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hidePivotFieldList="1"/>
  <workbookProtection workbookPassword="D25D" lockStructure="1"/>
  <bookViews>
    <workbookView xWindow="10305" yWindow="-15" windowWidth="10230" windowHeight="8115" tabRatio="899" activeTab="10"/>
  </bookViews>
  <sheets>
    <sheet name="Л11" sheetId="91" r:id="rId1"/>
    <sheet name="Л10" sheetId="90" r:id="rId2"/>
    <sheet name="Л9" sheetId="89" r:id="rId3"/>
    <sheet name="Л8" sheetId="88" r:id="rId4"/>
    <sheet name="Л7" sheetId="87" r:id="rId5"/>
    <sheet name="Л6" sheetId="86" r:id="rId6"/>
    <sheet name="Л5" sheetId="85" r:id="rId7"/>
    <sheet name="Л4" sheetId="84" r:id="rId8"/>
    <sheet name="Л3" sheetId="83" r:id="rId9"/>
    <sheet name="Л1" sheetId="82" r:id="rId10"/>
    <sheet name="Исходн.данные." sheetId="73" r:id="rId11"/>
    <sheet name="Потребность" sheetId="5" r:id="rId12"/>
    <sheet name="Расчет2" sheetId="65" state="hidden" r:id="rId13"/>
    <sheet name="Расчет" sheetId="15" state="hidden" r:id="rId14"/>
    <sheet name="Лист2" sheetId="93" state="hidden" r:id="rId15"/>
    <sheet name="Справ" sheetId="92" state="hidden" r:id="rId16"/>
    <sheet name="Удобрения" sheetId="95" state="hidden" r:id="rId17"/>
    <sheet name="Коэффициенты" sheetId="96" r:id="rId18"/>
  </sheets>
  <definedNames>
    <definedName name="_xlnm._FilterDatabase" localSheetId="6" hidden="1">Л5!$AI$12:$AI$18</definedName>
    <definedName name="_xlnm._FilterDatabase" localSheetId="11" hidden="1">Потребность!$A$1:$AG$349</definedName>
    <definedName name="Cultura">Расчет!$AX$23:$AX$27</definedName>
    <definedName name="K.Isp_Min.ud">Коэффициенты!$B$8:$G$11</definedName>
    <definedName name="K_MinUd_1g_ob">Коэффициенты!$H$9</definedName>
    <definedName name="K_MinUd_1g_um">Коэффициенты!$G$9</definedName>
    <definedName name="K_MinUd_2g_ob">Коэффициенты!$H$10</definedName>
    <definedName name="K_MinUd_2g_um">Коэффициенты!$G$10</definedName>
    <definedName name="K_MinUd_3g_um">Коэффициенты!$G$11</definedName>
    <definedName name="K_OrgUd_1g_ob">Коэффициенты!$H$14</definedName>
    <definedName name="K_OrgUd_1g_um">Коэффициенты!$G$14</definedName>
    <definedName name="K_OrgUd_2g_ob">Коэффициенты!$H$15</definedName>
    <definedName name="K_OrgUd_2g_um">Коэффициенты!$G$15</definedName>
    <definedName name="K_OrgUd_3g_ob">Коэффициенты!$H$16</definedName>
    <definedName name="K_OrgUd_3g_um">Коэффициенты!$G$16</definedName>
    <definedName name="K_Sider">Справ!$AD$6</definedName>
    <definedName name="K_Soloma">Справ!$AD$8</definedName>
    <definedName name="K_Wyn">Расчет!$HH$22:$HH$349</definedName>
    <definedName name="kultura">Расчет!$AX$22</definedName>
    <definedName name="N">Исходн.данные.!$AD$22:$AF$356</definedName>
    <definedName name="N_MinUd_1g_ob">Коэффициенты!$D$9</definedName>
    <definedName name="N_MinUd_1g_um">Коэффициенты!$C$9</definedName>
    <definedName name="N_MinUd_2g_ob">Коэффициенты!$D$10</definedName>
    <definedName name="N_MinUd_2g_um">Коэффициенты!$C$10</definedName>
    <definedName name="N_Org">Справ!$AB$4</definedName>
    <definedName name="N_OrgUd_1g_ob">Коэффициенты!$D$14</definedName>
    <definedName name="N_OrgUd_1g_um">Коэффициенты!$C$14</definedName>
    <definedName name="N_OrgUd_2g_ob">Коэффициенты!$D$15</definedName>
    <definedName name="N_OrgUd_2g_um">Коэффициенты!$C$15</definedName>
    <definedName name="N_OrgUd_3g">Коэффициенты!$C$16</definedName>
    <definedName name="N_Rizoagr">Справ!$AB$10</definedName>
    <definedName name="N_Rizotorf">Справ!$AB$9</definedName>
    <definedName name="N_Sider">Справ!$AB$6</definedName>
    <definedName name="N_Soloma">Справ!$AB$8</definedName>
    <definedName name="N_Щ.Г_Мн_л_тр.Ов.Проп_um.uvl">Коэффициенты!$K$7</definedName>
    <definedName name="N_Щ_Г_М.Т_Ов_Проп_ob.uwl">Коэффициенты!$L$7</definedName>
    <definedName name="N_ЩелГ_Одн_л_тр_ob_uwl">Коэффициенты!$L$9</definedName>
    <definedName name="N_ЩелГ_Одн_л_тр_um.uvl">Коэффициенты!$K$9</definedName>
    <definedName name="N_ЩелГ_Оз_З_П.um.uvl">Коэффициенты!$K$10</definedName>
    <definedName name="N_ЩелГ_Оз_З_Пар_ob_uwl">Коэффициенты!$L$10</definedName>
    <definedName name="N_ЩелГ_Оз_Ч_П.um.uvl">Коэффициенты!$K$11</definedName>
    <definedName name="N_ЩелГ_Оз_Ч_П_ob.uwl">Коэффициенты!$L$11</definedName>
    <definedName name="N_ЩелГ_Яр_З_ob_uwl">Коэффициенты!$L$13</definedName>
    <definedName name="N_ЩелГ_Яр_зер.um.uvl">Коэффициенты!$K$13</definedName>
    <definedName name="Nрасч">Расчет!$DG$21:$DG$349</definedName>
    <definedName name="P_MinUd_1g_ob">Коэффициенты!$F$9</definedName>
    <definedName name="P_MinUd_1g_um">Коэффициенты!$E$9</definedName>
    <definedName name="P_MinUd_2g_ob">Коэффициенты!$F$10</definedName>
    <definedName name="P_MinUd_2g_um">Коэффициенты!$E$10</definedName>
    <definedName name="P_MinUd_3g">Коэффициенты!$E$11</definedName>
    <definedName name="P_OrgUd_1g_ob">Коэффициенты!$F$14</definedName>
    <definedName name="P_OrgUd_1g_um">Коэффициенты!$E$14</definedName>
    <definedName name="P_OrgUd_2g_ob">Коэффициенты!$F$15</definedName>
    <definedName name="P_OrgUd_2g_um">Коэффициенты!$E$15</definedName>
    <definedName name="P_OrgUd_3g">Коэффициенты!$E$16</definedName>
    <definedName name="P_Rizoagr">Справ!$AC$10</definedName>
    <definedName name="P_Sider">Справ!$AC$6</definedName>
    <definedName name="P_Soloma">Справ!$AC$8</definedName>
    <definedName name="Ашлама">Удобрения!$B$2:$B$37</definedName>
    <definedName name="АшламаДВ_Gomumy">Удобрения!$B$2:$E$37</definedName>
    <definedName name="АшламаДВ_Irekle">Исходн.данные.!$AL$1:$AO$14</definedName>
    <definedName name="АшламаИД">Исходн.данные.!$AL$1:$AL$14</definedName>
    <definedName name="АшламаЛ1">Л1!$AL$1:$AL$14</definedName>
    <definedName name="АшламаЛ10">Л10!$AL$1:$AL$14</definedName>
    <definedName name="АшламаЛ11">Л11!$AL$1:$AL$14</definedName>
    <definedName name="АшламаЛ2">#REF!</definedName>
    <definedName name="АшламаЛ3">Л3!$AL$1:$AL$14</definedName>
    <definedName name="АшламаЛ4">Л4!$AL$1:$AL$14</definedName>
    <definedName name="АшламаЛ5">Л5!$AL$1:$AL$14</definedName>
    <definedName name="АшламаЛ6">Л6!$AL$1:$AL$14</definedName>
    <definedName name="АшламаЛ7">Л7!$AL$1:$AL$14</definedName>
    <definedName name="АшламаЛ8">Л8!$AL$1:$AL$14</definedName>
    <definedName name="АшламаЛ9">Л9!$AL$1:$AL$14</definedName>
    <definedName name="Вакыт">Л11!$AP$342</definedName>
    <definedName name="ГруппаКультур">Справ!$AJ$3:$AJ$9</definedName>
    <definedName name="До_посева">Справ!$AB$36:$AB$37</definedName>
    <definedName name="К.МетОпр">Справ!$AA$28:$AC$30</definedName>
    <definedName name="К_Org">Справ!$AD$4</definedName>
    <definedName name="Кирсанов">Справ!$AA$28:$AA$30</definedName>
    <definedName name="КоэфПерГум">Справ!$S$29:$T$40</definedName>
    <definedName name="Коэффициенты_уравнения_зависимости_от_сод_в_почве">Расчет!$GW$2:$HE$7</definedName>
    <definedName name="Культура">Справ!$AF$12:$AF$52</definedName>
    <definedName name="Культуры">Справ!$A$4:$A$54</definedName>
    <definedName name="Культуры.Информация">Справ!$A$4:$Q$46</definedName>
    <definedName name="Метод_опр_Р2О5">Исходн.данные.!$L$21:$L$356</definedName>
    <definedName name="МетОпрКал">Исходн.данные.!$N$21:$N$356</definedName>
    <definedName name="МетОпрФос">Исходн.данные.!$L$21:$L$356</definedName>
    <definedName name="МехСостав">Справ!$AA$38:$AA$42</definedName>
    <definedName name="_xlnm.Print_Area" localSheetId="11">Потребность!$A$1:$DV$82</definedName>
    <definedName name="_xlnm.Print_Area" localSheetId="12">Расчет2!$AO$13:$BH$363</definedName>
    <definedName name="ПопрКоМетАн">Коэффициенты!$O$7:$Q$9</definedName>
    <definedName name="ПопрКоэф_к_КоэфИспПочв">Коэффициенты!$X$21:$AA$34</definedName>
    <definedName name="Р_Org">Справ!$AC$4</definedName>
    <definedName name="Раздельно">Справ!$Z$36:$Z$37</definedName>
    <definedName name="РацУрож">Расчет!$BG$19:$BG$349</definedName>
    <definedName name="ТипПочвы">Справ!$S$29:$S$40</definedName>
    <definedName name="Увлажнение">Справ!$AA$32:$AA$33</definedName>
    <definedName name="УдАзДВ">Расчет!$DM$22:$DM$349</definedName>
    <definedName name="УдАзКг_гаФВ">Расчет!$DN$22:$DN$349</definedName>
    <definedName name="УдКал">Расчет!$DO$22:$DO$349</definedName>
    <definedName name="УдКалДВ">Расчет!$DP$22:$DP$349</definedName>
    <definedName name="УдКалКг_гаФВ">Расчет!$DQ$22:$DQ$349</definedName>
    <definedName name="Удобрение">Справ!$AE$14:$AE$27</definedName>
    <definedName name="Удобрения">Исходн.данные.!$AL$1:$AL$14</definedName>
    <definedName name="УдОсДВ">Расчет2!$AF$22:$AF$349</definedName>
    <definedName name="УдРядДВ">Расчет2!$AG$22:$AG$349</definedName>
    <definedName name="УдРядКг_гаФВ">Расчет!$DB$21:$DB$349</definedName>
    <definedName name="УдСложДВ">Расчет2!$AH$22:$AH$349</definedName>
    <definedName name="УдСложКг_гаФВ">Расчет!$EB$21:$EB$349</definedName>
    <definedName name="УрЕстПлод">Расчет!$BF$19:$BF$349</definedName>
    <definedName name="УрожПлан">Исходн.данные.!$AK:$AK</definedName>
  </definedNames>
  <calcPr calcId="144525"/>
</workbook>
</file>

<file path=xl/calcChain.xml><?xml version="1.0" encoding="utf-8"?>
<calcChain xmlns="http://schemas.openxmlformats.org/spreadsheetml/2006/main">
  <c r="AT13" i="73" l="1"/>
  <c r="AS13" i="73"/>
  <c r="AT12" i="73"/>
  <c r="AS12" i="73"/>
  <c r="AT11" i="73"/>
  <c r="AS11" i="73"/>
  <c r="AT10" i="73"/>
  <c r="AS10" i="73"/>
  <c r="AT9" i="73"/>
  <c r="AS9" i="73"/>
  <c r="AT8" i="73"/>
  <c r="AS8" i="73"/>
  <c r="AT7" i="73"/>
  <c r="AS7" i="73"/>
  <c r="AT6" i="73"/>
  <c r="AS6" i="73"/>
  <c r="AT5" i="73"/>
  <c r="AS5" i="73"/>
  <c r="AT4" i="73"/>
  <c r="AS4" i="73"/>
  <c r="AT3" i="73"/>
  <c r="AS3" i="73"/>
  <c r="AT2" i="73"/>
  <c r="AS2" i="73"/>
  <c r="AT1" i="73"/>
  <c r="AS1" i="73"/>
  <c r="AI23" i="65"/>
  <c r="AJ23" i="65"/>
  <c r="AI24" i="65"/>
  <c r="AJ24" i="65"/>
  <c r="AI25" i="65"/>
  <c r="AJ25" i="65"/>
  <c r="AI26" i="65"/>
  <c r="AJ26" i="65"/>
  <c r="AI27" i="65"/>
  <c r="AJ27" i="65"/>
  <c r="AI28" i="65"/>
  <c r="AJ28" i="65"/>
  <c r="AI29" i="65"/>
  <c r="AJ29" i="65"/>
  <c r="AI30" i="65"/>
  <c r="AJ30" i="65"/>
  <c r="AI31" i="65"/>
  <c r="AJ31" i="65"/>
  <c r="AI32" i="65"/>
  <c r="AJ32" i="65"/>
  <c r="AI33" i="65"/>
  <c r="AJ33" i="65"/>
  <c r="AI34" i="65"/>
  <c r="AJ34" i="65"/>
  <c r="AI35" i="65"/>
  <c r="AJ35" i="65"/>
  <c r="AI36" i="65"/>
  <c r="AJ36" i="65"/>
  <c r="AI37" i="65"/>
  <c r="AJ37" i="65"/>
  <c r="AI38" i="65"/>
  <c r="AJ38" i="65"/>
  <c r="AI39" i="65"/>
  <c r="AJ39" i="65"/>
  <c r="AI40" i="65"/>
  <c r="AJ40" i="65"/>
  <c r="AI41" i="65"/>
  <c r="AJ41" i="65"/>
  <c r="AI42" i="65"/>
  <c r="AJ42" i="65"/>
  <c r="AI43" i="65"/>
  <c r="AJ43" i="65"/>
  <c r="AI44" i="65"/>
  <c r="AJ44" i="65"/>
  <c r="AI45" i="65"/>
  <c r="AJ45" i="65"/>
  <c r="AI46" i="65"/>
  <c r="AJ46" i="65"/>
  <c r="AI47" i="65"/>
  <c r="AJ47" i="65"/>
  <c r="AI48" i="65"/>
  <c r="AJ48" i="65"/>
  <c r="AI49" i="65"/>
  <c r="AJ49" i="65"/>
  <c r="AI50" i="65"/>
  <c r="AJ50" i="65"/>
  <c r="AI51" i="65"/>
  <c r="AJ51" i="65"/>
  <c r="AI52" i="65"/>
  <c r="AJ52" i="65"/>
  <c r="AI53" i="65"/>
  <c r="AJ53" i="65"/>
  <c r="AI54" i="65"/>
  <c r="AJ54" i="65"/>
  <c r="AI55" i="65"/>
  <c r="AJ55" i="65"/>
  <c r="AI56" i="65"/>
  <c r="AJ56" i="65"/>
  <c r="AI57" i="65"/>
  <c r="AJ57" i="65"/>
  <c r="AI58" i="65"/>
  <c r="AJ58" i="65"/>
  <c r="AI59" i="65"/>
  <c r="AJ59" i="65"/>
  <c r="AI60" i="65"/>
  <c r="AJ60" i="65"/>
  <c r="AI61" i="65"/>
  <c r="AJ61" i="65"/>
  <c r="AI62" i="65"/>
  <c r="AJ62" i="65"/>
  <c r="AI63" i="65"/>
  <c r="AJ63" i="65"/>
  <c r="AI64" i="65"/>
  <c r="AJ64" i="65"/>
  <c r="AI65" i="65"/>
  <c r="AJ65" i="65"/>
  <c r="AI66" i="65"/>
  <c r="AJ66" i="65"/>
  <c r="AI67" i="65"/>
  <c r="AJ67" i="65"/>
  <c r="AI68" i="65"/>
  <c r="AJ68" i="65"/>
  <c r="AI69" i="65"/>
  <c r="AJ69" i="65"/>
  <c r="AI70" i="65"/>
  <c r="AJ70" i="65"/>
  <c r="AI71" i="65"/>
  <c r="AJ71" i="65"/>
  <c r="AI72" i="65"/>
  <c r="AJ72" i="65"/>
  <c r="AI73" i="65"/>
  <c r="AJ73" i="65"/>
  <c r="AI74" i="65"/>
  <c r="AJ74" i="65"/>
  <c r="AI75" i="65"/>
  <c r="AJ75" i="65"/>
  <c r="AI76" i="65"/>
  <c r="AJ76" i="65"/>
  <c r="AI77" i="65"/>
  <c r="AJ77" i="65"/>
  <c r="AI78" i="65"/>
  <c r="AJ78" i="65"/>
  <c r="AI79" i="65"/>
  <c r="AJ79" i="65"/>
  <c r="AI80" i="65"/>
  <c r="AJ80" i="65"/>
  <c r="AI81" i="65"/>
  <c r="AJ81" i="65"/>
  <c r="AI82" i="65"/>
  <c r="AJ82" i="65"/>
  <c r="AI83" i="65"/>
  <c r="AJ83" i="65"/>
  <c r="AI84" i="65"/>
  <c r="AJ84" i="65"/>
  <c r="AI85" i="65"/>
  <c r="AJ85" i="65"/>
  <c r="AI86" i="65"/>
  <c r="AJ86" i="65"/>
  <c r="AI87" i="65"/>
  <c r="AJ87" i="65"/>
  <c r="AI88" i="65"/>
  <c r="AJ88" i="65"/>
  <c r="AI89" i="65"/>
  <c r="AJ89" i="65"/>
  <c r="AI90" i="65"/>
  <c r="AJ90" i="65"/>
  <c r="AI91" i="65"/>
  <c r="AJ91" i="65"/>
  <c r="AI92" i="65"/>
  <c r="AJ92" i="65"/>
  <c r="AI93" i="65"/>
  <c r="AJ93" i="65"/>
  <c r="AI94" i="65"/>
  <c r="AJ94" i="65"/>
  <c r="AI95" i="65"/>
  <c r="AJ95" i="65"/>
  <c r="AI96" i="65"/>
  <c r="AJ96" i="65"/>
  <c r="AI97" i="65"/>
  <c r="AJ97" i="65"/>
  <c r="AI98" i="65"/>
  <c r="AJ98" i="65"/>
  <c r="AI99" i="65"/>
  <c r="AJ99" i="65"/>
  <c r="AI100" i="65"/>
  <c r="AJ100" i="65"/>
  <c r="AI101" i="65"/>
  <c r="AJ101" i="65"/>
  <c r="AI102" i="65"/>
  <c r="AJ102" i="65"/>
  <c r="AI103" i="65"/>
  <c r="AJ103" i="65"/>
  <c r="AI104" i="65"/>
  <c r="AJ104" i="65"/>
  <c r="AI105" i="65"/>
  <c r="AJ105" i="65"/>
  <c r="AI106" i="65"/>
  <c r="AJ106" i="65"/>
  <c r="AI107" i="65"/>
  <c r="AJ107" i="65"/>
  <c r="AI108" i="65"/>
  <c r="AJ108" i="65"/>
  <c r="AI109" i="65"/>
  <c r="AJ109" i="65"/>
  <c r="AI110" i="65"/>
  <c r="AJ110" i="65"/>
  <c r="AI111" i="65"/>
  <c r="AJ111" i="65"/>
  <c r="AI112" i="65"/>
  <c r="AJ112" i="65"/>
  <c r="AI113" i="65"/>
  <c r="AJ113" i="65"/>
  <c r="AI114" i="65"/>
  <c r="AJ114" i="65"/>
  <c r="AI115" i="65"/>
  <c r="AJ115" i="65"/>
  <c r="AI116" i="65"/>
  <c r="AJ116" i="65"/>
  <c r="AI117" i="65"/>
  <c r="AJ117" i="65"/>
  <c r="AI118" i="65"/>
  <c r="AJ118" i="65"/>
  <c r="AI119" i="65"/>
  <c r="AJ119" i="65"/>
  <c r="AI120" i="65"/>
  <c r="AJ120" i="65"/>
  <c r="AI121" i="65"/>
  <c r="AJ121" i="65"/>
  <c r="AI122" i="65"/>
  <c r="AJ122" i="65"/>
  <c r="AI123" i="65"/>
  <c r="AJ123" i="65"/>
  <c r="AI124" i="65"/>
  <c r="AJ124" i="65"/>
  <c r="AI125" i="65"/>
  <c r="AJ125" i="65"/>
  <c r="AI126" i="65"/>
  <c r="AJ126" i="65"/>
  <c r="AI127" i="65"/>
  <c r="AJ127" i="65"/>
  <c r="AI128" i="65"/>
  <c r="AJ128" i="65"/>
  <c r="AI129" i="65"/>
  <c r="AJ129" i="65"/>
  <c r="AI130" i="65"/>
  <c r="AJ130" i="65"/>
  <c r="AI131" i="65"/>
  <c r="AJ131" i="65"/>
  <c r="AI132" i="65"/>
  <c r="AJ132" i="65"/>
  <c r="AI133" i="65"/>
  <c r="AJ133" i="65"/>
  <c r="AI134" i="65"/>
  <c r="AJ134" i="65"/>
  <c r="AI135" i="65"/>
  <c r="AJ135" i="65"/>
  <c r="AI136" i="65"/>
  <c r="AJ136" i="65"/>
  <c r="AI137" i="65"/>
  <c r="AJ137" i="65"/>
  <c r="AI138" i="65"/>
  <c r="AJ138" i="65"/>
  <c r="AI139" i="65"/>
  <c r="AJ139" i="65"/>
  <c r="AI140" i="65"/>
  <c r="AJ140" i="65"/>
  <c r="AI141" i="65"/>
  <c r="AJ141" i="65"/>
  <c r="AI142" i="65"/>
  <c r="AJ142" i="65"/>
  <c r="AI143" i="65"/>
  <c r="AJ143" i="65"/>
  <c r="AI144" i="65"/>
  <c r="AJ144" i="65"/>
  <c r="AI145" i="65"/>
  <c r="AJ145" i="65"/>
  <c r="AI146" i="65"/>
  <c r="AJ146" i="65"/>
  <c r="AI147" i="65"/>
  <c r="AJ147" i="65"/>
  <c r="AI148" i="65"/>
  <c r="AJ148" i="65"/>
  <c r="AI149" i="65"/>
  <c r="AJ149" i="65"/>
  <c r="AI150" i="65"/>
  <c r="AJ150" i="65"/>
  <c r="AI151" i="65"/>
  <c r="AJ151" i="65"/>
  <c r="AI152" i="65"/>
  <c r="AJ152" i="65"/>
  <c r="AI153" i="65"/>
  <c r="AJ153" i="65"/>
  <c r="AI154" i="65"/>
  <c r="AJ154" i="65"/>
  <c r="AI155" i="65"/>
  <c r="AJ155" i="65"/>
  <c r="AI156" i="65"/>
  <c r="AJ156" i="65"/>
  <c r="AI157" i="65"/>
  <c r="AJ157" i="65"/>
  <c r="AI158" i="65"/>
  <c r="AJ158" i="65"/>
  <c r="AI159" i="65"/>
  <c r="AJ159" i="65"/>
  <c r="AI160" i="65"/>
  <c r="AJ160" i="65"/>
  <c r="AI161" i="65"/>
  <c r="AJ161" i="65"/>
  <c r="AI162" i="65"/>
  <c r="AJ162" i="65"/>
  <c r="AI163" i="65"/>
  <c r="AJ163" i="65"/>
  <c r="AI164" i="65"/>
  <c r="AJ164" i="65"/>
  <c r="AI165" i="65"/>
  <c r="AJ165" i="65"/>
  <c r="AI166" i="65"/>
  <c r="AJ166" i="65"/>
  <c r="AI167" i="65"/>
  <c r="AJ167" i="65"/>
  <c r="AI168" i="65"/>
  <c r="AJ168" i="65"/>
  <c r="AI169" i="65"/>
  <c r="AJ169" i="65"/>
  <c r="AI170" i="65"/>
  <c r="AJ170" i="65"/>
  <c r="AI171" i="65"/>
  <c r="AJ171" i="65"/>
  <c r="AI172" i="65"/>
  <c r="AJ172" i="65"/>
  <c r="AI173" i="65"/>
  <c r="AJ173" i="65"/>
  <c r="AI174" i="65"/>
  <c r="AJ174" i="65"/>
  <c r="AI175" i="65"/>
  <c r="AJ175" i="65"/>
  <c r="AI176" i="65"/>
  <c r="AJ176" i="65"/>
  <c r="AI177" i="65"/>
  <c r="AJ177" i="65"/>
  <c r="AI178" i="65"/>
  <c r="AJ178" i="65"/>
  <c r="AI179" i="65"/>
  <c r="AJ179" i="65"/>
  <c r="AI180" i="65"/>
  <c r="AJ180" i="65"/>
  <c r="AI181" i="65"/>
  <c r="AJ181" i="65"/>
  <c r="AI182" i="65"/>
  <c r="AJ182" i="65"/>
  <c r="AI183" i="65"/>
  <c r="AJ183" i="65"/>
  <c r="AI184" i="65"/>
  <c r="AJ184" i="65"/>
  <c r="AI185" i="65"/>
  <c r="AJ185" i="65"/>
  <c r="AI186" i="65"/>
  <c r="AJ186" i="65"/>
  <c r="AI187" i="65"/>
  <c r="AJ187" i="65"/>
  <c r="AI188" i="65"/>
  <c r="AJ188" i="65"/>
  <c r="AI189" i="65"/>
  <c r="AJ189" i="65"/>
  <c r="AI190" i="65"/>
  <c r="AJ190" i="65"/>
  <c r="AI191" i="65"/>
  <c r="AJ191" i="65"/>
  <c r="AI192" i="65"/>
  <c r="AJ192" i="65"/>
  <c r="AI193" i="65"/>
  <c r="AJ193" i="65"/>
  <c r="AI194" i="65"/>
  <c r="AJ194" i="65"/>
  <c r="AI195" i="65"/>
  <c r="AJ195" i="65"/>
  <c r="AI196" i="65"/>
  <c r="AJ196" i="65"/>
  <c r="AI197" i="65"/>
  <c r="AJ197" i="65"/>
  <c r="AI198" i="65"/>
  <c r="AJ198" i="65"/>
  <c r="AI199" i="65"/>
  <c r="AJ199" i="65"/>
  <c r="AI200" i="65"/>
  <c r="AJ200" i="65"/>
  <c r="AI201" i="65"/>
  <c r="AJ201" i="65"/>
  <c r="AI202" i="65"/>
  <c r="AJ202" i="65"/>
  <c r="AI203" i="65"/>
  <c r="AJ203" i="65"/>
  <c r="AI204" i="65"/>
  <c r="AJ204" i="65"/>
  <c r="AI205" i="65"/>
  <c r="AJ205" i="65"/>
  <c r="AI206" i="65"/>
  <c r="AJ206" i="65"/>
  <c r="AI207" i="65"/>
  <c r="AJ207" i="65"/>
  <c r="AI208" i="65"/>
  <c r="AJ208" i="65"/>
  <c r="AI209" i="65"/>
  <c r="AJ209" i="65"/>
  <c r="AI210" i="65"/>
  <c r="AJ210" i="65"/>
  <c r="AI211" i="65"/>
  <c r="AJ211" i="65"/>
  <c r="AI212" i="65"/>
  <c r="AJ212" i="65"/>
  <c r="AI213" i="65"/>
  <c r="AJ213" i="65"/>
  <c r="AI214" i="65"/>
  <c r="AJ214" i="65"/>
  <c r="AI215" i="65"/>
  <c r="AJ215" i="65"/>
  <c r="AI216" i="65"/>
  <c r="AJ216" i="65"/>
  <c r="AI217" i="65"/>
  <c r="AJ217" i="65"/>
  <c r="AI218" i="65"/>
  <c r="AJ218" i="65"/>
  <c r="AI219" i="65"/>
  <c r="AJ219" i="65"/>
  <c r="AI220" i="65"/>
  <c r="AJ220" i="65"/>
  <c r="AI221" i="65"/>
  <c r="AJ221" i="65"/>
  <c r="AI222" i="65"/>
  <c r="AJ222" i="65"/>
  <c r="AI223" i="65"/>
  <c r="AJ223" i="65"/>
  <c r="AI224" i="65"/>
  <c r="AJ224" i="65"/>
  <c r="AI225" i="65"/>
  <c r="AJ225" i="65"/>
  <c r="AI226" i="65"/>
  <c r="AJ226" i="65"/>
  <c r="AI227" i="65"/>
  <c r="AJ227" i="65"/>
  <c r="AI228" i="65"/>
  <c r="AJ228" i="65"/>
  <c r="AI229" i="65"/>
  <c r="AJ229" i="65"/>
  <c r="AI230" i="65"/>
  <c r="AJ230" i="65"/>
  <c r="AI231" i="65"/>
  <c r="AJ231" i="65"/>
  <c r="AI232" i="65"/>
  <c r="AJ232" i="65"/>
  <c r="AI233" i="65"/>
  <c r="AJ233" i="65"/>
  <c r="AI234" i="65"/>
  <c r="AJ234" i="65"/>
  <c r="AI235" i="65"/>
  <c r="AJ235" i="65"/>
  <c r="AI236" i="65"/>
  <c r="AJ236" i="65"/>
  <c r="AI237" i="65"/>
  <c r="AJ237" i="65"/>
  <c r="AI238" i="65"/>
  <c r="AJ238" i="65"/>
  <c r="AI239" i="65"/>
  <c r="AJ239" i="65"/>
  <c r="AI240" i="65"/>
  <c r="AJ240" i="65"/>
  <c r="AI241" i="65"/>
  <c r="AJ241" i="65"/>
  <c r="AI242" i="65"/>
  <c r="AJ242" i="65"/>
  <c r="AI243" i="65"/>
  <c r="AJ243" i="65"/>
  <c r="AI244" i="65"/>
  <c r="AJ244" i="65"/>
  <c r="AI245" i="65"/>
  <c r="AJ245" i="65"/>
  <c r="AI246" i="65"/>
  <c r="AJ246" i="65"/>
  <c r="AI247" i="65"/>
  <c r="AJ247" i="65"/>
  <c r="AI248" i="65"/>
  <c r="AJ248" i="65"/>
  <c r="AI249" i="65"/>
  <c r="AJ249" i="65"/>
  <c r="AI250" i="65"/>
  <c r="AJ250" i="65"/>
  <c r="AI251" i="65"/>
  <c r="AJ251" i="65"/>
  <c r="AI252" i="65"/>
  <c r="AJ252" i="65"/>
  <c r="AI253" i="65"/>
  <c r="AJ253" i="65"/>
  <c r="AI254" i="65"/>
  <c r="AJ254" i="65"/>
  <c r="AI255" i="65"/>
  <c r="AJ255" i="65"/>
  <c r="AI256" i="65"/>
  <c r="AJ256" i="65"/>
  <c r="AI257" i="65"/>
  <c r="AJ257" i="65"/>
  <c r="AI258" i="65"/>
  <c r="AJ258" i="65"/>
  <c r="AI259" i="65"/>
  <c r="AJ259" i="65"/>
  <c r="AI260" i="65"/>
  <c r="AJ260" i="65"/>
  <c r="AI261" i="65"/>
  <c r="AJ261" i="65"/>
  <c r="AI262" i="65"/>
  <c r="AJ262" i="65"/>
  <c r="AI263" i="65"/>
  <c r="AJ263" i="65"/>
  <c r="AI264" i="65"/>
  <c r="AJ264" i="65"/>
  <c r="AI265" i="65"/>
  <c r="AJ265" i="65"/>
  <c r="AI266" i="65"/>
  <c r="AJ266" i="65"/>
  <c r="AI267" i="65"/>
  <c r="AJ267" i="65"/>
  <c r="AI268" i="65"/>
  <c r="AJ268" i="65"/>
  <c r="AI269" i="65"/>
  <c r="AJ269" i="65"/>
  <c r="AI270" i="65"/>
  <c r="AJ270" i="65"/>
  <c r="AI271" i="65"/>
  <c r="AJ271" i="65"/>
  <c r="AI272" i="65"/>
  <c r="AJ272" i="65"/>
  <c r="AI273" i="65"/>
  <c r="AJ273" i="65"/>
  <c r="AI274" i="65"/>
  <c r="AJ274" i="65"/>
  <c r="AI275" i="65"/>
  <c r="AJ275" i="65"/>
  <c r="AI276" i="65"/>
  <c r="AJ276" i="65"/>
  <c r="AI277" i="65"/>
  <c r="AJ277" i="65"/>
  <c r="AI278" i="65"/>
  <c r="AJ278" i="65"/>
  <c r="AI279" i="65"/>
  <c r="AJ279" i="65"/>
  <c r="AI280" i="65"/>
  <c r="AJ280" i="65"/>
  <c r="AI281" i="65"/>
  <c r="AJ281" i="65"/>
  <c r="AI282" i="65"/>
  <c r="AJ282" i="65"/>
  <c r="AI283" i="65"/>
  <c r="AJ283" i="65"/>
  <c r="AI284" i="65"/>
  <c r="AJ284" i="65"/>
  <c r="AI285" i="65"/>
  <c r="AJ285" i="65"/>
  <c r="AI286" i="65"/>
  <c r="AJ286" i="65"/>
  <c r="AI287" i="65"/>
  <c r="AJ287" i="65"/>
  <c r="AI288" i="65"/>
  <c r="AJ288" i="65"/>
  <c r="AI289" i="65"/>
  <c r="AJ289" i="65"/>
  <c r="AI290" i="65"/>
  <c r="AJ290" i="65"/>
  <c r="AI291" i="65"/>
  <c r="AJ291" i="65"/>
  <c r="AI292" i="65"/>
  <c r="AJ292" i="65"/>
  <c r="AI293" i="65"/>
  <c r="AJ293" i="65"/>
  <c r="AI294" i="65"/>
  <c r="AJ294" i="65"/>
  <c r="AI295" i="65"/>
  <c r="AJ295" i="65"/>
  <c r="AI296" i="65"/>
  <c r="AJ296" i="65"/>
  <c r="AI297" i="65"/>
  <c r="AJ297" i="65"/>
  <c r="AI298" i="65"/>
  <c r="AJ298" i="65"/>
  <c r="AI299" i="65"/>
  <c r="AJ299" i="65"/>
  <c r="AI300" i="65"/>
  <c r="AJ300" i="65"/>
  <c r="AI301" i="65"/>
  <c r="AJ301" i="65"/>
  <c r="AI302" i="65"/>
  <c r="AJ302" i="65"/>
  <c r="AI303" i="65"/>
  <c r="AJ303" i="65"/>
  <c r="AI304" i="65"/>
  <c r="AJ304" i="65"/>
  <c r="AI305" i="65"/>
  <c r="AJ305" i="65"/>
  <c r="AI306" i="65"/>
  <c r="AJ306" i="65"/>
  <c r="AI307" i="65"/>
  <c r="AJ307" i="65"/>
  <c r="AI308" i="65"/>
  <c r="AJ308" i="65"/>
  <c r="AI309" i="65"/>
  <c r="AJ309" i="65"/>
  <c r="AI310" i="65"/>
  <c r="AJ310" i="65"/>
  <c r="AI311" i="65"/>
  <c r="AJ311" i="65"/>
  <c r="AI312" i="65"/>
  <c r="AJ312" i="65"/>
  <c r="AI313" i="65"/>
  <c r="AJ313" i="65"/>
  <c r="AI314" i="65"/>
  <c r="AJ314" i="65"/>
  <c r="AI315" i="65"/>
  <c r="AJ315" i="65"/>
  <c r="AI316" i="65"/>
  <c r="AJ316" i="65"/>
  <c r="AI317" i="65"/>
  <c r="AJ317" i="65"/>
  <c r="AI318" i="65"/>
  <c r="AJ318" i="65"/>
  <c r="AI319" i="65"/>
  <c r="AJ319" i="65"/>
  <c r="AI320" i="65"/>
  <c r="AJ320" i="65"/>
  <c r="AI321" i="65"/>
  <c r="AJ321" i="65"/>
  <c r="AI322" i="65"/>
  <c r="AJ322" i="65"/>
  <c r="AI323" i="65"/>
  <c r="AJ323" i="65"/>
  <c r="AI324" i="65"/>
  <c r="AJ324" i="65"/>
  <c r="AI325" i="65"/>
  <c r="AJ325" i="65"/>
  <c r="AI326" i="65"/>
  <c r="AJ326" i="65"/>
  <c r="AI327" i="65"/>
  <c r="AJ327" i="65"/>
  <c r="AI328" i="65"/>
  <c r="AJ328" i="65"/>
  <c r="AI329" i="65"/>
  <c r="AJ329" i="65"/>
  <c r="AI330" i="65"/>
  <c r="AJ330" i="65"/>
  <c r="AI331" i="65"/>
  <c r="AJ331" i="65"/>
  <c r="AI332" i="65"/>
  <c r="AJ332" i="65"/>
  <c r="AI333" i="65"/>
  <c r="AJ333" i="65"/>
  <c r="AI334" i="65"/>
  <c r="AJ334" i="65"/>
  <c r="AI335" i="65"/>
  <c r="AJ335" i="65"/>
  <c r="AI336" i="65"/>
  <c r="AJ336" i="65"/>
  <c r="AI337" i="65"/>
  <c r="AJ337" i="65"/>
  <c r="AI338" i="65"/>
  <c r="AJ338" i="65"/>
  <c r="AI339" i="65"/>
  <c r="AJ339" i="65"/>
  <c r="AI340" i="65"/>
  <c r="AJ340" i="65"/>
  <c r="AI341" i="65"/>
  <c r="AJ341" i="65"/>
  <c r="AI342" i="65"/>
  <c r="AJ342" i="65"/>
  <c r="AI343" i="65"/>
  <c r="AJ343" i="65"/>
  <c r="AI344" i="65"/>
  <c r="AJ344" i="65"/>
  <c r="AI345" i="65"/>
  <c r="AJ345" i="65"/>
  <c r="AI346" i="65"/>
  <c r="AJ346" i="65"/>
  <c r="AI347" i="65"/>
  <c r="AJ347" i="65"/>
  <c r="AI348" i="65"/>
  <c r="AJ348" i="65"/>
  <c r="AI349" i="65"/>
  <c r="AJ349" i="65"/>
  <c r="AJ22" i="65"/>
  <c r="AI22" i="65"/>
  <c r="AF23" i="65"/>
  <c r="AF24" i="65"/>
  <c r="AF25" i="65"/>
  <c r="AF26" i="65"/>
  <c r="AF27" i="65"/>
  <c r="AF28" i="65"/>
  <c r="AF29" i="65"/>
  <c r="AF30" i="65"/>
  <c r="AF31" i="65"/>
  <c r="AF32" i="65"/>
  <c r="AF33" i="65"/>
  <c r="AF34" i="65"/>
  <c r="AF35" i="65"/>
  <c r="AF36" i="65"/>
  <c r="AF37" i="65"/>
  <c r="AF38" i="65"/>
  <c r="AF39" i="65"/>
  <c r="AF40" i="65"/>
  <c r="AF41" i="65"/>
  <c r="AF42" i="65"/>
  <c r="AF43" i="65"/>
  <c r="AF44" i="65"/>
  <c r="AF45" i="65"/>
  <c r="AF46" i="65"/>
  <c r="AF47" i="65"/>
  <c r="AF48" i="65"/>
  <c r="AF49" i="65"/>
  <c r="AF50" i="65"/>
  <c r="AF51" i="65"/>
  <c r="AF52" i="65"/>
  <c r="AF53" i="65"/>
  <c r="AF54" i="65"/>
  <c r="AF55" i="65"/>
  <c r="AF56" i="65"/>
  <c r="AF57" i="65"/>
  <c r="AF58" i="65"/>
  <c r="AF59" i="65"/>
  <c r="AF60" i="65"/>
  <c r="AF61" i="65"/>
  <c r="AF62" i="65"/>
  <c r="AF63" i="65"/>
  <c r="AF64" i="65"/>
  <c r="AF65" i="65"/>
  <c r="AF66" i="65"/>
  <c r="AF67" i="65"/>
  <c r="AF68" i="65"/>
  <c r="AF69" i="65"/>
  <c r="AF70" i="65"/>
  <c r="AF71" i="65"/>
  <c r="AF72" i="65"/>
  <c r="AF73" i="65"/>
  <c r="AF74" i="65"/>
  <c r="AF75" i="65"/>
  <c r="AF76" i="65"/>
  <c r="AF77" i="65"/>
  <c r="AF78" i="65"/>
  <c r="AF79" i="65"/>
  <c r="AF80" i="65"/>
  <c r="AF81" i="65"/>
  <c r="AF82" i="65"/>
  <c r="AF83" i="65"/>
  <c r="AF84" i="65"/>
  <c r="AF85" i="65"/>
  <c r="AF86" i="65"/>
  <c r="AF87" i="65"/>
  <c r="AF88" i="65"/>
  <c r="AF89" i="65"/>
  <c r="AF90" i="65"/>
  <c r="AF91" i="65"/>
  <c r="AF92" i="65"/>
  <c r="AF93" i="65"/>
  <c r="AF94" i="65"/>
  <c r="AF95" i="65"/>
  <c r="AF96" i="65"/>
  <c r="AF97" i="65"/>
  <c r="AF98" i="65"/>
  <c r="AF99" i="65"/>
  <c r="AF100" i="65"/>
  <c r="AF101" i="65"/>
  <c r="AF102" i="65"/>
  <c r="AF103" i="65"/>
  <c r="AF104" i="65"/>
  <c r="AF105" i="65"/>
  <c r="AF106" i="65"/>
  <c r="AF107" i="65"/>
  <c r="AF108" i="65"/>
  <c r="AF109" i="65"/>
  <c r="AF110" i="65"/>
  <c r="AF111" i="65"/>
  <c r="AF112" i="65"/>
  <c r="AF113" i="65"/>
  <c r="AF114" i="65"/>
  <c r="AF115" i="65"/>
  <c r="AF116" i="65"/>
  <c r="AF117" i="65"/>
  <c r="AF118" i="65"/>
  <c r="AF119" i="65"/>
  <c r="AF120" i="65"/>
  <c r="AF121" i="65"/>
  <c r="AF122" i="65"/>
  <c r="AF123" i="65"/>
  <c r="AF124" i="65"/>
  <c r="AF125" i="65"/>
  <c r="AF126" i="65"/>
  <c r="AF127" i="65"/>
  <c r="AF128" i="65"/>
  <c r="AF129" i="65"/>
  <c r="AF130" i="65"/>
  <c r="AF131" i="65"/>
  <c r="AF132" i="65"/>
  <c r="AF133" i="65"/>
  <c r="AF134" i="65"/>
  <c r="AF135" i="65"/>
  <c r="AF136" i="65"/>
  <c r="AF137" i="65"/>
  <c r="AF138" i="65"/>
  <c r="AF139" i="65"/>
  <c r="AF140" i="65"/>
  <c r="AF141" i="65"/>
  <c r="AF142" i="65"/>
  <c r="AF143" i="65"/>
  <c r="AF144" i="65"/>
  <c r="AF145" i="65"/>
  <c r="AF146" i="65"/>
  <c r="AF147" i="65"/>
  <c r="AF148" i="65"/>
  <c r="AF149" i="65"/>
  <c r="AF150" i="65"/>
  <c r="AF151" i="65"/>
  <c r="AF152" i="65"/>
  <c r="AF153" i="65"/>
  <c r="AF154" i="65"/>
  <c r="AF155" i="65"/>
  <c r="AF156" i="65"/>
  <c r="AF157" i="65"/>
  <c r="AF158" i="65"/>
  <c r="AF159" i="65"/>
  <c r="AF160" i="65"/>
  <c r="AF161" i="65"/>
  <c r="AF162" i="65"/>
  <c r="AF163" i="65"/>
  <c r="AF164" i="65"/>
  <c r="AF165" i="65"/>
  <c r="AF166" i="65"/>
  <c r="AF167" i="65"/>
  <c r="AF168" i="65"/>
  <c r="AF169" i="65"/>
  <c r="AF170" i="65"/>
  <c r="AF171" i="65"/>
  <c r="AF172" i="65"/>
  <c r="AF173" i="65"/>
  <c r="AF174" i="65"/>
  <c r="AF175" i="65"/>
  <c r="AF176" i="65"/>
  <c r="AF177" i="65"/>
  <c r="AF178" i="65"/>
  <c r="AF179" i="65"/>
  <c r="AF180" i="65"/>
  <c r="AF181" i="65"/>
  <c r="AF182" i="65"/>
  <c r="AF183" i="65"/>
  <c r="AF184" i="65"/>
  <c r="AF185" i="65"/>
  <c r="AF186" i="65"/>
  <c r="AF187" i="65"/>
  <c r="AF188" i="65"/>
  <c r="AF189" i="65"/>
  <c r="AF190" i="65"/>
  <c r="AF191" i="65"/>
  <c r="AF192" i="65"/>
  <c r="AF193" i="65"/>
  <c r="AF194" i="65"/>
  <c r="AF195" i="65"/>
  <c r="AF196" i="65"/>
  <c r="AF197" i="65"/>
  <c r="AF198" i="65"/>
  <c r="AF199" i="65"/>
  <c r="AF200" i="65"/>
  <c r="AF201" i="65"/>
  <c r="AF202" i="65"/>
  <c r="AF203" i="65"/>
  <c r="AF204" i="65"/>
  <c r="AF205" i="65"/>
  <c r="AF206" i="65"/>
  <c r="AF207" i="65"/>
  <c r="AF208" i="65"/>
  <c r="AF209" i="65"/>
  <c r="AF210" i="65"/>
  <c r="AF211" i="65"/>
  <c r="AF212" i="65"/>
  <c r="AF213" i="65"/>
  <c r="AF214" i="65"/>
  <c r="AF215" i="65"/>
  <c r="AF216" i="65"/>
  <c r="AF217" i="65"/>
  <c r="AF218" i="65"/>
  <c r="AF219" i="65"/>
  <c r="AF220" i="65"/>
  <c r="AF221" i="65"/>
  <c r="AF222" i="65"/>
  <c r="AF223" i="65"/>
  <c r="AF224" i="65"/>
  <c r="AF225" i="65"/>
  <c r="AF226" i="65"/>
  <c r="AF227" i="65"/>
  <c r="AF228" i="65"/>
  <c r="AF229" i="65"/>
  <c r="AF230" i="65"/>
  <c r="AF231" i="65"/>
  <c r="AF232" i="65"/>
  <c r="AF233" i="65"/>
  <c r="AF234" i="65"/>
  <c r="AF235" i="65"/>
  <c r="AF236" i="65"/>
  <c r="AF237" i="65"/>
  <c r="AF238" i="65"/>
  <c r="AF239" i="65"/>
  <c r="AF240" i="65"/>
  <c r="AF241" i="65"/>
  <c r="AF242" i="65"/>
  <c r="AF243" i="65"/>
  <c r="AF244" i="65"/>
  <c r="AF245" i="65"/>
  <c r="AF246" i="65"/>
  <c r="AF247" i="65"/>
  <c r="AF248" i="65"/>
  <c r="AF249" i="65"/>
  <c r="AF250" i="65"/>
  <c r="AF251" i="65"/>
  <c r="AF252" i="65"/>
  <c r="AF253" i="65"/>
  <c r="AF254" i="65"/>
  <c r="AF255" i="65"/>
  <c r="AF256" i="65"/>
  <c r="AF257" i="65"/>
  <c r="AF258" i="65"/>
  <c r="AF259" i="65"/>
  <c r="AF260" i="65"/>
  <c r="AF261" i="65"/>
  <c r="AF262" i="65"/>
  <c r="AF263" i="65"/>
  <c r="AF264" i="65"/>
  <c r="AF265" i="65"/>
  <c r="AF266" i="65"/>
  <c r="AF267" i="65"/>
  <c r="AF268" i="65"/>
  <c r="AF269" i="65"/>
  <c r="AF270" i="65"/>
  <c r="AF271" i="65"/>
  <c r="AF272" i="65"/>
  <c r="AF273" i="65"/>
  <c r="AF274" i="65"/>
  <c r="AF275" i="65"/>
  <c r="AF276" i="65"/>
  <c r="AF277" i="65"/>
  <c r="AF278" i="65"/>
  <c r="AF279" i="65"/>
  <c r="AF280" i="65"/>
  <c r="AF281" i="65"/>
  <c r="AF282" i="65"/>
  <c r="AF283" i="65"/>
  <c r="AF284" i="65"/>
  <c r="AF285" i="65"/>
  <c r="AF286" i="65"/>
  <c r="AF287" i="65"/>
  <c r="AF288" i="65"/>
  <c r="AF289" i="65"/>
  <c r="AF290" i="65"/>
  <c r="AF291" i="65"/>
  <c r="AF292" i="65"/>
  <c r="AF293" i="65"/>
  <c r="AF294" i="65"/>
  <c r="AF295" i="65"/>
  <c r="AF296" i="65"/>
  <c r="AF297" i="65"/>
  <c r="AF298" i="65"/>
  <c r="AF299" i="65"/>
  <c r="AF300" i="65"/>
  <c r="AF301" i="65"/>
  <c r="AF302" i="65"/>
  <c r="AF303" i="65"/>
  <c r="AF304" i="65"/>
  <c r="AF305" i="65"/>
  <c r="AF306" i="65"/>
  <c r="AF307" i="65"/>
  <c r="AF308" i="65"/>
  <c r="AF309" i="65"/>
  <c r="AF310" i="65"/>
  <c r="AF311" i="65"/>
  <c r="AF312" i="65"/>
  <c r="AF313" i="65"/>
  <c r="AF314" i="65"/>
  <c r="AF315" i="65"/>
  <c r="AF316" i="65"/>
  <c r="AF317" i="65"/>
  <c r="AF318" i="65"/>
  <c r="AF319" i="65"/>
  <c r="AF320" i="65"/>
  <c r="AF321" i="65"/>
  <c r="AF322" i="65"/>
  <c r="AF323" i="65"/>
  <c r="AF324" i="65"/>
  <c r="AF325" i="65"/>
  <c r="AF326" i="65"/>
  <c r="AF327" i="65"/>
  <c r="AF328" i="65"/>
  <c r="AF329" i="65"/>
  <c r="AF330" i="65"/>
  <c r="AF331" i="65"/>
  <c r="AF332" i="65"/>
  <c r="AF333" i="65"/>
  <c r="AF334" i="65"/>
  <c r="AF335" i="65"/>
  <c r="AF336" i="65"/>
  <c r="AF337" i="65"/>
  <c r="AF338" i="65"/>
  <c r="AF339" i="65"/>
  <c r="AF340" i="65"/>
  <c r="AF341" i="65"/>
  <c r="AF342" i="65"/>
  <c r="AF343" i="65"/>
  <c r="AF344" i="65"/>
  <c r="AF345" i="65"/>
  <c r="AF346" i="65"/>
  <c r="AF347" i="65"/>
  <c r="AF348" i="65"/>
  <c r="AF349" i="65"/>
  <c r="AF22" i="65"/>
  <c r="DO22" i="15" l="1"/>
  <c r="DP22" i="15" s="1"/>
  <c r="GX23" i="15"/>
  <c r="GY23" i="15"/>
  <c r="GX24" i="15"/>
  <c r="GY24" i="15"/>
  <c r="GX25" i="15"/>
  <c r="GY25" i="15"/>
  <c r="GX26" i="15"/>
  <c r="GY26" i="15"/>
  <c r="GX27" i="15"/>
  <c r="GY27" i="15"/>
  <c r="GX28" i="15"/>
  <c r="GY28" i="15"/>
  <c r="GX29" i="15"/>
  <c r="GY29" i="15"/>
  <c r="GX30" i="15"/>
  <c r="GY30" i="15"/>
  <c r="GX31" i="15"/>
  <c r="GY31" i="15"/>
  <c r="GX32" i="15"/>
  <c r="GY32" i="15"/>
  <c r="GX33" i="15"/>
  <c r="GY33" i="15"/>
  <c r="GX34" i="15"/>
  <c r="GY34" i="15"/>
  <c r="GX35" i="15"/>
  <c r="GY35" i="15"/>
  <c r="GX36" i="15"/>
  <c r="GY36" i="15"/>
  <c r="GX37" i="15"/>
  <c r="GY37" i="15"/>
  <c r="GX38" i="15"/>
  <c r="GY38" i="15"/>
  <c r="GX39" i="15"/>
  <c r="GY39" i="15"/>
  <c r="GX40" i="15"/>
  <c r="GY40" i="15"/>
  <c r="GX41" i="15"/>
  <c r="GY41" i="15"/>
  <c r="GX42" i="15"/>
  <c r="GY42" i="15"/>
  <c r="GX43" i="15"/>
  <c r="GY43" i="15"/>
  <c r="GX44" i="15"/>
  <c r="GY44" i="15"/>
  <c r="GX45" i="15"/>
  <c r="GY45" i="15"/>
  <c r="GX46" i="15"/>
  <c r="GY46" i="15"/>
  <c r="GX47" i="15"/>
  <c r="GY47" i="15"/>
  <c r="GX48" i="15"/>
  <c r="GY48" i="15"/>
  <c r="GX49" i="15"/>
  <c r="GY49" i="15"/>
  <c r="GX50" i="15"/>
  <c r="GY50" i="15"/>
  <c r="GW50" i="15" s="1"/>
  <c r="GX51" i="15"/>
  <c r="GY51" i="15"/>
  <c r="GW51" i="15" s="1"/>
  <c r="GX52" i="15"/>
  <c r="GY52" i="15"/>
  <c r="GW52" i="15" s="1"/>
  <c r="GX53" i="15"/>
  <c r="GY53" i="15"/>
  <c r="GW53" i="15" s="1"/>
  <c r="GX54" i="15"/>
  <c r="GY54" i="15"/>
  <c r="GW54" i="15" s="1"/>
  <c r="GX55" i="15"/>
  <c r="GY55" i="15"/>
  <c r="GW55" i="15" s="1"/>
  <c r="GX56" i="15"/>
  <c r="GY56" i="15"/>
  <c r="GW56" i="15" s="1"/>
  <c r="GX57" i="15"/>
  <c r="GY57" i="15"/>
  <c r="GW57" i="15" s="1"/>
  <c r="GX58" i="15"/>
  <c r="GY58" i="15"/>
  <c r="GW58" i="15" s="1"/>
  <c r="GX59" i="15"/>
  <c r="GY59" i="15"/>
  <c r="GW59" i="15" s="1"/>
  <c r="GX60" i="15"/>
  <c r="GY60" i="15"/>
  <c r="GW60" i="15" s="1"/>
  <c r="GX61" i="15"/>
  <c r="GY61" i="15"/>
  <c r="GW61" i="15" s="1"/>
  <c r="GX62" i="15"/>
  <c r="GY62" i="15"/>
  <c r="GW62" i="15" s="1"/>
  <c r="GX63" i="15"/>
  <c r="GY63" i="15"/>
  <c r="GW63" i="15" s="1"/>
  <c r="GX64" i="15"/>
  <c r="GY64" i="15"/>
  <c r="GW64" i="15" s="1"/>
  <c r="GX65" i="15"/>
  <c r="GY65" i="15"/>
  <c r="GW65" i="15" s="1"/>
  <c r="GX66" i="15"/>
  <c r="GY66" i="15"/>
  <c r="GW66" i="15" s="1"/>
  <c r="GX67" i="15"/>
  <c r="GY67" i="15"/>
  <c r="GW67" i="15" s="1"/>
  <c r="GX68" i="15"/>
  <c r="GY68" i="15"/>
  <c r="GW68" i="15" s="1"/>
  <c r="GX69" i="15"/>
  <c r="GY69" i="15"/>
  <c r="GW69" i="15" s="1"/>
  <c r="GX70" i="15"/>
  <c r="GY70" i="15"/>
  <c r="GW70" i="15" s="1"/>
  <c r="GX71" i="15"/>
  <c r="GY71" i="15"/>
  <c r="GW71" i="15" s="1"/>
  <c r="GX72" i="15"/>
  <c r="GY72" i="15"/>
  <c r="GW72" i="15" s="1"/>
  <c r="GX73" i="15"/>
  <c r="GY73" i="15"/>
  <c r="GW73" i="15" s="1"/>
  <c r="GX74" i="15"/>
  <c r="GY74" i="15"/>
  <c r="GW74" i="15" s="1"/>
  <c r="GX75" i="15"/>
  <c r="GY75" i="15"/>
  <c r="GW75" i="15" s="1"/>
  <c r="GX76" i="15"/>
  <c r="GY76" i="15"/>
  <c r="GW76" i="15" s="1"/>
  <c r="GX77" i="15"/>
  <c r="GY77" i="15"/>
  <c r="GW77" i="15" s="1"/>
  <c r="GX78" i="15"/>
  <c r="GY78" i="15"/>
  <c r="GW78" i="15" s="1"/>
  <c r="GX79" i="15"/>
  <c r="GY79" i="15"/>
  <c r="GW79" i="15" s="1"/>
  <c r="GX80" i="15"/>
  <c r="GY80" i="15"/>
  <c r="GW80" i="15" s="1"/>
  <c r="GX81" i="15"/>
  <c r="GY81" i="15"/>
  <c r="GW81" i="15" s="1"/>
  <c r="GX82" i="15"/>
  <c r="GY82" i="15"/>
  <c r="GW82" i="15" s="1"/>
  <c r="GX83" i="15"/>
  <c r="GY83" i="15"/>
  <c r="GW83" i="15" s="1"/>
  <c r="GX84" i="15"/>
  <c r="GY84" i="15"/>
  <c r="GW84" i="15" s="1"/>
  <c r="GX85" i="15"/>
  <c r="GY85" i="15"/>
  <c r="GW85" i="15" s="1"/>
  <c r="GX86" i="15"/>
  <c r="GY86" i="15"/>
  <c r="GW86" i="15" s="1"/>
  <c r="GX87" i="15"/>
  <c r="GY87" i="15"/>
  <c r="GW87" i="15" s="1"/>
  <c r="GX88" i="15"/>
  <c r="GY88" i="15"/>
  <c r="GW88" i="15" s="1"/>
  <c r="GX89" i="15"/>
  <c r="GY89" i="15"/>
  <c r="GW89" i="15" s="1"/>
  <c r="GX90" i="15"/>
  <c r="GY90" i="15"/>
  <c r="GW90" i="15" s="1"/>
  <c r="GX91" i="15"/>
  <c r="GY91" i="15"/>
  <c r="GW91" i="15" s="1"/>
  <c r="GX92" i="15"/>
  <c r="GY92" i="15"/>
  <c r="GW92" i="15" s="1"/>
  <c r="GX93" i="15"/>
  <c r="GY93" i="15"/>
  <c r="GW93" i="15" s="1"/>
  <c r="GX94" i="15"/>
  <c r="GY94" i="15"/>
  <c r="GW94" i="15" s="1"/>
  <c r="GX95" i="15"/>
  <c r="GY95" i="15"/>
  <c r="GW95" i="15" s="1"/>
  <c r="GX96" i="15"/>
  <c r="GY96" i="15"/>
  <c r="GW96" i="15" s="1"/>
  <c r="GX97" i="15"/>
  <c r="GY97" i="15"/>
  <c r="GW97" i="15" s="1"/>
  <c r="GX98" i="15"/>
  <c r="GY98" i="15"/>
  <c r="GW98" i="15" s="1"/>
  <c r="GX99" i="15"/>
  <c r="GY99" i="15"/>
  <c r="GW99" i="15" s="1"/>
  <c r="GX100" i="15"/>
  <c r="GY100" i="15"/>
  <c r="GW100" i="15" s="1"/>
  <c r="GX101" i="15"/>
  <c r="GY101" i="15"/>
  <c r="GW101" i="15" s="1"/>
  <c r="GX102" i="15"/>
  <c r="GY102" i="15"/>
  <c r="GW102" i="15" s="1"/>
  <c r="GX103" i="15"/>
  <c r="GY103" i="15"/>
  <c r="GW103" i="15" s="1"/>
  <c r="GX104" i="15"/>
  <c r="GY104" i="15"/>
  <c r="GW104" i="15" s="1"/>
  <c r="GX105" i="15"/>
  <c r="GY105" i="15"/>
  <c r="GW105" i="15" s="1"/>
  <c r="GX106" i="15"/>
  <c r="GY106" i="15"/>
  <c r="GW106" i="15" s="1"/>
  <c r="GX107" i="15"/>
  <c r="GY107" i="15"/>
  <c r="GW107" i="15" s="1"/>
  <c r="GX108" i="15"/>
  <c r="GY108" i="15"/>
  <c r="GW108" i="15" s="1"/>
  <c r="GX109" i="15"/>
  <c r="GY109" i="15"/>
  <c r="GW109" i="15" s="1"/>
  <c r="GX110" i="15"/>
  <c r="GY110" i="15"/>
  <c r="GW110" i="15" s="1"/>
  <c r="GX111" i="15"/>
  <c r="GY111" i="15"/>
  <c r="GW111" i="15" s="1"/>
  <c r="GX112" i="15"/>
  <c r="GY112" i="15"/>
  <c r="GW112" i="15" s="1"/>
  <c r="GX113" i="15"/>
  <c r="GY113" i="15"/>
  <c r="GW113" i="15" s="1"/>
  <c r="GX114" i="15"/>
  <c r="GY114" i="15"/>
  <c r="GW114" i="15" s="1"/>
  <c r="GX115" i="15"/>
  <c r="GY115" i="15"/>
  <c r="GW115" i="15" s="1"/>
  <c r="GX116" i="15"/>
  <c r="GY116" i="15"/>
  <c r="GW116" i="15" s="1"/>
  <c r="GX117" i="15"/>
  <c r="GY117" i="15"/>
  <c r="GW117" i="15" s="1"/>
  <c r="GX118" i="15"/>
  <c r="GY118" i="15"/>
  <c r="GW118" i="15" s="1"/>
  <c r="GX119" i="15"/>
  <c r="GY119" i="15"/>
  <c r="GW119" i="15" s="1"/>
  <c r="GX120" i="15"/>
  <c r="GY120" i="15"/>
  <c r="GW120" i="15" s="1"/>
  <c r="GX121" i="15"/>
  <c r="GY121" i="15"/>
  <c r="GW121" i="15" s="1"/>
  <c r="GX122" i="15"/>
  <c r="GY122" i="15"/>
  <c r="GW122" i="15" s="1"/>
  <c r="GX123" i="15"/>
  <c r="GY123" i="15"/>
  <c r="GW123" i="15" s="1"/>
  <c r="GX124" i="15"/>
  <c r="GY124" i="15"/>
  <c r="GW124" i="15" s="1"/>
  <c r="GX125" i="15"/>
  <c r="GY125" i="15"/>
  <c r="GW125" i="15" s="1"/>
  <c r="GX126" i="15"/>
  <c r="GY126" i="15"/>
  <c r="GW126" i="15" s="1"/>
  <c r="GX127" i="15"/>
  <c r="GY127" i="15"/>
  <c r="GW127" i="15" s="1"/>
  <c r="GX128" i="15"/>
  <c r="GY128" i="15"/>
  <c r="GW128" i="15" s="1"/>
  <c r="GX129" i="15"/>
  <c r="GY129" i="15"/>
  <c r="GW129" i="15" s="1"/>
  <c r="GX130" i="15"/>
  <c r="GY130" i="15"/>
  <c r="GW130" i="15" s="1"/>
  <c r="GX131" i="15"/>
  <c r="GY131" i="15"/>
  <c r="GW131" i="15" s="1"/>
  <c r="GX132" i="15"/>
  <c r="GY132" i="15"/>
  <c r="GW132" i="15" s="1"/>
  <c r="GX133" i="15"/>
  <c r="GY133" i="15"/>
  <c r="GW133" i="15" s="1"/>
  <c r="GX134" i="15"/>
  <c r="GY134" i="15"/>
  <c r="GW134" i="15" s="1"/>
  <c r="GX135" i="15"/>
  <c r="GY135" i="15"/>
  <c r="GW135" i="15" s="1"/>
  <c r="GX136" i="15"/>
  <c r="GY136" i="15"/>
  <c r="GW136" i="15" s="1"/>
  <c r="GX137" i="15"/>
  <c r="GY137" i="15"/>
  <c r="GW137" i="15" s="1"/>
  <c r="GX138" i="15"/>
  <c r="GY138" i="15"/>
  <c r="GW138" i="15" s="1"/>
  <c r="GX139" i="15"/>
  <c r="GY139" i="15"/>
  <c r="GW139" i="15" s="1"/>
  <c r="GX140" i="15"/>
  <c r="GY140" i="15"/>
  <c r="GW140" i="15" s="1"/>
  <c r="GX141" i="15"/>
  <c r="GY141" i="15"/>
  <c r="GW141" i="15" s="1"/>
  <c r="GX142" i="15"/>
  <c r="GY142" i="15"/>
  <c r="GW142" i="15" s="1"/>
  <c r="GX143" i="15"/>
  <c r="GY143" i="15"/>
  <c r="GW143" i="15" s="1"/>
  <c r="GX144" i="15"/>
  <c r="GY144" i="15"/>
  <c r="GW144" i="15" s="1"/>
  <c r="GX145" i="15"/>
  <c r="GY145" i="15"/>
  <c r="GW145" i="15" s="1"/>
  <c r="GX146" i="15"/>
  <c r="GY146" i="15"/>
  <c r="GW146" i="15" s="1"/>
  <c r="GX147" i="15"/>
  <c r="GY147" i="15"/>
  <c r="GW147" i="15" s="1"/>
  <c r="GX148" i="15"/>
  <c r="GY148" i="15"/>
  <c r="GW148" i="15" s="1"/>
  <c r="GX149" i="15"/>
  <c r="GY149" i="15"/>
  <c r="GW149" i="15" s="1"/>
  <c r="GX150" i="15"/>
  <c r="GY150" i="15"/>
  <c r="GW150" i="15" s="1"/>
  <c r="GX151" i="15"/>
  <c r="GY151" i="15"/>
  <c r="GW151" i="15" s="1"/>
  <c r="GX152" i="15"/>
  <c r="GY152" i="15"/>
  <c r="GW152" i="15" s="1"/>
  <c r="GX153" i="15"/>
  <c r="GY153" i="15"/>
  <c r="GW153" i="15" s="1"/>
  <c r="GX154" i="15"/>
  <c r="GY154" i="15"/>
  <c r="GW154" i="15" s="1"/>
  <c r="GX155" i="15"/>
  <c r="GY155" i="15"/>
  <c r="GW155" i="15" s="1"/>
  <c r="GX156" i="15"/>
  <c r="GY156" i="15"/>
  <c r="GW156" i="15" s="1"/>
  <c r="GX157" i="15"/>
  <c r="GY157" i="15"/>
  <c r="GW157" i="15" s="1"/>
  <c r="GX158" i="15"/>
  <c r="GY158" i="15"/>
  <c r="GW158" i="15" s="1"/>
  <c r="GX159" i="15"/>
  <c r="GY159" i="15"/>
  <c r="GW159" i="15" s="1"/>
  <c r="GX160" i="15"/>
  <c r="GY160" i="15"/>
  <c r="GW160" i="15" s="1"/>
  <c r="GX161" i="15"/>
  <c r="GY161" i="15"/>
  <c r="GW161" i="15" s="1"/>
  <c r="GX162" i="15"/>
  <c r="GY162" i="15"/>
  <c r="GW162" i="15" s="1"/>
  <c r="GX163" i="15"/>
  <c r="GY163" i="15"/>
  <c r="GW163" i="15" s="1"/>
  <c r="GX164" i="15"/>
  <c r="GY164" i="15"/>
  <c r="GW164" i="15" s="1"/>
  <c r="GX165" i="15"/>
  <c r="GY165" i="15"/>
  <c r="GW165" i="15" s="1"/>
  <c r="GX166" i="15"/>
  <c r="GY166" i="15"/>
  <c r="GW166" i="15" s="1"/>
  <c r="GX167" i="15"/>
  <c r="GY167" i="15"/>
  <c r="GW167" i="15" s="1"/>
  <c r="GX168" i="15"/>
  <c r="GY168" i="15"/>
  <c r="GW168" i="15" s="1"/>
  <c r="GX169" i="15"/>
  <c r="GY169" i="15"/>
  <c r="GW169" i="15" s="1"/>
  <c r="GX170" i="15"/>
  <c r="GY170" i="15"/>
  <c r="GW170" i="15" s="1"/>
  <c r="GX171" i="15"/>
  <c r="GY171" i="15"/>
  <c r="GW171" i="15" s="1"/>
  <c r="GX172" i="15"/>
  <c r="GY172" i="15"/>
  <c r="GW172" i="15" s="1"/>
  <c r="GX173" i="15"/>
  <c r="GY173" i="15"/>
  <c r="GW173" i="15" s="1"/>
  <c r="GX174" i="15"/>
  <c r="GY174" i="15"/>
  <c r="GW174" i="15" s="1"/>
  <c r="GX175" i="15"/>
  <c r="GY175" i="15"/>
  <c r="GW175" i="15" s="1"/>
  <c r="GX176" i="15"/>
  <c r="GY176" i="15"/>
  <c r="GW176" i="15" s="1"/>
  <c r="GX177" i="15"/>
  <c r="GY177" i="15"/>
  <c r="GW177" i="15" s="1"/>
  <c r="GX178" i="15"/>
  <c r="GY178" i="15"/>
  <c r="GW178" i="15" s="1"/>
  <c r="GX179" i="15"/>
  <c r="GY179" i="15"/>
  <c r="GW179" i="15" s="1"/>
  <c r="GX180" i="15"/>
  <c r="GY180" i="15"/>
  <c r="GW180" i="15" s="1"/>
  <c r="GX181" i="15"/>
  <c r="GY181" i="15"/>
  <c r="GW181" i="15" s="1"/>
  <c r="GX182" i="15"/>
  <c r="GY182" i="15"/>
  <c r="GW182" i="15" s="1"/>
  <c r="GX183" i="15"/>
  <c r="GY183" i="15"/>
  <c r="GW183" i="15" s="1"/>
  <c r="GX184" i="15"/>
  <c r="GY184" i="15"/>
  <c r="GW184" i="15" s="1"/>
  <c r="GX185" i="15"/>
  <c r="GY185" i="15"/>
  <c r="GW185" i="15" s="1"/>
  <c r="GX186" i="15"/>
  <c r="GY186" i="15"/>
  <c r="GW186" i="15" s="1"/>
  <c r="GX187" i="15"/>
  <c r="GY187" i="15"/>
  <c r="GW187" i="15" s="1"/>
  <c r="GX188" i="15"/>
  <c r="GY188" i="15"/>
  <c r="GW188" i="15" s="1"/>
  <c r="GX189" i="15"/>
  <c r="GY189" i="15"/>
  <c r="GW189" i="15" s="1"/>
  <c r="GX190" i="15"/>
  <c r="GY190" i="15"/>
  <c r="GW190" i="15" s="1"/>
  <c r="GX191" i="15"/>
  <c r="GY191" i="15"/>
  <c r="GW191" i="15" s="1"/>
  <c r="GX192" i="15"/>
  <c r="GY192" i="15"/>
  <c r="GW192" i="15" s="1"/>
  <c r="GX193" i="15"/>
  <c r="GY193" i="15"/>
  <c r="GW193" i="15" s="1"/>
  <c r="GX194" i="15"/>
  <c r="GY194" i="15"/>
  <c r="GW194" i="15" s="1"/>
  <c r="GX195" i="15"/>
  <c r="GY195" i="15"/>
  <c r="GW195" i="15" s="1"/>
  <c r="GX196" i="15"/>
  <c r="GY196" i="15"/>
  <c r="GW196" i="15" s="1"/>
  <c r="GX197" i="15"/>
  <c r="GY197" i="15"/>
  <c r="GW197" i="15" s="1"/>
  <c r="GX198" i="15"/>
  <c r="GY198" i="15"/>
  <c r="GW198" i="15" s="1"/>
  <c r="GX199" i="15"/>
  <c r="GY199" i="15"/>
  <c r="GW199" i="15" s="1"/>
  <c r="GX200" i="15"/>
  <c r="GY200" i="15"/>
  <c r="GW200" i="15" s="1"/>
  <c r="GX201" i="15"/>
  <c r="GY201" i="15"/>
  <c r="GW201" i="15" s="1"/>
  <c r="GX202" i="15"/>
  <c r="GY202" i="15"/>
  <c r="GW202" i="15" s="1"/>
  <c r="GX203" i="15"/>
  <c r="GY203" i="15"/>
  <c r="GW203" i="15" s="1"/>
  <c r="GX204" i="15"/>
  <c r="GY204" i="15"/>
  <c r="GW204" i="15" s="1"/>
  <c r="GX205" i="15"/>
  <c r="GY205" i="15"/>
  <c r="GW205" i="15" s="1"/>
  <c r="GX206" i="15"/>
  <c r="GY206" i="15"/>
  <c r="GW206" i="15" s="1"/>
  <c r="GX207" i="15"/>
  <c r="GY207" i="15"/>
  <c r="GW207" i="15" s="1"/>
  <c r="GX208" i="15"/>
  <c r="GY208" i="15"/>
  <c r="GW208" i="15" s="1"/>
  <c r="GX209" i="15"/>
  <c r="GY209" i="15"/>
  <c r="GW209" i="15" s="1"/>
  <c r="GX210" i="15"/>
  <c r="GY210" i="15"/>
  <c r="GW210" i="15" s="1"/>
  <c r="GX211" i="15"/>
  <c r="GY211" i="15"/>
  <c r="GW211" i="15" s="1"/>
  <c r="GX212" i="15"/>
  <c r="GY212" i="15"/>
  <c r="GW212" i="15" s="1"/>
  <c r="GX213" i="15"/>
  <c r="GY213" i="15"/>
  <c r="GW213" i="15" s="1"/>
  <c r="GX214" i="15"/>
  <c r="GY214" i="15"/>
  <c r="GW214" i="15" s="1"/>
  <c r="GX215" i="15"/>
  <c r="GY215" i="15"/>
  <c r="GW215" i="15" s="1"/>
  <c r="GX216" i="15"/>
  <c r="GY216" i="15"/>
  <c r="GW216" i="15" s="1"/>
  <c r="GX217" i="15"/>
  <c r="GY217" i="15"/>
  <c r="GW217" i="15" s="1"/>
  <c r="GX218" i="15"/>
  <c r="GY218" i="15"/>
  <c r="GW218" i="15" s="1"/>
  <c r="GX219" i="15"/>
  <c r="GY219" i="15"/>
  <c r="GW219" i="15" s="1"/>
  <c r="GX220" i="15"/>
  <c r="GY220" i="15"/>
  <c r="GW220" i="15" s="1"/>
  <c r="GX221" i="15"/>
  <c r="GY221" i="15"/>
  <c r="GW221" i="15" s="1"/>
  <c r="GX222" i="15"/>
  <c r="GY222" i="15"/>
  <c r="GW222" i="15" s="1"/>
  <c r="GX223" i="15"/>
  <c r="GY223" i="15"/>
  <c r="GW223" i="15" s="1"/>
  <c r="GX224" i="15"/>
  <c r="GY224" i="15"/>
  <c r="GW224" i="15" s="1"/>
  <c r="GX225" i="15"/>
  <c r="GY225" i="15"/>
  <c r="GW225" i="15" s="1"/>
  <c r="GX226" i="15"/>
  <c r="GY226" i="15"/>
  <c r="GW226" i="15" s="1"/>
  <c r="GX227" i="15"/>
  <c r="GY227" i="15"/>
  <c r="GW227" i="15" s="1"/>
  <c r="GX228" i="15"/>
  <c r="GY228" i="15"/>
  <c r="GW228" i="15" s="1"/>
  <c r="GX229" i="15"/>
  <c r="GY229" i="15"/>
  <c r="GW229" i="15" s="1"/>
  <c r="GX230" i="15"/>
  <c r="GY230" i="15"/>
  <c r="GW230" i="15" s="1"/>
  <c r="GX231" i="15"/>
  <c r="GY231" i="15"/>
  <c r="GW231" i="15" s="1"/>
  <c r="GX232" i="15"/>
  <c r="GY232" i="15"/>
  <c r="GW232" i="15" s="1"/>
  <c r="GX233" i="15"/>
  <c r="GY233" i="15"/>
  <c r="GW233" i="15" s="1"/>
  <c r="GX234" i="15"/>
  <c r="GY234" i="15"/>
  <c r="GW234" i="15" s="1"/>
  <c r="GX235" i="15"/>
  <c r="GY235" i="15"/>
  <c r="GW235" i="15" s="1"/>
  <c r="GX236" i="15"/>
  <c r="GY236" i="15"/>
  <c r="GW236" i="15" s="1"/>
  <c r="GX237" i="15"/>
  <c r="GY237" i="15"/>
  <c r="GW237" i="15" s="1"/>
  <c r="GX238" i="15"/>
  <c r="GY238" i="15"/>
  <c r="GW238" i="15" s="1"/>
  <c r="GX239" i="15"/>
  <c r="GY239" i="15"/>
  <c r="GW239" i="15" s="1"/>
  <c r="GX240" i="15"/>
  <c r="GY240" i="15"/>
  <c r="GW240" i="15" s="1"/>
  <c r="GX241" i="15"/>
  <c r="GY241" i="15"/>
  <c r="GW241" i="15" s="1"/>
  <c r="GX242" i="15"/>
  <c r="GY242" i="15"/>
  <c r="GW242" i="15" s="1"/>
  <c r="GX243" i="15"/>
  <c r="GY243" i="15"/>
  <c r="GW243" i="15" s="1"/>
  <c r="GX244" i="15"/>
  <c r="GY244" i="15"/>
  <c r="GW244" i="15" s="1"/>
  <c r="GX245" i="15"/>
  <c r="GY245" i="15"/>
  <c r="GW245" i="15" s="1"/>
  <c r="GX246" i="15"/>
  <c r="GY246" i="15"/>
  <c r="GW246" i="15" s="1"/>
  <c r="GX247" i="15"/>
  <c r="GY247" i="15"/>
  <c r="GW247" i="15" s="1"/>
  <c r="GX248" i="15"/>
  <c r="GY248" i="15"/>
  <c r="GW248" i="15" s="1"/>
  <c r="GX249" i="15"/>
  <c r="GY249" i="15"/>
  <c r="GW249" i="15" s="1"/>
  <c r="GX250" i="15"/>
  <c r="GY250" i="15"/>
  <c r="GW250" i="15" s="1"/>
  <c r="GX251" i="15"/>
  <c r="GY251" i="15"/>
  <c r="GW251" i="15" s="1"/>
  <c r="GX252" i="15"/>
  <c r="GY252" i="15"/>
  <c r="GW252" i="15" s="1"/>
  <c r="GX253" i="15"/>
  <c r="GY253" i="15"/>
  <c r="GW253" i="15" s="1"/>
  <c r="GX254" i="15"/>
  <c r="GY254" i="15"/>
  <c r="GW254" i="15" s="1"/>
  <c r="GX255" i="15"/>
  <c r="GY255" i="15"/>
  <c r="GW255" i="15" s="1"/>
  <c r="GX256" i="15"/>
  <c r="GY256" i="15"/>
  <c r="GW256" i="15" s="1"/>
  <c r="GX257" i="15"/>
  <c r="GY257" i="15"/>
  <c r="GW257" i="15" s="1"/>
  <c r="GX258" i="15"/>
  <c r="GY258" i="15"/>
  <c r="GW258" i="15" s="1"/>
  <c r="GX259" i="15"/>
  <c r="GY259" i="15"/>
  <c r="GW259" i="15" s="1"/>
  <c r="GX260" i="15"/>
  <c r="GY260" i="15"/>
  <c r="GW260" i="15" s="1"/>
  <c r="GX261" i="15"/>
  <c r="GY261" i="15"/>
  <c r="GW261" i="15" s="1"/>
  <c r="GX262" i="15"/>
  <c r="GY262" i="15"/>
  <c r="GW262" i="15" s="1"/>
  <c r="GX263" i="15"/>
  <c r="GY263" i="15"/>
  <c r="GW263" i="15" s="1"/>
  <c r="GX264" i="15"/>
  <c r="GY264" i="15"/>
  <c r="GW264" i="15" s="1"/>
  <c r="GX265" i="15"/>
  <c r="GY265" i="15"/>
  <c r="GW265" i="15" s="1"/>
  <c r="GX266" i="15"/>
  <c r="GY266" i="15"/>
  <c r="GW266" i="15" s="1"/>
  <c r="GX267" i="15"/>
  <c r="GY267" i="15"/>
  <c r="GW267" i="15" s="1"/>
  <c r="GX268" i="15"/>
  <c r="GY268" i="15"/>
  <c r="GW268" i="15" s="1"/>
  <c r="GX269" i="15"/>
  <c r="GY269" i="15"/>
  <c r="GW269" i="15" s="1"/>
  <c r="GX270" i="15"/>
  <c r="GY270" i="15"/>
  <c r="GW270" i="15" s="1"/>
  <c r="GX271" i="15"/>
  <c r="GY271" i="15"/>
  <c r="GW271" i="15" s="1"/>
  <c r="GX272" i="15"/>
  <c r="GY272" i="15"/>
  <c r="GW272" i="15" s="1"/>
  <c r="GX273" i="15"/>
  <c r="GY273" i="15"/>
  <c r="GW273" i="15" s="1"/>
  <c r="GX274" i="15"/>
  <c r="GY274" i="15"/>
  <c r="GW274" i="15" s="1"/>
  <c r="GX275" i="15"/>
  <c r="GY275" i="15"/>
  <c r="GW275" i="15" s="1"/>
  <c r="GX276" i="15"/>
  <c r="GY276" i="15"/>
  <c r="GW276" i="15" s="1"/>
  <c r="GX277" i="15"/>
  <c r="GY277" i="15"/>
  <c r="GW277" i="15" s="1"/>
  <c r="GX278" i="15"/>
  <c r="GY278" i="15"/>
  <c r="GW278" i="15" s="1"/>
  <c r="GX279" i="15"/>
  <c r="GY279" i="15"/>
  <c r="GW279" i="15" s="1"/>
  <c r="GX280" i="15"/>
  <c r="GY280" i="15"/>
  <c r="GW280" i="15" s="1"/>
  <c r="GX281" i="15"/>
  <c r="GY281" i="15"/>
  <c r="GW281" i="15" s="1"/>
  <c r="GX282" i="15"/>
  <c r="GY282" i="15"/>
  <c r="GW282" i="15" s="1"/>
  <c r="GX283" i="15"/>
  <c r="GY283" i="15"/>
  <c r="GW283" i="15" s="1"/>
  <c r="GX284" i="15"/>
  <c r="GY284" i="15"/>
  <c r="GW284" i="15" s="1"/>
  <c r="GX285" i="15"/>
  <c r="GY285" i="15"/>
  <c r="GW285" i="15" s="1"/>
  <c r="GX286" i="15"/>
  <c r="GY286" i="15"/>
  <c r="GW286" i="15" s="1"/>
  <c r="GX287" i="15"/>
  <c r="GY287" i="15"/>
  <c r="GW287" i="15" s="1"/>
  <c r="GX288" i="15"/>
  <c r="GY288" i="15"/>
  <c r="GW288" i="15" s="1"/>
  <c r="GX289" i="15"/>
  <c r="GY289" i="15"/>
  <c r="GW289" i="15" s="1"/>
  <c r="GX290" i="15"/>
  <c r="GY290" i="15"/>
  <c r="GW290" i="15" s="1"/>
  <c r="GX291" i="15"/>
  <c r="GY291" i="15"/>
  <c r="GW291" i="15" s="1"/>
  <c r="GX292" i="15"/>
  <c r="GY292" i="15"/>
  <c r="GW292" i="15" s="1"/>
  <c r="GX293" i="15"/>
  <c r="GY293" i="15"/>
  <c r="GW293" i="15" s="1"/>
  <c r="GX294" i="15"/>
  <c r="GY294" i="15"/>
  <c r="GW294" i="15" s="1"/>
  <c r="GX295" i="15"/>
  <c r="GY295" i="15"/>
  <c r="GW295" i="15" s="1"/>
  <c r="GX296" i="15"/>
  <c r="GY296" i="15"/>
  <c r="GW296" i="15" s="1"/>
  <c r="GX297" i="15"/>
  <c r="GY297" i="15"/>
  <c r="GW297" i="15" s="1"/>
  <c r="GX298" i="15"/>
  <c r="GY298" i="15"/>
  <c r="GW298" i="15" s="1"/>
  <c r="GX299" i="15"/>
  <c r="GY299" i="15"/>
  <c r="GW299" i="15" s="1"/>
  <c r="GX300" i="15"/>
  <c r="GY300" i="15"/>
  <c r="GW300" i="15" s="1"/>
  <c r="GX301" i="15"/>
  <c r="GY301" i="15"/>
  <c r="GW301" i="15" s="1"/>
  <c r="GX302" i="15"/>
  <c r="GY302" i="15"/>
  <c r="GW302" i="15" s="1"/>
  <c r="GX303" i="15"/>
  <c r="GY303" i="15"/>
  <c r="GW303" i="15" s="1"/>
  <c r="GX304" i="15"/>
  <c r="GY304" i="15"/>
  <c r="GW304" i="15" s="1"/>
  <c r="GX305" i="15"/>
  <c r="GY305" i="15"/>
  <c r="GW305" i="15" s="1"/>
  <c r="GX306" i="15"/>
  <c r="GY306" i="15"/>
  <c r="GW306" i="15" s="1"/>
  <c r="GX307" i="15"/>
  <c r="GY307" i="15"/>
  <c r="GW307" i="15" s="1"/>
  <c r="GX308" i="15"/>
  <c r="GY308" i="15"/>
  <c r="GW308" i="15" s="1"/>
  <c r="GX309" i="15"/>
  <c r="GY309" i="15"/>
  <c r="GW309" i="15" s="1"/>
  <c r="GX310" i="15"/>
  <c r="GY310" i="15"/>
  <c r="GW310" i="15" s="1"/>
  <c r="GX311" i="15"/>
  <c r="GY311" i="15"/>
  <c r="GW311" i="15" s="1"/>
  <c r="GX312" i="15"/>
  <c r="GY312" i="15"/>
  <c r="GW312" i="15" s="1"/>
  <c r="GX313" i="15"/>
  <c r="GY313" i="15"/>
  <c r="GW313" i="15" s="1"/>
  <c r="GX314" i="15"/>
  <c r="GY314" i="15"/>
  <c r="GW314" i="15" s="1"/>
  <c r="GX315" i="15"/>
  <c r="GY315" i="15"/>
  <c r="GW315" i="15" s="1"/>
  <c r="GX316" i="15"/>
  <c r="GY316" i="15"/>
  <c r="GW316" i="15" s="1"/>
  <c r="GX317" i="15"/>
  <c r="GY317" i="15"/>
  <c r="GW317" i="15" s="1"/>
  <c r="GX318" i="15"/>
  <c r="GY318" i="15"/>
  <c r="GW318" i="15" s="1"/>
  <c r="GX319" i="15"/>
  <c r="GY319" i="15"/>
  <c r="GW319" i="15" s="1"/>
  <c r="GX320" i="15"/>
  <c r="GY320" i="15"/>
  <c r="GW320" i="15" s="1"/>
  <c r="GX321" i="15"/>
  <c r="GY321" i="15"/>
  <c r="GW321" i="15" s="1"/>
  <c r="GX322" i="15"/>
  <c r="GY322" i="15"/>
  <c r="GW322" i="15" s="1"/>
  <c r="GX323" i="15"/>
  <c r="GY323" i="15"/>
  <c r="GW323" i="15" s="1"/>
  <c r="GX324" i="15"/>
  <c r="GY324" i="15"/>
  <c r="GW324" i="15" s="1"/>
  <c r="GX325" i="15"/>
  <c r="GY325" i="15"/>
  <c r="GW325" i="15" s="1"/>
  <c r="GX326" i="15"/>
  <c r="GY326" i="15"/>
  <c r="GW326" i="15" s="1"/>
  <c r="GX327" i="15"/>
  <c r="GY327" i="15"/>
  <c r="GW327" i="15" s="1"/>
  <c r="GX328" i="15"/>
  <c r="GY328" i="15"/>
  <c r="GW328" i="15" s="1"/>
  <c r="GX329" i="15"/>
  <c r="GY329" i="15"/>
  <c r="GW329" i="15" s="1"/>
  <c r="GX330" i="15"/>
  <c r="GY330" i="15"/>
  <c r="GW330" i="15" s="1"/>
  <c r="GX331" i="15"/>
  <c r="GY331" i="15"/>
  <c r="GW331" i="15" s="1"/>
  <c r="GX332" i="15"/>
  <c r="GY332" i="15"/>
  <c r="GW332" i="15" s="1"/>
  <c r="GX333" i="15"/>
  <c r="GY333" i="15"/>
  <c r="GW333" i="15" s="1"/>
  <c r="GX334" i="15"/>
  <c r="GY334" i="15"/>
  <c r="GW334" i="15" s="1"/>
  <c r="GX335" i="15"/>
  <c r="GY335" i="15"/>
  <c r="GW335" i="15" s="1"/>
  <c r="GX336" i="15"/>
  <c r="GY336" i="15"/>
  <c r="GW336" i="15" s="1"/>
  <c r="GX337" i="15"/>
  <c r="GY337" i="15"/>
  <c r="GW337" i="15" s="1"/>
  <c r="GX338" i="15"/>
  <c r="GY338" i="15"/>
  <c r="GW338" i="15" s="1"/>
  <c r="GX339" i="15"/>
  <c r="GY339" i="15"/>
  <c r="GW339" i="15" s="1"/>
  <c r="GX340" i="15"/>
  <c r="GY340" i="15"/>
  <c r="GW340" i="15" s="1"/>
  <c r="GX341" i="15"/>
  <c r="GY341" i="15"/>
  <c r="GW341" i="15" s="1"/>
  <c r="GX342" i="15"/>
  <c r="GY342" i="15"/>
  <c r="GW342" i="15" s="1"/>
  <c r="GX343" i="15"/>
  <c r="GY343" i="15"/>
  <c r="GW343" i="15" s="1"/>
  <c r="GX344" i="15"/>
  <c r="GY344" i="15"/>
  <c r="GW344" i="15" s="1"/>
  <c r="GX345" i="15"/>
  <c r="GY345" i="15"/>
  <c r="GW345" i="15" s="1"/>
  <c r="GX346" i="15"/>
  <c r="GY346" i="15"/>
  <c r="GW346" i="15" s="1"/>
  <c r="GX347" i="15"/>
  <c r="GY347" i="15"/>
  <c r="GW347" i="15" s="1"/>
  <c r="GX348" i="15"/>
  <c r="GY348" i="15"/>
  <c r="GW348" i="15" s="1"/>
  <c r="GX349" i="15"/>
  <c r="GY349" i="15"/>
  <c r="GW349" i="15" s="1"/>
  <c r="GW33" i="15" l="1"/>
  <c r="GW31" i="15"/>
  <c r="GW29" i="15"/>
  <c r="GW27" i="15"/>
  <c r="GW25" i="15"/>
  <c r="GW24" i="15"/>
  <c r="GW23" i="15"/>
  <c r="GW49" i="15"/>
  <c r="GW48" i="15"/>
  <c r="GW47" i="15"/>
  <c r="GW46" i="15"/>
  <c r="GW45" i="15"/>
  <c r="GW44" i="15"/>
  <c r="GW43" i="15"/>
  <c r="GW42" i="15"/>
  <c r="GW41" i="15"/>
  <c r="GW40" i="15"/>
  <c r="GW39" i="15"/>
  <c r="GW38" i="15"/>
  <c r="GW37" i="15"/>
  <c r="GW36" i="15"/>
  <c r="GW35" i="15"/>
  <c r="GW34" i="15"/>
  <c r="GW32" i="15"/>
  <c r="GW30" i="15"/>
  <c r="GW28" i="15"/>
  <c r="GW26" i="15"/>
  <c r="BK50" i="15"/>
  <c r="BK51" i="15"/>
  <c r="BK52" i="15"/>
  <c r="BK53" i="15"/>
  <c r="BK54" i="15"/>
  <c r="BK55" i="15"/>
  <c r="BK56" i="15"/>
  <c r="BK57" i="15"/>
  <c r="BK58" i="15"/>
  <c r="BK59" i="15"/>
  <c r="BK60" i="15"/>
  <c r="BK61" i="15"/>
  <c r="BK62" i="15"/>
  <c r="BK63" i="15"/>
  <c r="BK64" i="15"/>
  <c r="BK65" i="15"/>
  <c r="BK66" i="15"/>
  <c r="BK67" i="15"/>
  <c r="BK68" i="15"/>
  <c r="BK69" i="15"/>
  <c r="BK70" i="15"/>
  <c r="BK71" i="15"/>
  <c r="BK72" i="15"/>
  <c r="BK73" i="15"/>
  <c r="BK74" i="15"/>
  <c r="BK75" i="15"/>
  <c r="BK76" i="15"/>
  <c r="BK77" i="15"/>
  <c r="BK78" i="15"/>
  <c r="BK79" i="15"/>
  <c r="BK80" i="15"/>
  <c r="BK81" i="15"/>
  <c r="BK82" i="15"/>
  <c r="BK83" i="15"/>
  <c r="BK84" i="15"/>
  <c r="BK85" i="15"/>
  <c r="BK86" i="15"/>
  <c r="BK87" i="15"/>
  <c r="BK88" i="15"/>
  <c r="BK89" i="15"/>
  <c r="BK90" i="15"/>
  <c r="BK91" i="15"/>
  <c r="BK92" i="15"/>
  <c r="BK93" i="15"/>
  <c r="BK94" i="15"/>
  <c r="BK95" i="15"/>
  <c r="BK96" i="15"/>
  <c r="BK97" i="15"/>
  <c r="BK98" i="15"/>
  <c r="BK99" i="15"/>
  <c r="BK100" i="15"/>
  <c r="BK101" i="15"/>
  <c r="BK102" i="15"/>
  <c r="BK103" i="15"/>
  <c r="BK104" i="15"/>
  <c r="BK105" i="15"/>
  <c r="BK106" i="15"/>
  <c r="BK107" i="15"/>
  <c r="BK108" i="15"/>
  <c r="BK109" i="15"/>
  <c r="BK110" i="15"/>
  <c r="BK111" i="15"/>
  <c r="BK112" i="15"/>
  <c r="BK113" i="15"/>
  <c r="BK114" i="15"/>
  <c r="BK115" i="15"/>
  <c r="BK116" i="15"/>
  <c r="BK117" i="15"/>
  <c r="BK118" i="15"/>
  <c r="BK119" i="15"/>
  <c r="BK120" i="15"/>
  <c r="BK121" i="15"/>
  <c r="BK122" i="15"/>
  <c r="BK123" i="15"/>
  <c r="BK124" i="15"/>
  <c r="BK125" i="15"/>
  <c r="BK126" i="15"/>
  <c r="BK127" i="15"/>
  <c r="BK128" i="15"/>
  <c r="BK129" i="15"/>
  <c r="BK130" i="15"/>
  <c r="BK131" i="15"/>
  <c r="BK132" i="15"/>
  <c r="BK133" i="15"/>
  <c r="BK134" i="15"/>
  <c r="BK135" i="15"/>
  <c r="BK136" i="15"/>
  <c r="BK137" i="15"/>
  <c r="BK138" i="15"/>
  <c r="BK139" i="15"/>
  <c r="BK140" i="15"/>
  <c r="BK141" i="15"/>
  <c r="BK142" i="15"/>
  <c r="BK143" i="15"/>
  <c r="BK144" i="15"/>
  <c r="BK145" i="15"/>
  <c r="BK146" i="15"/>
  <c r="BK147" i="15"/>
  <c r="BK148" i="15"/>
  <c r="BK149" i="15"/>
  <c r="BK150" i="15"/>
  <c r="BK151" i="15"/>
  <c r="BK152" i="15"/>
  <c r="BK153" i="15"/>
  <c r="BK154" i="15"/>
  <c r="BK155" i="15"/>
  <c r="BK156" i="15"/>
  <c r="BK157" i="15"/>
  <c r="BK158" i="15"/>
  <c r="BK159" i="15"/>
  <c r="BK160" i="15"/>
  <c r="BK161" i="15"/>
  <c r="BK162" i="15"/>
  <c r="BK163" i="15"/>
  <c r="BK164" i="15"/>
  <c r="BK165" i="15"/>
  <c r="BK166" i="15"/>
  <c r="BK167" i="15"/>
  <c r="BK168" i="15"/>
  <c r="BK169" i="15"/>
  <c r="BK170" i="15"/>
  <c r="BK171" i="15"/>
  <c r="BK172" i="15"/>
  <c r="BK173" i="15"/>
  <c r="BK174" i="15"/>
  <c r="BK175" i="15"/>
  <c r="BK176" i="15"/>
  <c r="BK177" i="15"/>
  <c r="BK178" i="15"/>
  <c r="BK179" i="15"/>
  <c r="BK180" i="15"/>
  <c r="BK181" i="15"/>
  <c r="BK182" i="15"/>
  <c r="BK183" i="15"/>
  <c r="BK184" i="15"/>
  <c r="BK185" i="15"/>
  <c r="BK186" i="15"/>
  <c r="BK187" i="15"/>
  <c r="BK188" i="15"/>
  <c r="BK189" i="15"/>
  <c r="BK190" i="15"/>
  <c r="BK191" i="15"/>
  <c r="BK192" i="15"/>
  <c r="BK193" i="15"/>
  <c r="BK194" i="15"/>
  <c r="BK195" i="15"/>
  <c r="BK196" i="15"/>
  <c r="BK197" i="15"/>
  <c r="BK198" i="15"/>
  <c r="BK199" i="15"/>
  <c r="BK200" i="15"/>
  <c r="BK201" i="15"/>
  <c r="BK202" i="15"/>
  <c r="BK203" i="15"/>
  <c r="BK204" i="15"/>
  <c r="BK205" i="15"/>
  <c r="BK206" i="15"/>
  <c r="BK207" i="15"/>
  <c r="BK208" i="15"/>
  <c r="BK209" i="15"/>
  <c r="BK210" i="15"/>
  <c r="BK211" i="15"/>
  <c r="BK212" i="15"/>
  <c r="BK213" i="15"/>
  <c r="BK214" i="15"/>
  <c r="BK215" i="15"/>
  <c r="BK216" i="15"/>
  <c r="BK217" i="15"/>
  <c r="BK218" i="15"/>
  <c r="BK219" i="15"/>
  <c r="BK220" i="15"/>
  <c r="BK221" i="15"/>
  <c r="BK222" i="15"/>
  <c r="BK223" i="15"/>
  <c r="BK224" i="15"/>
  <c r="BK225" i="15"/>
  <c r="BK226" i="15"/>
  <c r="BK227" i="15"/>
  <c r="BK228" i="15"/>
  <c r="BK229" i="15"/>
  <c r="BK230" i="15"/>
  <c r="BK231" i="15"/>
  <c r="BK232" i="15"/>
  <c r="BK233" i="15"/>
  <c r="BK234" i="15"/>
  <c r="BK235" i="15"/>
  <c r="BK236" i="15"/>
  <c r="BK237" i="15"/>
  <c r="BK238" i="15"/>
  <c r="BK239" i="15"/>
  <c r="BK240" i="15"/>
  <c r="BK241" i="15"/>
  <c r="BK242" i="15"/>
  <c r="BK243" i="15"/>
  <c r="BK244" i="15"/>
  <c r="BK245" i="15"/>
  <c r="BK246" i="15"/>
  <c r="BK247" i="15"/>
  <c r="BK248" i="15"/>
  <c r="BK249" i="15"/>
  <c r="BK250" i="15"/>
  <c r="BK251" i="15"/>
  <c r="BK252" i="15"/>
  <c r="BK253" i="15"/>
  <c r="BK254" i="15"/>
  <c r="BK255" i="15"/>
  <c r="BK256" i="15"/>
  <c r="BK257" i="15"/>
  <c r="BK258" i="15"/>
  <c r="BK259" i="15"/>
  <c r="BK260" i="15"/>
  <c r="BK261" i="15"/>
  <c r="BK262" i="15"/>
  <c r="BK263" i="15"/>
  <c r="BK264" i="15"/>
  <c r="BK265" i="15"/>
  <c r="BK266" i="15"/>
  <c r="BK267" i="15"/>
  <c r="BK268" i="15"/>
  <c r="BK269" i="15"/>
  <c r="BK270" i="15"/>
  <c r="BK271" i="15"/>
  <c r="BK272" i="15"/>
  <c r="BK273" i="15"/>
  <c r="BK274" i="15"/>
  <c r="BK275" i="15"/>
  <c r="BK276" i="15"/>
  <c r="BK277" i="15"/>
  <c r="BK278" i="15"/>
  <c r="BK279" i="15"/>
  <c r="BK280" i="15"/>
  <c r="BK281" i="15"/>
  <c r="BK282" i="15"/>
  <c r="BK283" i="15"/>
  <c r="BK284" i="15"/>
  <c r="BK285" i="15"/>
  <c r="BK286" i="15"/>
  <c r="BK287" i="15"/>
  <c r="BK288" i="15"/>
  <c r="BK289" i="15"/>
  <c r="BK290" i="15"/>
  <c r="BK291" i="15"/>
  <c r="BK292" i="15"/>
  <c r="BK293" i="15"/>
  <c r="BK294" i="15"/>
  <c r="BK295" i="15"/>
  <c r="BK296" i="15"/>
  <c r="BK297" i="15"/>
  <c r="BK298" i="15"/>
  <c r="BK299" i="15"/>
  <c r="BK300" i="15"/>
  <c r="BK301" i="15"/>
  <c r="BK302" i="15"/>
  <c r="BK303" i="15"/>
  <c r="BK304" i="15"/>
  <c r="BK305" i="15"/>
  <c r="BK306" i="15"/>
  <c r="BK307" i="15"/>
  <c r="BK308" i="15"/>
  <c r="BK309" i="15"/>
  <c r="BK310" i="15"/>
  <c r="BK311" i="15"/>
  <c r="BK312" i="15"/>
  <c r="BK313" i="15"/>
  <c r="BK314" i="15"/>
  <c r="BK315" i="15"/>
  <c r="BK316" i="15"/>
  <c r="BK317" i="15"/>
  <c r="BK318" i="15"/>
  <c r="BK319" i="15"/>
  <c r="BK320" i="15"/>
  <c r="BK321" i="15"/>
  <c r="BK322" i="15"/>
  <c r="BK323" i="15"/>
  <c r="BK324" i="15"/>
  <c r="BK325" i="15"/>
  <c r="BK326" i="15"/>
  <c r="BK327" i="15"/>
  <c r="BK328" i="15"/>
  <c r="BK329" i="15"/>
  <c r="BK330" i="15"/>
  <c r="BK331" i="15"/>
  <c r="BK332" i="15"/>
  <c r="BK333" i="15"/>
  <c r="BK334" i="15"/>
  <c r="BK335" i="15"/>
  <c r="BK336" i="15"/>
  <c r="BK337" i="15"/>
  <c r="BK338" i="15"/>
  <c r="BK339" i="15"/>
  <c r="BK340" i="15"/>
  <c r="BK341" i="15"/>
  <c r="BK342" i="15"/>
  <c r="BK343" i="15"/>
  <c r="BK344" i="15"/>
  <c r="BK345" i="15"/>
  <c r="BK346" i="15"/>
  <c r="BK347" i="15"/>
  <c r="BK348" i="15"/>
  <c r="BK349" i="15"/>
  <c r="BJ50" i="15"/>
  <c r="BJ51" i="15"/>
  <c r="BJ52" i="15"/>
  <c r="BJ53" i="15"/>
  <c r="BJ54" i="15"/>
  <c r="BJ55" i="15"/>
  <c r="BJ56" i="15"/>
  <c r="BJ57" i="15"/>
  <c r="BJ58" i="15"/>
  <c r="BJ59" i="15"/>
  <c r="BJ60" i="15"/>
  <c r="BJ61" i="15"/>
  <c r="BJ62" i="15"/>
  <c r="BJ63" i="15"/>
  <c r="BJ64" i="15"/>
  <c r="BJ65" i="15"/>
  <c r="BJ66" i="15"/>
  <c r="BJ67" i="15"/>
  <c r="BJ68" i="15"/>
  <c r="BJ69" i="15"/>
  <c r="BJ70" i="15"/>
  <c r="BJ71" i="15"/>
  <c r="BJ72" i="15"/>
  <c r="BJ73" i="15"/>
  <c r="BJ74" i="15"/>
  <c r="BJ75" i="15"/>
  <c r="BJ76" i="15"/>
  <c r="BJ77" i="15"/>
  <c r="BJ78" i="15"/>
  <c r="BJ79" i="15"/>
  <c r="BJ80" i="15"/>
  <c r="BJ81" i="15"/>
  <c r="BJ82" i="15"/>
  <c r="BJ83" i="15"/>
  <c r="BJ84" i="15"/>
  <c r="BJ85" i="15"/>
  <c r="BJ86" i="15"/>
  <c r="BJ87" i="15"/>
  <c r="BJ88" i="15"/>
  <c r="BJ89" i="15"/>
  <c r="BJ90" i="15"/>
  <c r="BJ91" i="15"/>
  <c r="BJ92" i="15"/>
  <c r="BJ93" i="15"/>
  <c r="BJ94" i="15"/>
  <c r="BJ95" i="15"/>
  <c r="BJ96" i="15"/>
  <c r="BJ97" i="15"/>
  <c r="BJ98" i="15"/>
  <c r="BJ99" i="15"/>
  <c r="BJ100" i="15"/>
  <c r="BJ101" i="15"/>
  <c r="BJ102" i="15"/>
  <c r="BJ103" i="15"/>
  <c r="BJ104" i="15"/>
  <c r="BJ105" i="15"/>
  <c r="BJ106" i="15"/>
  <c r="BJ107" i="15"/>
  <c r="BJ108" i="15"/>
  <c r="BJ109" i="15"/>
  <c r="BJ110" i="15"/>
  <c r="BJ111" i="15"/>
  <c r="BJ112" i="15"/>
  <c r="BJ113" i="15"/>
  <c r="BJ114" i="15"/>
  <c r="BJ115" i="15"/>
  <c r="BJ116" i="15"/>
  <c r="BJ117" i="15"/>
  <c r="BJ118" i="15"/>
  <c r="BJ119" i="15"/>
  <c r="BJ120" i="15"/>
  <c r="BJ121" i="15"/>
  <c r="BJ122" i="15"/>
  <c r="BJ123" i="15"/>
  <c r="BJ124" i="15"/>
  <c r="BJ125" i="15"/>
  <c r="BJ126" i="15"/>
  <c r="BJ127" i="15"/>
  <c r="BJ128" i="15"/>
  <c r="BJ129" i="15"/>
  <c r="BJ130" i="15"/>
  <c r="BJ131" i="15"/>
  <c r="BJ132" i="15"/>
  <c r="BJ133" i="15"/>
  <c r="BJ134" i="15"/>
  <c r="BJ135" i="15"/>
  <c r="BJ136" i="15"/>
  <c r="BJ137" i="15"/>
  <c r="BJ138" i="15"/>
  <c r="BJ139" i="15"/>
  <c r="BJ140" i="15"/>
  <c r="BJ141" i="15"/>
  <c r="BJ142" i="15"/>
  <c r="BJ143" i="15"/>
  <c r="BJ144" i="15"/>
  <c r="BJ145" i="15"/>
  <c r="BJ146" i="15"/>
  <c r="BJ147" i="15"/>
  <c r="BJ148" i="15"/>
  <c r="BJ149" i="15"/>
  <c r="BJ150" i="15"/>
  <c r="BJ151" i="15"/>
  <c r="BJ152" i="15"/>
  <c r="BJ153" i="15"/>
  <c r="BJ154" i="15"/>
  <c r="BJ155" i="15"/>
  <c r="BJ156" i="15"/>
  <c r="BJ157" i="15"/>
  <c r="BJ158" i="15"/>
  <c r="BJ159" i="15"/>
  <c r="BJ160" i="15"/>
  <c r="BJ161" i="15"/>
  <c r="BJ162" i="15"/>
  <c r="BJ163" i="15"/>
  <c r="BJ164" i="15"/>
  <c r="BJ165" i="15"/>
  <c r="BJ166" i="15"/>
  <c r="BJ167" i="15"/>
  <c r="BJ168" i="15"/>
  <c r="BJ169" i="15"/>
  <c r="BJ170" i="15"/>
  <c r="BJ171" i="15"/>
  <c r="BJ172" i="15"/>
  <c r="BJ173" i="15"/>
  <c r="BJ174" i="15"/>
  <c r="BJ175" i="15"/>
  <c r="BJ176" i="15"/>
  <c r="BJ177" i="15"/>
  <c r="BJ178" i="15"/>
  <c r="BJ179" i="15"/>
  <c r="BJ180" i="15"/>
  <c r="BJ181" i="15"/>
  <c r="BJ182" i="15"/>
  <c r="BJ183" i="15"/>
  <c r="BJ184" i="15"/>
  <c r="BJ185" i="15"/>
  <c r="BJ186" i="15"/>
  <c r="BJ187" i="15"/>
  <c r="BJ188" i="15"/>
  <c r="BJ189" i="15"/>
  <c r="BJ190" i="15"/>
  <c r="BJ191" i="15"/>
  <c r="BJ192" i="15"/>
  <c r="BJ193" i="15"/>
  <c r="BJ194" i="15"/>
  <c r="BJ195" i="15"/>
  <c r="BJ196" i="15"/>
  <c r="BJ197" i="15"/>
  <c r="BJ198" i="15"/>
  <c r="BJ199" i="15"/>
  <c r="BJ200" i="15"/>
  <c r="BJ201" i="15"/>
  <c r="BJ202" i="15"/>
  <c r="BJ203" i="15"/>
  <c r="BJ204" i="15"/>
  <c r="BJ205" i="15"/>
  <c r="BJ206" i="15"/>
  <c r="BJ207" i="15"/>
  <c r="BJ208" i="15"/>
  <c r="BJ209" i="15"/>
  <c r="BJ210" i="15"/>
  <c r="BJ211" i="15"/>
  <c r="BJ212" i="15"/>
  <c r="BJ213" i="15"/>
  <c r="BJ214" i="15"/>
  <c r="BJ215" i="15"/>
  <c r="BJ216" i="15"/>
  <c r="BJ217" i="15"/>
  <c r="BJ218" i="15"/>
  <c r="BJ219" i="15"/>
  <c r="BJ220" i="15"/>
  <c r="BJ221" i="15"/>
  <c r="BJ222" i="15"/>
  <c r="BJ223" i="15"/>
  <c r="BJ224" i="15"/>
  <c r="BJ225" i="15"/>
  <c r="BJ226" i="15"/>
  <c r="BJ227" i="15"/>
  <c r="BJ228" i="15"/>
  <c r="BJ229" i="15"/>
  <c r="BJ230" i="15"/>
  <c r="BJ231" i="15"/>
  <c r="BJ232" i="15"/>
  <c r="BJ233" i="15"/>
  <c r="BJ234" i="15"/>
  <c r="BJ235" i="15"/>
  <c r="BJ236" i="15"/>
  <c r="BJ237" i="15"/>
  <c r="BJ238" i="15"/>
  <c r="BJ239" i="15"/>
  <c r="BJ240" i="15"/>
  <c r="BJ241" i="15"/>
  <c r="BJ242" i="15"/>
  <c r="BJ243" i="15"/>
  <c r="BJ244" i="15"/>
  <c r="BJ245" i="15"/>
  <c r="BJ246" i="15"/>
  <c r="BJ247" i="15"/>
  <c r="BJ248" i="15"/>
  <c r="BJ249" i="15"/>
  <c r="BJ250" i="15"/>
  <c r="BJ251" i="15"/>
  <c r="BJ252" i="15"/>
  <c r="BJ253" i="15"/>
  <c r="BJ254" i="15"/>
  <c r="BJ255" i="15"/>
  <c r="BJ256" i="15"/>
  <c r="BJ257" i="15"/>
  <c r="BJ258" i="15"/>
  <c r="BJ259" i="15"/>
  <c r="BJ260" i="15"/>
  <c r="BJ261" i="15"/>
  <c r="BJ262" i="15"/>
  <c r="BJ263" i="15"/>
  <c r="BJ264" i="15"/>
  <c r="BJ265" i="15"/>
  <c r="BJ266" i="15"/>
  <c r="BJ267" i="15"/>
  <c r="BJ268" i="15"/>
  <c r="BJ269" i="15"/>
  <c r="BJ270" i="15"/>
  <c r="BJ271" i="15"/>
  <c r="BJ272" i="15"/>
  <c r="BJ273" i="15"/>
  <c r="BJ274" i="15"/>
  <c r="BJ275" i="15"/>
  <c r="BJ276" i="15"/>
  <c r="BJ277" i="15"/>
  <c r="BJ278" i="15"/>
  <c r="BJ279" i="15"/>
  <c r="BJ280" i="15"/>
  <c r="BJ281" i="15"/>
  <c r="BJ282" i="15"/>
  <c r="BJ283" i="15"/>
  <c r="BJ284" i="15"/>
  <c r="BJ285" i="15"/>
  <c r="BJ286" i="15"/>
  <c r="BJ287" i="15"/>
  <c r="BJ288" i="15"/>
  <c r="BJ289" i="15"/>
  <c r="BJ290" i="15"/>
  <c r="BJ291" i="15"/>
  <c r="BJ292" i="15"/>
  <c r="BJ293" i="15"/>
  <c r="BJ294" i="15"/>
  <c r="BJ295" i="15"/>
  <c r="BJ296" i="15"/>
  <c r="BJ297" i="15"/>
  <c r="BJ298" i="15"/>
  <c r="BJ299" i="15"/>
  <c r="BJ300" i="15"/>
  <c r="BJ301" i="15"/>
  <c r="BJ302" i="15"/>
  <c r="BJ303" i="15"/>
  <c r="BJ304" i="15"/>
  <c r="BJ305" i="15"/>
  <c r="BJ306" i="15"/>
  <c r="BJ307" i="15"/>
  <c r="BJ308" i="15"/>
  <c r="BJ309" i="15"/>
  <c r="BJ310" i="15"/>
  <c r="BJ311" i="15"/>
  <c r="BJ312" i="15"/>
  <c r="BJ313" i="15"/>
  <c r="BJ314" i="15"/>
  <c r="BJ315" i="15"/>
  <c r="BJ316" i="15"/>
  <c r="BJ317" i="15"/>
  <c r="BJ318" i="15"/>
  <c r="BJ319" i="15"/>
  <c r="BJ320" i="15"/>
  <c r="BJ321" i="15"/>
  <c r="BJ322" i="15"/>
  <c r="BJ323" i="15"/>
  <c r="BJ324" i="15"/>
  <c r="BJ325" i="15"/>
  <c r="BJ326" i="15"/>
  <c r="BJ327" i="15"/>
  <c r="BJ328" i="15"/>
  <c r="BJ329" i="15"/>
  <c r="BJ330" i="15"/>
  <c r="BJ331" i="15"/>
  <c r="BJ332" i="15"/>
  <c r="BJ333" i="15"/>
  <c r="BJ334" i="15"/>
  <c r="BJ335" i="15"/>
  <c r="BJ336" i="15"/>
  <c r="BJ337" i="15"/>
  <c r="BJ338" i="15"/>
  <c r="BJ339" i="15"/>
  <c r="BJ340" i="15"/>
  <c r="BJ341" i="15"/>
  <c r="BJ342" i="15"/>
  <c r="BJ343" i="15"/>
  <c r="BJ344" i="15"/>
  <c r="BJ345" i="15"/>
  <c r="BJ346" i="15"/>
  <c r="BJ347" i="15"/>
  <c r="BJ348" i="15"/>
  <c r="BJ349" i="15"/>
  <c r="BH50" i="15"/>
  <c r="BH51" i="15"/>
  <c r="BH52" i="15"/>
  <c r="BH53" i="15"/>
  <c r="BH54" i="15"/>
  <c r="BH55" i="15"/>
  <c r="BH56" i="15"/>
  <c r="BH57" i="15"/>
  <c r="BH58" i="15"/>
  <c r="BH59" i="15"/>
  <c r="BH60" i="15"/>
  <c r="BH61" i="15"/>
  <c r="BH62" i="15"/>
  <c r="BH63" i="15"/>
  <c r="BH64" i="15"/>
  <c r="BH65" i="15"/>
  <c r="BH66" i="15"/>
  <c r="BH67" i="15"/>
  <c r="BH68" i="15"/>
  <c r="BH69" i="15"/>
  <c r="BH70" i="15"/>
  <c r="BH71" i="15"/>
  <c r="BH72" i="15"/>
  <c r="BH73" i="15"/>
  <c r="BH74" i="15"/>
  <c r="BH75" i="15"/>
  <c r="BH76" i="15"/>
  <c r="BH77" i="15"/>
  <c r="BH78" i="15"/>
  <c r="BH79" i="15"/>
  <c r="BH80" i="15"/>
  <c r="BH81" i="15"/>
  <c r="BH82" i="15"/>
  <c r="BH83" i="15"/>
  <c r="BH84" i="15"/>
  <c r="BH85" i="15"/>
  <c r="BH86" i="15"/>
  <c r="BH87" i="15"/>
  <c r="BH88" i="15"/>
  <c r="BH89" i="15"/>
  <c r="BH90" i="15"/>
  <c r="BH91" i="15"/>
  <c r="BH92" i="15"/>
  <c r="BH93" i="15"/>
  <c r="BH94" i="15"/>
  <c r="BH95" i="15"/>
  <c r="BH96" i="15"/>
  <c r="BH97" i="15"/>
  <c r="BH98" i="15"/>
  <c r="BH99" i="15"/>
  <c r="BH100" i="15"/>
  <c r="BH101" i="15"/>
  <c r="BH102" i="15"/>
  <c r="BH103" i="15"/>
  <c r="BH104" i="15"/>
  <c r="BH105" i="15"/>
  <c r="BH106" i="15"/>
  <c r="BH107" i="15"/>
  <c r="BH108" i="15"/>
  <c r="BH109" i="15"/>
  <c r="BH110" i="15"/>
  <c r="BH111" i="15"/>
  <c r="BH112" i="15"/>
  <c r="BH113" i="15"/>
  <c r="BH114" i="15"/>
  <c r="BH115" i="15"/>
  <c r="BH116" i="15"/>
  <c r="BH117" i="15"/>
  <c r="BH118" i="15"/>
  <c r="BH119" i="15"/>
  <c r="BH120" i="15"/>
  <c r="BH121" i="15"/>
  <c r="BH122" i="15"/>
  <c r="BH123" i="15"/>
  <c r="BH124" i="15"/>
  <c r="BH125" i="15"/>
  <c r="BH126" i="15"/>
  <c r="BH127" i="15"/>
  <c r="BH128" i="15"/>
  <c r="BH129" i="15"/>
  <c r="BH130" i="15"/>
  <c r="BH131" i="15"/>
  <c r="BH132" i="15"/>
  <c r="BH133" i="15"/>
  <c r="BH134" i="15"/>
  <c r="BH135" i="15"/>
  <c r="BH136" i="15"/>
  <c r="BH137" i="15"/>
  <c r="BH138" i="15"/>
  <c r="BH139" i="15"/>
  <c r="BH140" i="15"/>
  <c r="BH141" i="15"/>
  <c r="BH142" i="15"/>
  <c r="BH143" i="15"/>
  <c r="BH144" i="15"/>
  <c r="BH145" i="15"/>
  <c r="BH146" i="15"/>
  <c r="BH147" i="15"/>
  <c r="BH148" i="15"/>
  <c r="BH149" i="15"/>
  <c r="BH150" i="15"/>
  <c r="BH151" i="15"/>
  <c r="BH152" i="15"/>
  <c r="BH153" i="15"/>
  <c r="BH154" i="15"/>
  <c r="BH155" i="15"/>
  <c r="BH156" i="15"/>
  <c r="BH157" i="15"/>
  <c r="BH158" i="15"/>
  <c r="BH159" i="15"/>
  <c r="BH160" i="15"/>
  <c r="BH161" i="15"/>
  <c r="BH162" i="15"/>
  <c r="BH163" i="15"/>
  <c r="BH164" i="15"/>
  <c r="BH165" i="15"/>
  <c r="BH166" i="15"/>
  <c r="BH167" i="15"/>
  <c r="BH168" i="15"/>
  <c r="BH169" i="15"/>
  <c r="BH170" i="15"/>
  <c r="BH171" i="15"/>
  <c r="BH172" i="15"/>
  <c r="BH173" i="15"/>
  <c r="BH174" i="15"/>
  <c r="BH175" i="15"/>
  <c r="BH176" i="15"/>
  <c r="BH177" i="15"/>
  <c r="BH178" i="15"/>
  <c r="BH179" i="15"/>
  <c r="BH180" i="15"/>
  <c r="BH181" i="15"/>
  <c r="BH182" i="15"/>
  <c r="BH183" i="15"/>
  <c r="BH184" i="15"/>
  <c r="BH185" i="15"/>
  <c r="BH186" i="15"/>
  <c r="BH187" i="15"/>
  <c r="BH188" i="15"/>
  <c r="BH189" i="15"/>
  <c r="BH190" i="15"/>
  <c r="BH191" i="15"/>
  <c r="BH192" i="15"/>
  <c r="BH193" i="15"/>
  <c r="BH194" i="15"/>
  <c r="BH195" i="15"/>
  <c r="BH196" i="15"/>
  <c r="BH197" i="15"/>
  <c r="BH198" i="15"/>
  <c r="BH199" i="15"/>
  <c r="BH200" i="15"/>
  <c r="BH201" i="15"/>
  <c r="BH202" i="15"/>
  <c r="BH203" i="15"/>
  <c r="BH204" i="15"/>
  <c r="BH205" i="15"/>
  <c r="BH206" i="15"/>
  <c r="BH207" i="15"/>
  <c r="BH208" i="15"/>
  <c r="BH209" i="15"/>
  <c r="BH210" i="15"/>
  <c r="BH211" i="15"/>
  <c r="BH212" i="15"/>
  <c r="BH213" i="15"/>
  <c r="BH214" i="15"/>
  <c r="BH215" i="15"/>
  <c r="BH216" i="15"/>
  <c r="BH217" i="15"/>
  <c r="BH218" i="15"/>
  <c r="BH219" i="15"/>
  <c r="BH220" i="15"/>
  <c r="BH221" i="15"/>
  <c r="BH222" i="15"/>
  <c r="BH223" i="15"/>
  <c r="BH224" i="15"/>
  <c r="BH225" i="15"/>
  <c r="BH226" i="15"/>
  <c r="BH227" i="15"/>
  <c r="BH228" i="15"/>
  <c r="BH229" i="15"/>
  <c r="BH230" i="15"/>
  <c r="BH231" i="15"/>
  <c r="BH232" i="15"/>
  <c r="BH233" i="15"/>
  <c r="BH234" i="15"/>
  <c r="BH235" i="15"/>
  <c r="BH236" i="15"/>
  <c r="BH237" i="15"/>
  <c r="BH238" i="15"/>
  <c r="BH239" i="15"/>
  <c r="BH240" i="15"/>
  <c r="BH241" i="15"/>
  <c r="BH242" i="15"/>
  <c r="BH243" i="15"/>
  <c r="BH244" i="15"/>
  <c r="BH245" i="15"/>
  <c r="BH246" i="15"/>
  <c r="BH247" i="15"/>
  <c r="BH248" i="15"/>
  <c r="BH249" i="15"/>
  <c r="BH250" i="15"/>
  <c r="BH251" i="15"/>
  <c r="BH252" i="15"/>
  <c r="BH253" i="15"/>
  <c r="BH254" i="15"/>
  <c r="BH255" i="15"/>
  <c r="BH256" i="15"/>
  <c r="BH257" i="15"/>
  <c r="BH258" i="15"/>
  <c r="BH259" i="15"/>
  <c r="BH260" i="15"/>
  <c r="BH261" i="15"/>
  <c r="BH262" i="15"/>
  <c r="BH263" i="15"/>
  <c r="BH264" i="15"/>
  <c r="BH265" i="15"/>
  <c r="BH266" i="15"/>
  <c r="BH267" i="15"/>
  <c r="BH268" i="15"/>
  <c r="BH269" i="15"/>
  <c r="BH270" i="15"/>
  <c r="BH271" i="15"/>
  <c r="BH272" i="15"/>
  <c r="BH273" i="15"/>
  <c r="BH274" i="15"/>
  <c r="BH275" i="15"/>
  <c r="BH276" i="15"/>
  <c r="BH277" i="15"/>
  <c r="BH278" i="15"/>
  <c r="BH279" i="15"/>
  <c r="BH280" i="15"/>
  <c r="BH281" i="15"/>
  <c r="BH282" i="15"/>
  <c r="BH283" i="15"/>
  <c r="BH284" i="15"/>
  <c r="BH285" i="15"/>
  <c r="BH286" i="15"/>
  <c r="BH287" i="15"/>
  <c r="BH288" i="15"/>
  <c r="BH289" i="15"/>
  <c r="BH290" i="15"/>
  <c r="BH291" i="15"/>
  <c r="BH292" i="15"/>
  <c r="BH293" i="15"/>
  <c r="BH294" i="15"/>
  <c r="BH295" i="15"/>
  <c r="BH296" i="15"/>
  <c r="BH297" i="15"/>
  <c r="BH298" i="15"/>
  <c r="BH299" i="15"/>
  <c r="BH300" i="15"/>
  <c r="BH301" i="15"/>
  <c r="BH302" i="15"/>
  <c r="BH303" i="15"/>
  <c r="BH304" i="15"/>
  <c r="BH305" i="15"/>
  <c r="BH306" i="15"/>
  <c r="BH307" i="15"/>
  <c r="BH308" i="15"/>
  <c r="BH309" i="15"/>
  <c r="BH310" i="15"/>
  <c r="BH311" i="15"/>
  <c r="BH312" i="15"/>
  <c r="BH313" i="15"/>
  <c r="BH314" i="15"/>
  <c r="BH315" i="15"/>
  <c r="BH316" i="15"/>
  <c r="BH317" i="15"/>
  <c r="BH318" i="15"/>
  <c r="BH319" i="15"/>
  <c r="BH320" i="15"/>
  <c r="BH321" i="15"/>
  <c r="BH322" i="15"/>
  <c r="BH323" i="15"/>
  <c r="BH324" i="15"/>
  <c r="BH325" i="15"/>
  <c r="BH326" i="15"/>
  <c r="BH327" i="15"/>
  <c r="BH328" i="15"/>
  <c r="BH329" i="15"/>
  <c r="BH330" i="15"/>
  <c r="BH331" i="15"/>
  <c r="BH332" i="15"/>
  <c r="BH333" i="15"/>
  <c r="BH334" i="15"/>
  <c r="BH335" i="15"/>
  <c r="BH336" i="15"/>
  <c r="BH337" i="15"/>
  <c r="BH338" i="15"/>
  <c r="BH339" i="15"/>
  <c r="BH340" i="15"/>
  <c r="BH341" i="15"/>
  <c r="BH342" i="15"/>
  <c r="BH343" i="15"/>
  <c r="BH344" i="15"/>
  <c r="BH345" i="15"/>
  <c r="BH346" i="15"/>
  <c r="BH347" i="15"/>
  <c r="BH348" i="15"/>
  <c r="BH349" i="15"/>
  <c r="BF50" i="15"/>
  <c r="BF51" i="15"/>
  <c r="BF52" i="15"/>
  <c r="BF53" i="15"/>
  <c r="BF54" i="15"/>
  <c r="BF55" i="15"/>
  <c r="BF56" i="15"/>
  <c r="BF57" i="15"/>
  <c r="BF58" i="15"/>
  <c r="BF59" i="15"/>
  <c r="BF60" i="15"/>
  <c r="BF61" i="15"/>
  <c r="BF62" i="15"/>
  <c r="BF63" i="15"/>
  <c r="BF64" i="15"/>
  <c r="BF65" i="15"/>
  <c r="BF66" i="15"/>
  <c r="BF67" i="15"/>
  <c r="BF68" i="15"/>
  <c r="BF69" i="15"/>
  <c r="BF70" i="15"/>
  <c r="BF71" i="15"/>
  <c r="BF72" i="15"/>
  <c r="BF73" i="15"/>
  <c r="BF74" i="15"/>
  <c r="BF75" i="15"/>
  <c r="BF76" i="15"/>
  <c r="BF77" i="15"/>
  <c r="BF78" i="15"/>
  <c r="BF79" i="15"/>
  <c r="BF80" i="15"/>
  <c r="BF81" i="15"/>
  <c r="BF82" i="15"/>
  <c r="BF83" i="15"/>
  <c r="BF84" i="15"/>
  <c r="BF85" i="15"/>
  <c r="BF86" i="15"/>
  <c r="BF87" i="15"/>
  <c r="BF88" i="15"/>
  <c r="BF89" i="15"/>
  <c r="BF90" i="15"/>
  <c r="BF91" i="15"/>
  <c r="BF92" i="15"/>
  <c r="BF93" i="15"/>
  <c r="BF94" i="15"/>
  <c r="BF95" i="15"/>
  <c r="BF96" i="15"/>
  <c r="BF97" i="15"/>
  <c r="BF98" i="15"/>
  <c r="BF99" i="15"/>
  <c r="BF100" i="15"/>
  <c r="BF101" i="15"/>
  <c r="BF102" i="15"/>
  <c r="BF103" i="15"/>
  <c r="BF104" i="15"/>
  <c r="BF105" i="15"/>
  <c r="BF106" i="15"/>
  <c r="BF107" i="15"/>
  <c r="BF108" i="15"/>
  <c r="BF109" i="15"/>
  <c r="BF110" i="15"/>
  <c r="BF111" i="15"/>
  <c r="BF112" i="15"/>
  <c r="BF113" i="15"/>
  <c r="BF114" i="15"/>
  <c r="BF115" i="15"/>
  <c r="BF116" i="15"/>
  <c r="BF117" i="15"/>
  <c r="BF118" i="15"/>
  <c r="BF119" i="15"/>
  <c r="BF120" i="15"/>
  <c r="BF121" i="15"/>
  <c r="BF122" i="15"/>
  <c r="BF123" i="15"/>
  <c r="BF124" i="15"/>
  <c r="BF125" i="15"/>
  <c r="BF126" i="15"/>
  <c r="BF127" i="15"/>
  <c r="BF128" i="15"/>
  <c r="BF129" i="15"/>
  <c r="BF130" i="15"/>
  <c r="BF131" i="15"/>
  <c r="BF132" i="15"/>
  <c r="BF133" i="15"/>
  <c r="BF134" i="15"/>
  <c r="BF135" i="15"/>
  <c r="BF136" i="15"/>
  <c r="BF137" i="15"/>
  <c r="BF138" i="15"/>
  <c r="BF139" i="15"/>
  <c r="BF140" i="15"/>
  <c r="BF141" i="15"/>
  <c r="BF142" i="15"/>
  <c r="BF143" i="15"/>
  <c r="BF144" i="15"/>
  <c r="BF145" i="15"/>
  <c r="BF146" i="15"/>
  <c r="BF147" i="15"/>
  <c r="BF148" i="15"/>
  <c r="BF149" i="15"/>
  <c r="BF150" i="15"/>
  <c r="BF151" i="15"/>
  <c r="BF152" i="15"/>
  <c r="BF153" i="15"/>
  <c r="BF154" i="15"/>
  <c r="BF155" i="15"/>
  <c r="BF156" i="15"/>
  <c r="BF157" i="15"/>
  <c r="BF158" i="15"/>
  <c r="BF159" i="15"/>
  <c r="BF160" i="15"/>
  <c r="BF161" i="15"/>
  <c r="BF162" i="15"/>
  <c r="BF163" i="15"/>
  <c r="BF164" i="15"/>
  <c r="BF165" i="15"/>
  <c r="BF166" i="15"/>
  <c r="BF167" i="15"/>
  <c r="BF168" i="15"/>
  <c r="BF169" i="15"/>
  <c r="BF170" i="15"/>
  <c r="BF171" i="15"/>
  <c r="BF172" i="15"/>
  <c r="BF173" i="15"/>
  <c r="BF174" i="15"/>
  <c r="BF175" i="15"/>
  <c r="BF176" i="15"/>
  <c r="BF177" i="15"/>
  <c r="BF178" i="15"/>
  <c r="BF179" i="15"/>
  <c r="BF180" i="15"/>
  <c r="BF181" i="15"/>
  <c r="BF182" i="15"/>
  <c r="BF183" i="15"/>
  <c r="BF184" i="15"/>
  <c r="BF185" i="15"/>
  <c r="BF186" i="15"/>
  <c r="BF187" i="15"/>
  <c r="BF188" i="15"/>
  <c r="BF189" i="15"/>
  <c r="BF190" i="15"/>
  <c r="BF191" i="15"/>
  <c r="BF192" i="15"/>
  <c r="BF193" i="15"/>
  <c r="BF194" i="15"/>
  <c r="BF195" i="15"/>
  <c r="BF196" i="15"/>
  <c r="BF197" i="15"/>
  <c r="BF198" i="15"/>
  <c r="BF199" i="15"/>
  <c r="BF200" i="15"/>
  <c r="BF201" i="15"/>
  <c r="BF202" i="15"/>
  <c r="BF203" i="15"/>
  <c r="BF204" i="15"/>
  <c r="BF205" i="15"/>
  <c r="BF206" i="15"/>
  <c r="BF207" i="15"/>
  <c r="BF208" i="15"/>
  <c r="BF209" i="15"/>
  <c r="BF210" i="15"/>
  <c r="BF211" i="15"/>
  <c r="BF212" i="15"/>
  <c r="BF213" i="15"/>
  <c r="BF214" i="15"/>
  <c r="BF215" i="15"/>
  <c r="BF216" i="15"/>
  <c r="BF217" i="15"/>
  <c r="BF218" i="15"/>
  <c r="BF219" i="15"/>
  <c r="BF220" i="15"/>
  <c r="BF221" i="15"/>
  <c r="BF222" i="15"/>
  <c r="BF223" i="15"/>
  <c r="BF224" i="15"/>
  <c r="BF225" i="15"/>
  <c r="BF226" i="15"/>
  <c r="BF227" i="15"/>
  <c r="BF228" i="15"/>
  <c r="BF229" i="15"/>
  <c r="BF230" i="15"/>
  <c r="BF231" i="15"/>
  <c r="BF232" i="15"/>
  <c r="BF233" i="15"/>
  <c r="BF234" i="15"/>
  <c r="BF235" i="15"/>
  <c r="BF236" i="15"/>
  <c r="BF237" i="15"/>
  <c r="BF238" i="15"/>
  <c r="BF239" i="15"/>
  <c r="BF240" i="15"/>
  <c r="BF241" i="15"/>
  <c r="BF242" i="15"/>
  <c r="BF243" i="15"/>
  <c r="BF244" i="15"/>
  <c r="BF245" i="15"/>
  <c r="BF246" i="15"/>
  <c r="BF247" i="15"/>
  <c r="BF248" i="15"/>
  <c r="BF249" i="15"/>
  <c r="BF250" i="15"/>
  <c r="BF251" i="15"/>
  <c r="BF252" i="15"/>
  <c r="BF253" i="15"/>
  <c r="BF254" i="15"/>
  <c r="BF255" i="15"/>
  <c r="BF256" i="15"/>
  <c r="BF257" i="15"/>
  <c r="BF258" i="15"/>
  <c r="BF259" i="15"/>
  <c r="BF260" i="15"/>
  <c r="BF261" i="15"/>
  <c r="BF262" i="15"/>
  <c r="BF263" i="15"/>
  <c r="BF264" i="15"/>
  <c r="BF265" i="15"/>
  <c r="BF266" i="15"/>
  <c r="BF267" i="15"/>
  <c r="BF268" i="15"/>
  <c r="BF269" i="15"/>
  <c r="BF270" i="15"/>
  <c r="BF271" i="15"/>
  <c r="BF272" i="15"/>
  <c r="BF273" i="15"/>
  <c r="BF274" i="15"/>
  <c r="BF275" i="15"/>
  <c r="BF276" i="15"/>
  <c r="BF277" i="15"/>
  <c r="BF278" i="15"/>
  <c r="BF279" i="15"/>
  <c r="BF280" i="15"/>
  <c r="BF281" i="15"/>
  <c r="BF282" i="15"/>
  <c r="BF283" i="15"/>
  <c r="BF284" i="15"/>
  <c r="BF285" i="15"/>
  <c r="BF286" i="15"/>
  <c r="BF287" i="15"/>
  <c r="BF288" i="15"/>
  <c r="BF289" i="15"/>
  <c r="BF290" i="15"/>
  <c r="BF291" i="15"/>
  <c r="BF292" i="15"/>
  <c r="BF293" i="15"/>
  <c r="BF294" i="15"/>
  <c r="BF295" i="15"/>
  <c r="BF296" i="15"/>
  <c r="BF297" i="15"/>
  <c r="BF298" i="15"/>
  <c r="BF299" i="15"/>
  <c r="BF300" i="15"/>
  <c r="BF301" i="15"/>
  <c r="BF302" i="15"/>
  <c r="BF303" i="15"/>
  <c r="BF304" i="15"/>
  <c r="BF305" i="15"/>
  <c r="BF306" i="15"/>
  <c r="BF307" i="15"/>
  <c r="BF308" i="15"/>
  <c r="BF309" i="15"/>
  <c r="BF310" i="15"/>
  <c r="BF311" i="15"/>
  <c r="BF312" i="15"/>
  <c r="BF313" i="15"/>
  <c r="BF314" i="15"/>
  <c r="BF315" i="15"/>
  <c r="BF316" i="15"/>
  <c r="BF317" i="15"/>
  <c r="BF318" i="15"/>
  <c r="BF319" i="15"/>
  <c r="BF320" i="15"/>
  <c r="BF321" i="15"/>
  <c r="BF322" i="15"/>
  <c r="BF323" i="15"/>
  <c r="BF324" i="15"/>
  <c r="BF325" i="15"/>
  <c r="BF326" i="15"/>
  <c r="BF327" i="15"/>
  <c r="BF328" i="15"/>
  <c r="BF329" i="15"/>
  <c r="BF330" i="15"/>
  <c r="BF331" i="15"/>
  <c r="BF332" i="15"/>
  <c r="BF333" i="15"/>
  <c r="BF334" i="15"/>
  <c r="BF335" i="15"/>
  <c r="BF336" i="15"/>
  <c r="BF337" i="15"/>
  <c r="BF338" i="15"/>
  <c r="BF339" i="15"/>
  <c r="BF340" i="15"/>
  <c r="BF341" i="15"/>
  <c r="BF342" i="15"/>
  <c r="BF343" i="15"/>
  <c r="BF344" i="15"/>
  <c r="BF345" i="15"/>
  <c r="BF346" i="15"/>
  <c r="BF347" i="15"/>
  <c r="BF348" i="15"/>
  <c r="BF349" i="15"/>
  <c r="GZ23" i="15"/>
  <c r="GZ24" i="15"/>
  <c r="GZ25" i="15"/>
  <c r="GZ26" i="15"/>
  <c r="GZ27" i="15"/>
  <c r="GZ28" i="15"/>
  <c r="GZ29" i="15"/>
  <c r="GZ30" i="15"/>
  <c r="GZ31" i="15"/>
  <c r="GZ32" i="15"/>
  <c r="GZ33" i="15"/>
  <c r="GZ34" i="15"/>
  <c r="GZ35" i="15"/>
  <c r="GZ36" i="15"/>
  <c r="GZ37" i="15"/>
  <c r="GZ38" i="15"/>
  <c r="GZ39" i="15"/>
  <c r="GZ40" i="15"/>
  <c r="GZ41" i="15"/>
  <c r="GZ42" i="15"/>
  <c r="GZ43" i="15"/>
  <c r="GZ44" i="15"/>
  <c r="GZ45" i="15"/>
  <c r="GZ46" i="15"/>
  <c r="GZ47" i="15"/>
  <c r="GZ48" i="15"/>
  <c r="GZ49" i="15"/>
  <c r="GZ50" i="15"/>
  <c r="GZ51" i="15"/>
  <c r="GZ52" i="15"/>
  <c r="GZ53" i="15"/>
  <c r="GZ54" i="15"/>
  <c r="GZ55" i="15"/>
  <c r="GZ56" i="15"/>
  <c r="GZ57" i="15"/>
  <c r="GZ58" i="15"/>
  <c r="GZ59" i="15"/>
  <c r="GZ60" i="15"/>
  <c r="GZ61" i="15"/>
  <c r="GZ62" i="15"/>
  <c r="GZ63" i="15"/>
  <c r="GZ64" i="15"/>
  <c r="GZ65" i="15"/>
  <c r="GZ66" i="15"/>
  <c r="GZ67" i="15"/>
  <c r="GZ68" i="15"/>
  <c r="GZ69" i="15"/>
  <c r="GZ70" i="15"/>
  <c r="GZ71" i="15"/>
  <c r="GZ72" i="15"/>
  <c r="GZ73" i="15"/>
  <c r="GZ74" i="15"/>
  <c r="GZ75" i="15"/>
  <c r="GZ76" i="15"/>
  <c r="GZ77" i="15"/>
  <c r="GZ78" i="15"/>
  <c r="GZ79" i="15"/>
  <c r="GZ80" i="15"/>
  <c r="GZ81" i="15"/>
  <c r="GZ82" i="15"/>
  <c r="GZ83" i="15"/>
  <c r="GZ84" i="15"/>
  <c r="GZ85" i="15"/>
  <c r="GZ86" i="15"/>
  <c r="GZ87" i="15"/>
  <c r="GZ88" i="15"/>
  <c r="GZ89" i="15"/>
  <c r="GZ90" i="15"/>
  <c r="GZ91" i="15"/>
  <c r="GZ92" i="15"/>
  <c r="GZ93" i="15"/>
  <c r="GZ94" i="15"/>
  <c r="GZ95" i="15"/>
  <c r="GZ96" i="15"/>
  <c r="GZ97" i="15"/>
  <c r="GZ98" i="15"/>
  <c r="GZ99" i="15"/>
  <c r="GZ100" i="15"/>
  <c r="GZ101" i="15"/>
  <c r="GZ102" i="15"/>
  <c r="GZ103" i="15"/>
  <c r="GZ104" i="15"/>
  <c r="GZ105" i="15"/>
  <c r="GZ106" i="15"/>
  <c r="GZ107" i="15"/>
  <c r="GZ108" i="15"/>
  <c r="GZ109" i="15"/>
  <c r="GZ110" i="15"/>
  <c r="GZ111" i="15"/>
  <c r="GZ112" i="15"/>
  <c r="GZ113" i="15"/>
  <c r="GZ114" i="15"/>
  <c r="GZ115" i="15"/>
  <c r="GZ116" i="15"/>
  <c r="GZ117" i="15"/>
  <c r="GZ118" i="15"/>
  <c r="GZ119" i="15"/>
  <c r="GZ120" i="15"/>
  <c r="GZ121" i="15"/>
  <c r="GZ122" i="15"/>
  <c r="GZ123" i="15"/>
  <c r="GZ124" i="15"/>
  <c r="GZ125" i="15"/>
  <c r="GZ126" i="15"/>
  <c r="GZ127" i="15"/>
  <c r="GZ128" i="15"/>
  <c r="GZ129" i="15"/>
  <c r="GZ130" i="15"/>
  <c r="GZ131" i="15"/>
  <c r="GZ132" i="15"/>
  <c r="GZ133" i="15"/>
  <c r="GZ134" i="15"/>
  <c r="GZ135" i="15"/>
  <c r="GZ136" i="15"/>
  <c r="GZ137" i="15"/>
  <c r="GZ138" i="15"/>
  <c r="GZ139" i="15"/>
  <c r="GZ140" i="15"/>
  <c r="GZ141" i="15"/>
  <c r="GZ142" i="15"/>
  <c r="GZ143" i="15"/>
  <c r="GZ144" i="15"/>
  <c r="GZ145" i="15"/>
  <c r="GZ146" i="15"/>
  <c r="GZ147" i="15"/>
  <c r="GZ148" i="15"/>
  <c r="GZ149" i="15"/>
  <c r="GZ150" i="15"/>
  <c r="GZ151" i="15"/>
  <c r="GZ152" i="15"/>
  <c r="GZ153" i="15"/>
  <c r="GZ154" i="15"/>
  <c r="GZ155" i="15"/>
  <c r="GZ156" i="15"/>
  <c r="GZ157" i="15"/>
  <c r="GZ158" i="15"/>
  <c r="GZ159" i="15"/>
  <c r="GZ160" i="15"/>
  <c r="GZ161" i="15"/>
  <c r="GZ162" i="15"/>
  <c r="GZ163" i="15"/>
  <c r="GZ164" i="15"/>
  <c r="GZ165" i="15"/>
  <c r="GZ166" i="15"/>
  <c r="GZ167" i="15"/>
  <c r="GZ168" i="15"/>
  <c r="GZ169" i="15"/>
  <c r="GZ170" i="15"/>
  <c r="GZ171" i="15"/>
  <c r="GZ172" i="15"/>
  <c r="GZ173" i="15"/>
  <c r="GZ174" i="15"/>
  <c r="GZ175" i="15"/>
  <c r="GZ176" i="15"/>
  <c r="GZ177" i="15"/>
  <c r="GZ178" i="15"/>
  <c r="GZ179" i="15"/>
  <c r="GZ180" i="15"/>
  <c r="GZ181" i="15"/>
  <c r="GZ182" i="15"/>
  <c r="GZ183" i="15"/>
  <c r="GZ184" i="15"/>
  <c r="GZ185" i="15"/>
  <c r="GZ186" i="15"/>
  <c r="GZ187" i="15"/>
  <c r="GZ188" i="15"/>
  <c r="GZ189" i="15"/>
  <c r="GZ190" i="15"/>
  <c r="GZ191" i="15"/>
  <c r="GZ192" i="15"/>
  <c r="GZ193" i="15"/>
  <c r="GZ194" i="15"/>
  <c r="GZ195" i="15"/>
  <c r="GZ196" i="15"/>
  <c r="GZ197" i="15"/>
  <c r="GZ198" i="15"/>
  <c r="GZ199" i="15"/>
  <c r="GZ200" i="15"/>
  <c r="GZ201" i="15"/>
  <c r="GZ202" i="15"/>
  <c r="GZ203" i="15"/>
  <c r="GZ204" i="15"/>
  <c r="GZ205" i="15"/>
  <c r="GZ206" i="15"/>
  <c r="GZ207" i="15"/>
  <c r="GZ208" i="15"/>
  <c r="GZ209" i="15"/>
  <c r="GZ210" i="15"/>
  <c r="GZ211" i="15"/>
  <c r="GZ212" i="15"/>
  <c r="GZ213" i="15"/>
  <c r="GZ214" i="15"/>
  <c r="GZ215" i="15"/>
  <c r="GZ216" i="15"/>
  <c r="GZ217" i="15"/>
  <c r="GZ218" i="15"/>
  <c r="GZ219" i="15"/>
  <c r="GZ220" i="15"/>
  <c r="GZ221" i="15"/>
  <c r="GZ222" i="15"/>
  <c r="GZ223" i="15"/>
  <c r="GZ224" i="15"/>
  <c r="GZ225" i="15"/>
  <c r="GZ226" i="15"/>
  <c r="GZ227" i="15"/>
  <c r="GZ228" i="15"/>
  <c r="GZ229" i="15"/>
  <c r="GZ230" i="15"/>
  <c r="GZ231" i="15"/>
  <c r="GZ232" i="15"/>
  <c r="GZ233" i="15"/>
  <c r="GZ234" i="15"/>
  <c r="GZ235" i="15"/>
  <c r="GZ236" i="15"/>
  <c r="GZ237" i="15"/>
  <c r="GZ238" i="15"/>
  <c r="GZ239" i="15"/>
  <c r="GZ240" i="15"/>
  <c r="GZ241" i="15"/>
  <c r="GZ242" i="15"/>
  <c r="GZ243" i="15"/>
  <c r="GZ244" i="15"/>
  <c r="GZ245" i="15"/>
  <c r="GZ246" i="15"/>
  <c r="GZ247" i="15"/>
  <c r="GZ248" i="15"/>
  <c r="GZ249" i="15"/>
  <c r="GZ250" i="15"/>
  <c r="GZ251" i="15"/>
  <c r="GZ252" i="15"/>
  <c r="GZ253" i="15"/>
  <c r="GZ254" i="15"/>
  <c r="GZ255" i="15"/>
  <c r="GZ256" i="15"/>
  <c r="GZ257" i="15"/>
  <c r="GZ258" i="15"/>
  <c r="GZ259" i="15"/>
  <c r="GZ260" i="15"/>
  <c r="GZ261" i="15"/>
  <c r="GZ262" i="15"/>
  <c r="GZ263" i="15"/>
  <c r="GZ264" i="15"/>
  <c r="GZ265" i="15"/>
  <c r="GZ266" i="15"/>
  <c r="GZ267" i="15"/>
  <c r="GZ268" i="15"/>
  <c r="GZ269" i="15"/>
  <c r="GZ270" i="15"/>
  <c r="GZ271" i="15"/>
  <c r="GZ272" i="15"/>
  <c r="GZ273" i="15"/>
  <c r="GZ274" i="15"/>
  <c r="GZ275" i="15"/>
  <c r="GZ276" i="15"/>
  <c r="GZ277" i="15"/>
  <c r="GZ278" i="15"/>
  <c r="GZ279" i="15"/>
  <c r="GZ280" i="15"/>
  <c r="GZ281" i="15"/>
  <c r="GZ282" i="15"/>
  <c r="GZ283" i="15"/>
  <c r="GZ284" i="15"/>
  <c r="GZ285" i="15"/>
  <c r="GZ286" i="15"/>
  <c r="GZ287" i="15"/>
  <c r="GZ288" i="15"/>
  <c r="GZ289" i="15"/>
  <c r="GZ290" i="15"/>
  <c r="GZ291" i="15"/>
  <c r="GZ292" i="15"/>
  <c r="GZ293" i="15"/>
  <c r="GZ294" i="15"/>
  <c r="GZ295" i="15"/>
  <c r="GZ296" i="15"/>
  <c r="GZ297" i="15"/>
  <c r="GZ298" i="15"/>
  <c r="GZ299" i="15"/>
  <c r="GZ300" i="15"/>
  <c r="GZ301" i="15"/>
  <c r="GZ302" i="15"/>
  <c r="GZ303" i="15"/>
  <c r="GZ304" i="15"/>
  <c r="GZ305" i="15"/>
  <c r="GZ306" i="15"/>
  <c r="GZ307" i="15"/>
  <c r="GZ308" i="15"/>
  <c r="GZ309" i="15"/>
  <c r="GZ310" i="15"/>
  <c r="GZ311" i="15"/>
  <c r="GZ312" i="15"/>
  <c r="GZ313" i="15"/>
  <c r="GZ314" i="15"/>
  <c r="GZ315" i="15"/>
  <c r="GZ316" i="15"/>
  <c r="GZ317" i="15"/>
  <c r="GZ318" i="15"/>
  <c r="GZ319" i="15"/>
  <c r="GZ320" i="15"/>
  <c r="GZ321" i="15"/>
  <c r="GZ322" i="15"/>
  <c r="GZ323" i="15"/>
  <c r="GZ324" i="15"/>
  <c r="GZ325" i="15"/>
  <c r="GZ326" i="15"/>
  <c r="GZ327" i="15"/>
  <c r="GZ328" i="15"/>
  <c r="GZ329" i="15"/>
  <c r="GZ330" i="15"/>
  <c r="GZ331" i="15"/>
  <c r="GZ332" i="15"/>
  <c r="GZ333" i="15"/>
  <c r="GZ334" i="15"/>
  <c r="GZ335" i="15"/>
  <c r="GZ336" i="15"/>
  <c r="GZ337" i="15"/>
  <c r="GZ338" i="15"/>
  <c r="GZ339" i="15"/>
  <c r="GZ340" i="15"/>
  <c r="GZ341" i="15"/>
  <c r="GZ342" i="15"/>
  <c r="GZ343" i="15"/>
  <c r="GZ344" i="15"/>
  <c r="GZ345" i="15"/>
  <c r="GZ346" i="15"/>
  <c r="GZ347" i="15"/>
  <c r="GZ348" i="15"/>
  <c r="GZ349" i="15"/>
  <c r="GZ22" i="15"/>
  <c r="HC26" i="15"/>
  <c r="HC27" i="15"/>
  <c r="HC28" i="15"/>
  <c r="HC29" i="15"/>
  <c r="HC30" i="15"/>
  <c r="HC31" i="15"/>
  <c r="HC32" i="15"/>
  <c r="HC33" i="15"/>
  <c r="HC34" i="15"/>
  <c r="HC35" i="15"/>
  <c r="HC36" i="15"/>
  <c r="HC37" i="15"/>
  <c r="HC38" i="15"/>
  <c r="HC39" i="15"/>
  <c r="HC40" i="15"/>
  <c r="HC41" i="15"/>
  <c r="HC42" i="15"/>
  <c r="HC43" i="15"/>
  <c r="HC44" i="15"/>
  <c r="HC45" i="15"/>
  <c r="HC46" i="15"/>
  <c r="HC47" i="15"/>
  <c r="HC48" i="15"/>
  <c r="HC49" i="15"/>
  <c r="HC50" i="15"/>
  <c r="HC51" i="15"/>
  <c r="HC52" i="15"/>
  <c r="HC53" i="15"/>
  <c r="HC54" i="15"/>
  <c r="HC55" i="15"/>
  <c r="HC56" i="15"/>
  <c r="HC57" i="15"/>
  <c r="HC58" i="15"/>
  <c r="HC59" i="15"/>
  <c r="HC60" i="15"/>
  <c r="HC61" i="15"/>
  <c r="HC62" i="15"/>
  <c r="HC63" i="15"/>
  <c r="HC64" i="15"/>
  <c r="HC65" i="15"/>
  <c r="HC66" i="15"/>
  <c r="HC67" i="15"/>
  <c r="HC68" i="15"/>
  <c r="HC69" i="15"/>
  <c r="HC70" i="15"/>
  <c r="HC71" i="15"/>
  <c r="HC72" i="15"/>
  <c r="HC73" i="15"/>
  <c r="HC74" i="15"/>
  <c r="HC75" i="15"/>
  <c r="HC76" i="15"/>
  <c r="HC77" i="15"/>
  <c r="HC78" i="15"/>
  <c r="HC79" i="15"/>
  <c r="HC80" i="15"/>
  <c r="HC81" i="15"/>
  <c r="HC82" i="15"/>
  <c r="HC83" i="15"/>
  <c r="HC84" i="15"/>
  <c r="HC85" i="15"/>
  <c r="HC86" i="15"/>
  <c r="HC87" i="15"/>
  <c r="HC88" i="15"/>
  <c r="HC89" i="15"/>
  <c r="HC90" i="15"/>
  <c r="HC91" i="15"/>
  <c r="HC92" i="15"/>
  <c r="HC93" i="15"/>
  <c r="HC94" i="15"/>
  <c r="HC95" i="15"/>
  <c r="HC96" i="15"/>
  <c r="HC97" i="15"/>
  <c r="HC98" i="15"/>
  <c r="HC99" i="15"/>
  <c r="HC100" i="15"/>
  <c r="HC101" i="15"/>
  <c r="HC102" i="15"/>
  <c r="HC103" i="15"/>
  <c r="HC104" i="15"/>
  <c r="HC105" i="15"/>
  <c r="HC106" i="15"/>
  <c r="HC107" i="15"/>
  <c r="HC108" i="15"/>
  <c r="HC109" i="15"/>
  <c r="HC110" i="15"/>
  <c r="HC111" i="15"/>
  <c r="HC112" i="15"/>
  <c r="HC113" i="15"/>
  <c r="HC114" i="15"/>
  <c r="HC115" i="15"/>
  <c r="HC116" i="15"/>
  <c r="HC117" i="15"/>
  <c r="HC118" i="15"/>
  <c r="HC119" i="15"/>
  <c r="HC120" i="15"/>
  <c r="HC121" i="15"/>
  <c r="HC122" i="15"/>
  <c r="HC123" i="15"/>
  <c r="HC124" i="15"/>
  <c r="HC125" i="15"/>
  <c r="HC126" i="15"/>
  <c r="HC127" i="15"/>
  <c r="HC128" i="15"/>
  <c r="HC129" i="15"/>
  <c r="HC130" i="15"/>
  <c r="HC131" i="15"/>
  <c r="HC132" i="15"/>
  <c r="HC133" i="15"/>
  <c r="HC134" i="15"/>
  <c r="HC135" i="15"/>
  <c r="HC136" i="15"/>
  <c r="HC137" i="15"/>
  <c r="HC138" i="15"/>
  <c r="HC139" i="15"/>
  <c r="HC140" i="15"/>
  <c r="HC141" i="15"/>
  <c r="HC142" i="15"/>
  <c r="HC143" i="15"/>
  <c r="HC144" i="15"/>
  <c r="HC145" i="15"/>
  <c r="HC146" i="15"/>
  <c r="HC147" i="15"/>
  <c r="HC148" i="15"/>
  <c r="HC149" i="15"/>
  <c r="HC150" i="15"/>
  <c r="HC151" i="15"/>
  <c r="HC152" i="15"/>
  <c r="HC153" i="15"/>
  <c r="HC154" i="15"/>
  <c r="HC155" i="15"/>
  <c r="HC156" i="15"/>
  <c r="HC157" i="15"/>
  <c r="HC158" i="15"/>
  <c r="HC159" i="15"/>
  <c r="HC160" i="15"/>
  <c r="HC161" i="15"/>
  <c r="HC162" i="15"/>
  <c r="HC163" i="15"/>
  <c r="HC164" i="15"/>
  <c r="HC165" i="15"/>
  <c r="HC166" i="15"/>
  <c r="HC167" i="15"/>
  <c r="HC168" i="15"/>
  <c r="HC169" i="15"/>
  <c r="HC170" i="15"/>
  <c r="HC171" i="15"/>
  <c r="HC172" i="15"/>
  <c r="HC173" i="15"/>
  <c r="HC174" i="15"/>
  <c r="HC175" i="15"/>
  <c r="HC176" i="15"/>
  <c r="HC177" i="15"/>
  <c r="HC178" i="15"/>
  <c r="HC179" i="15"/>
  <c r="HC180" i="15"/>
  <c r="HC181" i="15"/>
  <c r="HC182" i="15"/>
  <c r="HC183" i="15"/>
  <c r="HC184" i="15"/>
  <c r="HC185" i="15"/>
  <c r="HC186" i="15"/>
  <c r="HC187" i="15"/>
  <c r="HC188" i="15"/>
  <c r="HC189" i="15"/>
  <c r="HC190" i="15"/>
  <c r="HC191" i="15"/>
  <c r="HC192" i="15"/>
  <c r="HC193" i="15"/>
  <c r="HC194" i="15"/>
  <c r="HC195" i="15"/>
  <c r="HC196" i="15"/>
  <c r="HC197" i="15"/>
  <c r="HC198" i="15"/>
  <c r="HC199" i="15"/>
  <c r="HC200" i="15"/>
  <c r="HC201" i="15"/>
  <c r="HC202" i="15"/>
  <c r="HC203" i="15"/>
  <c r="HC204" i="15"/>
  <c r="HC205" i="15"/>
  <c r="HC206" i="15"/>
  <c r="HC207" i="15"/>
  <c r="HC208" i="15"/>
  <c r="HC209" i="15"/>
  <c r="HC210" i="15"/>
  <c r="HC211" i="15"/>
  <c r="HC212" i="15"/>
  <c r="HC213" i="15"/>
  <c r="HC214" i="15"/>
  <c r="HC215" i="15"/>
  <c r="HC216" i="15"/>
  <c r="HC217" i="15"/>
  <c r="HC218" i="15"/>
  <c r="HC219" i="15"/>
  <c r="HC220" i="15"/>
  <c r="HC221" i="15"/>
  <c r="HC222" i="15"/>
  <c r="HC223" i="15"/>
  <c r="HC224" i="15"/>
  <c r="HC225" i="15"/>
  <c r="HC226" i="15"/>
  <c r="HC227" i="15"/>
  <c r="HC228" i="15"/>
  <c r="HC229" i="15"/>
  <c r="HC230" i="15"/>
  <c r="HC231" i="15"/>
  <c r="HC232" i="15"/>
  <c r="HC233" i="15"/>
  <c r="HC234" i="15"/>
  <c r="HC235" i="15"/>
  <c r="HC236" i="15"/>
  <c r="HC237" i="15"/>
  <c r="HC238" i="15"/>
  <c r="HC239" i="15"/>
  <c r="HC240" i="15"/>
  <c r="HC241" i="15"/>
  <c r="HC242" i="15"/>
  <c r="HC243" i="15"/>
  <c r="HC244" i="15"/>
  <c r="HC245" i="15"/>
  <c r="HC246" i="15"/>
  <c r="HC247" i="15"/>
  <c r="HC248" i="15"/>
  <c r="HC249" i="15"/>
  <c r="HC250" i="15"/>
  <c r="HC251" i="15"/>
  <c r="HC252" i="15"/>
  <c r="HC253" i="15"/>
  <c r="HC254" i="15"/>
  <c r="HC255" i="15"/>
  <c r="HC256" i="15"/>
  <c r="HC257" i="15"/>
  <c r="HC258" i="15"/>
  <c r="HC259" i="15"/>
  <c r="HC260" i="15"/>
  <c r="HC261" i="15"/>
  <c r="HC262" i="15"/>
  <c r="HC263" i="15"/>
  <c r="HC264" i="15"/>
  <c r="HC265" i="15"/>
  <c r="HC266" i="15"/>
  <c r="HC267" i="15"/>
  <c r="HC268" i="15"/>
  <c r="HC269" i="15"/>
  <c r="HC270" i="15"/>
  <c r="HC271" i="15"/>
  <c r="HC272" i="15"/>
  <c r="HC273" i="15"/>
  <c r="HC274" i="15"/>
  <c r="HC275" i="15"/>
  <c r="HC276" i="15"/>
  <c r="HC277" i="15"/>
  <c r="HC278" i="15"/>
  <c r="HC279" i="15"/>
  <c r="HC280" i="15"/>
  <c r="HC281" i="15"/>
  <c r="HC282" i="15"/>
  <c r="HC283" i="15"/>
  <c r="HC284" i="15"/>
  <c r="HC285" i="15"/>
  <c r="HC286" i="15"/>
  <c r="HC287" i="15"/>
  <c r="HC288" i="15"/>
  <c r="HC289" i="15"/>
  <c r="HC290" i="15"/>
  <c r="HC291" i="15"/>
  <c r="HC292" i="15"/>
  <c r="HC293" i="15"/>
  <c r="HC294" i="15"/>
  <c r="HC295" i="15"/>
  <c r="HC296" i="15"/>
  <c r="HC297" i="15"/>
  <c r="HC298" i="15"/>
  <c r="HC299" i="15"/>
  <c r="HC300" i="15"/>
  <c r="HC301" i="15"/>
  <c r="HC302" i="15"/>
  <c r="HC303" i="15"/>
  <c r="HC304" i="15"/>
  <c r="HC305" i="15"/>
  <c r="HC306" i="15"/>
  <c r="HC307" i="15"/>
  <c r="HC308" i="15"/>
  <c r="HC309" i="15"/>
  <c r="HC310" i="15"/>
  <c r="HC311" i="15"/>
  <c r="HC312" i="15"/>
  <c r="HC313" i="15"/>
  <c r="HC314" i="15"/>
  <c r="HC315" i="15"/>
  <c r="HC316" i="15"/>
  <c r="HC317" i="15"/>
  <c r="HC318" i="15"/>
  <c r="HC319" i="15"/>
  <c r="HC320" i="15"/>
  <c r="HC321" i="15"/>
  <c r="HC322" i="15"/>
  <c r="HC323" i="15"/>
  <c r="HC324" i="15"/>
  <c r="HC325" i="15"/>
  <c r="HC326" i="15"/>
  <c r="HC327" i="15"/>
  <c r="HC328" i="15"/>
  <c r="HC329" i="15"/>
  <c r="HC330" i="15"/>
  <c r="HC331" i="15"/>
  <c r="HC332" i="15"/>
  <c r="HC333" i="15"/>
  <c r="HC334" i="15"/>
  <c r="HC335" i="15"/>
  <c r="HC336" i="15"/>
  <c r="HC337" i="15"/>
  <c r="HC338" i="15"/>
  <c r="HC339" i="15"/>
  <c r="HC340" i="15"/>
  <c r="HC341" i="15"/>
  <c r="HC342" i="15"/>
  <c r="HC343" i="15"/>
  <c r="HC344" i="15"/>
  <c r="HC345" i="15"/>
  <c r="HC346" i="15"/>
  <c r="HC347" i="15"/>
  <c r="HC348" i="15"/>
  <c r="HC349" i="15"/>
  <c r="HC23" i="15"/>
  <c r="HC24" i="15"/>
  <c r="HC25" i="15"/>
  <c r="HC22" i="15"/>
  <c r="AY22" i="15" l="1"/>
  <c r="AT13" i="82"/>
  <c r="AS13" i="82"/>
  <c r="AT12" i="82"/>
  <c r="AS12" i="82"/>
  <c r="AT11" i="82"/>
  <c r="AS11" i="82"/>
  <c r="AT10" i="82"/>
  <c r="AS10" i="82"/>
  <c r="AT9" i="82"/>
  <c r="AS9" i="82"/>
  <c r="AT8" i="82"/>
  <c r="AS8" i="82"/>
  <c r="AT7" i="82"/>
  <c r="AS7" i="82"/>
  <c r="AT6" i="82"/>
  <c r="AS6" i="82"/>
  <c r="AT5" i="82"/>
  <c r="AS5" i="82"/>
  <c r="AT4" i="82"/>
  <c r="AS4" i="82"/>
  <c r="AT3" i="82"/>
  <c r="AS3" i="82"/>
  <c r="AT2" i="82"/>
  <c r="AS2" i="82"/>
  <c r="AT1" i="82"/>
  <c r="AS1" i="82"/>
  <c r="AT13" i="83"/>
  <c r="AS13" i="83"/>
  <c r="AT12" i="83"/>
  <c r="AS12" i="83"/>
  <c r="AT11" i="83"/>
  <c r="AS11" i="83"/>
  <c r="AT10" i="83"/>
  <c r="AS10" i="83"/>
  <c r="AT9" i="83"/>
  <c r="AS9" i="83"/>
  <c r="AT8" i="83"/>
  <c r="AS8" i="83"/>
  <c r="AT7" i="83"/>
  <c r="AS7" i="83"/>
  <c r="AT6" i="83"/>
  <c r="AS6" i="83"/>
  <c r="AT5" i="83"/>
  <c r="AS5" i="83"/>
  <c r="AT4" i="83"/>
  <c r="AS4" i="83"/>
  <c r="AT3" i="83"/>
  <c r="AS3" i="83"/>
  <c r="AT2" i="83"/>
  <c r="AS2" i="83"/>
  <c r="AT1" i="83"/>
  <c r="AS1" i="83"/>
  <c r="AT13" i="84"/>
  <c r="AS13" i="84"/>
  <c r="AT12" i="84"/>
  <c r="AS12" i="84"/>
  <c r="AT11" i="84"/>
  <c r="AS11" i="84"/>
  <c r="AT10" i="84"/>
  <c r="AS10" i="84"/>
  <c r="AT9" i="84"/>
  <c r="AS9" i="84"/>
  <c r="AT8" i="84"/>
  <c r="AS8" i="84"/>
  <c r="AT7" i="84"/>
  <c r="AS7" i="84"/>
  <c r="AT6" i="84"/>
  <c r="AS6" i="84"/>
  <c r="AT5" i="84"/>
  <c r="AS5" i="84"/>
  <c r="AT4" i="84"/>
  <c r="AS4" i="84"/>
  <c r="AT3" i="84"/>
  <c r="AS3" i="84"/>
  <c r="AT2" i="84"/>
  <c r="AS2" i="84"/>
  <c r="AT1" i="84"/>
  <c r="AS1" i="84"/>
  <c r="AT13" i="85"/>
  <c r="AS13" i="85"/>
  <c r="AT12" i="85"/>
  <c r="AS12" i="85"/>
  <c r="AT11" i="85"/>
  <c r="AS11" i="85"/>
  <c r="AT10" i="85"/>
  <c r="AS10" i="85"/>
  <c r="AT9" i="85"/>
  <c r="AS9" i="85"/>
  <c r="AT8" i="85"/>
  <c r="AS8" i="85"/>
  <c r="AT7" i="85"/>
  <c r="AS7" i="85"/>
  <c r="AT6" i="85"/>
  <c r="AS6" i="85"/>
  <c r="AT5" i="85"/>
  <c r="AS5" i="85"/>
  <c r="AT4" i="85"/>
  <c r="AS4" i="85"/>
  <c r="AT3" i="85"/>
  <c r="AS3" i="85"/>
  <c r="AT2" i="85"/>
  <c r="AS2" i="85"/>
  <c r="AT1" i="85"/>
  <c r="AS1" i="85"/>
  <c r="AT13" i="86"/>
  <c r="AS13" i="86"/>
  <c r="AT12" i="86"/>
  <c r="AS12" i="86"/>
  <c r="AT11" i="86"/>
  <c r="AS11" i="86"/>
  <c r="AT10" i="86"/>
  <c r="AS10" i="86"/>
  <c r="AT9" i="86"/>
  <c r="AS9" i="86"/>
  <c r="AT8" i="86"/>
  <c r="AS8" i="86"/>
  <c r="AT7" i="86"/>
  <c r="AS7" i="86"/>
  <c r="AT6" i="86"/>
  <c r="AS6" i="86"/>
  <c r="AT5" i="86"/>
  <c r="AS5" i="86"/>
  <c r="AT4" i="86"/>
  <c r="AS4" i="86"/>
  <c r="AT3" i="86"/>
  <c r="AS3" i="86"/>
  <c r="AT2" i="86"/>
  <c r="AS2" i="86"/>
  <c r="AT1" i="86"/>
  <c r="AS1" i="86"/>
  <c r="AT13" i="87"/>
  <c r="AS13" i="87"/>
  <c r="AT12" i="87"/>
  <c r="AS12" i="87"/>
  <c r="AT11" i="87"/>
  <c r="AS11" i="87"/>
  <c r="AT10" i="87"/>
  <c r="AS10" i="87"/>
  <c r="AT9" i="87"/>
  <c r="AS9" i="87"/>
  <c r="AT8" i="87"/>
  <c r="AS8" i="87"/>
  <c r="AT7" i="87"/>
  <c r="AS7" i="87"/>
  <c r="AT6" i="87"/>
  <c r="AS6" i="87"/>
  <c r="AT5" i="87"/>
  <c r="AS5" i="87"/>
  <c r="AT4" i="87"/>
  <c r="AS4" i="87"/>
  <c r="AT3" i="87"/>
  <c r="AS3" i="87"/>
  <c r="AT2" i="87"/>
  <c r="AS2" i="87"/>
  <c r="AT1" i="87"/>
  <c r="AS1" i="87"/>
  <c r="AT13" i="88"/>
  <c r="AS13" i="88"/>
  <c r="AT12" i="88"/>
  <c r="AS12" i="88"/>
  <c r="AT11" i="88"/>
  <c r="AS11" i="88"/>
  <c r="AT10" i="88"/>
  <c r="AS10" i="88"/>
  <c r="AT9" i="88"/>
  <c r="AS9" i="88"/>
  <c r="AT8" i="88"/>
  <c r="AS8" i="88"/>
  <c r="AT7" i="88"/>
  <c r="AS7" i="88"/>
  <c r="AT6" i="88"/>
  <c r="AS6" i="88"/>
  <c r="AT5" i="88"/>
  <c r="AS5" i="88"/>
  <c r="AT4" i="88"/>
  <c r="AS4" i="88"/>
  <c r="AT3" i="88"/>
  <c r="AS3" i="88"/>
  <c r="AT2" i="88"/>
  <c r="AS2" i="88"/>
  <c r="AT1" i="88"/>
  <c r="AS1" i="88"/>
  <c r="AT13" i="89"/>
  <c r="AS13" i="89"/>
  <c r="AT12" i="89"/>
  <c r="AS12" i="89"/>
  <c r="AT11" i="89"/>
  <c r="AS11" i="89"/>
  <c r="AT10" i="89"/>
  <c r="AS10" i="89"/>
  <c r="AT9" i="89"/>
  <c r="AS9" i="89"/>
  <c r="AT8" i="89"/>
  <c r="AS8" i="89"/>
  <c r="AT7" i="89"/>
  <c r="AS7" i="89"/>
  <c r="AT6" i="89"/>
  <c r="AS6" i="89"/>
  <c r="AT5" i="89"/>
  <c r="AS5" i="89"/>
  <c r="AT4" i="89"/>
  <c r="AS4" i="89"/>
  <c r="AT3" i="89"/>
  <c r="AS3" i="89"/>
  <c r="AT2" i="89"/>
  <c r="AS2" i="89"/>
  <c r="AT1" i="89"/>
  <c r="AS1" i="89"/>
  <c r="AT13" i="90"/>
  <c r="AS13" i="90"/>
  <c r="AT12" i="90"/>
  <c r="AS12" i="90"/>
  <c r="AT11" i="90"/>
  <c r="AS11" i="90"/>
  <c r="AT10" i="90"/>
  <c r="AS10" i="90"/>
  <c r="AT9" i="90"/>
  <c r="AS9" i="90"/>
  <c r="AT8" i="90"/>
  <c r="AS8" i="90"/>
  <c r="AT7" i="90"/>
  <c r="AS7" i="90"/>
  <c r="AT6" i="90"/>
  <c r="AS6" i="90"/>
  <c r="AT5" i="90"/>
  <c r="AS5" i="90"/>
  <c r="AT4" i="90"/>
  <c r="AS4" i="90"/>
  <c r="AT3" i="90"/>
  <c r="AS3" i="90"/>
  <c r="AT2" i="90"/>
  <c r="AS2" i="90"/>
  <c r="AT1" i="90"/>
  <c r="AS1" i="90"/>
  <c r="AT13" i="91"/>
  <c r="AS13" i="91"/>
  <c r="AT12" i="91"/>
  <c r="AS12" i="91"/>
  <c r="AT11" i="91"/>
  <c r="AS11" i="91"/>
  <c r="AT10" i="91"/>
  <c r="AS10" i="91"/>
  <c r="AT9" i="91"/>
  <c r="AS9" i="91"/>
  <c r="AT8" i="91"/>
  <c r="AS8" i="91"/>
  <c r="AT7" i="91"/>
  <c r="AS7" i="91"/>
  <c r="AT6" i="91"/>
  <c r="AS6" i="91"/>
  <c r="AT5" i="91"/>
  <c r="AS5" i="91"/>
  <c r="AT4" i="91"/>
  <c r="AS4" i="91"/>
  <c r="AT3" i="91"/>
  <c r="AS3" i="91"/>
  <c r="AT2" i="91"/>
  <c r="AS2" i="91"/>
  <c r="AT1" i="91"/>
  <c r="AS1" i="91"/>
  <c r="CI18" i="15"/>
  <c r="CK18" i="15"/>
  <c r="CJ18" i="15"/>
  <c r="AI23" i="15"/>
  <c r="AJ23" i="15"/>
  <c r="AI24" i="15"/>
  <c r="AJ24" i="15"/>
  <c r="AI25" i="15"/>
  <c r="AJ25" i="15"/>
  <c r="AI26" i="15"/>
  <c r="AJ26" i="15"/>
  <c r="AI27" i="15"/>
  <c r="AJ27" i="15"/>
  <c r="AI28" i="15"/>
  <c r="AJ28" i="15"/>
  <c r="AI29" i="15"/>
  <c r="AJ29" i="15"/>
  <c r="AI30" i="15"/>
  <c r="AJ30" i="15"/>
  <c r="AI31" i="15"/>
  <c r="AJ31" i="15"/>
  <c r="AI32" i="15"/>
  <c r="AJ32" i="15"/>
  <c r="AI33" i="15"/>
  <c r="AJ33" i="15"/>
  <c r="AI34" i="15"/>
  <c r="AJ34" i="15"/>
  <c r="AI35" i="15"/>
  <c r="AJ35" i="15"/>
  <c r="AI36" i="15"/>
  <c r="AJ36" i="15"/>
  <c r="AI37" i="15"/>
  <c r="AJ37" i="15"/>
  <c r="AI38" i="15"/>
  <c r="AJ38" i="15"/>
  <c r="AI39" i="15"/>
  <c r="AJ39" i="15"/>
  <c r="AI40" i="15"/>
  <c r="AJ40" i="15"/>
  <c r="AI41" i="15"/>
  <c r="AJ41" i="15"/>
  <c r="AI42" i="15"/>
  <c r="AJ42" i="15"/>
  <c r="AI43" i="15"/>
  <c r="AJ43" i="15"/>
  <c r="AI44" i="15"/>
  <c r="AJ44" i="15"/>
  <c r="AI45" i="15"/>
  <c r="AJ45" i="15"/>
  <c r="AI46" i="15"/>
  <c r="AJ46" i="15"/>
  <c r="AI47" i="15"/>
  <c r="AJ47" i="15"/>
  <c r="AI48" i="15"/>
  <c r="AJ48" i="15"/>
  <c r="AI49" i="15"/>
  <c r="AJ49" i="15"/>
  <c r="AI50" i="15"/>
  <c r="AJ50" i="15"/>
  <c r="AI51" i="15"/>
  <c r="AJ51" i="15"/>
  <c r="AI52" i="15"/>
  <c r="AJ52" i="15"/>
  <c r="AI53" i="15"/>
  <c r="AJ53" i="15"/>
  <c r="AI54" i="15"/>
  <c r="AJ54" i="15"/>
  <c r="AI55" i="15"/>
  <c r="AJ55" i="15"/>
  <c r="AI56" i="15"/>
  <c r="AJ56" i="15"/>
  <c r="AI57" i="15"/>
  <c r="AJ57" i="15"/>
  <c r="AI58" i="15"/>
  <c r="AJ58" i="15"/>
  <c r="AI59" i="15"/>
  <c r="AJ59" i="15"/>
  <c r="AI60" i="15"/>
  <c r="AJ60" i="15"/>
  <c r="AI61" i="15"/>
  <c r="AJ61" i="15"/>
  <c r="AI62" i="15"/>
  <c r="AJ62" i="15"/>
  <c r="AI63" i="15"/>
  <c r="AJ63" i="15"/>
  <c r="AI64" i="15"/>
  <c r="AJ64" i="15"/>
  <c r="AI65" i="15"/>
  <c r="AJ65" i="15"/>
  <c r="AI66" i="15"/>
  <c r="AJ66" i="15"/>
  <c r="AI67" i="15"/>
  <c r="AJ67" i="15"/>
  <c r="AI68" i="15"/>
  <c r="AJ68" i="15"/>
  <c r="AI69" i="15"/>
  <c r="AJ69" i="15"/>
  <c r="AI70" i="15"/>
  <c r="AJ70" i="15"/>
  <c r="AI71" i="15"/>
  <c r="AJ71" i="15"/>
  <c r="AI72" i="15"/>
  <c r="AJ72" i="15"/>
  <c r="AI73" i="15"/>
  <c r="AJ73" i="15"/>
  <c r="AI74" i="15"/>
  <c r="AJ74" i="15"/>
  <c r="AI75" i="15"/>
  <c r="AJ75" i="15"/>
  <c r="AI76" i="15"/>
  <c r="AJ76" i="15"/>
  <c r="AI77" i="15"/>
  <c r="AJ77" i="15"/>
  <c r="AI78" i="15"/>
  <c r="AJ78" i="15"/>
  <c r="AI79" i="15"/>
  <c r="AJ79" i="15"/>
  <c r="AI80" i="15"/>
  <c r="AJ80" i="15"/>
  <c r="AI81" i="15"/>
  <c r="AJ81" i="15"/>
  <c r="AI82" i="15"/>
  <c r="AJ82" i="15"/>
  <c r="AI83" i="15"/>
  <c r="AJ83" i="15"/>
  <c r="AI84" i="15"/>
  <c r="AJ84" i="15"/>
  <c r="AI85" i="15"/>
  <c r="AJ85" i="15"/>
  <c r="AI86" i="15"/>
  <c r="AJ86" i="15"/>
  <c r="AI87" i="15"/>
  <c r="AJ87" i="15"/>
  <c r="AI88" i="15"/>
  <c r="AJ88" i="15"/>
  <c r="AI89" i="15"/>
  <c r="AJ89" i="15"/>
  <c r="AI90" i="15"/>
  <c r="AJ90" i="15"/>
  <c r="AI91" i="15"/>
  <c r="AJ91" i="15"/>
  <c r="AI92" i="15"/>
  <c r="AJ92" i="15"/>
  <c r="AI93" i="15"/>
  <c r="AJ93" i="15"/>
  <c r="AI94" i="15"/>
  <c r="AJ94" i="15"/>
  <c r="AI95" i="15"/>
  <c r="AJ95" i="15"/>
  <c r="AI96" i="15"/>
  <c r="AJ96" i="15"/>
  <c r="AI97" i="15"/>
  <c r="AJ97" i="15"/>
  <c r="AI98" i="15"/>
  <c r="AJ98" i="15"/>
  <c r="AI99" i="15"/>
  <c r="AJ99" i="15"/>
  <c r="AI100" i="15"/>
  <c r="AJ100" i="15"/>
  <c r="AI101" i="15"/>
  <c r="AJ101" i="15"/>
  <c r="AI102" i="15"/>
  <c r="AJ102" i="15"/>
  <c r="AI103" i="15"/>
  <c r="AJ103" i="15"/>
  <c r="AI104" i="15"/>
  <c r="AJ104" i="15"/>
  <c r="AI105" i="15"/>
  <c r="AJ105" i="15"/>
  <c r="AI106" i="15"/>
  <c r="AJ106" i="15"/>
  <c r="AI107" i="15"/>
  <c r="AJ107" i="15"/>
  <c r="AI108" i="15"/>
  <c r="AJ108" i="15"/>
  <c r="AI109" i="15"/>
  <c r="AJ109" i="15"/>
  <c r="AI110" i="15"/>
  <c r="AJ110" i="15"/>
  <c r="AI111" i="15"/>
  <c r="AJ111" i="15"/>
  <c r="AI112" i="15"/>
  <c r="AJ112" i="15"/>
  <c r="AI113" i="15"/>
  <c r="AJ113" i="15"/>
  <c r="AI114" i="15"/>
  <c r="AJ114" i="15"/>
  <c r="AI115" i="15"/>
  <c r="AJ115" i="15"/>
  <c r="AI116" i="15"/>
  <c r="AJ116" i="15"/>
  <c r="AI117" i="15"/>
  <c r="AJ117" i="15"/>
  <c r="AI118" i="15"/>
  <c r="AJ118" i="15"/>
  <c r="AI119" i="15"/>
  <c r="AJ119" i="15"/>
  <c r="AI120" i="15"/>
  <c r="AJ120" i="15"/>
  <c r="AI121" i="15"/>
  <c r="AJ121" i="15"/>
  <c r="AI122" i="15"/>
  <c r="AJ122" i="15"/>
  <c r="AI123" i="15"/>
  <c r="AJ123" i="15"/>
  <c r="AI124" i="15"/>
  <c r="AJ124" i="15"/>
  <c r="AI125" i="15"/>
  <c r="AJ125" i="15"/>
  <c r="AI126" i="15"/>
  <c r="AJ126" i="15"/>
  <c r="AI127" i="15"/>
  <c r="AJ127" i="15"/>
  <c r="AI128" i="15"/>
  <c r="AJ128" i="15"/>
  <c r="AI129" i="15"/>
  <c r="AJ129" i="15"/>
  <c r="AI130" i="15"/>
  <c r="AJ130" i="15"/>
  <c r="AI131" i="15"/>
  <c r="AJ131" i="15"/>
  <c r="AI132" i="15"/>
  <c r="AJ132" i="15"/>
  <c r="AI133" i="15"/>
  <c r="AJ133" i="15"/>
  <c r="AI134" i="15"/>
  <c r="AJ134" i="15"/>
  <c r="AI135" i="15"/>
  <c r="AJ135" i="15"/>
  <c r="AI136" i="15"/>
  <c r="AJ136" i="15"/>
  <c r="AI137" i="15"/>
  <c r="AJ137" i="15"/>
  <c r="AI138" i="15"/>
  <c r="AJ138" i="15"/>
  <c r="AI139" i="15"/>
  <c r="AJ139" i="15"/>
  <c r="AI140" i="15"/>
  <c r="AJ140" i="15"/>
  <c r="AI141" i="15"/>
  <c r="AJ141" i="15"/>
  <c r="AI142" i="15"/>
  <c r="AJ142" i="15"/>
  <c r="AI143" i="15"/>
  <c r="AJ143" i="15"/>
  <c r="AI144" i="15"/>
  <c r="AJ144" i="15"/>
  <c r="AI145" i="15"/>
  <c r="AJ145" i="15"/>
  <c r="AI146" i="15"/>
  <c r="AJ146" i="15"/>
  <c r="AI147" i="15"/>
  <c r="AJ147" i="15"/>
  <c r="AI148" i="15"/>
  <c r="AJ148" i="15"/>
  <c r="AI149" i="15"/>
  <c r="AJ149" i="15"/>
  <c r="AI150" i="15"/>
  <c r="AJ150" i="15"/>
  <c r="AI151" i="15"/>
  <c r="AJ151" i="15"/>
  <c r="AI152" i="15"/>
  <c r="AJ152" i="15"/>
  <c r="AI153" i="15"/>
  <c r="AJ153" i="15"/>
  <c r="AI154" i="15"/>
  <c r="AJ154" i="15"/>
  <c r="AI155" i="15"/>
  <c r="AJ155" i="15"/>
  <c r="AI156" i="15"/>
  <c r="AJ156" i="15"/>
  <c r="AI157" i="15"/>
  <c r="AJ157" i="15"/>
  <c r="AI158" i="15"/>
  <c r="AJ158" i="15"/>
  <c r="AI159" i="15"/>
  <c r="AJ159" i="15"/>
  <c r="AI160" i="15"/>
  <c r="AJ160" i="15"/>
  <c r="AI161" i="15"/>
  <c r="AJ161" i="15"/>
  <c r="AI162" i="15"/>
  <c r="AJ162" i="15"/>
  <c r="AI163" i="15"/>
  <c r="AJ163" i="15"/>
  <c r="AI164" i="15"/>
  <c r="AJ164" i="15"/>
  <c r="AI165" i="15"/>
  <c r="AJ165" i="15"/>
  <c r="AI166" i="15"/>
  <c r="AJ166" i="15"/>
  <c r="AI167" i="15"/>
  <c r="AJ167" i="15"/>
  <c r="AI168" i="15"/>
  <c r="AJ168" i="15"/>
  <c r="AI169" i="15"/>
  <c r="AJ169" i="15"/>
  <c r="AI170" i="15"/>
  <c r="AJ170" i="15"/>
  <c r="AI171" i="15"/>
  <c r="AJ171" i="15"/>
  <c r="AI172" i="15"/>
  <c r="AJ172" i="15"/>
  <c r="AI173" i="15"/>
  <c r="AJ173" i="15"/>
  <c r="AI174" i="15"/>
  <c r="AJ174" i="15"/>
  <c r="AI175" i="15"/>
  <c r="AJ175" i="15"/>
  <c r="AI176" i="15"/>
  <c r="AJ176" i="15"/>
  <c r="AI177" i="15"/>
  <c r="AJ177" i="15"/>
  <c r="AI178" i="15"/>
  <c r="AJ178" i="15"/>
  <c r="AI179" i="15"/>
  <c r="AJ179" i="15"/>
  <c r="AI180" i="15"/>
  <c r="AJ180" i="15"/>
  <c r="AI181" i="15"/>
  <c r="AJ181" i="15"/>
  <c r="AI182" i="15"/>
  <c r="AJ182" i="15"/>
  <c r="AI183" i="15"/>
  <c r="AJ183" i="15"/>
  <c r="AI184" i="15"/>
  <c r="AJ184" i="15"/>
  <c r="AI185" i="15"/>
  <c r="AJ185" i="15"/>
  <c r="AI186" i="15"/>
  <c r="AJ186" i="15"/>
  <c r="AI187" i="15"/>
  <c r="AJ187" i="15"/>
  <c r="AI188" i="15"/>
  <c r="AJ188" i="15"/>
  <c r="AI189" i="15"/>
  <c r="AJ189" i="15"/>
  <c r="AI190" i="15"/>
  <c r="AJ190" i="15"/>
  <c r="AI191" i="15"/>
  <c r="AJ191" i="15"/>
  <c r="AI192" i="15"/>
  <c r="AJ192" i="15"/>
  <c r="AI193" i="15"/>
  <c r="AJ193" i="15"/>
  <c r="AI194" i="15"/>
  <c r="AJ194" i="15"/>
  <c r="AI195" i="15"/>
  <c r="AJ195" i="15"/>
  <c r="AI196" i="15"/>
  <c r="AJ196" i="15"/>
  <c r="AI197" i="15"/>
  <c r="AJ197" i="15"/>
  <c r="AI198" i="15"/>
  <c r="AJ198" i="15"/>
  <c r="AI199" i="15"/>
  <c r="AJ199" i="15"/>
  <c r="AI200" i="15"/>
  <c r="AJ200" i="15"/>
  <c r="AI201" i="15"/>
  <c r="AJ201" i="15"/>
  <c r="AI202" i="15"/>
  <c r="AJ202" i="15"/>
  <c r="AI203" i="15"/>
  <c r="AJ203" i="15"/>
  <c r="AI204" i="15"/>
  <c r="AJ204" i="15"/>
  <c r="AI205" i="15"/>
  <c r="AJ205" i="15"/>
  <c r="AI206" i="15"/>
  <c r="AJ206" i="15"/>
  <c r="AI207" i="15"/>
  <c r="AJ207" i="15"/>
  <c r="AI208" i="15"/>
  <c r="AJ208" i="15"/>
  <c r="AI209" i="15"/>
  <c r="AJ209" i="15"/>
  <c r="AI210" i="15"/>
  <c r="AJ210" i="15"/>
  <c r="AI211" i="15"/>
  <c r="AJ211" i="15"/>
  <c r="AI212" i="15"/>
  <c r="AJ212" i="15"/>
  <c r="AI213" i="15"/>
  <c r="AJ213" i="15"/>
  <c r="AI214" i="15"/>
  <c r="AJ214" i="15"/>
  <c r="AI215" i="15"/>
  <c r="AJ215" i="15"/>
  <c r="AI216" i="15"/>
  <c r="AJ216" i="15"/>
  <c r="AI217" i="15"/>
  <c r="AJ217" i="15"/>
  <c r="AI218" i="15"/>
  <c r="AJ218" i="15"/>
  <c r="AI219" i="15"/>
  <c r="AJ219" i="15"/>
  <c r="AI220" i="15"/>
  <c r="AJ220" i="15"/>
  <c r="AI221" i="15"/>
  <c r="AJ221" i="15"/>
  <c r="AI222" i="15"/>
  <c r="AJ222" i="15"/>
  <c r="AI223" i="15"/>
  <c r="AJ223" i="15"/>
  <c r="AI224" i="15"/>
  <c r="AJ224" i="15"/>
  <c r="AI225" i="15"/>
  <c r="AJ225" i="15"/>
  <c r="AI226" i="15"/>
  <c r="AJ226" i="15"/>
  <c r="AI227" i="15"/>
  <c r="AJ227" i="15"/>
  <c r="AI228" i="15"/>
  <c r="AJ228" i="15"/>
  <c r="AI229" i="15"/>
  <c r="AJ229" i="15"/>
  <c r="AI230" i="15"/>
  <c r="AJ230" i="15"/>
  <c r="AI231" i="15"/>
  <c r="AJ231" i="15"/>
  <c r="AI232" i="15"/>
  <c r="AJ232" i="15"/>
  <c r="AI233" i="15"/>
  <c r="AJ233" i="15"/>
  <c r="AI234" i="15"/>
  <c r="AJ234" i="15"/>
  <c r="AI235" i="15"/>
  <c r="AJ235" i="15"/>
  <c r="AI236" i="15"/>
  <c r="AJ236" i="15"/>
  <c r="AI237" i="15"/>
  <c r="AJ237" i="15"/>
  <c r="AI238" i="15"/>
  <c r="AJ238" i="15"/>
  <c r="AI239" i="15"/>
  <c r="AJ239" i="15"/>
  <c r="AI240" i="15"/>
  <c r="AJ240" i="15"/>
  <c r="AI241" i="15"/>
  <c r="AJ241" i="15"/>
  <c r="AI242" i="15"/>
  <c r="AJ242" i="15"/>
  <c r="AI243" i="15"/>
  <c r="AJ243" i="15"/>
  <c r="AI244" i="15"/>
  <c r="AJ244" i="15"/>
  <c r="AI245" i="15"/>
  <c r="AJ245" i="15"/>
  <c r="AI246" i="15"/>
  <c r="AJ246" i="15"/>
  <c r="AI247" i="15"/>
  <c r="AJ247" i="15"/>
  <c r="AI248" i="15"/>
  <c r="AJ248" i="15"/>
  <c r="AI249" i="15"/>
  <c r="AJ249" i="15"/>
  <c r="AI250" i="15"/>
  <c r="AJ250" i="15"/>
  <c r="AI251" i="15"/>
  <c r="AJ251" i="15"/>
  <c r="AI252" i="15"/>
  <c r="AJ252" i="15"/>
  <c r="AI253" i="15"/>
  <c r="AJ253" i="15"/>
  <c r="AI254" i="15"/>
  <c r="AJ254" i="15"/>
  <c r="AI255" i="15"/>
  <c r="AJ255" i="15"/>
  <c r="AI256" i="15"/>
  <c r="AJ256" i="15"/>
  <c r="AI257" i="15"/>
  <c r="AJ257" i="15"/>
  <c r="AI258" i="15"/>
  <c r="AJ258" i="15"/>
  <c r="AI259" i="15"/>
  <c r="AJ259" i="15"/>
  <c r="AI260" i="15"/>
  <c r="AJ260" i="15"/>
  <c r="AI261" i="15"/>
  <c r="AJ261" i="15"/>
  <c r="AI262" i="15"/>
  <c r="AJ262" i="15"/>
  <c r="AI263" i="15"/>
  <c r="AJ263" i="15"/>
  <c r="AI264" i="15"/>
  <c r="AJ264" i="15"/>
  <c r="AI265" i="15"/>
  <c r="AJ265" i="15"/>
  <c r="AI266" i="15"/>
  <c r="AJ266" i="15"/>
  <c r="AI267" i="15"/>
  <c r="AJ267" i="15"/>
  <c r="AI268" i="15"/>
  <c r="AJ268" i="15"/>
  <c r="AI269" i="15"/>
  <c r="AJ269" i="15"/>
  <c r="AI270" i="15"/>
  <c r="AJ270" i="15"/>
  <c r="AI271" i="15"/>
  <c r="AJ271" i="15"/>
  <c r="AI272" i="15"/>
  <c r="AJ272" i="15"/>
  <c r="AI273" i="15"/>
  <c r="AJ273" i="15"/>
  <c r="AI274" i="15"/>
  <c r="AJ274" i="15"/>
  <c r="AI275" i="15"/>
  <c r="AJ275" i="15"/>
  <c r="AI276" i="15"/>
  <c r="AJ276" i="15"/>
  <c r="AI277" i="15"/>
  <c r="AJ277" i="15"/>
  <c r="AI278" i="15"/>
  <c r="AJ278" i="15"/>
  <c r="AI279" i="15"/>
  <c r="AJ279" i="15"/>
  <c r="AI280" i="15"/>
  <c r="AJ280" i="15"/>
  <c r="AI281" i="15"/>
  <c r="AJ281" i="15"/>
  <c r="AI282" i="15"/>
  <c r="AJ282" i="15"/>
  <c r="AI283" i="15"/>
  <c r="AJ283" i="15"/>
  <c r="AI284" i="15"/>
  <c r="AJ284" i="15"/>
  <c r="AI285" i="15"/>
  <c r="AJ285" i="15"/>
  <c r="AI286" i="15"/>
  <c r="AJ286" i="15"/>
  <c r="AI287" i="15"/>
  <c r="AJ287" i="15"/>
  <c r="AI288" i="15"/>
  <c r="AJ288" i="15"/>
  <c r="AI289" i="15"/>
  <c r="AJ289" i="15"/>
  <c r="AI290" i="15"/>
  <c r="AJ290" i="15"/>
  <c r="AI291" i="15"/>
  <c r="AJ291" i="15"/>
  <c r="AI292" i="15"/>
  <c r="AJ292" i="15"/>
  <c r="AI293" i="15"/>
  <c r="AJ293" i="15"/>
  <c r="AI294" i="15"/>
  <c r="AJ294" i="15"/>
  <c r="AI295" i="15"/>
  <c r="AJ295" i="15"/>
  <c r="AI296" i="15"/>
  <c r="AJ296" i="15"/>
  <c r="AI297" i="15"/>
  <c r="AJ297" i="15"/>
  <c r="AI298" i="15"/>
  <c r="AJ298" i="15"/>
  <c r="AI299" i="15"/>
  <c r="AJ299" i="15"/>
  <c r="AI300" i="15"/>
  <c r="AJ300" i="15"/>
  <c r="AI301" i="15"/>
  <c r="AJ301" i="15"/>
  <c r="AI302" i="15"/>
  <c r="AJ302" i="15"/>
  <c r="AI303" i="15"/>
  <c r="AJ303" i="15"/>
  <c r="AI304" i="15"/>
  <c r="AJ304" i="15"/>
  <c r="AI305" i="15"/>
  <c r="AJ305" i="15"/>
  <c r="AI306" i="15"/>
  <c r="AJ306" i="15"/>
  <c r="AI307" i="15"/>
  <c r="AJ307" i="15"/>
  <c r="AI308" i="15"/>
  <c r="AJ308" i="15"/>
  <c r="AI309" i="15"/>
  <c r="AJ309" i="15"/>
  <c r="AI310" i="15"/>
  <c r="AJ310" i="15"/>
  <c r="AI311" i="15"/>
  <c r="AJ311" i="15"/>
  <c r="AI312" i="15"/>
  <c r="AJ312" i="15"/>
  <c r="AI313" i="15"/>
  <c r="AJ313" i="15"/>
  <c r="AI314" i="15"/>
  <c r="AJ314" i="15"/>
  <c r="AI315" i="15"/>
  <c r="AJ315" i="15"/>
  <c r="AI316" i="15"/>
  <c r="AJ316" i="15"/>
  <c r="AI317" i="15"/>
  <c r="AJ317" i="15"/>
  <c r="AI318" i="15"/>
  <c r="AJ318" i="15"/>
  <c r="AI319" i="15"/>
  <c r="AJ319" i="15"/>
  <c r="AI320" i="15"/>
  <c r="AJ320" i="15"/>
  <c r="AI321" i="15"/>
  <c r="AJ321" i="15"/>
  <c r="AI322" i="15"/>
  <c r="AJ322" i="15"/>
  <c r="AI323" i="15"/>
  <c r="AJ323" i="15"/>
  <c r="AI324" i="15"/>
  <c r="AJ324" i="15"/>
  <c r="AI325" i="15"/>
  <c r="AJ325" i="15"/>
  <c r="AI326" i="15"/>
  <c r="AJ326" i="15"/>
  <c r="AI327" i="15"/>
  <c r="AJ327" i="15"/>
  <c r="AI328" i="15"/>
  <c r="AJ328" i="15"/>
  <c r="AI329" i="15"/>
  <c r="AJ329" i="15"/>
  <c r="AI330" i="15"/>
  <c r="AJ330" i="15"/>
  <c r="AI331" i="15"/>
  <c r="AJ331" i="15"/>
  <c r="AI332" i="15"/>
  <c r="AJ332" i="15"/>
  <c r="AI333" i="15"/>
  <c r="AJ333" i="15"/>
  <c r="AI334" i="15"/>
  <c r="AJ334" i="15"/>
  <c r="AI335" i="15"/>
  <c r="AJ335" i="15"/>
  <c r="AI336" i="15"/>
  <c r="AJ336" i="15"/>
  <c r="AI337" i="15"/>
  <c r="AJ337" i="15"/>
  <c r="AI338" i="15"/>
  <c r="AJ338" i="15"/>
  <c r="AI339" i="15"/>
  <c r="AJ339" i="15"/>
  <c r="AI340" i="15"/>
  <c r="AJ340" i="15"/>
  <c r="AI341" i="15"/>
  <c r="AJ341" i="15"/>
  <c r="AI342" i="15"/>
  <c r="AJ342" i="15"/>
  <c r="AI343" i="15"/>
  <c r="AJ343" i="15"/>
  <c r="AI344" i="15"/>
  <c r="AJ344" i="15"/>
  <c r="AI345" i="15"/>
  <c r="AJ345" i="15"/>
  <c r="AI346" i="15"/>
  <c r="AJ346" i="15"/>
  <c r="AI347" i="15"/>
  <c r="AJ347" i="15"/>
  <c r="AI348" i="15"/>
  <c r="AJ348" i="15"/>
  <c r="AI349" i="15"/>
  <c r="AJ349" i="15"/>
  <c r="AJ22" i="15"/>
  <c r="AI22" i="15"/>
  <c r="C8" i="96"/>
  <c r="D8" i="96"/>
  <c r="E8" i="96"/>
  <c r="F8" i="96"/>
  <c r="G8" i="96"/>
  <c r="H8" i="96"/>
  <c r="C13" i="96"/>
  <c r="D13" i="96"/>
  <c r="E13" i="96"/>
  <c r="F13" i="96"/>
  <c r="G13" i="96"/>
  <c r="H13" i="96"/>
  <c r="AL23" i="15"/>
  <c r="AM23" i="15"/>
  <c r="AN23" i="15"/>
  <c r="AO23" i="15"/>
  <c r="AP23" i="15"/>
  <c r="AQ23" i="15"/>
  <c r="AR23" i="15"/>
  <c r="AS23" i="15"/>
  <c r="AT23" i="15"/>
  <c r="AU23" i="15"/>
  <c r="AL24" i="15"/>
  <c r="AM24" i="15"/>
  <c r="AN24" i="15"/>
  <c r="AO24" i="15"/>
  <c r="AP24" i="15"/>
  <c r="AQ24" i="15"/>
  <c r="AR24" i="15"/>
  <c r="AS24" i="15"/>
  <c r="AT24" i="15"/>
  <c r="AU24" i="15"/>
  <c r="AL25" i="15"/>
  <c r="AM25" i="15"/>
  <c r="AN25" i="15"/>
  <c r="AO25" i="15"/>
  <c r="AP25" i="15"/>
  <c r="AQ25" i="15"/>
  <c r="AR25" i="15"/>
  <c r="AS25" i="15"/>
  <c r="AT25" i="15"/>
  <c r="AU25" i="15"/>
  <c r="AL26" i="15"/>
  <c r="AM26" i="15"/>
  <c r="AN26" i="15"/>
  <c r="AO26" i="15"/>
  <c r="AP26" i="15"/>
  <c r="AQ26" i="15"/>
  <c r="AR26" i="15"/>
  <c r="AS26" i="15"/>
  <c r="AT26" i="15"/>
  <c r="AU26" i="15"/>
  <c r="AL27" i="15"/>
  <c r="AM27" i="15"/>
  <c r="AN27" i="15"/>
  <c r="AO27" i="15"/>
  <c r="AP27" i="15"/>
  <c r="AQ27" i="15"/>
  <c r="AR27" i="15"/>
  <c r="AS27" i="15"/>
  <c r="AT27" i="15"/>
  <c r="AU27" i="15"/>
  <c r="AL28" i="15"/>
  <c r="AM28" i="15"/>
  <c r="AN28" i="15"/>
  <c r="AO28" i="15"/>
  <c r="AP28" i="15"/>
  <c r="AQ28" i="15"/>
  <c r="AR28" i="15"/>
  <c r="AS28" i="15"/>
  <c r="AT28" i="15"/>
  <c r="AU28" i="15"/>
  <c r="AL29" i="15"/>
  <c r="AM29" i="15"/>
  <c r="AN29" i="15"/>
  <c r="AO29" i="15"/>
  <c r="AP29" i="15"/>
  <c r="AQ29" i="15"/>
  <c r="AR29" i="15"/>
  <c r="AS29" i="15"/>
  <c r="AT29" i="15"/>
  <c r="AU29" i="15"/>
  <c r="AL30" i="15"/>
  <c r="AM30" i="15"/>
  <c r="AN30" i="15"/>
  <c r="AO30" i="15"/>
  <c r="AP30" i="15"/>
  <c r="AQ30" i="15"/>
  <c r="AR30" i="15"/>
  <c r="AS30" i="15"/>
  <c r="AT30" i="15"/>
  <c r="AU30" i="15"/>
  <c r="AL31" i="15"/>
  <c r="AM31" i="15"/>
  <c r="AN31" i="15"/>
  <c r="AO31" i="15"/>
  <c r="AP31" i="15"/>
  <c r="AQ31" i="15"/>
  <c r="AR31" i="15"/>
  <c r="AS31" i="15"/>
  <c r="AT31" i="15"/>
  <c r="AU31" i="15"/>
  <c r="AL32" i="15"/>
  <c r="AM32" i="15"/>
  <c r="AN32" i="15"/>
  <c r="AO32" i="15"/>
  <c r="AP32" i="15"/>
  <c r="AQ32" i="15"/>
  <c r="AR32" i="15"/>
  <c r="AS32" i="15"/>
  <c r="AT32" i="15"/>
  <c r="AU32" i="15"/>
  <c r="AL33" i="15"/>
  <c r="AM33" i="15"/>
  <c r="AN33" i="15"/>
  <c r="AO33" i="15"/>
  <c r="AP33" i="15"/>
  <c r="AQ33" i="15"/>
  <c r="AR33" i="15"/>
  <c r="AS33" i="15"/>
  <c r="AT33" i="15"/>
  <c r="AU33" i="15"/>
  <c r="AL34" i="15"/>
  <c r="AM34" i="15"/>
  <c r="AN34" i="15"/>
  <c r="AO34" i="15"/>
  <c r="AP34" i="15"/>
  <c r="AQ34" i="15"/>
  <c r="AR34" i="15"/>
  <c r="AS34" i="15"/>
  <c r="AT34" i="15"/>
  <c r="AU34" i="15"/>
  <c r="AL35" i="15"/>
  <c r="AM35" i="15"/>
  <c r="AN35" i="15"/>
  <c r="AO35" i="15"/>
  <c r="AP35" i="15"/>
  <c r="AQ35" i="15"/>
  <c r="AR35" i="15"/>
  <c r="AS35" i="15"/>
  <c r="AT35" i="15"/>
  <c r="AU35" i="15"/>
  <c r="AL36" i="15"/>
  <c r="AM36" i="15"/>
  <c r="AN36" i="15"/>
  <c r="AO36" i="15"/>
  <c r="AP36" i="15"/>
  <c r="AQ36" i="15"/>
  <c r="AR36" i="15"/>
  <c r="AS36" i="15"/>
  <c r="AT36" i="15"/>
  <c r="AU36" i="15"/>
  <c r="AL37" i="15"/>
  <c r="AM37" i="15"/>
  <c r="AN37" i="15"/>
  <c r="AO37" i="15"/>
  <c r="AP37" i="15"/>
  <c r="AQ37" i="15"/>
  <c r="AR37" i="15"/>
  <c r="AS37" i="15"/>
  <c r="AT37" i="15"/>
  <c r="AU37" i="15"/>
  <c r="AL38" i="15"/>
  <c r="AM38" i="15"/>
  <c r="AN38" i="15"/>
  <c r="AO38" i="15"/>
  <c r="AP38" i="15"/>
  <c r="AQ38" i="15"/>
  <c r="AR38" i="15"/>
  <c r="AS38" i="15"/>
  <c r="AT38" i="15"/>
  <c r="AU38" i="15"/>
  <c r="AL39" i="15"/>
  <c r="AM39" i="15"/>
  <c r="AN39" i="15"/>
  <c r="AO39" i="15"/>
  <c r="AP39" i="15"/>
  <c r="AQ39" i="15"/>
  <c r="AR39" i="15"/>
  <c r="AS39" i="15"/>
  <c r="AT39" i="15"/>
  <c r="AU39" i="15"/>
  <c r="AL40" i="15"/>
  <c r="AM40" i="15"/>
  <c r="AN40" i="15"/>
  <c r="AO40" i="15"/>
  <c r="AP40" i="15"/>
  <c r="AQ40" i="15"/>
  <c r="AR40" i="15"/>
  <c r="AS40" i="15"/>
  <c r="AT40" i="15"/>
  <c r="AU40" i="15"/>
  <c r="AL41" i="15"/>
  <c r="AM41" i="15"/>
  <c r="AN41" i="15"/>
  <c r="AO41" i="15"/>
  <c r="AP41" i="15"/>
  <c r="AQ41" i="15"/>
  <c r="AR41" i="15"/>
  <c r="AS41" i="15"/>
  <c r="AT41" i="15"/>
  <c r="AU41" i="15"/>
  <c r="AL42" i="15"/>
  <c r="AM42" i="15"/>
  <c r="AN42" i="15"/>
  <c r="AO42" i="15"/>
  <c r="AP42" i="15"/>
  <c r="AQ42" i="15"/>
  <c r="AR42" i="15"/>
  <c r="AS42" i="15"/>
  <c r="AT42" i="15"/>
  <c r="AU42" i="15"/>
  <c r="AL43" i="15"/>
  <c r="AM43" i="15"/>
  <c r="AN43" i="15"/>
  <c r="AO43" i="15"/>
  <c r="AP43" i="15"/>
  <c r="AQ43" i="15"/>
  <c r="AR43" i="15"/>
  <c r="AS43" i="15"/>
  <c r="AT43" i="15"/>
  <c r="AU43" i="15"/>
  <c r="AL44" i="15"/>
  <c r="AM44" i="15"/>
  <c r="AN44" i="15"/>
  <c r="AO44" i="15"/>
  <c r="AP44" i="15"/>
  <c r="AQ44" i="15"/>
  <c r="AR44" i="15"/>
  <c r="AS44" i="15"/>
  <c r="AT44" i="15"/>
  <c r="AU44" i="15"/>
  <c r="AL45" i="15"/>
  <c r="AM45" i="15"/>
  <c r="AN45" i="15"/>
  <c r="AO45" i="15"/>
  <c r="AP45" i="15"/>
  <c r="AQ45" i="15"/>
  <c r="AR45" i="15"/>
  <c r="AS45" i="15"/>
  <c r="AT45" i="15"/>
  <c r="AU45" i="15"/>
  <c r="AL46" i="15"/>
  <c r="AM46" i="15"/>
  <c r="AN46" i="15"/>
  <c r="AO46" i="15"/>
  <c r="AP46" i="15"/>
  <c r="AQ46" i="15"/>
  <c r="AR46" i="15"/>
  <c r="AS46" i="15"/>
  <c r="AT46" i="15"/>
  <c r="AU46" i="15"/>
  <c r="AL47" i="15"/>
  <c r="AM47" i="15"/>
  <c r="AN47" i="15"/>
  <c r="AO47" i="15"/>
  <c r="AP47" i="15"/>
  <c r="AQ47" i="15"/>
  <c r="AR47" i="15"/>
  <c r="AS47" i="15"/>
  <c r="AT47" i="15"/>
  <c r="AU47" i="15"/>
  <c r="AL48" i="15"/>
  <c r="AM48" i="15"/>
  <c r="AN48" i="15"/>
  <c r="AO48" i="15"/>
  <c r="AP48" i="15"/>
  <c r="AQ48" i="15"/>
  <c r="AR48" i="15"/>
  <c r="AS48" i="15"/>
  <c r="AT48" i="15"/>
  <c r="AU48" i="15"/>
  <c r="AL49" i="15"/>
  <c r="AM49" i="15"/>
  <c r="AN49" i="15"/>
  <c r="AO49" i="15"/>
  <c r="AP49" i="15"/>
  <c r="AQ49" i="15"/>
  <c r="AR49" i="15"/>
  <c r="AS49" i="15"/>
  <c r="AT49" i="15"/>
  <c r="AU49" i="15"/>
  <c r="AL50" i="15"/>
  <c r="AM50" i="15"/>
  <c r="AN50" i="15"/>
  <c r="AO50" i="15"/>
  <c r="AP50" i="15"/>
  <c r="AQ50" i="15"/>
  <c r="AR50" i="15"/>
  <c r="AS50" i="15"/>
  <c r="AT50" i="15"/>
  <c r="AU50" i="15"/>
  <c r="AL51" i="15"/>
  <c r="AM51" i="15"/>
  <c r="AN51" i="15"/>
  <c r="AO51" i="15"/>
  <c r="AP51" i="15"/>
  <c r="AQ51" i="15"/>
  <c r="AR51" i="15"/>
  <c r="AS51" i="15"/>
  <c r="AT51" i="15"/>
  <c r="AU51" i="15"/>
  <c r="AL52" i="15"/>
  <c r="AM52" i="15"/>
  <c r="AN52" i="15"/>
  <c r="AO52" i="15"/>
  <c r="AP52" i="15"/>
  <c r="AQ52" i="15"/>
  <c r="AR52" i="15"/>
  <c r="AS52" i="15"/>
  <c r="AT52" i="15"/>
  <c r="AU52" i="15"/>
  <c r="AL53" i="15"/>
  <c r="AM53" i="15"/>
  <c r="AN53" i="15"/>
  <c r="AO53" i="15"/>
  <c r="AP53" i="15"/>
  <c r="AQ53" i="15"/>
  <c r="AR53" i="15"/>
  <c r="AS53" i="15"/>
  <c r="AT53" i="15"/>
  <c r="AU53" i="15"/>
  <c r="AL54" i="15"/>
  <c r="AM54" i="15"/>
  <c r="AN54" i="15"/>
  <c r="AO54" i="15"/>
  <c r="AP54" i="15"/>
  <c r="AQ54" i="15"/>
  <c r="AR54" i="15"/>
  <c r="AS54" i="15"/>
  <c r="AT54" i="15"/>
  <c r="AU54" i="15"/>
  <c r="AL55" i="15"/>
  <c r="AM55" i="15"/>
  <c r="AN55" i="15"/>
  <c r="AO55" i="15"/>
  <c r="AP55" i="15"/>
  <c r="AQ55" i="15"/>
  <c r="AR55" i="15"/>
  <c r="AS55" i="15"/>
  <c r="AT55" i="15"/>
  <c r="AU55" i="15"/>
  <c r="AL56" i="15"/>
  <c r="AM56" i="15"/>
  <c r="AN56" i="15"/>
  <c r="AO56" i="15"/>
  <c r="AP56" i="15"/>
  <c r="AQ56" i="15"/>
  <c r="AR56" i="15"/>
  <c r="AS56" i="15"/>
  <c r="AT56" i="15"/>
  <c r="AU56" i="15"/>
  <c r="AL57" i="15"/>
  <c r="AM57" i="15"/>
  <c r="AN57" i="15"/>
  <c r="AO57" i="15"/>
  <c r="AP57" i="15"/>
  <c r="AQ57" i="15"/>
  <c r="AR57" i="15"/>
  <c r="AS57" i="15"/>
  <c r="AT57" i="15"/>
  <c r="AU57" i="15"/>
  <c r="AL58" i="15"/>
  <c r="AM58" i="15"/>
  <c r="AN58" i="15"/>
  <c r="AO58" i="15"/>
  <c r="AP58" i="15"/>
  <c r="AQ58" i="15"/>
  <c r="AR58" i="15"/>
  <c r="AS58" i="15"/>
  <c r="AT58" i="15"/>
  <c r="AU58" i="15"/>
  <c r="AL59" i="15"/>
  <c r="AM59" i="15"/>
  <c r="AN59" i="15"/>
  <c r="AO59" i="15"/>
  <c r="AP59" i="15"/>
  <c r="AQ59" i="15"/>
  <c r="AR59" i="15"/>
  <c r="AS59" i="15"/>
  <c r="AT59" i="15"/>
  <c r="AU59" i="15"/>
  <c r="AL60" i="15"/>
  <c r="AM60" i="15"/>
  <c r="AN60" i="15"/>
  <c r="AO60" i="15"/>
  <c r="AP60" i="15"/>
  <c r="AQ60" i="15"/>
  <c r="AR60" i="15"/>
  <c r="AS60" i="15"/>
  <c r="AT60" i="15"/>
  <c r="AU60" i="15"/>
  <c r="AL61" i="15"/>
  <c r="AM61" i="15"/>
  <c r="AN61" i="15"/>
  <c r="AO61" i="15"/>
  <c r="AP61" i="15"/>
  <c r="AQ61" i="15"/>
  <c r="AR61" i="15"/>
  <c r="AS61" i="15"/>
  <c r="AT61" i="15"/>
  <c r="AU61" i="15"/>
  <c r="AL62" i="15"/>
  <c r="AM62" i="15"/>
  <c r="AN62" i="15"/>
  <c r="AO62" i="15"/>
  <c r="AP62" i="15"/>
  <c r="AQ62" i="15"/>
  <c r="AR62" i="15"/>
  <c r="AS62" i="15"/>
  <c r="AT62" i="15"/>
  <c r="AU62" i="15"/>
  <c r="AL63" i="15"/>
  <c r="AM63" i="15"/>
  <c r="AN63" i="15"/>
  <c r="AO63" i="15"/>
  <c r="AP63" i="15"/>
  <c r="AQ63" i="15"/>
  <c r="AR63" i="15"/>
  <c r="AS63" i="15"/>
  <c r="AT63" i="15"/>
  <c r="AU63" i="15"/>
  <c r="AL64" i="15"/>
  <c r="AM64" i="15"/>
  <c r="AN64" i="15"/>
  <c r="AO64" i="15"/>
  <c r="AP64" i="15"/>
  <c r="AQ64" i="15"/>
  <c r="AR64" i="15"/>
  <c r="AS64" i="15"/>
  <c r="AT64" i="15"/>
  <c r="AU64" i="15"/>
  <c r="AL65" i="15"/>
  <c r="AM65" i="15"/>
  <c r="AN65" i="15"/>
  <c r="AO65" i="15"/>
  <c r="AP65" i="15"/>
  <c r="AQ65" i="15"/>
  <c r="AR65" i="15"/>
  <c r="AS65" i="15"/>
  <c r="AT65" i="15"/>
  <c r="AU65" i="15"/>
  <c r="AL66" i="15"/>
  <c r="AM66" i="15"/>
  <c r="AN66" i="15"/>
  <c r="AO66" i="15"/>
  <c r="AP66" i="15"/>
  <c r="AQ66" i="15"/>
  <c r="AR66" i="15"/>
  <c r="AS66" i="15"/>
  <c r="AT66" i="15"/>
  <c r="AU66" i="15"/>
  <c r="AL67" i="15"/>
  <c r="AM67" i="15"/>
  <c r="AN67" i="15"/>
  <c r="AO67" i="15"/>
  <c r="AP67" i="15"/>
  <c r="AQ67" i="15"/>
  <c r="AR67" i="15"/>
  <c r="AS67" i="15"/>
  <c r="AT67" i="15"/>
  <c r="AU67" i="15"/>
  <c r="AL68" i="15"/>
  <c r="AM68" i="15"/>
  <c r="AN68" i="15"/>
  <c r="AO68" i="15"/>
  <c r="AP68" i="15"/>
  <c r="AQ68" i="15"/>
  <c r="AR68" i="15"/>
  <c r="AS68" i="15"/>
  <c r="AT68" i="15"/>
  <c r="AU68" i="15"/>
  <c r="AL69" i="15"/>
  <c r="AM69" i="15"/>
  <c r="AN69" i="15"/>
  <c r="AO69" i="15"/>
  <c r="AP69" i="15"/>
  <c r="AQ69" i="15"/>
  <c r="AR69" i="15"/>
  <c r="AS69" i="15"/>
  <c r="AT69" i="15"/>
  <c r="AU69" i="15"/>
  <c r="AL70" i="15"/>
  <c r="AM70" i="15"/>
  <c r="AN70" i="15"/>
  <c r="AO70" i="15"/>
  <c r="AP70" i="15"/>
  <c r="AQ70" i="15"/>
  <c r="AR70" i="15"/>
  <c r="AS70" i="15"/>
  <c r="AT70" i="15"/>
  <c r="AU70" i="15"/>
  <c r="AL71" i="15"/>
  <c r="AM71" i="15"/>
  <c r="AN71" i="15"/>
  <c r="AO71" i="15"/>
  <c r="AP71" i="15"/>
  <c r="AQ71" i="15"/>
  <c r="AR71" i="15"/>
  <c r="AS71" i="15"/>
  <c r="AT71" i="15"/>
  <c r="AU71" i="15"/>
  <c r="AL72" i="15"/>
  <c r="AM72" i="15"/>
  <c r="AN72" i="15"/>
  <c r="AO72" i="15"/>
  <c r="AP72" i="15"/>
  <c r="AQ72" i="15"/>
  <c r="AR72" i="15"/>
  <c r="AS72" i="15"/>
  <c r="AT72" i="15"/>
  <c r="AU72" i="15"/>
  <c r="AL73" i="15"/>
  <c r="AM73" i="15"/>
  <c r="AN73" i="15"/>
  <c r="AO73" i="15"/>
  <c r="AP73" i="15"/>
  <c r="AQ73" i="15"/>
  <c r="AR73" i="15"/>
  <c r="AS73" i="15"/>
  <c r="AT73" i="15"/>
  <c r="AU73" i="15"/>
  <c r="AL74" i="15"/>
  <c r="AM74" i="15"/>
  <c r="AN74" i="15"/>
  <c r="AO74" i="15"/>
  <c r="AP74" i="15"/>
  <c r="AQ74" i="15"/>
  <c r="AR74" i="15"/>
  <c r="AS74" i="15"/>
  <c r="AT74" i="15"/>
  <c r="AU74" i="15"/>
  <c r="AL75" i="15"/>
  <c r="AM75" i="15"/>
  <c r="AN75" i="15"/>
  <c r="AO75" i="15"/>
  <c r="AP75" i="15"/>
  <c r="AQ75" i="15"/>
  <c r="AR75" i="15"/>
  <c r="AS75" i="15"/>
  <c r="AT75" i="15"/>
  <c r="AU75" i="15"/>
  <c r="AL76" i="15"/>
  <c r="AM76" i="15"/>
  <c r="AN76" i="15"/>
  <c r="AO76" i="15"/>
  <c r="AP76" i="15"/>
  <c r="AQ76" i="15"/>
  <c r="AR76" i="15"/>
  <c r="AS76" i="15"/>
  <c r="AT76" i="15"/>
  <c r="AU76" i="15"/>
  <c r="AL77" i="15"/>
  <c r="AM77" i="15"/>
  <c r="AN77" i="15"/>
  <c r="AO77" i="15"/>
  <c r="AP77" i="15"/>
  <c r="AQ77" i="15"/>
  <c r="AR77" i="15"/>
  <c r="AS77" i="15"/>
  <c r="AT77" i="15"/>
  <c r="AU77" i="15"/>
  <c r="AL78" i="15"/>
  <c r="AM78" i="15"/>
  <c r="AN78" i="15"/>
  <c r="AO78" i="15"/>
  <c r="AP78" i="15"/>
  <c r="AQ78" i="15"/>
  <c r="AR78" i="15"/>
  <c r="AS78" i="15"/>
  <c r="AT78" i="15"/>
  <c r="AU78" i="15"/>
  <c r="AL79" i="15"/>
  <c r="AM79" i="15"/>
  <c r="AN79" i="15"/>
  <c r="AO79" i="15"/>
  <c r="AP79" i="15"/>
  <c r="AQ79" i="15"/>
  <c r="AR79" i="15"/>
  <c r="AS79" i="15"/>
  <c r="AT79" i="15"/>
  <c r="AU79" i="15"/>
  <c r="AL80" i="15"/>
  <c r="AM80" i="15"/>
  <c r="AN80" i="15"/>
  <c r="AO80" i="15"/>
  <c r="AP80" i="15"/>
  <c r="AQ80" i="15"/>
  <c r="AR80" i="15"/>
  <c r="AS80" i="15"/>
  <c r="AT80" i="15"/>
  <c r="AU80" i="15"/>
  <c r="AL81" i="15"/>
  <c r="AM81" i="15"/>
  <c r="AN81" i="15"/>
  <c r="AO81" i="15"/>
  <c r="AP81" i="15"/>
  <c r="AQ81" i="15"/>
  <c r="AR81" i="15"/>
  <c r="AS81" i="15"/>
  <c r="AT81" i="15"/>
  <c r="AU81" i="15"/>
  <c r="AL82" i="15"/>
  <c r="AM82" i="15"/>
  <c r="AN82" i="15"/>
  <c r="AO82" i="15"/>
  <c r="AP82" i="15"/>
  <c r="AQ82" i="15"/>
  <c r="AR82" i="15"/>
  <c r="AS82" i="15"/>
  <c r="AT82" i="15"/>
  <c r="AU82" i="15"/>
  <c r="AL83" i="15"/>
  <c r="AM83" i="15"/>
  <c r="AN83" i="15"/>
  <c r="AO83" i="15"/>
  <c r="AP83" i="15"/>
  <c r="AQ83" i="15"/>
  <c r="AR83" i="15"/>
  <c r="AS83" i="15"/>
  <c r="AT83" i="15"/>
  <c r="AU83" i="15"/>
  <c r="AL84" i="15"/>
  <c r="AM84" i="15"/>
  <c r="AN84" i="15"/>
  <c r="AO84" i="15"/>
  <c r="AP84" i="15"/>
  <c r="AQ84" i="15"/>
  <c r="AR84" i="15"/>
  <c r="AS84" i="15"/>
  <c r="AT84" i="15"/>
  <c r="AU84" i="15"/>
  <c r="AL85" i="15"/>
  <c r="AM85" i="15"/>
  <c r="AN85" i="15"/>
  <c r="AO85" i="15"/>
  <c r="AP85" i="15"/>
  <c r="AQ85" i="15"/>
  <c r="AR85" i="15"/>
  <c r="AS85" i="15"/>
  <c r="AT85" i="15"/>
  <c r="AU85" i="15"/>
  <c r="AL86" i="15"/>
  <c r="AM86" i="15"/>
  <c r="AN86" i="15"/>
  <c r="AO86" i="15"/>
  <c r="AP86" i="15"/>
  <c r="AQ86" i="15"/>
  <c r="AR86" i="15"/>
  <c r="AS86" i="15"/>
  <c r="AT86" i="15"/>
  <c r="AU86" i="15"/>
  <c r="AL87" i="15"/>
  <c r="AM87" i="15"/>
  <c r="AN87" i="15"/>
  <c r="AO87" i="15"/>
  <c r="AP87" i="15"/>
  <c r="AQ87" i="15"/>
  <c r="AR87" i="15"/>
  <c r="AS87" i="15"/>
  <c r="AT87" i="15"/>
  <c r="AU87" i="15"/>
  <c r="AL88" i="15"/>
  <c r="AM88" i="15"/>
  <c r="AN88" i="15"/>
  <c r="AO88" i="15"/>
  <c r="AP88" i="15"/>
  <c r="AQ88" i="15"/>
  <c r="AR88" i="15"/>
  <c r="AS88" i="15"/>
  <c r="AT88" i="15"/>
  <c r="AU88" i="15"/>
  <c r="AL89" i="15"/>
  <c r="AM89" i="15"/>
  <c r="AN89" i="15"/>
  <c r="AO89" i="15"/>
  <c r="AP89" i="15"/>
  <c r="AQ89" i="15"/>
  <c r="AR89" i="15"/>
  <c r="AS89" i="15"/>
  <c r="AT89" i="15"/>
  <c r="AU89" i="15"/>
  <c r="AL90" i="15"/>
  <c r="AM90" i="15"/>
  <c r="AN90" i="15"/>
  <c r="AO90" i="15"/>
  <c r="AP90" i="15"/>
  <c r="AQ90" i="15"/>
  <c r="AR90" i="15"/>
  <c r="AS90" i="15"/>
  <c r="AT90" i="15"/>
  <c r="AU90" i="15"/>
  <c r="AL91" i="15"/>
  <c r="AM91" i="15"/>
  <c r="AN91" i="15"/>
  <c r="AO91" i="15"/>
  <c r="AP91" i="15"/>
  <c r="AQ91" i="15"/>
  <c r="AR91" i="15"/>
  <c r="AS91" i="15"/>
  <c r="AT91" i="15"/>
  <c r="AU91" i="15"/>
  <c r="AL92" i="15"/>
  <c r="AM92" i="15"/>
  <c r="AN92" i="15"/>
  <c r="AO92" i="15"/>
  <c r="AP92" i="15"/>
  <c r="AQ92" i="15"/>
  <c r="AR92" i="15"/>
  <c r="AS92" i="15"/>
  <c r="AT92" i="15"/>
  <c r="AU92" i="15"/>
  <c r="AL93" i="15"/>
  <c r="AM93" i="15"/>
  <c r="AN93" i="15"/>
  <c r="AO93" i="15"/>
  <c r="AP93" i="15"/>
  <c r="AQ93" i="15"/>
  <c r="AR93" i="15"/>
  <c r="AS93" i="15"/>
  <c r="AT93" i="15"/>
  <c r="AU93" i="15"/>
  <c r="AL94" i="15"/>
  <c r="AM94" i="15"/>
  <c r="AN94" i="15"/>
  <c r="AO94" i="15"/>
  <c r="AP94" i="15"/>
  <c r="AQ94" i="15"/>
  <c r="AR94" i="15"/>
  <c r="AS94" i="15"/>
  <c r="AT94" i="15"/>
  <c r="AU94" i="15"/>
  <c r="AL95" i="15"/>
  <c r="AM95" i="15"/>
  <c r="AN95" i="15"/>
  <c r="AO95" i="15"/>
  <c r="AP95" i="15"/>
  <c r="AQ95" i="15"/>
  <c r="AR95" i="15"/>
  <c r="AS95" i="15"/>
  <c r="AT95" i="15"/>
  <c r="AU95" i="15"/>
  <c r="AL96" i="15"/>
  <c r="AM96" i="15"/>
  <c r="AN96" i="15"/>
  <c r="AO96" i="15"/>
  <c r="AP96" i="15"/>
  <c r="AQ96" i="15"/>
  <c r="AR96" i="15"/>
  <c r="AS96" i="15"/>
  <c r="AT96" i="15"/>
  <c r="AU96" i="15"/>
  <c r="AL97" i="15"/>
  <c r="AM97" i="15"/>
  <c r="AN97" i="15"/>
  <c r="AO97" i="15"/>
  <c r="AP97" i="15"/>
  <c r="AQ97" i="15"/>
  <c r="AR97" i="15"/>
  <c r="AS97" i="15"/>
  <c r="AT97" i="15"/>
  <c r="AU97" i="15"/>
  <c r="AL98" i="15"/>
  <c r="AM98" i="15"/>
  <c r="AN98" i="15"/>
  <c r="AO98" i="15"/>
  <c r="AP98" i="15"/>
  <c r="AQ98" i="15"/>
  <c r="AR98" i="15"/>
  <c r="AS98" i="15"/>
  <c r="AT98" i="15"/>
  <c r="AU98" i="15"/>
  <c r="AL99" i="15"/>
  <c r="AM99" i="15"/>
  <c r="AN99" i="15"/>
  <c r="AO99" i="15"/>
  <c r="AP99" i="15"/>
  <c r="AQ99" i="15"/>
  <c r="AR99" i="15"/>
  <c r="AS99" i="15"/>
  <c r="AT99" i="15"/>
  <c r="AU99" i="15"/>
  <c r="AL100" i="15"/>
  <c r="AM100" i="15"/>
  <c r="AN100" i="15"/>
  <c r="AO100" i="15"/>
  <c r="AP100" i="15"/>
  <c r="AQ100" i="15"/>
  <c r="AR100" i="15"/>
  <c r="AS100" i="15"/>
  <c r="AT100" i="15"/>
  <c r="AU100" i="15"/>
  <c r="AL101" i="15"/>
  <c r="AM101" i="15"/>
  <c r="AN101" i="15"/>
  <c r="AO101" i="15"/>
  <c r="AP101" i="15"/>
  <c r="AQ101" i="15"/>
  <c r="AR101" i="15"/>
  <c r="AS101" i="15"/>
  <c r="AT101" i="15"/>
  <c r="AU101" i="15"/>
  <c r="AL102" i="15"/>
  <c r="AM102" i="15"/>
  <c r="AN102" i="15"/>
  <c r="AO102" i="15"/>
  <c r="AP102" i="15"/>
  <c r="AQ102" i="15"/>
  <c r="AR102" i="15"/>
  <c r="AS102" i="15"/>
  <c r="AT102" i="15"/>
  <c r="AU102" i="15"/>
  <c r="AL103" i="15"/>
  <c r="AM103" i="15"/>
  <c r="AN103" i="15"/>
  <c r="AO103" i="15"/>
  <c r="AP103" i="15"/>
  <c r="AQ103" i="15"/>
  <c r="AR103" i="15"/>
  <c r="AS103" i="15"/>
  <c r="AT103" i="15"/>
  <c r="AU103" i="15"/>
  <c r="AL104" i="15"/>
  <c r="AM104" i="15"/>
  <c r="AN104" i="15"/>
  <c r="AO104" i="15"/>
  <c r="AP104" i="15"/>
  <c r="AQ104" i="15"/>
  <c r="AR104" i="15"/>
  <c r="AS104" i="15"/>
  <c r="AT104" i="15"/>
  <c r="AU104" i="15"/>
  <c r="AL105" i="15"/>
  <c r="AM105" i="15"/>
  <c r="AN105" i="15"/>
  <c r="AO105" i="15"/>
  <c r="AP105" i="15"/>
  <c r="AQ105" i="15"/>
  <c r="AR105" i="15"/>
  <c r="AS105" i="15"/>
  <c r="AT105" i="15"/>
  <c r="AU105" i="15"/>
  <c r="AL106" i="15"/>
  <c r="AM106" i="15"/>
  <c r="AN106" i="15"/>
  <c r="AO106" i="15"/>
  <c r="AP106" i="15"/>
  <c r="AQ106" i="15"/>
  <c r="AR106" i="15"/>
  <c r="AS106" i="15"/>
  <c r="AT106" i="15"/>
  <c r="AU106" i="15"/>
  <c r="AL107" i="15"/>
  <c r="AM107" i="15"/>
  <c r="AN107" i="15"/>
  <c r="AO107" i="15"/>
  <c r="AP107" i="15"/>
  <c r="AQ107" i="15"/>
  <c r="AR107" i="15"/>
  <c r="AS107" i="15"/>
  <c r="AT107" i="15"/>
  <c r="AU107" i="15"/>
  <c r="AL108" i="15"/>
  <c r="AM108" i="15"/>
  <c r="AN108" i="15"/>
  <c r="AO108" i="15"/>
  <c r="AP108" i="15"/>
  <c r="AQ108" i="15"/>
  <c r="AR108" i="15"/>
  <c r="AS108" i="15"/>
  <c r="AT108" i="15"/>
  <c r="AU108" i="15"/>
  <c r="AL109" i="15"/>
  <c r="AM109" i="15"/>
  <c r="AN109" i="15"/>
  <c r="AO109" i="15"/>
  <c r="AP109" i="15"/>
  <c r="AQ109" i="15"/>
  <c r="AR109" i="15"/>
  <c r="AS109" i="15"/>
  <c r="AT109" i="15"/>
  <c r="AU109" i="15"/>
  <c r="AL110" i="15"/>
  <c r="AM110" i="15"/>
  <c r="AN110" i="15"/>
  <c r="AO110" i="15"/>
  <c r="AP110" i="15"/>
  <c r="AQ110" i="15"/>
  <c r="AR110" i="15"/>
  <c r="AS110" i="15"/>
  <c r="AT110" i="15"/>
  <c r="AU110" i="15"/>
  <c r="AL111" i="15"/>
  <c r="AM111" i="15"/>
  <c r="AN111" i="15"/>
  <c r="AO111" i="15"/>
  <c r="AP111" i="15"/>
  <c r="AQ111" i="15"/>
  <c r="AR111" i="15"/>
  <c r="AS111" i="15"/>
  <c r="AT111" i="15"/>
  <c r="AU111" i="15"/>
  <c r="AL112" i="15"/>
  <c r="AM112" i="15"/>
  <c r="AN112" i="15"/>
  <c r="AO112" i="15"/>
  <c r="AP112" i="15"/>
  <c r="AQ112" i="15"/>
  <c r="AR112" i="15"/>
  <c r="AS112" i="15"/>
  <c r="AT112" i="15"/>
  <c r="AU112" i="15"/>
  <c r="AL113" i="15"/>
  <c r="AM113" i="15"/>
  <c r="AN113" i="15"/>
  <c r="AO113" i="15"/>
  <c r="AP113" i="15"/>
  <c r="AQ113" i="15"/>
  <c r="AR113" i="15"/>
  <c r="AS113" i="15"/>
  <c r="AT113" i="15"/>
  <c r="AU113" i="15"/>
  <c r="AL114" i="15"/>
  <c r="AM114" i="15"/>
  <c r="AN114" i="15"/>
  <c r="AO114" i="15"/>
  <c r="AP114" i="15"/>
  <c r="AQ114" i="15"/>
  <c r="AR114" i="15"/>
  <c r="AS114" i="15"/>
  <c r="AT114" i="15"/>
  <c r="AU114" i="15"/>
  <c r="AL115" i="15"/>
  <c r="AM115" i="15"/>
  <c r="AN115" i="15"/>
  <c r="AO115" i="15"/>
  <c r="AP115" i="15"/>
  <c r="AQ115" i="15"/>
  <c r="AR115" i="15"/>
  <c r="AS115" i="15"/>
  <c r="AT115" i="15"/>
  <c r="AU115" i="15"/>
  <c r="AL116" i="15"/>
  <c r="AM116" i="15"/>
  <c r="AN116" i="15"/>
  <c r="AO116" i="15"/>
  <c r="AP116" i="15"/>
  <c r="AQ116" i="15"/>
  <c r="AR116" i="15"/>
  <c r="AS116" i="15"/>
  <c r="AT116" i="15"/>
  <c r="AU116" i="15"/>
  <c r="AL117" i="15"/>
  <c r="AM117" i="15"/>
  <c r="AN117" i="15"/>
  <c r="AO117" i="15"/>
  <c r="AP117" i="15"/>
  <c r="AQ117" i="15"/>
  <c r="AR117" i="15"/>
  <c r="AS117" i="15"/>
  <c r="AT117" i="15"/>
  <c r="AU117" i="15"/>
  <c r="AL118" i="15"/>
  <c r="AM118" i="15"/>
  <c r="AN118" i="15"/>
  <c r="AO118" i="15"/>
  <c r="AP118" i="15"/>
  <c r="AQ118" i="15"/>
  <c r="AR118" i="15"/>
  <c r="AS118" i="15"/>
  <c r="AT118" i="15"/>
  <c r="AU118" i="15"/>
  <c r="AL119" i="15"/>
  <c r="AM119" i="15"/>
  <c r="AN119" i="15"/>
  <c r="AO119" i="15"/>
  <c r="AP119" i="15"/>
  <c r="AQ119" i="15"/>
  <c r="AR119" i="15"/>
  <c r="AS119" i="15"/>
  <c r="AT119" i="15"/>
  <c r="AU119" i="15"/>
  <c r="AL120" i="15"/>
  <c r="AM120" i="15"/>
  <c r="AN120" i="15"/>
  <c r="AO120" i="15"/>
  <c r="AP120" i="15"/>
  <c r="AQ120" i="15"/>
  <c r="AR120" i="15"/>
  <c r="AS120" i="15"/>
  <c r="AT120" i="15"/>
  <c r="AU120" i="15"/>
  <c r="AL121" i="15"/>
  <c r="AM121" i="15"/>
  <c r="AN121" i="15"/>
  <c r="AO121" i="15"/>
  <c r="AP121" i="15"/>
  <c r="AQ121" i="15"/>
  <c r="AR121" i="15"/>
  <c r="AS121" i="15"/>
  <c r="AT121" i="15"/>
  <c r="AU121" i="15"/>
  <c r="AL122" i="15"/>
  <c r="AM122" i="15"/>
  <c r="AN122" i="15"/>
  <c r="AO122" i="15"/>
  <c r="AP122" i="15"/>
  <c r="AQ122" i="15"/>
  <c r="AR122" i="15"/>
  <c r="AS122" i="15"/>
  <c r="AT122" i="15"/>
  <c r="AU122" i="15"/>
  <c r="AL123" i="15"/>
  <c r="AM123" i="15"/>
  <c r="AN123" i="15"/>
  <c r="AO123" i="15"/>
  <c r="AP123" i="15"/>
  <c r="AQ123" i="15"/>
  <c r="AR123" i="15"/>
  <c r="AS123" i="15"/>
  <c r="AT123" i="15"/>
  <c r="AU123" i="15"/>
  <c r="AL124" i="15"/>
  <c r="AM124" i="15"/>
  <c r="AN124" i="15"/>
  <c r="AO124" i="15"/>
  <c r="AP124" i="15"/>
  <c r="AQ124" i="15"/>
  <c r="AR124" i="15"/>
  <c r="AS124" i="15"/>
  <c r="AT124" i="15"/>
  <c r="AU124" i="15"/>
  <c r="AL125" i="15"/>
  <c r="AM125" i="15"/>
  <c r="AN125" i="15"/>
  <c r="AO125" i="15"/>
  <c r="AP125" i="15"/>
  <c r="AQ125" i="15"/>
  <c r="AR125" i="15"/>
  <c r="AS125" i="15"/>
  <c r="AT125" i="15"/>
  <c r="AU125" i="15"/>
  <c r="AL126" i="15"/>
  <c r="AM126" i="15"/>
  <c r="AN126" i="15"/>
  <c r="AO126" i="15"/>
  <c r="AP126" i="15"/>
  <c r="AQ126" i="15"/>
  <c r="AR126" i="15"/>
  <c r="AS126" i="15"/>
  <c r="AT126" i="15"/>
  <c r="AU126" i="15"/>
  <c r="AL127" i="15"/>
  <c r="AM127" i="15"/>
  <c r="AN127" i="15"/>
  <c r="AO127" i="15"/>
  <c r="AP127" i="15"/>
  <c r="AQ127" i="15"/>
  <c r="AR127" i="15"/>
  <c r="AS127" i="15"/>
  <c r="AT127" i="15"/>
  <c r="AU127" i="15"/>
  <c r="AL128" i="15"/>
  <c r="AM128" i="15"/>
  <c r="AN128" i="15"/>
  <c r="AO128" i="15"/>
  <c r="AP128" i="15"/>
  <c r="AQ128" i="15"/>
  <c r="AR128" i="15"/>
  <c r="AS128" i="15"/>
  <c r="AT128" i="15"/>
  <c r="AU128" i="15"/>
  <c r="AL129" i="15"/>
  <c r="AM129" i="15"/>
  <c r="AN129" i="15"/>
  <c r="AO129" i="15"/>
  <c r="AP129" i="15"/>
  <c r="AQ129" i="15"/>
  <c r="AR129" i="15"/>
  <c r="AS129" i="15"/>
  <c r="AT129" i="15"/>
  <c r="AU129" i="15"/>
  <c r="AL130" i="15"/>
  <c r="AM130" i="15"/>
  <c r="AN130" i="15"/>
  <c r="AO130" i="15"/>
  <c r="AP130" i="15"/>
  <c r="AQ130" i="15"/>
  <c r="AR130" i="15"/>
  <c r="AS130" i="15"/>
  <c r="AT130" i="15"/>
  <c r="AU130" i="15"/>
  <c r="AL131" i="15"/>
  <c r="AM131" i="15"/>
  <c r="AN131" i="15"/>
  <c r="AO131" i="15"/>
  <c r="AP131" i="15"/>
  <c r="AQ131" i="15"/>
  <c r="AR131" i="15"/>
  <c r="AS131" i="15"/>
  <c r="AT131" i="15"/>
  <c r="AU131" i="15"/>
  <c r="AL132" i="15"/>
  <c r="AM132" i="15"/>
  <c r="AN132" i="15"/>
  <c r="AO132" i="15"/>
  <c r="AP132" i="15"/>
  <c r="AQ132" i="15"/>
  <c r="AR132" i="15"/>
  <c r="AS132" i="15"/>
  <c r="AT132" i="15"/>
  <c r="AU132" i="15"/>
  <c r="AL133" i="15"/>
  <c r="AM133" i="15"/>
  <c r="AN133" i="15"/>
  <c r="AO133" i="15"/>
  <c r="AP133" i="15"/>
  <c r="AQ133" i="15"/>
  <c r="AR133" i="15"/>
  <c r="AS133" i="15"/>
  <c r="AT133" i="15"/>
  <c r="AU133" i="15"/>
  <c r="AL134" i="15"/>
  <c r="AM134" i="15"/>
  <c r="AN134" i="15"/>
  <c r="AO134" i="15"/>
  <c r="AP134" i="15"/>
  <c r="AQ134" i="15"/>
  <c r="AR134" i="15"/>
  <c r="AS134" i="15"/>
  <c r="AT134" i="15"/>
  <c r="AU134" i="15"/>
  <c r="AL135" i="15"/>
  <c r="AM135" i="15"/>
  <c r="AN135" i="15"/>
  <c r="AO135" i="15"/>
  <c r="AP135" i="15"/>
  <c r="AQ135" i="15"/>
  <c r="AR135" i="15"/>
  <c r="AS135" i="15"/>
  <c r="AT135" i="15"/>
  <c r="AU135" i="15"/>
  <c r="AL136" i="15"/>
  <c r="AM136" i="15"/>
  <c r="AN136" i="15"/>
  <c r="AO136" i="15"/>
  <c r="AP136" i="15"/>
  <c r="AQ136" i="15"/>
  <c r="AR136" i="15"/>
  <c r="AS136" i="15"/>
  <c r="AT136" i="15"/>
  <c r="AU136" i="15"/>
  <c r="AL137" i="15"/>
  <c r="AM137" i="15"/>
  <c r="AN137" i="15"/>
  <c r="AO137" i="15"/>
  <c r="AP137" i="15"/>
  <c r="AQ137" i="15"/>
  <c r="AR137" i="15"/>
  <c r="AS137" i="15"/>
  <c r="AT137" i="15"/>
  <c r="AU137" i="15"/>
  <c r="AL138" i="15"/>
  <c r="AM138" i="15"/>
  <c r="AN138" i="15"/>
  <c r="AO138" i="15"/>
  <c r="AP138" i="15"/>
  <c r="AQ138" i="15"/>
  <c r="AR138" i="15"/>
  <c r="AS138" i="15"/>
  <c r="AT138" i="15"/>
  <c r="AU138" i="15"/>
  <c r="AL139" i="15"/>
  <c r="AM139" i="15"/>
  <c r="AN139" i="15"/>
  <c r="AO139" i="15"/>
  <c r="AP139" i="15"/>
  <c r="AQ139" i="15"/>
  <c r="AR139" i="15"/>
  <c r="AS139" i="15"/>
  <c r="AT139" i="15"/>
  <c r="AU139" i="15"/>
  <c r="AL140" i="15"/>
  <c r="AM140" i="15"/>
  <c r="AN140" i="15"/>
  <c r="AO140" i="15"/>
  <c r="AP140" i="15"/>
  <c r="AQ140" i="15"/>
  <c r="AR140" i="15"/>
  <c r="AS140" i="15"/>
  <c r="AT140" i="15"/>
  <c r="AU140" i="15"/>
  <c r="AL141" i="15"/>
  <c r="AM141" i="15"/>
  <c r="AN141" i="15"/>
  <c r="AO141" i="15"/>
  <c r="AP141" i="15"/>
  <c r="AQ141" i="15"/>
  <c r="AR141" i="15"/>
  <c r="AS141" i="15"/>
  <c r="AT141" i="15"/>
  <c r="AU141" i="15"/>
  <c r="AL142" i="15"/>
  <c r="AM142" i="15"/>
  <c r="AN142" i="15"/>
  <c r="AO142" i="15"/>
  <c r="AP142" i="15"/>
  <c r="AQ142" i="15"/>
  <c r="AR142" i="15"/>
  <c r="AS142" i="15"/>
  <c r="AT142" i="15"/>
  <c r="AU142" i="15"/>
  <c r="AL143" i="15"/>
  <c r="AM143" i="15"/>
  <c r="AN143" i="15"/>
  <c r="AO143" i="15"/>
  <c r="AP143" i="15"/>
  <c r="AQ143" i="15"/>
  <c r="AR143" i="15"/>
  <c r="AS143" i="15"/>
  <c r="AT143" i="15"/>
  <c r="AU143" i="15"/>
  <c r="AL144" i="15"/>
  <c r="AM144" i="15"/>
  <c r="AN144" i="15"/>
  <c r="AO144" i="15"/>
  <c r="AP144" i="15"/>
  <c r="AQ144" i="15"/>
  <c r="AR144" i="15"/>
  <c r="AS144" i="15"/>
  <c r="AT144" i="15"/>
  <c r="AU144" i="15"/>
  <c r="AL145" i="15"/>
  <c r="AM145" i="15"/>
  <c r="AN145" i="15"/>
  <c r="AO145" i="15"/>
  <c r="AP145" i="15"/>
  <c r="AQ145" i="15"/>
  <c r="AR145" i="15"/>
  <c r="AS145" i="15"/>
  <c r="AT145" i="15"/>
  <c r="AU145" i="15"/>
  <c r="AL146" i="15"/>
  <c r="AM146" i="15"/>
  <c r="AN146" i="15"/>
  <c r="AO146" i="15"/>
  <c r="AP146" i="15"/>
  <c r="AQ146" i="15"/>
  <c r="AR146" i="15"/>
  <c r="AS146" i="15"/>
  <c r="AT146" i="15"/>
  <c r="AU146" i="15"/>
  <c r="AL147" i="15"/>
  <c r="AM147" i="15"/>
  <c r="AN147" i="15"/>
  <c r="AO147" i="15"/>
  <c r="AP147" i="15"/>
  <c r="AQ147" i="15"/>
  <c r="AR147" i="15"/>
  <c r="AS147" i="15"/>
  <c r="AT147" i="15"/>
  <c r="AU147" i="15"/>
  <c r="AL148" i="15"/>
  <c r="AM148" i="15"/>
  <c r="AN148" i="15"/>
  <c r="AO148" i="15"/>
  <c r="AP148" i="15"/>
  <c r="AQ148" i="15"/>
  <c r="AR148" i="15"/>
  <c r="AS148" i="15"/>
  <c r="AT148" i="15"/>
  <c r="AU148" i="15"/>
  <c r="AL149" i="15"/>
  <c r="AM149" i="15"/>
  <c r="AN149" i="15"/>
  <c r="AO149" i="15"/>
  <c r="AP149" i="15"/>
  <c r="AQ149" i="15"/>
  <c r="AR149" i="15"/>
  <c r="AS149" i="15"/>
  <c r="AT149" i="15"/>
  <c r="AU149" i="15"/>
  <c r="AL150" i="15"/>
  <c r="AM150" i="15"/>
  <c r="AN150" i="15"/>
  <c r="AO150" i="15"/>
  <c r="AP150" i="15"/>
  <c r="AQ150" i="15"/>
  <c r="AR150" i="15"/>
  <c r="AS150" i="15"/>
  <c r="AT150" i="15"/>
  <c r="AU150" i="15"/>
  <c r="AL151" i="15"/>
  <c r="AM151" i="15"/>
  <c r="AN151" i="15"/>
  <c r="AO151" i="15"/>
  <c r="AP151" i="15"/>
  <c r="AQ151" i="15"/>
  <c r="AR151" i="15"/>
  <c r="AS151" i="15"/>
  <c r="AT151" i="15"/>
  <c r="AU151" i="15"/>
  <c r="AL152" i="15"/>
  <c r="AM152" i="15"/>
  <c r="AN152" i="15"/>
  <c r="AO152" i="15"/>
  <c r="AP152" i="15"/>
  <c r="AQ152" i="15"/>
  <c r="AR152" i="15"/>
  <c r="AS152" i="15"/>
  <c r="AT152" i="15"/>
  <c r="AU152" i="15"/>
  <c r="AL153" i="15"/>
  <c r="AM153" i="15"/>
  <c r="AN153" i="15"/>
  <c r="AO153" i="15"/>
  <c r="AP153" i="15"/>
  <c r="AQ153" i="15"/>
  <c r="AR153" i="15"/>
  <c r="AS153" i="15"/>
  <c r="AT153" i="15"/>
  <c r="AU153" i="15"/>
  <c r="AL154" i="15"/>
  <c r="AM154" i="15"/>
  <c r="AN154" i="15"/>
  <c r="AO154" i="15"/>
  <c r="AP154" i="15"/>
  <c r="AQ154" i="15"/>
  <c r="AR154" i="15"/>
  <c r="AS154" i="15"/>
  <c r="AT154" i="15"/>
  <c r="AU154" i="15"/>
  <c r="AL155" i="15"/>
  <c r="AM155" i="15"/>
  <c r="AN155" i="15"/>
  <c r="AO155" i="15"/>
  <c r="AP155" i="15"/>
  <c r="AQ155" i="15"/>
  <c r="AR155" i="15"/>
  <c r="AS155" i="15"/>
  <c r="AT155" i="15"/>
  <c r="AU155" i="15"/>
  <c r="AL156" i="15"/>
  <c r="AM156" i="15"/>
  <c r="AN156" i="15"/>
  <c r="AO156" i="15"/>
  <c r="AP156" i="15"/>
  <c r="AQ156" i="15"/>
  <c r="AR156" i="15"/>
  <c r="AS156" i="15"/>
  <c r="AT156" i="15"/>
  <c r="AU156" i="15"/>
  <c r="AL157" i="15"/>
  <c r="AM157" i="15"/>
  <c r="AN157" i="15"/>
  <c r="AO157" i="15"/>
  <c r="AP157" i="15"/>
  <c r="AQ157" i="15"/>
  <c r="AR157" i="15"/>
  <c r="AS157" i="15"/>
  <c r="AT157" i="15"/>
  <c r="AU157" i="15"/>
  <c r="AL158" i="15"/>
  <c r="AM158" i="15"/>
  <c r="AN158" i="15"/>
  <c r="AO158" i="15"/>
  <c r="AP158" i="15"/>
  <c r="AQ158" i="15"/>
  <c r="AR158" i="15"/>
  <c r="AS158" i="15"/>
  <c r="AT158" i="15"/>
  <c r="AU158" i="15"/>
  <c r="AL159" i="15"/>
  <c r="AM159" i="15"/>
  <c r="AN159" i="15"/>
  <c r="AO159" i="15"/>
  <c r="AP159" i="15"/>
  <c r="AQ159" i="15"/>
  <c r="AR159" i="15"/>
  <c r="AS159" i="15"/>
  <c r="AT159" i="15"/>
  <c r="AU159" i="15"/>
  <c r="AL160" i="15"/>
  <c r="AM160" i="15"/>
  <c r="AN160" i="15"/>
  <c r="AO160" i="15"/>
  <c r="AP160" i="15"/>
  <c r="AQ160" i="15"/>
  <c r="AR160" i="15"/>
  <c r="AS160" i="15"/>
  <c r="AT160" i="15"/>
  <c r="AU160" i="15"/>
  <c r="AL161" i="15"/>
  <c r="AM161" i="15"/>
  <c r="AN161" i="15"/>
  <c r="AO161" i="15"/>
  <c r="AP161" i="15"/>
  <c r="AQ161" i="15"/>
  <c r="AR161" i="15"/>
  <c r="AS161" i="15"/>
  <c r="AT161" i="15"/>
  <c r="AU161" i="15"/>
  <c r="AL162" i="15"/>
  <c r="AM162" i="15"/>
  <c r="AN162" i="15"/>
  <c r="AO162" i="15"/>
  <c r="AP162" i="15"/>
  <c r="AQ162" i="15"/>
  <c r="AR162" i="15"/>
  <c r="AS162" i="15"/>
  <c r="AT162" i="15"/>
  <c r="AU162" i="15"/>
  <c r="AL163" i="15"/>
  <c r="AM163" i="15"/>
  <c r="AN163" i="15"/>
  <c r="AO163" i="15"/>
  <c r="AP163" i="15"/>
  <c r="AQ163" i="15"/>
  <c r="AR163" i="15"/>
  <c r="AS163" i="15"/>
  <c r="AT163" i="15"/>
  <c r="AU163" i="15"/>
  <c r="AL164" i="15"/>
  <c r="AM164" i="15"/>
  <c r="AN164" i="15"/>
  <c r="AO164" i="15"/>
  <c r="AP164" i="15"/>
  <c r="AQ164" i="15"/>
  <c r="AR164" i="15"/>
  <c r="AS164" i="15"/>
  <c r="AT164" i="15"/>
  <c r="AU164" i="15"/>
  <c r="AL165" i="15"/>
  <c r="AM165" i="15"/>
  <c r="AN165" i="15"/>
  <c r="AO165" i="15"/>
  <c r="AP165" i="15"/>
  <c r="AQ165" i="15"/>
  <c r="AR165" i="15"/>
  <c r="AS165" i="15"/>
  <c r="AT165" i="15"/>
  <c r="AU165" i="15"/>
  <c r="AL166" i="15"/>
  <c r="AM166" i="15"/>
  <c r="AN166" i="15"/>
  <c r="AO166" i="15"/>
  <c r="AP166" i="15"/>
  <c r="AQ166" i="15"/>
  <c r="AR166" i="15"/>
  <c r="AS166" i="15"/>
  <c r="AT166" i="15"/>
  <c r="AU166" i="15"/>
  <c r="AL167" i="15"/>
  <c r="AM167" i="15"/>
  <c r="AN167" i="15"/>
  <c r="AO167" i="15"/>
  <c r="AP167" i="15"/>
  <c r="AQ167" i="15"/>
  <c r="AR167" i="15"/>
  <c r="AS167" i="15"/>
  <c r="AT167" i="15"/>
  <c r="AU167" i="15"/>
  <c r="AL168" i="15"/>
  <c r="AM168" i="15"/>
  <c r="AN168" i="15"/>
  <c r="AO168" i="15"/>
  <c r="AP168" i="15"/>
  <c r="AQ168" i="15"/>
  <c r="AR168" i="15"/>
  <c r="AS168" i="15"/>
  <c r="AT168" i="15"/>
  <c r="AU168" i="15"/>
  <c r="AL169" i="15"/>
  <c r="AM169" i="15"/>
  <c r="AN169" i="15"/>
  <c r="AO169" i="15"/>
  <c r="AP169" i="15"/>
  <c r="AQ169" i="15"/>
  <c r="AR169" i="15"/>
  <c r="AS169" i="15"/>
  <c r="AT169" i="15"/>
  <c r="AU169" i="15"/>
  <c r="AL170" i="15"/>
  <c r="AM170" i="15"/>
  <c r="AN170" i="15"/>
  <c r="AO170" i="15"/>
  <c r="AP170" i="15"/>
  <c r="AQ170" i="15"/>
  <c r="AR170" i="15"/>
  <c r="AS170" i="15"/>
  <c r="AT170" i="15"/>
  <c r="AU170" i="15"/>
  <c r="AL171" i="15"/>
  <c r="AM171" i="15"/>
  <c r="AN171" i="15"/>
  <c r="AO171" i="15"/>
  <c r="AP171" i="15"/>
  <c r="AQ171" i="15"/>
  <c r="AR171" i="15"/>
  <c r="AS171" i="15"/>
  <c r="AT171" i="15"/>
  <c r="AU171" i="15"/>
  <c r="AL172" i="15"/>
  <c r="AM172" i="15"/>
  <c r="AN172" i="15"/>
  <c r="AO172" i="15"/>
  <c r="AP172" i="15"/>
  <c r="AQ172" i="15"/>
  <c r="AR172" i="15"/>
  <c r="AS172" i="15"/>
  <c r="AT172" i="15"/>
  <c r="AU172" i="15"/>
  <c r="AL173" i="15"/>
  <c r="AM173" i="15"/>
  <c r="AN173" i="15"/>
  <c r="AO173" i="15"/>
  <c r="AP173" i="15"/>
  <c r="AQ173" i="15"/>
  <c r="AR173" i="15"/>
  <c r="AS173" i="15"/>
  <c r="AT173" i="15"/>
  <c r="AU173" i="15"/>
  <c r="AL174" i="15"/>
  <c r="AM174" i="15"/>
  <c r="AN174" i="15"/>
  <c r="AO174" i="15"/>
  <c r="AP174" i="15"/>
  <c r="AQ174" i="15"/>
  <c r="AR174" i="15"/>
  <c r="AS174" i="15"/>
  <c r="AT174" i="15"/>
  <c r="AU174" i="15"/>
  <c r="AL175" i="15"/>
  <c r="AM175" i="15"/>
  <c r="AN175" i="15"/>
  <c r="AO175" i="15"/>
  <c r="AP175" i="15"/>
  <c r="AQ175" i="15"/>
  <c r="AR175" i="15"/>
  <c r="AS175" i="15"/>
  <c r="AT175" i="15"/>
  <c r="AU175" i="15"/>
  <c r="AL176" i="15"/>
  <c r="AM176" i="15"/>
  <c r="AN176" i="15"/>
  <c r="AO176" i="15"/>
  <c r="AP176" i="15"/>
  <c r="AQ176" i="15"/>
  <c r="AR176" i="15"/>
  <c r="AS176" i="15"/>
  <c r="AT176" i="15"/>
  <c r="AU176" i="15"/>
  <c r="AL177" i="15"/>
  <c r="AM177" i="15"/>
  <c r="AN177" i="15"/>
  <c r="AO177" i="15"/>
  <c r="AP177" i="15"/>
  <c r="AQ177" i="15"/>
  <c r="AR177" i="15"/>
  <c r="AS177" i="15"/>
  <c r="AT177" i="15"/>
  <c r="AU177" i="15"/>
  <c r="AL178" i="15"/>
  <c r="AM178" i="15"/>
  <c r="AN178" i="15"/>
  <c r="AO178" i="15"/>
  <c r="AP178" i="15"/>
  <c r="AQ178" i="15"/>
  <c r="AR178" i="15"/>
  <c r="AS178" i="15"/>
  <c r="AT178" i="15"/>
  <c r="AU178" i="15"/>
  <c r="AL179" i="15"/>
  <c r="AM179" i="15"/>
  <c r="AN179" i="15"/>
  <c r="AO179" i="15"/>
  <c r="AP179" i="15"/>
  <c r="AQ179" i="15"/>
  <c r="AR179" i="15"/>
  <c r="AS179" i="15"/>
  <c r="AT179" i="15"/>
  <c r="AU179" i="15"/>
  <c r="AL180" i="15"/>
  <c r="AM180" i="15"/>
  <c r="AN180" i="15"/>
  <c r="AO180" i="15"/>
  <c r="AP180" i="15"/>
  <c r="AQ180" i="15"/>
  <c r="AR180" i="15"/>
  <c r="AS180" i="15"/>
  <c r="AT180" i="15"/>
  <c r="AU180" i="15"/>
  <c r="AL181" i="15"/>
  <c r="AM181" i="15"/>
  <c r="AN181" i="15"/>
  <c r="AO181" i="15"/>
  <c r="AP181" i="15"/>
  <c r="AQ181" i="15"/>
  <c r="AR181" i="15"/>
  <c r="AS181" i="15"/>
  <c r="AT181" i="15"/>
  <c r="AU181" i="15"/>
  <c r="AL182" i="15"/>
  <c r="AM182" i="15"/>
  <c r="AN182" i="15"/>
  <c r="AO182" i="15"/>
  <c r="AP182" i="15"/>
  <c r="AQ182" i="15"/>
  <c r="AR182" i="15"/>
  <c r="AS182" i="15"/>
  <c r="AT182" i="15"/>
  <c r="AU182" i="15"/>
  <c r="AL183" i="15"/>
  <c r="AM183" i="15"/>
  <c r="AN183" i="15"/>
  <c r="AO183" i="15"/>
  <c r="AP183" i="15"/>
  <c r="AQ183" i="15"/>
  <c r="AR183" i="15"/>
  <c r="AS183" i="15"/>
  <c r="AT183" i="15"/>
  <c r="AU183" i="15"/>
  <c r="AL184" i="15"/>
  <c r="AM184" i="15"/>
  <c r="AN184" i="15"/>
  <c r="AO184" i="15"/>
  <c r="AP184" i="15"/>
  <c r="AQ184" i="15"/>
  <c r="AR184" i="15"/>
  <c r="AS184" i="15"/>
  <c r="AT184" i="15"/>
  <c r="AU184" i="15"/>
  <c r="AL185" i="15"/>
  <c r="AM185" i="15"/>
  <c r="AN185" i="15"/>
  <c r="AO185" i="15"/>
  <c r="AP185" i="15"/>
  <c r="AQ185" i="15"/>
  <c r="AR185" i="15"/>
  <c r="AS185" i="15"/>
  <c r="AT185" i="15"/>
  <c r="AU185" i="15"/>
  <c r="AL186" i="15"/>
  <c r="AM186" i="15"/>
  <c r="AN186" i="15"/>
  <c r="AO186" i="15"/>
  <c r="AP186" i="15"/>
  <c r="AQ186" i="15"/>
  <c r="AR186" i="15"/>
  <c r="AS186" i="15"/>
  <c r="AT186" i="15"/>
  <c r="AU186" i="15"/>
  <c r="AL187" i="15"/>
  <c r="AM187" i="15"/>
  <c r="AN187" i="15"/>
  <c r="AO187" i="15"/>
  <c r="AP187" i="15"/>
  <c r="AQ187" i="15"/>
  <c r="AR187" i="15"/>
  <c r="AS187" i="15"/>
  <c r="AT187" i="15"/>
  <c r="AU187" i="15"/>
  <c r="AL188" i="15"/>
  <c r="AM188" i="15"/>
  <c r="AN188" i="15"/>
  <c r="AO188" i="15"/>
  <c r="AP188" i="15"/>
  <c r="AQ188" i="15"/>
  <c r="AR188" i="15"/>
  <c r="AS188" i="15"/>
  <c r="AT188" i="15"/>
  <c r="AU188" i="15"/>
  <c r="AL189" i="15"/>
  <c r="AM189" i="15"/>
  <c r="AN189" i="15"/>
  <c r="AO189" i="15"/>
  <c r="AP189" i="15"/>
  <c r="AQ189" i="15"/>
  <c r="AR189" i="15"/>
  <c r="AS189" i="15"/>
  <c r="AT189" i="15"/>
  <c r="AU189" i="15"/>
  <c r="AL190" i="15"/>
  <c r="AM190" i="15"/>
  <c r="AN190" i="15"/>
  <c r="AO190" i="15"/>
  <c r="AP190" i="15"/>
  <c r="AQ190" i="15"/>
  <c r="AR190" i="15"/>
  <c r="AS190" i="15"/>
  <c r="AT190" i="15"/>
  <c r="AU190" i="15"/>
  <c r="AL191" i="15"/>
  <c r="AM191" i="15"/>
  <c r="AN191" i="15"/>
  <c r="AO191" i="15"/>
  <c r="AP191" i="15"/>
  <c r="AQ191" i="15"/>
  <c r="AR191" i="15"/>
  <c r="AS191" i="15"/>
  <c r="AT191" i="15"/>
  <c r="AU191" i="15"/>
  <c r="AL192" i="15"/>
  <c r="AM192" i="15"/>
  <c r="AN192" i="15"/>
  <c r="AO192" i="15"/>
  <c r="AP192" i="15"/>
  <c r="AQ192" i="15"/>
  <c r="AR192" i="15"/>
  <c r="AS192" i="15"/>
  <c r="AT192" i="15"/>
  <c r="AU192" i="15"/>
  <c r="AL193" i="15"/>
  <c r="AM193" i="15"/>
  <c r="AN193" i="15"/>
  <c r="AO193" i="15"/>
  <c r="AP193" i="15"/>
  <c r="AQ193" i="15"/>
  <c r="AR193" i="15"/>
  <c r="AS193" i="15"/>
  <c r="AT193" i="15"/>
  <c r="AU193" i="15"/>
  <c r="AL194" i="15"/>
  <c r="AM194" i="15"/>
  <c r="AN194" i="15"/>
  <c r="AO194" i="15"/>
  <c r="AP194" i="15"/>
  <c r="AQ194" i="15"/>
  <c r="AR194" i="15"/>
  <c r="AS194" i="15"/>
  <c r="AT194" i="15"/>
  <c r="AU194" i="15"/>
  <c r="AL195" i="15"/>
  <c r="AM195" i="15"/>
  <c r="AN195" i="15"/>
  <c r="AO195" i="15"/>
  <c r="AP195" i="15"/>
  <c r="AQ195" i="15"/>
  <c r="AR195" i="15"/>
  <c r="AS195" i="15"/>
  <c r="AT195" i="15"/>
  <c r="AU195" i="15"/>
  <c r="AL196" i="15"/>
  <c r="AM196" i="15"/>
  <c r="AN196" i="15"/>
  <c r="AO196" i="15"/>
  <c r="AP196" i="15"/>
  <c r="AQ196" i="15"/>
  <c r="AR196" i="15"/>
  <c r="AS196" i="15"/>
  <c r="AT196" i="15"/>
  <c r="AU196" i="15"/>
  <c r="AL197" i="15"/>
  <c r="AM197" i="15"/>
  <c r="AN197" i="15"/>
  <c r="AO197" i="15"/>
  <c r="AP197" i="15"/>
  <c r="AQ197" i="15"/>
  <c r="AR197" i="15"/>
  <c r="AS197" i="15"/>
  <c r="AT197" i="15"/>
  <c r="AU197" i="15"/>
  <c r="AL198" i="15"/>
  <c r="AM198" i="15"/>
  <c r="AN198" i="15"/>
  <c r="AO198" i="15"/>
  <c r="AP198" i="15"/>
  <c r="AQ198" i="15"/>
  <c r="AR198" i="15"/>
  <c r="AS198" i="15"/>
  <c r="AT198" i="15"/>
  <c r="AU198" i="15"/>
  <c r="AL199" i="15"/>
  <c r="AM199" i="15"/>
  <c r="AN199" i="15"/>
  <c r="AO199" i="15"/>
  <c r="AP199" i="15"/>
  <c r="AQ199" i="15"/>
  <c r="AR199" i="15"/>
  <c r="AS199" i="15"/>
  <c r="AT199" i="15"/>
  <c r="AU199" i="15"/>
  <c r="AL200" i="15"/>
  <c r="AM200" i="15"/>
  <c r="AN200" i="15"/>
  <c r="AO200" i="15"/>
  <c r="AP200" i="15"/>
  <c r="AQ200" i="15"/>
  <c r="AR200" i="15"/>
  <c r="AS200" i="15"/>
  <c r="AT200" i="15"/>
  <c r="AU200" i="15"/>
  <c r="AL201" i="15"/>
  <c r="AM201" i="15"/>
  <c r="AN201" i="15"/>
  <c r="AO201" i="15"/>
  <c r="AP201" i="15"/>
  <c r="AQ201" i="15"/>
  <c r="AR201" i="15"/>
  <c r="AS201" i="15"/>
  <c r="AT201" i="15"/>
  <c r="AU201" i="15"/>
  <c r="AL202" i="15"/>
  <c r="AM202" i="15"/>
  <c r="AN202" i="15"/>
  <c r="AO202" i="15"/>
  <c r="AP202" i="15"/>
  <c r="AQ202" i="15"/>
  <c r="AR202" i="15"/>
  <c r="AS202" i="15"/>
  <c r="AT202" i="15"/>
  <c r="AU202" i="15"/>
  <c r="AL203" i="15"/>
  <c r="AM203" i="15"/>
  <c r="AN203" i="15"/>
  <c r="AO203" i="15"/>
  <c r="AP203" i="15"/>
  <c r="AQ203" i="15"/>
  <c r="AR203" i="15"/>
  <c r="AS203" i="15"/>
  <c r="AT203" i="15"/>
  <c r="AU203" i="15"/>
  <c r="AL204" i="15"/>
  <c r="AM204" i="15"/>
  <c r="AN204" i="15"/>
  <c r="AO204" i="15"/>
  <c r="AP204" i="15"/>
  <c r="AQ204" i="15"/>
  <c r="AR204" i="15"/>
  <c r="AS204" i="15"/>
  <c r="AT204" i="15"/>
  <c r="AU204" i="15"/>
  <c r="AL205" i="15"/>
  <c r="AM205" i="15"/>
  <c r="AN205" i="15"/>
  <c r="AO205" i="15"/>
  <c r="AP205" i="15"/>
  <c r="AQ205" i="15"/>
  <c r="AR205" i="15"/>
  <c r="AS205" i="15"/>
  <c r="AT205" i="15"/>
  <c r="AU205" i="15"/>
  <c r="AL206" i="15"/>
  <c r="AM206" i="15"/>
  <c r="AN206" i="15"/>
  <c r="AO206" i="15"/>
  <c r="AP206" i="15"/>
  <c r="AQ206" i="15"/>
  <c r="AR206" i="15"/>
  <c r="AS206" i="15"/>
  <c r="AT206" i="15"/>
  <c r="AU206" i="15"/>
  <c r="AL207" i="15"/>
  <c r="AM207" i="15"/>
  <c r="AN207" i="15"/>
  <c r="AO207" i="15"/>
  <c r="AP207" i="15"/>
  <c r="AQ207" i="15"/>
  <c r="AR207" i="15"/>
  <c r="AS207" i="15"/>
  <c r="AT207" i="15"/>
  <c r="AU207" i="15"/>
  <c r="AL208" i="15"/>
  <c r="AM208" i="15"/>
  <c r="AN208" i="15"/>
  <c r="AO208" i="15"/>
  <c r="AP208" i="15"/>
  <c r="AQ208" i="15"/>
  <c r="AR208" i="15"/>
  <c r="AS208" i="15"/>
  <c r="AT208" i="15"/>
  <c r="AU208" i="15"/>
  <c r="AL209" i="15"/>
  <c r="AM209" i="15"/>
  <c r="AN209" i="15"/>
  <c r="AO209" i="15"/>
  <c r="AP209" i="15"/>
  <c r="AQ209" i="15"/>
  <c r="AR209" i="15"/>
  <c r="AS209" i="15"/>
  <c r="AT209" i="15"/>
  <c r="AU209" i="15"/>
  <c r="AL210" i="15"/>
  <c r="AM210" i="15"/>
  <c r="AN210" i="15"/>
  <c r="AO210" i="15"/>
  <c r="AP210" i="15"/>
  <c r="AQ210" i="15"/>
  <c r="AR210" i="15"/>
  <c r="AS210" i="15"/>
  <c r="AT210" i="15"/>
  <c r="AU210" i="15"/>
  <c r="AL211" i="15"/>
  <c r="AM211" i="15"/>
  <c r="AN211" i="15"/>
  <c r="AO211" i="15"/>
  <c r="AP211" i="15"/>
  <c r="AQ211" i="15"/>
  <c r="AR211" i="15"/>
  <c r="AS211" i="15"/>
  <c r="AT211" i="15"/>
  <c r="AU211" i="15"/>
  <c r="AL212" i="15"/>
  <c r="AM212" i="15"/>
  <c r="AN212" i="15"/>
  <c r="AO212" i="15"/>
  <c r="AP212" i="15"/>
  <c r="AQ212" i="15"/>
  <c r="AR212" i="15"/>
  <c r="AS212" i="15"/>
  <c r="AT212" i="15"/>
  <c r="AU212" i="15"/>
  <c r="AL213" i="15"/>
  <c r="AM213" i="15"/>
  <c r="AN213" i="15"/>
  <c r="AO213" i="15"/>
  <c r="AP213" i="15"/>
  <c r="AQ213" i="15"/>
  <c r="AR213" i="15"/>
  <c r="AS213" i="15"/>
  <c r="AT213" i="15"/>
  <c r="AU213" i="15"/>
  <c r="AL214" i="15"/>
  <c r="AM214" i="15"/>
  <c r="AN214" i="15"/>
  <c r="AO214" i="15"/>
  <c r="AP214" i="15"/>
  <c r="AQ214" i="15"/>
  <c r="AR214" i="15"/>
  <c r="AS214" i="15"/>
  <c r="AT214" i="15"/>
  <c r="AU214" i="15"/>
  <c r="AL215" i="15"/>
  <c r="AM215" i="15"/>
  <c r="AN215" i="15"/>
  <c r="AO215" i="15"/>
  <c r="AP215" i="15"/>
  <c r="AQ215" i="15"/>
  <c r="AR215" i="15"/>
  <c r="AS215" i="15"/>
  <c r="AT215" i="15"/>
  <c r="AU215" i="15"/>
  <c r="AL216" i="15"/>
  <c r="AM216" i="15"/>
  <c r="AN216" i="15"/>
  <c r="AO216" i="15"/>
  <c r="AP216" i="15"/>
  <c r="AQ216" i="15"/>
  <c r="AR216" i="15"/>
  <c r="AS216" i="15"/>
  <c r="AT216" i="15"/>
  <c r="AU216" i="15"/>
  <c r="AL217" i="15"/>
  <c r="AM217" i="15"/>
  <c r="AN217" i="15"/>
  <c r="AO217" i="15"/>
  <c r="AP217" i="15"/>
  <c r="AQ217" i="15"/>
  <c r="AR217" i="15"/>
  <c r="AS217" i="15"/>
  <c r="AT217" i="15"/>
  <c r="AU217" i="15"/>
  <c r="AL218" i="15"/>
  <c r="AM218" i="15"/>
  <c r="AN218" i="15"/>
  <c r="AO218" i="15"/>
  <c r="AP218" i="15"/>
  <c r="AQ218" i="15"/>
  <c r="AR218" i="15"/>
  <c r="AS218" i="15"/>
  <c r="AT218" i="15"/>
  <c r="AU218" i="15"/>
  <c r="AL219" i="15"/>
  <c r="AM219" i="15"/>
  <c r="AN219" i="15"/>
  <c r="AO219" i="15"/>
  <c r="AP219" i="15"/>
  <c r="AQ219" i="15"/>
  <c r="AR219" i="15"/>
  <c r="AS219" i="15"/>
  <c r="AT219" i="15"/>
  <c r="AU219" i="15"/>
  <c r="AL220" i="15"/>
  <c r="AM220" i="15"/>
  <c r="AN220" i="15"/>
  <c r="AO220" i="15"/>
  <c r="AP220" i="15"/>
  <c r="AQ220" i="15"/>
  <c r="AR220" i="15"/>
  <c r="AS220" i="15"/>
  <c r="AT220" i="15"/>
  <c r="AU220" i="15"/>
  <c r="AL221" i="15"/>
  <c r="AM221" i="15"/>
  <c r="AN221" i="15"/>
  <c r="AO221" i="15"/>
  <c r="AP221" i="15"/>
  <c r="AQ221" i="15"/>
  <c r="AR221" i="15"/>
  <c r="AS221" i="15"/>
  <c r="AT221" i="15"/>
  <c r="AU221" i="15"/>
  <c r="AL222" i="15"/>
  <c r="AM222" i="15"/>
  <c r="AN222" i="15"/>
  <c r="AO222" i="15"/>
  <c r="AP222" i="15"/>
  <c r="AQ222" i="15"/>
  <c r="AR222" i="15"/>
  <c r="AS222" i="15"/>
  <c r="AT222" i="15"/>
  <c r="AU222" i="15"/>
  <c r="AL223" i="15"/>
  <c r="AM223" i="15"/>
  <c r="AN223" i="15"/>
  <c r="AO223" i="15"/>
  <c r="AP223" i="15"/>
  <c r="AQ223" i="15"/>
  <c r="AR223" i="15"/>
  <c r="AS223" i="15"/>
  <c r="AT223" i="15"/>
  <c r="AU223" i="15"/>
  <c r="AL224" i="15"/>
  <c r="AM224" i="15"/>
  <c r="AN224" i="15"/>
  <c r="AO224" i="15"/>
  <c r="AP224" i="15"/>
  <c r="AQ224" i="15"/>
  <c r="AR224" i="15"/>
  <c r="AS224" i="15"/>
  <c r="AT224" i="15"/>
  <c r="AU224" i="15"/>
  <c r="AL225" i="15"/>
  <c r="AM225" i="15"/>
  <c r="AN225" i="15"/>
  <c r="AO225" i="15"/>
  <c r="AP225" i="15"/>
  <c r="AQ225" i="15"/>
  <c r="AR225" i="15"/>
  <c r="AS225" i="15"/>
  <c r="AT225" i="15"/>
  <c r="AU225" i="15"/>
  <c r="AL226" i="15"/>
  <c r="AM226" i="15"/>
  <c r="AN226" i="15"/>
  <c r="AO226" i="15"/>
  <c r="AP226" i="15"/>
  <c r="AQ226" i="15"/>
  <c r="AR226" i="15"/>
  <c r="AS226" i="15"/>
  <c r="AT226" i="15"/>
  <c r="AU226" i="15"/>
  <c r="AL227" i="15"/>
  <c r="AM227" i="15"/>
  <c r="AN227" i="15"/>
  <c r="AO227" i="15"/>
  <c r="AP227" i="15"/>
  <c r="AQ227" i="15"/>
  <c r="AR227" i="15"/>
  <c r="AS227" i="15"/>
  <c r="AT227" i="15"/>
  <c r="AU227" i="15"/>
  <c r="AL228" i="15"/>
  <c r="AM228" i="15"/>
  <c r="AN228" i="15"/>
  <c r="AO228" i="15"/>
  <c r="AP228" i="15"/>
  <c r="AQ228" i="15"/>
  <c r="AR228" i="15"/>
  <c r="AS228" i="15"/>
  <c r="AT228" i="15"/>
  <c r="AU228" i="15"/>
  <c r="AL229" i="15"/>
  <c r="AM229" i="15"/>
  <c r="AN229" i="15"/>
  <c r="AO229" i="15"/>
  <c r="AP229" i="15"/>
  <c r="AQ229" i="15"/>
  <c r="AR229" i="15"/>
  <c r="AS229" i="15"/>
  <c r="AT229" i="15"/>
  <c r="AU229" i="15"/>
  <c r="AL230" i="15"/>
  <c r="AM230" i="15"/>
  <c r="AN230" i="15"/>
  <c r="AO230" i="15"/>
  <c r="AP230" i="15"/>
  <c r="AQ230" i="15"/>
  <c r="AR230" i="15"/>
  <c r="AS230" i="15"/>
  <c r="AT230" i="15"/>
  <c r="AU230" i="15"/>
  <c r="AL231" i="15"/>
  <c r="AM231" i="15"/>
  <c r="AN231" i="15"/>
  <c r="AO231" i="15"/>
  <c r="AP231" i="15"/>
  <c r="AQ231" i="15"/>
  <c r="AR231" i="15"/>
  <c r="AS231" i="15"/>
  <c r="AT231" i="15"/>
  <c r="AU231" i="15"/>
  <c r="AL232" i="15"/>
  <c r="AM232" i="15"/>
  <c r="AN232" i="15"/>
  <c r="AO232" i="15"/>
  <c r="AP232" i="15"/>
  <c r="AQ232" i="15"/>
  <c r="AR232" i="15"/>
  <c r="AS232" i="15"/>
  <c r="AT232" i="15"/>
  <c r="AU232" i="15"/>
  <c r="AL233" i="15"/>
  <c r="AM233" i="15"/>
  <c r="AN233" i="15"/>
  <c r="AO233" i="15"/>
  <c r="AP233" i="15"/>
  <c r="AQ233" i="15"/>
  <c r="AR233" i="15"/>
  <c r="AS233" i="15"/>
  <c r="AT233" i="15"/>
  <c r="AU233" i="15"/>
  <c r="AL234" i="15"/>
  <c r="AM234" i="15"/>
  <c r="AN234" i="15"/>
  <c r="AO234" i="15"/>
  <c r="AP234" i="15"/>
  <c r="AQ234" i="15"/>
  <c r="AR234" i="15"/>
  <c r="AS234" i="15"/>
  <c r="AT234" i="15"/>
  <c r="AU234" i="15"/>
  <c r="AL235" i="15"/>
  <c r="AM235" i="15"/>
  <c r="AN235" i="15"/>
  <c r="AO235" i="15"/>
  <c r="AP235" i="15"/>
  <c r="AQ235" i="15"/>
  <c r="AR235" i="15"/>
  <c r="AS235" i="15"/>
  <c r="AT235" i="15"/>
  <c r="AU235" i="15"/>
  <c r="AL236" i="15"/>
  <c r="AM236" i="15"/>
  <c r="AN236" i="15"/>
  <c r="AO236" i="15"/>
  <c r="AP236" i="15"/>
  <c r="AQ236" i="15"/>
  <c r="AR236" i="15"/>
  <c r="AS236" i="15"/>
  <c r="AT236" i="15"/>
  <c r="AU236" i="15"/>
  <c r="AL237" i="15"/>
  <c r="AM237" i="15"/>
  <c r="AN237" i="15"/>
  <c r="AO237" i="15"/>
  <c r="AP237" i="15"/>
  <c r="AQ237" i="15"/>
  <c r="AR237" i="15"/>
  <c r="AS237" i="15"/>
  <c r="AT237" i="15"/>
  <c r="AU237" i="15"/>
  <c r="AL238" i="15"/>
  <c r="AM238" i="15"/>
  <c r="AN238" i="15"/>
  <c r="AO238" i="15"/>
  <c r="AP238" i="15"/>
  <c r="AQ238" i="15"/>
  <c r="AR238" i="15"/>
  <c r="AS238" i="15"/>
  <c r="AT238" i="15"/>
  <c r="AU238" i="15"/>
  <c r="AL239" i="15"/>
  <c r="AM239" i="15"/>
  <c r="AN239" i="15"/>
  <c r="AO239" i="15"/>
  <c r="AP239" i="15"/>
  <c r="AQ239" i="15"/>
  <c r="AR239" i="15"/>
  <c r="AS239" i="15"/>
  <c r="AT239" i="15"/>
  <c r="AU239" i="15"/>
  <c r="AL240" i="15"/>
  <c r="AM240" i="15"/>
  <c r="AN240" i="15"/>
  <c r="AO240" i="15"/>
  <c r="AP240" i="15"/>
  <c r="AQ240" i="15"/>
  <c r="AR240" i="15"/>
  <c r="AS240" i="15"/>
  <c r="AT240" i="15"/>
  <c r="AU240" i="15"/>
  <c r="AL241" i="15"/>
  <c r="AM241" i="15"/>
  <c r="AN241" i="15"/>
  <c r="AO241" i="15"/>
  <c r="AP241" i="15"/>
  <c r="AQ241" i="15"/>
  <c r="AR241" i="15"/>
  <c r="AS241" i="15"/>
  <c r="AT241" i="15"/>
  <c r="AU241" i="15"/>
  <c r="AL242" i="15"/>
  <c r="AM242" i="15"/>
  <c r="AN242" i="15"/>
  <c r="AO242" i="15"/>
  <c r="AP242" i="15"/>
  <c r="AQ242" i="15"/>
  <c r="AR242" i="15"/>
  <c r="AS242" i="15"/>
  <c r="AT242" i="15"/>
  <c r="AU242" i="15"/>
  <c r="AL243" i="15"/>
  <c r="AM243" i="15"/>
  <c r="AN243" i="15"/>
  <c r="AO243" i="15"/>
  <c r="AP243" i="15"/>
  <c r="AQ243" i="15"/>
  <c r="AR243" i="15"/>
  <c r="AS243" i="15"/>
  <c r="AT243" i="15"/>
  <c r="AU243" i="15"/>
  <c r="AL244" i="15"/>
  <c r="AM244" i="15"/>
  <c r="AN244" i="15"/>
  <c r="AO244" i="15"/>
  <c r="AP244" i="15"/>
  <c r="AQ244" i="15"/>
  <c r="AR244" i="15"/>
  <c r="AS244" i="15"/>
  <c r="AT244" i="15"/>
  <c r="AU244" i="15"/>
  <c r="AL245" i="15"/>
  <c r="AM245" i="15"/>
  <c r="AN245" i="15"/>
  <c r="AO245" i="15"/>
  <c r="AP245" i="15"/>
  <c r="AQ245" i="15"/>
  <c r="AR245" i="15"/>
  <c r="AS245" i="15"/>
  <c r="AT245" i="15"/>
  <c r="AU245" i="15"/>
  <c r="AL246" i="15"/>
  <c r="AM246" i="15"/>
  <c r="AN246" i="15"/>
  <c r="AO246" i="15"/>
  <c r="AP246" i="15"/>
  <c r="AQ246" i="15"/>
  <c r="AR246" i="15"/>
  <c r="AS246" i="15"/>
  <c r="AT246" i="15"/>
  <c r="AU246" i="15"/>
  <c r="AL247" i="15"/>
  <c r="AM247" i="15"/>
  <c r="AN247" i="15"/>
  <c r="AO247" i="15"/>
  <c r="AP247" i="15"/>
  <c r="AQ247" i="15"/>
  <c r="AR247" i="15"/>
  <c r="AS247" i="15"/>
  <c r="AT247" i="15"/>
  <c r="AU247" i="15"/>
  <c r="AL248" i="15"/>
  <c r="AM248" i="15"/>
  <c r="AN248" i="15"/>
  <c r="AO248" i="15"/>
  <c r="AP248" i="15"/>
  <c r="AQ248" i="15"/>
  <c r="AR248" i="15"/>
  <c r="AS248" i="15"/>
  <c r="AT248" i="15"/>
  <c r="AU248" i="15"/>
  <c r="AL249" i="15"/>
  <c r="AM249" i="15"/>
  <c r="AN249" i="15"/>
  <c r="AO249" i="15"/>
  <c r="AP249" i="15"/>
  <c r="AQ249" i="15"/>
  <c r="AR249" i="15"/>
  <c r="AS249" i="15"/>
  <c r="AT249" i="15"/>
  <c r="AU249" i="15"/>
  <c r="AL250" i="15"/>
  <c r="AM250" i="15"/>
  <c r="AN250" i="15"/>
  <c r="AO250" i="15"/>
  <c r="AP250" i="15"/>
  <c r="AQ250" i="15"/>
  <c r="AR250" i="15"/>
  <c r="AS250" i="15"/>
  <c r="AT250" i="15"/>
  <c r="AU250" i="15"/>
  <c r="AL251" i="15"/>
  <c r="AM251" i="15"/>
  <c r="AN251" i="15"/>
  <c r="AO251" i="15"/>
  <c r="AP251" i="15"/>
  <c r="AQ251" i="15"/>
  <c r="AR251" i="15"/>
  <c r="AS251" i="15"/>
  <c r="AT251" i="15"/>
  <c r="AU251" i="15"/>
  <c r="AL252" i="15"/>
  <c r="AM252" i="15"/>
  <c r="AN252" i="15"/>
  <c r="AO252" i="15"/>
  <c r="AP252" i="15"/>
  <c r="AQ252" i="15"/>
  <c r="AR252" i="15"/>
  <c r="AS252" i="15"/>
  <c r="AT252" i="15"/>
  <c r="AU252" i="15"/>
  <c r="AL253" i="15"/>
  <c r="AM253" i="15"/>
  <c r="AN253" i="15"/>
  <c r="AO253" i="15"/>
  <c r="AP253" i="15"/>
  <c r="AQ253" i="15"/>
  <c r="AR253" i="15"/>
  <c r="AS253" i="15"/>
  <c r="AT253" i="15"/>
  <c r="AU253" i="15"/>
  <c r="AL254" i="15"/>
  <c r="AM254" i="15"/>
  <c r="AN254" i="15"/>
  <c r="AO254" i="15"/>
  <c r="AP254" i="15"/>
  <c r="AQ254" i="15"/>
  <c r="AR254" i="15"/>
  <c r="AS254" i="15"/>
  <c r="AT254" i="15"/>
  <c r="AU254" i="15"/>
  <c r="AL255" i="15"/>
  <c r="AM255" i="15"/>
  <c r="AN255" i="15"/>
  <c r="AO255" i="15"/>
  <c r="AP255" i="15"/>
  <c r="AQ255" i="15"/>
  <c r="AR255" i="15"/>
  <c r="AS255" i="15"/>
  <c r="AT255" i="15"/>
  <c r="AU255" i="15"/>
  <c r="AL256" i="15"/>
  <c r="AM256" i="15"/>
  <c r="AN256" i="15"/>
  <c r="AO256" i="15"/>
  <c r="AP256" i="15"/>
  <c r="AQ256" i="15"/>
  <c r="AR256" i="15"/>
  <c r="AS256" i="15"/>
  <c r="AT256" i="15"/>
  <c r="AU256" i="15"/>
  <c r="AL257" i="15"/>
  <c r="AM257" i="15"/>
  <c r="AN257" i="15"/>
  <c r="AO257" i="15"/>
  <c r="AP257" i="15"/>
  <c r="AQ257" i="15"/>
  <c r="AR257" i="15"/>
  <c r="AS257" i="15"/>
  <c r="AT257" i="15"/>
  <c r="AU257" i="15"/>
  <c r="AL258" i="15"/>
  <c r="AM258" i="15"/>
  <c r="AN258" i="15"/>
  <c r="AO258" i="15"/>
  <c r="AP258" i="15"/>
  <c r="AQ258" i="15"/>
  <c r="AR258" i="15"/>
  <c r="AS258" i="15"/>
  <c r="AT258" i="15"/>
  <c r="AU258" i="15"/>
  <c r="AL259" i="15"/>
  <c r="AM259" i="15"/>
  <c r="AN259" i="15"/>
  <c r="AO259" i="15"/>
  <c r="AP259" i="15"/>
  <c r="AQ259" i="15"/>
  <c r="AR259" i="15"/>
  <c r="AS259" i="15"/>
  <c r="AT259" i="15"/>
  <c r="AU259" i="15"/>
  <c r="AL260" i="15"/>
  <c r="AM260" i="15"/>
  <c r="AN260" i="15"/>
  <c r="AO260" i="15"/>
  <c r="AP260" i="15"/>
  <c r="AQ260" i="15"/>
  <c r="AR260" i="15"/>
  <c r="AS260" i="15"/>
  <c r="AT260" i="15"/>
  <c r="AU260" i="15"/>
  <c r="AL261" i="15"/>
  <c r="AM261" i="15"/>
  <c r="AN261" i="15"/>
  <c r="AO261" i="15"/>
  <c r="AP261" i="15"/>
  <c r="AQ261" i="15"/>
  <c r="AR261" i="15"/>
  <c r="AS261" i="15"/>
  <c r="AT261" i="15"/>
  <c r="AU261" i="15"/>
  <c r="AL262" i="15"/>
  <c r="AM262" i="15"/>
  <c r="AN262" i="15"/>
  <c r="AO262" i="15"/>
  <c r="AP262" i="15"/>
  <c r="AQ262" i="15"/>
  <c r="AR262" i="15"/>
  <c r="AS262" i="15"/>
  <c r="AT262" i="15"/>
  <c r="AU262" i="15"/>
  <c r="AL263" i="15"/>
  <c r="AM263" i="15"/>
  <c r="AN263" i="15"/>
  <c r="AO263" i="15"/>
  <c r="AP263" i="15"/>
  <c r="AQ263" i="15"/>
  <c r="AR263" i="15"/>
  <c r="AS263" i="15"/>
  <c r="AT263" i="15"/>
  <c r="AU263" i="15"/>
  <c r="AL264" i="15"/>
  <c r="AM264" i="15"/>
  <c r="AN264" i="15"/>
  <c r="AO264" i="15"/>
  <c r="AP264" i="15"/>
  <c r="AQ264" i="15"/>
  <c r="AR264" i="15"/>
  <c r="AS264" i="15"/>
  <c r="AT264" i="15"/>
  <c r="AU264" i="15"/>
  <c r="AL265" i="15"/>
  <c r="AM265" i="15"/>
  <c r="AN265" i="15"/>
  <c r="AO265" i="15"/>
  <c r="AP265" i="15"/>
  <c r="AQ265" i="15"/>
  <c r="AR265" i="15"/>
  <c r="AS265" i="15"/>
  <c r="AT265" i="15"/>
  <c r="AU265" i="15"/>
  <c r="AL266" i="15"/>
  <c r="AM266" i="15"/>
  <c r="AN266" i="15"/>
  <c r="AO266" i="15"/>
  <c r="AP266" i="15"/>
  <c r="AQ266" i="15"/>
  <c r="AR266" i="15"/>
  <c r="AS266" i="15"/>
  <c r="AT266" i="15"/>
  <c r="AU266" i="15"/>
  <c r="AL267" i="15"/>
  <c r="AM267" i="15"/>
  <c r="AN267" i="15"/>
  <c r="AO267" i="15"/>
  <c r="AP267" i="15"/>
  <c r="AQ267" i="15"/>
  <c r="AR267" i="15"/>
  <c r="AS267" i="15"/>
  <c r="AT267" i="15"/>
  <c r="AU267" i="15"/>
  <c r="AL268" i="15"/>
  <c r="AM268" i="15"/>
  <c r="AN268" i="15"/>
  <c r="AO268" i="15"/>
  <c r="AP268" i="15"/>
  <c r="AQ268" i="15"/>
  <c r="AR268" i="15"/>
  <c r="AS268" i="15"/>
  <c r="AT268" i="15"/>
  <c r="AU268" i="15"/>
  <c r="AL269" i="15"/>
  <c r="AM269" i="15"/>
  <c r="AN269" i="15"/>
  <c r="AO269" i="15"/>
  <c r="AP269" i="15"/>
  <c r="AQ269" i="15"/>
  <c r="AR269" i="15"/>
  <c r="AS269" i="15"/>
  <c r="AT269" i="15"/>
  <c r="AU269" i="15"/>
  <c r="AL270" i="15"/>
  <c r="AM270" i="15"/>
  <c r="AN270" i="15"/>
  <c r="AO270" i="15"/>
  <c r="AP270" i="15"/>
  <c r="AQ270" i="15"/>
  <c r="AR270" i="15"/>
  <c r="AS270" i="15"/>
  <c r="AT270" i="15"/>
  <c r="AU270" i="15"/>
  <c r="AL271" i="15"/>
  <c r="AM271" i="15"/>
  <c r="AN271" i="15"/>
  <c r="AO271" i="15"/>
  <c r="AP271" i="15"/>
  <c r="AQ271" i="15"/>
  <c r="AR271" i="15"/>
  <c r="AS271" i="15"/>
  <c r="AT271" i="15"/>
  <c r="AU271" i="15"/>
  <c r="AL272" i="15"/>
  <c r="AM272" i="15"/>
  <c r="AN272" i="15"/>
  <c r="AO272" i="15"/>
  <c r="AP272" i="15"/>
  <c r="AQ272" i="15"/>
  <c r="AR272" i="15"/>
  <c r="AS272" i="15"/>
  <c r="AT272" i="15"/>
  <c r="AU272" i="15"/>
  <c r="AL273" i="15"/>
  <c r="AM273" i="15"/>
  <c r="AN273" i="15"/>
  <c r="AO273" i="15"/>
  <c r="AP273" i="15"/>
  <c r="AQ273" i="15"/>
  <c r="AR273" i="15"/>
  <c r="AS273" i="15"/>
  <c r="AT273" i="15"/>
  <c r="AU273" i="15"/>
  <c r="AL274" i="15"/>
  <c r="AM274" i="15"/>
  <c r="AN274" i="15"/>
  <c r="AO274" i="15"/>
  <c r="AP274" i="15"/>
  <c r="AQ274" i="15"/>
  <c r="AR274" i="15"/>
  <c r="AS274" i="15"/>
  <c r="AT274" i="15"/>
  <c r="AU274" i="15"/>
  <c r="AL275" i="15"/>
  <c r="AM275" i="15"/>
  <c r="AN275" i="15"/>
  <c r="AO275" i="15"/>
  <c r="AP275" i="15"/>
  <c r="AQ275" i="15"/>
  <c r="AR275" i="15"/>
  <c r="AS275" i="15"/>
  <c r="AT275" i="15"/>
  <c r="AU275" i="15"/>
  <c r="AL276" i="15"/>
  <c r="AM276" i="15"/>
  <c r="AN276" i="15"/>
  <c r="AO276" i="15"/>
  <c r="AP276" i="15"/>
  <c r="AQ276" i="15"/>
  <c r="AR276" i="15"/>
  <c r="AS276" i="15"/>
  <c r="AT276" i="15"/>
  <c r="AU276" i="15"/>
  <c r="AL277" i="15"/>
  <c r="AM277" i="15"/>
  <c r="AN277" i="15"/>
  <c r="AO277" i="15"/>
  <c r="AP277" i="15"/>
  <c r="AQ277" i="15"/>
  <c r="AR277" i="15"/>
  <c r="AS277" i="15"/>
  <c r="AT277" i="15"/>
  <c r="AU277" i="15"/>
  <c r="AL278" i="15"/>
  <c r="AM278" i="15"/>
  <c r="AN278" i="15"/>
  <c r="AO278" i="15"/>
  <c r="AP278" i="15"/>
  <c r="AQ278" i="15"/>
  <c r="AR278" i="15"/>
  <c r="AS278" i="15"/>
  <c r="AT278" i="15"/>
  <c r="AU278" i="15"/>
  <c r="AL279" i="15"/>
  <c r="AM279" i="15"/>
  <c r="AN279" i="15"/>
  <c r="AO279" i="15"/>
  <c r="AP279" i="15"/>
  <c r="AQ279" i="15"/>
  <c r="AR279" i="15"/>
  <c r="AS279" i="15"/>
  <c r="AT279" i="15"/>
  <c r="AU279" i="15"/>
  <c r="AL280" i="15"/>
  <c r="AM280" i="15"/>
  <c r="AN280" i="15"/>
  <c r="AO280" i="15"/>
  <c r="AP280" i="15"/>
  <c r="AQ280" i="15"/>
  <c r="AR280" i="15"/>
  <c r="AS280" i="15"/>
  <c r="AT280" i="15"/>
  <c r="AU280" i="15"/>
  <c r="AL281" i="15"/>
  <c r="AM281" i="15"/>
  <c r="AN281" i="15"/>
  <c r="AO281" i="15"/>
  <c r="AP281" i="15"/>
  <c r="AQ281" i="15"/>
  <c r="AR281" i="15"/>
  <c r="AS281" i="15"/>
  <c r="AT281" i="15"/>
  <c r="AU281" i="15"/>
  <c r="AL282" i="15"/>
  <c r="AM282" i="15"/>
  <c r="AN282" i="15"/>
  <c r="AO282" i="15"/>
  <c r="AP282" i="15"/>
  <c r="AQ282" i="15"/>
  <c r="AR282" i="15"/>
  <c r="AS282" i="15"/>
  <c r="AT282" i="15"/>
  <c r="AU282" i="15"/>
  <c r="AL283" i="15"/>
  <c r="AM283" i="15"/>
  <c r="AN283" i="15"/>
  <c r="AO283" i="15"/>
  <c r="AP283" i="15"/>
  <c r="AQ283" i="15"/>
  <c r="AR283" i="15"/>
  <c r="AS283" i="15"/>
  <c r="AT283" i="15"/>
  <c r="AU283" i="15"/>
  <c r="AL284" i="15"/>
  <c r="AM284" i="15"/>
  <c r="AN284" i="15"/>
  <c r="AO284" i="15"/>
  <c r="AP284" i="15"/>
  <c r="AQ284" i="15"/>
  <c r="AR284" i="15"/>
  <c r="AS284" i="15"/>
  <c r="AT284" i="15"/>
  <c r="AU284" i="15"/>
  <c r="AL285" i="15"/>
  <c r="AM285" i="15"/>
  <c r="AN285" i="15"/>
  <c r="AO285" i="15"/>
  <c r="AP285" i="15"/>
  <c r="AQ285" i="15"/>
  <c r="AR285" i="15"/>
  <c r="AS285" i="15"/>
  <c r="AT285" i="15"/>
  <c r="AU285" i="15"/>
  <c r="AL286" i="15"/>
  <c r="AM286" i="15"/>
  <c r="AN286" i="15"/>
  <c r="AO286" i="15"/>
  <c r="AP286" i="15"/>
  <c r="AQ286" i="15"/>
  <c r="AR286" i="15"/>
  <c r="AS286" i="15"/>
  <c r="AT286" i="15"/>
  <c r="AU286" i="15"/>
  <c r="AL287" i="15"/>
  <c r="AM287" i="15"/>
  <c r="AN287" i="15"/>
  <c r="AO287" i="15"/>
  <c r="AP287" i="15"/>
  <c r="AQ287" i="15"/>
  <c r="AR287" i="15"/>
  <c r="AS287" i="15"/>
  <c r="AT287" i="15"/>
  <c r="AU287" i="15"/>
  <c r="AL288" i="15"/>
  <c r="AM288" i="15"/>
  <c r="AN288" i="15"/>
  <c r="AO288" i="15"/>
  <c r="AP288" i="15"/>
  <c r="AQ288" i="15"/>
  <c r="AR288" i="15"/>
  <c r="AS288" i="15"/>
  <c r="AT288" i="15"/>
  <c r="AU288" i="15"/>
  <c r="AL289" i="15"/>
  <c r="AM289" i="15"/>
  <c r="AN289" i="15"/>
  <c r="AO289" i="15"/>
  <c r="AP289" i="15"/>
  <c r="AQ289" i="15"/>
  <c r="AR289" i="15"/>
  <c r="AS289" i="15"/>
  <c r="AT289" i="15"/>
  <c r="AU289" i="15"/>
  <c r="AL290" i="15"/>
  <c r="AM290" i="15"/>
  <c r="AN290" i="15"/>
  <c r="AO290" i="15"/>
  <c r="AP290" i="15"/>
  <c r="AQ290" i="15"/>
  <c r="AR290" i="15"/>
  <c r="AS290" i="15"/>
  <c r="AT290" i="15"/>
  <c r="AU290" i="15"/>
  <c r="AL291" i="15"/>
  <c r="AM291" i="15"/>
  <c r="AN291" i="15"/>
  <c r="AO291" i="15"/>
  <c r="AP291" i="15"/>
  <c r="AQ291" i="15"/>
  <c r="AR291" i="15"/>
  <c r="AS291" i="15"/>
  <c r="AT291" i="15"/>
  <c r="AU291" i="15"/>
  <c r="AL292" i="15"/>
  <c r="AM292" i="15"/>
  <c r="AN292" i="15"/>
  <c r="AO292" i="15"/>
  <c r="AP292" i="15"/>
  <c r="AQ292" i="15"/>
  <c r="AR292" i="15"/>
  <c r="AS292" i="15"/>
  <c r="AT292" i="15"/>
  <c r="AU292" i="15"/>
  <c r="AL293" i="15"/>
  <c r="AM293" i="15"/>
  <c r="AN293" i="15"/>
  <c r="AO293" i="15"/>
  <c r="AP293" i="15"/>
  <c r="AQ293" i="15"/>
  <c r="AR293" i="15"/>
  <c r="AS293" i="15"/>
  <c r="AT293" i="15"/>
  <c r="AU293" i="15"/>
  <c r="AL294" i="15"/>
  <c r="AM294" i="15"/>
  <c r="AN294" i="15"/>
  <c r="AO294" i="15"/>
  <c r="AP294" i="15"/>
  <c r="AQ294" i="15"/>
  <c r="AR294" i="15"/>
  <c r="AS294" i="15"/>
  <c r="AT294" i="15"/>
  <c r="AU294" i="15"/>
  <c r="AL295" i="15"/>
  <c r="AM295" i="15"/>
  <c r="AN295" i="15"/>
  <c r="AO295" i="15"/>
  <c r="AP295" i="15"/>
  <c r="AQ295" i="15"/>
  <c r="AR295" i="15"/>
  <c r="AS295" i="15"/>
  <c r="AT295" i="15"/>
  <c r="AU295" i="15"/>
  <c r="AL296" i="15"/>
  <c r="AM296" i="15"/>
  <c r="AN296" i="15"/>
  <c r="AO296" i="15"/>
  <c r="AP296" i="15"/>
  <c r="AQ296" i="15"/>
  <c r="AR296" i="15"/>
  <c r="AS296" i="15"/>
  <c r="AT296" i="15"/>
  <c r="AU296" i="15"/>
  <c r="AL297" i="15"/>
  <c r="AM297" i="15"/>
  <c r="AN297" i="15"/>
  <c r="AO297" i="15"/>
  <c r="AP297" i="15"/>
  <c r="AQ297" i="15"/>
  <c r="AR297" i="15"/>
  <c r="AS297" i="15"/>
  <c r="AT297" i="15"/>
  <c r="AU297" i="15"/>
  <c r="AL298" i="15"/>
  <c r="AM298" i="15"/>
  <c r="AN298" i="15"/>
  <c r="AO298" i="15"/>
  <c r="AP298" i="15"/>
  <c r="AQ298" i="15"/>
  <c r="AR298" i="15"/>
  <c r="AS298" i="15"/>
  <c r="AT298" i="15"/>
  <c r="AU298" i="15"/>
  <c r="AL299" i="15"/>
  <c r="AM299" i="15"/>
  <c r="AN299" i="15"/>
  <c r="AO299" i="15"/>
  <c r="AP299" i="15"/>
  <c r="AQ299" i="15"/>
  <c r="AR299" i="15"/>
  <c r="AS299" i="15"/>
  <c r="AT299" i="15"/>
  <c r="AU299" i="15"/>
  <c r="AL300" i="15"/>
  <c r="AM300" i="15"/>
  <c r="AN300" i="15"/>
  <c r="AO300" i="15"/>
  <c r="AP300" i="15"/>
  <c r="AQ300" i="15"/>
  <c r="AR300" i="15"/>
  <c r="AS300" i="15"/>
  <c r="AT300" i="15"/>
  <c r="AU300" i="15"/>
  <c r="AL301" i="15"/>
  <c r="AM301" i="15"/>
  <c r="AN301" i="15"/>
  <c r="AO301" i="15"/>
  <c r="AP301" i="15"/>
  <c r="AQ301" i="15"/>
  <c r="AR301" i="15"/>
  <c r="AS301" i="15"/>
  <c r="AT301" i="15"/>
  <c r="AU301" i="15"/>
  <c r="AL302" i="15"/>
  <c r="AM302" i="15"/>
  <c r="AN302" i="15"/>
  <c r="AO302" i="15"/>
  <c r="AP302" i="15"/>
  <c r="AQ302" i="15"/>
  <c r="AR302" i="15"/>
  <c r="AS302" i="15"/>
  <c r="AT302" i="15"/>
  <c r="AU302" i="15"/>
  <c r="AL303" i="15"/>
  <c r="AM303" i="15"/>
  <c r="AN303" i="15"/>
  <c r="AO303" i="15"/>
  <c r="AP303" i="15"/>
  <c r="AQ303" i="15"/>
  <c r="AR303" i="15"/>
  <c r="AS303" i="15"/>
  <c r="AT303" i="15"/>
  <c r="AU303" i="15"/>
  <c r="AL304" i="15"/>
  <c r="AM304" i="15"/>
  <c r="AN304" i="15"/>
  <c r="AO304" i="15"/>
  <c r="AP304" i="15"/>
  <c r="AQ304" i="15"/>
  <c r="AR304" i="15"/>
  <c r="AS304" i="15"/>
  <c r="AT304" i="15"/>
  <c r="AU304" i="15"/>
  <c r="AL305" i="15"/>
  <c r="AM305" i="15"/>
  <c r="AN305" i="15"/>
  <c r="AO305" i="15"/>
  <c r="AP305" i="15"/>
  <c r="AQ305" i="15"/>
  <c r="AR305" i="15"/>
  <c r="AS305" i="15"/>
  <c r="AT305" i="15"/>
  <c r="AU305" i="15"/>
  <c r="AL306" i="15"/>
  <c r="AM306" i="15"/>
  <c r="AN306" i="15"/>
  <c r="AO306" i="15"/>
  <c r="AP306" i="15"/>
  <c r="AQ306" i="15"/>
  <c r="AR306" i="15"/>
  <c r="AS306" i="15"/>
  <c r="AT306" i="15"/>
  <c r="AU306" i="15"/>
  <c r="AL307" i="15"/>
  <c r="AM307" i="15"/>
  <c r="AN307" i="15"/>
  <c r="AO307" i="15"/>
  <c r="AP307" i="15"/>
  <c r="AQ307" i="15"/>
  <c r="AR307" i="15"/>
  <c r="AS307" i="15"/>
  <c r="AT307" i="15"/>
  <c r="AU307" i="15"/>
  <c r="AL308" i="15"/>
  <c r="AM308" i="15"/>
  <c r="AN308" i="15"/>
  <c r="AO308" i="15"/>
  <c r="AP308" i="15"/>
  <c r="AQ308" i="15"/>
  <c r="AR308" i="15"/>
  <c r="AS308" i="15"/>
  <c r="AT308" i="15"/>
  <c r="AU308" i="15"/>
  <c r="AL309" i="15"/>
  <c r="AM309" i="15"/>
  <c r="AN309" i="15"/>
  <c r="AO309" i="15"/>
  <c r="AP309" i="15"/>
  <c r="AQ309" i="15"/>
  <c r="AR309" i="15"/>
  <c r="AS309" i="15"/>
  <c r="AT309" i="15"/>
  <c r="AU309" i="15"/>
  <c r="AL310" i="15"/>
  <c r="AM310" i="15"/>
  <c r="AN310" i="15"/>
  <c r="AO310" i="15"/>
  <c r="AP310" i="15"/>
  <c r="AQ310" i="15"/>
  <c r="AR310" i="15"/>
  <c r="AS310" i="15"/>
  <c r="AT310" i="15"/>
  <c r="AU310" i="15"/>
  <c r="AL311" i="15"/>
  <c r="AM311" i="15"/>
  <c r="AN311" i="15"/>
  <c r="AO311" i="15"/>
  <c r="AP311" i="15"/>
  <c r="AQ311" i="15"/>
  <c r="AR311" i="15"/>
  <c r="AS311" i="15"/>
  <c r="AT311" i="15"/>
  <c r="AU311" i="15"/>
  <c r="AL312" i="15"/>
  <c r="AM312" i="15"/>
  <c r="AN312" i="15"/>
  <c r="AO312" i="15"/>
  <c r="AP312" i="15"/>
  <c r="AQ312" i="15"/>
  <c r="AR312" i="15"/>
  <c r="AS312" i="15"/>
  <c r="AT312" i="15"/>
  <c r="AU312" i="15"/>
  <c r="AL313" i="15"/>
  <c r="AM313" i="15"/>
  <c r="AN313" i="15"/>
  <c r="AO313" i="15"/>
  <c r="AP313" i="15"/>
  <c r="AQ313" i="15"/>
  <c r="AR313" i="15"/>
  <c r="AS313" i="15"/>
  <c r="AT313" i="15"/>
  <c r="AU313" i="15"/>
  <c r="AL314" i="15"/>
  <c r="AM314" i="15"/>
  <c r="AN314" i="15"/>
  <c r="AO314" i="15"/>
  <c r="AP314" i="15"/>
  <c r="AQ314" i="15"/>
  <c r="AR314" i="15"/>
  <c r="AS314" i="15"/>
  <c r="AT314" i="15"/>
  <c r="AU314" i="15"/>
  <c r="AL315" i="15"/>
  <c r="AM315" i="15"/>
  <c r="AN315" i="15"/>
  <c r="AO315" i="15"/>
  <c r="AP315" i="15"/>
  <c r="AQ315" i="15"/>
  <c r="AR315" i="15"/>
  <c r="AS315" i="15"/>
  <c r="AT315" i="15"/>
  <c r="AU315" i="15"/>
  <c r="AL316" i="15"/>
  <c r="AM316" i="15"/>
  <c r="AN316" i="15"/>
  <c r="AO316" i="15"/>
  <c r="AP316" i="15"/>
  <c r="AQ316" i="15"/>
  <c r="AR316" i="15"/>
  <c r="AS316" i="15"/>
  <c r="AT316" i="15"/>
  <c r="AU316" i="15"/>
  <c r="AL317" i="15"/>
  <c r="AM317" i="15"/>
  <c r="AN317" i="15"/>
  <c r="AO317" i="15"/>
  <c r="AP317" i="15"/>
  <c r="AQ317" i="15"/>
  <c r="AR317" i="15"/>
  <c r="AS317" i="15"/>
  <c r="AT317" i="15"/>
  <c r="AU317" i="15"/>
  <c r="AL318" i="15"/>
  <c r="AM318" i="15"/>
  <c r="AN318" i="15"/>
  <c r="AO318" i="15"/>
  <c r="AP318" i="15"/>
  <c r="AQ318" i="15"/>
  <c r="AR318" i="15"/>
  <c r="AS318" i="15"/>
  <c r="AT318" i="15"/>
  <c r="AU318" i="15"/>
  <c r="AL319" i="15"/>
  <c r="AM319" i="15"/>
  <c r="AN319" i="15"/>
  <c r="AO319" i="15"/>
  <c r="AP319" i="15"/>
  <c r="AQ319" i="15"/>
  <c r="AR319" i="15"/>
  <c r="AS319" i="15"/>
  <c r="AT319" i="15"/>
  <c r="AU319" i="15"/>
  <c r="AL320" i="15"/>
  <c r="AM320" i="15"/>
  <c r="AN320" i="15"/>
  <c r="AO320" i="15"/>
  <c r="AP320" i="15"/>
  <c r="AQ320" i="15"/>
  <c r="AR320" i="15"/>
  <c r="AS320" i="15"/>
  <c r="AT320" i="15"/>
  <c r="AU320" i="15"/>
  <c r="AL321" i="15"/>
  <c r="AM321" i="15"/>
  <c r="AN321" i="15"/>
  <c r="AO321" i="15"/>
  <c r="AP321" i="15"/>
  <c r="AQ321" i="15"/>
  <c r="AR321" i="15"/>
  <c r="AS321" i="15"/>
  <c r="AT321" i="15"/>
  <c r="AU321" i="15"/>
  <c r="AL322" i="15"/>
  <c r="AM322" i="15"/>
  <c r="AN322" i="15"/>
  <c r="AO322" i="15"/>
  <c r="AP322" i="15"/>
  <c r="AQ322" i="15"/>
  <c r="AR322" i="15"/>
  <c r="AS322" i="15"/>
  <c r="AT322" i="15"/>
  <c r="AU322" i="15"/>
  <c r="AL323" i="15"/>
  <c r="AM323" i="15"/>
  <c r="AN323" i="15"/>
  <c r="AO323" i="15"/>
  <c r="AP323" i="15"/>
  <c r="AQ323" i="15"/>
  <c r="AR323" i="15"/>
  <c r="AS323" i="15"/>
  <c r="AT323" i="15"/>
  <c r="AU323" i="15"/>
  <c r="AL324" i="15"/>
  <c r="AM324" i="15"/>
  <c r="AN324" i="15"/>
  <c r="AO324" i="15"/>
  <c r="AP324" i="15"/>
  <c r="AQ324" i="15"/>
  <c r="AR324" i="15"/>
  <c r="AS324" i="15"/>
  <c r="AT324" i="15"/>
  <c r="AU324" i="15"/>
  <c r="AL325" i="15"/>
  <c r="AM325" i="15"/>
  <c r="AN325" i="15"/>
  <c r="AO325" i="15"/>
  <c r="AP325" i="15"/>
  <c r="AQ325" i="15"/>
  <c r="AR325" i="15"/>
  <c r="AS325" i="15"/>
  <c r="AT325" i="15"/>
  <c r="AU325" i="15"/>
  <c r="AL326" i="15"/>
  <c r="AM326" i="15"/>
  <c r="AN326" i="15"/>
  <c r="AO326" i="15"/>
  <c r="AP326" i="15"/>
  <c r="AQ326" i="15"/>
  <c r="AR326" i="15"/>
  <c r="AS326" i="15"/>
  <c r="AT326" i="15"/>
  <c r="AU326" i="15"/>
  <c r="AL327" i="15"/>
  <c r="AM327" i="15"/>
  <c r="AN327" i="15"/>
  <c r="AO327" i="15"/>
  <c r="AP327" i="15"/>
  <c r="AQ327" i="15"/>
  <c r="AR327" i="15"/>
  <c r="AS327" i="15"/>
  <c r="AT327" i="15"/>
  <c r="AU327" i="15"/>
  <c r="AL328" i="15"/>
  <c r="AM328" i="15"/>
  <c r="AN328" i="15"/>
  <c r="AO328" i="15"/>
  <c r="AP328" i="15"/>
  <c r="AQ328" i="15"/>
  <c r="AR328" i="15"/>
  <c r="AS328" i="15"/>
  <c r="AT328" i="15"/>
  <c r="AU328" i="15"/>
  <c r="AL329" i="15"/>
  <c r="AM329" i="15"/>
  <c r="AN329" i="15"/>
  <c r="AO329" i="15"/>
  <c r="AP329" i="15"/>
  <c r="AQ329" i="15"/>
  <c r="AR329" i="15"/>
  <c r="AS329" i="15"/>
  <c r="AT329" i="15"/>
  <c r="AU329" i="15"/>
  <c r="AL330" i="15"/>
  <c r="AM330" i="15"/>
  <c r="AN330" i="15"/>
  <c r="AO330" i="15"/>
  <c r="AP330" i="15"/>
  <c r="AQ330" i="15"/>
  <c r="AR330" i="15"/>
  <c r="AS330" i="15"/>
  <c r="AT330" i="15"/>
  <c r="AU330" i="15"/>
  <c r="AL331" i="15"/>
  <c r="AM331" i="15"/>
  <c r="AN331" i="15"/>
  <c r="AO331" i="15"/>
  <c r="AP331" i="15"/>
  <c r="AQ331" i="15"/>
  <c r="AR331" i="15"/>
  <c r="AS331" i="15"/>
  <c r="AT331" i="15"/>
  <c r="AU331" i="15"/>
  <c r="AL332" i="15"/>
  <c r="AM332" i="15"/>
  <c r="AN332" i="15"/>
  <c r="AO332" i="15"/>
  <c r="AP332" i="15"/>
  <c r="AQ332" i="15"/>
  <c r="AR332" i="15"/>
  <c r="AS332" i="15"/>
  <c r="AT332" i="15"/>
  <c r="AU332" i="15"/>
  <c r="AL333" i="15"/>
  <c r="AM333" i="15"/>
  <c r="AN333" i="15"/>
  <c r="AO333" i="15"/>
  <c r="AP333" i="15"/>
  <c r="AQ333" i="15"/>
  <c r="AR333" i="15"/>
  <c r="AS333" i="15"/>
  <c r="AT333" i="15"/>
  <c r="AU333" i="15"/>
  <c r="AL334" i="15"/>
  <c r="AM334" i="15"/>
  <c r="AN334" i="15"/>
  <c r="AO334" i="15"/>
  <c r="AP334" i="15"/>
  <c r="AQ334" i="15"/>
  <c r="AR334" i="15"/>
  <c r="AS334" i="15"/>
  <c r="AT334" i="15"/>
  <c r="AU334" i="15"/>
  <c r="AL335" i="15"/>
  <c r="AM335" i="15"/>
  <c r="AN335" i="15"/>
  <c r="AO335" i="15"/>
  <c r="AP335" i="15"/>
  <c r="AQ335" i="15"/>
  <c r="AR335" i="15"/>
  <c r="AS335" i="15"/>
  <c r="AT335" i="15"/>
  <c r="AU335" i="15"/>
  <c r="AL336" i="15"/>
  <c r="AM336" i="15"/>
  <c r="AN336" i="15"/>
  <c r="AO336" i="15"/>
  <c r="AP336" i="15"/>
  <c r="AQ336" i="15"/>
  <c r="AR336" i="15"/>
  <c r="AS336" i="15"/>
  <c r="AT336" i="15"/>
  <c r="AU336" i="15"/>
  <c r="AL337" i="15"/>
  <c r="AM337" i="15"/>
  <c r="AN337" i="15"/>
  <c r="AO337" i="15"/>
  <c r="AP337" i="15"/>
  <c r="AQ337" i="15"/>
  <c r="AR337" i="15"/>
  <c r="AS337" i="15"/>
  <c r="AT337" i="15"/>
  <c r="AU337" i="15"/>
  <c r="AL338" i="15"/>
  <c r="AM338" i="15"/>
  <c r="AN338" i="15"/>
  <c r="AO338" i="15"/>
  <c r="AP338" i="15"/>
  <c r="AQ338" i="15"/>
  <c r="AR338" i="15"/>
  <c r="AS338" i="15"/>
  <c r="AT338" i="15"/>
  <c r="AU338" i="15"/>
  <c r="AL339" i="15"/>
  <c r="AM339" i="15"/>
  <c r="AN339" i="15"/>
  <c r="AO339" i="15"/>
  <c r="AP339" i="15"/>
  <c r="AQ339" i="15"/>
  <c r="AR339" i="15"/>
  <c r="AS339" i="15"/>
  <c r="AT339" i="15"/>
  <c r="AU339" i="15"/>
  <c r="AL340" i="15"/>
  <c r="AM340" i="15"/>
  <c r="AN340" i="15"/>
  <c r="AO340" i="15"/>
  <c r="AP340" i="15"/>
  <c r="AQ340" i="15"/>
  <c r="AR340" i="15"/>
  <c r="AS340" i="15"/>
  <c r="AT340" i="15"/>
  <c r="AU340" i="15"/>
  <c r="AL341" i="15"/>
  <c r="AM341" i="15"/>
  <c r="AN341" i="15"/>
  <c r="AO341" i="15"/>
  <c r="AP341" i="15"/>
  <c r="AQ341" i="15"/>
  <c r="AR341" i="15"/>
  <c r="AS341" i="15"/>
  <c r="AT341" i="15"/>
  <c r="AU341" i="15"/>
  <c r="AL342" i="15"/>
  <c r="AM342" i="15"/>
  <c r="AN342" i="15"/>
  <c r="AO342" i="15"/>
  <c r="AP342" i="15"/>
  <c r="AQ342" i="15"/>
  <c r="AR342" i="15"/>
  <c r="AS342" i="15"/>
  <c r="AT342" i="15"/>
  <c r="AU342" i="15"/>
  <c r="AL343" i="15"/>
  <c r="AM343" i="15"/>
  <c r="AN343" i="15"/>
  <c r="AO343" i="15"/>
  <c r="AP343" i="15"/>
  <c r="AQ343" i="15"/>
  <c r="AR343" i="15"/>
  <c r="AS343" i="15"/>
  <c r="AT343" i="15"/>
  <c r="AU343" i="15"/>
  <c r="AL344" i="15"/>
  <c r="AM344" i="15"/>
  <c r="AN344" i="15"/>
  <c r="AO344" i="15"/>
  <c r="AP344" i="15"/>
  <c r="AQ344" i="15"/>
  <c r="AR344" i="15"/>
  <c r="AS344" i="15"/>
  <c r="AT344" i="15"/>
  <c r="AU344" i="15"/>
  <c r="AL345" i="15"/>
  <c r="AM345" i="15"/>
  <c r="AN345" i="15"/>
  <c r="AO345" i="15"/>
  <c r="AP345" i="15"/>
  <c r="AQ345" i="15"/>
  <c r="AR345" i="15"/>
  <c r="AS345" i="15"/>
  <c r="AT345" i="15"/>
  <c r="AU345" i="15"/>
  <c r="AL346" i="15"/>
  <c r="AM346" i="15"/>
  <c r="AN346" i="15"/>
  <c r="AO346" i="15"/>
  <c r="AP346" i="15"/>
  <c r="AQ346" i="15"/>
  <c r="AR346" i="15"/>
  <c r="AS346" i="15"/>
  <c r="AT346" i="15"/>
  <c r="AU346" i="15"/>
  <c r="AL347" i="15"/>
  <c r="AM347" i="15"/>
  <c r="AN347" i="15"/>
  <c r="AO347" i="15"/>
  <c r="AP347" i="15"/>
  <c r="AQ347" i="15"/>
  <c r="AR347" i="15"/>
  <c r="AS347" i="15"/>
  <c r="AT347" i="15"/>
  <c r="AU347" i="15"/>
  <c r="AL348" i="15"/>
  <c r="AM348" i="15"/>
  <c r="AN348" i="15"/>
  <c r="AO348" i="15"/>
  <c r="AP348" i="15"/>
  <c r="AQ348" i="15"/>
  <c r="AR348" i="15"/>
  <c r="AS348" i="15"/>
  <c r="AT348" i="15"/>
  <c r="AU348" i="15"/>
  <c r="AL349" i="15"/>
  <c r="AM349" i="15"/>
  <c r="AN349" i="15"/>
  <c r="AO349" i="15"/>
  <c r="AP349" i="15"/>
  <c r="AQ349" i="15"/>
  <c r="AR349" i="15"/>
  <c r="AS349" i="15"/>
  <c r="AT349" i="15"/>
  <c r="AU349" i="15"/>
  <c r="AQ22" i="15"/>
  <c r="AP22" i="15"/>
  <c r="AO22" i="15"/>
  <c r="AN22" i="15"/>
  <c r="AM22" i="15"/>
  <c r="AL22" i="15"/>
  <c r="AT22" i="15"/>
  <c r="AS22" i="15"/>
  <c r="AR22" i="15"/>
  <c r="AW22" i="15"/>
  <c r="AU22" i="15"/>
  <c r="AV22" i="15"/>
  <c r="AW23" i="15"/>
  <c r="AW24" i="15"/>
  <c r="AW25" i="15"/>
  <c r="AW26" i="15"/>
  <c r="AW27" i="15"/>
  <c r="AW28" i="15"/>
  <c r="AW29" i="15"/>
  <c r="AW30" i="15"/>
  <c r="AW31" i="15"/>
  <c r="AW32" i="15"/>
  <c r="AW33" i="15"/>
  <c r="AW34" i="15"/>
  <c r="AW35" i="15"/>
  <c r="AW36" i="15"/>
  <c r="AW37" i="15"/>
  <c r="AW38" i="15"/>
  <c r="AW39" i="15"/>
  <c r="AW40" i="15"/>
  <c r="AW41" i="15"/>
  <c r="AW42" i="15"/>
  <c r="AW43" i="15"/>
  <c r="AW44" i="15"/>
  <c r="AW45" i="15"/>
  <c r="AW46" i="15"/>
  <c r="AW47" i="15"/>
  <c r="AW48" i="15"/>
  <c r="AW49" i="15"/>
  <c r="AW50" i="15"/>
  <c r="AW51" i="15"/>
  <c r="AW52" i="15"/>
  <c r="AW53" i="15"/>
  <c r="AW54" i="15"/>
  <c r="AW55" i="15"/>
  <c r="AW56" i="15"/>
  <c r="AW57" i="15"/>
  <c r="AW58" i="15"/>
  <c r="AW59" i="15"/>
  <c r="AW60" i="15"/>
  <c r="AW61" i="15"/>
  <c r="AW62" i="15"/>
  <c r="AW63" i="15"/>
  <c r="AW64" i="15"/>
  <c r="AW65" i="15"/>
  <c r="AW66" i="15"/>
  <c r="AW67" i="15"/>
  <c r="AW68" i="15"/>
  <c r="AW69" i="15"/>
  <c r="AW70" i="15"/>
  <c r="AW71" i="15"/>
  <c r="AW72" i="15"/>
  <c r="AW73" i="15"/>
  <c r="AW74" i="15"/>
  <c r="AW75" i="15"/>
  <c r="AW76" i="15"/>
  <c r="AW77" i="15"/>
  <c r="AW78" i="15"/>
  <c r="AW79" i="15"/>
  <c r="AW80" i="15"/>
  <c r="AW81" i="15"/>
  <c r="AW82" i="15"/>
  <c r="AW83" i="15"/>
  <c r="AW84" i="15"/>
  <c r="AW85" i="15"/>
  <c r="AW86" i="15"/>
  <c r="AW87" i="15"/>
  <c r="AW88" i="15"/>
  <c r="AW89" i="15"/>
  <c r="AW90" i="15"/>
  <c r="AW91" i="15"/>
  <c r="AW92" i="15"/>
  <c r="AW93" i="15"/>
  <c r="AW94" i="15"/>
  <c r="AW95" i="15"/>
  <c r="AW96" i="15"/>
  <c r="AW97" i="15"/>
  <c r="AW98" i="15"/>
  <c r="AW99" i="15"/>
  <c r="AW100" i="15"/>
  <c r="AW101" i="15"/>
  <c r="AW102" i="15"/>
  <c r="AW103" i="15"/>
  <c r="AW104" i="15"/>
  <c r="AW105" i="15"/>
  <c r="AW106" i="15"/>
  <c r="AW107" i="15"/>
  <c r="AW108" i="15"/>
  <c r="AW109" i="15"/>
  <c r="AW110" i="15"/>
  <c r="AW111" i="15"/>
  <c r="AW112" i="15"/>
  <c r="AW113" i="15"/>
  <c r="AW114" i="15"/>
  <c r="AW115" i="15"/>
  <c r="AW116" i="15"/>
  <c r="AW117" i="15"/>
  <c r="AW118" i="15"/>
  <c r="AW119" i="15"/>
  <c r="AW120" i="15"/>
  <c r="AW121" i="15"/>
  <c r="AW122" i="15"/>
  <c r="AW123" i="15"/>
  <c r="AW124" i="15"/>
  <c r="AW125" i="15"/>
  <c r="AW126" i="15"/>
  <c r="AW127" i="15"/>
  <c r="AW128" i="15"/>
  <c r="AW129" i="15"/>
  <c r="AW130" i="15"/>
  <c r="AW131" i="15"/>
  <c r="AW132" i="15"/>
  <c r="AW133" i="15"/>
  <c r="AW134" i="15"/>
  <c r="AW135" i="15"/>
  <c r="AW136" i="15"/>
  <c r="AW137" i="15"/>
  <c r="AW138" i="15"/>
  <c r="AW139" i="15"/>
  <c r="AW140" i="15"/>
  <c r="AW141" i="15"/>
  <c r="AW142" i="15"/>
  <c r="AW143" i="15"/>
  <c r="AW144" i="15"/>
  <c r="AW145" i="15"/>
  <c r="AW146" i="15"/>
  <c r="AW147" i="15"/>
  <c r="AW148" i="15"/>
  <c r="AW149" i="15"/>
  <c r="AW150" i="15"/>
  <c r="AW151" i="15"/>
  <c r="AW152" i="15"/>
  <c r="AW153" i="15"/>
  <c r="AW154" i="15"/>
  <c r="AW155" i="15"/>
  <c r="AW156" i="15"/>
  <c r="AW157" i="15"/>
  <c r="AW158" i="15"/>
  <c r="AW159" i="15"/>
  <c r="AW160" i="15"/>
  <c r="AW161" i="15"/>
  <c r="AW162" i="15"/>
  <c r="AW163" i="15"/>
  <c r="AW164" i="15"/>
  <c r="AW165" i="15"/>
  <c r="AW166" i="15"/>
  <c r="AW167" i="15"/>
  <c r="AW168" i="15"/>
  <c r="AW169" i="15"/>
  <c r="AW170" i="15"/>
  <c r="AW171" i="15"/>
  <c r="AW172" i="15"/>
  <c r="AW173" i="15"/>
  <c r="AW174" i="15"/>
  <c r="AW175" i="15"/>
  <c r="AW176" i="15"/>
  <c r="AW177" i="15"/>
  <c r="AW178" i="15"/>
  <c r="AW179" i="15"/>
  <c r="AW180" i="15"/>
  <c r="AW181" i="15"/>
  <c r="AW182" i="15"/>
  <c r="AW183" i="15"/>
  <c r="AW184" i="15"/>
  <c r="AW185" i="15"/>
  <c r="AW186" i="15"/>
  <c r="AW187" i="15"/>
  <c r="AW188" i="15"/>
  <c r="AW189" i="15"/>
  <c r="AW190" i="15"/>
  <c r="AW191" i="15"/>
  <c r="AW192" i="15"/>
  <c r="AW193" i="15"/>
  <c r="AW194" i="15"/>
  <c r="AW195" i="15"/>
  <c r="AW196" i="15"/>
  <c r="AW197" i="15"/>
  <c r="AW198" i="15"/>
  <c r="AW199" i="15"/>
  <c r="AW200" i="15"/>
  <c r="AW201" i="15"/>
  <c r="AW202" i="15"/>
  <c r="AW203" i="15"/>
  <c r="AW204" i="15"/>
  <c r="AW205" i="15"/>
  <c r="AW206" i="15"/>
  <c r="AW207" i="15"/>
  <c r="AW208" i="15"/>
  <c r="AW209" i="15"/>
  <c r="AW210" i="15"/>
  <c r="AW211" i="15"/>
  <c r="AW212" i="15"/>
  <c r="AW213" i="15"/>
  <c r="AW214" i="15"/>
  <c r="AW215" i="15"/>
  <c r="AW216" i="15"/>
  <c r="AW217" i="15"/>
  <c r="AW218" i="15"/>
  <c r="AW219" i="15"/>
  <c r="AW220" i="15"/>
  <c r="AW221" i="15"/>
  <c r="AW222" i="15"/>
  <c r="AW223" i="15"/>
  <c r="AW224" i="15"/>
  <c r="AW225" i="15"/>
  <c r="AW226" i="15"/>
  <c r="AW227" i="15"/>
  <c r="AW228" i="15"/>
  <c r="AW229" i="15"/>
  <c r="AW230" i="15"/>
  <c r="AW231" i="15"/>
  <c r="AW232" i="15"/>
  <c r="AW233" i="15"/>
  <c r="AW234" i="15"/>
  <c r="AW235" i="15"/>
  <c r="AW236" i="15"/>
  <c r="AW237" i="15"/>
  <c r="AW238" i="15"/>
  <c r="AW239" i="15"/>
  <c r="AW240" i="15"/>
  <c r="AW241" i="15"/>
  <c r="AW242" i="15"/>
  <c r="AW243" i="15"/>
  <c r="AW244" i="15"/>
  <c r="AW245" i="15"/>
  <c r="AW246" i="15"/>
  <c r="AW247" i="15"/>
  <c r="AW248" i="15"/>
  <c r="AW249" i="15"/>
  <c r="AW250" i="15"/>
  <c r="AW251" i="15"/>
  <c r="AW252" i="15"/>
  <c r="AW253" i="15"/>
  <c r="AW254" i="15"/>
  <c r="AW255" i="15"/>
  <c r="AW256" i="15"/>
  <c r="AW257" i="15"/>
  <c r="AW258" i="15"/>
  <c r="AW259" i="15"/>
  <c r="AW260" i="15"/>
  <c r="AW261" i="15"/>
  <c r="AW262" i="15"/>
  <c r="AW263" i="15"/>
  <c r="AW264" i="15"/>
  <c r="AW265" i="15"/>
  <c r="AW266" i="15"/>
  <c r="AW267" i="15"/>
  <c r="AW268" i="15"/>
  <c r="AW269" i="15"/>
  <c r="AW270" i="15"/>
  <c r="AW271" i="15"/>
  <c r="AW272" i="15"/>
  <c r="AW273" i="15"/>
  <c r="AW274" i="15"/>
  <c r="AW275" i="15"/>
  <c r="AW276" i="15"/>
  <c r="AW277" i="15"/>
  <c r="AW278" i="15"/>
  <c r="AW279" i="15"/>
  <c r="AW280" i="15"/>
  <c r="AW281" i="15"/>
  <c r="AW282" i="15"/>
  <c r="AW283" i="15"/>
  <c r="AW284" i="15"/>
  <c r="AW285" i="15"/>
  <c r="AW286" i="15"/>
  <c r="AW287" i="15"/>
  <c r="AW288" i="15"/>
  <c r="AW289" i="15"/>
  <c r="AW290" i="15"/>
  <c r="AW291" i="15"/>
  <c r="AW292" i="15"/>
  <c r="AW293" i="15"/>
  <c r="AW294" i="15"/>
  <c r="AW295" i="15"/>
  <c r="AW296" i="15"/>
  <c r="AW297" i="15"/>
  <c r="AW298" i="15"/>
  <c r="AW299" i="15"/>
  <c r="AW300" i="15"/>
  <c r="AW301" i="15"/>
  <c r="AW302" i="15"/>
  <c r="AW303" i="15"/>
  <c r="AW304" i="15"/>
  <c r="AW305" i="15"/>
  <c r="AW306" i="15"/>
  <c r="AW307" i="15"/>
  <c r="AW308" i="15"/>
  <c r="AW309" i="15"/>
  <c r="AW310" i="15"/>
  <c r="AW311" i="15"/>
  <c r="AW312" i="15"/>
  <c r="AW313" i="15"/>
  <c r="AW314" i="15"/>
  <c r="AW315" i="15"/>
  <c r="AW316" i="15"/>
  <c r="AW317" i="15"/>
  <c r="AW318" i="15"/>
  <c r="AW319" i="15"/>
  <c r="AW320" i="15"/>
  <c r="AW321" i="15"/>
  <c r="AW322" i="15"/>
  <c r="AW323" i="15"/>
  <c r="AW324" i="15"/>
  <c r="AW325" i="15"/>
  <c r="AW326" i="15"/>
  <c r="AW327" i="15"/>
  <c r="AW328" i="15"/>
  <c r="AW329" i="15"/>
  <c r="AW330" i="15"/>
  <c r="AW331" i="15"/>
  <c r="AW332" i="15"/>
  <c r="AW333" i="15"/>
  <c r="AW334" i="15"/>
  <c r="AW335" i="15"/>
  <c r="AW336" i="15"/>
  <c r="AW337" i="15"/>
  <c r="AW338" i="15"/>
  <c r="AW339" i="15"/>
  <c r="AW340" i="15"/>
  <c r="AW341" i="15"/>
  <c r="AW342" i="15"/>
  <c r="AW343" i="15"/>
  <c r="AW344" i="15"/>
  <c r="AW345" i="15"/>
  <c r="AW346" i="15"/>
  <c r="AW347" i="15"/>
  <c r="AW348" i="15"/>
  <c r="AW349" i="15"/>
  <c r="AV23" i="15"/>
  <c r="AV24" i="15"/>
  <c r="AV25" i="15"/>
  <c r="AV26" i="15"/>
  <c r="AV27" i="15"/>
  <c r="AV28" i="15"/>
  <c r="AV29" i="15"/>
  <c r="AV30" i="15"/>
  <c r="AV31" i="15"/>
  <c r="AV32" i="15"/>
  <c r="AV33" i="15"/>
  <c r="AV34" i="15"/>
  <c r="AV35" i="15"/>
  <c r="AV36" i="15"/>
  <c r="AV37" i="15"/>
  <c r="AV38" i="15"/>
  <c r="AV39" i="15"/>
  <c r="AV40" i="15"/>
  <c r="AV41" i="15"/>
  <c r="AV42" i="15"/>
  <c r="AV43" i="15"/>
  <c r="AV44" i="15"/>
  <c r="AV45" i="15"/>
  <c r="AV46" i="15"/>
  <c r="AV47" i="15"/>
  <c r="AV48" i="15"/>
  <c r="AV49" i="15"/>
  <c r="AV50" i="15"/>
  <c r="AV51" i="15"/>
  <c r="AV52" i="15"/>
  <c r="AV53" i="15"/>
  <c r="AV54" i="15"/>
  <c r="AV55" i="15"/>
  <c r="AV56" i="15"/>
  <c r="AV57" i="15"/>
  <c r="AV58" i="15"/>
  <c r="AV59" i="15"/>
  <c r="AV60" i="15"/>
  <c r="AV61" i="15"/>
  <c r="AV62" i="15"/>
  <c r="AV63" i="15"/>
  <c r="AV64" i="15"/>
  <c r="AV65" i="15"/>
  <c r="AV66" i="15"/>
  <c r="AV67" i="15"/>
  <c r="AV68" i="15"/>
  <c r="AV69" i="15"/>
  <c r="AV70" i="15"/>
  <c r="AV71" i="15"/>
  <c r="AV72" i="15"/>
  <c r="AV73" i="15"/>
  <c r="AV74" i="15"/>
  <c r="AV75" i="15"/>
  <c r="AV76" i="15"/>
  <c r="AV77" i="15"/>
  <c r="AV78" i="15"/>
  <c r="AV79" i="15"/>
  <c r="AV80" i="15"/>
  <c r="AV81" i="15"/>
  <c r="AV82" i="15"/>
  <c r="AV83" i="15"/>
  <c r="AV84" i="15"/>
  <c r="AV85" i="15"/>
  <c r="AV86" i="15"/>
  <c r="AV87" i="15"/>
  <c r="AV88" i="15"/>
  <c r="AV89" i="15"/>
  <c r="AV90" i="15"/>
  <c r="AV91" i="15"/>
  <c r="AV92" i="15"/>
  <c r="AV93" i="15"/>
  <c r="AV94" i="15"/>
  <c r="AV95" i="15"/>
  <c r="AV96" i="15"/>
  <c r="AV97" i="15"/>
  <c r="AV98" i="15"/>
  <c r="AV99" i="15"/>
  <c r="AV100" i="15"/>
  <c r="AV101" i="15"/>
  <c r="AV102" i="15"/>
  <c r="AV103" i="15"/>
  <c r="AV104" i="15"/>
  <c r="AV105" i="15"/>
  <c r="AV106" i="15"/>
  <c r="AV107" i="15"/>
  <c r="AV108" i="15"/>
  <c r="AV109" i="15"/>
  <c r="AV110" i="15"/>
  <c r="AV111" i="15"/>
  <c r="AV112" i="15"/>
  <c r="AV113" i="15"/>
  <c r="AV114" i="15"/>
  <c r="AV115" i="15"/>
  <c r="AV116" i="15"/>
  <c r="AV117" i="15"/>
  <c r="AV118" i="15"/>
  <c r="AV119" i="15"/>
  <c r="AV120" i="15"/>
  <c r="AV121" i="15"/>
  <c r="AV122" i="15"/>
  <c r="AV123" i="15"/>
  <c r="AV124" i="15"/>
  <c r="AV125" i="15"/>
  <c r="AV126" i="15"/>
  <c r="AV127" i="15"/>
  <c r="AV128" i="15"/>
  <c r="AV129" i="15"/>
  <c r="AV130" i="15"/>
  <c r="AV131" i="15"/>
  <c r="AV132" i="15"/>
  <c r="AV133" i="15"/>
  <c r="AV134" i="15"/>
  <c r="AV135" i="15"/>
  <c r="AV136" i="15"/>
  <c r="AV137" i="15"/>
  <c r="AV138" i="15"/>
  <c r="AV139" i="15"/>
  <c r="AV140" i="15"/>
  <c r="AV141" i="15"/>
  <c r="AV142" i="15"/>
  <c r="AV143" i="15"/>
  <c r="AV144" i="15"/>
  <c r="AV145" i="15"/>
  <c r="AV146" i="15"/>
  <c r="AV147" i="15"/>
  <c r="AV148" i="15"/>
  <c r="AV149" i="15"/>
  <c r="AV150" i="15"/>
  <c r="AV151" i="15"/>
  <c r="AV152" i="15"/>
  <c r="AV153" i="15"/>
  <c r="AV154" i="15"/>
  <c r="AV155" i="15"/>
  <c r="AV156" i="15"/>
  <c r="AV157" i="15"/>
  <c r="AV158" i="15"/>
  <c r="AV159" i="15"/>
  <c r="AV160" i="15"/>
  <c r="AV161" i="15"/>
  <c r="AV162" i="15"/>
  <c r="AV163" i="15"/>
  <c r="AV164" i="15"/>
  <c r="AV165" i="15"/>
  <c r="AV166" i="15"/>
  <c r="AV167" i="15"/>
  <c r="AV168" i="15"/>
  <c r="AV169" i="15"/>
  <c r="AV170" i="15"/>
  <c r="AV171" i="15"/>
  <c r="AV172" i="15"/>
  <c r="AV173" i="15"/>
  <c r="AV174" i="15"/>
  <c r="AV175" i="15"/>
  <c r="AV176" i="15"/>
  <c r="AV177" i="15"/>
  <c r="AV178" i="15"/>
  <c r="AV179" i="15"/>
  <c r="AV180" i="15"/>
  <c r="AV181" i="15"/>
  <c r="AV182" i="15"/>
  <c r="AV183" i="15"/>
  <c r="AV184" i="15"/>
  <c r="AV185" i="15"/>
  <c r="AV186" i="15"/>
  <c r="AV187" i="15"/>
  <c r="AV188" i="15"/>
  <c r="AV189" i="15"/>
  <c r="AV190" i="15"/>
  <c r="AV191" i="15"/>
  <c r="AV192" i="15"/>
  <c r="AV193" i="15"/>
  <c r="AV194" i="15"/>
  <c r="AV195" i="15"/>
  <c r="AV196" i="15"/>
  <c r="AV197" i="15"/>
  <c r="AV198" i="15"/>
  <c r="AV199" i="15"/>
  <c r="AV200" i="15"/>
  <c r="AV201" i="15"/>
  <c r="AV202" i="15"/>
  <c r="AV203" i="15"/>
  <c r="AV204" i="15"/>
  <c r="AV205" i="15"/>
  <c r="AV206" i="15"/>
  <c r="AV207" i="15"/>
  <c r="AV208" i="15"/>
  <c r="AV209" i="15"/>
  <c r="AV210" i="15"/>
  <c r="AV211" i="15"/>
  <c r="AV212" i="15"/>
  <c r="AV213" i="15"/>
  <c r="AV214" i="15"/>
  <c r="AV215" i="15"/>
  <c r="AV216" i="15"/>
  <c r="AV217" i="15"/>
  <c r="AV218" i="15"/>
  <c r="AV219" i="15"/>
  <c r="AV220" i="15"/>
  <c r="AV221" i="15"/>
  <c r="AV222" i="15"/>
  <c r="AV223" i="15"/>
  <c r="AV224" i="15"/>
  <c r="AV225" i="15"/>
  <c r="AV226" i="15"/>
  <c r="AV227" i="15"/>
  <c r="AV228" i="15"/>
  <c r="AV229" i="15"/>
  <c r="AV230" i="15"/>
  <c r="AV231" i="15"/>
  <c r="AV232" i="15"/>
  <c r="AV233" i="15"/>
  <c r="AV234" i="15"/>
  <c r="AV235" i="15"/>
  <c r="AV236" i="15"/>
  <c r="AV237" i="15"/>
  <c r="AV238" i="15"/>
  <c r="AV239" i="15"/>
  <c r="AV240" i="15"/>
  <c r="AV241" i="15"/>
  <c r="AV242" i="15"/>
  <c r="AV243" i="15"/>
  <c r="AV244" i="15"/>
  <c r="AV245" i="15"/>
  <c r="AV246" i="15"/>
  <c r="AV247" i="15"/>
  <c r="AV248" i="15"/>
  <c r="AV249" i="15"/>
  <c r="AV250" i="15"/>
  <c r="AV251" i="15"/>
  <c r="AV252" i="15"/>
  <c r="AV253" i="15"/>
  <c r="AV254" i="15"/>
  <c r="AV255" i="15"/>
  <c r="AV256" i="15"/>
  <c r="AV257" i="15"/>
  <c r="AV258" i="15"/>
  <c r="AV259" i="15"/>
  <c r="AV260" i="15"/>
  <c r="AV261" i="15"/>
  <c r="AV262" i="15"/>
  <c r="AV263" i="15"/>
  <c r="AV264" i="15"/>
  <c r="AV265" i="15"/>
  <c r="AV266" i="15"/>
  <c r="AV267" i="15"/>
  <c r="AV268" i="15"/>
  <c r="AV269" i="15"/>
  <c r="AV270" i="15"/>
  <c r="AV271" i="15"/>
  <c r="AV272" i="15"/>
  <c r="AV273" i="15"/>
  <c r="AV274" i="15"/>
  <c r="AV275" i="15"/>
  <c r="AV276" i="15"/>
  <c r="AV277" i="15"/>
  <c r="AV278" i="15"/>
  <c r="AV279" i="15"/>
  <c r="AV280" i="15"/>
  <c r="AV281" i="15"/>
  <c r="AV282" i="15"/>
  <c r="AV283" i="15"/>
  <c r="AV284" i="15"/>
  <c r="AV285" i="15"/>
  <c r="AV286" i="15"/>
  <c r="AV287" i="15"/>
  <c r="AV288" i="15"/>
  <c r="AV289" i="15"/>
  <c r="AV290" i="15"/>
  <c r="AV291" i="15"/>
  <c r="AV292" i="15"/>
  <c r="AV293" i="15"/>
  <c r="AV294" i="15"/>
  <c r="AV295" i="15"/>
  <c r="AV296" i="15"/>
  <c r="AV297" i="15"/>
  <c r="AV298" i="15"/>
  <c r="AV299" i="15"/>
  <c r="AV300" i="15"/>
  <c r="AV301" i="15"/>
  <c r="AV302" i="15"/>
  <c r="AV303" i="15"/>
  <c r="AV304" i="15"/>
  <c r="AV305" i="15"/>
  <c r="AV306" i="15"/>
  <c r="AV307" i="15"/>
  <c r="AV308" i="15"/>
  <c r="AV309" i="15"/>
  <c r="AV310" i="15"/>
  <c r="AV311" i="15"/>
  <c r="AV312" i="15"/>
  <c r="AV313" i="15"/>
  <c r="AV314" i="15"/>
  <c r="AV315" i="15"/>
  <c r="AV316" i="15"/>
  <c r="AV317" i="15"/>
  <c r="AV318" i="15"/>
  <c r="AV319" i="15"/>
  <c r="AV320" i="15"/>
  <c r="AV321" i="15"/>
  <c r="AV322" i="15"/>
  <c r="AV323" i="15"/>
  <c r="AV324" i="15"/>
  <c r="AV325" i="15"/>
  <c r="AV326" i="15"/>
  <c r="AV327" i="15"/>
  <c r="AV328" i="15"/>
  <c r="AV329" i="15"/>
  <c r="AV330" i="15"/>
  <c r="AV331" i="15"/>
  <c r="AV332" i="15"/>
  <c r="AV333" i="15"/>
  <c r="AV334" i="15"/>
  <c r="AV335" i="15"/>
  <c r="AV336" i="15"/>
  <c r="AV337" i="15"/>
  <c r="AV338" i="15"/>
  <c r="AV339" i="15"/>
  <c r="AV340" i="15"/>
  <c r="AV341" i="15"/>
  <c r="AV342" i="15"/>
  <c r="AV343" i="15"/>
  <c r="AV344" i="15"/>
  <c r="AV345" i="15"/>
  <c r="AV346" i="15"/>
  <c r="AV347" i="15"/>
  <c r="AV348" i="15"/>
  <c r="AV349" i="15"/>
  <c r="BF3" i="15"/>
  <c r="BG3" i="15"/>
  <c r="BF4" i="15"/>
  <c r="BG4" i="15"/>
  <c r="BF5" i="15"/>
  <c r="BG5" i="15"/>
  <c r="BF6" i="15"/>
  <c r="BG6" i="15"/>
  <c r="BF7" i="15"/>
  <c r="BG7" i="15"/>
  <c r="BF8" i="15"/>
  <c r="BG8" i="15"/>
  <c r="BF9" i="15"/>
  <c r="BG9" i="15"/>
  <c r="BF10" i="15"/>
  <c r="BG10" i="15"/>
  <c r="BF11" i="15"/>
  <c r="BG11" i="15"/>
  <c r="BF12" i="15"/>
  <c r="BG12" i="15"/>
  <c r="BF13" i="15"/>
  <c r="BG13" i="15"/>
  <c r="BF14" i="15"/>
  <c r="BG14" i="15"/>
  <c r="BG2" i="15"/>
  <c r="BF2" i="15"/>
  <c r="BM13" i="15"/>
  <c r="BN13" i="15"/>
  <c r="BM14" i="15"/>
  <c r="BN14" i="15"/>
  <c r="BM15" i="15"/>
  <c r="BN15" i="15"/>
  <c r="BM16" i="15"/>
  <c r="BN16" i="15"/>
  <c r="BM17" i="15"/>
  <c r="BN17" i="15"/>
  <c r="BN12" i="15"/>
  <c r="BM12" i="15"/>
  <c r="DO23" i="15"/>
  <c r="DP23" i="15" s="1"/>
  <c r="DO24" i="15"/>
  <c r="DP24" i="15" s="1"/>
  <c r="DO25" i="15"/>
  <c r="DP25" i="15" s="1"/>
  <c r="DO26" i="15"/>
  <c r="DO27" i="15"/>
  <c r="DP27" i="15" s="1"/>
  <c r="DO28" i="15"/>
  <c r="DP28" i="15" s="1"/>
  <c r="DO29" i="15"/>
  <c r="DP29" i="15" s="1"/>
  <c r="DO30" i="15"/>
  <c r="DP30" i="15" s="1"/>
  <c r="DO31" i="15"/>
  <c r="DP31" i="15" s="1"/>
  <c r="DO32" i="15"/>
  <c r="DP32" i="15" s="1"/>
  <c r="DO33" i="15"/>
  <c r="DP33" i="15" s="1"/>
  <c r="DO34" i="15"/>
  <c r="DP34" i="15" s="1"/>
  <c r="DO35" i="15"/>
  <c r="DP35" i="15" s="1"/>
  <c r="DO36" i="15"/>
  <c r="DP36" i="15" s="1"/>
  <c r="DO37" i="15"/>
  <c r="DP37" i="15" s="1"/>
  <c r="DO38" i="15"/>
  <c r="DP38" i="15" s="1"/>
  <c r="DO39" i="15"/>
  <c r="DP39" i="15" s="1"/>
  <c r="DO40" i="15"/>
  <c r="DP40" i="15" s="1"/>
  <c r="DO41" i="15"/>
  <c r="DP41" i="15" s="1"/>
  <c r="DO42" i="15"/>
  <c r="DP42" i="15" s="1"/>
  <c r="DO43" i="15"/>
  <c r="DP43" i="15" s="1"/>
  <c r="DO44" i="15"/>
  <c r="DP44" i="15" s="1"/>
  <c r="DO45" i="15"/>
  <c r="DP45" i="15" s="1"/>
  <c r="DO46" i="15"/>
  <c r="DP46" i="15" s="1"/>
  <c r="DO47" i="15"/>
  <c r="DP47" i="15" s="1"/>
  <c r="DO48" i="15"/>
  <c r="DP48" i="15" s="1"/>
  <c r="DO49" i="15"/>
  <c r="DP49" i="15" s="1"/>
  <c r="DO50" i="15"/>
  <c r="DP50" i="15" s="1"/>
  <c r="DO51" i="15"/>
  <c r="DP51" i="15" s="1"/>
  <c r="DO52" i="15"/>
  <c r="DP52" i="15" s="1"/>
  <c r="DO53" i="15"/>
  <c r="DP53" i="15" s="1"/>
  <c r="DO54" i="15"/>
  <c r="DP54" i="15" s="1"/>
  <c r="DO55" i="15"/>
  <c r="DP55" i="15" s="1"/>
  <c r="DO56" i="15"/>
  <c r="DP56" i="15" s="1"/>
  <c r="DO57" i="15"/>
  <c r="DP57" i="15" s="1"/>
  <c r="DO58" i="15"/>
  <c r="DP58" i="15" s="1"/>
  <c r="DO59" i="15"/>
  <c r="DP59" i="15" s="1"/>
  <c r="DO60" i="15"/>
  <c r="DP60" i="15" s="1"/>
  <c r="DO61" i="15"/>
  <c r="DP61" i="15" s="1"/>
  <c r="DO62" i="15"/>
  <c r="DP62" i="15" s="1"/>
  <c r="DO63" i="15"/>
  <c r="DP63" i="15" s="1"/>
  <c r="DO64" i="15"/>
  <c r="DP64" i="15" s="1"/>
  <c r="DO65" i="15"/>
  <c r="DP65" i="15" s="1"/>
  <c r="DO66" i="15"/>
  <c r="DP66" i="15" s="1"/>
  <c r="DO67" i="15"/>
  <c r="DP67" i="15" s="1"/>
  <c r="DO68" i="15"/>
  <c r="DP68" i="15" s="1"/>
  <c r="DO69" i="15"/>
  <c r="DP69" i="15" s="1"/>
  <c r="DO70" i="15"/>
  <c r="DP70" i="15" s="1"/>
  <c r="DO71" i="15"/>
  <c r="DP71" i="15" s="1"/>
  <c r="DO72" i="15"/>
  <c r="DP72" i="15" s="1"/>
  <c r="DO73" i="15"/>
  <c r="DP73" i="15" s="1"/>
  <c r="DO74" i="15"/>
  <c r="DP74" i="15" s="1"/>
  <c r="DO75" i="15"/>
  <c r="DP75" i="15" s="1"/>
  <c r="DO76" i="15"/>
  <c r="DP76" i="15" s="1"/>
  <c r="DO77" i="15"/>
  <c r="DP77" i="15" s="1"/>
  <c r="DO78" i="15"/>
  <c r="DP78" i="15" s="1"/>
  <c r="DO79" i="15"/>
  <c r="DP79" i="15" s="1"/>
  <c r="DO80" i="15"/>
  <c r="DP80" i="15" s="1"/>
  <c r="DO81" i="15"/>
  <c r="DP81" i="15" s="1"/>
  <c r="DO82" i="15"/>
  <c r="DP82" i="15" s="1"/>
  <c r="DO83" i="15"/>
  <c r="DP83" i="15" s="1"/>
  <c r="DO84" i="15"/>
  <c r="DP84" i="15" s="1"/>
  <c r="DO85" i="15"/>
  <c r="DP85" i="15" s="1"/>
  <c r="DO86" i="15"/>
  <c r="DP86" i="15" s="1"/>
  <c r="DO87" i="15"/>
  <c r="DP87" i="15" s="1"/>
  <c r="DO88" i="15"/>
  <c r="DP88" i="15" s="1"/>
  <c r="DO89" i="15"/>
  <c r="DP89" i="15" s="1"/>
  <c r="DO90" i="15"/>
  <c r="DP90" i="15" s="1"/>
  <c r="DO91" i="15"/>
  <c r="DP91" i="15" s="1"/>
  <c r="DO92" i="15"/>
  <c r="DP92" i="15" s="1"/>
  <c r="DO93" i="15"/>
  <c r="DP93" i="15" s="1"/>
  <c r="DO94" i="15"/>
  <c r="DP94" i="15" s="1"/>
  <c r="DO95" i="15"/>
  <c r="DP95" i="15" s="1"/>
  <c r="DO96" i="15"/>
  <c r="DP96" i="15" s="1"/>
  <c r="DO97" i="15"/>
  <c r="DP97" i="15" s="1"/>
  <c r="DO98" i="15"/>
  <c r="DP98" i="15" s="1"/>
  <c r="DO99" i="15"/>
  <c r="DP99" i="15" s="1"/>
  <c r="DO100" i="15"/>
  <c r="DP100" i="15" s="1"/>
  <c r="DO101" i="15"/>
  <c r="DP101" i="15" s="1"/>
  <c r="DO102" i="15"/>
  <c r="DP102" i="15" s="1"/>
  <c r="DO103" i="15"/>
  <c r="DP103" i="15" s="1"/>
  <c r="DO104" i="15"/>
  <c r="DP104" i="15" s="1"/>
  <c r="DO105" i="15"/>
  <c r="DP105" i="15" s="1"/>
  <c r="DO106" i="15"/>
  <c r="DP106" i="15" s="1"/>
  <c r="DO107" i="15"/>
  <c r="DP107" i="15" s="1"/>
  <c r="DO108" i="15"/>
  <c r="DP108" i="15" s="1"/>
  <c r="DO109" i="15"/>
  <c r="DP109" i="15" s="1"/>
  <c r="DO110" i="15"/>
  <c r="DP110" i="15" s="1"/>
  <c r="DO111" i="15"/>
  <c r="DP111" i="15" s="1"/>
  <c r="DO112" i="15"/>
  <c r="DP112" i="15" s="1"/>
  <c r="DO113" i="15"/>
  <c r="DP113" i="15" s="1"/>
  <c r="DO114" i="15"/>
  <c r="DP114" i="15" s="1"/>
  <c r="DO115" i="15"/>
  <c r="DP115" i="15" s="1"/>
  <c r="DO116" i="15"/>
  <c r="DP116" i="15" s="1"/>
  <c r="DO117" i="15"/>
  <c r="DP117" i="15" s="1"/>
  <c r="DO118" i="15"/>
  <c r="DP118" i="15" s="1"/>
  <c r="DO119" i="15"/>
  <c r="DP119" i="15" s="1"/>
  <c r="DO120" i="15"/>
  <c r="DP120" i="15" s="1"/>
  <c r="DO121" i="15"/>
  <c r="DP121" i="15" s="1"/>
  <c r="DO122" i="15"/>
  <c r="DP122" i="15" s="1"/>
  <c r="DO123" i="15"/>
  <c r="DP123" i="15" s="1"/>
  <c r="DO124" i="15"/>
  <c r="DP124" i="15" s="1"/>
  <c r="DO125" i="15"/>
  <c r="DP125" i="15" s="1"/>
  <c r="DO126" i="15"/>
  <c r="DP126" i="15" s="1"/>
  <c r="DO127" i="15"/>
  <c r="DP127" i="15" s="1"/>
  <c r="DO128" i="15"/>
  <c r="DP128" i="15" s="1"/>
  <c r="DO129" i="15"/>
  <c r="DP129" i="15" s="1"/>
  <c r="DO130" i="15"/>
  <c r="DP130" i="15" s="1"/>
  <c r="DO131" i="15"/>
  <c r="DP131" i="15" s="1"/>
  <c r="DO132" i="15"/>
  <c r="DP132" i="15" s="1"/>
  <c r="DO133" i="15"/>
  <c r="DP133" i="15" s="1"/>
  <c r="DO134" i="15"/>
  <c r="DP134" i="15" s="1"/>
  <c r="DO135" i="15"/>
  <c r="DP135" i="15" s="1"/>
  <c r="DO136" i="15"/>
  <c r="DP136" i="15" s="1"/>
  <c r="DO137" i="15"/>
  <c r="DP137" i="15" s="1"/>
  <c r="DO138" i="15"/>
  <c r="DP138" i="15" s="1"/>
  <c r="DO139" i="15"/>
  <c r="DP139" i="15" s="1"/>
  <c r="DO140" i="15"/>
  <c r="DP140" i="15" s="1"/>
  <c r="DO141" i="15"/>
  <c r="DP141" i="15" s="1"/>
  <c r="DO142" i="15"/>
  <c r="DP142" i="15" s="1"/>
  <c r="DO143" i="15"/>
  <c r="DP143" i="15" s="1"/>
  <c r="DO144" i="15"/>
  <c r="DP144" i="15" s="1"/>
  <c r="DO145" i="15"/>
  <c r="DP145" i="15" s="1"/>
  <c r="DO146" i="15"/>
  <c r="DP146" i="15" s="1"/>
  <c r="DO147" i="15"/>
  <c r="DP147" i="15" s="1"/>
  <c r="DO148" i="15"/>
  <c r="DP148" i="15" s="1"/>
  <c r="DO149" i="15"/>
  <c r="DP149" i="15" s="1"/>
  <c r="DO150" i="15"/>
  <c r="DP150" i="15" s="1"/>
  <c r="DO151" i="15"/>
  <c r="DP151" i="15" s="1"/>
  <c r="DO152" i="15"/>
  <c r="DP152" i="15" s="1"/>
  <c r="DO153" i="15"/>
  <c r="DP153" i="15" s="1"/>
  <c r="DO154" i="15"/>
  <c r="DP154" i="15" s="1"/>
  <c r="DO155" i="15"/>
  <c r="DP155" i="15" s="1"/>
  <c r="DO156" i="15"/>
  <c r="DP156" i="15" s="1"/>
  <c r="DO157" i="15"/>
  <c r="DP157" i="15" s="1"/>
  <c r="DO158" i="15"/>
  <c r="DP158" i="15" s="1"/>
  <c r="DO159" i="15"/>
  <c r="DP159" i="15" s="1"/>
  <c r="DO160" i="15"/>
  <c r="DP160" i="15" s="1"/>
  <c r="DO161" i="15"/>
  <c r="DP161" i="15" s="1"/>
  <c r="DO162" i="15"/>
  <c r="DP162" i="15" s="1"/>
  <c r="DO163" i="15"/>
  <c r="DP163" i="15" s="1"/>
  <c r="DO164" i="15"/>
  <c r="DP164" i="15" s="1"/>
  <c r="DO165" i="15"/>
  <c r="DP165" i="15" s="1"/>
  <c r="DO166" i="15"/>
  <c r="DP166" i="15" s="1"/>
  <c r="DO167" i="15"/>
  <c r="DP167" i="15" s="1"/>
  <c r="DO168" i="15"/>
  <c r="DP168" i="15" s="1"/>
  <c r="DO169" i="15"/>
  <c r="DP169" i="15" s="1"/>
  <c r="DO170" i="15"/>
  <c r="DP170" i="15" s="1"/>
  <c r="DO171" i="15"/>
  <c r="DP171" i="15" s="1"/>
  <c r="DO172" i="15"/>
  <c r="DP172" i="15" s="1"/>
  <c r="DO173" i="15"/>
  <c r="DP173" i="15" s="1"/>
  <c r="DO174" i="15"/>
  <c r="DP174" i="15" s="1"/>
  <c r="DO175" i="15"/>
  <c r="DP175" i="15" s="1"/>
  <c r="DO176" i="15"/>
  <c r="DP176" i="15" s="1"/>
  <c r="DO177" i="15"/>
  <c r="DP177" i="15" s="1"/>
  <c r="DO178" i="15"/>
  <c r="DP178" i="15" s="1"/>
  <c r="DO179" i="15"/>
  <c r="DP179" i="15" s="1"/>
  <c r="DO180" i="15"/>
  <c r="DP180" i="15" s="1"/>
  <c r="DO181" i="15"/>
  <c r="DP181" i="15" s="1"/>
  <c r="DO182" i="15"/>
  <c r="DP182" i="15" s="1"/>
  <c r="DO183" i="15"/>
  <c r="DP183" i="15" s="1"/>
  <c r="DO184" i="15"/>
  <c r="DP184" i="15" s="1"/>
  <c r="DO185" i="15"/>
  <c r="DP185" i="15" s="1"/>
  <c r="DO186" i="15"/>
  <c r="DP186" i="15" s="1"/>
  <c r="DO187" i="15"/>
  <c r="DP187" i="15" s="1"/>
  <c r="DO188" i="15"/>
  <c r="DP188" i="15" s="1"/>
  <c r="DO189" i="15"/>
  <c r="DP189" i="15" s="1"/>
  <c r="DO190" i="15"/>
  <c r="DP190" i="15" s="1"/>
  <c r="DO191" i="15"/>
  <c r="DP191" i="15" s="1"/>
  <c r="DO192" i="15"/>
  <c r="DP192" i="15" s="1"/>
  <c r="DO193" i="15"/>
  <c r="DP193" i="15" s="1"/>
  <c r="DO194" i="15"/>
  <c r="DP194" i="15" s="1"/>
  <c r="DO195" i="15"/>
  <c r="DP195" i="15" s="1"/>
  <c r="DO196" i="15"/>
  <c r="DP196" i="15" s="1"/>
  <c r="DO197" i="15"/>
  <c r="DP197" i="15" s="1"/>
  <c r="DO198" i="15"/>
  <c r="DP198" i="15" s="1"/>
  <c r="DO199" i="15"/>
  <c r="DP199" i="15" s="1"/>
  <c r="DO200" i="15"/>
  <c r="DP200" i="15" s="1"/>
  <c r="DO201" i="15"/>
  <c r="DP201" i="15" s="1"/>
  <c r="DO202" i="15"/>
  <c r="DP202" i="15" s="1"/>
  <c r="DO203" i="15"/>
  <c r="DP203" i="15" s="1"/>
  <c r="DO204" i="15"/>
  <c r="DP204" i="15" s="1"/>
  <c r="DO205" i="15"/>
  <c r="DP205" i="15" s="1"/>
  <c r="DO206" i="15"/>
  <c r="DP206" i="15" s="1"/>
  <c r="DO207" i="15"/>
  <c r="DP207" i="15" s="1"/>
  <c r="DO208" i="15"/>
  <c r="DP208" i="15" s="1"/>
  <c r="DO209" i="15"/>
  <c r="DP209" i="15" s="1"/>
  <c r="DO210" i="15"/>
  <c r="DP210" i="15" s="1"/>
  <c r="DO211" i="15"/>
  <c r="DP211" i="15" s="1"/>
  <c r="DO212" i="15"/>
  <c r="DP212" i="15" s="1"/>
  <c r="DO213" i="15"/>
  <c r="DP213" i="15" s="1"/>
  <c r="DO214" i="15"/>
  <c r="DP214" i="15" s="1"/>
  <c r="DO215" i="15"/>
  <c r="DP215" i="15" s="1"/>
  <c r="DO216" i="15"/>
  <c r="DP216" i="15" s="1"/>
  <c r="DO217" i="15"/>
  <c r="DP217" i="15" s="1"/>
  <c r="DO218" i="15"/>
  <c r="DP218" i="15" s="1"/>
  <c r="DO219" i="15"/>
  <c r="DP219" i="15" s="1"/>
  <c r="DO220" i="15"/>
  <c r="DP220" i="15" s="1"/>
  <c r="DO221" i="15"/>
  <c r="DP221" i="15" s="1"/>
  <c r="DO222" i="15"/>
  <c r="DP222" i="15" s="1"/>
  <c r="DO223" i="15"/>
  <c r="DP223" i="15" s="1"/>
  <c r="DO224" i="15"/>
  <c r="DP224" i="15" s="1"/>
  <c r="DO225" i="15"/>
  <c r="DP225" i="15" s="1"/>
  <c r="DO226" i="15"/>
  <c r="DP226" i="15" s="1"/>
  <c r="DO227" i="15"/>
  <c r="DP227" i="15" s="1"/>
  <c r="DO228" i="15"/>
  <c r="DP228" i="15" s="1"/>
  <c r="DO229" i="15"/>
  <c r="DP229" i="15" s="1"/>
  <c r="DO230" i="15"/>
  <c r="DP230" i="15" s="1"/>
  <c r="DO231" i="15"/>
  <c r="DP231" i="15" s="1"/>
  <c r="DO232" i="15"/>
  <c r="DP232" i="15" s="1"/>
  <c r="DO233" i="15"/>
  <c r="DP233" i="15" s="1"/>
  <c r="DO234" i="15"/>
  <c r="DP234" i="15" s="1"/>
  <c r="DO235" i="15"/>
  <c r="DP235" i="15" s="1"/>
  <c r="DO236" i="15"/>
  <c r="DP236" i="15" s="1"/>
  <c r="DO237" i="15"/>
  <c r="DP237" i="15" s="1"/>
  <c r="DO238" i="15"/>
  <c r="DP238" i="15" s="1"/>
  <c r="DO239" i="15"/>
  <c r="DP239" i="15" s="1"/>
  <c r="DO240" i="15"/>
  <c r="DP240" i="15" s="1"/>
  <c r="DO241" i="15"/>
  <c r="DP241" i="15" s="1"/>
  <c r="DO242" i="15"/>
  <c r="DP242" i="15" s="1"/>
  <c r="DO243" i="15"/>
  <c r="DP243" i="15" s="1"/>
  <c r="DO244" i="15"/>
  <c r="DP244" i="15" s="1"/>
  <c r="DO245" i="15"/>
  <c r="DP245" i="15" s="1"/>
  <c r="DO246" i="15"/>
  <c r="DP246" i="15" s="1"/>
  <c r="DO247" i="15"/>
  <c r="DP247" i="15" s="1"/>
  <c r="DO248" i="15"/>
  <c r="DP248" i="15" s="1"/>
  <c r="DO249" i="15"/>
  <c r="DP249" i="15" s="1"/>
  <c r="DO250" i="15"/>
  <c r="DP250" i="15" s="1"/>
  <c r="DO251" i="15"/>
  <c r="DP251" i="15" s="1"/>
  <c r="DO252" i="15"/>
  <c r="DP252" i="15" s="1"/>
  <c r="DO253" i="15"/>
  <c r="DP253" i="15" s="1"/>
  <c r="DO254" i="15"/>
  <c r="DP254" i="15" s="1"/>
  <c r="DO255" i="15"/>
  <c r="DP255" i="15" s="1"/>
  <c r="DO256" i="15"/>
  <c r="DP256" i="15" s="1"/>
  <c r="DO257" i="15"/>
  <c r="DP257" i="15" s="1"/>
  <c r="DO258" i="15"/>
  <c r="DP258" i="15" s="1"/>
  <c r="DO259" i="15"/>
  <c r="DP259" i="15" s="1"/>
  <c r="DO260" i="15"/>
  <c r="DP260" i="15" s="1"/>
  <c r="DO261" i="15"/>
  <c r="DP261" i="15" s="1"/>
  <c r="DO262" i="15"/>
  <c r="DP262" i="15" s="1"/>
  <c r="DO263" i="15"/>
  <c r="DP263" i="15" s="1"/>
  <c r="DO264" i="15"/>
  <c r="DP264" i="15" s="1"/>
  <c r="DO265" i="15"/>
  <c r="DP265" i="15" s="1"/>
  <c r="DO266" i="15"/>
  <c r="DP266" i="15" s="1"/>
  <c r="DO267" i="15"/>
  <c r="DP267" i="15" s="1"/>
  <c r="DO268" i="15"/>
  <c r="DP268" i="15" s="1"/>
  <c r="DO269" i="15"/>
  <c r="DP269" i="15" s="1"/>
  <c r="DO270" i="15"/>
  <c r="DP270" i="15" s="1"/>
  <c r="DO271" i="15"/>
  <c r="DP271" i="15" s="1"/>
  <c r="DO272" i="15"/>
  <c r="DP272" i="15" s="1"/>
  <c r="DO273" i="15"/>
  <c r="DP273" i="15" s="1"/>
  <c r="DO274" i="15"/>
  <c r="DP274" i="15" s="1"/>
  <c r="DO275" i="15"/>
  <c r="DP275" i="15" s="1"/>
  <c r="DO276" i="15"/>
  <c r="DP276" i="15" s="1"/>
  <c r="DO277" i="15"/>
  <c r="DP277" i="15" s="1"/>
  <c r="DO278" i="15"/>
  <c r="DP278" i="15" s="1"/>
  <c r="DO279" i="15"/>
  <c r="DP279" i="15" s="1"/>
  <c r="DO280" i="15"/>
  <c r="DP280" i="15" s="1"/>
  <c r="DO281" i="15"/>
  <c r="DP281" i="15" s="1"/>
  <c r="DO282" i="15"/>
  <c r="DP282" i="15" s="1"/>
  <c r="DO283" i="15"/>
  <c r="DP283" i="15" s="1"/>
  <c r="DO284" i="15"/>
  <c r="DP284" i="15" s="1"/>
  <c r="DO285" i="15"/>
  <c r="DP285" i="15" s="1"/>
  <c r="DO286" i="15"/>
  <c r="DP286" i="15" s="1"/>
  <c r="DO287" i="15"/>
  <c r="DP287" i="15" s="1"/>
  <c r="DO288" i="15"/>
  <c r="DP288" i="15" s="1"/>
  <c r="DO289" i="15"/>
  <c r="DP289" i="15" s="1"/>
  <c r="DO290" i="15"/>
  <c r="DP290" i="15" s="1"/>
  <c r="DO291" i="15"/>
  <c r="DP291" i="15" s="1"/>
  <c r="DO292" i="15"/>
  <c r="DP292" i="15" s="1"/>
  <c r="DO293" i="15"/>
  <c r="DP293" i="15" s="1"/>
  <c r="DO294" i="15"/>
  <c r="DP294" i="15" s="1"/>
  <c r="DO295" i="15"/>
  <c r="DP295" i="15" s="1"/>
  <c r="DO296" i="15"/>
  <c r="DP296" i="15" s="1"/>
  <c r="DO297" i="15"/>
  <c r="DP297" i="15" s="1"/>
  <c r="DO298" i="15"/>
  <c r="DP298" i="15" s="1"/>
  <c r="DO299" i="15"/>
  <c r="DP299" i="15" s="1"/>
  <c r="DO300" i="15"/>
  <c r="DP300" i="15" s="1"/>
  <c r="DO301" i="15"/>
  <c r="DP301" i="15" s="1"/>
  <c r="DO302" i="15"/>
  <c r="DP302" i="15" s="1"/>
  <c r="DO303" i="15"/>
  <c r="DP303" i="15" s="1"/>
  <c r="DO304" i="15"/>
  <c r="DP304" i="15" s="1"/>
  <c r="DO305" i="15"/>
  <c r="DP305" i="15" s="1"/>
  <c r="DO306" i="15"/>
  <c r="DP306" i="15" s="1"/>
  <c r="DO307" i="15"/>
  <c r="DP307" i="15" s="1"/>
  <c r="DO308" i="15"/>
  <c r="DP308" i="15" s="1"/>
  <c r="DO309" i="15"/>
  <c r="DP309" i="15" s="1"/>
  <c r="DO310" i="15"/>
  <c r="DP310" i="15" s="1"/>
  <c r="DO311" i="15"/>
  <c r="DP311" i="15" s="1"/>
  <c r="DO312" i="15"/>
  <c r="DP312" i="15" s="1"/>
  <c r="DO313" i="15"/>
  <c r="DP313" i="15" s="1"/>
  <c r="DO314" i="15"/>
  <c r="DP314" i="15" s="1"/>
  <c r="DO315" i="15"/>
  <c r="DP315" i="15" s="1"/>
  <c r="DO316" i="15"/>
  <c r="DP316" i="15" s="1"/>
  <c r="DO317" i="15"/>
  <c r="DP317" i="15" s="1"/>
  <c r="DO318" i="15"/>
  <c r="DP318" i="15" s="1"/>
  <c r="DO319" i="15"/>
  <c r="DP319" i="15" s="1"/>
  <c r="DO320" i="15"/>
  <c r="DP320" i="15" s="1"/>
  <c r="DO321" i="15"/>
  <c r="DP321" i="15" s="1"/>
  <c r="DO322" i="15"/>
  <c r="DP322" i="15" s="1"/>
  <c r="DO323" i="15"/>
  <c r="DP323" i="15" s="1"/>
  <c r="DO324" i="15"/>
  <c r="DP324" i="15" s="1"/>
  <c r="DO325" i="15"/>
  <c r="DP325" i="15" s="1"/>
  <c r="DO326" i="15"/>
  <c r="DP326" i="15" s="1"/>
  <c r="DO327" i="15"/>
  <c r="DP327" i="15" s="1"/>
  <c r="DO328" i="15"/>
  <c r="DP328" i="15" s="1"/>
  <c r="DO329" i="15"/>
  <c r="DP329" i="15" s="1"/>
  <c r="DO330" i="15"/>
  <c r="DP330" i="15" s="1"/>
  <c r="DO331" i="15"/>
  <c r="DP331" i="15" s="1"/>
  <c r="DO332" i="15"/>
  <c r="DP332" i="15" s="1"/>
  <c r="DO333" i="15"/>
  <c r="DP333" i="15" s="1"/>
  <c r="DO334" i="15"/>
  <c r="DP334" i="15" s="1"/>
  <c r="DO335" i="15"/>
  <c r="DP335" i="15" s="1"/>
  <c r="DO336" i="15"/>
  <c r="DP336" i="15" s="1"/>
  <c r="DO337" i="15"/>
  <c r="DP337" i="15" s="1"/>
  <c r="DO338" i="15"/>
  <c r="DP338" i="15" s="1"/>
  <c r="DO339" i="15"/>
  <c r="DP339" i="15" s="1"/>
  <c r="DO340" i="15"/>
  <c r="DP340" i="15" s="1"/>
  <c r="DO341" i="15"/>
  <c r="DP341" i="15" s="1"/>
  <c r="DO342" i="15"/>
  <c r="DP342" i="15" s="1"/>
  <c r="DO343" i="15"/>
  <c r="DP343" i="15" s="1"/>
  <c r="DO344" i="15"/>
  <c r="DP344" i="15" s="1"/>
  <c r="DO345" i="15"/>
  <c r="DP345" i="15" s="1"/>
  <c r="DO346" i="15"/>
  <c r="DP346" i="15" s="1"/>
  <c r="DO347" i="15"/>
  <c r="DP347" i="15" s="1"/>
  <c r="DO348" i="15"/>
  <c r="DP348" i="15" s="1"/>
  <c r="DO349" i="15"/>
  <c r="DP349" i="15" s="1"/>
  <c r="R20" i="95"/>
  <c r="S20" i="95"/>
  <c r="T20" i="95"/>
  <c r="U20" i="95"/>
  <c r="V20" i="95"/>
  <c r="W20" i="95"/>
  <c r="X20" i="95"/>
  <c r="Y20" i="95"/>
  <c r="Z20" i="95"/>
  <c r="AA20" i="95"/>
  <c r="AB20" i="95"/>
  <c r="AC20" i="95"/>
  <c r="R21" i="95"/>
  <c r="S21" i="95"/>
  <c r="T21" i="95"/>
  <c r="U21" i="95"/>
  <c r="V21" i="95"/>
  <c r="W21" i="95"/>
  <c r="X21" i="95"/>
  <c r="Y21" i="95"/>
  <c r="Z21" i="95"/>
  <c r="AA21" i="95"/>
  <c r="AB21" i="95"/>
  <c r="AC21" i="95"/>
  <c r="R22" i="95"/>
  <c r="S22" i="95"/>
  <c r="T22" i="95"/>
  <c r="U22" i="95"/>
  <c r="V22" i="95"/>
  <c r="W22" i="95"/>
  <c r="X22" i="95"/>
  <c r="Y22" i="95"/>
  <c r="Z22" i="95"/>
  <c r="AA22" i="95"/>
  <c r="AB22" i="95"/>
  <c r="AC22" i="95"/>
  <c r="R23" i="95"/>
  <c r="S23" i="95"/>
  <c r="T23" i="95"/>
  <c r="U23" i="95"/>
  <c r="V23" i="95"/>
  <c r="W23" i="95"/>
  <c r="X23" i="95"/>
  <c r="Y23" i="95"/>
  <c r="Z23" i="95"/>
  <c r="AA23" i="95"/>
  <c r="AB23" i="95"/>
  <c r="AC23" i="95"/>
  <c r="R24" i="95"/>
  <c r="S24" i="95"/>
  <c r="T24" i="95"/>
  <c r="U24" i="95"/>
  <c r="V24" i="95"/>
  <c r="W24" i="95"/>
  <c r="X24" i="95"/>
  <c r="Y24" i="95"/>
  <c r="Z24" i="95"/>
  <c r="AA24" i="95"/>
  <c r="AB24" i="95"/>
  <c r="AC24" i="95"/>
  <c r="R25" i="95"/>
  <c r="S25" i="95"/>
  <c r="T25" i="95"/>
  <c r="U25" i="95"/>
  <c r="V25" i="95"/>
  <c r="W25" i="95"/>
  <c r="X25" i="95"/>
  <c r="Y25" i="95"/>
  <c r="Z25" i="95"/>
  <c r="AA25" i="95"/>
  <c r="AB25" i="95"/>
  <c r="AC25" i="95"/>
  <c r="R26" i="95"/>
  <c r="S26" i="95"/>
  <c r="T26" i="95"/>
  <c r="U26" i="95"/>
  <c r="V26" i="95"/>
  <c r="W26" i="95"/>
  <c r="X26" i="95"/>
  <c r="Y26" i="95"/>
  <c r="Z26" i="95"/>
  <c r="AA26" i="95"/>
  <c r="AB26" i="95"/>
  <c r="AC26" i="95"/>
  <c r="R27" i="95"/>
  <c r="S27" i="95"/>
  <c r="T27" i="95"/>
  <c r="U27" i="95"/>
  <c r="V27" i="95"/>
  <c r="W27" i="95"/>
  <c r="X27" i="95"/>
  <c r="Y27" i="95"/>
  <c r="Z27" i="95"/>
  <c r="AA27" i="95"/>
  <c r="AB27" i="95"/>
  <c r="AC27" i="95"/>
  <c r="R28" i="95"/>
  <c r="S28" i="95"/>
  <c r="T28" i="95"/>
  <c r="U28" i="95"/>
  <c r="V28" i="95"/>
  <c r="W28" i="95"/>
  <c r="X28" i="95"/>
  <c r="Y28" i="95"/>
  <c r="Z28" i="95"/>
  <c r="AA28" i="95"/>
  <c r="AB28" i="95"/>
  <c r="AC28" i="95"/>
  <c r="R29" i="95"/>
  <c r="S29" i="95"/>
  <c r="T29" i="95"/>
  <c r="U29" i="95"/>
  <c r="V29" i="95"/>
  <c r="W29" i="95"/>
  <c r="X29" i="95"/>
  <c r="Y29" i="95"/>
  <c r="Z29" i="95"/>
  <c r="AA29" i="95"/>
  <c r="AB29" i="95"/>
  <c r="AC29" i="95"/>
  <c r="R30" i="95"/>
  <c r="S30" i="95"/>
  <c r="T30" i="95"/>
  <c r="U30" i="95"/>
  <c r="V30" i="95"/>
  <c r="W30" i="95"/>
  <c r="X30" i="95"/>
  <c r="Y30" i="95"/>
  <c r="Z30" i="95"/>
  <c r="AA30" i="95"/>
  <c r="AB30" i="95"/>
  <c r="AC30" i="95"/>
  <c r="R31" i="95"/>
  <c r="S31" i="95"/>
  <c r="T31" i="95"/>
  <c r="U31" i="95"/>
  <c r="V31" i="95"/>
  <c r="W31" i="95"/>
  <c r="X31" i="95"/>
  <c r="Y31" i="95"/>
  <c r="Z31" i="95"/>
  <c r="AA31" i="95"/>
  <c r="AB31" i="95"/>
  <c r="AC31" i="95"/>
  <c r="S19" i="95"/>
  <c r="T19" i="95"/>
  <c r="U19" i="95"/>
  <c r="V19" i="95"/>
  <c r="W19" i="95"/>
  <c r="X19" i="95"/>
  <c r="Y19" i="95"/>
  <c r="Z19" i="95"/>
  <c r="AA19" i="95"/>
  <c r="AB19" i="95"/>
  <c r="AC19" i="95"/>
  <c r="R19" i="95"/>
  <c r="N1" i="95"/>
  <c r="M1" i="95"/>
  <c r="L1" i="95"/>
  <c r="K1" i="95"/>
  <c r="J1" i="95"/>
  <c r="I1" i="95"/>
  <c r="H1" i="95"/>
  <c r="G1" i="95"/>
  <c r="F1" i="95"/>
  <c r="E1" i="95"/>
  <c r="D1" i="95"/>
  <c r="C1" i="95"/>
  <c r="B1" i="95"/>
  <c r="G5" i="92"/>
  <c r="H5" i="92"/>
  <c r="G6" i="92"/>
  <c r="H6" i="92"/>
  <c r="G7" i="92"/>
  <c r="H7" i="92"/>
  <c r="G8" i="92"/>
  <c r="H8" i="92"/>
  <c r="G9" i="92"/>
  <c r="H9" i="92"/>
  <c r="G10" i="92"/>
  <c r="H10" i="92"/>
  <c r="G11" i="92"/>
  <c r="H11" i="92"/>
  <c r="G12" i="92"/>
  <c r="H12" i="92"/>
  <c r="G13" i="92"/>
  <c r="H13" i="92"/>
  <c r="G14" i="92"/>
  <c r="H14" i="92"/>
  <c r="G15" i="92"/>
  <c r="H15" i="92"/>
  <c r="G16" i="92"/>
  <c r="H16" i="92"/>
  <c r="G17" i="92"/>
  <c r="H17" i="92"/>
  <c r="G18" i="92"/>
  <c r="H18" i="92"/>
  <c r="G19" i="92"/>
  <c r="H19" i="92"/>
  <c r="G20" i="92"/>
  <c r="H20" i="92"/>
  <c r="G21" i="92"/>
  <c r="H21" i="92"/>
  <c r="G22" i="92"/>
  <c r="H22" i="92"/>
  <c r="G23" i="92"/>
  <c r="H23" i="92"/>
  <c r="G24" i="92"/>
  <c r="H24" i="92"/>
  <c r="G25" i="92"/>
  <c r="H25" i="92"/>
  <c r="G26" i="92"/>
  <c r="H26" i="92"/>
  <c r="G27" i="92"/>
  <c r="H27" i="92"/>
  <c r="G28" i="92"/>
  <c r="H28" i="92"/>
  <c r="G29" i="92"/>
  <c r="H29" i="92"/>
  <c r="G30" i="92"/>
  <c r="H30" i="92"/>
  <c r="G31" i="92"/>
  <c r="H31" i="92"/>
  <c r="G32" i="92"/>
  <c r="H32" i="92"/>
  <c r="G33" i="92"/>
  <c r="H33" i="92"/>
  <c r="G34" i="92"/>
  <c r="H34" i="92"/>
  <c r="G35" i="92"/>
  <c r="H35" i="92"/>
  <c r="G36" i="92"/>
  <c r="H36" i="92"/>
  <c r="G37" i="92"/>
  <c r="H37" i="92"/>
  <c r="G38" i="92"/>
  <c r="H38" i="92"/>
  <c r="G39" i="92"/>
  <c r="H39" i="92"/>
  <c r="G40" i="92"/>
  <c r="H40" i="92"/>
  <c r="G41" i="92"/>
  <c r="H41" i="92"/>
  <c r="G42" i="92"/>
  <c r="H42" i="92"/>
  <c r="G43" i="92"/>
  <c r="H43" i="92"/>
  <c r="G44" i="92"/>
  <c r="H44" i="92"/>
  <c r="G45" i="92"/>
  <c r="H45" i="92"/>
  <c r="G46" i="92"/>
  <c r="H46" i="92"/>
  <c r="H4" i="92"/>
  <c r="G4" i="92"/>
  <c r="HE22" i="15"/>
  <c r="H79" i="5"/>
  <c r="HD23" i="15"/>
  <c r="HD24" i="15"/>
  <c r="HD25" i="15"/>
  <c r="HD26" i="15"/>
  <c r="HD27" i="15"/>
  <c r="HD28" i="15"/>
  <c r="HD29" i="15"/>
  <c r="HD30" i="15"/>
  <c r="HD31" i="15"/>
  <c r="HD32" i="15"/>
  <c r="HD33" i="15"/>
  <c r="HD34" i="15"/>
  <c r="HD35" i="15"/>
  <c r="HD36" i="15"/>
  <c r="HD37" i="15"/>
  <c r="HD38" i="15"/>
  <c r="HD39" i="15"/>
  <c r="HD40" i="15"/>
  <c r="HD41" i="15"/>
  <c r="HD42" i="15"/>
  <c r="HD43" i="15"/>
  <c r="HD44" i="15"/>
  <c r="HD45" i="15"/>
  <c r="HD46" i="15"/>
  <c r="HD47" i="15"/>
  <c r="HD48" i="15"/>
  <c r="HD49" i="15"/>
  <c r="HD50" i="15"/>
  <c r="HD51" i="15"/>
  <c r="HD52" i="15"/>
  <c r="HD53" i="15"/>
  <c r="HD54" i="15"/>
  <c r="HD55" i="15"/>
  <c r="HD56" i="15"/>
  <c r="HD57" i="15"/>
  <c r="HD58" i="15"/>
  <c r="HD59" i="15"/>
  <c r="HD60" i="15"/>
  <c r="HD61" i="15"/>
  <c r="HD62" i="15"/>
  <c r="HD63" i="15"/>
  <c r="HD64" i="15"/>
  <c r="HD65" i="15"/>
  <c r="HD66" i="15"/>
  <c r="HD67" i="15"/>
  <c r="HD68" i="15"/>
  <c r="HD69" i="15"/>
  <c r="HD70" i="15"/>
  <c r="HD71" i="15"/>
  <c r="HD72" i="15"/>
  <c r="HD73" i="15"/>
  <c r="HD74" i="15"/>
  <c r="HD75" i="15"/>
  <c r="HD76" i="15"/>
  <c r="HD77" i="15"/>
  <c r="HD78" i="15"/>
  <c r="HD79" i="15"/>
  <c r="HD80" i="15"/>
  <c r="HD81" i="15"/>
  <c r="HD82" i="15"/>
  <c r="HD83" i="15"/>
  <c r="HD84" i="15"/>
  <c r="HD85" i="15"/>
  <c r="HD86" i="15"/>
  <c r="HD87" i="15"/>
  <c r="HD88" i="15"/>
  <c r="HD89" i="15"/>
  <c r="HD90" i="15"/>
  <c r="HD91" i="15"/>
  <c r="HD92" i="15"/>
  <c r="HD93" i="15"/>
  <c r="HD94" i="15"/>
  <c r="HD95" i="15"/>
  <c r="HD96" i="15"/>
  <c r="HD97" i="15"/>
  <c r="HD98" i="15"/>
  <c r="HD99" i="15"/>
  <c r="HD100" i="15"/>
  <c r="HD101" i="15"/>
  <c r="HD102" i="15"/>
  <c r="HD103" i="15"/>
  <c r="HD104" i="15"/>
  <c r="HD105" i="15"/>
  <c r="HD106" i="15"/>
  <c r="HD107" i="15"/>
  <c r="HD108" i="15"/>
  <c r="HD109" i="15"/>
  <c r="HD110" i="15"/>
  <c r="HD111" i="15"/>
  <c r="HD112" i="15"/>
  <c r="HD113" i="15"/>
  <c r="HD114" i="15"/>
  <c r="HD115" i="15"/>
  <c r="HD116" i="15"/>
  <c r="HD117" i="15"/>
  <c r="HD118" i="15"/>
  <c r="HD119" i="15"/>
  <c r="HD120" i="15"/>
  <c r="HD121" i="15"/>
  <c r="HD122" i="15"/>
  <c r="HD123" i="15"/>
  <c r="HD124" i="15"/>
  <c r="HD125" i="15"/>
  <c r="HD126" i="15"/>
  <c r="HD127" i="15"/>
  <c r="HD128" i="15"/>
  <c r="HD129" i="15"/>
  <c r="HD130" i="15"/>
  <c r="HD131" i="15"/>
  <c r="HD132" i="15"/>
  <c r="HD133" i="15"/>
  <c r="HD134" i="15"/>
  <c r="HD135" i="15"/>
  <c r="HD136" i="15"/>
  <c r="HD137" i="15"/>
  <c r="HD138" i="15"/>
  <c r="HD139" i="15"/>
  <c r="HD140" i="15"/>
  <c r="HD141" i="15"/>
  <c r="HD142" i="15"/>
  <c r="HD143" i="15"/>
  <c r="HD144" i="15"/>
  <c r="HD145" i="15"/>
  <c r="HD146" i="15"/>
  <c r="HD147" i="15"/>
  <c r="HD148" i="15"/>
  <c r="HD149" i="15"/>
  <c r="HD150" i="15"/>
  <c r="HD151" i="15"/>
  <c r="HD152" i="15"/>
  <c r="HD153" i="15"/>
  <c r="HD154" i="15"/>
  <c r="HD155" i="15"/>
  <c r="HD156" i="15"/>
  <c r="HD157" i="15"/>
  <c r="HD158" i="15"/>
  <c r="HD159" i="15"/>
  <c r="HD160" i="15"/>
  <c r="HD161" i="15"/>
  <c r="HD162" i="15"/>
  <c r="HD163" i="15"/>
  <c r="HD164" i="15"/>
  <c r="HD165" i="15"/>
  <c r="HD166" i="15"/>
  <c r="HD167" i="15"/>
  <c r="HD168" i="15"/>
  <c r="HD169" i="15"/>
  <c r="HD170" i="15"/>
  <c r="HD171" i="15"/>
  <c r="HD172" i="15"/>
  <c r="HD173" i="15"/>
  <c r="HD174" i="15"/>
  <c r="HD175" i="15"/>
  <c r="HD176" i="15"/>
  <c r="HD177" i="15"/>
  <c r="HD178" i="15"/>
  <c r="HD179" i="15"/>
  <c r="HD180" i="15"/>
  <c r="HD181" i="15"/>
  <c r="HD182" i="15"/>
  <c r="HD183" i="15"/>
  <c r="HD184" i="15"/>
  <c r="HD185" i="15"/>
  <c r="HD186" i="15"/>
  <c r="HD187" i="15"/>
  <c r="HD188" i="15"/>
  <c r="HD189" i="15"/>
  <c r="HD190" i="15"/>
  <c r="HD191" i="15"/>
  <c r="HD192" i="15"/>
  <c r="HD193" i="15"/>
  <c r="HD194" i="15"/>
  <c r="HD195" i="15"/>
  <c r="HD196" i="15"/>
  <c r="HD197" i="15"/>
  <c r="HD198" i="15"/>
  <c r="HD199" i="15"/>
  <c r="HD200" i="15"/>
  <c r="HD201" i="15"/>
  <c r="HD202" i="15"/>
  <c r="HD203" i="15"/>
  <c r="HD204" i="15"/>
  <c r="HD205" i="15"/>
  <c r="HD206" i="15"/>
  <c r="HD207" i="15"/>
  <c r="HD208" i="15"/>
  <c r="HD209" i="15"/>
  <c r="HD210" i="15"/>
  <c r="HD211" i="15"/>
  <c r="HD212" i="15"/>
  <c r="HD213" i="15"/>
  <c r="HD214" i="15"/>
  <c r="HD215" i="15"/>
  <c r="HD216" i="15"/>
  <c r="HD217" i="15"/>
  <c r="HD218" i="15"/>
  <c r="HD219" i="15"/>
  <c r="HD220" i="15"/>
  <c r="HD221" i="15"/>
  <c r="HD222" i="15"/>
  <c r="HD223" i="15"/>
  <c r="HD224" i="15"/>
  <c r="HD225" i="15"/>
  <c r="HD226" i="15"/>
  <c r="HD227" i="15"/>
  <c r="HD228" i="15"/>
  <c r="HD229" i="15"/>
  <c r="HD230" i="15"/>
  <c r="HD231" i="15"/>
  <c r="HD232" i="15"/>
  <c r="HD233" i="15"/>
  <c r="HD234" i="15"/>
  <c r="HD235" i="15"/>
  <c r="HD236" i="15"/>
  <c r="HD237" i="15"/>
  <c r="HD238" i="15"/>
  <c r="HD239" i="15"/>
  <c r="HD240" i="15"/>
  <c r="HD241" i="15"/>
  <c r="HD242" i="15"/>
  <c r="HD243" i="15"/>
  <c r="HD244" i="15"/>
  <c r="HD245" i="15"/>
  <c r="HD246" i="15"/>
  <c r="HD247" i="15"/>
  <c r="HD248" i="15"/>
  <c r="HD249" i="15"/>
  <c r="HD250" i="15"/>
  <c r="HD251" i="15"/>
  <c r="HD252" i="15"/>
  <c r="HD253" i="15"/>
  <c r="HD254" i="15"/>
  <c r="HD255" i="15"/>
  <c r="HD256" i="15"/>
  <c r="HD257" i="15"/>
  <c r="HD258" i="15"/>
  <c r="HD259" i="15"/>
  <c r="HD260" i="15"/>
  <c r="HD261" i="15"/>
  <c r="HD262" i="15"/>
  <c r="HD263" i="15"/>
  <c r="HD264" i="15"/>
  <c r="HD265" i="15"/>
  <c r="HD266" i="15"/>
  <c r="HD267" i="15"/>
  <c r="HD268" i="15"/>
  <c r="HD269" i="15"/>
  <c r="HD270" i="15"/>
  <c r="HD271" i="15"/>
  <c r="HD272" i="15"/>
  <c r="HD273" i="15"/>
  <c r="HD274" i="15"/>
  <c r="HD275" i="15"/>
  <c r="HD276" i="15"/>
  <c r="HD277" i="15"/>
  <c r="HD278" i="15"/>
  <c r="HD279" i="15"/>
  <c r="HD280" i="15"/>
  <c r="HD281" i="15"/>
  <c r="HD282" i="15"/>
  <c r="HD283" i="15"/>
  <c r="HD284" i="15"/>
  <c r="HD285" i="15"/>
  <c r="HD286" i="15"/>
  <c r="HD287" i="15"/>
  <c r="HD288" i="15"/>
  <c r="HD289" i="15"/>
  <c r="HD290" i="15"/>
  <c r="HD291" i="15"/>
  <c r="HD292" i="15"/>
  <c r="HD293" i="15"/>
  <c r="HD294" i="15"/>
  <c r="HD295" i="15"/>
  <c r="HD296" i="15"/>
  <c r="HD297" i="15"/>
  <c r="HD298" i="15"/>
  <c r="HD299" i="15"/>
  <c r="HD300" i="15"/>
  <c r="HD301" i="15"/>
  <c r="HD302" i="15"/>
  <c r="HD303" i="15"/>
  <c r="HD304" i="15"/>
  <c r="HD305" i="15"/>
  <c r="HD306" i="15"/>
  <c r="HD307" i="15"/>
  <c r="HD308" i="15"/>
  <c r="HD309" i="15"/>
  <c r="HD310" i="15"/>
  <c r="HD311" i="15"/>
  <c r="HD312" i="15"/>
  <c r="HD313" i="15"/>
  <c r="HD314" i="15"/>
  <c r="HD315" i="15"/>
  <c r="HD316" i="15"/>
  <c r="HD317" i="15"/>
  <c r="HD318" i="15"/>
  <c r="HD319" i="15"/>
  <c r="HD320" i="15"/>
  <c r="HD321" i="15"/>
  <c r="HD322" i="15"/>
  <c r="HD323" i="15"/>
  <c r="HD324" i="15"/>
  <c r="HD325" i="15"/>
  <c r="HD326" i="15"/>
  <c r="HD327" i="15"/>
  <c r="HD328" i="15"/>
  <c r="HD329" i="15"/>
  <c r="HD330" i="15"/>
  <c r="HD331" i="15"/>
  <c r="HD332" i="15"/>
  <c r="HD333" i="15"/>
  <c r="HD334" i="15"/>
  <c r="HD335" i="15"/>
  <c r="HD336" i="15"/>
  <c r="HD337" i="15"/>
  <c r="HD338" i="15"/>
  <c r="HD339" i="15"/>
  <c r="HD340" i="15"/>
  <c r="HD341" i="15"/>
  <c r="HD342" i="15"/>
  <c r="HD343" i="15"/>
  <c r="HD344" i="15"/>
  <c r="HD345" i="15"/>
  <c r="HD346" i="15"/>
  <c r="HD347" i="15"/>
  <c r="HD348" i="15"/>
  <c r="HD349" i="15"/>
  <c r="HD22" i="15"/>
  <c r="HD13" i="15"/>
  <c r="HE23" i="15"/>
  <c r="HE24" i="15"/>
  <c r="HE25" i="15"/>
  <c r="HE26" i="15"/>
  <c r="HE27" i="15"/>
  <c r="HE28" i="15"/>
  <c r="HE29" i="15"/>
  <c r="HE30" i="15"/>
  <c r="HE31" i="15"/>
  <c r="HE32" i="15"/>
  <c r="HE33" i="15"/>
  <c r="HE34" i="15"/>
  <c r="HE35" i="15"/>
  <c r="HE36" i="15"/>
  <c r="HE37" i="15"/>
  <c r="HE38" i="15"/>
  <c r="HE39" i="15"/>
  <c r="HE40" i="15"/>
  <c r="HE41" i="15"/>
  <c r="HE42" i="15"/>
  <c r="HE43" i="15"/>
  <c r="HE44" i="15"/>
  <c r="HE45" i="15"/>
  <c r="HE46" i="15"/>
  <c r="HE47" i="15"/>
  <c r="HE48" i="15"/>
  <c r="HE49" i="15"/>
  <c r="HE50" i="15"/>
  <c r="HE51" i="15"/>
  <c r="HE52" i="15"/>
  <c r="HE53" i="15"/>
  <c r="HE54" i="15"/>
  <c r="HE55" i="15"/>
  <c r="HE56" i="15"/>
  <c r="HE57" i="15"/>
  <c r="HE58" i="15"/>
  <c r="HE59" i="15"/>
  <c r="HE60" i="15"/>
  <c r="HE61" i="15"/>
  <c r="HE62" i="15"/>
  <c r="HE63" i="15"/>
  <c r="HE64" i="15"/>
  <c r="HE65" i="15"/>
  <c r="HE66" i="15"/>
  <c r="HE67" i="15"/>
  <c r="HE68" i="15"/>
  <c r="HE69" i="15"/>
  <c r="HE70" i="15"/>
  <c r="HE71" i="15"/>
  <c r="HE72" i="15"/>
  <c r="HE73" i="15"/>
  <c r="HE74" i="15"/>
  <c r="HE75" i="15"/>
  <c r="HE76" i="15"/>
  <c r="HE77" i="15"/>
  <c r="HE78" i="15"/>
  <c r="HE79" i="15"/>
  <c r="HE80" i="15"/>
  <c r="HE81" i="15"/>
  <c r="HE82" i="15"/>
  <c r="HE83" i="15"/>
  <c r="HE84" i="15"/>
  <c r="HE85" i="15"/>
  <c r="HE86" i="15"/>
  <c r="HE87" i="15"/>
  <c r="HE88" i="15"/>
  <c r="HE89" i="15"/>
  <c r="HE90" i="15"/>
  <c r="HE91" i="15"/>
  <c r="HE92" i="15"/>
  <c r="HE93" i="15"/>
  <c r="HE94" i="15"/>
  <c r="HE95" i="15"/>
  <c r="HE96" i="15"/>
  <c r="HE97" i="15"/>
  <c r="HE98" i="15"/>
  <c r="HE99" i="15"/>
  <c r="HE100" i="15"/>
  <c r="HE101" i="15"/>
  <c r="HE102" i="15"/>
  <c r="HE103" i="15"/>
  <c r="HE104" i="15"/>
  <c r="HE105" i="15"/>
  <c r="HE106" i="15"/>
  <c r="HE107" i="15"/>
  <c r="HE108" i="15"/>
  <c r="HE109" i="15"/>
  <c r="HE110" i="15"/>
  <c r="HE111" i="15"/>
  <c r="HE112" i="15"/>
  <c r="HE113" i="15"/>
  <c r="HE114" i="15"/>
  <c r="HE115" i="15"/>
  <c r="HE116" i="15"/>
  <c r="HE117" i="15"/>
  <c r="HE118" i="15"/>
  <c r="HE119" i="15"/>
  <c r="HE120" i="15"/>
  <c r="HE121" i="15"/>
  <c r="HE122" i="15"/>
  <c r="HE123" i="15"/>
  <c r="HE124" i="15"/>
  <c r="HE125" i="15"/>
  <c r="HE126" i="15"/>
  <c r="HE127" i="15"/>
  <c r="HE128" i="15"/>
  <c r="HE129" i="15"/>
  <c r="HE130" i="15"/>
  <c r="HE131" i="15"/>
  <c r="HE132" i="15"/>
  <c r="HE133" i="15"/>
  <c r="HE134" i="15"/>
  <c r="HE135" i="15"/>
  <c r="HE136" i="15"/>
  <c r="HE137" i="15"/>
  <c r="HE138" i="15"/>
  <c r="HE139" i="15"/>
  <c r="HE140" i="15"/>
  <c r="HE141" i="15"/>
  <c r="HE142" i="15"/>
  <c r="HE143" i="15"/>
  <c r="HE144" i="15"/>
  <c r="HE145" i="15"/>
  <c r="HE146" i="15"/>
  <c r="HE147" i="15"/>
  <c r="HE148" i="15"/>
  <c r="HE149" i="15"/>
  <c r="HE150" i="15"/>
  <c r="HE151" i="15"/>
  <c r="HE152" i="15"/>
  <c r="HE153" i="15"/>
  <c r="HE154" i="15"/>
  <c r="HE155" i="15"/>
  <c r="HE156" i="15"/>
  <c r="HE157" i="15"/>
  <c r="HE158" i="15"/>
  <c r="HE159" i="15"/>
  <c r="HE160" i="15"/>
  <c r="HE161" i="15"/>
  <c r="HE162" i="15"/>
  <c r="HE163" i="15"/>
  <c r="HE164" i="15"/>
  <c r="HE165" i="15"/>
  <c r="HE166" i="15"/>
  <c r="HE167" i="15"/>
  <c r="HE168" i="15"/>
  <c r="HE169" i="15"/>
  <c r="HE170" i="15"/>
  <c r="HE171" i="15"/>
  <c r="HE172" i="15"/>
  <c r="HE173" i="15"/>
  <c r="HE174" i="15"/>
  <c r="HE175" i="15"/>
  <c r="HE176" i="15"/>
  <c r="HE177" i="15"/>
  <c r="HE178" i="15"/>
  <c r="HE179" i="15"/>
  <c r="HE180" i="15"/>
  <c r="HE181" i="15"/>
  <c r="HE182" i="15"/>
  <c r="HE183" i="15"/>
  <c r="HE184" i="15"/>
  <c r="HE185" i="15"/>
  <c r="HE186" i="15"/>
  <c r="HE187" i="15"/>
  <c r="HE188" i="15"/>
  <c r="HE189" i="15"/>
  <c r="HE190" i="15"/>
  <c r="HE191" i="15"/>
  <c r="HE192" i="15"/>
  <c r="HE193" i="15"/>
  <c r="HE194" i="15"/>
  <c r="HE195" i="15"/>
  <c r="HE196" i="15"/>
  <c r="HE197" i="15"/>
  <c r="HE198" i="15"/>
  <c r="HE199" i="15"/>
  <c r="HE200" i="15"/>
  <c r="HE201" i="15"/>
  <c r="HE202" i="15"/>
  <c r="HE203" i="15"/>
  <c r="HE204" i="15"/>
  <c r="HE205" i="15"/>
  <c r="HE206" i="15"/>
  <c r="HE207" i="15"/>
  <c r="HE208" i="15"/>
  <c r="HE209" i="15"/>
  <c r="HE210" i="15"/>
  <c r="HE211" i="15"/>
  <c r="HE212" i="15"/>
  <c r="HE213" i="15"/>
  <c r="HE214" i="15"/>
  <c r="HE215" i="15"/>
  <c r="HE216" i="15"/>
  <c r="HE217" i="15"/>
  <c r="HE218" i="15"/>
  <c r="HE219" i="15"/>
  <c r="HE220" i="15"/>
  <c r="HE221" i="15"/>
  <c r="HE222" i="15"/>
  <c r="HE223" i="15"/>
  <c r="HE224" i="15"/>
  <c r="HE225" i="15"/>
  <c r="HE226" i="15"/>
  <c r="HE227" i="15"/>
  <c r="HE228" i="15"/>
  <c r="HE229" i="15"/>
  <c r="HE230" i="15"/>
  <c r="HE231" i="15"/>
  <c r="HE232" i="15"/>
  <c r="HE233" i="15"/>
  <c r="HE234" i="15"/>
  <c r="HE235" i="15"/>
  <c r="HE236" i="15"/>
  <c r="HE237" i="15"/>
  <c r="HE238" i="15"/>
  <c r="HE239" i="15"/>
  <c r="HE240" i="15"/>
  <c r="HE241" i="15"/>
  <c r="HE242" i="15"/>
  <c r="HE243" i="15"/>
  <c r="HE244" i="15"/>
  <c r="HE245" i="15"/>
  <c r="HE246" i="15"/>
  <c r="HE247" i="15"/>
  <c r="HE248" i="15"/>
  <c r="HE249" i="15"/>
  <c r="HE250" i="15"/>
  <c r="HE251" i="15"/>
  <c r="HE252" i="15"/>
  <c r="HE253" i="15"/>
  <c r="HE254" i="15"/>
  <c r="HE255" i="15"/>
  <c r="HE256" i="15"/>
  <c r="HE257" i="15"/>
  <c r="HE258" i="15"/>
  <c r="HE259" i="15"/>
  <c r="HE260" i="15"/>
  <c r="HE261" i="15"/>
  <c r="HE262" i="15"/>
  <c r="HE263" i="15"/>
  <c r="HE264" i="15"/>
  <c r="HE265" i="15"/>
  <c r="HE266" i="15"/>
  <c r="HE267" i="15"/>
  <c r="HE268" i="15"/>
  <c r="HE269" i="15"/>
  <c r="HE270" i="15"/>
  <c r="HE271" i="15"/>
  <c r="HE272" i="15"/>
  <c r="HE273" i="15"/>
  <c r="HE274" i="15"/>
  <c r="HE275" i="15"/>
  <c r="HE276" i="15"/>
  <c r="HE277" i="15"/>
  <c r="HE278" i="15"/>
  <c r="HE279" i="15"/>
  <c r="HE280" i="15"/>
  <c r="HE281" i="15"/>
  <c r="HE282" i="15"/>
  <c r="HE283" i="15"/>
  <c r="HE284" i="15"/>
  <c r="HE285" i="15"/>
  <c r="HE286" i="15"/>
  <c r="HE287" i="15"/>
  <c r="HE288" i="15"/>
  <c r="HE289" i="15"/>
  <c r="HE290" i="15"/>
  <c r="HE291" i="15"/>
  <c r="HE292" i="15"/>
  <c r="HE293" i="15"/>
  <c r="HE294" i="15"/>
  <c r="HE295" i="15"/>
  <c r="HE296" i="15"/>
  <c r="HE297" i="15"/>
  <c r="HE298" i="15"/>
  <c r="HE299" i="15"/>
  <c r="HE300" i="15"/>
  <c r="HE301" i="15"/>
  <c r="HE302" i="15"/>
  <c r="HE303" i="15"/>
  <c r="HE304" i="15"/>
  <c r="HE305" i="15"/>
  <c r="HE306" i="15"/>
  <c r="HE307" i="15"/>
  <c r="HE308" i="15"/>
  <c r="HE309" i="15"/>
  <c r="HE310" i="15"/>
  <c r="HE311" i="15"/>
  <c r="HE312" i="15"/>
  <c r="HE313" i="15"/>
  <c r="HE314" i="15"/>
  <c r="HE315" i="15"/>
  <c r="HE316" i="15"/>
  <c r="HE317" i="15"/>
  <c r="HE318" i="15"/>
  <c r="HE319" i="15"/>
  <c r="HE320" i="15"/>
  <c r="HE321" i="15"/>
  <c r="HE322" i="15"/>
  <c r="HE323" i="15"/>
  <c r="HE324" i="15"/>
  <c r="HE325" i="15"/>
  <c r="HE326" i="15"/>
  <c r="HE327" i="15"/>
  <c r="HE328" i="15"/>
  <c r="HE329" i="15"/>
  <c r="HE330" i="15"/>
  <c r="HE331" i="15"/>
  <c r="HE332" i="15"/>
  <c r="HE333" i="15"/>
  <c r="HE334" i="15"/>
  <c r="HE335" i="15"/>
  <c r="HE336" i="15"/>
  <c r="HE337" i="15"/>
  <c r="HE338" i="15"/>
  <c r="HE339" i="15"/>
  <c r="HE340" i="15"/>
  <c r="HE341" i="15"/>
  <c r="HE342" i="15"/>
  <c r="HE343" i="15"/>
  <c r="HE344" i="15"/>
  <c r="HE345" i="15"/>
  <c r="HE346" i="15"/>
  <c r="HE347" i="15"/>
  <c r="HE348" i="15"/>
  <c r="HE349" i="15"/>
  <c r="Q1" i="5"/>
  <c r="AE26" i="65" l="1"/>
  <c r="DP26" i="15"/>
  <c r="D4" i="92"/>
  <c r="C4" i="92"/>
  <c r="B4" i="92"/>
  <c r="CO16" i="15"/>
  <c r="CP16" i="15"/>
  <c r="CQ16" i="15"/>
  <c r="CR16" i="15"/>
  <c r="CO17" i="15"/>
  <c r="CP17" i="15"/>
  <c r="CQ17" i="15"/>
  <c r="CR17" i="15"/>
  <c r="CO2" i="15"/>
  <c r="CP2" i="15"/>
  <c r="CQ2" i="15"/>
  <c r="CR2" i="15"/>
  <c r="CO3" i="15"/>
  <c r="CP3" i="15"/>
  <c r="CQ3" i="15"/>
  <c r="CR3" i="15"/>
  <c r="CO4" i="15"/>
  <c r="CP4" i="15"/>
  <c r="CQ4" i="15"/>
  <c r="CR4" i="15"/>
  <c r="CO5" i="15"/>
  <c r="CP5" i="15"/>
  <c r="CQ5" i="15"/>
  <c r="CR5" i="15"/>
  <c r="CO6" i="15"/>
  <c r="CP6" i="15"/>
  <c r="CQ6" i="15"/>
  <c r="CR6" i="15"/>
  <c r="CO7" i="15"/>
  <c r="CP7" i="15"/>
  <c r="CQ7" i="15"/>
  <c r="CR7" i="15"/>
  <c r="CO8" i="15"/>
  <c r="CP8" i="15"/>
  <c r="CQ8" i="15"/>
  <c r="CR8" i="15"/>
  <c r="CO9" i="15"/>
  <c r="CP9" i="15"/>
  <c r="CQ9" i="15"/>
  <c r="CR9" i="15"/>
  <c r="CO10" i="15"/>
  <c r="CP10" i="15"/>
  <c r="CQ10" i="15"/>
  <c r="CR10" i="15"/>
  <c r="CO11" i="15"/>
  <c r="CP11" i="15"/>
  <c r="CQ11" i="15"/>
  <c r="CR11" i="15"/>
  <c r="CO12" i="15"/>
  <c r="CP12" i="15"/>
  <c r="CQ12" i="15"/>
  <c r="CR12" i="15"/>
  <c r="CO13" i="15"/>
  <c r="CP13" i="15"/>
  <c r="CQ13" i="15"/>
  <c r="CR13" i="15"/>
  <c r="CO14" i="15"/>
  <c r="CP14" i="15"/>
  <c r="CQ14" i="15"/>
  <c r="CR14" i="15"/>
  <c r="CO15" i="15"/>
  <c r="CP15" i="15"/>
  <c r="CQ15" i="15"/>
  <c r="CR15" i="15"/>
  <c r="CP1" i="15"/>
  <c r="CQ1" i="15"/>
  <c r="CR1" i="15"/>
  <c r="CO1" i="15"/>
  <c r="HF23" i="15"/>
  <c r="HG23" i="15"/>
  <c r="HH23" i="15"/>
  <c r="HF24" i="15"/>
  <c r="HG24" i="15"/>
  <c r="GI24" i="15" s="1"/>
  <c r="HH24" i="15"/>
  <c r="HF25" i="15"/>
  <c r="HG25" i="15"/>
  <c r="HH25" i="15"/>
  <c r="HF26" i="15"/>
  <c r="HG26" i="15"/>
  <c r="HH26" i="15"/>
  <c r="HF27" i="15"/>
  <c r="HG27" i="15"/>
  <c r="HH27" i="15"/>
  <c r="HF28" i="15"/>
  <c r="HG28" i="15"/>
  <c r="GI28" i="15" s="1"/>
  <c r="HH28" i="15"/>
  <c r="HF29" i="15"/>
  <c r="HG29" i="15"/>
  <c r="HH29" i="15"/>
  <c r="HF30" i="15"/>
  <c r="HG30" i="15"/>
  <c r="HH30" i="15"/>
  <c r="HF31" i="15"/>
  <c r="HG31" i="15"/>
  <c r="HH31" i="15"/>
  <c r="HF32" i="15"/>
  <c r="HG32" i="15"/>
  <c r="GI32" i="15" s="1"/>
  <c r="HH32" i="15"/>
  <c r="HF33" i="15"/>
  <c r="HG33" i="15"/>
  <c r="HH33" i="15"/>
  <c r="HF34" i="15"/>
  <c r="HG34" i="15"/>
  <c r="HH34" i="15"/>
  <c r="HF35" i="15"/>
  <c r="HG35" i="15"/>
  <c r="HH35" i="15"/>
  <c r="HF36" i="15"/>
  <c r="HG36" i="15"/>
  <c r="GI36" i="15" s="1"/>
  <c r="HH36" i="15"/>
  <c r="HF37" i="15"/>
  <c r="HG37" i="15"/>
  <c r="HH37" i="15"/>
  <c r="HF38" i="15"/>
  <c r="HG38" i="15"/>
  <c r="HH38" i="15"/>
  <c r="HF39" i="15"/>
  <c r="HG39" i="15"/>
  <c r="HH39" i="15"/>
  <c r="HF40" i="15"/>
  <c r="HG40" i="15"/>
  <c r="GI40" i="15" s="1"/>
  <c r="HH40" i="15"/>
  <c r="HF41" i="15"/>
  <c r="HG41" i="15"/>
  <c r="HH41" i="15"/>
  <c r="HF42" i="15"/>
  <c r="HG42" i="15"/>
  <c r="HH42" i="15"/>
  <c r="HF43" i="15"/>
  <c r="HG43" i="15"/>
  <c r="HH43" i="15"/>
  <c r="HF44" i="15"/>
  <c r="HG44" i="15"/>
  <c r="GI44" i="15" s="1"/>
  <c r="HH44" i="15"/>
  <c r="HF45" i="15"/>
  <c r="HG45" i="15"/>
  <c r="HH45" i="15"/>
  <c r="HF46" i="15"/>
  <c r="HG46" i="15"/>
  <c r="HH46" i="15"/>
  <c r="HF47" i="15"/>
  <c r="HG47" i="15"/>
  <c r="HH47" i="15"/>
  <c r="HF48" i="15"/>
  <c r="HG48" i="15"/>
  <c r="GI48" i="15" s="1"/>
  <c r="HH48" i="15"/>
  <c r="HF49" i="15"/>
  <c r="HG49" i="15"/>
  <c r="HH49" i="15"/>
  <c r="HF50" i="15"/>
  <c r="FY50" i="15" s="1"/>
  <c r="HG50" i="15"/>
  <c r="HH50" i="15"/>
  <c r="GA50" i="15" s="1"/>
  <c r="HF51" i="15"/>
  <c r="FY51" i="15" s="1"/>
  <c r="HG51" i="15"/>
  <c r="HH51" i="15"/>
  <c r="GA51" i="15" s="1"/>
  <c r="HF52" i="15"/>
  <c r="FY52" i="15" s="1"/>
  <c r="HG52" i="15"/>
  <c r="GI52" i="15" s="1"/>
  <c r="HH52" i="15"/>
  <c r="GA52" i="15" s="1"/>
  <c r="HF53" i="15"/>
  <c r="FY53" i="15" s="1"/>
  <c r="HG53" i="15"/>
  <c r="HH53" i="15"/>
  <c r="GA53" i="15" s="1"/>
  <c r="HF54" i="15"/>
  <c r="FY54" i="15" s="1"/>
  <c r="HG54" i="15"/>
  <c r="HH54" i="15"/>
  <c r="GA54" i="15" s="1"/>
  <c r="HF55" i="15"/>
  <c r="FY55" i="15" s="1"/>
  <c r="HG55" i="15"/>
  <c r="HH55" i="15"/>
  <c r="GA55" i="15" s="1"/>
  <c r="HF56" i="15"/>
  <c r="FY56" i="15" s="1"/>
  <c r="HG56" i="15"/>
  <c r="GI56" i="15" s="1"/>
  <c r="HH56" i="15"/>
  <c r="GA56" i="15" s="1"/>
  <c r="HF57" i="15"/>
  <c r="FY57" i="15" s="1"/>
  <c r="HG57" i="15"/>
  <c r="HH57" i="15"/>
  <c r="GA57" i="15" s="1"/>
  <c r="HF58" i="15"/>
  <c r="FY58" i="15" s="1"/>
  <c r="HG58" i="15"/>
  <c r="HH58" i="15"/>
  <c r="GA58" i="15" s="1"/>
  <c r="HF59" i="15"/>
  <c r="FY59" i="15" s="1"/>
  <c r="HG59" i="15"/>
  <c r="HH59" i="15"/>
  <c r="GA59" i="15" s="1"/>
  <c r="HF60" i="15"/>
  <c r="FY60" i="15" s="1"/>
  <c r="HG60" i="15"/>
  <c r="GI60" i="15" s="1"/>
  <c r="HH60" i="15"/>
  <c r="GA60" i="15" s="1"/>
  <c r="HF61" i="15"/>
  <c r="FY61" i="15" s="1"/>
  <c r="HG61" i="15"/>
  <c r="HH61" i="15"/>
  <c r="GA61" i="15" s="1"/>
  <c r="HF62" i="15"/>
  <c r="FY62" i="15" s="1"/>
  <c r="HG62" i="15"/>
  <c r="HH62" i="15"/>
  <c r="GA62" i="15" s="1"/>
  <c r="HF63" i="15"/>
  <c r="FY63" i="15" s="1"/>
  <c r="HG63" i="15"/>
  <c r="HH63" i="15"/>
  <c r="GA63" i="15" s="1"/>
  <c r="HF64" i="15"/>
  <c r="FY64" i="15" s="1"/>
  <c r="HG64" i="15"/>
  <c r="GI64" i="15" s="1"/>
  <c r="HH64" i="15"/>
  <c r="GA64" i="15" s="1"/>
  <c r="HF65" i="15"/>
  <c r="FY65" i="15" s="1"/>
  <c r="HG65" i="15"/>
  <c r="HH65" i="15"/>
  <c r="GA65" i="15" s="1"/>
  <c r="HF66" i="15"/>
  <c r="FY66" i="15" s="1"/>
  <c r="HG66" i="15"/>
  <c r="HH66" i="15"/>
  <c r="GA66" i="15" s="1"/>
  <c r="HF67" i="15"/>
  <c r="FY67" i="15" s="1"/>
  <c r="HG67" i="15"/>
  <c r="HH67" i="15"/>
  <c r="GA67" i="15" s="1"/>
  <c r="HF68" i="15"/>
  <c r="FY68" i="15" s="1"/>
  <c r="HG68" i="15"/>
  <c r="GI68" i="15" s="1"/>
  <c r="HH68" i="15"/>
  <c r="GA68" i="15" s="1"/>
  <c r="HF69" i="15"/>
  <c r="FY69" i="15" s="1"/>
  <c r="HG69" i="15"/>
  <c r="HH69" i="15"/>
  <c r="GA69" i="15" s="1"/>
  <c r="HF70" i="15"/>
  <c r="FY70" i="15" s="1"/>
  <c r="HG70" i="15"/>
  <c r="HH70" i="15"/>
  <c r="GA70" i="15" s="1"/>
  <c r="HF71" i="15"/>
  <c r="FY71" i="15" s="1"/>
  <c r="HG71" i="15"/>
  <c r="HH71" i="15"/>
  <c r="GA71" i="15" s="1"/>
  <c r="HF72" i="15"/>
  <c r="FY72" i="15" s="1"/>
  <c r="HG72" i="15"/>
  <c r="GI72" i="15" s="1"/>
  <c r="HH72" i="15"/>
  <c r="GA72" i="15" s="1"/>
  <c r="HF73" i="15"/>
  <c r="FY73" i="15" s="1"/>
  <c r="HG73" i="15"/>
  <c r="HH73" i="15"/>
  <c r="GA73" i="15" s="1"/>
  <c r="HF74" i="15"/>
  <c r="FY74" i="15" s="1"/>
  <c r="HG74" i="15"/>
  <c r="HH74" i="15"/>
  <c r="GA74" i="15" s="1"/>
  <c r="HF75" i="15"/>
  <c r="FY75" i="15" s="1"/>
  <c r="HG75" i="15"/>
  <c r="HH75" i="15"/>
  <c r="GA75" i="15" s="1"/>
  <c r="HF76" i="15"/>
  <c r="FY76" i="15" s="1"/>
  <c r="HG76" i="15"/>
  <c r="GI76" i="15" s="1"/>
  <c r="HH76" i="15"/>
  <c r="GA76" i="15" s="1"/>
  <c r="HF77" i="15"/>
  <c r="FY77" i="15" s="1"/>
  <c r="HG77" i="15"/>
  <c r="HH77" i="15"/>
  <c r="GA77" i="15" s="1"/>
  <c r="HF78" i="15"/>
  <c r="FY78" i="15" s="1"/>
  <c r="HG78" i="15"/>
  <c r="HH78" i="15"/>
  <c r="GA78" i="15" s="1"/>
  <c r="HF79" i="15"/>
  <c r="FY79" i="15" s="1"/>
  <c r="HG79" i="15"/>
  <c r="HH79" i="15"/>
  <c r="GA79" i="15" s="1"/>
  <c r="HF80" i="15"/>
  <c r="FY80" i="15" s="1"/>
  <c r="HG80" i="15"/>
  <c r="GI80" i="15" s="1"/>
  <c r="HH80" i="15"/>
  <c r="GA80" i="15" s="1"/>
  <c r="HF81" i="15"/>
  <c r="FY81" i="15" s="1"/>
  <c r="HG81" i="15"/>
  <c r="HH81" i="15"/>
  <c r="GA81" i="15" s="1"/>
  <c r="HF82" i="15"/>
  <c r="FY82" i="15" s="1"/>
  <c r="HG82" i="15"/>
  <c r="HH82" i="15"/>
  <c r="GA82" i="15" s="1"/>
  <c r="HF83" i="15"/>
  <c r="FY83" i="15" s="1"/>
  <c r="HG83" i="15"/>
  <c r="HH83" i="15"/>
  <c r="GA83" i="15" s="1"/>
  <c r="HF84" i="15"/>
  <c r="FY84" i="15" s="1"/>
  <c r="HG84" i="15"/>
  <c r="GI84" i="15" s="1"/>
  <c r="HH84" i="15"/>
  <c r="GA84" i="15" s="1"/>
  <c r="HF85" i="15"/>
  <c r="FY85" i="15" s="1"/>
  <c r="HG85" i="15"/>
  <c r="HH85" i="15"/>
  <c r="GA85" i="15" s="1"/>
  <c r="HF86" i="15"/>
  <c r="FY86" i="15" s="1"/>
  <c r="HG86" i="15"/>
  <c r="HH86" i="15"/>
  <c r="GA86" i="15" s="1"/>
  <c r="HF87" i="15"/>
  <c r="FY87" i="15" s="1"/>
  <c r="HG87" i="15"/>
  <c r="HH87" i="15"/>
  <c r="GA87" i="15" s="1"/>
  <c r="HF88" i="15"/>
  <c r="FY88" i="15" s="1"/>
  <c r="HG88" i="15"/>
  <c r="GI88" i="15" s="1"/>
  <c r="HH88" i="15"/>
  <c r="GA88" i="15" s="1"/>
  <c r="HF89" i="15"/>
  <c r="FY89" i="15" s="1"/>
  <c r="HG89" i="15"/>
  <c r="HH89" i="15"/>
  <c r="GA89" i="15" s="1"/>
  <c r="HF90" i="15"/>
  <c r="FY90" i="15" s="1"/>
  <c r="HG90" i="15"/>
  <c r="HH90" i="15"/>
  <c r="GA90" i="15" s="1"/>
  <c r="HF91" i="15"/>
  <c r="FY91" i="15" s="1"/>
  <c r="HG91" i="15"/>
  <c r="HH91" i="15"/>
  <c r="GA91" i="15" s="1"/>
  <c r="HF92" i="15"/>
  <c r="FY92" i="15" s="1"/>
  <c r="HG92" i="15"/>
  <c r="GI92" i="15" s="1"/>
  <c r="HH92" i="15"/>
  <c r="GA92" i="15" s="1"/>
  <c r="HF93" i="15"/>
  <c r="FY93" i="15" s="1"/>
  <c r="HG93" i="15"/>
  <c r="HH93" i="15"/>
  <c r="GA93" i="15" s="1"/>
  <c r="HF94" i="15"/>
  <c r="FY94" i="15" s="1"/>
  <c r="HG94" i="15"/>
  <c r="HH94" i="15"/>
  <c r="GA94" i="15" s="1"/>
  <c r="HF95" i="15"/>
  <c r="FY95" i="15" s="1"/>
  <c r="HG95" i="15"/>
  <c r="HH95" i="15"/>
  <c r="GA95" i="15" s="1"/>
  <c r="HF96" i="15"/>
  <c r="FY96" i="15" s="1"/>
  <c r="HG96" i="15"/>
  <c r="GI96" i="15" s="1"/>
  <c r="HH96" i="15"/>
  <c r="GA96" i="15" s="1"/>
  <c r="HF97" i="15"/>
  <c r="FY97" i="15" s="1"/>
  <c r="HG97" i="15"/>
  <c r="HH97" i="15"/>
  <c r="GA97" i="15" s="1"/>
  <c r="HF98" i="15"/>
  <c r="FY98" i="15" s="1"/>
  <c r="HG98" i="15"/>
  <c r="HH98" i="15"/>
  <c r="GA98" i="15" s="1"/>
  <c r="HF99" i="15"/>
  <c r="FY99" i="15" s="1"/>
  <c r="HG99" i="15"/>
  <c r="HH99" i="15"/>
  <c r="GA99" i="15" s="1"/>
  <c r="HF100" i="15"/>
  <c r="FY100" i="15" s="1"/>
  <c r="HG100" i="15"/>
  <c r="GI100" i="15" s="1"/>
  <c r="HH100" i="15"/>
  <c r="GA100" i="15" s="1"/>
  <c r="HF101" i="15"/>
  <c r="FY101" i="15" s="1"/>
  <c r="HG101" i="15"/>
  <c r="HH101" i="15"/>
  <c r="GA101" i="15" s="1"/>
  <c r="HF102" i="15"/>
  <c r="FY102" i="15" s="1"/>
  <c r="HG102" i="15"/>
  <c r="HH102" i="15"/>
  <c r="GA102" i="15" s="1"/>
  <c r="HF103" i="15"/>
  <c r="FY103" i="15" s="1"/>
  <c r="HG103" i="15"/>
  <c r="HH103" i="15"/>
  <c r="GA103" i="15" s="1"/>
  <c r="HF104" i="15"/>
  <c r="FY104" i="15" s="1"/>
  <c r="HG104" i="15"/>
  <c r="GI104" i="15" s="1"/>
  <c r="HH104" i="15"/>
  <c r="GA104" i="15" s="1"/>
  <c r="HF105" i="15"/>
  <c r="FY105" i="15" s="1"/>
  <c r="HG105" i="15"/>
  <c r="HH105" i="15"/>
  <c r="GA105" i="15" s="1"/>
  <c r="HF106" i="15"/>
  <c r="FY106" i="15" s="1"/>
  <c r="HG106" i="15"/>
  <c r="HH106" i="15"/>
  <c r="GA106" i="15" s="1"/>
  <c r="HF107" i="15"/>
  <c r="FY107" i="15" s="1"/>
  <c r="HG107" i="15"/>
  <c r="HH107" i="15"/>
  <c r="GA107" i="15" s="1"/>
  <c r="HF108" i="15"/>
  <c r="FY108" i="15" s="1"/>
  <c r="HG108" i="15"/>
  <c r="GI108" i="15" s="1"/>
  <c r="HH108" i="15"/>
  <c r="GA108" i="15" s="1"/>
  <c r="HF109" i="15"/>
  <c r="FY109" i="15" s="1"/>
  <c r="HG109" i="15"/>
  <c r="HH109" i="15"/>
  <c r="GA109" i="15" s="1"/>
  <c r="HF110" i="15"/>
  <c r="FY110" i="15" s="1"/>
  <c r="HG110" i="15"/>
  <c r="HH110" i="15"/>
  <c r="GA110" i="15" s="1"/>
  <c r="HF111" i="15"/>
  <c r="FY111" i="15" s="1"/>
  <c r="HG111" i="15"/>
  <c r="HH111" i="15"/>
  <c r="GA111" i="15" s="1"/>
  <c r="HF112" i="15"/>
  <c r="FY112" i="15" s="1"/>
  <c r="HG112" i="15"/>
  <c r="GI112" i="15" s="1"/>
  <c r="HH112" i="15"/>
  <c r="GA112" i="15" s="1"/>
  <c r="HF113" i="15"/>
  <c r="FY113" i="15" s="1"/>
  <c r="HG113" i="15"/>
  <c r="HH113" i="15"/>
  <c r="GA113" i="15" s="1"/>
  <c r="HF114" i="15"/>
  <c r="FY114" i="15" s="1"/>
  <c r="HG114" i="15"/>
  <c r="HH114" i="15"/>
  <c r="GA114" i="15" s="1"/>
  <c r="HF115" i="15"/>
  <c r="FY115" i="15" s="1"/>
  <c r="HG115" i="15"/>
  <c r="HH115" i="15"/>
  <c r="GA115" i="15" s="1"/>
  <c r="HF116" i="15"/>
  <c r="FY116" i="15" s="1"/>
  <c r="HG116" i="15"/>
  <c r="GI116" i="15" s="1"/>
  <c r="HH116" i="15"/>
  <c r="GA116" i="15" s="1"/>
  <c r="HF117" i="15"/>
  <c r="FY117" i="15" s="1"/>
  <c r="HG117" i="15"/>
  <c r="HH117" i="15"/>
  <c r="GA117" i="15" s="1"/>
  <c r="HF118" i="15"/>
  <c r="FY118" i="15" s="1"/>
  <c r="HG118" i="15"/>
  <c r="HH118" i="15"/>
  <c r="GA118" i="15" s="1"/>
  <c r="HF119" i="15"/>
  <c r="FY119" i="15" s="1"/>
  <c r="HG119" i="15"/>
  <c r="HH119" i="15"/>
  <c r="GA119" i="15" s="1"/>
  <c r="HF120" i="15"/>
  <c r="FY120" i="15" s="1"/>
  <c r="HG120" i="15"/>
  <c r="GI120" i="15" s="1"/>
  <c r="HH120" i="15"/>
  <c r="GA120" i="15" s="1"/>
  <c r="HF121" i="15"/>
  <c r="FY121" i="15" s="1"/>
  <c r="HG121" i="15"/>
  <c r="HH121" i="15"/>
  <c r="GA121" i="15" s="1"/>
  <c r="HF122" i="15"/>
  <c r="FY122" i="15" s="1"/>
  <c r="HG122" i="15"/>
  <c r="HH122" i="15"/>
  <c r="GA122" i="15" s="1"/>
  <c r="HF123" i="15"/>
  <c r="FY123" i="15" s="1"/>
  <c r="HG123" i="15"/>
  <c r="HH123" i="15"/>
  <c r="GA123" i="15" s="1"/>
  <c r="HF124" i="15"/>
  <c r="FY124" i="15" s="1"/>
  <c r="HG124" i="15"/>
  <c r="GI124" i="15" s="1"/>
  <c r="HH124" i="15"/>
  <c r="GA124" i="15" s="1"/>
  <c r="HF125" i="15"/>
  <c r="FY125" i="15" s="1"/>
  <c r="HG125" i="15"/>
  <c r="HH125" i="15"/>
  <c r="GA125" i="15" s="1"/>
  <c r="HF126" i="15"/>
  <c r="FY126" i="15" s="1"/>
  <c r="HG126" i="15"/>
  <c r="HH126" i="15"/>
  <c r="GA126" i="15" s="1"/>
  <c r="HF127" i="15"/>
  <c r="FY127" i="15" s="1"/>
  <c r="HG127" i="15"/>
  <c r="HH127" i="15"/>
  <c r="GA127" i="15" s="1"/>
  <c r="HF128" i="15"/>
  <c r="FY128" i="15" s="1"/>
  <c r="HG128" i="15"/>
  <c r="GI128" i="15" s="1"/>
  <c r="HH128" i="15"/>
  <c r="GA128" i="15" s="1"/>
  <c r="HF129" i="15"/>
  <c r="FY129" i="15" s="1"/>
  <c r="HG129" i="15"/>
  <c r="HH129" i="15"/>
  <c r="GA129" i="15" s="1"/>
  <c r="HF130" i="15"/>
  <c r="FY130" i="15" s="1"/>
  <c r="HG130" i="15"/>
  <c r="HH130" i="15"/>
  <c r="GA130" i="15" s="1"/>
  <c r="HF131" i="15"/>
  <c r="FY131" i="15" s="1"/>
  <c r="HG131" i="15"/>
  <c r="HH131" i="15"/>
  <c r="GA131" i="15" s="1"/>
  <c r="HF132" i="15"/>
  <c r="FY132" i="15" s="1"/>
  <c r="HG132" i="15"/>
  <c r="GI132" i="15" s="1"/>
  <c r="HH132" i="15"/>
  <c r="GA132" i="15" s="1"/>
  <c r="HF133" i="15"/>
  <c r="FY133" i="15" s="1"/>
  <c r="HG133" i="15"/>
  <c r="HH133" i="15"/>
  <c r="GA133" i="15" s="1"/>
  <c r="HF134" i="15"/>
  <c r="FY134" i="15" s="1"/>
  <c r="HG134" i="15"/>
  <c r="HH134" i="15"/>
  <c r="GA134" i="15" s="1"/>
  <c r="HF135" i="15"/>
  <c r="FY135" i="15" s="1"/>
  <c r="HG135" i="15"/>
  <c r="HH135" i="15"/>
  <c r="GA135" i="15" s="1"/>
  <c r="HF136" i="15"/>
  <c r="FY136" i="15" s="1"/>
  <c r="HG136" i="15"/>
  <c r="GI136" i="15" s="1"/>
  <c r="HH136" i="15"/>
  <c r="GA136" i="15" s="1"/>
  <c r="HF137" i="15"/>
  <c r="FY137" i="15" s="1"/>
  <c r="HG137" i="15"/>
  <c r="HH137" i="15"/>
  <c r="GA137" i="15" s="1"/>
  <c r="HF138" i="15"/>
  <c r="FY138" i="15" s="1"/>
  <c r="HG138" i="15"/>
  <c r="HH138" i="15"/>
  <c r="GA138" i="15" s="1"/>
  <c r="HF139" i="15"/>
  <c r="FY139" i="15" s="1"/>
  <c r="HG139" i="15"/>
  <c r="HH139" i="15"/>
  <c r="GA139" i="15" s="1"/>
  <c r="HF140" i="15"/>
  <c r="FY140" i="15" s="1"/>
  <c r="HG140" i="15"/>
  <c r="GI140" i="15" s="1"/>
  <c r="HH140" i="15"/>
  <c r="GA140" i="15" s="1"/>
  <c r="HF141" i="15"/>
  <c r="FY141" i="15" s="1"/>
  <c r="HG141" i="15"/>
  <c r="HH141" i="15"/>
  <c r="GA141" i="15" s="1"/>
  <c r="HF142" i="15"/>
  <c r="FY142" i="15" s="1"/>
  <c r="HG142" i="15"/>
  <c r="HH142" i="15"/>
  <c r="GA142" i="15" s="1"/>
  <c r="HF143" i="15"/>
  <c r="FY143" i="15" s="1"/>
  <c r="HG143" i="15"/>
  <c r="HH143" i="15"/>
  <c r="GA143" i="15" s="1"/>
  <c r="HF144" i="15"/>
  <c r="FY144" i="15" s="1"/>
  <c r="HG144" i="15"/>
  <c r="GI144" i="15" s="1"/>
  <c r="HH144" i="15"/>
  <c r="GA144" i="15" s="1"/>
  <c r="HF145" i="15"/>
  <c r="FY145" i="15" s="1"/>
  <c r="HG145" i="15"/>
  <c r="HH145" i="15"/>
  <c r="GA145" i="15" s="1"/>
  <c r="HF146" i="15"/>
  <c r="FY146" i="15" s="1"/>
  <c r="HG146" i="15"/>
  <c r="HH146" i="15"/>
  <c r="GA146" i="15" s="1"/>
  <c r="HF147" i="15"/>
  <c r="FY147" i="15" s="1"/>
  <c r="HG147" i="15"/>
  <c r="HH147" i="15"/>
  <c r="GA147" i="15" s="1"/>
  <c r="HF148" i="15"/>
  <c r="FY148" i="15" s="1"/>
  <c r="HG148" i="15"/>
  <c r="GI148" i="15" s="1"/>
  <c r="HH148" i="15"/>
  <c r="GA148" i="15" s="1"/>
  <c r="HF149" i="15"/>
  <c r="FY149" i="15" s="1"/>
  <c r="HG149" i="15"/>
  <c r="HH149" i="15"/>
  <c r="GA149" i="15" s="1"/>
  <c r="HF150" i="15"/>
  <c r="FY150" i="15" s="1"/>
  <c r="HG150" i="15"/>
  <c r="HH150" i="15"/>
  <c r="GA150" i="15" s="1"/>
  <c r="HF151" i="15"/>
  <c r="FY151" i="15" s="1"/>
  <c r="HG151" i="15"/>
  <c r="HH151" i="15"/>
  <c r="GA151" i="15" s="1"/>
  <c r="HF152" i="15"/>
  <c r="FY152" i="15" s="1"/>
  <c r="HG152" i="15"/>
  <c r="GI152" i="15" s="1"/>
  <c r="HH152" i="15"/>
  <c r="GA152" i="15" s="1"/>
  <c r="HF153" i="15"/>
  <c r="FY153" i="15" s="1"/>
  <c r="HG153" i="15"/>
  <c r="HH153" i="15"/>
  <c r="GA153" i="15" s="1"/>
  <c r="HF154" i="15"/>
  <c r="FY154" i="15" s="1"/>
  <c r="HG154" i="15"/>
  <c r="HH154" i="15"/>
  <c r="GA154" i="15" s="1"/>
  <c r="HF155" i="15"/>
  <c r="FY155" i="15" s="1"/>
  <c r="HG155" i="15"/>
  <c r="HH155" i="15"/>
  <c r="GA155" i="15" s="1"/>
  <c r="HF156" i="15"/>
  <c r="FY156" i="15" s="1"/>
  <c r="HG156" i="15"/>
  <c r="GI156" i="15" s="1"/>
  <c r="HH156" i="15"/>
  <c r="GA156" i="15" s="1"/>
  <c r="HF157" i="15"/>
  <c r="FY157" i="15" s="1"/>
  <c r="HG157" i="15"/>
  <c r="HH157" i="15"/>
  <c r="GA157" i="15" s="1"/>
  <c r="HF158" i="15"/>
  <c r="FY158" i="15" s="1"/>
  <c r="HG158" i="15"/>
  <c r="HH158" i="15"/>
  <c r="GA158" i="15" s="1"/>
  <c r="HF159" i="15"/>
  <c r="FY159" i="15" s="1"/>
  <c r="HG159" i="15"/>
  <c r="HH159" i="15"/>
  <c r="GA159" i="15" s="1"/>
  <c r="HF160" i="15"/>
  <c r="FY160" i="15" s="1"/>
  <c r="HG160" i="15"/>
  <c r="GI160" i="15" s="1"/>
  <c r="HH160" i="15"/>
  <c r="GA160" i="15" s="1"/>
  <c r="HF161" i="15"/>
  <c r="FY161" i="15" s="1"/>
  <c r="HG161" i="15"/>
  <c r="HH161" i="15"/>
  <c r="GA161" i="15" s="1"/>
  <c r="HF162" i="15"/>
  <c r="FY162" i="15" s="1"/>
  <c r="HG162" i="15"/>
  <c r="HH162" i="15"/>
  <c r="GA162" i="15" s="1"/>
  <c r="HF163" i="15"/>
  <c r="FY163" i="15" s="1"/>
  <c r="HG163" i="15"/>
  <c r="HH163" i="15"/>
  <c r="GA163" i="15" s="1"/>
  <c r="HF164" i="15"/>
  <c r="FY164" i="15" s="1"/>
  <c r="HG164" i="15"/>
  <c r="GI164" i="15" s="1"/>
  <c r="HH164" i="15"/>
  <c r="GA164" i="15" s="1"/>
  <c r="HF165" i="15"/>
  <c r="FY165" i="15" s="1"/>
  <c r="HG165" i="15"/>
  <c r="HH165" i="15"/>
  <c r="GA165" i="15" s="1"/>
  <c r="HF166" i="15"/>
  <c r="FY166" i="15" s="1"/>
  <c r="HG166" i="15"/>
  <c r="HH166" i="15"/>
  <c r="GA166" i="15" s="1"/>
  <c r="HF167" i="15"/>
  <c r="FY167" i="15" s="1"/>
  <c r="HG167" i="15"/>
  <c r="HH167" i="15"/>
  <c r="GA167" i="15" s="1"/>
  <c r="HF168" i="15"/>
  <c r="FY168" i="15" s="1"/>
  <c r="HG168" i="15"/>
  <c r="GI168" i="15" s="1"/>
  <c r="HH168" i="15"/>
  <c r="GA168" i="15" s="1"/>
  <c r="HF169" i="15"/>
  <c r="FY169" i="15" s="1"/>
  <c r="HG169" i="15"/>
  <c r="HH169" i="15"/>
  <c r="GA169" i="15" s="1"/>
  <c r="HF170" i="15"/>
  <c r="FY170" i="15" s="1"/>
  <c r="HG170" i="15"/>
  <c r="HH170" i="15"/>
  <c r="GA170" i="15" s="1"/>
  <c r="HF171" i="15"/>
  <c r="FY171" i="15" s="1"/>
  <c r="HG171" i="15"/>
  <c r="HH171" i="15"/>
  <c r="GA171" i="15" s="1"/>
  <c r="HF172" i="15"/>
  <c r="FY172" i="15" s="1"/>
  <c r="HG172" i="15"/>
  <c r="GI172" i="15" s="1"/>
  <c r="HH172" i="15"/>
  <c r="GA172" i="15" s="1"/>
  <c r="HF173" i="15"/>
  <c r="FY173" i="15" s="1"/>
  <c r="HG173" i="15"/>
  <c r="HH173" i="15"/>
  <c r="GA173" i="15" s="1"/>
  <c r="HF174" i="15"/>
  <c r="FY174" i="15" s="1"/>
  <c r="HG174" i="15"/>
  <c r="HH174" i="15"/>
  <c r="GA174" i="15" s="1"/>
  <c r="HF175" i="15"/>
  <c r="FY175" i="15" s="1"/>
  <c r="HG175" i="15"/>
  <c r="HH175" i="15"/>
  <c r="GA175" i="15" s="1"/>
  <c r="HF176" i="15"/>
  <c r="FY176" i="15" s="1"/>
  <c r="HG176" i="15"/>
  <c r="GI176" i="15" s="1"/>
  <c r="HH176" i="15"/>
  <c r="GA176" i="15" s="1"/>
  <c r="HF177" i="15"/>
  <c r="FY177" i="15" s="1"/>
  <c r="HG177" i="15"/>
  <c r="HH177" i="15"/>
  <c r="GA177" i="15" s="1"/>
  <c r="HF178" i="15"/>
  <c r="FY178" i="15" s="1"/>
  <c r="HG178" i="15"/>
  <c r="HH178" i="15"/>
  <c r="GA178" i="15" s="1"/>
  <c r="HF179" i="15"/>
  <c r="FY179" i="15" s="1"/>
  <c r="HG179" i="15"/>
  <c r="HH179" i="15"/>
  <c r="GA179" i="15" s="1"/>
  <c r="HF180" i="15"/>
  <c r="FY180" i="15" s="1"/>
  <c r="HG180" i="15"/>
  <c r="GI180" i="15" s="1"/>
  <c r="HH180" i="15"/>
  <c r="GA180" i="15" s="1"/>
  <c r="HF181" i="15"/>
  <c r="FY181" i="15" s="1"/>
  <c r="HG181" i="15"/>
  <c r="HH181" i="15"/>
  <c r="GA181" i="15" s="1"/>
  <c r="HF182" i="15"/>
  <c r="FY182" i="15" s="1"/>
  <c r="HG182" i="15"/>
  <c r="HH182" i="15"/>
  <c r="GA182" i="15" s="1"/>
  <c r="HF183" i="15"/>
  <c r="FY183" i="15" s="1"/>
  <c r="HG183" i="15"/>
  <c r="HH183" i="15"/>
  <c r="GA183" i="15" s="1"/>
  <c r="HF184" i="15"/>
  <c r="FY184" i="15" s="1"/>
  <c r="HG184" i="15"/>
  <c r="GI184" i="15" s="1"/>
  <c r="HH184" i="15"/>
  <c r="GA184" i="15" s="1"/>
  <c r="HF185" i="15"/>
  <c r="FY185" i="15" s="1"/>
  <c r="HG185" i="15"/>
  <c r="HH185" i="15"/>
  <c r="GA185" i="15" s="1"/>
  <c r="HF186" i="15"/>
  <c r="FY186" i="15" s="1"/>
  <c r="HG186" i="15"/>
  <c r="HH186" i="15"/>
  <c r="GA186" i="15" s="1"/>
  <c r="HF187" i="15"/>
  <c r="FY187" i="15" s="1"/>
  <c r="HG187" i="15"/>
  <c r="HH187" i="15"/>
  <c r="GA187" i="15" s="1"/>
  <c r="HF188" i="15"/>
  <c r="FY188" i="15" s="1"/>
  <c r="HG188" i="15"/>
  <c r="GI188" i="15" s="1"/>
  <c r="HH188" i="15"/>
  <c r="GA188" i="15" s="1"/>
  <c r="HF189" i="15"/>
  <c r="FY189" i="15" s="1"/>
  <c r="HG189" i="15"/>
  <c r="HH189" i="15"/>
  <c r="GA189" i="15" s="1"/>
  <c r="HF190" i="15"/>
  <c r="FY190" i="15" s="1"/>
  <c r="HG190" i="15"/>
  <c r="HH190" i="15"/>
  <c r="GA190" i="15" s="1"/>
  <c r="HF191" i="15"/>
  <c r="FY191" i="15" s="1"/>
  <c r="HG191" i="15"/>
  <c r="HH191" i="15"/>
  <c r="GA191" i="15" s="1"/>
  <c r="HF192" i="15"/>
  <c r="FY192" i="15" s="1"/>
  <c r="HG192" i="15"/>
  <c r="HH192" i="15"/>
  <c r="GA192" i="15" s="1"/>
  <c r="HF193" i="15"/>
  <c r="FY193" i="15" s="1"/>
  <c r="HG193" i="15"/>
  <c r="HH193" i="15"/>
  <c r="GA193" i="15" s="1"/>
  <c r="HF194" i="15"/>
  <c r="FY194" i="15" s="1"/>
  <c r="HG194" i="15"/>
  <c r="HH194" i="15"/>
  <c r="GA194" i="15" s="1"/>
  <c r="HF195" i="15"/>
  <c r="FY195" i="15" s="1"/>
  <c r="HG195" i="15"/>
  <c r="HH195" i="15"/>
  <c r="GA195" i="15" s="1"/>
  <c r="HF196" i="15"/>
  <c r="FY196" i="15" s="1"/>
  <c r="HG196" i="15"/>
  <c r="HH196" i="15"/>
  <c r="GA196" i="15" s="1"/>
  <c r="HF197" i="15"/>
  <c r="FY197" i="15" s="1"/>
  <c r="HG197" i="15"/>
  <c r="HH197" i="15"/>
  <c r="GA197" i="15" s="1"/>
  <c r="HF198" i="15"/>
  <c r="FY198" i="15" s="1"/>
  <c r="HG198" i="15"/>
  <c r="HH198" i="15"/>
  <c r="GA198" i="15" s="1"/>
  <c r="HF199" i="15"/>
  <c r="FY199" i="15" s="1"/>
  <c r="HG199" i="15"/>
  <c r="HH199" i="15"/>
  <c r="GA199" i="15" s="1"/>
  <c r="HF200" i="15"/>
  <c r="FY200" i="15" s="1"/>
  <c r="HG200" i="15"/>
  <c r="HH200" i="15"/>
  <c r="GA200" i="15" s="1"/>
  <c r="HF201" i="15"/>
  <c r="FY201" i="15" s="1"/>
  <c r="HG201" i="15"/>
  <c r="HH201" i="15"/>
  <c r="GA201" i="15" s="1"/>
  <c r="HF202" i="15"/>
  <c r="FY202" i="15" s="1"/>
  <c r="HG202" i="15"/>
  <c r="HH202" i="15"/>
  <c r="GA202" i="15" s="1"/>
  <c r="HF203" i="15"/>
  <c r="FY203" i="15" s="1"/>
  <c r="HG203" i="15"/>
  <c r="HH203" i="15"/>
  <c r="GA203" i="15" s="1"/>
  <c r="HF204" i="15"/>
  <c r="FY204" i="15" s="1"/>
  <c r="HG204" i="15"/>
  <c r="HH204" i="15"/>
  <c r="GA204" i="15" s="1"/>
  <c r="HF205" i="15"/>
  <c r="FY205" i="15" s="1"/>
  <c r="HG205" i="15"/>
  <c r="HH205" i="15"/>
  <c r="GA205" i="15" s="1"/>
  <c r="HF206" i="15"/>
  <c r="FY206" i="15" s="1"/>
  <c r="HG206" i="15"/>
  <c r="HH206" i="15"/>
  <c r="GA206" i="15" s="1"/>
  <c r="HF207" i="15"/>
  <c r="FY207" i="15" s="1"/>
  <c r="HG207" i="15"/>
  <c r="HH207" i="15"/>
  <c r="GA207" i="15" s="1"/>
  <c r="HF208" i="15"/>
  <c r="FY208" i="15" s="1"/>
  <c r="HG208" i="15"/>
  <c r="HH208" i="15"/>
  <c r="GA208" i="15" s="1"/>
  <c r="HF209" i="15"/>
  <c r="FY209" i="15" s="1"/>
  <c r="HG209" i="15"/>
  <c r="HH209" i="15"/>
  <c r="GA209" i="15" s="1"/>
  <c r="HF210" i="15"/>
  <c r="FY210" i="15" s="1"/>
  <c r="HG210" i="15"/>
  <c r="HH210" i="15"/>
  <c r="GA210" i="15" s="1"/>
  <c r="HF211" i="15"/>
  <c r="FY211" i="15" s="1"/>
  <c r="HG211" i="15"/>
  <c r="HH211" i="15"/>
  <c r="GA211" i="15" s="1"/>
  <c r="HF212" i="15"/>
  <c r="FY212" i="15" s="1"/>
  <c r="HG212" i="15"/>
  <c r="HH212" i="15"/>
  <c r="GA212" i="15" s="1"/>
  <c r="HF213" i="15"/>
  <c r="FY213" i="15" s="1"/>
  <c r="HG213" i="15"/>
  <c r="HH213" i="15"/>
  <c r="GA213" i="15" s="1"/>
  <c r="HF214" i="15"/>
  <c r="FY214" i="15" s="1"/>
  <c r="HG214" i="15"/>
  <c r="HH214" i="15"/>
  <c r="GA214" i="15" s="1"/>
  <c r="HF215" i="15"/>
  <c r="FY215" i="15" s="1"/>
  <c r="HG215" i="15"/>
  <c r="HH215" i="15"/>
  <c r="GA215" i="15" s="1"/>
  <c r="HF216" i="15"/>
  <c r="FY216" i="15" s="1"/>
  <c r="HG216" i="15"/>
  <c r="HH216" i="15"/>
  <c r="GA216" i="15" s="1"/>
  <c r="HF217" i="15"/>
  <c r="FY217" i="15" s="1"/>
  <c r="HG217" i="15"/>
  <c r="HH217" i="15"/>
  <c r="GA217" i="15" s="1"/>
  <c r="HF218" i="15"/>
  <c r="FY218" i="15" s="1"/>
  <c r="HG218" i="15"/>
  <c r="HH218" i="15"/>
  <c r="GA218" i="15" s="1"/>
  <c r="HF219" i="15"/>
  <c r="FY219" i="15" s="1"/>
  <c r="HG219" i="15"/>
  <c r="HH219" i="15"/>
  <c r="GA219" i="15" s="1"/>
  <c r="HF220" i="15"/>
  <c r="FY220" i="15" s="1"/>
  <c r="HG220" i="15"/>
  <c r="HH220" i="15"/>
  <c r="GA220" i="15" s="1"/>
  <c r="HF221" i="15"/>
  <c r="FY221" i="15" s="1"/>
  <c r="HG221" i="15"/>
  <c r="HH221" i="15"/>
  <c r="GA221" i="15" s="1"/>
  <c r="HF222" i="15"/>
  <c r="FY222" i="15" s="1"/>
  <c r="HG222" i="15"/>
  <c r="HH222" i="15"/>
  <c r="GA222" i="15" s="1"/>
  <c r="HF223" i="15"/>
  <c r="FY223" i="15" s="1"/>
  <c r="HG223" i="15"/>
  <c r="HH223" i="15"/>
  <c r="GA223" i="15" s="1"/>
  <c r="HF224" i="15"/>
  <c r="FY224" i="15" s="1"/>
  <c r="HG224" i="15"/>
  <c r="HH224" i="15"/>
  <c r="GA224" i="15" s="1"/>
  <c r="HF225" i="15"/>
  <c r="FY225" i="15" s="1"/>
  <c r="HG225" i="15"/>
  <c r="HH225" i="15"/>
  <c r="GA225" i="15" s="1"/>
  <c r="HF226" i="15"/>
  <c r="FY226" i="15" s="1"/>
  <c r="HG226" i="15"/>
  <c r="HH226" i="15"/>
  <c r="GA226" i="15" s="1"/>
  <c r="HF227" i="15"/>
  <c r="FY227" i="15" s="1"/>
  <c r="HG227" i="15"/>
  <c r="HH227" i="15"/>
  <c r="GA227" i="15" s="1"/>
  <c r="HF228" i="15"/>
  <c r="FY228" i="15" s="1"/>
  <c r="HG228" i="15"/>
  <c r="HH228" i="15"/>
  <c r="GA228" i="15" s="1"/>
  <c r="HF229" i="15"/>
  <c r="FY229" i="15" s="1"/>
  <c r="HG229" i="15"/>
  <c r="HH229" i="15"/>
  <c r="GA229" i="15" s="1"/>
  <c r="HF230" i="15"/>
  <c r="FY230" i="15" s="1"/>
  <c r="HG230" i="15"/>
  <c r="HH230" i="15"/>
  <c r="GA230" i="15" s="1"/>
  <c r="HF231" i="15"/>
  <c r="FY231" i="15" s="1"/>
  <c r="HG231" i="15"/>
  <c r="HH231" i="15"/>
  <c r="GA231" i="15" s="1"/>
  <c r="HF232" i="15"/>
  <c r="FY232" i="15" s="1"/>
  <c r="HG232" i="15"/>
  <c r="HH232" i="15"/>
  <c r="GA232" i="15" s="1"/>
  <c r="HF233" i="15"/>
  <c r="FY233" i="15" s="1"/>
  <c r="HG233" i="15"/>
  <c r="HH233" i="15"/>
  <c r="GA233" i="15" s="1"/>
  <c r="HF234" i="15"/>
  <c r="FY234" i="15" s="1"/>
  <c r="HG234" i="15"/>
  <c r="HH234" i="15"/>
  <c r="GA234" i="15" s="1"/>
  <c r="HF235" i="15"/>
  <c r="FY235" i="15" s="1"/>
  <c r="HG235" i="15"/>
  <c r="HH235" i="15"/>
  <c r="GA235" i="15" s="1"/>
  <c r="HF236" i="15"/>
  <c r="FY236" i="15" s="1"/>
  <c r="HG236" i="15"/>
  <c r="HH236" i="15"/>
  <c r="GA236" i="15" s="1"/>
  <c r="HF237" i="15"/>
  <c r="FY237" i="15" s="1"/>
  <c r="HG237" i="15"/>
  <c r="HH237" i="15"/>
  <c r="GA237" i="15" s="1"/>
  <c r="HF238" i="15"/>
  <c r="FY238" i="15" s="1"/>
  <c r="HG238" i="15"/>
  <c r="HH238" i="15"/>
  <c r="GA238" i="15" s="1"/>
  <c r="HF239" i="15"/>
  <c r="FY239" i="15" s="1"/>
  <c r="HG239" i="15"/>
  <c r="HH239" i="15"/>
  <c r="GA239" i="15" s="1"/>
  <c r="HF240" i="15"/>
  <c r="FY240" i="15" s="1"/>
  <c r="HG240" i="15"/>
  <c r="HH240" i="15"/>
  <c r="GA240" i="15" s="1"/>
  <c r="HF241" i="15"/>
  <c r="FY241" i="15" s="1"/>
  <c r="HG241" i="15"/>
  <c r="HH241" i="15"/>
  <c r="GA241" i="15" s="1"/>
  <c r="HF242" i="15"/>
  <c r="FY242" i="15" s="1"/>
  <c r="HG242" i="15"/>
  <c r="HH242" i="15"/>
  <c r="GA242" i="15" s="1"/>
  <c r="HF243" i="15"/>
  <c r="FY243" i="15" s="1"/>
  <c r="HG243" i="15"/>
  <c r="HH243" i="15"/>
  <c r="GA243" i="15" s="1"/>
  <c r="HF244" i="15"/>
  <c r="FY244" i="15" s="1"/>
  <c r="HG244" i="15"/>
  <c r="HH244" i="15"/>
  <c r="GA244" i="15" s="1"/>
  <c r="HF245" i="15"/>
  <c r="FY245" i="15" s="1"/>
  <c r="HG245" i="15"/>
  <c r="HH245" i="15"/>
  <c r="GA245" i="15" s="1"/>
  <c r="HF246" i="15"/>
  <c r="FY246" i="15" s="1"/>
  <c r="HG246" i="15"/>
  <c r="HH246" i="15"/>
  <c r="GA246" i="15" s="1"/>
  <c r="HF247" i="15"/>
  <c r="FY247" i="15" s="1"/>
  <c r="HG247" i="15"/>
  <c r="HH247" i="15"/>
  <c r="GA247" i="15" s="1"/>
  <c r="HF248" i="15"/>
  <c r="FY248" i="15" s="1"/>
  <c r="HG248" i="15"/>
  <c r="HH248" i="15"/>
  <c r="GA248" i="15" s="1"/>
  <c r="HF249" i="15"/>
  <c r="FY249" i="15" s="1"/>
  <c r="HG249" i="15"/>
  <c r="HH249" i="15"/>
  <c r="GA249" i="15" s="1"/>
  <c r="HF250" i="15"/>
  <c r="FY250" i="15" s="1"/>
  <c r="HG250" i="15"/>
  <c r="HH250" i="15"/>
  <c r="GA250" i="15" s="1"/>
  <c r="HF251" i="15"/>
  <c r="FY251" i="15" s="1"/>
  <c r="HG251" i="15"/>
  <c r="HH251" i="15"/>
  <c r="GA251" i="15" s="1"/>
  <c r="HF252" i="15"/>
  <c r="FY252" i="15" s="1"/>
  <c r="HG252" i="15"/>
  <c r="HH252" i="15"/>
  <c r="GA252" i="15" s="1"/>
  <c r="HF253" i="15"/>
  <c r="FY253" i="15" s="1"/>
  <c r="HG253" i="15"/>
  <c r="HH253" i="15"/>
  <c r="GA253" i="15" s="1"/>
  <c r="HF254" i="15"/>
  <c r="FY254" i="15" s="1"/>
  <c r="HG254" i="15"/>
  <c r="HH254" i="15"/>
  <c r="GA254" i="15" s="1"/>
  <c r="HF255" i="15"/>
  <c r="FY255" i="15" s="1"/>
  <c r="HG255" i="15"/>
  <c r="HH255" i="15"/>
  <c r="GA255" i="15" s="1"/>
  <c r="HF256" i="15"/>
  <c r="FY256" i="15" s="1"/>
  <c r="HG256" i="15"/>
  <c r="HH256" i="15"/>
  <c r="GA256" i="15" s="1"/>
  <c r="HF257" i="15"/>
  <c r="FY257" i="15" s="1"/>
  <c r="HG257" i="15"/>
  <c r="HH257" i="15"/>
  <c r="GA257" i="15" s="1"/>
  <c r="HF258" i="15"/>
  <c r="FY258" i="15" s="1"/>
  <c r="HG258" i="15"/>
  <c r="HH258" i="15"/>
  <c r="GA258" i="15" s="1"/>
  <c r="HF259" i="15"/>
  <c r="FY259" i="15" s="1"/>
  <c r="HG259" i="15"/>
  <c r="HH259" i="15"/>
  <c r="GA259" i="15" s="1"/>
  <c r="HF260" i="15"/>
  <c r="FY260" i="15" s="1"/>
  <c r="HG260" i="15"/>
  <c r="HH260" i="15"/>
  <c r="GA260" i="15" s="1"/>
  <c r="HF261" i="15"/>
  <c r="FY261" i="15" s="1"/>
  <c r="HG261" i="15"/>
  <c r="HH261" i="15"/>
  <c r="GA261" i="15" s="1"/>
  <c r="HF262" i="15"/>
  <c r="FY262" i="15" s="1"/>
  <c r="HG262" i="15"/>
  <c r="HH262" i="15"/>
  <c r="GA262" i="15" s="1"/>
  <c r="HF263" i="15"/>
  <c r="FY263" i="15" s="1"/>
  <c r="HG263" i="15"/>
  <c r="HH263" i="15"/>
  <c r="GA263" i="15" s="1"/>
  <c r="HF264" i="15"/>
  <c r="FY264" i="15" s="1"/>
  <c r="HG264" i="15"/>
  <c r="HH264" i="15"/>
  <c r="GA264" i="15" s="1"/>
  <c r="HF265" i="15"/>
  <c r="FY265" i="15" s="1"/>
  <c r="HG265" i="15"/>
  <c r="HH265" i="15"/>
  <c r="GA265" i="15" s="1"/>
  <c r="HF266" i="15"/>
  <c r="FY266" i="15" s="1"/>
  <c r="HG266" i="15"/>
  <c r="HH266" i="15"/>
  <c r="GA266" i="15" s="1"/>
  <c r="HF267" i="15"/>
  <c r="FY267" i="15" s="1"/>
  <c r="HG267" i="15"/>
  <c r="HH267" i="15"/>
  <c r="GA267" i="15" s="1"/>
  <c r="HF268" i="15"/>
  <c r="FY268" i="15" s="1"/>
  <c r="HG268" i="15"/>
  <c r="HH268" i="15"/>
  <c r="GA268" i="15" s="1"/>
  <c r="HF269" i="15"/>
  <c r="FY269" i="15" s="1"/>
  <c r="HG269" i="15"/>
  <c r="HH269" i="15"/>
  <c r="GA269" i="15" s="1"/>
  <c r="HF270" i="15"/>
  <c r="FY270" i="15" s="1"/>
  <c r="HG270" i="15"/>
  <c r="HH270" i="15"/>
  <c r="GA270" i="15" s="1"/>
  <c r="HF271" i="15"/>
  <c r="FY271" i="15" s="1"/>
  <c r="HG271" i="15"/>
  <c r="HH271" i="15"/>
  <c r="GA271" i="15" s="1"/>
  <c r="HF272" i="15"/>
  <c r="FY272" i="15" s="1"/>
  <c r="HG272" i="15"/>
  <c r="HH272" i="15"/>
  <c r="GA272" i="15" s="1"/>
  <c r="HF273" i="15"/>
  <c r="FY273" i="15" s="1"/>
  <c r="HG273" i="15"/>
  <c r="HH273" i="15"/>
  <c r="GA273" i="15" s="1"/>
  <c r="HF274" i="15"/>
  <c r="FY274" i="15" s="1"/>
  <c r="HG274" i="15"/>
  <c r="HH274" i="15"/>
  <c r="GA274" i="15" s="1"/>
  <c r="HF275" i="15"/>
  <c r="FY275" i="15" s="1"/>
  <c r="HG275" i="15"/>
  <c r="HH275" i="15"/>
  <c r="GA275" i="15" s="1"/>
  <c r="HF276" i="15"/>
  <c r="FY276" i="15" s="1"/>
  <c r="HG276" i="15"/>
  <c r="HH276" i="15"/>
  <c r="GA276" i="15" s="1"/>
  <c r="HF277" i="15"/>
  <c r="FY277" i="15" s="1"/>
  <c r="HG277" i="15"/>
  <c r="HH277" i="15"/>
  <c r="GA277" i="15" s="1"/>
  <c r="HF278" i="15"/>
  <c r="FY278" i="15" s="1"/>
  <c r="HG278" i="15"/>
  <c r="HH278" i="15"/>
  <c r="GA278" i="15" s="1"/>
  <c r="HF279" i="15"/>
  <c r="FY279" i="15" s="1"/>
  <c r="HG279" i="15"/>
  <c r="HH279" i="15"/>
  <c r="GA279" i="15" s="1"/>
  <c r="HF280" i="15"/>
  <c r="FY280" i="15" s="1"/>
  <c r="HG280" i="15"/>
  <c r="HH280" i="15"/>
  <c r="GA280" i="15" s="1"/>
  <c r="HF281" i="15"/>
  <c r="FY281" i="15" s="1"/>
  <c r="HG281" i="15"/>
  <c r="HH281" i="15"/>
  <c r="GA281" i="15" s="1"/>
  <c r="HF282" i="15"/>
  <c r="FY282" i="15" s="1"/>
  <c r="HG282" i="15"/>
  <c r="HH282" i="15"/>
  <c r="GA282" i="15" s="1"/>
  <c r="HF283" i="15"/>
  <c r="FY283" i="15" s="1"/>
  <c r="HG283" i="15"/>
  <c r="HH283" i="15"/>
  <c r="GA283" i="15" s="1"/>
  <c r="HF284" i="15"/>
  <c r="FY284" i="15" s="1"/>
  <c r="HG284" i="15"/>
  <c r="HH284" i="15"/>
  <c r="GA284" i="15" s="1"/>
  <c r="HF285" i="15"/>
  <c r="FY285" i="15" s="1"/>
  <c r="HG285" i="15"/>
  <c r="HH285" i="15"/>
  <c r="GA285" i="15" s="1"/>
  <c r="HF286" i="15"/>
  <c r="FY286" i="15" s="1"/>
  <c r="HG286" i="15"/>
  <c r="HH286" i="15"/>
  <c r="GA286" i="15" s="1"/>
  <c r="HF287" i="15"/>
  <c r="FY287" i="15" s="1"/>
  <c r="HG287" i="15"/>
  <c r="HH287" i="15"/>
  <c r="GA287" i="15" s="1"/>
  <c r="HF288" i="15"/>
  <c r="FY288" i="15" s="1"/>
  <c r="HG288" i="15"/>
  <c r="HH288" i="15"/>
  <c r="GA288" i="15" s="1"/>
  <c r="HF289" i="15"/>
  <c r="FY289" i="15" s="1"/>
  <c r="HG289" i="15"/>
  <c r="HH289" i="15"/>
  <c r="GA289" i="15" s="1"/>
  <c r="HF290" i="15"/>
  <c r="FY290" i="15" s="1"/>
  <c r="HG290" i="15"/>
  <c r="HH290" i="15"/>
  <c r="GA290" i="15" s="1"/>
  <c r="HF291" i="15"/>
  <c r="FY291" i="15" s="1"/>
  <c r="HG291" i="15"/>
  <c r="HH291" i="15"/>
  <c r="GA291" i="15" s="1"/>
  <c r="HF292" i="15"/>
  <c r="FY292" i="15" s="1"/>
  <c r="HG292" i="15"/>
  <c r="HH292" i="15"/>
  <c r="GA292" i="15" s="1"/>
  <c r="HF293" i="15"/>
  <c r="FY293" i="15" s="1"/>
  <c r="HG293" i="15"/>
  <c r="HH293" i="15"/>
  <c r="GA293" i="15" s="1"/>
  <c r="HF294" i="15"/>
  <c r="FY294" i="15" s="1"/>
  <c r="HG294" i="15"/>
  <c r="HH294" i="15"/>
  <c r="GA294" i="15" s="1"/>
  <c r="HF295" i="15"/>
  <c r="FY295" i="15" s="1"/>
  <c r="HG295" i="15"/>
  <c r="HH295" i="15"/>
  <c r="GA295" i="15" s="1"/>
  <c r="HF296" i="15"/>
  <c r="FY296" i="15" s="1"/>
  <c r="HG296" i="15"/>
  <c r="HH296" i="15"/>
  <c r="GA296" i="15" s="1"/>
  <c r="HF297" i="15"/>
  <c r="FY297" i="15" s="1"/>
  <c r="HG297" i="15"/>
  <c r="HH297" i="15"/>
  <c r="GA297" i="15" s="1"/>
  <c r="HF298" i="15"/>
  <c r="FY298" i="15" s="1"/>
  <c r="HG298" i="15"/>
  <c r="HH298" i="15"/>
  <c r="GA298" i="15" s="1"/>
  <c r="HF299" i="15"/>
  <c r="FY299" i="15" s="1"/>
  <c r="HG299" i="15"/>
  <c r="HH299" i="15"/>
  <c r="GA299" i="15" s="1"/>
  <c r="HF300" i="15"/>
  <c r="FY300" i="15" s="1"/>
  <c r="HG300" i="15"/>
  <c r="HH300" i="15"/>
  <c r="GA300" i="15" s="1"/>
  <c r="HF301" i="15"/>
  <c r="FY301" i="15" s="1"/>
  <c r="HG301" i="15"/>
  <c r="HH301" i="15"/>
  <c r="GA301" i="15" s="1"/>
  <c r="HF302" i="15"/>
  <c r="FY302" i="15" s="1"/>
  <c r="HG302" i="15"/>
  <c r="HH302" i="15"/>
  <c r="GA302" i="15" s="1"/>
  <c r="HF303" i="15"/>
  <c r="FY303" i="15" s="1"/>
  <c r="HG303" i="15"/>
  <c r="HH303" i="15"/>
  <c r="GA303" i="15" s="1"/>
  <c r="HF304" i="15"/>
  <c r="FY304" i="15" s="1"/>
  <c r="HG304" i="15"/>
  <c r="HH304" i="15"/>
  <c r="GA304" i="15" s="1"/>
  <c r="HF305" i="15"/>
  <c r="FY305" i="15" s="1"/>
  <c r="HG305" i="15"/>
  <c r="HH305" i="15"/>
  <c r="GA305" i="15" s="1"/>
  <c r="HF306" i="15"/>
  <c r="FY306" i="15" s="1"/>
  <c r="HG306" i="15"/>
  <c r="HH306" i="15"/>
  <c r="GA306" i="15" s="1"/>
  <c r="HF307" i="15"/>
  <c r="FY307" i="15" s="1"/>
  <c r="HG307" i="15"/>
  <c r="HH307" i="15"/>
  <c r="GA307" i="15" s="1"/>
  <c r="HF308" i="15"/>
  <c r="FY308" i="15" s="1"/>
  <c r="HG308" i="15"/>
  <c r="HH308" i="15"/>
  <c r="GA308" i="15" s="1"/>
  <c r="HF309" i="15"/>
  <c r="FY309" i="15" s="1"/>
  <c r="HG309" i="15"/>
  <c r="HH309" i="15"/>
  <c r="GA309" i="15" s="1"/>
  <c r="HF310" i="15"/>
  <c r="FY310" i="15" s="1"/>
  <c r="HG310" i="15"/>
  <c r="HH310" i="15"/>
  <c r="GA310" i="15" s="1"/>
  <c r="HF311" i="15"/>
  <c r="FY311" i="15" s="1"/>
  <c r="HG311" i="15"/>
  <c r="HH311" i="15"/>
  <c r="GA311" i="15" s="1"/>
  <c r="HF312" i="15"/>
  <c r="FY312" i="15" s="1"/>
  <c r="HG312" i="15"/>
  <c r="HH312" i="15"/>
  <c r="GA312" i="15" s="1"/>
  <c r="HF313" i="15"/>
  <c r="FY313" i="15" s="1"/>
  <c r="HG313" i="15"/>
  <c r="HH313" i="15"/>
  <c r="GA313" i="15" s="1"/>
  <c r="HF314" i="15"/>
  <c r="FY314" i="15" s="1"/>
  <c r="HG314" i="15"/>
  <c r="HH314" i="15"/>
  <c r="GA314" i="15" s="1"/>
  <c r="HF315" i="15"/>
  <c r="FY315" i="15" s="1"/>
  <c r="HG315" i="15"/>
  <c r="HH315" i="15"/>
  <c r="GA315" i="15" s="1"/>
  <c r="HF316" i="15"/>
  <c r="FY316" i="15" s="1"/>
  <c r="HG316" i="15"/>
  <c r="HH316" i="15"/>
  <c r="GA316" i="15" s="1"/>
  <c r="HF317" i="15"/>
  <c r="FY317" i="15" s="1"/>
  <c r="HG317" i="15"/>
  <c r="HH317" i="15"/>
  <c r="GA317" i="15" s="1"/>
  <c r="HF318" i="15"/>
  <c r="FY318" i="15" s="1"/>
  <c r="HG318" i="15"/>
  <c r="HH318" i="15"/>
  <c r="GA318" i="15" s="1"/>
  <c r="HF319" i="15"/>
  <c r="FY319" i="15" s="1"/>
  <c r="HG319" i="15"/>
  <c r="HH319" i="15"/>
  <c r="GA319" i="15" s="1"/>
  <c r="HF320" i="15"/>
  <c r="FY320" i="15" s="1"/>
  <c r="HG320" i="15"/>
  <c r="HH320" i="15"/>
  <c r="GA320" i="15" s="1"/>
  <c r="HF321" i="15"/>
  <c r="FY321" i="15" s="1"/>
  <c r="HG321" i="15"/>
  <c r="HH321" i="15"/>
  <c r="GA321" i="15" s="1"/>
  <c r="HF322" i="15"/>
  <c r="FY322" i="15" s="1"/>
  <c r="HG322" i="15"/>
  <c r="HH322" i="15"/>
  <c r="GA322" i="15" s="1"/>
  <c r="HF323" i="15"/>
  <c r="FY323" i="15" s="1"/>
  <c r="HG323" i="15"/>
  <c r="HH323" i="15"/>
  <c r="GA323" i="15" s="1"/>
  <c r="HF324" i="15"/>
  <c r="FY324" i="15" s="1"/>
  <c r="HG324" i="15"/>
  <c r="HH324" i="15"/>
  <c r="GA324" i="15" s="1"/>
  <c r="HF325" i="15"/>
  <c r="FY325" i="15" s="1"/>
  <c r="HG325" i="15"/>
  <c r="HH325" i="15"/>
  <c r="GA325" i="15" s="1"/>
  <c r="HF326" i="15"/>
  <c r="FY326" i="15" s="1"/>
  <c r="HG326" i="15"/>
  <c r="HH326" i="15"/>
  <c r="GA326" i="15" s="1"/>
  <c r="HF327" i="15"/>
  <c r="FY327" i="15" s="1"/>
  <c r="HG327" i="15"/>
  <c r="HH327" i="15"/>
  <c r="GA327" i="15" s="1"/>
  <c r="HF328" i="15"/>
  <c r="FY328" i="15" s="1"/>
  <c r="HG328" i="15"/>
  <c r="HH328" i="15"/>
  <c r="GA328" i="15" s="1"/>
  <c r="HF329" i="15"/>
  <c r="FY329" i="15" s="1"/>
  <c r="HG329" i="15"/>
  <c r="HH329" i="15"/>
  <c r="GA329" i="15" s="1"/>
  <c r="HF330" i="15"/>
  <c r="FY330" i="15" s="1"/>
  <c r="HG330" i="15"/>
  <c r="HH330" i="15"/>
  <c r="GA330" i="15" s="1"/>
  <c r="HF331" i="15"/>
  <c r="FY331" i="15" s="1"/>
  <c r="HG331" i="15"/>
  <c r="HH331" i="15"/>
  <c r="GA331" i="15" s="1"/>
  <c r="HF332" i="15"/>
  <c r="FY332" i="15" s="1"/>
  <c r="HG332" i="15"/>
  <c r="HH332" i="15"/>
  <c r="GA332" i="15" s="1"/>
  <c r="HF333" i="15"/>
  <c r="FY333" i="15" s="1"/>
  <c r="HG333" i="15"/>
  <c r="HH333" i="15"/>
  <c r="GA333" i="15" s="1"/>
  <c r="HF334" i="15"/>
  <c r="FY334" i="15" s="1"/>
  <c r="HG334" i="15"/>
  <c r="HH334" i="15"/>
  <c r="GA334" i="15" s="1"/>
  <c r="HF335" i="15"/>
  <c r="FY335" i="15" s="1"/>
  <c r="HG335" i="15"/>
  <c r="HH335" i="15"/>
  <c r="GA335" i="15" s="1"/>
  <c r="HF336" i="15"/>
  <c r="FY336" i="15" s="1"/>
  <c r="HG336" i="15"/>
  <c r="HH336" i="15"/>
  <c r="GA336" i="15" s="1"/>
  <c r="HF337" i="15"/>
  <c r="FY337" i="15" s="1"/>
  <c r="HG337" i="15"/>
  <c r="HH337" i="15"/>
  <c r="GA337" i="15" s="1"/>
  <c r="HF338" i="15"/>
  <c r="FY338" i="15" s="1"/>
  <c r="HG338" i="15"/>
  <c r="HH338" i="15"/>
  <c r="GA338" i="15" s="1"/>
  <c r="HF339" i="15"/>
  <c r="FY339" i="15" s="1"/>
  <c r="HG339" i="15"/>
  <c r="HH339" i="15"/>
  <c r="GA339" i="15" s="1"/>
  <c r="HF340" i="15"/>
  <c r="FY340" i="15" s="1"/>
  <c r="HG340" i="15"/>
  <c r="HH340" i="15"/>
  <c r="GA340" i="15" s="1"/>
  <c r="HF341" i="15"/>
  <c r="FY341" i="15" s="1"/>
  <c r="HG341" i="15"/>
  <c r="HH341" i="15"/>
  <c r="GA341" i="15" s="1"/>
  <c r="HF342" i="15"/>
  <c r="FY342" i="15" s="1"/>
  <c r="HG342" i="15"/>
  <c r="HH342" i="15"/>
  <c r="GA342" i="15" s="1"/>
  <c r="HF343" i="15"/>
  <c r="FY343" i="15" s="1"/>
  <c r="HG343" i="15"/>
  <c r="HH343" i="15"/>
  <c r="GA343" i="15" s="1"/>
  <c r="HF344" i="15"/>
  <c r="FY344" i="15" s="1"/>
  <c r="HG344" i="15"/>
  <c r="HH344" i="15"/>
  <c r="GA344" i="15" s="1"/>
  <c r="HF345" i="15"/>
  <c r="FY345" i="15" s="1"/>
  <c r="HG345" i="15"/>
  <c r="HH345" i="15"/>
  <c r="GA345" i="15" s="1"/>
  <c r="HF346" i="15"/>
  <c r="FY346" i="15" s="1"/>
  <c r="HG346" i="15"/>
  <c r="HH346" i="15"/>
  <c r="GA346" i="15" s="1"/>
  <c r="HF347" i="15"/>
  <c r="FY347" i="15" s="1"/>
  <c r="HG347" i="15"/>
  <c r="HH347" i="15"/>
  <c r="GA347" i="15" s="1"/>
  <c r="HF348" i="15"/>
  <c r="FY348" i="15" s="1"/>
  <c r="HG348" i="15"/>
  <c r="HH348" i="15"/>
  <c r="GA348" i="15" s="1"/>
  <c r="HF349" i="15"/>
  <c r="FY349" i="15" s="1"/>
  <c r="HG349" i="15"/>
  <c r="HH349" i="15"/>
  <c r="GA349" i="15" s="1"/>
  <c r="HH22" i="15"/>
  <c r="HG22" i="15"/>
  <c r="HF22" i="15"/>
  <c r="GY22" i="15"/>
  <c r="GX22" i="15"/>
  <c r="P9" i="92"/>
  <c r="Q9" i="92"/>
  <c r="O9" i="92"/>
  <c r="C4" i="93"/>
  <c r="C5" i="93"/>
  <c r="C6" i="93"/>
  <c r="C7" i="93"/>
  <c r="C8" i="93"/>
  <c r="C9" i="93"/>
  <c r="C10" i="93"/>
  <c r="C11" i="93"/>
  <c r="C12" i="93"/>
  <c r="C13" i="93"/>
  <c r="C14" i="93"/>
  <c r="C15" i="93"/>
  <c r="C16" i="93"/>
  <c r="C17" i="93"/>
  <c r="C18" i="93"/>
  <c r="C19" i="93"/>
  <c r="C20" i="93"/>
  <c r="C21" i="93"/>
  <c r="C22" i="93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C41" i="93"/>
  <c r="C42" i="93"/>
  <c r="C43" i="93"/>
  <c r="A4" i="93"/>
  <c r="A5" i="93"/>
  <c r="A6" i="93"/>
  <c r="A7" i="93"/>
  <c r="A8" i="93"/>
  <c r="A9" i="93"/>
  <c r="A10" i="93"/>
  <c r="A11" i="93"/>
  <c r="A12" i="93"/>
  <c r="A13" i="93"/>
  <c r="A14" i="93"/>
  <c r="A15" i="93"/>
  <c r="A16" i="93"/>
  <c r="A17" i="93"/>
  <c r="A18" i="93"/>
  <c r="A19" i="93"/>
  <c r="A20" i="93"/>
  <c r="A21" i="93"/>
  <c r="A22" i="93"/>
  <c r="A23" i="93"/>
  <c r="A24" i="93"/>
  <c r="A25" i="93"/>
  <c r="A26" i="93"/>
  <c r="A27" i="93"/>
  <c r="A28" i="93"/>
  <c r="A29" i="93"/>
  <c r="A30" i="93"/>
  <c r="A31" i="93"/>
  <c r="A32" i="93"/>
  <c r="A33" i="93"/>
  <c r="A34" i="93"/>
  <c r="A35" i="93"/>
  <c r="A36" i="93"/>
  <c r="A37" i="93"/>
  <c r="A38" i="93"/>
  <c r="A39" i="93"/>
  <c r="A40" i="93"/>
  <c r="A41" i="93"/>
  <c r="A42" i="93"/>
  <c r="A43" i="93"/>
  <c r="C3" i="93"/>
  <c r="B3" i="93"/>
  <c r="A3" i="93"/>
  <c r="B4" i="93"/>
  <c r="AY23" i="15"/>
  <c r="AZ23" i="15"/>
  <c r="BA23" i="15"/>
  <c r="B5" i="93"/>
  <c r="AY24" i="15"/>
  <c r="AZ24" i="15"/>
  <c r="BA24" i="15"/>
  <c r="B6" i="93"/>
  <c r="AY25" i="15"/>
  <c r="AZ25" i="15"/>
  <c r="BA25" i="15"/>
  <c r="B7" i="93"/>
  <c r="AY26" i="15"/>
  <c r="AZ26" i="15"/>
  <c r="BA26" i="15"/>
  <c r="B8" i="93"/>
  <c r="AY27" i="15"/>
  <c r="AZ27" i="15"/>
  <c r="BA27" i="15"/>
  <c r="B9" i="93"/>
  <c r="AY28" i="15"/>
  <c r="AZ28" i="15"/>
  <c r="BA28" i="15"/>
  <c r="B10" i="93"/>
  <c r="AY29" i="15"/>
  <c r="AZ29" i="15"/>
  <c r="BA29" i="15"/>
  <c r="B11" i="93"/>
  <c r="AY30" i="15"/>
  <c r="AZ30" i="15"/>
  <c r="BA30" i="15"/>
  <c r="B12" i="93"/>
  <c r="AY31" i="15"/>
  <c r="AZ31" i="15"/>
  <c r="BA31" i="15"/>
  <c r="B13" i="93"/>
  <c r="AY32" i="15"/>
  <c r="AZ32" i="15"/>
  <c r="BA32" i="15"/>
  <c r="B14" i="93"/>
  <c r="AY33" i="15"/>
  <c r="AZ33" i="15"/>
  <c r="BA33" i="15"/>
  <c r="B15" i="93"/>
  <c r="B16" i="93"/>
  <c r="B17" i="93"/>
  <c r="B18" i="93"/>
  <c r="B19" i="93"/>
  <c r="B20" i="93"/>
  <c r="B21" i="93"/>
  <c r="B22" i="93"/>
  <c r="B23" i="93"/>
  <c r="B24" i="93"/>
  <c r="B25" i="93"/>
  <c r="B26" i="93"/>
  <c r="B27" i="93"/>
  <c r="B28" i="93"/>
  <c r="B29" i="93"/>
  <c r="B30" i="93"/>
  <c r="B31" i="93"/>
  <c r="B32" i="93"/>
  <c r="B33" i="93"/>
  <c r="B34" i="93"/>
  <c r="B35" i="93"/>
  <c r="B36" i="93"/>
  <c r="B37" i="93"/>
  <c r="B38" i="93"/>
  <c r="B39" i="93"/>
  <c r="B40" i="93"/>
  <c r="B41" i="93"/>
  <c r="B42" i="93"/>
  <c r="B43" i="93"/>
  <c r="H44" i="93"/>
  <c r="I44" i="93"/>
  <c r="J44" i="93"/>
  <c r="AZ22" i="15"/>
  <c r="BA22" i="15"/>
  <c r="BC103" i="15"/>
  <c r="BC112" i="15"/>
  <c r="BC128" i="15"/>
  <c r="BC129" i="15"/>
  <c r="BC130" i="15"/>
  <c r="BC131" i="15"/>
  <c r="BC132" i="15"/>
  <c r="BC133" i="15"/>
  <c r="BC134" i="15"/>
  <c r="BC135" i="15"/>
  <c r="BC136" i="15"/>
  <c r="BC137" i="15"/>
  <c r="BC138" i="15"/>
  <c r="BC139" i="15"/>
  <c r="BC140" i="15"/>
  <c r="BC141" i="15"/>
  <c r="BC142" i="15"/>
  <c r="BC143" i="15"/>
  <c r="BC144" i="15"/>
  <c r="BC145" i="15"/>
  <c r="BC146" i="15"/>
  <c r="BC147" i="15"/>
  <c r="BC148" i="15"/>
  <c r="BC149" i="15"/>
  <c r="BC150" i="15"/>
  <c r="BC151" i="15"/>
  <c r="BC152" i="15"/>
  <c r="BC153" i="15"/>
  <c r="BC154" i="15"/>
  <c r="BC155" i="15"/>
  <c r="BC156" i="15"/>
  <c r="BC157" i="15"/>
  <c r="BC158" i="15"/>
  <c r="BC159" i="15"/>
  <c r="BC160" i="15"/>
  <c r="BC161" i="15"/>
  <c r="BC162" i="15"/>
  <c r="BC163" i="15"/>
  <c r="BC164" i="15"/>
  <c r="BC165" i="15"/>
  <c r="BC166" i="15"/>
  <c r="BC167" i="15"/>
  <c r="BC168" i="15"/>
  <c r="BC169" i="15"/>
  <c r="BC170" i="15"/>
  <c r="BC171" i="15"/>
  <c r="BC172" i="15"/>
  <c r="BC173" i="15"/>
  <c r="BC174" i="15"/>
  <c r="BC175" i="15"/>
  <c r="BC176" i="15"/>
  <c r="BC177" i="15"/>
  <c r="BC178" i="15"/>
  <c r="BC179" i="15"/>
  <c r="BC180" i="15"/>
  <c r="BC181" i="15"/>
  <c r="BC182" i="15"/>
  <c r="BC183" i="15"/>
  <c r="BC184" i="15"/>
  <c r="BC185" i="15"/>
  <c r="BC186" i="15"/>
  <c r="BC187" i="15"/>
  <c r="BC188" i="15"/>
  <c r="BC189" i="15"/>
  <c r="BC190" i="15"/>
  <c r="BC191" i="15"/>
  <c r="BC192" i="15"/>
  <c r="BC193" i="15"/>
  <c r="BC194" i="15"/>
  <c r="BC195" i="15"/>
  <c r="BC196" i="15"/>
  <c r="BC197" i="15"/>
  <c r="BC198" i="15"/>
  <c r="BC199" i="15"/>
  <c r="BC200" i="15"/>
  <c r="BC201" i="15"/>
  <c r="BC202" i="15"/>
  <c r="BC203" i="15"/>
  <c r="BC204" i="15"/>
  <c r="BC205" i="15"/>
  <c r="BC206" i="15"/>
  <c r="BC207" i="15"/>
  <c r="BC208" i="15"/>
  <c r="BC209" i="15"/>
  <c r="BC210" i="15"/>
  <c r="BC211" i="15"/>
  <c r="BC212" i="15"/>
  <c r="BC213" i="15"/>
  <c r="BC214" i="15"/>
  <c r="BC215" i="15"/>
  <c r="BC216" i="15"/>
  <c r="BC217" i="15"/>
  <c r="BC218" i="15"/>
  <c r="BC219" i="15"/>
  <c r="BC220" i="15"/>
  <c r="BC221" i="15"/>
  <c r="BC222" i="15"/>
  <c r="BC223" i="15"/>
  <c r="BC224" i="15"/>
  <c r="BC225" i="15"/>
  <c r="BC226" i="15"/>
  <c r="BC227" i="15"/>
  <c r="BC228" i="15"/>
  <c r="BC229" i="15"/>
  <c r="BC230" i="15"/>
  <c r="BC231" i="15"/>
  <c r="BC232" i="15"/>
  <c r="BC233" i="15"/>
  <c r="BC234" i="15"/>
  <c r="BC235" i="15"/>
  <c r="BC236" i="15"/>
  <c r="BC237" i="15"/>
  <c r="BC238" i="15"/>
  <c r="BC239" i="15"/>
  <c r="BC240" i="15"/>
  <c r="BC241" i="15"/>
  <c r="BC242" i="15"/>
  <c r="BC243" i="15"/>
  <c r="BC244" i="15"/>
  <c r="BC245" i="15"/>
  <c r="BC246" i="15"/>
  <c r="BC247" i="15"/>
  <c r="BC248" i="15"/>
  <c r="BC249" i="15"/>
  <c r="BC250" i="15"/>
  <c r="BC251" i="15"/>
  <c r="BC252" i="15"/>
  <c r="BC253" i="15"/>
  <c r="BC254" i="15"/>
  <c r="BC255" i="15"/>
  <c r="BC256" i="15"/>
  <c r="BC257" i="15"/>
  <c r="BC258" i="15"/>
  <c r="BC259" i="15"/>
  <c r="BC260" i="15"/>
  <c r="BC261" i="15"/>
  <c r="BC262" i="15"/>
  <c r="BC263" i="15"/>
  <c r="BC264" i="15"/>
  <c r="BC265" i="15"/>
  <c r="BC266" i="15"/>
  <c r="BC267" i="15"/>
  <c r="BC268" i="15"/>
  <c r="BC269" i="15"/>
  <c r="BC270" i="15"/>
  <c r="BC271" i="15"/>
  <c r="BC272" i="15"/>
  <c r="BC273" i="15"/>
  <c r="BC274" i="15"/>
  <c r="BC275" i="15"/>
  <c r="BC276" i="15"/>
  <c r="BC277" i="15"/>
  <c r="BC278" i="15"/>
  <c r="BC279" i="15"/>
  <c r="BC280" i="15"/>
  <c r="BC281" i="15"/>
  <c r="BC282" i="15"/>
  <c r="BC283" i="15"/>
  <c r="BC284" i="15"/>
  <c r="BC285" i="15"/>
  <c r="BC286" i="15"/>
  <c r="BC287" i="15"/>
  <c r="BC288" i="15"/>
  <c r="BC289" i="15"/>
  <c r="BC290" i="15"/>
  <c r="BC291" i="15"/>
  <c r="BC292" i="15"/>
  <c r="BC293" i="15"/>
  <c r="BC294" i="15"/>
  <c r="BC295" i="15"/>
  <c r="BC296" i="15"/>
  <c r="BC297" i="15"/>
  <c r="BC298" i="15"/>
  <c r="BC299" i="15"/>
  <c r="BC300" i="15"/>
  <c r="BC301" i="15"/>
  <c r="BC302" i="15"/>
  <c r="BC303" i="15"/>
  <c r="BC304" i="15"/>
  <c r="BC305" i="15"/>
  <c r="BC306" i="15"/>
  <c r="BC307" i="15"/>
  <c r="BC308" i="15"/>
  <c r="BC309" i="15"/>
  <c r="BC310" i="15"/>
  <c r="BC311" i="15"/>
  <c r="BC312" i="15"/>
  <c r="BC313" i="15"/>
  <c r="BC314" i="15"/>
  <c r="BC315" i="15"/>
  <c r="BC316" i="15"/>
  <c r="BC317" i="15"/>
  <c r="BC318" i="15"/>
  <c r="BC319" i="15"/>
  <c r="BC320" i="15"/>
  <c r="BC321" i="15"/>
  <c r="BC322" i="15"/>
  <c r="BC323" i="15"/>
  <c r="BC324" i="15"/>
  <c r="BC325" i="15"/>
  <c r="BC326" i="15"/>
  <c r="BC327" i="15"/>
  <c r="BC328" i="15"/>
  <c r="BC329" i="15"/>
  <c r="BC330" i="15"/>
  <c r="BC331" i="15"/>
  <c r="BC332" i="15"/>
  <c r="BC333" i="15"/>
  <c r="BC334" i="15"/>
  <c r="BC335" i="15"/>
  <c r="BC336" i="15"/>
  <c r="BC337" i="15"/>
  <c r="BC338" i="15"/>
  <c r="BC339" i="15"/>
  <c r="BC340" i="15"/>
  <c r="BC341" i="15"/>
  <c r="BC342" i="15"/>
  <c r="BC343" i="15"/>
  <c r="BC344" i="15"/>
  <c r="BC345" i="15"/>
  <c r="BC346" i="15"/>
  <c r="BC347" i="15"/>
  <c r="BC348" i="15"/>
  <c r="BC349" i="15"/>
  <c r="BB23" i="15"/>
  <c r="BB24" i="15"/>
  <c r="BB25" i="15"/>
  <c r="BB26" i="15"/>
  <c r="BB27" i="15"/>
  <c r="BB28" i="15"/>
  <c r="BB29" i="15"/>
  <c r="BB30" i="15"/>
  <c r="BB31" i="15"/>
  <c r="BB32" i="15"/>
  <c r="BB33" i="15"/>
  <c r="AY34" i="15"/>
  <c r="AZ34" i="15"/>
  <c r="BA34" i="15"/>
  <c r="BB34" i="15"/>
  <c r="AY35" i="15"/>
  <c r="AZ35" i="15"/>
  <c r="BA35" i="15"/>
  <c r="BB35" i="15"/>
  <c r="AY36" i="15"/>
  <c r="AZ36" i="15"/>
  <c r="BA36" i="15"/>
  <c r="BB36" i="15"/>
  <c r="AY37" i="15"/>
  <c r="AZ37" i="15"/>
  <c r="BA37" i="15"/>
  <c r="BB37" i="15"/>
  <c r="AY38" i="15"/>
  <c r="AZ38" i="15"/>
  <c r="BA38" i="15"/>
  <c r="BB38" i="15"/>
  <c r="AY39" i="15"/>
  <c r="AZ39" i="15"/>
  <c r="BA39" i="15"/>
  <c r="BB39" i="15"/>
  <c r="AY40" i="15"/>
  <c r="AZ40" i="15"/>
  <c r="BA40" i="15"/>
  <c r="BB40" i="15"/>
  <c r="AY41" i="15"/>
  <c r="AZ41" i="15"/>
  <c r="BA41" i="15"/>
  <c r="BB41" i="15"/>
  <c r="AY42" i="15"/>
  <c r="AZ42" i="15"/>
  <c r="BA42" i="15"/>
  <c r="BB42" i="15"/>
  <c r="AY43" i="15"/>
  <c r="AZ43" i="15"/>
  <c r="BA43" i="15"/>
  <c r="BB43" i="15"/>
  <c r="AY44" i="15"/>
  <c r="AZ44" i="15"/>
  <c r="BA44" i="15"/>
  <c r="BB44" i="15"/>
  <c r="AY45" i="15"/>
  <c r="AZ45" i="15"/>
  <c r="BA45" i="15"/>
  <c r="BB45" i="15"/>
  <c r="AY46" i="15"/>
  <c r="AZ46" i="15"/>
  <c r="BA46" i="15"/>
  <c r="BB46" i="15"/>
  <c r="AY47" i="15"/>
  <c r="AZ47" i="15"/>
  <c r="BA47" i="15"/>
  <c r="BB47" i="15"/>
  <c r="AY48" i="15"/>
  <c r="AZ48" i="15"/>
  <c r="BA48" i="15"/>
  <c r="BB48" i="15"/>
  <c r="AY49" i="15"/>
  <c r="AZ49" i="15"/>
  <c r="BA49" i="15"/>
  <c r="BB49" i="15"/>
  <c r="AY50" i="15"/>
  <c r="AZ50" i="15"/>
  <c r="BA50" i="15"/>
  <c r="BB50" i="15"/>
  <c r="AY51" i="15"/>
  <c r="AZ51" i="15"/>
  <c r="BA51" i="15"/>
  <c r="BB51" i="15"/>
  <c r="AY52" i="15"/>
  <c r="AZ52" i="15"/>
  <c r="BA52" i="15"/>
  <c r="BB52" i="15"/>
  <c r="AY53" i="15"/>
  <c r="AZ53" i="15"/>
  <c r="BA53" i="15"/>
  <c r="BB53" i="15"/>
  <c r="AY54" i="15"/>
  <c r="AZ54" i="15"/>
  <c r="BA54" i="15"/>
  <c r="BB54" i="15"/>
  <c r="AY55" i="15"/>
  <c r="AZ55" i="15"/>
  <c r="BA55" i="15"/>
  <c r="BB55" i="15"/>
  <c r="AY56" i="15"/>
  <c r="AZ56" i="15"/>
  <c r="BA56" i="15"/>
  <c r="BB56" i="15"/>
  <c r="AY57" i="15"/>
  <c r="AZ57" i="15"/>
  <c r="BA57" i="15"/>
  <c r="BB57" i="15"/>
  <c r="AY58" i="15"/>
  <c r="AZ58" i="15"/>
  <c r="BA58" i="15"/>
  <c r="BB58" i="15"/>
  <c r="AY59" i="15"/>
  <c r="AZ59" i="15"/>
  <c r="BA59" i="15"/>
  <c r="BB59" i="15"/>
  <c r="AY60" i="15"/>
  <c r="AZ60" i="15"/>
  <c r="BA60" i="15"/>
  <c r="BB60" i="15"/>
  <c r="AY61" i="15"/>
  <c r="AZ61" i="15"/>
  <c r="BA61" i="15"/>
  <c r="BB61" i="15"/>
  <c r="AY62" i="15"/>
  <c r="AZ62" i="15"/>
  <c r="BA62" i="15"/>
  <c r="BB62" i="15"/>
  <c r="AY63" i="15"/>
  <c r="AZ63" i="15"/>
  <c r="BA63" i="15"/>
  <c r="BB63" i="15"/>
  <c r="AY64" i="15"/>
  <c r="AZ64" i="15"/>
  <c r="BA64" i="15"/>
  <c r="BB64" i="15"/>
  <c r="AY65" i="15"/>
  <c r="AZ65" i="15"/>
  <c r="BA65" i="15"/>
  <c r="BB65" i="15"/>
  <c r="AY66" i="15"/>
  <c r="AZ66" i="15"/>
  <c r="BA66" i="15"/>
  <c r="BB66" i="15"/>
  <c r="AY67" i="15"/>
  <c r="AZ67" i="15"/>
  <c r="BA67" i="15"/>
  <c r="BB67" i="15"/>
  <c r="AY68" i="15"/>
  <c r="AZ68" i="15"/>
  <c r="BA68" i="15"/>
  <c r="BB68" i="15"/>
  <c r="AY69" i="15"/>
  <c r="AZ69" i="15"/>
  <c r="BA69" i="15"/>
  <c r="BB69" i="15"/>
  <c r="AY70" i="15"/>
  <c r="AZ70" i="15"/>
  <c r="BA70" i="15"/>
  <c r="BB70" i="15"/>
  <c r="AY71" i="15"/>
  <c r="AZ71" i="15"/>
  <c r="BA71" i="15"/>
  <c r="BB71" i="15"/>
  <c r="AY72" i="15"/>
  <c r="AZ72" i="15"/>
  <c r="BA72" i="15"/>
  <c r="BB72" i="15"/>
  <c r="AY73" i="15"/>
  <c r="AZ73" i="15"/>
  <c r="BA73" i="15"/>
  <c r="BB73" i="15"/>
  <c r="AY74" i="15"/>
  <c r="AZ74" i="15"/>
  <c r="BA74" i="15"/>
  <c r="BB74" i="15"/>
  <c r="AY75" i="15"/>
  <c r="AZ75" i="15"/>
  <c r="BA75" i="15"/>
  <c r="BB75" i="15"/>
  <c r="AY76" i="15"/>
  <c r="AZ76" i="15"/>
  <c r="BA76" i="15"/>
  <c r="BB76" i="15"/>
  <c r="AY77" i="15"/>
  <c r="AZ77" i="15"/>
  <c r="BA77" i="15"/>
  <c r="BB77" i="15"/>
  <c r="AY78" i="15"/>
  <c r="AZ78" i="15"/>
  <c r="BA78" i="15"/>
  <c r="BB78" i="15"/>
  <c r="AY79" i="15"/>
  <c r="AZ79" i="15"/>
  <c r="BA79" i="15"/>
  <c r="BB79" i="15"/>
  <c r="AY80" i="15"/>
  <c r="AZ80" i="15"/>
  <c r="BA80" i="15"/>
  <c r="BB80" i="15"/>
  <c r="AY81" i="15"/>
  <c r="AZ81" i="15"/>
  <c r="BA81" i="15"/>
  <c r="BB81" i="15"/>
  <c r="AY82" i="15"/>
  <c r="AZ82" i="15"/>
  <c r="BA82" i="15"/>
  <c r="BB82" i="15"/>
  <c r="AY83" i="15"/>
  <c r="AZ83" i="15"/>
  <c r="BA83" i="15"/>
  <c r="BB83" i="15"/>
  <c r="AY84" i="15"/>
  <c r="AZ84" i="15"/>
  <c r="BA84" i="15"/>
  <c r="BB84" i="15"/>
  <c r="AY85" i="15"/>
  <c r="AZ85" i="15"/>
  <c r="BA85" i="15"/>
  <c r="BB85" i="15"/>
  <c r="AY86" i="15"/>
  <c r="AZ86" i="15"/>
  <c r="BA86" i="15"/>
  <c r="BB86" i="15"/>
  <c r="AY87" i="15"/>
  <c r="AZ87" i="15"/>
  <c r="BA87" i="15"/>
  <c r="BB87" i="15"/>
  <c r="AY88" i="15"/>
  <c r="AZ88" i="15"/>
  <c r="BA88" i="15"/>
  <c r="BB88" i="15"/>
  <c r="AY89" i="15"/>
  <c r="AZ89" i="15"/>
  <c r="BA89" i="15"/>
  <c r="BB89" i="15"/>
  <c r="AY90" i="15"/>
  <c r="AZ90" i="15"/>
  <c r="BA90" i="15"/>
  <c r="BB90" i="15"/>
  <c r="AY91" i="15"/>
  <c r="AZ91" i="15"/>
  <c r="BA91" i="15"/>
  <c r="BB91" i="15"/>
  <c r="AY92" i="15"/>
  <c r="AZ92" i="15"/>
  <c r="BA92" i="15"/>
  <c r="BB92" i="15"/>
  <c r="AY93" i="15"/>
  <c r="AZ93" i="15"/>
  <c r="BA93" i="15"/>
  <c r="BB93" i="15"/>
  <c r="AY94" i="15"/>
  <c r="AZ94" i="15"/>
  <c r="BA94" i="15"/>
  <c r="BB94" i="15"/>
  <c r="AY95" i="15"/>
  <c r="AZ95" i="15"/>
  <c r="BA95" i="15"/>
  <c r="BB95" i="15"/>
  <c r="AY96" i="15"/>
  <c r="AZ96" i="15"/>
  <c r="BA96" i="15"/>
  <c r="BB96" i="15"/>
  <c r="AY97" i="15"/>
  <c r="AZ97" i="15"/>
  <c r="BA97" i="15"/>
  <c r="BB97" i="15"/>
  <c r="AY98" i="15"/>
  <c r="AZ98" i="15"/>
  <c r="BA98" i="15"/>
  <c r="BB98" i="15"/>
  <c r="AY99" i="15"/>
  <c r="AZ99" i="15"/>
  <c r="BA99" i="15"/>
  <c r="BB99" i="15"/>
  <c r="AY100" i="15"/>
  <c r="AZ100" i="15"/>
  <c r="BA100" i="15"/>
  <c r="BB100" i="15"/>
  <c r="AY101" i="15"/>
  <c r="AZ101" i="15"/>
  <c r="BA101" i="15"/>
  <c r="BB101" i="15"/>
  <c r="AY102" i="15"/>
  <c r="AZ102" i="15"/>
  <c r="BA102" i="15"/>
  <c r="BB102" i="15"/>
  <c r="AY103" i="15"/>
  <c r="AZ103" i="15"/>
  <c r="BA103" i="15"/>
  <c r="BB103" i="15"/>
  <c r="AY104" i="15"/>
  <c r="AZ104" i="15"/>
  <c r="BA104" i="15"/>
  <c r="BB104" i="15"/>
  <c r="AY105" i="15"/>
  <c r="AZ105" i="15"/>
  <c r="BA105" i="15"/>
  <c r="BB105" i="15"/>
  <c r="AY106" i="15"/>
  <c r="AZ106" i="15"/>
  <c r="BA106" i="15"/>
  <c r="BB106" i="15"/>
  <c r="AY107" i="15"/>
  <c r="AZ107" i="15"/>
  <c r="BA107" i="15"/>
  <c r="BB107" i="15"/>
  <c r="AY108" i="15"/>
  <c r="AZ108" i="15"/>
  <c r="BA108" i="15"/>
  <c r="BB108" i="15"/>
  <c r="AY109" i="15"/>
  <c r="AZ109" i="15"/>
  <c r="BA109" i="15"/>
  <c r="BB109" i="15"/>
  <c r="AY110" i="15"/>
  <c r="AZ110" i="15"/>
  <c r="BA110" i="15"/>
  <c r="BB110" i="15"/>
  <c r="AY111" i="15"/>
  <c r="AZ111" i="15"/>
  <c r="BA111" i="15"/>
  <c r="BB111" i="15"/>
  <c r="AY112" i="15"/>
  <c r="AZ112" i="15"/>
  <c r="BA112" i="15"/>
  <c r="BB112" i="15"/>
  <c r="AY113" i="15"/>
  <c r="AZ113" i="15"/>
  <c r="BA113" i="15"/>
  <c r="BB113" i="15"/>
  <c r="AY114" i="15"/>
  <c r="AZ114" i="15"/>
  <c r="BA114" i="15"/>
  <c r="BB114" i="15"/>
  <c r="AY115" i="15"/>
  <c r="AZ115" i="15"/>
  <c r="BA115" i="15"/>
  <c r="BB115" i="15"/>
  <c r="AY116" i="15"/>
  <c r="AZ116" i="15"/>
  <c r="BA116" i="15"/>
  <c r="BB116" i="15"/>
  <c r="AY117" i="15"/>
  <c r="AZ117" i="15"/>
  <c r="BA117" i="15"/>
  <c r="BB117" i="15"/>
  <c r="AY118" i="15"/>
  <c r="AZ118" i="15"/>
  <c r="BA118" i="15"/>
  <c r="BB118" i="15"/>
  <c r="AY119" i="15"/>
  <c r="AZ119" i="15"/>
  <c r="BA119" i="15"/>
  <c r="BB119" i="15"/>
  <c r="AY120" i="15"/>
  <c r="AZ120" i="15"/>
  <c r="BA120" i="15"/>
  <c r="BB120" i="15"/>
  <c r="AY121" i="15"/>
  <c r="AZ121" i="15"/>
  <c r="BA121" i="15"/>
  <c r="BB121" i="15"/>
  <c r="AY122" i="15"/>
  <c r="AZ122" i="15"/>
  <c r="BA122" i="15"/>
  <c r="BB122" i="15"/>
  <c r="AY123" i="15"/>
  <c r="AZ123" i="15"/>
  <c r="BA123" i="15"/>
  <c r="BB123" i="15"/>
  <c r="AY124" i="15"/>
  <c r="AZ124" i="15"/>
  <c r="BA124" i="15"/>
  <c r="BB124" i="15"/>
  <c r="AY125" i="15"/>
  <c r="AZ125" i="15"/>
  <c r="BA125" i="15"/>
  <c r="BB125" i="15"/>
  <c r="AY126" i="15"/>
  <c r="AZ126" i="15"/>
  <c r="BA126" i="15"/>
  <c r="BB126" i="15"/>
  <c r="AY127" i="15"/>
  <c r="AZ127" i="15"/>
  <c r="BA127" i="15"/>
  <c r="BB127" i="15"/>
  <c r="AY128" i="15"/>
  <c r="AZ128" i="15"/>
  <c r="BA128" i="15"/>
  <c r="BB128" i="15"/>
  <c r="AY129" i="15"/>
  <c r="AZ129" i="15"/>
  <c r="BA129" i="15"/>
  <c r="BB129" i="15"/>
  <c r="AY130" i="15"/>
  <c r="AZ130" i="15"/>
  <c r="BA130" i="15"/>
  <c r="BB130" i="15"/>
  <c r="AY131" i="15"/>
  <c r="AZ131" i="15"/>
  <c r="BA131" i="15"/>
  <c r="BB131" i="15"/>
  <c r="AY132" i="15"/>
  <c r="AZ132" i="15"/>
  <c r="BA132" i="15"/>
  <c r="BB132" i="15"/>
  <c r="AY133" i="15"/>
  <c r="AZ133" i="15"/>
  <c r="BA133" i="15"/>
  <c r="BB133" i="15"/>
  <c r="AY134" i="15"/>
  <c r="AZ134" i="15"/>
  <c r="BA134" i="15"/>
  <c r="BB134" i="15"/>
  <c r="AY135" i="15"/>
  <c r="AZ135" i="15"/>
  <c r="BA135" i="15"/>
  <c r="BB135" i="15"/>
  <c r="AY136" i="15"/>
  <c r="AZ136" i="15"/>
  <c r="BA136" i="15"/>
  <c r="BB136" i="15"/>
  <c r="AY137" i="15"/>
  <c r="AZ137" i="15"/>
  <c r="BA137" i="15"/>
  <c r="BB137" i="15"/>
  <c r="AY138" i="15"/>
  <c r="AZ138" i="15"/>
  <c r="BA138" i="15"/>
  <c r="BB138" i="15"/>
  <c r="AY139" i="15"/>
  <c r="AZ139" i="15"/>
  <c r="BA139" i="15"/>
  <c r="BB139" i="15"/>
  <c r="AY140" i="15"/>
  <c r="AZ140" i="15"/>
  <c r="BA140" i="15"/>
  <c r="BB140" i="15"/>
  <c r="AY141" i="15"/>
  <c r="AZ141" i="15"/>
  <c r="BA141" i="15"/>
  <c r="BB141" i="15"/>
  <c r="AY142" i="15"/>
  <c r="AZ142" i="15"/>
  <c r="BA142" i="15"/>
  <c r="BB142" i="15"/>
  <c r="AY143" i="15"/>
  <c r="AZ143" i="15"/>
  <c r="BA143" i="15"/>
  <c r="BB143" i="15"/>
  <c r="AY144" i="15"/>
  <c r="AZ144" i="15"/>
  <c r="BA144" i="15"/>
  <c r="BB144" i="15"/>
  <c r="AY145" i="15"/>
  <c r="AZ145" i="15"/>
  <c r="BA145" i="15"/>
  <c r="BB145" i="15"/>
  <c r="AY146" i="15"/>
  <c r="AZ146" i="15"/>
  <c r="BA146" i="15"/>
  <c r="BB146" i="15"/>
  <c r="AY147" i="15"/>
  <c r="AZ147" i="15"/>
  <c r="BA147" i="15"/>
  <c r="BB147" i="15"/>
  <c r="AY148" i="15"/>
  <c r="AZ148" i="15"/>
  <c r="BA148" i="15"/>
  <c r="BB148" i="15"/>
  <c r="AY149" i="15"/>
  <c r="AZ149" i="15"/>
  <c r="BA149" i="15"/>
  <c r="BB149" i="15"/>
  <c r="AY150" i="15"/>
  <c r="AZ150" i="15"/>
  <c r="BA150" i="15"/>
  <c r="BB150" i="15"/>
  <c r="AY151" i="15"/>
  <c r="AZ151" i="15"/>
  <c r="BA151" i="15"/>
  <c r="BB151" i="15"/>
  <c r="AY152" i="15"/>
  <c r="AZ152" i="15"/>
  <c r="BA152" i="15"/>
  <c r="BB152" i="15"/>
  <c r="AY153" i="15"/>
  <c r="AZ153" i="15"/>
  <c r="BA153" i="15"/>
  <c r="BB153" i="15"/>
  <c r="AY154" i="15"/>
  <c r="AZ154" i="15"/>
  <c r="BA154" i="15"/>
  <c r="BB154" i="15"/>
  <c r="AY155" i="15"/>
  <c r="AZ155" i="15"/>
  <c r="BA155" i="15"/>
  <c r="BB155" i="15"/>
  <c r="AY156" i="15"/>
  <c r="AZ156" i="15"/>
  <c r="BA156" i="15"/>
  <c r="BB156" i="15"/>
  <c r="AY157" i="15"/>
  <c r="AZ157" i="15"/>
  <c r="BA157" i="15"/>
  <c r="BB157" i="15"/>
  <c r="AY158" i="15"/>
  <c r="AZ158" i="15"/>
  <c r="BA158" i="15"/>
  <c r="BB158" i="15"/>
  <c r="AY159" i="15"/>
  <c r="AZ159" i="15"/>
  <c r="BA159" i="15"/>
  <c r="BB159" i="15"/>
  <c r="AY160" i="15"/>
  <c r="AZ160" i="15"/>
  <c r="BA160" i="15"/>
  <c r="BB160" i="15"/>
  <c r="AY161" i="15"/>
  <c r="AZ161" i="15"/>
  <c r="BA161" i="15"/>
  <c r="BB161" i="15"/>
  <c r="AY162" i="15"/>
  <c r="AZ162" i="15"/>
  <c r="BA162" i="15"/>
  <c r="BB162" i="15"/>
  <c r="AY163" i="15"/>
  <c r="AZ163" i="15"/>
  <c r="BA163" i="15"/>
  <c r="BB163" i="15"/>
  <c r="AY164" i="15"/>
  <c r="AZ164" i="15"/>
  <c r="BA164" i="15"/>
  <c r="BB164" i="15"/>
  <c r="AY165" i="15"/>
  <c r="AZ165" i="15"/>
  <c r="BA165" i="15"/>
  <c r="BB165" i="15"/>
  <c r="AY166" i="15"/>
  <c r="AZ166" i="15"/>
  <c r="BA166" i="15"/>
  <c r="BB166" i="15"/>
  <c r="AY167" i="15"/>
  <c r="AZ167" i="15"/>
  <c r="BA167" i="15"/>
  <c r="BB167" i="15"/>
  <c r="AY168" i="15"/>
  <c r="AZ168" i="15"/>
  <c r="BA168" i="15"/>
  <c r="BB168" i="15"/>
  <c r="AY169" i="15"/>
  <c r="AZ169" i="15"/>
  <c r="BA169" i="15"/>
  <c r="BB169" i="15"/>
  <c r="AY170" i="15"/>
  <c r="AZ170" i="15"/>
  <c r="BA170" i="15"/>
  <c r="BB170" i="15"/>
  <c r="AY171" i="15"/>
  <c r="AZ171" i="15"/>
  <c r="BA171" i="15"/>
  <c r="BB171" i="15"/>
  <c r="AY172" i="15"/>
  <c r="AZ172" i="15"/>
  <c r="BA172" i="15"/>
  <c r="BB172" i="15"/>
  <c r="AY173" i="15"/>
  <c r="AZ173" i="15"/>
  <c r="BA173" i="15"/>
  <c r="BB173" i="15"/>
  <c r="AY174" i="15"/>
  <c r="AZ174" i="15"/>
  <c r="BA174" i="15"/>
  <c r="BB174" i="15"/>
  <c r="AY175" i="15"/>
  <c r="AZ175" i="15"/>
  <c r="BA175" i="15"/>
  <c r="BB175" i="15"/>
  <c r="AY176" i="15"/>
  <c r="AZ176" i="15"/>
  <c r="BA176" i="15"/>
  <c r="BB176" i="15"/>
  <c r="AY177" i="15"/>
  <c r="AZ177" i="15"/>
  <c r="BA177" i="15"/>
  <c r="BB177" i="15"/>
  <c r="AY178" i="15"/>
  <c r="AZ178" i="15"/>
  <c r="BA178" i="15"/>
  <c r="BB178" i="15"/>
  <c r="AY179" i="15"/>
  <c r="AZ179" i="15"/>
  <c r="BA179" i="15"/>
  <c r="BB179" i="15"/>
  <c r="AY180" i="15"/>
  <c r="AZ180" i="15"/>
  <c r="BA180" i="15"/>
  <c r="BB180" i="15"/>
  <c r="AY181" i="15"/>
  <c r="AZ181" i="15"/>
  <c r="BA181" i="15"/>
  <c r="BB181" i="15"/>
  <c r="AY182" i="15"/>
  <c r="AZ182" i="15"/>
  <c r="BA182" i="15"/>
  <c r="BB182" i="15"/>
  <c r="AY183" i="15"/>
  <c r="AZ183" i="15"/>
  <c r="BA183" i="15"/>
  <c r="BB183" i="15"/>
  <c r="AY184" i="15"/>
  <c r="AZ184" i="15"/>
  <c r="BA184" i="15"/>
  <c r="BB184" i="15"/>
  <c r="AY185" i="15"/>
  <c r="AZ185" i="15"/>
  <c r="BA185" i="15"/>
  <c r="BB185" i="15"/>
  <c r="AY186" i="15"/>
  <c r="AZ186" i="15"/>
  <c r="BA186" i="15"/>
  <c r="BB186" i="15"/>
  <c r="AY187" i="15"/>
  <c r="AZ187" i="15"/>
  <c r="BA187" i="15"/>
  <c r="BB187" i="15"/>
  <c r="AY188" i="15"/>
  <c r="AZ188" i="15"/>
  <c r="BA188" i="15"/>
  <c r="BB188" i="15"/>
  <c r="AY189" i="15"/>
  <c r="AZ189" i="15"/>
  <c r="BA189" i="15"/>
  <c r="BB189" i="15"/>
  <c r="AY190" i="15"/>
  <c r="AZ190" i="15"/>
  <c r="BA190" i="15"/>
  <c r="BB190" i="15"/>
  <c r="AY191" i="15"/>
  <c r="AZ191" i="15"/>
  <c r="BA191" i="15"/>
  <c r="BB191" i="15"/>
  <c r="AY192" i="15"/>
  <c r="AZ192" i="15"/>
  <c r="BA192" i="15"/>
  <c r="BB192" i="15"/>
  <c r="AY193" i="15"/>
  <c r="AZ193" i="15"/>
  <c r="BA193" i="15"/>
  <c r="BB193" i="15"/>
  <c r="AY194" i="15"/>
  <c r="AZ194" i="15"/>
  <c r="BA194" i="15"/>
  <c r="BB194" i="15"/>
  <c r="AY195" i="15"/>
  <c r="AZ195" i="15"/>
  <c r="BA195" i="15"/>
  <c r="BB195" i="15"/>
  <c r="AY196" i="15"/>
  <c r="AZ196" i="15"/>
  <c r="BA196" i="15"/>
  <c r="BB196" i="15"/>
  <c r="AY197" i="15"/>
  <c r="AZ197" i="15"/>
  <c r="BA197" i="15"/>
  <c r="BB197" i="15"/>
  <c r="AY198" i="15"/>
  <c r="AZ198" i="15"/>
  <c r="BA198" i="15"/>
  <c r="BB198" i="15"/>
  <c r="AY199" i="15"/>
  <c r="AZ199" i="15"/>
  <c r="BA199" i="15"/>
  <c r="BB199" i="15"/>
  <c r="AY200" i="15"/>
  <c r="AZ200" i="15"/>
  <c r="BA200" i="15"/>
  <c r="BB200" i="15"/>
  <c r="AY201" i="15"/>
  <c r="AZ201" i="15"/>
  <c r="BA201" i="15"/>
  <c r="BB201" i="15"/>
  <c r="AY202" i="15"/>
  <c r="AZ202" i="15"/>
  <c r="BA202" i="15"/>
  <c r="BB202" i="15"/>
  <c r="AY203" i="15"/>
  <c r="AZ203" i="15"/>
  <c r="BA203" i="15"/>
  <c r="BB203" i="15"/>
  <c r="AY204" i="15"/>
  <c r="AZ204" i="15"/>
  <c r="BA204" i="15"/>
  <c r="BB204" i="15"/>
  <c r="AY205" i="15"/>
  <c r="AZ205" i="15"/>
  <c r="BA205" i="15"/>
  <c r="BB205" i="15"/>
  <c r="AY206" i="15"/>
  <c r="AZ206" i="15"/>
  <c r="BA206" i="15"/>
  <c r="BB206" i="15"/>
  <c r="AY207" i="15"/>
  <c r="AZ207" i="15"/>
  <c r="BA207" i="15"/>
  <c r="BB207" i="15"/>
  <c r="AY208" i="15"/>
  <c r="AZ208" i="15"/>
  <c r="BA208" i="15"/>
  <c r="BB208" i="15"/>
  <c r="AY209" i="15"/>
  <c r="AZ209" i="15"/>
  <c r="BA209" i="15"/>
  <c r="BB209" i="15"/>
  <c r="AY210" i="15"/>
  <c r="AZ210" i="15"/>
  <c r="BA210" i="15"/>
  <c r="BB210" i="15"/>
  <c r="AY211" i="15"/>
  <c r="AZ211" i="15"/>
  <c r="BA211" i="15"/>
  <c r="BB211" i="15"/>
  <c r="AY212" i="15"/>
  <c r="AZ212" i="15"/>
  <c r="BA212" i="15"/>
  <c r="BB212" i="15"/>
  <c r="AY213" i="15"/>
  <c r="AZ213" i="15"/>
  <c r="BA213" i="15"/>
  <c r="BB213" i="15"/>
  <c r="AY214" i="15"/>
  <c r="AZ214" i="15"/>
  <c r="BA214" i="15"/>
  <c r="BB214" i="15"/>
  <c r="AY215" i="15"/>
  <c r="AZ215" i="15"/>
  <c r="BA215" i="15"/>
  <c r="BB215" i="15"/>
  <c r="AY216" i="15"/>
  <c r="AZ216" i="15"/>
  <c r="BA216" i="15"/>
  <c r="BB216" i="15"/>
  <c r="AY217" i="15"/>
  <c r="AZ217" i="15"/>
  <c r="BA217" i="15"/>
  <c r="BB217" i="15"/>
  <c r="AY218" i="15"/>
  <c r="AZ218" i="15"/>
  <c r="BA218" i="15"/>
  <c r="BB218" i="15"/>
  <c r="AY219" i="15"/>
  <c r="AZ219" i="15"/>
  <c r="BA219" i="15"/>
  <c r="BB219" i="15"/>
  <c r="AY220" i="15"/>
  <c r="AZ220" i="15"/>
  <c r="BA220" i="15"/>
  <c r="BB220" i="15"/>
  <c r="AY221" i="15"/>
  <c r="AZ221" i="15"/>
  <c r="BA221" i="15"/>
  <c r="BB221" i="15"/>
  <c r="AY222" i="15"/>
  <c r="AZ222" i="15"/>
  <c r="BA222" i="15"/>
  <c r="BB222" i="15"/>
  <c r="AY223" i="15"/>
  <c r="AZ223" i="15"/>
  <c r="BA223" i="15"/>
  <c r="BB223" i="15"/>
  <c r="AY224" i="15"/>
  <c r="AZ224" i="15"/>
  <c r="BA224" i="15"/>
  <c r="BB224" i="15"/>
  <c r="AY225" i="15"/>
  <c r="AZ225" i="15"/>
  <c r="BA225" i="15"/>
  <c r="BB225" i="15"/>
  <c r="AY226" i="15"/>
  <c r="AZ226" i="15"/>
  <c r="BA226" i="15"/>
  <c r="BB226" i="15"/>
  <c r="AY227" i="15"/>
  <c r="AZ227" i="15"/>
  <c r="BA227" i="15"/>
  <c r="BB227" i="15"/>
  <c r="AY228" i="15"/>
  <c r="AZ228" i="15"/>
  <c r="BA228" i="15"/>
  <c r="BB228" i="15"/>
  <c r="AY229" i="15"/>
  <c r="AZ229" i="15"/>
  <c r="BA229" i="15"/>
  <c r="BB229" i="15"/>
  <c r="AY230" i="15"/>
  <c r="AZ230" i="15"/>
  <c r="BA230" i="15"/>
  <c r="BB230" i="15"/>
  <c r="AY231" i="15"/>
  <c r="AZ231" i="15"/>
  <c r="BA231" i="15"/>
  <c r="BB231" i="15"/>
  <c r="AY232" i="15"/>
  <c r="AZ232" i="15"/>
  <c r="BA232" i="15"/>
  <c r="BB232" i="15"/>
  <c r="AY233" i="15"/>
  <c r="AZ233" i="15"/>
  <c r="BA233" i="15"/>
  <c r="BB233" i="15"/>
  <c r="AY234" i="15"/>
  <c r="AZ234" i="15"/>
  <c r="BA234" i="15"/>
  <c r="BB234" i="15"/>
  <c r="AY235" i="15"/>
  <c r="AZ235" i="15"/>
  <c r="BA235" i="15"/>
  <c r="BB235" i="15"/>
  <c r="AY236" i="15"/>
  <c r="AZ236" i="15"/>
  <c r="BA236" i="15"/>
  <c r="BB236" i="15"/>
  <c r="AY237" i="15"/>
  <c r="AZ237" i="15"/>
  <c r="BA237" i="15"/>
  <c r="BB237" i="15"/>
  <c r="AY238" i="15"/>
  <c r="AZ238" i="15"/>
  <c r="BA238" i="15"/>
  <c r="BB238" i="15"/>
  <c r="AY239" i="15"/>
  <c r="AZ239" i="15"/>
  <c r="BA239" i="15"/>
  <c r="BB239" i="15"/>
  <c r="AY240" i="15"/>
  <c r="AZ240" i="15"/>
  <c r="BA240" i="15"/>
  <c r="BB240" i="15"/>
  <c r="AY241" i="15"/>
  <c r="AZ241" i="15"/>
  <c r="BA241" i="15"/>
  <c r="BB241" i="15"/>
  <c r="AY242" i="15"/>
  <c r="AZ242" i="15"/>
  <c r="BA242" i="15"/>
  <c r="BB242" i="15"/>
  <c r="AY243" i="15"/>
  <c r="AZ243" i="15"/>
  <c r="BA243" i="15"/>
  <c r="BB243" i="15"/>
  <c r="AY244" i="15"/>
  <c r="AZ244" i="15"/>
  <c r="BA244" i="15"/>
  <c r="BB244" i="15"/>
  <c r="AY245" i="15"/>
  <c r="AZ245" i="15"/>
  <c r="BA245" i="15"/>
  <c r="BB245" i="15"/>
  <c r="AY246" i="15"/>
  <c r="AZ246" i="15"/>
  <c r="BA246" i="15"/>
  <c r="BB246" i="15"/>
  <c r="AY247" i="15"/>
  <c r="AZ247" i="15"/>
  <c r="BA247" i="15"/>
  <c r="BB247" i="15"/>
  <c r="AY248" i="15"/>
  <c r="AZ248" i="15"/>
  <c r="BA248" i="15"/>
  <c r="BB248" i="15"/>
  <c r="AY249" i="15"/>
  <c r="AZ249" i="15"/>
  <c r="BA249" i="15"/>
  <c r="BB249" i="15"/>
  <c r="AY250" i="15"/>
  <c r="AZ250" i="15"/>
  <c r="BA250" i="15"/>
  <c r="BB250" i="15"/>
  <c r="AY251" i="15"/>
  <c r="AZ251" i="15"/>
  <c r="BA251" i="15"/>
  <c r="BB251" i="15"/>
  <c r="AY252" i="15"/>
  <c r="AZ252" i="15"/>
  <c r="BA252" i="15"/>
  <c r="BB252" i="15"/>
  <c r="AY253" i="15"/>
  <c r="AZ253" i="15"/>
  <c r="BA253" i="15"/>
  <c r="BB253" i="15"/>
  <c r="AY254" i="15"/>
  <c r="AZ254" i="15"/>
  <c r="BA254" i="15"/>
  <c r="BB254" i="15"/>
  <c r="AY255" i="15"/>
  <c r="AZ255" i="15"/>
  <c r="BA255" i="15"/>
  <c r="BB255" i="15"/>
  <c r="AY256" i="15"/>
  <c r="AZ256" i="15"/>
  <c r="BA256" i="15"/>
  <c r="BB256" i="15"/>
  <c r="AY257" i="15"/>
  <c r="AZ257" i="15"/>
  <c r="BA257" i="15"/>
  <c r="BB257" i="15"/>
  <c r="AY258" i="15"/>
  <c r="AZ258" i="15"/>
  <c r="BA258" i="15"/>
  <c r="BB258" i="15"/>
  <c r="AY259" i="15"/>
  <c r="AZ259" i="15"/>
  <c r="BA259" i="15"/>
  <c r="BB259" i="15"/>
  <c r="AY260" i="15"/>
  <c r="AZ260" i="15"/>
  <c r="BA260" i="15"/>
  <c r="BB260" i="15"/>
  <c r="AY261" i="15"/>
  <c r="AZ261" i="15"/>
  <c r="BA261" i="15"/>
  <c r="BB261" i="15"/>
  <c r="AY262" i="15"/>
  <c r="AZ262" i="15"/>
  <c r="BA262" i="15"/>
  <c r="BB262" i="15"/>
  <c r="AY263" i="15"/>
  <c r="AZ263" i="15"/>
  <c r="BA263" i="15"/>
  <c r="BB263" i="15"/>
  <c r="AY264" i="15"/>
  <c r="AZ264" i="15"/>
  <c r="BA264" i="15"/>
  <c r="BB264" i="15"/>
  <c r="AY265" i="15"/>
  <c r="AZ265" i="15"/>
  <c r="BA265" i="15"/>
  <c r="BB265" i="15"/>
  <c r="AY266" i="15"/>
  <c r="AZ266" i="15"/>
  <c r="BA266" i="15"/>
  <c r="BB266" i="15"/>
  <c r="AY267" i="15"/>
  <c r="AZ267" i="15"/>
  <c r="BA267" i="15"/>
  <c r="BB267" i="15"/>
  <c r="AY268" i="15"/>
  <c r="AZ268" i="15"/>
  <c r="BA268" i="15"/>
  <c r="BB268" i="15"/>
  <c r="AY269" i="15"/>
  <c r="AZ269" i="15"/>
  <c r="BA269" i="15"/>
  <c r="BB269" i="15"/>
  <c r="AY270" i="15"/>
  <c r="AZ270" i="15"/>
  <c r="BA270" i="15"/>
  <c r="BB270" i="15"/>
  <c r="AY271" i="15"/>
  <c r="AZ271" i="15"/>
  <c r="BA271" i="15"/>
  <c r="BB271" i="15"/>
  <c r="AY272" i="15"/>
  <c r="AZ272" i="15"/>
  <c r="BA272" i="15"/>
  <c r="BB272" i="15"/>
  <c r="AY273" i="15"/>
  <c r="AZ273" i="15"/>
  <c r="BA273" i="15"/>
  <c r="BB273" i="15"/>
  <c r="AY274" i="15"/>
  <c r="AZ274" i="15"/>
  <c r="BA274" i="15"/>
  <c r="BB274" i="15"/>
  <c r="AY275" i="15"/>
  <c r="AZ275" i="15"/>
  <c r="BA275" i="15"/>
  <c r="BB275" i="15"/>
  <c r="AY276" i="15"/>
  <c r="AZ276" i="15"/>
  <c r="BA276" i="15"/>
  <c r="BB276" i="15"/>
  <c r="AY277" i="15"/>
  <c r="AZ277" i="15"/>
  <c r="BA277" i="15"/>
  <c r="BB277" i="15"/>
  <c r="AY278" i="15"/>
  <c r="AZ278" i="15"/>
  <c r="BA278" i="15"/>
  <c r="BB278" i="15"/>
  <c r="AY279" i="15"/>
  <c r="AZ279" i="15"/>
  <c r="BA279" i="15"/>
  <c r="BB279" i="15"/>
  <c r="AY280" i="15"/>
  <c r="AZ280" i="15"/>
  <c r="BA280" i="15"/>
  <c r="BB280" i="15"/>
  <c r="AY281" i="15"/>
  <c r="AZ281" i="15"/>
  <c r="BA281" i="15"/>
  <c r="BB281" i="15"/>
  <c r="AY282" i="15"/>
  <c r="AZ282" i="15"/>
  <c r="BA282" i="15"/>
  <c r="BB282" i="15"/>
  <c r="AY283" i="15"/>
  <c r="AZ283" i="15"/>
  <c r="BA283" i="15"/>
  <c r="BB283" i="15"/>
  <c r="AY284" i="15"/>
  <c r="AZ284" i="15"/>
  <c r="BA284" i="15"/>
  <c r="BB284" i="15"/>
  <c r="AY285" i="15"/>
  <c r="AZ285" i="15"/>
  <c r="BA285" i="15"/>
  <c r="BB285" i="15"/>
  <c r="AY286" i="15"/>
  <c r="AZ286" i="15"/>
  <c r="BA286" i="15"/>
  <c r="BB286" i="15"/>
  <c r="AY287" i="15"/>
  <c r="AZ287" i="15"/>
  <c r="BA287" i="15"/>
  <c r="BB287" i="15"/>
  <c r="AY288" i="15"/>
  <c r="AZ288" i="15"/>
  <c r="BA288" i="15"/>
  <c r="BB288" i="15"/>
  <c r="AY289" i="15"/>
  <c r="AZ289" i="15"/>
  <c r="BA289" i="15"/>
  <c r="BB289" i="15"/>
  <c r="AY290" i="15"/>
  <c r="AZ290" i="15"/>
  <c r="BA290" i="15"/>
  <c r="BB290" i="15"/>
  <c r="AY291" i="15"/>
  <c r="AZ291" i="15"/>
  <c r="BA291" i="15"/>
  <c r="BB291" i="15"/>
  <c r="AY292" i="15"/>
  <c r="AZ292" i="15"/>
  <c r="BA292" i="15"/>
  <c r="BB292" i="15"/>
  <c r="AY293" i="15"/>
  <c r="AZ293" i="15"/>
  <c r="BA293" i="15"/>
  <c r="BB293" i="15"/>
  <c r="AY294" i="15"/>
  <c r="AZ294" i="15"/>
  <c r="BA294" i="15"/>
  <c r="BB294" i="15"/>
  <c r="AY295" i="15"/>
  <c r="AZ295" i="15"/>
  <c r="BA295" i="15"/>
  <c r="BB295" i="15"/>
  <c r="AY296" i="15"/>
  <c r="AZ296" i="15"/>
  <c r="BA296" i="15"/>
  <c r="BB296" i="15"/>
  <c r="AY297" i="15"/>
  <c r="AZ297" i="15"/>
  <c r="BA297" i="15"/>
  <c r="BB297" i="15"/>
  <c r="AY298" i="15"/>
  <c r="AZ298" i="15"/>
  <c r="BA298" i="15"/>
  <c r="BB298" i="15"/>
  <c r="AY299" i="15"/>
  <c r="AZ299" i="15"/>
  <c r="BA299" i="15"/>
  <c r="BB299" i="15"/>
  <c r="AY300" i="15"/>
  <c r="AZ300" i="15"/>
  <c r="BA300" i="15"/>
  <c r="BB300" i="15"/>
  <c r="AY301" i="15"/>
  <c r="AZ301" i="15"/>
  <c r="BA301" i="15"/>
  <c r="BB301" i="15"/>
  <c r="AY302" i="15"/>
  <c r="AZ302" i="15"/>
  <c r="BA302" i="15"/>
  <c r="BB302" i="15"/>
  <c r="AY303" i="15"/>
  <c r="AZ303" i="15"/>
  <c r="BA303" i="15"/>
  <c r="BB303" i="15"/>
  <c r="AY304" i="15"/>
  <c r="AZ304" i="15"/>
  <c r="BA304" i="15"/>
  <c r="BB304" i="15"/>
  <c r="AY305" i="15"/>
  <c r="AZ305" i="15"/>
  <c r="BA305" i="15"/>
  <c r="BB305" i="15"/>
  <c r="AY306" i="15"/>
  <c r="AZ306" i="15"/>
  <c r="BA306" i="15"/>
  <c r="BB306" i="15"/>
  <c r="AY307" i="15"/>
  <c r="AZ307" i="15"/>
  <c r="BA307" i="15"/>
  <c r="BB307" i="15"/>
  <c r="AY308" i="15"/>
  <c r="AZ308" i="15"/>
  <c r="BA308" i="15"/>
  <c r="BB308" i="15"/>
  <c r="AY309" i="15"/>
  <c r="AZ309" i="15"/>
  <c r="BA309" i="15"/>
  <c r="BB309" i="15"/>
  <c r="AY310" i="15"/>
  <c r="AZ310" i="15"/>
  <c r="BA310" i="15"/>
  <c r="BB310" i="15"/>
  <c r="AY311" i="15"/>
  <c r="AZ311" i="15"/>
  <c r="BA311" i="15"/>
  <c r="BB311" i="15"/>
  <c r="AY312" i="15"/>
  <c r="AZ312" i="15"/>
  <c r="BA312" i="15"/>
  <c r="BB312" i="15"/>
  <c r="AY313" i="15"/>
  <c r="AZ313" i="15"/>
  <c r="BA313" i="15"/>
  <c r="BB313" i="15"/>
  <c r="AY314" i="15"/>
  <c r="AZ314" i="15"/>
  <c r="BA314" i="15"/>
  <c r="BB314" i="15"/>
  <c r="AY315" i="15"/>
  <c r="AZ315" i="15"/>
  <c r="BA315" i="15"/>
  <c r="BB315" i="15"/>
  <c r="AY316" i="15"/>
  <c r="AZ316" i="15"/>
  <c r="BA316" i="15"/>
  <c r="BB316" i="15"/>
  <c r="AY317" i="15"/>
  <c r="AZ317" i="15"/>
  <c r="BA317" i="15"/>
  <c r="BB317" i="15"/>
  <c r="AY318" i="15"/>
  <c r="AZ318" i="15"/>
  <c r="BA318" i="15"/>
  <c r="BB318" i="15"/>
  <c r="AY319" i="15"/>
  <c r="AZ319" i="15"/>
  <c r="BA319" i="15"/>
  <c r="BB319" i="15"/>
  <c r="AY320" i="15"/>
  <c r="AZ320" i="15"/>
  <c r="BA320" i="15"/>
  <c r="BB320" i="15"/>
  <c r="AY321" i="15"/>
  <c r="AZ321" i="15"/>
  <c r="BA321" i="15"/>
  <c r="BB321" i="15"/>
  <c r="AY322" i="15"/>
  <c r="AZ322" i="15"/>
  <c r="BA322" i="15"/>
  <c r="BB322" i="15"/>
  <c r="AY323" i="15"/>
  <c r="AZ323" i="15"/>
  <c r="BA323" i="15"/>
  <c r="BB323" i="15"/>
  <c r="AY324" i="15"/>
  <c r="AZ324" i="15"/>
  <c r="BA324" i="15"/>
  <c r="BB324" i="15"/>
  <c r="AY325" i="15"/>
  <c r="AZ325" i="15"/>
  <c r="BA325" i="15"/>
  <c r="BB325" i="15"/>
  <c r="AY326" i="15"/>
  <c r="AZ326" i="15"/>
  <c r="BA326" i="15"/>
  <c r="BB326" i="15"/>
  <c r="AY327" i="15"/>
  <c r="AZ327" i="15"/>
  <c r="BA327" i="15"/>
  <c r="BB327" i="15"/>
  <c r="AY328" i="15"/>
  <c r="AZ328" i="15"/>
  <c r="BA328" i="15"/>
  <c r="BB328" i="15"/>
  <c r="AY329" i="15"/>
  <c r="AZ329" i="15"/>
  <c r="BA329" i="15"/>
  <c r="BB329" i="15"/>
  <c r="AY330" i="15"/>
  <c r="AZ330" i="15"/>
  <c r="BA330" i="15"/>
  <c r="BB330" i="15"/>
  <c r="AY331" i="15"/>
  <c r="AZ331" i="15"/>
  <c r="BA331" i="15"/>
  <c r="BB331" i="15"/>
  <c r="AY332" i="15"/>
  <c r="AZ332" i="15"/>
  <c r="BA332" i="15"/>
  <c r="BB332" i="15"/>
  <c r="AY333" i="15"/>
  <c r="AZ333" i="15"/>
  <c r="BA333" i="15"/>
  <c r="BB333" i="15"/>
  <c r="AY334" i="15"/>
  <c r="AZ334" i="15"/>
  <c r="BA334" i="15"/>
  <c r="BB334" i="15"/>
  <c r="AY335" i="15"/>
  <c r="AZ335" i="15"/>
  <c r="BA335" i="15"/>
  <c r="BB335" i="15"/>
  <c r="AY336" i="15"/>
  <c r="AZ336" i="15"/>
  <c r="BA336" i="15"/>
  <c r="BB336" i="15"/>
  <c r="AY337" i="15"/>
  <c r="AZ337" i="15"/>
  <c r="BA337" i="15"/>
  <c r="BB337" i="15"/>
  <c r="AY338" i="15"/>
  <c r="AZ338" i="15"/>
  <c r="BA338" i="15"/>
  <c r="BB338" i="15"/>
  <c r="AY339" i="15"/>
  <c r="AZ339" i="15"/>
  <c r="BA339" i="15"/>
  <c r="BB339" i="15"/>
  <c r="AY340" i="15"/>
  <c r="AZ340" i="15"/>
  <c r="BA340" i="15"/>
  <c r="BB340" i="15"/>
  <c r="AY341" i="15"/>
  <c r="AZ341" i="15"/>
  <c r="BA341" i="15"/>
  <c r="BB341" i="15"/>
  <c r="AY342" i="15"/>
  <c r="AZ342" i="15"/>
  <c r="BA342" i="15"/>
  <c r="BB342" i="15"/>
  <c r="AY343" i="15"/>
  <c r="AZ343" i="15"/>
  <c r="BA343" i="15"/>
  <c r="BB343" i="15"/>
  <c r="AY344" i="15"/>
  <c r="AZ344" i="15"/>
  <c r="BA344" i="15"/>
  <c r="BB344" i="15"/>
  <c r="AY345" i="15"/>
  <c r="AZ345" i="15"/>
  <c r="BA345" i="15"/>
  <c r="BB345" i="15"/>
  <c r="AY346" i="15"/>
  <c r="AZ346" i="15"/>
  <c r="BA346" i="15"/>
  <c r="BB346" i="15"/>
  <c r="AY347" i="15"/>
  <c r="AZ347" i="15"/>
  <c r="BA347" i="15"/>
  <c r="BB347" i="15"/>
  <c r="AY348" i="15"/>
  <c r="AZ348" i="15"/>
  <c r="BA348" i="15"/>
  <c r="BB348" i="15"/>
  <c r="AY349" i="15"/>
  <c r="AZ349" i="15"/>
  <c r="BA349" i="15"/>
  <c r="BB349" i="15"/>
  <c r="BB22" i="15"/>
  <c r="F23" i="5"/>
  <c r="BJ23" i="65" s="1"/>
  <c r="F24" i="5"/>
  <c r="BJ24" i="65" s="1"/>
  <c r="F25" i="5"/>
  <c r="BJ25" i="65" s="1"/>
  <c r="BK25" i="65"/>
  <c r="F26" i="5"/>
  <c r="BJ26" i="65" s="1"/>
  <c r="BK27" i="65"/>
  <c r="F27" i="5"/>
  <c r="BJ27" i="65" s="1"/>
  <c r="F28" i="5"/>
  <c r="BJ28" i="65" s="1"/>
  <c r="F29" i="5"/>
  <c r="BJ29" i="65" s="1"/>
  <c r="F30" i="5"/>
  <c r="BJ30" i="65" s="1"/>
  <c r="F31" i="5"/>
  <c r="BJ31" i="65" s="1"/>
  <c r="BK31" i="65"/>
  <c r="F32" i="5"/>
  <c r="BJ32" i="65" s="1"/>
  <c r="BK32" i="65"/>
  <c r="F33" i="5"/>
  <c r="BJ33" i="65" s="1"/>
  <c r="F34" i="5"/>
  <c r="BJ34" i="65" s="1"/>
  <c r="F35" i="5"/>
  <c r="BJ35" i="65" s="1"/>
  <c r="F36" i="5"/>
  <c r="BJ36" i="65" s="1"/>
  <c r="F37" i="5"/>
  <c r="BJ37" i="65" s="1"/>
  <c r="F38" i="5"/>
  <c r="BJ38" i="65" s="1"/>
  <c r="F39" i="5"/>
  <c r="BJ39" i="65" s="1"/>
  <c r="F40" i="5"/>
  <c r="BJ40" i="65" s="1"/>
  <c r="F41" i="5"/>
  <c r="BJ41" i="65" s="1"/>
  <c r="F42" i="5"/>
  <c r="BJ42" i="65" s="1"/>
  <c r="F43" i="5"/>
  <c r="BJ43" i="65" s="1"/>
  <c r="F44" i="5"/>
  <c r="BJ44" i="65" s="1"/>
  <c r="F45" i="5"/>
  <c r="BJ45" i="65" s="1"/>
  <c r="F46" i="5"/>
  <c r="BJ46" i="65" s="1"/>
  <c r="F47" i="5"/>
  <c r="BJ47" i="65" s="1"/>
  <c r="BK47" i="65"/>
  <c r="F48" i="5"/>
  <c r="BJ48" i="65" s="1"/>
  <c r="BK48" i="65"/>
  <c r="F49" i="5"/>
  <c r="BJ49" i="65" s="1"/>
  <c r="F50" i="5"/>
  <c r="BJ50" i="65" s="1"/>
  <c r="BK50" i="65"/>
  <c r="F51" i="5"/>
  <c r="BJ51" i="65" s="1"/>
  <c r="F52" i="5"/>
  <c r="BJ52" i="65" s="1"/>
  <c r="F53" i="5"/>
  <c r="BJ53" i="65" s="1"/>
  <c r="BK53" i="65"/>
  <c r="F54" i="5"/>
  <c r="BJ54" i="65" s="1"/>
  <c r="F55" i="5"/>
  <c r="BJ55" i="65" s="1"/>
  <c r="F56" i="5"/>
  <c r="BJ56" i="65" s="1"/>
  <c r="F57" i="5"/>
  <c r="BJ57" i="65" s="1"/>
  <c r="F58" i="5"/>
  <c r="BJ58" i="65" s="1"/>
  <c r="F59" i="5"/>
  <c r="BJ59" i="65" s="1"/>
  <c r="F60" i="5"/>
  <c r="BJ60" i="65" s="1"/>
  <c r="F61" i="5"/>
  <c r="BJ61" i="65" s="1"/>
  <c r="F63" i="5"/>
  <c r="BJ63" i="65" s="1"/>
  <c r="F64" i="5"/>
  <c r="BJ64" i="65" s="1"/>
  <c r="F65" i="5"/>
  <c r="BJ65" i="65" s="1"/>
  <c r="F66" i="5"/>
  <c r="BJ66" i="65" s="1"/>
  <c r="F67" i="5"/>
  <c r="BJ67" i="65" s="1"/>
  <c r="F68" i="5"/>
  <c r="BJ68" i="65" s="1"/>
  <c r="F69" i="5"/>
  <c r="BJ69" i="65" s="1"/>
  <c r="F70" i="5"/>
  <c r="BJ70" i="65" s="1"/>
  <c r="F71" i="5"/>
  <c r="BJ71" i="65" s="1"/>
  <c r="F72" i="5"/>
  <c r="BJ72" i="65" s="1"/>
  <c r="F73" i="5"/>
  <c r="BJ73" i="65" s="1"/>
  <c r="F74" i="5"/>
  <c r="BJ74" i="65" s="1"/>
  <c r="F75" i="5"/>
  <c r="BJ75" i="65" s="1"/>
  <c r="F76" i="5"/>
  <c r="BJ76" i="65" s="1"/>
  <c r="F77" i="5"/>
  <c r="BJ77" i="65" s="1"/>
  <c r="F78" i="5"/>
  <c r="BJ78" i="65" s="1"/>
  <c r="F79" i="5"/>
  <c r="BJ79" i="65" s="1"/>
  <c r="F80" i="5"/>
  <c r="BJ80" i="65" s="1"/>
  <c r="F81" i="5"/>
  <c r="BJ81" i="65" s="1"/>
  <c r="F82" i="5"/>
  <c r="BJ82" i="65" s="1"/>
  <c r="F83" i="5"/>
  <c r="BJ83" i="65" s="1"/>
  <c r="F84" i="5"/>
  <c r="BJ84" i="65" s="1"/>
  <c r="F85" i="5"/>
  <c r="BJ85" i="65" s="1"/>
  <c r="F86" i="5"/>
  <c r="BJ86" i="65" s="1"/>
  <c r="F87" i="5"/>
  <c r="BJ87" i="65" s="1"/>
  <c r="F88" i="5"/>
  <c r="BJ88" i="65" s="1"/>
  <c r="F89" i="5"/>
  <c r="BJ89" i="65" s="1"/>
  <c r="F90" i="5"/>
  <c r="BJ90" i="65" s="1"/>
  <c r="F91" i="5"/>
  <c r="BJ91" i="65" s="1"/>
  <c r="F92" i="5"/>
  <c r="BJ92" i="65" s="1"/>
  <c r="F93" i="5"/>
  <c r="BJ93" i="65" s="1"/>
  <c r="F94" i="5"/>
  <c r="BJ94" i="65" s="1"/>
  <c r="F95" i="5"/>
  <c r="BJ95" i="65" s="1"/>
  <c r="F96" i="5"/>
  <c r="BJ96" i="65" s="1"/>
  <c r="F97" i="5"/>
  <c r="BJ97" i="65" s="1"/>
  <c r="F98" i="5"/>
  <c r="BJ98" i="65" s="1"/>
  <c r="F99" i="5"/>
  <c r="BJ99" i="65" s="1"/>
  <c r="F100" i="5"/>
  <c r="BJ100" i="65" s="1"/>
  <c r="F101" i="5"/>
  <c r="BJ101" i="65" s="1"/>
  <c r="F102" i="5"/>
  <c r="BJ102" i="65" s="1"/>
  <c r="F103" i="5"/>
  <c r="BJ103" i="65" s="1"/>
  <c r="F104" i="5"/>
  <c r="BJ104" i="65" s="1"/>
  <c r="F105" i="5"/>
  <c r="BJ105" i="65" s="1"/>
  <c r="F106" i="5"/>
  <c r="BJ106" i="65" s="1"/>
  <c r="F107" i="5"/>
  <c r="BJ107" i="65" s="1"/>
  <c r="F108" i="5"/>
  <c r="BJ108" i="65" s="1"/>
  <c r="F109" i="5"/>
  <c r="BJ109" i="65" s="1"/>
  <c r="F110" i="5"/>
  <c r="BJ110" i="65" s="1"/>
  <c r="F111" i="5"/>
  <c r="BJ111" i="65" s="1"/>
  <c r="F112" i="5"/>
  <c r="BJ112" i="65" s="1"/>
  <c r="F113" i="5"/>
  <c r="BJ113" i="65" s="1"/>
  <c r="F114" i="5"/>
  <c r="BJ114" i="65" s="1"/>
  <c r="F115" i="5"/>
  <c r="BJ115" i="65" s="1"/>
  <c r="F116" i="5"/>
  <c r="BJ116" i="65" s="1"/>
  <c r="F117" i="5"/>
  <c r="BJ117" i="65" s="1"/>
  <c r="F118" i="5"/>
  <c r="BJ118" i="65" s="1"/>
  <c r="F119" i="5"/>
  <c r="BJ119" i="65" s="1"/>
  <c r="F120" i="5"/>
  <c r="BJ120" i="65" s="1"/>
  <c r="F121" i="5"/>
  <c r="BJ121" i="65" s="1"/>
  <c r="F122" i="5"/>
  <c r="BJ122" i="65" s="1"/>
  <c r="F123" i="5"/>
  <c r="BJ123" i="65" s="1"/>
  <c r="F124" i="5"/>
  <c r="BJ124" i="65" s="1"/>
  <c r="F125" i="5"/>
  <c r="BJ125" i="65" s="1"/>
  <c r="F126" i="5"/>
  <c r="BJ126" i="65" s="1"/>
  <c r="F127" i="5"/>
  <c r="BJ127" i="65" s="1"/>
  <c r="F128" i="5"/>
  <c r="BJ128" i="65" s="1"/>
  <c r="F129" i="5"/>
  <c r="BJ129" i="65" s="1"/>
  <c r="F130" i="5"/>
  <c r="BJ130" i="65" s="1"/>
  <c r="F131" i="5"/>
  <c r="BJ131" i="65" s="1"/>
  <c r="F132" i="5"/>
  <c r="BJ132" i="65" s="1"/>
  <c r="F133" i="5"/>
  <c r="BJ133" i="65" s="1"/>
  <c r="F134" i="5"/>
  <c r="BJ134" i="65" s="1"/>
  <c r="F135" i="5"/>
  <c r="BJ135" i="65" s="1"/>
  <c r="F136" i="5"/>
  <c r="BJ136" i="65" s="1"/>
  <c r="F137" i="5"/>
  <c r="BJ137" i="65" s="1"/>
  <c r="F138" i="5"/>
  <c r="BJ138" i="65" s="1"/>
  <c r="F139" i="5"/>
  <c r="BJ139" i="65" s="1"/>
  <c r="F140" i="5"/>
  <c r="BJ140" i="65" s="1"/>
  <c r="F141" i="5"/>
  <c r="BJ141" i="65" s="1"/>
  <c r="F142" i="5"/>
  <c r="BJ142" i="65" s="1"/>
  <c r="F143" i="5"/>
  <c r="BJ143" i="65" s="1"/>
  <c r="F144" i="5"/>
  <c r="BJ144" i="65" s="1"/>
  <c r="F145" i="5"/>
  <c r="BJ145" i="65" s="1"/>
  <c r="F146" i="5"/>
  <c r="BJ146" i="65" s="1"/>
  <c r="F147" i="5"/>
  <c r="BJ147" i="65" s="1"/>
  <c r="F148" i="5"/>
  <c r="BJ148" i="65" s="1"/>
  <c r="F149" i="5"/>
  <c r="BJ149" i="65" s="1"/>
  <c r="F150" i="5"/>
  <c r="BJ150" i="65" s="1"/>
  <c r="F151" i="5"/>
  <c r="BJ151" i="65" s="1"/>
  <c r="F152" i="5"/>
  <c r="BJ152" i="65" s="1"/>
  <c r="F153" i="5"/>
  <c r="BJ153" i="65" s="1"/>
  <c r="F154" i="5"/>
  <c r="BJ154" i="65" s="1"/>
  <c r="F155" i="5"/>
  <c r="BJ155" i="65" s="1"/>
  <c r="F156" i="5"/>
  <c r="BJ156" i="65" s="1"/>
  <c r="F157" i="5"/>
  <c r="BJ157" i="65" s="1"/>
  <c r="F158" i="5"/>
  <c r="BJ158" i="65" s="1"/>
  <c r="F159" i="5"/>
  <c r="BJ159" i="65" s="1"/>
  <c r="F160" i="5"/>
  <c r="BJ160" i="65" s="1"/>
  <c r="F161" i="5"/>
  <c r="BJ161" i="65" s="1"/>
  <c r="F162" i="5"/>
  <c r="BJ162" i="65" s="1"/>
  <c r="F163" i="5"/>
  <c r="BJ163" i="65" s="1"/>
  <c r="F164" i="5"/>
  <c r="BJ164" i="65" s="1"/>
  <c r="F165" i="5"/>
  <c r="BJ165" i="65" s="1"/>
  <c r="F166" i="5"/>
  <c r="BJ166" i="65" s="1"/>
  <c r="F167" i="5"/>
  <c r="BJ167" i="65" s="1"/>
  <c r="F168" i="5"/>
  <c r="BJ168" i="65" s="1"/>
  <c r="F169" i="5"/>
  <c r="BJ169" i="65" s="1"/>
  <c r="F170" i="5"/>
  <c r="BJ170" i="65" s="1"/>
  <c r="F171" i="5"/>
  <c r="BJ171" i="65" s="1"/>
  <c r="F172" i="5"/>
  <c r="BJ172" i="65" s="1"/>
  <c r="F173" i="5"/>
  <c r="BJ173" i="65" s="1"/>
  <c r="F174" i="5"/>
  <c r="BJ174" i="65" s="1"/>
  <c r="F175" i="5"/>
  <c r="BJ175" i="65" s="1"/>
  <c r="F176" i="5"/>
  <c r="BJ176" i="65" s="1"/>
  <c r="F177" i="5"/>
  <c r="BJ177" i="65" s="1"/>
  <c r="F178" i="5"/>
  <c r="BJ178" i="65" s="1"/>
  <c r="F179" i="5"/>
  <c r="BJ179" i="65" s="1"/>
  <c r="F180" i="5"/>
  <c r="BJ180" i="65" s="1"/>
  <c r="F181" i="5"/>
  <c r="BJ181" i="65" s="1"/>
  <c r="F182" i="5"/>
  <c r="BJ182" i="65" s="1"/>
  <c r="F183" i="5"/>
  <c r="BJ183" i="65" s="1"/>
  <c r="F184" i="5"/>
  <c r="BJ184" i="65" s="1"/>
  <c r="F185" i="5"/>
  <c r="BJ185" i="65" s="1"/>
  <c r="F186" i="5"/>
  <c r="BJ186" i="65" s="1"/>
  <c r="F187" i="5"/>
  <c r="BJ187" i="65" s="1"/>
  <c r="F188" i="5"/>
  <c r="BJ188" i="65" s="1"/>
  <c r="F189" i="5"/>
  <c r="BJ189" i="65" s="1"/>
  <c r="F190" i="5"/>
  <c r="BJ190" i="65" s="1"/>
  <c r="F191" i="5"/>
  <c r="BJ191" i="65" s="1"/>
  <c r="F192" i="5"/>
  <c r="BJ192" i="65" s="1"/>
  <c r="F193" i="5"/>
  <c r="BJ193" i="65" s="1"/>
  <c r="F194" i="5"/>
  <c r="BJ194" i="65" s="1"/>
  <c r="F195" i="5"/>
  <c r="BJ195" i="65" s="1"/>
  <c r="F196" i="5"/>
  <c r="BJ196" i="65" s="1"/>
  <c r="F197" i="5"/>
  <c r="BJ197" i="65" s="1"/>
  <c r="F198" i="5"/>
  <c r="BJ198" i="65" s="1"/>
  <c r="F199" i="5"/>
  <c r="BJ199" i="65" s="1"/>
  <c r="F200" i="5"/>
  <c r="BJ200" i="65" s="1"/>
  <c r="F201" i="5"/>
  <c r="BJ201" i="65" s="1"/>
  <c r="F202" i="5"/>
  <c r="BJ202" i="65" s="1"/>
  <c r="F203" i="5"/>
  <c r="BJ203" i="65" s="1"/>
  <c r="F204" i="5"/>
  <c r="BJ204" i="65" s="1"/>
  <c r="F205" i="5"/>
  <c r="BJ205" i="65" s="1"/>
  <c r="F206" i="5"/>
  <c r="BJ206" i="65" s="1"/>
  <c r="F207" i="5"/>
  <c r="BJ207" i="65" s="1"/>
  <c r="F208" i="5"/>
  <c r="BJ208" i="65" s="1"/>
  <c r="F209" i="5"/>
  <c r="BJ209" i="65" s="1"/>
  <c r="F210" i="5"/>
  <c r="BJ210" i="65" s="1"/>
  <c r="F211" i="5"/>
  <c r="BJ211" i="65" s="1"/>
  <c r="F212" i="5"/>
  <c r="BJ212" i="65" s="1"/>
  <c r="F213" i="5"/>
  <c r="BJ213" i="65" s="1"/>
  <c r="F214" i="5"/>
  <c r="BJ214" i="65" s="1"/>
  <c r="F215" i="5"/>
  <c r="BJ215" i="65" s="1"/>
  <c r="F216" i="5"/>
  <c r="BJ216" i="65" s="1"/>
  <c r="F217" i="5"/>
  <c r="BJ217" i="65" s="1"/>
  <c r="F218" i="5"/>
  <c r="BJ218" i="65" s="1"/>
  <c r="F219" i="5"/>
  <c r="BJ219" i="65" s="1"/>
  <c r="F220" i="5"/>
  <c r="BJ220" i="65" s="1"/>
  <c r="F221" i="5"/>
  <c r="BJ221" i="65" s="1"/>
  <c r="F222" i="5"/>
  <c r="BJ222" i="65" s="1"/>
  <c r="F223" i="5"/>
  <c r="BJ223" i="65" s="1"/>
  <c r="F224" i="5"/>
  <c r="BJ224" i="65" s="1"/>
  <c r="F225" i="5"/>
  <c r="BJ225" i="65" s="1"/>
  <c r="F226" i="5"/>
  <c r="BJ226" i="65" s="1"/>
  <c r="F227" i="5"/>
  <c r="BJ227" i="65" s="1"/>
  <c r="F228" i="5"/>
  <c r="BJ228" i="65" s="1"/>
  <c r="F229" i="5"/>
  <c r="BJ229" i="65" s="1"/>
  <c r="F230" i="5"/>
  <c r="BJ230" i="65" s="1"/>
  <c r="F231" i="5"/>
  <c r="BJ231" i="65" s="1"/>
  <c r="F232" i="5"/>
  <c r="BJ232" i="65" s="1"/>
  <c r="F233" i="5"/>
  <c r="BJ233" i="65" s="1"/>
  <c r="F234" i="5"/>
  <c r="BJ234" i="65" s="1"/>
  <c r="F235" i="5"/>
  <c r="BJ235" i="65" s="1"/>
  <c r="F236" i="5"/>
  <c r="BJ236" i="65" s="1"/>
  <c r="F237" i="5"/>
  <c r="BJ237" i="65" s="1"/>
  <c r="F238" i="5"/>
  <c r="BJ238" i="65" s="1"/>
  <c r="F239" i="5"/>
  <c r="BJ239" i="65" s="1"/>
  <c r="F240" i="5"/>
  <c r="BJ240" i="65" s="1"/>
  <c r="F241" i="5"/>
  <c r="BJ241" i="65" s="1"/>
  <c r="F242" i="5"/>
  <c r="BJ242" i="65" s="1"/>
  <c r="F243" i="5"/>
  <c r="BJ243" i="65" s="1"/>
  <c r="F244" i="5"/>
  <c r="BJ244" i="65" s="1"/>
  <c r="F245" i="5"/>
  <c r="BJ245" i="65" s="1"/>
  <c r="F246" i="5"/>
  <c r="BJ246" i="65" s="1"/>
  <c r="F247" i="5"/>
  <c r="BJ247" i="65" s="1"/>
  <c r="F248" i="5"/>
  <c r="BJ248" i="65" s="1"/>
  <c r="F249" i="5"/>
  <c r="BJ249" i="65" s="1"/>
  <c r="F250" i="5"/>
  <c r="BJ250" i="65" s="1"/>
  <c r="F251" i="5"/>
  <c r="BJ251" i="65" s="1"/>
  <c r="F252" i="5"/>
  <c r="BJ252" i="65" s="1"/>
  <c r="F253" i="5"/>
  <c r="BJ253" i="65" s="1"/>
  <c r="F254" i="5"/>
  <c r="BJ254" i="65" s="1"/>
  <c r="F255" i="5"/>
  <c r="BJ255" i="65" s="1"/>
  <c r="F256" i="5"/>
  <c r="BJ256" i="65" s="1"/>
  <c r="F257" i="5"/>
  <c r="BJ257" i="65" s="1"/>
  <c r="F258" i="5"/>
  <c r="AD258" i="5" s="1"/>
  <c r="F259" i="5"/>
  <c r="BJ259" i="65" s="1"/>
  <c r="F260" i="5"/>
  <c r="AC260" i="5" s="1"/>
  <c r="BB260" i="73" s="1"/>
  <c r="F261" i="5"/>
  <c r="BJ261" i="65" s="1"/>
  <c r="F262" i="5"/>
  <c r="Q262" i="5" s="1"/>
  <c r="BA262" i="73" s="1"/>
  <c r="F263" i="5"/>
  <c r="BJ263" i="65" s="1"/>
  <c r="F264" i="5"/>
  <c r="V264" i="5" s="1"/>
  <c r="F265" i="5"/>
  <c r="BJ265" i="65" s="1"/>
  <c r="F266" i="5"/>
  <c r="AD266" i="5" s="1"/>
  <c r="F267" i="5"/>
  <c r="BJ267" i="65" s="1"/>
  <c r="F268" i="5"/>
  <c r="AC268" i="5" s="1"/>
  <c r="BB268" i="73" s="1"/>
  <c r="F269" i="5"/>
  <c r="BJ269" i="65" s="1"/>
  <c r="F270" i="5"/>
  <c r="Q270" i="5" s="1"/>
  <c r="BA270" i="73" s="1"/>
  <c r="F271" i="5"/>
  <c r="BJ271" i="65" s="1"/>
  <c r="F272" i="5"/>
  <c r="V272" i="5" s="1"/>
  <c r="F273" i="5"/>
  <c r="BJ273" i="65" s="1"/>
  <c r="F274" i="5"/>
  <c r="AD274" i="5" s="1"/>
  <c r="F275" i="5"/>
  <c r="BJ275" i="65" s="1"/>
  <c r="F276" i="5"/>
  <c r="AC276" i="5" s="1"/>
  <c r="BB276" i="73" s="1"/>
  <c r="F277" i="5"/>
  <c r="BJ277" i="65" s="1"/>
  <c r="F278" i="5"/>
  <c r="Q278" i="5" s="1"/>
  <c r="BA278" i="73" s="1"/>
  <c r="F279" i="5"/>
  <c r="BJ279" i="65" s="1"/>
  <c r="F280" i="5"/>
  <c r="V280" i="5" s="1"/>
  <c r="F281" i="5"/>
  <c r="BJ281" i="65" s="1"/>
  <c r="F282" i="5"/>
  <c r="AD282" i="5" s="1"/>
  <c r="F283" i="5"/>
  <c r="BJ283" i="65" s="1"/>
  <c r="F284" i="5"/>
  <c r="AC284" i="5" s="1"/>
  <c r="BB284" i="73" s="1"/>
  <c r="F285" i="5"/>
  <c r="BJ285" i="65" s="1"/>
  <c r="F286" i="5"/>
  <c r="Q286" i="5" s="1"/>
  <c r="BA286" i="73" s="1"/>
  <c r="F287" i="5"/>
  <c r="P287" i="5" s="1"/>
  <c r="F288" i="5"/>
  <c r="V288" i="5" s="1"/>
  <c r="F289" i="5"/>
  <c r="P289" i="5" s="1"/>
  <c r="F290" i="5"/>
  <c r="AD290" i="5" s="1"/>
  <c r="F291" i="5"/>
  <c r="P291" i="5" s="1"/>
  <c r="F292" i="5"/>
  <c r="AC292" i="5" s="1"/>
  <c r="BB292" i="73" s="1"/>
  <c r="F293" i="5"/>
  <c r="P293" i="5" s="1"/>
  <c r="F294" i="5"/>
  <c r="Q294" i="5" s="1"/>
  <c r="BA294" i="73" s="1"/>
  <c r="F295" i="5"/>
  <c r="P295" i="5" s="1"/>
  <c r="F296" i="5"/>
  <c r="V296" i="5" s="1"/>
  <c r="F297" i="5"/>
  <c r="P297" i="5" s="1"/>
  <c r="F298" i="5"/>
  <c r="AD298" i="5" s="1"/>
  <c r="F299" i="5"/>
  <c r="P299" i="5" s="1"/>
  <c r="F300" i="5"/>
  <c r="AC300" i="5" s="1"/>
  <c r="BB300" i="73" s="1"/>
  <c r="F301" i="5"/>
  <c r="P301" i="5" s="1"/>
  <c r="F302" i="5"/>
  <c r="Q302" i="5" s="1"/>
  <c r="BA302" i="73" s="1"/>
  <c r="F303" i="5"/>
  <c r="P303" i="5" s="1"/>
  <c r="F304" i="5"/>
  <c r="V304" i="5" s="1"/>
  <c r="F305" i="5"/>
  <c r="P305" i="5" s="1"/>
  <c r="F306" i="5"/>
  <c r="AD306" i="5" s="1"/>
  <c r="F307" i="5"/>
  <c r="P307" i="5" s="1"/>
  <c r="F308" i="5"/>
  <c r="AC308" i="5" s="1"/>
  <c r="BB308" i="73" s="1"/>
  <c r="F309" i="5"/>
  <c r="P309" i="5" s="1"/>
  <c r="F310" i="5"/>
  <c r="Q310" i="5" s="1"/>
  <c r="BA310" i="73" s="1"/>
  <c r="F311" i="5"/>
  <c r="P311" i="5" s="1"/>
  <c r="F312" i="5"/>
  <c r="V312" i="5" s="1"/>
  <c r="F313" i="5"/>
  <c r="P313" i="5" s="1"/>
  <c r="F314" i="5"/>
  <c r="AD314" i="5" s="1"/>
  <c r="F315" i="5"/>
  <c r="P315" i="5" s="1"/>
  <c r="F316" i="5"/>
  <c r="AC316" i="5" s="1"/>
  <c r="BB316" i="73" s="1"/>
  <c r="F317" i="5"/>
  <c r="P317" i="5" s="1"/>
  <c r="F318" i="5"/>
  <c r="Q318" i="5" s="1"/>
  <c r="BA318" i="73" s="1"/>
  <c r="F319" i="5"/>
  <c r="P319" i="5" s="1"/>
  <c r="F320" i="5"/>
  <c r="V320" i="5" s="1"/>
  <c r="F321" i="5"/>
  <c r="P321" i="5" s="1"/>
  <c r="F322" i="5"/>
  <c r="AD322" i="5" s="1"/>
  <c r="F323" i="5"/>
  <c r="P323" i="5" s="1"/>
  <c r="F324" i="5"/>
  <c r="AC324" i="5" s="1"/>
  <c r="BB324" i="73" s="1"/>
  <c r="F325" i="5"/>
  <c r="P325" i="5" s="1"/>
  <c r="F326" i="5"/>
  <c r="P326" i="5" s="1"/>
  <c r="F327" i="5"/>
  <c r="P327" i="5" s="1"/>
  <c r="F328" i="5"/>
  <c r="V328" i="5" s="1"/>
  <c r="F329" i="5"/>
  <c r="P329" i="5" s="1"/>
  <c r="F330" i="5"/>
  <c r="AD330" i="5" s="1"/>
  <c r="F331" i="5"/>
  <c r="P331" i="5" s="1"/>
  <c r="F332" i="5"/>
  <c r="U332" i="5" s="1"/>
  <c r="F333" i="5"/>
  <c r="P333" i="5" s="1"/>
  <c r="F334" i="5"/>
  <c r="Q334" i="5" s="1"/>
  <c r="BA334" i="73" s="1"/>
  <c r="F335" i="5"/>
  <c r="P335" i="5" s="1"/>
  <c r="F336" i="5"/>
  <c r="N336" i="5" s="1"/>
  <c r="AU336" i="73" s="1"/>
  <c r="F337" i="5"/>
  <c r="P337" i="5" s="1"/>
  <c r="F338" i="5"/>
  <c r="T338" i="5" s="1"/>
  <c r="AX338" i="73" s="1"/>
  <c r="F339" i="5"/>
  <c r="P339" i="5" s="1"/>
  <c r="F340" i="5"/>
  <c r="AC340" i="5" s="1"/>
  <c r="BB340" i="73" s="1"/>
  <c r="F341" i="5"/>
  <c r="P341" i="5" s="1"/>
  <c r="F342" i="5"/>
  <c r="P342" i="5" s="1"/>
  <c r="F343" i="5"/>
  <c r="N343" i="5" s="1"/>
  <c r="AU343" i="73" s="1"/>
  <c r="F344" i="5"/>
  <c r="T344" i="5" s="1"/>
  <c r="AX344" i="73" s="1"/>
  <c r="F345" i="5"/>
  <c r="U345" i="5" s="1"/>
  <c r="F346" i="5"/>
  <c r="AC346" i="5" s="1"/>
  <c r="BB346" i="73" s="1"/>
  <c r="F347" i="5"/>
  <c r="Q347" i="5" s="1"/>
  <c r="BA347" i="73" s="1"/>
  <c r="F348" i="5"/>
  <c r="U348" i="5" s="1"/>
  <c r="F349" i="5"/>
  <c r="AD349" i="5" s="1"/>
  <c r="F22" i="5"/>
  <c r="BJ22" i="65" s="1"/>
  <c r="BI38" i="65"/>
  <c r="BI39" i="65"/>
  <c r="BI40" i="65"/>
  <c r="BI41" i="65"/>
  <c r="BI42" i="65"/>
  <c r="BI43" i="65"/>
  <c r="BI44" i="65"/>
  <c r="BI45" i="65"/>
  <c r="BI46" i="65"/>
  <c r="BI47" i="65"/>
  <c r="BI48" i="65"/>
  <c r="BI49" i="65"/>
  <c r="BI50" i="65"/>
  <c r="BI51" i="65"/>
  <c r="BI52" i="65"/>
  <c r="BI53" i="65"/>
  <c r="BI54" i="65"/>
  <c r="BI55" i="65"/>
  <c r="BI56" i="65"/>
  <c r="BI57" i="65"/>
  <c r="BI58" i="65"/>
  <c r="BI59" i="65"/>
  <c r="BI60" i="65"/>
  <c r="BI61" i="65"/>
  <c r="BI62" i="65"/>
  <c r="BI63" i="65"/>
  <c r="BI64" i="65"/>
  <c r="BI65" i="65"/>
  <c r="BI66" i="65"/>
  <c r="BI67" i="65"/>
  <c r="BI68" i="65"/>
  <c r="BI69" i="65"/>
  <c r="BI70" i="65"/>
  <c r="BI71" i="65"/>
  <c r="BI72" i="65"/>
  <c r="BI73" i="65"/>
  <c r="BI74" i="65"/>
  <c r="BI75" i="65"/>
  <c r="BI76" i="65"/>
  <c r="BI77" i="65"/>
  <c r="BI78" i="65"/>
  <c r="BI79" i="65"/>
  <c r="BI80" i="65"/>
  <c r="BI81" i="65"/>
  <c r="BI82" i="65"/>
  <c r="BI83" i="65"/>
  <c r="BI84" i="65"/>
  <c r="BI85" i="65"/>
  <c r="BI86" i="65"/>
  <c r="BI87" i="65"/>
  <c r="BI88" i="65"/>
  <c r="BI89" i="65"/>
  <c r="BI90" i="65"/>
  <c r="BI91" i="65"/>
  <c r="BI92" i="65"/>
  <c r="BI93" i="65"/>
  <c r="BI94" i="65"/>
  <c r="BI95" i="65"/>
  <c r="BI96" i="65"/>
  <c r="BI97" i="65"/>
  <c r="BI98" i="65"/>
  <c r="BI99" i="65"/>
  <c r="BI100" i="65"/>
  <c r="BI101" i="65"/>
  <c r="BI102" i="65"/>
  <c r="BI103" i="65"/>
  <c r="BI104" i="65"/>
  <c r="BI105" i="65"/>
  <c r="BI106" i="65"/>
  <c r="BI107" i="65"/>
  <c r="BI108" i="65"/>
  <c r="BI109" i="65"/>
  <c r="BI110" i="65"/>
  <c r="BI111" i="65"/>
  <c r="BI112" i="65"/>
  <c r="BI113" i="65"/>
  <c r="BI114" i="65"/>
  <c r="BI115" i="65"/>
  <c r="BI116" i="65"/>
  <c r="BI117" i="65"/>
  <c r="BI118" i="65"/>
  <c r="BI119" i="65"/>
  <c r="BI120" i="65"/>
  <c r="BI121" i="65"/>
  <c r="BI122" i="65"/>
  <c r="BI123" i="65"/>
  <c r="BI124" i="65"/>
  <c r="BI125" i="65"/>
  <c r="BI126" i="65"/>
  <c r="BI127" i="65"/>
  <c r="BI128" i="65"/>
  <c r="BI129" i="65"/>
  <c r="BI130" i="65"/>
  <c r="BI131" i="65"/>
  <c r="BI132" i="65"/>
  <c r="BI133" i="65"/>
  <c r="BI134" i="65"/>
  <c r="BI135" i="65"/>
  <c r="BI136" i="65"/>
  <c r="BI137" i="65"/>
  <c r="BI138" i="65"/>
  <c r="BI139" i="65"/>
  <c r="BI140" i="65"/>
  <c r="BI141" i="65"/>
  <c r="BI142" i="65"/>
  <c r="BI143" i="65"/>
  <c r="BI144" i="65"/>
  <c r="BI145" i="65"/>
  <c r="BI146" i="65"/>
  <c r="BI147" i="65"/>
  <c r="BI148" i="65"/>
  <c r="BI149" i="65"/>
  <c r="BI150" i="65"/>
  <c r="BI151" i="65"/>
  <c r="BI152" i="65"/>
  <c r="BI153" i="65"/>
  <c r="BI154" i="65"/>
  <c r="BI155" i="65"/>
  <c r="BI156" i="65"/>
  <c r="BI157" i="65"/>
  <c r="BI158" i="65"/>
  <c r="BI159" i="65"/>
  <c r="BI160" i="65"/>
  <c r="BI161" i="65"/>
  <c r="BI162" i="65"/>
  <c r="BI163" i="65"/>
  <c r="BI164" i="65"/>
  <c r="BI165" i="65"/>
  <c r="BI166" i="65"/>
  <c r="BI167" i="65"/>
  <c r="BI168" i="65"/>
  <c r="BI169" i="65"/>
  <c r="BI170" i="65"/>
  <c r="BI171" i="65"/>
  <c r="BI172" i="65"/>
  <c r="BI173" i="65"/>
  <c r="BI174" i="65"/>
  <c r="BI175" i="65"/>
  <c r="BI176" i="65"/>
  <c r="BI177" i="65"/>
  <c r="BI178" i="65"/>
  <c r="BI179" i="65"/>
  <c r="BI180" i="65"/>
  <c r="BI181" i="65"/>
  <c r="BI182" i="65"/>
  <c r="BI183" i="65"/>
  <c r="BI184" i="65"/>
  <c r="BI185" i="65"/>
  <c r="BI186" i="65"/>
  <c r="BI187" i="65"/>
  <c r="BI188" i="65"/>
  <c r="BI189" i="65"/>
  <c r="BI190" i="65"/>
  <c r="BI191" i="65"/>
  <c r="BI192" i="65"/>
  <c r="BI193" i="65"/>
  <c r="BI194" i="65"/>
  <c r="BI195" i="65"/>
  <c r="BI196" i="65"/>
  <c r="BI197" i="65"/>
  <c r="BI198" i="65"/>
  <c r="BI199" i="65"/>
  <c r="BI200" i="65"/>
  <c r="BI201" i="65"/>
  <c r="BI202" i="65"/>
  <c r="BI203" i="65"/>
  <c r="BI204" i="65"/>
  <c r="BI205" i="65"/>
  <c r="BI206" i="65"/>
  <c r="BI207" i="65"/>
  <c r="BI208" i="65"/>
  <c r="BI209" i="65"/>
  <c r="BI210" i="65"/>
  <c r="BI211" i="65"/>
  <c r="BI212" i="65"/>
  <c r="BI213" i="65"/>
  <c r="BI214" i="65"/>
  <c r="BI215" i="65"/>
  <c r="BI216" i="65"/>
  <c r="BI217" i="65"/>
  <c r="BI218" i="65"/>
  <c r="BI219" i="65"/>
  <c r="BI220" i="65"/>
  <c r="BI221" i="65"/>
  <c r="BI222" i="65"/>
  <c r="BI223" i="65"/>
  <c r="BI224" i="65"/>
  <c r="BI225" i="65"/>
  <c r="BI226" i="65"/>
  <c r="BI227" i="65"/>
  <c r="BI228" i="65"/>
  <c r="BI229" i="65"/>
  <c r="BI230" i="65"/>
  <c r="BI231" i="65"/>
  <c r="BI232" i="65"/>
  <c r="BI233" i="65"/>
  <c r="BI234" i="65"/>
  <c r="BI235" i="65"/>
  <c r="BI236" i="65"/>
  <c r="BI237" i="65"/>
  <c r="BI238" i="65"/>
  <c r="BI239" i="65"/>
  <c r="BI240" i="65"/>
  <c r="BI241" i="65"/>
  <c r="BI242" i="65"/>
  <c r="BI243" i="65"/>
  <c r="BI244" i="65"/>
  <c r="BI245" i="65"/>
  <c r="BI246" i="65"/>
  <c r="BI247" i="65"/>
  <c r="BI248" i="65"/>
  <c r="BI249" i="65"/>
  <c r="BI250" i="65"/>
  <c r="BI251" i="65"/>
  <c r="BI252" i="65"/>
  <c r="BI253" i="65"/>
  <c r="BI254" i="65"/>
  <c r="BI255" i="65"/>
  <c r="BI256" i="65"/>
  <c r="BI257" i="65"/>
  <c r="BI258" i="65"/>
  <c r="BI259" i="65"/>
  <c r="BI260" i="65"/>
  <c r="BI261" i="65"/>
  <c r="BI262" i="65"/>
  <c r="BI263" i="65"/>
  <c r="BI264" i="65"/>
  <c r="BI265" i="65"/>
  <c r="BI266" i="65"/>
  <c r="BI267" i="65"/>
  <c r="BI268" i="65"/>
  <c r="BI269" i="65"/>
  <c r="BI270" i="65"/>
  <c r="BI271" i="65"/>
  <c r="BI272" i="65"/>
  <c r="BI273" i="65"/>
  <c r="BI274" i="65"/>
  <c r="BI275" i="65"/>
  <c r="BI276" i="65"/>
  <c r="BI277" i="65"/>
  <c r="BI278" i="65"/>
  <c r="BI279" i="65"/>
  <c r="BI280" i="65"/>
  <c r="BI281" i="65"/>
  <c r="BI282" i="65"/>
  <c r="BI283" i="65"/>
  <c r="BI284" i="65"/>
  <c r="BI285" i="65"/>
  <c r="BI286" i="65"/>
  <c r="BI287" i="65"/>
  <c r="BI288" i="65"/>
  <c r="BI289" i="65"/>
  <c r="BI290" i="65"/>
  <c r="BI291" i="65"/>
  <c r="BI292" i="65"/>
  <c r="BI293" i="65"/>
  <c r="BI294" i="65"/>
  <c r="BI295" i="65"/>
  <c r="BI296" i="65"/>
  <c r="BI297" i="65"/>
  <c r="BI298" i="65"/>
  <c r="BI299" i="65"/>
  <c r="BI300" i="65"/>
  <c r="BI301" i="65"/>
  <c r="BI302" i="65"/>
  <c r="BI303" i="65"/>
  <c r="BI304" i="65"/>
  <c r="BI305" i="65"/>
  <c r="BI306" i="65"/>
  <c r="BI307" i="65"/>
  <c r="BI308" i="65"/>
  <c r="BI309" i="65"/>
  <c r="BI310" i="65"/>
  <c r="BI311" i="65"/>
  <c r="BI312" i="65"/>
  <c r="BI313" i="65"/>
  <c r="BI314" i="65"/>
  <c r="BI315" i="65"/>
  <c r="BI316" i="65"/>
  <c r="BI317" i="65"/>
  <c r="BI318" i="65"/>
  <c r="BI319" i="65"/>
  <c r="BI320" i="65"/>
  <c r="BI321" i="65"/>
  <c r="BI322" i="65"/>
  <c r="BI323" i="65"/>
  <c r="BI324" i="65"/>
  <c r="BI325" i="65"/>
  <c r="BI326" i="65"/>
  <c r="BI327" i="65"/>
  <c r="BI328" i="65"/>
  <c r="BI329" i="65"/>
  <c r="BI330" i="65"/>
  <c r="BI331" i="65"/>
  <c r="BI332" i="65"/>
  <c r="BI333" i="65"/>
  <c r="BI334" i="65"/>
  <c r="BI335" i="65"/>
  <c r="BI336" i="65"/>
  <c r="BI337" i="65"/>
  <c r="BI338" i="65"/>
  <c r="BI339" i="65"/>
  <c r="BI340" i="65"/>
  <c r="BI341" i="65"/>
  <c r="BI342" i="65"/>
  <c r="BI343" i="65"/>
  <c r="BI344" i="65"/>
  <c r="BI345" i="65"/>
  <c r="BI346" i="65"/>
  <c r="BI347" i="65"/>
  <c r="BI348" i="65"/>
  <c r="BI349" i="65"/>
  <c r="BI23" i="65"/>
  <c r="BI24" i="65"/>
  <c r="BI25" i="65"/>
  <c r="BI26" i="65"/>
  <c r="BI27" i="65"/>
  <c r="BI28" i="65"/>
  <c r="BI29" i="65"/>
  <c r="BI30" i="65"/>
  <c r="BI31" i="65"/>
  <c r="BI32" i="65"/>
  <c r="BI33" i="65"/>
  <c r="BI34" i="65"/>
  <c r="BI35" i="65"/>
  <c r="BI36" i="65"/>
  <c r="BI37" i="65"/>
  <c r="BI22" i="65"/>
  <c r="D42" i="92"/>
  <c r="C42" i="92"/>
  <c r="B42" i="92"/>
  <c r="J348" i="5"/>
  <c r="AT348" i="73" s="1"/>
  <c r="U346" i="5"/>
  <c r="AD344" i="5"/>
  <c r="Q342" i="5"/>
  <c r="BA342" i="73" s="1"/>
  <c r="K342" i="5"/>
  <c r="U340" i="5"/>
  <c r="AD338" i="5"/>
  <c r="O338" i="5"/>
  <c r="V336" i="5"/>
  <c r="L336" i="5"/>
  <c r="P334" i="5"/>
  <c r="AC332" i="5"/>
  <c r="BB332" i="73" s="1"/>
  <c r="J332" i="5"/>
  <c r="AT332" i="73" s="1"/>
  <c r="T330" i="5"/>
  <c r="AX330" i="73" s="1"/>
  <c r="M330" i="5"/>
  <c r="N328" i="5"/>
  <c r="AU328" i="73" s="1"/>
  <c r="Q326" i="5"/>
  <c r="BA326" i="73" s="1"/>
  <c r="K326" i="5"/>
  <c r="N324" i="5"/>
  <c r="AU324" i="73" s="1"/>
  <c r="L324" i="5"/>
  <c r="Q322" i="5"/>
  <c r="BA322" i="73" s="1"/>
  <c r="P322" i="5"/>
  <c r="K322" i="5"/>
  <c r="AC320" i="5"/>
  <c r="BB320" i="73" s="1"/>
  <c r="U320" i="5"/>
  <c r="AD318" i="5"/>
  <c r="T318" i="5"/>
  <c r="AX318" i="73" s="1"/>
  <c r="O318" i="5"/>
  <c r="M318" i="5"/>
  <c r="V316" i="5"/>
  <c r="N316" i="5"/>
  <c r="AU316" i="73" s="1"/>
  <c r="L316" i="5"/>
  <c r="Q314" i="5"/>
  <c r="BA314" i="73" s="1"/>
  <c r="P314" i="5"/>
  <c r="K314" i="5"/>
  <c r="AC312" i="5"/>
  <c r="BB312" i="73" s="1"/>
  <c r="J312" i="5"/>
  <c r="AT312" i="73" s="1"/>
  <c r="AD310" i="5"/>
  <c r="T310" i="5"/>
  <c r="AX310" i="73" s="1"/>
  <c r="O310" i="5"/>
  <c r="M310" i="5"/>
  <c r="V308" i="5"/>
  <c r="N308" i="5"/>
  <c r="AU308" i="73" s="1"/>
  <c r="Q306" i="5"/>
  <c r="BA306" i="73" s="1"/>
  <c r="P306" i="5"/>
  <c r="K306" i="5"/>
  <c r="U304" i="5"/>
  <c r="J304" i="5"/>
  <c r="AT304" i="73" s="1"/>
  <c r="AD302" i="5"/>
  <c r="T302" i="5"/>
  <c r="AX302" i="73" s="1"/>
  <c r="O302" i="5"/>
  <c r="M302" i="5"/>
  <c r="V300" i="5"/>
  <c r="L300" i="5"/>
  <c r="Q298" i="5"/>
  <c r="BA298" i="73" s="1"/>
  <c r="P298" i="5"/>
  <c r="K298" i="5"/>
  <c r="AC296" i="5"/>
  <c r="BB296" i="73" s="1"/>
  <c r="U296" i="5"/>
  <c r="J296" i="5"/>
  <c r="AT296" i="73" s="1"/>
  <c r="AD294" i="5"/>
  <c r="T294" i="5"/>
  <c r="AX294" i="73" s="1"/>
  <c r="O294" i="5"/>
  <c r="M294" i="5"/>
  <c r="N292" i="5"/>
  <c r="AU292" i="73" s="1"/>
  <c r="L292" i="5"/>
  <c r="Q290" i="5"/>
  <c r="BA290" i="73" s="1"/>
  <c r="P290" i="5"/>
  <c r="K290" i="5"/>
  <c r="AC288" i="5"/>
  <c r="BB288" i="73" s="1"/>
  <c r="U288" i="5"/>
  <c r="AD286" i="5"/>
  <c r="T286" i="5"/>
  <c r="AX286" i="73" s="1"/>
  <c r="O286" i="5"/>
  <c r="M286" i="5"/>
  <c r="V284" i="5"/>
  <c r="N284" i="5"/>
  <c r="AU284" i="73" s="1"/>
  <c r="L284" i="5"/>
  <c r="Q282" i="5"/>
  <c r="BA282" i="73" s="1"/>
  <c r="P282" i="5"/>
  <c r="K282" i="5"/>
  <c r="AC280" i="5"/>
  <c r="BB280" i="73" s="1"/>
  <c r="J280" i="5"/>
  <c r="AT280" i="73" s="1"/>
  <c r="AD278" i="5"/>
  <c r="T278" i="5"/>
  <c r="AX278" i="73" s="1"/>
  <c r="O278" i="5"/>
  <c r="M278" i="5"/>
  <c r="V276" i="5"/>
  <c r="N276" i="5"/>
  <c r="AU276" i="73" s="1"/>
  <c r="Q274" i="5"/>
  <c r="BA274" i="73" s="1"/>
  <c r="P274" i="5"/>
  <c r="K274" i="5"/>
  <c r="U272" i="5"/>
  <c r="J272" i="5"/>
  <c r="AT272" i="73" s="1"/>
  <c r="AD270" i="5"/>
  <c r="T270" i="5"/>
  <c r="AX270" i="73" s="1"/>
  <c r="O270" i="5"/>
  <c r="M270" i="5"/>
  <c r="V268" i="5"/>
  <c r="L268" i="5"/>
  <c r="Q266" i="5"/>
  <c r="BA266" i="73" s="1"/>
  <c r="P266" i="5"/>
  <c r="K266" i="5"/>
  <c r="AC264" i="5"/>
  <c r="BB264" i="73" s="1"/>
  <c r="U264" i="5"/>
  <c r="J264" i="5"/>
  <c r="AT264" i="73" s="1"/>
  <c r="AD262" i="5"/>
  <c r="T262" i="5"/>
  <c r="AX262" i="73" s="1"/>
  <c r="O262" i="5"/>
  <c r="M262" i="5"/>
  <c r="N260" i="5"/>
  <c r="AU260" i="73" s="1"/>
  <c r="L260" i="5"/>
  <c r="Q258" i="5"/>
  <c r="BA258" i="73" s="1"/>
  <c r="P258" i="5"/>
  <c r="O258" i="5"/>
  <c r="K258" i="5"/>
  <c r="M258" i="5"/>
  <c r="V256" i="5"/>
  <c r="U256" i="5"/>
  <c r="N256" i="5"/>
  <c r="AU256" i="73" s="1"/>
  <c r="L256" i="5"/>
  <c r="AD254" i="5"/>
  <c r="Q254" i="5"/>
  <c r="BA254" i="73" s="1"/>
  <c r="T254" i="5"/>
  <c r="AX254" i="73" s="1"/>
  <c r="P254" i="5"/>
  <c r="O254" i="5"/>
  <c r="K254" i="5"/>
  <c r="M254" i="5"/>
  <c r="AC252" i="5"/>
  <c r="BB252" i="73" s="1"/>
  <c r="V252" i="5"/>
  <c r="U252" i="5"/>
  <c r="J252" i="5"/>
  <c r="AT252" i="73" s="1"/>
  <c r="L252" i="5"/>
  <c r="AD250" i="5"/>
  <c r="Q250" i="5"/>
  <c r="BA250" i="73" s="1"/>
  <c r="T250" i="5"/>
  <c r="AX250" i="73" s="1"/>
  <c r="P250" i="5"/>
  <c r="O250" i="5"/>
  <c r="K250" i="5"/>
  <c r="M250" i="5"/>
  <c r="AC248" i="5"/>
  <c r="BB248" i="73" s="1"/>
  <c r="V248" i="5"/>
  <c r="N248" i="5"/>
  <c r="AU248" i="73" s="1"/>
  <c r="J248" i="5"/>
  <c r="AT248" i="73" s="1"/>
  <c r="L248" i="5"/>
  <c r="AD246" i="5"/>
  <c r="Q246" i="5"/>
  <c r="BA246" i="73" s="1"/>
  <c r="T246" i="5"/>
  <c r="AX246" i="73" s="1"/>
  <c r="P246" i="5"/>
  <c r="O246" i="5"/>
  <c r="K246" i="5"/>
  <c r="M246" i="5"/>
  <c r="AC244" i="5"/>
  <c r="BB244" i="73" s="1"/>
  <c r="U244" i="5"/>
  <c r="N244" i="5"/>
  <c r="AU244" i="73" s="1"/>
  <c r="J244" i="5"/>
  <c r="AT244" i="73" s="1"/>
  <c r="AD242" i="5"/>
  <c r="Q242" i="5"/>
  <c r="BA242" i="73" s="1"/>
  <c r="T242" i="5"/>
  <c r="AX242" i="73" s="1"/>
  <c r="P242" i="5"/>
  <c r="O242" i="5"/>
  <c r="K242" i="5"/>
  <c r="M242" i="5"/>
  <c r="V240" i="5"/>
  <c r="U240" i="5"/>
  <c r="N240" i="5"/>
  <c r="AU240" i="73" s="1"/>
  <c r="L240" i="5"/>
  <c r="AD238" i="5"/>
  <c r="Q238" i="5"/>
  <c r="BA238" i="73" s="1"/>
  <c r="T238" i="5"/>
  <c r="AX238" i="73" s="1"/>
  <c r="P238" i="5"/>
  <c r="O238" i="5"/>
  <c r="K238" i="5"/>
  <c r="M238" i="5"/>
  <c r="AC236" i="5"/>
  <c r="BB236" i="73" s="1"/>
  <c r="V236" i="5"/>
  <c r="U236" i="5"/>
  <c r="J236" i="5"/>
  <c r="AT236" i="73" s="1"/>
  <c r="L236" i="5"/>
  <c r="AD234" i="5"/>
  <c r="Q234" i="5"/>
  <c r="BA234" i="73" s="1"/>
  <c r="T234" i="5"/>
  <c r="AX234" i="73" s="1"/>
  <c r="P234" i="5"/>
  <c r="O234" i="5"/>
  <c r="K234" i="5"/>
  <c r="M234" i="5"/>
  <c r="AC232" i="5"/>
  <c r="BB232" i="73" s="1"/>
  <c r="V232" i="5"/>
  <c r="N232" i="5"/>
  <c r="AU232" i="73" s="1"/>
  <c r="J232" i="5"/>
  <c r="AT232" i="73" s="1"/>
  <c r="L232" i="5"/>
  <c r="AD230" i="5"/>
  <c r="Q230" i="5"/>
  <c r="BA230" i="73" s="1"/>
  <c r="T230" i="5"/>
  <c r="AX230" i="73" s="1"/>
  <c r="P230" i="5"/>
  <c r="O230" i="5"/>
  <c r="K230" i="5"/>
  <c r="M230" i="5"/>
  <c r="AC228" i="5"/>
  <c r="BB228" i="73" s="1"/>
  <c r="U228" i="5"/>
  <c r="N228" i="5"/>
  <c r="AU228" i="73" s="1"/>
  <c r="J228" i="5"/>
  <c r="AT228" i="73" s="1"/>
  <c r="AD226" i="5"/>
  <c r="Q226" i="5"/>
  <c r="BA226" i="73" s="1"/>
  <c r="T226" i="5"/>
  <c r="AX226" i="73" s="1"/>
  <c r="P226" i="5"/>
  <c r="O226" i="5"/>
  <c r="K226" i="5"/>
  <c r="M226" i="5"/>
  <c r="V224" i="5"/>
  <c r="U224" i="5"/>
  <c r="N224" i="5"/>
  <c r="AU224" i="73" s="1"/>
  <c r="L224" i="5"/>
  <c r="AD222" i="5"/>
  <c r="Q222" i="5"/>
  <c r="BA222" i="73" s="1"/>
  <c r="T222" i="5"/>
  <c r="AX222" i="73" s="1"/>
  <c r="P222" i="5"/>
  <c r="O222" i="5"/>
  <c r="K222" i="5"/>
  <c r="M222" i="5"/>
  <c r="M221" i="5"/>
  <c r="AD220" i="5"/>
  <c r="Q220" i="5"/>
  <c r="BA220" i="73" s="1"/>
  <c r="P220" i="5"/>
  <c r="O220" i="5"/>
  <c r="K220" i="5"/>
  <c r="AD219" i="5"/>
  <c r="AD218" i="5"/>
  <c r="Q218" i="5"/>
  <c r="BA218" i="73" s="1"/>
  <c r="T218" i="5"/>
  <c r="AX218" i="73" s="1"/>
  <c r="P218" i="5"/>
  <c r="O218" i="5"/>
  <c r="K218" i="5"/>
  <c r="M218" i="5"/>
  <c r="M217" i="5"/>
  <c r="AD216" i="5"/>
  <c r="Q216" i="5"/>
  <c r="BA216" i="73" s="1"/>
  <c r="P216" i="5"/>
  <c r="O216" i="5"/>
  <c r="K216" i="5"/>
  <c r="AD215" i="5"/>
  <c r="AD214" i="5"/>
  <c r="Q214" i="5"/>
  <c r="BA214" i="73" s="1"/>
  <c r="T214" i="5"/>
  <c r="AX214" i="73" s="1"/>
  <c r="P214" i="5"/>
  <c r="O214" i="5"/>
  <c r="K214" i="5"/>
  <c r="M214" i="5"/>
  <c r="L213" i="5"/>
  <c r="AD212" i="5"/>
  <c r="Q212" i="5"/>
  <c r="BA212" i="73" s="1"/>
  <c r="P212" i="5"/>
  <c r="O212" i="5"/>
  <c r="K212" i="5"/>
  <c r="AC211" i="5"/>
  <c r="BB211" i="73" s="1"/>
  <c r="AD210" i="5"/>
  <c r="Q210" i="5"/>
  <c r="BA210" i="73" s="1"/>
  <c r="T210" i="5"/>
  <c r="AX210" i="73" s="1"/>
  <c r="P210" i="5"/>
  <c r="O210" i="5"/>
  <c r="K210" i="5"/>
  <c r="M210" i="5"/>
  <c r="U209" i="5"/>
  <c r="AD208" i="5"/>
  <c r="Q208" i="5"/>
  <c r="BA208" i="73" s="1"/>
  <c r="P208" i="5"/>
  <c r="O208" i="5"/>
  <c r="K208" i="5"/>
  <c r="V207" i="5"/>
  <c r="AD206" i="5"/>
  <c r="Q206" i="5"/>
  <c r="BA206" i="73" s="1"/>
  <c r="T206" i="5"/>
  <c r="AX206" i="73" s="1"/>
  <c r="P206" i="5"/>
  <c r="O206" i="5"/>
  <c r="K206" i="5"/>
  <c r="M206" i="5"/>
  <c r="U205" i="5"/>
  <c r="AD204" i="5"/>
  <c r="Q204" i="5"/>
  <c r="BA204" i="73" s="1"/>
  <c r="P204" i="5"/>
  <c r="O204" i="5"/>
  <c r="K204" i="5"/>
  <c r="V203" i="5"/>
  <c r="AD202" i="5"/>
  <c r="Q202" i="5"/>
  <c r="BA202" i="73" s="1"/>
  <c r="T202" i="5"/>
  <c r="AX202" i="73" s="1"/>
  <c r="P202" i="5"/>
  <c r="O202" i="5"/>
  <c r="K202" i="5"/>
  <c r="M202" i="5"/>
  <c r="J201" i="5"/>
  <c r="AT201" i="73" s="1"/>
  <c r="AD200" i="5"/>
  <c r="Q200" i="5"/>
  <c r="BA200" i="73" s="1"/>
  <c r="P200" i="5"/>
  <c r="O200" i="5"/>
  <c r="K200" i="5"/>
  <c r="V199" i="5"/>
  <c r="AD198" i="5"/>
  <c r="Q198" i="5"/>
  <c r="BA198" i="73" s="1"/>
  <c r="T198" i="5"/>
  <c r="AX198" i="73" s="1"/>
  <c r="P198" i="5"/>
  <c r="O198" i="5"/>
  <c r="K198" i="5"/>
  <c r="M198" i="5"/>
  <c r="J197" i="5"/>
  <c r="AT197" i="73" s="1"/>
  <c r="AD196" i="5"/>
  <c r="Q196" i="5"/>
  <c r="BA196" i="73" s="1"/>
  <c r="P196" i="5"/>
  <c r="O196" i="5"/>
  <c r="K196" i="5"/>
  <c r="V195" i="5"/>
  <c r="AD194" i="5"/>
  <c r="Q194" i="5"/>
  <c r="BA194" i="73" s="1"/>
  <c r="T194" i="5"/>
  <c r="AX194" i="73" s="1"/>
  <c r="P194" i="5"/>
  <c r="O194" i="5"/>
  <c r="K194" i="5"/>
  <c r="M194" i="5"/>
  <c r="J193" i="5"/>
  <c r="AT193" i="73" s="1"/>
  <c r="AD192" i="5"/>
  <c r="Q192" i="5"/>
  <c r="BA192" i="73" s="1"/>
  <c r="P192" i="5"/>
  <c r="O192" i="5"/>
  <c r="J192" i="5"/>
  <c r="AT192" i="73" s="1"/>
  <c r="L192" i="5"/>
  <c r="M192" i="5"/>
  <c r="V191" i="5"/>
  <c r="AD190" i="5"/>
  <c r="AC190" i="5"/>
  <c r="BB190" i="73" s="1"/>
  <c r="Q190" i="5"/>
  <c r="BA190" i="73" s="1"/>
  <c r="V190" i="5"/>
  <c r="AZ190" i="73" s="1"/>
  <c r="T190" i="5"/>
  <c r="AX190" i="73" s="1"/>
  <c r="U190" i="5"/>
  <c r="AY190" i="73" s="1"/>
  <c r="P190" i="5"/>
  <c r="N190" i="5"/>
  <c r="AU190" i="73" s="1"/>
  <c r="O190" i="5"/>
  <c r="J190" i="5"/>
  <c r="AT190" i="73" s="1"/>
  <c r="K190" i="5"/>
  <c r="L190" i="5"/>
  <c r="M190" i="5"/>
  <c r="J189" i="5"/>
  <c r="AT189" i="73" s="1"/>
  <c r="AD188" i="5"/>
  <c r="AC188" i="5"/>
  <c r="BB188" i="73" s="1"/>
  <c r="V188" i="5"/>
  <c r="AZ188" i="73" s="1"/>
  <c r="T188" i="5"/>
  <c r="AX188" i="73" s="1"/>
  <c r="U188" i="5"/>
  <c r="AY188" i="73" s="1"/>
  <c r="N188" i="5"/>
  <c r="AU188" i="73" s="1"/>
  <c r="O188" i="5"/>
  <c r="J188" i="5"/>
  <c r="AT188" i="73" s="1"/>
  <c r="L188" i="5"/>
  <c r="M188" i="5"/>
  <c r="V187" i="5"/>
  <c r="AD186" i="5"/>
  <c r="AC186" i="5"/>
  <c r="BB186" i="73" s="1"/>
  <c r="Q186" i="5"/>
  <c r="BA186" i="73" s="1"/>
  <c r="V186" i="5"/>
  <c r="AZ186" i="73" s="1"/>
  <c r="T186" i="5"/>
  <c r="AX186" i="73" s="1"/>
  <c r="U186" i="5"/>
  <c r="AY186" i="73" s="1"/>
  <c r="P186" i="5"/>
  <c r="N186" i="5"/>
  <c r="AU186" i="73" s="1"/>
  <c r="O186" i="5"/>
  <c r="J186" i="5"/>
  <c r="AT186" i="73" s="1"/>
  <c r="K186" i="5"/>
  <c r="L186" i="5"/>
  <c r="M186" i="5"/>
  <c r="J185" i="5"/>
  <c r="AT185" i="73" s="1"/>
  <c r="AD184" i="5"/>
  <c r="AC184" i="5"/>
  <c r="BB184" i="73" s="1"/>
  <c r="V184" i="5"/>
  <c r="AZ184" i="73" s="1"/>
  <c r="T184" i="5"/>
  <c r="AX184" i="73" s="1"/>
  <c r="U184" i="5"/>
  <c r="AY184" i="73" s="1"/>
  <c r="N184" i="5"/>
  <c r="AU184" i="73" s="1"/>
  <c r="O184" i="5"/>
  <c r="J184" i="5"/>
  <c r="AT184" i="73" s="1"/>
  <c r="L184" i="5"/>
  <c r="M184" i="5"/>
  <c r="V183" i="5"/>
  <c r="AD182" i="5"/>
  <c r="AC182" i="5"/>
  <c r="BB182" i="73" s="1"/>
  <c r="Q182" i="5"/>
  <c r="BA182" i="73" s="1"/>
  <c r="V182" i="5"/>
  <c r="AZ182" i="73" s="1"/>
  <c r="T182" i="5"/>
  <c r="AX182" i="73" s="1"/>
  <c r="U182" i="5"/>
  <c r="AY182" i="73" s="1"/>
  <c r="P182" i="5"/>
  <c r="N182" i="5"/>
  <c r="AU182" i="73" s="1"/>
  <c r="O182" i="5"/>
  <c r="J182" i="5"/>
  <c r="AT182" i="73" s="1"/>
  <c r="K182" i="5"/>
  <c r="L182" i="5"/>
  <c r="M182" i="5"/>
  <c r="AC181" i="5"/>
  <c r="BB181" i="73" s="1"/>
  <c r="AD180" i="5"/>
  <c r="AC180" i="5"/>
  <c r="BB180" i="73" s="1"/>
  <c r="V180" i="5"/>
  <c r="AZ180" i="73" s="1"/>
  <c r="T180" i="5"/>
  <c r="AX180" i="73" s="1"/>
  <c r="U180" i="5"/>
  <c r="AY180" i="73" s="1"/>
  <c r="N180" i="5"/>
  <c r="AU180" i="73" s="1"/>
  <c r="O180" i="5"/>
  <c r="J180" i="5"/>
  <c r="AT180" i="73" s="1"/>
  <c r="L180" i="5"/>
  <c r="M180" i="5"/>
  <c r="L179" i="5"/>
  <c r="AD178" i="5"/>
  <c r="AC178" i="5"/>
  <c r="BB178" i="73" s="1"/>
  <c r="Q178" i="5"/>
  <c r="BA178" i="73" s="1"/>
  <c r="V178" i="5"/>
  <c r="AZ178" i="73" s="1"/>
  <c r="T178" i="5"/>
  <c r="AX178" i="73" s="1"/>
  <c r="U178" i="5"/>
  <c r="AY178" i="73" s="1"/>
  <c r="P178" i="5"/>
  <c r="N178" i="5"/>
  <c r="AU178" i="73" s="1"/>
  <c r="O178" i="5"/>
  <c r="J178" i="5"/>
  <c r="AT178" i="73" s="1"/>
  <c r="K178" i="5"/>
  <c r="L178" i="5"/>
  <c r="M178" i="5"/>
  <c r="AC177" i="5"/>
  <c r="BB177" i="73" s="1"/>
  <c r="AD176" i="5"/>
  <c r="AC176" i="5"/>
  <c r="BB176" i="73" s="1"/>
  <c r="V176" i="5"/>
  <c r="AZ176" i="73" s="1"/>
  <c r="T176" i="5"/>
  <c r="AX176" i="73" s="1"/>
  <c r="U176" i="5"/>
  <c r="AY176" i="73" s="1"/>
  <c r="N176" i="5"/>
  <c r="AU176" i="73" s="1"/>
  <c r="O176" i="5"/>
  <c r="J176" i="5"/>
  <c r="AT176" i="73" s="1"/>
  <c r="L176" i="5"/>
  <c r="M176" i="5"/>
  <c r="L175" i="5"/>
  <c r="AD174" i="5"/>
  <c r="AC174" i="5"/>
  <c r="BB174" i="73" s="1"/>
  <c r="Q174" i="5"/>
  <c r="BA174" i="73" s="1"/>
  <c r="V174" i="5"/>
  <c r="AZ174" i="73" s="1"/>
  <c r="T174" i="5"/>
  <c r="AX174" i="73" s="1"/>
  <c r="U174" i="5"/>
  <c r="AY174" i="73" s="1"/>
  <c r="P174" i="5"/>
  <c r="N174" i="5"/>
  <c r="AU174" i="73" s="1"/>
  <c r="O174" i="5"/>
  <c r="J174" i="5"/>
  <c r="AT174" i="73" s="1"/>
  <c r="K174" i="5"/>
  <c r="L174" i="5"/>
  <c r="M174" i="5"/>
  <c r="AC173" i="5"/>
  <c r="BB173" i="73" s="1"/>
  <c r="AD172" i="5"/>
  <c r="AC172" i="5"/>
  <c r="BB172" i="73" s="1"/>
  <c r="V172" i="5"/>
  <c r="AZ172" i="73" s="1"/>
  <c r="T172" i="5"/>
  <c r="AX172" i="73" s="1"/>
  <c r="U172" i="5"/>
  <c r="AY172" i="73" s="1"/>
  <c r="N172" i="5"/>
  <c r="AU172" i="73" s="1"/>
  <c r="O172" i="5"/>
  <c r="J172" i="5"/>
  <c r="AT172" i="73" s="1"/>
  <c r="L172" i="5"/>
  <c r="M172" i="5"/>
  <c r="L171" i="5"/>
  <c r="AD170" i="5"/>
  <c r="AC170" i="5"/>
  <c r="BB170" i="73" s="1"/>
  <c r="Q170" i="5"/>
  <c r="BA170" i="73" s="1"/>
  <c r="V170" i="5"/>
  <c r="AZ170" i="73" s="1"/>
  <c r="T170" i="5"/>
  <c r="AX170" i="73" s="1"/>
  <c r="U170" i="5"/>
  <c r="AY170" i="73" s="1"/>
  <c r="P170" i="5"/>
  <c r="N170" i="5"/>
  <c r="AU170" i="73" s="1"/>
  <c r="O170" i="5"/>
  <c r="J170" i="5"/>
  <c r="AT170" i="73" s="1"/>
  <c r="K170" i="5"/>
  <c r="L170" i="5"/>
  <c r="M170" i="5"/>
  <c r="AC169" i="5"/>
  <c r="BB169" i="73" s="1"/>
  <c r="AD168" i="5"/>
  <c r="AC168" i="5"/>
  <c r="BB168" i="73" s="1"/>
  <c r="V168" i="5"/>
  <c r="AZ168" i="73" s="1"/>
  <c r="T168" i="5"/>
  <c r="AX168" i="73" s="1"/>
  <c r="U168" i="5"/>
  <c r="AY168" i="73" s="1"/>
  <c r="N168" i="5"/>
  <c r="AU168" i="73" s="1"/>
  <c r="O168" i="5"/>
  <c r="J168" i="5"/>
  <c r="AT168" i="73" s="1"/>
  <c r="L168" i="5"/>
  <c r="M168" i="5"/>
  <c r="L167" i="5"/>
  <c r="AD166" i="5"/>
  <c r="AC166" i="5"/>
  <c r="BB166" i="73" s="1"/>
  <c r="Q166" i="5"/>
  <c r="BA166" i="73" s="1"/>
  <c r="V166" i="5"/>
  <c r="AZ166" i="73" s="1"/>
  <c r="T166" i="5"/>
  <c r="AX166" i="73" s="1"/>
  <c r="U166" i="5"/>
  <c r="AY166" i="73" s="1"/>
  <c r="P166" i="5"/>
  <c r="N166" i="5"/>
  <c r="AU166" i="73" s="1"/>
  <c r="O166" i="5"/>
  <c r="J166" i="5"/>
  <c r="AT166" i="73" s="1"/>
  <c r="K166" i="5"/>
  <c r="L166" i="5"/>
  <c r="M166" i="5"/>
  <c r="AC165" i="5"/>
  <c r="BB165" i="73" s="1"/>
  <c r="AD164" i="5"/>
  <c r="AC164" i="5"/>
  <c r="BB164" i="73" s="1"/>
  <c r="V164" i="5"/>
  <c r="AZ164" i="73" s="1"/>
  <c r="T164" i="5"/>
  <c r="AX164" i="73" s="1"/>
  <c r="U164" i="5"/>
  <c r="AY164" i="73" s="1"/>
  <c r="N164" i="5"/>
  <c r="AU164" i="73" s="1"/>
  <c r="O164" i="5"/>
  <c r="J164" i="5"/>
  <c r="AT164" i="73" s="1"/>
  <c r="L164" i="5"/>
  <c r="M164" i="5"/>
  <c r="L163" i="5"/>
  <c r="AD162" i="5"/>
  <c r="AC162" i="5"/>
  <c r="BB162" i="73" s="1"/>
  <c r="Q162" i="5"/>
  <c r="BA162" i="73" s="1"/>
  <c r="V162" i="5"/>
  <c r="AZ162" i="73" s="1"/>
  <c r="T162" i="5"/>
  <c r="AX162" i="73" s="1"/>
  <c r="U162" i="5"/>
  <c r="AY162" i="73" s="1"/>
  <c r="P162" i="5"/>
  <c r="N162" i="5"/>
  <c r="AU162" i="73" s="1"/>
  <c r="O162" i="5"/>
  <c r="J162" i="5"/>
  <c r="AT162" i="73" s="1"/>
  <c r="K162" i="5"/>
  <c r="L162" i="5"/>
  <c r="M162" i="5"/>
  <c r="AC161" i="5"/>
  <c r="BB161" i="73" s="1"/>
  <c r="AD160" i="5"/>
  <c r="AC160" i="5"/>
  <c r="BB160" i="73" s="1"/>
  <c r="V160" i="5"/>
  <c r="AZ160" i="73" s="1"/>
  <c r="T160" i="5"/>
  <c r="AX160" i="73" s="1"/>
  <c r="U160" i="5"/>
  <c r="AY160" i="73" s="1"/>
  <c r="N160" i="5"/>
  <c r="AU160" i="73" s="1"/>
  <c r="O160" i="5"/>
  <c r="J160" i="5"/>
  <c r="AT160" i="73" s="1"/>
  <c r="L160" i="5"/>
  <c r="M160" i="5"/>
  <c r="L159" i="5"/>
  <c r="AD158" i="5"/>
  <c r="AC158" i="5"/>
  <c r="BB158" i="73" s="1"/>
  <c r="Q158" i="5"/>
  <c r="BA158" i="73" s="1"/>
  <c r="V158" i="5"/>
  <c r="AZ158" i="73" s="1"/>
  <c r="T158" i="5"/>
  <c r="AX158" i="73" s="1"/>
  <c r="U158" i="5"/>
  <c r="AY158" i="73" s="1"/>
  <c r="P158" i="5"/>
  <c r="N158" i="5"/>
  <c r="AU158" i="73" s="1"/>
  <c r="O158" i="5"/>
  <c r="J158" i="5"/>
  <c r="AT158" i="73" s="1"/>
  <c r="K158" i="5"/>
  <c r="L158" i="5"/>
  <c r="M158" i="5"/>
  <c r="AC157" i="5"/>
  <c r="BB157" i="73" s="1"/>
  <c r="AD156" i="5"/>
  <c r="AC156" i="5"/>
  <c r="BB156" i="73" s="1"/>
  <c r="V156" i="5"/>
  <c r="AZ156" i="73" s="1"/>
  <c r="T156" i="5"/>
  <c r="AX156" i="73" s="1"/>
  <c r="U156" i="5"/>
  <c r="AY156" i="73" s="1"/>
  <c r="N156" i="5"/>
  <c r="AU156" i="73" s="1"/>
  <c r="O156" i="5"/>
  <c r="J156" i="5"/>
  <c r="AT156" i="73" s="1"/>
  <c r="L156" i="5"/>
  <c r="M156" i="5"/>
  <c r="L155" i="5"/>
  <c r="AD154" i="5"/>
  <c r="AC154" i="5"/>
  <c r="BB154" i="73" s="1"/>
  <c r="Q154" i="5"/>
  <c r="BA154" i="73" s="1"/>
  <c r="V154" i="5"/>
  <c r="AZ154" i="73" s="1"/>
  <c r="T154" i="5"/>
  <c r="AX154" i="73" s="1"/>
  <c r="U154" i="5"/>
  <c r="AY154" i="73" s="1"/>
  <c r="P154" i="5"/>
  <c r="N154" i="5"/>
  <c r="AU154" i="73" s="1"/>
  <c r="O154" i="5"/>
  <c r="J154" i="5"/>
  <c r="AT154" i="73" s="1"/>
  <c r="K154" i="5"/>
  <c r="L154" i="5"/>
  <c r="M154" i="5"/>
  <c r="AD153" i="5"/>
  <c r="AD152" i="5"/>
  <c r="AC152" i="5"/>
  <c r="BB152" i="73" s="1"/>
  <c r="V152" i="5"/>
  <c r="AZ152" i="73" s="1"/>
  <c r="T152" i="5"/>
  <c r="AX152" i="73" s="1"/>
  <c r="U152" i="5"/>
  <c r="AY152" i="73" s="1"/>
  <c r="N152" i="5"/>
  <c r="AU152" i="73" s="1"/>
  <c r="O152" i="5"/>
  <c r="J152" i="5"/>
  <c r="AT152" i="73" s="1"/>
  <c r="L152" i="5"/>
  <c r="M152" i="5"/>
  <c r="M151" i="5"/>
  <c r="AD150" i="5"/>
  <c r="AC150" i="5"/>
  <c r="BB150" i="73" s="1"/>
  <c r="Q150" i="5"/>
  <c r="BA150" i="73" s="1"/>
  <c r="V150" i="5"/>
  <c r="AZ150" i="73" s="1"/>
  <c r="T150" i="5"/>
  <c r="AX150" i="73" s="1"/>
  <c r="U150" i="5"/>
  <c r="AY150" i="73" s="1"/>
  <c r="P150" i="5"/>
  <c r="N150" i="5"/>
  <c r="AU150" i="73" s="1"/>
  <c r="O150" i="5"/>
  <c r="J150" i="5"/>
  <c r="AT150" i="73" s="1"/>
  <c r="K150" i="5"/>
  <c r="L150" i="5"/>
  <c r="M150" i="5"/>
  <c r="AD149" i="5"/>
  <c r="AD148" i="5"/>
  <c r="AC148" i="5"/>
  <c r="BB148" i="73" s="1"/>
  <c r="V148" i="5"/>
  <c r="AZ148" i="73" s="1"/>
  <c r="T148" i="5"/>
  <c r="AX148" i="73" s="1"/>
  <c r="U148" i="5"/>
  <c r="AY148" i="73" s="1"/>
  <c r="N148" i="5"/>
  <c r="AU148" i="73" s="1"/>
  <c r="O148" i="5"/>
  <c r="J148" i="5"/>
  <c r="AT148" i="73" s="1"/>
  <c r="L148" i="5"/>
  <c r="M148" i="5"/>
  <c r="T147" i="5"/>
  <c r="AX147" i="73" s="1"/>
  <c r="AD146" i="5"/>
  <c r="AC146" i="5"/>
  <c r="BB146" i="73" s="1"/>
  <c r="Q146" i="5"/>
  <c r="BA146" i="73" s="1"/>
  <c r="V146" i="5"/>
  <c r="AZ146" i="73" s="1"/>
  <c r="T146" i="5"/>
  <c r="AX146" i="73" s="1"/>
  <c r="U146" i="5"/>
  <c r="AY146" i="73" s="1"/>
  <c r="P146" i="5"/>
  <c r="N146" i="5"/>
  <c r="AU146" i="73" s="1"/>
  <c r="O146" i="5"/>
  <c r="J146" i="5"/>
  <c r="AT146" i="73" s="1"/>
  <c r="K146" i="5"/>
  <c r="L146" i="5"/>
  <c r="M146" i="5"/>
  <c r="O145" i="5"/>
  <c r="AD144" i="5"/>
  <c r="AC144" i="5"/>
  <c r="BB144" i="73" s="1"/>
  <c r="V144" i="5"/>
  <c r="AZ144" i="73" s="1"/>
  <c r="T144" i="5"/>
  <c r="AX144" i="73" s="1"/>
  <c r="U144" i="5"/>
  <c r="AY144" i="73" s="1"/>
  <c r="N144" i="5"/>
  <c r="AU144" i="73" s="1"/>
  <c r="O144" i="5"/>
  <c r="J144" i="5"/>
  <c r="AT144" i="73" s="1"/>
  <c r="L144" i="5"/>
  <c r="M144" i="5"/>
  <c r="T143" i="5"/>
  <c r="AX143" i="73" s="1"/>
  <c r="AD142" i="5"/>
  <c r="AC142" i="5"/>
  <c r="BB142" i="73" s="1"/>
  <c r="Q142" i="5"/>
  <c r="BA142" i="73" s="1"/>
  <c r="V142" i="5"/>
  <c r="AZ142" i="73" s="1"/>
  <c r="T142" i="5"/>
  <c r="AX142" i="73" s="1"/>
  <c r="U142" i="5"/>
  <c r="AY142" i="73" s="1"/>
  <c r="P142" i="5"/>
  <c r="N142" i="5"/>
  <c r="AU142" i="73" s="1"/>
  <c r="O142" i="5"/>
  <c r="J142" i="5"/>
  <c r="AT142" i="73" s="1"/>
  <c r="K142" i="5"/>
  <c r="L142" i="5"/>
  <c r="M142" i="5"/>
  <c r="O141" i="5"/>
  <c r="AD140" i="5"/>
  <c r="AC140" i="5"/>
  <c r="BB140" i="73" s="1"/>
  <c r="Q140" i="5"/>
  <c r="BA140" i="73" s="1"/>
  <c r="V140" i="5"/>
  <c r="AZ140" i="73" s="1"/>
  <c r="T140" i="5"/>
  <c r="AX140" i="73" s="1"/>
  <c r="U140" i="5"/>
  <c r="AY140" i="73" s="1"/>
  <c r="P140" i="5"/>
  <c r="N140" i="5"/>
  <c r="AU140" i="73" s="1"/>
  <c r="O140" i="5"/>
  <c r="J140" i="5"/>
  <c r="AT140" i="73" s="1"/>
  <c r="K140" i="5"/>
  <c r="L140" i="5"/>
  <c r="M140" i="5"/>
  <c r="T139" i="5"/>
  <c r="AX139" i="73" s="1"/>
  <c r="AD138" i="5"/>
  <c r="AC138" i="5"/>
  <c r="BB138" i="73" s="1"/>
  <c r="Q138" i="5"/>
  <c r="BA138" i="73" s="1"/>
  <c r="V138" i="5"/>
  <c r="AZ138" i="73" s="1"/>
  <c r="T138" i="5"/>
  <c r="AX138" i="73" s="1"/>
  <c r="U138" i="5"/>
  <c r="AY138" i="73" s="1"/>
  <c r="P138" i="5"/>
  <c r="N138" i="5"/>
  <c r="AU138" i="73" s="1"/>
  <c r="O138" i="5"/>
  <c r="J138" i="5"/>
  <c r="AT138" i="73" s="1"/>
  <c r="K138" i="5"/>
  <c r="L138" i="5"/>
  <c r="M138" i="5"/>
  <c r="AD137" i="5"/>
  <c r="O137" i="5"/>
  <c r="AD136" i="5"/>
  <c r="AC136" i="5"/>
  <c r="BB136" i="73" s="1"/>
  <c r="Q136" i="5"/>
  <c r="BA136" i="73" s="1"/>
  <c r="V136" i="5"/>
  <c r="T136" i="5"/>
  <c r="AX136" i="73" s="1"/>
  <c r="U136" i="5"/>
  <c r="P136" i="5"/>
  <c r="AW136" i="73" s="1"/>
  <c r="N136" i="5"/>
  <c r="AU136" i="73" s="1"/>
  <c r="O136" i="5"/>
  <c r="AV136" i="73" s="1"/>
  <c r="J136" i="5"/>
  <c r="AT136" i="73" s="1"/>
  <c r="K136" i="5"/>
  <c r="L136" i="5"/>
  <c r="M136" i="5"/>
  <c r="T135" i="5"/>
  <c r="AX135" i="73" s="1"/>
  <c r="M135" i="5"/>
  <c r="AD134" i="5"/>
  <c r="AC134" i="5"/>
  <c r="BB134" i="73" s="1"/>
  <c r="Q134" i="5"/>
  <c r="BA134" i="73" s="1"/>
  <c r="V134" i="5"/>
  <c r="AZ134" i="73" s="1"/>
  <c r="T134" i="5"/>
  <c r="AX134" i="73" s="1"/>
  <c r="U134" i="5"/>
  <c r="AY134" i="73" s="1"/>
  <c r="P134" i="5"/>
  <c r="N134" i="5"/>
  <c r="AU134" i="73" s="1"/>
  <c r="O134" i="5"/>
  <c r="J134" i="5"/>
  <c r="AT134" i="73" s="1"/>
  <c r="K134" i="5"/>
  <c r="L134" i="5"/>
  <c r="M134" i="5"/>
  <c r="AD133" i="5"/>
  <c r="O133" i="5"/>
  <c r="M133" i="5"/>
  <c r="AD132" i="5"/>
  <c r="AC132" i="5"/>
  <c r="BB132" i="73" s="1"/>
  <c r="Q132" i="5"/>
  <c r="BA132" i="73" s="1"/>
  <c r="V132" i="5"/>
  <c r="AZ132" i="73" s="1"/>
  <c r="T132" i="5"/>
  <c r="AX132" i="73" s="1"/>
  <c r="U132" i="5"/>
  <c r="AY132" i="73" s="1"/>
  <c r="P132" i="5"/>
  <c r="N132" i="5"/>
  <c r="AU132" i="73" s="1"/>
  <c r="O132" i="5"/>
  <c r="J132" i="5"/>
  <c r="AT132" i="73" s="1"/>
  <c r="K132" i="5"/>
  <c r="L132" i="5"/>
  <c r="M132" i="5"/>
  <c r="AD131" i="5"/>
  <c r="T131" i="5"/>
  <c r="AX131" i="73" s="1"/>
  <c r="O131" i="5"/>
  <c r="M131" i="5"/>
  <c r="AD130" i="5"/>
  <c r="AC130" i="5"/>
  <c r="BB130" i="73" s="1"/>
  <c r="Q130" i="5"/>
  <c r="BA130" i="73" s="1"/>
  <c r="V130" i="5"/>
  <c r="T130" i="5"/>
  <c r="AX130" i="73" s="1"/>
  <c r="U130" i="5"/>
  <c r="P130" i="5"/>
  <c r="AW130" i="73" s="1"/>
  <c r="N130" i="5"/>
  <c r="AU130" i="73" s="1"/>
  <c r="O130" i="5"/>
  <c r="AV130" i="73" s="1"/>
  <c r="J130" i="5"/>
  <c r="AT130" i="73" s="1"/>
  <c r="K130" i="5"/>
  <c r="L130" i="5"/>
  <c r="M130" i="5"/>
  <c r="AD129" i="5"/>
  <c r="Q129" i="5"/>
  <c r="BA129" i="73" s="1"/>
  <c r="T129" i="5"/>
  <c r="AX129" i="73" s="1"/>
  <c r="P129" i="5"/>
  <c r="O129" i="5"/>
  <c r="K129" i="5"/>
  <c r="M129" i="5"/>
  <c r="AD128" i="5"/>
  <c r="AC128" i="5"/>
  <c r="BB128" i="73" s="1"/>
  <c r="Q128" i="5"/>
  <c r="BA128" i="73" s="1"/>
  <c r="V128" i="5"/>
  <c r="T128" i="5"/>
  <c r="AX128" i="73" s="1"/>
  <c r="U128" i="5"/>
  <c r="P128" i="5"/>
  <c r="AW128" i="73" s="1"/>
  <c r="N128" i="5"/>
  <c r="AU128" i="73" s="1"/>
  <c r="O128" i="5"/>
  <c r="AV128" i="73" s="1"/>
  <c r="J128" i="5"/>
  <c r="AT128" i="73" s="1"/>
  <c r="K128" i="5"/>
  <c r="L128" i="5"/>
  <c r="M128" i="5"/>
  <c r="AD112" i="5"/>
  <c r="AC112" i="5"/>
  <c r="BB112" i="73" s="1"/>
  <c r="Q112" i="5"/>
  <c r="BA112" i="73" s="1"/>
  <c r="V112" i="5"/>
  <c r="AZ112" i="73" s="1"/>
  <c r="T112" i="5"/>
  <c r="AX112" i="73" s="1"/>
  <c r="U112" i="5"/>
  <c r="AY112" i="73" s="1"/>
  <c r="P112" i="5"/>
  <c r="N112" i="5"/>
  <c r="AU112" i="73" s="1"/>
  <c r="O112" i="5"/>
  <c r="J112" i="5"/>
  <c r="AT112" i="73" s="1"/>
  <c r="K112" i="5"/>
  <c r="L112" i="5"/>
  <c r="M112" i="5"/>
  <c r="AC103" i="5"/>
  <c r="BB103" i="73" s="1"/>
  <c r="V103" i="5"/>
  <c r="U103" i="5"/>
  <c r="N103" i="5"/>
  <c r="AU103" i="73" s="1"/>
  <c r="J103" i="5"/>
  <c r="AT103" i="73" s="1"/>
  <c r="L103" i="5"/>
  <c r="P102" i="5"/>
  <c r="AW102" i="73" s="1"/>
  <c r="N102" i="5"/>
  <c r="AU102" i="73" s="1"/>
  <c r="O102" i="5"/>
  <c r="AV102" i="73" s="1"/>
  <c r="F62" i="5"/>
  <c r="BJ62" i="65" s="1"/>
  <c r="GS62" i="15"/>
  <c r="FZ62" i="15" s="1"/>
  <c r="HL62" i="15"/>
  <c r="FM62" i="15"/>
  <c r="HM62" i="15"/>
  <c r="GR62" i="15"/>
  <c r="GQ62" i="15" s="1"/>
  <c r="HZ62" i="15"/>
  <c r="GS61" i="15"/>
  <c r="FZ61" i="15" s="1"/>
  <c r="HL61" i="15"/>
  <c r="FM61" i="15"/>
  <c r="HM61" i="15"/>
  <c r="GR61" i="15"/>
  <c r="HZ61" i="15"/>
  <c r="GS60" i="15"/>
  <c r="FZ60" i="15" s="1"/>
  <c r="HL60" i="15"/>
  <c r="FM60" i="15"/>
  <c r="HM60" i="15"/>
  <c r="GR60" i="15"/>
  <c r="GQ60" i="15" s="1"/>
  <c r="HZ60" i="15"/>
  <c r="GS59" i="15"/>
  <c r="FZ59" i="15" s="1"/>
  <c r="HL59" i="15"/>
  <c r="FM59" i="15"/>
  <c r="HM59" i="15"/>
  <c r="GR59" i="15"/>
  <c r="GQ59" i="15" s="1"/>
  <c r="HZ59" i="15"/>
  <c r="GS58" i="15"/>
  <c r="FZ58" i="15" s="1"/>
  <c r="HL58" i="15"/>
  <c r="FM58" i="15"/>
  <c r="HM58" i="15"/>
  <c r="GR58" i="15"/>
  <c r="HZ58" i="15"/>
  <c r="GS57" i="15"/>
  <c r="FZ57" i="15" s="1"/>
  <c r="HL57" i="15"/>
  <c r="FM57" i="15"/>
  <c r="HM57" i="15"/>
  <c r="GR57" i="15"/>
  <c r="GQ57" i="15" s="1"/>
  <c r="HZ57" i="15"/>
  <c r="GS56" i="15"/>
  <c r="FZ56" i="15" s="1"/>
  <c r="HL56" i="15"/>
  <c r="FM56" i="15"/>
  <c r="HM56" i="15"/>
  <c r="GR56" i="15"/>
  <c r="HZ56" i="15"/>
  <c r="GS55" i="15"/>
  <c r="FZ55" i="15" s="1"/>
  <c r="HL55" i="15"/>
  <c r="FM55" i="15"/>
  <c r="HM55" i="15"/>
  <c r="GR55" i="15"/>
  <c r="GQ55" i="15" s="1"/>
  <c r="HZ55" i="15"/>
  <c r="GS54" i="15"/>
  <c r="FZ54" i="15" s="1"/>
  <c r="HL54" i="15"/>
  <c r="FM54" i="15"/>
  <c r="HM54" i="15"/>
  <c r="GR54" i="15"/>
  <c r="GQ54" i="15" s="1"/>
  <c r="HZ54" i="15"/>
  <c r="GS53" i="15"/>
  <c r="FZ53" i="15" s="1"/>
  <c r="HL53" i="15"/>
  <c r="FM53" i="15"/>
  <c r="GR53" i="15"/>
  <c r="GQ53" i="15" s="1"/>
  <c r="HZ53" i="15"/>
  <c r="HM53" i="15"/>
  <c r="GS52" i="15"/>
  <c r="FZ52" i="15" s="1"/>
  <c r="HL52" i="15"/>
  <c r="FM52" i="15"/>
  <c r="HM52" i="15"/>
  <c r="GR52" i="15"/>
  <c r="GQ52" i="15" s="1"/>
  <c r="HZ52" i="15"/>
  <c r="GS51" i="15"/>
  <c r="FZ51" i="15" s="1"/>
  <c r="HL51" i="15"/>
  <c r="FM51" i="15"/>
  <c r="GR51" i="15"/>
  <c r="HZ51" i="15"/>
  <c r="HM51" i="15"/>
  <c r="GS50" i="15"/>
  <c r="FZ50" i="15" s="1"/>
  <c r="HL50" i="15"/>
  <c r="FM50" i="15"/>
  <c r="HM50" i="15"/>
  <c r="GR50" i="15"/>
  <c r="GQ50" i="15" s="1"/>
  <c r="HZ50" i="15"/>
  <c r="GS49" i="15"/>
  <c r="FZ49" i="15" s="1"/>
  <c r="HL49" i="15"/>
  <c r="FM49" i="15"/>
  <c r="HM49" i="15"/>
  <c r="GR49" i="15"/>
  <c r="GQ49" i="15" s="1"/>
  <c r="HZ49" i="15"/>
  <c r="GS48" i="15"/>
  <c r="FZ48" i="15" s="1"/>
  <c r="HL48" i="15"/>
  <c r="FM48" i="15"/>
  <c r="HM48" i="15"/>
  <c r="GR48" i="15"/>
  <c r="HZ48" i="15"/>
  <c r="GS47" i="15"/>
  <c r="FZ47" i="15" s="1"/>
  <c r="HL47" i="15"/>
  <c r="FM47" i="15"/>
  <c r="HM47" i="15"/>
  <c r="GR47" i="15"/>
  <c r="GQ47" i="15" s="1"/>
  <c r="HZ47" i="15"/>
  <c r="GS46" i="15"/>
  <c r="FZ46" i="15" s="1"/>
  <c r="HL46" i="15"/>
  <c r="FM46" i="15"/>
  <c r="HM46" i="15"/>
  <c r="GR46" i="15"/>
  <c r="HZ46" i="15"/>
  <c r="GS45" i="15"/>
  <c r="FZ45" i="15" s="1"/>
  <c r="HL45" i="15"/>
  <c r="FM45" i="15"/>
  <c r="HM45" i="15"/>
  <c r="GR45" i="15"/>
  <c r="GQ45" i="15" s="1"/>
  <c r="HZ45" i="15"/>
  <c r="GS44" i="15"/>
  <c r="FZ44" i="15" s="1"/>
  <c r="HL44" i="15"/>
  <c r="FM44" i="15"/>
  <c r="HM44" i="15"/>
  <c r="GR44" i="15"/>
  <c r="HZ44" i="15"/>
  <c r="GS43" i="15"/>
  <c r="FZ43" i="15" s="1"/>
  <c r="HL43" i="15"/>
  <c r="FM43" i="15"/>
  <c r="HM43" i="15"/>
  <c r="GR43" i="15"/>
  <c r="GQ43" i="15" s="1"/>
  <c r="HZ43" i="15"/>
  <c r="GS42" i="15"/>
  <c r="FZ42" i="15" s="1"/>
  <c r="HL42" i="15"/>
  <c r="FM42" i="15"/>
  <c r="HM42" i="15"/>
  <c r="GR42" i="15"/>
  <c r="GQ42" i="15" s="1"/>
  <c r="HZ42" i="15"/>
  <c r="GS41" i="15"/>
  <c r="FZ41" i="15" s="1"/>
  <c r="HL41" i="15"/>
  <c r="FM41" i="15"/>
  <c r="HM41" i="15"/>
  <c r="HZ41" i="15"/>
  <c r="GS40" i="15"/>
  <c r="FZ40" i="15" s="1"/>
  <c r="HL40" i="15"/>
  <c r="FM40" i="15"/>
  <c r="HM40" i="15"/>
  <c r="GR40" i="15"/>
  <c r="GQ40" i="15" s="1"/>
  <c r="HZ40" i="15"/>
  <c r="GS39" i="15"/>
  <c r="FZ39" i="15" s="1"/>
  <c r="HL39" i="15"/>
  <c r="FM39" i="15"/>
  <c r="HM39" i="15"/>
  <c r="GR39" i="15"/>
  <c r="GQ39" i="15" s="1"/>
  <c r="HZ39" i="15"/>
  <c r="GS38" i="15"/>
  <c r="FZ38" i="15" s="1"/>
  <c r="HL38" i="15"/>
  <c r="FM38" i="15"/>
  <c r="HM38" i="15"/>
  <c r="GR38" i="15"/>
  <c r="HZ38" i="15"/>
  <c r="GS37" i="15"/>
  <c r="FZ37" i="15" s="1"/>
  <c r="HL37" i="15"/>
  <c r="FM37" i="15"/>
  <c r="HM37" i="15"/>
  <c r="HZ37" i="15"/>
  <c r="GS36" i="15"/>
  <c r="FZ36" i="15" s="1"/>
  <c r="HL36" i="15"/>
  <c r="FM36" i="15"/>
  <c r="HM36" i="15"/>
  <c r="GR36" i="15"/>
  <c r="GQ36" i="15" s="1"/>
  <c r="HZ36" i="15"/>
  <c r="FM35" i="15"/>
  <c r="GS35" i="15"/>
  <c r="FZ35" i="15" s="1"/>
  <c r="HL35" i="15"/>
  <c r="GR35" i="15"/>
  <c r="HZ35" i="15"/>
  <c r="GS34" i="15"/>
  <c r="FZ34" i="15" s="1"/>
  <c r="HL34" i="15"/>
  <c r="FM34" i="15"/>
  <c r="HM34" i="15"/>
  <c r="GR34" i="15"/>
  <c r="HZ34" i="15"/>
  <c r="GS33" i="15"/>
  <c r="FZ33" i="15" s="1"/>
  <c r="HL33" i="15"/>
  <c r="FM33" i="15"/>
  <c r="HM33" i="15"/>
  <c r="GR33" i="15"/>
  <c r="HZ33" i="15"/>
  <c r="GS32" i="15"/>
  <c r="FZ32" i="15" s="1"/>
  <c r="HL32" i="15"/>
  <c r="FM32" i="15"/>
  <c r="HM32" i="15"/>
  <c r="HZ32" i="15"/>
  <c r="GS31" i="15"/>
  <c r="FZ31" i="15" s="1"/>
  <c r="HL31" i="15"/>
  <c r="FM31" i="15"/>
  <c r="HM31" i="15"/>
  <c r="GR31" i="15"/>
  <c r="GQ31" i="15" s="1"/>
  <c r="HZ31" i="15"/>
  <c r="GS30" i="15"/>
  <c r="FZ30" i="15" s="1"/>
  <c r="HL30" i="15"/>
  <c r="FM30" i="15"/>
  <c r="GR30" i="15"/>
  <c r="HZ30" i="15"/>
  <c r="HM30" i="15"/>
  <c r="GS29" i="15"/>
  <c r="FZ29" i="15" s="1"/>
  <c r="HL29" i="15"/>
  <c r="FM29" i="15"/>
  <c r="HM29" i="15"/>
  <c r="GR29" i="15"/>
  <c r="HZ29" i="15"/>
  <c r="GS28" i="15"/>
  <c r="FZ28" i="15" s="1"/>
  <c r="HL28" i="15"/>
  <c r="FM28" i="15"/>
  <c r="HM28" i="15"/>
  <c r="GR28" i="15"/>
  <c r="HZ28" i="15"/>
  <c r="GS27" i="15"/>
  <c r="FZ27" i="15" s="1"/>
  <c r="HL27" i="15"/>
  <c r="FM27" i="15"/>
  <c r="HM27" i="15"/>
  <c r="GR27" i="15"/>
  <c r="HZ27" i="15"/>
  <c r="GS26" i="15"/>
  <c r="FZ26" i="15" s="1"/>
  <c r="HL26" i="15"/>
  <c r="FM26" i="15"/>
  <c r="HM26" i="15"/>
  <c r="HZ26" i="15"/>
  <c r="GS25" i="15"/>
  <c r="FZ25" i="15" s="1"/>
  <c r="HL25" i="15"/>
  <c r="FM25" i="15"/>
  <c r="HM25" i="15"/>
  <c r="HZ25" i="15"/>
  <c r="GS24" i="15"/>
  <c r="FZ24" i="15" s="1"/>
  <c r="HL24" i="15"/>
  <c r="FM24" i="15"/>
  <c r="HM24" i="15"/>
  <c r="GR24" i="15"/>
  <c r="GQ24" i="15" s="1"/>
  <c r="GP24" i="15" s="1"/>
  <c r="GO24" i="15" s="1"/>
  <c r="HZ24" i="15"/>
  <c r="GS23" i="15"/>
  <c r="FZ23" i="15" s="1"/>
  <c r="HL23" i="15"/>
  <c r="FM23" i="15"/>
  <c r="HM23" i="15"/>
  <c r="GR23" i="15"/>
  <c r="GQ23" i="15" s="1"/>
  <c r="GP23" i="15" s="1"/>
  <c r="GO23" i="15" s="1"/>
  <c r="HZ23" i="15"/>
  <c r="GS22" i="15"/>
  <c r="FZ22" i="15" s="1"/>
  <c r="HL22" i="15"/>
  <c r="FM22" i="15"/>
  <c r="GR22" i="15"/>
  <c r="HZ22" i="15"/>
  <c r="HM22" i="15"/>
  <c r="Q18" i="5"/>
  <c r="GK349" i="15"/>
  <c r="BG349" i="15"/>
  <c r="HM349" i="15"/>
  <c r="HL349" i="15"/>
  <c r="GK348" i="15"/>
  <c r="BG348" i="15"/>
  <c r="HM348" i="15"/>
  <c r="HL348" i="15"/>
  <c r="GK347" i="15"/>
  <c r="BG347" i="15"/>
  <c r="HM347" i="15"/>
  <c r="HL347" i="15"/>
  <c r="GK346" i="15"/>
  <c r="BG346" i="15"/>
  <c r="HM346" i="15"/>
  <c r="HL346" i="15"/>
  <c r="GK345" i="15"/>
  <c r="BG345" i="15"/>
  <c r="HM345" i="15"/>
  <c r="HL345" i="15"/>
  <c r="GK344" i="15"/>
  <c r="BG344" i="15"/>
  <c r="HM344" i="15"/>
  <c r="HL344" i="15"/>
  <c r="GK343" i="15"/>
  <c r="BG343" i="15"/>
  <c r="HM343" i="15"/>
  <c r="HL343" i="15"/>
  <c r="GK342" i="15"/>
  <c r="BG342" i="15"/>
  <c r="HM342" i="15"/>
  <c r="HL342" i="15"/>
  <c r="GK341" i="15"/>
  <c r="BG341" i="15"/>
  <c r="HM341" i="15"/>
  <c r="HL341" i="15"/>
  <c r="GK340" i="15"/>
  <c r="BG340" i="15"/>
  <c r="HM340" i="15"/>
  <c r="HL340" i="15"/>
  <c r="GK339" i="15"/>
  <c r="BG339" i="15"/>
  <c r="HM339" i="15"/>
  <c r="HL339" i="15"/>
  <c r="GK338" i="15"/>
  <c r="BG338" i="15"/>
  <c r="HM338" i="15"/>
  <c r="HL338" i="15"/>
  <c r="GK337" i="15"/>
  <c r="BG337" i="15"/>
  <c r="HM337" i="15"/>
  <c r="HL337" i="15"/>
  <c r="GK336" i="15"/>
  <c r="BG336" i="15"/>
  <c r="HM336" i="15"/>
  <c r="HL336" i="15"/>
  <c r="GK335" i="15"/>
  <c r="BG335" i="15"/>
  <c r="HM335" i="15"/>
  <c r="HL335" i="15"/>
  <c r="GK334" i="15"/>
  <c r="BG334" i="15"/>
  <c r="HM334" i="15"/>
  <c r="HL334" i="15"/>
  <c r="GK333" i="15"/>
  <c r="BG333" i="15"/>
  <c r="HM333" i="15"/>
  <c r="HL333" i="15"/>
  <c r="GK332" i="15"/>
  <c r="BG332" i="15"/>
  <c r="HM332" i="15"/>
  <c r="HL332" i="15"/>
  <c r="GK331" i="15"/>
  <c r="BG331" i="15"/>
  <c r="HM331" i="15"/>
  <c r="HL331" i="15"/>
  <c r="GK330" i="15"/>
  <c r="BG330" i="15"/>
  <c r="HM330" i="15"/>
  <c r="HL330" i="15"/>
  <c r="GK329" i="15"/>
  <c r="BG329" i="15"/>
  <c r="HM329" i="15"/>
  <c r="HL329" i="15"/>
  <c r="GK328" i="15"/>
  <c r="BG328" i="15"/>
  <c r="HM328" i="15"/>
  <c r="HL328" i="15"/>
  <c r="GK327" i="15"/>
  <c r="BG327" i="15"/>
  <c r="HM327" i="15"/>
  <c r="HL327" i="15"/>
  <c r="GK326" i="15"/>
  <c r="BG326" i="15"/>
  <c r="HM326" i="15"/>
  <c r="HL326" i="15"/>
  <c r="GK325" i="15"/>
  <c r="BG325" i="15"/>
  <c r="HM325" i="15"/>
  <c r="HL325" i="15"/>
  <c r="GK324" i="15"/>
  <c r="BG324" i="15"/>
  <c r="HM324" i="15"/>
  <c r="HL324" i="15"/>
  <c r="GK323" i="15"/>
  <c r="BG323" i="15"/>
  <c r="HM323" i="15"/>
  <c r="HL323" i="15"/>
  <c r="GK322" i="15"/>
  <c r="BG322" i="15"/>
  <c r="HM322" i="15"/>
  <c r="HL322" i="15"/>
  <c r="GK321" i="15"/>
  <c r="BG321" i="15"/>
  <c r="HM321" i="15"/>
  <c r="HL321" i="15"/>
  <c r="GK320" i="15"/>
  <c r="BG320" i="15"/>
  <c r="HM320" i="15"/>
  <c r="HL320" i="15"/>
  <c r="GK319" i="15"/>
  <c r="BG319" i="15"/>
  <c r="HM319" i="15"/>
  <c r="HL319" i="15"/>
  <c r="GK318" i="15"/>
  <c r="BG318" i="15"/>
  <c r="HM318" i="15"/>
  <c r="HL318" i="15"/>
  <c r="GK317" i="15"/>
  <c r="BG317" i="15"/>
  <c r="HM317" i="15"/>
  <c r="HL317" i="15"/>
  <c r="GK316" i="15"/>
  <c r="BG316" i="15"/>
  <c r="HM316" i="15"/>
  <c r="HL316" i="15"/>
  <c r="GK315" i="15"/>
  <c r="BG315" i="15"/>
  <c r="HM315" i="15"/>
  <c r="HL315" i="15"/>
  <c r="GK314" i="15"/>
  <c r="BG314" i="15"/>
  <c r="HM314" i="15"/>
  <c r="HL314" i="15"/>
  <c r="GK313" i="15"/>
  <c r="BG313" i="15"/>
  <c r="HM313" i="15"/>
  <c r="HL313" i="15"/>
  <c r="GK312" i="15"/>
  <c r="BG312" i="15"/>
  <c r="HM312" i="15"/>
  <c r="HL312" i="15"/>
  <c r="GK311" i="15"/>
  <c r="BG311" i="15"/>
  <c r="HM311" i="15"/>
  <c r="HL311" i="15"/>
  <c r="GK310" i="15"/>
  <c r="BG310" i="15"/>
  <c r="HM310" i="15"/>
  <c r="HL310" i="15"/>
  <c r="GK309" i="15"/>
  <c r="BG309" i="15"/>
  <c r="HM309" i="15"/>
  <c r="HL309" i="15"/>
  <c r="GK308" i="15"/>
  <c r="BG308" i="15"/>
  <c r="HM308" i="15"/>
  <c r="HL308" i="15"/>
  <c r="GK307" i="15"/>
  <c r="BG307" i="15"/>
  <c r="HM307" i="15"/>
  <c r="HL307" i="15"/>
  <c r="GK306" i="15"/>
  <c r="BG306" i="15"/>
  <c r="HM306" i="15"/>
  <c r="HL306" i="15"/>
  <c r="GK305" i="15"/>
  <c r="BG305" i="15"/>
  <c r="HM305" i="15"/>
  <c r="HL305" i="15"/>
  <c r="GK304" i="15"/>
  <c r="BG304" i="15"/>
  <c r="HM304" i="15"/>
  <c r="HL304" i="15"/>
  <c r="GK303" i="15"/>
  <c r="BG303" i="15"/>
  <c r="HM303" i="15"/>
  <c r="HL303" i="15"/>
  <c r="GK302" i="15"/>
  <c r="BG302" i="15"/>
  <c r="HM302" i="15"/>
  <c r="HL302" i="15"/>
  <c r="GK301" i="15"/>
  <c r="BG301" i="15"/>
  <c r="HM301" i="15"/>
  <c r="HL301" i="15"/>
  <c r="GK300" i="15"/>
  <c r="BG300" i="15"/>
  <c r="HM300" i="15"/>
  <c r="HL300" i="15"/>
  <c r="GK299" i="15"/>
  <c r="BG299" i="15"/>
  <c r="HM299" i="15"/>
  <c r="HL299" i="15"/>
  <c r="GK298" i="15"/>
  <c r="BG298" i="15"/>
  <c r="HM298" i="15"/>
  <c r="HL298" i="15"/>
  <c r="GK297" i="15"/>
  <c r="BG297" i="15"/>
  <c r="HM297" i="15"/>
  <c r="HL297" i="15"/>
  <c r="GK296" i="15"/>
  <c r="BG296" i="15"/>
  <c r="HM296" i="15"/>
  <c r="HL296" i="15"/>
  <c r="GK295" i="15"/>
  <c r="BG295" i="15"/>
  <c r="HM295" i="15"/>
  <c r="HL295" i="15"/>
  <c r="GK294" i="15"/>
  <c r="BG294" i="15"/>
  <c r="HM294" i="15"/>
  <c r="HL294" i="15"/>
  <c r="GK293" i="15"/>
  <c r="BG293" i="15"/>
  <c r="HM293" i="15"/>
  <c r="HL293" i="15"/>
  <c r="GK292" i="15"/>
  <c r="BG292" i="15"/>
  <c r="HM292" i="15"/>
  <c r="HL292" i="15"/>
  <c r="GK291" i="15"/>
  <c r="BG291" i="15"/>
  <c r="HM291" i="15"/>
  <c r="HL291" i="15"/>
  <c r="GK290" i="15"/>
  <c r="BG290" i="15"/>
  <c r="HM290" i="15"/>
  <c r="HL290" i="15"/>
  <c r="GK289" i="15"/>
  <c r="BG289" i="15"/>
  <c r="HM289" i="15"/>
  <c r="HL289" i="15"/>
  <c r="GK288" i="15"/>
  <c r="BG288" i="15"/>
  <c r="HM288" i="15"/>
  <c r="HL288" i="15"/>
  <c r="GK287" i="15"/>
  <c r="BG287" i="15"/>
  <c r="HM287" i="15"/>
  <c r="HL287" i="15"/>
  <c r="GK286" i="15"/>
  <c r="BG286" i="15"/>
  <c r="HM286" i="15"/>
  <c r="HL286" i="15"/>
  <c r="GK285" i="15"/>
  <c r="BG285" i="15"/>
  <c r="HM285" i="15"/>
  <c r="HL285" i="15"/>
  <c r="GK284" i="15"/>
  <c r="BG284" i="15"/>
  <c r="HM284" i="15"/>
  <c r="HL284" i="15"/>
  <c r="GK283" i="15"/>
  <c r="BG283" i="15"/>
  <c r="HM283" i="15"/>
  <c r="HL283" i="15"/>
  <c r="GK282" i="15"/>
  <c r="BG282" i="15"/>
  <c r="HM282" i="15"/>
  <c r="HL282" i="15"/>
  <c r="GK281" i="15"/>
  <c r="BG281" i="15"/>
  <c r="HM281" i="15"/>
  <c r="HL281" i="15"/>
  <c r="GK280" i="15"/>
  <c r="BG280" i="15"/>
  <c r="HM280" i="15"/>
  <c r="HL280" i="15"/>
  <c r="GK279" i="15"/>
  <c r="BG279" i="15"/>
  <c r="HM279" i="15"/>
  <c r="HL279" i="15"/>
  <c r="GK278" i="15"/>
  <c r="BG278" i="15"/>
  <c r="HM278" i="15"/>
  <c r="HL278" i="15"/>
  <c r="GK277" i="15"/>
  <c r="BG277" i="15"/>
  <c r="HM277" i="15"/>
  <c r="HL277" i="15"/>
  <c r="GK276" i="15"/>
  <c r="BG276" i="15"/>
  <c r="HM276" i="15"/>
  <c r="HL276" i="15"/>
  <c r="GK275" i="15"/>
  <c r="BG275" i="15"/>
  <c r="HM275" i="15"/>
  <c r="HL275" i="15"/>
  <c r="GK274" i="15"/>
  <c r="BG274" i="15"/>
  <c r="HM274" i="15"/>
  <c r="HL274" i="15"/>
  <c r="GK273" i="15"/>
  <c r="BG273" i="15"/>
  <c r="HM273" i="15"/>
  <c r="HL273" i="15"/>
  <c r="GK272" i="15"/>
  <c r="BG272" i="15"/>
  <c r="HM272" i="15"/>
  <c r="HL272" i="15"/>
  <c r="GK271" i="15"/>
  <c r="BG271" i="15"/>
  <c r="HM271" i="15"/>
  <c r="HL271" i="15"/>
  <c r="GK270" i="15"/>
  <c r="BG270" i="15"/>
  <c r="HM270" i="15"/>
  <c r="HL270" i="15"/>
  <c r="GK269" i="15"/>
  <c r="BG269" i="15"/>
  <c r="HM269" i="15"/>
  <c r="HL269" i="15"/>
  <c r="GK268" i="15"/>
  <c r="BG268" i="15"/>
  <c r="HM268" i="15"/>
  <c r="HL268" i="15"/>
  <c r="GK267" i="15"/>
  <c r="BG267" i="15"/>
  <c r="HM267" i="15"/>
  <c r="HL267" i="15"/>
  <c r="GK266" i="15"/>
  <c r="BG266" i="15"/>
  <c r="HM266" i="15"/>
  <c r="HL266" i="15"/>
  <c r="GK265" i="15"/>
  <c r="BG265" i="15"/>
  <c r="HM265" i="15"/>
  <c r="HL265" i="15"/>
  <c r="GK264" i="15"/>
  <c r="BG264" i="15"/>
  <c r="HM264" i="15"/>
  <c r="HL264" i="15"/>
  <c r="GK263" i="15"/>
  <c r="BG263" i="15"/>
  <c r="HM263" i="15"/>
  <c r="HL263" i="15"/>
  <c r="GK262" i="15"/>
  <c r="BG262" i="15"/>
  <c r="HM262" i="15"/>
  <c r="HL262" i="15"/>
  <c r="GK261" i="15"/>
  <c r="BG261" i="15"/>
  <c r="HM261" i="15"/>
  <c r="HL261" i="15"/>
  <c r="GK260" i="15"/>
  <c r="BG260" i="15"/>
  <c r="HM260" i="15"/>
  <c r="HL260" i="15"/>
  <c r="GK259" i="15"/>
  <c r="BG259" i="15"/>
  <c r="HM259" i="15"/>
  <c r="HL259" i="15"/>
  <c r="GK258" i="15"/>
  <c r="BG258" i="15"/>
  <c r="HM258" i="15"/>
  <c r="HL258" i="15"/>
  <c r="GK257" i="15"/>
  <c r="BG257" i="15"/>
  <c r="HM257" i="15"/>
  <c r="HL257" i="15"/>
  <c r="GK256" i="15"/>
  <c r="BG256" i="15"/>
  <c r="HM256" i="15"/>
  <c r="HL256" i="15"/>
  <c r="GK255" i="15"/>
  <c r="BG255" i="15"/>
  <c r="HM255" i="15"/>
  <c r="HL255" i="15"/>
  <c r="GK254" i="15"/>
  <c r="BG254" i="15"/>
  <c r="HM254" i="15"/>
  <c r="HL254" i="15"/>
  <c r="GK253" i="15"/>
  <c r="BG253" i="15"/>
  <c r="HM253" i="15"/>
  <c r="HL253" i="15"/>
  <c r="GK252" i="15"/>
  <c r="BG252" i="15"/>
  <c r="HM252" i="15"/>
  <c r="HL252" i="15"/>
  <c r="GK251" i="15"/>
  <c r="BG251" i="15"/>
  <c r="HM251" i="15"/>
  <c r="HL251" i="15"/>
  <c r="GK250" i="15"/>
  <c r="BG250" i="15"/>
  <c r="HM250" i="15"/>
  <c r="HL250" i="15"/>
  <c r="GK249" i="15"/>
  <c r="BG249" i="15"/>
  <c r="HM249" i="15"/>
  <c r="HL249" i="15"/>
  <c r="GK248" i="15"/>
  <c r="BG248" i="15"/>
  <c r="HM248" i="15"/>
  <c r="HL248" i="15"/>
  <c r="GK247" i="15"/>
  <c r="BG247" i="15"/>
  <c r="HM247" i="15"/>
  <c r="HL247" i="15"/>
  <c r="GK246" i="15"/>
  <c r="BG246" i="15"/>
  <c r="HM246" i="15"/>
  <c r="HL246" i="15"/>
  <c r="GK245" i="15"/>
  <c r="BG245" i="15"/>
  <c r="HM245" i="15"/>
  <c r="HL245" i="15"/>
  <c r="GK244" i="15"/>
  <c r="BG244" i="15"/>
  <c r="HM244" i="15"/>
  <c r="HL244" i="15"/>
  <c r="GK243" i="15"/>
  <c r="BG243" i="15"/>
  <c r="HM243" i="15"/>
  <c r="HL243" i="15"/>
  <c r="GK242" i="15"/>
  <c r="BG242" i="15"/>
  <c r="HM242" i="15"/>
  <c r="HL242" i="15"/>
  <c r="GK241" i="15"/>
  <c r="BG241" i="15"/>
  <c r="HM241" i="15"/>
  <c r="HL241" i="15"/>
  <c r="GK240" i="15"/>
  <c r="BG240" i="15"/>
  <c r="HM240" i="15"/>
  <c r="HL240" i="15"/>
  <c r="GK239" i="15"/>
  <c r="BG239" i="15"/>
  <c r="HM239" i="15"/>
  <c r="HL239" i="15"/>
  <c r="GK238" i="15"/>
  <c r="BG238" i="15"/>
  <c r="HM238" i="15"/>
  <c r="HL238" i="15"/>
  <c r="GK237" i="15"/>
  <c r="BG237" i="15"/>
  <c r="HM237" i="15"/>
  <c r="HL237" i="15"/>
  <c r="GK236" i="15"/>
  <c r="BG236" i="15"/>
  <c r="HM236" i="15"/>
  <c r="HL236" i="15"/>
  <c r="GK235" i="15"/>
  <c r="BG235" i="15"/>
  <c r="HM235" i="15"/>
  <c r="HL235" i="15"/>
  <c r="GK234" i="15"/>
  <c r="BG234" i="15"/>
  <c r="HM234" i="15"/>
  <c r="HL234" i="15"/>
  <c r="GK233" i="15"/>
  <c r="BG233" i="15"/>
  <c r="HM233" i="15"/>
  <c r="HL233" i="15"/>
  <c r="GK232" i="15"/>
  <c r="BG232" i="15"/>
  <c r="HM232" i="15"/>
  <c r="HL232" i="15"/>
  <c r="GK231" i="15"/>
  <c r="BG231" i="15"/>
  <c r="HM231" i="15"/>
  <c r="HL231" i="15"/>
  <c r="GK230" i="15"/>
  <c r="BG230" i="15"/>
  <c r="HM230" i="15"/>
  <c r="HL230" i="15"/>
  <c r="GK229" i="15"/>
  <c r="BG229" i="15"/>
  <c r="HM229" i="15"/>
  <c r="HL229" i="15"/>
  <c r="GK228" i="15"/>
  <c r="BG228" i="15"/>
  <c r="HM228" i="15"/>
  <c r="HL228" i="15"/>
  <c r="GK227" i="15"/>
  <c r="BG227" i="15"/>
  <c r="HM227" i="15"/>
  <c r="HL227" i="15"/>
  <c r="GK226" i="15"/>
  <c r="BG226" i="15"/>
  <c r="HM226" i="15"/>
  <c r="HL226" i="15"/>
  <c r="GK225" i="15"/>
  <c r="BG225" i="15"/>
  <c r="HM225" i="15"/>
  <c r="HL225" i="15"/>
  <c r="GK224" i="15"/>
  <c r="BG224" i="15"/>
  <c r="HM224" i="15"/>
  <c r="HL224" i="15"/>
  <c r="GK223" i="15"/>
  <c r="BG223" i="15"/>
  <c r="HM223" i="15"/>
  <c r="HL223" i="15"/>
  <c r="GK222" i="15"/>
  <c r="BG222" i="15"/>
  <c r="HM222" i="15"/>
  <c r="HL222" i="15"/>
  <c r="GK221" i="15"/>
  <c r="BG221" i="15"/>
  <c r="HM221" i="15"/>
  <c r="HL221" i="15"/>
  <c r="GK220" i="15"/>
  <c r="BG220" i="15"/>
  <c r="HM220" i="15"/>
  <c r="HL220" i="15"/>
  <c r="GK219" i="15"/>
  <c r="BG219" i="15"/>
  <c r="HM219" i="15"/>
  <c r="HL219" i="15"/>
  <c r="GK218" i="15"/>
  <c r="BG218" i="15"/>
  <c r="HM218" i="15"/>
  <c r="HL218" i="15"/>
  <c r="GK217" i="15"/>
  <c r="BG217" i="15"/>
  <c r="HM217" i="15"/>
  <c r="HL217" i="15"/>
  <c r="GK216" i="15"/>
  <c r="BG216" i="15"/>
  <c r="HM216" i="15"/>
  <c r="HL216" i="15"/>
  <c r="GK215" i="15"/>
  <c r="BG215" i="15"/>
  <c r="HM215" i="15"/>
  <c r="HL215" i="15"/>
  <c r="GK214" i="15"/>
  <c r="BG214" i="15"/>
  <c r="HM214" i="15"/>
  <c r="HL214" i="15"/>
  <c r="GK213" i="15"/>
  <c r="BG213" i="15"/>
  <c r="HM213" i="15"/>
  <c r="HL213" i="15"/>
  <c r="GK212" i="15"/>
  <c r="BG212" i="15"/>
  <c r="HM212" i="15"/>
  <c r="HL212" i="15"/>
  <c r="GK211" i="15"/>
  <c r="BG211" i="15"/>
  <c r="HM211" i="15"/>
  <c r="HL211" i="15"/>
  <c r="GK210" i="15"/>
  <c r="BG210" i="15"/>
  <c r="HM210" i="15"/>
  <c r="HL210" i="15"/>
  <c r="GK209" i="15"/>
  <c r="BG209" i="15"/>
  <c r="HM209" i="15"/>
  <c r="HL209" i="15"/>
  <c r="GK208" i="15"/>
  <c r="BG208" i="15"/>
  <c r="HM208" i="15"/>
  <c r="HL208" i="15"/>
  <c r="GK207" i="15"/>
  <c r="BG207" i="15"/>
  <c r="HM207" i="15"/>
  <c r="HL207" i="15"/>
  <c r="GK206" i="15"/>
  <c r="BG206" i="15"/>
  <c r="HM206" i="15"/>
  <c r="HL206" i="15"/>
  <c r="GK205" i="15"/>
  <c r="BG205" i="15"/>
  <c r="HM205" i="15"/>
  <c r="HL205" i="15"/>
  <c r="GK204" i="15"/>
  <c r="BG204" i="15"/>
  <c r="HM204" i="15"/>
  <c r="HL204" i="15"/>
  <c r="GK203" i="15"/>
  <c r="BG203" i="15"/>
  <c r="HM203" i="15"/>
  <c r="HL203" i="15"/>
  <c r="GK202" i="15"/>
  <c r="BG202" i="15"/>
  <c r="HM202" i="15"/>
  <c r="HL202" i="15"/>
  <c r="GK201" i="15"/>
  <c r="BG201" i="15"/>
  <c r="HM201" i="15"/>
  <c r="HL201" i="15"/>
  <c r="GK200" i="15"/>
  <c r="BG200" i="15"/>
  <c r="HM200" i="15"/>
  <c r="HL200" i="15"/>
  <c r="GK199" i="15"/>
  <c r="BG199" i="15"/>
  <c r="HM199" i="15"/>
  <c r="HL199" i="15"/>
  <c r="GK198" i="15"/>
  <c r="BG198" i="15"/>
  <c r="HM198" i="15"/>
  <c r="HL198" i="15"/>
  <c r="GK197" i="15"/>
  <c r="BG197" i="15"/>
  <c r="HM197" i="15"/>
  <c r="HL197" i="15"/>
  <c r="GK196" i="15"/>
  <c r="BG196" i="15"/>
  <c r="HM196" i="15"/>
  <c r="HL196" i="15"/>
  <c r="GK195" i="15"/>
  <c r="BG195" i="15"/>
  <c r="HM195" i="15"/>
  <c r="HL195" i="15"/>
  <c r="GK194" i="15"/>
  <c r="BG194" i="15"/>
  <c r="HM194" i="15"/>
  <c r="HL194" i="15"/>
  <c r="GK193" i="15"/>
  <c r="BG193" i="15"/>
  <c r="HM193" i="15"/>
  <c r="HL193" i="15"/>
  <c r="GK192" i="15"/>
  <c r="BG192" i="15"/>
  <c r="HM192" i="15"/>
  <c r="HL192" i="15"/>
  <c r="GK191" i="15"/>
  <c r="BG191" i="15"/>
  <c r="HM191" i="15"/>
  <c r="HL191" i="15"/>
  <c r="GK190" i="15"/>
  <c r="BG190" i="15"/>
  <c r="HM190" i="15"/>
  <c r="HL190" i="15"/>
  <c r="GK189" i="15"/>
  <c r="BG189" i="15"/>
  <c r="HM189" i="15"/>
  <c r="HL189" i="15"/>
  <c r="GK188" i="15"/>
  <c r="BG188" i="15"/>
  <c r="HM188" i="15"/>
  <c r="HL188" i="15"/>
  <c r="GK187" i="15"/>
  <c r="BG187" i="15"/>
  <c r="HM187" i="15"/>
  <c r="HL187" i="15"/>
  <c r="GK186" i="15"/>
  <c r="BG186" i="15"/>
  <c r="HM186" i="15"/>
  <c r="HL186" i="15"/>
  <c r="GK185" i="15"/>
  <c r="BG185" i="15"/>
  <c r="HM185" i="15"/>
  <c r="HL185" i="15"/>
  <c r="GK184" i="15"/>
  <c r="BG184" i="15"/>
  <c r="HM184" i="15"/>
  <c r="HL184" i="15"/>
  <c r="GK183" i="15"/>
  <c r="BG183" i="15"/>
  <c r="HM183" i="15"/>
  <c r="HL183" i="15"/>
  <c r="GK182" i="15"/>
  <c r="BG182" i="15"/>
  <c r="HM182" i="15"/>
  <c r="HL182" i="15"/>
  <c r="GK181" i="15"/>
  <c r="BG181" i="15"/>
  <c r="HM181" i="15"/>
  <c r="HL181" i="15"/>
  <c r="GK180" i="15"/>
  <c r="BG180" i="15"/>
  <c r="HM180" i="15"/>
  <c r="HL180" i="15"/>
  <c r="GK179" i="15"/>
  <c r="BG179" i="15"/>
  <c r="HM179" i="15"/>
  <c r="HL179" i="15"/>
  <c r="GK178" i="15"/>
  <c r="BG178" i="15"/>
  <c r="HM178" i="15"/>
  <c r="HL178" i="15"/>
  <c r="GK177" i="15"/>
  <c r="BG177" i="15"/>
  <c r="HM177" i="15"/>
  <c r="HL177" i="15"/>
  <c r="GK176" i="15"/>
  <c r="BG176" i="15"/>
  <c r="HM176" i="15"/>
  <c r="HL176" i="15"/>
  <c r="GK175" i="15"/>
  <c r="BG175" i="15"/>
  <c r="HM175" i="15"/>
  <c r="HL175" i="15"/>
  <c r="GK174" i="15"/>
  <c r="BG174" i="15"/>
  <c r="HM174" i="15"/>
  <c r="HL174" i="15"/>
  <c r="GK173" i="15"/>
  <c r="BG173" i="15"/>
  <c r="HM173" i="15"/>
  <c r="HL173" i="15"/>
  <c r="GK172" i="15"/>
  <c r="BG172" i="15"/>
  <c r="HM172" i="15"/>
  <c r="HL172" i="15"/>
  <c r="GK171" i="15"/>
  <c r="BG171" i="15"/>
  <c r="HM171" i="15"/>
  <c r="HL171" i="15"/>
  <c r="GK170" i="15"/>
  <c r="BG170" i="15"/>
  <c r="HM170" i="15"/>
  <c r="HL170" i="15"/>
  <c r="GK169" i="15"/>
  <c r="BG169" i="15"/>
  <c r="HM169" i="15"/>
  <c r="HL169" i="15"/>
  <c r="GK168" i="15"/>
  <c r="BG168" i="15"/>
  <c r="HM168" i="15"/>
  <c r="HL168" i="15"/>
  <c r="GK167" i="15"/>
  <c r="BG167" i="15"/>
  <c r="HM167" i="15"/>
  <c r="HL167" i="15"/>
  <c r="GK166" i="15"/>
  <c r="BG166" i="15"/>
  <c r="HM166" i="15"/>
  <c r="HL166" i="15"/>
  <c r="GK165" i="15"/>
  <c r="BG165" i="15"/>
  <c r="HM165" i="15"/>
  <c r="HL165" i="15"/>
  <c r="GK164" i="15"/>
  <c r="BG164" i="15"/>
  <c r="HM164" i="15"/>
  <c r="HL164" i="15"/>
  <c r="GK163" i="15"/>
  <c r="BG163" i="15"/>
  <c r="HM163" i="15"/>
  <c r="HL163" i="15"/>
  <c r="GK162" i="15"/>
  <c r="BG162" i="15"/>
  <c r="HM162" i="15"/>
  <c r="HL162" i="15"/>
  <c r="GK161" i="15"/>
  <c r="BG161" i="15"/>
  <c r="HM161" i="15"/>
  <c r="HL161" i="15"/>
  <c r="GK160" i="15"/>
  <c r="BG160" i="15"/>
  <c r="HM160" i="15"/>
  <c r="HL160" i="15"/>
  <c r="GK159" i="15"/>
  <c r="BG159" i="15"/>
  <c r="HM159" i="15"/>
  <c r="HL159" i="15"/>
  <c r="GK158" i="15"/>
  <c r="BG158" i="15"/>
  <c r="HM158" i="15"/>
  <c r="HL158" i="15"/>
  <c r="GK157" i="15"/>
  <c r="BG157" i="15"/>
  <c r="HM157" i="15"/>
  <c r="HL157" i="15"/>
  <c r="GK156" i="15"/>
  <c r="BG156" i="15"/>
  <c r="HM156" i="15"/>
  <c r="HL156" i="15"/>
  <c r="GK155" i="15"/>
  <c r="BG155" i="15"/>
  <c r="HM155" i="15"/>
  <c r="HL155" i="15"/>
  <c r="GK154" i="15"/>
  <c r="BG154" i="15"/>
  <c r="HM154" i="15"/>
  <c r="HL154" i="15"/>
  <c r="GK153" i="15"/>
  <c r="BG153" i="15"/>
  <c r="HM153" i="15"/>
  <c r="HL153" i="15"/>
  <c r="GK152" i="15"/>
  <c r="BG152" i="15"/>
  <c r="HM152" i="15"/>
  <c r="HL152" i="15"/>
  <c r="GK151" i="15"/>
  <c r="BG151" i="15"/>
  <c r="HM151" i="15"/>
  <c r="HL151" i="15"/>
  <c r="GK150" i="15"/>
  <c r="BG150" i="15"/>
  <c r="HM150" i="15"/>
  <c r="HL150" i="15"/>
  <c r="GK149" i="15"/>
  <c r="BG149" i="15"/>
  <c r="HM149" i="15"/>
  <c r="HL149" i="15"/>
  <c r="GK148" i="15"/>
  <c r="BG148" i="15"/>
  <c r="HM148" i="15"/>
  <c r="HL148" i="15"/>
  <c r="GK147" i="15"/>
  <c r="BG147" i="15"/>
  <c r="HM147" i="15"/>
  <c r="HL147" i="15"/>
  <c r="GK146" i="15"/>
  <c r="BG146" i="15"/>
  <c r="HM146" i="15"/>
  <c r="HL146" i="15"/>
  <c r="GK145" i="15"/>
  <c r="BG145" i="15"/>
  <c r="HM145" i="15"/>
  <c r="HL145" i="15"/>
  <c r="GK144" i="15"/>
  <c r="BG144" i="15"/>
  <c r="HM144" i="15"/>
  <c r="HL144" i="15"/>
  <c r="GK143" i="15"/>
  <c r="BG143" i="15"/>
  <c r="HM143" i="15"/>
  <c r="HL143" i="15"/>
  <c r="GK142" i="15"/>
  <c r="BG142" i="15"/>
  <c r="HM142" i="15"/>
  <c r="HL142" i="15"/>
  <c r="GK141" i="15"/>
  <c r="BG141" i="15"/>
  <c r="HM141" i="15"/>
  <c r="HL141" i="15"/>
  <c r="GK140" i="15"/>
  <c r="BG140" i="15"/>
  <c r="HM140" i="15"/>
  <c r="HL140" i="15"/>
  <c r="GK139" i="15"/>
  <c r="BG139" i="15"/>
  <c r="HM139" i="15"/>
  <c r="HL139" i="15"/>
  <c r="GK138" i="15"/>
  <c r="BG138" i="15"/>
  <c r="HM138" i="15"/>
  <c r="HL138" i="15"/>
  <c r="GK137" i="15"/>
  <c r="BG137" i="15"/>
  <c r="HM137" i="15"/>
  <c r="HL137" i="15"/>
  <c r="GK136" i="15"/>
  <c r="BG136" i="15"/>
  <c r="HM136" i="15"/>
  <c r="HL136" i="15"/>
  <c r="GK135" i="15"/>
  <c r="BG135" i="15"/>
  <c r="HM135" i="15"/>
  <c r="HL135" i="15"/>
  <c r="GK134" i="15"/>
  <c r="BG134" i="15"/>
  <c r="HM134" i="15"/>
  <c r="HL134" i="15"/>
  <c r="GK133" i="15"/>
  <c r="BG133" i="15"/>
  <c r="HM133" i="15"/>
  <c r="HL133" i="15"/>
  <c r="GK132" i="15"/>
  <c r="BG132" i="15"/>
  <c r="HM132" i="15"/>
  <c r="HL132" i="15"/>
  <c r="GK131" i="15"/>
  <c r="BG131" i="15"/>
  <c r="HM131" i="15"/>
  <c r="HL131" i="15"/>
  <c r="GK130" i="15"/>
  <c r="BG130" i="15"/>
  <c r="HM130" i="15"/>
  <c r="HL130" i="15"/>
  <c r="GK129" i="15"/>
  <c r="BG129" i="15"/>
  <c r="HM129" i="15"/>
  <c r="HL129" i="15"/>
  <c r="GK128" i="15"/>
  <c r="BG128" i="15"/>
  <c r="HM128" i="15"/>
  <c r="HL128" i="15"/>
  <c r="GK127" i="15"/>
  <c r="HM127" i="15"/>
  <c r="HL127" i="15"/>
  <c r="GK126" i="15"/>
  <c r="HM126" i="15"/>
  <c r="HL126" i="15"/>
  <c r="GK125" i="15"/>
  <c r="HM125" i="15"/>
  <c r="HL125" i="15"/>
  <c r="GK124" i="15"/>
  <c r="HM124" i="15"/>
  <c r="HL124" i="15"/>
  <c r="GK123" i="15"/>
  <c r="HM123" i="15"/>
  <c r="HL123" i="15"/>
  <c r="GK122" i="15"/>
  <c r="HM122" i="15"/>
  <c r="HL122" i="15"/>
  <c r="GK121" i="15"/>
  <c r="HM121" i="15"/>
  <c r="HL121" i="15"/>
  <c r="GK120" i="15"/>
  <c r="HM120" i="15"/>
  <c r="HL120" i="15"/>
  <c r="GK119" i="15"/>
  <c r="HM119" i="15"/>
  <c r="HL119" i="15"/>
  <c r="GK118" i="15"/>
  <c r="HM118" i="15"/>
  <c r="HL118" i="15"/>
  <c r="GK117" i="15"/>
  <c r="HM117" i="15"/>
  <c r="HL117" i="15"/>
  <c r="GK116" i="15"/>
  <c r="HM116" i="15"/>
  <c r="HL116" i="15"/>
  <c r="GK115" i="15"/>
  <c r="HM115" i="15"/>
  <c r="HL115" i="15"/>
  <c r="GK114" i="15"/>
  <c r="HM114" i="15"/>
  <c r="HL114" i="15"/>
  <c r="GK113" i="15"/>
  <c r="HM113" i="15"/>
  <c r="HL113" i="15"/>
  <c r="GK112" i="15"/>
  <c r="BG112" i="15"/>
  <c r="HM112" i="15"/>
  <c r="HL112" i="15"/>
  <c r="GK111" i="15"/>
  <c r="HM111" i="15"/>
  <c r="HL111" i="15"/>
  <c r="GK110" i="15"/>
  <c r="HM110" i="15"/>
  <c r="HL110" i="15"/>
  <c r="GK109" i="15"/>
  <c r="HM109" i="15"/>
  <c r="HL109" i="15"/>
  <c r="GK108" i="15"/>
  <c r="HM108" i="15"/>
  <c r="HL108" i="15"/>
  <c r="GK107" i="15"/>
  <c r="HM107" i="15"/>
  <c r="HL107" i="15"/>
  <c r="GK106" i="15"/>
  <c r="HM106" i="15"/>
  <c r="HL106" i="15"/>
  <c r="GK105" i="15"/>
  <c r="HM105" i="15"/>
  <c r="HL105" i="15"/>
  <c r="GK104" i="15"/>
  <c r="HM104" i="15"/>
  <c r="HL104" i="15"/>
  <c r="GK103" i="15"/>
  <c r="BG103" i="15"/>
  <c r="HM103" i="15"/>
  <c r="HL103" i="15"/>
  <c r="GK102" i="15"/>
  <c r="HM102" i="15"/>
  <c r="HL102" i="15"/>
  <c r="GK101" i="15"/>
  <c r="HM101" i="15"/>
  <c r="HL101" i="15"/>
  <c r="GK100" i="15"/>
  <c r="HM100" i="15"/>
  <c r="HL100" i="15"/>
  <c r="GK99" i="15"/>
  <c r="HM99" i="15"/>
  <c r="HL99" i="15"/>
  <c r="GK98" i="15"/>
  <c r="HM98" i="15"/>
  <c r="HL98" i="15"/>
  <c r="GK97" i="15"/>
  <c r="HM97" i="15"/>
  <c r="HL97" i="15"/>
  <c r="GK96" i="15"/>
  <c r="HM96" i="15"/>
  <c r="HL96" i="15"/>
  <c r="GK95" i="15"/>
  <c r="HM95" i="15"/>
  <c r="HL95" i="15"/>
  <c r="GK94" i="15"/>
  <c r="HM94" i="15"/>
  <c r="HL94" i="15"/>
  <c r="GK93" i="15"/>
  <c r="HM93" i="15"/>
  <c r="HL93" i="15"/>
  <c r="GK92" i="15"/>
  <c r="HM92" i="15"/>
  <c r="HL92" i="15"/>
  <c r="GK91" i="15"/>
  <c r="HM91" i="15"/>
  <c r="HL91" i="15"/>
  <c r="GK90" i="15"/>
  <c r="HM90" i="15"/>
  <c r="HL90" i="15"/>
  <c r="GK89" i="15"/>
  <c r="HM89" i="15"/>
  <c r="HL89" i="15"/>
  <c r="GK88" i="15"/>
  <c r="HM88" i="15"/>
  <c r="HL88" i="15"/>
  <c r="GK87" i="15"/>
  <c r="HM87" i="15"/>
  <c r="HL87" i="15"/>
  <c r="GK86" i="15"/>
  <c r="HM86" i="15"/>
  <c r="HL86" i="15"/>
  <c r="GK85" i="15"/>
  <c r="HM85" i="15"/>
  <c r="HL85" i="15"/>
  <c r="GK84" i="15"/>
  <c r="HM84" i="15"/>
  <c r="HL84" i="15"/>
  <c r="GK83" i="15"/>
  <c r="HM83" i="15"/>
  <c r="HL83" i="15"/>
  <c r="GK82" i="15"/>
  <c r="HM82" i="15"/>
  <c r="HL82" i="15"/>
  <c r="GK81" i="15"/>
  <c r="HM81" i="15"/>
  <c r="HL81" i="15"/>
  <c r="GK80" i="15"/>
  <c r="HM80" i="15"/>
  <c r="HL80" i="15"/>
  <c r="HM79" i="15"/>
  <c r="HL79" i="15"/>
  <c r="HM78" i="15"/>
  <c r="HL78" i="15"/>
  <c r="HM77" i="15"/>
  <c r="HL77" i="15"/>
  <c r="HM76" i="15"/>
  <c r="HL76" i="15"/>
  <c r="HM75" i="15"/>
  <c r="HL75" i="15"/>
  <c r="HM74" i="15"/>
  <c r="HL74" i="15"/>
  <c r="HM73" i="15"/>
  <c r="HL73" i="15"/>
  <c r="HM72" i="15"/>
  <c r="HL72" i="15"/>
  <c r="HM71" i="15"/>
  <c r="HL71" i="15"/>
  <c r="HM70" i="15"/>
  <c r="HL70" i="15"/>
  <c r="HM69" i="15"/>
  <c r="HL69" i="15"/>
  <c r="HM68" i="15"/>
  <c r="HL68" i="15"/>
  <c r="HM67" i="15"/>
  <c r="HL67" i="15"/>
  <c r="HM66" i="15"/>
  <c r="HL66" i="15"/>
  <c r="HM65" i="15"/>
  <c r="HL65" i="15"/>
  <c r="HM64" i="15"/>
  <c r="HL64" i="15"/>
  <c r="HM63" i="15"/>
  <c r="HL63" i="15"/>
  <c r="HM35" i="15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HE13" i="15"/>
  <c r="HB13" i="15"/>
  <c r="HA13" i="15"/>
  <c r="GQ35" i="15"/>
  <c r="GQ30" i="15"/>
  <c r="GQ27" i="15"/>
  <c r="GR41" i="15"/>
  <c r="GR37" i="15"/>
  <c r="GR32" i="15"/>
  <c r="GR26" i="15"/>
  <c r="GR25" i="15"/>
  <c r="BK42" i="65"/>
  <c r="BK41" i="65"/>
  <c r="BK40" i="65"/>
  <c r="BK39" i="65"/>
  <c r="BK38" i="65"/>
  <c r="BK37" i="65"/>
  <c r="BK36" i="65"/>
  <c r="BK35" i="65"/>
  <c r="BK34" i="65"/>
  <c r="BK33" i="65"/>
  <c r="BK30" i="65"/>
  <c r="BK29" i="65"/>
  <c r="BK28" i="65"/>
  <c r="BK26" i="65"/>
  <c r="BK24" i="65"/>
  <c r="BK23" i="65"/>
  <c r="BK22" i="65"/>
  <c r="R18" i="5"/>
  <c r="S18" i="5"/>
  <c r="T18" i="5"/>
  <c r="GW22" i="1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BK54" i="65"/>
  <c r="BK57" i="65"/>
  <c r="BK60" i="65"/>
  <c r="BK62" i="65"/>
  <c r="BK63" i="65"/>
  <c r="BK66" i="65"/>
  <c r="BK67" i="65"/>
  <c r="BK69" i="65"/>
  <c r="BK72" i="65"/>
  <c r="BK74" i="65"/>
  <c r="BK43" i="65"/>
  <c r="BK44" i="65"/>
  <c r="BK45" i="65"/>
  <c r="BK46" i="65"/>
  <c r="BK49" i="65"/>
  <c r="BK52" i="65"/>
  <c r="BK55" i="65"/>
  <c r="BK56" i="65"/>
  <c r="BK58" i="65"/>
  <c r="BK59" i="65"/>
  <c r="BK61" i="65"/>
  <c r="BK64" i="65"/>
  <c r="BK65" i="65"/>
  <c r="BK68" i="65"/>
  <c r="BK70" i="65"/>
  <c r="BK71" i="65"/>
  <c r="BK73" i="65"/>
  <c r="BK75" i="65"/>
  <c r="BK76" i="65"/>
  <c r="BK77" i="65"/>
  <c r="BK78" i="65"/>
  <c r="BK79" i="65"/>
  <c r="BK82" i="65"/>
  <c r="BK83" i="65"/>
  <c r="BK88" i="65"/>
  <c r="BK89" i="65"/>
  <c r="GR63" i="15"/>
  <c r="GS63" i="15"/>
  <c r="FZ63" i="15" s="1"/>
  <c r="HZ63" i="15"/>
  <c r="FM63" i="15"/>
  <c r="GR64" i="15"/>
  <c r="GS64" i="15"/>
  <c r="FZ64" i="15" s="1"/>
  <c r="HZ64" i="15"/>
  <c r="FM64" i="15"/>
  <c r="GR65" i="15"/>
  <c r="GQ65" i="15" s="1"/>
  <c r="GS65" i="15"/>
  <c r="FZ65" i="15" s="1"/>
  <c r="HZ65" i="15"/>
  <c r="FM65" i="15"/>
  <c r="GR66" i="15"/>
  <c r="GS66" i="15"/>
  <c r="FZ66" i="15" s="1"/>
  <c r="HZ66" i="15"/>
  <c r="FM66" i="15"/>
  <c r="FM67" i="15"/>
  <c r="GR67" i="15"/>
  <c r="GQ67" i="15" s="1"/>
  <c r="GS67" i="15"/>
  <c r="FZ67" i="15" s="1"/>
  <c r="HZ67" i="15"/>
  <c r="GS68" i="15"/>
  <c r="FZ68" i="15" s="1"/>
  <c r="GR68" i="15"/>
  <c r="HZ68" i="15"/>
  <c r="FM68" i="15"/>
  <c r="GS69" i="15"/>
  <c r="FZ69" i="15" s="1"/>
  <c r="GR69" i="15"/>
  <c r="GQ69" i="15" s="1"/>
  <c r="HZ69" i="15"/>
  <c r="FM69" i="15"/>
  <c r="GS70" i="15"/>
  <c r="FZ70" i="15" s="1"/>
  <c r="GR70" i="15"/>
  <c r="GQ70" i="15" s="1"/>
  <c r="HZ70" i="15"/>
  <c r="FM70" i="15"/>
  <c r="GS71" i="15"/>
  <c r="FZ71" i="15" s="1"/>
  <c r="GR71" i="15"/>
  <c r="GQ71" i="15" s="1"/>
  <c r="HZ71" i="15"/>
  <c r="FM71" i="15"/>
  <c r="GS72" i="15"/>
  <c r="FZ72" i="15" s="1"/>
  <c r="GR72" i="15"/>
  <c r="GQ72" i="15" s="1"/>
  <c r="HZ72" i="15"/>
  <c r="FM72" i="15"/>
  <c r="GS73" i="15"/>
  <c r="FZ73" i="15" s="1"/>
  <c r="GR73" i="15"/>
  <c r="GQ73" i="15" s="1"/>
  <c r="HZ73" i="15"/>
  <c r="FM73" i="15"/>
  <c r="GS74" i="15"/>
  <c r="FZ74" i="15" s="1"/>
  <c r="GR74" i="15"/>
  <c r="GQ74" i="15" s="1"/>
  <c r="HZ74" i="15"/>
  <c r="FM74" i="15"/>
  <c r="GS75" i="15"/>
  <c r="FZ75" i="15" s="1"/>
  <c r="GR75" i="15"/>
  <c r="GQ75" i="15" s="1"/>
  <c r="HZ75" i="15"/>
  <c r="FM75" i="15"/>
  <c r="GS76" i="15"/>
  <c r="FZ76" i="15" s="1"/>
  <c r="GR76" i="15"/>
  <c r="GQ76" i="15" s="1"/>
  <c r="HZ76" i="15"/>
  <c r="FM76" i="15"/>
  <c r="GS77" i="15"/>
  <c r="FZ77" i="15" s="1"/>
  <c r="GR77" i="15"/>
  <c r="GQ77" i="15" s="1"/>
  <c r="HZ77" i="15"/>
  <c r="FM77" i="15"/>
  <c r="GS78" i="15"/>
  <c r="FZ78" i="15" s="1"/>
  <c r="GR78" i="15"/>
  <c r="HZ78" i="15"/>
  <c r="FM78" i="15"/>
  <c r="GS79" i="15"/>
  <c r="FZ79" i="15" s="1"/>
  <c r="GR79" i="15"/>
  <c r="GQ79" i="15" s="1"/>
  <c r="HZ79" i="15"/>
  <c r="FM79" i="15"/>
  <c r="GR82" i="15"/>
  <c r="GQ82" i="15" s="1"/>
  <c r="GS82" i="15"/>
  <c r="FZ82" i="15" s="1"/>
  <c r="HZ82" i="15"/>
  <c r="FM82" i="15"/>
  <c r="GR83" i="15"/>
  <c r="GS83" i="15"/>
  <c r="FZ83" i="15" s="1"/>
  <c r="HZ83" i="15"/>
  <c r="FM83" i="15"/>
  <c r="GR88" i="15"/>
  <c r="GQ88" i="15" s="1"/>
  <c r="GS88" i="15"/>
  <c r="FZ88" i="15" s="1"/>
  <c r="HZ88" i="15"/>
  <c r="FM88" i="15"/>
  <c r="GR89" i="15"/>
  <c r="GS89" i="15"/>
  <c r="FZ89" i="15" s="1"/>
  <c r="HZ89" i="15"/>
  <c r="FM89" i="15"/>
  <c r="BK51" i="65"/>
  <c r="BK80" i="65"/>
  <c r="BK81" i="65"/>
  <c r="BK84" i="65"/>
  <c r="BK85" i="65"/>
  <c r="BK86" i="65"/>
  <c r="BK87" i="65"/>
  <c r="BK90" i="65"/>
  <c r="BK91" i="65"/>
  <c r="BK92" i="65"/>
  <c r="BK93" i="65"/>
  <c r="BK94" i="65"/>
  <c r="BK95" i="65"/>
  <c r="BK96" i="65"/>
  <c r="BK97" i="65"/>
  <c r="BK98" i="65"/>
  <c r="BK99" i="65"/>
  <c r="BK100" i="65"/>
  <c r="BK101" i="65"/>
  <c r="BK102" i="65"/>
  <c r="BK103" i="65"/>
  <c r="BK104" i="65"/>
  <c r="BK105" i="65"/>
  <c r="BK106" i="65"/>
  <c r="BK107" i="65"/>
  <c r="BK108" i="65"/>
  <c r="BK109" i="65"/>
  <c r="BK110" i="65"/>
  <c r="BK111" i="65"/>
  <c r="BK112" i="65"/>
  <c r="BK113" i="65"/>
  <c r="BK114" i="65"/>
  <c r="BK115" i="65"/>
  <c r="BK116" i="65"/>
  <c r="BK117" i="65"/>
  <c r="BK118" i="65"/>
  <c r="BK119" i="65"/>
  <c r="BK120" i="65"/>
  <c r="BK121" i="65"/>
  <c r="BK122" i="65"/>
  <c r="BK123" i="65"/>
  <c r="BK124" i="65"/>
  <c r="BK125" i="65"/>
  <c r="BK126" i="65"/>
  <c r="BK127" i="65"/>
  <c r="BK128" i="65"/>
  <c r="BK129" i="65"/>
  <c r="BK130" i="65"/>
  <c r="BK131" i="65"/>
  <c r="BK132" i="65"/>
  <c r="BK133" i="65"/>
  <c r="BK134" i="65"/>
  <c r="BK135" i="65"/>
  <c r="BK136" i="65"/>
  <c r="BK137" i="65"/>
  <c r="BK138" i="65"/>
  <c r="BK139" i="65"/>
  <c r="BK140" i="65"/>
  <c r="BK141" i="65"/>
  <c r="BK142" i="65"/>
  <c r="BK143" i="65"/>
  <c r="BK144" i="65"/>
  <c r="BK145" i="65"/>
  <c r="BK146" i="65"/>
  <c r="BK147" i="65"/>
  <c r="BK148" i="65"/>
  <c r="BK149" i="65"/>
  <c r="BK150" i="65"/>
  <c r="BK151" i="65"/>
  <c r="BK152" i="65"/>
  <c r="BK153" i="65"/>
  <c r="BK154" i="65"/>
  <c r="BK155" i="65"/>
  <c r="BK156" i="65"/>
  <c r="BK157" i="65"/>
  <c r="BK158" i="65"/>
  <c r="BK159" i="65"/>
  <c r="BK160" i="65"/>
  <c r="BK161" i="65"/>
  <c r="BK162" i="65"/>
  <c r="BK163" i="65"/>
  <c r="BK164" i="65"/>
  <c r="BK165" i="65"/>
  <c r="BK166" i="65"/>
  <c r="BK167" i="65"/>
  <c r="BK168" i="65"/>
  <c r="BK169" i="65"/>
  <c r="BK170" i="65"/>
  <c r="BK171" i="65"/>
  <c r="BK172" i="65"/>
  <c r="BK173" i="65"/>
  <c r="BK174" i="65"/>
  <c r="BK175" i="65"/>
  <c r="BK176" i="65"/>
  <c r="BK177" i="65"/>
  <c r="BK178" i="65"/>
  <c r="BK179" i="65"/>
  <c r="BK180" i="65"/>
  <c r="BK181" i="65"/>
  <c r="BK182" i="65"/>
  <c r="BK183" i="65"/>
  <c r="BK184" i="65"/>
  <c r="BK185" i="65"/>
  <c r="BK186" i="65"/>
  <c r="BK187" i="65"/>
  <c r="BK188" i="65"/>
  <c r="BK189" i="65"/>
  <c r="BK190" i="65"/>
  <c r="BK191" i="65"/>
  <c r="BK192" i="65"/>
  <c r="BK193" i="65"/>
  <c r="BK194" i="65"/>
  <c r="BK195" i="65"/>
  <c r="BK196" i="65"/>
  <c r="BK197" i="65"/>
  <c r="BK198" i="65"/>
  <c r="BK199" i="65"/>
  <c r="BK200" i="65"/>
  <c r="BK201" i="65"/>
  <c r="BK202" i="65"/>
  <c r="BK203" i="65"/>
  <c r="BK204" i="65"/>
  <c r="BK205" i="65"/>
  <c r="BK206" i="65"/>
  <c r="BK207" i="65"/>
  <c r="BK208" i="65"/>
  <c r="BK209" i="65"/>
  <c r="BK210" i="65"/>
  <c r="BK211" i="65"/>
  <c r="BK212" i="65"/>
  <c r="BK213" i="65"/>
  <c r="BK214" i="65"/>
  <c r="BK215" i="65"/>
  <c r="BK216" i="65"/>
  <c r="BK217" i="65"/>
  <c r="BK218" i="65"/>
  <c r="BK219" i="65"/>
  <c r="BK220" i="65"/>
  <c r="BK221" i="65"/>
  <c r="BK222" i="65"/>
  <c r="BK223" i="65"/>
  <c r="BK224" i="65"/>
  <c r="BK225" i="65"/>
  <c r="BK226" i="65"/>
  <c r="BK227" i="65"/>
  <c r="BK228" i="65"/>
  <c r="BK229" i="65"/>
  <c r="BK230" i="65"/>
  <c r="BK231" i="65"/>
  <c r="BK232" i="65"/>
  <c r="BK233" i="65"/>
  <c r="BK234" i="65"/>
  <c r="BK235" i="65"/>
  <c r="BK236" i="65"/>
  <c r="BK237" i="65"/>
  <c r="BK238" i="65"/>
  <c r="BK239" i="65"/>
  <c r="BK240" i="65"/>
  <c r="BK241" i="65"/>
  <c r="BK242" i="65"/>
  <c r="BK243" i="65"/>
  <c r="BK244" i="65"/>
  <c r="BK245" i="65"/>
  <c r="BK246" i="65"/>
  <c r="BK247" i="65"/>
  <c r="BK248" i="65"/>
  <c r="BK249" i="65"/>
  <c r="BK250" i="65"/>
  <c r="BK251" i="65"/>
  <c r="BK252" i="65"/>
  <c r="BK253" i="65"/>
  <c r="BK254" i="65"/>
  <c r="BK255" i="65"/>
  <c r="BK256" i="65"/>
  <c r="BK257" i="65"/>
  <c r="BK258" i="65"/>
  <c r="BK259" i="65"/>
  <c r="BK260" i="65"/>
  <c r="BK261" i="65"/>
  <c r="BK262" i="65"/>
  <c r="BK263" i="65"/>
  <c r="BK264" i="65"/>
  <c r="BK265" i="65"/>
  <c r="BK266" i="65"/>
  <c r="BK267" i="65"/>
  <c r="BK268" i="65"/>
  <c r="BK269" i="65"/>
  <c r="BK270" i="65"/>
  <c r="BK271" i="65"/>
  <c r="BK272" i="65"/>
  <c r="BK273" i="65"/>
  <c r="BK274" i="65"/>
  <c r="BK275" i="65"/>
  <c r="BK276" i="65"/>
  <c r="BK277" i="65"/>
  <c r="BK278" i="65"/>
  <c r="BK279" i="65"/>
  <c r="BK280" i="65"/>
  <c r="BK281" i="65"/>
  <c r="BK282" i="65"/>
  <c r="BK283" i="65"/>
  <c r="BK284" i="65"/>
  <c r="BK285" i="65"/>
  <c r="BK286" i="65"/>
  <c r="BK287" i="65"/>
  <c r="BK288" i="65"/>
  <c r="BK289" i="65"/>
  <c r="BK290" i="65"/>
  <c r="BK291" i="65"/>
  <c r="BK292" i="65"/>
  <c r="BK293" i="65"/>
  <c r="BK294" i="65"/>
  <c r="BK295" i="65"/>
  <c r="BK296" i="65"/>
  <c r="BK297" i="65"/>
  <c r="BK298" i="65"/>
  <c r="BK299" i="65"/>
  <c r="BK300" i="65"/>
  <c r="BK301" i="65"/>
  <c r="BK302" i="65"/>
  <c r="BK303" i="65"/>
  <c r="BK304" i="65"/>
  <c r="BK305" i="65"/>
  <c r="BK306" i="65"/>
  <c r="BK307" i="65"/>
  <c r="BK308" i="65"/>
  <c r="BK309" i="65"/>
  <c r="BK310" i="65"/>
  <c r="BK311" i="65"/>
  <c r="BK312" i="65"/>
  <c r="BK313" i="65"/>
  <c r="BK314" i="65"/>
  <c r="BK315" i="65"/>
  <c r="BK316" i="65"/>
  <c r="BK317" i="65"/>
  <c r="BK318" i="65"/>
  <c r="BK319" i="65"/>
  <c r="BK320" i="65"/>
  <c r="BK321" i="65"/>
  <c r="BK322" i="65"/>
  <c r="BK323" i="65"/>
  <c r="BK324" i="65"/>
  <c r="BK325" i="65"/>
  <c r="BK326" i="65"/>
  <c r="BK327" i="65"/>
  <c r="BK328" i="65"/>
  <c r="BK329" i="65"/>
  <c r="BK330" i="65"/>
  <c r="BK331" i="65"/>
  <c r="BK332" i="65"/>
  <c r="BK333" i="65"/>
  <c r="BK334" i="65"/>
  <c r="BK335" i="65"/>
  <c r="BK336" i="65"/>
  <c r="BK337" i="65"/>
  <c r="BK338" i="65"/>
  <c r="BK339" i="65"/>
  <c r="BK340" i="65"/>
  <c r="BK341" i="65"/>
  <c r="BK342" i="65"/>
  <c r="BK343" i="65"/>
  <c r="BK344" i="65"/>
  <c r="BK345" i="65"/>
  <c r="BK346" i="65"/>
  <c r="BK347" i="65"/>
  <c r="BK348" i="65"/>
  <c r="BK349" i="65"/>
  <c r="FJ29" i="15"/>
  <c r="FO29" i="15"/>
  <c r="FQ29" i="15"/>
  <c r="FS29" i="15"/>
  <c r="FD29" i="15"/>
  <c r="FH29" i="15"/>
  <c r="FE29" i="15"/>
  <c r="FR29" i="15"/>
  <c r="FI29" i="15"/>
  <c r="FN29" i="15"/>
  <c r="FF29" i="15"/>
  <c r="FG29" i="15"/>
  <c r="FP29" i="15"/>
  <c r="FK29" i="15"/>
  <c r="FL29" i="15"/>
  <c r="FW29" i="15"/>
  <c r="FV29" i="15"/>
  <c r="FX29" i="15"/>
  <c r="GT29" i="15"/>
  <c r="GU29" i="15"/>
  <c r="GV29" i="15"/>
  <c r="FJ30" i="15"/>
  <c r="FO30" i="15"/>
  <c r="FQ30" i="15"/>
  <c r="FS30" i="15"/>
  <c r="FD30" i="15"/>
  <c r="FH30" i="15"/>
  <c r="FE30" i="15"/>
  <c r="FR30" i="15"/>
  <c r="FI30" i="15"/>
  <c r="FN30" i="15"/>
  <c r="FF30" i="15"/>
  <c r="FG30" i="15"/>
  <c r="FP30" i="15"/>
  <c r="FK30" i="15"/>
  <c r="FL30" i="15"/>
  <c r="FW30" i="15"/>
  <c r="FV30" i="15"/>
  <c r="FX30" i="15"/>
  <c r="GT30" i="15"/>
  <c r="GU30" i="15"/>
  <c r="GV30" i="15"/>
  <c r="FJ31" i="15"/>
  <c r="FO31" i="15"/>
  <c r="FQ31" i="15"/>
  <c r="FS31" i="15"/>
  <c r="FD31" i="15"/>
  <c r="FH31" i="15"/>
  <c r="FE31" i="15"/>
  <c r="FR31" i="15"/>
  <c r="FI31" i="15"/>
  <c r="FN31" i="15"/>
  <c r="FF31" i="15"/>
  <c r="FG31" i="15"/>
  <c r="FP31" i="15"/>
  <c r="FK31" i="15"/>
  <c r="FL31" i="15"/>
  <c r="FW31" i="15"/>
  <c r="FV31" i="15"/>
  <c r="FX31" i="15"/>
  <c r="GT31" i="15"/>
  <c r="GU31" i="15"/>
  <c r="GV31" i="15"/>
  <c r="FJ32" i="15"/>
  <c r="FO32" i="15"/>
  <c r="FQ32" i="15"/>
  <c r="FS32" i="15"/>
  <c r="FD32" i="15"/>
  <c r="FH32" i="15"/>
  <c r="FE32" i="15"/>
  <c r="FR32" i="15"/>
  <c r="FI32" i="15"/>
  <c r="FN32" i="15"/>
  <c r="FF32" i="15"/>
  <c r="FG32" i="15"/>
  <c r="FP32" i="15"/>
  <c r="FK32" i="15"/>
  <c r="FL32" i="15"/>
  <c r="FW32" i="15"/>
  <c r="FV32" i="15"/>
  <c r="FX32" i="15"/>
  <c r="GT32" i="15"/>
  <c r="GU32" i="15"/>
  <c r="GV32" i="15"/>
  <c r="FJ33" i="15"/>
  <c r="FO33" i="15"/>
  <c r="FQ33" i="15"/>
  <c r="FS33" i="15"/>
  <c r="FD33" i="15"/>
  <c r="FH33" i="15"/>
  <c r="FE33" i="15"/>
  <c r="FR33" i="15"/>
  <c r="FI33" i="15"/>
  <c r="FN33" i="15"/>
  <c r="FF33" i="15"/>
  <c r="FG33" i="15"/>
  <c r="FP33" i="15"/>
  <c r="FK33" i="15"/>
  <c r="FL33" i="15"/>
  <c r="FW33" i="15"/>
  <c r="FV33" i="15"/>
  <c r="FX33" i="15"/>
  <c r="GT33" i="15"/>
  <c r="GU33" i="15"/>
  <c r="GV33" i="15"/>
  <c r="FJ34" i="15"/>
  <c r="FO34" i="15"/>
  <c r="FQ34" i="15"/>
  <c r="FS34" i="15"/>
  <c r="FD34" i="15"/>
  <c r="FH34" i="15"/>
  <c r="FE34" i="15"/>
  <c r="FR34" i="15"/>
  <c r="FI34" i="15"/>
  <c r="FN34" i="15"/>
  <c r="FF34" i="15"/>
  <c r="FG34" i="15"/>
  <c r="FP34" i="15"/>
  <c r="FK34" i="15"/>
  <c r="FL34" i="15"/>
  <c r="FW34" i="15"/>
  <c r="FV34" i="15"/>
  <c r="FX34" i="15"/>
  <c r="GT34" i="15"/>
  <c r="GU34" i="15"/>
  <c r="GV34" i="15"/>
  <c r="FJ35" i="15"/>
  <c r="FO35" i="15"/>
  <c r="FQ35" i="15"/>
  <c r="FS35" i="15"/>
  <c r="FD35" i="15"/>
  <c r="FH35" i="15"/>
  <c r="FE35" i="15"/>
  <c r="FR35" i="15"/>
  <c r="FI35" i="15"/>
  <c r="FN35" i="15"/>
  <c r="FF35" i="15"/>
  <c r="FG35" i="15"/>
  <c r="FP35" i="15"/>
  <c r="FK35" i="15"/>
  <c r="FL35" i="15"/>
  <c r="FW35" i="15"/>
  <c r="FV35" i="15"/>
  <c r="FX35" i="15"/>
  <c r="GT35" i="15"/>
  <c r="GU35" i="15"/>
  <c r="GV35" i="15"/>
  <c r="FJ36" i="15"/>
  <c r="FO36" i="15"/>
  <c r="FQ36" i="15"/>
  <c r="FS36" i="15"/>
  <c r="FD36" i="15"/>
  <c r="FH36" i="15"/>
  <c r="FE36" i="15"/>
  <c r="FR36" i="15"/>
  <c r="FI36" i="15"/>
  <c r="FN36" i="15"/>
  <c r="FF36" i="15"/>
  <c r="FG36" i="15"/>
  <c r="FP36" i="15"/>
  <c r="FK36" i="15"/>
  <c r="FL36" i="15"/>
  <c r="FW36" i="15"/>
  <c r="FV36" i="15"/>
  <c r="FX36" i="15"/>
  <c r="GT36" i="15"/>
  <c r="GU36" i="15"/>
  <c r="GV36" i="15"/>
  <c r="FJ37" i="15"/>
  <c r="FO37" i="15"/>
  <c r="FQ37" i="15"/>
  <c r="FS37" i="15"/>
  <c r="FD37" i="15"/>
  <c r="FH37" i="15"/>
  <c r="FE37" i="15"/>
  <c r="FR37" i="15"/>
  <c r="FI37" i="15"/>
  <c r="FN37" i="15"/>
  <c r="FF37" i="15"/>
  <c r="FG37" i="15"/>
  <c r="FP37" i="15"/>
  <c r="FK37" i="15"/>
  <c r="FL37" i="15"/>
  <c r="FW37" i="15"/>
  <c r="FV37" i="15"/>
  <c r="FX37" i="15"/>
  <c r="GT37" i="15"/>
  <c r="GU37" i="15"/>
  <c r="GV37" i="15"/>
  <c r="FJ38" i="15"/>
  <c r="FO38" i="15"/>
  <c r="FQ38" i="15"/>
  <c r="FS38" i="15"/>
  <c r="FD38" i="15"/>
  <c r="FH38" i="15"/>
  <c r="FE38" i="15"/>
  <c r="FR38" i="15"/>
  <c r="FI38" i="15"/>
  <c r="FN38" i="15"/>
  <c r="FF38" i="15"/>
  <c r="FG38" i="15"/>
  <c r="FP38" i="15"/>
  <c r="FK38" i="15"/>
  <c r="FL38" i="15"/>
  <c r="FW38" i="15"/>
  <c r="FV38" i="15"/>
  <c r="FX38" i="15"/>
  <c r="GT38" i="15"/>
  <c r="GU38" i="15"/>
  <c r="GV38" i="15"/>
  <c r="FJ39" i="15"/>
  <c r="FO39" i="15"/>
  <c r="FQ39" i="15"/>
  <c r="FS39" i="15"/>
  <c r="FD39" i="15"/>
  <c r="FH39" i="15"/>
  <c r="FE39" i="15"/>
  <c r="FR39" i="15"/>
  <c r="FI39" i="15"/>
  <c r="FN39" i="15"/>
  <c r="FF39" i="15"/>
  <c r="FG39" i="15"/>
  <c r="FP39" i="15"/>
  <c r="FK39" i="15"/>
  <c r="FL39" i="15"/>
  <c r="FW39" i="15"/>
  <c r="FV39" i="15"/>
  <c r="FX39" i="15"/>
  <c r="GT39" i="15"/>
  <c r="GU39" i="15"/>
  <c r="GV39" i="15"/>
  <c r="FJ40" i="15"/>
  <c r="FO40" i="15"/>
  <c r="FQ40" i="15"/>
  <c r="FS40" i="15"/>
  <c r="FD40" i="15"/>
  <c r="FH40" i="15"/>
  <c r="FE40" i="15"/>
  <c r="FR40" i="15"/>
  <c r="FI40" i="15"/>
  <c r="FN40" i="15"/>
  <c r="FF40" i="15"/>
  <c r="FG40" i="15"/>
  <c r="FP40" i="15"/>
  <c r="FK40" i="15"/>
  <c r="FL40" i="15"/>
  <c r="FW40" i="15"/>
  <c r="FV40" i="15"/>
  <c r="FX40" i="15"/>
  <c r="GT40" i="15"/>
  <c r="GU40" i="15"/>
  <c r="GV40" i="15"/>
  <c r="FJ41" i="15"/>
  <c r="FO41" i="15"/>
  <c r="FQ41" i="15"/>
  <c r="FS41" i="15"/>
  <c r="FD41" i="15"/>
  <c r="FH41" i="15"/>
  <c r="FE41" i="15"/>
  <c r="FR41" i="15"/>
  <c r="FI41" i="15"/>
  <c r="FN41" i="15"/>
  <c r="FF41" i="15"/>
  <c r="FG41" i="15"/>
  <c r="FP41" i="15"/>
  <c r="FK41" i="15"/>
  <c r="FL41" i="15"/>
  <c r="FW41" i="15"/>
  <c r="FV41" i="15"/>
  <c r="FX41" i="15"/>
  <c r="GT41" i="15"/>
  <c r="GU41" i="15"/>
  <c r="GV41" i="15"/>
  <c r="FJ42" i="15"/>
  <c r="FO42" i="15"/>
  <c r="FQ42" i="15"/>
  <c r="FS42" i="15"/>
  <c r="FD42" i="15"/>
  <c r="FH42" i="15"/>
  <c r="FE42" i="15"/>
  <c r="FR42" i="15"/>
  <c r="FI42" i="15"/>
  <c r="FN42" i="15"/>
  <c r="FF42" i="15"/>
  <c r="FG42" i="15"/>
  <c r="FP42" i="15"/>
  <c r="FK42" i="15"/>
  <c r="FL42" i="15"/>
  <c r="FW42" i="15"/>
  <c r="FV42" i="15"/>
  <c r="FX42" i="15"/>
  <c r="GT42" i="15"/>
  <c r="GU42" i="15"/>
  <c r="GV42" i="15"/>
  <c r="FJ43" i="15"/>
  <c r="FO43" i="15"/>
  <c r="FQ43" i="15"/>
  <c r="FS43" i="15"/>
  <c r="FD43" i="15"/>
  <c r="FH43" i="15"/>
  <c r="FE43" i="15"/>
  <c r="FR43" i="15"/>
  <c r="FI43" i="15"/>
  <c r="FN43" i="15"/>
  <c r="FF43" i="15"/>
  <c r="FG43" i="15"/>
  <c r="FP43" i="15"/>
  <c r="FK43" i="15"/>
  <c r="FL43" i="15"/>
  <c r="FW43" i="15"/>
  <c r="FV43" i="15"/>
  <c r="FX43" i="15"/>
  <c r="GT43" i="15"/>
  <c r="GU43" i="15"/>
  <c r="GV43" i="15"/>
  <c r="FJ44" i="15"/>
  <c r="FO44" i="15"/>
  <c r="FQ44" i="15"/>
  <c r="FS44" i="15"/>
  <c r="FD44" i="15"/>
  <c r="FH44" i="15"/>
  <c r="FE44" i="15"/>
  <c r="FR44" i="15"/>
  <c r="FI44" i="15"/>
  <c r="FN44" i="15"/>
  <c r="FF44" i="15"/>
  <c r="FG44" i="15"/>
  <c r="FP44" i="15"/>
  <c r="FK44" i="15"/>
  <c r="FL44" i="15"/>
  <c r="FW44" i="15"/>
  <c r="FV44" i="15"/>
  <c r="FX44" i="15"/>
  <c r="GT44" i="15"/>
  <c r="GU44" i="15"/>
  <c r="GV44" i="15"/>
  <c r="FJ45" i="15"/>
  <c r="FO45" i="15"/>
  <c r="FQ45" i="15"/>
  <c r="FS45" i="15"/>
  <c r="FD45" i="15"/>
  <c r="FH45" i="15"/>
  <c r="FE45" i="15"/>
  <c r="FR45" i="15"/>
  <c r="FI45" i="15"/>
  <c r="FN45" i="15"/>
  <c r="FF45" i="15"/>
  <c r="FG45" i="15"/>
  <c r="FP45" i="15"/>
  <c r="FK45" i="15"/>
  <c r="FL45" i="15"/>
  <c r="FW45" i="15"/>
  <c r="FV45" i="15"/>
  <c r="FX45" i="15"/>
  <c r="GT45" i="15"/>
  <c r="GU45" i="15"/>
  <c r="GV45" i="15"/>
  <c r="FJ46" i="15"/>
  <c r="FO46" i="15"/>
  <c r="FQ46" i="15"/>
  <c r="FS46" i="15"/>
  <c r="FD46" i="15"/>
  <c r="FH46" i="15"/>
  <c r="FE46" i="15"/>
  <c r="FR46" i="15"/>
  <c r="FI46" i="15"/>
  <c r="FN46" i="15"/>
  <c r="FF46" i="15"/>
  <c r="FG46" i="15"/>
  <c r="FP46" i="15"/>
  <c r="FK46" i="15"/>
  <c r="FL46" i="15"/>
  <c r="FW46" i="15"/>
  <c r="FV46" i="15"/>
  <c r="FX46" i="15"/>
  <c r="GT46" i="15"/>
  <c r="GU46" i="15"/>
  <c r="GV46" i="15"/>
  <c r="FJ47" i="15"/>
  <c r="FO47" i="15"/>
  <c r="FQ47" i="15"/>
  <c r="FS47" i="15"/>
  <c r="FD47" i="15"/>
  <c r="FH47" i="15"/>
  <c r="FE47" i="15"/>
  <c r="FR47" i="15"/>
  <c r="FI47" i="15"/>
  <c r="FN47" i="15"/>
  <c r="FF47" i="15"/>
  <c r="FG47" i="15"/>
  <c r="FP47" i="15"/>
  <c r="FK47" i="15"/>
  <c r="FL47" i="15"/>
  <c r="FW47" i="15"/>
  <c r="FV47" i="15"/>
  <c r="FX47" i="15"/>
  <c r="GT47" i="15"/>
  <c r="GU47" i="15"/>
  <c r="GV47" i="15"/>
  <c r="FJ48" i="15"/>
  <c r="FO48" i="15"/>
  <c r="FQ48" i="15"/>
  <c r="FS48" i="15"/>
  <c r="FD48" i="15"/>
  <c r="FH48" i="15"/>
  <c r="FE48" i="15"/>
  <c r="FR48" i="15"/>
  <c r="FI48" i="15"/>
  <c r="FN48" i="15"/>
  <c r="FF48" i="15"/>
  <c r="FG48" i="15"/>
  <c r="FP48" i="15"/>
  <c r="FK48" i="15"/>
  <c r="FL48" i="15"/>
  <c r="FW48" i="15"/>
  <c r="FV48" i="15"/>
  <c r="FX48" i="15"/>
  <c r="GT48" i="15"/>
  <c r="GU48" i="15"/>
  <c r="GV48" i="15"/>
  <c r="FJ49" i="15"/>
  <c r="FO49" i="15"/>
  <c r="FQ49" i="15"/>
  <c r="FS49" i="15"/>
  <c r="FD49" i="15"/>
  <c r="FH49" i="15"/>
  <c r="FE49" i="15"/>
  <c r="FR49" i="15"/>
  <c r="FI49" i="15"/>
  <c r="FN49" i="15"/>
  <c r="FF49" i="15"/>
  <c r="FG49" i="15"/>
  <c r="FP49" i="15"/>
  <c r="FK49" i="15"/>
  <c r="FL49" i="15"/>
  <c r="FW49" i="15"/>
  <c r="FV49" i="15"/>
  <c r="FX49" i="15"/>
  <c r="GT49" i="15"/>
  <c r="GU49" i="15"/>
  <c r="GV49" i="15"/>
  <c r="FJ50" i="15"/>
  <c r="FO50" i="15"/>
  <c r="FQ50" i="15"/>
  <c r="FS50" i="15"/>
  <c r="FD50" i="15"/>
  <c r="FH50" i="15"/>
  <c r="FE50" i="15"/>
  <c r="FR50" i="15"/>
  <c r="FI50" i="15"/>
  <c r="FN50" i="15"/>
  <c r="FF50" i="15"/>
  <c r="FG50" i="15"/>
  <c r="FP50" i="15"/>
  <c r="FK50" i="15"/>
  <c r="FL50" i="15"/>
  <c r="FW50" i="15"/>
  <c r="FV50" i="15"/>
  <c r="FX50" i="15"/>
  <c r="GT50" i="15"/>
  <c r="GU50" i="15"/>
  <c r="GV50" i="15"/>
  <c r="FJ51" i="15"/>
  <c r="FO51" i="15"/>
  <c r="FQ51" i="15"/>
  <c r="FS51" i="15"/>
  <c r="FD51" i="15"/>
  <c r="FH51" i="15"/>
  <c r="FE51" i="15"/>
  <c r="FR51" i="15"/>
  <c r="FI51" i="15"/>
  <c r="FN51" i="15"/>
  <c r="FF51" i="15"/>
  <c r="FG51" i="15"/>
  <c r="FP51" i="15"/>
  <c r="FK51" i="15"/>
  <c r="FL51" i="15"/>
  <c r="FW51" i="15"/>
  <c r="FV51" i="15"/>
  <c r="FX51" i="15"/>
  <c r="GT51" i="15"/>
  <c r="GU51" i="15"/>
  <c r="GV51" i="15"/>
  <c r="FJ52" i="15"/>
  <c r="FO52" i="15"/>
  <c r="FQ52" i="15"/>
  <c r="FS52" i="15"/>
  <c r="FD52" i="15"/>
  <c r="FH52" i="15"/>
  <c r="FE52" i="15"/>
  <c r="FR52" i="15"/>
  <c r="FI52" i="15"/>
  <c r="FN52" i="15"/>
  <c r="FF52" i="15"/>
  <c r="FG52" i="15"/>
  <c r="FP52" i="15"/>
  <c r="FK52" i="15"/>
  <c r="FL52" i="15"/>
  <c r="FW52" i="15"/>
  <c r="FV52" i="15"/>
  <c r="FX52" i="15"/>
  <c r="GT52" i="15"/>
  <c r="GU52" i="15"/>
  <c r="GV52" i="15"/>
  <c r="FJ53" i="15"/>
  <c r="FO53" i="15"/>
  <c r="FQ53" i="15"/>
  <c r="FS53" i="15"/>
  <c r="FD53" i="15"/>
  <c r="FH53" i="15"/>
  <c r="FE53" i="15"/>
  <c r="FR53" i="15"/>
  <c r="FI53" i="15"/>
  <c r="FN53" i="15"/>
  <c r="FF53" i="15"/>
  <c r="FG53" i="15"/>
  <c r="FP53" i="15"/>
  <c r="FK53" i="15"/>
  <c r="FL53" i="15"/>
  <c r="FW53" i="15"/>
  <c r="FV53" i="15"/>
  <c r="FX53" i="15"/>
  <c r="GT53" i="15"/>
  <c r="GU53" i="15"/>
  <c r="GV53" i="15"/>
  <c r="FJ54" i="15"/>
  <c r="FO54" i="15"/>
  <c r="FQ54" i="15"/>
  <c r="FS54" i="15"/>
  <c r="FD54" i="15"/>
  <c r="FH54" i="15"/>
  <c r="FE54" i="15"/>
  <c r="FR54" i="15"/>
  <c r="FI54" i="15"/>
  <c r="FN54" i="15"/>
  <c r="FF54" i="15"/>
  <c r="FG54" i="15"/>
  <c r="FP54" i="15"/>
  <c r="FK54" i="15"/>
  <c r="FL54" i="15"/>
  <c r="FW54" i="15"/>
  <c r="FV54" i="15"/>
  <c r="FX54" i="15"/>
  <c r="GT54" i="15"/>
  <c r="GU54" i="15"/>
  <c r="GV54" i="15"/>
  <c r="FJ55" i="15"/>
  <c r="FO55" i="15"/>
  <c r="FQ55" i="15"/>
  <c r="FS55" i="15"/>
  <c r="FD55" i="15"/>
  <c r="FH55" i="15"/>
  <c r="FE55" i="15"/>
  <c r="FR55" i="15"/>
  <c r="FI55" i="15"/>
  <c r="FN55" i="15"/>
  <c r="FF55" i="15"/>
  <c r="FG55" i="15"/>
  <c r="FP55" i="15"/>
  <c r="FK55" i="15"/>
  <c r="FL55" i="15"/>
  <c r="FW55" i="15"/>
  <c r="FV55" i="15"/>
  <c r="FX55" i="15"/>
  <c r="GT55" i="15"/>
  <c r="GU55" i="15"/>
  <c r="GV55" i="15"/>
  <c r="FJ56" i="15"/>
  <c r="FO56" i="15"/>
  <c r="FQ56" i="15"/>
  <c r="FS56" i="15"/>
  <c r="FD56" i="15"/>
  <c r="FH56" i="15"/>
  <c r="FE56" i="15"/>
  <c r="FR56" i="15"/>
  <c r="FI56" i="15"/>
  <c r="FN56" i="15"/>
  <c r="FF56" i="15"/>
  <c r="FG56" i="15"/>
  <c r="FP56" i="15"/>
  <c r="FK56" i="15"/>
  <c r="FL56" i="15"/>
  <c r="FW56" i="15"/>
  <c r="FV56" i="15"/>
  <c r="FX56" i="15"/>
  <c r="GT56" i="15"/>
  <c r="GU56" i="15"/>
  <c r="GV56" i="15"/>
  <c r="FJ57" i="15"/>
  <c r="FO57" i="15"/>
  <c r="FQ57" i="15"/>
  <c r="FS57" i="15"/>
  <c r="FD57" i="15"/>
  <c r="FH57" i="15"/>
  <c r="FE57" i="15"/>
  <c r="FR57" i="15"/>
  <c r="FI57" i="15"/>
  <c r="FN57" i="15"/>
  <c r="FF57" i="15"/>
  <c r="FG57" i="15"/>
  <c r="FP57" i="15"/>
  <c r="FK57" i="15"/>
  <c r="FL57" i="15"/>
  <c r="FW57" i="15"/>
  <c r="FV57" i="15"/>
  <c r="FX57" i="15"/>
  <c r="GT57" i="15"/>
  <c r="GU57" i="15"/>
  <c r="GV57" i="15"/>
  <c r="FJ58" i="15"/>
  <c r="FO58" i="15"/>
  <c r="FQ58" i="15"/>
  <c r="FS58" i="15"/>
  <c r="FD58" i="15"/>
  <c r="FH58" i="15"/>
  <c r="FE58" i="15"/>
  <c r="FR58" i="15"/>
  <c r="FI58" i="15"/>
  <c r="FN58" i="15"/>
  <c r="FF58" i="15"/>
  <c r="FG58" i="15"/>
  <c r="FP58" i="15"/>
  <c r="FK58" i="15"/>
  <c r="FL58" i="15"/>
  <c r="FW58" i="15"/>
  <c r="FV58" i="15"/>
  <c r="FX58" i="15"/>
  <c r="GT58" i="15"/>
  <c r="GU58" i="15"/>
  <c r="GV58" i="15"/>
  <c r="FJ59" i="15"/>
  <c r="FO59" i="15"/>
  <c r="FQ59" i="15"/>
  <c r="FS59" i="15"/>
  <c r="FD59" i="15"/>
  <c r="FH59" i="15"/>
  <c r="FE59" i="15"/>
  <c r="FR59" i="15"/>
  <c r="FI59" i="15"/>
  <c r="FN59" i="15"/>
  <c r="FF59" i="15"/>
  <c r="FG59" i="15"/>
  <c r="FP59" i="15"/>
  <c r="FK59" i="15"/>
  <c r="FL59" i="15"/>
  <c r="FW59" i="15"/>
  <c r="FV59" i="15"/>
  <c r="FX59" i="15"/>
  <c r="GT59" i="15"/>
  <c r="GU59" i="15"/>
  <c r="GV59" i="15"/>
  <c r="FJ60" i="15"/>
  <c r="FO60" i="15"/>
  <c r="FQ60" i="15"/>
  <c r="FS60" i="15"/>
  <c r="FD60" i="15"/>
  <c r="FH60" i="15"/>
  <c r="FE60" i="15"/>
  <c r="FR60" i="15"/>
  <c r="FI60" i="15"/>
  <c r="FN60" i="15"/>
  <c r="FF60" i="15"/>
  <c r="FG60" i="15"/>
  <c r="FP60" i="15"/>
  <c r="FK60" i="15"/>
  <c r="FL60" i="15"/>
  <c r="FW60" i="15"/>
  <c r="FV60" i="15"/>
  <c r="FX60" i="15"/>
  <c r="GT60" i="15"/>
  <c r="GU60" i="15"/>
  <c r="GV60" i="15"/>
  <c r="FJ61" i="15"/>
  <c r="FO61" i="15"/>
  <c r="FQ61" i="15"/>
  <c r="FS61" i="15"/>
  <c r="FD61" i="15"/>
  <c r="FL61" i="15"/>
  <c r="FG61" i="15"/>
  <c r="FH61" i="15"/>
  <c r="FW61" i="15"/>
  <c r="FK61" i="15"/>
  <c r="FE61" i="15"/>
  <c r="FF61" i="15"/>
  <c r="FR61" i="15"/>
  <c r="FI61" i="15"/>
  <c r="FV61" i="15"/>
  <c r="FP61" i="15"/>
  <c r="FN61" i="15"/>
  <c r="FX61" i="15"/>
  <c r="GT61" i="15"/>
  <c r="GU61" i="15"/>
  <c r="GV61" i="15"/>
  <c r="FJ62" i="15"/>
  <c r="FO62" i="15"/>
  <c r="FQ62" i="15"/>
  <c r="FS62" i="15"/>
  <c r="FD62" i="15"/>
  <c r="FH62" i="15"/>
  <c r="FE62" i="15"/>
  <c r="FR62" i="15"/>
  <c r="FI62" i="15"/>
  <c r="FN62" i="15"/>
  <c r="FF62" i="15"/>
  <c r="FG62" i="15"/>
  <c r="FP62" i="15"/>
  <c r="FK62" i="15"/>
  <c r="FL62" i="15"/>
  <c r="FW62" i="15"/>
  <c r="FV62" i="15"/>
  <c r="FX62" i="15"/>
  <c r="GT62" i="15"/>
  <c r="GU62" i="15"/>
  <c r="GV62" i="15"/>
  <c r="FJ63" i="15"/>
  <c r="FO63" i="15"/>
  <c r="FQ63" i="15"/>
  <c r="FS63" i="15"/>
  <c r="FD63" i="15"/>
  <c r="FH63" i="15"/>
  <c r="FE63" i="15"/>
  <c r="FR63" i="15"/>
  <c r="FI63" i="15"/>
  <c r="FN63" i="15"/>
  <c r="FF63" i="15"/>
  <c r="FG63" i="15"/>
  <c r="FP63" i="15"/>
  <c r="FK63" i="15"/>
  <c r="FL63" i="15"/>
  <c r="FW63" i="15"/>
  <c r="FV63" i="15"/>
  <c r="FX63" i="15"/>
  <c r="GT63" i="15"/>
  <c r="GU63" i="15"/>
  <c r="GV63" i="15"/>
  <c r="FJ64" i="15"/>
  <c r="FO64" i="15"/>
  <c r="FQ64" i="15"/>
  <c r="FS64" i="15"/>
  <c r="FD64" i="15"/>
  <c r="FH64" i="15"/>
  <c r="FE64" i="15"/>
  <c r="FR64" i="15"/>
  <c r="FI64" i="15"/>
  <c r="FN64" i="15"/>
  <c r="FF64" i="15"/>
  <c r="FG64" i="15"/>
  <c r="FP64" i="15"/>
  <c r="FK64" i="15"/>
  <c r="FL64" i="15"/>
  <c r="FW64" i="15"/>
  <c r="FV64" i="15"/>
  <c r="FX64" i="15"/>
  <c r="GT64" i="15"/>
  <c r="GU64" i="15"/>
  <c r="GV64" i="15"/>
  <c r="FJ65" i="15"/>
  <c r="FO65" i="15"/>
  <c r="FQ65" i="15"/>
  <c r="FS65" i="15"/>
  <c r="FD65" i="15"/>
  <c r="FH65" i="15"/>
  <c r="FE65" i="15"/>
  <c r="FR65" i="15"/>
  <c r="FI65" i="15"/>
  <c r="FN65" i="15"/>
  <c r="FF65" i="15"/>
  <c r="FG65" i="15"/>
  <c r="FP65" i="15"/>
  <c r="FK65" i="15"/>
  <c r="FL65" i="15"/>
  <c r="FW65" i="15"/>
  <c r="FV65" i="15"/>
  <c r="FX65" i="15"/>
  <c r="GT65" i="15"/>
  <c r="GU65" i="15"/>
  <c r="GV65" i="15"/>
  <c r="FJ66" i="15"/>
  <c r="FO66" i="15"/>
  <c r="FQ66" i="15"/>
  <c r="FS66" i="15"/>
  <c r="FD66" i="15"/>
  <c r="FH66" i="15"/>
  <c r="FE66" i="15"/>
  <c r="FR66" i="15"/>
  <c r="FI66" i="15"/>
  <c r="FN66" i="15"/>
  <c r="FF66" i="15"/>
  <c r="FG66" i="15"/>
  <c r="FP66" i="15"/>
  <c r="FK66" i="15"/>
  <c r="FL66" i="15"/>
  <c r="FW66" i="15"/>
  <c r="FV66" i="15"/>
  <c r="FX66" i="15"/>
  <c r="GT66" i="15"/>
  <c r="GU66" i="15"/>
  <c r="GV66" i="15"/>
  <c r="FJ67" i="15"/>
  <c r="FO67" i="15"/>
  <c r="FQ67" i="15"/>
  <c r="FS67" i="15"/>
  <c r="FD67" i="15"/>
  <c r="FH67" i="15"/>
  <c r="FE67" i="15"/>
  <c r="FR67" i="15"/>
  <c r="FI67" i="15"/>
  <c r="FN67" i="15"/>
  <c r="FF67" i="15"/>
  <c r="FG67" i="15"/>
  <c r="FP67" i="15"/>
  <c r="FK67" i="15"/>
  <c r="FL67" i="15"/>
  <c r="FW67" i="15"/>
  <c r="FV67" i="15"/>
  <c r="FX67" i="15"/>
  <c r="GT67" i="15"/>
  <c r="GU67" i="15"/>
  <c r="GV67" i="15"/>
  <c r="FJ68" i="15"/>
  <c r="FO68" i="15"/>
  <c r="FQ68" i="15"/>
  <c r="FS68" i="15"/>
  <c r="FD68" i="15"/>
  <c r="FH68" i="15"/>
  <c r="FE68" i="15"/>
  <c r="FR68" i="15"/>
  <c r="FI68" i="15"/>
  <c r="FN68" i="15"/>
  <c r="FF68" i="15"/>
  <c r="FG68" i="15"/>
  <c r="FP68" i="15"/>
  <c r="FK68" i="15"/>
  <c r="FL68" i="15"/>
  <c r="FW68" i="15"/>
  <c r="FV68" i="15"/>
  <c r="FX68" i="15"/>
  <c r="GT68" i="15"/>
  <c r="GU68" i="15"/>
  <c r="GV68" i="15"/>
  <c r="FJ69" i="15"/>
  <c r="FO69" i="15"/>
  <c r="FQ69" i="15"/>
  <c r="FS69" i="15"/>
  <c r="FD69" i="15"/>
  <c r="FH69" i="15"/>
  <c r="FE69" i="15"/>
  <c r="FR69" i="15"/>
  <c r="FI69" i="15"/>
  <c r="FN69" i="15"/>
  <c r="FF69" i="15"/>
  <c r="FG69" i="15"/>
  <c r="FP69" i="15"/>
  <c r="FK69" i="15"/>
  <c r="FL69" i="15"/>
  <c r="FW69" i="15"/>
  <c r="FV69" i="15"/>
  <c r="FX69" i="15"/>
  <c r="GT69" i="15"/>
  <c r="GU69" i="15"/>
  <c r="GV69" i="15"/>
  <c r="FJ70" i="15"/>
  <c r="FO70" i="15"/>
  <c r="FQ70" i="15"/>
  <c r="FS70" i="15"/>
  <c r="FD70" i="15"/>
  <c r="FH70" i="15"/>
  <c r="FE70" i="15"/>
  <c r="FR70" i="15"/>
  <c r="FI70" i="15"/>
  <c r="FN70" i="15"/>
  <c r="FF70" i="15"/>
  <c r="FG70" i="15"/>
  <c r="FP70" i="15"/>
  <c r="FK70" i="15"/>
  <c r="FL70" i="15"/>
  <c r="FW70" i="15"/>
  <c r="FV70" i="15"/>
  <c r="FX70" i="15"/>
  <c r="GT70" i="15"/>
  <c r="GU70" i="15"/>
  <c r="GV70" i="15"/>
  <c r="FJ71" i="15"/>
  <c r="FO71" i="15"/>
  <c r="FQ71" i="15"/>
  <c r="FS71" i="15"/>
  <c r="FD71" i="15"/>
  <c r="FH71" i="15"/>
  <c r="FE71" i="15"/>
  <c r="FR71" i="15"/>
  <c r="FI71" i="15"/>
  <c r="FN71" i="15"/>
  <c r="FF71" i="15"/>
  <c r="FG71" i="15"/>
  <c r="FP71" i="15"/>
  <c r="FK71" i="15"/>
  <c r="FL71" i="15"/>
  <c r="FW71" i="15"/>
  <c r="FV71" i="15"/>
  <c r="FX71" i="15"/>
  <c r="GT71" i="15"/>
  <c r="GU71" i="15"/>
  <c r="GV71" i="15"/>
  <c r="FJ72" i="15"/>
  <c r="FO72" i="15"/>
  <c r="FQ72" i="15"/>
  <c r="FS72" i="15"/>
  <c r="FD72" i="15"/>
  <c r="FH72" i="15"/>
  <c r="FE72" i="15"/>
  <c r="FR72" i="15"/>
  <c r="FI72" i="15"/>
  <c r="FN72" i="15"/>
  <c r="FF72" i="15"/>
  <c r="FG72" i="15"/>
  <c r="FP72" i="15"/>
  <c r="FK72" i="15"/>
  <c r="FL72" i="15"/>
  <c r="FW72" i="15"/>
  <c r="FV72" i="15"/>
  <c r="FX72" i="15"/>
  <c r="GT72" i="15"/>
  <c r="GU72" i="15"/>
  <c r="GV72" i="15"/>
  <c r="FJ73" i="15"/>
  <c r="FO73" i="15"/>
  <c r="FQ73" i="15"/>
  <c r="FS73" i="15"/>
  <c r="FD73" i="15"/>
  <c r="FH73" i="15"/>
  <c r="FE73" i="15"/>
  <c r="FR73" i="15"/>
  <c r="FI73" i="15"/>
  <c r="FN73" i="15"/>
  <c r="FF73" i="15"/>
  <c r="FG73" i="15"/>
  <c r="FP73" i="15"/>
  <c r="FK73" i="15"/>
  <c r="FL73" i="15"/>
  <c r="FW73" i="15"/>
  <c r="FV73" i="15"/>
  <c r="FX73" i="15"/>
  <c r="GT73" i="15"/>
  <c r="GU73" i="15"/>
  <c r="GV73" i="15"/>
  <c r="FJ74" i="15"/>
  <c r="FO74" i="15"/>
  <c r="FQ74" i="15"/>
  <c r="FS74" i="15"/>
  <c r="FD74" i="15"/>
  <c r="FH74" i="15"/>
  <c r="FE74" i="15"/>
  <c r="FR74" i="15"/>
  <c r="FI74" i="15"/>
  <c r="FN74" i="15"/>
  <c r="FF74" i="15"/>
  <c r="FG74" i="15"/>
  <c r="FP74" i="15"/>
  <c r="FK74" i="15"/>
  <c r="FL74" i="15"/>
  <c r="FW74" i="15"/>
  <c r="FV74" i="15"/>
  <c r="FX74" i="15"/>
  <c r="GT74" i="15"/>
  <c r="GU74" i="15"/>
  <c r="GV74" i="15"/>
  <c r="FJ75" i="15"/>
  <c r="FO75" i="15"/>
  <c r="FQ75" i="15"/>
  <c r="FS75" i="15"/>
  <c r="FD75" i="15"/>
  <c r="FH75" i="15"/>
  <c r="FE75" i="15"/>
  <c r="FR75" i="15"/>
  <c r="FI75" i="15"/>
  <c r="FN75" i="15"/>
  <c r="FF75" i="15"/>
  <c r="FG75" i="15"/>
  <c r="FP75" i="15"/>
  <c r="FK75" i="15"/>
  <c r="FL75" i="15"/>
  <c r="FW75" i="15"/>
  <c r="FV75" i="15"/>
  <c r="FX75" i="15"/>
  <c r="GT75" i="15"/>
  <c r="GU75" i="15"/>
  <c r="GV75" i="15"/>
  <c r="FJ76" i="15"/>
  <c r="FO76" i="15"/>
  <c r="FQ76" i="15"/>
  <c r="FS76" i="15"/>
  <c r="FD76" i="15"/>
  <c r="FH76" i="15"/>
  <c r="FE76" i="15"/>
  <c r="FR76" i="15"/>
  <c r="FI76" i="15"/>
  <c r="FN76" i="15"/>
  <c r="FF76" i="15"/>
  <c r="FG76" i="15"/>
  <c r="FP76" i="15"/>
  <c r="FK76" i="15"/>
  <c r="FL76" i="15"/>
  <c r="FW76" i="15"/>
  <c r="FV76" i="15"/>
  <c r="FX76" i="15"/>
  <c r="GT76" i="15"/>
  <c r="GU76" i="15"/>
  <c r="GV76" i="15"/>
  <c r="FJ77" i="15"/>
  <c r="FO77" i="15"/>
  <c r="FQ77" i="15"/>
  <c r="FS77" i="15"/>
  <c r="FD77" i="15"/>
  <c r="FH77" i="15"/>
  <c r="FE77" i="15"/>
  <c r="FR77" i="15"/>
  <c r="FI77" i="15"/>
  <c r="FN77" i="15"/>
  <c r="FF77" i="15"/>
  <c r="FG77" i="15"/>
  <c r="FP77" i="15"/>
  <c r="FK77" i="15"/>
  <c r="FL77" i="15"/>
  <c r="FW77" i="15"/>
  <c r="FV77" i="15"/>
  <c r="FX77" i="15"/>
  <c r="GT77" i="15"/>
  <c r="GU77" i="15"/>
  <c r="GV77" i="15"/>
  <c r="FJ78" i="15"/>
  <c r="FO78" i="15"/>
  <c r="FQ78" i="15"/>
  <c r="FS78" i="15"/>
  <c r="FD78" i="15"/>
  <c r="FH78" i="15"/>
  <c r="FE78" i="15"/>
  <c r="FR78" i="15"/>
  <c r="FI78" i="15"/>
  <c r="FN78" i="15"/>
  <c r="FF78" i="15"/>
  <c r="FG78" i="15"/>
  <c r="FP78" i="15"/>
  <c r="FK78" i="15"/>
  <c r="FL78" i="15"/>
  <c r="FW78" i="15"/>
  <c r="FV78" i="15"/>
  <c r="FX78" i="15"/>
  <c r="GT78" i="15"/>
  <c r="GU78" i="15"/>
  <c r="GV78" i="15"/>
  <c r="FJ79" i="15"/>
  <c r="FO79" i="15"/>
  <c r="FQ79" i="15"/>
  <c r="FS79" i="15"/>
  <c r="FD79" i="15"/>
  <c r="FH79" i="15"/>
  <c r="FE79" i="15"/>
  <c r="FR79" i="15"/>
  <c r="FI79" i="15"/>
  <c r="FN79" i="15"/>
  <c r="FF79" i="15"/>
  <c r="FG79" i="15"/>
  <c r="FP79" i="15"/>
  <c r="FK79" i="15"/>
  <c r="FL79" i="15"/>
  <c r="FW79" i="15"/>
  <c r="FV79" i="15"/>
  <c r="FX79" i="15"/>
  <c r="GT79" i="15"/>
  <c r="GU79" i="15"/>
  <c r="GV79" i="15"/>
  <c r="FM80" i="15"/>
  <c r="FJ80" i="15"/>
  <c r="FO80" i="15"/>
  <c r="FQ80" i="15"/>
  <c r="FS80" i="15"/>
  <c r="FD80" i="15"/>
  <c r="GS80" i="15"/>
  <c r="FZ80" i="15" s="1"/>
  <c r="FE80" i="15"/>
  <c r="FF80" i="15"/>
  <c r="FG80" i="15"/>
  <c r="FH80" i="15"/>
  <c r="FP80" i="15"/>
  <c r="FI80" i="15"/>
  <c r="FK80" i="15"/>
  <c r="FL80" i="15"/>
  <c r="GR80" i="15"/>
  <c r="GQ80" i="15" s="1"/>
  <c r="FW80" i="15"/>
  <c r="FN80" i="15"/>
  <c r="FR80" i="15"/>
  <c r="FV80" i="15"/>
  <c r="FX80" i="15"/>
  <c r="GT80" i="15"/>
  <c r="GU80" i="15"/>
  <c r="GV80" i="15"/>
  <c r="HZ80" i="15"/>
  <c r="FM81" i="15"/>
  <c r="FJ81" i="15"/>
  <c r="FO81" i="15"/>
  <c r="FQ81" i="15"/>
  <c r="FS81" i="15"/>
  <c r="FD81" i="15"/>
  <c r="GS81" i="15"/>
  <c r="FZ81" i="15" s="1"/>
  <c r="FE81" i="15"/>
  <c r="FF81" i="15"/>
  <c r="FG81" i="15"/>
  <c r="FH81" i="15"/>
  <c r="FP81" i="15"/>
  <c r="FI81" i="15"/>
  <c r="FK81" i="15"/>
  <c r="FL81" i="15"/>
  <c r="GR81" i="15"/>
  <c r="GQ81" i="15" s="1"/>
  <c r="FW81" i="15"/>
  <c r="FN81" i="15"/>
  <c r="FR81" i="15"/>
  <c r="FV81" i="15"/>
  <c r="FX81" i="15"/>
  <c r="GT81" i="15"/>
  <c r="GU81" i="15"/>
  <c r="GV81" i="15"/>
  <c r="HZ81" i="15"/>
  <c r="FJ82" i="15"/>
  <c r="FO82" i="15"/>
  <c r="FQ82" i="15"/>
  <c r="FS82" i="15"/>
  <c r="FD82" i="15"/>
  <c r="FH82" i="15"/>
  <c r="FE82" i="15"/>
  <c r="FR82" i="15"/>
  <c r="FI82" i="15"/>
  <c r="FN82" i="15"/>
  <c r="FF82" i="15"/>
  <c r="FG82" i="15"/>
  <c r="FP82" i="15"/>
  <c r="FK82" i="15"/>
  <c r="FL82" i="15"/>
  <c r="FW82" i="15"/>
  <c r="FV82" i="15"/>
  <c r="FX82" i="15"/>
  <c r="GT82" i="15"/>
  <c r="GU82" i="15"/>
  <c r="GV82" i="15"/>
  <c r="FJ83" i="15"/>
  <c r="FO83" i="15"/>
  <c r="FQ83" i="15"/>
  <c r="FS83" i="15"/>
  <c r="FD83" i="15"/>
  <c r="FH83" i="15"/>
  <c r="FE83" i="15"/>
  <c r="FR83" i="15"/>
  <c r="FI83" i="15"/>
  <c r="FN83" i="15"/>
  <c r="FF83" i="15"/>
  <c r="FG83" i="15"/>
  <c r="FP83" i="15"/>
  <c r="FK83" i="15"/>
  <c r="FL83" i="15"/>
  <c r="FW83" i="15"/>
  <c r="FV83" i="15"/>
  <c r="FX83" i="15"/>
  <c r="GT83" i="15"/>
  <c r="GU83" i="15"/>
  <c r="GV83" i="15"/>
  <c r="FM84" i="15"/>
  <c r="FJ84" i="15"/>
  <c r="FO84" i="15"/>
  <c r="FQ84" i="15"/>
  <c r="FS84" i="15"/>
  <c r="FD84" i="15"/>
  <c r="GS84" i="15"/>
  <c r="FZ84" i="15" s="1"/>
  <c r="FE84" i="15"/>
  <c r="FF84" i="15"/>
  <c r="FG84" i="15"/>
  <c r="FH84" i="15"/>
  <c r="FP84" i="15"/>
  <c r="FI84" i="15"/>
  <c r="FK84" i="15"/>
  <c r="FL84" i="15"/>
  <c r="GR84" i="15"/>
  <c r="GQ84" i="15" s="1"/>
  <c r="FW84" i="15"/>
  <c r="FN84" i="15"/>
  <c r="FR84" i="15"/>
  <c r="FV84" i="15"/>
  <c r="FX84" i="15"/>
  <c r="GT84" i="15"/>
  <c r="GU84" i="15"/>
  <c r="GV84" i="15"/>
  <c r="HZ84" i="15"/>
  <c r="FM85" i="15"/>
  <c r="FJ85" i="15"/>
  <c r="FO85" i="15"/>
  <c r="FQ85" i="15"/>
  <c r="FS85" i="15"/>
  <c r="FD85" i="15"/>
  <c r="GS85" i="15"/>
  <c r="FZ85" i="15" s="1"/>
  <c r="FE85" i="15"/>
  <c r="FF85" i="15"/>
  <c r="FG85" i="15"/>
  <c r="FH85" i="15"/>
  <c r="FP85" i="15"/>
  <c r="FI85" i="15"/>
  <c r="FK85" i="15"/>
  <c r="FL85" i="15"/>
  <c r="GR85" i="15"/>
  <c r="GQ85" i="15" s="1"/>
  <c r="FW85" i="15"/>
  <c r="FN85" i="15"/>
  <c r="FR85" i="15"/>
  <c r="FV85" i="15"/>
  <c r="FX85" i="15"/>
  <c r="GT85" i="15"/>
  <c r="GU85" i="15"/>
  <c r="GV85" i="15"/>
  <c r="HZ85" i="15"/>
  <c r="FM86" i="15"/>
  <c r="FJ86" i="15"/>
  <c r="FO86" i="15"/>
  <c r="FQ86" i="15"/>
  <c r="FS86" i="15"/>
  <c r="FD86" i="15"/>
  <c r="GS86" i="15"/>
  <c r="FZ86" i="15" s="1"/>
  <c r="FE86" i="15"/>
  <c r="FF86" i="15"/>
  <c r="FG86" i="15"/>
  <c r="FH86" i="15"/>
  <c r="FP86" i="15"/>
  <c r="FI86" i="15"/>
  <c r="FK86" i="15"/>
  <c r="FL86" i="15"/>
  <c r="GR86" i="15"/>
  <c r="GQ86" i="15" s="1"/>
  <c r="FW86" i="15"/>
  <c r="FN86" i="15"/>
  <c r="FR86" i="15"/>
  <c r="FV86" i="15"/>
  <c r="FX86" i="15"/>
  <c r="GT86" i="15"/>
  <c r="GU86" i="15"/>
  <c r="GV86" i="15"/>
  <c r="HZ86" i="15"/>
  <c r="FM87" i="15"/>
  <c r="FJ87" i="15"/>
  <c r="FO87" i="15"/>
  <c r="FQ87" i="15"/>
  <c r="FS87" i="15"/>
  <c r="FD87" i="15"/>
  <c r="GS87" i="15"/>
  <c r="FZ87" i="15" s="1"/>
  <c r="FE87" i="15"/>
  <c r="FF87" i="15"/>
  <c r="FG87" i="15"/>
  <c r="FH87" i="15"/>
  <c r="FP87" i="15"/>
  <c r="FI87" i="15"/>
  <c r="FK87" i="15"/>
  <c r="FL87" i="15"/>
  <c r="GR87" i="15"/>
  <c r="GQ87" i="15" s="1"/>
  <c r="FW87" i="15"/>
  <c r="FN87" i="15"/>
  <c r="FR87" i="15"/>
  <c r="FV87" i="15"/>
  <c r="FX87" i="15"/>
  <c r="GT87" i="15"/>
  <c r="GU87" i="15"/>
  <c r="GV87" i="15"/>
  <c r="HZ87" i="15"/>
  <c r="FJ88" i="15"/>
  <c r="FO88" i="15"/>
  <c r="FQ88" i="15"/>
  <c r="FS88" i="15"/>
  <c r="FD88" i="15"/>
  <c r="FH88" i="15"/>
  <c r="FE88" i="15"/>
  <c r="FR88" i="15"/>
  <c r="FI88" i="15"/>
  <c r="FN88" i="15"/>
  <c r="FF88" i="15"/>
  <c r="FG88" i="15"/>
  <c r="FP88" i="15"/>
  <c r="FK88" i="15"/>
  <c r="FL88" i="15"/>
  <c r="FW88" i="15"/>
  <c r="FV88" i="15"/>
  <c r="FX88" i="15"/>
  <c r="GT88" i="15"/>
  <c r="GU88" i="15"/>
  <c r="GV88" i="15"/>
  <c r="FJ89" i="15"/>
  <c r="FO89" i="15"/>
  <c r="FQ89" i="15"/>
  <c r="FS89" i="15"/>
  <c r="FD89" i="15"/>
  <c r="FH89" i="15"/>
  <c r="FE89" i="15"/>
  <c r="FR89" i="15"/>
  <c r="FI89" i="15"/>
  <c r="FN89" i="15"/>
  <c r="FF89" i="15"/>
  <c r="FG89" i="15"/>
  <c r="FP89" i="15"/>
  <c r="FK89" i="15"/>
  <c r="FL89" i="15"/>
  <c r="FW89" i="15"/>
  <c r="FV89" i="15"/>
  <c r="FX89" i="15"/>
  <c r="GT89" i="15"/>
  <c r="GU89" i="15"/>
  <c r="GV89" i="15"/>
  <c r="FM90" i="15"/>
  <c r="FJ90" i="15"/>
  <c r="FO90" i="15"/>
  <c r="FQ90" i="15"/>
  <c r="FS90" i="15"/>
  <c r="FD90" i="15"/>
  <c r="GS90" i="15"/>
  <c r="FZ90" i="15" s="1"/>
  <c r="FE90" i="15"/>
  <c r="FF90" i="15"/>
  <c r="FG90" i="15"/>
  <c r="FH90" i="15"/>
  <c r="FP90" i="15"/>
  <c r="FI90" i="15"/>
  <c r="FK90" i="15"/>
  <c r="FL90" i="15"/>
  <c r="GR90" i="15"/>
  <c r="GP90" i="15" s="1"/>
  <c r="GO90" i="15" s="1"/>
  <c r="FW90" i="15"/>
  <c r="FN90" i="15"/>
  <c r="FR90" i="15"/>
  <c r="FV90" i="15"/>
  <c r="FX90" i="15"/>
  <c r="GT90" i="15"/>
  <c r="GU90" i="15"/>
  <c r="GV90" i="15"/>
  <c r="HZ90" i="15"/>
  <c r="FM91" i="15"/>
  <c r="FJ91" i="15"/>
  <c r="FO91" i="15"/>
  <c r="FQ91" i="15"/>
  <c r="FS91" i="15"/>
  <c r="FD91" i="15"/>
  <c r="GS91" i="15"/>
  <c r="FZ91" i="15" s="1"/>
  <c r="FE91" i="15"/>
  <c r="FF91" i="15"/>
  <c r="FG91" i="15"/>
  <c r="FH91" i="15"/>
  <c r="FP91" i="15"/>
  <c r="FI91" i="15"/>
  <c r="FK91" i="15"/>
  <c r="FL91" i="15"/>
  <c r="GR91" i="15"/>
  <c r="GP91" i="15" s="1"/>
  <c r="GO91" i="15" s="1"/>
  <c r="FW91" i="15"/>
  <c r="FN91" i="15"/>
  <c r="FR91" i="15"/>
  <c r="FV91" i="15"/>
  <c r="FX91" i="15"/>
  <c r="GT91" i="15"/>
  <c r="GU91" i="15"/>
  <c r="GV91" i="15"/>
  <c r="HZ91" i="15"/>
  <c r="FM92" i="15"/>
  <c r="FJ92" i="15"/>
  <c r="FO92" i="15"/>
  <c r="FQ92" i="15"/>
  <c r="FS92" i="15"/>
  <c r="FD92" i="15"/>
  <c r="GS92" i="15"/>
  <c r="FZ92" i="15" s="1"/>
  <c r="FE92" i="15"/>
  <c r="FF92" i="15"/>
  <c r="FG92" i="15"/>
  <c r="FH92" i="15"/>
  <c r="FP92" i="15"/>
  <c r="FI92" i="15"/>
  <c r="FK92" i="15"/>
  <c r="FL92" i="15"/>
  <c r="GR92" i="15"/>
  <c r="GP92" i="15" s="1"/>
  <c r="GO92" i="15" s="1"/>
  <c r="FW92" i="15"/>
  <c r="FN92" i="15"/>
  <c r="FR92" i="15"/>
  <c r="FV92" i="15"/>
  <c r="FX92" i="15"/>
  <c r="GT92" i="15"/>
  <c r="GU92" i="15"/>
  <c r="GV92" i="15"/>
  <c r="HZ92" i="15"/>
  <c r="FM93" i="15"/>
  <c r="FJ93" i="15"/>
  <c r="FO93" i="15"/>
  <c r="FQ93" i="15"/>
  <c r="FS93" i="15"/>
  <c r="FD93" i="15"/>
  <c r="GS93" i="15"/>
  <c r="FZ93" i="15" s="1"/>
  <c r="FE93" i="15"/>
  <c r="FF93" i="15"/>
  <c r="FG93" i="15"/>
  <c r="FH93" i="15"/>
  <c r="FP93" i="15"/>
  <c r="FI93" i="15"/>
  <c r="FK93" i="15"/>
  <c r="FL93" i="15"/>
  <c r="GR93" i="15"/>
  <c r="GP93" i="15" s="1"/>
  <c r="GO93" i="15" s="1"/>
  <c r="FW93" i="15"/>
  <c r="FN93" i="15"/>
  <c r="FR93" i="15"/>
  <c r="FV93" i="15"/>
  <c r="FX93" i="15"/>
  <c r="GT93" i="15"/>
  <c r="GU93" i="15"/>
  <c r="GV93" i="15"/>
  <c r="HZ93" i="15"/>
  <c r="FM94" i="15"/>
  <c r="FJ94" i="15"/>
  <c r="FO94" i="15"/>
  <c r="FQ94" i="15"/>
  <c r="FS94" i="15"/>
  <c r="FD94" i="15"/>
  <c r="GS94" i="15"/>
  <c r="FZ94" i="15" s="1"/>
  <c r="FE94" i="15"/>
  <c r="FF94" i="15"/>
  <c r="FG94" i="15"/>
  <c r="FH94" i="15"/>
  <c r="FP94" i="15"/>
  <c r="FI94" i="15"/>
  <c r="FK94" i="15"/>
  <c r="FL94" i="15"/>
  <c r="GR94" i="15"/>
  <c r="GP94" i="15" s="1"/>
  <c r="GO94" i="15" s="1"/>
  <c r="FW94" i="15"/>
  <c r="FN94" i="15"/>
  <c r="FR94" i="15"/>
  <c r="FV94" i="15"/>
  <c r="FX94" i="15"/>
  <c r="GT94" i="15"/>
  <c r="GU94" i="15"/>
  <c r="GV94" i="15"/>
  <c r="HZ94" i="15"/>
  <c r="FM95" i="15"/>
  <c r="FJ95" i="15"/>
  <c r="FO95" i="15"/>
  <c r="FQ95" i="15"/>
  <c r="FS95" i="15"/>
  <c r="FD95" i="15"/>
  <c r="GS95" i="15"/>
  <c r="FZ95" i="15" s="1"/>
  <c r="FE95" i="15"/>
  <c r="FF95" i="15"/>
  <c r="FG95" i="15"/>
  <c r="FH95" i="15"/>
  <c r="FP95" i="15"/>
  <c r="FI95" i="15"/>
  <c r="FK95" i="15"/>
  <c r="FL95" i="15"/>
  <c r="GR95" i="15"/>
  <c r="GP95" i="15" s="1"/>
  <c r="GO95" i="15" s="1"/>
  <c r="FW95" i="15"/>
  <c r="FN95" i="15"/>
  <c r="FR95" i="15"/>
  <c r="FV95" i="15"/>
  <c r="FX95" i="15"/>
  <c r="GT95" i="15"/>
  <c r="GU95" i="15"/>
  <c r="GV95" i="15"/>
  <c r="HZ95" i="15"/>
  <c r="FM96" i="15"/>
  <c r="FJ96" i="15"/>
  <c r="FO96" i="15"/>
  <c r="FQ96" i="15"/>
  <c r="FS96" i="15"/>
  <c r="FD96" i="15"/>
  <c r="GS96" i="15"/>
  <c r="FZ96" i="15" s="1"/>
  <c r="FE96" i="15"/>
  <c r="FF96" i="15"/>
  <c r="FG96" i="15"/>
  <c r="FH96" i="15"/>
  <c r="FP96" i="15"/>
  <c r="FI96" i="15"/>
  <c r="FK96" i="15"/>
  <c r="FL96" i="15"/>
  <c r="GR96" i="15"/>
  <c r="GP96" i="15" s="1"/>
  <c r="GO96" i="15" s="1"/>
  <c r="FW96" i="15"/>
  <c r="FN96" i="15"/>
  <c r="FR96" i="15"/>
  <c r="FV96" i="15"/>
  <c r="FX96" i="15"/>
  <c r="GT96" i="15"/>
  <c r="GU96" i="15"/>
  <c r="GV96" i="15"/>
  <c r="HZ96" i="15"/>
  <c r="FM97" i="15"/>
  <c r="FJ97" i="15"/>
  <c r="FO97" i="15"/>
  <c r="FQ97" i="15"/>
  <c r="FS97" i="15"/>
  <c r="FD97" i="15"/>
  <c r="GS97" i="15"/>
  <c r="FZ97" i="15" s="1"/>
  <c r="FE97" i="15"/>
  <c r="FF97" i="15"/>
  <c r="FG97" i="15"/>
  <c r="FH97" i="15"/>
  <c r="FP97" i="15"/>
  <c r="FI97" i="15"/>
  <c r="FK97" i="15"/>
  <c r="FL97" i="15"/>
  <c r="GR97" i="15"/>
  <c r="GP97" i="15" s="1"/>
  <c r="GO97" i="15" s="1"/>
  <c r="FW97" i="15"/>
  <c r="FN97" i="15"/>
  <c r="FR97" i="15"/>
  <c r="FV97" i="15"/>
  <c r="FX97" i="15"/>
  <c r="GT97" i="15"/>
  <c r="GU97" i="15"/>
  <c r="GV97" i="15"/>
  <c r="HZ97" i="15"/>
  <c r="FM98" i="15"/>
  <c r="FJ98" i="15"/>
  <c r="FO98" i="15"/>
  <c r="FQ98" i="15"/>
  <c r="FS98" i="15"/>
  <c r="FD98" i="15"/>
  <c r="GS98" i="15"/>
  <c r="FZ98" i="15" s="1"/>
  <c r="FE98" i="15"/>
  <c r="FF98" i="15"/>
  <c r="FG98" i="15"/>
  <c r="FH98" i="15"/>
  <c r="FP98" i="15"/>
  <c r="FI98" i="15"/>
  <c r="FK98" i="15"/>
  <c r="FL98" i="15"/>
  <c r="GR98" i="15"/>
  <c r="GP98" i="15" s="1"/>
  <c r="GO98" i="15" s="1"/>
  <c r="FW98" i="15"/>
  <c r="FN98" i="15"/>
  <c r="FR98" i="15"/>
  <c r="FV98" i="15"/>
  <c r="FX98" i="15"/>
  <c r="GT98" i="15"/>
  <c r="GU98" i="15"/>
  <c r="GV98" i="15"/>
  <c r="HZ98" i="15"/>
  <c r="FM99" i="15"/>
  <c r="FJ99" i="15"/>
  <c r="FO99" i="15"/>
  <c r="FQ99" i="15"/>
  <c r="FS99" i="15"/>
  <c r="FD99" i="15"/>
  <c r="GS99" i="15"/>
  <c r="FZ99" i="15" s="1"/>
  <c r="FE99" i="15"/>
  <c r="FF99" i="15"/>
  <c r="FG99" i="15"/>
  <c r="FH99" i="15"/>
  <c r="FP99" i="15"/>
  <c r="FI99" i="15"/>
  <c r="FK99" i="15"/>
  <c r="FL99" i="15"/>
  <c r="GR99" i="15"/>
  <c r="GP99" i="15" s="1"/>
  <c r="GO99" i="15" s="1"/>
  <c r="FW99" i="15"/>
  <c r="FN99" i="15"/>
  <c r="FR99" i="15"/>
  <c r="FV99" i="15"/>
  <c r="FX99" i="15"/>
  <c r="GT99" i="15"/>
  <c r="GU99" i="15"/>
  <c r="GV99" i="15"/>
  <c r="HZ99" i="15"/>
  <c r="FM100" i="15"/>
  <c r="FJ100" i="15"/>
  <c r="FO100" i="15"/>
  <c r="FQ100" i="15"/>
  <c r="FS100" i="15"/>
  <c r="FD100" i="15"/>
  <c r="GS100" i="15"/>
  <c r="FZ100" i="15" s="1"/>
  <c r="FE100" i="15"/>
  <c r="FF100" i="15"/>
  <c r="FG100" i="15"/>
  <c r="FH100" i="15"/>
  <c r="FP100" i="15"/>
  <c r="FI100" i="15"/>
  <c r="FK100" i="15"/>
  <c r="FL100" i="15"/>
  <c r="GR100" i="15"/>
  <c r="GP100" i="15" s="1"/>
  <c r="GO100" i="15" s="1"/>
  <c r="FW100" i="15"/>
  <c r="FN100" i="15"/>
  <c r="FR100" i="15"/>
  <c r="FV100" i="15"/>
  <c r="FX100" i="15"/>
  <c r="GT100" i="15"/>
  <c r="GU100" i="15"/>
  <c r="GV100" i="15"/>
  <c r="HZ100" i="15"/>
  <c r="FM101" i="15"/>
  <c r="FJ101" i="15"/>
  <c r="FO101" i="15"/>
  <c r="FQ101" i="15"/>
  <c r="FS101" i="15"/>
  <c r="FD101" i="15"/>
  <c r="GS101" i="15"/>
  <c r="FZ101" i="15" s="1"/>
  <c r="FE101" i="15"/>
  <c r="FF101" i="15"/>
  <c r="FG101" i="15"/>
  <c r="FH101" i="15"/>
  <c r="FP101" i="15"/>
  <c r="FI101" i="15"/>
  <c r="FK101" i="15"/>
  <c r="FL101" i="15"/>
  <c r="GR101" i="15"/>
  <c r="GP101" i="15" s="1"/>
  <c r="GO101" i="15" s="1"/>
  <c r="FW101" i="15"/>
  <c r="FN101" i="15"/>
  <c r="FR101" i="15"/>
  <c r="FV101" i="15"/>
  <c r="FX101" i="15"/>
  <c r="GT101" i="15"/>
  <c r="GU101" i="15"/>
  <c r="GV101" i="15"/>
  <c r="HZ101" i="15"/>
  <c r="FM102" i="15"/>
  <c r="FJ102" i="15"/>
  <c r="FO102" i="15"/>
  <c r="FQ102" i="15"/>
  <c r="FS102" i="15"/>
  <c r="FD102" i="15"/>
  <c r="GS102" i="15"/>
  <c r="FZ102" i="15" s="1"/>
  <c r="FE102" i="15"/>
  <c r="FF102" i="15"/>
  <c r="FG102" i="15"/>
  <c r="FH102" i="15"/>
  <c r="FP102" i="15"/>
  <c r="FI102" i="15"/>
  <c r="FK102" i="15"/>
  <c r="FL102" i="15"/>
  <c r="GR102" i="15"/>
  <c r="GP102" i="15" s="1"/>
  <c r="GO102" i="15" s="1"/>
  <c r="FW102" i="15"/>
  <c r="FN102" i="15"/>
  <c r="FR102" i="15"/>
  <c r="FV102" i="15"/>
  <c r="FX102" i="15"/>
  <c r="GT102" i="15"/>
  <c r="GU102" i="15"/>
  <c r="GV102" i="15"/>
  <c r="HZ102" i="15"/>
  <c r="FM103" i="15"/>
  <c r="CY103" i="15"/>
  <c r="CZ103" i="15"/>
  <c r="DA103" i="15"/>
  <c r="FJ103" i="15"/>
  <c r="FO103" i="15"/>
  <c r="FQ103" i="15"/>
  <c r="FS103" i="15"/>
  <c r="FD103" i="15"/>
  <c r="GS103" i="15"/>
  <c r="FZ103" i="15" s="1"/>
  <c r="FE103" i="15"/>
  <c r="FF103" i="15"/>
  <c r="FG103" i="15"/>
  <c r="FH103" i="15"/>
  <c r="FP103" i="15"/>
  <c r="FI103" i="15"/>
  <c r="FK103" i="15"/>
  <c r="FL103" i="15"/>
  <c r="GR103" i="15"/>
  <c r="GP103" i="15" s="1"/>
  <c r="GO103" i="15" s="1"/>
  <c r="FW103" i="15"/>
  <c r="FN103" i="15"/>
  <c r="FR103" i="15"/>
  <c r="FV103" i="15"/>
  <c r="FX103" i="15"/>
  <c r="GQ103" i="15"/>
  <c r="GT103" i="15"/>
  <c r="GU103" i="15"/>
  <c r="GV103" i="15"/>
  <c r="HZ103" i="15"/>
  <c r="FM104" i="15"/>
  <c r="FJ104" i="15"/>
  <c r="FO104" i="15"/>
  <c r="FQ104" i="15"/>
  <c r="FS104" i="15"/>
  <c r="FD104" i="15"/>
  <c r="GS104" i="15"/>
  <c r="FZ104" i="15" s="1"/>
  <c r="FE104" i="15"/>
  <c r="FF104" i="15"/>
  <c r="FG104" i="15"/>
  <c r="FH104" i="15"/>
  <c r="FP104" i="15"/>
  <c r="FI104" i="15"/>
  <c r="FK104" i="15"/>
  <c r="FL104" i="15"/>
  <c r="GR104" i="15"/>
  <c r="GP104" i="15" s="1"/>
  <c r="GO104" i="15" s="1"/>
  <c r="FW104" i="15"/>
  <c r="FN104" i="15"/>
  <c r="FR104" i="15"/>
  <c r="FV104" i="15"/>
  <c r="FX104" i="15"/>
  <c r="GT104" i="15"/>
  <c r="GU104" i="15"/>
  <c r="GV104" i="15"/>
  <c r="HZ104" i="15"/>
  <c r="FM105" i="15"/>
  <c r="FJ105" i="15"/>
  <c r="FO105" i="15"/>
  <c r="FQ105" i="15"/>
  <c r="FS105" i="15"/>
  <c r="FD105" i="15"/>
  <c r="GS105" i="15"/>
  <c r="FZ105" i="15" s="1"/>
  <c r="FE105" i="15"/>
  <c r="FF105" i="15"/>
  <c r="FG105" i="15"/>
  <c r="FH105" i="15"/>
  <c r="FP105" i="15"/>
  <c r="FI105" i="15"/>
  <c r="FK105" i="15"/>
  <c r="FL105" i="15"/>
  <c r="GR105" i="15"/>
  <c r="GP105" i="15" s="1"/>
  <c r="GO105" i="15" s="1"/>
  <c r="FW105" i="15"/>
  <c r="FN105" i="15"/>
  <c r="FR105" i="15"/>
  <c r="FV105" i="15"/>
  <c r="FX105" i="15"/>
  <c r="GT105" i="15"/>
  <c r="GU105" i="15"/>
  <c r="GV105" i="15"/>
  <c r="HZ105" i="15"/>
  <c r="FM106" i="15"/>
  <c r="FJ106" i="15"/>
  <c r="FO106" i="15"/>
  <c r="FQ106" i="15"/>
  <c r="FS106" i="15"/>
  <c r="FD106" i="15"/>
  <c r="GS106" i="15"/>
  <c r="FZ106" i="15" s="1"/>
  <c r="FE106" i="15"/>
  <c r="FF106" i="15"/>
  <c r="FG106" i="15"/>
  <c r="FH106" i="15"/>
  <c r="FP106" i="15"/>
  <c r="FI106" i="15"/>
  <c r="FK106" i="15"/>
  <c r="FL106" i="15"/>
  <c r="GR106" i="15"/>
  <c r="GP106" i="15" s="1"/>
  <c r="GO106" i="15" s="1"/>
  <c r="FW106" i="15"/>
  <c r="FN106" i="15"/>
  <c r="FR106" i="15"/>
  <c r="FV106" i="15"/>
  <c r="FX106" i="15"/>
  <c r="GT106" i="15"/>
  <c r="GU106" i="15"/>
  <c r="GV106" i="15"/>
  <c r="HZ106" i="15"/>
  <c r="FM107" i="15"/>
  <c r="FJ107" i="15"/>
  <c r="FO107" i="15"/>
  <c r="FQ107" i="15"/>
  <c r="FS107" i="15"/>
  <c r="FD107" i="15"/>
  <c r="GS107" i="15"/>
  <c r="FZ107" i="15" s="1"/>
  <c r="FE107" i="15"/>
  <c r="FF107" i="15"/>
  <c r="FG107" i="15"/>
  <c r="FH107" i="15"/>
  <c r="FP107" i="15"/>
  <c r="FI107" i="15"/>
  <c r="FK107" i="15"/>
  <c r="FL107" i="15"/>
  <c r="GR107" i="15"/>
  <c r="GP107" i="15" s="1"/>
  <c r="GO107" i="15" s="1"/>
  <c r="FW107" i="15"/>
  <c r="FN107" i="15"/>
  <c r="FR107" i="15"/>
  <c r="FV107" i="15"/>
  <c r="FX107" i="15"/>
  <c r="GT107" i="15"/>
  <c r="GU107" i="15"/>
  <c r="GV107" i="15"/>
  <c r="HZ107" i="15"/>
  <c r="FM108" i="15"/>
  <c r="FJ108" i="15"/>
  <c r="FO108" i="15"/>
  <c r="FQ108" i="15"/>
  <c r="FS108" i="15"/>
  <c r="FD108" i="15"/>
  <c r="GS108" i="15"/>
  <c r="FZ108" i="15" s="1"/>
  <c r="FE108" i="15"/>
  <c r="FF108" i="15"/>
  <c r="FG108" i="15"/>
  <c r="FH108" i="15"/>
  <c r="FP108" i="15"/>
  <c r="FI108" i="15"/>
  <c r="FK108" i="15"/>
  <c r="FL108" i="15"/>
  <c r="GR108" i="15"/>
  <c r="GP108" i="15" s="1"/>
  <c r="GO108" i="15" s="1"/>
  <c r="FW108" i="15"/>
  <c r="FN108" i="15"/>
  <c r="FR108" i="15"/>
  <c r="FV108" i="15"/>
  <c r="FX108" i="15"/>
  <c r="GT108" i="15"/>
  <c r="GU108" i="15"/>
  <c r="GV108" i="15"/>
  <c r="HZ108" i="15"/>
  <c r="FM109" i="15"/>
  <c r="FJ109" i="15"/>
  <c r="FO109" i="15"/>
  <c r="FQ109" i="15"/>
  <c r="FS109" i="15"/>
  <c r="FD109" i="15"/>
  <c r="GS109" i="15"/>
  <c r="FZ109" i="15" s="1"/>
  <c r="FE109" i="15"/>
  <c r="FF109" i="15"/>
  <c r="FG109" i="15"/>
  <c r="FH109" i="15"/>
  <c r="FP109" i="15"/>
  <c r="FI109" i="15"/>
  <c r="FK109" i="15"/>
  <c r="FL109" i="15"/>
  <c r="GR109" i="15"/>
  <c r="GP109" i="15" s="1"/>
  <c r="GO109" i="15" s="1"/>
  <c r="FW109" i="15"/>
  <c r="FN109" i="15"/>
  <c r="FR109" i="15"/>
  <c r="FV109" i="15"/>
  <c r="FX109" i="15"/>
  <c r="GT109" i="15"/>
  <c r="GU109" i="15"/>
  <c r="GV109" i="15"/>
  <c r="HZ109" i="15"/>
  <c r="FM110" i="15"/>
  <c r="FJ110" i="15"/>
  <c r="FO110" i="15"/>
  <c r="FQ110" i="15"/>
  <c r="FS110" i="15"/>
  <c r="FD110" i="15"/>
  <c r="GS110" i="15"/>
  <c r="FZ110" i="15" s="1"/>
  <c r="FE110" i="15"/>
  <c r="FF110" i="15"/>
  <c r="FG110" i="15"/>
  <c r="FH110" i="15"/>
  <c r="FP110" i="15"/>
  <c r="FI110" i="15"/>
  <c r="FK110" i="15"/>
  <c r="FL110" i="15"/>
  <c r="GR110" i="15"/>
  <c r="GP110" i="15" s="1"/>
  <c r="GO110" i="15" s="1"/>
  <c r="FW110" i="15"/>
  <c r="FN110" i="15"/>
  <c r="FR110" i="15"/>
  <c r="FV110" i="15"/>
  <c r="FX110" i="15"/>
  <c r="GT110" i="15"/>
  <c r="GU110" i="15"/>
  <c r="GV110" i="15"/>
  <c r="HZ110" i="15"/>
  <c r="FM111" i="15"/>
  <c r="FJ111" i="15"/>
  <c r="FO111" i="15"/>
  <c r="FQ111" i="15"/>
  <c r="FS111" i="15"/>
  <c r="FD111" i="15"/>
  <c r="GS111" i="15"/>
  <c r="FZ111" i="15" s="1"/>
  <c r="FE111" i="15"/>
  <c r="FF111" i="15"/>
  <c r="FG111" i="15"/>
  <c r="FH111" i="15"/>
  <c r="FP111" i="15"/>
  <c r="FI111" i="15"/>
  <c r="FK111" i="15"/>
  <c r="FL111" i="15"/>
  <c r="GR111" i="15"/>
  <c r="GP111" i="15" s="1"/>
  <c r="GO111" i="15" s="1"/>
  <c r="FW111" i="15"/>
  <c r="FN111" i="15"/>
  <c r="FR111" i="15"/>
  <c r="FV111" i="15"/>
  <c r="FX111" i="15"/>
  <c r="GT111" i="15"/>
  <c r="GU111" i="15"/>
  <c r="GV111" i="15"/>
  <c r="HZ111" i="15"/>
  <c r="FM112" i="15"/>
  <c r="CY112" i="15"/>
  <c r="CZ112" i="15"/>
  <c r="DA112" i="15"/>
  <c r="FJ112" i="15"/>
  <c r="FO112" i="15"/>
  <c r="FQ112" i="15"/>
  <c r="FS112" i="15"/>
  <c r="FD112" i="15"/>
  <c r="GS112" i="15"/>
  <c r="FZ112" i="15" s="1"/>
  <c r="FE112" i="15"/>
  <c r="FF112" i="15"/>
  <c r="FG112" i="15"/>
  <c r="FH112" i="15"/>
  <c r="FP112" i="15"/>
  <c r="FI112" i="15"/>
  <c r="FK112" i="15"/>
  <c r="FL112" i="15"/>
  <c r="GR112" i="15"/>
  <c r="GP112" i="15" s="1"/>
  <c r="GO112" i="15" s="1"/>
  <c r="FW112" i="15"/>
  <c r="FN112" i="15"/>
  <c r="FR112" i="15"/>
  <c r="FV112" i="15"/>
  <c r="FX112" i="15"/>
  <c r="GT112" i="15"/>
  <c r="GU112" i="15"/>
  <c r="GV112" i="15"/>
  <c r="HZ112" i="15"/>
  <c r="FM113" i="15"/>
  <c r="FJ113" i="15"/>
  <c r="FO113" i="15"/>
  <c r="FQ113" i="15"/>
  <c r="FS113" i="15"/>
  <c r="FD113" i="15"/>
  <c r="GS113" i="15"/>
  <c r="FZ113" i="15" s="1"/>
  <c r="FE113" i="15"/>
  <c r="FF113" i="15"/>
  <c r="FG113" i="15"/>
  <c r="FH113" i="15"/>
  <c r="FP113" i="15"/>
  <c r="FI113" i="15"/>
  <c r="FK113" i="15"/>
  <c r="FL113" i="15"/>
  <c r="GR113" i="15"/>
  <c r="GP113" i="15" s="1"/>
  <c r="GO113" i="15" s="1"/>
  <c r="FW113" i="15"/>
  <c r="FN113" i="15"/>
  <c r="FR113" i="15"/>
  <c r="FV113" i="15"/>
  <c r="FX113" i="15"/>
  <c r="GT113" i="15"/>
  <c r="GU113" i="15"/>
  <c r="GV113" i="15"/>
  <c r="HZ113" i="15"/>
  <c r="FM114" i="15"/>
  <c r="FJ114" i="15"/>
  <c r="FO114" i="15"/>
  <c r="FQ114" i="15"/>
  <c r="FS114" i="15"/>
  <c r="FD114" i="15"/>
  <c r="GS114" i="15"/>
  <c r="FZ114" i="15" s="1"/>
  <c r="FE114" i="15"/>
  <c r="FF114" i="15"/>
  <c r="FG114" i="15"/>
  <c r="FH114" i="15"/>
  <c r="FP114" i="15"/>
  <c r="FI114" i="15"/>
  <c r="FK114" i="15"/>
  <c r="FL114" i="15"/>
  <c r="GR114" i="15"/>
  <c r="GP114" i="15" s="1"/>
  <c r="GO114" i="15" s="1"/>
  <c r="FW114" i="15"/>
  <c r="FN114" i="15"/>
  <c r="FR114" i="15"/>
  <c r="FV114" i="15"/>
  <c r="FX114" i="15"/>
  <c r="GT114" i="15"/>
  <c r="GU114" i="15"/>
  <c r="GV114" i="15"/>
  <c r="HZ114" i="15"/>
  <c r="FM115" i="15"/>
  <c r="FJ115" i="15"/>
  <c r="FO115" i="15"/>
  <c r="FQ115" i="15"/>
  <c r="FS115" i="15"/>
  <c r="FD115" i="15"/>
  <c r="GS115" i="15"/>
  <c r="FZ115" i="15" s="1"/>
  <c r="FE115" i="15"/>
  <c r="FF115" i="15"/>
  <c r="FG115" i="15"/>
  <c r="FH115" i="15"/>
  <c r="FP115" i="15"/>
  <c r="FI115" i="15"/>
  <c r="FK115" i="15"/>
  <c r="FL115" i="15"/>
  <c r="GR115" i="15"/>
  <c r="GP115" i="15" s="1"/>
  <c r="GO115" i="15" s="1"/>
  <c r="FW115" i="15"/>
  <c r="FN115" i="15"/>
  <c r="FR115" i="15"/>
  <c r="FV115" i="15"/>
  <c r="FX115" i="15"/>
  <c r="GT115" i="15"/>
  <c r="GU115" i="15"/>
  <c r="GV115" i="15"/>
  <c r="HZ115" i="15"/>
  <c r="FM116" i="15"/>
  <c r="FJ116" i="15"/>
  <c r="FO116" i="15"/>
  <c r="FQ116" i="15"/>
  <c r="FS116" i="15"/>
  <c r="FD116" i="15"/>
  <c r="GS116" i="15"/>
  <c r="FZ116" i="15" s="1"/>
  <c r="FE116" i="15"/>
  <c r="FF116" i="15"/>
  <c r="FG116" i="15"/>
  <c r="FH116" i="15"/>
  <c r="FP116" i="15"/>
  <c r="FI116" i="15"/>
  <c r="FK116" i="15"/>
  <c r="FL116" i="15"/>
  <c r="GR116" i="15"/>
  <c r="GP116" i="15" s="1"/>
  <c r="GO116" i="15" s="1"/>
  <c r="FW116" i="15"/>
  <c r="FN116" i="15"/>
  <c r="FR116" i="15"/>
  <c r="FV116" i="15"/>
  <c r="FX116" i="15"/>
  <c r="GT116" i="15"/>
  <c r="GU116" i="15"/>
  <c r="GV116" i="15"/>
  <c r="HZ116" i="15"/>
  <c r="FM117" i="15"/>
  <c r="FJ117" i="15"/>
  <c r="FO117" i="15"/>
  <c r="FQ117" i="15"/>
  <c r="FS117" i="15"/>
  <c r="FD117" i="15"/>
  <c r="GS117" i="15"/>
  <c r="FZ117" i="15" s="1"/>
  <c r="FE117" i="15"/>
  <c r="FF117" i="15"/>
  <c r="FG117" i="15"/>
  <c r="FH117" i="15"/>
  <c r="FP117" i="15"/>
  <c r="FI117" i="15"/>
  <c r="FK117" i="15"/>
  <c r="FL117" i="15"/>
  <c r="GR117" i="15"/>
  <c r="GP117" i="15" s="1"/>
  <c r="GO117" i="15" s="1"/>
  <c r="FW117" i="15"/>
  <c r="FN117" i="15"/>
  <c r="FR117" i="15"/>
  <c r="FV117" i="15"/>
  <c r="FX117" i="15"/>
  <c r="GT117" i="15"/>
  <c r="GU117" i="15"/>
  <c r="GV117" i="15"/>
  <c r="HZ117" i="15"/>
  <c r="FM118" i="15"/>
  <c r="FJ118" i="15"/>
  <c r="FO118" i="15"/>
  <c r="FQ118" i="15"/>
  <c r="FS118" i="15"/>
  <c r="FD118" i="15"/>
  <c r="GS118" i="15"/>
  <c r="FZ118" i="15" s="1"/>
  <c r="FE118" i="15"/>
  <c r="FF118" i="15"/>
  <c r="FG118" i="15"/>
  <c r="FH118" i="15"/>
  <c r="FP118" i="15"/>
  <c r="FI118" i="15"/>
  <c r="FK118" i="15"/>
  <c r="FL118" i="15"/>
  <c r="GR118" i="15"/>
  <c r="GP118" i="15" s="1"/>
  <c r="GO118" i="15" s="1"/>
  <c r="FW118" i="15"/>
  <c r="FN118" i="15"/>
  <c r="FR118" i="15"/>
  <c r="FV118" i="15"/>
  <c r="FX118" i="15"/>
  <c r="GT118" i="15"/>
  <c r="GU118" i="15"/>
  <c r="GV118" i="15"/>
  <c r="HZ118" i="15"/>
  <c r="FM119" i="15"/>
  <c r="FJ119" i="15"/>
  <c r="FO119" i="15"/>
  <c r="FQ119" i="15"/>
  <c r="FS119" i="15"/>
  <c r="FD119" i="15"/>
  <c r="GS119" i="15"/>
  <c r="FZ119" i="15" s="1"/>
  <c r="FE119" i="15"/>
  <c r="FF119" i="15"/>
  <c r="FG119" i="15"/>
  <c r="FH119" i="15"/>
  <c r="FP119" i="15"/>
  <c r="FI119" i="15"/>
  <c r="FK119" i="15"/>
  <c r="FL119" i="15"/>
  <c r="GR119" i="15"/>
  <c r="GP119" i="15" s="1"/>
  <c r="GO119" i="15" s="1"/>
  <c r="FW119" i="15"/>
  <c r="FN119" i="15"/>
  <c r="FR119" i="15"/>
  <c r="FV119" i="15"/>
  <c r="FX119" i="15"/>
  <c r="GT119" i="15"/>
  <c r="GU119" i="15"/>
  <c r="GV119" i="15"/>
  <c r="HZ119" i="15"/>
  <c r="FM120" i="15"/>
  <c r="FJ120" i="15"/>
  <c r="FO120" i="15"/>
  <c r="FQ120" i="15"/>
  <c r="FS120" i="15"/>
  <c r="FD120" i="15"/>
  <c r="GS120" i="15"/>
  <c r="FZ120" i="15" s="1"/>
  <c r="FE120" i="15"/>
  <c r="FF120" i="15"/>
  <c r="FG120" i="15"/>
  <c r="FH120" i="15"/>
  <c r="FP120" i="15"/>
  <c r="FI120" i="15"/>
  <c r="FK120" i="15"/>
  <c r="FL120" i="15"/>
  <c r="GR120" i="15"/>
  <c r="GP120" i="15" s="1"/>
  <c r="GO120" i="15" s="1"/>
  <c r="FW120" i="15"/>
  <c r="FN120" i="15"/>
  <c r="FR120" i="15"/>
  <c r="FV120" i="15"/>
  <c r="FX120" i="15"/>
  <c r="GT120" i="15"/>
  <c r="GU120" i="15"/>
  <c r="GV120" i="15"/>
  <c r="HZ120" i="15"/>
  <c r="FM121" i="15"/>
  <c r="FJ121" i="15"/>
  <c r="FO121" i="15"/>
  <c r="FQ121" i="15"/>
  <c r="FS121" i="15"/>
  <c r="FD121" i="15"/>
  <c r="GS121" i="15"/>
  <c r="FZ121" i="15" s="1"/>
  <c r="FE121" i="15"/>
  <c r="FF121" i="15"/>
  <c r="FG121" i="15"/>
  <c r="FH121" i="15"/>
  <c r="FP121" i="15"/>
  <c r="FI121" i="15"/>
  <c r="FK121" i="15"/>
  <c r="FL121" i="15"/>
  <c r="GR121" i="15"/>
  <c r="GP121" i="15" s="1"/>
  <c r="GO121" i="15" s="1"/>
  <c r="FW121" i="15"/>
  <c r="FN121" i="15"/>
  <c r="FR121" i="15"/>
  <c r="FV121" i="15"/>
  <c r="FX121" i="15"/>
  <c r="GT121" i="15"/>
  <c r="GU121" i="15"/>
  <c r="GV121" i="15"/>
  <c r="HZ121" i="15"/>
  <c r="FM122" i="15"/>
  <c r="FJ122" i="15"/>
  <c r="FO122" i="15"/>
  <c r="FQ122" i="15"/>
  <c r="FS122" i="15"/>
  <c r="FD122" i="15"/>
  <c r="GS122" i="15"/>
  <c r="FZ122" i="15" s="1"/>
  <c r="FE122" i="15"/>
  <c r="FF122" i="15"/>
  <c r="FG122" i="15"/>
  <c r="FH122" i="15"/>
  <c r="FP122" i="15"/>
  <c r="FI122" i="15"/>
  <c r="FK122" i="15"/>
  <c r="FL122" i="15"/>
  <c r="GR122" i="15"/>
  <c r="GP122" i="15" s="1"/>
  <c r="GO122" i="15" s="1"/>
  <c r="FW122" i="15"/>
  <c r="FN122" i="15"/>
  <c r="FR122" i="15"/>
  <c r="FV122" i="15"/>
  <c r="FX122" i="15"/>
  <c r="GT122" i="15"/>
  <c r="GU122" i="15"/>
  <c r="GV122" i="15"/>
  <c r="HZ122" i="15"/>
  <c r="FM123" i="15"/>
  <c r="FJ123" i="15"/>
  <c r="FO123" i="15"/>
  <c r="FQ123" i="15"/>
  <c r="FS123" i="15"/>
  <c r="FD123" i="15"/>
  <c r="GS123" i="15"/>
  <c r="FZ123" i="15" s="1"/>
  <c r="FE123" i="15"/>
  <c r="FF123" i="15"/>
  <c r="FG123" i="15"/>
  <c r="FH123" i="15"/>
  <c r="FP123" i="15"/>
  <c r="FI123" i="15"/>
  <c r="FK123" i="15"/>
  <c r="FL123" i="15"/>
  <c r="GR123" i="15"/>
  <c r="GP123" i="15" s="1"/>
  <c r="GO123" i="15" s="1"/>
  <c r="FW123" i="15"/>
  <c r="FN123" i="15"/>
  <c r="FR123" i="15"/>
  <c r="FV123" i="15"/>
  <c r="FX123" i="15"/>
  <c r="GT123" i="15"/>
  <c r="GU123" i="15"/>
  <c r="GV123" i="15"/>
  <c r="HZ123" i="15"/>
  <c r="FM124" i="15"/>
  <c r="FJ124" i="15"/>
  <c r="FO124" i="15"/>
  <c r="FQ124" i="15"/>
  <c r="FS124" i="15"/>
  <c r="FD124" i="15"/>
  <c r="GS124" i="15"/>
  <c r="FZ124" i="15" s="1"/>
  <c r="FE124" i="15"/>
  <c r="FF124" i="15"/>
  <c r="FG124" i="15"/>
  <c r="FH124" i="15"/>
  <c r="FP124" i="15"/>
  <c r="FI124" i="15"/>
  <c r="FK124" i="15"/>
  <c r="FL124" i="15"/>
  <c r="GR124" i="15"/>
  <c r="GP124" i="15" s="1"/>
  <c r="GO124" i="15" s="1"/>
  <c r="FW124" i="15"/>
  <c r="FN124" i="15"/>
  <c r="FR124" i="15"/>
  <c r="FV124" i="15"/>
  <c r="FX124" i="15"/>
  <c r="GT124" i="15"/>
  <c r="GU124" i="15"/>
  <c r="GV124" i="15"/>
  <c r="HZ124" i="15"/>
  <c r="FM125" i="15"/>
  <c r="FJ125" i="15"/>
  <c r="FO125" i="15"/>
  <c r="FQ125" i="15"/>
  <c r="FS125" i="15"/>
  <c r="FD125" i="15"/>
  <c r="GS125" i="15"/>
  <c r="FZ125" i="15" s="1"/>
  <c r="FE125" i="15"/>
  <c r="FF125" i="15"/>
  <c r="FG125" i="15"/>
  <c r="FH125" i="15"/>
  <c r="FP125" i="15"/>
  <c r="FI125" i="15"/>
  <c r="FK125" i="15"/>
  <c r="FL125" i="15"/>
  <c r="GR125" i="15"/>
  <c r="GP125" i="15" s="1"/>
  <c r="GO125" i="15" s="1"/>
  <c r="FW125" i="15"/>
  <c r="FN125" i="15"/>
  <c r="FR125" i="15"/>
  <c r="FV125" i="15"/>
  <c r="FX125" i="15"/>
  <c r="GT125" i="15"/>
  <c r="GU125" i="15"/>
  <c r="GV125" i="15"/>
  <c r="HZ125" i="15"/>
  <c r="FM126" i="15"/>
  <c r="FJ126" i="15"/>
  <c r="FO126" i="15"/>
  <c r="FQ126" i="15"/>
  <c r="FS126" i="15"/>
  <c r="FD126" i="15"/>
  <c r="GS126" i="15"/>
  <c r="FZ126" i="15" s="1"/>
  <c r="FE126" i="15"/>
  <c r="FF126" i="15"/>
  <c r="FG126" i="15"/>
  <c r="FH126" i="15"/>
  <c r="FP126" i="15"/>
  <c r="FI126" i="15"/>
  <c r="FK126" i="15"/>
  <c r="FL126" i="15"/>
  <c r="GR126" i="15"/>
  <c r="GP126" i="15" s="1"/>
  <c r="GO126" i="15" s="1"/>
  <c r="FW126" i="15"/>
  <c r="FN126" i="15"/>
  <c r="FR126" i="15"/>
  <c r="FV126" i="15"/>
  <c r="FX126" i="15"/>
  <c r="GT126" i="15"/>
  <c r="GU126" i="15"/>
  <c r="GV126" i="15"/>
  <c r="HZ126" i="15"/>
  <c r="FM127" i="15"/>
  <c r="FJ127" i="15"/>
  <c r="FO127" i="15"/>
  <c r="FQ127" i="15"/>
  <c r="FS127" i="15"/>
  <c r="FD127" i="15"/>
  <c r="GS127" i="15"/>
  <c r="FZ127" i="15" s="1"/>
  <c r="FE127" i="15"/>
  <c r="FF127" i="15"/>
  <c r="FG127" i="15"/>
  <c r="FH127" i="15"/>
  <c r="FP127" i="15"/>
  <c r="FI127" i="15"/>
  <c r="FK127" i="15"/>
  <c r="FL127" i="15"/>
  <c r="GR127" i="15"/>
  <c r="GP127" i="15" s="1"/>
  <c r="GO127" i="15" s="1"/>
  <c r="FW127" i="15"/>
  <c r="FN127" i="15"/>
  <c r="FR127" i="15"/>
  <c r="FV127" i="15"/>
  <c r="FX127" i="15"/>
  <c r="GT127" i="15"/>
  <c r="GU127" i="15"/>
  <c r="GV127" i="15"/>
  <c r="HZ127" i="15"/>
  <c r="FM128" i="15"/>
  <c r="CY128" i="15"/>
  <c r="CZ128" i="15"/>
  <c r="DA128" i="15"/>
  <c r="FJ128" i="15"/>
  <c r="FO128" i="15"/>
  <c r="FQ128" i="15"/>
  <c r="FS128" i="15"/>
  <c r="FD128" i="15"/>
  <c r="GS128" i="15"/>
  <c r="FZ128" i="15" s="1"/>
  <c r="FE128" i="15"/>
  <c r="FF128" i="15"/>
  <c r="FG128" i="15"/>
  <c r="FH128" i="15"/>
  <c r="FP128" i="15"/>
  <c r="FI128" i="15"/>
  <c r="FK128" i="15"/>
  <c r="FL128" i="15"/>
  <c r="GR128" i="15"/>
  <c r="GP128" i="15" s="1"/>
  <c r="GO128" i="15" s="1"/>
  <c r="FW128" i="15"/>
  <c r="FN128" i="15"/>
  <c r="FR128" i="15"/>
  <c r="FV128" i="15"/>
  <c r="FX128" i="15"/>
  <c r="GT128" i="15"/>
  <c r="GU128" i="15"/>
  <c r="GV128" i="15"/>
  <c r="HZ128" i="15"/>
  <c r="FM129" i="15"/>
  <c r="CY129" i="15"/>
  <c r="CZ129" i="15"/>
  <c r="DA129" i="15"/>
  <c r="FJ129" i="15"/>
  <c r="FO129" i="15"/>
  <c r="FQ129" i="15"/>
  <c r="FS129" i="15"/>
  <c r="FD129" i="15"/>
  <c r="GS129" i="15"/>
  <c r="FZ129" i="15" s="1"/>
  <c r="FE129" i="15"/>
  <c r="FF129" i="15"/>
  <c r="FG129" i="15"/>
  <c r="FH129" i="15"/>
  <c r="FP129" i="15"/>
  <c r="FI129" i="15"/>
  <c r="FK129" i="15"/>
  <c r="FL129" i="15"/>
  <c r="GR129" i="15"/>
  <c r="GP129" i="15" s="1"/>
  <c r="GO129" i="15" s="1"/>
  <c r="FW129" i="15"/>
  <c r="FN129" i="15"/>
  <c r="FR129" i="15"/>
  <c r="FV129" i="15"/>
  <c r="FX129" i="15"/>
  <c r="GT129" i="15"/>
  <c r="GU129" i="15"/>
  <c r="GV129" i="15"/>
  <c r="HZ129" i="15"/>
  <c r="FM130" i="15"/>
  <c r="CY130" i="15"/>
  <c r="CZ130" i="15"/>
  <c r="DA130" i="15"/>
  <c r="FJ130" i="15"/>
  <c r="FO130" i="15"/>
  <c r="FQ130" i="15"/>
  <c r="FS130" i="15"/>
  <c r="FD130" i="15"/>
  <c r="GS130" i="15"/>
  <c r="FZ130" i="15" s="1"/>
  <c r="FE130" i="15"/>
  <c r="FF130" i="15"/>
  <c r="FG130" i="15"/>
  <c r="FH130" i="15"/>
  <c r="FP130" i="15"/>
  <c r="FI130" i="15"/>
  <c r="FK130" i="15"/>
  <c r="FL130" i="15"/>
  <c r="GR130" i="15"/>
  <c r="GP130" i="15" s="1"/>
  <c r="GO130" i="15" s="1"/>
  <c r="FW130" i="15"/>
  <c r="FN130" i="15"/>
  <c r="FR130" i="15"/>
  <c r="FV130" i="15"/>
  <c r="FX130" i="15"/>
  <c r="GT130" i="15"/>
  <c r="GU130" i="15"/>
  <c r="GV130" i="15"/>
  <c r="HZ130" i="15"/>
  <c r="FM131" i="15"/>
  <c r="CY131" i="15"/>
  <c r="CZ131" i="15"/>
  <c r="DA131" i="15"/>
  <c r="FJ131" i="15"/>
  <c r="FO131" i="15"/>
  <c r="FQ131" i="15"/>
  <c r="FS131" i="15"/>
  <c r="FD131" i="15"/>
  <c r="GS131" i="15"/>
  <c r="FZ131" i="15" s="1"/>
  <c r="FE131" i="15"/>
  <c r="FF131" i="15"/>
  <c r="FG131" i="15"/>
  <c r="FH131" i="15"/>
  <c r="FP131" i="15"/>
  <c r="FI131" i="15"/>
  <c r="FK131" i="15"/>
  <c r="FL131" i="15"/>
  <c r="GR131" i="15"/>
  <c r="GP131" i="15" s="1"/>
  <c r="GO131" i="15" s="1"/>
  <c r="FW131" i="15"/>
  <c r="FN131" i="15"/>
  <c r="FR131" i="15"/>
  <c r="FV131" i="15"/>
  <c r="FX131" i="15"/>
  <c r="GT131" i="15"/>
  <c r="GU131" i="15"/>
  <c r="GV131" i="15"/>
  <c r="HZ131" i="15"/>
  <c r="FM132" i="15"/>
  <c r="CY132" i="15"/>
  <c r="CZ132" i="15"/>
  <c r="DA132" i="15"/>
  <c r="FJ132" i="15"/>
  <c r="FO132" i="15"/>
  <c r="FQ132" i="15"/>
  <c r="FS132" i="15"/>
  <c r="FD132" i="15"/>
  <c r="GS132" i="15"/>
  <c r="FZ132" i="15" s="1"/>
  <c r="FE132" i="15"/>
  <c r="FF132" i="15"/>
  <c r="FG132" i="15"/>
  <c r="FH132" i="15"/>
  <c r="FP132" i="15"/>
  <c r="FI132" i="15"/>
  <c r="FK132" i="15"/>
  <c r="FL132" i="15"/>
  <c r="GR132" i="15"/>
  <c r="GP132" i="15" s="1"/>
  <c r="GO132" i="15" s="1"/>
  <c r="FW132" i="15"/>
  <c r="FN132" i="15"/>
  <c r="FR132" i="15"/>
  <c r="FV132" i="15"/>
  <c r="FX132" i="15"/>
  <c r="GT132" i="15"/>
  <c r="GU132" i="15"/>
  <c r="GV132" i="15"/>
  <c r="HZ132" i="15"/>
  <c r="FM133" i="15"/>
  <c r="CY133" i="15"/>
  <c r="CZ133" i="15"/>
  <c r="DA133" i="15"/>
  <c r="FJ133" i="15"/>
  <c r="FO133" i="15"/>
  <c r="FQ133" i="15"/>
  <c r="FS133" i="15"/>
  <c r="FD133" i="15"/>
  <c r="GS133" i="15"/>
  <c r="FZ133" i="15" s="1"/>
  <c r="FE133" i="15"/>
  <c r="FF133" i="15"/>
  <c r="FG133" i="15"/>
  <c r="FH133" i="15"/>
  <c r="FP133" i="15"/>
  <c r="FI133" i="15"/>
  <c r="FK133" i="15"/>
  <c r="FL133" i="15"/>
  <c r="GR133" i="15"/>
  <c r="GP133" i="15" s="1"/>
  <c r="GO133" i="15" s="1"/>
  <c r="FW133" i="15"/>
  <c r="FN133" i="15"/>
  <c r="FR133" i="15"/>
  <c r="FV133" i="15"/>
  <c r="FX133" i="15"/>
  <c r="GT133" i="15"/>
  <c r="GU133" i="15"/>
  <c r="GV133" i="15"/>
  <c r="HZ133" i="15"/>
  <c r="FM134" i="15"/>
  <c r="CY134" i="15"/>
  <c r="CZ134" i="15"/>
  <c r="DA134" i="15"/>
  <c r="FJ134" i="15"/>
  <c r="FO134" i="15"/>
  <c r="FQ134" i="15"/>
  <c r="FS134" i="15"/>
  <c r="FD134" i="15"/>
  <c r="GS134" i="15"/>
  <c r="FZ134" i="15" s="1"/>
  <c r="FE134" i="15"/>
  <c r="FF134" i="15"/>
  <c r="FG134" i="15"/>
  <c r="FH134" i="15"/>
  <c r="FP134" i="15"/>
  <c r="FI134" i="15"/>
  <c r="FK134" i="15"/>
  <c r="FL134" i="15"/>
  <c r="GR134" i="15"/>
  <c r="GP134" i="15" s="1"/>
  <c r="GO134" i="15" s="1"/>
  <c r="FW134" i="15"/>
  <c r="FN134" i="15"/>
  <c r="FR134" i="15"/>
  <c r="FV134" i="15"/>
  <c r="FX134" i="15"/>
  <c r="GT134" i="15"/>
  <c r="GU134" i="15"/>
  <c r="GV134" i="15"/>
  <c r="HZ134" i="15"/>
  <c r="FM135" i="15"/>
  <c r="CY135" i="15"/>
  <c r="CZ135" i="15"/>
  <c r="DA135" i="15"/>
  <c r="FJ135" i="15"/>
  <c r="FO135" i="15"/>
  <c r="FQ135" i="15"/>
  <c r="FS135" i="15"/>
  <c r="FD135" i="15"/>
  <c r="GS135" i="15"/>
  <c r="FZ135" i="15" s="1"/>
  <c r="FE135" i="15"/>
  <c r="FF135" i="15"/>
  <c r="FG135" i="15"/>
  <c r="FH135" i="15"/>
  <c r="FP135" i="15"/>
  <c r="FI135" i="15"/>
  <c r="FK135" i="15"/>
  <c r="FL135" i="15"/>
  <c r="GR135" i="15"/>
  <c r="GP135" i="15" s="1"/>
  <c r="GO135" i="15" s="1"/>
  <c r="FW135" i="15"/>
  <c r="FN135" i="15"/>
  <c r="FR135" i="15"/>
  <c r="FV135" i="15"/>
  <c r="FX135" i="15"/>
  <c r="GT135" i="15"/>
  <c r="GU135" i="15"/>
  <c r="GV135" i="15"/>
  <c r="HZ135" i="15"/>
  <c r="FM136" i="15"/>
  <c r="CY136" i="15"/>
  <c r="CZ136" i="15"/>
  <c r="DA136" i="15"/>
  <c r="FJ136" i="15"/>
  <c r="FO136" i="15"/>
  <c r="FQ136" i="15"/>
  <c r="FS136" i="15"/>
  <c r="FD136" i="15"/>
  <c r="GS136" i="15"/>
  <c r="FZ136" i="15" s="1"/>
  <c r="FE136" i="15"/>
  <c r="FF136" i="15"/>
  <c r="FG136" i="15"/>
  <c r="FH136" i="15"/>
  <c r="FP136" i="15"/>
  <c r="FI136" i="15"/>
  <c r="FK136" i="15"/>
  <c r="FL136" i="15"/>
  <c r="GR136" i="15"/>
  <c r="GP136" i="15" s="1"/>
  <c r="GO136" i="15" s="1"/>
  <c r="FW136" i="15"/>
  <c r="FN136" i="15"/>
  <c r="FR136" i="15"/>
  <c r="FV136" i="15"/>
  <c r="FX136" i="15"/>
  <c r="GT136" i="15"/>
  <c r="GU136" i="15"/>
  <c r="GV136" i="15"/>
  <c r="HZ136" i="15"/>
  <c r="FM137" i="15"/>
  <c r="CY137" i="15"/>
  <c r="CZ137" i="15"/>
  <c r="DA137" i="15"/>
  <c r="FJ137" i="15"/>
  <c r="FO137" i="15"/>
  <c r="FQ137" i="15"/>
  <c r="FS137" i="15"/>
  <c r="FD137" i="15"/>
  <c r="GS137" i="15"/>
  <c r="FZ137" i="15" s="1"/>
  <c r="FE137" i="15"/>
  <c r="FF137" i="15"/>
  <c r="FG137" i="15"/>
  <c r="FH137" i="15"/>
  <c r="FP137" i="15"/>
  <c r="FI137" i="15"/>
  <c r="FK137" i="15"/>
  <c r="FL137" i="15"/>
  <c r="GR137" i="15"/>
  <c r="GP137" i="15" s="1"/>
  <c r="GO137" i="15" s="1"/>
  <c r="FW137" i="15"/>
  <c r="FN137" i="15"/>
  <c r="FR137" i="15"/>
  <c r="FV137" i="15"/>
  <c r="FX137" i="15"/>
  <c r="GT137" i="15"/>
  <c r="GU137" i="15"/>
  <c r="GV137" i="15"/>
  <c r="HZ137" i="15"/>
  <c r="FM138" i="15"/>
  <c r="CY138" i="15"/>
  <c r="CZ138" i="15"/>
  <c r="DA138" i="15"/>
  <c r="FJ138" i="15"/>
  <c r="FO138" i="15"/>
  <c r="FQ138" i="15"/>
  <c r="FS138" i="15"/>
  <c r="FD138" i="15"/>
  <c r="GS138" i="15"/>
  <c r="FZ138" i="15" s="1"/>
  <c r="FE138" i="15"/>
  <c r="FF138" i="15"/>
  <c r="FG138" i="15"/>
  <c r="FH138" i="15"/>
  <c r="FP138" i="15"/>
  <c r="FI138" i="15"/>
  <c r="FK138" i="15"/>
  <c r="FL138" i="15"/>
  <c r="GR138" i="15"/>
  <c r="GP138" i="15" s="1"/>
  <c r="GO138" i="15" s="1"/>
  <c r="FW138" i="15"/>
  <c r="FN138" i="15"/>
  <c r="FR138" i="15"/>
  <c r="FV138" i="15"/>
  <c r="FX138" i="15"/>
  <c r="GT138" i="15"/>
  <c r="GU138" i="15"/>
  <c r="GV138" i="15"/>
  <c r="HZ138" i="15"/>
  <c r="FM139" i="15"/>
  <c r="CY139" i="15"/>
  <c r="CZ139" i="15"/>
  <c r="DA139" i="15"/>
  <c r="FJ139" i="15"/>
  <c r="FO139" i="15"/>
  <c r="FQ139" i="15"/>
  <c r="FS139" i="15"/>
  <c r="FD139" i="15"/>
  <c r="GS139" i="15"/>
  <c r="FZ139" i="15" s="1"/>
  <c r="FE139" i="15"/>
  <c r="FF139" i="15"/>
  <c r="FG139" i="15"/>
  <c r="FH139" i="15"/>
  <c r="FP139" i="15"/>
  <c r="FI139" i="15"/>
  <c r="FK139" i="15"/>
  <c r="FL139" i="15"/>
  <c r="GR139" i="15"/>
  <c r="FW139" i="15"/>
  <c r="FN139" i="15"/>
  <c r="FR139" i="15"/>
  <c r="FV139" i="15"/>
  <c r="FX139" i="15"/>
  <c r="GT139" i="15"/>
  <c r="GU139" i="15"/>
  <c r="GV139" i="15"/>
  <c r="HZ139" i="15"/>
  <c r="FM140" i="15"/>
  <c r="CY140" i="15"/>
  <c r="CZ140" i="15"/>
  <c r="DA140" i="15"/>
  <c r="FJ140" i="15"/>
  <c r="FO140" i="15"/>
  <c r="FQ140" i="15"/>
  <c r="FS140" i="15"/>
  <c r="FD140" i="15"/>
  <c r="GS140" i="15"/>
  <c r="FZ140" i="15" s="1"/>
  <c r="FE140" i="15"/>
  <c r="FF140" i="15"/>
  <c r="FG140" i="15"/>
  <c r="FH140" i="15"/>
  <c r="FP140" i="15"/>
  <c r="FI140" i="15"/>
  <c r="FK140" i="15"/>
  <c r="FL140" i="15"/>
  <c r="GR140" i="15"/>
  <c r="GP140" i="15" s="1"/>
  <c r="GO140" i="15" s="1"/>
  <c r="FW140" i="15"/>
  <c r="FN140" i="15"/>
  <c r="FR140" i="15"/>
  <c r="FV140" i="15"/>
  <c r="FX140" i="15"/>
  <c r="GT140" i="15"/>
  <c r="GU140" i="15"/>
  <c r="GV140" i="15"/>
  <c r="HZ140" i="15"/>
  <c r="FM141" i="15"/>
  <c r="CY141" i="15"/>
  <c r="CZ141" i="15"/>
  <c r="DA141" i="15"/>
  <c r="FJ141" i="15"/>
  <c r="FO141" i="15"/>
  <c r="FQ141" i="15"/>
  <c r="FS141" i="15"/>
  <c r="FD141" i="15"/>
  <c r="GS141" i="15"/>
  <c r="FZ141" i="15" s="1"/>
  <c r="FE141" i="15"/>
  <c r="FF141" i="15"/>
  <c r="FG141" i="15"/>
  <c r="FH141" i="15"/>
  <c r="FP141" i="15"/>
  <c r="FI141" i="15"/>
  <c r="FK141" i="15"/>
  <c r="FL141" i="15"/>
  <c r="GR141" i="15"/>
  <c r="GP141" i="15" s="1"/>
  <c r="GO141" i="15" s="1"/>
  <c r="FW141" i="15"/>
  <c r="FN141" i="15"/>
  <c r="FR141" i="15"/>
  <c r="FV141" i="15"/>
  <c r="FX141" i="15"/>
  <c r="GT141" i="15"/>
  <c r="GU141" i="15"/>
  <c r="GV141" i="15"/>
  <c r="HZ141" i="15"/>
  <c r="FM142" i="15"/>
  <c r="CY142" i="15"/>
  <c r="CZ142" i="15"/>
  <c r="DA142" i="15"/>
  <c r="FJ142" i="15"/>
  <c r="FO142" i="15"/>
  <c r="FQ142" i="15"/>
  <c r="FS142" i="15"/>
  <c r="FD142" i="15"/>
  <c r="GS142" i="15"/>
  <c r="FZ142" i="15" s="1"/>
  <c r="FE142" i="15"/>
  <c r="FF142" i="15"/>
  <c r="FG142" i="15"/>
  <c r="FH142" i="15"/>
  <c r="FP142" i="15"/>
  <c r="FI142" i="15"/>
  <c r="FK142" i="15"/>
  <c r="FL142" i="15"/>
  <c r="GR142" i="15"/>
  <c r="FW142" i="15"/>
  <c r="FN142" i="15"/>
  <c r="FR142" i="15"/>
  <c r="FV142" i="15"/>
  <c r="FX142" i="15"/>
  <c r="GT142" i="15"/>
  <c r="GU142" i="15"/>
  <c r="GV142" i="15"/>
  <c r="HZ142" i="15"/>
  <c r="FM143" i="15"/>
  <c r="CY143" i="15"/>
  <c r="CZ143" i="15"/>
  <c r="DA143" i="15"/>
  <c r="FJ143" i="15"/>
  <c r="FO143" i="15"/>
  <c r="FQ143" i="15"/>
  <c r="FS143" i="15"/>
  <c r="FD143" i="15"/>
  <c r="GS143" i="15"/>
  <c r="FZ143" i="15" s="1"/>
  <c r="FE143" i="15"/>
  <c r="FF143" i="15"/>
  <c r="FG143" i="15"/>
  <c r="FH143" i="15"/>
  <c r="FP143" i="15"/>
  <c r="FI143" i="15"/>
  <c r="FK143" i="15"/>
  <c r="FL143" i="15"/>
  <c r="GR143" i="15"/>
  <c r="GP143" i="15" s="1"/>
  <c r="GO143" i="15" s="1"/>
  <c r="FW143" i="15"/>
  <c r="FN143" i="15"/>
  <c r="FR143" i="15"/>
  <c r="FV143" i="15"/>
  <c r="FX143" i="15"/>
  <c r="GT143" i="15"/>
  <c r="GU143" i="15"/>
  <c r="GV143" i="15"/>
  <c r="HZ143" i="15"/>
  <c r="FM144" i="15"/>
  <c r="CY144" i="15"/>
  <c r="CZ144" i="15"/>
  <c r="DA144" i="15"/>
  <c r="FJ144" i="15"/>
  <c r="FO144" i="15"/>
  <c r="FQ144" i="15"/>
  <c r="FS144" i="15"/>
  <c r="FD144" i="15"/>
  <c r="GS144" i="15"/>
  <c r="FZ144" i="15" s="1"/>
  <c r="FE144" i="15"/>
  <c r="FF144" i="15"/>
  <c r="FG144" i="15"/>
  <c r="FH144" i="15"/>
  <c r="FP144" i="15"/>
  <c r="FI144" i="15"/>
  <c r="FK144" i="15"/>
  <c r="FL144" i="15"/>
  <c r="GR144" i="15"/>
  <c r="GP144" i="15" s="1"/>
  <c r="GO144" i="15" s="1"/>
  <c r="FW144" i="15"/>
  <c r="FN144" i="15"/>
  <c r="FR144" i="15"/>
  <c r="FV144" i="15"/>
  <c r="FX144" i="15"/>
  <c r="GT144" i="15"/>
  <c r="GU144" i="15"/>
  <c r="GV144" i="15"/>
  <c r="HZ144" i="15"/>
  <c r="FM145" i="15"/>
  <c r="CY145" i="15"/>
  <c r="CZ145" i="15"/>
  <c r="DA145" i="15"/>
  <c r="FJ145" i="15"/>
  <c r="FO145" i="15"/>
  <c r="FQ145" i="15"/>
  <c r="FS145" i="15"/>
  <c r="FD145" i="15"/>
  <c r="GS145" i="15"/>
  <c r="FZ145" i="15" s="1"/>
  <c r="FE145" i="15"/>
  <c r="FF145" i="15"/>
  <c r="FG145" i="15"/>
  <c r="FH145" i="15"/>
  <c r="FP145" i="15"/>
  <c r="FI145" i="15"/>
  <c r="FK145" i="15"/>
  <c r="FL145" i="15"/>
  <c r="GR145" i="15"/>
  <c r="GP145" i="15" s="1"/>
  <c r="GO145" i="15" s="1"/>
  <c r="FW145" i="15"/>
  <c r="FN145" i="15"/>
  <c r="FR145" i="15"/>
  <c r="FV145" i="15"/>
  <c r="FX145" i="15"/>
  <c r="GT145" i="15"/>
  <c r="GU145" i="15"/>
  <c r="GV145" i="15"/>
  <c r="HZ145" i="15"/>
  <c r="FM146" i="15"/>
  <c r="CY146" i="15"/>
  <c r="CZ146" i="15"/>
  <c r="DA146" i="15"/>
  <c r="FJ146" i="15"/>
  <c r="FO146" i="15"/>
  <c r="FQ146" i="15"/>
  <c r="FS146" i="15"/>
  <c r="FD146" i="15"/>
  <c r="GS146" i="15"/>
  <c r="FZ146" i="15" s="1"/>
  <c r="FE146" i="15"/>
  <c r="FF146" i="15"/>
  <c r="FG146" i="15"/>
  <c r="FH146" i="15"/>
  <c r="FP146" i="15"/>
  <c r="FI146" i="15"/>
  <c r="FK146" i="15"/>
  <c r="FL146" i="15"/>
  <c r="GR146" i="15"/>
  <c r="GP146" i="15" s="1"/>
  <c r="GO146" i="15" s="1"/>
  <c r="FW146" i="15"/>
  <c r="FN146" i="15"/>
  <c r="FR146" i="15"/>
  <c r="FV146" i="15"/>
  <c r="FX146" i="15"/>
  <c r="GT146" i="15"/>
  <c r="GU146" i="15"/>
  <c r="GV146" i="15"/>
  <c r="HZ146" i="15"/>
  <c r="FM147" i="15"/>
  <c r="CY147" i="15"/>
  <c r="CZ147" i="15"/>
  <c r="DA147" i="15"/>
  <c r="FJ147" i="15"/>
  <c r="FO147" i="15"/>
  <c r="FQ147" i="15"/>
  <c r="FS147" i="15"/>
  <c r="FD147" i="15"/>
  <c r="GS147" i="15"/>
  <c r="FZ147" i="15" s="1"/>
  <c r="FE147" i="15"/>
  <c r="FF147" i="15"/>
  <c r="FG147" i="15"/>
  <c r="FH147" i="15"/>
  <c r="FP147" i="15"/>
  <c r="FI147" i="15"/>
  <c r="FK147" i="15"/>
  <c r="FL147" i="15"/>
  <c r="GR147" i="15"/>
  <c r="GP147" i="15" s="1"/>
  <c r="GO147" i="15" s="1"/>
  <c r="FW147" i="15"/>
  <c r="FN147" i="15"/>
  <c r="FR147" i="15"/>
  <c r="FV147" i="15"/>
  <c r="FX147" i="15"/>
  <c r="GT147" i="15"/>
  <c r="GU147" i="15"/>
  <c r="GV147" i="15"/>
  <c r="HZ147" i="15"/>
  <c r="FM148" i="15"/>
  <c r="CY148" i="15"/>
  <c r="CZ148" i="15"/>
  <c r="DA148" i="15"/>
  <c r="FJ148" i="15"/>
  <c r="FO148" i="15"/>
  <c r="FQ148" i="15"/>
  <c r="FS148" i="15"/>
  <c r="FD148" i="15"/>
  <c r="GS148" i="15"/>
  <c r="FZ148" i="15" s="1"/>
  <c r="FE148" i="15"/>
  <c r="FF148" i="15"/>
  <c r="FG148" i="15"/>
  <c r="FH148" i="15"/>
  <c r="FP148" i="15"/>
  <c r="FI148" i="15"/>
  <c r="FK148" i="15"/>
  <c r="FL148" i="15"/>
  <c r="GR148" i="15"/>
  <c r="GP148" i="15" s="1"/>
  <c r="GO148" i="15" s="1"/>
  <c r="FW148" i="15"/>
  <c r="FN148" i="15"/>
  <c r="FR148" i="15"/>
  <c r="FV148" i="15"/>
  <c r="FX148" i="15"/>
  <c r="GT148" i="15"/>
  <c r="GU148" i="15"/>
  <c r="GV148" i="15"/>
  <c r="HZ148" i="15"/>
  <c r="FM149" i="15"/>
  <c r="CY149" i="15"/>
  <c r="CZ149" i="15"/>
  <c r="DA149" i="15"/>
  <c r="FJ149" i="15"/>
  <c r="FO149" i="15"/>
  <c r="FQ149" i="15"/>
  <c r="FS149" i="15"/>
  <c r="FD149" i="15"/>
  <c r="GS149" i="15"/>
  <c r="FZ149" i="15" s="1"/>
  <c r="FE149" i="15"/>
  <c r="FF149" i="15"/>
  <c r="FG149" i="15"/>
  <c r="FH149" i="15"/>
  <c r="FP149" i="15"/>
  <c r="FI149" i="15"/>
  <c r="FK149" i="15"/>
  <c r="FL149" i="15"/>
  <c r="GR149" i="15"/>
  <c r="GP149" i="15" s="1"/>
  <c r="GO149" i="15" s="1"/>
  <c r="FW149" i="15"/>
  <c r="FN149" i="15"/>
  <c r="FR149" i="15"/>
  <c r="FV149" i="15"/>
  <c r="FX149" i="15"/>
  <c r="GT149" i="15"/>
  <c r="GU149" i="15"/>
  <c r="GV149" i="15"/>
  <c r="HZ149" i="15"/>
  <c r="FM150" i="15"/>
  <c r="CY150" i="15"/>
  <c r="CZ150" i="15"/>
  <c r="DA150" i="15"/>
  <c r="FJ150" i="15"/>
  <c r="FO150" i="15"/>
  <c r="FQ150" i="15"/>
  <c r="FS150" i="15"/>
  <c r="FD150" i="15"/>
  <c r="GS150" i="15"/>
  <c r="FZ150" i="15" s="1"/>
  <c r="FE150" i="15"/>
  <c r="FF150" i="15"/>
  <c r="FG150" i="15"/>
  <c r="FH150" i="15"/>
  <c r="FP150" i="15"/>
  <c r="FI150" i="15"/>
  <c r="FK150" i="15"/>
  <c r="FL150" i="15"/>
  <c r="GR150" i="15"/>
  <c r="GP150" i="15" s="1"/>
  <c r="GO150" i="15" s="1"/>
  <c r="FW150" i="15"/>
  <c r="FN150" i="15"/>
  <c r="FR150" i="15"/>
  <c r="FV150" i="15"/>
  <c r="FX150" i="15"/>
  <c r="GT150" i="15"/>
  <c r="GU150" i="15"/>
  <c r="GV150" i="15"/>
  <c r="HZ150" i="15"/>
  <c r="FM151" i="15"/>
  <c r="CY151" i="15"/>
  <c r="CZ151" i="15"/>
  <c r="DA151" i="15"/>
  <c r="FJ151" i="15"/>
  <c r="FO151" i="15"/>
  <c r="FQ151" i="15"/>
  <c r="FS151" i="15"/>
  <c r="FD151" i="15"/>
  <c r="GS151" i="15"/>
  <c r="FZ151" i="15" s="1"/>
  <c r="FE151" i="15"/>
  <c r="FF151" i="15"/>
  <c r="FG151" i="15"/>
  <c r="FH151" i="15"/>
  <c r="FP151" i="15"/>
  <c r="FI151" i="15"/>
  <c r="FK151" i="15"/>
  <c r="FL151" i="15"/>
  <c r="GR151" i="15"/>
  <c r="GP151" i="15" s="1"/>
  <c r="GO151" i="15" s="1"/>
  <c r="FW151" i="15"/>
  <c r="FN151" i="15"/>
  <c r="FR151" i="15"/>
  <c r="FV151" i="15"/>
  <c r="FX151" i="15"/>
  <c r="GT151" i="15"/>
  <c r="GU151" i="15"/>
  <c r="GV151" i="15"/>
  <c r="HZ151" i="15"/>
  <c r="FM152" i="15"/>
  <c r="CY152" i="15"/>
  <c r="CZ152" i="15"/>
  <c r="DA152" i="15"/>
  <c r="FJ152" i="15"/>
  <c r="FO152" i="15"/>
  <c r="FQ152" i="15"/>
  <c r="FS152" i="15"/>
  <c r="FD152" i="15"/>
  <c r="GS152" i="15"/>
  <c r="FZ152" i="15" s="1"/>
  <c r="FE152" i="15"/>
  <c r="FF152" i="15"/>
  <c r="FG152" i="15"/>
  <c r="FH152" i="15"/>
  <c r="FP152" i="15"/>
  <c r="FI152" i="15"/>
  <c r="FK152" i="15"/>
  <c r="FL152" i="15"/>
  <c r="GR152" i="15"/>
  <c r="GP152" i="15" s="1"/>
  <c r="GO152" i="15" s="1"/>
  <c r="FW152" i="15"/>
  <c r="FN152" i="15"/>
  <c r="FR152" i="15"/>
  <c r="FV152" i="15"/>
  <c r="FX152" i="15"/>
  <c r="GT152" i="15"/>
  <c r="GU152" i="15"/>
  <c r="GV152" i="15"/>
  <c r="HZ152" i="15"/>
  <c r="FM153" i="15"/>
  <c r="CY153" i="15"/>
  <c r="CZ153" i="15"/>
  <c r="DA153" i="15"/>
  <c r="FJ153" i="15"/>
  <c r="FO153" i="15"/>
  <c r="FQ153" i="15"/>
  <c r="FS153" i="15"/>
  <c r="FD153" i="15"/>
  <c r="GS153" i="15"/>
  <c r="FZ153" i="15" s="1"/>
  <c r="FE153" i="15"/>
  <c r="FF153" i="15"/>
  <c r="FG153" i="15"/>
  <c r="FH153" i="15"/>
  <c r="FP153" i="15"/>
  <c r="FI153" i="15"/>
  <c r="FK153" i="15"/>
  <c r="FL153" i="15"/>
  <c r="GR153" i="15"/>
  <c r="GP153" i="15" s="1"/>
  <c r="GO153" i="15" s="1"/>
  <c r="FW153" i="15"/>
  <c r="FN153" i="15"/>
  <c r="FR153" i="15"/>
  <c r="FV153" i="15"/>
  <c r="FX153" i="15"/>
  <c r="GT153" i="15"/>
  <c r="GU153" i="15"/>
  <c r="GV153" i="15"/>
  <c r="HZ153" i="15"/>
  <c r="FM154" i="15"/>
  <c r="CY154" i="15"/>
  <c r="CZ154" i="15"/>
  <c r="DA154" i="15"/>
  <c r="FJ154" i="15"/>
  <c r="FO154" i="15"/>
  <c r="FQ154" i="15"/>
  <c r="FS154" i="15"/>
  <c r="FD154" i="15"/>
  <c r="GS154" i="15"/>
  <c r="FZ154" i="15" s="1"/>
  <c r="FE154" i="15"/>
  <c r="FF154" i="15"/>
  <c r="FG154" i="15"/>
  <c r="FH154" i="15"/>
  <c r="FP154" i="15"/>
  <c r="FI154" i="15"/>
  <c r="FK154" i="15"/>
  <c r="FL154" i="15"/>
  <c r="GR154" i="15"/>
  <c r="GP154" i="15" s="1"/>
  <c r="GO154" i="15" s="1"/>
  <c r="FW154" i="15"/>
  <c r="FN154" i="15"/>
  <c r="FR154" i="15"/>
  <c r="FV154" i="15"/>
  <c r="FX154" i="15"/>
  <c r="GT154" i="15"/>
  <c r="GU154" i="15"/>
  <c r="GV154" i="15"/>
  <c r="HZ154" i="15"/>
  <c r="FM155" i="15"/>
  <c r="CY155" i="15"/>
  <c r="CZ155" i="15"/>
  <c r="DA155" i="15"/>
  <c r="FJ155" i="15"/>
  <c r="FO155" i="15"/>
  <c r="FQ155" i="15"/>
  <c r="FS155" i="15"/>
  <c r="FD155" i="15"/>
  <c r="GS155" i="15"/>
  <c r="FZ155" i="15" s="1"/>
  <c r="FE155" i="15"/>
  <c r="FF155" i="15"/>
  <c r="FG155" i="15"/>
  <c r="FH155" i="15"/>
  <c r="FP155" i="15"/>
  <c r="FI155" i="15"/>
  <c r="FK155" i="15"/>
  <c r="FL155" i="15"/>
  <c r="GR155" i="15"/>
  <c r="GP155" i="15" s="1"/>
  <c r="GO155" i="15" s="1"/>
  <c r="FW155" i="15"/>
  <c r="FN155" i="15"/>
  <c r="FR155" i="15"/>
  <c r="FV155" i="15"/>
  <c r="FX155" i="15"/>
  <c r="GT155" i="15"/>
  <c r="GU155" i="15"/>
  <c r="GV155" i="15"/>
  <c r="HZ155" i="15"/>
  <c r="FM156" i="15"/>
  <c r="CY156" i="15"/>
  <c r="CZ156" i="15"/>
  <c r="DA156" i="15"/>
  <c r="FJ156" i="15"/>
  <c r="FO156" i="15"/>
  <c r="FQ156" i="15"/>
  <c r="FS156" i="15"/>
  <c r="FD156" i="15"/>
  <c r="GS156" i="15"/>
  <c r="FZ156" i="15" s="1"/>
  <c r="FE156" i="15"/>
  <c r="FF156" i="15"/>
  <c r="FG156" i="15"/>
  <c r="FH156" i="15"/>
  <c r="FP156" i="15"/>
  <c r="FI156" i="15"/>
  <c r="FK156" i="15"/>
  <c r="FL156" i="15"/>
  <c r="GR156" i="15"/>
  <c r="GP156" i="15" s="1"/>
  <c r="GO156" i="15" s="1"/>
  <c r="FW156" i="15"/>
  <c r="FN156" i="15"/>
  <c r="FR156" i="15"/>
  <c r="FV156" i="15"/>
  <c r="FX156" i="15"/>
  <c r="GT156" i="15"/>
  <c r="GU156" i="15"/>
  <c r="GV156" i="15"/>
  <c r="HZ156" i="15"/>
  <c r="FM157" i="15"/>
  <c r="CY157" i="15"/>
  <c r="CZ157" i="15"/>
  <c r="DA157" i="15"/>
  <c r="FJ157" i="15"/>
  <c r="FO157" i="15"/>
  <c r="FQ157" i="15"/>
  <c r="FS157" i="15"/>
  <c r="FD157" i="15"/>
  <c r="GS157" i="15"/>
  <c r="FZ157" i="15" s="1"/>
  <c r="FE157" i="15"/>
  <c r="FF157" i="15"/>
  <c r="FG157" i="15"/>
  <c r="FH157" i="15"/>
  <c r="FP157" i="15"/>
  <c r="FI157" i="15"/>
  <c r="FK157" i="15"/>
  <c r="FL157" i="15"/>
  <c r="GR157" i="15"/>
  <c r="GP157" i="15" s="1"/>
  <c r="GO157" i="15" s="1"/>
  <c r="FW157" i="15"/>
  <c r="FN157" i="15"/>
  <c r="FR157" i="15"/>
  <c r="FV157" i="15"/>
  <c r="FX157" i="15"/>
  <c r="GT157" i="15"/>
  <c r="GU157" i="15"/>
  <c r="GV157" i="15"/>
  <c r="HZ157" i="15"/>
  <c r="FM158" i="15"/>
  <c r="CY158" i="15"/>
  <c r="CZ158" i="15"/>
  <c r="DA158" i="15"/>
  <c r="FJ158" i="15"/>
  <c r="FO158" i="15"/>
  <c r="FQ158" i="15"/>
  <c r="FS158" i="15"/>
  <c r="FD158" i="15"/>
  <c r="GS158" i="15"/>
  <c r="FZ158" i="15" s="1"/>
  <c r="FE158" i="15"/>
  <c r="FF158" i="15"/>
  <c r="FG158" i="15"/>
  <c r="FH158" i="15"/>
  <c r="FP158" i="15"/>
  <c r="FI158" i="15"/>
  <c r="FK158" i="15"/>
  <c r="FL158" i="15"/>
  <c r="GR158" i="15"/>
  <c r="GP158" i="15" s="1"/>
  <c r="GO158" i="15" s="1"/>
  <c r="FW158" i="15"/>
  <c r="FN158" i="15"/>
  <c r="FR158" i="15"/>
  <c r="FV158" i="15"/>
  <c r="FX158" i="15"/>
  <c r="GT158" i="15"/>
  <c r="GU158" i="15"/>
  <c r="GV158" i="15"/>
  <c r="HZ158" i="15"/>
  <c r="FM159" i="15"/>
  <c r="CY159" i="15"/>
  <c r="CZ159" i="15"/>
  <c r="DA159" i="15"/>
  <c r="FJ159" i="15"/>
  <c r="FO159" i="15"/>
  <c r="FQ159" i="15"/>
  <c r="FS159" i="15"/>
  <c r="FD159" i="15"/>
  <c r="GS159" i="15"/>
  <c r="FZ159" i="15" s="1"/>
  <c r="FE159" i="15"/>
  <c r="FF159" i="15"/>
  <c r="FG159" i="15"/>
  <c r="FH159" i="15"/>
  <c r="FP159" i="15"/>
  <c r="FI159" i="15"/>
  <c r="FK159" i="15"/>
  <c r="FL159" i="15"/>
  <c r="GR159" i="15"/>
  <c r="GP159" i="15" s="1"/>
  <c r="GO159" i="15" s="1"/>
  <c r="FW159" i="15"/>
  <c r="FN159" i="15"/>
  <c r="FR159" i="15"/>
  <c r="FV159" i="15"/>
  <c r="FX159" i="15"/>
  <c r="GT159" i="15"/>
  <c r="GU159" i="15"/>
  <c r="GV159" i="15"/>
  <c r="HZ159" i="15"/>
  <c r="FM160" i="15"/>
  <c r="CY160" i="15"/>
  <c r="CZ160" i="15"/>
  <c r="DA160" i="15"/>
  <c r="FJ160" i="15"/>
  <c r="FO160" i="15"/>
  <c r="FQ160" i="15"/>
  <c r="FS160" i="15"/>
  <c r="FD160" i="15"/>
  <c r="GS160" i="15"/>
  <c r="FZ160" i="15" s="1"/>
  <c r="FE160" i="15"/>
  <c r="FF160" i="15"/>
  <c r="FG160" i="15"/>
  <c r="FH160" i="15"/>
  <c r="FP160" i="15"/>
  <c r="FI160" i="15"/>
  <c r="FK160" i="15"/>
  <c r="FL160" i="15"/>
  <c r="GR160" i="15"/>
  <c r="GP160" i="15" s="1"/>
  <c r="GO160" i="15" s="1"/>
  <c r="FW160" i="15"/>
  <c r="FN160" i="15"/>
  <c r="FR160" i="15"/>
  <c r="FV160" i="15"/>
  <c r="FX160" i="15"/>
  <c r="GT160" i="15"/>
  <c r="GU160" i="15"/>
  <c r="GV160" i="15"/>
  <c r="HZ160" i="15"/>
  <c r="FM161" i="15"/>
  <c r="CY161" i="15"/>
  <c r="CZ161" i="15"/>
  <c r="DA161" i="15"/>
  <c r="FJ161" i="15"/>
  <c r="FO161" i="15"/>
  <c r="FQ161" i="15"/>
  <c r="FS161" i="15"/>
  <c r="FD161" i="15"/>
  <c r="GS161" i="15"/>
  <c r="FZ161" i="15" s="1"/>
  <c r="FE161" i="15"/>
  <c r="FF161" i="15"/>
  <c r="FG161" i="15"/>
  <c r="FH161" i="15"/>
  <c r="FP161" i="15"/>
  <c r="FI161" i="15"/>
  <c r="FK161" i="15"/>
  <c r="FL161" i="15"/>
  <c r="GR161" i="15"/>
  <c r="GP161" i="15" s="1"/>
  <c r="GO161" i="15" s="1"/>
  <c r="FW161" i="15"/>
  <c r="FN161" i="15"/>
  <c r="FR161" i="15"/>
  <c r="FV161" i="15"/>
  <c r="FX161" i="15"/>
  <c r="GT161" i="15"/>
  <c r="GU161" i="15"/>
  <c r="GV161" i="15"/>
  <c r="HZ161" i="15"/>
  <c r="FM162" i="15"/>
  <c r="CY162" i="15"/>
  <c r="CZ162" i="15"/>
  <c r="DA162" i="15"/>
  <c r="FJ162" i="15"/>
  <c r="FO162" i="15"/>
  <c r="FQ162" i="15"/>
  <c r="FS162" i="15"/>
  <c r="FD162" i="15"/>
  <c r="GS162" i="15"/>
  <c r="FZ162" i="15" s="1"/>
  <c r="FE162" i="15"/>
  <c r="FF162" i="15"/>
  <c r="FG162" i="15"/>
  <c r="FH162" i="15"/>
  <c r="FP162" i="15"/>
  <c r="FI162" i="15"/>
  <c r="FK162" i="15"/>
  <c r="FL162" i="15"/>
  <c r="GR162" i="15"/>
  <c r="GP162" i="15" s="1"/>
  <c r="GO162" i="15" s="1"/>
  <c r="FW162" i="15"/>
  <c r="FN162" i="15"/>
  <c r="FR162" i="15"/>
  <c r="FV162" i="15"/>
  <c r="FX162" i="15"/>
  <c r="GT162" i="15"/>
  <c r="GU162" i="15"/>
  <c r="GV162" i="15"/>
  <c r="HZ162" i="15"/>
  <c r="FM163" i="15"/>
  <c r="CY163" i="15"/>
  <c r="CZ163" i="15"/>
  <c r="DA163" i="15"/>
  <c r="FJ163" i="15"/>
  <c r="FO163" i="15"/>
  <c r="FQ163" i="15"/>
  <c r="FS163" i="15"/>
  <c r="FD163" i="15"/>
  <c r="GS163" i="15"/>
  <c r="FZ163" i="15" s="1"/>
  <c r="FE163" i="15"/>
  <c r="FF163" i="15"/>
  <c r="FG163" i="15"/>
  <c r="FH163" i="15"/>
  <c r="FP163" i="15"/>
  <c r="FI163" i="15"/>
  <c r="FK163" i="15"/>
  <c r="FL163" i="15"/>
  <c r="GR163" i="15"/>
  <c r="GP163" i="15" s="1"/>
  <c r="GO163" i="15" s="1"/>
  <c r="FW163" i="15"/>
  <c r="FN163" i="15"/>
  <c r="FR163" i="15"/>
  <c r="FV163" i="15"/>
  <c r="FX163" i="15"/>
  <c r="GT163" i="15"/>
  <c r="GU163" i="15"/>
  <c r="GV163" i="15"/>
  <c r="HZ163" i="15"/>
  <c r="FM164" i="15"/>
  <c r="CY164" i="15"/>
  <c r="CZ164" i="15"/>
  <c r="DA164" i="15"/>
  <c r="FJ164" i="15"/>
  <c r="FO164" i="15"/>
  <c r="FQ164" i="15"/>
  <c r="FS164" i="15"/>
  <c r="FD164" i="15"/>
  <c r="GS164" i="15"/>
  <c r="FZ164" i="15" s="1"/>
  <c r="FE164" i="15"/>
  <c r="FF164" i="15"/>
  <c r="FG164" i="15"/>
  <c r="FH164" i="15"/>
  <c r="FP164" i="15"/>
  <c r="FI164" i="15"/>
  <c r="FK164" i="15"/>
  <c r="FL164" i="15"/>
  <c r="GR164" i="15"/>
  <c r="GP164" i="15" s="1"/>
  <c r="GO164" i="15" s="1"/>
  <c r="FW164" i="15"/>
  <c r="FN164" i="15"/>
  <c r="FR164" i="15"/>
  <c r="FV164" i="15"/>
  <c r="FX164" i="15"/>
  <c r="GT164" i="15"/>
  <c r="GU164" i="15"/>
  <c r="GV164" i="15"/>
  <c r="HZ164" i="15"/>
  <c r="FM165" i="15"/>
  <c r="CY165" i="15"/>
  <c r="CZ165" i="15"/>
  <c r="DA165" i="15"/>
  <c r="FJ165" i="15"/>
  <c r="FO165" i="15"/>
  <c r="FQ165" i="15"/>
  <c r="FS165" i="15"/>
  <c r="FD165" i="15"/>
  <c r="GS165" i="15"/>
  <c r="FZ165" i="15" s="1"/>
  <c r="FE165" i="15"/>
  <c r="FF165" i="15"/>
  <c r="FG165" i="15"/>
  <c r="FH165" i="15"/>
  <c r="FP165" i="15"/>
  <c r="FI165" i="15"/>
  <c r="FK165" i="15"/>
  <c r="FL165" i="15"/>
  <c r="GR165" i="15"/>
  <c r="GP165" i="15" s="1"/>
  <c r="GO165" i="15" s="1"/>
  <c r="FW165" i="15"/>
  <c r="FN165" i="15"/>
  <c r="FR165" i="15"/>
  <c r="FV165" i="15"/>
  <c r="FX165" i="15"/>
  <c r="GT165" i="15"/>
  <c r="GU165" i="15"/>
  <c r="GV165" i="15"/>
  <c r="HZ165" i="15"/>
  <c r="FM166" i="15"/>
  <c r="CY166" i="15"/>
  <c r="CZ166" i="15"/>
  <c r="DA166" i="15"/>
  <c r="FJ166" i="15"/>
  <c r="FO166" i="15"/>
  <c r="FQ166" i="15"/>
  <c r="FS166" i="15"/>
  <c r="FD166" i="15"/>
  <c r="GS166" i="15"/>
  <c r="FZ166" i="15" s="1"/>
  <c r="FE166" i="15"/>
  <c r="FF166" i="15"/>
  <c r="FG166" i="15"/>
  <c r="FH166" i="15"/>
  <c r="FP166" i="15"/>
  <c r="FI166" i="15"/>
  <c r="FK166" i="15"/>
  <c r="FL166" i="15"/>
  <c r="GR166" i="15"/>
  <c r="GP166" i="15" s="1"/>
  <c r="GO166" i="15" s="1"/>
  <c r="FW166" i="15"/>
  <c r="FN166" i="15"/>
  <c r="FR166" i="15"/>
  <c r="FV166" i="15"/>
  <c r="FX166" i="15"/>
  <c r="GT166" i="15"/>
  <c r="GU166" i="15"/>
  <c r="GV166" i="15"/>
  <c r="HZ166" i="15"/>
  <c r="FM167" i="15"/>
  <c r="CY167" i="15"/>
  <c r="CZ167" i="15"/>
  <c r="DA167" i="15"/>
  <c r="FJ167" i="15"/>
  <c r="FO167" i="15"/>
  <c r="FQ167" i="15"/>
  <c r="FS167" i="15"/>
  <c r="FD167" i="15"/>
  <c r="GS167" i="15"/>
  <c r="FZ167" i="15" s="1"/>
  <c r="FE167" i="15"/>
  <c r="FF167" i="15"/>
  <c r="FG167" i="15"/>
  <c r="FH167" i="15"/>
  <c r="FP167" i="15"/>
  <c r="FI167" i="15"/>
  <c r="FK167" i="15"/>
  <c r="FL167" i="15"/>
  <c r="GR167" i="15"/>
  <c r="GP167" i="15" s="1"/>
  <c r="GO167" i="15" s="1"/>
  <c r="FW167" i="15"/>
  <c r="FN167" i="15"/>
  <c r="FR167" i="15"/>
  <c r="FV167" i="15"/>
  <c r="FX167" i="15"/>
  <c r="GT167" i="15"/>
  <c r="GU167" i="15"/>
  <c r="GV167" i="15"/>
  <c r="HZ167" i="15"/>
  <c r="FM168" i="15"/>
  <c r="CY168" i="15"/>
  <c r="CZ168" i="15"/>
  <c r="DA168" i="15"/>
  <c r="FJ168" i="15"/>
  <c r="FO168" i="15"/>
  <c r="FQ168" i="15"/>
  <c r="FS168" i="15"/>
  <c r="FD168" i="15"/>
  <c r="GS168" i="15"/>
  <c r="FZ168" i="15" s="1"/>
  <c r="FE168" i="15"/>
  <c r="FF168" i="15"/>
  <c r="FG168" i="15"/>
  <c r="FH168" i="15"/>
  <c r="FP168" i="15"/>
  <c r="FI168" i="15"/>
  <c r="FK168" i="15"/>
  <c r="FL168" i="15"/>
  <c r="GR168" i="15"/>
  <c r="GP168" i="15" s="1"/>
  <c r="GO168" i="15" s="1"/>
  <c r="FW168" i="15"/>
  <c r="FN168" i="15"/>
  <c r="FR168" i="15"/>
  <c r="FV168" i="15"/>
  <c r="FX168" i="15"/>
  <c r="GT168" i="15"/>
  <c r="GU168" i="15"/>
  <c r="GV168" i="15"/>
  <c r="HZ168" i="15"/>
  <c r="FM169" i="15"/>
  <c r="CY169" i="15"/>
  <c r="CZ169" i="15"/>
  <c r="DA169" i="15"/>
  <c r="FJ169" i="15"/>
  <c r="FO169" i="15"/>
  <c r="FQ169" i="15"/>
  <c r="FS169" i="15"/>
  <c r="FD169" i="15"/>
  <c r="GS169" i="15"/>
  <c r="FZ169" i="15" s="1"/>
  <c r="FE169" i="15"/>
  <c r="FF169" i="15"/>
  <c r="FG169" i="15"/>
  <c r="FH169" i="15"/>
  <c r="FP169" i="15"/>
  <c r="FI169" i="15"/>
  <c r="FK169" i="15"/>
  <c r="FL169" i="15"/>
  <c r="GR169" i="15"/>
  <c r="GP169" i="15" s="1"/>
  <c r="GO169" i="15" s="1"/>
  <c r="FW169" i="15"/>
  <c r="FN169" i="15"/>
  <c r="FR169" i="15"/>
  <c r="FV169" i="15"/>
  <c r="FX169" i="15"/>
  <c r="GT169" i="15"/>
  <c r="GU169" i="15"/>
  <c r="GV169" i="15"/>
  <c r="HZ169" i="15"/>
  <c r="FM170" i="15"/>
  <c r="CY170" i="15"/>
  <c r="CZ170" i="15"/>
  <c r="DA170" i="15"/>
  <c r="FJ170" i="15"/>
  <c r="FO170" i="15"/>
  <c r="FQ170" i="15"/>
  <c r="FS170" i="15"/>
  <c r="FD170" i="15"/>
  <c r="GS170" i="15"/>
  <c r="FZ170" i="15" s="1"/>
  <c r="FE170" i="15"/>
  <c r="FF170" i="15"/>
  <c r="FG170" i="15"/>
  <c r="FH170" i="15"/>
  <c r="FP170" i="15"/>
  <c r="FI170" i="15"/>
  <c r="FK170" i="15"/>
  <c r="FL170" i="15"/>
  <c r="GR170" i="15"/>
  <c r="GP170" i="15" s="1"/>
  <c r="GO170" i="15" s="1"/>
  <c r="FW170" i="15"/>
  <c r="FN170" i="15"/>
  <c r="FR170" i="15"/>
  <c r="FV170" i="15"/>
  <c r="FX170" i="15"/>
  <c r="GT170" i="15"/>
  <c r="GU170" i="15"/>
  <c r="GV170" i="15"/>
  <c r="HZ170" i="15"/>
  <c r="FM171" i="15"/>
  <c r="CY171" i="15"/>
  <c r="CZ171" i="15"/>
  <c r="DA171" i="15"/>
  <c r="FJ171" i="15"/>
  <c r="FO171" i="15"/>
  <c r="FQ171" i="15"/>
  <c r="FS171" i="15"/>
  <c r="FD171" i="15"/>
  <c r="GS171" i="15"/>
  <c r="FZ171" i="15" s="1"/>
  <c r="FE171" i="15"/>
  <c r="FF171" i="15"/>
  <c r="FG171" i="15"/>
  <c r="FH171" i="15"/>
  <c r="FP171" i="15"/>
  <c r="FI171" i="15"/>
  <c r="FK171" i="15"/>
  <c r="FL171" i="15"/>
  <c r="GR171" i="15"/>
  <c r="GP171" i="15" s="1"/>
  <c r="GO171" i="15" s="1"/>
  <c r="FW171" i="15"/>
  <c r="FN171" i="15"/>
  <c r="FR171" i="15"/>
  <c r="FV171" i="15"/>
  <c r="FX171" i="15"/>
  <c r="GT171" i="15"/>
  <c r="GU171" i="15"/>
  <c r="GV171" i="15"/>
  <c r="HZ171" i="15"/>
  <c r="FM172" i="15"/>
  <c r="CY172" i="15"/>
  <c r="CZ172" i="15"/>
  <c r="DA172" i="15"/>
  <c r="FJ172" i="15"/>
  <c r="FO172" i="15"/>
  <c r="FQ172" i="15"/>
  <c r="FS172" i="15"/>
  <c r="FD172" i="15"/>
  <c r="GS172" i="15"/>
  <c r="FZ172" i="15" s="1"/>
  <c r="FE172" i="15"/>
  <c r="FF172" i="15"/>
  <c r="FG172" i="15"/>
  <c r="FH172" i="15"/>
  <c r="FP172" i="15"/>
  <c r="FI172" i="15"/>
  <c r="FK172" i="15"/>
  <c r="FL172" i="15"/>
  <c r="GR172" i="15"/>
  <c r="GP172" i="15" s="1"/>
  <c r="GO172" i="15" s="1"/>
  <c r="FW172" i="15"/>
  <c r="FN172" i="15"/>
  <c r="FR172" i="15"/>
  <c r="FV172" i="15"/>
  <c r="FX172" i="15"/>
  <c r="GT172" i="15"/>
  <c r="GU172" i="15"/>
  <c r="GV172" i="15"/>
  <c r="HZ172" i="15"/>
  <c r="FM173" i="15"/>
  <c r="CY173" i="15"/>
  <c r="CZ173" i="15"/>
  <c r="DA173" i="15"/>
  <c r="FJ173" i="15"/>
  <c r="FO173" i="15"/>
  <c r="FQ173" i="15"/>
  <c r="FS173" i="15"/>
  <c r="FD173" i="15"/>
  <c r="GS173" i="15"/>
  <c r="FZ173" i="15" s="1"/>
  <c r="FE173" i="15"/>
  <c r="FF173" i="15"/>
  <c r="FG173" i="15"/>
  <c r="FH173" i="15"/>
  <c r="FP173" i="15"/>
  <c r="FI173" i="15"/>
  <c r="FK173" i="15"/>
  <c r="FL173" i="15"/>
  <c r="GR173" i="15"/>
  <c r="GP173" i="15" s="1"/>
  <c r="GO173" i="15" s="1"/>
  <c r="FW173" i="15"/>
  <c r="FN173" i="15"/>
  <c r="FR173" i="15"/>
  <c r="FV173" i="15"/>
  <c r="FX173" i="15"/>
  <c r="GT173" i="15"/>
  <c r="GU173" i="15"/>
  <c r="GV173" i="15"/>
  <c r="HZ173" i="15"/>
  <c r="FM174" i="15"/>
  <c r="CY174" i="15"/>
  <c r="CZ174" i="15"/>
  <c r="DA174" i="15"/>
  <c r="FJ174" i="15"/>
  <c r="FO174" i="15"/>
  <c r="FQ174" i="15"/>
  <c r="FS174" i="15"/>
  <c r="FD174" i="15"/>
  <c r="GS174" i="15"/>
  <c r="FZ174" i="15" s="1"/>
  <c r="FE174" i="15"/>
  <c r="FF174" i="15"/>
  <c r="FG174" i="15"/>
  <c r="FH174" i="15"/>
  <c r="FP174" i="15"/>
  <c r="FI174" i="15"/>
  <c r="FK174" i="15"/>
  <c r="FL174" i="15"/>
  <c r="GR174" i="15"/>
  <c r="GP174" i="15" s="1"/>
  <c r="GO174" i="15" s="1"/>
  <c r="FW174" i="15"/>
  <c r="FN174" i="15"/>
  <c r="FR174" i="15"/>
  <c r="FV174" i="15"/>
  <c r="FX174" i="15"/>
  <c r="GT174" i="15"/>
  <c r="GU174" i="15"/>
  <c r="GV174" i="15"/>
  <c r="HZ174" i="15"/>
  <c r="FM175" i="15"/>
  <c r="CY175" i="15"/>
  <c r="CZ175" i="15"/>
  <c r="DA175" i="15"/>
  <c r="FJ175" i="15"/>
  <c r="FO175" i="15"/>
  <c r="FQ175" i="15"/>
  <c r="FS175" i="15"/>
  <c r="FD175" i="15"/>
  <c r="GS175" i="15"/>
  <c r="FZ175" i="15" s="1"/>
  <c r="FE175" i="15"/>
  <c r="FF175" i="15"/>
  <c r="FG175" i="15"/>
  <c r="FH175" i="15"/>
  <c r="FP175" i="15"/>
  <c r="FI175" i="15"/>
  <c r="FK175" i="15"/>
  <c r="FL175" i="15"/>
  <c r="GR175" i="15"/>
  <c r="GP175" i="15" s="1"/>
  <c r="GO175" i="15" s="1"/>
  <c r="FW175" i="15"/>
  <c r="FN175" i="15"/>
  <c r="FR175" i="15"/>
  <c r="FV175" i="15"/>
  <c r="FX175" i="15"/>
  <c r="GT175" i="15"/>
  <c r="GU175" i="15"/>
  <c r="GV175" i="15"/>
  <c r="HZ175" i="15"/>
  <c r="FM176" i="15"/>
  <c r="CY176" i="15"/>
  <c r="CZ176" i="15"/>
  <c r="DA176" i="15"/>
  <c r="FJ176" i="15"/>
  <c r="FO176" i="15"/>
  <c r="FQ176" i="15"/>
  <c r="FS176" i="15"/>
  <c r="FD176" i="15"/>
  <c r="GS176" i="15"/>
  <c r="FZ176" i="15" s="1"/>
  <c r="FE176" i="15"/>
  <c r="FF176" i="15"/>
  <c r="FG176" i="15"/>
  <c r="FH176" i="15"/>
  <c r="FP176" i="15"/>
  <c r="FI176" i="15"/>
  <c r="FK176" i="15"/>
  <c r="FL176" i="15"/>
  <c r="GR176" i="15"/>
  <c r="GP176" i="15" s="1"/>
  <c r="GO176" i="15" s="1"/>
  <c r="FW176" i="15"/>
  <c r="FN176" i="15"/>
  <c r="FR176" i="15"/>
  <c r="FV176" i="15"/>
  <c r="FX176" i="15"/>
  <c r="GT176" i="15"/>
  <c r="GU176" i="15"/>
  <c r="GV176" i="15"/>
  <c r="HZ176" i="15"/>
  <c r="FM177" i="15"/>
  <c r="CY177" i="15"/>
  <c r="CZ177" i="15"/>
  <c r="DA177" i="15"/>
  <c r="FJ177" i="15"/>
  <c r="FO177" i="15"/>
  <c r="FQ177" i="15"/>
  <c r="FS177" i="15"/>
  <c r="FD177" i="15"/>
  <c r="GS177" i="15"/>
  <c r="FZ177" i="15" s="1"/>
  <c r="FE177" i="15"/>
  <c r="FF177" i="15"/>
  <c r="FG177" i="15"/>
  <c r="FH177" i="15"/>
  <c r="FP177" i="15"/>
  <c r="FI177" i="15"/>
  <c r="FK177" i="15"/>
  <c r="FL177" i="15"/>
  <c r="GR177" i="15"/>
  <c r="GP177" i="15" s="1"/>
  <c r="GO177" i="15" s="1"/>
  <c r="FW177" i="15"/>
  <c r="FN177" i="15"/>
  <c r="FR177" i="15"/>
  <c r="FV177" i="15"/>
  <c r="FX177" i="15"/>
  <c r="GT177" i="15"/>
  <c r="GU177" i="15"/>
  <c r="GV177" i="15"/>
  <c r="HZ177" i="15"/>
  <c r="FM178" i="15"/>
  <c r="CY178" i="15"/>
  <c r="CZ178" i="15"/>
  <c r="DA178" i="15"/>
  <c r="FJ178" i="15"/>
  <c r="FO178" i="15"/>
  <c r="FQ178" i="15"/>
  <c r="FS178" i="15"/>
  <c r="FD178" i="15"/>
  <c r="GS178" i="15"/>
  <c r="FZ178" i="15" s="1"/>
  <c r="FE178" i="15"/>
  <c r="FF178" i="15"/>
  <c r="FG178" i="15"/>
  <c r="FH178" i="15"/>
  <c r="FP178" i="15"/>
  <c r="FI178" i="15"/>
  <c r="FK178" i="15"/>
  <c r="FL178" i="15"/>
  <c r="GR178" i="15"/>
  <c r="GP178" i="15" s="1"/>
  <c r="GO178" i="15" s="1"/>
  <c r="FW178" i="15"/>
  <c r="FN178" i="15"/>
  <c r="FR178" i="15"/>
  <c r="FV178" i="15"/>
  <c r="FX178" i="15"/>
  <c r="GT178" i="15"/>
  <c r="GU178" i="15"/>
  <c r="GV178" i="15"/>
  <c r="HZ178" i="15"/>
  <c r="FM179" i="15"/>
  <c r="CY179" i="15"/>
  <c r="CZ179" i="15"/>
  <c r="DA179" i="15"/>
  <c r="FJ179" i="15"/>
  <c r="FO179" i="15"/>
  <c r="FQ179" i="15"/>
  <c r="FS179" i="15"/>
  <c r="FD179" i="15"/>
  <c r="GS179" i="15"/>
  <c r="FZ179" i="15" s="1"/>
  <c r="FE179" i="15"/>
  <c r="FF179" i="15"/>
  <c r="FG179" i="15"/>
  <c r="FH179" i="15"/>
  <c r="FP179" i="15"/>
  <c r="FI179" i="15"/>
  <c r="FK179" i="15"/>
  <c r="FL179" i="15"/>
  <c r="GR179" i="15"/>
  <c r="GP179" i="15" s="1"/>
  <c r="GO179" i="15" s="1"/>
  <c r="FW179" i="15"/>
  <c r="FN179" i="15"/>
  <c r="FR179" i="15"/>
  <c r="FV179" i="15"/>
  <c r="FX179" i="15"/>
  <c r="GT179" i="15"/>
  <c r="GU179" i="15"/>
  <c r="GV179" i="15"/>
  <c r="HZ179" i="15"/>
  <c r="FM180" i="15"/>
  <c r="CY180" i="15"/>
  <c r="CZ180" i="15"/>
  <c r="DA180" i="15"/>
  <c r="FJ180" i="15"/>
  <c r="FO180" i="15"/>
  <c r="FQ180" i="15"/>
  <c r="FS180" i="15"/>
  <c r="FD180" i="15"/>
  <c r="GS180" i="15"/>
  <c r="FZ180" i="15" s="1"/>
  <c r="FE180" i="15"/>
  <c r="FF180" i="15"/>
  <c r="FG180" i="15"/>
  <c r="FH180" i="15"/>
  <c r="FP180" i="15"/>
  <c r="FI180" i="15"/>
  <c r="FK180" i="15"/>
  <c r="FL180" i="15"/>
  <c r="GR180" i="15"/>
  <c r="GP180" i="15" s="1"/>
  <c r="GO180" i="15" s="1"/>
  <c r="FW180" i="15"/>
  <c r="FN180" i="15"/>
  <c r="FR180" i="15"/>
  <c r="FV180" i="15"/>
  <c r="FX180" i="15"/>
  <c r="GT180" i="15"/>
  <c r="GU180" i="15"/>
  <c r="GV180" i="15"/>
  <c r="HZ180" i="15"/>
  <c r="FM181" i="15"/>
  <c r="CY181" i="15"/>
  <c r="CZ181" i="15"/>
  <c r="DA181" i="15"/>
  <c r="FJ181" i="15"/>
  <c r="FO181" i="15"/>
  <c r="FQ181" i="15"/>
  <c r="FS181" i="15"/>
  <c r="FD181" i="15"/>
  <c r="GS181" i="15"/>
  <c r="FZ181" i="15" s="1"/>
  <c r="FE181" i="15"/>
  <c r="FF181" i="15"/>
  <c r="FG181" i="15"/>
  <c r="FH181" i="15"/>
  <c r="FP181" i="15"/>
  <c r="FI181" i="15"/>
  <c r="FK181" i="15"/>
  <c r="FL181" i="15"/>
  <c r="GR181" i="15"/>
  <c r="GP181" i="15" s="1"/>
  <c r="GO181" i="15" s="1"/>
  <c r="FW181" i="15"/>
  <c r="FN181" i="15"/>
  <c r="FR181" i="15"/>
  <c r="FV181" i="15"/>
  <c r="FX181" i="15"/>
  <c r="GT181" i="15"/>
  <c r="GU181" i="15"/>
  <c r="GV181" i="15"/>
  <c r="HZ181" i="15"/>
  <c r="FM182" i="15"/>
  <c r="CY182" i="15"/>
  <c r="CZ182" i="15"/>
  <c r="DA182" i="15"/>
  <c r="FJ182" i="15"/>
  <c r="FO182" i="15"/>
  <c r="FQ182" i="15"/>
  <c r="FS182" i="15"/>
  <c r="FD182" i="15"/>
  <c r="GS182" i="15"/>
  <c r="FZ182" i="15" s="1"/>
  <c r="FE182" i="15"/>
  <c r="FF182" i="15"/>
  <c r="FG182" i="15"/>
  <c r="FH182" i="15"/>
  <c r="FP182" i="15"/>
  <c r="FI182" i="15"/>
  <c r="FK182" i="15"/>
  <c r="FL182" i="15"/>
  <c r="GR182" i="15"/>
  <c r="GP182" i="15" s="1"/>
  <c r="GO182" i="15" s="1"/>
  <c r="FW182" i="15"/>
  <c r="FN182" i="15"/>
  <c r="FR182" i="15"/>
  <c r="FV182" i="15"/>
  <c r="FX182" i="15"/>
  <c r="GT182" i="15"/>
  <c r="GU182" i="15"/>
  <c r="GV182" i="15"/>
  <c r="HZ182" i="15"/>
  <c r="FM183" i="15"/>
  <c r="CY183" i="15"/>
  <c r="CZ183" i="15"/>
  <c r="DA183" i="15"/>
  <c r="FJ183" i="15"/>
  <c r="FO183" i="15"/>
  <c r="FQ183" i="15"/>
  <c r="FS183" i="15"/>
  <c r="FD183" i="15"/>
  <c r="GS183" i="15"/>
  <c r="FZ183" i="15" s="1"/>
  <c r="FE183" i="15"/>
  <c r="FF183" i="15"/>
  <c r="FG183" i="15"/>
  <c r="FH183" i="15"/>
  <c r="FP183" i="15"/>
  <c r="FI183" i="15"/>
  <c r="FK183" i="15"/>
  <c r="FL183" i="15"/>
  <c r="GR183" i="15"/>
  <c r="GP183" i="15" s="1"/>
  <c r="GO183" i="15" s="1"/>
  <c r="FW183" i="15"/>
  <c r="FN183" i="15"/>
  <c r="FR183" i="15"/>
  <c r="FV183" i="15"/>
  <c r="FX183" i="15"/>
  <c r="GT183" i="15"/>
  <c r="GU183" i="15"/>
  <c r="GV183" i="15"/>
  <c r="HZ183" i="15"/>
  <c r="FM184" i="15"/>
  <c r="CY184" i="15"/>
  <c r="CZ184" i="15"/>
  <c r="DA184" i="15"/>
  <c r="FJ184" i="15"/>
  <c r="FO184" i="15"/>
  <c r="FQ184" i="15"/>
  <c r="FS184" i="15"/>
  <c r="FD184" i="15"/>
  <c r="GS184" i="15"/>
  <c r="FZ184" i="15" s="1"/>
  <c r="FE184" i="15"/>
  <c r="FF184" i="15"/>
  <c r="FG184" i="15"/>
  <c r="FH184" i="15"/>
  <c r="FP184" i="15"/>
  <c r="FI184" i="15"/>
  <c r="FK184" i="15"/>
  <c r="FL184" i="15"/>
  <c r="GR184" i="15"/>
  <c r="GP184" i="15" s="1"/>
  <c r="GO184" i="15" s="1"/>
  <c r="FW184" i="15"/>
  <c r="FN184" i="15"/>
  <c r="FR184" i="15"/>
  <c r="FV184" i="15"/>
  <c r="FX184" i="15"/>
  <c r="GT184" i="15"/>
  <c r="GU184" i="15"/>
  <c r="GV184" i="15"/>
  <c r="HZ184" i="15"/>
  <c r="FM185" i="15"/>
  <c r="CY185" i="15"/>
  <c r="CZ185" i="15"/>
  <c r="DA185" i="15"/>
  <c r="FJ185" i="15"/>
  <c r="FO185" i="15"/>
  <c r="FQ185" i="15"/>
  <c r="FS185" i="15"/>
  <c r="FD185" i="15"/>
  <c r="GS185" i="15"/>
  <c r="FZ185" i="15" s="1"/>
  <c r="FE185" i="15"/>
  <c r="FF185" i="15"/>
  <c r="FG185" i="15"/>
  <c r="FH185" i="15"/>
  <c r="FP185" i="15"/>
  <c r="FI185" i="15"/>
  <c r="FK185" i="15"/>
  <c r="FL185" i="15"/>
  <c r="GR185" i="15"/>
  <c r="GP185" i="15" s="1"/>
  <c r="GO185" i="15" s="1"/>
  <c r="FW185" i="15"/>
  <c r="FN185" i="15"/>
  <c r="FR185" i="15"/>
  <c r="FV185" i="15"/>
  <c r="FX185" i="15"/>
  <c r="GT185" i="15"/>
  <c r="GU185" i="15"/>
  <c r="GV185" i="15"/>
  <c r="HZ185" i="15"/>
  <c r="FM186" i="15"/>
  <c r="CY186" i="15"/>
  <c r="CZ186" i="15"/>
  <c r="DA186" i="15"/>
  <c r="FJ186" i="15"/>
  <c r="FO186" i="15"/>
  <c r="FQ186" i="15"/>
  <c r="FS186" i="15"/>
  <c r="FD186" i="15"/>
  <c r="GS186" i="15"/>
  <c r="FZ186" i="15" s="1"/>
  <c r="FE186" i="15"/>
  <c r="FF186" i="15"/>
  <c r="FG186" i="15"/>
  <c r="FH186" i="15"/>
  <c r="FP186" i="15"/>
  <c r="FI186" i="15"/>
  <c r="FK186" i="15"/>
  <c r="FL186" i="15"/>
  <c r="GR186" i="15"/>
  <c r="GP186" i="15" s="1"/>
  <c r="GO186" i="15" s="1"/>
  <c r="FW186" i="15"/>
  <c r="FN186" i="15"/>
  <c r="FR186" i="15"/>
  <c r="FV186" i="15"/>
  <c r="FX186" i="15"/>
  <c r="GT186" i="15"/>
  <c r="GU186" i="15"/>
  <c r="GV186" i="15"/>
  <c r="HZ186" i="15"/>
  <c r="FM187" i="15"/>
  <c r="CY187" i="15"/>
  <c r="CZ187" i="15"/>
  <c r="DA187" i="15"/>
  <c r="FJ187" i="15"/>
  <c r="FO187" i="15"/>
  <c r="FQ187" i="15"/>
  <c r="FS187" i="15"/>
  <c r="FD187" i="15"/>
  <c r="GS187" i="15"/>
  <c r="FZ187" i="15" s="1"/>
  <c r="FE187" i="15"/>
  <c r="FF187" i="15"/>
  <c r="FG187" i="15"/>
  <c r="FH187" i="15"/>
  <c r="FP187" i="15"/>
  <c r="FI187" i="15"/>
  <c r="FK187" i="15"/>
  <c r="FL187" i="15"/>
  <c r="GR187" i="15"/>
  <c r="GP187" i="15" s="1"/>
  <c r="GO187" i="15" s="1"/>
  <c r="FW187" i="15"/>
  <c r="FN187" i="15"/>
  <c r="FR187" i="15"/>
  <c r="FV187" i="15"/>
  <c r="FX187" i="15"/>
  <c r="GT187" i="15"/>
  <c r="GU187" i="15"/>
  <c r="GV187" i="15"/>
  <c r="HZ187" i="15"/>
  <c r="FM188" i="15"/>
  <c r="CY188" i="15"/>
  <c r="CZ188" i="15"/>
  <c r="DA188" i="15"/>
  <c r="FJ188" i="15"/>
  <c r="FO188" i="15"/>
  <c r="FQ188" i="15"/>
  <c r="FS188" i="15"/>
  <c r="FD188" i="15"/>
  <c r="GS188" i="15"/>
  <c r="FZ188" i="15" s="1"/>
  <c r="FE188" i="15"/>
  <c r="FF188" i="15"/>
  <c r="FG188" i="15"/>
  <c r="FH188" i="15"/>
  <c r="FP188" i="15"/>
  <c r="FI188" i="15"/>
  <c r="FK188" i="15"/>
  <c r="FL188" i="15"/>
  <c r="GR188" i="15"/>
  <c r="GP188" i="15" s="1"/>
  <c r="GO188" i="15" s="1"/>
  <c r="FW188" i="15"/>
  <c r="FN188" i="15"/>
  <c r="FR188" i="15"/>
  <c r="FV188" i="15"/>
  <c r="FX188" i="15"/>
  <c r="GT188" i="15"/>
  <c r="GU188" i="15"/>
  <c r="GV188" i="15"/>
  <c r="HZ188" i="15"/>
  <c r="FM189" i="15"/>
  <c r="CY189" i="15"/>
  <c r="CZ189" i="15"/>
  <c r="DA189" i="15"/>
  <c r="FJ189" i="15"/>
  <c r="FO189" i="15"/>
  <c r="FQ189" i="15"/>
  <c r="FS189" i="15"/>
  <c r="FD189" i="15"/>
  <c r="GS189" i="15"/>
  <c r="FZ189" i="15" s="1"/>
  <c r="FE189" i="15"/>
  <c r="FF189" i="15"/>
  <c r="FG189" i="15"/>
  <c r="FH189" i="15"/>
  <c r="FP189" i="15"/>
  <c r="FI189" i="15"/>
  <c r="FK189" i="15"/>
  <c r="FL189" i="15"/>
  <c r="GR189" i="15"/>
  <c r="GP189" i="15" s="1"/>
  <c r="GO189" i="15" s="1"/>
  <c r="FW189" i="15"/>
  <c r="FN189" i="15"/>
  <c r="FR189" i="15"/>
  <c r="FV189" i="15"/>
  <c r="FX189" i="15"/>
  <c r="GT189" i="15"/>
  <c r="GU189" i="15"/>
  <c r="GV189" i="15"/>
  <c r="HZ189" i="15"/>
  <c r="FM190" i="15"/>
  <c r="CY190" i="15"/>
  <c r="CZ190" i="15"/>
  <c r="DA190" i="15"/>
  <c r="FJ190" i="15"/>
  <c r="FO190" i="15"/>
  <c r="FQ190" i="15"/>
  <c r="FS190" i="15"/>
  <c r="FD190" i="15"/>
  <c r="GS190" i="15"/>
  <c r="FZ190" i="15" s="1"/>
  <c r="FE190" i="15"/>
  <c r="FF190" i="15"/>
  <c r="FG190" i="15"/>
  <c r="FH190" i="15"/>
  <c r="FP190" i="15"/>
  <c r="FI190" i="15"/>
  <c r="FK190" i="15"/>
  <c r="FL190" i="15"/>
  <c r="GR190" i="15"/>
  <c r="GP190" i="15" s="1"/>
  <c r="GO190" i="15" s="1"/>
  <c r="FW190" i="15"/>
  <c r="FN190" i="15"/>
  <c r="FR190" i="15"/>
  <c r="FV190" i="15"/>
  <c r="FX190" i="15"/>
  <c r="GT190" i="15"/>
  <c r="GU190" i="15"/>
  <c r="GV190" i="15"/>
  <c r="HZ190" i="15"/>
  <c r="FM191" i="15"/>
  <c r="CY191" i="15"/>
  <c r="CZ191" i="15"/>
  <c r="DA191" i="15"/>
  <c r="FJ191" i="15"/>
  <c r="FO191" i="15"/>
  <c r="FQ191" i="15"/>
  <c r="FS191" i="15"/>
  <c r="FD191" i="15"/>
  <c r="GS191" i="15"/>
  <c r="FZ191" i="15" s="1"/>
  <c r="FE191" i="15"/>
  <c r="FF191" i="15"/>
  <c r="FG191" i="15"/>
  <c r="FH191" i="15"/>
  <c r="FP191" i="15"/>
  <c r="FI191" i="15"/>
  <c r="FK191" i="15"/>
  <c r="FL191" i="15"/>
  <c r="GR191" i="15"/>
  <c r="GP191" i="15" s="1"/>
  <c r="GO191" i="15" s="1"/>
  <c r="FW191" i="15"/>
  <c r="FN191" i="15"/>
  <c r="FR191" i="15"/>
  <c r="FV191" i="15"/>
  <c r="FX191" i="15"/>
  <c r="GT191" i="15"/>
  <c r="GU191" i="15"/>
  <c r="GV191" i="15"/>
  <c r="HZ191" i="15"/>
  <c r="FM192" i="15"/>
  <c r="CY192" i="15"/>
  <c r="CZ192" i="15"/>
  <c r="DA192" i="15"/>
  <c r="FJ192" i="15"/>
  <c r="FO192" i="15"/>
  <c r="FQ192" i="15"/>
  <c r="FS192" i="15"/>
  <c r="FD192" i="15"/>
  <c r="GS192" i="15"/>
  <c r="FZ192" i="15" s="1"/>
  <c r="FE192" i="15"/>
  <c r="FF192" i="15"/>
  <c r="FG192" i="15"/>
  <c r="FH192" i="15"/>
  <c r="FP192" i="15"/>
  <c r="FI192" i="15"/>
  <c r="FK192" i="15"/>
  <c r="FL192" i="15"/>
  <c r="GR192" i="15"/>
  <c r="GP192" i="15" s="1"/>
  <c r="GO192" i="15" s="1"/>
  <c r="FW192" i="15"/>
  <c r="FN192" i="15"/>
  <c r="FR192" i="15"/>
  <c r="FV192" i="15"/>
  <c r="FX192" i="15"/>
  <c r="GT192" i="15"/>
  <c r="GU192" i="15"/>
  <c r="GV192" i="15"/>
  <c r="HZ192" i="15"/>
  <c r="FM193" i="15"/>
  <c r="CY193" i="15"/>
  <c r="CZ193" i="15"/>
  <c r="DA193" i="15"/>
  <c r="FJ193" i="15"/>
  <c r="FO193" i="15"/>
  <c r="FQ193" i="15"/>
  <c r="FS193" i="15"/>
  <c r="FD193" i="15"/>
  <c r="GS193" i="15"/>
  <c r="FZ193" i="15" s="1"/>
  <c r="FE193" i="15"/>
  <c r="FF193" i="15"/>
  <c r="FG193" i="15"/>
  <c r="FH193" i="15"/>
  <c r="FP193" i="15"/>
  <c r="FI193" i="15"/>
  <c r="FK193" i="15"/>
  <c r="FL193" i="15"/>
  <c r="GR193" i="15"/>
  <c r="GP193" i="15" s="1"/>
  <c r="GO193" i="15" s="1"/>
  <c r="FW193" i="15"/>
  <c r="FN193" i="15"/>
  <c r="FR193" i="15"/>
  <c r="FV193" i="15"/>
  <c r="FX193" i="15"/>
  <c r="GT193" i="15"/>
  <c r="GU193" i="15"/>
  <c r="GV193" i="15"/>
  <c r="HZ193" i="15"/>
  <c r="FM194" i="15"/>
  <c r="CY194" i="15"/>
  <c r="CZ194" i="15"/>
  <c r="DA194" i="15"/>
  <c r="FJ194" i="15"/>
  <c r="FO194" i="15"/>
  <c r="FQ194" i="15"/>
  <c r="FS194" i="15"/>
  <c r="FD194" i="15"/>
  <c r="GS194" i="15"/>
  <c r="FZ194" i="15" s="1"/>
  <c r="FE194" i="15"/>
  <c r="FF194" i="15"/>
  <c r="FG194" i="15"/>
  <c r="FH194" i="15"/>
  <c r="FP194" i="15"/>
  <c r="FI194" i="15"/>
  <c r="FK194" i="15"/>
  <c r="FL194" i="15"/>
  <c r="GR194" i="15"/>
  <c r="GP194" i="15" s="1"/>
  <c r="GO194" i="15" s="1"/>
  <c r="FW194" i="15"/>
  <c r="FN194" i="15"/>
  <c r="FR194" i="15"/>
  <c r="FV194" i="15"/>
  <c r="FX194" i="15"/>
  <c r="GT194" i="15"/>
  <c r="GU194" i="15"/>
  <c r="GV194" i="15"/>
  <c r="HZ194" i="15"/>
  <c r="FM195" i="15"/>
  <c r="CY195" i="15"/>
  <c r="CZ195" i="15"/>
  <c r="DA195" i="15"/>
  <c r="FJ195" i="15"/>
  <c r="FO195" i="15"/>
  <c r="FQ195" i="15"/>
  <c r="FS195" i="15"/>
  <c r="FD195" i="15"/>
  <c r="GS195" i="15"/>
  <c r="FZ195" i="15" s="1"/>
  <c r="FE195" i="15"/>
  <c r="FF195" i="15"/>
  <c r="FG195" i="15"/>
  <c r="FH195" i="15"/>
  <c r="FP195" i="15"/>
  <c r="FI195" i="15"/>
  <c r="FK195" i="15"/>
  <c r="FL195" i="15"/>
  <c r="GR195" i="15"/>
  <c r="GP195" i="15" s="1"/>
  <c r="GO195" i="15" s="1"/>
  <c r="FW195" i="15"/>
  <c r="FN195" i="15"/>
  <c r="FR195" i="15"/>
  <c r="FV195" i="15"/>
  <c r="FX195" i="15"/>
  <c r="GT195" i="15"/>
  <c r="GU195" i="15"/>
  <c r="GV195" i="15"/>
  <c r="HZ195" i="15"/>
  <c r="FM196" i="15"/>
  <c r="CY196" i="15"/>
  <c r="CZ196" i="15"/>
  <c r="DA196" i="15"/>
  <c r="FJ196" i="15"/>
  <c r="FO196" i="15"/>
  <c r="FQ196" i="15"/>
  <c r="FS196" i="15"/>
  <c r="FD196" i="15"/>
  <c r="GS196" i="15"/>
  <c r="FZ196" i="15" s="1"/>
  <c r="FE196" i="15"/>
  <c r="FF196" i="15"/>
  <c r="FG196" i="15"/>
  <c r="FH196" i="15"/>
  <c r="FP196" i="15"/>
  <c r="FI196" i="15"/>
  <c r="FK196" i="15"/>
  <c r="FL196" i="15"/>
  <c r="GR196" i="15"/>
  <c r="GP196" i="15" s="1"/>
  <c r="GO196" i="15" s="1"/>
  <c r="FW196" i="15"/>
  <c r="FN196" i="15"/>
  <c r="FR196" i="15"/>
  <c r="FV196" i="15"/>
  <c r="FX196" i="15"/>
  <c r="GT196" i="15"/>
  <c r="GU196" i="15"/>
  <c r="GV196" i="15"/>
  <c r="HZ196" i="15"/>
  <c r="FM197" i="15"/>
  <c r="CY197" i="15"/>
  <c r="CZ197" i="15"/>
  <c r="DA197" i="15"/>
  <c r="FJ197" i="15"/>
  <c r="FO197" i="15"/>
  <c r="FQ197" i="15"/>
  <c r="FS197" i="15"/>
  <c r="FD197" i="15"/>
  <c r="GS197" i="15"/>
  <c r="FZ197" i="15" s="1"/>
  <c r="FE197" i="15"/>
  <c r="FF197" i="15"/>
  <c r="FG197" i="15"/>
  <c r="FH197" i="15"/>
  <c r="FP197" i="15"/>
  <c r="FI197" i="15"/>
  <c r="FK197" i="15"/>
  <c r="FL197" i="15"/>
  <c r="GR197" i="15"/>
  <c r="GP197" i="15" s="1"/>
  <c r="GO197" i="15" s="1"/>
  <c r="FW197" i="15"/>
  <c r="FN197" i="15"/>
  <c r="FR197" i="15"/>
  <c r="FV197" i="15"/>
  <c r="FX197" i="15"/>
  <c r="GT197" i="15"/>
  <c r="GU197" i="15"/>
  <c r="GV197" i="15"/>
  <c r="HZ197" i="15"/>
  <c r="FM198" i="15"/>
  <c r="CY198" i="15"/>
  <c r="CZ198" i="15"/>
  <c r="DA198" i="15"/>
  <c r="FJ198" i="15"/>
  <c r="FO198" i="15"/>
  <c r="FQ198" i="15"/>
  <c r="FS198" i="15"/>
  <c r="FD198" i="15"/>
  <c r="GS198" i="15"/>
  <c r="FZ198" i="15" s="1"/>
  <c r="FE198" i="15"/>
  <c r="FF198" i="15"/>
  <c r="FG198" i="15"/>
  <c r="FH198" i="15"/>
  <c r="FP198" i="15"/>
  <c r="FI198" i="15"/>
  <c r="FK198" i="15"/>
  <c r="FL198" i="15"/>
  <c r="GR198" i="15"/>
  <c r="GP198" i="15" s="1"/>
  <c r="GO198" i="15" s="1"/>
  <c r="FW198" i="15"/>
  <c r="FN198" i="15"/>
  <c r="FR198" i="15"/>
  <c r="FV198" i="15"/>
  <c r="FX198" i="15"/>
  <c r="GT198" i="15"/>
  <c r="GU198" i="15"/>
  <c r="GV198" i="15"/>
  <c r="HZ198" i="15"/>
  <c r="FM199" i="15"/>
  <c r="CY199" i="15"/>
  <c r="CZ199" i="15"/>
  <c r="DA199" i="15"/>
  <c r="FJ199" i="15"/>
  <c r="FO199" i="15"/>
  <c r="FQ199" i="15"/>
  <c r="FS199" i="15"/>
  <c r="FD199" i="15"/>
  <c r="GS199" i="15"/>
  <c r="FZ199" i="15" s="1"/>
  <c r="FE199" i="15"/>
  <c r="FF199" i="15"/>
  <c r="FG199" i="15"/>
  <c r="FH199" i="15"/>
  <c r="FP199" i="15"/>
  <c r="FI199" i="15"/>
  <c r="FK199" i="15"/>
  <c r="FL199" i="15"/>
  <c r="GR199" i="15"/>
  <c r="GP199" i="15" s="1"/>
  <c r="GO199" i="15" s="1"/>
  <c r="FW199" i="15"/>
  <c r="FN199" i="15"/>
  <c r="FR199" i="15"/>
  <c r="FV199" i="15"/>
  <c r="FX199" i="15"/>
  <c r="GT199" i="15"/>
  <c r="GU199" i="15"/>
  <c r="GV199" i="15"/>
  <c r="HZ199" i="15"/>
  <c r="FM200" i="15"/>
  <c r="CY200" i="15"/>
  <c r="CZ200" i="15"/>
  <c r="DA200" i="15"/>
  <c r="FJ200" i="15"/>
  <c r="FO200" i="15"/>
  <c r="FQ200" i="15"/>
  <c r="FS200" i="15"/>
  <c r="FD200" i="15"/>
  <c r="GS200" i="15"/>
  <c r="FZ200" i="15" s="1"/>
  <c r="FE200" i="15"/>
  <c r="FF200" i="15"/>
  <c r="FG200" i="15"/>
  <c r="FH200" i="15"/>
  <c r="FP200" i="15"/>
  <c r="FI200" i="15"/>
  <c r="FK200" i="15"/>
  <c r="FL200" i="15"/>
  <c r="GR200" i="15"/>
  <c r="GP200" i="15" s="1"/>
  <c r="GO200" i="15" s="1"/>
  <c r="FW200" i="15"/>
  <c r="FN200" i="15"/>
  <c r="FR200" i="15"/>
  <c r="FV200" i="15"/>
  <c r="FX200" i="15"/>
  <c r="GT200" i="15"/>
  <c r="GU200" i="15"/>
  <c r="GV200" i="15"/>
  <c r="HZ200" i="15"/>
  <c r="FM201" i="15"/>
  <c r="CY201" i="15"/>
  <c r="CZ201" i="15"/>
  <c r="DA201" i="15"/>
  <c r="FJ201" i="15"/>
  <c r="FO201" i="15"/>
  <c r="FQ201" i="15"/>
  <c r="FS201" i="15"/>
  <c r="FD201" i="15"/>
  <c r="GS201" i="15"/>
  <c r="FZ201" i="15" s="1"/>
  <c r="FE201" i="15"/>
  <c r="FF201" i="15"/>
  <c r="FG201" i="15"/>
  <c r="FH201" i="15"/>
  <c r="FP201" i="15"/>
  <c r="FI201" i="15"/>
  <c r="FK201" i="15"/>
  <c r="FL201" i="15"/>
  <c r="GR201" i="15"/>
  <c r="GP201" i="15" s="1"/>
  <c r="GO201" i="15" s="1"/>
  <c r="FW201" i="15"/>
  <c r="FN201" i="15"/>
  <c r="FR201" i="15"/>
  <c r="FV201" i="15"/>
  <c r="FX201" i="15"/>
  <c r="GT201" i="15"/>
  <c r="GU201" i="15"/>
  <c r="GV201" i="15"/>
  <c r="HZ201" i="15"/>
  <c r="FM202" i="15"/>
  <c r="CY202" i="15"/>
  <c r="CZ202" i="15"/>
  <c r="DA202" i="15"/>
  <c r="FJ202" i="15"/>
  <c r="FO202" i="15"/>
  <c r="FQ202" i="15"/>
  <c r="FS202" i="15"/>
  <c r="FD202" i="15"/>
  <c r="GS202" i="15"/>
  <c r="FZ202" i="15" s="1"/>
  <c r="FE202" i="15"/>
  <c r="FF202" i="15"/>
  <c r="FG202" i="15"/>
  <c r="FH202" i="15"/>
  <c r="FP202" i="15"/>
  <c r="FI202" i="15"/>
  <c r="FK202" i="15"/>
  <c r="FL202" i="15"/>
  <c r="GR202" i="15"/>
  <c r="GP202" i="15" s="1"/>
  <c r="GO202" i="15" s="1"/>
  <c r="FW202" i="15"/>
  <c r="FN202" i="15"/>
  <c r="FR202" i="15"/>
  <c r="FV202" i="15"/>
  <c r="FX202" i="15"/>
  <c r="GT202" i="15"/>
  <c r="GU202" i="15"/>
  <c r="GV202" i="15"/>
  <c r="HZ202" i="15"/>
  <c r="FM203" i="15"/>
  <c r="CY203" i="15"/>
  <c r="CZ203" i="15"/>
  <c r="DA203" i="15"/>
  <c r="FJ203" i="15"/>
  <c r="FO203" i="15"/>
  <c r="FQ203" i="15"/>
  <c r="FS203" i="15"/>
  <c r="FD203" i="15"/>
  <c r="GS203" i="15"/>
  <c r="FZ203" i="15" s="1"/>
  <c r="FE203" i="15"/>
  <c r="FF203" i="15"/>
  <c r="FG203" i="15"/>
  <c r="FH203" i="15"/>
  <c r="FP203" i="15"/>
  <c r="FI203" i="15"/>
  <c r="FK203" i="15"/>
  <c r="FL203" i="15"/>
  <c r="GR203" i="15"/>
  <c r="GP203" i="15" s="1"/>
  <c r="GO203" i="15" s="1"/>
  <c r="FW203" i="15"/>
  <c r="FN203" i="15"/>
  <c r="FR203" i="15"/>
  <c r="FV203" i="15"/>
  <c r="FX203" i="15"/>
  <c r="GT203" i="15"/>
  <c r="GU203" i="15"/>
  <c r="GV203" i="15"/>
  <c r="HZ203" i="15"/>
  <c r="FM204" i="15"/>
  <c r="CY204" i="15"/>
  <c r="CZ204" i="15"/>
  <c r="DA204" i="15"/>
  <c r="FJ204" i="15"/>
  <c r="FO204" i="15"/>
  <c r="FQ204" i="15"/>
  <c r="FS204" i="15"/>
  <c r="FD204" i="15"/>
  <c r="GS204" i="15"/>
  <c r="FZ204" i="15" s="1"/>
  <c r="FE204" i="15"/>
  <c r="FF204" i="15"/>
  <c r="FG204" i="15"/>
  <c r="FH204" i="15"/>
  <c r="FP204" i="15"/>
  <c r="FI204" i="15"/>
  <c r="FK204" i="15"/>
  <c r="FL204" i="15"/>
  <c r="GR204" i="15"/>
  <c r="GP204" i="15" s="1"/>
  <c r="GO204" i="15" s="1"/>
  <c r="FW204" i="15"/>
  <c r="FN204" i="15"/>
  <c r="FR204" i="15"/>
  <c r="FV204" i="15"/>
  <c r="FX204" i="15"/>
  <c r="GT204" i="15"/>
  <c r="GU204" i="15"/>
  <c r="GV204" i="15"/>
  <c r="HZ204" i="15"/>
  <c r="FM205" i="15"/>
  <c r="CY205" i="15"/>
  <c r="CZ205" i="15"/>
  <c r="DA205" i="15"/>
  <c r="FJ205" i="15"/>
  <c r="FO205" i="15"/>
  <c r="FQ205" i="15"/>
  <c r="FS205" i="15"/>
  <c r="FD205" i="15"/>
  <c r="GS205" i="15"/>
  <c r="FZ205" i="15" s="1"/>
  <c r="FE205" i="15"/>
  <c r="FF205" i="15"/>
  <c r="FG205" i="15"/>
  <c r="FH205" i="15"/>
  <c r="FP205" i="15"/>
  <c r="FI205" i="15"/>
  <c r="FK205" i="15"/>
  <c r="FL205" i="15"/>
  <c r="GR205" i="15"/>
  <c r="GP205" i="15" s="1"/>
  <c r="GO205" i="15" s="1"/>
  <c r="FW205" i="15"/>
  <c r="FN205" i="15"/>
  <c r="FR205" i="15"/>
  <c r="FV205" i="15"/>
  <c r="FX205" i="15"/>
  <c r="GT205" i="15"/>
  <c r="GU205" i="15"/>
  <c r="GV205" i="15"/>
  <c r="HZ205" i="15"/>
  <c r="FM206" i="15"/>
  <c r="CY206" i="15"/>
  <c r="CZ206" i="15"/>
  <c r="DA206" i="15"/>
  <c r="FJ206" i="15"/>
  <c r="FO206" i="15"/>
  <c r="FQ206" i="15"/>
  <c r="FS206" i="15"/>
  <c r="FD206" i="15"/>
  <c r="GS206" i="15"/>
  <c r="FZ206" i="15" s="1"/>
  <c r="FE206" i="15"/>
  <c r="FF206" i="15"/>
  <c r="FG206" i="15"/>
  <c r="FH206" i="15"/>
  <c r="FP206" i="15"/>
  <c r="FI206" i="15"/>
  <c r="FK206" i="15"/>
  <c r="FL206" i="15"/>
  <c r="GR206" i="15"/>
  <c r="GP206" i="15" s="1"/>
  <c r="GO206" i="15" s="1"/>
  <c r="FW206" i="15"/>
  <c r="FN206" i="15"/>
  <c r="FR206" i="15"/>
  <c r="FV206" i="15"/>
  <c r="FX206" i="15"/>
  <c r="GT206" i="15"/>
  <c r="GU206" i="15"/>
  <c r="GV206" i="15"/>
  <c r="HZ206" i="15"/>
  <c r="FM207" i="15"/>
  <c r="CY207" i="15"/>
  <c r="CZ207" i="15"/>
  <c r="DA207" i="15"/>
  <c r="FJ207" i="15"/>
  <c r="FO207" i="15"/>
  <c r="FQ207" i="15"/>
  <c r="FS207" i="15"/>
  <c r="FD207" i="15"/>
  <c r="GS207" i="15"/>
  <c r="FZ207" i="15" s="1"/>
  <c r="FE207" i="15"/>
  <c r="FF207" i="15"/>
  <c r="FG207" i="15"/>
  <c r="FH207" i="15"/>
  <c r="FP207" i="15"/>
  <c r="FI207" i="15"/>
  <c r="FK207" i="15"/>
  <c r="FL207" i="15"/>
  <c r="GR207" i="15"/>
  <c r="GP207" i="15" s="1"/>
  <c r="GO207" i="15" s="1"/>
  <c r="FW207" i="15"/>
  <c r="FN207" i="15"/>
  <c r="FR207" i="15"/>
  <c r="FV207" i="15"/>
  <c r="FX207" i="15"/>
  <c r="GT207" i="15"/>
  <c r="GU207" i="15"/>
  <c r="GV207" i="15"/>
  <c r="HZ207" i="15"/>
  <c r="FM208" i="15"/>
  <c r="CY208" i="15"/>
  <c r="CZ208" i="15"/>
  <c r="DA208" i="15"/>
  <c r="FJ208" i="15"/>
  <c r="FO208" i="15"/>
  <c r="FQ208" i="15"/>
  <c r="FS208" i="15"/>
  <c r="FD208" i="15"/>
  <c r="GS208" i="15"/>
  <c r="FZ208" i="15" s="1"/>
  <c r="FE208" i="15"/>
  <c r="FF208" i="15"/>
  <c r="FG208" i="15"/>
  <c r="FH208" i="15"/>
  <c r="FP208" i="15"/>
  <c r="FI208" i="15"/>
  <c r="FK208" i="15"/>
  <c r="FL208" i="15"/>
  <c r="GR208" i="15"/>
  <c r="GP208" i="15" s="1"/>
  <c r="GO208" i="15" s="1"/>
  <c r="FW208" i="15"/>
  <c r="FN208" i="15"/>
  <c r="FR208" i="15"/>
  <c r="FV208" i="15"/>
  <c r="FX208" i="15"/>
  <c r="GT208" i="15"/>
  <c r="GU208" i="15"/>
  <c r="GV208" i="15"/>
  <c r="HZ208" i="15"/>
  <c r="FM209" i="15"/>
  <c r="CY209" i="15"/>
  <c r="CZ209" i="15"/>
  <c r="DA209" i="15"/>
  <c r="FJ209" i="15"/>
  <c r="FO209" i="15"/>
  <c r="FQ209" i="15"/>
  <c r="FS209" i="15"/>
  <c r="FD209" i="15"/>
  <c r="GS209" i="15"/>
  <c r="FZ209" i="15" s="1"/>
  <c r="FE209" i="15"/>
  <c r="FF209" i="15"/>
  <c r="FG209" i="15"/>
  <c r="FH209" i="15"/>
  <c r="FP209" i="15"/>
  <c r="FI209" i="15"/>
  <c r="FK209" i="15"/>
  <c r="FL209" i="15"/>
  <c r="GR209" i="15"/>
  <c r="GP209" i="15" s="1"/>
  <c r="GO209" i="15" s="1"/>
  <c r="FW209" i="15"/>
  <c r="FN209" i="15"/>
  <c r="FR209" i="15"/>
  <c r="FV209" i="15"/>
  <c r="FX209" i="15"/>
  <c r="GT209" i="15"/>
  <c r="GU209" i="15"/>
  <c r="GV209" i="15"/>
  <c r="HZ209" i="15"/>
  <c r="FM210" i="15"/>
  <c r="CY210" i="15"/>
  <c r="CZ210" i="15"/>
  <c r="DA210" i="15"/>
  <c r="FJ210" i="15"/>
  <c r="FO210" i="15"/>
  <c r="FQ210" i="15"/>
  <c r="FS210" i="15"/>
  <c r="FD210" i="15"/>
  <c r="GS210" i="15"/>
  <c r="FZ210" i="15" s="1"/>
  <c r="FE210" i="15"/>
  <c r="FF210" i="15"/>
  <c r="FG210" i="15"/>
  <c r="FH210" i="15"/>
  <c r="FP210" i="15"/>
  <c r="FI210" i="15"/>
  <c r="FK210" i="15"/>
  <c r="FL210" i="15"/>
  <c r="GR210" i="15"/>
  <c r="GP210" i="15" s="1"/>
  <c r="GO210" i="15" s="1"/>
  <c r="FW210" i="15"/>
  <c r="FN210" i="15"/>
  <c r="FR210" i="15"/>
  <c r="FV210" i="15"/>
  <c r="FX210" i="15"/>
  <c r="GT210" i="15"/>
  <c r="GU210" i="15"/>
  <c r="GV210" i="15"/>
  <c r="HZ210" i="15"/>
  <c r="FM211" i="15"/>
  <c r="CY211" i="15"/>
  <c r="CZ211" i="15"/>
  <c r="DA211" i="15"/>
  <c r="FJ211" i="15"/>
  <c r="FO211" i="15"/>
  <c r="FQ211" i="15"/>
  <c r="FS211" i="15"/>
  <c r="FD211" i="15"/>
  <c r="GS211" i="15"/>
  <c r="FZ211" i="15" s="1"/>
  <c r="FE211" i="15"/>
  <c r="FF211" i="15"/>
  <c r="FG211" i="15"/>
  <c r="FH211" i="15"/>
  <c r="FP211" i="15"/>
  <c r="FI211" i="15"/>
  <c r="FK211" i="15"/>
  <c r="FL211" i="15"/>
  <c r="GR211" i="15"/>
  <c r="GP211" i="15" s="1"/>
  <c r="GO211" i="15" s="1"/>
  <c r="FW211" i="15"/>
  <c r="FN211" i="15"/>
  <c r="FR211" i="15"/>
  <c r="FV211" i="15"/>
  <c r="FX211" i="15"/>
  <c r="GT211" i="15"/>
  <c r="GU211" i="15"/>
  <c r="GV211" i="15"/>
  <c r="HZ211" i="15"/>
  <c r="FM212" i="15"/>
  <c r="CY212" i="15"/>
  <c r="CZ212" i="15"/>
  <c r="DA212" i="15"/>
  <c r="FJ212" i="15"/>
  <c r="FO212" i="15"/>
  <c r="FQ212" i="15"/>
  <c r="FS212" i="15"/>
  <c r="FD212" i="15"/>
  <c r="GS212" i="15"/>
  <c r="FZ212" i="15" s="1"/>
  <c r="FE212" i="15"/>
  <c r="FF212" i="15"/>
  <c r="FG212" i="15"/>
  <c r="FH212" i="15"/>
  <c r="FP212" i="15"/>
  <c r="FI212" i="15"/>
  <c r="FK212" i="15"/>
  <c r="FL212" i="15"/>
  <c r="GR212" i="15"/>
  <c r="GP212" i="15" s="1"/>
  <c r="GO212" i="15" s="1"/>
  <c r="FW212" i="15"/>
  <c r="FN212" i="15"/>
  <c r="FR212" i="15"/>
  <c r="FV212" i="15"/>
  <c r="FX212" i="15"/>
  <c r="GT212" i="15"/>
  <c r="GU212" i="15"/>
  <c r="GV212" i="15"/>
  <c r="HZ212" i="15"/>
  <c r="FM213" i="15"/>
  <c r="CY213" i="15"/>
  <c r="CZ213" i="15"/>
  <c r="DA213" i="15"/>
  <c r="FJ213" i="15"/>
  <c r="FO213" i="15"/>
  <c r="FQ213" i="15"/>
  <c r="FS213" i="15"/>
  <c r="FD213" i="15"/>
  <c r="GS213" i="15"/>
  <c r="FZ213" i="15" s="1"/>
  <c r="FE213" i="15"/>
  <c r="FF213" i="15"/>
  <c r="FG213" i="15"/>
  <c r="FH213" i="15"/>
  <c r="FP213" i="15"/>
  <c r="FI213" i="15"/>
  <c r="FK213" i="15"/>
  <c r="FL213" i="15"/>
  <c r="GR213" i="15"/>
  <c r="GP213" i="15" s="1"/>
  <c r="GO213" i="15" s="1"/>
  <c r="FW213" i="15"/>
  <c r="FN213" i="15"/>
  <c r="FR213" i="15"/>
  <c r="FV213" i="15"/>
  <c r="FX213" i="15"/>
  <c r="GT213" i="15"/>
  <c r="GU213" i="15"/>
  <c r="GV213" i="15"/>
  <c r="HZ213" i="15"/>
  <c r="FM214" i="15"/>
  <c r="CY214" i="15"/>
  <c r="CZ214" i="15"/>
  <c r="DA214" i="15"/>
  <c r="FJ214" i="15"/>
  <c r="FO214" i="15"/>
  <c r="FQ214" i="15"/>
  <c r="FS214" i="15"/>
  <c r="FD214" i="15"/>
  <c r="GS214" i="15"/>
  <c r="FZ214" i="15" s="1"/>
  <c r="FE214" i="15"/>
  <c r="FF214" i="15"/>
  <c r="FG214" i="15"/>
  <c r="FH214" i="15"/>
  <c r="FP214" i="15"/>
  <c r="FI214" i="15"/>
  <c r="FK214" i="15"/>
  <c r="FL214" i="15"/>
  <c r="GR214" i="15"/>
  <c r="GP214" i="15" s="1"/>
  <c r="GO214" i="15" s="1"/>
  <c r="FW214" i="15"/>
  <c r="FN214" i="15"/>
  <c r="FR214" i="15"/>
  <c r="FV214" i="15"/>
  <c r="FX214" i="15"/>
  <c r="GT214" i="15"/>
  <c r="GU214" i="15"/>
  <c r="GV214" i="15"/>
  <c r="HZ214" i="15"/>
  <c r="FM215" i="15"/>
  <c r="CY215" i="15"/>
  <c r="CZ215" i="15"/>
  <c r="DA215" i="15"/>
  <c r="FJ215" i="15"/>
  <c r="FO215" i="15"/>
  <c r="FQ215" i="15"/>
  <c r="FS215" i="15"/>
  <c r="FD215" i="15"/>
  <c r="GS215" i="15"/>
  <c r="FZ215" i="15" s="1"/>
  <c r="FE215" i="15"/>
  <c r="FF215" i="15"/>
  <c r="FG215" i="15"/>
  <c r="FH215" i="15"/>
  <c r="FP215" i="15"/>
  <c r="FI215" i="15"/>
  <c r="FK215" i="15"/>
  <c r="FL215" i="15"/>
  <c r="GR215" i="15"/>
  <c r="GP215" i="15" s="1"/>
  <c r="GO215" i="15" s="1"/>
  <c r="FW215" i="15"/>
  <c r="FN215" i="15"/>
  <c r="FR215" i="15"/>
  <c r="FV215" i="15"/>
  <c r="FX215" i="15"/>
  <c r="GT215" i="15"/>
  <c r="GU215" i="15"/>
  <c r="GV215" i="15"/>
  <c r="HZ215" i="15"/>
  <c r="FM216" i="15"/>
  <c r="CY216" i="15"/>
  <c r="CZ216" i="15"/>
  <c r="DA216" i="15"/>
  <c r="FJ216" i="15"/>
  <c r="FO216" i="15"/>
  <c r="FQ216" i="15"/>
  <c r="FS216" i="15"/>
  <c r="FD216" i="15"/>
  <c r="GS216" i="15"/>
  <c r="FZ216" i="15" s="1"/>
  <c r="FE216" i="15"/>
  <c r="FF216" i="15"/>
  <c r="FG216" i="15"/>
  <c r="FH216" i="15"/>
  <c r="FP216" i="15"/>
  <c r="FI216" i="15"/>
  <c r="FK216" i="15"/>
  <c r="FL216" i="15"/>
  <c r="GR216" i="15"/>
  <c r="GP216" i="15" s="1"/>
  <c r="GO216" i="15" s="1"/>
  <c r="FW216" i="15"/>
  <c r="FN216" i="15"/>
  <c r="FR216" i="15"/>
  <c r="FV216" i="15"/>
  <c r="FX216" i="15"/>
  <c r="GT216" i="15"/>
  <c r="GU216" i="15"/>
  <c r="GV216" i="15"/>
  <c r="HZ216" i="15"/>
  <c r="FM217" i="15"/>
  <c r="CY217" i="15"/>
  <c r="CZ217" i="15"/>
  <c r="DA217" i="15"/>
  <c r="FJ217" i="15"/>
  <c r="FO217" i="15"/>
  <c r="FQ217" i="15"/>
  <c r="FS217" i="15"/>
  <c r="FD217" i="15"/>
  <c r="GS217" i="15"/>
  <c r="FZ217" i="15" s="1"/>
  <c r="FE217" i="15"/>
  <c r="FF217" i="15"/>
  <c r="FG217" i="15"/>
  <c r="FH217" i="15"/>
  <c r="FP217" i="15"/>
  <c r="FI217" i="15"/>
  <c r="FK217" i="15"/>
  <c r="FL217" i="15"/>
  <c r="GR217" i="15"/>
  <c r="GP217" i="15" s="1"/>
  <c r="GO217" i="15" s="1"/>
  <c r="FW217" i="15"/>
  <c r="FN217" i="15"/>
  <c r="FR217" i="15"/>
  <c r="FV217" i="15"/>
  <c r="FX217" i="15"/>
  <c r="GT217" i="15"/>
  <c r="GU217" i="15"/>
  <c r="GV217" i="15"/>
  <c r="HZ217" i="15"/>
  <c r="FM218" i="15"/>
  <c r="CY218" i="15"/>
  <c r="CZ218" i="15"/>
  <c r="DA218" i="15"/>
  <c r="FJ218" i="15"/>
  <c r="FO218" i="15"/>
  <c r="FQ218" i="15"/>
  <c r="FS218" i="15"/>
  <c r="FD218" i="15"/>
  <c r="GS218" i="15"/>
  <c r="FZ218" i="15" s="1"/>
  <c r="FE218" i="15"/>
  <c r="FF218" i="15"/>
  <c r="FG218" i="15"/>
  <c r="FH218" i="15"/>
  <c r="FP218" i="15"/>
  <c r="FI218" i="15"/>
  <c r="FK218" i="15"/>
  <c r="FL218" i="15"/>
  <c r="GR218" i="15"/>
  <c r="GP218" i="15" s="1"/>
  <c r="GO218" i="15" s="1"/>
  <c r="FW218" i="15"/>
  <c r="FN218" i="15"/>
  <c r="FR218" i="15"/>
  <c r="FV218" i="15"/>
  <c r="FX218" i="15"/>
  <c r="GT218" i="15"/>
  <c r="GU218" i="15"/>
  <c r="GV218" i="15"/>
  <c r="HZ218" i="15"/>
  <c r="FM219" i="15"/>
  <c r="CY219" i="15"/>
  <c r="CZ219" i="15"/>
  <c r="DA219" i="15"/>
  <c r="FJ219" i="15"/>
  <c r="FO219" i="15"/>
  <c r="FQ219" i="15"/>
  <c r="FS219" i="15"/>
  <c r="FD219" i="15"/>
  <c r="GS219" i="15"/>
  <c r="FZ219" i="15" s="1"/>
  <c r="FE219" i="15"/>
  <c r="FF219" i="15"/>
  <c r="FG219" i="15"/>
  <c r="FH219" i="15"/>
  <c r="FP219" i="15"/>
  <c r="FI219" i="15"/>
  <c r="FK219" i="15"/>
  <c r="FL219" i="15"/>
  <c r="GR219" i="15"/>
  <c r="GP219" i="15" s="1"/>
  <c r="GO219" i="15" s="1"/>
  <c r="FW219" i="15"/>
  <c r="FN219" i="15"/>
  <c r="FR219" i="15"/>
  <c r="FV219" i="15"/>
  <c r="FX219" i="15"/>
  <c r="GT219" i="15"/>
  <c r="GU219" i="15"/>
  <c r="GV219" i="15"/>
  <c r="HZ219" i="15"/>
  <c r="FM220" i="15"/>
  <c r="CY220" i="15"/>
  <c r="CZ220" i="15"/>
  <c r="DA220" i="15"/>
  <c r="FJ220" i="15"/>
  <c r="FO220" i="15"/>
  <c r="FQ220" i="15"/>
  <c r="FS220" i="15"/>
  <c r="FD220" i="15"/>
  <c r="GS220" i="15"/>
  <c r="FZ220" i="15" s="1"/>
  <c r="FE220" i="15"/>
  <c r="FF220" i="15"/>
  <c r="FG220" i="15"/>
  <c r="FH220" i="15"/>
  <c r="FP220" i="15"/>
  <c r="FI220" i="15"/>
  <c r="FK220" i="15"/>
  <c r="FL220" i="15"/>
  <c r="GR220" i="15"/>
  <c r="GP220" i="15" s="1"/>
  <c r="GO220" i="15" s="1"/>
  <c r="FW220" i="15"/>
  <c r="FN220" i="15"/>
  <c r="FR220" i="15"/>
  <c r="FV220" i="15"/>
  <c r="FX220" i="15"/>
  <c r="GT220" i="15"/>
  <c r="GU220" i="15"/>
  <c r="GV220" i="15"/>
  <c r="HZ220" i="15"/>
  <c r="FM221" i="15"/>
  <c r="CY221" i="15"/>
  <c r="CZ221" i="15"/>
  <c r="DA221" i="15"/>
  <c r="FJ221" i="15"/>
  <c r="FO221" i="15"/>
  <c r="FQ221" i="15"/>
  <c r="FS221" i="15"/>
  <c r="FD221" i="15"/>
  <c r="GS221" i="15"/>
  <c r="FZ221" i="15" s="1"/>
  <c r="FE221" i="15"/>
  <c r="FF221" i="15"/>
  <c r="FG221" i="15"/>
  <c r="FH221" i="15"/>
  <c r="FP221" i="15"/>
  <c r="FI221" i="15"/>
  <c r="FK221" i="15"/>
  <c r="FL221" i="15"/>
  <c r="GR221" i="15"/>
  <c r="GP221" i="15" s="1"/>
  <c r="GO221" i="15" s="1"/>
  <c r="FW221" i="15"/>
  <c r="FN221" i="15"/>
  <c r="FR221" i="15"/>
  <c r="FV221" i="15"/>
  <c r="FX221" i="15"/>
  <c r="GT221" i="15"/>
  <c r="GU221" i="15"/>
  <c r="GV221" i="15"/>
  <c r="HZ221" i="15"/>
  <c r="FM222" i="15"/>
  <c r="CY222" i="15"/>
  <c r="CZ222" i="15"/>
  <c r="DA222" i="15"/>
  <c r="FJ222" i="15"/>
  <c r="FO222" i="15"/>
  <c r="FQ222" i="15"/>
  <c r="FS222" i="15"/>
  <c r="FD222" i="15"/>
  <c r="GS222" i="15"/>
  <c r="FZ222" i="15" s="1"/>
  <c r="FE222" i="15"/>
  <c r="FF222" i="15"/>
  <c r="FG222" i="15"/>
  <c r="FH222" i="15"/>
  <c r="FP222" i="15"/>
  <c r="FI222" i="15"/>
  <c r="FK222" i="15"/>
  <c r="FL222" i="15"/>
  <c r="GR222" i="15"/>
  <c r="GP222" i="15" s="1"/>
  <c r="GO222" i="15" s="1"/>
  <c r="FW222" i="15"/>
  <c r="FN222" i="15"/>
  <c r="FR222" i="15"/>
  <c r="FV222" i="15"/>
  <c r="FX222" i="15"/>
  <c r="GT222" i="15"/>
  <c r="GU222" i="15"/>
  <c r="GV222" i="15"/>
  <c r="HZ222" i="15"/>
  <c r="FM223" i="15"/>
  <c r="CY223" i="15"/>
  <c r="CZ223" i="15"/>
  <c r="DA223" i="15"/>
  <c r="FJ223" i="15"/>
  <c r="FO223" i="15"/>
  <c r="FQ223" i="15"/>
  <c r="FS223" i="15"/>
  <c r="FD223" i="15"/>
  <c r="GS223" i="15"/>
  <c r="FZ223" i="15" s="1"/>
  <c r="FE223" i="15"/>
  <c r="FF223" i="15"/>
  <c r="FG223" i="15"/>
  <c r="FH223" i="15"/>
  <c r="FP223" i="15"/>
  <c r="FI223" i="15"/>
  <c r="FK223" i="15"/>
  <c r="FL223" i="15"/>
  <c r="GR223" i="15"/>
  <c r="GP223" i="15" s="1"/>
  <c r="GO223" i="15" s="1"/>
  <c r="FW223" i="15"/>
  <c r="FN223" i="15"/>
  <c r="FR223" i="15"/>
  <c r="FV223" i="15"/>
  <c r="FX223" i="15"/>
  <c r="GT223" i="15"/>
  <c r="GU223" i="15"/>
  <c r="GV223" i="15"/>
  <c r="HZ223" i="15"/>
  <c r="FM224" i="15"/>
  <c r="CY224" i="15"/>
  <c r="CZ224" i="15"/>
  <c r="DA224" i="15"/>
  <c r="FJ224" i="15"/>
  <c r="FO224" i="15"/>
  <c r="FQ224" i="15"/>
  <c r="FS224" i="15"/>
  <c r="FD224" i="15"/>
  <c r="GS224" i="15"/>
  <c r="FZ224" i="15" s="1"/>
  <c r="FE224" i="15"/>
  <c r="FF224" i="15"/>
  <c r="FG224" i="15"/>
  <c r="FH224" i="15"/>
  <c r="FP224" i="15"/>
  <c r="FI224" i="15"/>
  <c r="FK224" i="15"/>
  <c r="FL224" i="15"/>
  <c r="GR224" i="15"/>
  <c r="GP224" i="15" s="1"/>
  <c r="GO224" i="15" s="1"/>
  <c r="FW224" i="15"/>
  <c r="FN224" i="15"/>
  <c r="FR224" i="15"/>
  <c r="FV224" i="15"/>
  <c r="FX224" i="15"/>
  <c r="GT224" i="15"/>
  <c r="GU224" i="15"/>
  <c r="GV224" i="15"/>
  <c r="HZ224" i="15"/>
  <c r="FM225" i="15"/>
  <c r="CY225" i="15"/>
  <c r="CZ225" i="15"/>
  <c r="DA225" i="15"/>
  <c r="FJ225" i="15"/>
  <c r="FO225" i="15"/>
  <c r="FQ225" i="15"/>
  <c r="FS225" i="15"/>
  <c r="FD225" i="15"/>
  <c r="GS225" i="15"/>
  <c r="FZ225" i="15" s="1"/>
  <c r="FE225" i="15"/>
  <c r="FF225" i="15"/>
  <c r="FG225" i="15"/>
  <c r="FH225" i="15"/>
  <c r="FP225" i="15"/>
  <c r="FI225" i="15"/>
  <c r="FK225" i="15"/>
  <c r="FL225" i="15"/>
  <c r="GR225" i="15"/>
  <c r="GP225" i="15" s="1"/>
  <c r="GO225" i="15" s="1"/>
  <c r="FW225" i="15"/>
  <c r="FN225" i="15"/>
  <c r="FR225" i="15"/>
  <c r="FV225" i="15"/>
  <c r="FX225" i="15"/>
  <c r="GT225" i="15"/>
  <c r="GU225" i="15"/>
  <c r="GV225" i="15"/>
  <c r="HZ225" i="15"/>
  <c r="FM226" i="15"/>
  <c r="CY226" i="15"/>
  <c r="CZ226" i="15"/>
  <c r="DA226" i="15"/>
  <c r="FJ226" i="15"/>
  <c r="FO226" i="15"/>
  <c r="FQ226" i="15"/>
  <c r="FS226" i="15"/>
  <c r="FD226" i="15"/>
  <c r="GS226" i="15"/>
  <c r="FZ226" i="15" s="1"/>
  <c r="FE226" i="15"/>
  <c r="FF226" i="15"/>
  <c r="FG226" i="15"/>
  <c r="FH226" i="15"/>
  <c r="FP226" i="15"/>
  <c r="FI226" i="15"/>
  <c r="FK226" i="15"/>
  <c r="FL226" i="15"/>
  <c r="GR226" i="15"/>
  <c r="GP226" i="15" s="1"/>
  <c r="GO226" i="15" s="1"/>
  <c r="FW226" i="15"/>
  <c r="FN226" i="15"/>
  <c r="FR226" i="15"/>
  <c r="FV226" i="15"/>
  <c r="FX226" i="15"/>
  <c r="GT226" i="15"/>
  <c r="GU226" i="15"/>
  <c r="GV226" i="15"/>
  <c r="HZ226" i="15"/>
  <c r="FM227" i="15"/>
  <c r="CY227" i="15"/>
  <c r="CZ227" i="15"/>
  <c r="DA227" i="15"/>
  <c r="FJ227" i="15"/>
  <c r="FO227" i="15"/>
  <c r="FQ227" i="15"/>
  <c r="FS227" i="15"/>
  <c r="FD227" i="15"/>
  <c r="GS227" i="15"/>
  <c r="FZ227" i="15" s="1"/>
  <c r="FE227" i="15"/>
  <c r="FF227" i="15"/>
  <c r="FG227" i="15"/>
  <c r="FH227" i="15"/>
  <c r="FP227" i="15"/>
  <c r="FI227" i="15"/>
  <c r="FK227" i="15"/>
  <c r="FL227" i="15"/>
  <c r="GR227" i="15"/>
  <c r="GP227" i="15" s="1"/>
  <c r="GO227" i="15" s="1"/>
  <c r="FW227" i="15"/>
  <c r="FN227" i="15"/>
  <c r="FR227" i="15"/>
  <c r="FV227" i="15"/>
  <c r="FX227" i="15"/>
  <c r="GT227" i="15"/>
  <c r="GU227" i="15"/>
  <c r="GV227" i="15"/>
  <c r="HZ227" i="15"/>
  <c r="FM228" i="15"/>
  <c r="CY228" i="15"/>
  <c r="CZ228" i="15"/>
  <c r="DA228" i="15"/>
  <c r="FJ228" i="15"/>
  <c r="FO228" i="15"/>
  <c r="FQ228" i="15"/>
  <c r="FS228" i="15"/>
  <c r="FD228" i="15"/>
  <c r="GS228" i="15"/>
  <c r="FZ228" i="15" s="1"/>
  <c r="FE228" i="15"/>
  <c r="FF228" i="15"/>
  <c r="FG228" i="15"/>
  <c r="FH228" i="15"/>
  <c r="FP228" i="15"/>
  <c r="FI228" i="15"/>
  <c r="FK228" i="15"/>
  <c r="FL228" i="15"/>
  <c r="GR228" i="15"/>
  <c r="GP228" i="15" s="1"/>
  <c r="GO228" i="15" s="1"/>
  <c r="FW228" i="15"/>
  <c r="FN228" i="15"/>
  <c r="FR228" i="15"/>
  <c r="FV228" i="15"/>
  <c r="FX228" i="15"/>
  <c r="GT228" i="15"/>
  <c r="GU228" i="15"/>
  <c r="GV228" i="15"/>
  <c r="HZ228" i="15"/>
  <c r="FM229" i="15"/>
  <c r="CY229" i="15"/>
  <c r="CZ229" i="15"/>
  <c r="DA229" i="15"/>
  <c r="FJ229" i="15"/>
  <c r="FO229" i="15"/>
  <c r="FQ229" i="15"/>
  <c r="FS229" i="15"/>
  <c r="FD229" i="15"/>
  <c r="GS229" i="15"/>
  <c r="FZ229" i="15" s="1"/>
  <c r="FE229" i="15"/>
  <c r="FF229" i="15"/>
  <c r="FG229" i="15"/>
  <c r="FH229" i="15"/>
  <c r="FP229" i="15"/>
  <c r="FI229" i="15"/>
  <c r="FK229" i="15"/>
  <c r="FL229" i="15"/>
  <c r="GR229" i="15"/>
  <c r="GP229" i="15" s="1"/>
  <c r="GO229" i="15" s="1"/>
  <c r="FW229" i="15"/>
  <c r="FN229" i="15"/>
  <c r="FR229" i="15"/>
  <c r="FV229" i="15"/>
  <c r="FX229" i="15"/>
  <c r="GT229" i="15"/>
  <c r="GU229" i="15"/>
  <c r="GV229" i="15"/>
  <c r="HZ229" i="15"/>
  <c r="FM230" i="15"/>
  <c r="CY230" i="15"/>
  <c r="CZ230" i="15"/>
  <c r="DA230" i="15"/>
  <c r="FJ230" i="15"/>
  <c r="FO230" i="15"/>
  <c r="FQ230" i="15"/>
  <c r="FS230" i="15"/>
  <c r="FD230" i="15"/>
  <c r="GS230" i="15"/>
  <c r="FZ230" i="15" s="1"/>
  <c r="FE230" i="15"/>
  <c r="FF230" i="15"/>
  <c r="FG230" i="15"/>
  <c r="FH230" i="15"/>
  <c r="FP230" i="15"/>
  <c r="FI230" i="15"/>
  <c r="FK230" i="15"/>
  <c r="FL230" i="15"/>
  <c r="GR230" i="15"/>
  <c r="GP230" i="15" s="1"/>
  <c r="GO230" i="15" s="1"/>
  <c r="FW230" i="15"/>
  <c r="FN230" i="15"/>
  <c r="FR230" i="15"/>
  <c r="FV230" i="15"/>
  <c r="FX230" i="15"/>
  <c r="GT230" i="15"/>
  <c r="GU230" i="15"/>
  <c r="GV230" i="15"/>
  <c r="HZ230" i="15"/>
  <c r="FM231" i="15"/>
  <c r="CY231" i="15"/>
  <c r="CZ231" i="15"/>
  <c r="DA231" i="15"/>
  <c r="FJ231" i="15"/>
  <c r="FO231" i="15"/>
  <c r="FQ231" i="15"/>
  <c r="FS231" i="15"/>
  <c r="FD231" i="15"/>
  <c r="GS231" i="15"/>
  <c r="FZ231" i="15" s="1"/>
  <c r="FE231" i="15"/>
  <c r="FF231" i="15"/>
  <c r="FG231" i="15"/>
  <c r="FH231" i="15"/>
  <c r="FP231" i="15"/>
  <c r="FI231" i="15"/>
  <c r="FK231" i="15"/>
  <c r="FL231" i="15"/>
  <c r="GR231" i="15"/>
  <c r="GP231" i="15" s="1"/>
  <c r="GO231" i="15" s="1"/>
  <c r="FW231" i="15"/>
  <c r="FN231" i="15"/>
  <c r="FR231" i="15"/>
  <c r="FV231" i="15"/>
  <c r="FX231" i="15"/>
  <c r="GT231" i="15"/>
  <c r="GU231" i="15"/>
  <c r="GV231" i="15"/>
  <c r="HZ231" i="15"/>
  <c r="FM232" i="15"/>
  <c r="CY232" i="15"/>
  <c r="CZ232" i="15"/>
  <c r="DA232" i="15"/>
  <c r="FJ232" i="15"/>
  <c r="FO232" i="15"/>
  <c r="FQ232" i="15"/>
  <c r="FS232" i="15"/>
  <c r="FD232" i="15"/>
  <c r="GS232" i="15"/>
  <c r="FZ232" i="15" s="1"/>
  <c r="FE232" i="15"/>
  <c r="FF232" i="15"/>
  <c r="FG232" i="15"/>
  <c r="FH232" i="15"/>
  <c r="FP232" i="15"/>
  <c r="FI232" i="15"/>
  <c r="FK232" i="15"/>
  <c r="FL232" i="15"/>
  <c r="GR232" i="15"/>
  <c r="GP232" i="15" s="1"/>
  <c r="GO232" i="15" s="1"/>
  <c r="FW232" i="15"/>
  <c r="FN232" i="15"/>
  <c r="FR232" i="15"/>
  <c r="FV232" i="15"/>
  <c r="FX232" i="15"/>
  <c r="GT232" i="15"/>
  <c r="GU232" i="15"/>
  <c r="GV232" i="15"/>
  <c r="HZ232" i="15"/>
  <c r="FM233" i="15"/>
  <c r="CY233" i="15"/>
  <c r="CZ233" i="15"/>
  <c r="DA233" i="15"/>
  <c r="FJ233" i="15"/>
  <c r="FO233" i="15"/>
  <c r="FQ233" i="15"/>
  <c r="FS233" i="15"/>
  <c r="FD233" i="15"/>
  <c r="GS233" i="15"/>
  <c r="FZ233" i="15" s="1"/>
  <c r="FE233" i="15"/>
  <c r="FF233" i="15"/>
  <c r="FG233" i="15"/>
  <c r="FH233" i="15"/>
  <c r="FP233" i="15"/>
  <c r="FI233" i="15"/>
  <c r="FK233" i="15"/>
  <c r="FL233" i="15"/>
  <c r="GR233" i="15"/>
  <c r="GP233" i="15" s="1"/>
  <c r="GO233" i="15" s="1"/>
  <c r="FW233" i="15"/>
  <c r="FN233" i="15"/>
  <c r="FR233" i="15"/>
  <c r="FV233" i="15"/>
  <c r="FX233" i="15"/>
  <c r="GT233" i="15"/>
  <c r="GU233" i="15"/>
  <c r="GV233" i="15"/>
  <c r="HZ233" i="15"/>
  <c r="FM234" i="15"/>
  <c r="CY234" i="15"/>
  <c r="CZ234" i="15"/>
  <c r="DA234" i="15"/>
  <c r="FJ234" i="15"/>
  <c r="FO234" i="15"/>
  <c r="FQ234" i="15"/>
  <c r="FS234" i="15"/>
  <c r="FD234" i="15"/>
  <c r="GS234" i="15"/>
  <c r="FZ234" i="15" s="1"/>
  <c r="FE234" i="15"/>
  <c r="FF234" i="15"/>
  <c r="FG234" i="15"/>
  <c r="FH234" i="15"/>
  <c r="FP234" i="15"/>
  <c r="FI234" i="15"/>
  <c r="FK234" i="15"/>
  <c r="FL234" i="15"/>
  <c r="GR234" i="15"/>
  <c r="GP234" i="15" s="1"/>
  <c r="GO234" i="15" s="1"/>
  <c r="FW234" i="15"/>
  <c r="FN234" i="15"/>
  <c r="FR234" i="15"/>
  <c r="FV234" i="15"/>
  <c r="FX234" i="15"/>
  <c r="GT234" i="15"/>
  <c r="GU234" i="15"/>
  <c r="GV234" i="15"/>
  <c r="HZ234" i="15"/>
  <c r="FM235" i="15"/>
  <c r="CY235" i="15"/>
  <c r="CZ235" i="15"/>
  <c r="DA235" i="15"/>
  <c r="FJ235" i="15"/>
  <c r="FO235" i="15"/>
  <c r="FQ235" i="15"/>
  <c r="FS235" i="15"/>
  <c r="FD235" i="15"/>
  <c r="GS235" i="15"/>
  <c r="FZ235" i="15" s="1"/>
  <c r="FE235" i="15"/>
  <c r="FF235" i="15"/>
  <c r="FG235" i="15"/>
  <c r="FH235" i="15"/>
  <c r="FP235" i="15"/>
  <c r="FI235" i="15"/>
  <c r="FK235" i="15"/>
  <c r="FL235" i="15"/>
  <c r="GR235" i="15"/>
  <c r="GP235" i="15" s="1"/>
  <c r="GO235" i="15" s="1"/>
  <c r="FW235" i="15"/>
  <c r="FN235" i="15"/>
  <c r="FR235" i="15"/>
  <c r="FV235" i="15"/>
  <c r="FX235" i="15"/>
  <c r="GT235" i="15"/>
  <c r="GU235" i="15"/>
  <c r="GV235" i="15"/>
  <c r="HZ235" i="15"/>
  <c r="FM236" i="15"/>
  <c r="CY236" i="15"/>
  <c r="CZ236" i="15"/>
  <c r="DA236" i="15"/>
  <c r="FJ236" i="15"/>
  <c r="FO236" i="15"/>
  <c r="FQ236" i="15"/>
  <c r="FS236" i="15"/>
  <c r="FD236" i="15"/>
  <c r="GS236" i="15"/>
  <c r="FZ236" i="15" s="1"/>
  <c r="FE236" i="15"/>
  <c r="FF236" i="15"/>
  <c r="FG236" i="15"/>
  <c r="FH236" i="15"/>
  <c r="FP236" i="15"/>
  <c r="FI236" i="15"/>
  <c r="FK236" i="15"/>
  <c r="FL236" i="15"/>
  <c r="GR236" i="15"/>
  <c r="GP236" i="15" s="1"/>
  <c r="GO236" i="15" s="1"/>
  <c r="FW236" i="15"/>
  <c r="FN236" i="15"/>
  <c r="FR236" i="15"/>
  <c r="FV236" i="15"/>
  <c r="FX236" i="15"/>
  <c r="GT236" i="15"/>
  <c r="GU236" i="15"/>
  <c r="GV236" i="15"/>
  <c r="HZ236" i="15"/>
  <c r="FM237" i="15"/>
  <c r="CY237" i="15"/>
  <c r="CZ237" i="15"/>
  <c r="DA237" i="15"/>
  <c r="FJ237" i="15"/>
  <c r="FO237" i="15"/>
  <c r="FQ237" i="15"/>
  <c r="FS237" i="15"/>
  <c r="FD237" i="15"/>
  <c r="GS237" i="15"/>
  <c r="FZ237" i="15" s="1"/>
  <c r="FE237" i="15"/>
  <c r="FF237" i="15"/>
  <c r="FG237" i="15"/>
  <c r="FH237" i="15"/>
  <c r="FP237" i="15"/>
  <c r="FI237" i="15"/>
  <c r="FK237" i="15"/>
  <c r="FL237" i="15"/>
  <c r="GR237" i="15"/>
  <c r="GP237" i="15" s="1"/>
  <c r="GO237" i="15" s="1"/>
  <c r="FW237" i="15"/>
  <c r="FN237" i="15"/>
  <c r="FR237" i="15"/>
  <c r="FV237" i="15"/>
  <c r="FX237" i="15"/>
  <c r="GT237" i="15"/>
  <c r="GU237" i="15"/>
  <c r="GV237" i="15"/>
  <c r="HZ237" i="15"/>
  <c r="FM238" i="15"/>
  <c r="CY238" i="15"/>
  <c r="CZ238" i="15"/>
  <c r="DA238" i="15"/>
  <c r="FJ238" i="15"/>
  <c r="FO238" i="15"/>
  <c r="FQ238" i="15"/>
  <c r="FS238" i="15"/>
  <c r="FD238" i="15"/>
  <c r="GS238" i="15"/>
  <c r="FZ238" i="15" s="1"/>
  <c r="FE238" i="15"/>
  <c r="FF238" i="15"/>
  <c r="FG238" i="15"/>
  <c r="FH238" i="15"/>
  <c r="FP238" i="15"/>
  <c r="FI238" i="15"/>
  <c r="FK238" i="15"/>
  <c r="FL238" i="15"/>
  <c r="GR238" i="15"/>
  <c r="GP238" i="15" s="1"/>
  <c r="GO238" i="15" s="1"/>
  <c r="FW238" i="15"/>
  <c r="FN238" i="15"/>
  <c r="FR238" i="15"/>
  <c r="FV238" i="15"/>
  <c r="FX238" i="15"/>
  <c r="GT238" i="15"/>
  <c r="GU238" i="15"/>
  <c r="GV238" i="15"/>
  <c r="HZ238" i="15"/>
  <c r="FM239" i="15"/>
  <c r="CY239" i="15"/>
  <c r="CZ239" i="15"/>
  <c r="DA239" i="15"/>
  <c r="FJ239" i="15"/>
  <c r="FO239" i="15"/>
  <c r="FQ239" i="15"/>
  <c r="FS239" i="15"/>
  <c r="FD239" i="15"/>
  <c r="GS239" i="15"/>
  <c r="FZ239" i="15" s="1"/>
  <c r="FE239" i="15"/>
  <c r="FF239" i="15"/>
  <c r="FG239" i="15"/>
  <c r="FH239" i="15"/>
  <c r="FP239" i="15"/>
  <c r="FI239" i="15"/>
  <c r="FK239" i="15"/>
  <c r="FL239" i="15"/>
  <c r="GR239" i="15"/>
  <c r="GP239" i="15" s="1"/>
  <c r="GO239" i="15" s="1"/>
  <c r="FW239" i="15"/>
  <c r="FN239" i="15"/>
  <c r="FR239" i="15"/>
  <c r="FV239" i="15"/>
  <c r="FX239" i="15"/>
  <c r="GT239" i="15"/>
  <c r="GU239" i="15"/>
  <c r="GV239" i="15"/>
  <c r="HZ239" i="15"/>
  <c r="FM240" i="15"/>
  <c r="CY240" i="15"/>
  <c r="CZ240" i="15"/>
  <c r="DA240" i="15"/>
  <c r="FJ240" i="15"/>
  <c r="FO240" i="15"/>
  <c r="FQ240" i="15"/>
  <c r="FS240" i="15"/>
  <c r="FD240" i="15"/>
  <c r="GS240" i="15"/>
  <c r="FZ240" i="15" s="1"/>
  <c r="FE240" i="15"/>
  <c r="FF240" i="15"/>
  <c r="FG240" i="15"/>
  <c r="FH240" i="15"/>
  <c r="FP240" i="15"/>
  <c r="FI240" i="15"/>
  <c r="FK240" i="15"/>
  <c r="FL240" i="15"/>
  <c r="GR240" i="15"/>
  <c r="GP240" i="15" s="1"/>
  <c r="GO240" i="15" s="1"/>
  <c r="FW240" i="15"/>
  <c r="FN240" i="15"/>
  <c r="FR240" i="15"/>
  <c r="FV240" i="15"/>
  <c r="FX240" i="15"/>
  <c r="GT240" i="15"/>
  <c r="GU240" i="15"/>
  <c r="GV240" i="15"/>
  <c r="HZ240" i="15"/>
  <c r="FM241" i="15"/>
  <c r="CY241" i="15"/>
  <c r="CZ241" i="15"/>
  <c r="DA241" i="15"/>
  <c r="FJ241" i="15"/>
  <c r="FO241" i="15"/>
  <c r="FQ241" i="15"/>
  <c r="FS241" i="15"/>
  <c r="FD241" i="15"/>
  <c r="GS241" i="15"/>
  <c r="FZ241" i="15" s="1"/>
  <c r="FE241" i="15"/>
  <c r="FF241" i="15"/>
  <c r="FG241" i="15"/>
  <c r="FH241" i="15"/>
  <c r="FP241" i="15"/>
  <c r="FI241" i="15"/>
  <c r="FK241" i="15"/>
  <c r="FL241" i="15"/>
  <c r="GR241" i="15"/>
  <c r="GP241" i="15" s="1"/>
  <c r="GO241" i="15" s="1"/>
  <c r="FW241" i="15"/>
  <c r="FN241" i="15"/>
  <c r="FR241" i="15"/>
  <c r="FV241" i="15"/>
  <c r="FX241" i="15"/>
  <c r="GT241" i="15"/>
  <c r="GU241" i="15"/>
  <c r="GV241" i="15"/>
  <c r="HZ241" i="15"/>
  <c r="FM242" i="15"/>
  <c r="CY242" i="15"/>
  <c r="CZ242" i="15"/>
  <c r="DA242" i="15"/>
  <c r="FJ242" i="15"/>
  <c r="FO242" i="15"/>
  <c r="FQ242" i="15"/>
  <c r="FS242" i="15"/>
  <c r="FD242" i="15"/>
  <c r="GS242" i="15"/>
  <c r="FZ242" i="15" s="1"/>
  <c r="FE242" i="15"/>
  <c r="FF242" i="15"/>
  <c r="FG242" i="15"/>
  <c r="FH242" i="15"/>
  <c r="FP242" i="15"/>
  <c r="FI242" i="15"/>
  <c r="FK242" i="15"/>
  <c r="FL242" i="15"/>
  <c r="GR242" i="15"/>
  <c r="GP242" i="15" s="1"/>
  <c r="GO242" i="15" s="1"/>
  <c r="FW242" i="15"/>
  <c r="FN242" i="15"/>
  <c r="FR242" i="15"/>
  <c r="FV242" i="15"/>
  <c r="FX242" i="15"/>
  <c r="GT242" i="15"/>
  <c r="GU242" i="15"/>
  <c r="GV242" i="15"/>
  <c r="HZ242" i="15"/>
  <c r="FM243" i="15"/>
  <c r="CY243" i="15"/>
  <c r="CZ243" i="15"/>
  <c r="DA243" i="15"/>
  <c r="FJ243" i="15"/>
  <c r="FO243" i="15"/>
  <c r="FQ243" i="15"/>
  <c r="FS243" i="15"/>
  <c r="FD243" i="15"/>
  <c r="GS243" i="15"/>
  <c r="FZ243" i="15" s="1"/>
  <c r="FE243" i="15"/>
  <c r="FF243" i="15"/>
  <c r="FG243" i="15"/>
  <c r="FH243" i="15"/>
  <c r="FP243" i="15"/>
  <c r="FI243" i="15"/>
  <c r="FK243" i="15"/>
  <c r="FL243" i="15"/>
  <c r="GR243" i="15"/>
  <c r="GP243" i="15" s="1"/>
  <c r="GO243" i="15" s="1"/>
  <c r="FW243" i="15"/>
  <c r="FN243" i="15"/>
  <c r="FR243" i="15"/>
  <c r="FV243" i="15"/>
  <c r="FX243" i="15"/>
  <c r="GT243" i="15"/>
  <c r="GU243" i="15"/>
  <c r="GV243" i="15"/>
  <c r="HZ243" i="15"/>
  <c r="FM244" i="15"/>
  <c r="CY244" i="15"/>
  <c r="CZ244" i="15"/>
  <c r="DA244" i="15"/>
  <c r="FJ244" i="15"/>
  <c r="FO244" i="15"/>
  <c r="FQ244" i="15"/>
  <c r="FS244" i="15"/>
  <c r="FD244" i="15"/>
  <c r="GS244" i="15"/>
  <c r="FZ244" i="15" s="1"/>
  <c r="FE244" i="15"/>
  <c r="FF244" i="15"/>
  <c r="FG244" i="15"/>
  <c r="FH244" i="15"/>
  <c r="FP244" i="15"/>
  <c r="FI244" i="15"/>
  <c r="FK244" i="15"/>
  <c r="FL244" i="15"/>
  <c r="GR244" i="15"/>
  <c r="GP244" i="15" s="1"/>
  <c r="GO244" i="15" s="1"/>
  <c r="FW244" i="15"/>
  <c r="FN244" i="15"/>
  <c r="FR244" i="15"/>
  <c r="FV244" i="15"/>
  <c r="FX244" i="15"/>
  <c r="GT244" i="15"/>
  <c r="GU244" i="15"/>
  <c r="GV244" i="15"/>
  <c r="HZ244" i="15"/>
  <c r="FM245" i="15"/>
  <c r="CY245" i="15"/>
  <c r="CZ245" i="15"/>
  <c r="DA245" i="15"/>
  <c r="FJ245" i="15"/>
  <c r="FO245" i="15"/>
  <c r="FQ245" i="15"/>
  <c r="FS245" i="15"/>
  <c r="FD245" i="15"/>
  <c r="GS245" i="15"/>
  <c r="FZ245" i="15" s="1"/>
  <c r="FE245" i="15"/>
  <c r="FF245" i="15"/>
  <c r="FG245" i="15"/>
  <c r="FH245" i="15"/>
  <c r="FP245" i="15"/>
  <c r="FI245" i="15"/>
  <c r="FK245" i="15"/>
  <c r="FL245" i="15"/>
  <c r="GR245" i="15"/>
  <c r="GP245" i="15" s="1"/>
  <c r="GO245" i="15" s="1"/>
  <c r="FW245" i="15"/>
  <c r="FN245" i="15"/>
  <c r="FR245" i="15"/>
  <c r="FV245" i="15"/>
  <c r="FX245" i="15"/>
  <c r="GT245" i="15"/>
  <c r="GU245" i="15"/>
  <c r="GV245" i="15"/>
  <c r="HZ245" i="15"/>
  <c r="FM246" i="15"/>
  <c r="CY246" i="15"/>
  <c r="CZ246" i="15"/>
  <c r="DA246" i="15"/>
  <c r="FJ246" i="15"/>
  <c r="FO246" i="15"/>
  <c r="FQ246" i="15"/>
  <c r="FS246" i="15"/>
  <c r="FD246" i="15"/>
  <c r="GS246" i="15"/>
  <c r="FZ246" i="15" s="1"/>
  <c r="FE246" i="15"/>
  <c r="FF246" i="15"/>
  <c r="FG246" i="15"/>
  <c r="FH246" i="15"/>
  <c r="FP246" i="15"/>
  <c r="FI246" i="15"/>
  <c r="FK246" i="15"/>
  <c r="FL246" i="15"/>
  <c r="GR246" i="15"/>
  <c r="GP246" i="15" s="1"/>
  <c r="GO246" i="15" s="1"/>
  <c r="FW246" i="15"/>
  <c r="FN246" i="15"/>
  <c r="FR246" i="15"/>
  <c r="FV246" i="15"/>
  <c r="FX246" i="15"/>
  <c r="GT246" i="15"/>
  <c r="GU246" i="15"/>
  <c r="GV246" i="15"/>
  <c r="HZ246" i="15"/>
  <c r="FM247" i="15"/>
  <c r="CY247" i="15"/>
  <c r="CZ247" i="15"/>
  <c r="DA247" i="15"/>
  <c r="FJ247" i="15"/>
  <c r="FO247" i="15"/>
  <c r="FQ247" i="15"/>
  <c r="FS247" i="15"/>
  <c r="FD247" i="15"/>
  <c r="GS247" i="15"/>
  <c r="FZ247" i="15" s="1"/>
  <c r="FE247" i="15"/>
  <c r="FF247" i="15"/>
  <c r="FG247" i="15"/>
  <c r="FH247" i="15"/>
  <c r="FP247" i="15"/>
  <c r="FI247" i="15"/>
  <c r="FK247" i="15"/>
  <c r="FL247" i="15"/>
  <c r="GR247" i="15"/>
  <c r="GP247" i="15" s="1"/>
  <c r="GO247" i="15" s="1"/>
  <c r="FW247" i="15"/>
  <c r="FN247" i="15"/>
  <c r="FR247" i="15"/>
  <c r="FV247" i="15"/>
  <c r="FX247" i="15"/>
  <c r="GT247" i="15"/>
  <c r="GU247" i="15"/>
  <c r="GV247" i="15"/>
  <c r="HZ247" i="15"/>
  <c r="FM248" i="15"/>
  <c r="CY248" i="15"/>
  <c r="CZ248" i="15"/>
  <c r="DA248" i="15"/>
  <c r="FJ248" i="15"/>
  <c r="FO248" i="15"/>
  <c r="FQ248" i="15"/>
  <c r="FS248" i="15"/>
  <c r="FD248" i="15"/>
  <c r="GS248" i="15"/>
  <c r="FZ248" i="15" s="1"/>
  <c r="FE248" i="15"/>
  <c r="FF248" i="15"/>
  <c r="FG248" i="15"/>
  <c r="FH248" i="15"/>
  <c r="FP248" i="15"/>
  <c r="FI248" i="15"/>
  <c r="FK248" i="15"/>
  <c r="FL248" i="15"/>
  <c r="GR248" i="15"/>
  <c r="GP248" i="15" s="1"/>
  <c r="GO248" i="15" s="1"/>
  <c r="FW248" i="15"/>
  <c r="FN248" i="15"/>
  <c r="FR248" i="15"/>
  <c r="FV248" i="15"/>
  <c r="FX248" i="15"/>
  <c r="GT248" i="15"/>
  <c r="GU248" i="15"/>
  <c r="GV248" i="15"/>
  <c r="HZ248" i="15"/>
  <c r="FM249" i="15"/>
  <c r="CY249" i="15"/>
  <c r="CZ249" i="15"/>
  <c r="DA249" i="15"/>
  <c r="FJ249" i="15"/>
  <c r="FO249" i="15"/>
  <c r="FQ249" i="15"/>
  <c r="FS249" i="15"/>
  <c r="FD249" i="15"/>
  <c r="GS249" i="15"/>
  <c r="FZ249" i="15" s="1"/>
  <c r="FE249" i="15"/>
  <c r="FF249" i="15"/>
  <c r="FG249" i="15"/>
  <c r="FH249" i="15"/>
  <c r="FP249" i="15"/>
  <c r="FI249" i="15"/>
  <c r="FK249" i="15"/>
  <c r="FL249" i="15"/>
  <c r="GR249" i="15"/>
  <c r="GP249" i="15" s="1"/>
  <c r="GO249" i="15" s="1"/>
  <c r="FW249" i="15"/>
  <c r="FN249" i="15"/>
  <c r="FR249" i="15"/>
  <c r="FV249" i="15"/>
  <c r="FX249" i="15"/>
  <c r="GT249" i="15"/>
  <c r="GU249" i="15"/>
  <c r="GV249" i="15"/>
  <c r="HZ249" i="15"/>
  <c r="FM250" i="15"/>
  <c r="CY250" i="15"/>
  <c r="CZ250" i="15"/>
  <c r="DA250" i="15"/>
  <c r="FJ250" i="15"/>
  <c r="FO250" i="15"/>
  <c r="FQ250" i="15"/>
  <c r="FS250" i="15"/>
  <c r="FD250" i="15"/>
  <c r="GS250" i="15"/>
  <c r="FZ250" i="15" s="1"/>
  <c r="FE250" i="15"/>
  <c r="FF250" i="15"/>
  <c r="FG250" i="15"/>
  <c r="FH250" i="15"/>
  <c r="FP250" i="15"/>
  <c r="FI250" i="15"/>
  <c r="FK250" i="15"/>
  <c r="FL250" i="15"/>
  <c r="GR250" i="15"/>
  <c r="GP250" i="15" s="1"/>
  <c r="GO250" i="15" s="1"/>
  <c r="FW250" i="15"/>
  <c r="FN250" i="15"/>
  <c r="FR250" i="15"/>
  <c r="FV250" i="15"/>
  <c r="FX250" i="15"/>
  <c r="GT250" i="15"/>
  <c r="GU250" i="15"/>
  <c r="GV250" i="15"/>
  <c r="HZ250" i="15"/>
  <c r="FM251" i="15"/>
  <c r="CY251" i="15"/>
  <c r="CZ251" i="15"/>
  <c r="DA251" i="15"/>
  <c r="FJ251" i="15"/>
  <c r="FO251" i="15"/>
  <c r="FQ251" i="15"/>
  <c r="FS251" i="15"/>
  <c r="FD251" i="15"/>
  <c r="GS251" i="15"/>
  <c r="FZ251" i="15" s="1"/>
  <c r="FE251" i="15"/>
  <c r="FF251" i="15"/>
  <c r="FG251" i="15"/>
  <c r="FH251" i="15"/>
  <c r="FP251" i="15"/>
  <c r="FI251" i="15"/>
  <c r="FK251" i="15"/>
  <c r="FL251" i="15"/>
  <c r="GR251" i="15"/>
  <c r="GP251" i="15" s="1"/>
  <c r="GO251" i="15" s="1"/>
  <c r="FW251" i="15"/>
  <c r="FN251" i="15"/>
  <c r="FR251" i="15"/>
  <c r="FV251" i="15"/>
  <c r="FX251" i="15"/>
  <c r="GT251" i="15"/>
  <c r="GU251" i="15"/>
  <c r="GV251" i="15"/>
  <c r="HZ251" i="15"/>
  <c r="FM252" i="15"/>
  <c r="CY252" i="15"/>
  <c r="CZ252" i="15"/>
  <c r="DA252" i="15"/>
  <c r="FJ252" i="15"/>
  <c r="FO252" i="15"/>
  <c r="FQ252" i="15"/>
  <c r="FS252" i="15"/>
  <c r="FD252" i="15"/>
  <c r="GS252" i="15"/>
  <c r="FZ252" i="15" s="1"/>
  <c r="FE252" i="15"/>
  <c r="FF252" i="15"/>
  <c r="FG252" i="15"/>
  <c r="FH252" i="15"/>
  <c r="FP252" i="15"/>
  <c r="FI252" i="15"/>
  <c r="FK252" i="15"/>
  <c r="FL252" i="15"/>
  <c r="GR252" i="15"/>
  <c r="GP252" i="15" s="1"/>
  <c r="GO252" i="15" s="1"/>
  <c r="FW252" i="15"/>
  <c r="FN252" i="15"/>
  <c r="FR252" i="15"/>
  <c r="FV252" i="15"/>
  <c r="FX252" i="15"/>
  <c r="GT252" i="15"/>
  <c r="GU252" i="15"/>
  <c r="GV252" i="15"/>
  <c r="HZ252" i="15"/>
  <c r="FM253" i="15"/>
  <c r="CY253" i="15"/>
  <c r="CZ253" i="15"/>
  <c r="DA253" i="15"/>
  <c r="FJ253" i="15"/>
  <c r="FO253" i="15"/>
  <c r="FQ253" i="15"/>
  <c r="FS253" i="15"/>
  <c r="FD253" i="15"/>
  <c r="GS253" i="15"/>
  <c r="FZ253" i="15" s="1"/>
  <c r="FE253" i="15"/>
  <c r="FF253" i="15"/>
  <c r="FG253" i="15"/>
  <c r="FH253" i="15"/>
  <c r="FP253" i="15"/>
  <c r="FI253" i="15"/>
  <c r="FK253" i="15"/>
  <c r="FL253" i="15"/>
  <c r="GR253" i="15"/>
  <c r="GP253" i="15" s="1"/>
  <c r="GO253" i="15" s="1"/>
  <c r="FW253" i="15"/>
  <c r="FN253" i="15"/>
  <c r="FR253" i="15"/>
  <c r="FV253" i="15"/>
  <c r="FX253" i="15"/>
  <c r="GT253" i="15"/>
  <c r="GU253" i="15"/>
  <c r="GV253" i="15"/>
  <c r="HZ253" i="15"/>
  <c r="FM254" i="15"/>
  <c r="CY254" i="15"/>
  <c r="CZ254" i="15"/>
  <c r="DA254" i="15"/>
  <c r="FJ254" i="15"/>
  <c r="FO254" i="15"/>
  <c r="FQ254" i="15"/>
  <c r="FS254" i="15"/>
  <c r="FD254" i="15"/>
  <c r="GS254" i="15"/>
  <c r="FZ254" i="15" s="1"/>
  <c r="FE254" i="15"/>
  <c r="FF254" i="15"/>
  <c r="FG254" i="15"/>
  <c r="FH254" i="15"/>
  <c r="FP254" i="15"/>
  <c r="FI254" i="15"/>
  <c r="FK254" i="15"/>
  <c r="FL254" i="15"/>
  <c r="GR254" i="15"/>
  <c r="GP254" i="15" s="1"/>
  <c r="GO254" i="15" s="1"/>
  <c r="FW254" i="15"/>
  <c r="FN254" i="15"/>
  <c r="FR254" i="15"/>
  <c r="FV254" i="15"/>
  <c r="FX254" i="15"/>
  <c r="GT254" i="15"/>
  <c r="GU254" i="15"/>
  <c r="GV254" i="15"/>
  <c r="HZ254" i="15"/>
  <c r="FM255" i="15"/>
  <c r="CY255" i="15"/>
  <c r="CZ255" i="15"/>
  <c r="DA255" i="15"/>
  <c r="FJ255" i="15"/>
  <c r="FO255" i="15"/>
  <c r="FQ255" i="15"/>
  <c r="FS255" i="15"/>
  <c r="FD255" i="15"/>
  <c r="GS255" i="15"/>
  <c r="FZ255" i="15" s="1"/>
  <c r="FE255" i="15"/>
  <c r="FF255" i="15"/>
  <c r="FG255" i="15"/>
  <c r="FH255" i="15"/>
  <c r="FP255" i="15"/>
  <c r="FI255" i="15"/>
  <c r="FK255" i="15"/>
  <c r="FL255" i="15"/>
  <c r="GR255" i="15"/>
  <c r="GP255" i="15" s="1"/>
  <c r="GO255" i="15" s="1"/>
  <c r="FW255" i="15"/>
  <c r="FN255" i="15"/>
  <c r="FR255" i="15"/>
  <c r="FV255" i="15"/>
  <c r="FX255" i="15"/>
  <c r="GT255" i="15"/>
  <c r="GU255" i="15"/>
  <c r="GV255" i="15"/>
  <c r="HZ255" i="15"/>
  <c r="FM256" i="15"/>
  <c r="CY256" i="15"/>
  <c r="CZ256" i="15"/>
  <c r="DA256" i="15"/>
  <c r="FJ256" i="15"/>
  <c r="FO256" i="15"/>
  <c r="FQ256" i="15"/>
  <c r="FS256" i="15"/>
  <c r="FD256" i="15"/>
  <c r="GS256" i="15"/>
  <c r="FZ256" i="15" s="1"/>
  <c r="FE256" i="15"/>
  <c r="FF256" i="15"/>
  <c r="FG256" i="15"/>
  <c r="FH256" i="15"/>
  <c r="FP256" i="15"/>
  <c r="FI256" i="15"/>
  <c r="FK256" i="15"/>
  <c r="FL256" i="15"/>
  <c r="GR256" i="15"/>
  <c r="GP256" i="15" s="1"/>
  <c r="GO256" i="15" s="1"/>
  <c r="FW256" i="15"/>
  <c r="FN256" i="15"/>
  <c r="FR256" i="15"/>
  <c r="FV256" i="15"/>
  <c r="FX256" i="15"/>
  <c r="GT256" i="15"/>
  <c r="GU256" i="15"/>
  <c r="GV256" i="15"/>
  <c r="HZ256" i="15"/>
  <c r="FM257" i="15"/>
  <c r="CY257" i="15"/>
  <c r="CZ257" i="15"/>
  <c r="DA257" i="15"/>
  <c r="FJ257" i="15"/>
  <c r="FO257" i="15"/>
  <c r="FQ257" i="15"/>
  <c r="FS257" i="15"/>
  <c r="FD257" i="15"/>
  <c r="GS257" i="15"/>
  <c r="FZ257" i="15" s="1"/>
  <c r="FE257" i="15"/>
  <c r="FF257" i="15"/>
  <c r="FG257" i="15"/>
  <c r="FH257" i="15"/>
  <c r="FP257" i="15"/>
  <c r="FI257" i="15"/>
  <c r="FK257" i="15"/>
  <c r="FL257" i="15"/>
  <c r="GR257" i="15"/>
  <c r="GP257" i="15" s="1"/>
  <c r="GO257" i="15" s="1"/>
  <c r="FW257" i="15"/>
  <c r="FN257" i="15"/>
  <c r="FR257" i="15"/>
  <c r="FV257" i="15"/>
  <c r="FX257" i="15"/>
  <c r="GT257" i="15"/>
  <c r="GU257" i="15"/>
  <c r="GV257" i="15"/>
  <c r="HZ257" i="15"/>
  <c r="FM258" i="15"/>
  <c r="CY258" i="15"/>
  <c r="CZ258" i="15"/>
  <c r="DA258" i="15"/>
  <c r="FJ258" i="15"/>
  <c r="FO258" i="15"/>
  <c r="FQ258" i="15"/>
  <c r="FS258" i="15"/>
  <c r="FD258" i="15"/>
  <c r="GS258" i="15"/>
  <c r="FZ258" i="15" s="1"/>
  <c r="FE258" i="15"/>
  <c r="FF258" i="15"/>
  <c r="FG258" i="15"/>
  <c r="FH258" i="15"/>
  <c r="FP258" i="15"/>
  <c r="FI258" i="15"/>
  <c r="FK258" i="15"/>
  <c r="FL258" i="15"/>
  <c r="GR258" i="15"/>
  <c r="GP258" i="15" s="1"/>
  <c r="GO258" i="15" s="1"/>
  <c r="FW258" i="15"/>
  <c r="FN258" i="15"/>
  <c r="FR258" i="15"/>
  <c r="FV258" i="15"/>
  <c r="FX258" i="15"/>
  <c r="GT258" i="15"/>
  <c r="GU258" i="15"/>
  <c r="GV258" i="15"/>
  <c r="HZ258" i="15"/>
  <c r="FM259" i="15"/>
  <c r="CY259" i="15"/>
  <c r="CZ259" i="15"/>
  <c r="DA259" i="15"/>
  <c r="FJ259" i="15"/>
  <c r="FO259" i="15"/>
  <c r="FQ259" i="15"/>
  <c r="FS259" i="15"/>
  <c r="FD259" i="15"/>
  <c r="GS259" i="15"/>
  <c r="FZ259" i="15" s="1"/>
  <c r="FE259" i="15"/>
  <c r="FF259" i="15"/>
  <c r="FG259" i="15"/>
  <c r="FH259" i="15"/>
  <c r="FP259" i="15"/>
  <c r="FI259" i="15"/>
  <c r="FK259" i="15"/>
  <c r="FL259" i="15"/>
  <c r="GR259" i="15"/>
  <c r="GP259" i="15" s="1"/>
  <c r="GO259" i="15" s="1"/>
  <c r="FW259" i="15"/>
  <c r="FN259" i="15"/>
  <c r="FR259" i="15"/>
  <c r="FV259" i="15"/>
  <c r="FX259" i="15"/>
  <c r="GT259" i="15"/>
  <c r="GU259" i="15"/>
  <c r="GV259" i="15"/>
  <c r="HZ259" i="15"/>
  <c r="FM260" i="15"/>
  <c r="CY260" i="15"/>
  <c r="CZ260" i="15"/>
  <c r="DA260" i="15"/>
  <c r="FJ260" i="15"/>
  <c r="FO260" i="15"/>
  <c r="FQ260" i="15"/>
  <c r="FS260" i="15"/>
  <c r="FD260" i="15"/>
  <c r="GS260" i="15"/>
  <c r="FZ260" i="15" s="1"/>
  <c r="FE260" i="15"/>
  <c r="FF260" i="15"/>
  <c r="FG260" i="15"/>
  <c r="FH260" i="15"/>
  <c r="FP260" i="15"/>
  <c r="FI260" i="15"/>
  <c r="FK260" i="15"/>
  <c r="FL260" i="15"/>
  <c r="GR260" i="15"/>
  <c r="GP260" i="15" s="1"/>
  <c r="GO260" i="15" s="1"/>
  <c r="FW260" i="15"/>
  <c r="FN260" i="15"/>
  <c r="FR260" i="15"/>
  <c r="FV260" i="15"/>
  <c r="FX260" i="15"/>
  <c r="GT260" i="15"/>
  <c r="GU260" i="15"/>
  <c r="GV260" i="15"/>
  <c r="HZ260" i="15"/>
  <c r="FM261" i="15"/>
  <c r="CY261" i="15"/>
  <c r="CZ261" i="15"/>
  <c r="DA261" i="15"/>
  <c r="FJ261" i="15"/>
  <c r="FO261" i="15"/>
  <c r="FQ261" i="15"/>
  <c r="FS261" i="15"/>
  <c r="FD261" i="15"/>
  <c r="GS261" i="15"/>
  <c r="FZ261" i="15" s="1"/>
  <c r="FE261" i="15"/>
  <c r="FF261" i="15"/>
  <c r="FG261" i="15"/>
  <c r="FH261" i="15"/>
  <c r="FP261" i="15"/>
  <c r="FI261" i="15"/>
  <c r="FK261" i="15"/>
  <c r="FL261" i="15"/>
  <c r="GR261" i="15"/>
  <c r="GP261" i="15" s="1"/>
  <c r="GO261" i="15" s="1"/>
  <c r="FW261" i="15"/>
  <c r="FN261" i="15"/>
  <c r="FR261" i="15"/>
  <c r="FV261" i="15"/>
  <c r="FX261" i="15"/>
  <c r="GT261" i="15"/>
  <c r="GU261" i="15"/>
  <c r="GV261" i="15"/>
  <c r="HZ261" i="15"/>
  <c r="FM262" i="15"/>
  <c r="CY262" i="15"/>
  <c r="CZ262" i="15"/>
  <c r="DA262" i="15"/>
  <c r="FJ262" i="15"/>
  <c r="FO262" i="15"/>
  <c r="FQ262" i="15"/>
  <c r="FS262" i="15"/>
  <c r="FD262" i="15"/>
  <c r="GS262" i="15"/>
  <c r="FZ262" i="15" s="1"/>
  <c r="FE262" i="15"/>
  <c r="FF262" i="15"/>
  <c r="FG262" i="15"/>
  <c r="FH262" i="15"/>
  <c r="FP262" i="15"/>
  <c r="FI262" i="15"/>
  <c r="FK262" i="15"/>
  <c r="FL262" i="15"/>
  <c r="GR262" i="15"/>
  <c r="GP262" i="15" s="1"/>
  <c r="GO262" i="15" s="1"/>
  <c r="FW262" i="15"/>
  <c r="FN262" i="15"/>
  <c r="FR262" i="15"/>
  <c r="FV262" i="15"/>
  <c r="FX262" i="15"/>
  <c r="GT262" i="15"/>
  <c r="GU262" i="15"/>
  <c r="GV262" i="15"/>
  <c r="HZ262" i="15"/>
  <c r="FM263" i="15"/>
  <c r="CY263" i="15"/>
  <c r="CZ263" i="15"/>
  <c r="DA263" i="15"/>
  <c r="FJ263" i="15"/>
  <c r="FO263" i="15"/>
  <c r="FQ263" i="15"/>
  <c r="FS263" i="15"/>
  <c r="FD263" i="15"/>
  <c r="GS263" i="15"/>
  <c r="FZ263" i="15" s="1"/>
  <c r="FE263" i="15"/>
  <c r="FF263" i="15"/>
  <c r="FG263" i="15"/>
  <c r="FH263" i="15"/>
  <c r="FP263" i="15"/>
  <c r="FI263" i="15"/>
  <c r="FK263" i="15"/>
  <c r="FL263" i="15"/>
  <c r="GR263" i="15"/>
  <c r="GP263" i="15" s="1"/>
  <c r="GO263" i="15" s="1"/>
  <c r="FW263" i="15"/>
  <c r="FN263" i="15"/>
  <c r="FR263" i="15"/>
  <c r="FV263" i="15"/>
  <c r="FX263" i="15"/>
  <c r="GT263" i="15"/>
  <c r="GU263" i="15"/>
  <c r="GV263" i="15"/>
  <c r="HZ263" i="15"/>
  <c r="FM264" i="15"/>
  <c r="CY264" i="15"/>
  <c r="CZ264" i="15"/>
  <c r="DA264" i="15"/>
  <c r="FJ264" i="15"/>
  <c r="FO264" i="15"/>
  <c r="FQ264" i="15"/>
  <c r="FS264" i="15"/>
  <c r="FD264" i="15"/>
  <c r="GS264" i="15"/>
  <c r="FZ264" i="15" s="1"/>
  <c r="FE264" i="15"/>
  <c r="FF264" i="15"/>
  <c r="FG264" i="15"/>
  <c r="FH264" i="15"/>
  <c r="FP264" i="15"/>
  <c r="FI264" i="15"/>
  <c r="FK264" i="15"/>
  <c r="FL264" i="15"/>
  <c r="GR264" i="15"/>
  <c r="GP264" i="15" s="1"/>
  <c r="GO264" i="15" s="1"/>
  <c r="FW264" i="15"/>
  <c r="FN264" i="15"/>
  <c r="FR264" i="15"/>
  <c r="FV264" i="15"/>
  <c r="FX264" i="15"/>
  <c r="GT264" i="15"/>
  <c r="GU264" i="15"/>
  <c r="GV264" i="15"/>
  <c r="HZ264" i="15"/>
  <c r="FM265" i="15"/>
  <c r="CY265" i="15"/>
  <c r="CZ265" i="15"/>
  <c r="DA265" i="15"/>
  <c r="FJ265" i="15"/>
  <c r="FO265" i="15"/>
  <c r="FQ265" i="15"/>
  <c r="FS265" i="15"/>
  <c r="FD265" i="15"/>
  <c r="GS265" i="15"/>
  <c r="FZ265" i="15" s="1"/>
  <c r="FE265" i="15"/>
  <c r="FF265" i="15"/>
  <c r="FG265" i="15"/>
  <c r="FH265" i="15"/>
  <c r="FP265" i="15"/>
  <c r="FI265" i="15"/>
  <c r="FK265" i="15"/>
  <c r="FL265" i="15"/>
  <c r="GR265" i="15"/>
  <c r="GP265" i="15" s="1"/>
  <c r="GO265" i="15" s="1"/>
  <c r="FW265" i="15"/>
  <c r="FN265" i="15"/>
  <c r="FR265" i="15"/>
  <c r="FV265" i="15"/>
  <c r="FX265" i="15"/>
  <c r="GT265" i="15"/>
  <c r="GU265" i="15"/>
  <c r="GV265" i="15"/>
  <c r="HZ265" i="15"/>
  <c r="FM266" i="15"/>
  <c r="CY266" i="15"/>
  <c r="CZ266" i="15"/>
  <c r="DA266" i="15"/>
  <c r="FJ266" i="15"/>
  <c r="FO266" i="15"/>
  <c r="FQ266" i="15"/>
  <c r="FS266" i="15"/>
  <c r="FD266" i="15"/>
  <c r="GS266" i="15"/>
  <c r="FZ266" i="15" s="1"/>
  <c r="FE266" i="15"/>
  <c r="FF266" i="15"/>
  <c r="FG266" i="15"/>
  <c r="FH266" i="15"/>
  <c r="FP266" i="15"/>
  <c r="FI266" i="15"/>
  <c r="FK266" i="15"/>
  <c r="FL266" i="15"/>
  <c r="GR266" i="15"/>
  <c r="GP266" i="15" s="1"/>
  <c r="GO266" i="15" s="1"/>
  <c r="FW266" i="15"/>
  <c r="FN266" i="15"/>
  <c r="FR266" i="15"/>
  <c r="FV266" i="15"/>
  <c r="FX266" i="15"/>
  <c r="GT266" i="15"/>
  <c r="GU266" i="15"/>
  <c r="GV266" i="15"/>
  <c r="HZ266" i="15"/>
  <c r="FM267" i="15"/>
  <c r="CY267" i="15"/>
  <c r="CZ267" i="15"/>
  <c r="DA267" i="15"/>
  <c r="FJ267" i="15"/>
  <c r="FO267" i="15"/>
  <c r="FQ267" i="15"/>
  <c r="FS267" i="15"/>
  <c r="FD267" i="15"/>
  <c r="GS267" i="15"/>
  <c r="FZ267" i="15" s="1"/>
  <c r="FE267" i="15"/>
  <c r="FF267" i="15"/>
  <c r="FG267" i="15"/>
  <c r="FH267" i="15"/>
  <c r="FP267" i="15"/>
  <c r="FI267" i="15"/>
  <c r="FK267" i="15"/>
  <c r="FL267" i="15"/>
  <c r="GR267" i="15"/>
  <c r="GP267" i="15" s="1"/>
  <c r="GO267" i="15" s="1"/>
  <c r="FW267" i="15"/>
  <c r="FN267" i="15"/>
  <c r="FR267" i="15"/>
  <c r="FV267" i="15"/>
  <c r="FX267" i="15"/>
  <c r="GT267" i="15"/>
  <c r="GU267" i="15"/>
  <c r="GV267" i="15"/>
  <c r="HZ267" i="15"/>
  <c r="FM268" i="15"/>
  <c r="CY268" i="15"/>
  <c r="CZ268" i="15"/>
  <c r="DA268" i="15"/>
  <c r="FJ268" i="15"/>
  <c r="FO268" i="15"/>
  <c r="FQ268" i="15"/>
  <c r="FS268" i="15"/>
  <c r="FD268" i="15"/>
  <c r="GS268" i="15"/>
  <c r="FZ268" i="15" s="1"/>
  <c r="FE268" i="15"/>
  <c r="FF268" i="15"/>
  <c r="FG268" i="15"/>
  <c r="FH268" i="15"/>
  <c r="FP268" i="15"/>
  <c r="FI268" i="15"/>
  <c r="FK268" i="15"/>
  <c r="FL268" i="15"/>
  <c r="GR268" i="15"/>
  <c r="GP268" i="15" s="1"/>
  <c r="GO268" i="15" s="1"/>
  <c r="FW268" i="15"/>
  <c r="FN268" i="15"/>
  <c r="FR268" i="15"/>
  <c r="FV268" i="15"/>
  <c r="FX268" i="15"/>
  <c r="GT268" i="15"/>
  <c r="GU268" i="15"/>
  <c r="GV268" i="15"/>
  <c r="HZ268" i="15"/>
  <c r="FM269" i="15"/>
  <c r="CY269" i="15"/>
  <c r="CZ269" i="15"/>
  <c r="DA269" i="15"/>
  <c r="FJ269" i="15"/>
  <c r="FO269" i="15"/>
  <c r="FQ269" i="15"/>
  <c r="FS269" i="15"/>
  <c r="FD269" i="15"/>
  <c r="GS269" i="15"/>
  <c r="FZ269" i="15" s="1"/>
  <c r="FE269" i="15"/>
  <c r="FF269" i="15"/>
  <c r="FG269" i="15"/>
  <c r="FH269" i="15"/>
  <c r="FP269" i="15"/>
  <c r="FI269" i="15"/>
  <c r="FK269" i="15"/>
  <c r="FL269" i="15"/>
  <c r="GR269" i="15"/>
  <c r="GP269" i="15" s="1"/>
  <c r="GO269" i="15" s="1"/>
  <c r="FW269" i="15"/>
  <c r="FN269" i="15"/>
  <c r="FR269" i="15"/>
  <c r="FV269" i="15"/>
  <c r="FX269" i="15"/>
  <c r="GT269" i="15"/>
  <c r="GU269" i="15"/>
  <c r="GV269" i="15"/>
  <c r="HZ269" i="15"/>
  <c r="FM270" i="15"/>
  <c r="CY270" i="15"/>
  <c r="CZ270" i="15"/>
  <c r="DA270" i="15"/>
  <c r="FJ270" i="15"/>
  <c r="FO270" i="15"/>
  <c r="FQ270" i="15"/>
  <c r="FS270" i="15"/>
  <c r="FD270" i="15"/>
  <c r="GS270" i="15"/>
  <c r="FZ270" i="15" s="1"/>
  <c r="FE270" i="15"/>
  <c r="FF270" i="15"/>
  <c r="FG270" i="15"/>
  <c r="FH270" i="15"/>
  <c r="FP270" i="15"/>
  <c r="FI270" i="15"/>
  <c r="FK270" i="15"/>
  <c r="FL270" i="15"/>
  <c r="GR270" i="15"/>
  <c r="GP270" i="15" s="1"/>
  <c r="GO270" i="15" s="1"/>
  <c r="FW270" i="15"/>
  <c r="FN270" i="15"/>
  <c r="FR270" i="15"/>
  <c r="FV270" i="15"/>
  <c r="FX270" i="15"/>
  <c r="GT270" i="15"/>
  <c r="GU270" i="15"/>
  <c r="GV270" i="15"/>
  <c r="HZ270" i="15"/>
  <c r="FM271" i="15"/>
  <c r="CY271" i="15"/>
  <c r="CZ271" i="15"/>
  <c r="DA271" i="15"/>
  <c r="FJ271" i="15"/>
  <c r="FO271" i="15"/>
  <c r="FQ271" i="15"/>
  <c r="FS271" i="15"/>
  <c r="FD271" i="15"/>
  <c r="GS271" i="15"/>
  <c r="FZ271" i="15" s="1"/>
  <c r="FE271" i="15"/>
  <c r="FF271" i="15"/>
  <c r="FG271" i="15"/>
  <c r="FH271" i="15"/>
  <c r="FP271" i="15"/>
  <c r="FI271" i="15"/>
  <c r="FK271" i="15"/>
  <c r="FL271" i="15"/>
  <c r="GR271" i="15"/>
  <c r="GP271" i="15" s="1"/>
  <c r="GO271" i="15" s="1"/>
  <c r="FW271" i="15"/>
  <c r="FN271" i="15"/>
  <c r="FR271" i="15"/>
  <c r="FV271" i="15"/>
  <c r="FX271" i="15"/>
  <c r="GT271" i="15"/>
  <c r="GU271" i="15"/>
  <c r="GV271" i="15"/>
  <c r="HZ271" i="15"/>
  <c r="FM272" i="15"/>
  <c r="CY272" i="15"/>
  <c r="CZ272" i="15"/>
  <c r="DA272" i="15"/>
  <c r="FJ272" i="15"/>
  <c r="FO272" i="15"/>
  <c r="FQ272" i="15"/>
  <c r="FS272" i="15"/>
  <c r="FD272" i="15"/>
  <c r="GS272" i="15"/>
  <c r="FZ272" i="15" s="1"/>
  <c r="FE272" i="15"/>
  <c r="FF272" i="15"/>
  <c r="FG272" i="15"/>
  <c r="FH272" i="15"/>
  <c r="FP272" i="15"/>
  <c r="FI272" i="15"/>
  <c r="FK272" i="15"/>
  <c r="FL272" i="15"/>
  <c r="GR272" i="15"/>
  <c r="GP272" i="15" s="1"/>
  <c r="GO272" i="15" s="1"/>
  <c r="FW272" i="15"/>
  <c r="FN272" i="15"/>
  <c r="FR272" i="15"/>
  <c r="FV272" i="15"/>
  <c r="FX272" i="15"/>
  <c r="GT272" i="15"/>
  <c r="GU272" i="15"/>
  <c r="GV272" i="15"/>
  <c r="HZ272" i="15"/>
  <c r="FM273" i="15"/>
  <c r="CY273" i="15"/>
  <c r="CZ273" i="15"/>
  <c r="DA273" i="15"/>
  <c r="FJ273" i="15"/>
  <c r="FO273" i="15"/>
  <c r="FQ273" i="15"/>
  <c r="FS273" i="15"/>
  <c r="FD273" i="15"/>
  <c r="GS273" i="15"/>
  <c r="FZ273" i="15" s="1"/>
  <c r="FE273" i="15"/>
  <c r="FF273" i="15"/>
  <c r="FG273" i="15"/>
  <c r="FH273" i="15"/>
  <c r="FP273" i="15"/>
  <c r="FI273" i="15"/>
  <c r="FK273" i="15"/>
  <c r="FL273" i="15"/>
  <c r="GR273" i="15"/>
  <c r="GP273" i="15" s="1"/>
  <c r="GO273" i="15" s="1"/>
  <c r="FW273" i="15"/>
  <c r="FN273" i="15"/>
  <c r="FR273" i="15"/>
  <c r="FV273" i="15"/>
  <c r="FX273" i="15"/>
  <c r="GT273" i="15"/>
  <c r="GU273" i="15"/>
  <c r="GV273" i="15"/>
  <c r="HZ273" i="15"/>
  <c r="FM274" i="15"/>
  <c r="CY274" i="15"/>
  <c r="CZ274" i="15"/>
  <c r="DA274" i="15"/>
  <c r="FJ274" i="15"/>
  <c r="FO274" i="15"/>
  <c r="FQ274" i="15"/>
  <c r="FS274" i="15"/>
  <c r="FD274" i="15"/>
  <c r="GS274" i="15"/>
  <c r="FZ274" i="15" s="1"/>
  <c r="FE274" i="15"/>
  <c r="FF274" i="15"/>
  <c r="FG274" i="15"/>
  <c r="FH274" i="15"/>
  <c r="FP274" i="15"/>
  <c r="FI274" i="15"/>
  <c r="FK274" i="15"/>
  <c r="FL274" i="15"/>
  <c r="GR274" i="15"/>
  <c r="GP274" i="15" s="1"/>
  <c r="GO274" i="15" s="1"/>
  <c r="FW274" i="15"/>
  <c r="FN274" i="15"/>
  <c r="FR274" i="15"/>
  <c r="FV274" i="15"/>
  <c r="FX274" i="15"/>
  <c r="GT274" i="15"/>
  <c r="GU274" i="15"/>
  <c r="GV274" i="15"/>
  <c r="HZ274" i="15"/>
  <c r="FM275" i="15"/>
  <c r="CY275" i="15"/>
  <c r="CZ275" i="15"/>
  <c r="DA275" i="15"/>
  <c r="FJ275" i="15"/>
  <c r="FO275" i="15"/>
  <c r="FQ275" i="15"/>
  <c r="FS275" i="15"/>
  <c r="FD275" i="15"/>
  <c r="GS275" i="15"/>
  <c r="FZ275" i="15" s="1"/>
  <c r="FE275" i="15"/>
  <c r="FF275" i="15"/>
  <c r="FG275" i="15"/>
  <c r="FH275" i="15"/>
  <c r="FP275" i="15"/>
  <c r="FI275" i="15"/>
  <c r="FK275" i="15"/>
  <c r="FL275" i="15"/>
  <c r="GR275" i="15"/>
  <c r="GP275" i="15" s="1"/>
  <c r="GO275" i="15" s="1"/>
  <c r="FW275" i="15"/>
  <c r="FN275" i="15"/>
  <c r="FR275" i="15"/>
  <c r="FV275" i="15"/>
  <c r="FX275" i="15"/>
  <c r="GT275" i="15"/>
  <c r="GU275" i="15"/>
  <c r="GV275" i="15"/>
  <c r="HZ275" i="15"/>
  <c r="FM276" i="15"/>
  <c r="CY276" i="15"/>
  <c r="CZ276" i="15"/>
  <c r="DA276" i="15"/>
  <c r="FJ276" i="15"/>
  <c r="FO276" i="15"/>
  <c r="FQ276" i="15"/>
  <c r="FS276" i="15"/>
  <c r="FD276" i="15"/>
  <c r="GS276" i="15"/>
  <c r="FZ276" i="15" s="1"/>
  <c r="FE276" i="15"/>
  <c r="FF276" i="15"/>
  <c r="FG276" i="15"/>
  <c r="FH276" i="15"/>
  <c r="FP276" i="15"/>
  <c r="FI276" i="15"/>
  <c r="FK276" i="15"/>
  <c r="FL276" i="15"/>
  <c r="GR276" i="15"/>
  <c r="GP276" i="15" s="1"/>
  <c r="GO276" i="15" s="1"/>
  <c r="FW276" i="15"/>
  <c r="FN276" i="15"/>
  <c r="FR276" i="15"/>
  <c r="FV276" i="15"/>
  <c r="FX276" i="15"/>
  <c r="GT276" i="15"/>
  <c r="GU276" i="15"/>
  <c r="GV276" i="15"/>
  <c r="HZ276" i="15"/>
  <c r="FM277" i="15"/>
  <c r="CY277" i="15"/>
  <c r="CZ277" i="15"/>
  <c r="DA277" i="15"/>
  <c r="FJ277" i="15"/>
  <c r="FO277" i="15"/>
  <c r="FQ277" i="15"/>
  <c r="FS277" i="15"/>
  <c r="FD277" i="15"/>
  <c r="GS277" i="15"/>
  <c r="FZ277" i="15" s="1"/>
  <c r="FE277" i="15"/>
  <c r="FF277" i="15"/>
  <c r="FG277" i="15"/>
  <c r="FH277" i="15"/>
  <c r="FP277" i="15"/>
  <c r="FI277" i="15"/>
  <c r="FK277" i="15"/>
  <c r="FL277" i="15"/>
  <c r="GR277" i="15"/>
  <c r="GP277" i="15" s="1"/>
  <c r="GO277" i="15" s="1"/>
  <c r="FW277" i="15"/>
  <c r="FN277" i="15"/>
  <c r="FR277" i="15"/>
  <c r="FV277" i="15"/>
  <c r="FX277" i="15"/>
  <c r="GT277" i="15"/>
  <c r="GU277" i="15"/>
  <c r="GV277" i="15"/>
  <c r="HZ277" i="15"/>
  <c r="FM278" i="15"/>
  <c r="CY278" i="15"/>
  <c r="CZ278" i="15"/>
  <c r="DA278" i="15"/>
  <c r="FJ278" i="15"/>
  <c r="FO278" i="15"/>
  <c r="FQ278" i="15"/>
  <c r="FS278" i="15"/>
  <c r="FD278" i="15"/>
  <c r="GS278" i="15"/>
  <c r="FZ278" i="15" s="1"/>
  <c r="FE278" i="15"/>
  <c r="FF278" i="15"/>
  <c r="FG278" i="15"/>
  <c r="FH278" i="15"/>
  <c r="FP278" i="15"/>
  <c r="FI278" i="15"/>
  <c r="FK278" i="15"/>
  <c r="FL278" i="15"/>
  <c r="GR278" i="15"/>
  <c r="GP278" i="15" s="1"/>
  <c r="GO278" i="15" s="1"/>
  <c r="FW278" i="15"/>
  <c r="FN278" i="15"/>
  <c r="FR278" i="15"/>
  <c r="FV278" i="15"/>
  <c r="FX278" i="15"/>
  <c r="GT278" i="15"/>
  <c r="GU278" i="15"/>
  <c r="GV278" i="15"/>
  <c r="HZ278" i="15"/>
  <c r="FM279" i="15"/>
  <c r="CY279" i="15"/>
  <c r="CZ279" i="15"/>
  <c r="DA279" i="15"/>
  <c r="FJ279" i="15"/>
  <c r="FO279" i="15"/>
  <c r="FQ279" i="15"/>
  <c r="FS279" i="15"/>
  <c r="FD279" i="15"/>
  <c r="GS279" i="15"/>
  <c r="FZ279" i="15" s="1"/>
  <c r="FE279" i="15"/>
  <c r="FF279" i="15"/>
  <c r="FG279" i="15"/>
  <c r="FH279" i="15"/>
  <c r="FP279" i="15"/>
  <c r="FI279" i="15"/>
  <c r="FK279" i="15"/>
  <c r="FL279" i="15"/>
  <c r="GR279" i="15"/>
  <c r="GP279" i="15" s="1"/>
  <c r="GO279" i="15" s="1"/>
  <c r="FW279" i="15"/>
  <c r="FN279" i="15"/>
  <c r="FR279" i="15"/>
  <c r="FV279" i="15"/>
  <c r="FX279" i="15"/>
  <c r="GT279" i="15"/>
  <c r="GU279" i="15"/>
  <c r="GV279" i="15"/>
  <c r="HZ279" i="15"/>
  <c r="FM280" i="15"/>
  <c r="CY280" i="15"/>
  <c r="CZ280" i="15"/>
  <c r="DA280" i="15"/>
  <c r="FJ280" i="15"/>
  <c r="FO280" i="15"/>
  <c r="FQ280" i="15"/>
  <c r="FS280" i="15"/>
  <c r="FD280" i="15"/>
  <c r="GS280" i="15"/>
  <c r="FZ280" i="15" s="1"/>
  <c r="FE280" i="15"/>
  <c r="FF280" i="15"/>
  <c r="FG280" i="15"/>
  <c r="FH280" i="15"/>
  <c r="FP280" i="15"/>
  <c r="FI280" i="15"/>
  <c r="FK280" i="15"/>
  <c r="FL280" i="15"/>
  <c r="GR280" i="15"/>
  <c r="GP280" i="15" s="1"/>
  <c r="GO280" i="15" s="1"/>
  <c r="FW280" i="15"/>
  <c r="FN280" i="15"/>
  <c r="FR280" i="15"/>
  <c r="FV280" i="15"/>
  <c r="FX280" i="15"/>
  <c r="GT280" i="15"/>
  <c r="GU280" i="15"/>
  <c r="GV280" i="15"/>
  <c r="HZ280" i="15"/>
  <c r="FM281" i="15"/>
  <c r="CY281" i="15"/>
  <c r="CZ281" i="15"/>
  <c r="DA281" i="15"/>
  <c r="FJ281" i="15"/>
  <c r="FO281" i="15"/>
  <c r="FQ281" i="15"/>
  <c r="FS281" i="15"/>
  <c r="FD281" i="15"/>
  <c r="GS281" i="15"/>
  <c r="FZ281" i="15" s="1"/>
  <c r="FE281" i="15"/>
  <c r="FF281" i="15"/>
  <c r="FG281" i="15"/>
  <c r="FH281" i="15"/>
  <c r="FP281" i="15"/>
  <c r="FI281" i="15"/>
  <c r="FK281" i="15"/>
  <c r="FL281" i="15"/>
  <c r="GR281" i="15"/>
  <c r="GP281" i="15" s="1"/>
  <c r="GO281" i="15" s="1"/>
  <c r="FW281" i="15"/>
  <c r="FN281" i="15"/>
  <c r="FR281" i="15"/>
  <c r="FV281" i="15"/>
  <c r="FX281" i="15"/>
  <c r="GT281" i="15"/>
  <c r="GU281" i="15"/>
  <c r="GV281" i="15"/>
  <c r="HZ281" i="15"/>
  <c r="FM282" i="15"/>
  <c r="CY282" i="15"/>
  <c r="CZ282" i="15"/>
  <c r="DA282" i="15"/>
  <c r="FJ282" i="15"/>
  <c r="FO282" i="15"/>
  <c r="FQ282" i="15"/>
  <c r="FS282" i="15"/>
  <c r="FD282" i="15"/>
  <c r="GS282" i="15"/>
  <c r="FZ282" i="15" s="1"/>
  <c r="FE282" i="15"/>
  <c r="FF282" i="15"/>
  <c r="FG282" i="15"/>
  <c r="FH282" i="15"/>
  <c r="FP282" i="15"/>
  <c r="FI282" i="15"/>
  <c r="FK282" i="15"/>
  <c r="FL282" i="15"/>
  <c r="GR282" i="15"/>
  <c r="GP282" i="15" s="1"/>
  <c r="GO282" i="15" s="1"/>
  <c r="FW282" i="15"/>
  <c r="FN282" i="15"/>
  <c r="FR282" i="15"/>
  <c r="FV282" i="15"/>
  <c r="FX282" i="15"/>
  <c r="GT282" i="15"/>
  <c r="GU282" i="15"/>
  <c r="GV282" i="15"/>
  <c r="HZ282" i="15"/>
  <c r="FM283" i="15"/>
  <c r="CY283" i="15"/>
  <c r="CZ283" i="15"/>
  <c r="DA283" i="15"/>
  <c r="FJ283" i="15"/>
  <c r="FO283" i="15"/>
  <c r="FQ283" i="15"/>
  <c r="FS283" i="15"/>
  <c r="FD283" i="15"/>
  <c r="GS283" i="15"/>
  <c r="FZ283" i="15" s="1"/>
  <c r="FE283" i="15"/>
  <c r="FF283" i="15"/>
  <c r="FG283" i="15"/>
  <c r="FH283" i="15"/>
  <c r="FP283" i="15"/>
  <c r="FI283" i="15"/>
  <c r="FK283" i="15"/>
  <c r="FL283" i="15"/>
  <c r="GR283" i="15"/>
  <c r="GP283" i="15" s="1"/>
  <c r="GO283" i="15" s="1"/>
  <c r="FW283" i="15"/>
  <c r="FN283" i="15"/>
  <c r="FR283" i="15"/>
  <c r="FV283" i="15"/>
  <c r="FX283" i="15"/>
  <c r="GT283" i="15"/>
  <c r="GU283" i="15"/>
  <c r="GV283" i="15"/>
  <c r="HZ283" i="15"/>
  <c r="FM284" i="15"/>
  <c r="CY284" i="15"/>
  <c r="CZ284" i="15"/>
  <c r="DA284" i="15"/>
  <c r="FJ284" i="15"/>
  <c r="FO284" i="15"/>
  <c r="FQ284" i="15"/>
  <c r="FS284" i="15"/>
  <c r="FD284" i="15"/>
  <c r="GS284" i="15"/>
  <c r="FZ284" i="15" s="1"/>
  <c r="FE284" i="15"/>
  <c r="FF284" i="15"/>
  <c r="FG284" i="15"/>
  <c r="FH284" i="15"/>
  <c r="FP284" i="15"/>
  <c r="FI284" i="15"/>
  <c r="FK284" i="15"/>
  <c r="FL284" i="15"/>
  <c r="GR284" i="15"/>
  <c r="GP284" i="15" s="1"/>
  <c r="GO284" i="15" s="1"/>
  <c r="FW284" i="15"/>
  <c r="FN284" i="15"/>
  <c r="FR284" i="15"/>
  <c r="FV284" i="15"/>
  <c r="FX284" i="15"/>
  <c r="GT284" i="15"/>
  <c r="GU284" i="15"/>
  <c r="GV284" i="15"/>
  <c r="HZ284" i="15"/>
  <c r="FM285" i="15"/>
  <c r="CY285" i="15"/>
  <c r="CZ285" i="15"/>
  <c r="DA285" i="15"/>
  <c r="FJ285" i="15"/>
  <c r="FO285" i="15"/>
  <c r="FQ285" i="15"/>
  <c r="FS285" i="15"/>
  <c r="FD285" i="15"/>
  <c r="GS285" i="15"/>
  <c r="FZ285" i="15" s="1"/>
  <c r="FE285" i="15"/>
  <c r="FF285" i="15"/>
  <c r="FG285" i="15"/>
  <c r="FH285" i="15"/>
  <c r="FP285" i="15"/>
  <c r="FI285" i="15"/>
  <c r="FK285" i="15"/>
  <c r="FL285" i="15"/>
  <c r="GR285" i="15"/>
  <c r="GP285" i="15" s="1"/>
  <c r="GO285" i="15" s="1"/>
  <c r="FW285" i="15"/>
  <c r="FN285" i="15"/>
  <c r="FR285" i="15"/>
  <c r="FV285" i="15"/>
  <c r="FX285" i="15"/>
  <c r="GT285" i="15"/>
  <c r="GU285" i="15"/>
  <c r="GV285" i="15"/>
  <c r="HZ285" i="15"/>
  <c r="FM286" i="15"/>
  <c r="CY286" i="15"/>
  <c r="CZ286" i="15"/>
  <c r="DA286" i="15"/>
  <c r="FJ286" i="15"/>
  <c r="FO286" i="15"/>
  <c r="FQ286" i="15"/>
  <c r="FS286" i="15"/>
  <c r="FD286" i="15"/>
  <c r="GS286" i="15"/>
  <c r="FZ286" i="15" s="1"/>
  <c r="FE286" i="15"/>
  <c r="FF286" i="15"/>
  <c r="FG286" i="15"/>
  <c r="FH286" i="15"/>
  <c r="FP286" i="15"/>
  <c r="FI286" i="15"/>
  <c r="FK286" i="15"/>
  <c r="FL286" i="15"/>
  <c r="GR286" i="15"/>
  <c r="GP286" i="15" s="1"/>
  <c r="GO286" i="15" s="1"/>
  <c r="FW286" i="15"/>
  <c r="FN286" i="15"/>
  <c r="FR286" i="15"/>
  <c r="FV286" i="15"/>
  <c r="FX286" i="15"/>
  <c r="GT286" i="15"/>
  <c r="GU286" i="15"/>
  <c r="GV286" i="15"/>
  <c r="HZ286" i="15"/>
  <c r="FM287" i="15"/>
  <c r="CY287" i="15"/>
  <c r="CZ287" i="15"/>
  <c r="DA287" i="15"/>
  <c r="FJ287" i="15"/>
  <c r="FO287" i="15"/>
  <c r="FQ287" i="15"/>
  <c r="FS287" i="15"/>
  <c r="FD287" i="15"/>
  <c r="GS287" i="15"/>
  <c r="FZ287" i="15" s="1"/>
  <c r="FE287" i="15"/>
  <c r="FF287" i="15"/>
  <c r="FG287" i="15"/>
  <c r="FH287" i="15"/>
  <c r="FP287" i="15"/>
  <c r="FI287" i="15"/>
  <c r="FK287" i="15"/>
  <c r="FL287" i="15"/>
  <c r="GR287" i="15"/>
  <c r="GP287" i="15" s="1"/>
  <c r="GO287" i="15" s="1"/>
  <c r="FW287" i="15"/>
  <c r="FN287" i="15"/>
  <c r="FR287" i="15"/>
  <c r="FV287" i="15"/>
  <c r="FX287" i="15"/>
  <c r="GT287" i="15"/>
  <c r="GU287" i="15"/>
  <c r="GV287" i="15"/>
  <c r="HZ287" i="15"/>
  <c r="FM288" i="15"/>
  <c r="CY288" i="15"/>
  <c r="CZ288" i="15"/>
  <c r="DA288" i="15"/>
  <c r="FJ288" i="15"/>
  <c r="FO288" i="15"/>
  <c r="FQ288" i="15"/>
  <c r="FS288" i="15"/>
  <c r="FD288" i="15"/>
  <c r="GS288" i="15"/>
  <c r="FZ288" i="15" s="1"/>
  <c r="FE288" i="15"/>
  <c r="FF288" i="15"/>
  <c r="FG288" i="15"/>
  <c r="FH288" i="15"/>
  <c r="FP288" i="15"/>
  <c r="FI288" i="15"/>
  <c r="FK288" i="15"/>
  <c r="FL288" i="15"/>
  <c r="GR288" i="15"/>
  <c r="GP288" i="15" s="1"/>
  <c r="GO288" i="15" s="1"/>
  <c r="FW288" i="15"/>
  <c r="FN288" i="15"/>
  <c r="FR288" i="15"/>
  <c r="FV288" i="15"/>
  <c r="FX288" i="15"/>
  <c r="GT288" i="15"/>
  <c r="GU288" i="15"/>
  <c r="GV288" i="15"/>
  <c r="HZ288" i="15"/>
  <c r="FM289" i="15"/>
  <c r="CY289" i="15"/>
  <c r="CZ289" i="15"/>
  <c r="DA289" i="15"/>
  <c r="FJ289" i="15"/>
  <c r="FO289" i="15"/>
  <c r="FQ289" i="15"/>
  <c r="FS289" i="15"/>
  <c r="FD289" i="15"/>
  <c r="GS289" i="15"/>
  <c r="FZ289" i="15" s="1"/>
  <c r="FE289" i="15"/>
  <c r="FF289" i="15"/>
  <c r="FG289" i="15"/>
  <c r="FH289" i="15"/>
  <c r="FP289" i="15"/>
  <c r="FI289" i="15"/>
  <c r="FK289" i="15"/>
  <c r="FL289" i="15"/>
  <c r="GR289" i="15"/>
  <c r="GP289" i="15" s="1"/>
  <c r="GO289" i="15" s="1"/>
  <c r="FW289" i="15"/>
  <c r="FN289" i="15"/>
  <c r="FR289" i="15"/>
  <c r="FV289" i="15"/>
  <c r="FX289" i="15"/>
  <c r="GT289" i="15"/>
  <c r="GU289" i="15"/>
  <c r="GV289" i="15"/>
  <c r="HZ289" i="15"/>
  <c r="FM290" i="15"/>
  <c r="CY290" i="15"/>
  <c r="CZ290" i="15"/>
  <c r="DA290" i="15"/>
  <c r="FJ290" i="15"/>
  <c r="FO290" i="15"/>
  <c r="FQ290" i="15"/>
  <c r="FS290" i="15"/>
  <c r="FD290" i="15"/>
  <c r="GS290" i="15"/>
  <c r="FZ290" i="15" s="1"/>
  <c r="FE290" i="15"/>
  <c r="FF290" i="15"/>
  <c r="FG290" i="15"/>
  <c r="FH290" i="15"/>
  <c r="FP290" i="15"/>
  <c r="FI290" i="15"/>
  <c r="FK290" i="15"/>
  <c r="FL290" i="15"/>
  <c r="GR290" i="15"/>
  <c r="GP290" i="15" s="1"/>
  <c r="GO290" i="15" s="1"/>
  <c r="FW290" i="15"/>
  <c r="FN290" i="15"/>
  <c r="FR290" i="15"/>
  <c r="FV290" i="15"/>
  <c r="FX290" i="15"/>
  <c r="GT290" i="15"/>
  <c r="GU290" i="15"/>
  <c r="GV290" i="15"/>
  <c r="HZ290" i="15"/>
  <c r="FM291" i="15"/>
  <c r="CY291" i="15"/>
  <c r="CZ291" i="15"/>
  <c r="DA291" i="15"/>
  <c r="FJ291" i="15"/>
  <c r="FO291" i="15"/>
  <c r="FQ291" i="15"/>
  <c r="FS291" i="15"/>
  <c r="FD291" i="15"/>
  <c r="GS291" i="15"/>
  <c r="FZ291" i="15" s="1"/>
  <c r="FE291" i="15"/>
  <c r="FF291" i="15"/>
  <c r="FG291" i="15"/>
  <c r="FH291" i="15"/>
  <c r="FP291" i="15"/>
  <c r="FI291" i="15"/>
  <c r="FK291" i="15"/>
  <c r="FL291" i="15"/>
  <c r="GR291" i="15"/>
  <c r="GP291" i="15" s="1"/>
  <c r="GO291" i="15" s="1"/>
  <c r="FW291" i="15"/>
  <c r="FN291" i="15"/>
  <c r="FR291" i="15"/>
  <c r="FV291" i="15"/>
  <c r="FX291" i="15"/>
  <c r="GT291" i="15"/>
  <c r="GU291" i="15"/>
  <c r="GV291" i="15"/>
  <c r="HZ291" i="15"/>
  <c r="FM292" i="15"/>
  <c r="CY292" i="15"/>
  <c r="CZ292" i="15"/>
  <c r="DA292" i="15"/>
  <c r="FJ292" i="15"/>
  <c r="FO292" i="15"/>
  <c r="FQ292" i="15"/>
  <c r="FS292" i="15"/>
  <c r="FD292" i="15"/>
  <c r="GS292" i="15"/>
  <c r="FZ292" i="15" s="1"/>
  <c r="FE292" i="15"/>
  <c r="FF292" i="15"/>
  <c r="FG292" i="15"/>
  <c r="FH292" i="15"/>
  <c r="FP292" i="15"/>
  <c r="FI292" i="15"/>
  <c r="FK292" i="15"/>
  <c r="FL292" i="15"/>
  <c r="GR292" i="15"/>
  <c r="GP292" i="15" s="1"/>
  <c r="GO292" i="15" s="1"/>
  <c r="FW292" i="15"/>
  <c r="FN292" i="15"/>
  <c r="FR292" i="15"/>
  <c r="FV292" i="15"/>
  <c r="FX292" i="15"/>
  <c r="GT292" i="15"/>
  <c r="GU292" i="15"/>
  <c r="GV292" i="15"/>
  <c r="HZ292" i="15"/>
  <c r="FM293" i="15"/>
  <c r="CY293" i="15"/>
  <c r="CZ293" i="15"/>
  <c r="DA293" i="15"/>
  <c r="FJ293" i="15"/>
  <c r="FO293" i="15"/>
  <c r="FQ293" i="15"/>
  <c r="FS293" i="15"/>
  <c r="FD293" i="15"/>
  <c r="GS293" i="15"/>
  <c r="FZ293" i="15" s="1"/>
  <c r="FE293" i="15"/>
  <c r="FF293" i="15"/>
  <c r="FG293" i="15"/>
  <c r="FH293" i="15"/>
  <c r="FP293" i="15"/>
  <c r="FI293" i="15"/>
  <c r="FK293" i="15"/>
  <c r="FL293" i="15"/>
  <c r="GR293" i="15"/>
  <c r="GP293" i="15" s="1"/>
  <c r="GO293" i="15" s="1"/>
  <c r="FW293" i="15"/>
  <c r="FN293" i="15"/>
  <c r="FR293" i="15"/>
  <c r="FV293" i="15"/>
  <c r="FX293" i="15"/>
  <c r="GT293" i="15"/>
  <c r="GU293" i="15"/>
  <c r="GV293" i="15"/>
  <c r="HZ293" i="15"/>
  <c r="FM294" i="15"/>
  <c r="CY294" i="15"/>
  <c r="CZ294" i="15"/>
  <c r="DA294" i="15"/>
  <c r="FJ294" i="15"/>
  <c r="FO294" i="15"/>
  <c r="FQ294" i="15"/>
  <c r="FS294" i="15"/>
  <c r="FD294" i="15"/>
  <c r="GS294" i="15"/>
  <c r="FZ294" i="15" s="1"/>
  <c r="FE294" i="15"/>
  <c r="FF294" i="15"/>
  <c r="FG294" i="15"/>
  <c r="FH294" i="15"/>
  <c r="FP294" i="15"/>
  <c r="FI294" i="15"/>
  <c r="FK294" i="15"/>
  <c r="FL294" i="15"/>
  <c r="GR294" i="15"/>
  <c r="GP294" i="15" s="1"/>
  <c r="GO294" i="15" s="1"/>
  <c r="FW294" i="15"/>
  <c r="FN294" i="15"/>
  <c r="FR294" i="15"/>
  <c r="FV294" i="15"/>
  <c r="FX294" i="15"/>
  <c r="GT294" i="15"/>
  <c r="GU294" i="15"/>
  <c r="GV294" i="15"/>
  <c r="HZ294" i="15"/>
  <c r="FM295" i="15"/>
  <c r="CY295" i="15"/>
  <c r="CZ295" i="15"/>
  <c r="DA295" i="15"/>
  <c r="FJ295" i="15"/>
  <c r="FO295" i="15"/>
  <c r="FQ295" i="15"/>
  <c r="FS295" i="15"/>
  <c r="FD295" i="15"/>
  <c r="GS295" i="15"/>
  <c r="FZ295" i="15" s="1"/>
  <c r="FE295" i="15"/>
  <c r="FF295" i="15"/>
  <c r="FG295" i="15"/>
  <c r="FH295" i="15"/>
  <c r="FP295" i="15"/>
  <c r="FI295" i="15"/>
  <c r="FK295" i="15"/>
  <c r="FL295" i="15"/>
  <c r="GR295" i="15"/>
  <c r="GP295" i="15" s="1"/>
  <c r="GO295" i="15" s="1"/>
  <c r="FW295" i="15"/>
  <c r="FN295" i="15"/>
  <c r="FR295" i="15"/>
  <c r="FV295" i="15"/>
  <c r="FX295" i="15"/>
  <c r="GT295" i="15"/>
  <c r="GU295" i="15"/>
  <c r="GV295" i="15"/>
  <c r="HZ295" i="15"/>
  <c r="FM296" i="15"/>
  <c r="CY296" i="15"/>
  <c r="CZ296" i="15"/>
  <c r="DA296" i="15"/>
  <c r="FJ296" i="15"/>
  <c r="FO296" i="15"/>
  <c r="FQ296" i="15"/>
  <c r="FS296" i="15"/>
  <c r="FD296" i="15"/>
  <c r="GS296" i="15"/>
  <c r="FZ296" i="15" s="1"/>
  <c r="FE296" i="15"/>
  <c r="FF296" i="15"/>
  <c r="FG296" i="15"/>
  <c r="FH296" i="15"/>
  <c r="FP296" i="15"/>
  <c r="FI296" i="15"/>
  <c r="FK296" i="15"/>
  <c r="FL296" i="15"/>
  <c r="GR296" i="15"/>
  <c r="GP296" i="15" s="1"/>
  <c r="GO296" i="15" s="1"/>
  <c r="FW296" i="15"/>
  <c r="FN296" i="15"/>
  <c r="FR296" i="15"/>
  <c r="FV296" i="15"/>
  <c r="FX296" i="15"/>
  <c r="GT296" i="15"/>
  <c r="GU296" i="15"/>
  <c r="GV296" i="15"/>
  <c r="HZ296" i="15"/>
  <c r="FM297" i="15"/>
  <c r="CY297" i="15"/>
  <c r="CZ297" i="15"/>
  <c r="DA297" i="15"/>
  <c r="FJ297" i="15"/>
  <c r="FO297" i="15"/>
  <c r="FQ297" i="15"/>
  <c r="FS297" i="15"/>
  <c r="FD297" i="15"/>
  <c r="GS297" i="15"/>
  <c r="FZ297" i="15" s="1"/>
  <c r="FE297" i="15"/>
  <c r="FF297" i="15"/>
  <c r="FG297" i="15"/>
  <c r="FH297" i="15"/>
  <c r="FP297" i="15"/>
  <c r="FI297" i="15"/>
  <c r="FK297" i="15"/>
  <c r="FL297" i="15"/>
  <c r="GR297" i="15"/>
  <c r="GP297" i="15" s="1"/>
  <c r="GO297" i="15" s="1"/>
  <c r="FW297" i="15"/>
  <c r="FN297" i="15"/>
  <c r="FR297" i="15"/>
  <c r="FV297" i="15"/>
  <c r="FX297" i="15"/>
  <c r="GT297" i="15"/>
  <c r="GU297" i="15"/>
  <c r="GV297" i="15"/>
  <c r="HZ297" i="15"/>
  <c r="FM298" i="15"/>
  <c r="CY298" i="15"/>
  <c r="CZ298" i="15"/>
  <c r="DA298" i="15"/>
  <c r="FJ298" i="15"/>
  <c r="FO298" i="15"/>
  <c r="FQ298" i="15"/>
  <c r="FS298" i="15"/>
  <c r="FD298" i="15"/>
  <c r="GS298" i="15"/>
  <c r="FZ298" i="15" s="1"/>
  <c r="FE298" i="15"/>
  <c r="FF298" i="15"/>
  <c r="FG298" i="15"/>
  <c r="FH298" i="15"/>
  <c r="FP298" i="15"/>
  <c r="FI298" i="15"/>
  <c r="FK298" i="15"/>
  <c r="FL298" i="15"/>
  <c r="GR298" i="15"/>
  <c r="GP298" i="15" s="1"/>
  <c r="GO298" i="15" s="1"/>
  <c r="FW298" i="15"/>
  <c r="FN298" i="15"/>
  <c r="FR298" i="15"/>
  <c r="FV298" i="15"/>
  <c r="FX298" i="15"/>
  <c r="GT298" i="15"/>
  <c r="GU298" i="15"/>
  <c r="GV298" i="15"/>
  <c r="HZ298" i="15"/>
  <c r="FM299" i="15"/>
  <c r="CY299" i="15"/>
  <c r="CZ299" i="15"/>
  <c r="DA299" i="15"/>
  <c r="FJ299" i="15"/>
  <c r="FO299" i="15"/>
  <c r="FQ299" i="15"/>
  <c r="FS299" i="15"/>
  <c r="FD299" i="15"/>
  <c r="GS299" i="15"/>
  <c r="FZ299" i="15" s="1"/>
  <c r="FE299" i="15"/>
  <c r="FF299" i="15"/>
  <c r="FG299" i="15"/>
  <c r="FH299" i="15"/>
  <c r="FP299" i="15"/>
  <c r="FI299" i="15"/>
  <c r="FK299" i="15"/>
  <c r="FL299" i="15"/>
  <c r="GR299" i="15"/>
  <c r="GP299" i="15" s="1"/>
  <c r="GO299" i="15" s="1"/>
  <c r="FW299" i="15"/>
  <c r="FN299" i="15"/>
  <c r="FR299" i="15"/>
  <c r="FV299" i="15"/>
  <c r="FX299" i="15"/>
  <c r="GT299" i="15"/>
  <c r="GU299" i="15"/>
  <c r="GV299" i="15"/>
  <c r="HZ299" i="15"/>
  <c r="FM300" i="15"/>
  <c r="CY300" i="15"/>
  <c r="CZ300" i="15"/>
  <c r="DA300" i="15"/>
  <c r="FJ300" i="15"/>
  <c r="FO300" i="15"/>
  <c r="FQ300" i="15"/>
  <c r="FS300" i="15"/>
  <c r="FD300" i="15"/>
  <c r="GS300" i="15"/>
  <c r="FZ300" i="15" s="1"/>
  <c r="FE300" i="15"/>
  <c r="FF300" i="15"/>
  <c r="FG300" i="15"/>
  <c r="FH300" i="15"/>
  <c r="FP300" i="15"/>
  <c r="FI300" i="15"/>
  <c r="FK300" i="15"/>
  <c r="FL300" i="15"/>
  <c r="GR300" i="15"/>
  <c r="GP300" i="15" s="1"/>
  <c r="GO300" i="15" s="1"/>
  <c r="FW300" i="15"/>
  <c r="FN300" i="15"/>
  <c r="FR300" i="15"/>
  <c r="FV300" i="15"/>
  <c r="FX300" i="15"/>
  <c r="GT300" i="15"/>
  <c r="GU300" i="15"/>
  <c r="GV300" i="15"/>
  <c r="HZ300" i="15"/>
  <c r="FM301" i="15"/>
  <c r="CY301" i="15"/>
  <c r="CZ301" i="15"/>
  <c r="DA301" i="15"/>
  <c r="FJ301" i="15"/>
  <c r="FO301" i="15"/>
  <c r="FQ301" i="15"/>
  <c r="FS301" i="15"/>
  <c r="FD301" i="15"/>
  <c r="GS301" i="15"/>
  <c r="FZ301" i="15" s="1"/>
  <c r="FE301" i="15"/>
  <c r="FF301" i="15"/>
  <c r="FG301" i="15"/>
  <c r="FH301" i="15"/>
  <c r="FP301" i="15"/>
  <c r="FI301" i="15"/>
  <c r="FK301" i="15"/>
  <c r="FL301" i="15"/>
  <c r="GR301" i="15"/>
  <c r="GP301" i="15" s="1"/>
  <c r="GO301" i="15" s="1"/>
  <c r="FW301" i="15"/>
  <c r="FN301" i="15"/>
  <c r="FR301" i="15"/>
  <c r="FV301" i="15"/>
  <c r="FX301" i="15"/>
  <c r="GT301" i="15"/>
  <c r="GU301" i="15"/>
  <c r="GV301" i="15"/>
  <c r="HZ301" i="15"/>
  <c r="FM302" i="15"/>
  <c r="CY302" i="15"/>
  <c r="CZ302" i="15"/>
  <c r="DA302" i="15"/>
  <c r="FJ302" i="15"/>
  <c r="FO302" i="15"/>
  <c r="FQ302" i="15"/>
  <c r="FS302" i="15"/>
  <c r="FD302" i="15"/>
  <c r="GS302" i="15"/>
  <c r="FZ302" i="15" s="1"/>
  <c r="FE302" i="15"/>
  <c r="FF302" i="15"/>
  <c r="FG302" i="15"/>
  <c r="FH302" i="15"/>
  <c r="FP302" i="15"/>
  <c r="FI302" i="15"/>
  <c r="FK302" i="15"/>
  <c r="FL302" i="15"/>
  <c r="GR302" i="15"/>
  <c r="GP302" i="15" s="1"/>
  <c r="GO302" i="15" s="1"/>
  <c r="FW302" i="15"/>
  <c r="FN302" i="15"/>
  <c r="FR302" i="15"/>
  <c r="FV302" i="15"/>
  <c r="FX302" i="15"/>
  <c r="GT302" i="15"/>
  <c r="GU302" i="15"/>
  <c r="GV302" i="15"/>
  <c r="HZ302" i="15"/>
  <c r="FM303" i="15"/>
  <c r="CY303" i="15"/>
  <c r="CZ303" i="15"/>
  <c r="DA303" i="15"/>
  <c r="FJ303" i="15"/>
  <c r="FO303" i="15"/>
  <c r="FQ303" i="15"/>
  <c r="FS303" i="15"/>
  <c r="FD303" i="15"/>
  <c r="GS303" i="15"/>
  <c r="FZ303" i="15" s="1"/>
  <c r="FE303" i="15"/>
  <c r="FF303" i="15"/>
  <c r="FG303" i="15"/>
  <c r="FH303" i="15"/>
  <c r="FP303" i="15"/>
  <c r="FI303" i="15"/>
  <c r="FK303" i="15"/>
  <c r="FL303" i="15"/>
  <c r="GR303" i="15"/>
  <c r="GP303" i="15" s="1"/>
  <c r="GO303" i="15" s="1"/>
  <c r="FW303" i="15"/>
  <c r="FN303" i="15"/>
  <c r="FR303" i="15"/>
  <c r="FV303" i="15"/>
  <c r="FX303" i="15"/>
  <c r="GT303" i="15"/>
  <c r="GU303" i="15"/>
  <c r="GV303" i="15"/>
  <c r="HZ303" i="15"/>
  <c r="FM304" i="15"/>
  <c r="CY304" i="15"/>
  <c r="CZ304" i="15"/>
  <c r="DA304" i="15"/>
  <c r="FJ304" i="15"/>
  <c r="FO304" i="15"/>
  <c r="FQ304" i="15"/>
  <c r="FS304" i="15"/>
  <c r="FD304" i="15"/>
  <c r="GS304" i="15"/>
  <c r="FZ304" i="15" s="1"/>
  <c r="FE304" i="15"/>
  <c r="FF304" i="15"/>
  <c r="FG304" i="15"/>
  <c r="FH304" i="15"/>
  <c r="FP304" i="15"/>
  <c r="FI304" i="15"/>
  <c r="FK304" i="15"/>
  <c r="FL304" i="15"/>
  <c r="GR304" i="15"/>
  <c r="GP304" i="15" s="1"/>
  <c r="GO304" i="15" s="1"/>
  <c r="FW304" i="15"/>
  <c r="FN304" i="15"/>
  <c r="FR304" i="15"/>
  <c r="FV304" i="15"/>
  <c r="FX304" i="15"/>
  <c r="GT304" i="15"/>
  <c r="GU304" i="15"/>
  <c r="GV304" i="15"/>
  <c r="HZ304" i="15"/>
  <c r="FM305" i="15"/>
  <c r="CY305" i="15"/>
  <c r="CZ305" i="15"/>
  <c r="DA305" i="15"/>
  <c r="FJ305" i="15"/>
  <c r="FO305" i="15"/>
  <c r="FQ305" i="15"/>
  <c r="FS305" i="15"/>
  <c r="FD305" i="15"/>
  <c r="GS305" i="15"/>
  <c r="FZ305" i="15" s="1"/>
  <c r="FE305" i="15"/>
  <c r="FF305" i="15"/>
  <c r="FG305" i="15"/>
  <c r="FH305" i="15"/>
  <c r="FP305" i="15"/>
  <c r="FI305" i="15"/>
  <c r="FK305" i="15"/>
  <c r="FL305" i="15"/>
  <c r="GR305" i="15"/>
  <c r="GP305" i="15" s="1"/>
  <c r="GO305" i="15" s="1"/>
  <c r="FW305" i="15"/>
  <c r="FN305" i="15"/>
  <c r="FR305" i="15"/>
  <c r="FV305" i="15"/>
  <c r="FX305" i="15"/>
  <c r="GT305" i="15"/>
  <c r="GU305" i="15"/>
  <c r="GV305" i="15"/>
  <c r="HZ305" i="15"/>
  <c r="FM306" i="15"/>
  <c r="CY306" i="15"/>
  <c r="CZ306" i="15"/>
  <c r="DA306" i="15"/>
  <c r="FJ306" i="15"/>
  <c r="FO306" i="15"/>
  <c r="FQ306" i="15"/>
  <c r="FS306" i="15"/>
  <c r="FD306" i="15"/>
  <c r="GS306" i="15"/>
  <c r="FZ306" i="15" s="1"/>
  <c r="FE306" i="15"/>
  <c r="FF306" i="15"/>
  <c r="FG306" i="15"/>
  <c r="FH306" i="15"/>
  <c r="FP306" i="15"/>
  <c r="FI306" i="15"/>
  <c r="FK306" i="15"/>
  <c r="FL306" i="15"/>
  <c r="GR306" i="15"/>
  <c r="GP306" i="15" s="1"/>
  <c r="GO306" i="15" s="1"/>
  <c r="FW306" i="15"/>
  <c r="FN306" i="15"/>
  <c r="FR306" i="15"/>
  <c r="FV306" i="15"/>
  <c r="FX306" i="15"/>
  <c r="GT306" i="15"/>
  <c r="GU306" i="15"/>
  <c r="GV306" i="15"/>
  <c r="HZ306" i="15"/>
  <c r="FM307" i="15"/>
  <c r="CY307" i="15"/>
  <c r="CZ307" i="15"/>
  <c r="DA307" i="15"/>
  <c r="FJ307" i="15"/>
  <c r="FO307" i="15"/>
  <c r="FQ307" i="15"/>
  <c r="FS307" i="15"/>
  <c r="FD307" i="15"/>
  <c r="GS307" i="15"/>
  <c r="FZ307" i="15" s="1"/>
  <c r="FE307" i="15"/>
  <c r="FF307" i="15"/>
  <c r="FG307" i="15"/>
  <c r="FH307" i="15"/>
  <c r="FP307" i="15"/>
  <c r="FI307" i="15"/>
  <c r="FK307" i="15"/>
  <c r="FL307" i="15"/>
  <c r="GR307" i="15"/>
  <c r="GP307" i="15" s="1"/>
  <c r="GO307" i="15" s="1"/>
  <c r="FW307" i="15"/>
  <c r="FN307" i="15"/>
  <c r="FR307" i="15"/>
  <c r="FV307" i="15"/>
  <c r="FX307" i="15"/>
  <c r="GT307" i="15"/>
  <c r="GU307" i="15"/>
  <c r="GV307" i="15"/>
  <c r="HZ307" i="15"/>
  <c r="FM308" i="15"/>
  <c r="CY308" i="15"/>
  <c r="CZ308" i="15"/>
  <c r="DA308" i="15"/>
  <c r="FJ308" i="15"/>
  <c r="FO308" i="15"/>
  <c r="FQ308" i="15"/>
  <c r="FS308" i="15"/>
  <c r="FD308" i="15"/>
  <c r="GS308" i="15"/>
  <c r="FZ308" i="15" s="1"/>
  <c r="FE308" i="15"/>
  <c r="FF308" i="15"/>
  <c r="FG308" i="15"/>
  <c r="FH308" i="15"/>
  <c r="FP308" i="15"/>
  <c r="FI308" i="15"/>
  <c r="FK308" i="15"/>
  <c r="FL308" i="15"/>
  <c r="GR308" i="15"/>
  <c r="GP308" i="15" s="1"/>
  <c r="GO308" i="15" s="1"/>
  <c r="FW308" i="15"/>
  <c r="FN308" i="15"/>
  <c r="FR308" i="15"/>
  <c r="FV308" i="15"/>
  <c r="FX308" i="15"/>
  <c r="GT308" i="15"/>
  <c r="GU308" i="15"/>
  <c r="GV308" i="15"/>
  <c r="HZ308" i="15"/>
  <c r="FM309" i="15"/>
  <c r="CY309" i="15"/>
  <c r="CZ309" i="15"/>
  <c r="DA309" i="15"/>
  <c r="FJ309" i="15"/>
  <c r="FO309" i="15"/>
  <c r="FQ309" i="15"/>
  <c r="FS309" i="15"/>
  <c r="FD309" i="15"/>
  <c r="GS309" i="15"/>
  <c r="FZ309" i="15" s="1"/>
  <c r="FE309" i="15"/>
  <c r="FF309" i="15"/>
  <c r="FG309" i="15"/>
  <c r="FH309" i="15"/>
  <c r="FP309" i="15"/>
  <c r="FI309" i="15"/>
  <c r="FK309" i="15"/>
  <c r="FL309" i="15"/>
  <c r="GR309" i="15"/>
  <c r="GP309" i="15" s="1"/>
  <c r="GO309" i="15" s="1"/>
  <c r="FW309" i="15"/>
  <c r="FN309" i="15"/>
  <c r="FR309" i="15"/>
  <c r="FV309" i="15"/>
  <c r="FX309" i="15"/>
  <c r="GT309" i="15"/>
  <c r="GU309" i="15"/>
  <c r="GV309" i="15"/>
  <c r="HZ309" i="15"/>
  <c r="FM310" i="15"/>
  <c r="CY310" i="15"/>
  <c r="CZ310" i="15"/>
  <c r="DA310" i="15"/>
  <c r="FJ310" i="15"/>
  <c r="FO310" i="15"/>
  <c r="FQ310" i="15"/>
  <c r="FS310" i="15"/>
  <c r="FD310" i="15"/>
  <c r="GS310" i="15"/>
  <c r="FZ310" i="15" s="1"/>
  <c r="FE310" i="15"/>
  <c r="FF310" i="15"/>
  <c r="FG310" i="15"/>
  <c r="FH310" i="15"/>
  <c r="FP310" i="15"/>
  <c r="FI310" i="15"/>
  <c r="FK310" i="15"/>
  <c r="FL310" i="15"/>
  <c r="GR310" i="15"/>
  <c r="GP310" i="15" s="1"/>
  <c r="GO310" i="15" s="1"/>
  <c r="FW310" i="15"/>
  <c r="FN310" i="15"/>
  <c r="FR310" i="15"/>
  <c r="FV310" i="15"/>
  <c r="FX310" i="15"/>
  <c r="GT310" i="15"/>
  <c r="GU310" i="15"/>
  <c r="GV310" i="15"/>
  <c r="HZ310" i="15"/>
  <c r="FM311" i="15"/>
  <c r="CY311" i="15"/>
  <c r="CZ311" i="15"/>
  <c r="DA311" i="15"/>
  <c r="FJ311" i="15"/>
  <c r="FO311" i="15"/>
  <c r="FQ311" i="15"/>
  <c r="FS311" i="15"/>
  <c r="FD311" i="15"/>
  <c r="GS311" i="15"/>
  <c r="FZ311" i="15" s="1"/>
  <c r="FE311" i="15"/>
  <c r="FF311" i="15"/>
  <c r="FG311" i="15"/>
  <c r="FH311" i="15"/>
  <c r="FP311" i="15"/>
  <c r="FI311" i="15"/>
  <c r="FK311" i="15"/>
  <c r="FL311" i="15"/>
  <c r="GR311" i="15"/>
  <c r="GP311" i="15" s="1"/>
  <c r="GO311" i="15" s="1"/>
  <c r="FW311" i="15"/>
  <c r="FN311" i="15"/>
  <c r="FR311" i="15"/>
  <c r="FV311" i="15"/>
  <c r="FX311" i="15"/>
  <c r="GT311" i="15"/>
  <c r="GU311" i="15"/>
  <c r="GV311" i="15"/>
  <c r="HZ311" i="15"/>
  <c r="FM312" i="15"/>
  <c r="CY312" i="15"/>
  <c r="CZ312" i="15"/>
  <c r="DA312" i="15"/>
  <c r="FJ312" i="15"/>
  <c r="FO312" i="15"/>
  <c r="FQ312" i="15"/>
  <c r="FS312" i="15"/>
  <c r="FD312" i="15"/>
  <c r="GS312" i="15"/>
  <c r="FZ312" i="15" s="1"/>
  <c r="FE312" i="15"/>
  <c r="FF312" i="15"/>
  <c r="FG312" i="15"/>
  <c r="FH312" i="15"/>
  <c r="FP312" i="15"/>
  <c r="FI312" i="15"/>
  <c r="FK312" i="15"/>
  <c r="FL312" i="15"/>
  <c r="GR312" i="15"/>
  <c r="GP312" i="15" s="1"/>
  <c r="GO312" i="15" s="1"/>
  <c r="FW312" i="15"/>
  <c r="FN312" i="15"/>
  <c r="FR312" i="15"/>
  <c r="FV312" i="15"/>
  <c r="FX312" i="15"/>
  <c r="GT312" i="15"/>
  <c r="GU312" i="15"/>
  <c r="GV312" i="15"/>
  <c r="HZ312" i="15"/>
  <c r="FM313" i="15"/>
  <c r="CY313" i="15"/>
  <c r="CZ313" i="15"/>
  <c r="DA313" i="15"/>
  <c r="FJ313" i="15"/>
  <c r="FO313" i="15"/>
  <c r="FQ313" i="15"/>
  <c r="FS313" i="15"/>
  <c r="FD313" i="15"/>
  <c r="GS313" i="15"/>
  <c r="FZ313" i="15" s="1"/>
  <c r="FE313" i="15"/>
  <c r="FF313" i="15"/>
  <c r="FG313" i="15"/>
  <c r="FH313" i="15"/>
  <c r="FP313" i="15"/>
  <c r="FI313" i="15"/>
  <c r="FK313" i="15"/>
  <c r="FL313" i="15"/>
  <c r="GR313" i="15"/>
  <c r="GP313" i="15" s="1"/>
  <c r="GO313" i="15" s="1"/>
  <c r="FW313" i="15"/>
  <c r="FN313" i="15"/>
  <c r="FR313" i="15"/>
  <c r="FV313" i="15"/>
  <c r="FX313" i="15"/>
  <c r="GT313" i="15"/>
  <c r="GU313" i="15"/>
  <c r="GV313" i="15"/>
  <c r="HZ313" i="15"/>
  <c r="FM314" i="15"/>
  <c r="CY314" i="15"/>
  <c r="CZ314" i="15"/>
  <c r="DA314" i="15"/>
  <c r="FJ314" i="15"/>
  <c r="FO314" i="15"/>
  <c r="FQ314" i="15"/>
  <c r="FS314" i="15"/>
  <c r="FD314" i="15"/>
  <c r="GS314" i="15"/>
  <c r="FZ314" i="15" s="1"/>
  <c r="FE314" i="15"/>
  <c r="FF314" i="15"/>
  <c r="FG314" i="15"/>
  <c r="FH314" i="15"/>
  <c r="FP314" i="15"/>
  <c r="FI314" i="15"/>
  <c r="FK314" i="15"/>
  <c r="FL314" i="15"/>
  <c r="GR314" i="15"/>
  <c r="GP314" i="15" s="1"/>
  <c r="GO314" i="15" s="1"/>
  <c r="FW314" i="15"/>
  <c r="FN314" i="15"/>
  <c r="FR314" i="15"/>
  <c r="FV314" i="15"/>
  <c r="FX314" i="15"/>
  <c r="GT314" i="15"/>
  <c r="GU314" i="15"/>
  <c r="GV314" i="15"/>
  <c r="HZ314" i="15"/>
  <c r="FM315" i="15"/>
  <c r="CY315" i="15"/>
  <c r="CZ315" i="15"/>
  <c r="DA315" i="15"/>
  <c r="FJ315" i="15"/>
  <c r="FO315" i="15"/>
  <c r="FQ315" i="15"/>
  <c r="FS315" i="15"/>
  <c r="FD315" i="15"/>
  <c r="GS315" i="15"/>
  <c r="FZ315" i="15" s="1"/>
  <c r="FE315" i="15"/>
  <c r="FF315" i="15"/>
  <c r="FG315" i="15"/>
  <c r="FH315" i="15"/>
  <c r="FP315" i="15"/>
  <c r="FI315" i="15"/>
  <c r="FK315" i="15"/>
  <c r="FL315" i="15"/>
  <c r="GR315" i="15"/>
  <c r="GP315" i="15" s="1"/>
  <c r="GO315" i="15" s="1"/>
  <c r="FW315" i="15"/>
  <c r="FN315" i="15"/>
  <c r="FR315" i="15"/>
  <c r="FV315" i="15"/>
  <c r="FX315" i="15"/>
  <c r="GT315" i="15"/>
  <c r="GU315" i="15"/>
  <c r="GV315" i="15"/>
  <c r="HZ315" i="15"/>
  <c r="FM316" i="15"/>
  <c r="CY316" i="15"/>
  <c r="CZ316" i="15"/>
  <c r="DA316" i="15"/>
  <c r="FJ316" i="15"/>
  <c r="FO316" i="15"/>
  <c r="FQ316" i="15"/>
  <c r="FS316" i="15"/>
  <c r="FD316" i="15"/>
  <c r="GS316" i="15"/>
  <c r="FZ316" i="15" s="1"/>
  <c r="FE316" i="15"/>
  <c r="FF316" i="15"/>
  <c r="FG316" i="15"/>
  <c r="FH316" i="15"/>
  <c r="FP316" i="15"/>
  <c r="FI316" i="15"/>
  <c r="FK316" i="15"/>
  <c r="FL316" i="15"/>
  <c r="GR316" i="15"/>
  <c r="GP316" i="15" s="1"/>
  <c r="GO316" i="15" s="1"/>
  <c r="FW316" i="15"/>
  <c r="FN316" i="15"/>
  <c r="FR316" i="15"/>
  <c r="FV316" i="15"/>
  <c r="FX316" i="15"/>
  <c r="GT316" i="15"/>
  <c r="GU316" i="15"/>
  <c r="GV316" i="15"/>
  <c r="HZ316" i="15"/>
  <c r="FM317" i="15"/>
  <c r="CY317" i="15"/>
  <c r="CZ317" i="15"/>
  <c r="DA317" i="15"/>
  <c r="FJ317" i="15"/>
  <c r="FO317" i="15"/>
  <c r="FQ317" i="15"/>
  <c r="FS317" i="15"/>
  <c r="FD317" i="15"/>
  <c r="GS317" i="15"/>
  <c r="FZ317" i="15" s="1"/>
  <c r="FE317" i="15"/>
  <c r="FF317" i="15"/>
  <c r="FG317" i="15"/>
  <c r="FH317" i="15"/>
  <c r="FP317" i="15"/>
  <c r="FI317" i="15"/>
  <c r="FK317" i="15"/>
  <c r="FL317" i="15"/>
  <c r="GR317" i="15"/>
  <c r="GP317" i="15" s="1"/>
  <c r="GO317" i="15" s="1"/>
  <c r="FW317" i="15"/>
  <c r="FN317" i="15"/>
  <c r="FR317" i="15"/>
  <c r="FV317" i="15"/>
  <c r="FX317" i="15"/>
  <c r="GT317" i="15"/>
  <c r="GU317" i="15"/>
  <c r="GV317" i="15"/>
  <c r="HZ317" i="15"/>
  <c r="FM318" i="15"/>
  <c r="CY318" i="15"/>
  <c r="CZ318" i="15"/>
  <c r="DA318" i="15"/>
  <c r="FJ318" i="15"/>
  <c r="FO318" i="15"/>
  <c r="FQ318" i="15"/>
  <c r="FS318" i="15"/>
  <c r="FD318" i="15"/>
  <c r="GS318" i="15"/>
  <c r="FZ318" i="15" s="1"/>
  <c r="FE318" i="15"/>
  <c r="FF318" i="15"/>
  <c r="FG318" i="15"/>
  <c r="FH318" i="15"/>
  <c r="FP318" i="15"/>
  <c r="FI318" i="15"/>
  <c r="FK318" i="15"/>
  <c r="FL318" i="15"/>
  <c r="GR318" i="15"/>
  <c r="GP318" i="15" s="1"/>
  <c r="GO318" i="15" s="1"/>
  <c r="FW318" i="15"/>
  <c r="FN318" i="15"/>
  <c r="FR318" i="15"/>
  <c r="FV318" i="15"/>
  <c r="FX318" i="15"/>
  <c r="GT318" i="15"/>
  <c r="GU318" i="15"/>
  <c r="GV318" i="15"/>
  <c r="HZ318" i="15"/>
  <c r="FM319" i="15"/>
  <c r="CY319" i="15"/>
  <c r="CZ319" i="15"/>
  <c r="DA319" i="15"/>
  <c r="FJ319" i="15"/>
  <c r="FO319" i="15"/>
  <c r="FQ319" i="15"/>
  <c r="FS319" i="15"/>
  <c r="FD319" i="15"/>
  <c r="GS319" i="15"/>
  <c r="FZ319" i="15" s="1"/>
  <c r="FE319" i="15"/>
  <c r="FF319" i="15"/>
  <c r="FG319" i="15"/>
  <c r="FH319" i="15"/>
  <c r="FP319" i="15"/>
  <c r="FI319" i="15"/>
  <c r="FK319" i="15"/>
  <c r="FL319" i="15"/>
  <c r="GR319" i="15"/>
  <c r="GP319" i="15" s="1"/>
  <c r="GO319" i="15" s="1"/>
  <c r="FW319" i="15"/>
  <c r="FN319" i="15"/>
  <c r="FR319" i="15"/>
  <c r="FV319" i="15"/>
  <c r="FX319" i="15"/>
  <c r="GT319" i="15"/>
  <c r="GU319" i="15"/>
  <c r="GV319" i="15"/>
  <c r="HZ319" i="15"/>
  <c r="FM320" i="15"/>
  <c r="CY320" i="15"/>
  <c r="CZ320" i="15"/>
  <c r="DA320" i="15"/>
  <c r="FJ320" i="15"/>
  <c r="FO320" i="15"/>
  <c r="FQ320" i="15"/>
  <c r="FS320" i="15"/>
  <c r="FD320" i="15"/>
  <c r="GS320" i="15"/>
  <c r="FZ320" i="15" s="1"/>
  <c r="FE320" i="15"/>
  <c r="FF320" i="15"/>
  <c r="FG320" i="15"/>
  <c r="FH320" i="15"/>
  <c r="FP320" i="15"/>
  <c r="FI320" i="15"/>
  <c r="FK320" i="15"/>
  <c r="FL320" i="15"/>
  <c r="GR320" i="15"/>
  <c r="GP320" i="15" s="1"/>
  <c r="GO320" i="15" s="1"/>
  <c r="FW320" i="15"/>
  <c r="FN320" i="15"/>
  <c r="FR320" i="15"/>
  <c r="FV320" i="15"/>
  <c r="FX320" i="15"/>
  <c r="GT320" i="15"/>
  <c r="GU320" i="15"/>
  <c r="GV320" i="15"/>
  <c r="HZ320" i="15"/>
  <c r="FM321" i="15"/>
  <c r="CY321" i="15"/>
  <c r="CZ321" i="15"/>
  <c r="DA321" i="15"/>
  <c r="FJ321" i="15"/>
  <c r="FO321" i="15"/>
  <c r="FQ321" i="15"/>
  <c r="FS321" i="15"/>
  <c r="FD321" i="15"/>
  <c r="GS321" i="15"/>
  <c r="FZ321" i="15" s="1"/>
  <c r="FE321" i="15"/>
  <c r="FF321" i="15"/>
  <c r="FG321" i="15"/>
  <c r="FH321" i="15"/>
  <c r="FP321" i="15"/>
  <c r="FI321" i="15"/>
  <c r="FK321" i="15"/>
  <c r="FL321" i="15"/>
  <c r="GR321" i="15"/>
  <c r="GP321" i="15" s="1"/>
  <c r="GO321" i="15" s="1"/>
  <c r="FW321" i="15"/>
  <c r="FN321" i="15"/>
  <c r="FR321" i="15"/>
  <c r="FV321" i="15"/>
  <c r="FX321" i="15"/>
  <c r="GT321" i="15"/>
  <c r="GU321" i="15"/>
  <c r="GV321" i="15"/>
  <c r="HZ321" i="15"/>
  <c r="FM322" i="15"/>
  <c r="CY322" i="15"/>
  <c r="CZ322" i="15"/>
  <c r="DA322" i="15"/>
  <c r="FJ322" i="15"/>
  <c r="FO322" i="15"/>
  <c r="FQ322" i="15"/>
  <c r="FS322" i="15"/>
  <c r="FD322" i="15"/>
  <c r="GS322" i="15"/>
  <c r="FZ322" i="15" s="1"/>
  <c r="FE322" i="15"/>
  <c r="FF322" i="15"/>
  <c r="FG322" i="15"/>
  <c r="FH322" i="15"/>
  <c r="FP322" i="15"/>
  <c r="FI322" i="15"/>
  <c r="FK322" i="15"/>
  <c r="FL322" i="15"/>
  <c r="GR322" i="15"/>
  <c r="GP322" i="15" s="1"/>
  <c r="GO322" i="15" s="1"/>
  <c r="FW322" i="15"/>
  <c r="FN322" i="15"/>
  <c r="FR322" i="15"/>
  <c r="FV322" i="15"/>
  <c r="FX322" i="15"/>
  <c r="GT322" i="15"/>
  <c r="GU322" i="15"/>
  <c r="GV322" i="15"/>
  <c r="HZ322" i="15"/>
  <c r="FM323" i="15"/>
  <c r="CY323" i="15"/>
  <c r="CZ323" i="15"/>
  <c r="DA323" i="15"/>
  <c r="FJ323" i="15"/>
  <c r="FO323" i="15"/>
  <c r="FQ323" i="15"/>
  <c r="FS323" i="15"/>
  <c r="FD323" i="15"/>
  <c r="GS323" i="15"/>
  <c r="FZ323" i="15" s="1"/>
  <c r="FE323" i="15"/>
  <c r="FF323" i="15"/>
  <c r="FG323" i="15"/>
  <c r="FH323" i="15"/>
  <c r="FP323" i="15"/>
  <c r="FI323" i="15"/>
  <c r="FK323" i="15"/>
  <c r="FL323" i="15"/>
  <c r="GR323" i="15"/>
  <c r="GP323" i="15" s="1"/>
  <c r="GO323" i="15" s="1"/>
  <c r="FW323" i="15"/>
  <c r="FN323" i="15"/>
  <c r="FR323" i="15"/>
  <c r="FV323" i="15"/>
  <c r="FX323" i="15"/>
  <c r="GT323" i="15"/>
  <c r="GU323" i="15"/>
  <c r="GV323" i="15"/>
  <c r="HZ323" i="15"/>
  <c r="FM324" i="15"/>
  <c r="CY324" i="15"/>
  <c r="CZ324" i="15"/>
  <c r="DA324" i="15"/>
  <c r="FJ324" i="15"/>
  <c r="FO324" i="15"/>
  <c r="FQ324" i="15"/>
  <c r="FS324" i="15"/>
  <c r="FD324" i="15"/>
  <c r="GS324" i="15"/>
  <c r="FZ324" i="15" s="1"/>
  <c r="FE324" i="15"/>
  <c r="FF324" i="15"/>
  <c r="FG324" i="15"/>
  <c r="FH324" i="15"/>
  <c r="FP324" i="15"/>
  <c r="FI324" i="15"/>
  <c r="FK324" i="15"/>
  <c r="FL324" i="15"/>
  <c r="GR324" i="15"/>
  <c r="GP324" i="15" s="1"/>
  <c r="GO324" i="15" s="1"/>
  <c r="FW324" i="15"/>
  <c r="FN324" i="15"/>
  <c r="FR324" i="15"/>
  <c r="FV324" i="15"/>
  <c r="FX324" i="15"/>
  <c r="GT324" i="15"/>
  <c r="GU324" i="15"/>
  <c r="GV324" i="15"/>
  <c r="HZ324" i="15"/>
  <c r="FM325" i="15"/>
  <c r="CY325" i="15"/>
  <c r="CZ325" i="15"/>
  <c r="DA325" i="15"/>
  <c r="FJ325" i="15"/>
  <c r="FO325" i="15"/>
  <c r="FQ325" i="15"/>
  <c r="FS325" i="15"/>
  <c r="FD325" i="15"/>
  <c r="GS325" i="15"/>
  <c r="FZ325" i="15" s="1"/>
  <c r="FE325" i="15"/>
  <c r="FF325" i="15"/>
  <c r="FG325" i="15"/>
  <c r="FH325" i="15"/>
  <c r="FP325" i="15"/>
  <c r="FI325" i="15"/>
  <c r="FK325" i="15"/>
  <c r="FL325" i="15"/>
  <c r="GR325" i="15"/>
  <c r="GP325" i="15" s="1"/>
  <c r="GO325" i="15" s="1"/>
  <c r="FW325" i="15"/>
  <c r="FN325" i="15"/>
  <c r="FR325" i="15"/>
  <c r="FV325" i="15"/>
  <c r="FX325" i="15"/>
  <c r="GT325" i="15"/>
  <c r="GU325" i="15"/>
  <c r="GV325" i="15"/>
  <c r="HZ325" i="15"/>
  <c r="FM326" i="15"/>
  <c r="CY326" i="15"/>
  <c r="CZ326" i="15"/>
  <c r="DA326" i="15"/>
  <c r="FJ326" i="15"/>
  <c r="FO326" i="15"/>
  <c r="FQ326" i="15"/>
  <c r="FS326" i="15"/>
  <c r="FD326" i="15"/>
  <c r="GS326" i="15"/>
  <c r="FZ326" i="15" s="1"/>
  <c r="FE326" i="15"/>
  <c r="FF326" i="15"/>
  <c r="FG326" i="15"/>
  <c r="FH326" i="15"/>
  <c r="FP326" i="15"/>
  <c r="FI326" i="15"/>
  <c r="FK326" i="15"/>
  <c r="FL326" i="15"/>
  <c r="GR326" i="15"/>
  <c r="FW326" i="15"/>
  <c r="FN326" i="15"/>
  <c r="FR326" i="15"/>
  <c r="FV326" i="15"/>
  <c r="FX326" i="15"/>
  <c r="GT326" i="15"/>
  <c r="GU326" i="15"/>
  <c r="GV326" i="15"/>
  <c r="HZ326" i="15"/>
  <c r="FM327" i="15"/>
  <c r="CY327" i="15"/>
  <c r="CZ327" i="15"/>
  <c r="DA327" i="15"/>
  <c r="FJ327" i="15"/>
  <c r="FO327" i="15"/>
  <c r="FQ327" i="15"/>
  <c r="FS327" i="15"/>
  <c r="FD327" i="15"/>
  <c r="GS327" i="15"/>
  <c r="FZ327" i="15" s="1"/>
  <c r="FE327" i="15"/>
  <c r="FF327" i="15"/>
  <c r="FG327" i="15"/>
  <c r="FH327" i="15"/>
  <c r="FP327" i="15"/>
  <c r="FI327" i="15"/>
  <c r="FK327" i="15"/>
  <c r="FL327" i="15"/>
  <c r="GR327" i="15"/>
  <c r="GP327" i="15" s="1"/>
  <c r="GO327" i="15" s="1"/>
  <c r="FW327" i="15"/>
  <c r="FN327" i="15"/>
  <c r="FR327" i="15"/>
  <c r="FV327" i="15"/>
  <c r="FX327" i="15"/>
  <c r="GT327" i="15"/>
  <c r="GU327" i="15"/>
  <c r="GV327" i="15"/>
  <c r="HZ327" i="15"/>
  <c r="FM328" i="15"/>
  <c r="CY328" i="15"/>
  <c r="CZ328" i="15"/>
  <c r="DA328" i="15"/>
  <c r="FJ328" i="15"/>
  <c r="FO328" i="15"/>
  <c r="FQ328" i="15"/>
  <c r="FS328" i="15"/>
  <c r="FD328" i="15"/>
  <c r="GS328" i="15"/>
  <c r="FZ328" i="15" s="1"/>
  <c r="FE328" i="15"/>
  <c r="FF328" i="15"/>
  <c r="FG328" i="15"/>
  <c r="FH328" i="15"/>
  <c r="FP328" i="15"/>
  <c r="FI328" i="15"/>
  <c r="FK328" i="15"/>
  <c r="FL328" i="15"/>
  <c r="GR328" i="15"/>
  <c r="GP328" i="15" s="1"/>
  <c r="GO328" i="15" s="1"/>
  <c r="FW328" i="15"/>
  <c r="FN328" i="15"/>
  <c r="FR328" i="15"/>
  <c r="FV328" i="15"/>
  <c r="FX328" i="15"/>
  <c r="GT328" i="15"/>
  <c r="GU328" i="15"/>
  <c r="GV328" i="15"/>
  <c r="HZ328" i="15"/>
  <c r="FM329" i="15"/>
  <c r="CY329" i="15"/>
  <c r="CZ329" i="15"/>
  <c r="DA329" i="15"/>
  <c r="FJ329" i="15"/>
  <c r="FO329" i="15"/>
  <c r="FQ329" i="15"/>
  <c r="FS329" i="15"/>
  <c r="FD329" i="15"/>
  <c r="GS329" i="15"/>
  <c r="FZ329" i="15" s="1"/>
  <c r="FE329" i="15"/>
  <c r="FF329" i="15"/>
  <c r="FG329" i="15"/>
  <c r="FH329" i="15"/>
  <c r="FP329" i="15"/>
  <c r="FI329" i="15"/>
  <c r="FK329" i="15"/>
  <c r="FL329" i="15"/>
  <c r="GR329" i="15"/>
  <c r="GP329" i="15" s="1"/>
  <c r="GO329" i="15" s="1"/>
  <c r="FW329" i="15"/>
  <c r="FN329" i="15"/>
  <c r="FR329" i="15"/>
  <c r="FV329" i="15"/>
  <c r="FX329" i="15"/>
  <c r="GT329" i="15"/>
  <c r="GU329" i="15"/>
  <c r="GV329" i="15"/>
  <c r="HZ329" i="15"/>
  <c r="FM330" i="15"/>
  <c r="CY330" i="15"/>
  <c r="CZ330" i="15"/>
  <c r="DA330" i="15"/>
  <c r="FJ330" i="15"/>
  <c r="FO330" i="15"/>
  <c r="FQ330" i="15"/>
  <c r="FS330" i="15"/>
  <c r="FD330" i="15"/>
  <c r="GS330" i="15"/>
  <c r="FZ330" i="15" s="1"/>
  <c r="FE330" i="15"/>
  <c r="FF330" i="15"/>
  <c r="FG330" i="15"/>
  <c r="FH330" i="15"/>
  <c r="FP330" i="15"/>
  <c r="FI330" i="15"/>
  <c r="FK330" i="15"/>
  <c r="FL330" i="15"/>
  <c r="GR330" i="15"/>
  <c r="GP330" i="15" s="1"/>
  <c r="GO330" i="15" s="1"/>
  <c r="FW330" i="15"/>
  <c r="FN330" i="15"/>
  <c r="FR330" i="15"/>
  <c r="FV330" i="15"/>
  <c r="FX330" i="15"/>
  <c r="GT330" i="15"/>
  <c r="GU330" i="15"/>
  <c r="GV330" i="15"/>
  <c r="HZ330" i="15"/>
  <c r="FM331" i="15"/>
  <c r="CY331" i="15"/>
  <c r="CZ331" i="15"/>
  <c r="DA331" i="15"/>
  <c r="FJ331" i="15"/>
  <c r="FO331" i="15"/>
  <c r="FQ331" i="15"/>
  <c r="FS331" i="15"/>
  <c r="FD331" i="15"/>
  <c r="GS331" i="15"/>
  <c r="FZ331" i="15" s="1"/>
  <c r="FE331" i="15"/>
  <c r="FF331" i="15"/>
  <c r="FG331" i="15"/>
  <c r="FH331" i="15"/>
  <c r="FP331" i="15"/>
  <c r="FI331" i="15"/>
  <c r="FK331" i="15"/>
  <c r="FL331" i="15"/>
  <c r="GR331" i="15"/>
  <c r="GP331" i="15" s="1"/>
  <c r="GO331" i="15" s="1"/>
  <c r="FW331" i="15"/>
  <c r="FN331" i="15"/>
  <c r="FR331" i="15"/>
  <c r="FV331" i="15"/>
  <c r="FX331" i="15"/>
  <c r="GT331" i="15"/>
  <c r="GU331" i="15"/>
  <c r="GV331" i="15"/>
  <c r="HZ331" i="15"/>
  <c r="FM332" i="15"/>
  <c r="CY332" i="15"/>
  <c r="CZ332" i="15"/>
  <c r="DA332" i="15"/>
  <c r="FJ332" i="15"/>
  <c r="FO332" i="15"/>
  <c r="FQ332" i="15"/>
  <c r="FS332" i="15"/>
  <c r="FD332" i="15"/>
  <c r="GS332" i="15"/>
  <c r="FZ332" i="15" s="1"/>
  <c r="FE332" i="15"/>
  <c r="FF332" i="15"/>
  <c r="FG332" i="15"/>
  <c r="FH332" i="15"/>
  <c r="FP332" i="15"/>
  <c r="FI332" i="15"/>
  <c r="FK332" i="15"/>
  <c r="FL332" i="15"/>
  <c r="GR332" i="15"/>
  <c r="GP332" i="15" s="1"/>
  <c r="GO332" i="15" s="1"/>
  <c r="FW332" i="15"/>
  <c r="FN332" i="15"/>
  <c r="FR332" i="15"/>
  <c r="FV332" i="15"/>
  <c r="FX332" i="15"/>
  <c r="GT332" i="15"/>
  <c r="GU332" i="15"/>
  <c r="GV332" i="15"/>
  <c r="HZ332" i="15"/>
  <c r="FM333" i="15"/>
  <c r="CY333" i="15"/>
  <c r="CZ333" i="15"/>
  <c r="DA333" i="15"/>
  <c r="FJ333" i="15"/>
  <c r="FO333" i="15"/>
  <c r="FQ333" i="15"/>
  <c r="FS333" i="15"/>
  <c r="FD333" i="15"/>
  <c r="GS333" i="15"/>
  <c r="FZ333" i="15" s="1"/>
  <c r="FE333" i="15"/>
  <c r="FF333" i="15"/>
  <c r="FG333" i="15"/>
  <c r="FH333" i="15"/>
  <c r="FP333" i="15"/>
  <c r="FI333" i="15"/>
  <c r="FK333" i="15"/>
  <c r="FL333" i="15"/>
  <c r="GR333" i="15"/>
  <c r="GP333" i="15" s="1"/>
  <c r="GO333" i="15" s="1"/>
  <c r="FW333" i="15"/>
  <c r="FN333" i="15"/>
  <c r="FR333" i="15"/>
  <c r="FV333" i="15"/>
  <c r="FX333" i="15"/>
  <c r="GT333" i="15"/>
  <c r="GU333" i="15"/>
  <c r="GV333" i="15"/>
  <c r="HZ333" i="15"/>
  <c r="FM334" i="15"/>
  <c r="CY334" i="15"/>
  <c r="CZ334" i="15"/>
  <c r="DA334" i="15"/>
  <c r="FJ334" i="15"/>
  <c r="FO334" i="15"/>
  <c r="FQ334" i="15"/>
  <c r="FS334" i="15"/>
  <c r="FD334" i="15"/>
  <c r="GS334" i="15"/>
  <c r="FZ334" i="15" s="1"/>
  <c r="FE334" i="15"/>
  <c r="FF334" i="15"/>
  <c r="FG334" i="15"/>
  <c r="FH334" i="15"/>
  <c r="FP334" i="15"/>
  <c r="FI334" i="15"/>
  <c r="FK334" i="15"/>
  <c r="FL334" i="15"/>
  <c r="GR334" i="15"/>
  <c r="GP334" i="15" s="1"/>
  <c r="GO334" i="15" s="1"/>
  <c r="FW334" i="15"/>
  <c r="FN334" i="15"/>
  <c r="FR334" i="15"/>
  <c r="FV334" i="15"/>
  <c r="FX334" i="15"/>
  <c r="GT334" i="15"/>
  <c r="GU334" i="15"/>
  <c r="GV334" i="15"/>
  <c r="HZ334" i="15"/>
  <c r="FM335" i="15"/>
  <c r="CY335" i="15"/>
  <c r="CZ335" i="15"/>
  <c r="DA335" i="15"/>
  <c r="FJ335" i="15"/>
  <c r="FO335" i="15"/>
  <c r="FQ335" i="15"/>
  <c r="FS335" i="15"/>
  <c r="FD335" i="15"/>
  <c r="GS335" i="15"/>
  <c r="FZ335" i="15" s="1"/>
  <c r="FE335" i="15"/>
  <c r="FF335" i="15"/>
  <c r="FG335" i="15"/>
  <c r="FH335" i="15"/>
  <c r="FP335" i="15"/>
  <c r="FI335" i="15"/>
  <c r="FK335" i="15"/>
  <c r="FL335" i="15"/>
  <c r="GR335" i="15"/>
  <c r="GP335" i="15" s="1"/>
  <c r="GO335" i="15" s="1"/>
  <c r="FW335" i="15"/>
  <c r="FN335" i="15"/>
  <c r="FR335" i="15"/>
  <c r="FV335" i="15"/>
  <c r="FX335" i="15"/>
  <c r="GT335" i="15"/>
  <c r="GU335" i="15"/>
  <c r="GV335" i="15"/>
  <c r="HZ335" i="15"/>
  <c r="FM336" i="15"/>
  <c r="CY336" i="15"/>
  <c r="CZ336" i="15"/>
  <c r="DA336" i="15"/>
  <c r="FJ336" i="15"/>
  <c r="FO336" i="15"/>
  <c r="FQ336" i="15"/>
  <c r="FS336" i="15"/>
  <c r="FD336" i="15"/>
  <c r="GS336" i="15"/>
  <c r="FZ336" i="15" s="1"/>
  <c r="FE336" i="15"/>
  <c r="FF336" i="15"/>
  <c r="FG336" i="15"/>
  <c r="FH336" i="15"/>
  <c r="FP336" i="15"/>
  <c r="FI336" i="15"/>
  <c r="FK336" i="15"/>
  <c r="FL336" i="15"/>
  <c r="GR336" i="15"/>
  <c r="GP336" i="15" s="1"/>
  <c r="GO336" i="15" s="1"/>
  <c r="FW336" i="15"/>
  <c r="FN336" i="15"/>
  <c r="FR336" i="15"/>
  <c r="FV336" i="15"/>
  <c r="FX336" i="15"/>
  <c r="GT336" i="15"/>
  <c r="GU336" i="15"/>
  <c r="GV336" i="15"/>
  <c r="HZ336" i="15"/>
  <c r="FM337" i="15"/>
  <c r="CY337" i="15"/>
  <c r="CZ337" i="15"/>
  <c r="DA337" i="15"/>
  <c r="FJ337" i="15"/>
  <c r="FO337" i="15"/>
  <c r="FQ337" i="15"/>
  <c r="FS337" i="15"/>
  <c r="FD337" i="15"/>
  <c r="GS337" i="15"/>
  <c r="FZ337" i="15" s="1"/>
  <c r="FE337" i="15"/>
  <c r="FF337" i="15"/>
  <c r="FG337" i="15"/>
  <c r="FH337" i="15"/>
  <c r="FP337" i="15"/>
  <c r="FI337" i="15"/>
  <c r="FK337" i="15"/>
  <c r="FL337" i="15"/>
  <c r="GR337" i="15"/>
  <c r="GP337" i="15" s="1"/>
  <c r="GO337" i="15" s="1"/>
  <c r="FW337" i="15"/>
  <c r="FN337" i="15"/>
  <c r="FR337" i="15"/>
  <c r="FV337" i="15"/>
  <c r="FX337" i="15"/>
  <c r="GT337" i="15"/>
  <c r="GU337" i="15"/>
  <c r="GV337" i="15"/>
  <c r="HZ337" i="15"/>
  <c r="FM338" i="15"/>
  <c r="CY338" i="15"/>
  <c r="CZ338" i="15"/>
  <c r="DA338" i="15"/>
  <c r="FJ338" i="15"/>
  <c r="FO338" i="15"/>
  <c r="FQ338" i="15"/>
  <c r="FS338" i="15"/>
  <c r="FD338" i="15"/>
  <c r="GS338" i="15"/>
  <c r="FZ338" i="15" s="1"/>
  <c r="FE338" i="15"/>
  <c r="FF338" i="15"/>
  <c r="FG338" i="15"/>
  <c r="FH338" i="15"/>
  <c r="FP338" i="15"/>
  <c r="FI338" i="15"/>
  <c r="FK338" i="15"/>
  <c r="FL338" i="15"/>
  <c r="GR338" i="15"/>
  <c r="GP338" i="15" s="1"/>
  <c r="GO338" i="15" s="1"/>
  <c r="FW338" i="15"/>
  <c r="FN338" i="15"/>
  <c r="FR338" i="15"/>
  <c r="FV338" i="15"/>
  <c r="FX338" i="15"/>
  <c r="GT338" i="15"/>
  <c r="GU338" i="15"/>
  <c r="GV338" i="15"/>
  <c r="HZ338" i="15"/>
  <c r="FM339" i="15"/>
  <c r="CY339" i="15"/>
  <c r="CZ339" i="15"/>
  <c r="DA339" i="15"/>
  <c r="FJ339" i="15"/>
  <c r="FO339" i="15"/>
  <c r="FQ339" i="15"/>
  <c r="FS339" i="15"/>
  <c r="FD339" i="15"/>
  <c r="GS339" i="15"/>
  <c r="FZ339" i="15" s="1"/>
  <c r="FE339" i="15"/>
  <c r="FF339" i="15"/>
  <c r="FG339" i="15"/>
  <c r="FH339" i="15"/>
  <c r="FP339" i="15"/>
  <c r="FI339" i="15"/>
  <c r="FK339" i="15"/>
  <c r="FL339" i="15"/>
  <c r="GR339" i="15"/>
  <c r="GP339" i="15" s="1"/>
  <c r="GO339" i="15" s="1"/>
  <c r="FW339" i="15"/>
  <c r="FN339" i="15"/>
  <c r="FR339" i="15"/>
  <c r="FV339" i="15"/>
  <c r="FX339" i="15"/>
  <c r="GT339" i="15"/>
  <c r="GU339" i="15"/>
  <c r="GV339" i="15"/>
  <c r="HZ339" i="15"/>
  <c r="FM340" i="15"/>
  <c r="CY340" i="15"/>
  <c r="CZ340" i="15"/>
  <c r="DA340" i="15"/>
  <c r="FJ340" i="15"/>
  <c r="FO340" i="15"/>
  <c r="FQ340" i="15"/>
  <c r="FS340" i="15"/>
  <c r="FD340" i="15"/>
  <c r="GS340" i="15"/>
  <c r="FZ340" i="15" s="1"/>
  <c r="FE340" i="15"/>
  <c r="FF340" i="15"/>
  <c r="FG340" i="15"/>
  <c r="FH340" i="15"/>
  <c r="FP340" i="15"/>
  <c r="FI340" i="15"/>
  <c r="FK340" i="15"/>
  <c r="FL340" i="15"/>
  <c r="GR340" i="15"/>
  <c r="GP340" i="15" s="1"/>
  <c r="GO340" i="15" s="1"/>
  <c r="FW340" i="15"/>
  <c r="FN340" i="15"/>
  <c r="FR340" i="15"/>
  <c r="FV340" i="15"/>
  <c r="FX340" i="15"/>
  <c r="GT340" i="15"/>
  <c r="GU340" i="15"/>
  <c r="GV340" i="15"/>
  <c r="HZ340" i="15"/>
  <c r="FM341" i="15"/>
  <c r="CY341" i="15"/>
  <c r="CZ341" i="15"/>
  <c r="DA341" i="15"/>
  <c r="FJ341" i="15"/>
  <c r="FO341" i="15"/>
  <c r="FQ341" i="15"/>
  <c r="FS341" i="15"/>
  <c r="FD341" i="15"/>
  <c r="GS341" i="15"/>
  <c r="FZ341" i="15" s="1"/>
  <c r="FE341" i="15"/>
  <c r="FF341" i="15"/>
  <c r="FG341" i="15"/>
  <c r="FH341" i="15"/>
  <c r="FP341" i="15"/>
  <c r="FI341" i="15"/>
  <c r="FK341" i="15"/>
  <c r="FL341" i="15"/>
  <c r="GR341" i="15"/>
  <c r="GP341" i="15" s="1"/>
  <c r="GO341" i="15" s="1"/>
  <c r="FW341" i="15"/>
  <c r="FN341" i="15"/>
  <c r="FR341" i="15"/>
  <c r="FV341" i="15"/>
  <c r="FX341" i="15"/>
  <c r="GT341" i="15"/>
  <c r="GU341" i="15"/>
  <c r="GV341" i="15"/>
  <c r="HZ341" i="15"/>
  <c r="FM342" i="15"/>
  <c r="CY342" i="15"/>
  <c r="CZ342" i="15"/>
  <c r="DA342" i="15"/>
  <c r="FJ342" i="15"/>
  <c r="FO342" i="15"/>
  <c r="FQ342" i="15"/>
  <c r="FS342" i="15"/>
  <c r="FD342" i="15"/>
  <c r="GS342" i="15"/>
  <c r="FZ342" i="15" s="1"/>
  <c r="FE342" i="15"/>
  <c r="FF342" i="15"/>
  <c r="FG342" i="15"/>
  <c r="FH342" i="15"/>
  <c r="FP342" i="15"/>
  <c r="FI342" i="15"/>
  <c r="FK342" i="15"/>
  <c r="FL342" i="15"/>
  <c r="GR342" i="15"/>
  <c r="GP342" i="15" s="1"/>
  <c r="GO342" i="15" s="1"/>
  <c r="FW342" i="15"/>
  <c r="FN342" i="15"/>
  <c r="FR342" i="15"/>
  <c r="FV342" i="15"/>
  <c r="FX342" i="15"/>
  <c r="GT342" i="15"/>
  <c r="GU342" i="15"/>
  <c r="GV342" i="15"/>
  <c r="HZ342" i="15"/>
  <c r="FM343" i="15"/>
  <c r="CY343" i="15"/>
  <c r="CZ343" i="15"/>
  <c r="DA343" i="15"/>
  <c r="FJ343" i="15"/>
  <c r="FO343" i="15"/>
  <c r="FQ343" i="15"/>
  <c r="FS343" i="15"/>
  <c r="FD343" i="15"/>
  <c r="GS343" i="15"/>
  <c r="FZ343" i="15" s="1"/>
  <c r="FE343" i="15"/>
  <c r="FF343" i="15"/>
  <c r="FG343" i="15"/>
  <c r="FH343" i="15"/>
  <c r="FP343" i="15"/>
  <c r="FI343" i="15"/>
  <c r="FK343" i="15"/>
  <c r="FL343" i="15"/>
  <c r="GR343" i="15"/>
  <c r="GP343" i="15" s="1"/>
  <c r="GO343" i="15" s="1"/>
  <c r="FW343" i="15"/>
  <c r="FN343" i="15"/>
  <c r="FR343" i="15"/>
  <c r="FV343" i="15"/>
  <c r="FX343" i="15"/>
  <c r="GT343" i="15"/>
  <c r="GU343" i="15"/>
  <c r="GV343" i="15"/>
  <c r="HZ343" i="15"/>
  <c r="FM344" i="15"/>
  <c r="CY344" i="15"/>
  <c r="CZ344" i="15"/>
  <c r="DA344" i="15"/>
  <c r="FJ344" i="15"/>
  <c r="FO344" i="15"/>
  <c r="FQ344" i="15"/>
  <c r="FS344" i="15"/>
  <c r="FD344" i="15"/>
  <c r="GS344" i="15"/>
  <c r="FZ344" i="15" s="1"/>
  <c r="FE344" i="15"/>
  <c r="FF344" i="15"/>
  <c r="FG344" i="15"/>
  <c r="FH344" i="15"/>
  <c r="FP344" i="15"/>
  <c r="FI344" i="15"/>
  <c r="FK344" i="15"/>
  <c r="FL344" i="15"/>
  <c r="GR344" i="15"/>
  <c r="GP344" i="15" s="1"/>
  <c r="GO344" i="15" s="1"/>
  <c r="FW344" i="15"/>
  <c r="FN344" i="15"/>
  <c r="FR344" i="15"/>
  <c r="FV344" i="15"/>
  <c r="FX344" i="15"/>
  <c r="GT344" i="15"/>
  <c r="GU344" i="15"/>
  <c r="GV344" i="15"/>
  <c r="HZ344" i="15"/>
  <c r="FM345" i="15"/>
  <c r="CY345" i="15"/>
  <c r="CZ345" i="15"/>
  <c r="DA345" i="15"/>
  <c r="FJ345" i="15"/>
  <c r="FO345" i="15"/>
  <c r="FQ345" i="15"/>
  <c r="FS345" i="15"/>
  <c r="FD345" i="15"/>
  <c r="GS345" i="15"/>
  <c r="FZ345" i="15" s="1"/>
  <c r="FE345" i="15"/>
  <c r="FF345" i="15"/>
  <c r="FG345" i="15"/>
  <c r="FH345" i="15"/>
  <c r="FP345" i="15"/>
  <c r="FI345" i="15"/>
  <c r="FK345" i="15"/>
  <c r="FL345" i="15"/>
  <c r="GR345" i="15"/>
  <c r="GP345" i="15" s="1"/>
  <c r="GO345" i="15" s="1"/>
  <c r="FW345" i="15"/>
  <c r="FN345" i="15"/>
  <c r="FR345" i="15"/>
  <c r="FV345" i="15"/>
  <c r="FX345" i="15"/>
  <c r="GT345" i="15"/>
  <c r="GU345" i="15"/>
  <c r="GV345" i="15"/>
  <c r="HZ345" i="15"/>
  <c r="FM346" i="15"/>
  <c r="CY346" i="15"/>
  <c r="CZ346" i="15"/>
  <c r="DA346" i="15"/>
  <c r="FJ346" i="15"/>
  <c r="FO346" i="15"/>
  <c r="FQ346" i="15"/>
  <c r="FS346" i="15"/>
  <c r="FD346" i="15"/>
  <c r="GS346" i="15"/>
  <c r="FZ346" i="15" s="1"/>
  <c r="FE346" i="15"/>
  <c r="FF346" i="15"/>
  <c r="FG346" i="15"/>
  <c r="FH346" i="15"/>
  <c r="FP346" i="15"/>
  <c r="FI346" i="15"/>
  <c r="FK346" i="15"/>
  <c r="FL346" i="15"/>
  <c r="GR346" i="15"/>
  <c r="GP346" i="15" s="1"/>
  <c r="GO346" i="15" s="1"/>
  <c r="FW346" i="15"/>
  <c r="FN346" i="15"/>
  <c r="FR346" i="15"/>
  <c r="FV346" i="15"/>
  <c r="FX346" i="15"/>
  <c r="GT346" i="15"/>
  <c r="GU346" i="15"/>
  <c r="GV346" i="15"/>
  <c r="HZ346" i="15"/>
  <c r="FM347" i="15"/>
  <c r="CY347" i="15"/>
  <c r="CZ347" i="15"/>
  <c r="DA347" i="15"/>
  <c r="FJ347" i="15"/>
  <c r="FO347" i="15"/>
  <c r="FQ347" i="15"/>
  <c r="FS347" i="15"/>
  <c r="FD347" i="15"/>
  <c r="GS347" i="15"/>
  <c r="FZ347" i="15" s="1"/>
  <c r="FE347" i="15"/>
  <c r="FF347" i="15"/>
  <c r="FG347" i="15"/>
  <c r="FH347" i="15"/>
  <c r="FP347" i="15"/>
  <c r="FI347" i="15"/>
  <c r="FK347" i="15"/>
  <c r="FL347" i="15"/>
  <c r="GR347" i="15"/>
  <c r="GP347" i="15" s="1"/>
  <c r="GO347" i="15" s="1"/>
  <c r="FW347" i="15"/>
  <c r="FN347" i="15"/>
  <c r="FR347" i="15"/>
  <c r="FV347" i="15"/>
  <c r="FX347" i="15"/>
  <c r="GT347" i="15"/>
  <c r="GU347" i="15"/>
  <c r="GV347" i="15"/>
  <c r="HZ347" i="15"/>
  <c r="FM348" i="15"/>
  <c r="CY348" i="15"/>
  <c r="CZ348" i="15"/>
  <c r="DA348" i="15"/>
  <c r="FJ348" i="15"/>
  <c r="FO348" i="15"/>
  <c r="FQ348" i="15"/>
  <c r="FS348" i="15"/>
  <c r="FD348" i="15"/>
  <c r="GS348" i="15"/>
  <c r="FZ348" i="15" s="1"/>
  <c r="FE348" i="15"/>
  <c r="FF348" i="15"/>
  <c r="FG348" i="15"/>
  <c r="FH348" i="15"/>
  <c r="FP348" i="15"/>
  <c r="FI348" i="15"/>
  <c r="FK348" i="15"/>
  <c r="FL348" i="15"/>
  <c r="GR348" i="15"/>
  <c r="GP348" i="15" s="1"/>
  <c r="GO348" i="15" s="1"/>
  <c r="FW348" i="15"/>
  <c r="FN348" i="15"/>
  <c r="FR348" i="15"/>
  <c r="FV348" i="15"/>
  <c r="FX348" i="15"/>
  <c r="GT348" i="15"/>
  <c r="GU348" i="15"/>
  <c r="GV348" i="15"/>
  <c r="HZ348" i="15"/>
  <c r="FM349" i="15"/>
  <c r="CY349" i="15"/>
  <c r="CZ349" i="15"/>
  <c r="DA349" i="15"/>
  <c r="FJ349" i="15"/>
  <c r="FO349" i="15"/>
  <c r="FQ349" i="15"/>
  <c r="FS349" i="15"/>
  <c r="FD349" i="15"/>
  <c r="GS349" i="15"/>
  <c r="FZ349" i="15" s="1"/>
  <c r="FE349" i="15"/>
  <c r="FF349" i="15"/>
  <c r="FG349" i="15"/>
  <c r="FH349" i="15"/>
  <c r="FP349" i="15"/>
  <c r="FI349" i="15"/>
  <c r="FK349" i="15"/>
  <c r="FL349" i="15"/>
  <c r="GR349" i="15"/>
  <c r="GP349" i="15" s="1"/>
  <c r="GO349" i="15" s="1"/>
  <c r="FW349" i="15"/>
  <c r="FN349" i="15"/>
  <c r="FR349" i="15"/>
  <c r="FV349" i="15"/>
  <c r="FX349" i="15"/>
  <c r="GT349" i="15"/>
  <c r="GU349" i="15"/>
  <c r="GV349" i="15"/>
  <c r="HZ349" i="15"/>
  <c r="FJ23" i="15"/>
  <c r="FO23" i="15"/>
  <c r="FQ23" i="15"/>
  <c r="FS23" i="15"/>
  <c r="FD23" i="15"/>
  <c r="FH23" i="15"/>
  <c r="FE23" i="15"/>
  <c r="FR23" i="15"/>
  <c r="FI23" i="15"/>
  <c r="FN23" i="15"/>
  <c r="FF23" i="15"/>
  <c r="FG23" i="15"/>
  <c r="FP23" i="15"/>
  <c r="FK23" i="15"/>
  <c r="FL23" i="15"/>
  <c r="FW23" i="15"/>
  <c r="FV23" i="15"/>
  <c r="FX23" i="15"/>
  <c r="GT23" i="15"/>
  <c r="GU23" i="15"/>
  <c r="GV23" i="15"/>
  <c r="FJ24" i="15"/>
  <c r="FO24" i="15"/>
  <c r="FQ24" i="15"/>
  <c r="FS24" i="15"/>
  <c r="FD24" i="15"/>
  <c r="FH24" i="15"/>
  <c r="FE24" i="15"/>
  <c r="FR24" i="15"/>
  <c r="FI24" i="15"/>
  <c r="FN24" i="15"/>
  <c r="FF24" i="15"/>
  <c r="FG24" i="15"/>
  <c r="FP24" i="15"/>
  <c r="FK24" i="15"/>
  <c r="FL24" i="15"/>
  <c r="FW24" i="15"/>
  <c r="FV24" i="15"/>
  <c r="FX24" i="15"/>
  <c r="GT24" i="15"/>
  <c r="GU24" i="15"/>
  <c r="GV24" i="15"/>
  <c r="FJ25" i="15"/>
  <c r="FO25" i="15"/>
  <c r="FQ25" i="15"/>
  <c r="FS25" i="15"/>
  <c r="FD25" i="15"/>
  <c r="FH25" i="15"/>
  <c r="FE25" i="15"/>
  <c r="FR25" i="15"/>
  <c r="FI25" i="15"/>
  <c r="FN25" i="15"/>
  <c r="FF25" i="15"/>
  <c r="FG25" i="15"/>
  <c r="FP25" i="15"/>
  <c r="FK25" i="15"/>
  <c r="FL25" i="15"/>
  <c r="FW25" i="15"/>
  <c r="FV25" i="15"/>
  <c r="FX25" i="15"/>
  <c r="GT25" i="15"/>
  <c r="GU25" i="15"/>
  <c r="GV25" i="15"/>
  <c r="FJ26" i="15"/>
  <c r="FO26" i="15"/>
  <c r="FQ26" i="15"/>
  <c r="FS26" i="15"/>
  <c r="FD26" i="15"/>
  <c r="FH26" i="15"/>
  <c r="FE26" i="15"/>
  <c r="FR26" i="15"/>
  <c r="FI26" i="15"/>
  <c r="FN26" i="15"/>
  <c r="FF26" i="15"/>
  <c r="FG26" i="15"/>
  <c r="FP26" i="15"/>
  <c r="FK26" i="15"/>
  <c r="FL26" i="15"/>
  <c r="FW26" i="15"/>
  <c r="FV26" i="15"/>
  <c r="FX26" i="15"/>
  <c r="GT26" i="15"/>
  <c r="GU26" i="15"/>
  <c r="GV26" i="15"/>
  <c r="FJ27" i="15"/>
  <c r="FO27" i="15"/>
  <c r="FQ27" i="15"/>
  <c r="FS27" i="15"/>
  <c r="FD27" i="15"/>
  <c r="FH27" i="15"/>
  <c r="FE27" i="15"/>
  <c r="FR27" i="15"/>
  <c r="FI27" i="15"/>
  <c r="FN27" i="15"/>
  <c r="FF27" i="15"/>
  <c r="FG27" i="15"/>
  <c r="FP27" i="15"/>
  <c r="FK27" i="15"/>
  <c r="FL27" i="15"/>
  <c r="FW27" i="15"/>
  <c r="FV27" i="15"/>
  <c r="FX27" i="15"/>
  <c r="GT27" i="15"/>
  <c r="GU27" i="15"/>
  <c r="GV27" i="15"/>
  <c r="FJ28" i="15"/>
  <c r="FO28" i="15"/>
  <c r="FQ28" i="15"/>
  <c r="FS28" i="15"/>
  <c r="FD28" i="15"/>
  <c r="FH28" i="15"/>
  <c r="FE28" i="15"/>
  <c r="FR28" i="15"/>
  <c r="FI28" i="15"/>
  <c r="FN28" i="15"/>
  <c r="FF28" i="15"/>
  <c r="FG28" i="15"/>
  <c r="FP28" i="15"/>
  <c r="FK28" i="15"/>
  <c r="FL28" i="15"/>
  <c r="FW28" i="15"/>
  <c r="FV28" i="15"/>
  <c r="FX28" i="15"/>
  <c r="GT28" i="15"/>
  <c r="GU28" i="15"/>
  <c r="GV28" i="15"/>
  <c r="AP290" i="65"/>
  <c r="AN290" i="65" s="1"/>
  <c r="AP289" i="65"/>
  <c r="AN289" i="65" s="1"/>
  <c r="AP288" i="65"/>
  <c r="AN288" i="65" s="1"/>
  <c r="AP287" i="65"/>
  <c r="AN287" i="65" s="1"/>
  <c r="AP286" i="65"/>
  <c r="AN286" i="65" s="1"/>
  <c r="AP285" i="65"/>
  <c r="AN285" i="65" s="1"/>
  <c r="AP284" i="65"/>
  <c r="AN284" i="65" s="1"/>
  <c r="AP283" i="65"/>
  <c r="AP282" i="65"/>
  <c r="AN282" i="65" s="1"/>
  <c r="AP281" i="65"/>
  <c r="AN281" i="65" s="1"/>
  <c r="AP280" i="65"/>
  <c r="AN280" i="65" s="1"/>
  <c r="AP279" i="65"/>
  <c r="AN279" i="65" s="1"/>
  <c r="AP278" i="65"/>
  <c r="AN278" i="65" s="1"/>
  <c r="AP277" i="65"/>
  <c r="AN277" i="65" s="1"/>
  <c r="AP276" i="65"/>
  <c r="AN276" i="65" s="1"/>
  <c r="AP275" i="65"/>
  <c r="AN275" i="65" s="1"/>
  <c r="AP274" i="65"/>
  <c r="AN274" i="65" s="1"/>
  <c r="AP273" i="65"/>
  <c r="AN273" i="65" s="1"/>
  <c r="AP272" i="65"/>
  <c r="AN272" i="65" s="1"/>
  <c r="AP271" i="65"/>
  <c r="AN271" i="65" s="1"/>
  <c r="AP270" i="65"/>
  <c r="AN270" i="65" s="1"/>
  <c r="AP269" i="65"/>
  <c r="AP268" i="65"/>
  <c r="AN268" i="65" s="1"/>
  <c r="AP267" i="65"/>
  <c r="AN267" i="65" s="1"/>
  <c r="AP266" i="65"/>
  <c r="AN266" i="65" s="1"/>
  <c r="AP265" i="65"/>
  <c r="AN265" i="65" s="1"/>
  <c r="AP263" i="65"/>
  <c r="AN263" i="65" s="1"/>
  <c r="AP261" i="65"/>
  <c r="AN261" i="65" s="1"/>
  <c r="AP259" i="65"/>
  <c r="AN259" i="65" s="1"/>
  <c r="AP257" i="65"/>
  <c r="AN257" i="65" s="1"/>
  <c r="AP255" i="65"/>
  <c r="AN255" i="65" s="1"/>
  <c r="AP253" i="65"/>
  <c r="AN253" i="65" s="1"/>
  <c r="AP251" i="65"/>
  <c r="AN251" i="65" s="1"/>
  <c r="AP249" i="65"/>
  <c r="AN249" i="65" s="1"/>
  <c r="AP247" i="65"/>
  <c r="AN247" i="65" s="1"/>
  <c r="AP245" i="65"/>
  <c r="AN245" i="65" s="1"/>
  <c r="AP243" i="65"/>
  <c r="AN243" i="65" s="1"/>
  <c r="AP241" i="65"/>
  <c r="AN241" i="65" s="1"/>
  <c r="AP239" i="65"/>
  <c r="AN239" i="65" s="1"/>
  <c r="AP237" i="65"/>
  <c r="AN237" i="65" s="1"/>
  <c r="AP235" i="65"/>
  <c r="AN235" i="65" s="1"/>
  <c r="AP233" i="65"/>
  <c r="AN233" i="65" s="1"/>
  <c r="AP231" i="65"/>
  <c r="AN231" i="65" s="1"/>
  <c r="AP229" i="65"/>
  <c r="AN229" i="65" s="1"/>
  <c r="AP227" i="65"/>
  <c r="AN227" i="65" s="1"/>
  <c r="AP225" i="65"/>
  <c r="AN225" i="65" s="1"/>
  <c r="AP223" i="65"/>
  <c r="AN223" i="65" s="1"/>
  <c r="AP221" i="65"/>
  <c r="AN221" i="65" s="1"/>
  <c r="AP219" i="65"/>
  <c r="AN219" i="65" s="1"/>
  <c r="AP217" i="65"/>
  <c r="AN217" i="65" s="1"/>
  <c r="AP215" i="65"/>
  <c r="AN215" i="65" s="1"/>
  <c r="AP213" i="65"/>
  <c r="AN213" i="65" s="1"/>
  <c r="AP211" i="65"/>
  <c r="AN211" i="65" s="1"/>
  <c r="AP209" i="65"/>
  <c r="AN209" i="65" s="1"/>
  <c r="AP207" i="65"/>
  <c r="AN207" i="65" s="1"/>
  <c r="AP205" i="65"/>
  <c r="AN205" i="65" s="1"/>
  <c r="AP203" i="65"/>
  <c r="AN203" i="65" s="1"/>
  <c r="AP201" i="65"/>
  <c r="AN201" i="65" s="1"/>
  <c r="AP199" i="65"/>
  <c r="AN199" i="65" s="1"/>
  <c r="AP197" i="65"/>
  <c r="AN197" i="65" s="1"/>
  <c r="AP195" i="65"/>
  <c r="AP193" i="65"/>
  <c r="AN193" i="65" s="1"/>
  <c r="AP191" i="65"/>
  <c r="AN191" i="65" s="1"/>
  <c r="AP189" i="65"/>
  <c r="AN189" i="65" s="1"/>
  <c r="AP187" i="65"/>
  <c r="AN187" i="65" s="1"/>
  <c r="AP185" i="65"/>
  <c r="AN185" i="65" s="1"/>
  <c r="AP183" i="65"/>
  <c r="AN183" i="65" s="1"/>
  <c r="AP181" i="65"/>
  <c r="AN181" i="65" s="1"/>
  <c r="AP179" i="65"/>
  <c r="AN179" i="65" s="1"/>
  <c r="AP177" i="65"/>
  <c r="AN177" i="65" s="1"/>
  <c r="AP175" i="65"/>
  <c r="AN175" i="65" s="1"/>
  <c r="AP173" i="65"/>
  <c r="AN173" i="65" s="1"/>
  <c r="AP171" i="65"/>
  <c r="AN171" i="65" s="1"/>
  <c r="AP169" i="65"/>
  <c r="AN169" i="65" s="1"/>
  <c r="AP167" i="65"/>
  <c r="AN167" i="65" s="1"/>
  <c r="AP165" i="65"/>
  <c r="AN165" i="65" s="1"/>
  <c r="AP163" i="65"/>
  <c r="AN163" i="65" s="1"/>
  <c r="AP161" i="65"/>
  <c r="AN161" i="65" s="1"/>
  <c r="AP159" i="65"/>
  <c r="AN159" i="65" s="1"/>
  <c r="AP157" i="65"/>
  <c r="AN157" i="65" s="1"/>
  <c r="AP155" i="65"/>
  <c r="AN155" i="65" s="1"/>
  <c r="AP153" i="65"/>
  <c r="AN153" i="65" s="1"/>
  <c r="AP151" i="65"/>
  <c r="AN151" i="65" s="1"/>
  <c r="AP149" i="65"/>
  <c r="AN149" i="65" s="1"/>
  <c r="AP147" i="65"/>
  <c r="AN147" i="65" s="1"/>
  <c r="AP145" i="65"/>
  <c r="AN145" i="65" s="1"/>
  <c r="AP143" i="65"/>
  <c r="AN143" i="65" s="1"/>
  <c r="AP141" i="65"/>
  <c r="AN141" i="65" s="1"/>
  <c r="AP139" i="65"/>
  <c r="AN139" i="65" s="1"/>
  <c r="AP137" i="65"/>
  <c r="AN137" i="65" s="1"/>
  <c r="AP135" i="65"/>
  <c r="AN135" i="65" s="1"/>
  <c r="AP133" i="65"/>
  <c r="AN133" i="65" s="1"/>
  <c r="AP131" i="65"/>
  <c r="AN131" i="65" s="1"/>
  <c r="AP129" i="65"/>
  <c r="AN129" i="65" s="1"/>
  <c r="AP103" i="65"/>
  <c r="AN103" i="65" s="1"/>
  <c r="BC19" i="15"/>
  <c r="AC13" i="5"/>
  <c r="AC14" i="5"/>
  <c r="AC15" i="5"/>
  <c r="AC16" i="5"/>
  <c r="AC17" i="5"/>
  <c r="AC12" i="5"/>
  <c r="G14" i="5"/>
  <c r="G15" i="5"/>
  <c r="AK12" i="65" s="1"/>
  <c r="G16" i="5"/>
  <c r="AK14" i="65" s="1"/>
  <c r="H94" i="5"/>
  <c r="AL94" i="65" s="1"/>
  <c r="H95" i="5"/>
  <c r="AL95" i="65" s="1"/>
  <c r="H96" i="5"/>
  <c r="AL96" i="65" s="1"/>
  <c r="H97" i="5"/>
  <c r="AL97" i="65" s="1"/>
  <c r="H98" i="5"/>
  <c r="AL98" i="65" s="1"/>
  <c r="F1" i="5"/>
  <c r="R6" i="5"/>
  <c r="S6" i="5"/>
  <c r="U6" i="5" s="1"/>
  <c r="T6" i="5"/>
  <c r="R7" i="5"/>
  <c r="S7" i="5"/>
  <c r="T7" i="5"/>
  <c r="R8" i="5"/>
  <c r="S8" i="5"/>
  <c r="U8" i="5" s="1"/>
  <c r="T8" i="5"/>
  <c r="R9" i="5"/>
  <c r="U9" i="5" s="1"/>
  <c r="S9" i="5"/>
  <c r="T9" i="5"/>
  <c r="R10" i="5"/>
  <c r="S10" i="5"/>
  <c r="U10" i="5" s="1"/>
  <c r="T10" i="5"/>
  <c r="R11" i="5"/>
  <c r="S11" i="5"/>
  <c r="T11" i="5"/>
  <c r="R12" i="5"/>
  <c r="S12" i="5"/>
  <c r="T12" i="5"/>
  <c r="U12" i="5" s="1"/>
  <c r="R13" i="5"/>
  <c r="S13" i="5"/>
  <c r="T13" i="5"/>
  <c r="R14" i="5"/>
  <c r="S14" i="5"/>
  <c r="U14" i="5" s="1"/>
  <c r="T14" i="5"/>
  <c r="R15" i="5"/>
  <c r="S15" i="5"/>
  <c r="T15" i="5"/>
  <c r="R16" i="5"/>
  <c r="S16" i="5"/>
  <c r="T16" i="5"/>
  <c r="R17" i="5"/>
  <c r="U17" i="5" s="1"/>
  <c r="S17" i="5"/>
  <c r="T17" i="5"/>
  <c r="R5" i="5"/>
  <c r="S5" i="5"/>
  <c r="U5" i="5" s="1"/>
  <c r="T5" i="5"/>
  <c r="GV22" i="15"/>
  <c r="GU22" i="15"/>
  <c r="GT22" i="15"/>
  <c r="FX22" i="15"/>
  <c r="FW22" i="15"/>
  <c r="FV22" i="15"/>
  <c r="FS22" i="15"/>
  <c r="FR22" i="15"/>
  <c r="FQ22" i="15"/>
  <c r="FP22" i="15"/>
  <c r="FO22" i="15"/>
  <c r="FN22" i="15"/>
  <c r="FL22" i="15"/>
  <c r="FK22" i="15"/>
  <c r="FJ22" i="15"/>
  <c r="FI22" i="15"/>
  <c r="FH22" i="15"/>
  <c r="FG22" i="15"/>
  <c r="FF22" i="15"/>
  <c r="FE22" i="15"/>
  <c r="FD22" i="15"/>
  <c r="BE23" i="15"/>
  <c r="BE24" i="15"/>
  <c r="BE25" i="15"/>
  <c r="BE26" i="15"/>
  <c r="BE27" i="15"/>
  <c r="BE28" i="15"/>
  <c r="BE29" i="15"/>
  <c r="BE30" i="15"/>
  <c r="BE31" i="15"/>
  <c r="BE32" i="15"/>
  <c r="BE33" i="15"/>
  <c r="BE34" i="15"/>
  <c r="BE35" i="15"/>
  <c r="BE36" i="15"/>
  <c r="BE37" i="15"/>
  <c r="BE38" i="15"/>
  <c r="BE39" i="15"/>
  <c r="BE40" i="15"/>
  <c r="BE41" i="15"/>
  <c r="BE42" i="15"/>
  <c r="BE43" i="15"/>
  <c r="BE44" i="15"/>
  <c r="BE45" i="15"/>
  <c r="BE46" i="15"/>
  <c r="BE47" i="15"/>
  <c r="BE48" i="15"/>
  <c r="BE49" i="15"/>
  <c r="BE50" i="15"/>
  <c r="BE51" i="15"/>
  <c r="BE52" i="15"/>
  <c r="BE53" i="15"/>
  <c r="BE54" i="15"/>
  <c r="BE55" i="15"/>
  <c r="BE56" i="15"/>
  <c r="BE57" i="15"/>
  <c r="BE58" i="15"/>
  <c r="BE59" i="15"/>
  <c r="BE60" i="15"/>
  <c r="BE61" i="15"/>
  <c r="BE62" i="15"/>
  <c r="BE63" i="15"/>
  <c r="BE64" i="15"/>
  <c r="BE65" i="15"/>
  <c r="BE66" i="15"/>
  <c r="BE67" i="15"/>
  <c r="BE68" i="15"/>
  <c r="BE69" i="15"/>
  <c r="BE70" i="15"/>
  <c r="BE71" i="15"/>
  <c r="BE72" i="15"/>
  <c r="BE73" i="15"/>
  <c r="BE74" i="15"/>
  <c r="BE75" i="15"/>
  <c r="BE76" i="15"/>
  <c r="BE77" i="15"/>
  <c r="BE78" i="15"/>
  <c r="BE79" i="15"/>
  <c r="BE80" i="15"/>
  <c r="BE81" i="15"/>
  <c r="BE82" i="15"/>
  <c r="BE83" i="15"/>
  <c r="BE84" i="15"/>
  <c r="BE85" i="15"/>
  <c r="BE86" i="15"/>
  <c r="BE87" i="15"/>
  <c r="BE88" i="15"/>
  <c r="BE89" i="15"/>
  <c r="BE90" i="15"/>
  <c r="BE91" i="15"/>
  <c r="BE92" i="15"/>
  <c r="BE93" i="15"/>
  <c r="BE94" i="15"/>
  <c r="BE95" i="15"/>
  <c r="BE96" i="15"/>
  <c r="BE97" i="15"/>
  <c r="BE98" i="15"/>
  <c r="BE99" i="15"/>
  <c r="BE100" i="15"/>
  <c r="BE101" i="15"/>
  <c r="BE102" i="15"/>
  <c r="BE103" i="15"/>
  <c r="BE104" i="15"/>
  <c r="BE105" i="15"/>
  <c r="BE106" i="15"/>
  <c r="BE107" i="15"/>
  <c r="BE108" i="15"/>
  <c r="BE109" i="15"/>
  <c r="BE110" i="15"/>
  <c r="BE111" i="15"/>
  <c r="BE112" i="15"/>
  <c r="BE113" i="15"/>
  <c r="BE114" i="15"/>
  <c r="BE115" i="15"/>
  <c r="BE116" i="15"/>
  <c r="BE117" i="15"/>
  <c r="BE118" i="15"/>
  <c r="BE119" i="15"/>
  <c r="BE120" i="15"/>
  <c r="BE121" i="15"/>
  <c r="BE122" i="15"/>
  <c r="BE123" i="15"/>
  <c r="BE124" i="15"/>
  <c r="BE125" i="15"/>
  <c r="BE126" i="15"/>
  <c r="BE127" i="15"/>
  <c r="BE128" i="15"/>
  <c r="BE129" i="15"/>
  <c r="BE130" i="15"/>
  <c r="BE131" i="15"/>
  <c r="BE132" i="15"/>
  <c r="BE133" i="15"/>
  <c r="BE134" i="15"/>
  <c r="BE135" i="15"/>
  <c r="BE136" i="15"/>
  <c r="BE137" i="15"/>
  <c r="BE138" i="15"/>
  <c r="BE139" i="15"/>
  <c r="BE140" i="15"/>
  <c r="BE141" i="15"/>
  <c r="BE142" i="15"/>
  <c r="BE143" i="15"/>
  <c r="BE144" i="15"/>
  <c r="BE145" i="15"/>
  <c r="BE146" i="15"/>
  <c r="BE147" i="15"/>
  <c r="BE148" i="15"/>
  <c r="BE149" i="15"/>
  <c r="BE150" i="15"/>
  <c r="BE151" i="15"/>
  <c r="BE152" i="15"/>
  <c r="BE153" i="15"/>
  <c r="BE154" i="15"/>
  <c r="BE155" i="15"/>
  <c r="BE156" i="15"/>
  <c r="BE157" i="15"/>
  <c r="BE158" i="15"/>
  <c r="BE159" i="15"/>
  <c r="BE160" i="15"/>
  <c r="BE161" i="15"/>
  <c r="BE162" i="15"/>
  <c r="BE163" i="15"/>
  <c r="BE164" i="15"/>
  <c r="BE165" i="15"/>
  <c r="BE166" i="15"/>
  <c r="BE167" i="15"/>
  <c r="BE168" i="15"/>
  <c r="BE169" i="15"/>
  <c r="BE170" i="15"/>
  <c r="BE171" i="15"/>
  <c r="BE172" i="15"/>
  <c r="BE173" i="15"/>
  <c r="BE174" i="15"/>
  <c r="BE175" i="15"/>
  <c r="BE176" i="15"/>
  <c r="BE177" i="15"/>
  <c r="BE178" i="15"/>
  <c r="BE179" i="15"/>
  <c r="BE180" i="15"/>
  <c r="BE181" i="15"/>
  <c r="BE182" i="15"/>
  <c r="BE183" i="15"/>
  <c r="BE184" i="15"/>
  <c r="BE185" i="15"/>
  <c r="BE186" i="15"/>
  <c r="BE187" i="15"/>
  <c r="BE188" i="15"/>
  <c r="BE189" i="15"/>
  <c r="BE190" i="15"/>
  <c r="BE191" i="15"/>
  <c r="BE192" i="15"/>
  <c r="BE193" i="15"/>
  <c r="BE194" i="15"/>
  <c r="BE195" i="15"/>
  <c r="BE196" i="15"/>
  <c r="BE197" i="15"/>
  <c r="BE198" i="15"/>
  <c r="BE199" i="15"/>
  <c r="BE200" i="15"/>
  <c r="BE201" i="15"/>
  <c r="BE202" i="15"/>
  <c r="BE203" i="15"/>
  <c r="BE204" i="15"/>
  <c r="BE205" i="15"/>
  <c r="BE206" i="15"/>
  <c r="BE207" i="15"/>
  <c r="BE208" i="15"/>
  <c r="BE209" i="15"/>
  <c r="BE210" i="15"/>
  <c r="BE211" i="15"/>
  <c r="BE212" i="15"/>
  <c r="BE213" i="15"/>
  <c r="BE214" i="15"/>
  <c r="BE215" i="15"/>
  <c r="BE216" i="15"/>
  <c r="BE217" i="15"/>
  <c r="BE218" i="15"/>
  <c r="BE219" i="15"/>
  <c r="BE220" i="15"/>
  <c r="BE221" i="15"/>
  <c r="BE222" i="15"/>
  <c r="BE223" i="15"/>
  <c r="BE224" i="15"/>
  <c r="BE225" i="15"/>
  <c r="BE226" i="15"/>
  <c r="BE227" i="15"/>
  <c r="BE228" i="15"/>
  <c r="BE229" i="15"/>
  <c r="BE230" i="15"/>
  <c r="BE231" i="15"/>
  <c r="BE232" i="15"/>
  <c r="BE233" i="15"/>
  <c r="BE234" i="15"/>
  <c r="BE235" i="15"/>
  <c r="BE236" i="15"/>
  <c r="BE237" i="15"/>
  <c r="BE238" i="15"/>
  <c r="BE239" i="15"/>
  <c r="BE240" i="15"/>
  <c r="BE241" i="15"/>
  <c r="BE242" i="15"/>
  <c r="BE243" i="15"/>
  <c r="BE244" i="15"/>
  <c r="BE245" i="15"/>
  <c r="BE246" i="15"/>
  <c r="BE247" i="15"/>
  <c r="BE248" i="15"/>
  <c r="BE249" i="15"/>
  <c r="BE250" i="15"/>
  <c r="BE251" i="15"/>
  <c r="BE252" i="15"/>
  <c r="BE253" i="15"/>
  <c r="BE254" i="15"/>
  <c r="BE255" i="15"/>
  <c r="BE256" i="15"/>
  <c r="BE257" i="15"/>
  <c r="BE258" i="15"/>
  <c r="BE259" i="15"/>
  <c r="BE260" i="15"/>
  <c r="BE261" i="15"/>
  <c r="BE262" i="15"/>
  <c r="BE263" i="15"/>
  <c r="BE264" i="15"/>
  <c r="BE265" i="15"/>
  <c r="BE266" i="15"/>
  <c r="BE267" i="15"/>
  <c r="BE268" i="15"/>
  <c r="BE269" i="15"/>
  <c r="BE270" i="15"/>
  <c r="BE271" i="15"/>
  <c r="BE272" i="15"/>
  <c r="BE273" i="15"/>
  <c r="BE274" i="15"/>
  <c r="BE275" i="15"/>
  <c r="BE276" i="15"/>
  <c r="BE277" i="15"/>
  <c r="BE278" i="15"/>
  <c r="BE279" i="15"/>
  <c r="BE280" i="15"/>
  <c r="BE281" i="15"/>
  <c r="BE282" i="15"/>
  <c r="BE283" i="15"/>
  <c r="BE284" i="15"/>
  <c r="BE285" i="15"/>
  <c r="BE286" i="15"/>
  <c r="BE287" i="15"/>
  <c r="BE288" i="15"/>
  <c r="BE289" i="15"/>
  <c r="BE290" i="15"/>
  <c r="BE291" i="15"/>
  <c r="BE292" i="15"/>
  <c r="BE293" i="15"/>
  <c r="BE294" i="15"/>
  <c r="BE295" i="15"/>
  <c r="BE296" i="15"/>
  <c r="BE297" i="15"/>
  <c r="BE298" i="15"/>
  <c r="BE299" i="15"/>
  <c r="BE300" i="15"/>
  <c r="BE301" i="15"/>
  <c r="BE302" i="15"/>
  <c r="BE303" i="15"/>
  <c r="BE304" i="15"/>
  <c r="BE305" i="15"/>
  <c r="BE306" i="15"/>
  <c r="BE307" i="15"/>
  <c r="BE308" i="15"/>
  <c r="BE309" i="15"/>
  <c r="BE310" i="15"/>
  <c r="BE311" i="15"/>
  <c r="BE312" i="15"/>
  <c r="BE313" i="15"/>
  <c r="BE314" i="15"/>
  <c r="BE315" i="15"/>
  <c r="BE316" i="15"/>
  <c r="BE317" i="15"/>
  <c r="BE318" i="15"/>
  <c r="BE319" i="15"/>
  <c r="BE320" i="15"/>
  <c r="BE321" i="15"/>
  <c r="BE322" i="15"/>
  <c r="BE323" i="15"/>
  <c r="BE324" i="15"/>
  <c r="BE325" i="15"/>
  <c r="BE326" i="15"/>
  <c r="BE327" i="15"/>
  <c r="BE328" i="15"/>
  <c r="BE329" i="15"/>
  <c r="BE330" i="15"/>
  <c r="BE331" i="15"/>
  <c r="BE332" i="15"/>
  <c r="BE333" i="15"/>
  <c r="BE334" i="15"/>
  <c r="BE335" i="15"/>
  <c r="BE336" i="15"/>
  <c r="BE337" i="15"/>
  <c r="BE338" i="15"/>
  <c r="BE339" i="15"/>
  <c r="BE340" i="15"/>
  <c r="BE341" i="15"/>
  <c r="BE342" i="15"/>
  <c r="BE343" i="15"/>
  <c r="BE344" i="15"/>
  <c r="BE345" i="15"/>
  <c r="BE346" i="15"/>
  <c r="BE347" i="15"/>
  <c r="BE348" i="15"/>
  <c r="BE349" i="15"/>
  <c r="AN195" i="65"/>
  <c r="AN269" i="65"/>
  <c r="AN283" i="65"/>
  <c r="AP291" i="65"/>
  <c r="AN291" i="65" s="1"/>
  <c r="AP292" i="65"/>
  <c r="AN292" i="65" s="1"/>
  <c r="AP293" i="65"/>
  <c r="AN293" i="65" s="1"/>
  <c r="AP294" i="65"/>
  <c r="AN294" i="65" s="1"/>
  <c r="AP295" i="65"/>
  <c r="AN295" i="65" s="1"/>
  <c r="AP296" i="65"/>
  <c r="AN296" i="65" s="1"/>
  <c r="AP297" i="65"/>
  <c r="AN297" i="65" s="1"/>
  <c r="AP298" i="65"/>
  <c r="AN298" i="65" s="1"/>
  <c r="AP299" i="65"/>
  <c r="AN299" i="65" s="1"/>
  <c r="AP300" i="65"/>
  <c r="AN300" i="65" s="1"/>
  <c r="AP301" i="65"/>
  <c r="AN301" i="65" s="1"/>
  <c r="AP302" i="65"/>
  <c r="AN302" i="65" s="1"/>
  <c r="AP303" i="65"/>
  <c r="AN303" i="65" s="1"/>
  <c r="AP304" i="65"/>
  <c r="AN304" i="65" s="1"/>
  <c r="AP305" i="65"/>
  <c r="AN305" i="65" s="1"/>
  <c r="AP306" i="65"/>
  <c r="AN306" i="65" s="1"/>
  <c r="AP307" i="65"/>
  <c r="AN307" i="65" s="1"/>
  <c r="AP308" i="65"/>
  <c r="AN308" i="65" s="1"/>
  <c r="AP309" i="65"/>
  <c r="AN309" i="65" s="1"/>
  <c r="AP310" i="65"/>
  <c r="AN310" i="65" s="1"/>
  <c r="AP311" i="65"/>
  <c r="AN311" i="65" s="1"/>
  <c r="AP312" i="65"/>
  <c r="AN312" i="65" s="1"/>
  <c r="AP313" i="65"/>
  <c r="AN313" i="65" s="1"/>
  <c r="AP314" i="65"/>
  <c r="AN314" i="65" s="1"/>
  <c r="AP315" i="65"/>
  <c r="AN315" i="65" s="1"/>
  <c r="AP316" i="65"/>
  <c r="AN316" i="65" s="1"/>
  <c r="AP317" i="65"/>
  <c r="AN317" i="65" s="1"/>
  <c r="AP318" i="65"/>
  <c r="AN318" i="65" s="1"/>
  <c r="AP319" i="65"/>
  <c r="AN319" i="65" s="1"/>
  <c r="AP320" i="65"/>
  <c r="AN320" i="65" s="1"/>
  <c r="AP321" i="65"/>
  <c r="AN321" i="65" s="1"/>
  <c r="AP322" i="65"/>
  <c r="AN322" i="65" s="1"/>
  <c r="AP323" i="65"/>
  <c r="AN323" i="65" s="1"/>
  <c r="AP324" i="65"/>
  <c r="AN324" i="65" s="1"/>
  <c r="AP325" i="65"/>
  <c r="AN325" i="65" s="1"/>
  <c r="AP326" i="65"/>
  <c r="AN326" i="65" s="1"/>
  <c r="AP327" i="65"/>
  <c r="AN327" i="65" s="1"/>
  <c r="AP328" i="65"/>
  <c r="AN328" i="65" s="1"/>
  <c r="AP329" i="65"/>
  <c r="AN329" i="65" s="1"/>
  <c r="AP330" i="65"/>
  <c r="AN330" i="65" s="1"/>
  <c r="AP331" i="65"/>
  <c r="AN331" i="65" s="1"/>
  <c r="AP332" i="65"/>
  <c r="AN332" i="65" s="1"/>
  <c r="AP333" i="65"/>
  <c r="AN333" i="65" s="1"/>
  <c r="AP334" i="65"/>
  <c r="AN334" i="65" s="1"/>
  <c r="AP335" i="65"/>
  <c r="AN335" i="65" s="1"/>
  <c r="AP336" i="65"/>
  <c r="AN336" i="65" s="1"/>
  <c r="AP337" i="65"/>
  <c r="AN337" i="65" s="1"/>
  <c r="AP338" i="65"/>
  <c r="AN338" i="65" s="1"/>
  <c r="AP339" i="65"/>
  <c r="AN339" i="65" s="1"/>
  <c r="AP340" i="65"/>
  <c r="AN340" i="65" s="1"/>
  <c r="AP341" i="65"/>
  <c r="AN341" i="65" s="1"/>
  <c r="AP342" i="65"/>
  <c r="AN342" i="65" s="1"/>
  <c r="AP343" i="65"/>
  <c r="AN343" i="65" s="1"/>
  <c r="AP344" i="65"/>
  <c r="AN344" i="65" s="1"/>
  <c r="AP345" i="65"/>
  <c r="AN345" i="65" s="1"/>
  <c r="AP346" i="65"/>
  <c r="AN346" i="65" s="1"/>
  <c r="AP347" i="65"/>
  <c r="AN347" i="65" s="1"/>
  <c r="AP348" i="65"/>
  <c r="AN348" i="65" s="1"/>
  <c r="AP349" i="65"/>
  <c r="AN349" i="65" s="1"/>
  <c r="D23" i="5"/>
  <c r="E23" i="5"/>
  <c r="D24" i="5"/>
  <c r="E24" i="5"/>
  <c r="D25" i="5"/>
  <c r="E25" i="5"/>
  <c r="D26" i="5"/>
  <c r="E26" i="5"/>
  <c r="D27" i="5"/>
  <c r="E27" i="5"/>
  <c r="D28" i="5"/>
  <c r="E28" i="5"/>
  <c r="D29" i="5"/>
  <c r="E29" i="5"/>
  <c r="D30" i="5"/>
  <c r="E30" i="5"/>
  <c r="D31" i="5"/>
  <c r="E31" i="5"/>
  <c r="D32" i="5"/>
  <c r="E32" i="5"/>
  <c r="D33" i="5"/>
  <c r="E33" i="5"/>
  <c r="D34" i="5"/>
  <c r="E34" i="5"/>
  <c r="D35" i="5"/>
  <c r="E35" i="5"/>
  <c r="D36" i="5"/>
  <c r="E36" i="5"/>
  <c r="D37" i="5"/>
  <c r="E37" i="5"/>
  <c r="D38" i="5"/>
  <c r="E38" i="5"/>
  <c r="D39" i="5"/>
  <c r="E39" i="5"/>
  <c r="D40" i="5"/>
  <c r="E40" i="5"/>
  <c r="D41" i="5"/>
  <c r="E41" i="5"/>
  <c r="D42" i="5"/>
  <c r="E42" i="5"/>
  <c r="D43" i="5"/>
  <c r="E43" i="5"/>
  <c r="D44" i="5"/>
  <c r="E44" i="5"/>
  <c r="D45" i="5"/>
  <c r="E45" i="5"/>
  <c r="D46" i="5"/>
  <c r="E46" i="5"/>
  <c r="D47" i="5"/>
  <c r="E47" i="5"/>
  <c r="D48" i="5"/>
  <c r="E48" i="5"/>
  <c r="D49" i="5"/>
  <c r="E49" i="5"/>
  <c r="D50" i="5"/>
  <c r="E50" i="5"/>
  <c r="D51" i="5"/>
  <c r="E51" i="5"/>
  <c r="D52" i="5"/>
  <c r="E52" i="5"/>
  <c r="D53" i="5"/>
  <c r="E53" i="5"/>
  <c r="D54" i="5"/>
  <c r="E54" i="5"/>
  <c r="D55" i="5"/>
  <c r="E55" i="5"/>
  <c r="D56" i="5"/>
  <c r="E56" i="5"/>
  <c r="D57" i="5"/>
  <c r="E57" i="5"/>
  <c r="D58" i="5"/>
  <c r="E58" i="5"/>
  <c r="D59" i="5"/>
  <c r="E59" i="5"/>
  <c r="D60" i="5"/>
  <c r="E60" i="5"/>
  <c r="D61" i="5"/>
  <c r="E61" i="5"/>
  <c r="D62" i="5"/>
  <c r="E62" i="5"/>
  <c r="D63" i="5"/>
  <c r="E63" i="5"/>
  <c r="D64" i="5"/>
  <c r="E64" i="5"/>
  <c r="D65" i="5"/>
  <c r="E65" i="5"/>
  <c r="D66" i="5"/>
  <c r="E66" i="5"/>
  <c r="D67" i="5"/>
  <c r="E67" i="5"/>
  <c r="D68" i="5"/>
  <c r="E68" i="5"/>
  <c r="D69" i="5"/>
  <c r="E69" i="5"/>
  <c r="D70" i="5"/>
  <c r="E70" i="5"/>
  <c r="D71" i="5"/>
  <c r="E71" i="5"/>
  <c r="D72" i="5"/>
  <c r="E72" i="5"/>
  <c r="D73" i="5"/>
  <c r="E73" i="5"/>
  <c r="D74" i="5"/>
  <c r="E74" i="5"/>
  <c r="D75" i="5"/>
  <c r="E75" i="5"/>
  <c r="D76" i="5"/>
  <c r="E76" i="5"/>
  <c r="D77" i="5"/>
  <c r="E77" i="5"/>
  <c r="D78" i="5"/>
  <c r="E78" i="5"/>
  <c r="D79" i="5"/>
  <c r="E79" i="5"/>
  <c r="D80" i="5"/>
  <c r="E80" i="5"/>
  <c r="H80" i="5"/>
  <c r="AL80" i="65" s="1"/>
  <c r="D81" i="5"/>
  <c r="E81" i="5"/>
  <c r="H81" i="5"/>
  <c r="AL81" i="65" s="1"/>
  <c r="D82" i="5"/>
  <c r="E82" i="5"/>
  <c r="H82" i="5"/>
  <c r="AL82" i="65" s="1"/>
  <c r="D83" i="5"/>
  <c r="E83" i="5"/>
  <c r="H83" i="5"/>
  <c r="D84" i="5"/>
  <c r="E84" i="5"/>
  <c r="H84" i="5"/>
  <c r="AL84" i="65" s="1"/>
  <c r="D85" i="5"/>
  <c r="E85" i="5"/>
  <c r="H85" i="5"/>
  <c r="AL85" i="65" s="1"/>
  <c r="D86" i="5"/>
  <c r="E86" i="5"/>
  <c r="H86" i="5"/>
  <c r="AL86" i="65" s="1"/>
  <c r="D87" i="5"/>
  <c r="E87" i="5"/>
  <c r="H87" i="5"/>
  <c r="AL87" i="65" s="1"/>
  <c r="D88" i="5"/>
  <c r="E88" i="5"/>
  <c r="H88" i="5"/>
  <c r="AL88" i="65" s="1"/>
  <c r="D89" i="5"/>
  <c r="E89" i="5"/>
  <c r="H89" i="5"/>
  <c r="AL89" i="65" s="1"/>
  <c r="D90" i="5"/>
  <c r="E90" i="5"/>
  <c r="H90" i="5"/>
  <c r="AL90" i="65" s="1"/>
  <c r="D91" i="5"/>
  <c r="E91" i="5"/>
  <c r="H91" i="5"/>
  <c r="D92" i="5"/>
  <c r="E92" i="5"/>
  <c r="H92" i="5"/>
  <c r="AL92" i="65" s="1"/>
  <c r="D93" i="5"/>
  <c r="E93" i="5"/>
  <c r="H93" i="5"/>
  <c r="AL93" i="65" s="1"/>
  <c r="D94" i="5"/>
  <c r="E94" i="5"/>
  <c r="D95" i="5"/>
  <c r="E95" i="5"/>
  <c r="D96" i="5"/>
  <c r="E96" i="5"/>
  <c r="D97" i="5"/>
  <c r="E97" i="5"/>
  <c r="D98" i="5"/>
  <c r="E98" i="5"/>
  <c r="D99" i="5"/>
  <c r="E99" i="5"/>
  <c r="D100" i="5"/>
  <c r="E100" i="5"/>
  <c r="H100" i="5"/>
  <c r="AL100" i="65" s="1"/>
  <c r="D101" i="5"/>
  <c r="E101" i="5"/>
  <c r="H101" i="5"/>
  <c r="D102" i="5"/>
  <c r="E102" i="5"/>
  <c r="D103" i="5"/>
  <c r="E103" i="5"/>
  <c r="H103" i="5"/>
  <c r="AL103" i="65" s="1"/>
  <c r="I103" i="5"/>
  <c r="R103" i="5"/>
  <c r="S103" i="5"/>
  <c r="AE103" i="5"/>
  <c r="AF103" i="5"/>
  <c r="AG103" i="5"/>
  <c r="D104" i="5"/>
  <c r="E104" i="5"/>
  <c r="D105" i="5"/>
  <c r="E105" i="5"/>
  <c r="H105" i="5"/>
  <c r="D106" i="5"/>
  <c r="E106" i="5"/>
  <c r="H106" i="5"/>
  <c r="AL106" i="65" s="1"/>
  <c r="D107" i="5"/>
  <c r="E107" i="5"/>
  <c r="H107" i="5"/>
  <c r="AL107" i="65" s="1"/>
  <c r="D108" i="5"/>
  <c r="E108" i="5"/>
  <c r="H108" i="5"/>
  <c r="AL108" i="65" s="1"/>
  <c r="D109" i="5"/>
  <c r="E109" i="5"/>
  <c r="H109" i="5"/>
  <c r="D110" i="5"/>
  <c r="E110" i="5"/>
  <c r="H110" i="5"/>
  <c r="AL110" i="65" s="1"/>
  <c r="D111" i="5"/>
  <c r="E111" i="5"/>
  <c r="H111" i="5"/>
  <c r="AL111" i="65" s="1"/>
  <c r="D112" i="5"/>
  <c r="E112" i="5"/>
  <c r="H112" i="5"/>
  <c r="I112" i="5"/>
  <c r="R112" i="5"/>
  <c r="S112" i="5"/>
  <c r="AE112" i="5"/>
  <c r="AF112" i="5"/>
  <c r="AG112" i="5"/>
  <c r="D113" i="5"/>
  <c r="E113" i="5"/>
  <c r="H113" i="5"/>
  <c r="D114" i="5"/>
  <c r="E114" i="5"/>
  <c r="H114" i="5"/>
  <c r="AL114" i="65" s="1"/>
  <c r="D115" i="5"/>
  <c r="E115" i="5"/>
  <c r="H115" i="5"/>
  <c r="D116" i="5"/>
  <c r="E116" i="5"/>
  <c r="H116" i="5"/>
  <c r="AL116" i="65" s="1"/>
  <c r="D117" i="5"/>
  <c r="E117" i="5"/>
  <c r="H117" i="5"/>
  <c r="AL117" i="65" s="1"/>
  <c r="D118" i="5"/>
  <c r="E118" i="5"/>
  <c r="H118" i="5"/>
  <c r="AL118" i="65" s="1"/>
  <c r="D119" i="5"/>
  <c r="E119" i="5"/>
  <c r="H119" i="5"/>
  <c r="AL119" i="65" s="1"/>
  <c r="D120" i="5"/>
  <c r="E120" i="5"/>
  <c r="H120" i="5"/>
  <c r="AL120" i="65" s="1"/>
  <c r="D121" i="5"/>
  <c r="E121" i="5"/>
  <c r="H121" i="5"/>
  <c r="D122" i="5"/>
  <c r="E122" i="5"/>
  <c r="H122" i="5"/>
  <c r="D123" i="5"/>
  <c r="E123" i="5"/>
  <c r="H123" i="5"/>
  <c r="AL123" i="65" s="1"/>
  <c r="D124" i="5"/>
  <c r="E124" i="5"/>
  <c r="D125" i="5"/>
  <c r="E125" i="5"/>
  <c r="D126" i="5"/>
  <c r="E126" i="5"/>
  <c r="D127" i="5"/>
  <c r="E127" i="5"/>
  <c r="D128" i="5"/>
  <c r="E128" i="5"/>
  <c r="I128" i="5"/>
  <c r="D129" i="5"/>
  <c r="E129" i="5"/>
  <c r="I129" i="5"/>
  <c r="D130" i="5"/>
  <c r="E130" i="5"/>
  <c r="H130" i="5"/>
  <c r="AL130" i="65" s="1"/>
  <c r="I130" i="5"/>
  <c r="R130" i="5"/>
  <c r="S130" i="5"/>
  <c r="AE130" i="5"/>
  <c r="AF130" i="5"/>
  <c r="AG130" i="5"/>
  <c r="D131" i="5"/>
  <c r="E131" i="5"/>
  <c r="I131" i="5"/>
  <c r="D132" i="5"/>
  <c r="E132" i="5"/>
  <c r="H132" i="5"/>
  <c r="AL132" i="65" s="1"/>
  <c r="I132" i="5"/>
  <c r="R132" i="5"/>
  <c r="S132" i="5"/>
  <c r="AE132" i="5"/>
  <c r="AF132" i="5"/>
  <c r="AG132" i="5"/>
  <c r="D133" i="5"/>
  <c r="E133" i="5"/>
  <c r="H133" i="5"/>
  <c r="AL133" i="65" s="1"/>
  <c r="I133" i="5"/>
  <c r="R133" i="5"/>
  <c r="S133" i="5"/>
  <c r="AE133" i="5"/>
  <c r="AF133" i="5"/>
  <c r="AG133" i="5"/>
  <c r="D134" i="5"/>
  <c r="E134" i="5"/>
  <c r="H134" i="5"/>
  <c r="AL134" i="65" s="1"/>
  <c r="I134" i="5"/>
  <c r="R134" i="5"/>
  <c r="S134" i="5"/>
  <c r="AE134" i="5"/>
  <c r="AF134" i="5"/>
  <c r="AG134" i="5"/>
  <c r="D135" i="5"/>
  <c r="E135" i="5"/>
  <c r="H135" i="5"/>
  <c r="I135" i="5"/>
  <c r="R135" i="5"/>
  <c r="S135" i="5"/>
  <c r="AE135" i="5"/>
  <c r="AF135" i="5"/>
  <c r="AG135" i="5"/>
  <c r="D136" i="5"/>
  <c r="E136" i="5"/>
  <c r="H136" i="5"/>
  <c r="AL136" i="65" s="1"/>
  <c r="I136" i="5"/>
  <c r="R136" i="5"/>
  <c r="S136" i="5"/>
  <c r="AE136" i="5"/>
  <c r="AF136" i="5"/>
  <c r="AG136" i="5"/>
  <c r="D137" i="5"/>
  <c r="E137" i="5"/>
  <c r="H137" i="5"/>
  <c r="I137" i="5"/>
  <c r="R137" i="5"/>
  <c r="S137" i="5"/>
  <c r="AE137" i="5"/>
  <c r="AF137" i="5"/>
  <c r="AG137" i="5"/>
  <c r="D138" i="5"/>
  <c r="E138" i="5"/>
  <c r="I138" i="5"/>
  <c r="D139" i="5"/>
  <c r="E139" i="5"/>
  <c r="H139" i="5"/>
  <c r="AL139" i="65" s="1"/>
  <c r="I139" i="5"/>
  <c r="R139" i="5"/>
  <c r="S139" i="5"/>
  <c r="AE139" i="5"/>
  <c r="AF139" i="5"/>
  <c r="AG139" i="5"/>
  <c r="D140" i="5"/>
  <c r="E140" i="5"/>
  <c r="I140" i="5"/>
  <c r="D141" i="5"/>
  <c r="E141" i="5"/>
  <c r="H141" i="5"/>
  <c r="AL141" i="65" s="1"/>
  <c r="I141" i="5"/>
  <c r="R141" i="5"/>
  <c r="S141" i="5"/>
  <c r="AE141" i="5"/>
  <c r="AF141" i="5"/>
  <c r="AG141" i="5"/>
  <c r="D142" i="5"/>
  <c r="E142" i="5"/>
  <c r="H142" i="5"/>
  <c r="AL142" i="65" s="1"/>
  <c r="I142" i="5"/>
  <c r="R142" i="5"/>
  <c r="S142" i="5"/>
  <c r="AE142" i="5"/>
  <c r="AF142" i="5"/>
  <c r="AG142" i="5"/>
  <c r="D143" i="5"/>
  <c r="E143" i="5"/>
  <c r="H143" i="5"/>
  <c r="AL143" i="65" s="1"/>
  <c r="I143" i="5"/>
  <c r="R143" i="5"/>
  <c r="S143" i="5"/>
  <c r="AE143" i="5"/>
  <c r="AF143" i="5"/>
  <c r="AG143" i="5"/>
  <c r="D144" i="5"/>
  <c r="E144" i="5"/>
  <c r="H144" i="5"/>
  <c r="AL144" i="65" s="1"/>
  <c r="I144" i="5"/>
  <c r="R144" i="5"/>
  <c r="S144" i="5"/>
  <c r="AE144" i="5"/>
  <c r="AF144" i="5"/>
  <c r="AG144" i="5"/>
  <c r="D145" i="5"/>
  <c r="E145" i="5"/>
  <c r="H145" i="5"/>
  <c r="I145" i="5"/>
  <c r="R145" i="5"/>
  <c r="S145" i="5"/>
  <c r="AE145" i="5"/>
  <c r="AF145" i="5"/>
  <c r="AG145" i="5"/>
  <c r="D146" i="5"/>
  <c r="E146" i="5"/>
  <c r="H146" i="5"/>
  <c r="I146" i="5"/>
  <c r="R146" i="5"/>
  <c r="S146" i="5"/>
  <c r="AE146" i="5"/>
  <c r="AF146" i="5"/>
  <c r="AG146" i="5"/>
  <c r="D147" i="5"/>
  <c r="E147" i="5"/>
  <c r="I147" i="5"/>
  <c r="D148" i="5"/>
  <c r="E148" i="5"/>
  <c r="H148" i="5"/>
  <c r="AL148" i="65" s="1"/>
  <c r="I148" i="5"/>
  <c r="R148" i="5"/>
  <c r="S148" i="5"/>
  <c r="AE148" i="5"/>
  <c r="AF148" i="5"/>
  <c r="AG148" i="5"/>
  <c r="D149" i="5"/>
  <c r="E149" i="5"/>
  <c r="H149" i="5"/>
  <c r="I149" i="5"/>
  <c r="R149" i="5"/>
  <c r="S149" i="5"/>
  <c r="AE149" i="5"/>
  <c r="AF149" i="5"/>
  <c r="AG149" i="5"/>
  <c r="D150" i="5"/>
  <c r="E150" i="5"/>
  <c r="H150" i="5"/>
  <c r="I150" i="5"/>
  <c r="R150" i="5"/>
  <c r="S150" i="5"/>
  <c r="AE150" i="5"/>
  <c r="AF150" i="5"/>
  <c r="AG150" i="5"/>
  <c r="D151" i="5"/>
  <c r="E151" i="5"/>
  <c r="H151" i="5"/>
  <c r="AL151" i="65" s="1"/>
  <c r="I151" i="5"/>
  <c r="R151" i="5"/>
  <c r="S151" i="5"/>
  <c r="AE151" i="5"/>
  <c r="AF151" i="5"/>
  <c r="AG151" i="5"/>
  <c r="D152" i="5"/>
  <c r="E152" i="5"/>
  <c r="H152" i="5"/>
  <c r="AL152" i="65" s="1"/>
  <c r="I152" i="5"/>
  <c r="R152" i="5"/>
  <c r="S152" i="5"/>
  <c r="AE152" i="5"/>
  <c r="AF152" i="5"/>
  <c r="AG152" i="5"/>
  <c r="D153" i="5"/>
  <c r="E153" i="5"/>
  <c r="H153" i="5"/>
  <c r="AL153" i="65" s="1"/>
  <c r="I153" i="5"/>
  <c r="R153" i="5"/>
  <c r="S153" i="5"/>
  <c r="AE153" i="5"/>
  <c r="AF153" i="5"/>
  <c r="AG153" i="5"/>
  <c r="D154" i="5"/>
  <c r="E154" i="5"/>
  <c r="H154" i="5"/>
  <c r="AL154" i="65" s="1"/>
  <c r="I154" i="5"/>
  <c r="R154" i="5"/>
  <c r="S154" i="5"/>
  <c r="AE154" i="5"/>
  <c r="AF154" i="5"/>
  <c r="AG154" i="5"/>
  <c r="D155" i="5"/>
  <c r="E155" i="5"/>
  <c r="H155" i="5"/>
  <c r="AL155" i="65" s="1"/>
  <c r="I155" i="5"/>
  <c r="R155" i="5"/>
  <c r="S155" i="5"/>
  <c r="AE155" i="5"/>
  <c r="AF155" i="5"/>
  <c r="AG155" i="5"/>
  <c r="D156" i="5"/>
  <c r="E156" i="5"/>
  <c r="H156" i="5"/>
  <c r="AL156" i="65" s="1"/>
  <c r="I156" i="5"/>
  <c r="R156" i="5"/>
  <c r="S156" i="5"/>
  <c r="AE156" i="5"/>
  <c r="AF156" i="5"/>
  <c r="AG156" i="5"/>
  <c r="D157" i="5"/>
  <c r="E157" i="5"/>
  <c r="H157" i="5"/>
  <c r="AL157" i="65" s="1"/>
  <c r="I157" i="5"/>
  <c r="R157" i="5"/>
  <c r="S157" i="5"/>
  <c r="AE157" i="5"/>
  <c r="AF157" i="5"/>
  <c r="AG157" i="5"/>
  <c r="D158" i="5"/>
  <c r="E158" i="5"/>
  <c r="H158" i="5"/>
  <c r="AL158" i="65" s="1"/>
  <c r="I158" i="5"/>
  <c r="R158" i="5"/>
  <c r="S158" i="5"/>
  <c r="AE158" i="5"/>
  <c r="AF158" i="5"/>
  <c r="AG158" i="5"/>
  <c r="D159" i="5"/>
  <c r="E159" i="5"/>
  <c r="H159" i="5"/>
  <c r="AL159" i="65" s="1"/>
  <c r="I159" i="5"/>
  <c r="R159" i="5"/>
  <c r="S159" i="5"/>
  <c r="AE159" i="5"/>
  <c r="AF159" i="5"/>
  <c r="AG159" i="5"/>
  <c r="D160" i="5"/>
  <c r="E160" i="5"/>
  <c r="H160" i="5"/>
  <c r="AL160" i="65" s="1"/>
  <c r="I160" i="5"/>
  <c r="R160" i="5"/>
  <c r="S160" i="5"/>
  <c r="AE160" i="5"/>
  <c r="AF160" i="5"/>
  <c r="AG160" i="5"/>
  <c r="D161" i="5"/>
  <c r="E161" i="5"/>
  <c r="H161" i="5"/>
  <c r="I161" i="5"/>
  <c r="R161" i="5"/>
  <c r="S161" i="5"/>
  <c r="AE161" i="5"/>
  <c r="AF161" i="5"/>
  <c r="AG161" i="5"/>
  <c r="D162" i="5"/>
  <c r="E162" i="5"/>
  <c r="H162" i="5"/>
  <c r="AL162" i="65" s="1"/>
  <c r="I162" i="5"/>
  <c r="R162" i="5"/>
  <c r="S162" i="5"/>
  <c r="AE162" i="5"/>
  <c r="AF162" i="5"/>
  <c r="AG162" i="5"/>
  <c r="D163" i="5"/>
  <c r="E163" i="5"/>
  <c r="H163" i="5"/>
  <c r="AL163" i="65" s="1"/>
  <c r="I163" i="5"/>
  <c r="R163" i="5"/>
  <c r="S163" i="5"/>
  <c r="AE163" i="5"/>
  <c r="AF163" i="5"/>
  <c r="AG163" i="5"/>
  <c r="D164" i="5"/>
  <c r="E164" i="5"/>
  <c r="H164" i="5"/>
  <c r="AL164" i="65" s="1"/>
  <c r="I164" i="5"/>
  <c r="R164" i="5"/>
  <c r="S164" i="5"/>
  <c r="AE164" i="5"/>
  <c r="AF164" i="5"/>
  <c r="AG164" i="5"/>
  <c r="D165" i="5"/>
  <c r="E165" i="5"/>
  <c r="H165" i="5"/>
  <c r="AL165" i="65" s="1"/>
  <c r="I165" i="5"/>
  <c r="R165" i="5"/>
  <c r="S165" i="5"/>
  <c r="AE165" i="5"/>
  <c r="AF165" i="5"/>
  <c r="AG165" i="5"/>
  <c r="D166" i="5"/>
  <c r="E166" i="5"/>
  <c r="H166" i="5"/>
  <c r="AL166" i="65" s="1"/>
  <c r="I166" i="5"/>
  <c r="R166" i="5"/>
  <c r="S166" i="5"/>
  <c r="AE166" i="5"/>
  <c r="AF166" i="5"/>
  <c r="AG166" i="5"/>
  <c r="D167" i="5"/>
  <c r="E167" i="5"/>
  <c r="H167" i="5"/>
  <c r="AL167" i="65" s="1"/>
  <c r="I167" i="5"/>
  <c r="R167" i="5"/>
  <c r="S167" i="5"/>
  <c r="AE167" i="5"/>
  <c r="AF167" i="5"/>
  <c r="AG167" i="5"/>
  <c r="D168" i="5"/>
  <c r="E168" i="5"/>
  <c r="H168" i="5"/>
  <c r="AL168" i="65" s="1"/>
  <c r="I168" i="5"/>
  <c r="R168" i="5"/>
  <c r="S168" i="5"/>
  <c r="AE168" i="5"/>
  <c r="AF168" i="5"/>
  <c r="AG168" i="5"/>
  <c r="D169" i="5"/>
  <c r="E169" i="5"/>
  <c r="H169" i="5"/>
  <c r="I169" i="5"/>
  <c r="R169" i="5"/>
  <c r="S169" i="5"/>
  <c r="AE169" i="5"/>
  <c r="AF169" i="5"/>
  <c r="AG169" i="5"/>
  <c r="D170" i="5"/>
  <c r="E170" i="5"/>
  <c r="H170" i="5"/>
  <c r="AL170" i="65" s="1"/>
  <c r="I170" i="5"/>
  <c r="R170" i="5"/>
  <c r="S170" i="5"/>
  <c r="AE170" i="5"/>
  <c r="AF170" i="5"/>
  <c r="AG170" i="5"/>
  <c r="D171" i="5"/>
  <c r="E171" i="5"/>
  <c r="H171" i="5"/>
  <c r="AL171" i="65" s="1"/>
  <c r="I171" i="5"/>
  <c r="R171" i="5"/>
  <c r="S171" i="5"/>
  <c r="AE171" i="5"/>
  <c r="AF171" i="5"/>
  <c r="AG171" i="5"/>
  <c r="D172" i="5"/>
  <c r="E172" i="5"/>
  <c r="H172" i="5"/>
  <c r="AL172" i="65" s="1"/>
  <c r="I172" i="5"/>
  <c r="R172" i="5"/>
  <c r="S172" i="5"/>
  <c r="AE172" i="5"/>
  <c r="AF172" i="5"/>
  <c r="AG172" i="5"/>
  <c r="D173" i="5"/>
  <c r="E173" i="5"/>
  <c r="H173" i="5"/>
  <c r="I173" i="5"/>
  <c r="R173" i="5"/>
  <c r="S173" i="5"/>
  <c r="AE173" i="5"/>
  <c r="AF173" i="5"/>
  <c r="AG173" i="5"/>
  <c r="D174" i="5"/>
  <c r="E174" i="5"/>
  <c r="H174" i="5"/>
  <c r="AL174" i="65" s="1"/>
  <c r="I174" i="5"/>
  <c r="R174" i="5"/>
  <c r="S174" i="5"/>
  <c r="AE174" i="5"/>
  <c r="AF174" i="5"/>
  <c r="AG174" i="5"/>
  <c r="D175" i="5"/>
  <c r="E175" i="5"/>
  <c r="H175" i="5"/>
  <c r="AL175" i="65" s="1"/>
  <c r="I175" i="5"/>
  <c r="R175" i="5"/>
  <c r="S175" i="5"/>
  <c r="AE175" i="5"/>
  <c r="AF175" i="5"/>
  <c r="AG175" i="5"/>
  <c r="D176" i="5"/>
  <c r="E176" i="5"/>
  <c r="H176" i="5"/>
  <c r="AL176" i="65" s="1"/>
  <c r="I176" i="5"/>
  <c r="R176" i="5"/>
  <c r="S176" i="5"/>
  <c r="AE176" i="5"/>
  <c r="AF176" i="5"/>
  <c r="AG176" i="5"/>
  <c r="D177" i="5"/>
  <c r="E177" i="5"/>
  <c r="H177" i="5"/>
  <c r="I177" i="5"/>
  <c r="R177" i="5"/>
  <c r="S177" i="5"/>
  <c r="AE177" i="5"/>
  <c r="AF177" i="5"/>
  <c r="AG177" i="5"/>
  <c r="D178" i="5"/>
  <c r="E178" i="5"/>
  <c r="I178" i="5"/>
  <c r="D179" i="5"/>
  <c r="E179" i="5"/>
  <c r="I179" i="5"/>
  <c r="D180" i="5"/>
  <c r="E180" i="5"/>
  <c r="H180" i="5"/>
  <c r="AL180" i="65" s="1"/>
  <c r="I180" i="5"/>
  <c r="R180" i="5"/>
  <c r="S180" i="5"/>
  <c r="AE180" i="5"/>
  <c r="AF180" i="5"/>
  <c r="AG180" i="5"/>
  <c r="D181" i="5"/>
  <c r="E181" i="5"/>
  <c r="H181" i="5"/>
  <c r="AL181" i="65" s="1"/>
  <c r="I181" i="5"/>
  <c r="R181" i="5"/>
  <c r="S181" i="5"/>
  <c r="AE181" i="5"/>
  <c r="AF181" i="5"/>
  <c r="AG181" i="5"/>
  <c r="D182" i="5"/>
  <c r="E182" i="5"/>
  <c r="H182" i="5"/>
  <c r="AL182" i="65" s="1"/>
  <c r="I182" i="5"/>
  <c r="R182" i="5"/>
  <c r="S182" i="5"/>
  <c r="AE182" i="5"/>
  <c r="AF182" i="5"/>
  <c r="AG182" i="5"/>
  <c r="D183" i="5"/>
  <c r="E183" i="5"/>
  <c r="H183" i="5"/>
  <c r="AL183" i="65" s="1"/>
  <c r="I183" i="5"/>
  <c r="R183" i="5"/>
  <c r="S183" i="5"/>
  <c r="AE183" i="5"/>
  <c r="AF183" i="5"/>
  <c r="AG183" i="5"/>
  <c r="D184" i="5"/>
  <c r="E184" i="5"/>
  <c r="I184" i="5"/>
  <c r="D185" i="5"/>
  <c r="E185" i="5"/>
  <c r="I185" i="5"/>
  <c r="D186" i="5"/>
  <c r="E186" i="5"/>
  <c r="I186" i="5"/>
  <c r="D187" i="5"/>
  <c r="E187" i="5"/>
  <c r="H187" i="5"/>
  <c r="I187" i="5"/>
  <c r="R187" i="5"/>
  <c r="S187" i="5"/>
  <c r="AE187" i="5"/>
  <c r="AF187" i="5"/>
  <c r="AG187" i="5"/>
  <c r="D188" i="5"/>
  <c r="E188" i="5"/>
  <c r="H188" i="5"/>
  <c r="AL188" i="65" s="1"/>
  <c r="I188" i="5"/>
  <c r="R188" i="5"/>
  <c r="S188" i="5"/>
  <c r="AE188" i="5"/>
  <c r="AF188" i="5"/>
  <c r="AG188" i="5"/>
  <c r="D189" i="5"/>
  <c r="E189" i="5"/>
  <c r="H189" i="5"/>
  <c r="AL189" i="65" s="1"/>
  <c r="I189" i="5"/>
  <c r="R189" i="5"/>
  <c r="S189" i="5"/>
  <c r="AE189" i="5"/>
  <c r="AF189" i="5"/>
  <c r="AG189" i="5"/>
  <c r="D190" i="5"/>
  <c r="E190" i="5"/>
  <c r="H190" i="5"/>
  <c r="AL190" i="65" s="1"/>
  <c r="I190" i="5"/>
  <c r="R190" i="5"/>
  <c r="S190" i="5"/>
  <c r="AE190" i="5"/>
  <c r="AF190" i="5"/>
  <c r="AG190" i="5"/>
  <c r="D191" i="5"/>
  <c r="E191" i="5"/>
  <c r="H191" i="5"/>
  <c r="I191" i="5"/>
  <c r="R191" i="5"/>
  <c r="S191" i="5"/>
  <c r="AE191" i="5"/>
  <c r="AF191" i="5"/>
  <c r="AG191" i="5"/>
  <c r="D192" i="5"/>
  <c r="E192" i="5"/>
  <c r="H192" i="5"/>
  <c r="AL192" i="65" s="1"/>
  <c r="I192" i="5"/>
  <c r="R192" i="5"/>
  <c r="S192" i="5"/>
  <c r="AE192" i="5"/>
  <c r="AF192" i="5"/>
  <c r="AG192" i="5"/>
  <c r="D193" i="5"/>
  <c r="E193" i="5"/>
  <c r="H193" i="5"/>
  <c r="AL193" i="65" s="1"/>
  <c r="I193" i="5"/>
  <c r="R193" i="5"/>
  <c r="S193" i="5"/>
  <c r="AE193" i="5"/>
  <c r="AF193" i="5"/>
  <c r="AG193" i="5"/>
  <c r="D194" i="5"/>
  <c r="E194" i="5"/>
  <c r="H194" i="5"/>
  <c r="AL194" i="65" s="1"/>
  <c r="I194" i="5"/>
  <c r="R194" i="5"/>
  <c r="S194" i="5"/>
  <c r="AE194" i="5"/>
  <c r="AF194" i="5"/>
  <c r="AG194" i="5"/>
  <c r="D195" i="5"/>
  <c r="E195" i="5"/>
  <c r="H195" i="5"/>
  <c r="AL195" i="65" s="1"/>
  <c r="I195" i="5"/>
  <c r="R195" i="5"/>
  <c r="S195" i="5"/>
  <c r="AE195" i="5"/>
  <c r="AF195" i="5"/>
  <c r="AG195" i="5"/>
  <c r="D196" i="5"/>
  <c r="E196" i="5"/>
  <c r="H196" i="5"/>
  <c r="AL196" i="65" s="1"/>
  <c r="I196" i="5"/>
  <c r="R196" i="5"/>
  <c r="S196" i="5"/>
  <c r="AE196" i="5"/>
  <c r="AF196" i="5"/>
  <c r="AG196" i="5"/>
  <c r="D197" i="5"/>
  <c r="E197" i="5"/>
  <c r="H197" i="5"/>
  <c r="AL197" i="65" s="1"/>
  <c r="I197" i="5"/>
  <c r="R197" i="5"/>
  <c r="S197" i="5"/>
  <c r="AE197" i="5"/>
  <c r="AF197" i="5"/>
  <c r="AG197" i="5"/>
  <c r="D198" i="5"/>
  <c r="E198" i="5"/>
  <c r="H198" i="5"/>
  <c r="AL198" i="65" s="1"/>
  <c r="I198" i="5"/>
  <c r="R198" i="5"/>
  <c r="S198" i="5"/>
  <c r="AE198" i="5"/>
  <c r="AF198" i="5"/>
  <c r="AG198" i="5"/>
  <c r="D199" i="5"/>
  <c r="E199" i="5"/>
  <c r="H199" i="5"/>
  <c r="I199" i="5"/>
  <c r="R199" i="5"/>
  <c r="S199" i="5"/>
  <c r="AE199" i="5"/>
  <c r="AF199" i="5"/>
  <c r="AG199" i="5"/>
  <c r="D200" i="5"/>
  <c r="E200" i="5"/>
  <c r="H200" i="5"/>
  <c r="AL200" i="65" s="1"/>
  <c r="I200" i="5"/>
  <c r="R200" i="5"/>
  <c r="S200" i="5"/>
  <c r="AE200" i="5"/>
  <c r="AF200" i="5"/>
  <c r="AG200" i="5"/>
  <c r="D201" i="5"/>
  <c r="E201" i="5"/>
  <c r="H201" i="5"/>
  <c r="AL201" i="65" s="1"/>
  <c r="I201" i="5"/>
  <c r="R201" i="5"/>
  <c r="S201" i="5"/>
  <c r="AE201" i="5"/>
  <c r="AF201" i="5"/>
  <c r="AG201" i="5"/>
  <c r="D202" i="5"/>
  <c r="E202" i="5"/>
  <c r="H202" i="5"/>
  <c r="AL202" i="65" s="1"/>
  <c r="I202" i="5"/>
  <c r="R202" i="5"/>
  <c r="S202" i="5"/>
  <c r="AE202" i="5"/>
  <c r="AF202" i="5"/>
  <c r="AG202" i="5"/>
  <c r="D203" i="5"/>
  <c r="E203" i="5"/>
  <c r="H203" i="5"/>
  <c r="AL203" i="65" s="1"/>
  <c r="I203" i="5"/>
  <c r="R203" i="5"/>
  <c r="S203" i="5"/>
  <c r="AE203" i="5"/>
  <c r="AF203" i="5"/>
  <c r="AG203" i="5"/>
  <c r="D204" i="5"/>
  <c r="E204" i="5"/>
  <c r="H204" i="5"/>
  <c r="AL204" i="65" s="1"/>
  <c r="I204" i="5"/>
  <c r="R204" i="5"/>
  <c r="S204" i="5"/>
  <c r="AE204" i="5"/>
  <c r="AF204" i="5"/>
  <c r="AG204" i="5"/>
  <c r="D205" i="5"/>
  <c r="E205" i="5"/>
  <c r="H205" i="5"/>
  <c r="I205" i="5"/>
  <c r="R205" i="5"/>
  <c r="S205" i="5"/>
  <c r="AE205" i="5"/>
  <c r="AF205" i="5"/>
  <c r="AG205" i="5"/>
  <c r="D206" i="5"/>
  <c r="E206" i="5"/>
  <c r="H206" i="5"/>
  <c r="AL206" i="65" s="1"/>
  <c r="I206" i="5"/>
  <c r="R206" i="5"/>
  <c r="S206" i="5"/>
  <c r="AE206" i="5"/>
  <c r="AF206" i="5"/>
  <c r="AG206" i="5"/>
  <c r="D207" i="5"/>
  <c r="E207" i="5"/>
  <c r="H207" i="5"/>
  <c r="I207" i="5"/>
  <c r="R207" i="5"/>
  <c r="S207" i="5"/>
  <c r="AE207" i="5"/>
  <c r="AF207" i="5"/>
  <c r="AG207" i="5"/>
  <c r="D208" i="5"/>
  <c r="E208" i="5"/>
  <c r="H208" i="5"/>
  <c r="AL208" i="65" s="1"/>
  <c r="I208" i="5"/>
  <c r="R208" i="5"/>
  <c r="S208" i="5"/>
  <c r="AE208" i="5"/>
  <c r="AF208" i="5"/>
  <c r="AG208" i="5"/>
  <c r="D209" i="5"/>
  <c r="E209" i="5"/>
  <c r="H209" i="5"/>
  <c r="AL209" i="65" s="1"/>
  <c r="I209" i="5"/>
  <c r="R209" i="5"/>
  <c r="S209" i="5"/>
  <c r="AE209" i="5"/>
  <c r="AF209" i="5"/>
  <c r="AG209" i="5"/>
  <c r="D210" i="5"/>
  <c r="E210" i="5"/>
  <c r="H210" i="5"/>
  <c r="AL210" i="65" s="1"/>
  <c r="I210" i="5"/>
  <c r="R210" i="5"/>
  <c r="S210" i="5"/>
  <c r="AE210" i="5"/>
  <c r="AF210" i="5"/>
  <c r="AG210" i="5"/>
  <c r="D211" i="5"/>
  <c r="E211" i="5"/>
  <c r="H211" i="5"/>
  <c r="AL211" i="65" s="1"/>
  <c r="I211" i="5"/>
  <c r="R211" i="5"/>
  <c r="S211" i="5"/>
  <c r="AE211" i="5"/>
  <c r="AF211" i="5"/>
  <c r="AG211" i="5"/>
  <c r="D212" i="5"/>
  <c r="E212" i="5"/>
  <c r="H212" i="5"/>
  <c r="AL212" i="65" s="1"/>
  <c r="I212" i="5"/>
  <c r="R212" i="5"/>
  <c r="S212" i="5"/>
  <c r="AE212" i="5"/>
  <c r="AF212" i="5"/>
  <c r="AG212" i="5"/>
  <c r="D213" i="5"/>
  <c r="E213" i="5"/>
  <c r="H213" i="5"/>
  <c r="AL213" i="65" s="1"/>
  <c r="I213" i="5"/>
  <c r="R213" i="5"/>
  <c r="S213" i="5"/>
  <c r="AE213" i="5"/>
  <c r="AF213" i="5"/>
  <c r="AG213" i="5"/>
  <c r="D214" i="5"/>
  <c r="E214" i="5"/>
  <c r="H214" i="5"/>
  <c r="AL214" i="65" s="1"/>
  <c r="I214" i="5"/>
  <c r="R214" i="5"/>
  <c r="S214" i="5"/>
  <c r="AE214" i="5"/>
  <c r="AF214" i="5"/>
  <c r="AG214" i="5"/>
  <c r="D215" i="5"/>
  <c r="E215" i="5"/>
  <c r="H215" i="5"/>
  <c r="I215" i="5"/>
  <c r="R215" i="5"/>
  <c r="S215" i="5"/>
  <c r="AE215" i="5"/>
  <c r="AF215" i="5"/>
  <c r="AG215" i="5"/>
  <c r="D216" i="5"/>
  <c r="E216" i="5"/>
  <c r="H216" i="5"/>
  <c r="AL216" i="65" s="1"/>
  <c r="I216" i="5"/>
  <c r="R216" i="5"/>
  <c r="S216" i="5"/>
  <c r="AE216" i="5"/>
  <c r="AF216" i="5"/>
  <c r="AG216" i="5"/>
  <c r="D217" i="5"/>
  <c r="E217" i="5"/>
  <c r="H217" i="5"/>
  <c r="AL217" i="65" s="1"/>
  <c r="I217" i="5"/>
  <c r="R217" i="5"/>
  <c r="S217" i="5"/>
  <c r="AE217" i="5"/>
  <c r="AF217" i="5"/>
  <c r="AG217" i="5"/>
  <c r="D218" i="5"/>
  <c r="E218" i="5"/>
  <c r="H218" i="5"/>
  <c r="AL218" i="65" s="1"/>
  <c r="I218" i="5"/>
  <c r="R218" i="5"/>
  <c r="S218" i="5"/>
  <c r="AE218" i="5"/>
  <c r="AF218" i="5"/>
  <c r="AG218" i="5"/>
  <c r="D219" i="5"/>
  <c r="E219" i="5"/>
  <c r="H219" i="5"/>
  <c r="AL219" i="65" s="1"/>
  <c r="I219" i="5"/>
  <c r="R219" i="5"/>
  <c r="S219" i="5"/>
  <c r="AE219" i="5"/>
  <c r="AF219" i="5"/>
  <c r="AG219" i="5"/>
  <c r="D220" i="5"/>
  <c r="E220" i="5"/>
  <c r="H220" i="5"/>
  <c r="AL220" i="65" s="1"/>
  <c r="I220" i="5"/>
  <c r="R220" i="5"/>
  <c r="S220" i="5"/>
  <c r="AE220" i="5"/>
  <c r="AF220" i="5"/>
  <c r="AG220" i="5"/>
  <c r="D221" i="5"/>
  <c r="E221" i="5"/>
  <c r="H221" i="5"/>
  <c r="AL221" i="65" s="1"/>
  <c r="I221" i="5"/>
  <c r="R221" i="5"/>
  <c r="S221" i="5"/>
  <c r="AE221" i="5"/>
  <c r="AF221" i="5"/>
  <c r="AG221" i="5"/>
  <c r="D222" i="5"/>
  <c r="E222" i="5"/>
  <c r="H222" i="5"/>
  <c r="AL222" i="65" s="1"/>
  <c r="I222" i="5"/>
  <c r="R222" i="5"/>
  <c r="S222" i="5"/>
  <c r="AE222" i="5"/>
  <c r="AF222" i="5"/>
  <c r="AG222" i="5"/>
  <c r="D223" i="5"/>
  <c r="E223" i="5"/>
  <c r="H223" i="5"/>
  <c r="AL223" i="65" s="1"/>
  <c r="I223" i="5"/>
  <c r="R223" i="5"/>
  <c r="S223" i="5"/>
  <c r="AE223" i="5"/>
  <c r="AF223" i="5"/>
  <c r="AG223" i="5"/>
  <c r="D224" i="5"/>
  <c r="E224" i="5"/>
  <c r="H224" i="5"/>
  <c r="I224" i="5"/>
  <c r="R224" i="5"/>
  <c r="S224" i="5"/>
  <c r="AE224" i="5"/>
  <c r="AF224" i="5"/>
  <c r="AG224" i="5"/>
  <c r="D225" i="5"/>
  <c r="E225" i="5"/>
  <c r="H225" i="5"/>
  <c r="AL225" i="65" s="1"/>
  <c r="I225" i="5"/>
  <c r="R225" i="5"/>
  <c r="S225" i="5"/>
  <c r="AE225" i="5"/>
  <c r="AF225" i="5"/>
  <c r="AG225" i="5"/>
  <c r="D226" i="5"/>
  <c r="E226" i="5"/>
  <c r="H226" i="5"/>
  <c r="AL226" i="65" s="1"/>
  <c r="I226" i="5"/>
  <c r="R226" i="5"/>
  <c r="S226" i="5"/>
  <c r="AE226" i="5"/>
  <c r="AF226" i="5"/>
  <c r="AG226" i="5"/>
  <c r="D227" i="5"/>
  <c r="E227" i="5"/>
  <c r="H227" i="5"/>
  <c r="AL227" i="65" s="1"/>
  <c r="I227" i="5"/>
  <c r="R227" i="5"/>
  <c r="S227" i="5"/>
  <c r="AE227" i="5"/>
  <c r="AF227" i="5"/>
  <c r="AG227" i="5"/>
  <c r="D228" i="5"/>
  <c r="E228" i="5"/>
  <c r="H228" i="5"/>
  <c r="I228" i="5"/>
  <c r="R228" i="5"/>
  <c r="S228" i="5"/>
  <c r="AE228" i="5"/>
  <c r="AF228" i="5"/>
  <c r="AG228" i="5"/>
  <c r="D229" i="5"/>
  <c r="E229" i="5"/>
  <c r="H229" i="5"/>
  <c r="I229" i="5"/>
  <c r="R229" i="5"/>
  <c r="S229" i="5"/>
  <c r="AE229" i="5"/>
  <c r="AF229" i="5"/>
  <c r="AG229" i="5"/>
  <c r="D230" i="5"/>
  <c r="E230" i="5"/>
  <c r="H230" i="5"/>
  <c r="AL230" i="65" s="1"/>
  <c r="I230" i="5"/>
  <c r="R230" i="5"/>
  <c r="S230" i="5"/>
  <c r="AE230" i="5"/>
  <c r="AF230" i="5"/>
  <c r="AG230" i="5"/>
  <c r="D231" i="5"/>
  <c r="E231" i="5"/>
  <c r="H231" i="5"/>
  <c r="AL231" i="65" s="1"/>
  <c r="I231" i="5"/>
  <c r="R231" i="5"/>
  <c r="S231" i="5"/>
  <c r="AE231" i="5"/>
  <c r="AF231" i="5"/>
  <c r="AG231" i="5"/>
  <c r="D232" i="5"/>
  <c r="E232" i="5"/>
  <c r="H232" i="5"/>
  <c r="AL232" i="65" s="1"/>
  <c r="I232" i="5"/>
  <c r="R232" i="5"/>
  <c r="S232" i="5"/>
  <c r="AE232" i="5"/>
  <c r="AF232" i="5"/>
  <c r="AG232" i="5"/>
  <c r="D233" i="5"/>
  <c r="E233" i="5"/>
  <c r="H233" i="5"/>
  <c r="AL233" i="65" s="1"/>
  <c r="I233" i="5"/>
  <c r="R233" i="5"/>
  <c r="S233" i="5"/>
  <c r="AE233" i="5"/>
  <c r="AF233" i="5"/>
  <c r="AG233" i="5"/>
  <c r="D234" i="5"/>
  <c r="E234" i="5"/>
  <c r="H234" i="5"/>
  <c r="AL234" i="65" s="1"/>
  <c r="I234" i="5"/>
  <c r="R234" i="5"/>
  <c r="S234" i="5"/>
  <c r="AE234" i="5"/>
  <c r="AF234" i="5"/>
  <c r="AG234" i="5"/>
  <c r="D235" i="5"/>
  <c r="E235" i="5"/>
  <c r="H235" i="5"/>
  <c r="I235" i="5"/>
  <c r="R235" i="5"/>
  <c r="S235" i="5"/>
  <c r="AE235" i="5"/>
  <c r="AF235" i="5"/>
  <c r="AG235" i="5"/>
  <c r="D236" i="5"/>
  <c r="E236" i="5"/>
  <c r="H236" i="5"/>
  <c r="AL236" i="65" s="1"/>
  <c r="I236" i="5"/>
  <c r="R236" i="5"/>
  <c r="S236" i="5"/>
  <c r="AE236" i="5"/>
  <c r="AF236" i="5"/>
  <c r="AG236" i="5"/>
  <c r="D237" i="5"/>
  <c r="E237" i="5"/>
  <c r="H237" i="5"/>
  <c r="AL237" i="65" s="1"/>
  <c r="I237" i="5"/>
  <c r="R237" i="5"/>
  <c r="S237" i="5"/>
  <c r="AE237" i="5"/>
  <c r="AF237" i="5"/>
  <c r="AG237" i="5"/>
  <c r="D238" i="5"/>
  <c r="E238" i="5"/>
  <c r="H238" i="5"/>
  <c r="AL238" i="65" s="1"/>
  <c r="I238" i="5"/>
  <c r="R238" i="5"/>
  <c r="S238" i="5"/>
  <c r="AE238" i="5"/>
  <c r="AF238" i="5"/>
  <c r="AG238" i="5"/>
  <c r="D239" i="5"/>
  <c r="E239" i="5"/>
  <c r="H239" i="5"/>
  <c r="AL239" i="65" s="1"/>
  <c r="I239" i="5"/>
  <c r="R239" i="5"/>
  <c r="S239" i="5"/>
  <c r="AE239" i="5"/>
  <c r="AF239" i="5"/>
  <c r="AG239" i="5"/>
  <c r="D240" i="5"/>
  <c r="E240" i="5"/>
  <c r="H240" i="5"/>
  <c r="AL240" i="65" s="1"/>
  <c r="I240" i="5"/>
  <c r="R240" i="5"/>
  <c r="S240" i="5"/>
  <c r="AE240" i="5"/>
  <c r="AF240" i="5"/>
  <c r="AG240" i="5"/>
  <c r="D241" i="5"/>
  <c r="E241" i="5"/>
  <c r="H241" i="5"/>
  <c r="I241" i="5"/>
  <c r="R241" i="5"/>
  <c r="S241" i="5"/>
  <c r="AE241" i="5"/>
  <c r="AF241" i="5"/>
  <c r="AG241" i="5"/>
  <c r="D242" i="5"/>
  <c r="E242" i="5"/>
  <c r="H242" i="5"/>
  <c r="AL242" i="65" s="1"/>
  <c r="I242" i="5"/>
  <c r="R242" i="5"/>
  <c r="S242" i="5"/>
  <c r="AE242" i="5"/>
  <c r="AF242" i="5"/>
  <c r="AG242" i="5"/>
  <c r="D243" i="5"/>
  <c r="E243" i="5"/>
  <c r="H243" i="5"/>
  <c r="AL243" i="65" s="1"/>
  <c r="I243" i="5"/>
  <c r="R243" i="5"/>
  <c r="S243" i="5"/>
  <c r="AE243" i="5"/>
  <c r="AF243" i="5"/>
  <c r="AG243" i="5"/>
  <c r="D244" i="5"/>
  <c r="E244" i="5"/>
  <c r="H244" i="5"/>
  <c r="AL244" i="65" s="1"/>
  <c r="I244" i="5"/>
  <c r="R244" i="5"/>
  <c r="S244" i="5"/>
  <c r="AE244" i="5"/>
  <c r="AF244" i="5"/>
  <c r="AG244" i="5"/>
  <c r="D245" i="5"/>
  <c r="E245" i="5"/>
  <c r="H245" i="5"/>
  <c r="AL245" i="65" s="1"/>
  <c r="I245" i="5"/>
  <c r="R245" i="5"/>
  <c r="S245" i="5"/>
  <c r="AE245" i="5"/>
  <c r="AF245" i="5"/>
  <c r="AG245" i="5"/>
  <c r="D246" i="5"/>
  <c r="E246" i="5"/>
  <c r="H246" i="5"/>
  <c r="AL246" i="65" s="1"/>
  <c r="I246" i="5"/>
  <c r="R246" i="5"/>
  <c r="S246" i="5"/>
  <c r="AE246" i="5"/>
  <c r="AF246" i="5"/>
  <c r="AG246" i="5"/>
  <c r="D247" i="5"/>
  <c r="E247" i="5"/>
  <c r="H247" i="5"/>
  <c r="I247" i="5"/>
  <c r="R247" i="5"/>
  <c r="S247" i="5"/>
  <c r="AE247" i="5"/>
  <c r="AF247" i="5"/>
  <c r="AG247" i="5"/>
  <c r="D248" i="5"/>
  <c r="E248" i="5"/>
  <c r="H248" i="5"/>
  <c r="AL248" i="65" s="1"/>
  <c r="I248" i="5"/>
  <c r="R248" i="5"/>
  <c r="S248" i="5"/>
  <c r="AE248" i="5"/>
  <c r="AF248" i="5"/>
  <c r="AG248" i="5"/>
  <c r="D249" i="5"/>
  <c r="E249" i="5"/>
  <c r="H249" i="5"/>
  <c r="AL249" i="65" s="1"/>
  <c r="I249" i="5"/>
  <c r="R249" i="5"/>
  <c r="S249" i="5"/>
  <c r="AE249" i="5"/>
  <c r="AF249" i="5"/>
  <c r="AG249" i="5"/>
  <c r="D250" i="5"/>
  <c r="E250" i="5"/>
  <c r="H250" i="5"/>
  <c r="AL250" i="65" s="1"/>
  <c r="I250" i="5"/>
  <c r="R250" i="5"/>
  <c r="S250" i="5"/>
  <c r="AE250" i="5"/>
  <c r="AF250" i="5"/>
  <c r="AG250" i="5"/>
  <c r="D251" i="5"/>
  <c r="E251" i="5"/>
  <c r="H251" i="5"/>
  <c r="AL251" i="65" s="1"/>
  <c r="I251" i="5"/>
  <c r="R251" i="5"/>
  <c r="S251" i="5"/>
  <c r="AE251" i="5"/>
  <c r="AF251" i="5"/>
  <c r="AG251" i="5"/>
  <c r="D252" i="5"/>
  <c r="E252" i="5"/>
  <c r="H252" i="5"/>
  <c r="AL252" i="65" s="1"/>
  <c r="I252" i="5"/>
  <c r="R252" i="5"/>
  <c r="S252" i="5"/>
  <c r="AE252" i="5"/>
  <c r="AF252" i="5"/>
  <c r="AG252" i="5"/>
  <c r="D253" i="5"/>
  <c r="E253" i="5"/>
  <c r="H253" i="5"/>
  <c r="AL253" i="65" s="1"/>
  <c r="I253" i="5"/>
  <c r="R253" i="5"/>
  <c r="S253" i="5"/>
  <c r="AE253" i="5"/>
  <c r="AF253" i="5"/>
  <c r="AG253" i="5"/>
  <c r="D254" i="5"/>
  <c r="E254" i="5"/>
  <c r="H254" i="5"/>
  <c r="AL254" i="65" s="1"/>
  <c r="I254" i="5"/>
  <c r="R254" i="5"/>
  <c r="S254" i="5"/>
  <c r="AE254" i="5"/>
  <c r="AF254" i="5"/>
  <c r="AG254" i="5"/>
  <c r="D255" i="5"/>
  <c r="E255" i="5"/>
  <c r="H255" i="5"/>
  <c r="I255" i="5"/>
  <c r="R255" i="5"/>
  <c r="S255" i="5"/>
  <c r="AE255" i="5"/>
  <c r="AF255" i="5"/>
  <c r="AG255" i="5"/>
  <c r="D256" i="5"/>
  <c r="E256" i="5"/>
  <c r="H256" i="5"/>
  <c r="AL256" i="65" s="1"/>
  <c r="I256" i="5"/>
  <c r="R256" i="5"/>
  <c r="S256" i="5"/>
  <c r="AE256" i="5"/>
  <c r="AF256" i="5"/>
  <c r="AG256" i="5"/>
  <c r="D257" i="5"/>
  <c r="E257" i="5"/>
  <c r="H257" i="5"/>
  <c r="AL257" i="65" s="1"/>
  <c r="I257" i="5"/>
  <c r="R257" i="5"/>
  <c r="S257" i="5"/>
  <c r="AE257" i="5"/>
  <c r="AF257" i="5"/>
  <c r="AG257" i="5"/>
  <c r="D258" i="5"/>
  <c r="E258" i="5"/>
  <c r="H258" i="5"/>
  <c r="AL258" i="65" s="1"/>
  <c r="I258" i="5"/>
  <c r="R258" i="5"/>
  <c r="S258" i="5"/>
  <c r="AE258" i="5"/>
  <c r="AF258" i="5"/>
  <c r="AG258" i="5"/>
  <c r="D259" i="5"/>
  <c r="E259" i="5"/>
  <c r="H259" i="5"/>
  <c r="AL259" i="65" s="1"/>
  <c r="I259" i="5"/>
  <c r="R259" i="5"/>
  <c r="S259" i="5"/>
  <c r="AE259" i="5"/>
  <c r="AF259" i="5"/>
  <c r="AG259" i="5"/>
  <c r="D260" i="5"/>
  <c r="E260" i="5"/>
  <c r="H260" i="5"/>
  <c r="I260" i="5"/>
  <c r="R260" i="5"/>
  <c r="S260" i="5"/>
  <c r="AE260" i="5"/>
  <c r="AF260" i="5"/>
  <c r="AG260" i="5"/>
  <c r="D261" i="5"/>
  <c r="E261" i="5"/>
  <c r="H261" i="5"/>
  <c r="AL261" i="65" s="1"/>
  <c r="I261" i="5"/>
  <c r="R261" i="5"/>
  <c r="S261" i="5"/>
  <c r="AE261" i="5"/>
  <c r="AF261" i="5"/>
  <c r="AG261" i="5"/>
  <c r="D262" i="5"/>
  <c r="E262" i="5"/>
  <c r="H262" i="5"/>
  <c r="AL262" i="65" s="1"/>
  <c r="I262" i="5"/>
  <c r="R262" i="5"/>
  <c r="S262" i="5"/>
  <c r="AE262" i="5"/>
  <c r="AF262" i="5"/>
  <c r="AG262" i="5"/>
  <c r="D263" i="5"/>
  <c r="E263" i="5"/>
  <c r="H263" i="5"/>
  <c r="AL263" i="65" s="1"/>
  <c r="I263" i="5"/>
  <c r="R263" i="5"/>
  <c r="S263" i="5"/>
  <c r="AE263" i="5"/>
  <c r="AF263" i="5"/>
  <c r="AG263" i="5"/>
  <c r="D264" i="5"/>
  <c r="E264" i="5"/>
  <c r="H264" i="5"/>
  <c r="AL264" i="65" s="1"/>
  <c r="I264" i="5"/>
  <c r="R264" i="5"/>
  <c r="S264" i="5"/>
  <c r="AE264" i="5"/>
  <c r="AF264" i="5"/>
  <c r="AG264" i="5"/>
  <c r="D265" i="5"/>
  <c r="E265" i="5"/>
  <c r="H265" i="5"/>
  <c r="I265" i="5"/>
  <c r="R265" i="5"/>
  <c r="S265" i="5"/>
  <c r="AE265" i="5"/>
  <c r="AF265" i="5"/>
  <c r="AG265" i="5"/>
  <c r="D266" i="5"/>
  <c r="E266" i="5"/>
  <c r="H266" i="5"/>
  <c r="AL266" i="65" s="1"/>
  <c r="I266" i="5"/>
  <c r="R266" i="5"/>
  <c r="S266" i="5"/>
  <c r="AE266" i="5"/>
  <c r="AF266" i="5"/>
  <c r="AG266" i="5"/>
  <c r="D267" i="5"/>
  <c r="E267" i="5"/>
  <c r="H267" i="5"/>
  <c r="AL267" i="65" s="1"/>
  <c r="I267" i="5"/>
  <c r="R267" i="5"/>
  <c r="S267" i="5"/>
  <c r="AE267" i="5"/>
  <c r="AF267" i="5"/>
  <c r="AG267" i="5"/>
  <c r="D268" i="5"/>
  <c r="E268" i="5"/>
  <c r="H268" i="5"/>
  <c r="AL268" i="65" s="1"/>
  <c r="I268" i="5"/>
  <c r="R268" i="5"/>
  <c r="S268" i="5"/>
  <c r="AE268" i="5"/>
  <c r="AF268" i="5"/>
  <c r="AG268" i="5"/>
  <c r="D269" i="5"/>
  <c r="E269" i="5"/>
  <c r="H269" i="5"/>
  <c r="AL269" i="65" s="1"/>
  <c r="I269" i="5"/>
  <c r="R269" i="5"/>
  <c r="S269" i="5"/>
  <c r="AE269" i="5"/>
  <c r="AF269" i="5"/>
  <c r="AG269" i="5"/>
  <c r="D270" i="5"/>
  <c r="E270" i="5"/>
  <c r="H270" i="5"/>
  <c r="AL270" i="65" s="1"/>
  <c r="I270" i="5"/>
  <c r="R270" i="5"/>
  <c r="S270" i="5"/>
  <c r="AE270" i="5"/>
  <c r="AF270" i="5"/>
  <c r="AG270" i="5"/>
  <c r="D271" i="5"/>
  <c r="E271" i="5"/>
  <c r="H271" i="5"/>
  <c r="AL271" i="65" s="1"/>
  <c r="I271" i="5"/>
  <c r="R271" i="5"/>
  <c r="S271" i="5"/>
  <c r="AE271" i="5"/>
  <c r="AF271" i="5"/>
  <c r="AG271" i="5"/>
  <c r="D272" i="5"/>
  <c r="E272" i="5"/>
  <c r="H272" i="5"/>
  <c r="AL272" i="65" s="1"/>
  <c r="I272" i="5"/>
  <c r="R272" i="5"/>
  <c r="S272" i="5"/>
  <c r="AE272" i="5"/>
  <c r="AF272" i="5"/>
  <c r="AG272" i="5"/>
  <c r="D273" i="5"/>
  <c r="E273" i="5"/>
  <c r="H273" i="5"/>
  <c r="AL273" i="65" s="1"/>
  <c r="I273" i="5"/>
  <c r="R273" i="5"/>
  <c r="S273" i="5"/>
  <c r="AE273" i="5"/>
  <c r="AF273" i="5"/>
  <c r="AG273" i="5"/>
  <c r="D274" i="5"/>
  <c r="E274" i="5"/>
  <c r="H274" i="5"/>
  <c r="AL274" i="65" s="1"/>
  <c r="I274" i="5"/>
  <c r="R274" i="5"/>
  <c r="S274" i="5"/>
  <c r="AE274" i="5"/>
  <c r="AF274" i="5"/>
  <c r="AG274" i="5"/>
  <c r="D275" i="5"/>
  <c r="E275" i="5"/>
  <c r="H275" i="5"/>
  <c r="AL275" i="65" s="1"/>
  <c r="I275" i="5"/>
  <c r="R275" i="5"/>
  <c r="S275" i="5"/>
  <c r="AE275" i="5"/>
  <c r="AF275" i="5"/>
  <c r="AG275" i="5"/>
  <c r="D276" i="5"/>
  <c r="E276" i="5"/>
  <c r="H276" i="5"/>
  <c r="AL276" i="65" s="1"/>
  <c r="I276" i="5"/>
  <c r="R276" i="5"/>
  <c r="S276" i="5"/>
  <c r="AE276" i="5"/>
  <c r="AF276" i="5"/>
  <c r="AG276" i="5"/>
  <c r="D277" i="5"/>
  <c r="E277" i="5"/>
  <c r="H277" i="5"/>
  <c r="AL277" i="65" s="1"/>
  <c r="I277" i="5"/>
  <c r="R277" i="5"/>
  <c r="S277" i="5"/>
  <c r="AE277" i="5"/>
  <c r="AF277" i="5"/>
  <c r="AG277" i="5"/>
  <c r="D278" i="5"/>
  <c r="E278" i="5"/>
  <c r="H278" i="5"/>
  <c r="AL278" i="65" s="1"/>
  <c r="I278" i="5"/>
  <c r="R278" i="5"/>
  <c r="S278" i="5"/>
  <c r="AE278" i="5"/>
  <c r="AF278" i="5"/>
  <c r="AG278" i="5"/>
  <c r="D279" i="5"/>
  <c r="E279" i="5"/>
  <c r="H279" i="5"/>
  <c r="AL279" i="65" s="1"/>
  <c r="I279" i="5"/>
  <c r="R279" i="5"/>
  <c r="S279" i="5"/>
  <c r="AE279" i="5"/>
  <c r="AF279" i="5"/>
  <c r="AG279" i="5"/>
  <c r="D280" i="5"/>
  <c r="E280" i="5"/>
  <c r="H280" i="5"/>
  <c r="AL280" i="65" s="1"/>
  <c r="I280" i="5"/>
  <c r="R280" i="5"/>
  <c r="S280" i="5"/>
  <c r="AE280" i="5"/>
  <c r="AF280" i="5"/>
  <c r="AG280" i="5"/>
  <c r="D281" i="5"/>
  <c r="E281" i="5"/>
  <c r="H281" i="5"/>
  <c r="AL281" i="65" s="1"/>
  <c r="I281" i="5"/>
  <c r="R281" i="5"/>
  <c r="S281" i="5"/>
  <c r="AE281" i="5"/>
  <c r="AF281" i="5"/>
  <c r="AG281" i="5"/>
  <c r="D282" i="5"/>
  <c r="E282" i="5"/>
  <c r="H282" i="5"/>
  <c r="AL282" i="65" s="1"/>
  <c r="I282" i="5"/>
  <c r="R282" i="5"/>
  <c r="S282" i="5"/>
  <c r="AE282" i="5"/>
  <c r="AF282" i="5"/>
  <c r="AG282" i="5"/>
  <c r="D283" i="5"/>
  <c r="E283" i="5"/>
  <c r="H283" i="5"/>
  <c r="I283" i="5"/>
  <c r="R283" i="5"/>
  <c r="S283" i="5"/>
  <c r="AE283" i="5"/>
  <c r="AF283" i="5"/>
  <c r="AG283" i="5"/>
  <c r="D284" i="5"/>
  <c r="E284" i="5"/>
  <c r="H284" i="5"/>
  <c r="AL284" i="65" s="1"/>
  <c r="I284" i="5"/>
  <c r="R284" i="5"/>
  <c r="S284" i="5"/>
  <c r="AE284" i="5"/>
  <c r="AF284" i="5"/>
  <c r="AG284" i="5"/>
  <c r="D285" i="5"/>
  <c r="E285" i="5"/>
  <c r="H285" i="5"/>
  <c r="AL285" i="65" s="1"/>
  <c r="I285" i="5"/>
  <c r="R285" i="5"/>
  <c r="S285" i="5"/>
  <c r="AE285" i="5"/>
  <c r="AF285" i="5"/>
  <c r="AG285" i="5"/>
  <c r="D286" i="5"/>
  <c r="E286" i="5"/>
  <c r="H286" i="5"/>
  <c r="AL286" i="65" s="1"/>
  <c r="I286" i="5"/>
  <c r="R286" i="5"/>
  <c r="S286" i="5"/>
  <c r="AE286" i="5"/>
  <c r="AF286" i="5"/>
  <c r="AG286" i="5"/>
  <c r="D287" i="5"/>
  <c r="E287" i="5"/>
  <c r="H287" i="5"/>
  <c r="AL287" i="65" s="1"/>
  <c r="I287" i="5"/>
  <c r="R287" i="5"/>
  <c r="S287" i="5"/>
  <c r="AE287" i="5"/>
  <c r="AF287" i="5"/>
  <c r="AG287" i="5"/>
  <c r="D288" i="5"/>
  <c r="E288" i="5"/>
  <c r="H288" i="5"/>
  <c r="AL288" i="65" s="1"/>
  <c r="I288" i="5"/>
  <c r="R288" i="5"/>
  <c r="S288" i="5"/>
  <c r="AE288" i="5"/>
  <c r="AF288" i="5"/>
  <c r="AG288" i="5"/>
  <c r="D289" i="5"/>
  <c r="E289" i="5"/>
  <c r="H289" i="5"/>
  <c r="AL289" i="65" s="1"/>
  <c r="I289" i="5"/>
  <c r="R289" i="5"/>
  <c r="S289" i="5"/>
  <c r="AE289" i="5"/>
  <c r="AF289" i="5"/>
  <c r="AG289" i="5"/>
  <c r="D290" i="5"/>
  <c r="E290" i="5"/>
  <c r="H290" i="5"/>
  <c r="AL290" i="65" s="1"/>
  <c r="I290" i="5"/>
  <c r="R290" i="5"/>
  <c r="S290" i="5"/>
  <c r="AE290" i="5"/>
  <c r="AF290" i="5"/>
  <c r="AG290" i="5"/>
  <c r="D291" i="5"/>
  <c r="E291" i="5"/>
  <c r="H291" i="5"/>
  <c r="AL291" i="65" s="1"/>
  <c r="I291" i="5"/>
  <c r="R291" i="5"/>
  <c r="S291" i="5"/>
  <c r="AE291" i="5"/>
  <c r="AF291" i="5"/>
  <c r="AG291" i="5"/>
  <c r="D292" i="5"/>
  <c r="E292" i="5"/>
  <c r="H292" i="5"/>
  <c r="AL292" i="65" s="1"/>
  <c r="I292" i="5"/>
  <c r="R292" i="5"/>
  <c r="S292" i="5"/>
  <c r="AE292" i="5"/>
  <c r="AF292" i="5"/>
  <c r="AG292" i="5"/>
  <c r="D293" i="5"/>
  <c r="E293" i="5"/>
  <c r="H293" i="5"/>
  <c r="AL293" i="65" s="1"/>
  <c r="I293" i="5"/>
  <c r="R293" i="5"/>
  <c r="S293" i="5"/>
  <c r="AE293" i="5"/>
  <c r="AF293" i="5"/>
  <c r="AG293" i="5"/>
  <c r="D294" i="5"/>
  <c r="E294" i="5"/>
  <c r="H294" i="5"/>
  <c r="AL294" i="65" s="1"/>
  <c r="I294" i="5"/>
  <c r="R294" i="5"/>
  <c r="S294" i="5"/>
  <c r="AE294" i="5"/>
  <c r="AF294" i="5"/>
  <c r="AG294" i="5"/>
  <c r="D295" i="5"/>
  <c r="E295" i="5"/>
  <c r="H295" i="5"/>
  <c r="I295" i="5"/>
  <c r="R295" i="5"/>
  <c r="S295" i="5"/>
  <c r="AE295" i="5"/>
  <c r="AF295" i="5"/>
  <c r="AG295" i="5"/>
  <c r="D296" i="5"/>
  <c r="E296" i="5"/>
  <c r="H296" i="5"/>
  <c r="AL296" i="65" s="1"/>
  <c r="I296" i="5"/>
  <c r="R296" i="5"/>
  <c r="S296" i="5"/>
  <c r="AE296" i="5"/>
  <c r="AF296" i="5"/>
  <c r="AG296" i="5"/>
  <c r="D297" i="5"/>
  <c r="E297" i="5"/>
  <c r="H297" i="5"/>
  <c r="AL297" i="65" s="1"/>
  <c r="I297" i="5"/>
  <c r="R297" i="5"/>
  <c r="S297" i="5"/>
  <c r="AE297" i="5"/>
  <c r="AF297" i="5"/>
  <c r="AG297" i="5"/>
  <c r="D298" i="5"/>
  <c r="E298" i="5"/>
  <c r="H298" i="5"/>
  <c r="AL298" i="65" s="1"/>
  <c r="I298" i="5"/>
  <c r="R298" i="5"/>
  <c r="S298" i="5"/>
  <c r="AE298" i="5"/>
  <c r="AF298" i="5"/>
  <c r="AG298" i="5"/>
  <c r="D299" i="5"/>
  <c r="E299" i="5"/>
  <c r="H299" i="5"/>
  <c r="I299" i="5"/>
  <c r="R299" i="5"/>
  <c r="S299" i="5"/>
  <c r="AE299" i="5"/>
  <c r="AF299" i="5"/>
  <c r="AG299" i="5"/>
  <c r="D300" i="5"/>
  <c r="E300" i="5"/>
  <c r="H300" i="5"/>
  <c r="AL300" i="65" s="1"/>
  <c r="I300" i="5"/>
  <c r="R300" i="5"/>
  <c r="S300" i="5"/>
  <c r="AE300" i="5"/>
  <c r="AF300" i="5"/>
  <c r="AG300" i="5"/>
  <c r="D301" i="5"/>
  <c r="E301" i="5"/>
  <c r="H301" i="5"/>
  <c r="AL301" i="65" s="1"/>
  <c r="I301" i="5"/>
  <c r="R301" i="5"/>
  <c r="S301" i="5"/>
  <c r="AE301" i="5"/>
  <c r="AF301" i="5"/>
  <c r="AG301" i="5"/>
  <c r="D302" i="5"/>
  <c r="E302" i="5"/>
  <c r="H302" i="5"/>
  <c r="I302" i="5"/>
  <c r="R302" i="5"/>
  <c r="S302" i="5"/>
  <c r="AE302" i="5"/>
  <c r="AF302" i="5"/>
  <c r="AG302" i="5"/>
  <c r="D303" i="5"/>
  <c r="E303" i="5"/>
  <c r="H303" i="5"/>
  <c r="I303" i="5"/>
  <c r="R303" i="5"/>
  <c r="S303" i="5"/>
  <c r="AE303" i="5"/>
  <c r="AF303" i="5"/>
  <c r="AG303" i="5"/>
  <c r="D304" i="5"/>
  <c r="E304" i="5"/>
  <c r="H304" i="5"/>
  <c r="AL304" i="65" s="1"/>
  <c r="I304" i="5"/>
  <c r="R304" i="5"/>
  <c r="S304" i="5"/>
  <c r="AE304" i="5"/>
  <c r="AF304" i="5"/>
  <c r="AG304" i="5"/>
  <c r="D305" i="5"/>
  <c r="E305" i="5"/>
  <c r="H305" i="5"/>
  <c r="AL305" i="65" s="1"/>
  <c r="I305" i="5"/>
  <c r="R305" i="5"/>
  <c r="S305" i="5"/>
  <c r="AE305" i="5"/>
  <c r="AF305" i="5"/>
  <c r="AG305" i="5"/>
  <c r="D306" i="5"/>
  <c r="E306" i="5"/>
  <c r="H306" i="5"/>
  <c r="AL306" i="65" s="1"/>
  <c r="I306" i="5"/>
  <c r="R306" i="5"/>
  <c r="S306" i="5"/>
  <c r="AE306" i="5"/>
  <c r="AF306" i="5"/>
  <c r="AG306" i="5"/>
  <c r="D307" i="5"/>
  <c r="E307" i="5"/>
  <c r="H307" i="5"/>
  <c r="AL307" i="65" s="1"/>
  <c r="I307" i="5"/>
  <c r="R307" i="5"/>
  <c r="S307" i="5"/>
  <c r="AE307" i="5"/>
  <c r="AF307" i="5"/>
  <c r="AG307" i="5"/>
  <c r="D308" i="5"/>
  <c r="E308" i="5"/>
  <c r="H308" i="5"/>
  <c r="AL308" i="65" s="1"/>
  <c r="I308" i="5"/>
  <c r="R308" i="5"/>
  <c r="S308" i="5"/>
  <c r="AE308" i="5"/>
  <c r="AF308" i="5"/>
  <c r="AG308" i="5"/>
  <c r="D309" i="5"/>
  <c r="E309" i="5"/>
  <c r="H309" i="5"/>
  <c r="AL309" i="65" s="1"/>
  <c r="I309" i="5"/>
  <c r="R309" i="5"/>
  <c r="S309" i="5"/>
  <c r="AE309" i="5"/>
  <c r="AF309" i="5"/>
  <c r="AG309" i="5"/>
  <c r="D310" i="5"/>
  <c r="E310" i="5"/>
  <c r="H310" i="5"/>
  <c r="AL310" i="65" s="1"/>
  <c r="I310" i="5"/>
  <c r="R310" i="5"/>
  <c r="S310" i="5"/>
  <c r="AE310" i="5"/>
  <c r="AF310" i="5"/>
  <c r="AG310" i="5"/>
  <c r="D311" i="5"/>
  <c r="E311" i="5"/>
  <c r="H311" i="5"/>
  <c r="AL311" i="65" s="1"/>
  <c r="I311" i="5"/>
  <c r="R311" i="5"/>
  <c r="S311" i="5"/>
  <c r="AE311" i="5"/>
  <c r="AF311" i="5"/>
  <c r="AG311" i="5"/>
  <c r="D312" i="5"/>
  <c r="E312" i="5"/>
  <c r="H312" i="5"/>
  <c r="AL312" i="65" s="1"/>
  <c r="I312" i="5"/>
  <c r="R312" i="5"/>
  <c r="S312" i="5"/>
  <c r="AE312" i="5"/>
  <c r="AF312" i="5"/>
  <c r="AG312" i="5"/>
  <c r="D313" i="5"/>
  <c r="E313" i="5"/>
  <c r="H313" i="5"/>
  <c r="AL313" i="65" s="1"/>
  <c r="I313" i="5"/>
  <c r="R313" i="5"/>
  <c r="S313" i="5"/>
  <c r="AE313" i="5"/>
  <c r="AF313" i="5"/>
  <c r="AG313" i="5"/>
  <c r="D314" i="5"/>
  <c r="E314" i="5"/>
  <c r="H314" i="5"/>
  <c r="AL314" i="65" s="1"/>
  <c r="I314" i="5"/>
  <c r="R314" i="5"/>
  <c r="S314" i="5"/>
  <c r="AE314" i="5"/>
  <c r="AF314" i="5"/>
  <c r="AG314" i="5"/>
  <c r="D315" i="5"/>
  <c r="E315" i="5"/>
  <c r="H315" i="5"/>
  <c r="AL315" i="65" s="1"/>
  <c r="I315" i="5"/>
  <c r="R315" i="5"/>
  <c r="S315" i="5"/>
  <c r="AE315" i="5"/>
  <c r="AF315" i="5"/>
  <c r="AG315" i="5"/>
  <c r="D316" i="5"/>
  <c r="E316" i="5"/>
  <c r="H316" i="5"/>
  <c r="AL316" i="65" s="1"/>
  <c r="I316" i="5"/>
  <c r="R316" i="5"/>
  <c r="S316" i="5"/>
  <c r="AE316" i="5"/>
  <c r="AF316" i="5"/>
  <c r="AG316" i="5"/>
  <c r="D317" i="5"/>
  <c r="E317" i="5"/>
  <c r="H317" i="5"/>
  <c r="AL317" i="65" s="1"/>
  <c r="I317" i="5"/>
  <c r="R317" i="5"/>
  <c r="S317" i="5"/>
  <c r="AE317" i="5"/>
  <c r="AF317" i="5"/>
  <c r="AG317" i="5"/>
  <c r="D318" i="5"/>
  <c r="E318" i="5"/>
  <c r="H318" i="5"/>
  <c r="AL318" i="65" s="1"/>
  <c r="I318" i="5"/>
  <c r="R318" i="5"/>
  <c r="S318" i="5"/>
  <c r="AE318" i="5"/>
  <c r="AF318" i="5"/>
  <c r="AG318" i="5"/>
  <c r="D319" i="5"/>
  <c r="E319" i="5"/>
  <c r="H319" i="5"/>
  <c r="AL319" i="65" s="1"/>
  <c r="I319" i="5"/>
  <c r="R319" i="5"/>
  <c r="S319" i="5"/>
  <c r="AE319" i="5"/>
  <c r="AF319" i="5"/>
  <c r="AG319" i="5"/>
  <c r="D320" i="5"/>
  <c r="E320" i="5"/>
  <c r="H320" i="5"/>
  <c r="AL320" i="65" s="1"/>
  <c r="I320" i="5"/>
  <c r="R320" i="5"/>
  <c r="S320" i="5"/>
  <c r="AE320" i="5"/>
  <c r="AF320" i="5"/>
  <c r="AG320" i="5"/>
  <c r="D321" i="5"/>
  <c r="E321" i="5"/>
  <c r="H321" i="5"/>
  <c r="AL321" i="65" s="1"/>
  <c r="I321" i="5"/>
  <c r="R321" i="5"/>
  <c r="S321" i="5"/>
  <c r="AE321" i="5"/>
  <c r="AF321" i="5"/>
  <c r="AG321" i="5"/>
  <c r="D322" i="5"/>
  <c r="E322" i="5"/>
  <c r="H322" i="5"/>
  <c r="AL322" i="65" s="1"/>
  <c r="I322" i="5"/>
  <c r="R322" i="5"/>
  <c r="S322" i="5"/>
  <c r="AE322" i="5"/>
  <c r="AF322" i="5"/>
  <c r="AG322" i="5"/>
  <c r="D323" i="5"/>
  <c r="E323" i="5"/>
  <c r="H323" i="5"/>
  <c r="AL323" i="65" s="1"/>
  <c r="I323" i="5"/>
  <c r="R323" i="5"/>
  <c r="S323" i="5"/>
  <c r="AE323" i="5"/>
  <c r="AF323" i="5"/>
  <c r="AG323" i="5"/>
  <c r="D324" i="5"/>
  <c r="E324" i="5"/>
  <c r="H324" i="5"/>
  <c r="AL324" i="65" s="1"/>
  <c r="I324" i="5"/>
  <c r="R324" i="5"/>
  <c r="S324" i="5"/>
  <c r="AE324" i="5"/>
  <c r="AF324" i="5"/>
  <c r="AG324" i="5"/>
  <c r="D325" i="5"/>
  <c r="E325" i="5"/>
  <c r="H325" i="5"/>
  <c r="I325" i="5"/>
  <c r="R325" i="5"/>
  <c r="S325" i="5"/>
  <c r="AE325" i="5"/>
  <c r="AF325" i="5"/>
  <c r="AG325" i="5"/>
  <c r="D326" i="5"/>
  <c r="E326" i="5"/>
  <c r="H326" i="5"/>
  <c r="AL326" i="65" s="1"/>
  <c r="I326" i="5"/>
  <c r="R326" i="5"/>
  <c r="S326" i="5"/>
  <c r="AE326" i="5"/>
  <c r="AF326" i="5"/>
  <c r="AG326" i="5"/>
  <c r="D327" i="5"/>
  <c r="E327" i="5"/>
  <c r="H327" i="5"/>
  <c r="AL327" i="65" s="1"/>
  <c r="I327" i="5"/>
  <c r="R327" i="5"/>
  <c r="S327" i="5"/>
  <c r="AE327" i="5"/>
  <c r="AF327" i="5"/>
  <c r="AG327" i="5"/>
  <c r="D328" i="5"/>
  <c r="E328" i="5"/>
  <c r="H328" i="5"/>
  <c r="AL328" i="65" s="1"/>
  <c r="I328" i="5"/>
  <c r="R328" i="5"/>
  <c r="S328" i="5"/>
  <c r="AE328" i="5"/>
  <c r="AF328" i="5"/>
  <c r="AG328" i="5"/>
  <c r="D329" i="5"/>
  <c r="E329" i="5"/>
  <c r="H329" i="5"/>
  <c r="I329" i="5"/>
  <c r="R329" i="5"/>
  <c r="S329" i="5"/>
  <c r="AE329" i="5"/>
  <c r="AF329" i="5"/>
  <c r="AG329" i="5"/>
  <c r="D330" i="5"/>
  <c r="E330" i="5"/>
  <c r="H330" i="5"/>
  <c r="AL330" i="65" s="1"/>
  <c r="I330" i="5"/>
  <c r="R330" i="5"/>
  <c r="S330" i="5"/>
  <c r="AE330" i="5"/>
  <c r="AF330" i="5"/>
  <c r="AG330" i="5"/>
  <c r="D331" i="5"/>
  <c r="E331" i="5"/>
  <c r="H331" i="5"/>
  <c r="AL331" i="65" s="1"/>
  <c r="I331" i="5"/>
  <c r="R331" i="5"/>
  <c r="S331" i="5"/>
  <c r="AE331" i="5"/>
  <c r="AF331" i="5"/>
  <c r="AG331" i="5"/>
  <c r="D332" i="5"/>
  <c r="E332" i="5"/>
  <c r="H332" i="5"/>
  <c r="AL332" i="65" s="1"/>
  <c r="I332" i="5"/>
  <c r="R332" i="5"/>
  <c r="S332" i="5"/>
  <c r="AE332" i="5"/>
  <c r="AF332" i="5"/>
  <c r="AG332" i="5"/>
  <c r="D333" i="5"/>
  <c r="E333" i="5"/>
  <c r="H333" i="5"/>
  <c r="AL333" i="65" s="1"/>
  <c r="I333" i="5"/>
  <c r="R333" i="5"/>
  <c r="S333" i="5"/>
  <c r="AE333" i="5"/>
  <c r="AF333" i="5"/>
  <c r="AG333" i="5"/>
  <c r="D334" i="5"/>
  <c r="E334" i="5"/>
  <c r="H334" i="5"/>
  <c r="AL334" i="65" s="1"/>
  <c r="I334" i="5"/>
  <c r="R334" i="5"/>
  <c r="S334" i="5"/>
  <c r="AE334" i="5"/>
  <c r="AF334" i="5"/>
  <c r="AG334" i="5"/>
  <c r="D335" i="5"/>
  <c r="E335" i="5"/>
  <c r="H335" i="5"/>
  <c r="AL335" i="65" s="1"/>
  <c r="I335" i="5"/>
  <c r="R335" i="5"/>
  <c r="S335" i="5"/>
  <c r="AE335" i="5"/>
  <c r="AF335" i="5"/>
  <c r="AG335" i="5"/>
  <c r="D336" i="5"/>
  <c r="E336" i="5"/>
  <c r="H336" i="5"/>
  <c r="AL336" i="65" s="1"/>
  <c r="I336" i="5"/>
  <c r="R336" i="5"/>
  <c r="S336" i="5"/>
  <c r="AE336" i="5"/>
  <c r="AF336" i="5"/>
  <c r="AG336" i="5"/>
  <c r="D337" i="5"/>
  <c r="E337" i="5"/>
  <c r="H337" i="5"/>
  <c r="AL337" i="65" s="1"/>
  <c r="I337" i="5"/>
  <c r="R337" i="5"/>
  <c r="S337" i="5"/>
  <c r="AE337" i="5"/>
  <c r="AF337" i="5"/>
  <c r="AG337" i="5"/>
  <c r="D338" i="5"/>
  <c r="E338" i="5"/>
  <c r="H338" i="5"/>
  <c r="AL338" i="65" s="1"/>
  <c r="I338" i="5"/>
  <c r="R338" i="5"/>
  <c r="S338" i="5"/>
  <c r="AE338" i="5"/>
  <c r="AF338" i="5"/>
  <c r="AG338" i="5"/>
  <c r="D339" i="5"/>
  <c r="E339" i="5"/>
  <c r="H339" i="5"/>
  <c r="I339" i="5"/>
  <c r="R339" i="5"/>
  <c r="S339" i="5"/>
  <c r="AE339" i="5"/>
  <c r="AF339" i="5"/>
  <c r="AG339" i="5"/>
  <c r="D340" i="5"/>
  <c r="E340" i="5"/>
  <c r="H340" i="5"/>
  <c r="AL340" i="65" s="1"/>
  <c r="I340" i="5"/>
  <c r="R340" i="5"/>
  <c r="S340" i="5"/>
  <c r="AE340" i="5"/>
  <c r="AF340" i="5"/>
  <c r="AG340" i="5"/>
  <c r="D341" i="5"/>
  <c r="E341" i="5"/>
  <c r="H341" i="5"/>
  <c r="AL341" i="65" s="1"/>
  <c r="I341" i="5"/>
  <c r="R341" i="5"/>
  <c r="S341" i="5"/>
  <c r="AE341" i="5"/>
  <c r="AF341" i="5"/>
  <c r="AG341" i="5"/>
  <c r="D342" i="5"/>
  <c r="E342" i="5"/>
  <c r="H342" i="5"/>
  <c r="AL342" i="65" s="1"/>
  <c r="I342" i="5"/>
  <c r="R342" i="5"/>
  <c r="S342" i="5"/>
  <c r="AE342" i="5"/>
  <c r="AF342" i="5"/>
  <c r="AG342" i="5"/>
  <c r="D343" i="5"/>
  <c r="E343" i="5"/>
  <c r="H343" i="5"/>
  <c r="I343" i="5"/>
  <c r="R343" i="5"/>
  <c r="S343" i="5"/>
  <c r="AE343" i="5"/>
  <c r="AF343" i="5"/>
  <c r="AG343" i="5"/>
  <c r="D344" i="5"/>
  <c r="E344" i="5"/>
  <c r="H344" i="5"/>
  <c r="AL344" i="65" s="1"/>
  <c r="I344" i="5"/>
  <c r="R344" i="5"/>
  <c r="S344" i="5"/>
  <c r="AE344" i="5"/>
  <c r="AF344" i="5"/>
  <c r="AG344" i="5"/>
  <c r="D345" i="5"/>
  <c r="E345" i="5"/>
  <c r="H345" i="5"/>
  <c r="AL345" i="65" s="1"/>
  <c r="I345" i="5"/>
  <c r="R345" i="5"/>
  <c r="S345" i="5"/>
  <c r="AE345" i="5"/>
  <c r="AF345" i="5"/>
  <c r="AG345" i="5"/>
  <c r="D346" i="5"/>
  <c r="E346" i="5"/>
  <c r="H346" i="5"/>
  <c r="AL346" i="65" s="1"/>
  <c r="I346" i="5"/>
  <c r="R346" i="5"/>
  <c r="S346" i="5"/>
  <c r="AE346" i="5"/>
  <c r="AF346" i="5"/>
  <c r="AG346" i="5"/>
  <c r="D347" i="5"/>
  <c r="E347" i="5"/>
  <c r="H347" i="5"/>
  <c r="AL347" i="65" s="1"/>
  <c r="I347" i="5"/>
  <c r="R347" i="5"/>
  <c r="S347" i="5"/>
  <c r="AE347" i="5"/>
  <c r="AF347" i="5"/>
  <c r="AG347" i="5"/>
  <c r="D348" i="5"/>
  <c r="E348" i="5"/>
  <c r="H348" i="5"/>
  <c r="AL348" i="65" s="1"/>
  <c r="I348" i="5"/>
  <c r="R348" i="5"/>
  <c r="S348" i="5"/>
  <c r="AE348" i="5"/>
  <c r="AF348" i="5"/>
  <c r="AG348" i="5"/>
  <c r="D349" i="5"/>
  <c r="E349" i="5"/>
  <c r="H349" i="5"/>
  <c r="I349" i="5"/>
  <c r="R349" i="5"/>
  <c r="S349" i="5"/>
  <c r="AE349" i="5"/>
  <c r="AF349" i="5"/>
  <c r="AG349" i="5"/>
  <c r="E22" i="5"/>
  <c r="D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22" i="5"/>
  <c r="BE22" i="15"/>
  <c r="BL17" i="15"/>
  <c r="DB17" i="15"/>
  <c r="DB16" i="15"/>
  <c r="CF16" i="15"/>
  <c r="DB15" i="15"/>
  <c r="CF15" i="15"/>
  <c r="DB14" i="15"/>
  <c r="DB13" i="15"/>
  <c r="CF13" i="15"/>
  <c r="DB12" i="15"/>
  <c r="CF12" i="15"/>
  <c r="BZ12" i="15"/>
  <c r="DB11" i="15"/>
  <c r="CF11" i="15"/>
  <c r="BZ11" i="15"/>
  <c r="DB10" i="15"/>
  <c r="CF10" i="15"/>
  <c r="BZ10" i="15"/>
  <c r="DB9" i="15"/>
  <c r="CF9" i="15"/>
  <c r="BZ9" i="15"/>
  <c r="DB8" i="15"/>
  <c r="CF8" i="15"/>
  <c r="BZ8" i="15"/>
  <c r="DB7" i="15"/>
  <c r="CF7" i="15"/>
  <c r="BZ7" i="15"/>
  <c r="DB6" i="15"/>
  <c r="CF6" i="15"/>
  <c r="BZ6" i="15"/>
  <c r="DB5" i="15"/>
  <c r="CF5" i="15"/>
  <c r="BZ5" i="15"/>
  <c r="CF4" i="15"/>
  <c r="BZ4" i="15"/>
  <c r="BZ17" i="15"/>
  <c r="CA11" i="15" s="1"/>
  <c r="CF3" i="15"/>
  <c r="CF2" i="15"/>
  <c r="CF1" i="15"/>
  <c r="AL349" i="65"/>
  <c r="AL228" i="65"/>
  <c r="AL247" i="65"/>
  <c r="AL199" i="65"/>
  <c r="AL207" i="65"/>
  <c r="AL215" i="65"/>
  <c r="AL235" i="65"/>
  <c r="AL260" i="65"/>
  <c r="AL299" i="65"/>
  <c r="AL303" i="65"/>
  <c r="AL205" i="65"/>
  <c r="AL224" i="65"/>
  <c r="AL229" i="65"/>
  <c r="AL241" i="65"/>
  <c r="AL255" i="65"/>
  <c r="AL265" i="65"/>
  <c r="AL283" i="65"/>
  <c r="AL295" i="65"/>
  <c r="AL302" i="65"/>
  <c r="AL325" i="65"/>
  <c r="AL329" i="65"/>
  <c r="AL339" i="65"/>
  <c r="AL343" i="65"/>
  <c r="CU22" i="5"/>
  <c r="CT22" i="5"/>
  <c r="CS22" i="5"/>
  <c r="CR22" i="5"/>
  <c r="CQ22" i="5"/>
  <c r="CP22" i="5"/>
  <c r="CO22" i="5"/>
  <c r="CN22" i="5"/>
  <c r="DT22" i="5"/>
  <c r="AL121" i="65"/>
  <c r="AL150" i="65"/>
  <c r="AL115" i="65"/>
  <c r="AL161" i="65"/>
  <c r="AL173" i="65"/>
  <c r="DS22" i="5"/>
  <c r="DA22" i="5"/>
  <c r="DE22" i="5"/>
  <c r="DI22" i="5"/>
  <c r="U13" i="5"/>
  <c r="CY22" i="5"/>
  <c r="DC22" i="5"/>
  <c r="DG22" i="5"/>
  <c r="DQ22" i="5"/>
  <c r="AL113" i="65"/>
  <c r="AL149" i="65"/>
  <c r="AL169" i="65"/>
  <c r="AL187" i="65"/>
  <c r="AL91" i="65"/>
  <c r="CX22" i="5"/>
  <c r="CW22" i="5"/>
  <c r="CV22" i="5"/>
  <c r="CZ22" i="5"/>
  <c r="DB22" i="5"/>
  <c r="DD22" i="5"/>
  <c r="DF22" i="5"/>
  <c r="DH22" i="5"/>
  <c r="DP22" i="5"/>
  <c r="DR22" i="5"/>
  <c r="AL83" i="65"/>
  <c r="AL101" i="65"/>
  <c r="AL105" i="65"/>
  <c r="AL109" i="65"/>
  <c r="AL112" i="65"/>
  <c r="AL122" i="65"/>
  <c r="AL135" i="65"/>
  <c r="AL137" i="65"/>
  <c r="AL145" i="65"/>
  <c r="AL146" i="65"/>
  <c r="AL177" i="65"/>
  <c r="AL191" i="65"/>
  <c r="AR3" i="5"/>
  <c r="DN22" i="5"/>
  <c r="DO22" i="5" s="1"/>
  <c r="DM22" i="5"/>
  <c r="DK22" i="5"/>
  <c r="DL22" i="5" s="1"/>
  <c r="DJ22" i="5"/>
  <c r="H124" i="5"/>
  <c r="AL124" i="65" s="1"/>
  <c r="H125" i="5"/>
  <c r="AL125" i="65" s="1"/>
  <c r="H126" i="5"/>
  <c r="AL126" i="65" s="1"/>
  <c r="H127" i="5"/>
  <c r="AL127" i="65" s="1"/>
  <c r="H128" i="5"/>
  <c r="AL128" i="65" s="1"/>
  <c r="H129" i="5"/>
  <c r="AL129" i="65" s="1"/>
  <c r="H131" i="5"/>
  <c r="AL131" i="65" s="1"/>
  <c r="H99" i="5"/>
  <c r="AL99" i="65" s="1"/>
  <c r="H102" i="5"/>
  <c r="AL102" i="65" s="1"/>
  <c r="AL10" i="65" s="1"/>
  <c r="H104" i="5"/>
  <c r="AL104" i="65" s="1"/>
  <c r="H138" i="5"/>
  <c r="AL138" i="65" s="1"/>
  <c r="H178" i="5"/>
  <c r="AL178" i="65" s="1"/>
  <c r="H179" i="5"/>
  <c r="AL179" i="65" s="1"/>
  <c r="H184" i="5"/>
  <c r="AL184" i="65" s="1"/>
  <c r="H185" i="5"/>
  <c r="AL185" i="65" s="1"/>
  <c r="H186" i="5"/>
  <c r="AL186" i="65" s="1"/>
  <c r="R128" i="5"/>
  <c r="S128" i="5"/>
  <c r="AE128" i="5"/>
  <c r="AF128" i="5"/>
  <c r="AG128" i="5"/>
  <c r="R129" i="5"/>
  <c r="S129" i="5"/>
  <c r="AE129" i="5"/>
  <c r="AF129" i="5"/>
  <c r="AG129" i="5"/>
  <c r="R131" i="5"/>
  <c r="S131" i="5"/>
  <c r="AE131" i="5"/>
  <c r="AF131" i="5"/>
  <c r="AG131" i="5"/>
  <c r="R138" i="5"/>
  <c r="S138" i="5"/>
  <c r="AE138" i="5"/>
  <c r="AF138" i="5"/>
  <c r="AG138" i="5"/>
  <c r="R140" i="5"/>
  <c r="S140" i="5"/>
  <c r="AE140" i="5"/>
  <c r="AF140" i="5"/>
  <c r="AG140" i="5"/>
  <c r="R147" i="5"/>
  <c r="S147" i="5"/>
  <c r="AE147" i="5"/>
  <c r="AF147" i="5"/>
  <c r="AG147" i="5"/>
  <c r="R178" i="5"/>
  <c r="S178" i="5"/>
  <c r="AE178" i="5"/>
  <c r="AF178" i="5"/>
  <c r="AG178" i="5"/>
  <c r="R179" i="5"/>
  <c r="S179" i="5"/>
  <c r="AE179" i="5"/>
  <c r="AF179" i="5"/>
  <c r="AG179" i="5"/>
  <c r="R184" i="5"/>
  <c r="S184" i="5"/>
  <c r="AE184" i="5"/>
  <c r="AF184" i="5"/>
  <c r="AG184" i="5"/>
  <c r="R185" i="5"/>
  <c r="S185" i="5"/>
  <c r="AE185" i="5"/>
  <c r="AF185" i="5"/>
  <c r="AG185" i="5"/>
  <c r="R186" i="5"/>
  <c r="S186" i="5"/>
  <c r="AE186" i="5"/>
  <c r="AF186" i="5"/>
  <c r="AG186" i="5"/>
  <c r="H147" i="5"/>
  <c r="AL147" i="65" s="1"/>
  <c r="H140" i="5"/>
  <c r="AL140" i="65" s="1"/>
  <c r="GQ25" i="15"/>
  <c r="GP25" i="15" s="1"/>
  <c r="GO25" i="15" s="1"/>
  <c r="GQ26" i="15"/>
  <c r="GP26" i="15" s="1"/>
  <c r="GO26" i="15" s="1"/>
  <c r="GQ32" i="15"/>
  <c r="GP32" i="15" s="1"/>
  <c r="GO32" i="15" s="1"/>
  <c r="GQ37" i="15"/>
  <c r="GP37" i="15" s="1"/>
  <c r="GO37" i="15" s="1"/>
  <c r="GQ41" i="15"/>
  <c r="GP41" i="15" s="1"/>
  <c r="GO41" i="15" s="1"/>
  <c r="AS188" i="5"/>
  <c r="AS180" i="5"/>
  <c r="AS172" i="5"/>
  <c r="AS164" i="5"/>
  <c r="AS160" i="5"/>
  <c r="AS156" i="5"/>
  <c r="AS152" i="5"/>
  <c r="AS148" i="5"/>
  <c r="AS144" i="5"/>
  <c r="AS140" i="5"/>
  <c r="AS136" i="5"/>
  <c r="AS132" i="5"/>
  <c r="AS128" i="5"/>
  <c r="AS124" i="5"/>
  <c r="AS120" i="5"/>
  <c r="AS116" i="5"/>
  <c r="AS112" i="5"/>
  <c r="AS108" i="5"/>
  <c r="AS104" i="5"/>
  <c r="AS100" i="5"/>
  <c r="AS96" i="5"/>
  <c r="AS92" i="5"/>
  <c r="AS88" i="5"/>
  <c r="AS84" i="5"/>
  <c r="AS80" i="5"/>
  <c r="AS76" i="5"/>
  <c r="AS72" i="5"/>
  <c r="AS68" i="5"/>
  <c r="AS64" i="5"/>
  <c r="AS60" i="5"/>
  <c r="GQ344" i="15"/>
  <c r="GQ324" i="15"/>
  <c r="GQ322" i="15"/>
  <c r="GQ253" i="15"/>
  <c r="GQ237" i="15"/>
  <c r="GQ176" i="15"/>
  <c r="GQ278" i="15"/>
  <c r="GQ195" i="15"/>
  <c r="GP45" i="15"/>
  <c r="GO45" i="15" s="1"/>
  <c r="BD295" i="15"/>
  <c r="GQ292" i="15"/>
  <c r="GQ223" i="15"/>
  <c r="GQ158" i="15"/>
  <c r="BD195" i="15"/>
  <c r="GQ299" i="15"/>
  <c r="GQ284" i="15"/>
  <c r="GQ275" i="15"/>
  <c r="BD244" i="15"/>
  <c r="BD179" i="15"/>
  <c r="GQ346" i="15"/>
  <c r="GQ342" i="15"/>
  <c r="GQ338" i="15"/>
  <c r="GQ336" i="15"/>
  <c r="GQ334" i="15"/>
  <c r="GQ320" i="15"/>
  <c r="GQ318" i="15"/>
  <c r="GQ306" i="15"/>
  <c r="GQ298" i="15"/>
  <c r="GQ285" i="15"/>
  <c r="GQ274" i="15"/>
  <c r="GQ266" i="15"/>
  <c r="GQ262" i="15"/>
  <c r="GQ248" i="15"/>
  <c r="GQ246" i="15"/>
  <c r="GQ238" i="15"/>
  <c r="GQ227" i="15"/>
  <c r="GQ215" i="15"/>
  <c r="GQ210" i="15"/>
  <c r="GQ190" i="15"/>
  <c r="GQ188" i="15"/>
  <c r="GQ181" i="15"/>
  <c r="GQ129" i="15"/>
  <c r="GQ117" i="15"/>
  <c r="GQ101" i="15"/>
  <c r="GP60" i="15"/>
  <c r="GO60" i="15" s="1"/>
  <c r="M343" i="5"/>
  <c r="K343" i="5"/>
  <c r="O343" i="5"/>
  <c r="AV343" i="73" s="1"/>
  <c r="P343" i="5"/>
  <c r="AW343" i="73" s="1"/>
  <c r="T343" i="5"/>
  <c r="AX343" i="73" s="1"/>
  <c r="Q343" i="5"/>
  <c r="BA343" i="73" s="1"/>
  <c r="AD343" i="5"/>
  <c r="L347" i="5"/>
  <c r="J347" i="5"/>
  <c r="AT347" i="73" s="1"/>
  <c r="N347" i="5"/>
  <c r="AU347" i="73" s="1"/>
  <c r="U347" i="5"/>
  <c r="V347" i="5"/>
  <c r="AC347" i="5"/>
  <c r="BB347" i="73" s="1"/>
  <c r="BD97" i="15"/>
  <c r="BC97" i="15" s="1"/>
  <c r="BD65" i="15"/>
  <c r="BC65" i="15" s="1"/>
  <c r="BD33" i="15"/>
  <c r="BD279" i="15"/>
  <c r="BD245" i="15"/>
  <c r="BD211" i="15"/>
  <c r="BD145" i="15"/>
  <c r="BD113" i="15"/>
  <c r="BC113" i="15" s="1"/>
  <c r="BD81" i="15"/>
  <c r="BC81" i="15"/>
  <c r="GQ332" i="15"/>
  <c r="GQ308" i="15"/>
  <c r="GQ276" i="15"/>
  <c r="GQ271" i="15"/>
  <c r="GQ264" i="15"/>
  <c r="GQ261" i="15"/>
  <c r="GQ257" i="15"/>
  <c r="GQ225" i="15"/>
  <c r="GQ221" i="15"/>
  <c r="GQ217" i="15"/>
  <c r="GQ212" i="15"/>
  <c r="GQ209" i="15"/>
  <c r="GQ194" i="15"/>
  <c r="GQ157" i="15"/>
  <c r="GQ125" i="15"/>
  <c r="GP87" i="15"/>
  <c r="GO87" i="15" s="1"/>
  <c r="GP80" i="15"/>
  <c r="GO80" i="15" s="1"/>
  <c r="GP71" i="15"/>
  <c r="GO71" i="15" s="1"/>
  <c r="BD31" i="15"/>
  <c r="BC31" i="15" s="1"/>
  <c r="GQ179" i="15"/>
  <c r="GQ171" i="15"/>
  <c r="GQ149" i="15"/>
  <c r="BD349" i="15"/>
  <c r="BD331" i="15"/>
  <c r="BD329" i="15"/>
  <c r="BD328" i="15"/>
  <c r="BD315" i="15"/>
  <c r="BD313" i="15"/>
  <c r="BD312" i="15"/>
  <c r="BD299" i="15"/>
  <c r="BD297" i="15"/>
  <c r="BD296" i="15"/>
  <c r="BD283" i="15"/>
  <c r="BD281" i="15"/>
  <c r="BD280" i="15"/>
  <c r="BD267" i="15"/>
  <c r="BD265" i="15"/>
  <c r="BD264" i="15"/>
  <c r="BD251" i="15"/>
  <c r="BD249" i="15"/>
  <c r="BD247" i="15"/>
  <c r="BD231" i="15"/>
  <c r="BD229" i="15"/>
  <c r="BD228" i="15"/>
  <c r="BD215" i="15"/>
  <c r="BD213" i="15"/>
  <c r="BD212" i="15"/>
  <c r="BD199" i="15"/>
  <c r="BD197" i="15"/>
  <c r="BD196" i="15"/>
  <c r="BD183" i="15"/>
  <c r="BD181" i="15"/>
  <c r="BD180" i="15"/>
  <c r="BD165" i="15"/>
  <c r="BD163" i="15"/>
  <c r="BD162" i="15"/>
  <c r="BD149" i="15"/>
  <c r="BD147" i="15"/>
  <c r="BD146" i="15"/>
  <c r="BD133" i="15"/>
  <c r="BD131" i="15"/>
  <c r="BD130" i="15"/>
  <c r="BD117" i="15"/>
  <c r="BC117" i="15" s="1"/>
  <c r="BD115" i="15"/>
  <c r="BC115" i="15" s="1"/>
  <c r="BD114" i="15"/>
  <c r="BC114" i="15" s="1"/>
  <c r="BD101" i="15"/>
  <c r="BC101" i="15" s="1"/>
  <c r="BD99" i="15"/>
  <c r="BC99" i="15" s="1"/>
  <c r="BD98" i="15"/>
  <c r="BC98" i="15" s="1"/>
  <c r="BD85" i="15"/>
  <c r="BC85" i="15" s="1"/>
  <c r="BD83" i="15"/>
  <c r="BC83" i="15" s="1"/>
  <c r="BD82" i="15"/>
  <c r="BC82" i="15"/>
  <c r="BD69" i="15"/>
  <c r="BC69" i="15" s="1"/>
  <c r="BD67" i="15"/>
  <c r="BC67" i="15" s="1"/>
  <c r="BD66" i="15"/>
  <c r="BC66" i="15" s="1"/>
  <c r="BD53" i="15"/>
  <c r="BC53" i="15" s="1"/>
  <c r="BD51" i="15"/>
  <c r="BD50" i="15"/>
  <c r="BD37" i="15"/>
  <c r="BD35" i="15"/>
  <c r="BC35" i="15" s="1"/>
  <c r="BD34" i="15"/>
  <c r="GP88" i="15"/>
  <c r="GO88" i="15" s="1"/>
  <c r="GP79" i="15"/>
  <c r="GO79" i="15" s="1"/>
  <c r="GQ28" i="15"/>
  <c r="GQ29" i="15"/>
  <c r="GP54" i="15"/>
  <c r="GO54" i="15" s="1"/>
  <c r="GP57" i="15"/>
  <c r="GO57" i="15" s="1"/>
  <c r="GP62" i="15"/>
  <c r="GO62" i="15" s="1"/>
  <c r="GP75" i="15"/>
  <c r="GO75" i="15" s="1"/>
  <c r="GP72" i="15"/>
  <c r="GO72" i="15" s="1"/>
  <c r="GP69" i="15"/>
  <c r="GO69" i="15" s="1"/>
  <c r="GP67" i="15"/>
  <c r="GO67" i="15" s="1"/>
  <c r="GP49" i="15"/>
  <c r="GO49" i="15" s="1"/>
  <c r="GP55" i="15"/>
  <c r="GO55" i="15" s="1"/>
  <c r="GP59" i="15"/>
  <c r="GO59" i="15" s="1"/>
  <c r="GQ255" i="15"/>
  <c r="GQ229" i="15"/>
  <c r="GQ207" i="15"/>
  <c r="GQ174" i="15"/>
  <c r="GQ168" i="15"/>
  <c r="GQ166" i="15"/>
  <c r="GQ159" i="15"/>
  <c r="GQ154" i="15"/>
  <c r="GQ151" i="15"/>
  <c r="GQ148" i="15"/>
  <c r="GQ146" i="15"/>
  <c r="GQ348" i="15"/>
  <c r="GQ310" i="15"/>
  <c r="GQ300" i="15"/>
  <c r="GQ288" i="15"/>
  <c r="GQ282" i="15"/>
  <c r="GQ280" i="15"/>
  <c r="GQ270" i="15"/>
  <c r="GQ268" i="15"/>
  <c r="GQ203" i="15"/>
  <c r="GQ192" i="15"/>
  <c r="GQ184" i="15"/>
  <c r="GQ178" i="15"/>
  <c r="GQ144" i="15"/>
  <c r="GP142" i="15"/>
  <c r="GO142" i="15" s="1"/>
  <c r="GQ142" i="15"/>
  <c r="GP139" i="15"/>
  <c r="GO139" i="15" s="1"/>
  <c r="GQ139" i="15"/>
  <c r="GQ132" i="15"/>
  <c r="GQ130" i="15"/>
  <c r="GQ127" i="15"/>
  <c r="GQ124" i="15"/>
  <c r="GQ122" i="15"/>
  <c r="GQ119" i="15"/>
  <c r="GQ114" i="15"/>
  <c r="GQ111" i="15"/>
  <c r="GQ107" i="15"/>
  <c r="GQ105" i="15"/>
  <c r="GQ97" i="15"/>
  <c r="GP86" i="15"/>
  <c r="GO86" i="15" s="1"/>
  <c r="GP82" i="15"/>
  <c r="GO82" i="15" s="1"/>
  <c r="GP77" i="15"/>
  <c r="GO77" i="15" s="1"/>
  <c r="GP76" i="15"/>
  <c r="GO76" i="15" s="1"/>
  <c r="GP73" i="15"/>
  <c r="GO73" i="15" s="1"/>
  <c r="GP65" i="15"/>
  <c r="GO65" i="15" s="1"/>
  <c r="GQ64" i="15"/>
  <c r="GP64" i="15" s="1"/>
  <c r="GO64" i="15" s="1"/>
  <c r="GP40" i="15"/>
  <c r="GO40" i="15" s="1"/>
  <c r="GP42" i="15"/>
  <c r="GO42" i="15" s="1"/>
  <c r="GP47" i="15"/>
  <c r="GO47" i="15" s="1"/>
  <c r="GP50" i="15"/>
  <c r="GO50" i="15" s="1"/>
  <c r="GP52" i="15"/>
  <c r="GO52" i="15" s="1"/>
  <c r="BD343" i="15"/>
  <c r="BD342" i="15"/>
  <c r="BD333" i="15"/>
  <c r="BD332" i="15"/>
  <c r="BD325" i="15"/>
  <c r="BD324" i="15"/>
  <c r="BD317" i="15"/>
  <c r="BD316" i="15"/>
  <c r="BD309" i="15"/>
  <c r="BD308" i="15"/>
  <c r="BD301" i="15"/>
  <c r="BD300" i="15"/>
  <c r="BD293" i="15"/>
  <c r="BD292" i="15"/>
  <c r="BD285" i="15"/>
  <c r="BD284" i="15"/>
  <c r="BD277" i="15"/>
  <c r="BD276" i="15"/>
  <c r="BD269" i="15"/>
  <c r="BD268" i="15"/>
  <c r="BD261" i="15"/>
  <c r="BD260" i="15"/>
  <c r="BD253" i="15"/>
  <c r="BD252" i="15"/>
  <c r="BD248" i="15"/>
  <c r="BD241" i="15"/>
  <c r="BD240" i="15"/>
  <c r="BD233" i="15"/>
  <c r="BD232" i="15"/>
  <c r="BD225" i="15"/>
  <c r="BD224" i="15"/>
  <c r="BD217" i="15"/>
  <c r="BD216" i="15"/>
  <c r="BD209" i="15"/>
  <c r="BD208" i="15"/>
  <c r="BD201" i="15"/>
  <c r="BD200" i="15"/>
  <c r="BD193" i="15"/>
  <c r="BD192" i="15"/>
  <c r="BD185" i="15"/>
  <c r="BD184" i="15"/>
  <c r="BD177" i="15"/>
  <c r="BD176" i="15"/>
  <c r="BD169" i="15"/>
  <c r="BD168" i="15"/>
  <c r="BD167" i="15"/>
  <c r="BD166" i="15"/>
  <c r="BD159" i="15"/>
  <c r="BD158" i="15"/>
  <c r="BD151" i="15"/>
  <c r="BD150" i="15"/>
  <c r="BD143" i="15"/>
  <c r="BD142" i="15"/>
  <c r="BD135" i="15"/>
  <c r="BD134" i="15"/>
  <c r="BD127" i="15"/>
  <c r="BC127" i="15" s="1"/>
  <c r="BD126" i="15"/>
  <c r="BC126" i="15" s="1"/>
  <c r="BD119" i="15"/>
  <c r="BC119" i="15" s="1"/>
  <c r="BD118" i="15"/>
  <c r="BC118" i="15" s="1"/>
  <c r="BD111" i="15"/>
  <c r="BC111" i="15" s="1"/>
  <c r="BD110" i="15"/>
  <c r="BC110" i="15" s="1"/>
  <c r="BD103" i="15"/>
  <c r="BD102" i="15"/>
  <c r="BC102" i="15" s="1"/>
  <c r="BD95" i="15"/>
  <c r="BC95" i="15" s="1"/>
  <c r="BD94" i="15"/>
  <c r="BC94" i="15" s="1"/>
  <c r="BD87" i="15"/>
  <c r="BC87" i="15" s="1"/>
  <c r="BD86" i="15"/>
  <c r="BC86" i="15" s="1"/>
  <c r="BD79" i="15"/>
  <c r="BC79" i="15" s="1"/>
  <c r="BD78" i="15"/>
  <c r="BC78" i="15" s="1"/>
  <c r="BD71" i="15"/>
  <c r="BC71" i="15" s="1"/>
  <c r="BD70" i="15"/>
  <c r="BC70" i="15" s="1"/>
  <c r="BD63" i="15"/>
  <c r="BC63" i="15" s="1"/>
  <c r="BD62" i="15"/>
  <c r="BC62" i="15" s="1"/>
  <c r="BD55" i="15"/>
  <c r="BC55" i="15" s="1"/>
  <c r="BD54" i="15"/>
  <c r="BC54" i="15" s="1"/>
  <c r="BD47" i="15"/>
  <c r="BC47" i="15" s="1"/>
  <c r="BD46" i="15"/>
  <c r="BC46" i="15" s="1"/>
  <c r="BD39" i="15"/>
  <c r="BD38" i="15"/>
  <c r="BC38" i="15" s="1"/>
  <c r="BD29" i="15"/>
  <c r="BD25" i="15"/>
  <c r="BC25" i="15" s="1"/>
  <c r="GQ340" i="15"/>
  <c r="GQ312" i="15"/>
  <c r="GQ309" i="15"/>
  <c r="GQ265" i="15"/>
  <c r="GQ254" i="15"/>
  <c r="GQ252" i="15"/>
  <c r="GQ247" i="15"/>
  <c r="GQ243" i="15"/>
  <c r="GQ241" i="15"/>
  <c r="GQ239" i="15"/>
  <c r="GQ161" i="15"/>
  <c r="GQ135" i="15"/>
  <c r="GQ116" i="15"/>
  <c r="GQ109" i="15"/>
  <c r="GQ102" i="15"/>
  <c r="GQ100" i="15"/>
  <c r="GQ98" i="15"/>
  <c r="GQ96" i="15"/>
  <c r="GQ94" i="15"/>
  <c r="GQ92" i="15"/>
  <c r="GQ90" i="15"/>
  <c r="GQ89" i="15"/>
  <c r="GP89" i="15"/>
  <c r="GO89" i="15" s="1"/>
  <c r="GQ78" i="15"/>
  <c r="GP78" i="15"/>
  <c r="GO78" i="15" s="1"/>
  <c r="GP74" i="15"/>
  <c r="GO74" i="15" s="1"/>
  <c r="GP70" i="15"/>
  <c r="GO70" i="15" s="1"/>
  <c r="GQ68" i="15"/>
  <c r="GP68" i="15" s="1"/>
  <c r="GO68" i="15" s="1"/>
  <c r="GQ63" i="15"/>
  <c r="GP63" i="15" s="1"/>
  <c r="GO63" i="15" s="1"/>
  <c r="U18" i="5"/>
  <c r="GQ22" i="15"/>
  <c r="GP22" i="15" s="1"/>
  <c r="GO22" i="15" s="1"/>
  <c r="GQ33" i="15"/>
  <c r="GP33" i="15" s="1"/>
  <c r="GO33" i="15" s="1"/>
  <c r="GQ34" i="15"/>
  <c r="GP34" i="15" s="1"/>
  <c r="GO34" i="15" s="1"/>
  <c r="GQ38" i="15"/>
  <c r="GP38" i="15" s="1"/>
  <c r="GO38" i="15" s="1"/>
  <c r="GP39" i="15"/>
  <c r="GO39" i="15" s="1"/>
  <c r="GP43" i="15"/>
  <c r="GO43" i="15" s="1"/>
  <c r="GQ46" i="15"/>
  <c r="GP46" i="15" s="1"/>
  <c r="GO46" i="15" s="1"/>
  <c r="GP53" i="15"/>
  <c r="GO53" i="15" s="1"/>
  <c r="GQ61" i="15"/>
  <c r="GP61" i="15" s="1"/>
  <c r="GO61" i="15" s="1"/>
  <c r="AK10" i="65"/>
  <c r="GQ206" i="15"/>
  <c r="GQ204" i="15"/>
  <c r="GQ202" i="15"/>
  <c r="GQ200" i="15"/>
  <c r="GQ198" i="15"/>
  <c r="GP81" i="15"/>
  <c r="GO81" i="15" s="1"/>
  <c r="GQ83" i="15"/>
  <c r="GP83" i="15"/>
  <c r="GO83" i="15" s="1"/>
  <c r="GQ66" i="15"/>
  <c r="GP66" i="15" s="1"/>
  <c r="GO66" i="15" s="1"/>
  <c r="GQ44" i="15"/>
  <c r="GP44" i="15" s="1"/>
  <c r="GO44" i="15" s="1"/>
  <c r="GQ48" i="15"/>
  <c r="GP48" i="15" s="1"/>
  <c r="GO48" i="15" s="1"/>
  <c r="GQ51" i="15"/>
  <c r="GP51" i="15" s="1"/>
  <c r="GO51" i="15" s="1"/>
  <c r="GQ56" i="15"/>
  <c r="GP56" i="15"/>
  <c r="GO56" i="15" s="1"/>
  <c r="GQ58" i="15"/>
  <c r="GP58" i="15" s="1"/>
  <c r="GO58" i="15" s="1"/>
  <c r="BD348" i="15"/>
  <c r="BD344" i="15"/>
  <c r="BD340" i="15"/>
  <c r="BD334" i="15"/>
  <c r="BD330" i="15"/>
  <c r="BD326" i="15"/>
  <c r="BD322" i="15"/>
  <c r="BD318" i="15"/>
  <c r="BD314" i="15"/>
  <c r="BD310" i="15"/>
  <c r="BD306" i="15"/>
  <c r="BD302" i="15"/>
  <c r="BD298" i="15"/>
  <c r="BD294" i="15"/>
  <c r="BD290" i="15"/>
  <c r="BD286" i="15"/>
  <c r="BD282" i="15"/>
  <c r="BD278" i="15"/>
  <c r="BD274" i="15"/>
  <c r="BD270" i="15"/>
  <c r="BD266" i="15"/>
  <c r="BD262" i="15"/>
  <c r="BD258" i="15"/>
  <c r="BD254" i="15"/>
  <c r="BD250" i="15"/>
  <c r="BD246" i="15"/>
  <c r="BD242" i="15"/>
  <c r="BD238" i="15"/>
  <c r="BD234" i="15"/>
  <c r="BD230" i="15"/>
  <c r="BD226" i="15"/>
  <c r="BD222" i="15"/>
  <c r="BD218" i="15"/>
  <c r="BD214" i="15"/>
  <c r="BD210" i="15"/>
  <c r="BD206" i="15"/>
  <c r="BD202" i="15"/>
  <c r="BD198" i="15"/>
  <c r="BD194" i="15"/>
  <c r="BD190" i="15"/>
  <c r="BD186" i="15"/>
  <c r="BD182" i="15"/>
  <c r="BD178" i="15"/>
  <c r="BD174" i="15"/>
  <c r="BD170" i="15"/>
  <c r="BD164" i="15"/>
  <c r="BD160" i="15"/>
  <c r="BD156" i="15"/>
  <c r="BD152" i="15"/>
  <c r="BD148" i="15"/>
  <c r="BD144" i="15"/>
  <c r="BD140" i="15"/>
  <c r="BD136" i="15"/>
  <c r="BD132" i="15"/>
  <c r="BD128" i="15"/>
  <c r="BD124" i="15"/>
  <c r="BC124" i="15" s="1"/>
  <c r="BD120" i="15"/>
  <c r="BC120" i="15" s="1"/>
  <c r="BD116" i="15"/>
  <c r="BC116" i="15" s="1"/>
  <c r="BD112" i="15"/>
  <c r="BD108" i="15"/>
  <c r="BC108" i="15" s="1"/>
  <c r="BD104" i="15"/>
  <c r="BC104" i="15" s="1"/>
  <c r="BD100" i="15"/>
  <c r="BC100" i="15" s="1"/>
  <c r="BD96" i="15"/>
  <c r="BC96" i="15" s="1"/>
  <c r="BD92" i="15"/>
  <c r="BC92" i="15" s="1"/>
  <c r="BD88" i="15"/>
  <c r="BC88" i="15" s="1"/>
  <c r="BD84" i="15"/>
  <c r="BC84" i="15" s="1"/>
  <c r="BD80" i="15"/>
  <c r="BC80" i="15" s="1"/>
  <c r="BD76" i="15"/>
  <c r="BC76" i="15" s="1"/>
  <c r="BD72" i="15"/>
  <c r="BC72" i="15" s="1"/>
  <c r="BD68" i="15"/>
  <c r="BC68" i="15" s="1"/>
  <c r="BD64" i="15"/>
  <c r="BC64" i="15" s="1"/>
  <c r="BD60" i="15"/>
  <c r="BC60" i="15" s="1"/>
  <c r="BD56" i="15"/>
  <c r="BC56" i="15" s="1"/>
  <c r="BD52" i="15"/>
  <c r="BC52" i="15" s="1"/>
  <c r="BD48" i="15"/>
  <c r="BC48" i="15" s="1"/>
  <c r="BD44" i="15"/>
  <c r="BC44" i="15" s="1"/>
  <c r="BD40" i="15"/>
  <c r="BC40" i="15" s="1"/>
  <c r="BD36" i="15"/>
  <c r="BC36" i="15" s="1"/>
  <c r="BD22" i="15"/>
  <c r="D3" i="93" s="1"/>
  <c r="GQ341" i="15"/>
  <c r="GQ337" i="15"/>
  <c r="GQ333" i="15"/>
  <c r="GQ329" i="15"/>
  <c r="GQ325" i="15"/>
  <c r="GQ321" i="15"/>
  <c r="GQ317" i="15"/>
  <c r="GQ313" i="15"/>
  <c r="BD30" i="15"/>
  <c r="BC30" i="15" s="1"/>
  <c r="BD26" i="15"/>
  <c r="BC26" i="15" s="1"/>
  <c r="BD32" i="15"/>
  <c r="BC32" i="15" s="1"/>
  <c r="BD28" i="15"/>
  <c r="BC28" i="15" s="1"/>
  <c r="GQ189" i="15"/>
  <c r="GQ180" i="15"/>
  <c r="D33" i="93"/>
  <c r="H33" i="93" s="1"/>
  <c r="D28" i="93"/>
  <c r="I28" i="93" s="1"/>
  <c r="D36" i="93"/>
  <c r="I36" i="93" s="1"/>
  <c r="BD304" i="15"/>
  <c r="BD45" i="15"/>
  <c r="BC45" i="15" s="1"/>
  <c r="BD42" i="15"/>
  <c r="BC42" i="15" s="1"/>
  <c r="BD347" i="15"/>
  <c r="BD339" i="15"/>
  <c r="BD335" i="15"/>
  <c r="BD320" i="15"/>
  <c r="BD305" i="15"/>
  <c r="BD303" i="15"/>
  <c r="BD287" i="15"/>
  <c r="BD271" i="15"/>
  <c r="BD256" i="15"/>
  <c r="BD237" i="15"/>
  <c r="BD223" i="15"/>
  <c r="BD207" i="15"/>
  <c r="BD191" i="15"/>
  <c r="BD175" i="15"/>
  <c r="BD161" i="15"/>
  <c r="BD153" i="15"/>
  <c r="BD137" i="15"/>
  <c r="BD122" i="15"/>
  <c r="BC122" i="15" s="1"/>
  <c r="BD106" i="15"/>
  <c r="BC106" i="15" s="1"/>
  <c r="BD61" i="15"/>
  <c r="BC61" i="15" s="1"/>
  <c r="BD59" i="15"/>
  <c r="BD58" i="15"/>
  <c r="D39" i="93" s="1"/>
  <c r="J39" i="93" s="1"/>
  <c r="BD27" i="15"/>
  <c r="BC27" i="15" s="1"/>
  <c r="BD23" i="15"/>
  <c r="D4" i="93" s="1"/>
  <c r="I4" i="93" s="1"/>
  <c r="GQ138" i="15"/>
  <c r="GQ155" i="15"/>
  <c r="GQ123" i="15"/>
  <c r="GQ115" i="15"/>
  <c r="GQ108" i="15"/>
  <c r="P90" i="5"/>
  <c r="AW90" i="73" s="1"/>
  <c r="N90" i="5"/>
  <c r="AU90" i="73" s="1"/>
  <c r="O90" i="5"/>
  <c r="AV90" i="73" s="1"/>
  <c r="BG81" i="15"/>
  <c r="P87" i="5"/>
  <c r="M82" i="5"/>
  <c r="P82" i="5"/>
  <c r="BG82" i="15"/>
  <c r="P81" i="5"/>
  <c r="M81" i="5"/>
  <c r="P83" i="5"/>
  <c r="K81" i="5"/>
  <c r="K82" i="5"/>
  <c r="AR82" i="73" s="1"/>
  <c r="L82" i="5"/>
  <c r="L81" i="5"/>
  <c r="AG82" i="5"/>
  <c r="N81" i="5"/>
  <c r="AU81" i="73" s="1"/>
  <c r="N87" i="5"/>
  <c r="AU87" i="73" s="1"/>
  <c r="N82" i="5"/>
  <c r="AU82" i="73" s="1"/>
  <c r="AG81" i="5"/>
  <c r="N83" i="5"/>
  <c r="AU83" i="73" s="1"/>
  <c r="J81" i="5"/>
  <c r="AT81" i="73" s="1"/>
  <c r="O81" i="5"/>
  <c r="O87" i="5"/>
  <c r="AV87" i="73" s="1"/>
  <c r="J82" i="5"/>
  <c r="AT82" i="73" s="1"/>
  <c r="O83" i="5"/>
  <c r="O82" i="5"/>
  <c r="AV82" i="73" s="1"/>
  <c r="Q81" i="5"/>
  <c r="BA81" i="73" s="1"/>
  <c r="Q82" i="5"/>
  <c r="BA82" i="73" s="1"/>
  <c r="V82" i="5"/>
  <c r="U82" i="5"/>
  <c r="T82" i="5"/>
  <c r="AX82" i="73" s="1"/>
  <c r="V81" i="5"/>
  <c r="AZ81" i="73" s="1"/>
  <c r="AC82" i="5"/>
  <c r="BB82" i="73" s="1"/>
  <c r="U81" i="5"/>
  <c r="T81" i="5"/>
  <c r="AX81" i="73" s="1"/>
  <c r="AD82" i="5"/>
  <c r="AE82" i="5"/>
  <c r="I82" i="5"/>
  <c r="I81" i="5"/>
  <c r="CY81" i="15"/>
  <c r="CZ81" i="15"/>
  <c r="DA81" i="15"/>
  <c r="CY82" i="15"/>
  <c r="DA82" i="15"/>
  <c r="CZ82" i="15"/>
  <c r="AC81" i="5"/>
  <c r="BB81" i="73" s="1"/>
  <c r="R82" i="5"/>
  <c r="AF82" i="5"/>
  <c r="S82" i="5"/>
  <c r="R81" i="5"/>
  <c r="S81" i="5"/>
  <c r="AE81" i="5"/>
  <c r="AD81" i="5"/>
  <c r="AF81" i="5"/>
  <c r="BD24" i="15"/>
  <c r="D5" i="93" s="1"/>
  <c r="GQ328" i="15"/>
  <c r="GQ316" i="15"/>
  <c r="GQ304" i="15"/>
  <c r="GQ303" i="15"/>
  <c r="GQ302" i="15"/>
  <c r="GQ301" i="15"/>
  <c r="GQ296" i="15"/>
  <c r="GQ295" i="15"/>
  <c r="GQ294" i="15"/>
  <c r="GQ287" i="15"/>
  <c r="GQ286" i="15"/>
  <c r="GQ281" i="15"/>
  <c r="GQ260" i="15"/>
  <c r="GQ258" i="15"/>
  <c r="GQ250" i="15"/>
  <c r="GQ242" i="15"/>
  <c r="GQ235" i="15"/>
  <c r="GQ233" i="15"/>
  <c r="GQ224" i="15"/>
  <c r="GQ173" i="15"/>
  <c r="GQ121" i="15"/>
  <c r="GQ120" i="15"/>
  <c r="GQ118" i="15"/>
  <c r="GQ91" i="15"/>
  <c r="BG85" i="15"/>
  <c r="BG124" i="15"/>
  <c r="BG120" i="15"/>
  <c r="BG118" i="15"/>
  <c r="BG87" i="15"/>
  <c r="BG83" i="15"/>
  <c r="BG84" i="15"/>
  <c r="BG80" i="15"/>
  <c r="BG127" i="15"/>
  <c r="BG117" i="15"/>
  <c r="BG115" i="15"/>
  <c r="BG113" i="15"/>
  <c r="BG110" i="15"/>
  <c r="BG102" i="15"/>
  <c r="BG98" i="15"/>
  <c r="BG94" i="15"/>
  <c r="BG100" i="15"/>
  <c r="J124" i="5"/>
  <c r="AT124" i="73" s="1"/>
  <c r="J120" i="5"/>
  <c r="AT120" i="73" s="1"/>
  <c r="J118" i="5"/>
  <c r="AT118" i="73" s="1"/>
  <c r="J83" i="5"/>
  <c r="AT83" i="73" s="1"/>
  <c r="J84" i="5"/>
  <c r="AT84" i="73" s="1"/>
  <c r="J87" i="5"/>
  <c r="AT87" i="73" s="1"/>
  <c r="J80" i="5"/>
  <c r="AT80" i="73" s="1"/>
  <c r="BJ349" i="65"/>
  <c r="AC349" i="5"/>
  <c r="BB349" i="73" s="1"/>
  <c r="V349" i="5"/>
  <c r="U349" i="5"/>
  <c r="N349" i="5"/>
  <c r="AU349" i="73" s="1"/>
  <c r="J349" i="5"/>
  <c r="AT349" i="73" s="1"/>
  <c r="L349" i="5"/>
  <c r="BJ348" i="65"/>
  <c r="AD348" i="5"/>
  <c r="L281" i="5"/>
  <c r="J281" i="5"/>
  <c r="AT281" i="73" s="1"/>
  <c r="N281" i="5"/>
  <c r="AU281" i="73" s="1"/>
  <c r="U281" i="5"/>
  <c r="V281" i="5"/>
  <c r="AC281" i="5"/>
  <c r="BB281" i="73" s="1"/>
  <c r="L283" i="5"/>
  <c r="J283" i="5"/>
  <c r="AT283" i="73" s="1"/>
  <c r="N283" i="5"/>
  <c r="AU283" i="73" s="1"/>
  <c r="U283" i="5"/>
  <c r="V283" i="5"/>
  <c r="AC283" i="5"/>
  <c r="BB283" i="73" s="1"/>
  <c r="L285" i="5"/>
  <c r="J285" i="5"/>
  <c r="AT285" i="73" s="1"/>
  <c r="N285" i="5"/>
  <c r="AU285" i="73" s="1"/>
  <c r="U285" i="5"/>
  <c r="V285" i="5"/>
  <c r="AC285" i="5"/>
  <c r="BB285" i="73" s="1"/>
  <c r="L287" i="5"/>
  <c r="J287" i="5"/>
  <c r="AT287" i="73" s="1"/>
  <c r="N287" i="5"/>
  <c r="AU287" i="73" s="1"/>
  <c r="U287" i="5"/>
  <c r="V287" i="5"/>
  <c r="AC287" i="5"/>
  <c r="BB287" i="73" s="1"/>
  <c r="L289" i="5"/>
  <c r="J289" i="5"/>
  <c r="AT289" i="73" s="1"/>
  <c r="N289" i="5"/>
  <c r="AU289" i="73" s="1"/>
  <c r="U289" i="5"/>
  <c r="V289" i="5"/>
  <c r="AC289" i="5"/>
  <c r="BB289" i="73" s="1"/>
  <c r="L291" i="5"/>
  <c r="J291" i="5"/>
  <c r="AT291" i="73" s="1"/>
  <c r="N291" i="5"/>
  <c r="AU291" i="73" s="1"/>
  <c r="U291" i="5"/>
  <c r="V291" i="5"/>
  <c r="AC291" i="5"/>
  <c r="BB291" i="73" s="1"/>
  <c r="L293" i="5"/>
  <c r="J293" i="5"/>
  <c r="AT293" i="73" s="1"/>
  <c r="N293" i="5"/>
  <c r="AU293" i="73" s="1"/>
  <c r="U293" i="5"/>
  <c r="V293" i="5"/>
  <c r="AC293" i="5"/>
  <c r="BB293" i="73" s="1"/>
  <c r="L295" i="5"/>
  <c r="J295" i="5"/>
  <c r="AT295" i="73" s="1"/>
  <c r="N295" i="5"/>
  <c r="AU295" i="73" s="1"/>
  <c r="U295" i="5"/>
  <c r="V295" i="5"/>
  <c r="AC295" i="5"/>
  <c r="BB295" i="73" s="1"/>
  <c r="L297" i="5"/>
  <c r="J297" i="5"/>
  <c r="AT297" i="73" s="1"/>
  <c r="N297" i="5"/>
  <c r="AU297" i="73" s="1"/>
  <c r="U297" i="5"/>
  <c r="V297" i="5"/>
  <c r="AC297" i="5"/>
  <c r="BB297" i="73" s="1"/>
  <c r="L299" i="5"/>
  <c r="J299" i="5"/>
  <c r="AT299" i="73" s="1"/>
  <c r="N299" i="5"/>
  <c r="AU299" i="73" s="1"/>
  <c r="U299" i="5"/>
  <c r="V299" i="5"/>
  <c r="AC299" i="5"/>
  <c r="BB299" i="73" s="1"/>
  <c r="L301" i="5"/>
  <c r="J301" i="5"/>
  <c r="AT301" i="73" s="1"/>
  <c r="N301" i="5"/>
  <c r="AU301" i="73" s="1"/>
  <c r="U301" i="5"/>
  <c r="V301" i="5"/>
  <c r="AC301" i="5"/>
  <c r="BB301" i="73" s="1"/>
  <c r="L303" i="5"/>
  <c r="J303" i="5"/>
  <c r="AT303" i="73" s="1"/>
  <c r="N303" i="5"/>
  <c r="AU303" i="73" s="1"/>
  <c r="U303" i="5"/>
  <c r="V303" i="5"/>
  <c r="AC303" i="5"/>
  <c r="BB303" i="73" s="1"/>
  <c r="L305" i="5"/>
  <c r="J305" i="5"/>
  <c r="AT305" i="73" s="1"/>
  <c r="N305" i="5"/>
  <c r="AU305" i="73" s="1"/>
  <c r="U305" i="5"/>
  <c r="V305" i="5"/>
  <c r="AC305" i="5"/>
  <c r="BB305" i="73" s="1"/>
  <c r="L307" i="5"/>
  <c r="J307" i="5"/>
  <c r="AT307" i="73" s="1"/>
  <c r="N307" i="5"/>
  <c r="AU307" i="73" s="1"/>
  <c r="U307" i="5"/>
  <c r="V307" i="5"/>
  <c r="AC307" i="5"/>
  <c r="BB307" i="73" s="1"/>
  <c r="L309" i="5"/>
  <c r="J309" i="5"/>
  <c r="AT309" i="73" s="1"/>
  <c r="N309" i="5"/>
  <c r="AU309" i="73" s="1"/>
  <c r="U309" i="5"/>
  <c r="V309" i="5"/>
  <c r="AC309" i="5"/>
  <c r="BB309" i="73" s="1"/>
  <c r="L311" i="5"/>
  <c r="J311" i="5"/>
  <c r="AT311" i="73" s="1"/>
  <c r="N311" i="5"/>
  <c r="AU311" i="73" s="1"/>
  <c r="U311" i="5"/>
  <c r="V311" i="5"/>
  <c r="AC311" i="5"/>
  <c r="BB311" i="73" s="1"/>
  <c r="L313" i="5"/>
  <c r="J313" i="5"/>
  <c r="AT313" i="73" s="1"/>
  <c r="N313" i="5"/>
  <c r="AU313" i="73" s="1"/>
  <c r="U313" i="5"/>
  <c r="V313" i="5"/>
  <c r="AC313" i="5"/>
  <c r="BB313" i="73" s="1"/>
  <c r="L315" i="5"/>
  <c r="J315" i="5"/>
  <c r="AT315" i="73" s="1"/>
  <c r="N315" i="5"/>
  <c r="AU315" i="73" s="1"/>
  <c r="U315" i="5"/>
  <c r="V315" i="5"/>
  <c r="AC315" i="5"/>
  <c r="BB315" i="73" s="1"/>
  <c r="L317" i="5"/>
  <c r="J317" i="5"/>
  <c r="AT317" i="73" s="1"/>
  <c r="N317" i="5"/>
  <c r="AU317" i="73" s="1"/>
  <c r="U317" i="5"/>
  <c r="V317" i="5"/>
  <c r="AC317" i="5"/>
  <c r="BB317" i="73" s="1"/>
  <c r="L319" i="5"/>
  <c r="J319" i="5"/>
  <c r="AT319" i="73" s="1"/>
  <c r="N319" i="5"/>
  <c r="AU319" i="73" s="1"/>
  <c r="U319" i="5"/>
  <c r="V319" i="5"/>
  <c r="AC319" i="5"/>
  <c r="BB319" i="73" s="1"/>
  <c r="L321" i="5"/>
  <c r="J321" i="5"/>
  <c r="AT321" i="73" s="1"/>
  <c r="N321" i="5"/>
  <c r="AU321" i="73" s="1"/>
  <c r="U321" i="5"/>
  <c r="V321" i="5"/>
  <c r="AC321" i="5"/>
  <c r="BB321" i="73" s="1"/>
  <c r="L323" i="5"/>
  <c r="J323" i="5"/>
  <c r="AT323" i="73" s="1"/>
  <c r="N323" i="5"/>
  <c r="AU323" i="73" s="1"/>
  <c r="U323" i="5"/>
  <c r="V323" i="5"/>
  <c r="AC323" i="5"/>
  <c r="BB323" i="73" s="1"/>
  <c r="L325" i="5"/>
  <c r="J325" i="5"/>
  <c r="AT325" i="73" s="1"/>
  <c r="N325" i="5"/>
  <c r="AU325" i="73" s="1"/>
  <c r="U325" i="5"/>
  <c r="V325" i="5"/>
  <c r="AC325" i="5"/>
  <c r="BB325" i="73" s="1"/>
  <c r="L327" i="5"/>
  <c r="J327" i="5"/>
  <c r="AT327" i="73" s="1"/>
  <c r="N327" i="5"/>
  <c r="AU327" i="73" s="1"/>
  <c r="U327" i="5"/>
  <c r="V327" i="5"/>
  <c r="AC327" i="5"/>
  <c r="BB327" i="73" s="1"/>
  <c r="L329" i="5"/>
  <c r="J329" i="5"/>
  <c r="AT329" i="73" s="1"/>
  <c r="N329" i="5"/>
  <c r="AU329" i="73" s="1"/>
  <c r="U329" i="5"/>
  <c r="V329" i="5"/>
  <c r="AC329" i="5"/>
  <c r="BB329" i="73" s="1"/>
  <c r="L331" i="5"/>
  <c r="J331" i="5"/>
  <c r="AT331" i="73" s="1"/>
  <c r="N331" i="5"/>
  <c r="AU331" i="73" s="1"/>
  <c r="U331" i="5"/>
  <c r="V331" i="5"/>
  <c r="AC331" i="5"/>
  <c r="BB331" i="73" s="1"/>
  <c r="L333" i="5"/>
  <c r="J333" i="5"/>
  <c r="AT333" i="73" s="1"/>
  <c r="N333" i="5"/>
  <c r="AU333" i="73" s="1"/>
  <c r="U333" i="5"/>
  <c r="V333" i="5"/>
  <c r="AC333" i="5"/>
  <c r="BB333" i="73" s="1"/>
  <c r="L335" i="5"/>
  <c r="J335" i="5"/>
  <c r="AT335" i="73" s="1"/>
  <c r="N335" i="5"/>
  <c r="AU335" i="73" s="1"/>
  <c r="U335" i="5"/>
  <c r="V335" i="5"/>
  <c r="AC335" i="5"/>
  <c r="BB335" i="73" s="1"/>
  <c r="L337" i="5"/>
  <c r="J337" i="5"/>
  <c r="AT337" i="73" s="1"/>
  <c r="N337" i="5"/>
  <c r="AU337" i="73" s="1"/>
  <c r="U337" i="5"/>
  <c r="V337" i="5"/>
  <c r="AC337" i="5"/>
  <c r="BB337" i="73" s="1"/>
  <c r="L339" i="5"/>
  <c r="J339" i="5"/>
  <c r="AT339" i="73" s="1"/>
  <c r="N339" i="5"/>
  <c r="AU339" i="73" s="1"/>
  <c r="U339" i="5"/>
  <c r="V339" i="5"/>
  <c r="AC339" i="5"/>
  <c r="BB339" i="73" s="1"/>
  <c r="L341" i="5"/>
  <c r="J341" i="5"/>
  <c r="AT341" i="73" s="1"/>
  <c r="N341" i="5"/>
  <c r="AU341" i="73" s="1"/>
  <c r="U341" i="5"/>
  <c r="V341" i="5"/>
  <c r="AC341" i="5"/>
  <c r="BB341" i="73" s="1"/>
  <c r="J343" i="5"/>
  <c r="AT343" i="73" s="1"/>
  <c r="U343" i="5"/>
  <c r="AY343" i="73" s="1"/>
  <c r="AC343" i="5"/>
  <c r="BB343" i="73" s="1"/>
  <c r="M345" i="5"/>
  <c r="K345" i="5"/>
  <c r="O345" i="5"/>
  <c r="P345" i="5"/>
  <c r="T345" i="5"/>
  <c r="AX345" i="73" s="1"/>
  <c r="Q345" i="5"/>
  <c r="BA345" i="73" s="1"/>
  <c r="AD345" i="5"/>
  <c r="M347" i="5"/>
  <c r="O347" i="5"/>
  <c r="T347" i="5"/>
  <c r="AX347" i="73" s="1"/>
  <c r="AD347" i="5"/>
  <c r="K349" i="5"/>
  <c r="P349" i="5"/>
  <c r="Q349" i="5"/>
  <c r="BA349" i="73" s="1"/>
  <c r="CY90" i="15"/>
  <c r="CZ87" i="15"/>
  <c r="DA87" i="15"/>
  <c r="CZ83" i="15"/>
  <c r="DA83" i="15"/>
  <c r="Q96" i="5"/>
  <c r="BA96" i="73" s="1"/>
  <c r="Q110" i="5"/>
  <c r="BA110" i="73" s="1"/>
  <c r="AC102" i="5"/>
  <c r="BB102" i="73" s="1"/>
  <c r="J127" i="5"/>
  <c r="AT127" i="73" s="1"/>
  <c r="J100" i="5"/>
  <c r="AT100" i="73" s="1"/>
  <c r="J98" i="5"/>
  <c r="AT98" i="73" s="1"/>
  <c r="J110" i="5"/>
  <c r="AT110" i="73" s="1"/>
  <c r="BD319" i="15"/>
  <c r="BD91" i="15"/>
  <c r="BC91" i="15" s="1"/>
  <c r="BD90" i="15"/>
  <c r="BC90" i="15" s="1"/>
  <c r="BD89" i="15"/>
  <c r="BC89" i="15" s="1"/>
  <c r="BD77" i="15"/>
  <c r="BC77" i="15" s="1"/>
  <c r="BD75" i="15"/>
  <c r="BC75" i="15" s="1"/>
  <c r="BD74" i="15"/>
  <c r="BC74" i="15" s="1"/>
  <c r="BD73" i="15"/>
  <c r="BC73" i="15" s="1"/>
  <c r="BD49" i="15"/>
  <c r="D30" i="93" s="1"/>
  <c r="BD43" i="15"/>
  <c r="BD41" i="15"/>
  <c r="BD346" i="15"/>
  <c r="BD337" i="15"/>
  <c r="BD327" i="15"/>
  <c r="BD323" i="15"/>
  <c r="BD311" i="15"/>
  <c r="BD288" i="15"/>
  <c r="BD263" i="15"/>
  <c r="BD243" i="15"/>
  <c r="BD227" i="15"/>
  <c r="BD205" i="15"/>
  <c r="BD188" i="15"/>
  <c r="BD171" i="15"/>
  <c r="BD141" i="15"/>
  <c r="BD57" i="15"/>
  <c r="I83" i="5"/>
  <c r="GQ112" i="15"/>
  <c r="CA10" i="15" l="1"/>
  <c r="U15" i="5"/>
  <c r="D43" i="93"/>
  <c r="I43" i="93" s="1"/>
  <c r="CA8" i="15"/>
  <c r="CA17" i="15"/>
  <c r="CA9" i="15"/>
  <c r="CA6" i="15"/>
  <c r="CA5" i="15"/>
  <c r="CA12" i="15"/>
  <c r="CA4" i="15"/>
  <c r="CA7" i="15"/>
  <c r="AY81" i="73"/>
  <c r="AY82" i="73"/>
  <c r="AV81" i="73"/>
  <c r="U16" i="5"/>
  <c r="AV83" i="73"/>
  <c r="D35" i="93"/>
  <c r="H35" i="93" s="1"/>
  <c r="K144" i="5"/>
  <c r="P144" i="5"/>
  <c r="Q144" i="5"/>
  <c r="BA144" i="73" s="1"/>
  <c r="K148" i="5"/>
  <c r="P148" i="5"/>
  <c r="Q148" i="5"/>
  <c r="BA148" i="73" s="1"/>
  <c r="K152" i="5"/>
  <c r="P152" i="5"/>
  <c r="Q152" i="5"/>
  <c r="BA152" i="73" s="1"/>
  <c r="K156" i="5"/>
  <c r="P156" i="5"/>
  <c r="Q156" i="5"/>
  <c r="BA156" i="73" s="1"/>
  <c r="K160" i="5"/>
  <c r="P160" i="5"/>
  <c r="Q160" i="5"/>
  <c r="BA160" i="73" s="1"/>
  <c r="K164" i="5"/>
  <c r="P164" i="5"/>
  <c r="Q164" i="5"/>
  <c r="BA164" i="73" s="1"/>
  <c r="K168" i="5"/>
  <c r="P168" i="5"/>
  <c r="Q168" i="5"/>
  <c r="BA168" i="73" s="1"/>
  <c r="K172" i="5"/>
  <c r="P172" i="5"/>
  <c r="Q172" i="5"/>
  <c r="BA172" i="73" s="1"/>
  <c r="K176" i="5"/>
  <c r="P176" i="5"/>
  <c r="Q176" i="5"/>
  <c r="BA176" i="73" s="1"/>
  <c r="K180" i="5"/>
  <c r="P180" i="5"/>
  <c r="Q180" i="5"/>
  <c r="BA180" i="73" s="1"/>
  <c r="K184" i="5"/>
  <c r="P184" i="5"/>
  <c r="Q184" i="5"/>
  <c r="BA184" i="73" s="1"/>
  <c r="K188" i="5"/>
  <c r="P188" i="5"/>
  <c r="Q188" i="5"/>
  <c r="BA188" i="73" s="1"/>
  <c r="K192" i="5"/>
  <c r="T192" i="5"/>
  <c r="AX192" i="73" s="1"/>
  <c r="M196" i="5"/>
  <c r="T196" i="5"/>
  <c r="AX196" i="73" s="1"/>
  <c r="M200" i="5"/>
  <c r="T200" i="5"/>
  <c r="AX200" i="73" s="1"/>
  <c r="M204" i="5"/>
  <c r="T204" i="5"/>
  <c r="AX204" i="73" s="1"/>
  <c r="M208" i="5"/>
  <c r="T208" i="5"/>
  <c r="AX208" i="73" s="1"/>
  <c r="M212" i="5"/>
  <c r="T212" i="5"/>
  <c r="AX212" i="73" s="1"/>
  <c r="M216" i="5"/>
  <c r="T216" i="5"/>
  <c r="AX216" i="73" s="1"/>
  <c r="M220" i="5"/>
  <c r="T220" i="5"/>
  <c r="AX220" i="73" s="1"/>
  <c r="J224" i="5"/>
  <c r="AT224" i="73" s="1"/>
  <c r="AC224" i="5"/>
  <c r="BB224" i="73" s="1"/>
  <c r="L228" i="5"/>
  <c r="V228" i="5"/>
  <c r="U232" i="5"/>
  <c r="N236" i="5"/>
  <c r="AU236" i="73" s="1"/>
  <c r="J240" i="5"/>
  <c r="AT240" i="73" s="1"/>
  <c r="AC240" i="5"/>
  <c r="BB240" i="73" s="1"/>
  <c r="L244" i="5"/>
  <c r="V244" i="5"/>
  <c r="U248" i="5"/>
  <c r="N252" i="5"/>
  <c r="AU252" i="73" s="1"/>
  <c r="J256" i="5"/>
  <c r="AT256" i="73" s="1"/>
  <c r="AC256" i="5"/>
  <c r="BB256" i="73" s="1"/>
  <c r="V260" i="5"/>
  <c r="N268" i="5"/>
  <c r="AU268" i="73" s="1"/>
  <c r="AC272" i="5"/>
  <c r="BB272" i="73" s="1"/>
  <c r="L276" i="5"/>
  <c r="U280" i="5"/>
  <c r="J288" i="5"/>
  <c r="AT288" i="73" s="1"/>
  <c r="V292" i="5"/>
  <c r="N300" i="5"/>
  <c r="AU300" i="73" s="1"/>
  <c r="AC304" i="5"/>
  <c r="BB304" i="73" s="1"/>
  <c r="L308" i="5"/>
  <c r="U312" i="5"/>
  <c r="J320" i="5"/>
  <c r="AT320" i="73" s="1"/>
  <c r="V324" i="5"/>
  <c r="O344" i="5"/>
  <c r="AC348" i="5"/>
  <c r="BB348" i="73" s="1"/>
  <c r="AW349" i="73"/>
  <c r="AV347" i="73"/>
  <c r="BC347" i="73"/>
  <c r="AQ347" i="73"/>
  <c r="BC345" i="73"/>
  <c r="AQ345" i="73"/>
  <c r="BC348" i="73"/>
  <c r="AQ348" i="73"/>
  <c r="BC82" i="73"/>
  <c r="AQ82" i="73"/>
  <c r="BC128" i="73"/>
  <c r="AQ128" i="73"/>
  <c r="BC130" i="73"/>
  <c r="AQ130" i="73"/>
  <c r="BC131" i="73"/>
  <c r="AQ131" i="73"/>
  <c r="BC133" i="73"/>
  <c r="AQ133" i="73"/>
  <c r="BC136" i="73"/>
  <c r="AQ136" i="73"/>
  <c r="BC137" i="73"/>
  <c r="AQ137" i="73"/>
  <c r="BC149" i="73"/>
  <c r="AQ149" i="73"/>
  <c r="BC153" i="73"/>
  <c r="AQ153" i="73"/>
  <c r="BC215" i="73"/>
  <c r="AQ215" i="73"/>
  <c r="BC219" i="73"/>
  <c r="AQ219" i="73"/>
  <c r="BC226" i="73"/>
  <c r="AQ226" i="73"/>
  <c r="BC234" i="73"/>
  <c r="AQ234" i="73"/>
  <c r="BC242" i="73"/>
  <c r="AQ242" i="73"/>
  <c r="BC250" i="73"/>
  <c r="AQ250" i="73"/>
  <c r="BC270" i="73"/>
  <c r="AQ270" i="73"/>
  <c r="BC286" i="73"/>
  <c r="AQ286" i="73"/>
  <c r="BC302" i="73"/>
  <c r="AQ302" i="73"/>
  <c r="BC318" i="73"/>
  <c r="AQ318" i="73"/>
  <c r="BC344" i="73"/>
  <c r="AQ344" i="73"/>
  <c r="BC349" i="73"/>
  <c r="AQ349" i="73"/>
  <c r="AW83" i="73"/>
  <c r="AW81" i="73"/>
  <c r="AW82" i="73"/>
  <c r="AW87" i="73"/>
  <c r="AZ347" i="73"/>
  <c r="AR128" i="73"/>
  <c r="AR130" i="73"/>
  <c r="AR136" i="73"/>
  <c r="AY345" i="73"/>
  <c r="AW341" i="73"/>
  <c r="AW339" i="73"/>
  <c r="AW337" i="73"/>
  <c r="AW335" i="73"/>
  <c r="AW333" i="73"/>
  <c r="AW331" i="73"/>
  <c r="AW329" i="73"/>
  <c r="AW327" i="73"/>
  <c r="AW325" i="73"/>
  <c r="AW323" i="73"/>
  <c r="AW321" i="73"/>
  <c r="AW319" i="73"/>
  <c r="AW317" i="73"/>
  <c r="AW315" i="73"/>
  <c r="AW313" i="73"/>
  <c r="AW311" i="73"/>
  <c r="AW309" i="73"/>
  <c r="AW307" i="73"/>
  <c r="AW305" i="73"/>
  <c r="AW303" i="73"/>
  <c r="AW301" i="73"/>
  <c r="AW299" i="73"/>
  <c r="AW297" i="73"/>
  <c r="AW295" i="73"/>
  <c r="AW293" i="73"/>
  <c r="AW291" i="73"/>
  <c r="AW289" i="73"/>
  <c r="AW287" i="73"/>
  <c r="BC81" i="73"/>
  <c r="AQ81" i="73"/>
  <c r="BC343" i="73"/>
  <c r="AQ343" i="73"/>
  <c r="BC112" i="73"/>
  <c r="AQ112" i="73"/>
  <c r="BC129" i="73"/>
  <c r="AQ129" i="73"/>
  <c r="BC132" i="73"/>
  <c r="AQ132" i="73"/>
  <c r="BC134" i="73"/>
  <c r="AQ134" i="73"/>
  <c r="BC138" i="73"/>
  <c r="AQ138" i="73"/>
  <c r="BC140" i="73"/>
  <c r="AQ140" i="73"/>
  <c r="BC142" i="73"/>
  <c r="AQ142" i="73"/>
  <c r="BC144" i="73"/>
  <c r="AQ144" i="73"/>
  <c r="BC146" i="73"/>
  <c r="AQ146" i="73"/>
  <c r="BC148" i="73"/>
  <c r="AQ148" i="73"/>
  <c r="BC150" i="73"/>
  <c r="AQ150" i="73"/>
  <c r="BC152" i="73"/>
  <c r="AQ152" i="73"/>
  <c r="BC154" i="73"/>
  <c r="AQ154" i="73"/>
  <c r="BC156" i="73"/>
  <c r="AQ156" i="73"/>
  <c r="BC158" i="73"/>
  <c r="AQ158" i="73"/>
  <c r="BC160" i="73"/>
  <c r="AQ160" i="73"/>
  <c r="BC162" i="73"/>
  <c r="AQ162" i="73"/>
  <c r="BC164" i="73"/>
  <c r="AQ164" i="73"/>
  <c r="BC166" i="73"/>
  <c r="AQ166" i="73"/>
  <c r="BC168" i="73"/>
  <c r="AQ168" i="73"/>
  <c r="BC170" i="73"/>
  <c r="AQ170" i="73"/>
  <c r="BC172" i="73"/>
  <c r="AQ172" i="73"/>
  <c r="BC174" i="73"/>
  <c r="AQ174" i="73"/>
  <c r="BC176" i="73"/>
  <c r="AQ176" i="73"/>
  <c r="BC178" i="73"/>
  <c r="AQ178" i="73"/>
  <c r="BC180" i="73"/>
  <c r="AQ180" i="73"/>
  <c r="BC182" i="73"/>
  <c r="AQ182" i="73"/>
  <c r="BC184" i="73"/>
  <c r="AQ184" i="73"/>
  <c r="BC186" i="73"/>
  <c r="AQ186" i="73"/>
  <c r="BC188" i="73"/>
  <c r="AQ188" i="73"/>
  <c r="BC190" i="73"/>
  <c r="AQ190" i="73"/>
  <c r="BC192" i="73"/>
  <c r="AQ192" i="73"/>
  <c r="BC194" i="73"/>
  <c r="AQ194" i="73"/>
  <c r="BC196" i="73"/>
  <c r="AQ196" i="73"/>
  <c r="BC198" i="73"/>
  <c r="AQ198" i="73"/>
  <c r="BC200" i="73"/>
  <c r="AQ200" i="73"/>
  <c r="BC202" i="73"/>
  <c r="AQ202" i="73"/>
  <c r="BC204" i="73"/>
  <c r="AQ204" i="73"/>
  <c r="BC206" i="73"/>
  <c r="AQ206" i="73"/>
  <c r="BC208" i="73"/>
  <c r="AQ208" i="73"/>
  <c r="BC210" i="73"/>
  <c r="AQ210" i="73"/>
  <c r="BC212" i="73"/>
  <c r="AQ212" i="73"/>
  <c r="BC214" i="73"/>
  <c r="AQ214" i="73"/>
  <c r="BC216" i="73"/>
  <c r="AQ216" i="73"/>
  <c r="BC218" i="73"/>
  <c r="AQ218" i="73"/>
  <c r="BC220" i="73"/>
  <c r="AQ220" i="73"/>
  <c r="BC222" i="73"/>
  <c r="AQ222" i="73"/>
  <c r="BC230" i="73"/>
  <c r="AQ230" i="73"/>
  <c r="BC238" i="73"/>
  <c r="AQ238" i="73"/>
  <c r="BC246" i="73"/>
  <c r="AQ246" i="73"/>
  <c r="BC254" i="73"/>
  <c r="AQ254" i="73"/>
  <c r="BC262" i="73"/>
  <c r="AQ262" i="73"/>
  <c r="BC278" i="73"/>
  <c r="AQ278" i="73"/>
  <c r="BC294" i="73"/>
  <c r="AQ294" i="73"/>
  <c r="BC310" i="73"/>
  <c r="AQ310" i="73"/>
  <c r="BC338" i="73"/>
  <c r="AQ338" i="73"/>
  <c r="BC330" i="73"/>
  <c r="AQ330" i="73"/>
  <c r="BC322" i="73"/>
  <c r="AQ322" i="73"/>
  <c r="BC314" i="73"/>
  <c r="AQ314" i="73"/>
  <c r="BC306" i="73"/>
  <c r="AQ306" i="73"/>
  <c r="BC298" i="73"/>
  <c r="AQ298" i="73"/>
  <c r="BC290" i="73"/>
  <c r="AQ290" i="73"/>
  <c r="BC282" i="73"/>
  <c r="AQ282" i="73"/>
  <c r="BC274" i="73"/>
  <c r="AQ274" i="73"/>
  <c r="BC266" i="73"/>
  <c r="AQ266" i="73"/>
  <c r="BC258" i="73"/>
  <c r="AQ258" i="73"/>
  <c r="AZ82" i="73"/>
  <c r="AR81" i="73"/>
  <c r="AY347" i="73"/>
  <c r="AR112" i="73"/>
  <c r="AV112" i="73"/>
  <c r="AW112" i="73"/>
  <c r="AY128" i="73"/>
  <c r="AZ128" i="73"/>
  <c r="AY130" i="73"/>
  <c r="AZ130" i="73"/>
  <c r="AR132" i="73"/>
  <c r="AV132" i="73"/>
  <c r="AW132" i="73"/>
  <c r="AR134" i="73"/>
  <c r="AV134" i="73"/>
  <c r="AW134" i="73"/>
  <c r="AY136" i="73"/>
  <c r="AZ136" i="73"/>
  <c r="AR138" i="73"/>
  <c r="AV138" i="73"/>
  <c r="AW138" i="73"/>
  <c r="AR140" i="73"/>
  <c r="AV140" i="73"/>
  <c r="AW140" i="73"/>
  <c r="AR142" i="73"/>
  <c r="AV142" i="73"/>
  <c r="AW142" i="73"/>
  <c r="AR144" i="73"/>
  <c r="AV144" i="73"/>
  <c r="AW144" i="73"/>
  <c r="AR146" i="73"/>
  <c r="AV146" i="73"/>
  <c r="AW146" i="73"/>
  <c r="AR148" i="73"/>
  <c r="AV148" i="73"/>
  <c r="AW148" i="73"/>
  <c r="AR150" i="73"/>
  <c r="AV150" i="73"/>
  <c r="AW150" i="73"/>
  <c r="AR152" i="73"/>
  <c r="AV152" i="73"/>
  <c r="AW152" i="73"/>
  <c r="AR154" i="73"/>
  <c r="AV154" i="73"/>
  <c r="AW154" i="73"/>
  <c r="AR156" i="73"/>
  <c r="AV156" i="73"/>
  <c r="AW156" i="73"/>
  <c r="AR158" i="73"/>
  <c r="AV158" i="73"/>
  <c r="AW158" i="73"/>
  <c r="AR160" i="73"/>
  <c r="AV160" i="73"/>
  <c r="AW160" i="73"/>
  <c r="AR162" i="73"/>
  <c r="AV162" i="73"/>
  <c r="AW162" i="73"/>
  <c r="AR164" i="73"/>
  <c r="AV164" i="73"/>
  <c r="AW164" i="73"/>
  <c r="AR166" i="73"/>
  <c r="AV166" i="73"/>
  <c r="AW166" i="73"/>
  <c r="AR168" i="73"/>
  <c r="AV168" i="73"/>
  <c r="AW168" i="73"/>
  <c r="AR170" i="73"/>
  <c r="AV170" i="73"/>
  <c r="AW170" i="73"/>
  <c r="AR172" i="73"/>
  <c r="AV172" i="73"/>
  <c r="AW172" i="73"/>
  <c r="AR174" i="73"/>
  <c r="AV174" i="73"/>
  <c r="AW174" i="73"/>
  <c r="AR176" i="73"/>
  <c r="AV176" i="73"/>
  <c r="AW176" i="73"/>
  <c r="AR178" i="73"/>
  <c r="AV178" i="73"/>
  <c r="AW178" i="73"/>
  <c r="AR180" i="73"/>
  <c r="AV180" i="73"/>
  <c r="AW180" i="73"/>
  <c r="AR182" i="73"/>
  <c r="AV182" i="73"/>
  <c r="AW182" i="73"/>
  <c r="AR184" i="73"/>
  <c r="AV184" i="73"/>
  <c r="AW184" i="73"/>
  <c r="AR186" i="73"/>
  <c r="AV186" i="73"/>
  <c r="AW186" i="73"/>
  <c r="AR188" i="73"/>
  <c r="AV188" i="73"/>
  <c r="AW188" i="73"/>
  <c r="AR190" i="73"/>
  <c r="AV190" i="73"/>
  <c r="AW190" i="73"/>
  <c r="AR192" i="73"/>
  <c r="K131" i="5"/>
  <c r="P131" i="5"/>
  <c r="Q131" i="5"/>
  <c r="BA131" i="73" s="1"/>
  <c r="K133" i="5"/>
  <c r="T133" i="5"/>
  <c r="AX133" i="73" s="1"/>
  <c r="O135" i="5"/>
  <c r="AD135" i="5"/>
  <c r="M137" i="5"/>
  <c r="T137" i="5"/>
  <c r="AX137" i="73" s="1"/>
  <c r="D27" i="93"/>
  <c r="GA48" i="15"/>
  <c r="FY48" i="15"/>
  <c r="GA46" i="15"/>
  <c r="FY46" i="15"/>
  <c r="GA44" i="15"/>
  <c r="FY44" i="15"/>
  <c r="GA42" i="15"/>
  <c r="FY42" i="15"/>
  <c r="GA40" i="15"/>
  <c r="FY40" i="15"/>
  <c r="GA38" i="15"/>
  <c r="FY38" i="15"/>
  <c r="GA36" i="15"/>
  <c r="GA34" i="15"/>
  <c r="FY34" i="15"/>
  <c r="GA49" i="15"/>
  <c r="FY49" i="15"/>
  <c r="GA47" i="15"/>
  <c r="FY47" i="15"/>
  <c r="GA45" i="15"/>
  <c r="FY45" i="15"/>
  <c r="GA43" i="15"/>
  <c r="FY43" i="15"/>
  <c r="GA41" i="15"/>
  <c r="FY41" i="15"/>
  <c r="GA39" i="15"/>
  <c r="FY39" i="15"/>
  <c r="GA37" i="15"/>
  <c r="FY37" i="15"/>
  <c r="GA35" i="15"/>
  <c r="M139" i="5"/>
  <c r="AD141" i="5"/>
  <c r="M143" i="5"/>
  <c r="AD145" i="5"/>
  <c r="M147" i="5"/>
  <c r="M103" i="5"/>
  <c r="K103" i="5"/>
  <c r="O103" i="5"/>
  <c r="AV103" i="73" s="1"/>
  <c r="P103" i="5"/>
  <c r="AW103" i="73" s="1"/>
  <c r="T103" i="5"/>
  <c r="AX103" i="73" s="1"/>
  <c r="Q103" i="5"/>
  <c r="BA103" i="73" s="1"/>
  <c r="AD103" i="5"/>
  <c r="L129" i="5"/>
  <c r="AR129" i="73" s="1"/>
  <c r="J129" i="5"/>
  <c r="AT129" i="73" s="1"/>
  <c r="N129" i="5"/>
  <c r="AU129" i="73" s="1"/>
  <c r="U129" i="5"/>
  <c r="AY129" i="73" s="1"/>
  <c r="V129" i="5"/>
  <c r="AZ129" i="73" s="1"/>
  <c r="AC129" i="5"/>
  <c r="BB129" i="73" s="1"/>
  <c r="L131" i="5"/>
  <c r="J131" i="5"/>
  <c r="AT131" i="73" s="1"/>
  <c r="N131" i="5"/>
  <c r="AU131" i="73" s="1"/>
  <c r="U131" i="5"/>
  <c r="AY131" i="73" s="1"/>
  <c r="V131" i="5"/>
  <c r="AZ131" i="73" s="1"/>
  <c r="AC131" i="5"/>
  <c r="BB131" i="73" s="1"/>
  <c r="L133" i="5"/>
  <c r="J133" i="5"/>
  <c r="AT133" i="73" s="1"/>
  <c r="P133" i="5"/>
  <c r="Q133" i="5"/>
  <c r="BA133" i="73" s="1"/>
  <c r="K135" i="5"/>
  <c r="P135" i="5"/>
  <c r="Q135" i="5"/>
  <c r="BA135" i="73" s="1"/>
  <c r="K137" i="5"/>
  <c r="P137" i="5"/>
  <c r="Q137" i="5"/>
  <c r="BA137" i="73" s="1"/>
  <c r="O139" i="5"/>
  <c r="AD139" i="5"/>
  <c r="M141" i="5"/>
  <c r="T141" i="5"/>
  <c r="AX141" i="73" s="1"/>
  <c r="O143" i="5"/>
  <c r="AD143" i="5"/>
  <c r="M145" i="5"/>
  <c r="T145" i="5"/>
  <c r="AX145" i="73" s="1"/>
  <c r="O147" i="5"/>
  <c r="AD147" i="5"/>
  <c r="O149" i="5"/>
  <c r="T151" i="5"/>
  <c r="AX151" i="73" s="1"/>
  <c r="O153" i="5"/>
  <c r="M149" i="5"/>
  <c r="T149" i="5"/>
  <c r="AX149" i="73" s="1"/>
  <c r="O151" i="5"/>
  <c r="AD151" i="5"/>
  <c r="M153" i="5"/>
  <c r="T153" i="5"/>
  <c r="AX153" i="73" s="1"/>
  <c r="V155" i="5"/>
  <c r="J157" i="5"/>
  <c r="AT157" i="73" s="1"/>
  <c r="V159" i="5"/>
  <c r="J161" i="5"/>
  <c r="AT161" i="73" s="1"/>
  <c r="V163" i="5"/>
  <c r="J165" i="5"/>
  <c r="AT165" i="73" s="1"/>
  <c r="V167" i="5"/>
  <c r="J169" i="5"/>
  <c r="AT169" i="73" s="1"/>
  <c r="V171" i="5"/>
  <c r="J173" i="5"/>
  <c r="AT173" i="73" s="1"/>
  <c r="N192" i="5"/>
  <c r="AU192" i="73" s="1"/>
  <c r="U192" i="5"/>
  <c r="AY192" i="73" s="1"/>
  <c r="V192" i="5"/>
  <c r="AZ192" i="73" s="1"/>
  <c r="AC192" i="5"/>
  <c r="BB192" i="73" s="1"/>
  <c r="L194" i="5"/>
  <c r="AR194" i="73" s="1"/>
  <c r="J194" i="5"/>
  <c r="AT194" i="73" s="1"/>
  <c r="N194" i="5"/>
  <c r="AU194" i="73" s="1"/>
  <c r="U194" i="5"/>
  <c r="AY194" i="73" s="1"/>
  <c r="V194" i="5"/>
  <c r="AZ194" i="73" s="1"/>
  <c r="AC194" i="5"/>
  <c r="BB194" i="73" s="1"/>
  <c r="L196" i="5"/>
  <c r="AR196" i="73" s="1"/>
  <c r="J196" i="5"/>
  <c r="AT196" i="73" s="1"/>
  <c r="N196" i="5"/>
  <c r="AU196" i="73" s="1"/>
  <c r="U196" i="5"/>
  <c r="AY196" i="73" s="1"/>
  <c r="V196" i="5"/>
  <c r="AZ196" i="73" s="1"/>
  <c r="AC196" i="5"/>
  <c r="BB196" i="73" s="1"/>
  <c r="L198" i="5"/>
  <c r="AR198" i="73" s="1"/>
  <c r="J198" i="5"/>
  <c r="AT198" i="73" s="1"/>
  <c r="N198" i="5"/>
  <c r="AU198" i="73" s="1"/>
  <c r="U198" i="5"/>
  <c r="AY198" i="73" s="1"/>
  <c r="V198" i="5"/>
  <c r="AZ198" i="73" s="1"/>
  <c r="AC198" i="5"/>
  <c r="BB198" i="73" s="1"/>
  <c r="L200" i="5"/>
  <c r="AR200" i="73" s="1"/>
  <c r="J200" i="5"/>
  <c r="AT200" i="73" s="1"/>
  <c r="N200" i="5"/>
  <c r="AU200" i="73" s="1"/>
  <c r="U200" i="5"/>
  <c r="AY200" i="73" s="1"/>
  <c r="V200" i="5"/>
  <c r="AZ200" i="73" s="1"/>
  <c r="AC200" i="5"/>
  <c r="BB200" i="73" s="1"/>
  <c r="L202" i="5"/>
  <c r="AR202" i="73" s="1"/>
  <c r="J202" i="5"/>
  <c r="AT202" i="73" s="1"/>
  <c r="N202" i="5"/>
  <c r="AU202" i="73" s="1"/>
  <c r="U202" i="5"/>
  <c r="AY202" i="73" s="1"/>
  <c r="V202" i="5"/>
  <c r="AZ202" i="73" s="1"/>
  <c r="AC202" i="5"/>
  <c r="BB202" i="73" s="1"/>
  <c r="L204" i="5"/>
  <c r="AR204" i="73" s="1"/>
  <c r="J204" i="5"/>
  <c r="AT204" i="73" s="1"/>
  <c r="N204" i="5"/>
  <c r="AU204" i="73" s="1"/>
  <c r="U204" i="5"/>
  <c r="AY204" i="73" s="1"/>
  <c r="V204" i="5"/>
  <c r="AZ204" i="73" s="1"/>
  <c r="AC204" i="5"/>
  <c r="BB204" i="73" s="1"/>
  <c r="L206" i="5"/>
  <c r="AR206" i="73" s="1"/>
  <c r="J206" i="5"/>
  <c r="AT206" i="73" s="1"/>
  <c r="N206" i="5"/>
  <c r="AU206" i="73" s="1"/>
  <c r="U206" i="5"/>
  <c r="AY206" i="73" s="1"/>
  <c r="V206" i="5"/>
  <c r="AZ206" i="73" s="1"/>
  <c r="AC206" i="5"/>
  <c r="BB206" i="73" s="1"/>
  <c r="L208" i="5"/>
  <c r="AR208" i="73" s="1"/>
  <c r="J208" i="5"/>
  <c r="AT208" i="73" s="1"/>
  <c r="N208" i="5"/>
  <c r="AU208" i="73" s="1"/>
  <c r="U208" i="5"/>
  <c r="AY208" i="73" s="1"/>
  <c r="V208" i="5"/>
  <c r="AZ208" i="73" s="1"/>
  <c r="AC208" i="5"/>
  <c r="BB208" i="73" s="1"/>
  <c r="L210" i="5"/>
  <c r="AR210" i="73" s="1"/>
  <c r="J210" i="5"/>
  <c r="AT210" i="73" s="1"/>
  <c r="N210" i="5"/>
  <c r="AU210" i="73" s="1"/>
  <c r="U210" i="5"/>
  <c r="AY210" i="73" s="1"/>
  <c r="V210" i="5"/>
  <c r="AZ210" i="73" s="1"/>
  <c r="AC210" i="5"/>
  <c r="BB210" i="73" s="1"/>
  <c r="L212" i="5"/>
  <c r="AR212" i="73" s="1"/>
  <c r="J212" i="5"/>
  <c r="AT212" i="73" s="1"/>
  <c r="N212" i="5"/>
  <c r="AU212" i="73" s="1"/>
  <c r="U212" i="5"/>
  <c r="AY212" i="73" s="1"/>
  <c r="V212" i="5"/>
  <c r="AZ212" i="73" s="1"/>
  <c r="AC212" i="5"/>
  <c r="BB212" i="73" s="1"/>
  <c r="L214" i="5"/>
  <c r="AR214" i="73" s="1"/>
  <c r="J214" i="5"/>
  <c r="AT214" i="73" s="1"/>
  <c r="N214" i="5"/>
  <c r="AU214" i="73" s="1"/>
  <c r="U214" i="5"/>
  <c r="AY214" i="73" s="1"/>
  <c r="V214" i="5"/>
  <c r="AZ214" i="73" s="1"/>
  <c r="AC214" i="5"/>
  <c r="BB214" i="73" s="1"/>
  <c r="L216" i="5"/>
  <c r="AR216" i="73" s="1"/>
  <c r="J216" i="5"/>
  <c r="AT216" i="73" s="1"/>
  <c r="N216" i="5"/>
  <c r="AU216" i="73" s="1"/>
  <c r="U216" i="5"/>
  <c r="AY216" i="73" s="1"/>
  <c r="V216" i="5"/>
  <c r="AZ216" i="73" s="1"/>
  <c r="AC216" i="5"/>
  <c r="BB216" i="73" s="1"/>
  <c r="L218" i="5"/>
  <c r="AR218" i="73" s="1"/>
  <c r="J218" i="5"/>
  <c r="AT218" i="73" s="1"/>
  <c r="N218" i="5"/>
  <c r="AU218" i="73" s="1"/>
  <c r="U218" i="5"/>
  <c r="AY218" i="73" s="1"/>
  <c r="V218" i="5"/>
  <c r="AZ218" i="73" s="1"/>
  <c r="AC218" i="5"/>
  <c r="BB218" i="73" s="1"/>
  <c r="L220" i="5"/>
  <c r="AR220" i="73" s="1"/>
  <c r="J220" i="5"/>
  <c r="AT220" i="73" s="1"/>
  <c r="N220" i="5"/>
  <c r="AU220" i="73" s="1"/>
  <c r="U220" i="5"/>
  <c r="AY220" i="73" s="1"/>
  <c r="V220" i="5"/>
  <c r="AZ220" i="73" s="1"/>
  <c r="AC220" i="5"/>
  <c r="BB220" i="73" s="1"/>
  <c r="L222" i="5"/>
  <c r="AR222" i="73" s="1"/>
  <c r="J222" i="5"/>
  <c r="AT222" i="73" s="1"/>
  <c r="N222" i="5"/>
  <c r="AU222" i="73" s="1"/>
  <c r="U222" i="5"/>
  <c r="AY222" i="73" s="1"/>
  <c r="V222" i="5"/>
  <c r="AZ222" i="73" s="1"/>
  <c r="AC222" i="5"/>
  <c r="BB222" i="73" s="1"/>
  <c r="M224" i="5"/>
  <c r="K224" i="5"/>
  <c r="O224" i="5"/>
  <c r="AV224" i="73" s="1"/>
  <c r="P224" i="5"/>
  <c r="AW224" i="73" s="1"/>
  <c r="T224" i="5"/>
  <c r="AX224" i="73" s="1"/>
  <c r="Q224" i="5"/>
  <c r="BA224" i="73" s="1"/>
  <c r="AD224" i="5"/>
  <c r="L226" i="5"/>
  <c r="AR226" i="73" s="1"/>
  <c r="J226" i="5"/>
  <c r="AT226" i="73" s="1"/>
  <c r="N226" i="5"/>
  <c r="AU226" i="73" s="1"/>
  <c r="U226" i="5"/>
  <c r="AY226" i="73" s="1"/>
  <c r="V226" i="5"/>
  <c r="AZ226" i="73" s="1"/>
  <c r="AC226" i="5"/>
  <c r="BB226" i="73" s="1"/>
  <c r="M228" i="5"/>
  <c r="K228" i="5"/>
  <c r="AR228" i="73" s="1"/>
  <c r="O228" i="5"/>
  <c r="AV228" i="73" s="1"/>
  <c r="P228" i="5"/>
  <c r="AW228" i="73" s="1"/>
  <c r="T228" i="5"/>
  <c r="AX228" i="73" s="1"/>
  <c r="Q228" i="5"/>
  <c r="BA228" i="73" s="1"/>
  <c r="AD228" i="5"/>
  <c r="L230" i="5"/>
  <c r="AR230" i="73" s="1"/>
  <c r="J230" i="5"/>
  <c r="AT230" i="73" s="1"/>
  <c r="N230" i="5"/>
  <c r="AU230" i="73" s="1"/>
  <c r="U230" i="5"/>
  <c r="AY230" i="73" s="1"/>
  <c r="V230" i="5"/>
  <c r="AZ230" i="73" s="1"/>
  <c r="AC230" i="5"/>
  <c r="BB230" i="73" s="1"/>
  <c r="M232" i="5"/>
  <c r="K232" i="5"/>
  <c r="O232" i="5"/>
  <c r="AV232" i="73" s="1"/>
  <c r="P232" i="5"/>
  <c r="AW232" i="73" s="1"/>
  <c r="T232" i="5"/>
  <c r="AX232" i="73" s="1"/>
  <c r="Q232" i="5"/>
  <c r="BA232" i="73" s="1"/>
  <c r="AD232" i="5"/>
  <c r="L234" i="5"/>
  <c r="AR234" i="73" s="1"/>
  <c r="J234" i="5"/>
  <c r="AT234" i="73" s="1"/>
  <c r="N234" i="5"/>
  <c r="AU234" i="73" s="1"/>
  <c r="U234" i="5"/>
  <c r="AY234" i="73" s="1"/>
  <c r="V234" i="5"/>
  <c r="AZ234" i="73" s="1"/>
  <c r="AC234" i="5"/>
  <c r="BB234" i="73" s="1"/>
  <c r="M236" i="5"/>
  <c r="K236" i="5"/>
  <c r="AR236" i="73" s="1"/>
  <c r="O236" i="5"/>
  <c r="AV236" i="73" s="1"/>
  <c r="P236" i="5"/>
  <c r="AW236" i="73" s="1"/>
  <c r="T236" i="5"/>
  <c r="AX236" i="73" s="1"/>
  <c r="Q236" i="5"/>
  <c r="BA236" i="73" s="1"/>
  <c r="AD236" i="5"/>
  <c r="L238" i="5"/>
  <c r="AR238" i="73" s="1"/>
  <c r="J238" i="5"/>
  <c r="AT238" i="73" s="1"/>
  <c r="N238" i="5"/>
  <c r="AU238" i="73" s="1"/>
  <c r="U238" i="5"/>
  <c r="AY238" i="73" s="1"/>
  <c r="V238" i="5"/>
  <c r="AZ238" i="73" s="1"/>
  <c r="AC238" i="5"/>
  <c r="BB238" i="73" s="1"/>
  <c r="M240" i="5"/>
  <c r="K240" i="5"/>
  <c r="O240" i="5"/>
  <c r="AV240" i="73" s="1"/>
  <c r="P240" i="5"/>
  <c r="AW240" i="73" s="1"/>
  <c r="T240" i="5"/>
  <c r="AX240" i="73" s="1"/>
  <c r="Q240" i="5"/>
  <c r="BA240" i="73" s="1"/>
  <c r="AD240" i="5"/>
  <c r="L242" i="5"/>
  <c r="AR242" i="73" s="1"/>
  <c r="J242" i="5"/>
  <c r="AT242" i="73" s="1"/>
  <c r="N242" i="5"/>
  <c r="AU242" i="73" s="1"/>
  <c r="U242" i="5"/>
  <c r="AY242" i="73" s="1"/>
  <c r="V242" i="5"/>
  <c r="AZ242" i="73" s="1"/>
  <c r="AC242" i="5"/>
  <c r="BB242" i="73" s="1"/>
  <c r="M244" i="5"/>
  <c r="K244" i="5"/>
  <c r="AR244" i="73" s="1"/>
  <c r="O244" i="5"/>
  <c r="AV244" i="73" s="1"/>
  <c r="P244" i="5"/>
  <c r="AW244" i="73" s="1"/>
  <c r="T244" i="5"/>
  <c r="AX244" i="73" s="1"/>
  <c r="Q244" i="5"/>
  <c r="BA244" i="73" s="1"/>
  <c r="AD244" i="5"/>
  <c r="L246" i="5"/>
  <c r="AR246" i="73" s="1"/>
  <c r="J246" i="5"/>
  <c r="AT246" i="73" s="1"/>
  <c r="N246" i="5"/>
  <c r="AU246" i="73" s="1"/>
  <c r="U246" i="5"/>
  <c r="AY246" i="73" s="1"/>
  <c r="V246" i="5"/>
  <c r="AZ246" i="73" s="1"/>
  <c r="AC246" i="5"/>
  <c r="BB246" i="73" s="1"/>
  <c r="M248" i="5"/>
  <c r="K248" i="5"/>
  <c r="O248" i="5"/>
  <c r="AV248" i="73" s="1"/>
  <c r="P248" i="5"/>
  <c r="AW248" i="73" s="1"/>
  <c r="T248" i="5"/>
  <c r="AX248" i="73" s="1"/>
  <c r="Q248" i="5"/>
  <c r="BA248" i="73" s="1"/>
  <c r="AD248" i="5"/>
  <c r="L250" i="5"/>
  <c r="AR250" i="73" s="1"/>
  <c r="J250" i="5"/>
  <c r="AT250" i="73" s="1"/>
  <c r="N250" i="5"/>
  <c r="AU250" i="73" s="1"/>
  <c r="U250" i="5"/>
  <c r="AY250" i="73" s="1"/>
  <c r="V250" i="5"/>
  <c r="AZ250" i="73" s="1"/>
  <c r="AC250" i="5"/>
  <c r="BB250" i="73" s="1"/>
  <c r="M252" i="5"/>
  <c r="K252" i="5"/>
  <c r="AR252" i="73" s="1"/>
  <c r="O252" i="5"/>
  <c r="AV252" i="73" s="1"/>
  <c r="P252" i="5"/>
  <c r="AW252" i="73" s="1"/>
  <c r="T252" i="5"/>
  <c r="AX252" i="73" s="1"/>
  <c r="Q252" i="5"/>
  <c r="BA252" i="73" s="1"/>
  <c r="AD252" i="5"/>
  <c r="L254" i="5"/>
  <c r="AR254" i="73" s="1"/>
  <c r="J254" i="5"/>
  <c r="AT254" i="73" s="1"/>
  <c r="N254" i="5"/>
  <c r="AU254" i="73" s="1"/>
  <c r="U254" i="5"/>
  <c r="AY254" i="73" s="1"/>
  <c r="V254" i="5"/>
  <c r="AZ254" i="73" s="1"/>
  <c r="AC254" i="5"/>
  <c r="BB254" i="73" s="1"/>
  <c r="M256" i="5"/>
  <c r="K256" i="5"/>
  <c r="O256" i="5"/>
  <c r="AV256" i="73" s="1"/>
  <c r="P256" i="5"/>
  <c r="AW256" i="73" s="1"/>
  <c r="T256" i="5"/>
  <c r="AX256" i="73" s="1"/>
  <c r="Q256" i="5"/>
  <c r="BA256" i="73" s="1"/>
  <c r="AD256" i="5"/>
  <c r="L258" i="5"/>
  <c r="AR258" i="73" s="1"/>
  <c r="J258" i="5"/>
  <c r="AT258" i="73" s="1"/>
  <c r="N258" i="5"/>
  <c r="AU258" i="73" s="1"/>
  <c r="T258" i="5"/>
  <c r="AX258" i="73" s="1"/>
  <c r="J260" i="5"/>
  <c r="AT260" i="73" s="1"/>
  <c r="U260" i="5"/>
  <c r="K262" i="5"/>
  <c r="P262" i="5"/>
  <c r="L264" i="5"/>
  <c r="N264" i="5"/>
  <c r="AU264" i="73" s="1"/>
  <c r="M266" i="5"/>
  <c r="O266" i="5"/>
  <c r="T266" i="5"/>
  <c r="AX266" i="73" s="1"/>
  <c r="J268" i="5"/>
  <c r="AT268" i="73" s="1"/>
  <c r="U268" i="5"/>
  <c r="K270" i="5"/>
  <c r="P270" i="5"/>
  <c r="L272" i="5"/>
  <c r="N272" i="5"/>
  <c r="AU272" i="73" s="1"/>
  <c r="M274" i="5"/>
  <c r="O274" i="5"/>
  <c r="T274" i="5"/>
  <c r="AX274" i="73" s="1"/>
  <c r="J276" i="5"/>
  <c r="AT276" i="73" s="1"/>
  <c r="U276" i="5"/>
  <c r="K278" i="5"/>
  <c r="P278" i="5"/>
  <c r="L280" i="5"/>
  <c r="N280" i="5"/>
  <c r="AU280" i="73" s="1"/>
  <c r="M282" i="5"/>
  <c r="O282" i="5"/>
  <c r="T282" i="5"/>
  <c r="AX282" i="73" s="1"/>
  <c r="J284" i="5"/>
  <c r="AT284" i="73" s="1"/>
  <c r="U284" i="5"/>
  <c r="K286" i="5"/>
  <c r="P286" i="5"/>
  <c r="L288" i="5"/>
  <c r="N288" i="5"/>
  <c r="AU288" i="73" s="1"/>
  <c r="M290" i="5"/>
  <c r="O290" i="5"/>
  <c r="T290" i="5"/>
  <c r="AX290" i="73" s="1"/>
  <c r="J292" i="5"/>
  <c r="AT292" i="73" s="1"/>
  <c r="U292" i="5"/>
  <c r="K294" i="5"/>
  <c r="P294" i="5"/>
  <c r="L296" i="5"/>
  <c r="N296" i="5"/>
  <c r="AU296" i="73" s="1"/>
  <c r="M298" i="5"/>
  <c r="O298" i="5"/>
  <c r="T298" i="5"/>
  <c r="AX298" i="73" s="1"/>
  <c r="J300" i="5"/>
  <c r="AT300" i="73" s="1"/>
  <c r="U300" i="5"/>
  <c r="K302" i="5"/>
  <c r="P302" i="5"/>
  <c r="L304" i="5"/>
  <c r="N304" i="5"/>
  <c r="AU304" i="73" s="1"/>
  <c r="M306" i="5"/>
  <c r="O306" i="5"/>
  <c r="T306" i="5"/>
  <c r="AX306" i="73" s="1"/>
  <c r="J308" i="5"/>
  <c r="AT308" i="73" s="1"/>
  <c r="U308" i="5"/>
  <c r="K310" i="5"/>
  <c r="P310" i="5"/>
  <c r="L312" i="5"/>
  <c r="N312" i="5"/>
  <c r="AU312" i="73" s="1"/>
  <c r="M314" i="5"/>
  <c r="O314" i="5"/>
  <c r="T314" i="5"/>
  <c r="AX314" i="73" s="1"/>
  <c r="J316" i="5"/>
  <c r="AT316" i="73" s="1"/>
  <c r="U316" i="5"/>
  <c r="K318" i="5"/>
  <c r="P318" i="5"/>
  <c r="L320" i="5"/>
  <c r="N320" i="5"/>
  <c r="AU320" i="73" s="1"/>
  <c r="M322" i="5"/>
  <c r="O322" i="5"/>
  <c r="T322" i="5"/>
  <c r="AX322" i="73" s="1"/>
  <c r="J324" i="5"/>
  <c r="AT324" i="73" s="1"/>
  <c r="U324" i="5"/>
  <c r="L328" i="5"/>
  <c r="O330" i="5"/>
  <c r="K334" i="5"/>
  <c r="M338" i="5"/>
  <c r="J340" i="5"/>
  <c r="AT340" i="73" s="1"/>
  <c r="M344" i="5"/>
  <c r="J346" i="5"/>
  <c r="AT346" i="73" s="1"/>
  <c r="Q348" i="5"/>
  <c r="BA348" i="73" s="1"/>
  <c r="V348" i="5"/>
  <c r="N348" i="5"/>
  <c r="AU348" i="73" s="1"/>
  <c r="L348" i="5"/>
  <c r="BJ346" i="65"/>
  <c r="V346" i="5"/>
  <c r="N346" i="5"/>
  <c r="AU346" i="73" s="1"/>
  <c r="L346" i="5"/>
  <c r="BJ344" i="65"/>
  <c r="Q344" i="5"/>
  <c r="BA344" i="73" s="1"/>
  <c r="P344" i="5"/>
  <c r="K344" i="5"/>
  <c r="BJ342" i="65"/>
  <c r="AD342" i="5"/>
  <c r="T342" i="5"/>
  <c r="AX342" i="73" s="1"/>
  <c r="O342" i="5"/>
  <c r="M342" i="5"/>
  <c r="BJ340" i="65"/>
  <c r="V340" i="5"/>
  <c r="N340" i="5"/>
  <c r="AU340" i="73" s="1"/>
  <c r="L340" i="5"/>
  <c r="BJ338" i="65"/>
  <c r="Q338" i="5"/>
  <c r="BA338" i="73" s="1"/>
  <c r="P338" i="5"/>
  <c r="K338" i="5"/>
  <c r="BJ336" i="65"/>
  <c r="AC336" i="5"/>
  <c r="BB336" i="73" s="1"/>
  <c r="U336" i="5"/>
  <c r="J336" i="5"/>
  <c r="AT336" i="73" s="1"/>
  <c r="BJ334" i="65"/>
  <c r="AD334" i="5"/>
  <c r="T334" i="5"/>
  <c r="AX334" i="73" s="1"/>
  <c r="O334" i="5"/>
  <c r="M334" i="5"/>
  <c r="BJ332" i="65"/>
  <c r="V332" i="5"/>
  <c r="N332" i="5"/>
  <c r="AU332" i="73" s="1"/>
  <c r="L332" i="5"/>
  <c r="BJ330" i="65"/>
  <c r="Q330" i="5"/>
  <c r="BA330" i="73" s="1"/>
  <c r="P330" i="5"/>
  <c r="K330" i="5"/>
  <c r="BJ328" i="65"/>
  <c r="AC328" i="5"/>
  <c r="BB328" i="73" s="1"/>
  <c r="U328" i="5"/>
  <c r="J328" i="5"/>
  <c r="AT328" i="73" s="1"/>
  <c r="BJ326" i="65"/>
  <c r="AD326" i="5"/>
  <c r="T326" i="5"/>
  <c r="AX326" i="73" s="1"/>
  <c r="O326" i="5"/>
  <c r="M326" i="5"/>
  <c r="BJ324" i="65"/>
  <c r="Q324" i="5"/>
  <c r="BA324" i="73" s="1"/>
  <c r="T324" i="5"/>
  <c r="AX324" i="73" s="1"/>
  <c r="P324" i="5"/>
  <c r="AW324" i="73" s="1"/>
  <c r="O324" i="5"/>
  <c r="AV324" i="73" s="1"/>
  <c r="K324" i="5"/>
  <c r="AR324" i="73" s="1"/>
  <c r="M324" i="5"/>
  <c r="BJ322" i="65"/>
  <c r="AC322" i="5"/>
  <c r="BB322" i="73" s="1"/>
  <c r="V322" i="5"/>
  <c r="AZ322" i="73" s="1"/>
  <c r="U322" i="5"/>
  <c r="AY322" i="73" s="1"/>
  <c r="N322" i="5"/>
  <c r="AU322" i="73" s="1"/>
  <c r="J322" i="5"/>
  <c r="AT322" i="73" s="1"/>
  <c r="L322" i="5"/>
  <c r="AR322" i="73" s="1"/>
  <c r="BJ320" i="65"/>
  <c r="AD320" i="5"/>
  <c r="Q320" i="5"/>
  <c r="BA320" i="73" s="1"/>
  <c r="T320" i="5"/>
  <c r="AX320" i="73" s="1"/>
  <c r="P320" i="5"/>
  <c r="AW320" i="73" s="1"/>
  <c r="O320" i="5"/>
  <c r="AV320" i="73" s="1"/>
  <c r="K320" i="5"/>
  <c r="M320" i="5"/>
  <c r="BJ318" i="65"/>
  <c r="AC318" i="5"/>
  <c r="BB318" i="73" s="1"/>
  <c r="V318" i="5"/>
  <c r="AZ318" i="73" s="1"/>
  <c r="U318" i="5"/>
  <c r="AY318" i="73" s="1"/>
  <c r="N318" i="5"/>
  <c r="AU318" i="73" s="1"/>
  <c r="J318" i="5"/>
  <c r="AT318" i="73" s="1"/>
  <c r="L318" i="5"/>
  <c r="BJ316" i="65"/>
  <c r="AD316" i="5"/>
  <c r="Q316" i="5"/>
  <c r="BA316" i="73" s="1"/>
  <c r="T316" i="5"/>
  <c r="AX316" i="73" s="1"/>
  <c r="P316" i="5"/>
  <c r="AW316" i="73" s="1"/>
  <c r="O316" i="5"/>
  <c r="AV316" i="73" s="1"/>
  <c r="K316" i="5"/>
  <c r="AR316" i="73" s="1"/>
  <c r="M316" i="5"/>
  <c r="BJ314" i="65"/>
  <c r="AC314" i="5"/>
  <c r="BB314" i="73" s="1"/>
  <c r="V314" i="5"/>
  <c r="AZ314" i="73" s="1"/>
  <c r="U314" i="5"/>
  <c r="AY314" i="73" s="1"/>
  <c r="N314" i="5"/>
  <c r="AU314" i="73" s="1"/>
  <c r="J314" i="5"/>
  <c r="AT314" i="73" s="1"/>
  <c r="L314" i="5"/>
  <c r="AR314" i="73" s="1"/>
  <c r="BJ312" i="65"/>
  <c r="AD312" i="5"/>
  <c r="Q312" i="5"/>
  <c r="BA312" i="73" s="1"/>
  <c r="T312" i="5"/>
  <c r="AX312" i="73" s="1"/>
  <c r="P312" i="5"/>
  <c r="AW312" i="73" s="1"/>
  <c r="O312" i="5"/>
  <c r="AV312" i="73" s="1"/>
  <c r="K312" i="5"/>
  <c r="M312" i="5"/>
  <c r="BJ310" i="65"/>
  <c r="AC310" i="5"/>
  <c r="BB310" i="73" s="1"/>
  <c r="V310" i="5"/>
  <c r="AZ310" i="73" s="1"/>
  <c r="U310" i="5"/>
  <c r="AY310" i="73" s="1"/>
  <c r="N310" i="5"/>
  <c r="AU310" i="73" s="1"/>
  <c r="J310" i="5"/>
  <c r="AT310" i="73" s="1"/>
  <c r="L310" i="5"/>
  <c r="BJ308" i="65"/>
  <c r="AD308" i="5"/>
  <c r="Q308" i="5"/>
  <c r="BA308" i="73" s="1"/>
  <c r="T308" i="5"/>
  <c r="AX308" i="73" s="1"/>
  <c r="P308" i="5"/>
  <c r="AW308" i="73" s="1"/>
  <c r="O308" i="5"/>
  <c r="AV308" i="73" s="1"/>
  <c r="K308" i="5"/>
  <c r="AR308" i="73" s="1"/>
  <c r="M308" i="5"/>
  <c r="BJ306" i="65"/>
  <c r="AC306" i="5"/>
  <c r="BB306" i="73" s="1"/>
  <c r="V306" i="5"/>
  <c r="AZ306" i="73" s="1"/>
  <c r="U306" i="5"/>
  <c r="AY306" i="73" s="1"/>
  <c r="N306" i="5"/>
  <c r="AU306" i="73" s="1"/>
  <c r="J306" i="5"/>
  <c r="AT306" i="73" s="1"/>
  <c r="L306" i="5"/>
  <c r="AR306" i="73" s="1"/>
  <c r="BJ304" i="65"/>
  <c r="AD304" i="5"/>
  <c r="Q304" i="5"/>
  <c r="BA304" i="73" s="1"/>
  <c r="T304" i="5"/>
  <c r="AX304" i="73" s="1"/>
  <c r="P304" i="5"/>
  <c r="AW304" i="73" s="1"/>
  <c r="O304" i="5"/>
  <c r="AV304" i="73" s="1"/>
  <c r="K304" i="5"/>
  <c r="M304" i="5"/>
  <c r="BJ302" i="65"/>
  <c r="AC302" i="5"/>
  <c r="BB302" i="73" s="1"/>
  <c r="V302" i="5"/>
  <c r="AZ302" i="73" s="1"/>
  <c r="U302" i="5"/>
  <c r="AY302" i="73" s="1"/>
  <c r="N302" i="5"/>
  <c r="AU302" i="73" s="1"/>
  <c r="J302" i="5"/>
  <c r="AT302" i="73" s="1"/>
  <c r="L302" i="5"/>
  <c r="BJ300" i="65"/>
  <c r="AD300" i="5"/>
  <c r="Q300" i="5"/>
  <c r="BA300" i="73" s="1"/>
  <c r="T300" i="5"/>
  <c r="AX300" i="73" s="1"/>
  <c r="P300" i="5"/>
  <c r="AW300" i="73" s="1"/>
  <c r="O300" i="5"/>
  <c r="AV300" i="73" s="1"/>
  <c r="K300" i="5"/>
  <c r="AR300" i="73" s="1"/>
  <c r="M300" i="5"/>
  <c r="BJ298" i="65"/>
  <c r="AC298" i="5"/>
  <c r="BB298" i="73" s="1"/>
  <c r="V298" i="5"/>
  <c r="AZ298" i="73" s="1"/>
  <c r="U298" i="5"/>
  <c r="AY298" i="73" s="1"/>
  <c r="N298" i="5"/>
  <c r="AU298" i="73" s="1"/>
  <c r="J298" i="5"/>
  <c r="AT298" i="73" s="1"/>
  <c r="L298" i="5"/>
  <c r="AR298" i="73" s="1"/>
  <c r="BJ296" i="65"/>
  <c r="AD296" i="5"/>
  <c r="Q296" i="5"/>
  <c r="BA296" i="73" s="1"/>
  <c r="T296" i="5"/>
  <c r="AX296" i="73" s="1"/>
  <c r="P296" i="5"/>
  <c r="AW296" i="73" s="1"/>
  <c r="O296" i="5"/>
  <c r="AV296" i="73" s="1"/>
  <c r="K296" i="5"/>
  <c r="M296" i="5"/>
  <c r="BJ294" i="65"/>
  <c r="AC294" i="5"/>
  <c r="BB294" i="73" s="1"/>
  <c r="V294" i="5"/>
  <c r="AZ294" i="73" s="1"/>
  <c r="U294" i="5"/>
  <c r="AY294" i="73" s="1"/>
  <c r="N294" i="5"/>
  <c r="AU294" i="73" s="1"/>
  <c r="J294" i="5"/>
  <c r="AT294" i="73" s="1"/>
  <c r="L294" i="5"/>
  <c r="BJ292" i="65"/>
  <c r="AD292" i="5"/>
  <c r="Q292" i="5"/>
  <c r="BA292" i="73" s="1"/>
  <c r="T292" i="5"/>
  <c r="AX292" i="73" s="1"/>
  <c r="P292" i="5"/>
  <c r="AW292" i="73" s="1"/>
  <c r="O292" i="5"/>
  <c r="AV292" i="73" s="1"/>
  <c r="K292" i="5"/>
  <c r="AR292" i="73" s="1"/>
  <c r="M292" i="5"/>
  <c r="BJ290" i="65"/>
  <c r="AC290" i="5"/>
  <c r="BB290" i="73" s="1"/>
  <c r="V290" i="5"/>
  <c r="AZ290" i="73" s="1"/>
  <c r="U290" i="5"/>
  <c r="AY290" i="73" s="1"/>
  <c r="N290" i="5"/>
  <c r="AU290" i="73" s="1"/>
  <c r="J290" i="5"/>
  <c r="AT290" i="73" s="1"/>
  <c r="L290" i="5"/>
  <c r="AR290" i="73" s="1"/>
  <c r="BJ288" i="65"/>
  <c r="AD288" i="5"/>
  <c r="Q288" i="5"/>
  <c r="BA288" i="73" s="1"/>
  <c r="T288" i="5"/>
  <c r="AX288" i="73" s="1"/>
  <c r="P288" i="5"/>
  <c r="AW288" i="73" s="1"/>
  <c r="O288" i="5"/>
  <c r="AV288" i="73" s="1"/>
  <c r="K288" i="5"/>
  <c r="M288" i="5"/>
  <c r="BJ286" i="65"/>
  <c r="AC286" i="5"/>
  <c r="BB286" i="73" s="1"/>
  <c r="V286" i="5"/>
  <c r="AZ286" i="73" s="1"/>
  <c r="U286" i="5"/>
  <c r="AY286" i="73" s="1"/>
  <c r="N286" i="5"/>
  <c r="AU286" i="73" s="1"/>
  <c r="J286" i="5"/>
  <c r="AT286" i="73" s="1"/>
  <c r="L286" i="5"/>
  <c r="BJ284" i="65"/>
  <c r="AD284" i="5"/>
  <c r="Q284" i="5"/>
  <c r="BA284" i="73" s="1"/>
  <c r="T284" i="5"/>
  <c r="AX284" i="73" s="1"/>
  <c r="P284" i="5"/>
  <c r="AW284" i="73" s="1"/>
  <c r="O284" i="5"/>
  <c r="AV284" i="73" s="1"/>
  <c r="K284" i="5"/>
  <c r="AR284" i="73" s="1"/>
  <c r="M284" i="5"/>
  <c r="BJ282" i="65"/>
  <c r="AC282" i="5"/>
  <c r="BB282" i="73" s="1"/>
  <c r="V282" i="5"/>
  <c r="AZ282" i="73" s="1"/>
  <c r="U282" i="5"/>
  <c r="AY282" i="73" s="1"/>
  <c r="N282" i="5"/>
  <c r="AU282" i="73" s="1"/>
  <c r="J282" i="5"/>
  <c r="AT282" i="73" s="1"/>
  <c r="L282" i="5"/>
  <c r="AR282" i="73" s="1"/>
  <c r="BJ280" i="65"/>
  <c r="AD280" i="5"/>
  <c r="Q280" i="5"/>
  <c r="BA280" i="73" s="1"/>
  <c r="T280" i="5"/>
  <c r="AX280" i="73" s="1"/>
  <c r="P280" i="5"/>
  <c r="AW280" i="73" s="1"/>
  <c r="O280" i="5"/>
  <c r="AV280" i="73" s="1"/>
  <c r="K280" i="5"/>
  <c r="M280" i="5"/>
  <c r="BJ278" i="65"/>
  <c r="AC278" i="5"/>
  <c r="BB278" i="73" s="1"/>
  <c r="V278" i="5"/>
  <c r="AZ278" i="73" s="1"/>
  <c r="U278" i="5"/>
  <c r="AY278" i="73" s="1"/>
  <c r="N278" i="5"/>
  <c r="AU278" i="73" s="1"/>
  <c r="J278" i="5"/>
  <c r="AT278" i="73" s="1"/>
  <c r="L278" i="5"/>
  <c r="BJ276" i="65"/>
  <c r="AD276" i="5"/>
  <c r="Q276" i="5"/>
  <c r="BA276" i="73" s="1"/>
  <c r="T276" i="5"/>
  <c r="AX276" i="73" s="1"/>
  <c r="P276" i="5"/>
  <c r="AW276" i="73" s="1"/>
  <c r="O276" i="5"/>
  <c r="AV276" i="73" s="1"/>
  <c r="K276" i="5"/>
  <c r="AR276" i="73" s="1"/>
  <c r="M276" i="5"/>
  <c r="BJ274" i="65"/>
  <c r="AC274" i="5"/>
  <c r="BB274" i="73" s="1"/>
  <c r="V274" i="5"/>
  <c r="AZ274" i="73" s="1"/>
  <c r="U274" i="5"/>
  <c r="AY274" i="73" s="1"/>
  <c r="N274" i="5"/>
  <c r="AU274" i="73" s="1"/>
  <c r="J274" i="5"/>
  <c r="AT274" i="73" s="1"/>
  <c r="L274" i="5"/>
  <c r="AR274" i="73" s="1"/>
  <c r="BJ272" i="65"/>
  <c r="AD272" i="5"/>
  <c r="Q272" i="5"/>
  <c r="BA272" i="73" s="1"/>
  <c r="T272" i="5"/>
  <c r="AX272" i="73" s="1"/>
  <c r="P272" i="5"/>
  <c r="AW272" i="73" s="1"/>
  <c r="O272" i="5"/>
  <c r="AV272" i="73" s="1"/>
  <c r="K272" i="5"/>
  <c r="M272" i="5"/>
  <c r="BJ270" i="65"/>
  <c r="AC270" i="5"/>
  <c r="BB270" i="73" s="1"/>
  <c r="V270" i="5"/>
  <c r="AZ270" i="73" s="1"/>
  <c r="U270" i="5"/>
  <c r="AY270" i="73" s="1"/>
  <c r="N270" i="5"/>
  <c r="AU270" i="73" s="1"/>
  <c r="J270" i="5"/>
  <c r="AT270" i="73" s="1"/>
  <c r="L270" i="5"/>
  <c r="BJ268" i="65"/>
  <c r="AD268" i="5"/>
  <c r="Q268" i="5"/>
  <c r="BA268" i="73" s="1"/>
  <c r="T268" i="5"/>
  <c r="AX268" i="73" s="1"/>
  <c r="P268" i="5"/>
  <c r="AW268" i="73" s="1"/>
  <c r="O268" i="5"/>
  <c r="AV268" i="73" s="1"/>
  <c r="K268" i="5"/>
  <c r="AR268" i="73" s="1"/>
  <c r="M268" i="5"/>
  <c r="BJ266" i="65"/>
  <c r="AC266" i="5"/>
  <c r="BB266" i="73" s="1"/>
  <c r="V266" i="5"/>
  <c r="AZ266" i="73" s="1"/>
  <c r="U266" i="5"/>
  <c r="AY266" i="73" s="1"/>
  <c r="N266" i="5"/>
  <c r="AU266" i="73" s="1"/>
  <c r="J266" i="5"/>
  <c r="AT266" i="73" s="1"/>
  <c r="L266" i="5"/>
  <c r="AR266" i="73" s="1"/>
  <c r="BJ264" i="65"/>
  <c r="AD264" i="5"/>
  <c r="Q264" i="5"/>
  <c r="BA264" i="73" s="1"/>
  <c r="T264" i="5"/>
  <c r="AX264" i="73" s="1"/>
  <c r="P264" i="5"/>
  <c r="AW264" i="73" s="1"/>
  <c r="O264" i="5"/>
  <c r="AV264" i="73" s="1"/>
  <c r="K264" i="5"/>
  <c r="M264" i="5"/>
  <c r="BJ262" i="65"/>
  <c r="AC262" i="5"/>
  <c r="BB262" i="73" s="1"/>
  <c r="V262" i="5"/>
  <c r="AZ262" i="73" s="1"/>
  <c r="U262" i="5"/>
  <c r="AY262" i="73" s="1"/>
  <c r="N262" i="5"/>
  <c r="AU262" i="73" s="1"/>
  <c r="J262" i="5"/>
  <c r="AT262" i="73" s="1"/>
  <c r="L262" i="5"/>
  <c r="BJ260" i="65"/>
  <c r="AD260" i="5"/>
  <c r="Q260" i="5"/>
  <c r="BA260" i="73" s="1"/>
  <c r="T260" i="5"/>
  <c r="AX260" i="73" s="1"/>
  <c r="P260" i="5"/>
  <c r="AW260" i="73" s="1"/>
  <c r="O260" i="5"/>
  <c r="AV260" i="73" s="1"/>
  <c r="K260" i="5"/>
  <c r="AR260" i="73" s="1"/>
  <c r="M260" i="5"/>
  <c r="BJ258" i="65"/>
  <c r="AC258" i="5"/>
  <c r="BB258" i="73" s="1"/>
  <c r="V258" i="5"/>
  <c r="AZ258" i="73" s="1"/>
  <c r="U258" i="5"/>
  <c r="AY258" i="73" s="1"/>
  <c r="GA32" i="15"/>
  <c r="FY32" i="15"/>
  <c r="GA30" i="15"/>
  <c r="GA28" i="15"/>
  <c r="GA26" i="15"/>
  <c r="FY26" i="15"/>
  <c r="GA33" i="15"/>
  <c r="FY33" i="15"/>
  <c r="GA31" i="15"/>
  <c r="GA29" i="15"/>
  <c r="GA27" i="15"/>
  <c r="GA24" i="15"/>
  <c r="FY24" i="15"/>
  <c r="GA25" i="15"/>
  <c r="FY25" i="15"/>
  <c r="GA23" i="15"/>
  <c r="FY23" i="15"/>
  <c r="K139" i="5"/>
  <c r="P139" i="5"/>
  <c r="Q139" i="5"/>
  <c r="BA139" i="73" s="1"/>
  <c r="K141" i="5"/>
  <c r="P141" i="5"/>
  <c r="Q141" i="5"/>
  <c r="BA141" i="73" s="1"/>
  <c r="K143" i="5"/>
  <c r="P143" i="5"/>
  <c r="Q143" i="5"/>
  <c r="BA143" i="73" s="1"/>
  <c r="K145" i="5"/>
  <c r="P145" i="5"/>
  <c r="Q145" i="5"/>
  <c r="BA145" i="73" s="1"/>
  <c r="K147" i="5"/>
  <c r="P147" i="5"/>
  <c r="Q147" i="5"/>
  <c r="BA147" i="73" s="1"/>
  <c r="K149" i="5"/>
  <c r="P149" i="5"/>
  <c r="Q149" i="5"/>
  <c r="BA149" i="73" s="1"/>
  <c r="K151" i="5"/>
  <c r="P151" i="5"/>
  <c r="Q151" i="5"/>
  <c r="BA151" i="73" s="1"/>
  <c r="K153" i="5"/>
  <c r="P153" i="5"/>
  <c r="Q153" i="5"/>
  <c r="BA153" i="73" s="1"/>
  <c r="N155" i="5"/>
  <c r="AU155" i="73" s="1"/>
  <c r="U157" i="5"/>
  <c r="N159" i="5"/>
  <c r="AU159" i="73" s="1"/>
  <c r="U161" i="5"/>
  <c r="N163" i="5"/>
  <c r="AU163" i="73" s="1"/>
  <c r="U165" i="5"/>
  <c r="N167" i="5"/>
  <c r="AU167" i="73" s="1"/>
  <c r="U169" i="5"/>
  <c r="N171" i="5"/>
  <c r="AU171" i="73" s="1"/>
  <c r="U173" i="5"/>
  <c r="V175" i="5"/>
  <c r="J177" i="5"/>
  <c r="AT177" i="73" s="1"/>
  <c r="V179" i="5"/>
  <c r="J181" i="5"/>
  <c r="AT181" i="73" s="1"/>
  <c r="GQ205" i="15"/>
  <c r="GQ197" i="15"/>
  <c r="GQ167" i="15"/>
  <c r="AP100" i="65"/>
  <c r="AN100" i="65" s="1"/>
  <c r="AP98" i="65"/>
  <c r="AN98" i="65" s="1"/>
  <c r="AP110" i="65"/>
  <c r="AN110" i="65" s="1"/>
  <c r="AP115" i="65"/>
  <c r="AP127" i="65"/>
  <c r="AN127" i="65" s="1"/>
  <c r="AP87" i="65"/>
  <c r="AN87" i="65" s="1"/>
  <c r="AP120" i="65"/>
  <c r="AN120" i="65" s="1"/>
  <c r="AP112" i="65"/>
  <c r="AN112" i="65" s="1"/>
  <c r="AP94" i="65"/>
  <c r="AP102" i="65"/>
  <c r="AP113" i="65"/>
  <c r="AP117" i="65"/>
  <c r="J117" i="5" s="1"/>
  <c r="AT117" i="73" s="1"/>
  <c r="AP118" i="65"/>
  <c r="AN118" i="65" s="1"/>
  <c r="AP124" i="65"/>
  <c r="AN124" i="65" s="1"/>
  <c r="AP81" i="65"/>
  <c r="AN81" i="65" s="1"/>
  <c r="AP128" i="65"/>
  <c r="AN128" i="65" s="1"/>
  <c r="AP130" i="65"/>
  <c r="AN130" i="65" s="1"/>
  <c r="AP132" i="65"/>
  <c r="AN132" i="65" s="1"/>
  <c r="AP134" i="65"/>
  <c r="AN134" i="65" s="1"/>
  <c r="AP136" i="65"/>
  <c r="AN136" i="65" s="1"/>
  <c r="AP138" i="65"/>
  <c r="AN138" i="65" s="1"/>
  <c r="AP140" i="65"/>
  <c r="AN140" i="65" s="1"/>
  <c r="AP142" i="65"/>
  <c r="AN142" i="65" s="1"/>
  <c r="AP144" i="65"/>
  <c r="AN144" i="65" s="1"/>
  <c r="AP146" i="65"/>
  <c r="AN146" i="65" s="1"/>
  <c r="AP148" i="65"/>
  <c r="AN148" i="65" s="1"/>
  <c r="AP150" i="65"/>
  <c r="AN150" i="65" s="1"/>
  <c r="AP152" i="65"/>
  <c r="AN152" i="65" s="1"/>
  <c r="AP154" i="65"/>
  <c r="AN154" i="65" s="1"/>
  <c r="AP156" i="65"/>
  <c r="AN156" i="65" s="1"/>
  <c r="AP158" i="65"/>
  <c r="AN158" i="65" s="1"/>
  <c r="AP160" i="65"/>
  <c r="AN160" i="65" s="1"/>
  <c r="AP162" i="65"/>
  <c r="AN162" i="65" s="1"/>
  <c r="AP164" i="65"/>
  <c r="AN164" i="65" s="1"/>
  <c r="AP166" i="65"/>
  <c r="AN166" i="65" s="1"/>
  <c r="AP168" i="65"/>
  <c r="AN168" i="65" s="1"/>
  <c r="AP170" i="65"/>
  <c r="AN170" i="65" s="1"/>
  <c r="AP172" i="65"/>
  <c r="AN172" i="65" s="1"/>
  <c r="AP174" i="65"/>
  <c r="AN174" i="65" s="1"/>
  <c r="AP176" i="65"/>
  <c r="AN176" i="65" s="1"/>
  <c r="AP178" i="65"/>
  <c r="AN178" i="65" s="1"/>
  <c r="AP180" i="65"/>
  <c r="AN180" i="65" s="1"/>
  <c r="AP182" i="65"/>
  <c r="AN182" i="65" s="1"/>
  <c r="AP184" i="65"/>
  <c r="AN184" i="65" s="1"/>
  <c r="AP186" i="65"/>
  <c r="AN186" i="65" s="1"/>
  <c r="AP188" i="65"/>
  <c r="AN188" i="65" s="1"/>
  <c r="AP190" i="65"/>
  <c r="AN190" i="65" s="1"/>
  <c r="AP192" i="65"/>
  <c r="AN192" i="65" s="1"/>
  <c r="AP194" i="65"/>
  <c r="AN194" i="65" s="1"/>
  <c r="AP196" i="65"/>
  <c r="AN196" i="65" s="1"/>
  <c r="AP198" i="65"/>
  <c r="AN198" i="65" s="1"/>
  <c r="AP200" i="65"/>
  <c r="AN200" i="65" s="1"/>
  <c r="AP202" i="65"/>
  <c r="AN202" i="65" s="1"/>
  <c r="AP204" i="65"/>
  <c r="AN204" i="65" s="1"/>
  <c r="AP206" i="65"/>
  <c r="AN206" i="65" s="1"/>
  <c r="AP208" i="65"/>
  <c r="AN208" i="65" s="1"/>
  <c r="AP210" i="65"/>
  <c r="AN210" i="65" s="1"/>
  <c r="AP212" i="65"/>
  <c r="AN212" i="65" s="1"/>
  <c r="AP214" i="65"/>
  <c r="AN214" i="65" s="1"/>
  <c r="AP216" i="65"/>
  <c r="AN216" i="65" s="1"/>
  <c r="AP218" i="65"/>
  <c r="AN218" i="65" s="1"/>
  <c r="AP220" i="65"/>
  <c r="AN220" i="65" s="1"/>
  <c r="AP222" i="65"/>
  <c r="AN222" i="65" s="1"/>
  <c r="AP224" i="65"/>
  <c r="AN224" i="65" s="1"/>
  <c r="AP226" i="65"/>
  <c r="AN226" i="65" s="1"/>
  <c r="AP228" i="65"/>
  <c r="AN228" i="65" s="1"/>
  <c r="AP230" i="65"/>
  <c r="AN230" i="65" s="1"/>
  <c r="AP232" i="65"/>
  <c r="AN232" i="65" s="1"/>
  <c r="AP234" i="65"/>
  <c r="AN234" i="65" s="1"/>
  <c r="AP236" i="65"/>
  <c r="AN236" i="65" s="1"/>
  <c r="AP238" i="65"/>
  <c r="AN238" i="65" s="1"/>
  <c r="AP240" i="65"/>
  <c r="AN240" i="65" s="1"/>
  <c r="AP242" i="65"/>
  <c r="AN242" i="65" s="1"/>
  <c r="AP244" i="65"/>
  <c r="AN244" i="65" s="1"/>
  <c r="AP246" i="65"/>
  <c r="AN246" i="65" s="1"/>
  <c r="AP248" i="65"/>
  <c r="AN248" i="65" s="1"/>
  <c r="AP250" i="65"/>
  <c r="AN250" i="65" s="1"/>
  <c r="AP252" i="65"/>
  <c r="AN252" i="65" s="1"/>
  <c r="AP254" i="65"/>
  <c r="AN254" i="65" s="1"/>
  <c r="AP256" i="65"/>
  <c r="AN256" i="65" s="1"/>
  <c r="AP258" i="65"/>
  <c r="AN258" i="65" s="1"/>
  <c r="AP260" i="65"/>
  <c r="AN260" i="65" s="1"/>
  <c r="AP262" i="65"/>
  <c r="AN262" i="65" s="1"/>
  <c r="AP264" i="65"/>
  <c r="AN264" i="65" s="1"/>
  <c r="L183" i="5"/>
  <c r="H14" i="5"/>
  <c r="N133" i="5"/>
  <c r="AU133" i="73" s="1"/>
  <c r="U133" i="5"/>
  <c r="AY133" i="73" s="1"/>
  <c r="V133" i="5"/>
  <c r="AZ133" i="73" s="1"/>
  <c r="AC133" i="5"/>
  <c r="BB133" i="73" s="1"/>
  <c r="L135" i="5"/>
  <c r="J135" i="5"/>
  <c r="AT135" i="73" s="1"/>
  <c r="N135" i="5"/>
  <c r="AU135" i="73" s="1"/>
  <c r="U135" i="5"/>
  <c r="AY135" i="73" s="1"/>
  <c r="V135" i="5"/>
  <c r="AZ135" i="73" s="1"/>
  <c r="AC135" i="5"/>
  <c r="BB135" i="73" s="1"/>
  <c r="L137" i="5"/>
  <c r="J137" i="5"/>
  <c r="AT137" i="73" s="1"/>
  <c r="N137" i="5"/>
  <c r="AU137" i="73" s="1"/>
  <c r="U137" i="5"/>
  <c r="AY137" i="73" s="1"/>
  <c r="V137" i="5"/>
  <c r="AZ137" i="73" s="1"/>
  <c r="AC137" i="5"/>
  <c r="BB137" i="73" s="1"/>
  <c r="L139" i="5"/>
  <c r="J139" i="5"/>
  <c r="AT139" i="73" s="1"/>
  <c r="N139" i="5"/>
  <c r="AU139" i="73" s="1"/>
  <c r="U139" i="5"/>
  <c r="AY139" i="73" s="1"/>
  <c r="V139" i="5"/>
  <c r="AZ139" i="73" s="1"/>
  <c r="AC139" i="5"/>
  <c r="BB139" i="73" s="1"/>
  <c r="L141" i="5"/>
  <c r="J141" i="5"/>
  <c r="AT141" i="73" s="1"/>
  <c r="N141" i="5"/>
  <c r="AU141" i="73" s="1"/>
  <c r="U141" i="5"/>
  <c r="AY141" i="73" s="1"/>
  <c r="V141" i="5"/>
  <c r="AZ141" i="73" s="1"/>
  <c r="AC141" i="5"/>
  <c r="BB141" i="73" s="1"/>
  <c r="L143" i="5"/>
  <c r="J143" i="5"/>
  <c r="AT143" i="73" s="1"/>
  <c r="N143" i="5"/>
  <c r="AU143" i="73" s="1"/>
  <c r="U143" i="5"/>
  <c r="AY143" i="73" s="1"/>
  <c r="V143" i="5"/>
  <c r="AZ143" i="73" s="1"/>
  <c r="AC143" i="5"/>
  <c r="BB143" i="73" s="1"/>
  <c r="L145" i="5"/>
  <c r="J145" i="5"/>
  <c r="AT145" i="73" s="1"/>
  <c r="N145" i="5"/>
  <c r="AU145" i="73" s="1"/>
  <c r="U145" i="5"/>
  <c r="AY145" i="73" s="1"/>
  <c r="V145" i="5"/>
  <c r="AZ145" i="73" s="1"/>
  <c r="AC145" i="5"/>
  <c r="BB145" i="73" s="1"/>
  <c r="L147" i="5"/>
  <c r="J147" i="5"/>
  <c r="AT147" i="73" s="1"/>
  <c r="N147" i="5"/>
  <c r="AU147" i="73" s="1"/>
  <c r="U147" i="5"/>
  <c r="AY147" i="73" s="1"/>
  <c r="V147" i="5"/>
  <c r="AZ147" i="73" s="1"/>
  <c r="AC147" i="5"/>
  <c r="BB147" i="73" s="1"/>
  <c r="L149" i="5"/>
  <c r="J149" i="5"/>
  <c r="AT149" i="73" s="1"/>
  <c r="N149" i="5"/>
  <c r="AU149" i="73" s="1"/>
  <c r="U149" i="5"/>
  <c r="AY149" i="73" s="1"/>
  <c r="V149" i="5"/>
  <c r="AZ149" i="73" s="1"/>
  <c r="AC149" i="5"/>
  <c r="BB149" i="73" s="1"/>
  <c r="L151" i="5"/>
  <c r="J151" i="5"/>
  <c r="AT151" i="73" s="1"/>
  <c r="N151" i="5"/>
  <c r="AU151" i="73" s="1"/>
  <c r="U151" i="5"/>
  <c r="AY151" i="73" s="1"/>
  <c r="V151" i="5"/>
  <c r="AZ151" i="73" s="1"/>
  <c r="AC151" i="5"/>
  <c r="BB151" i="73" s="1"/>
  <c r="L153" i="5"/>
  <c r="J153" i="5"/>
  <c r="AT153" i="73" s="1"/>
  <c r="N153" i="5"/>
  <c r="AU153" i="73" s="1"/>
  <c r="U153" i="5"/>
  <c r="AY153" i="73" s="1"/>
  <c r="V153" i="5"/>
  <c r="AZ153" i="73" s="1"/>
  <c r="AC153" i="5"/>
  <c r="BB153" i="73" s="1"/>
  <c r="J155" i="5"/>
  <c r="AT155" i="73" s="1"/>
  <c r="U155" i="5"/>
  <c r="AC155" i="5"/>
  <c r="BB155" i="73" s="1"/>
  <c r="L157" i="5"/>
  <c r="N157" i="5"/>
  <c r="AU157" i="73" s="1"/>
  <c r="V157" i="5"/>
  <c r="J159" i="5"/>
  <c r="AT159" i="73" s="1"/>
  <c r="U159" i="5"/>
  <c r="AC159" i="5"/>
  <c r="BB159" i="73" s="1"/>
  <c r="L161" i="5"/>
  <c r="N161" i="5"/>
  <c r="AU161" i="73" s="1"/>
  <c r="V161" i="5"/>
  <c r="J163" i="5"/>
  <c r="AT163" i="73" s="1"/>
  <c r="U163" i="5"/>
  <c r="AC163" i="5"/>
  <c r="BB163" i="73" s="1"/>
  <c r="L165" i="5"/>
  <c r="N165" i="5"/>
  <c r="AU165" i="73" s="1"/>
  <c r="V165" i="5"/>
  <c r="J167" i="5"/>
  <c r="AT167" i="73" s="1"/>
  <c r="U167" i="5"/>
  <c r="AC167" i="5"/>
  <c r="BB167" i="73" s="1"/>
  <c r="L169" i="5"/>
  <c r="N169" i="5"/>
  <c r="AU169" i="73" s="1"/>
  <c r="V169" i="5"/>
  <c r="J171" i="5"/>
  <c r="AT171" i="73" s="1"/>
  <c r="U171" i="5"/>
  <c r="AC171" i="5"/>
  <c r="BB171" i="73" s="1"/>
  <c r="L173" i="5"/>
  <c r="N173" i="5"/>
  <c r="AU173" i="73" s="1"/>
  <c r="V173" i="5"/>
  <c r="N175" i="5"/>
  <c r="AU175" i="73" s="1"/>
  <c r="U177" i="5"/>
  <c r="N179" i="5"/>
  <c r="AU179" i="73" s="1"/>
  <c r="U181" i="5"/>
  <c r="N183" i="5"/>
  <c r="AU183" i="73" s="1"/>
  <c r="AC185" i="5"/>
  <c r="BB185" i="73" s="1"/>
  <c r="L187" i="5"/>
  <c r="AC189" i="5"/>
  <c r="BB189" i="73" s="1"/>
  <c r="L191" i="5"/>
  <c r="AC193" i="5"/>
  <c r="BB193" i="73" s="1"/>
  <c r="L195" i="5"/>
  <c r="AC197" i="5"/>
  <c r="BB197" i="73" s="1"/>
  <c r="L199" i="5"/>
  <c r="AC201" i="5"/>
  <c r="BB201" i="73" s="1"/>
  <c r="L203" i="5"/>
  <c r="J175" i="5"/>
  <c r="AT175" i="73" s="1"/>
  <c r="U175" i="5"/>
  <c r="AC175" i="5"/>
  <c r="BB175" i="73" s="1"/>
  <c r="L177" i="5"/>
  <c r="N177" i="5"/>
  <c r="AU177" i="73" s="1"/>
  <c r="V177" i="5"/>
  <c r="J179" i="5"/>
  <c r="AT179" i="73" s="1"/>
  <c r="U179" i="5"/>
  <c r="AC179" i="5"/>
  <c r="BB179" i="73" s="1"/>
  <c r="L181" i="5"/>
  <c r="N181" i="5"/>
  <c r="AU181" i="73" s="1"/>
  <c r="V181" i="5"/>
  <c r="J183" i="5"/>
  <c r="AT183" i="73" s="1"/>
  <c r="U183" i="5"/>
  <c r="AC183" i="5"/>
  <c r="BB183" i="73" s="1"/>
  <c r="L185" i="5"/>
  <c r="U185" i="5"/>
  <c r="N187" i="5"/>
  <c r="AU187" i="73" s="1"/>
  <c r="U189" i="5"/>
  <c r="N191" i="5"/>
  <c r="AU191" i="73" s="1"/>
  <c r="U193" i="5"/>
  <c r="N195" i="5"/>
  <c r="AU195" i="73" s="1"/>
  <c r="U197" i="5"/>
  <c r="N199" i="5"/>
  <c r="AU199" i="73" s="1"/>
  <c r="U201" i="5"/>
  <c r="N203" i="5"/>
  <c r="AU203" i="73" s="1"/>
  <c r="J205" i="5"/>
  <c r="AT205" i="73" s="1"/>
  <c r="AC205" i="5"/>
  <c r="BB205" i="73" s="1"/>
  <c r="L207" i="5"/>
  <c r="N207" i="5"/>
  <c r="AU207" i="73" s="1"/>
  <c r="J209" i="5"/>
  <c r="AT209" i="73" s="1"/>
  <c r="AC209" i="5"/>
  <c r="BB209" i="73" s="1"/>
  <c r="J211" i="5"/>
  <c r="AT211" i="73" s="1"/>
  <c r="V213" i="5"/>
  <c r="J215" i="5"/>
  <c r="AT215" i="73" s="1"/>
  <c r="M155" i="5"/>
  <c r="K155" i="5"/>
  <c r="O155" i="5"/>
  <c r="AV155" i="73" s="1"/>
  <c r="P155" i="5"/>
  <c r="AW155" i="73" s="1"/>
  <c r="T155" i="5"/>
  <c r="AX155" i="73" s="1"/>
  <c r="Q155" i="5"/>
  <c r="BA155" i="73" s="1"/>
  <c r="AD155" i="5"/>
  <c r="M157" i="5"/>
  <c r="K157" i="5"/>
  <c r="AR157" i="73" s="1"/>
  <c r="O157" i="5"/>
  <c r="P157" i="5"/>
  <c r="T157" i="5"/>
  <c r="AX157" i="73" s="1"/>
  <c r="Q157" i="5"/>
  <c r="BA157" i="73" s="1"/>
  <c r="AD157" i="5"/>
  <c r="M159" i="5"/>
  <c r="K159" i="5"/>
  <c r="O159" i="5"/>
  <c r="AV159" i="73" s="1"/>
  <c r="P159" i="5"/>
  <c r="AW159" i="73" s="1"/>
  <c r="T159" i="5"/>
  <c r="AX159" i="73" s="1"/>
  <c r="Q159" i="5"/>
  <c r="BA159" i="73" s="1"/>
  <c r="AD159" i="5"/>
  <c r="M161" i="5"/>
  <c r="K161" i="5"/>
  <c r="O161" i="5"/>
  <c r="AV161" i="73" s="1"/>
  <c r="P161" i="5"/>
  <c r="AW161" i="73" s="1"/>
  <c r="T161" i="5"/>
  <c r="AX161" i="73" s="1"/>
  <c r="Q161" i="5"/>
  <c r="BA161" i="73" s="1"/>
  <c r="AD161" i="5"/>
  <c r="M163" i="5"/>
  <c r="K163" i="5"/>
  <c r="O163" i="5"/>
  <c r="AV163" i="73" s="1"/>
  <c r="P163" i="5"/>
  <c r="AW163" i="73" s="1"/>
  <c r="T163" i="5"/>
  <c r="AX163" i="73" s="1"/>
  <c r="Q163" i="5"/>
  <c r="BA163" i="73" s="1"/>
  <c r="AD163" i="5"/>
  <c r="M165" i="5"/>
  <c r="K165" i="5"/>
  <c r="O165" i="5"/>
  <c r="P165" i="5"/>
  <c r="T165" i="5"/>
  <c r="AX165" i="73" s="1"/>
  <c r="Q165" i="5"/>
  <c r="BA165" i="73" s="1"/>
  <c r="AD165" i="5"/>
  <c r="M167" i="5"/>
  <c r="K167" i="5"/>
  <c r="O167" i="5"/>
  <c r="AV167" i="73" s="1"/>
  <c r="P167" i="5"/>
  <c r="AW167" i="73" s="1"/>
  <c r="T167" i="5"/>
  <c r="AX167" i="73" s="1"/>
  <c r="Q167" i="5"/>
  <c r="BA167" i="73" s="1"/>
  <c r="AD167" i="5"/>
  <c r="M169" i="5"/>
  <c r="K169" i="5"/>
  <c r="O169" i="5"/>
  <c r="AV169" i="73" s="1"/>
  <c r="P169" i="5"/>
  <c r="AW169" i="73" s="1"/>
  <c r="T169" i="5"/>
  <c r="AX169" i="73" s="1"/>
  <c r="Q169" i="5"/>
  <c r="BA169" i="73" s="1"/>
  <c r="AD169" i="5"/>
  <c r="M171" i="5"/>
  <c r="K171" i="5"/>
  <c r="O171" i="5"/>
  <c r="AV171" i="73" s="1"/>
  <c r="P171" i="5"/>
  <c r="AW171" i="73" s="1"/>
  <c r="T171" i="5"/>
  <c r="AX171" i="73" s="1"/>
  <c r="Q171" i="5"/>
  <c r="BA171" i="73" s="1"/>
  <c r="AD171" i="5"/>
  <c r="M173" i="5"/>
  <c r="K173" i="5"/>
  <c r="AR173" i="73" s="1"/>
  <c r="O173" i="5"/>
  <c r="P173" i="5"/>
  <c r="AW173" i="73" s="1"/>
  <c r="T173" i="5"/>
  <c r="AX173" i="73" s="1"/>
  <c r="Q173" i="5"/>
  <c r="BA173" i="73" s="1"/>
  <c r="AD173" i="5"/>
  <c r="M175" i="5"/>
  <c r="K175" i="5"/>
  <c r="O175" i="5"/>
  <c r="AV175" i="73" s="1"/>
  <c r="P175" i="5"/>
  <c r="AW175" i="73" s="1"/>
  <c r="T175" i="5"/>
  <c r="AX175" i="73" s="1"/>
  <c r="Q175" i="5"/>
  <c r="BA175" i="73" s="1"/>
  <c r="AD175" i="5"/>
  <c r="M177" i="5"/>
  <c r="K177" i="5"/>
  <c r="AR177" i="73" s="1"/>
  <c r="O177" i="5"/>
  <c r="AV177" i="73" s="1"/>
  <c r="P177" i="5"/>
  <c r="AW177" i="73" s="1"/>
  <c r="T177" i="5"/>
  <c r="AX177" i="73" s="1"/>
  <c r="Q177" i="5"/>
  <c r="BA177" i="73" s="1"/>
  <c r="AD177" i="5"/>
  <c r="M179" i="5"/>
  <c r="K179" i="5"/>
  <c r="O179" i="5"/>
  <c r="AV179" i="73" s="1"/>
  <c r="P179" i="5"/>
  <c r="T179" i="5"/>
  <c r="AX179" i="73" s="1"/>
  <c r="Q179" i="5"/>
  <c r="BA179" i="73" s="1"/>
  <c r="AD179" i="5"/>
  <c r="M181" i="5"/>
  <c r="K181" i="5"/>
  <c r="AR181" i="73" s="1"/>
  <c r="O181" i="5"/>
  <c r="AV181" i="73" s="1"/>
  <c r="P181" i="5"/>
  <c r="AW181" i="73" s="1"/>
  <c r="T181" i="5"/>
  <c r="AX181" i="73" s="1"/>
  <c r="Q181" i="5"/>
  <c r="BA181" i="73" s="1"/>
  <c r="AD181" i="5"/>
  <c r="M183" i="5"/>
  <c r="K183" i="5"/>
  <c r="O183" i="5"/>
  <c r="AV183" i="73" s="1"/>
  <c r="P183" i="5"/>
  <c r="AW183" i="73" s="1"/>
  <c r="T183" i="5"/>
  <c r="AX183" i="73" s="1"/>
  <c r="Q183" i="5"/>
  <c r="BA183" i="73" s="1"/>
  <c r="AD183" i="5"/>
  <c r="M185" i="5"/>
  <c r="K185" i="5"/>
  <c r="AR185" i="73" s="1"/>
  <c r="N185" i="5"/>
  <c r="AU185" i="73" s="1"/>
  <c r="V185" i="5"/>
  <c r="J187" i="5"/>
  <c r="AT187" i="73" s="1"/>
  <c r="U187" i="5"/>
  <c r="AC187" i="5"/>
  <c r="BB187" i="73" s="1"/>
  <c r="L189" i="5"/>
  <c r="N189" i="5"/>
  <c r="AU189" i="73" s="1"/>
  <c r="V189" i="5"/>
  <c r="J191" i="5"/>
  <c r="AT191" i="73" s="1"/>
  <c r="U191" i="5"/>
  <c r="AC191" i="5"/>
  <c r="BB191" i="73" s="1"/>
  <c r="L193" i="5"/>
  <c r="N193" i="5"/>
  <c r="AU193" i="73" s="1"/>
  <c r="V193" i="5"/>
  <c r="J195" i="5"/>
  <c r="AT195" i="73" s="1"/>
  <c r="U195" i="5"/>
  <c r="AC195" i="5"/>
  <c r="BB195" i="73" s="1"/>
  <c r="L197" i="5"/>
  <c r="N197" i="5"/>
  <c r="AU197" i="73" s="1"/>
  <c r="V197" i="5"/>
  <c r="J199" i="5"/>
  <c r="AT199" i="73" s="1"/>
  <c r="U199" i="5"/>
  <c r="AC199" i="5"/>
  <c r="BB199" i="73" s="1"/>
  <c r="L201" i="5"/>
  <c r="N201" i="5"/>
  <c r="AU201" i="73" s="1"/>
  <c r="V201" i="5"/>
  <c r="J203" i="5"/>
  <c r="AT203" i="73" s="1"/>
  <c r="U203" i="5"/>
  <c r="AC203" i="5"/>
  <c r="BB203" i="73" s="1"/>
  <c r="L205" i="5"/>
  <c r="N205" i="5"/>
  <c r="AU205" i="73" s="1"/>
  <c r="V205" i="5"/>
  <c r="J207" i="5"/>
  <c r="AT207" i="73" s="1"/>
  <c r="U207" i="5"/>
  <c r="AC207" i="5"/>
  <c r="BB207" i="73" s="1"/>
  <c r="L209" i="5"/>
  <c r="N209" i="5"/>
  <c r="AU209" i="73" s="1"/>
  <c r="V209" i="5"/>
  <c r="U211" i="5"/>
  <c r="N213" i="5"/>
  <c r="AU213" i="73" s="1"/>
  <c r="U215" i="5"/>
  <c r="T217" i="5"/>
  <c r="AX217" i="73" s="1"/>
  <c r="O219" i="5"/>
  <c r="T221" i="5"/>
  <c r="AX221" i="73" s="1"/>
  <c r="O223" i="5"/>
  <c r="O185" i="5"/>
  <c r="AV185" i="73" s="1"/>
  <c r="P185" i="5"/>
  <c r="AW185" i="73" s="1"/>
  <c r="T185" i="5"/>
  <c r="AX185" i="73" s="1"/>
  <c r="Q185" i="5"/>
  <c r="BA185" i="73" s="1"/>
  <c r="AD185" i="5"/>
  <c r="M187" i="5"/>
  <c r="K187" i="5"/>
  <c r="AR187" i="73" s="1"/>
  <c r="O187" i="5"/>
  <c r="AV187" i="73" s="1"/>
  <c r="P187" i="5"/>
  <c r="AW187" i="73" s="1"/>
  <c r="T187" i="5"/>
  <c r="AX187" i="73" s="1"/>
  <c r="Q187" i="5"/>
  <c r="BA187" i="73" s="1"/>
  <c r="AD187" i="5"/>
  <c r="M189" i="5"/>
  <c r="K189" i="5"/>
  <c r="O189" i="5"/>
  <c r="AV189" i="73" s="1"/>
  <c r="P189" i="5"/>
  <c r="AW189" i="73" s="1"/>
  <c r="T189" i="5"/>
  <c r="AX189" i="73" s="1"/>
  <c r="Q189" i="5"/>
  <c r="BA189" i="73" s="1"/>
  <c r="AD189" i="5"/>
  <c r="M191" i="5"/>
  <c r="K191" i="5"/>
  <c r="AR191" i="73" s="1"/>
  <c r="O191" i="5"/>
  <c r="P191" i="5"/>
  <c r="AW191" i="73" s="1"/>
  <c r="T191" i="5"/>
  <c r="AX191" i="73" s="1"/>
  <c r="Q191" i="5"/>
  <c r="BA191" i="73" s="1"/>
  <c r="AD191" i="5"/>
  <c r="M193" i="5"/>
  <c r="K193" i="5"/>
  <c r="O193" i="5"/>
  <c r="AV193" i="73" s="1"/>
  <c r="P193" i="5"/>
  <c r="AW193" i="73" s="1"/>
  <c r="T193" i="5"/>
  <c r="AX193" i="73" s="1"/>
  <c r="Q193" i="5"/>
  <c r="BA193" i="73" s="1"/>
  <c r="AD193" i="5"/>
  <c r="M195" i="5"/>
  <c r="K195" i="5"/>
  <c r="AR195" i="73" s="1"/>
  <c r="O195" i="5"/>
  <c r="AV195" i="73" s="1"/>
  <c r="P195" i="5"/>
  <c r="AW195" i="73" s="1"/>
  <c r="T195" i="5"/>
  <c r="AX195" i="73" s="1"/>
  <c r="Q195" i="5"/>
  <c r="BA195" i="73" s="1"/>
  <c r="AD195" i="5"/>
  <c r="M197" i="5"/>
  <c r="K197" i="5"/>
  <c r="O197" i="5"/>
  <c r="AV197" i="73" s="1"/>
  <c r="P197" i="5"/>
  <c r="AW197" i="73" s="1"/>
  <c r="T197" i="5"/>
  <c r="AX197" i="73" s="1"/>
  <c r="Q197" i="5"/>
  <c r="BA197" i="73" s="1"/>
  <c r="AD197" i="5"/>
  <c r="M199" i="5"/>
  <c r="K199" i="5"/>
  <c r="AR199" i="73" s="1"/>
  <c r="O199" i="5"/>
  <c r="P199" i="5"/>
  <c r="AW199" i="73" s="1"/>
  <c r="T199" i="5"/>
  <c r="AX199" i="73" s="1"/>
  <c r="Q199" i="5"/>
  <c r="BA199" i="73" s="1"/>
  <c r="AD199" i="5"/>
  <c r="M201" i="5"/>
  <c r="K201" i="5"/>
  <c r="O201" i="5"/>
  <c r="AV201" i="73" s="1"/>
  <c r="P201" i="5"/>
  <c r="AW201" i="73" s="1"/>
  <c r="T201" i="5"/>
  <c r="AX201" i="73" s="1"/>
  <c r="Q201" i="5"/>
  <c r="BA201" i="73" s="1"/>
  <c r="AD201" i="5"/>
  <c r="M203" i="5"/>
  <c r="K203" i="5"/>
  <c r="AR203" i="73" s="1"/>
  <c r="O203" i="5"/>
  <c r="AV203" i="73" s="1"/>
  <c r="P203" i="5"/>
  <c r="AW203" i="73" s="1"/>
  <c r="T203" i="5"/>
  <c r="AX203" i="73" s="1"/>
  <c r="Q203" i="5"/>
  <c r="BA203" i="73" s="1"/>
  <c r="AD203" i="5"/>
  <c r="M205" i="5"/>
  <c r="K205" i="5"/>
  <c r="O205" i="5"/>
  <c r="AV205" i="73" s="1"/>
  <c r="P205" i="5"/>
  <c r="AW205" i="73" s="1"/>
  <c r="T205" i="5"/>
  <c r="AX205" i="73" s="1"/>
  <c r="Q205" i="5"/>
  <c r="BA205" i="73" s="1"/>
  <c r="AD205" i="5"/>
  <c r="M207" i="5"/>
  <c r="K207" i="5"/>
  <c r="AR207" i="73" s="1"/>
  <c r="O207" i="5"/>
  <c r="AV207" i="73" s="1"/>
  <c r="P207" i="5"/>
  <c r="AW207" i="73" s="1"/>
  <c r="T207" i="5"/>
  <c r="AX207" i="73" s="1"/>
  <c r="Q207" i="5"/>
  <c r="BA207" i="73" s="1"/>
  <c r="AD207" i="5"/>
  <c r="M209" i="5"/>
  <c r="K209" i="5"/>
  <c r="O209" i="5"/>
  <c r="AV209" i="73" s="1"/>
  <c r="P209" i="5"/>
  <c r="AW209" i="73" s="1"/>
  <c r="T209" i="5"/>
  <c r="AX209" i="73" s="1"/>
  <c r="Q209" i="5"/>
  <c r="BA209" i="73" s="1"/>
  <c r="AD209" i="5"/>
  <c r="L211" i="5"/>
  <c r="N211" i="5"/>
  <c r="AU211" i="73" s="1"/>
  <c r="V211" i="5"/>
  <c r="J213" i="5"/>
  <c r="AT213" i="73" s="1"/>
  <c r="U213" i="5"/>
  <c r="AC213" i="5"/>
  <c r="BB213" i="73" s="1"/>
  <c r="L215" i="5"/>
  <c r="N215" i="5"/>
  <c r="AU215" i="73" s="1"/>
  <c r="V215" i="5"/>
  <c r="O217" i="5"/>
  <c r="AD217" i="5"/>
  <c r="M219" i="5"/>
  <c r="T219" i="5"/>
  <c r="AX219" i="73" s="1"/>
  <c r="O221" i="5"/>
  <c r="AD221" i="5"/>
  <c r="M223" i="5"/>
  <c r="T223" i="5"/>
  <c r="AX223" i="73" s="1"/>
  <c r="U225" i="5"/>
  <c r="N227" i="5"/>
  <c r="AU227" i="73" s="1"/>
  <c r="U229" i="5"/>
  <c r="N231" i="5"/>
  <c r="AU231" i="73" s="1"/>
  <c r="U233" i="5"/>
  <c r="N235" i="5"/>
  <c r="AU235" i="73" s="1"/>
  <c r="U237" i="5"/>
  <c r="N239" i="5"/>
  <c r="AU239" i="73" s="1"/>
  <c r="U241" i="5"/>
  <c r="N243" i="5"/>
  <c r="AU243" i="73" s="1"/>
  <c r="U245" i="5"/>
  <c r="N247" i="5"/>
  <c r="AU247" i="73" s="1"/>
  <c r="U249" i="5"/>
  <c r="N251" i="5"/>
  <c r="AU251" i="73" s="1"/>
  <c r="M211" i="5"/>
  <c r="K211" i="5"/>
  <c r="O211" i="5"/>
  <c r="AV211" i="73" s="1"/>
  <c r="P211" i="5"/>
  <c r="T211" i="5"/>
  <c r="AX211" i="73" s="1"/>
  <c r="Q211" i="5"/>
  <c r="BA211" i="73" s="1"/>
  <c r="AD211" i="5"/>
  <c r="M213" i="5"/>
  <c r="K213" i="5"/>
  <c r="AR213" i="73" s="1"/>
  <c r="O213" i="5"/>
  <c r="P213" i="5"/>
  <c r="AW213" i="73" s="1"/>
  <c r="T213" i="5"/>
  <c r="AX213" i="73" s="1"/>
  <c r="Q213" i="5"/>
  <c r="BA213" i="73" s="1"/>
  <c r="AD213" i="5"/>
  <c r="M215" i="5"/>
  <c r="K215" i="5"/>
  <c r="O215" i="5"/>
  <c r="AV215" i="73" s="1"/>
  <c r="P215" i="5"/>
  <c r="T215" i="5"/>
  <c r="AX215" i="73" s="1"/>
  <c r="Q215" i="5"/>
  <c r="BA215" i="73" s="1"/>
  <c r="K217" i="5"/>
  <c r="P217" i="5"/>
  <c r="Q217" i="5"/>
  <c r="BA217" i="73" s="1"/>
  <c r="K219" i="5"/>
  <c r="P219" i="5"/>
  <c r="Q219" i="5"/>
  <c r="BA219" i="73" s="1"/>
  <c r="K221" i="5"/>
  <c r="P221" i="5"/>
  <c r="Q221" i="5"/>
  <c r="BA221" i="73" s="1"/>
  <c r="K223" i="5"/>
  <c r="P223" i="5"/>
  <c r="Q223" i="5"/>
  <c r="BA223" i="73" s="1"/>
  <c r="J225" i="5"/>
  <c r="AT225" i="73" s="1"/>
  <c r="AC225" i="5"/>
  <c r="BB225" i="73" s="1"/>
  <c r="L227" i="5"/>
  <c r="V227" i="5"/>
  <c r="J229" i="5"/>
  <c r="AT229" i="73" s="1"/>
  <c r="AC229" i="5"/>
  <c r="BB229" i="73" s="1"/>
  <c r="L231" i="5"/>
  <c r="V231" i="5"/>
  <c r="J233" i="5"/>
  <c r="AT233" i="73" s="1"/>
  <c r="AC233" i="5"/>
  <c r="BB233" i="73" s="1"/>
  <c r="L235" i="5"/>
  <c r="V235" i="5"/>
  <c r="J237" i="5"/>
  <c r="AT237" i="73" s="1"/>
  <c r="AC237" i="5"/>
  <c r="BB237" i="73" s="1"/>
  <c r="L239" i="5"/>
  <c r="V239" i="5"/>
  <c r="J241" i="5"/>
  <c r="AT241" i="73" s="1"/>
  <c r="AC241" i="5"/>
  <c r="BB241" i="73" s="1"/>
  <c r="L243" i="5"/>
  <c r="V243" i="5"/>
  <c r="J245" i="5"/>
  <c r="AT245" i="73" s="1"/>
  <c r="AC245" i="5"/>
  <c r="BB245" i="73" s="1"/>
  <c r="L247" i="5"/>
  <c r="V247" i="5"/>
  <c r="J249" i="5"/>
  <c r="AT249" i="73" s="1"/>
  <c r="AC249" i="5"/>
  <c r="BB249" i="73" s="1"/>
  <c r="L251" i="5"/>
  <c r="V251" i="5"/>
  <c r="P253" i="5"/>
  <c r="P255" i="5"/>
  <c r="P257" i="5"/>
  <c r="P259" i="5"/>
  <c r="P261" i="5"/>
  <c r="P263" i="5"/>
  <c r="P265" i="5"/>
  <c r="P267" i="5"/>
  <c r="AD269" i="5"/>
  <c r="M271" i="5"/>
  <c r="AD273" i="5"/>
  <c r="M275" i="5"/>
  <c r="AD277" i="5"/>
  <c r="M279" i="5"/>
  <c r="GQ187" i="15"/>
  <c r="GQ183" i="15"/>
  <c r="AC215" i="5"/>
  <c r="BB215" i="73" s="1"/>
  <c r="L217" i="5"/>
  <c r="J217" i="5"/>
  <c r="AT217" i="73" s="1"/>
  <c r="N217" i="5"/>
  <c r="AU217" i="73" s="1"/>
  <c r="U217" i="5"/>
  <c r="AY217" i="73" s="1"/>
  <c r="V217" i="5"/>
  <c r="AC217" i="5"/>
  <c r="BB217" i="73" s="1"/>
  <c r="L219" i="5"/>
  <c r="J219" i="5"/>
  <c r="AT219" i="73" s="1"/>
  <c r="N219" i="5"/>
  <c r="AU219" i="73" s="1"/>
  <c r="U219" i="5"/>
  <c r="AY219" i="73" s="1"/>
  <c r="V219" i="5"/>
  <c r="AZ219" i="73" s="1"/>
  <c r="AC219" i="5"/>
  <c r="BB219" i="73" s="1"/>
  <c r="L221" i="5"/>
  <c r="J221" i="5"/>
  <c r="AT221" i="73" s="1"/>
  <c r="N221" i="5"/>
  <c r="AU221" i="73" s="1"/>
  <c r="U221" i="5"/>
  <c r="AY221" i="73" s="1"/>
  <c r="V221" i="5"/>
  <c r="AC221" i="5"/>
  <c r="BB221" i="73" s="1"/>
  <c r="L223" i="5"/>
  <c r="J223" i="5"/>
  <c r="AT223" i="73" s="1"/>
  <c r="N223" i="5"/>
  <c r="AU223" i="73" s="1"/>
  <c r="U223" i="5"/>
  <c r="AY223" i="73" s="1"/>
  <c r="V223" i="5"/>
  <c r="AZ223" i="73" s="1"/>
  <c r="AC223" i="5"/>
  <c r="BB223" i="73" s="1"/>
  <c r="L225" i="5"/>
  <c r="N225" i="5"/>
  <c r="AU225" i="73" s="1"/>
  <c r="V225" i="5"/>
  <c r="J227" i="5"/>
  <c r="AT227" i="73" s="1"/>
  <c r="U227" i="5"/>
  <c r="AC227" i="5"/>
  <c r="BB227" i="73" s="1"/>
  <c r="L229" i="5"/>
  <c r="N229" i="5"/>
  <c r="AU229" i="73" s="1"/>
  <c r="V229" i="5"/>
  <c r="J231" i="5"/>
  <c r="AT231" i="73" s="1"/>
  <c r="U231" i="5"/>
  <c r="AC231" i="5"/>
  <c r="BB231" i="73" s="1"/>
  <c r="L233" i="5"/>
  <c r="N233" i="5"/>
  <c r="AU233" i="73" s="1"/>
  <c r="V233" i="5"/>
  <c r="J235" i="5"/>
  <c r="AT235" i="73" s="1"/>
  <c r="U235" i="5"/>
  <c r="AC235" i="5"/>
  <c r="BB235" i="73" s="1"/>
  <c r="L237" i="5"/>
  <c r="N237" i="5"/>
  <c r="AU237" i="73" s="1"/>
  <c r="V237" i="5"/>
  <c r="J239" i="5"/>
  <c r="AT239" i="73" s="1"/>
  <c r="U239" i="5"/>
  <c r="AC239" i="5"/>
  <c r="BB239" i="73" s="1"/>
  <c r="L241" i="5"/>
  <c r="N241" i="5"/>
  <c r="AU241" i="73" s="1"/>
  <c r="V241" i="5"/>
  <c r="J243" i="5"/>
  <c r="AT243" i="73" s="1"/>
  <c r="U243" i="5"/>
  <c r="AC243" i="5"/>
  <c r="BB243" i="73" s="1"/>
  <c r="L245" i="5"/>
  <c r="N245" i="5"/>
  <c r="AU245" i="73" s="1"/>
  <c r="V245" i="5"/>
  <c r="J247" i="5"/>
  <c r="AT247" i="73" s="1"/>
  <c r="U247" i="5"/>
  <c r="AC247" i="5"/>
  <c r="BB247" i="73" s="1"/>
  <c r="L249" i="5"/>
  <c r="N249" i="5"/>
  <c r="AU249" i="73" s="1"/>
  <c r="V249" i="5"/>
  <c r="J251" i="5"/>
  <c r="AT251" i="73" s="1"/>
  <c r="U251" i="5"/>
  <c r="AC251" i="5"/>
  <c r="BB251" i="73" s="1"/>
  <c r="K253" i="5"/>
  <c r="Q253" i="5"/>
  <c r="BA253" i="73" s="1"/>
  <c r="K255" i="5"/>
  <c r="Q255" i="5"/>
  <c r="BA255" i="73" s="1"/>
  <c r="K257" i="5"/>
  <c r="Q257" i="5"/>
  <c r="BA257" i="73" s="1"/>
  <c r="K259" i="5"/>
  <c r="Q259" i="5"/>
  <c r="BA259" i="73" s="1"/>
  <c r="K261" i="5"/>
  <c r="Q261" i="5"/>
  <c r="BA261" i="73" s="1"/>
  <c r="K263" i="5"/>
  <c r="Q263" i="5"/>
  <c r="BA263" i="73" s="1"/>
  <c r="K265" i="5"/>
  <c r="Q265" i="5"/>
  <c r="BA265" i="73" s="1"/>
  <c r="K267" i="5"/>
  <c r="Q267" i="5"/>
  <c r="BA267" i="73" s="1"/>
  <c r="O269" i="5"/>
  <c r="T271" i="5"/>
  <c r="AX271" i="73" s="1"/>
  <c r="O273" i="5"/>
  <c r="T275" i="5"/>
  <c r="AX275" i="73" s="1"/>
  <c r="O277" i="5"/>
  <c r="T279" i="5"/>
  <c r="AX279" i="73" s="1"/>
  <c r="T281" i="5"/>
  <c r="AX281" i="73" s="1"/>
  <c r="O283" i="5"/>
  <c r="AV283" i="73" s="1"/>
  <c r="T285" i="5"/>
  <c r="AX285" i="73" s="1"/>
  <c r="O287" i="5"/>
  <c r="AV287" i="73" s="1"/>
  <c r="Q289" i="5"/>
  <c r="BA289" i="73" s="1"/>
  <c r="K291" i="5"/>
  <c r="Q293" i="5"/>
  <c r="BA293" i="73" s="1"/>
  <c r="K295" i="5"/>
  <c r="AD223" i="5"/>
  <c r="M225" i="5"/>
  <c r="K225" i="5"/>
  <c r="O225" i="5"/>
  <c r="P225" i="5"/>
  <c r="T225" i="5"/>
  <c r="AX225" i="73" s="1"/>
  <c r="Q225" i="5"/>
  <c r="BA225" i="73" s="1"/>
  <c r="AD225" i="5"/>
  <c r="M227" i="5"/>
  <c r="K227" i="5"/>
  <c r="AR227" i="73" s="1"/>
  <c r="O227" i="5"/>
  <c r="AV227" i="73" s="1"/>
  <c r="P227" i="5"/>
  <c r="AW227" i="73" s="1"/>
  <c r="T227" i="5"/>
  <c r="AX227" i="73" s="1"/>
  <c r="Q227" i="5"/>
  <c r="BA227" i="73" s="1"/>
  <c r="AD227" i="5"/>
  <c r="M229" i="5"/>
  <c r="K229" i="5"/>
  <c r="O229" i="5"/>
  <c r="AV229" i="73" s="1"/>
  <c r="P229" i="5"/>
  <c r="T229" i="5"/>
  <c r="AX229" i="73" s="1"/>
  <c r="Q229" i="5"/>
  <c r="BA229" i="73" s="1"/>
  <c r="AD229" i="5"/>
  <c r="M231" i="5"/>
  <c r="K231" i="5"/>
  <c r="AR231" i="73" s="1"/>
  <c r="O231" i="5"/>
  <c r="AV231" i="73" s="1"/>
  <c r="P231" i="5"/>
  <c r="AW231" i="73" s="1"/>
  <c r="T231" i="5"/>
  <c r="AX231" i="73" s="1"/>
  <c r="Q231" i="5"/>
  <c r="BA231" i="73" s="1"/>
  <c r="AD231" i="5"/>
  <c r="M233" i="5"/>
  <c r="K233" i="5"/>
  <c r="O233" i="5"/>
  <c r="P233" i="5"/>
  <c r="T233" i="5"/>
  <c r="AX233" i="73" s="1"/>
  <c r="Q233" i="5"/>
  <c r="BA233" i="73" s="1"/>
  <c r="AD233" i="5"/>
  <c r="M235" i="5"/>
  <c r="K235" i="5"/>
  <c r="AR235" i="73" s="1"/>
  <c r="O235" i="5"/>
  <c r="AV235" i="73" s="1"/>
  <c r="P235" i="5"/>
  <c r="AW235" i="73" s="1"/>
  <c r="T235" i="5"/>
  <c r="AX235" i="73" s="1"/>
  <c r="Q235" i="5"/>
  <c r="BA235" i="73" s="1"/>
  <c r="AD235" i="5"/>
  <c r="M237" i="5"/>
  <c r="K237" i="5"/>
  <c r="O237" i="5"/>
  <c r="AV237" i="73" s="1"/>
  <c r="P237" i="5"/>
  <c r="T237" i="5"/>
  <c r="AX237" i="73" s="1"/>
  <c r="Q237" i="5"/>
  <c r="BA237" i="73" s="1"/>
  <c r="AD237" i="5"/>
  <c r="M239" i="5"/>
  <c r="K239" i="5"/>
  <c r="AR239" i="73" s="1"/>
  <c r="O239" i="5"/>
  <c r="AV239" i="73" s="1"/>
  <c r="P239" i="5"/>
  <c r="AW239" i="73" s="1"/>
  <c r="T239" i="5"/>
  <c r="AX239" i="73" s="1"/>
  <c r="Q239" i="5"/>
  <c r="BA239" i="73" s="1"/>
  <c r="AD239" i="5"/>
  <c r="M241" i="5"/>
  <c r="K241" i="5"/>
  <c r="O241" i="5"/>
  <c r="P241" i="5"/>
  <c r="T241" i="5"/>
  <c r="AX241" i="73" s="1"/>
  <c r="Q241" i="5"/>
  <c r="BA241" i="73" s="1"/>
  <c r="AD241" i="5"/>
  <c r="M243" i="5"/>
  <c r="K243" i="5"/>
  <c r="AR243" i="73" s="1"/>
  <c r="O243" i="5"/>
  <c r="AV243" i="73" s="1"/>
  <c r="P243" i="5"/>
  <c r="AW243" i="73" s="1"/>
  <c r="T243" i="5"/>
  <c r="AX243" i="73" s="1"/>
  <c r="Q243" i="5"/>
  <c r="BA243" i="73" s="1"/>
  <c r="AD243" i="5"/>
  <c r="M245" i="5"/>
  <c r="K245" i="5"/>
  <c r="O245" i="5"/>
  <c r="AV245" i="73" s="1"/>
  <c r="P245" i="5"/>
  <c r="T245" i="5"/>
  <c r="AX245" i="73" s="1"/>
  <c r="Q245" i="5"/>
  <c r="BA245" i="73" s="1"/>
  <c r="AD245" i="5"/>
  <c r="M247" i="5"/>
  <c r="K247" i="5"/>
  <c r="AR247" i="73" s="1"/>
  <c r="O247" i="5"/>
  <c r="AV247" i="73" s="1"/>
  <c r="P247" i="5"/>
  <c r="AW247" i="73" s="1"/>
  <c r="T247" i="5"/>
  <c r="AX247" i="73" s="1"/>
  <c r="Q247" i="5"/>
  <c r="BA247" i="73" s="1"/>
  <c r="AD247" i="5"/>
  <c r="M249" i="5"/>
  <c r="K249" i="5"/>
  <c r="O249" i="5"/>
  <c r="P249" i="5"/>
  <c r="T249" i="5"/>
  <c r="AX249" i="73" s="1"/>
  <c r="Q249" i="5"/>
  <c r="BA249" i="73" s="1"/>
  <c r="AD249" i="5"/>
  <c r="M251" i="5"/>
  <c r="K251" i="5"/>
  <c r="AR251" i="73" s="1"/>
  <c r="O251" i="5"/>
  <c r="AV251" i="73" s="1"/>
  <c r="P251" i="5"/>
  <c r="AW251" i="73" s="1"/>
  <c r="T251" i="5"/>
  <c r="AX251" i="73" s="1"/>
  <c r="Q251" i="5"/>
  <c r="BA251" i="73" s="1"/>
  <c r="AD251" i="5"/>
  <c r="M253" i="5"/>
  <c r="O253" i="5"/>
  <c r="T253" i="5"/>
  <c r="AX253" i="73" s="1"/>
  <c r="AD253" i="5"/>
  <c r="M255" i="5"/>
  <c r="O255" i="5"/>
  <c r="T255" i="5"/>
  <c r="AX255" i="73" s="1"/>
  <c r="AD255" i="5"/>
  <c r="M257" i="5"/>
  <c r="O257" i="5"/>
  <c r="T257" i="5"/>
  <c r="AX257" i="73" s="1"/>
  <c r="AD257" i="5"/>
  <c r="M259" i="5"/>
  <c r="O259" i="5"/>
  <c r="T259" i="5"/>
  <c r="AX259" i="73" s="1"/>
  <c r="AD259" i="5"/>
  <c r="M261" i="5"/>
  <c r="O261" i="5"/>
  <c r="T261" i="5"/>
  <c r="AX261" i="73" s="1"/>
  <c r="AD261" i="5"/>
  <c r="M263" i="5"/>
  <c r="O263" i="5"/>
  <c r="T263" i="5"/>
  <c r="AX263" i="73" s="1"/>
  <c r="AD263" i="5"/>
  <c r="M265" i="5"/>
  <c r="O265" i="5"/>
  <c r="T265" i="5"/>
  <c r="AX265" i="73" s="1"/>
  <c r="AD265" i="5"/>
  <c r="M267" i="5"/>
  <c r="O267" i="5"/>
  <c r="T267" i="5"/>
  <c r="AX267" i="73" s="1"/>
  <c r="AD267" i="5"/>
  <c r="M269" i="5"/>
  <c r="T269" i="5"/>
  <c r="AX269" i="73" s="1"/>
  <c r="O271" i="5"/>
  <c r="AD271" i="5"/>
  <c r="M273" i="5"/>
  <c r="T273" i="5"/>
  <c r="AX273" i="73" s="1"/>
  <c r="O275" i="5"/>
  <c r="AD275" i="5"/>
  <c r="M277" i="5"/>
  <c r="T277" i="5"/>
  <c r="AX277" i="73" s="1"/>
  <c r="O279" i="5"/>
  <c r="AD279" i="5"/>
  <c r="M281" i="5"/>
  <c r="AD283" i="5"/>
  <c r="M285" i="5"/>
  <c r="Q325" i="5"/>
  <c r="BA325" i="73" s="1"/>
  <c r="K327" i="5"/>
  <c r="Q333" i="5"/>
  <c r="BA333" i="73" s="1"/>
  <c r="K335" i="5"/>
  <c r="Q341" i="5"/>
  <c r="BA341" i="73" s="1"/>
  <c r="J345" i="5"/>
  <c r="AT345" i="73" s="1"/>
  <c r="K269" i="5"/>
  <c r="P269" i="5"/>
  <c r="Q269" i="5"/>
  <c r="BA269" i="73" s="1"/>
  <c r="K271" i="5"/>
  <c r="P271" i="5"/>
  <c r="Q271" i="5"/>
  <c r="BA271" i="73" s="1"/>
  <c r="K273" i="5"/>
  <c r="P273" i="5"/>
  <c r="Q273" i="5"/>
  <c r="BA273" i="73" s="1"/>
  <c r="K275" i="5"/>
  <c r="P275" i="5"/>
  <c r="Q275" i="5"/>
  <c r="BA275" i="73" s="1"/>
  <c r="K277" i="5"/>
  <c r="P277" i="5"/>
  <c r="Q277" i="5"/>
  <c r="BA277" i="73" s="1"/>
  <c r="K279" i="5"/>
  <c r="P279" i="5"/>
  <c r="Q279" i="5"/>
  <c r="BA279" i="73" s="1"/>
  <c r="O281" i="5"/>
  <c r="AV281" i="73" s="1"/>
  <c r="AD281" i="5"/>
  <c r="M283" i="5"/>
  <c r="T283" i="5"/>
  <c r="AX283" i="73" s="1"/>
  <c r="O285" i="5"/>
  <c r="AV285" i="73" s="1"/>
  <c r="AD285" i="5"/>
  <c r="M287" i="5"/>
  <c r="Q287" i="5"/>
  <c r="BA287" i="73" s="1"/>
  <c r="K289" i="5"/>
  <c r="Q291" i="5"/>
  <c r="BA291" i="73" s="1"/>
  <c r="K293" i="5"/>
  <c r="Q295" i="5"/>
  <c r="BA295" i="73" s="1"/>
  <c r="K297" i="5"/>
  <c r="Q299" i="5"/>
  <c r="BA299" i="73" s="1"/>
  <c r="K301" i="5"/>
  <c r="Q303" i="5"/>
  <c r="BA303" i="73" s="1"/>
  <c r="K305" i="5"/>
  <c r="Q307" i="5"/>
  <c r="BA307" i="73" s="1"/>
  <c r="K309" i="5"/>
  <c r="Q311" i="5"/>
  <c r="BA311" i="73" s="1"/>
  <c r="K313" i="5"/>
  <c r="Q315" i="5"/>
  <c r="BA315" i="73" s="1"/>
  <c r="K317" i="5"/>
  <c r="Q319" i="5"/>
  <c r="BA319" i="73" s="1"/>
  <c r="K321" i="5"/>
  <c r="Q323" i="5"/>
  <c r="BA323" i="73" s="1"/>
  <c r="K329" i="5"/>
  <c r="Q331" i="5"/>
  <c r="BA331" i="73" s="1"/>
  <c r="K337" i="5"/>
  <c r="Q339" i="5"/>
  <c r="BA339" i="73" s="1"/>
  <c r="K347" i="5"/>
  <c r="AR347" i="73" s="1"/>
  <c r="L253" i="5"/>
  <c r="J253" i="5"/>
  <c r="AT253" i="73" s="1"/>
  <c r="N253" i="5"/>
  <c r="AU253" i="73" s="1"/>
  <c r="U253" i="5"/>
  <c r="V253" i="5"/>
  <c r="AZ253" i="73" s="1"/>
  <c r="AC253" i="5"/>
  <c r="BB253" i="73" s="1"/>
  <c r="L255" i="5"/>
  <c r="J255" i="5"/>
  <c r="AT255" i="73" s="1"/>
  <c r="N255" i="5"/>
  <c r="AU255" i="73" s="1"/>
  <c r="U255" i="5"/>
  <c r="V255" i="5"/>
  <c r="AC255" i="5"/>
  <c r="BB255" i="73" s="1"/>
  <c r="L257" i="5"/>
  <c r="J257" i="5"/>
  <c r="AT257" i="73" s="1"/>
  <c r="N257" i="5"/>
  <c r="AU257" i="73" s="1"/>
  <c r="U257" i="5"/>
  <c r="V257" i="5"/>
  <c r="AZ257" i="73" s="1"/>
  <c r="AC257" i="5"/>
  <c r="BB257" i="73" s="1"/>
  <c r="L259" i="5"/>
  <c r="J259" i="5"/>
  <c r="AT259" i="73" s="1"/>
  <c r="N259" i="5"/>
  <c r="AU259" i="73" s="1"/>
  <c r="U259" i="5"/>
  <c r="V259" i="5"/>
  <c r="AC259" i="5"/>
  <c r="BB259" i="73" s="1"/>
  <c r="L261" i="5"/>
  <c r="J261" i="5"/>
  <c r="AT261" i="73" s="1"/>
  <c r="N261" i="5"/>
  <c r="AU261" i="73" s="1"/>
  <c r="U261" i="5"/>
  <c r="V261" i="5"/>
  <c r="AZ261" i="73" s="1"/>
  <c r="AC261" i="5"/>
  <c r="BB261" i="73" s="1"/>
  <c r="L263" i="5"/>
  <c r="J263" i="5"/>
  <c r="AT263" i="73" s="1"/>
  <c r="N263" i="5"/>
  <c r="AU263" i="73" s="1"/>
  <c r="U263" i="5"/>
  <c r="V263" i="5"/>
  <c r="AC263" i="5"/>
  <c r="BB263" i="73" s="1"/>
  <c r="L265" i="5"/>
  <c r="J265" i="5"/>
  <c r="AT265" i="73" s="1"/>
  <c r="N265" i="5"/>
  <c r="AU265" i="73" s="1"/>
  <c r="U265" i="5"/>
  <c r="V265" i="5"/>
  <c r="AZ265" i="73" s="1"/>
  <c r="AC265" i="5"/>
  <c r="BB265" i="73" s="1"/>
  <c r="L267" i="5"/>
  <c r="J267" i="5"/>
  <c r="AT267" i="73" s="1"/>
  <c r="N267" i="5"/>
  <c r="AU267" i="73" s="1"/>
  <c r="U267" i="5"/>
  <c r="V267" i="5"/>
  <c r="AC267" i="5"/>
  <c r="BB267" i="73" s="1"/>
  <c r="L269" i="5"/>
  <c r="J269" i="5"/>
  <c r="AT269" i="73" s="1"/>
  <c r="N269" i="5"/>
  <c r="AU269" i="73" s="1"/>
  <c r="U269" i="5"/>
  <c r="AY269" i="73" s="1"/>
  <c r="V269" i="5"/>
  <c r="AZ269" i="73" s="1"/>
  <c r="AC269" i="5"/>
  <c r="BB269" i="73" s="1"/>
  <c r="L271" i="5"/>
  <c r="J271" i="5"/>
  <c r="AT271" i="73" s="1"/>
  <c r="N271" i="5"/>
  <c r="AU271" i="73" s="1"/>
  <c r="U271" i="5"/>
  <c r="V271" i="5"/>
  <c r="AZ271" i="73" s="1"/>
  <c r="AC271" i="5"/>
  <c r="BB271" i="73" s="1"/>
  <c r="L273" i="5"/>
  <c r="J273" i="5"/>
  <c r="AT273" i="73" s="1"/>
  <c r="N273" i="5"/>
  <c r="AU273" i="73" s="1"/>
  <c r="U273" i="5"/>
  <c r="AY273" i="73" s="1"/>
  <c r="V273" i="5"/>
  <c r="AZ273" i="73" s="1"/>
  <c r="AC273" i="5"/>
  <c r="BB273" i="73" s="1"/>
  <c r="L275" i="5"/>
  <c r="J275" i="5"/>
  <c r="AT275" i="73" s="1"/>
  <c r="N275" i="5"/>
  <c r="AU275" i="73" s="1"/>
  <c r="U275" i="5"/>
  <c r="V275" i="5"/>
  <c r="AZ275" i="73" s="1"/>
  <c r="AC275" i="5"/>
  <c r="BB275" i="73" s="1"/>
  <c r="L277" i="5"/>
  <c r="J277" i="5"/>
  <c r="AT277" i="73" s="1"/>
  <c r="N277" i="5"/>
  <c r="AU277" i="73" s="1"/>
  <c r="U277" i="5"/>
  <c r="AY277" i="73" s="1"/>
  <c r="V277" i="5"/>
  <c r="AZ277" i="73" s="1"/>
  <c r="AC277" i="5"/>
  <c r="BB277" i="73" s="1"/>
  <c r="L279" i="5"/>
  <c r="J279" i="5"/>
  <c r="AT279" i="73" s="1"/>
  <c r="N279" i="5"/>
  <c r="AU279" i="73" s="1"/>
  <c r="U279" i="5"/>
  <c r="V279" i="5"/>
  <c r="AZ279" i="73" s="1"/>
  <c r="AC279" i="5"/>
  <c r="BB279" i="73" s="1"/>
  <c r="K281" i="5"/>
  <c r="AR281" i="73" s="1"/>
  <c r="P281" i="5"/>
  <c r="AW281" i="73" s="1"/>
  <c r="Q281" i="5"/>
  <c r="BA281" i="73" s="1"/>
  <c r="K283" i="5"/>
  <c r="AR283" i="73" s="1"/>
  <c r="P283" i="5"/>
  <c r="AW283" i="73" s="1"/>
  <c r="Q283" i="5"/>
  <c r="BA283" i="73" s="1"/>
  <c r="K285" i="5"/>
  <c r="P285" i="5"/>
  <c r="AW285" i="73" s="1"/>
  <c r="Q285" i="5"/>
  <c r="BA285" i="73" s="1"/>
  <c r="K287" i="5"/>
  <c r="AR287" i="73" s="1"/>
  <c r="Q297" i="5"/>
  <c r="BA297" i="73" s="1"/>
  <c r="K299" i="5"/>
  <c r="Q301" i="5"/>
  <c r="BA301" i="73" s="1"/>
  <c r="K303" i="5"/>
  <c r="Q305" i="5"/>
  <c r="BA305" i="73" s="1"/>
  <c r="K307" i="5"/>
  <c r="Q309" i="5"/>
  <c r="BA309" i="73" s="1"/>
  <c r="K311" i="5"/>
  <c r="Q313" i="5"/>
  <c r="BA313" i="73" s="1"/>
  <c r="K315" i="5"/>
  <c r="Q317" i="5"/>
  <c r="BA317" i="73" s="1"/>
  <c r="K319" i="5"/>
  <c r="Q321" i="5"/>
  <c r="BA321" i="73" s="1"/>
  <c r="K323" i="5"/>
  <c r="K325" i="5"/>
  <c r="Q327" i="5"/>
  <c r="BA327" i="73" s="1"/>
  <c r="Q329" i="5"/>
  <c r="BA329" i="73" s="1"/>
  <c r="K331" i="5"/>
  <c r="K333" i="5"/>
  <c r="Q335" i="5"/>
  <c r="BA335" i="73" s="1"/>
  <c r="Q337" i="5"/>
  <c r="BA337" i="73" s="1"/>
  <c r="K339" i="5"/>
  <c r="K341" i="5"/>
  <c r="AC345" i="5"/>
  <c r="BB345" i="73" s="1"/>
  <c r="O349" i="5"/>
  <c r="AV349" i="73" s="1"/>
  <c r="GJ189" i="15"/>
  <c r="GJ185" i="15"/>
  <c r="GJ181" i="15"/>
  <c r="GJ177" i="15"/>
  <c r="GJ173" i="15"/>
  <c r="GJ169" i="15"/>
  <c r="GJ165" i="15"/>
  <c r="GJ161" i="15"/>
  <c r="GJ157" i="15"/>
  <c r="GJ153" i="15"/>
  <c r="GJ149" i="15"/>
  <c r="GJ145" i="15"/>
  <c r="GJ141" i="15"/>
  <c r="GJ137" i="15"/>
  <c r="GJ133" i="15"/>
  <c r="GJ129" i="15"/>
  <c r="GJ125" i="15"/>
  <c r="GJ121" i="15"/>
  <c r="GJ117" i="15"/>
  <c r="GJ113" i="15"/>
  <c r="GJ109" i="15"/>
  <c r="GJ105" i="15"/>
  <c r="GJ101" i="15"/>
  <c r="GJ97" i="15"/>
  <c r="GJ93" i="15"/>
  <c r="GJ89" i="15"/>
  <c r="GJ85" i="15"/>
  <c r="GJ81" i="15"/>
  <c r="GJ77" i="15"/>
  <c r="GJ73" i="15"/>
  <c r="GJ69" i="15"/>
  <c r="GJ65" i="15"/>
  <c r="GJ61" i="15"/>
  <c r="GJ57" i="15"/>
  <c r="GJ53" i="15"/>
  <c r="GJ49" i="15"/>
  <c r="GJ45" i="15"/>
  <c r="GJ41" i="15"/>
  <c r="GJ37" i="15"/>
  <c r="GJ33" i="15"/>
  <c r="GJ29" i="15"/>
  <c r="AT29" i="5" s="1"/>
  <c r="GJ25" i="15"/>
  <c r="AT110" i="82"/>
  <c r="AT110" i="83"/>
  <c r="AT110" i="84"/>
  <c r="AT110" i="86"/>
  <c r="AT110" i="85"/>
  <c r="AT110" i="87"/>
  <c r="AT110" i="89"/>
  <c r="AT110" i="88"/>
  <c r="AT110" i="90"/>
  <c r="AT100" i="82"/>
  <c r="AT100" i="83"/>
  <c r="AT100" i="84"/>
  <c r="AT100" i="86"/>
  <c r="AT100" i="85"/>
  <c r="AT100" i="87"/>
  <c r="AT100" i="89"/>
  <c r="AT100" i="88"/>
  <c r="AT100" i="90"/>
  <c r="BA110" i="82"/>
  <c r="BA110" i="84"/>
  <c r="BA110" i="83"/>
  <c r="BA110" i="85"/>
  <c r="BA110" i="86"/>
  <c r="BA110" i="88"/>
  <c r="BA110" i="90"/>
  <c r="BA110" i="87"/>
  <c r="BA110" i="89"/>
  <c r="BA349" i="82"/>
  <c r="BA349" i="83"/>
  <c r="BA349" i="85"/>
  <c r="BA349" i="84"/>
  <c r="BA349" i="86"/>
  <c r="BA349" i="87"/>
  <c r="BA349" i="89"/>
  <c r="BA349" i="88"/>
  <c r="BA349" i="90"/>
  <c r="AX347" i="82"/>
  <c r="AX347" i="83"/>
  <c r="AX347" i="84"/>
  <c r="AX347" i="85"/>
  <c r="AX347" i="87"/>
  <c r="AX347" i="86"/>
  <c r="AX347" i="88"/>
  <c r="AX347" i="90"/>
  <c r="AX347" i="89"/>
  <c r="BA345" i="82"/>
  <c r="BA345" i="83"/>
  <c r="BA345" i="85"/>
  <c r="BA345" i="84"/>
  <c r="BA345" i="86"/>
  <c r="BA345" i="87"/>
  <c r="BA345" i="89"/>
  <c r="BA345" i="88"/>
  <c r="BA345" i="90"/>
  <c r="BB343" i="82"/>
  <c r="BB343" i="83"/>
  <c r="BB343" i="84"/>
  <c r="BB343" i="85"/>
  <c r="BB343" i="87"/>
  <c r="BB343" i="86"/>
  <c r="BB343" i="88"/>
  <c r="BB343" i="90"/>
  <c r="BB343" i="89"/>
  <c r="AT343" i="82"/>
  <c r="AT343" i="83"/>
  <c r="AT343" i="84"/>
  <c r="AT343" i="85"/>
  <c r="AT343" i="87"/>
  <c r="AT343" i="86"/>
  <c r="AT343" i="88"/>
  <c r="AT343" i="90"/>
  <c r="AT343" i="89"/>
  <c r="AU341" i="82"/>
  <c r="AU341" i="83"/>
  <c r="AU341" i="85"/>
  <c r="AU341" i="84"/>
  <c r="AU341" i="86"/>
  <c r="AU341" i="87"/>
  <c r="AU341" i="89"/>
  <c r="AU341" i="88"/>
  <c r="AU341" i="90"/>
  <c r="AU339" i="82"/>
  <c r="AU339" i="83"/>
  <c r="AU339" i="85"/>
  <c r="AU339" i="84"/>
  <c r="AU339" i="86"/>
  <c r="AU339" i="87"/>
  <c r="AU339" i="89"/>
  <c r="AU339" i="88"/>
  <c r="AU339" i="90"/>
  <c r="AU337" i="82"/>
  <c r="AU337" i="83"/>
  <c r="AU337" i="85"/>
  <c r="AU337" i="84"/>
  <c r="AU337" i="86"/>
  <c r="AU337" i="87"/>
  <c r="AU337" i="89"/>
  <c r="AU337" i="88"/>
  <c r="AU337" i="90"/>
  <c r="AU335" i="82"/>
  <c r="AU335" i="83"/>
  <c r="AU335" i="85"/>
  <c r="AU335" i="84"/>
  <c r="AU335" i="86"/>
  <c r="AU335" i="87"/>
  <c r="AU335" i="89"/>
  <c r="AU335" i="88"/>
  <c r="AU335" i="90"/>
  <c r="AU333" i="82"/>
  <c r="AU333" i="83"/>
  <c r="AU333" i="85"/>
  <c r="AU333" i="84"/>
  <c r="AU333" i="86"/>
  <c r="AU333" i="87"/>
  <c r="AU333" i="89"/>
  <c r="AU333" i="88"/>
  <c r="AU333" i="90"/>
  <c r="AU331" i="82"/>
  <c r="AU331" i="83"/>
  <c r="AU331" i="85"/>
  <c r="AU331" i="84"/>
  <c r="AU331" i="86"/>
  <c r="AU331" i="87"/>
  <c r="AU331" i="89"/>
  <c r="AU331" i="88"/>
  <c r="AU331" i="90"/>
  <c r="AU329" i="82"/>
  <c r="AU329" i="83"/>
  <c r="AU329" i="85"/>
  <c r="AU329" i="84"/>
  <c r="AU329" i="86"/>
  <c r="AU329" i="87"/>
  <c r="AU329" i="89"/>
  <c r="AU329" i="88"/>
  <c r="AU329" i="90"/>
  <c r="AU327" i="82"/>
  <c r="AU327" i="83"/>
  <c r="AU327" i="85"/>
  <c r="AU327" i="84"/>
  <c r="AU327" i="86"/>
  <c r="AU327" i="87"/>
  <c r="AU327" i="89"/>
  <c r="AU327" i="88"/>
  <c r="AU327" i="90"/>
  <c r="AU325" i="82"/>
  <c r="AU325" i="83"/>
  <c r="AU325" i="85"/>
  <c r="AU325" i="84"/>
  <c r="AU325" i="86"/>
  <c r="AU325" i="87"/>
  <c r="AU325" i="89"/>
  <c r="AU325" i="88"/>
  <c r="AU325" i="90"/>
  <c r="AU323" i="82"/>
  <c r="AU323" i="83"/>
  <c r="AU323" i="85"/>
  <c r="AU323" i="84"/>
  <c r="AU323" i="86"/>
  <c r="AU323" i="87"/>
  <c r="AU323" i="89"/>
  <c r="AU323" i="88"/>
  <c r="AU323" i="90"/>
  <c r="AU321" i="82"/>
  <c r="AU321" i="83"/>
  <c r="AU321" i="85"/>
  <c r="AU321" i="84"/>
  <c r="AU321" i="86"/>
  <c r="AU321" i="87"/>
  <c r="AU321" i="89"/>
  <c r="AU321" i="88"/>
  <c r="AU321" i="90"/>
  <c r="AU319" i="82"/>
  <c r="AU319" i="83"/>
  <c r="AU319" i="85"/>
  <c r="AU319" i="84"/>
  <c r="AU319" i="86"/>
  <c r="AU319" i="87"/>
  <c r="AU319" i="89"/>
  <c r="AU319" i="88"/>
  <c r="AU319" i="90"/>
  <c r="AU317" i="82"/>
  <c r="AU317" i="83"/>
  <c r="AU317" i="85"/>
  <c r="AU317" i="84"/>
  <c r="AU317" i="86"/>
  <c r="AU317" i="87"/>
  <c r="AU317" i="89"/>
  <c r="AU317" i="88"/>
  <c r="AU317" i="90"/>
  <c r="AU315" i="82"/>
  <c r="AU315" i="83"/>
  <c r="AU315" i="85"/>
  <c r="AU315" i="84"/>
  <c r="AU315" i="86"/>
  <c r="AU315" i="87"/>
  <c r="AU315" i="89"/>
  <c r="AU315" i="88"/>
  <c r="AU315" i="90"/>
  <c r="AU313" i="82"/>
  <c r="AU313" i="83"/>
  <c r="AU313" i="85"/>
  <c r="AU313" i="84"/>
  <c r="AU313" i="86"/>
  <c r="AU313" i="87"/>
  <c r="AU313" i="89"/>
  <c r="AU313" i="88"/>
  <c r="AU313" i="90"/>
  <c r="AU311" i="82"/>
  <c r="AU311" i="83"/>
  <c r="AU311" i="85"/>
  <c r="AU311" i="84"/>
  <c r="AU311" i="86"/>
  <c r="AU311" i="87"/>
  <c r="AU311" i="89"/>
  <c r="AU311" i="88"/>
  <c r="AU311" i="90"/>
  <c r="AU309" i="82"/>
  <c r="AU309" i="83"/>
  <c r="AU309" i="85"/>
  <c r="AU309" i="84"/>
  <c r="AU309" i="86"/>
  <c r="AU309" i="87"/>
  <c r="AU309" i="89"/>
  <c r="AU309" i="88"/>
  <c r="AU309" i="90"/>
  <c r="AU307" i="82"/>
  <c r="AU307" i="83"/>
  <c r="AU307" i="85"/>
  <c r="AU307" i="84"/>
  <c r="AU307" i="86"/>
  <c r="AU307" i="87"/>
  <c r="AU307" i="89"/>
  <c r="AU307" i="88"/>
  <c r="AU307" i="90"/>
  <c r="AU305" i="82"/>
  <c r="AU305" i="83"/>
  <c r="AU305" i="85"/>
  <c r="AU305" i="84"/>
  <c r="AU305" i="86"/>
  <c r="AU305" i="87"/>
  <c r="AU305" i="89"/>
  <c r="AU305" i="88"/>
  <c r="AU305" i="90"/>
  <c r="AU303" i="82"/>
  <c r="AU303" i="83"/>
  <c r="AU303" i="85"/>
  <c r="AU303" i="84"/>
  <c r="AU303" i="86"/>
  <c r="AU303" i="87"/>
  <c r="AU303" i="89"/>
  <c r="AU303" i="88"/>
  <c r="AU303" i="90"/>
  <c r="AU301" i="82"/>
  <c r="AU301" i="83"/>
  <c r="AU301" i="85"/>
  <c r="AU301" i="84"/>
  <c r="AU301" i="86"/>
  <c r="AU301" i="87"/>
  <c r="AU301" i="89"/>
  <c r="AU301" i="88"/>
  <c r="AU301" i="90"/>
  <c r="AU299" i="82"/>
  <c r="AU299" i="83"/>
  <c r="AU299" i="85"/>
  <c r="AU299" i="84"/>
  <c r="AU299" i="86"/>
  <c r="AU299" i="87"/>
  <c r="AU299" i="89"/>
  <c r="AU299" i="88"/>
  <c r="AU299" i="90"/>
  <c r="AU297" i="82"/>
  <c r="AU297" i="83"/>
  <c r="AU297" i="85"/>
  <c r="AU297" i="84"/>
  <c r="AU297" i="86"/>
  <c r="AU297" i="87"/>
  <c r="AU297" i="89"/>
  <c r="AU297" i="88"/>
  <c r="AU297" i="90"/>
  <c r="AU295" i="82"/>
  <c r="AU295" i="83"/>
  <c r="AU295" i="85"/>
  <c r="AU295" i="84"/>
  <c r="AU295" i="86"/>
  <c r="AU295" i="87"/>
  <c r="AU295" i="89"/>
  <c r="AU295" i="88"/>
  <c r="AU295" i="90"/>
  <c r="AU293" i="82"/>
  <c r="AU293" i="83"/>
  <c r="AU293" i="85"/>
  <c r="AU293" i="84"/>
  <c r="AU293" i="86"/>
  <c r="AU293" i="87"/>
  <c r="AU293" i="89"/>
  <c r="AU293" i="88"/>
  <c r="AU293" i="90"/>
  <c r="AU291" i="82"/>
  <c r="AU291" i="83"/>
  <c r="AU291" i="85"/>
  <c r="AU291" i="84"/>
  <c r="AU291" i="86"/>
  <c r="AU291" i="87"/>
  <c r="AU291" i="89"/>
  <c r="AU291" i="88"/>
  <c r="AU291" i="90"/>
  <c r="AU289" i="82"/>
  <c r="AU289" i="83"/>
  <c r="AU289" i="85"/>
  <c r="AU289" i="84"/>
  <c r="AU289" i="86"/>
  <c r="AU289" i="87"/>
  <c r="AU289" i="89"/>
  <c r="AU289" i="88"/>
  <c r="AU289" i="90"/>
  <c r="AU287" i="82"/>
  <c r="AU287" i="83"/>
  <c r="AU287" i="85"/>
  <c r="AU287" i="84"/>
  <c r="AU287" i="86"/>
  <c r="AU287" i="87"/>
  <c r="AU287" i="89"/>
  <c r="AU287" i="88"/>
  <c r="AU287" i="90"/>
  <c r="AZ285" i="82"/>
  <c r="AZ285" i="84"/>
  <c r="AZ285" i="87"/>
  <c r="AZ285" i="88"/>
  <c r="AZ285" i="89"/>
  <c r="AU285" i="82"/>
  <c r="AU285" i="83"/>
  <c r="AU285" i="85"/>
  <c r="AU285" i="84"/>
  <c r="AU285" i="86"/>
  <c r="AU285" i="87"/>
  <c r="AU285" i="89"/>
  <c r="AU285" i="88"/>
  <c r="AU285" i="90"/>
  <c r="AU283" i="82"/>
  <c r="AU283" i="83"/>
  <c r="AU283" i="85"/>
  <c r="AU283" i="84"/>
  <c r="AU283" i="86"/>
  <c r="AU283" i="87"/>
  <c r="AU283" i="89"/>
  <c r="AU283" i="88"/>
  <c r="AU283" i="90"/>
  <c r="AZ281" i="83"/>
  <c r="AZ281" i="85"/>
  <c r="AZ281" i="86"/>
  <c r="AZ281" i="90"/>
  <c r="AU281" i="82"/>
  <c r="AU281" i="83"/>
  <c r="AU281" i="85"/>
  <c r="AU281" i="84"/>
  <c r="AU281" i="86"/>
  <c r="AU281" i="87"/>
  <c r="AU281" i="89"/>
  <c r="AU281" i="88"/>
  <c r="AU281" i="90"/>
  <c r="AT349" i="82"/>
  <c r="AT349" i="83"/>
  <c r="AT349" i="84"/>
  <c r="AT349" i="85"/>
  <c r="AT349" i="87"/>
  <c r="AT349" i="86"/>
  <c r="AT349" i="88"/>
  <c r="AT349" i="90"/>
  <c r="AT349" i="89"/>
  <c r="BB349" i="82"/>
  <c r="BB349" i="83"/>
  <c r="BB349" i="84"/>
  <c r="BB349" i="85"/>
  <c r="BB349" i="87"/>
  <c r="BB349" i="86"/>
  <c r="BB349" i="88"/>
  <c r="BB349" i="90"/>
  <c r="BB349" i="89"/>
  <c r="AT80" i="82"/>
  <c r="AT80" i="83"/>
  <c r="AT80" i="84"/>
  <c r="AT80" i="86"/>
  <c r="AT80" i="85"/>
  <c r="AT80" i="87"/>
  <c r="AT80" i="89"/>
  <c r="AT80" i="88"/>
  <c r="AT80" i="90"/>
  <c r="AT84" i="82"/>
  <c r="AT84" i="83"/>
  <c r="AT84" i="84"/>
  <c r="AT84" i="86"/>
  <c r="AT84" i="85"/>
  <c r="AT84" i="87"/>
  <c r="AT84" i="89"/>
  <c r="AT84" i="88"/>
  <c r="AT84" i="90"/>
  <c r="AT118" i="82"/>
  <c r="AT118" i="83"/>
  <c r="AT118" i="84"/>
  <c r="AT118" i="86"/>
  <c r="AT118" i="85"/>
  <c r="AT118" i="87"/>
  <c r="AT118" i="89"/>
  <c r="AT118" i="88"/>
  <c r="AT118" i="90"/>
  <c r="AT124" i="82"/>
  <c r="AT124" i="83"/>
  <c r="AT124" i="84"/>
  <c r="AT124" i="86"/>
  <c r="AT124" i="85"/>
  <c r="AT124" i="87"/>
  <c r="AT124" i="89"/>
  <c r="AT124" i="88"/>
  <c r="AT124" i="90"/>
  <c r="AT117" i="84"/>
  <c r="AT117" i="85"/>
  <c r="AT117" i="88"/>
  <c r="AT117" i="87"/>
  <c r="BC81" i="82"/>
  <c r="AQ81" i="82"/>
  <c r="BC81" i="83"/>
  <c r="AQ81" i="83"/>
  <c r="BC81" i="84"/>
  <c r="AQ81" i="84"/>
  <c r="BC81" i="86"/>
  <c r="AQ81" i="86"/>
  <c r="BC81" i="85"/>
  <c r="AQ81" i="85"/>
  <c r="BC81" i="87"/>
  <c r="AQ81" i="87"/>
  <c r="BC81" i="89"/>
  <c r="AQ81" i="89"/>
  <c r="BC81" i="88"/>
  <c r="AQ81" i="88"/>
  <c r="BC81" i="90"/>
  <c r="AQ81" i="90"/>
  <c r="AX81" i="82"/>
  <c r="AX81" i="84"/>
  <c r="AX81" i="83"/>
  <c r="AX81" i="85"/>
  <c r="AX81" i="86"/>
  <c r="AX81" i="88"/>
  <c r="AX81" i="90"/>
  <c r="AX81" i="87"/>
  <c r="AX81" i="89"/>
  <c r="BB82" i="82"/>
  <c r="BB82" i="83"/>
  <c r="BB82" i="84"/>
  <c r="BB82" i="86"/>
  <c r="BB82" i="85"/>
  <c r="BB82" i="87"/>
  <c r="BB82" i="89"/>
  <c r="BB82" i="88"/>
  <c r="BB82" i="90"/>
  <c r="AX82" i="82"/>
  <c r="AX82" i="83"/>
  <c r="AX82" i="84"/>
  <c r="AX82" i="86"/>
  <c r="AX82" i="85"/>
  <c r="AX82" i="87"/>
  <c r="AX82" i="89"/>
  <c r="AX82" i="88"/>
  <c r="AX82" i="90"/>
  <c r="AZ82" i="82"/>
  <c r="AZ82" i="83"/>
  <c r="AZ82" i="84"/>
  <c r="AZ82" i="86"/>
  <c r="AZ82" i="85"/>
  <c r="AZ82" i="87"/>
  <c r="AZ82" i="89"/>
  <c r="AZ82" i="88"/>
  <c r="AZ82" i="90"/>
  <c r="BA81" i="82"/>
  <c r="BA81" i="83"/>
  <c r="BA81" i="84"/>
  <c r="BA81" i="86"/>
  <c r="BA81" i="85"/>
  <c r="BA81" i="87"/>
  <c r="BA81" i="89"/>
  <c r="BA81" i="88"/>
  <c r="BA81" i="90"/>
  <c r="AV83" i="82"/>
  <c r="AV83" i="84"/>
  <c r="AV83" i="83"/>
  <c r="AV83" i="85"/>
  <c r="AV83" i="86"/>
  <c r="AV83" i="88"/>
  <c r="AV83" i="90"/>
  <c r="AV83" i="87"/>
  <c r="AV83" i="89"/>
  <c r="AV87" i="82"/>
  <c r="AV87" i="84"/>
  <c r="AV87" i="83"/>
  <c r="AV87" i="85"/>
  <c r="AV87" i="86"/>
  <c r="AV87" i="88"/>
  <c r="AV87" i="90"/>
  <c r="AV87" i="87"/>
  <c r="AV87" i="89"/>
  <c r="AT81" i="82"/>
  <c r="AT81" i="84"/>
  <c r="AT81" i="83"/>
  <c r="AT81" i="85"/>
  <c r="AT81" i="86"/>
  <c r="AT81" i="88"/>
  <c r="AT81" i="90"/>
  <c r="AT81" i="87"/>
  <c r="AT81" i="89"/>
  <c r="AU87" i="82"/>
  <c r="AU87" i="83"/>
  <c r="AU87" i="84"/>
  <c r="AU87" i="86"/>
  <c r="AU87" i="85"/>
  <c r="AU87" i="87"/>
  <c r="AU87" i="89"/>
  <c r="AU87" i="88"/>
  <c r="AU87" i="90"/>
  <c r="AR81" i="82"/>
  <c r="AR81" i="84"/>
  <c r="AR81" i="83"/>
  <c r="AR81" i="85"/>
  <c r="AR81" i="86"/>
  <c r="AR81" i="88"/>
  <c r="AR81" i="90"/>
  <c r="AR81" i="87"/>
  <c r="AR81" i="89"/>
  <c r="AU90" i="82"/>
  <c r="AU90" i="84"/>
  <c r="AU90" i="83"/>
  <c r="AU90" i="85"/>
  <c r="AU90" i="86"/>
  <c r="AU90" i="88"/>
  <c r="AU90" i="90"/>
  <c r="AU90" i="87"/>
  <c r="AU90" i="89"/>
  <c r="AZ347" i="82"/>
  <c r="AZ347" i="83"/>
  <c r="AZ347" i="84"/>
  <c r="AZ347" i="85"/>
  <c r="AZ347" i="87"/>
  <c r="AZ347" i="86"/>
  <c r="AZ347" i="88"/>
  <c r="AZ347" i="90"/>
  <c r="AZ347" i="89"/>
  <c r="AU347" i="82"/>
  <c r="AU347" i="83"/>
  <c r="AU347" i="85"/>
  <c r="AU347" i="84"/>
  <c r="AU347" i="86"/>
  <c r="AU347" i="87"/>
  <c r="AU347" i="89"/>
  <c r="AU347" i="88"/>
  <c r="AU347" i="90"/>
  <c r="BA343" i="82"/>
  <c r="BA343" i="83"/>
  <c r="BA343" i="85"/>
  <c r="BA343" i="84"/>
  <c r="BA343" i="86"/>
  <c r="BA343" i="87"/>
  <c r="BA343" i="89"/>
  <c r="BA343" i="88"/>
  <c r="BA343" i="90"/>
  <c r="AW343" i="82"/>
  <c r="AW343" i="83"/>
  <c r="AW343" i="85"/>
  <c r="AW343" i="84"/>
  <c r="AW343" i="86"/>
  <c r="AW343" i="87"/>
  <c r="AW343" i="89"/>
  <c r="AW343" i="88"/>
  <c r="AW343" i="90"/>
  <c r="AT98" i="82"/>
  <c r="AT98" i="83"/>
  <c r="AT98" i="84"/>
  <c r="AT98" i="86"/>
  <c r="AT98" i="85"/>
  <c r="AT98" i="87"/>
  <c r="AT98" i="89"/>
  <c r="AT98" i="88"/>
  <c r="AT98" i="90"/>
  <c r="AT127" i="82"/>
  <c r="AT127" i="84"/>
  <c r="AT127" i="83"/>
  <c r="AT127" i="85"/>
  <c r="AT127" i="86"/>
  <c r="AT127" i="88"/>
  <c r="AT127" i="90"/>
  <c r="AT127" i="87"/>
  <c r="AT127" i="89"/>
  <c r="BB102" i="82"/>
  <c r="BB102" i="83"/>
  <c r="BB102" i="84"/>
  <c r="BB102" i="86"/>
  <c r="BB102" i="85"/>
  <c r="BB102" i="87"/>
  <c r="BB102" i="89"/>
  <c r="BB102" i="88"/>
  <c r="BB102" i="90"/>
  <c r="BA96" i="82"/>
  <c r="BA96" i="84"/>
  <c r="BA96" i="83"/>
  <c r="BA96" i="85"/>
  <c r="BA96" i="86"/>
  <c r="BA96" i="88"/>
  <c r="BA96" i="90"/>
  <c r="BA96" i="87"/>
  <c r="BA96" i="89"/>
  <c r="AW349" i="82"/>
  <c r="AW349" i="83"/>
  <c r="AW349" i="85"/>
  <c r="AW349" i="84"/>
  <c r="AW349" i="86"/>
  <c r="AW349" i="87"/>
  <c r="AW349" i="89"/>
  <c r="AW349" i="88"/>
  <c r="AW349" i="90"/>
  <c r="BC347" i="82"/>
  <c r="AQ347" i="82"/>
  <c r="BC347" i="83"/>
  <c r="AQ347" i="83"/>
  <c r="BC347" i="85"/>
  <c r="AQ347" i="85"/>
  <c r="BC347" i="84"/>
  <c r="AQ347" i="84"/>
  <c r="BC347" i="86"/>
  <c r="AQ347" i="86"/>
  <c r="BC347" i="87"/>
  <c r="AQ347" i="87"/>
  <c r="BC347" i="89"/>
  <c r="AQ347" i="89"/>
  <c r="BC347" i="88"/>
  <c r="AQ347" i="88"/>
  <c r="BC347" i="90"/>
  <c r="AQ347" i="90"/>
  <c r="AV347" i="82"/>
  <c r="AV347" i="83"/>
  <c r="AV347" i="84"/>
  <c r="AV347" i="85"/>
  <c r="AV347" i="87"/>
  <c r="AV347" i="86"/>
  <c r="AV347" i="88"/>
  <c r="AV347" i="90"/>
  <c r="AV347" i="89"/>
  <c r="BC345" i="82"/>
  <c r="AQ345" i="82"/>
  <c r="BC345" i="83"/>
  <c r="AQ345" i="83"/>
  <c r="BC345" i="85"/>
  <c r="AQ345" i="85"/>
  <c r="BC345" i="84"/>
  <c r="AQ345" i="84"/>
  <c r="BC345" i="86"/>
  <c r="AQ345" i="86"/>
  <c r="BC345" i="87"/>
  <c r="AQ345" i="87"/>
  <c r="BC345" i="89"/>
  <c r="AQ345" i="89"/>
  <c r="BC345" i="88"/>
  <c r="AQ345" i="88"/>
  <c r="BC345" i="90"/>
  <c r="AQ345" i="90"/>
  <c r="AX345" i="82"/>
  <c r="AX345" i="83"/>
  <c r="AX345" i="84"/>
  <c r="AX345" i="85"/>
  <c r="AX345" i="87"/>
  <c r="AX345" i="86"/>
  <c r="AX345" i="88"/>
  <c r="AX345" i="90"/>
  <c r="AX345" i="89"/>
  <c r="AY343" i="82"/>
  <c r="AY343" i="83"/>
  <c r="AY343" i="85"/>
  <c r="AY343" i="84"/>
  <c r="AY343" i="86"/>
  <c r="AY343" i="87"/>
  <c r="AY343" i="89"/>
  <c r="AY343" i="88"/>
  <c r="AY343" i="90"/>
  <c r="BB341" i="82"/>
  <c r="BB341" i="83"/>
  <c r="BB341" i="84"/>
  <c r="BB341" i="85"/>
  <c r="BB341" i="87"/>
  <c r="BB341" i="86"/>
  <c r="BB341" i="88"/>
  <c r="BB341" i="90"/>
  <c r="BB341" i="89"/>
  <c r="AT341" i="82"/>
  <c r="AT341" i="83"/>
  <c r="AT341" i="84"/>
  <c r="AT341" i="85"/>
  <c r="AT341" i="87"/>
  <c r="AT341" i="86"/>
  <c r="AT341" i="88"/>
  <c r="AT341" i="90"/>
  <c r="AT341" i="89"/>
  <c r="BB339" i="82"/>
  <c r="BB339" i="83"/>
  <c r="BB339" i="84"/>
  <c r="BB339" i="85"/>
  <c r="BB339" i="87"/>
  <c r="BB339" i="86"/>
  <c r="BB339" i="88"/>
  <c r="BB339" i="90"/>
  <c r="BB339" i="89"/>
  <c r="AT339" i="82"/>
  <c r="AT339" i="83"/>
  <c r="AT339" i="84"/>
  <c r="AT339" i="85"/>
  <c r="AT339" i="87"/>
  <c r="AT339" i="86"/>
  <c r="AT339" i="88"/>
  <c r="AT339" i="90"/>
  <c r="AT339" i="89"/>
  <c r="BB337" i="82"/>
  <c r="BB337" i="83"/>
  <c r="BB337" i="84"/>
  <c r="BB337" i="85"/>
  <c r="BB337" i="87"/>
  <c r="BB337" i="86"/>
  <c r="BB337" i="88"/>
  <c r="BB337" i="90"/>
  <c r="BB337" i="89"/>
  <c r="AT337" i="82"/>
  <c r="AT337" i="83"/>
  <c r="AT337" i="84"/>
  <c r="AT337" i="85"/>
  <c r="AT337" i="87"/>
  <c r="AT337" i="86"/>
  <c r="AT337" i="88"/>
  <c r="AT337" i="90"/>
  <c r="AT337" i="89"/>
  <c r="BB335" i="82"/>
  <c r="BB335" i="83"/>
  <c r="BB335" i="84"/>
  <c r="BB335" i="85"/>
  <c r="BB335" i="87"/>
  <c r="BB335" i="86"/>
  <c r="BB335" i="88"/>
  <c r="BB335" i="90"/>
  <c r="BB335" i="89"/>
  <c r="AT335" i="82"/>
  <c r="AT335" i="83"/>
  <c r="AT335" i="84"/>
  <c r="AT335" i="85"/>
  <c r="AT335" i="87"/>
  <c r="AT335" i="86"/>
  <c r="AT335" i="88"/>
  <c r="AT335" i="90"/>
  <c r="AT335" i="89"/>
  <c r="BB333" i="82"/>
  <c r="BB333" i="83"/>
  <c r="BB333" i="84"/>
  <c r="BB333" i="85"/>
  <c r="BB333" i="87"/>
  <c r="BB333" i="86"/>
  <c r="BB333" i="88"/>
  <c r="BB333" i="90"/>
  <c r="BB333" i="89"/>
  <c r="AT333" i="82"/>
  <c r="AT333" i="83"/>
  <c r="AT333" i="84"/>
  <c r="AT333" i="85"/>
  <c r="AT333" i="87"/>
  <c r="AT333" i="86"/>
  <c r="AT333" i="88"/>
  <c r="AT333" i="90"/>
  <c r="AT333" i="89"/>
  <c r="BB331" i="82"/>
  <c r="BB331" i="83"/>
  <c r="BB331" i="84"/>
  <c r="BB331" i="85"/>
  <c r="BB331" i="87"/>
  <c r="BB331" i="86"/>
  <c r="BB331" i="88"/>
  <c r="BB331" i="90"/>
  <c r="BB331" i="89"/>
  <c r="AT331" i="82"/>
  <c r="AT331" i="83"/>
  <c r="AT331" i="84"/>
  <c r="AT331" i="85"/>
  <c r="AT331" i="87"/>
  <c r="AT331" i="86"/>
  <c r="AT331" i="88"/>
  <c r="AT331" i="90"/>
  <c r="AT331" i="89"/>
  <c r="BB329" i="82"/>
  <c r="BB329" i="83"/>
  <c r="BB329" i="84"/>
  <c r="BB329" i="85"/>
  <c r="BB329" i="87"/>
  <c r="BB329" i="86"/>
  <c r="BB329" i="88"/>
  <c r="BB329" i="90"/>
  <c r="BB329" i="89"/>
  <c r="AT329" i="82"/>
  <c r="AT329" i="83"/>
  <c r="AT329" i="84"/>
  <c r="AT329" i="85"/>
  <c r="AT329" i="87"/>
  <c r="AT329" i="86"/>
  <c r="AT329" i="88"/>
  <c r="AT329" i="90"/>
  <c r="AT329" i="89"/>
  <c r="BB327" i="82"/>
  <c r="BB327" i="83"/>
  <c r="BB327" i="84"/>
  <c r="BB327" i="85"/>
  <c r="BB327" i="87"/>
  <c r="BB327" i="86"/>
  <c r="BB327" i="88"/>
  <c r="BB327" i="90"/>
  <c r="BB327" i="89"/>
  <c r="AT327" i="82"/>
  <c r="AT327" i="83"/>
  <c r="AT327" i="84"/>
  <c r="AT327" i="85"/>
  <c r="AT327" i="87"/>
  <c r="AT327" i="86"/>
  <c r="AT327" i="88"/>
  <c r="AT327" i="90"/>
  <c r="AT327" i="89"/>
  <c r="BB325" i="82"/>
  <c r="BB325" i="83"/>
  <c r="BB325" i="84"/>
  <c r="BB325" i="85"/>
  <c r="BB325" i="87"/>
  <c r="BB325" i="86"/>
  <c r="BB325" i="88"/>
  <c r="BB325" i="90"/>
  <c r="BB325" i="89"/>
  <c r="AT325" i="82"/>
  <c r="AT325" i="83"/>
  <c r="AT325" i="84"/>
  <c r="AT325" i="85"/>
  <c r="AT325" i="87"/>
  <c r="AT325" i="86"/>
  <c r="AT325" i="88"/>
  <c r="AT325" i="90"/>
  <c r="AT325" i="89"/>
  <c r="BB323" i="82"/>
  <c r="BB323" i="83"/>
  <c r="BB323" i="84"/>
  <c r="BB323" i="85"/>
  <c r="BB323" i="87"/>
  <c r="BB323" i="86"/>
  <c r="BB323" i="88"/>
  <c r="BB323" i="90"/>
  <c r="BB323" i="89"/>
  <c r="AT323" i="82"/>
  <c r="AT323" i="83"/>
  <c r="AT323" i="84"/>
  <c r="AT323" i="85"/>
  <c r="AT323" i="87"/>
  <c r="AT323" i="86"/>
  <c r="AT323" i="88"/>
  <c r="AT323" i="90"/>
  <c r="AT323" i="89"/>
  <c r="BB321" i="82"/>
  <c r="BB321" i="83"/>
  <c r="BB321" i="84"/>
  <c r="BB321" i="85"/>
  <c r="BB321" i="87"/>
  <c r="BB321" i="86"/>
  <c r="BB321" i="88"/>
  <c r="BB321" i="90"/>
  <c r="BB321" i="89"/>
  <c r="AT321" i="82"/>
  <c r="AT321" i="83"/>
  <c r="AT321" i="84"/>
  <c r="AT321" i="85"/>
  <c r="AT321" i="87"/>
  <c r="AT321" i="86"/>
  <c r="AT321" i="88"/>
  <c r="AT321" i="90"/>
  <c r="AT321" i="89"/>
  <c r="BB319" i="82"/>
  <c r="BB319" i="83"/>
  <c r="BB319" i="84"/>
  <c r="BB319" i="85"/>
  <c r="BB319" i="87"/>
  <c r="BB319" i="86"/>
  <c r="BB319" i="88"/>
  <c r="BB319" i="90"/>
  <c r="BB319" i="89"/>
  <c r="AT319" i="82"/>
  <c r="AT319" i="83"/>
  <c r="AT319" i="84"/>
  <c r="AT319" i="85"/>
  <c r="AT319" i="87"/>
  <c r="AT319" i="86"/>
  <c r="AT319" i="88"/>
  <c r="AT319" i="90"/>
  <c r="AT319" i="89"/>
  <c r="BB317" i="82"/>
  <c r="BB317" i="83"/>
  <c r="BB317" i="84"/>
  <c r="BB317" i="85"/>
  <c r="BB317" i="87"/>
  <c r="BB317" i="86"/>
  <c r="BB317" i="88"/>
  <c r="BB317" i="90"/>
  <c r="BB317" i="89"/>
  <c r="AT317" i="82"/>
  <c r="AT317" i="83"/>
  <c r="AT317" i="84"/>
  <c r="AT317" i="85"/>
  <c r="AT317" i="87"/>
  <c r="AT317" i="86"/>
  <c r="AT317" i="88"/>
  <c r="AT317" i="90"/>
  <c r="AT317" i="89"/>
  <c r="BB315" i="82"/>
  <c r="BB315" i="83"/>
  <c r="BB315" i="84"/>
  <c r="BB315" i="85"/>
  <c r="BB315" i="87"/>
  <c r="BB315" i="86"/>
  <c r="BB315" i="88"/>
  <c r="BB315" i="90"/>
  <c r="BB315" i="89"/>
  <c r="AT315" i="82"/>
  <c r="AT315" i="83"/>
  <c r="AT315" i="84"/>
  <c r="AT315" i="85"/>
  <c r="AT315" i="87"/>
  <c r="AT315" i="86"/>
  <c r="AT315" i="88"/>
  <c r="AT315" i="90"/>
  <c r="AT315" i="89"/>
  <c r="BB313" i="82"/>
  <c r="BB313" i="83"/>
  <c r="BB313" i="84"/>
  <c r="BB313" i="85"/>
  <c r="BB313" i="87"/>
  <c r="BB313" i="86"/>
  <c r="BB313" i="88"/>
  <c r="BB313" i="90"/>
  <c r="BB313" i="89"/>
  <c r="AT313" i="82"/>
  <c r="AT313" i="83"/>
  <c r="AT313" i="84"/>
  <c r="AT313" i="85"/>
  <c r="AT313" i="87"/>
  <c r="AT313" i="86"/>
  <c r="AT313" i="88"/>
  <c r="AT313" i="90"/>
  <c r="AT313" i="89"/>
  <c r="BB311" i="82"/>
  <c r="BB311" i="83"/>
  <c r="BB311" i="84"/>
  <c r="BB311" i="85"/>
  <c r="BB311" i="87"/>
  <c r="BB311" i="86"/>
  <c r="BB311" i="88"/>
  <c r="BB311" i="90"/>
  <c r="BB311" i="89"/>
  <c r="AT311" i="82"/>
  <c r="AT311" i="83"/>
  <c r="AT311" i="84"/>
  <c r="AT311" i="85"/>
  <c r="AT311" i="87"/>
  <c r="AT311" i="86"/>
  <c r="AT311" i="88"/>
  <c r="AT311" i="90"/>
  <c r="AT311" i="89"/>
  <c r="BB309" i="82"/>
  <c r="BB309" i="83"/>
  <c r="BB309" i="84"/>
  <c r="BB309" i="85"/>
  <c r="BB309" i="87"/>
  <c r="BB309" i="86"/>
  <c r="BB309" i="88"/>
  <c r="BB309" i="90"/>
  <c r="BB309" i="89"/>
  <c r="AT309" i="82"/>
  <c r="AT309" i="83"/>
  <c r="AT309" i="84"/>
  <c r="AT309" i="85"/>
  <c r="AT309" i="87"/>
  <c r="AT309" i="86"/>
  <c r="AT309" i="88"/>
  <c r="AT309" i="90"/>
  <c r="AT309" i="89"/>
  <c r="BB307" i="82"/>
  <c r="BB307" i="83"/>
  <c r="BB307" i="84"/>
  <c r="BB307" i="85"/>
  <c r="BB307" i="87"/>
  <c r="BB307" i="86"/>
  <c r="BB307" i="88"/>
  <c r="BB307" i="90"/>
  <c r="BB307" i="89"/>
  <c r="AT307" i="82"/>
  <c r="AT307" i="83"/>
  <c r="AT307" i="84"/>
  <c r="AT307" i="85"/>
  <c r="AT307" i="87"/>
  <c r="AT307" i="86"/>
  <c r="AT307" i="88"/>
  <c r="AT307" i="90"/>
  <c r="AT307" i="89"/>
  <c r="BB305" i="82"/>
  <c r="BB305" i="83"/>
  <c r="BB305" i="84"/>
  <c r="BB305" i="85"/>
  <c r="BB305" i="87"/>
  <c r="BB305" i="86"/>
  <c r="BB305" i="88"/>
  <c r="BB305" i="90"/>
  <c r="BB305" i="89"/>
  <c r="AT305" i="82"/>
  <c r="AT305" i="83"/>
  <c r="AT305" i="84"/>
  <c r="AT305" i="85"/>
  <c r="AT305" i="87"/>
  <c r="AT305" i="86"/>
  <c r="AT305" i="88"/>
  <c r="AT305" i="90"/>
  <c r="AT305" i="89"/>
  <c r="BB303" i="82"/>
  <c r="BB303" i="83"/>
  <c r="BB303" i="84"/>
  <c r="BB303" i="85"/>
  <c r="BB303" i="87"/>
  <c r="BB303" i="86"/>
  <c r="BB303" i="88"/>
  <c r="BB303" i="90"/>
  <c r="BB303" i="89"/>
  <c r="AT303" i="82"/>
  <c r="AT303" i="83"/>
  <c r="AT303" i="84"/>
  <c r="AT303" i="85"/>
  <c r="AT303" i="87"/>
  <c r="AT303" i="86"/>
  <c r="AT303" i="88"/>
  <c r="AT303" i="90"/>
  <c r="AT303" i="89"/>
  <c r="BB301" i="82"/>
  <c r="BB301" i="83"/>
  <c r="BB301" i="84"/>
  <c r="BB301" i="85"/>
  <c r="BB301" i="87"/>
  <c r="BB301" i="86"/>
  <c r="BB301" i="88"/>
  <c r="BB301" i="90"/>
  <c r="BB301" i="89"/>
  <c r="AT301" i="82"/>
  <c r="AT301" i="83"/>
  <c r="AT301" i="84"/>
  <c r="AT301" i="85"/>
  <c r="AT301" i="87"/>
  <c r="AT301" i="86"/>
  <c r="AT301" i="88"/>
  <c r="AT301" i="90"/>
  <c r="AT301" i="89"/>
  <c r="BB299" i="82"/>
  <c r="BB299" i="83"/>
  <c r="BB299" i="84"/>
  <c r="BB299" i="85"/>
  <c r="BB299" i="87"/>
  <c r="BB299" i="86"/>
  <c r="BB299" i="88"/>
  <c r="BB299" i="90"/>
  <c r="BB299" i="89"/>
  <c r="AT299" i="82"/>
  <c r="AT299" i="83"/>
  <c r="AT299" i="84"/>
  <c r="AT299" i="85"/>
  <c r="AT299" i="87"/>
  <c r="AT299" i="86"/>
  <c r="AT299" i="88"/>
  <c r="AT299" i="90"/>
  <c r="AT299" i="89"/>
  <c r="BB297" i="82"/>
  <c r="BB297" i="83"/>
  <c r="BB297" i="84"/>
  <c r="BB297" i="85"/>
  <c r="BB297" i="87"/>
  <c r="BB297" i="86"/>
  <c r="BB297" i="88"/>
  <c r="BB297" i="90"/>
  <c r="BB297" i="89"/>
  <c r="AT297" i="82"/>
  <c r="AT297" i="83"/>
  <c r="AT297" i="84"/>
  <c r="AT297" i="85"/>
  <c r="AT297" i="87"/>
  <c r="AT297" i="86"/>
  <c r="AT297" i="88"/>
  <c r="AT297" i="90"/>
  <c r="AT297" i="89"/>
  <c r="BB295" i="82"/>
  <c r="BB295" i="83"/>
  <c r="BB295" i="84"/>
  <c r="BB295" i="85"/>
  <c r="BB295" i="87"/>
  <c r="BB295" i="86"/>
  <c r="BB295" i="88"/>
  <c r="BB295" i="90"/>
  <c r="BB295" i="89"/>
  <c r="AT295" i="82"/>
  <c r="AT295" i="83"/>
  <c r="AT295" i="84"/>
  <c r="AT295" i="85"/>
  <c r="AT295" i="87"/>
  <c r="AT295" i="86"/>
  <c r="AT295" i="88"/>
  <c r="AT295" i="90"/>
  <c r="AT295" i="89"/>
  <c r="BB293" i="82"/>
  <c r="BB293" i="83"/>
  <c r="BB293" i="84"/>
  <c r="BB293" i="85"/>
  <c r="BB293" i="87"/>
  <c r="BB293" i="86"/>
  <c r="BB293" i="88"/>
  <c r="BB293" i="90"/>
  <c r="BB293" i="89"/>
  <c r="AT293" i="82"/>
  <c r="AT293" i="83"/>
  <c r="AT293" i="84"/>
  <c r="AT293" i="85"/>
  <c r="AT293" i="87"/>
  <c r="AT293" i="86"/>
  <c r="AT293" i="88"/>
  <c r="AT293" i="90"/>
  <c r="AT293" i="89"/>
  <c r="BB291" i="82"/>
  <c r="BB291" i="83"/>
  <c r="BB291" i="84"/>
  <c r="BB291" i="85"/>
  <c r="BB291" i="87"/>
  <c r="BB291" i="86"/>
  <c r="BB291" i="88"/>
  <c r="BB291" i="90"/>
  <c r="BB291" i="89"/>
  <c r="AT291" i="82"/>
  <c r="AT291" i="83"/>
  <c r="AT291" i="84"/>
  <c r="AT291" i="85"/>
  <c r="AT291" i="87"/>
  <c r="AT291" i="86"/>
  <c r="AT291" i="88"/>
  <c r="AT291" i="90"/>
  <c r="AT291" i="89"/>
  <c r="BB289" i="82"/>
  <c r="BB289" i="83"/>
  <c r="BB289" i="84"/>
  <c r="BB289" i="85"/>
  <c r="BB289" i="87"/>
  <c r="BB289" i="86"/>
  <c r="BB289" i="88"/>
  <c r="BB289" i="90"/>
  <c r="BB289" i="89"/>
  <c r="AT289" i="82"/>
  <c r="AT289" i="83"/>
  <c r="AT289" i="84"/>
  <c r="AT289" i="85"/>
  <c r="AT289" i="87"/>
  <c r="AT289" i="86"/>
  <c r="AT289" i="88"/>
  <c r="AT289" i="90"/>
  <c r="AT289" i="89"/>
  <c r="BB287" i="82"/>
  <c r="BB287" i="83"/>
  <c r="BB287" i="84"/>
  <c r="BB287" i="85"/>
  <c r="BB287" i="87"/>
  <c r="BB287" i="86"/>
  <c r="BB287" i="88"/>
  <c r="BB287" i="90"/>
  <c r="BB287" i="89"/>
  <c r="AT287" i="82"/>
  <c r="AT287" i="83"/>
  <c r="AT287" i="84"/>
  <c r="AT287" i="85"/>
  <c r="AT287" i="87"/>
  <c r="AT287" i="86"/>
  <c r="AT287" i="88"/>
  <c r="AT287" i="90"/>
  <c r="AT287" i="89"/>
  <c r="BB285" i="82"/>
  <c r="BB285" i="83"/>
  <c r="BB285" i="84"/>
  <c r="BB285" i="85"/>
  <c r="BB285" i="87"/>
  <c r="BB285" i="86"/>
  <c r="BB285" i="88"/>
  <c r="BB285" i="90"/>
  <c r="BB285" i="89"/>
  <c r="AY285" i="82"/>
  <c r="AY285" i="85"/>
  <c r="AY285" i="86"/>
  <c r="AY285" i="89"/>
  <c r="AY285" i="90"/>
  <c r="AT285" i="82"/>
  <c r="AT285" i="83"/>
  <c r="AT285" i="84"/>
  <c r="AT285" i="85"/>
  <c r="AT285" i="87"/>
  <c r="AT285" i="86"/>
  <c r="AT285" i="88"/>
  <c r="AT285" i="90"/>
  <c r="AT285" i="89"/>
  <c r="BB283" i="82"/>
  <c r="BB283" i="83"/>
  <c r="BB283" i="84"/>
  <c r="BB283" i="85"/>
  <c r="BB283" i="87"/>
  <c r="BB283" i="86"/>
  <c r="BB283" i="88"/>
  <c r="BB283" i="90"/>
  <c r="BB283" i="89"/>
  <c r="AT283" i="82"/>
  <c r="AT283" i="83"/>
  <c r="AT283" i="84"/>
  <c r="AT283" i="85"/>
  <c r="AT283" i="87"/>
  <c r="AT283" i="86"/>
  <c r="AT283" i="88"/>
  <c r="AT283" i="90"/>
  <c r="AT283" i="89"/>
  <c r="BB281" i="82"/>
  <c r="BB281" i="83"/>
  <c r="BB281" i="84"/>
  <c r="BB281" i="85"/>
  <c r="BB281" i="87"/>
  <c r="BB281" i="86"/>
  <c r="BB281" i="88"/>
  <c r="BB281" i="90"/>
  <c r="BB281" i="89"/>
  <c r="AY281" i="83"/>
  <c r="AY281" i="84"/>
  <c r="AY281" i="87"/>
  <c r="AY281" i="88"/>
  <c r="AT281" i="82"/>
  <c r="AT281" i="83"/>
  <c r="AT281" i="84"/>
  <c r="AT281" i="85"/>
  <c r="AT281" i="87"/>
  <c r="AT281" i="86"/>
  <c r="AT281" i="88"/>
  <c r="AT281" i="90"/>
  <c r="AT281" i="89"/>
  <c r="BC348" i="82"/>
  <c r="AQ348" i="82"/>
  <c r="BC348" i="83"/>
  <c r="AQ348" i="83"/>
  <c r="BC348" i="84"/>
  <c r="AQ348" i="84"/>
  <c r="BC348" i="85"/>
  <c r="AQ348" i="85"/>
  <c r="BC348" i="87"/>
  <c r="AQ348" i="87"/>
  <c r="BC348" i="86"/>
  <c r="AQ348" i="86"/>
  <c r="BC348" i="88"/>
  <c r="AQ348" i="88"/>
  <c r="BC348" i="90"/>
  <c r="AQ348" i="90"/>
  <c r="BC348" i="89"/>
  <c r="AQ348" i="89"/>
  <c r="AU349" i="82"/>
  <c r="AU349" i="83"/>
  <c r="AU349" i="85"/>
  <c r="AU349" i="84"/>
  <c r="AU349" i="86"/>
  <c r="AU349" i="87"/>
  <c r="AU349" i="89"/>
  <c r="AU349" i="88"/>
  <c r="AU349" i="90"/>
  <c r="AT87" i="82"/>
  <c r="AT87" i="84"/>
  <c r="AT87" i="83"/>
  <c r="AT87" i="85"/>
  <c r="AT87" i="86"/>
  <c r="AT87" i="88"/>
  <c r="AT87" i="90"/>
  <c r="AT87" i="87"/>
  <c r="AT87" i="89"/>
  <c r="AT83" i="82"/>
  <c r="AT83" i="84"/>
  <c r="AT83" i="83"/>
  <c r="AT83" i="85"/>
  <c r="AT83" i="86"/>
  <c r="AT83" i="88"/>
  <c r="AT83" i="90"/>
  <c r="AT83" i="87"/>
  <c r="AT83" i="89"/>
  <c r="AT120" i="82"/>
  <c r="AT120" i="83"/>
  <c r="AT120" i="84"/>
  <c r="AT120" i="86"/>
  <c r="AT120" i="85"/>
  <c r="AT120" i="87"/>
  <c r="AT120" i="89"/>
  <c r="AT120" i="88"/>
  <c r="AT120" i="90"/>
  <c r="BB81" i="82"/>
  <c r="BB81" i="84"/>
  <c r="BB81" i="83"/>
  <c r="BB81" i="85"/>
  <c r="BB81" i="86"/>
  <c r="BB81" i="88"/>
  <c r="BB81" i="90"/>
  <c r="BB81" i="87"/>
  <c r="BB81" i="89"/>
  <c r="BC82" i="82"/>
  <c r="AQ82" i="82"/>
  <c r="BC82" i="84"/>
  <c r="AQ82" i="84"/>
  <c r="BC82" i="83"/>
  <c r="AQ82" i="83"/>
  <c r="BC82" i="85"/>
  <c r="AQ82" i="85"/>
  <c r="BC82" i="86"/>
  <c r="AQ82" i="86"/>
  <c r="BC82" i="88"/>
  <c r="AQ82" i="88"/>
  <c r="BC82" i="90"/>
  <c r="AQ82" i="90"/>
  <c r="BC82" i="87"/>
  <c r="AQ82" i="87"/>
  <c r="BC82" i="89"/>
  <c r="AQ82" i="89"/>
  <c r="AY81" i="82"/>
  <c r="AY81" i="83"/>
  <c r="AY81" i="84"/>
  <c r="AY81" i="86"/>
  <c r="AY81" i="85"/>
  <c r="AY81" i="87"/>
  <c r="AY81" i="89"/>
  <c r="AY81" i="88"/>
  <c r="AY81" i="90"/>
  <c r="AZ81" i="82"/>
  <c r="AZ81" i="84"/>
  <c r="AZ81" i="83"/>
  <c r="AZ81" i="85"/>
  <c r="AZ81" i="86"/>
  <c r="AZ81" i="88"/>
  <c r="AZ81" i="90"/>
  <c r="AZ81" i="87"/>
  <c r="AZ81" i="89"/>
  <c r="AY82" i="82"/>
  <c r="AY82" i="84"/>
  <c r="AY82" i="83"/>
  <c r="AY82" i="85"/>
  <c r="AY82" i="86"/>
  <c r="AY82" i="88"/>
  <c r="AY82" i="90"/>
  <c r="AY82" i="87"/>
  <c r="AY82" i="89"/>
  <c r="BA82" i="82"/>
  <c r="BA82" i="84"/>
  <c r="BA82" i="83"/>
  <c r="BA82" i="85"/>
  <c r="BA82" i="86"/>
  <c r="BA82" i="88"/>
  <c r="BA82" i="90"/>
  <c r="BA82" i="87"/>
  <c r="BA82" i="89"/>
  <c r="AV82" i="82"/>
  <c r="AV82" i="83"/>
  <c r="AV82" i="84"/>
  <c r="AV82" i="86"/>
  <c r="AV82" i="85"/>
  <c r="AV82" i="87"/>
  <c r="AV82" i="89"/>
  <c r="AV82" i="88"/>
  <c r="AV82" i="90"/>
  <c r="AT82" i="82"/>
  <c r="AT82" i="83"/>
  <c r="AT82" i="84"/>
  <c r="AT82" i="86"/>
  <c r="AT82" i="85"/>
  <c r="AT82" i="87"/>
  <c r="AT82" i="89"/>
  <c r="AT82" i="88"/>
  <c r="AT82" i="90"/>
  <c r="AV81" i="82"/>
  <c r="AV81" i="84"/>
  <c r="AV81" i="83"/>
  <c r="AV81" i="85"/>
  <c r="AV81" i="86"/>
  <c r="AV81" i="88"/>
  <c r="AV81" i="90"/>
  <c r="AV81" i="87"/>
  <c r="AV81" i="89"/>
  <c r="AU83" i="82"/>
  <c r="AU83" i="83"/>
  <c r="AU83" i="84"/>
  <c r="AU83" i="86"/>
  <c r="AU83" i="85"/>
  <c r="AU83" i="87"/>
  <c r="AU83" i="89"/>
  <c r="AU83" i="88"/>
  <c r="AU83" i="90"/>
  <c r="AU82" i="82"/>
  <c r="AU82" i="84"/>
  <c r="AU82" i="83"/>
  <c r="AU82" i="85"/>
  <c r="AU82" i="86"/>
  <c r="AU82" i="88"/>
  <c r="AU82" i="90"/>
  <c r="AU82" i="87"/>
  <c r="AU82" i="89"/>
  <c r="AU81" i="82"/>
  <c r="AU81" i="83"/>
  <c r="AU81" i="84"/>
  <c r="AU81" i="86"/>
  <c r="AU81" i="85"/>
  <c r="AU81" i="87"/>
  <c r="AU81" i="89"/>
  <c r="AU81" i="88"/>
  <c r="AU81" i="90"/>
  <c r="AR82" i="82"/>
  <c r="AR82" i="83"/>
  <c r="AR82" i="84"/>
  <c r="AR82" i="86"/>
  <c r="AR82" i="85"/>
  <c r="AR82" i="87"/>
  <c r="AR82" i="89"/>
  <c r="AR82" i="88"/>
  <c r="AR82" i="90"/>
  <c r="AW83" i="82"/>
  <c r="AW83" i="83"/>
  <c r="AW83" i="84"/>
  <c r="AW83" i="86"/>
  <c r="AW83" i="85"/>
  <c r="AW83" i="87"/>
  <c r="AW83" i="89"/>
  <c r="AW83" i="88"/>
  <c r="AW83" i="90"/>
  <c r="AW81" i="82"/>
  <c r="AW81" i="83"/>
  <c r="AW81" i="84"/>
  <c r="AW81" i="86"/>
  <c r="AW81" i="85"/>
  <c r="AW81" i="87"/>
  <c r="AW81" i="89"/>
  <c r="AW81" i="88"/>
  <c r="AW81" i="90"/>
  <c r="AW82" i="82"/>
  <c r="AW82" i="84"/>
  <c r="AW82" i="83"/>
  <c r="AW82" i="85"/>
  <c r="AW82" i="86"/>
  <c r="AW82" i="88"/>
  <c r="AW82" i="90"/>
  <c r="AW82" i="87"/>
  <c r="AW82" i="89"/>
  <c r="AW87" i="82"/>
  <c r="AW87" i="83"/>
  <c r="AW87" i="84"/>
  <c r="AW87" i="86"/>
  <c r="AW87" i="85"/>
  <c r="AW87" i="87"/>
  <c r="AW87" i="89"/>
  <c r="AW87" i="88"/>
  <c r="AW87" i="90"/>
  <c r="AV90" i="82"/>
  <c r="AV90" i="83"/>
  <c r="AV90" i="84"/>
  <c r="AV90" i="86"/>
  <c r="AV90" i="85"/>
  <c r="AV90" i="87"/>
  <c r="AV90" i="89"/>
  <c r="AV90" i="88"/>
  <c r="AV90" i="90"/>
  <c r="AW90" i="82"/>
  <c r="AW90" i="84"/>
  <c r="AW90" i="83"/>
  <c r="AW90" i="85"/>
  <c r="AW90" i="86"/>
  <c r="AW90" i="88"/>
  <c r="AW90" i="90"/>
  <c r="AW90" i="87"/>
  <c r="AW90" i="89"/>
  <c r="BB347" i="82"/>
  <c r="BB347" i="83"/>
  <c r="BB347" i="84"/>
  <c r="BB347" i="85"/>
  <c r="BB347" i="87"/>
  <c r="BB347" i="86"/>
  <c r="BB347" i="88"/>
  <c r="BB347" i="90"/>
  <c r="BB347" i="89"/>
  <c r="AY347" i="82"/>
  <c r="AY347" i="83"/>
  <c r="AY347" i="85"/>
  <c r="AY347" i="84"/>
  <c r="AY347" i="86"/>
  <c r="AY347" i="87"/>
  <c r="AY347" i="89"/>
  <c r="AY347" i="88"/>
  <c r="AY347" i="90"/>
  <c r="AT347" i="82"/>
  <c r="AT347" i="83"/>
  <c r="AT347" i="84"/>
  <c r="AT347" i="85"/>
  <c r="AT347" i="87"/>
  <c r="AT347" i="86"/>
  <c r="AT347" i="88"/>
  <c r="AT347" i="90"/>
  <c r="AT347" i="89"/>
  <c r="BC343" i="82"/>
  <c r="AQ343" i="82"/>
  <c r="BC343" i="83"/>
  <c r="AQ343" i="83"/>
  <c r="BC343" i="85"/>
  <c r="AQ343" i="85"/>
  <c r="BC343" i="84"/>
  <c r="AQ343" i="84"/>
  <c r="BC343" i="86"/>
  <c r="AQ343" i="86"/>
  <c r="BC343" i="87"/>
  <c r="AQ343" i="87"/>
  <c r="BC343" i="89"/>
  <c r="AQ343" i="89"/>
  <c r="BC343" i="88"/>
  <c r="AQ343" i="88"/>
  <c r="BC343" i="90"/>
  <c r="AQ343" i="90"/>
  <c r="AX343" i="82"/>
  <c r="AX343" i="83"/>
  <c r="AX343" i="84"/>
  <c r="AX343" i="85"/>
  <c r="AX343" i="87"/>
  <c r="AX343" i="86"/>
  <c r="AX343" i="88"/>
  <c r="AX343" i="90"/>
  <c r="AX343" i="89"/>
  <c r="AV343" i="82"/>
  <c r="AV343" i="83"/>
  <c r="AV343" i="84"/>
  <c r="AV343" i="85"/>
  <c r="AV343" i="87"/>
  <c r="AV343" i="86"/>
  <c r="AV343" i="88"/>
  <c r="AV343" i="90"/>
  <c r="AV343" i="89"/>
  <c r="AU102" i="82"/>
  <c r="AU102" i="84"/>
  <c r="AU102" i="83"/>
  <c r="AU102" i="85"/>
  <c r="AU102" i="86"/>
  <c r="AU102" i="88"/>
  <c r="AU102" i="90"/>
  <c r="AU102" i="87"/>
  <c r="AU102" i="89"/>
  <c r="AR103" i="82"/>
  <c r="AR103" i="84"/>
  <c r="AR103" i="83"/>
  <c r="AR103" i="85"/>
  <c r="AR103" i="86"/>
  <c r="AR103" i="88"/>
  <c r="AR103" i="90"/>
  <c r="AR103" i="87"/>
  <c r="AR103" i="89"/>
  <c r="AV103" i="82"/>
  <c r="AV103" i="84"/>
  <c r="AV103" i="83"/>
  <c r="AV103" i="85"/>
  <c r="AV103" i="86"/>
  <c r="AV103" i="88"/>
  <c r="AV103" i="90"/>
  <c r="AV103" i="87"/>
  <c r="AV103" i="89"/>
  <c r="AW103" i="82"/>
  <c r="AW103" i="83"/>
  <c r="AW103" i="84"/>
  <c r="AW103" i="86"/>
  <c r="AW103" i="85"/>
  <c r="AW103" i="87"/>
  <c r="AW103" i="89"/>
  <c r="AW103" i="88"/>
  <c r="AW103" i="90"/>
  <c r="AX103" i="82"/>
  <c r="AX103" i="84"/>
  <c r="AX103" i="83"/>
  <c r="AX103" i="85"/>
  <c r="AX103" i="86"/>
  <c r="AX103" i="88"/>
  <c r="AX103" i="90"/>
  <c r="AX103" i="87"/>
  <c r="AX103" i="89"/>
  <c r="BA103" i="82"/>
  <c r="BA103" i="83"/>
  <c r="BA103" i="84"/>
  <c r="BA103" i="86"/>
  <c r="BA103" i="85"/>
  <c r="BA103" i="87"/>
  <c r="BA103" i="89"/>
  <c r="BA103" i="88"/>
  <c r="BA103" i="90"/>
  <c r="BC103" i="82"/>
  <c r="AQ103" i="82"/>
  <c r="BC103" i="83"/>
  <c r="AQ103" i="83"/>
  <c r="BC103" i="84"/>
  <c r="AQ103" i="84"/>
  <c r="BC103" i="86"/>
  <c r="AQ103" i="86"/>
  <c r="BC103" i="85"/>
  <c r="AQ103" i="85"/>
  <c r="BC103" i="87"/>
  <c r="AQ103" i="87"/>
  <c r="BC103" i="89"/>
  <c r="AQ103" i="89"/>
  <c r="BC103" i="88"/>
  <c r="AQ103" i="88"/>
  <c r="BC103" i="90"/>
  <c r="AQ103" i="90"/>
  <c r="AT112" i="82"/>
  <c r="AT112" i="83"/>
  <c r="AT112" i="84"/>
  <c r="AT112" i="86"/>
  <c r="AT112" i="85"/>
  <c r="AT112" i="87"/>
  <c r="AT112" i="89"/>
  <c r="AT112" i="88"/>
  <c r="AT112" i="90"/>
  <c r="AU112" i="82"/>
  <c r="AU112" i="84"/>
  <c r="AU112" i="83"/>
  <c r="AU112" i="85"/>
  <c r="AU112" i="86"/>
  <c r="AU112" i="88"/>
  <c r="AU112" i="90"/>
  <c r="AU112" i="87"/>
  <c r="AU112" i="89"/>
  <c r="AY112" i="82"/>
  <c r="AY112" i="84"/>
  <c r="AY112" i="83"/>
  <c r="AY112" i="85"/>
  <c r="AY112" i="86"/>
  <c r="AY112" i="88"/>
  <c r="AY112" i="90"/>
  <c r="AY112" i="87"/>
  <c r="AY112" i="89"/>
  <c r="AZ112" i="82"/>
  <c r="AZ112" i="83"/>
  <c r="AZ112" i="84"/>
  <c r="AZ112" i="86"/>
  <c r="AZ112" i="85"/>
  <c r="AZ112" i="87"/>
  <c r="AZ112" i="89"/>
  <c r="AZ112" i="88"/>
  <c r="AZ112" i="90"/>
  <c r="BB112" i="82"/>
  <c r="BB112" i="83"/>
  <c r="BB112" i="84"/>
  <c r="BB112" i="86"/>
  <c r="BB112" i="85"/>
  <c r="BB112" i="87"/>
  <c r="BB112" i="89"/>
  <c r="BB112" i="88"/>
  <c r="BB112" i="90"/>
  <c r="AR128" i="82"/>
  <c r="AR128" i="83"/>
  <c r="AR128" i="84"/>
  <c r="AR128" i="86"/>
  <c r="AR128" i="85"/>
  <c r="AR128" i="87"/>
  <c r="AR128" i="89"/>
  <c r="AR128" i="88"/>
  <c r="AR128" i="90"/>
  <c r="AV128" i="82"/>
  <c r="AV128" i="83"/>
  <c r="AV128" i="84"/>
  <c r="AV128" i="86"/>
  <c r="AV128" i="85"/>
  <c r="AV128" i="87"/>
  <c r="AV128" i="89"/>
  <c r="AV128" i="88"/>
  <c r="AV128" i="90"/>
  <c r="AW128" i="82"/>
  <c r="AW128" i="84"/>
  <c r="AW128" i="83"/>
  <c r="AW128" i="85"/>
  <c r="AW128" i="86"/>
  <c r="AW128" i="88"/>
  <c r="AW128" i="90"/>
  <c r="AW128" i="87"/>
  <c r="AW128" i="89"/>
  <c r="AX128" i="82"/>
  <c r="AX128" i="83"/>
  <c r="AX128" i="84"/>
  <c r="AX128" i="86"/>
  <c r="AX128" i="85"/>
  <c r="AX128" i="87"/>
  <c r="AX128" i="89"/>
  <c r="AX128" i="88"/>
  <c r="AX128" i="90"/>
  <c r="BA128" i="82"/>
  <c r="BA128" i="84"/>
  <c r="BA128" i="83"/>
  <c r="BA128" i="85"/>
  <c r="BA128" i="86"/>
  <c r="BA128" i="88"/>
  <c r="BA128" i="90"/>
  <c r="BA128" i="87"/>
  <c r="BA128" i="89"/>
  <c r="BC128" i="82"/>
  <c r="AQ128" i="82"/>
  <c r="BC128" i="84"/>
  <c r="AQ128" i="84"/>
  <c r="BC128" i="83"/>
  <c r="AQ128" i="83"/>
  <c r="BC128" i="85"/>
  <c r="AQ128" i="85"/>
  <c r="BC128" i="86"/>
  <c r="AQ128" i="86"/>
  <c r="BC128" i="88"/>
  <c r="AQ128" i="88"/>
  <c r="BC128" i="90"/>
  <c r="AQ128" i="90"/>
  <c r="BC128" i="87"/>
  <c r="AQ128" i="87"/>
  <c r="BC128" i="89"/>
  <c r="AQ128" i="89"/>
  <c r="AT129" i="82"/>
  <c r="AT129" i="84"/>
  <c r="AT129" i="83"/>
  <c r="AT129" i="85"/>
  <c r="AT129" i="86"/>
  <c r="AT129" i="88"/>
  <c r="AT129" i="90"/>
  <c r="AT129" i="87"/>
  <c r="AT129" i="89"/>
  <c r="AU129" i="82"/>
  <c r="AU129" i="83"/>
  <c r="AU129" i="84"/>
  <c r="AU129" i="86"/>
  <c r="AU129" i="85"/>
  <c r="AU129" i="87"/>
  <c r="AU129" i="89"/>
  <c r="AU129" i="88"/>
  <c r="AU129" i="90"/>
  <c r="AY129" i="82"/>
  <c r="AY129" i="83"/>
  <c r="AY129" i="84"/>
  <c r="AY129" i="86"/>
  <c r="AY129" i="85"/>
  <c r="AY129" i="87"/>
  <c r="AY129" i="89"/>
  <c r="AY129" i="88"/>
  <c r="AY129" i="90"/>
  <c r="AZ129" i="82"/>
  <c r="AZ129" i="84"/>
  <c r="AZ129" i="83"/>
  <c r="AZ129" i="85"/>
  <c r="AZ129" i="86"/>
  <c r="AZ129" i="88"/>
  <c r="AZ129" i="90"/>
  <c r="AZ129" i="87"/>
  <c r="AZ129" i="89"/>
  <c r="BB129" i="82"/>
  <c r="BB129" i="84"/>
  <c r="BB129" i="83"/>
  <c r="BB129" i="85"/>
  <c r="BB129" i="86"/>
  <c r="BB129" i="88"/>
  <c r="BB129" i="90"/>
  <c r="BB129" i="87"/>
  <c r="BB129" i="89"/>
  <c r="AR130" i="82"/>
  <c r="AR130" i="83"/>
  <c r="AR130" i="84"/>
  <c r="AR130" i="86"/>
  <c r="AR130" i="85"/>
  <c r="AR130" i="87"/>
  <c r="AR130" i="89"/>
  <c r="AR130" i="88"/>
  <c r="AR130" i="90"/>
  <c r="AV130" i="82"/>
  <c r="AV130" i="83"/>
  <c r="AV130" i="84"/>
  <c r="AV130" i="86"/>
  <c r="AV130" i="85"/>
  <c r="AV130" i="87"/>
  <c r="AV130" i="89"/>
  <c r="AV130" i="88"/>
  <c r="AV130" i="90"/>
  <c r="AW130" i="82"/>
  <c r="AW130" i="84"/>
  <c r="AW130" i="83"/>
  <c r="AW130" i="85"/>
  <c r="AW130" i="86"/>
  <c r="AW130" i="88"/>
  <c r="AW130" i="90"/>
  <c r="AW130" i="87"/>
  <c r="AW130" i="89"/>
  <c r="AX130" i="82"/>
  <c r="AX130" i="83"/>
  <c r="AX130" i="84"/>
  <c r="AX130" i="86"/>
  <c r="AX130" i="85"/>
  <c r="AX130" i="87"/>
  <c r="AX130" i="89"/>
  <c r="AX130" i="88"/>
  <c r="AX130" i="90"/>
  <c r="BA130" i="82"/>
  <c r="BA130" i="84"/>
  <c r="BA130" i="83"/>
  <c r="BA130" i="85"/>
  <c r="BA130" i="86"/>
  <c r="BA130" i="88"/>
  <c r="BA130" i="90"/>
  <c r="BA130" i="87"/>
  <c r="BA130" i="89"/>
  <c r="BC130" i="82"/>
  <c r="AQ130" i="82"/>
  <c r="BC130" i="84"/>
  <c r="AQ130" i="84"/>
  <c r="BC130" i="83"/>
  <c r="AQ130" i="83"/>
  <c r="BC130" i="85"/>
  <c r="AQ130" i="85"/>
  <c r="BC130" i="86"/>
  <c r="AQ130" i="86"/>
  <c r="BC130" i="88"/>
  <c r="AQ130" i="88"/>
  <c r="BC130" i="90"/>
  <c r="AQ130" i="90"/>
  <c r="BC130" i="87"/>
  <c r="AQ130" i="87"/>
  <c r="BC130" i="89"/>
  <c r="AQ130" i="89"/>
  <c r="AT131" i="82"/>
  <c r="AT131" i="84"/>
  <c r="AT131" i="83"/>
  <c r="AT131" i="85"/>
  <c r="AT131" i="86"/>
  <c r="AT131" i="88"/>
  <c r="AT131" i="90"/>
  <c r="AT131" i="87"/>
  <c r="AT131" i="89"/>
  <c r="AU131" i="82"/>
  <c r="AU131" i="83"/>
  <c r="AU131" i="84"/>
  <c r="AU131" i="86"/>
  <c r="AU131" i="85"/>
  <c r="AU131" i="87"/>
  <c r="AU131" i="89"/>
  <c r="AU131" i="88"/>
  <c r="AU131" i="90"/>
  <c r="AY131" i="82"/>
  <c r="AY131" i="83"/>
  <c r="AY131" i="84"/>
  <c r="AY131" i="86"/>
  <c r="AY131" i="85"/>
  <c r="AY131" i="87"/>
  <c r="AY131" i="89"/>
  <c r="AY131" i="88"/>
  <c r="AY131" i="90"/>
  <c r="AZ131" i="82"/>
  <c r="AZ131" i="84"/>
  <c r="AZ131" i="83"/>
  <c r="AZ131" i="85"/>
  <c r="AZ131" i="86"/>
  <c r="AZ131" i="88"/>
  <c r="AZ131" i="90"/>
  <c r="AZ131" i="87"/>
  <c r="AZ131" i="89"/>
  <c r="BB131" i="82"/>
  <c r="BB131" i="84"/>
  <c r="BB131" i="83"/>
  <c r="BB131" i="85"/>
  <c r="BB131" i="86"/>
  <c r="BB131" i="88"/>
  <c r="BB131" i="90"/>
  <c r="BB131" i="87"/>
  <c r="BB131" i="89"/>
  <c r="AR132" i="82"/>
  <c r="AR132" i="83"/>
  <c r="AR132" i="84"/>
  <c r="AR132" i="86"/>
  <c r="AR132" i="85"/>
  <c r="AR132" i="87"/>
  <c r="AR132" i="89"/>
  <c r="AR132" i="88"/>
  <c r="AR132" i="90"/>
  <c r="AV132" i="82"/>
  <c r="AV132" i="83"/>
  <c r="AV132" i="84"/>
  <c r="AV132" i="86"/>
  <c r="AV132" i="85"/>
  <c r="AV132" i="87"/>
  <c r="AV132" i="89"/>
  <c r="AV132" i="88"/>
  <c r="AV132" i="90"/>
  <c r="AW132" i="82"/>
  <c r="AW132" i="84"/>
  <c r="AW132" i="83"/>
  <c r="AW132" i="85"/>
  <c r="AW132" i="86"/>
  <c r="AW132" i="88"/>
  <c r="AW132" i="90"/>
  <c r="AW132" i="87"/>
  <c r="AW132" i="89"/>
  <c r="AX132" i="82"/>
  <c r="AX132" i="83"/>
  <c r="AX132" i="84"/>
  <c r="AX132" i="86"/>
  <c r="AX132" i="85"/>
  <c r="AX132" i="87"/>
  <c r="AX132" i="89"/>
  <c r="AX132" i="88"/>
  <c r="AX132" i="90"/>
  <c r="BA132" i="82"/>
  <c r="BA132" i="84"/>
  <c r="BA132" i="83"/>
  <c r="BA132" i="85"/>
  <c r="BA132" i="86"/>
  <c r="BA132" i="88"/>
  <c r="BA132" i="90"/>
  <c r="BA132" i="87"/>
  <c r="BA132" i="89"/>
  <c r="BC132" i="82"/>
  <c r="AQ132" i="82"/>
  <c r="BC132" i="84"/>
  <c r="AQ132" i="84"/>
  <c r="BC132" i="83"/>
  <c r="AQ132" i="83"/>
  <c r="BC132" i="85"/>
  <c r="AQ132" i="85"/>
  <c r="BC132" i="86"/>
  <c r="AQ132" i="86"/>
  <c r="BC132" i="88"/>
  <c r="AQ132" i="88"/>
  <c r="BC132" i="90"/>
  <c r="AQ132" i="90"/>
  <c r="BC132" i="87"/>
  <c r="AQ132" i="87"/>
  <c r="BC132" i="89"/>
  <c r="AQ132" i="89"/>
  <c r="AT133" i="82"/>
  <c r="AT133" i="84"/>
  <c r="AT133" i="83"/>
  <c r="AT133" i="85"/>
  <c r="AT133" i="86"/>
  <c r="AT133" i="88"/>
  <c r="AT133" i="90"/>
  <c r="AT133" i="87"/>
  <c r="AT133" i="89"/>
  <c r="AU133" i="82"/>
  <c r="AU133" i="83"/>
  <c r="AU133" i="84"/>
  <c r="AU133" i="86"/>
  <c r="AU133" i="85"/>
  <c r="AU133" i="87"/>
  <c r="AU133" i="89"/>
  <c r="AU133" i="88"/>
  <c r="AU133" i="90"/>
  <c r="AY133" i="82"/>
  <c r="AY133" i="83"/>
  <c r="AY133" i="84"/>
  <c r="AY133" i="86"/>
  <c r="AY133" i="85"/>
  <c r="AY133" i="87"/>
  <c r="AY133" i="89"/>
  <c r="AY133" i="88"/>
  <c r="AY133" i="90"/>
  <c r="AZ133" i="82"/>
  <c r="AZ133" i="84"/>
  <c r="AZ133" i="83"/>
  <c r="AZ133" i="85"/>
  <c r="AZ133" i="86"/>
  <c r="AZ133" i="88"/>
  <c r="AZ133" i="90"/>
  <c r="AZ133" i="87"/>
  <c r="AZ133" i="89"/>
  <c r="BB133" i="82"/>
  <c r="BB133" i="84"/>
  <c r="BB133" i="83"/>
  <c r="BB133" i="85"/>
  <c r="BB133" i="86"/>
  <c r="BB133" i="88"/>
  <c r="BB133" i="90"/>
  <c r="BB133" i="87"/>
  <c r="BB133" i="89"/>
  <c r="AR134" i="82"/>
  <c r="AR134" i="83"/>
  <c r="AR134" i="84"/>
  <c r="AR134" i="86"/>
  <c r="AR134" i="85"/>
  <c r="AR134" i="87"/>
  <c r="AR134" i="89"/>
  <c r="AR134" i="88"/>
  <c r="AR134" i="90"/>
  <c r="AV134" i="82"/>
  <c r="AV134" i="83"/>
  <c r="AV134" i="84"/>
  <c r="AV134" i="86"/>
  <c r="AV134" i="85"/>
  <c r="AV134" i="87"/>
  <c r="AV134" i="89"/>
  <c r="AV134" i="88"/>
  <c r="AV134" i="90"/>
  <c r="AW134" i="82"/>
  <c r="AW134" i="84"/>
  <c r="AW134" i="83"/>
  <c r="AW134" i="85"/>
  <c r="AW134" i="86"/>
  <c r="AW134" i="88"/>
  <c r="AW134" i="90"/>
  <c r="AW134" i="87"/>
  <c r="AW134" i="89"/>
  <c r="AX134" i="82"/>
  <c r="AX134" i="83"/>
  <c r="AX134" i="84"/>
  <c r="AX134" i="86"/>
  <c r="AX134" i="85"/>
  <c r="AX134" i="87"/>
  <c r="AX134" i="89"/>
  <c r="AX134" i="88"/>
  <c r="AX134" i="90"/>
  <c r="BA134" i="82"/>
  <c r="BA134" i="84"/>
  <c r="BA134" i="83"/>
  <c r="BA134" i="85"/>
  <c r="BA134" i="86"/>
  <c r="BA134" i="88"/>
  <c r="BA134" i="90"/>
  <c r="BA134" i="87"/>
  <c r="BA134" i="89"/>
  <c r="BC134" i="82"/>
  <c r="AQ134" i="82"/>
  <c r="BC134" i="84"/>
  <c r="AQ134" i="84"/>
  <c r="BC134" i="83"/>
  <c r="AQ134" i="83"/>
  <c r="BC134" i="85"/>
  <c r="AQ134" i="85"/>
  <c r="BC134" i="86"/>
  <c r="AQ134" i="86"/>
  <c r="BC134" i="88"/>
  <c r="AQ134" i="88"/>
  <c r="BC134" i="90"/>
  <c r="AQ134" i="90"/>
  <c r="BC134" i="87"/>
  <c r="AQ134" i="87"/>
  <c r="BC134" i="89"/>
  <c r="AQ134" i="89"/>
  <c r="AT135" i="82"/>
  <c r="AT135" i="84"/>
  <c r="AT135" i="83"/>
  <c r="AT135" i="85"/>
  <c r="AT135" i="86"/>
  <c r="AT135" i="88"/>
  <c r="AT135" i="90"/>
  <c r="AT135" i="87"/>
  <c r="AT135" i="89"/>
  <c r="AU135" i="82"/>
  <c r="AU135" i="83"/>
  <c r="AU135" i="84"/>
  <c r="AU135" i="86"/>
  <c r="AU135" i="85"/>
  <c r="AU135" i="87"/>
  <c r="AU135" i="89"/>
  <c r="AU135" i="88"/>
  <c r="AU135" i="90"/>
  <c r="AY135" i="82"/>
  <c r="AY135" i="83"/>
  <c r="AY135" i="84"/>
  <c r="AY135" i="86"/>
  <c r="AY135" i="85"/>
  <c r="AY135" i="87"/>
  <c r="AY135" i="89"/>
  <c r="AY135" i="88"/>
  <c r="AY135" i="90"/>
  <c r="AZ135" i="82"/>
  <c r="AZ135" i="84"/>
  <c r="AZ135" i="83"/>
  <c r="AZ135" i="85"/>
  <c r="AZ135" i="86"/>
  <c r="AZ135" i="88"/>
  <c r="AZ135" i="90"/>
  <c r="AZ135" i="87"/>
  <c r="AZ135" i="89"/>
  <c r="BB135" i="82"/>
  <c r="BB135" i="84"/>
  <c r="BB135" i="83"/>
  <c r="BB135" i="85"/>
  <c r="BB135" i="86"/>
  <c r="BB135" i="88"/>
  <c r="BB135" i="90"/>
  <c r="BB135" i="87"/>
  <c r="BB135" i="89"/>
  <c r="AR136" i="82"/>
  <c r="AR136" i="83"/>
  <c r="AR136" i="84"/>
  <c r="AR136" i="86"/>
  <c r="AR136" i="85"/>
  <c r="AR136" i="87"/>
  <c r="AR136" i="89"/>
  <c r="AR136" i="88"/>
  <c r="AR136" i="90"/>
  <c r="AV136" i="82"/>
  <c r="AV136" i="83"/>
  <c r="AV136" i="84"/>
  <c r="AV136" i="86"/>
  <c r="AV136" i="85"/>
  <c r="AV136" i="87"/>
  <c r="AV136" i="89"/>
  <c r="AV136" i="88"/>
  <c r="AV136" i="90"/>
  <c r="AW136" i="82"/>
  <c r="AW136" i="84"/>
  <c r="AW136" i="83"/>
  <c r="AW136" i="85"/>
  <c r="AW136" i="86"/>
  <c r="AW136" i="88"/>
  <c r="AW136" i="90"/>
  <c r="AW136" i="87"/>
  <c r="AW136" i="89"/>
  <c r="AX136" i="82"/>
  <c r="AX136" i="83"/>
  <c r="AX136" i="84"/>
  <c r="AX136" i="86"/>
  <c r="AX136" i="85"/>
  <c r="AX136" i="87"/>
  <c r="AX136" i="89"/>
  <c r="AX136" i="88"/>
  <c r="AX136" i="90"/>
  <c r="BA136" i="82"/>
  <c r="BA136" i="84"/>
  <c r="BA136" i="83"/>
  <c r="BA136" i="85"/>
  <c r="BA136" i="86"/>
  <c r="BA136" i="88"/>
  <c r="BA136" i="90"/>
  <c r="BA136" i="87"/>
  <c r="BA136" i="89"/>
  <c r="BC136" i="82"/>
  <c r="AQ136" i="82"/>
  <c r="BC136" i="84"/>
  <c r="AQ136" i="84"/>
  <c r="BC136" i="83"/>
  <c r="AQ136" i="83"/>
  <c r="BC136" i="85"/>
  <c r="AQ136" i="85"/>
  <c r="BC136" i="86"/>
  <c r="AQ136" i="86"/>
  <c r="BC136" i="88"/>
  <c r="AQ136" i="88"/>
  <c r="BC136" i="90"/>
  <c r="AQ136" i="90"/>
  <c r="BC136" i="87"/>
  <c r="AQ136" i="87"/>
  <c r="BC136" i="89"/>
  <c r="AQ136" i="89"/>
  <c r="AT137" i="82"/>
  <c r="AT137" i="84"/>
  <c r="AT137" i="83"/>
  <c r="AT137" i="85"/>
  <c r="AT137" i="86"/>
  <c r="AT137" i="88"/>
  <c r="AT137" i="90"/>
  <c r="AT137" i="87"/>
  <c r="AT137" i="89"/>
  <c r="AU137" i="82"/>
  <c r="AU137" i="83"/>
  <c r="AU137" i="84"/>
  <c r="AU137" i="86"/>
  <c r="AU137" i="85"/>
  <c r="AU137" i="87"/>
  <c r="AU137" i="89"/>
  <c r="AU137" i="88"/>
  <c r="AU137" i="90"/>
  <c r="AY137" i="82"/>
  <c r="AY137" i="83"/>
  <c r="AY137" i="84"/>
  <c r="AY137" i="86"/>
  <c r="AY137" i="85"/>
  <c r="AY137" i="87"/>
  <c r="AY137" i="89"/>
  <c r="AY137" i="88"/>
  <c r="AY137" i="90"/>
  <c r="AZ137" i="82"/>
  <c r="AZ137" i="84"/>
  <c r="AZ137" i="83"/>
  <c r="AZ137" i="85"/>
  <c r="AZ137" i="86"/>
  <c r="AZ137" i="88"/>
  <c r="AZ137" i="90"/>
  <c r="AZ137" i="87"/>
  <c r="AZ137" i="89"/>
  <c r="BB137" i="82"/>
  <c r="BB137" i="84"/>
  <c r="BB137" i="83"/>
  <c r="BB137" i="85"/>
  <c r="BB137" i="86"/>
  <c r="BB137" i="88"/>
  <c r="BB137" i="90"/>
  <c r="BB137" i="87"/>
  <c r="BB137" i="89"/>
  <c r="AR138" i="82"/>
  <c r="AR138" i="83"/>
  <c r="AR138" i="84"/>
  <c r="AR138" i="86"/>
  <c r="AR138" i="85"/>
  <c r="AR138" i="87"/>
  <c r="AR138" i="89"/>
  <c r="AR138" i="88"/>
  <c r="AR138" i="90"/>
  <c r="AV138" i="82"/>
  <c r="AV138" i="83"/>
  <c r="AV138" i="84"/>
  <c r="AV138" i="86"/>
  <c r="AV138" i="85"/>
  <c r="AV138" i="87"/>
  <c r="AV138" i="89"/>
  <c r="AV138" i="88"/>
  <c r="AV138" i="90"/>
  <c r="AW138" i="82"/>
  <c r="AW138" i="84"/>
  <c r="AW138" i="83"/>
  <c r="AW138" i="85"/>
  <c r="AW138" i="86"/>
  <c r="AW138" i="88"/>
  <c r="AW138" i="90"/>
  <c r="AW138" i="87"/>
  <c r="AW138" i="89"/>
  <c r="AX138" i="82"/>
  <c r="AX138" i="83"/>
  <c r="AX138" i="84"/>
  <c r="AX138" i="86"/>
  <c r="AX138" i="85"/>
  <c r="AX138" i="87"/>
  <c r="AX138" i="89"/>
  <c r="AX138" i="88"/>
  <c r="AX138" i="90"/>
  <c r="BA138" i="82"/>
  <c r="BA138" i="84"/>
  <c r="BA138" i="83"/>
  <c r="BA138" i="85"/>
  <c r="BA138" i="86"/>
  <c r="BA138" i="88"/>
  <c r="BA138" i="90"/>
  <c r="BA138" i="87"/>
  <c r="BA138" i="89"/>
  <c r="BC138" i="82"/>
  <c r="AQ138" i="82"/>
  <c r="BC138" i="84"/>
  <c r="AQ138" i="84"/>
  <c r="BC138" i="83"/>
  <c r="AQ138" i="83"/>
  <c r="BC138" i="85"/>
  <c r="AQ138" i="85"/>
  <c r="BC138" i="86"/>
  <c r="AQ138" i="86"/>
  <c r="BC138" i="88"/>
  <c r="AQ138" i="88"/>
  <c r="BC138" i="90"/>
  <c r="AQ138" i="90"/>
  <c r="BC138" i="87"/>
  <c r="AQ138" i="87"/>
  <c r="BC138" i="89"/>
  <c r="AQ138" i="89"/>
  <c r="AT139" i="82"/>
  <c r="AT139" i="84"/>
  <c r="AT139" i="83"/>
  <c r="AT139" i="85"/>
  <c r="AT139" i="86"/>
  <c r="AT139" i="88"/>
  <c r="AT139" i="90"/>
  <c r="AT139" i="87"/>
  <c r="AT139" i="89"/>
  <c r="AU139" i="82"/>
  <c r="AU139" i="83"/>
  <c r="AU139" i="84"/>
  <c r="AU139" i="86"/>
  <c r="AU139" i="85"/>
  <c r="AU139" i="87"/>
  <c r="AU139" i="89"/>
  <c r="AU139" i="88"/>
  <c r="AU139" i="90"/>
  <c r="AY139" i="82"/>
  <c r="AY139" i="83"/>
  <c r="AY139" i="84"/>
  <c r="AY139" i="86"/>
  <c r="AY139" i="85"/>
  <c r="AY139" i="87"/>
  <c r="AY139" i="89"/>
  <c r="AY139" i="88"/>
  <c r="AY139" i="90"/>
  <c r="AZ139" i="82"/>
  <c r="AZ139" i="84"/>
  <c r="AZ139" i="83"/>
  <c r="AZ139" i="85"/>
  <c r="AZ139" i="86"/>
  <c r="AZ139" i="88"/>
  <c r="AZ139" i="90"/>
  <c r="AZ139" i="87"/>
  <c r="AZ139" i="89"/>
  <c r="BB139" i="82"/>
  <c r="BB139" i="84"/>
  <c r="BB139" i="83"/>
  <c r="BB139" i="85"/>
  <c r="BB139" i="86"/>
  <c r="BB139" i="88"/>
  <c r="BB139" i="90"/>
  <c r="BB139" i="87"/>
  <c r="BB139" i="89"/>
  <c r="AR140" i="82"/>
  <c r="AR140" i="83"/>
  <c r="AR140" i="84"/>
  <c r="AR140" i="86"/>
  <c r="AR140" i="85"/>
  <c r="AR140" i="87"/>
  <c r="AR140" i="89"/>
  <c r="AR140" i="88"/>
  <c r="AR140" i="90"/>
  <c r="AV140" i="82"/>
  <c r="AV140" i="83"/>
  <c r="AV140" i="84"/>
  <c r="AV140" i="86"/>
  <c r="AV140" i="85"/>
  <c r="AV140" i="87"/>
  <c r="AV140" i="89"/>
  <c r="AV140" i="88"/>
  <c r="AV140" i="90"/>
  <c r="AW140" i="82"/>
  <c r="AW140" i="84"/>
  <c r="AW140" i="83"/>
  <c r="AW140" i="85"/>
  <c r="AW140" i="86"/>
  <c r="AW140" i="88"/>
  <c r="AW140" i="90"/>
  <c r="AW140" i="87"/>
  <c r="AW140" i="89"/>
  <c r="AX140" i="82"/>
  <c r="AX140" i="83"/>
  <c r="AX140" i="84"/>
  <c r="AX140" i="86"/>
  <c r="AX140" i="85"/>
  <c r="AX140" i="87"/>
  <c r="AX140" i="89"/>
  <c r="AX140" i="88"/>
  <c r="AX140" i="90"/>
  <c r="BA140" i="82"/>
  <c r="BA140" i="84"/>
  <c r="BA140" i="83"/>
  <c r="BA140" i="85"/>
  <c r="BA140" i="86"/>
  <c r="BA140" i="88"/>
  <c r="BA140" i="90"/>
  <c r="BA140" i="87"/>
  <c r="BA140" i="89"/>
  <c r="BC140" i="82"/>
  <c r="AQ140" i="82"/>
  <c r="BC140" i="84"/>
  <c r="AQ140" i="84"/>
  <c r="BC140" i="83"/>
  <c r="AQ140" i="83"/>
  <c r="BC140" i="85"/>
  <c r="AQ140" i="85"/>
  <c r="BC140" i="86"/>
  <c r="AQ140" i="86"/>
  <c r="BC140" i="88"/>
  <c r="AQ140" i="88"/>
  <c r="BC140" i="90"/>
  <c r="AQ140" i="90"/>
  <c r="BC140" i="87"/>
  <c r="AQ140" i="87"/>
  <c r="BC140" i="89"/>
  <c r="AQ140" i="89"/>
  <c r="AT141" i="82"/>
  <c r="AT141" i="84"/>
  <c r="AT141" i="83"/>
  <c r="AT141" i="85"/>
  <c r="AT141" i="86"/>
  <c r="AT141" i="88"/>
  <c r="AT141" i="90"/>
  <c r="AT141" i="87"/>
  <c r="AT141" i="89"/>
  <c r="AU141" i="82"/>
  <c r="AU141" i="83"/>
  <c r="AU141" i="84"/>
  <c r="AU141" i="86"/>
  <c r="AU141" i="85"/>
  <c r="AU141" i="87"/>
  <c r="AU141" i="89"/>
  <c r="AU141" i="88"/>
  <c r="AU141" i="90"/>
  <c r="AY141" i="82"/>
  <c r="AY141" i="83"/>
  <c r="AY141" i="84"/>
  <c r="AY141" i="86"/>
  <c r="AY141" i="85"/>
  <c r="AY141" i="87"/>
  <c r="AY141" i="89"/>
  <c r="AY141" i="88"/>
  <c r="AY141" i="90"/>
  <c r="AZ141" i="82"/>
  <c r="AZ141" i="84"/>
  <c r="AZ141" i="83"/>
  <c r="AZ141" i="85"/>
  <c r="AZ141" i="86"/>
  <c r="AZ141" i="88"/>
  <c r="AZ141" i="90"/>
  <c r="AZ141" i="87"/>
  <c r="AZ141" i="89"/>
  <c r="BB141" i="82"/>
  <c r="BB141" i="84"/>
  <c r="BB141" i="83"/>
  <c r="BB141" i="85"/>
  <c r="BB141" i="86"/>
  <c r="BB141" i="88"/>
  <c r="BB141" i="90"/>
  <c r="BB141" i="87"/>
  <c r="BB141" i="89"/>
  <c r="AR142" i="82"/>
  <c r="AR142" i="83"/>
  <c r="AR142" i="84"/>
  <c r="AR142" i="86"/>
  <c r="AR142" i="85"/>
  <c r="AR142" i="87"/>
  <c r="AR142" i="89"/>
  <c r="AR142" i="88"/>
  <c r="AR142" i="90"/>
  <c r="AV142" i="82"/>
  <c r="AV142" i="83"/>
  <c r="AV142" i="84"/>
  <c r="AV142" i="86"/>
  <c r="AV142" i="85"/>
  <c r="AV142" i="87"/>
  <c r="AV142" i="89"/>
  <c r="AV142" i="88"/>
  <c r="AV142" i="90"/>
  <c r="AW142" i="82"/>
  <c r="AW142" i="84"/>
  <c r="AW142" i="83"/>
  <c r="AW142" i="85"/>
  <c r="AW142" i="86"/>
  <c r="AW142" i="88"/>
  <c r="AW142" i="90"/>
  <c r="AW142" i="87"/>
  <c r="AW142" i="89"/>
  <c r="AX142" i="82"/>
  <c r="AX142" i="83"/>
  <c r="AX142" i="84"/>
  <c r="AX142" i="86"/>
  <c r="AX142" i="85"/>
  <c r="AX142" i="87"/>
  <c r="AX142" i="89"/>
  <c r="AX142" i="88"/>
  <c r="AX142" i="90"/>
  <c r="BA142" i="82"/>
  <c r="BA142" i="84"/>
  <c r="BA142" i="83"/>
  <c r="BA142" i="85"/>
  <c r="BA142" i="86"/>
  <c r="BA142" i="88"/>
  <c r="BA142" i="90"/>
  <c r="BA142" i="87"/>
  <c r="BA142" i="89"/>
  <c r="BC142" i="82"/>
  <c r="AQ142" i="82"/>
  <c r="BC142" i="84"/>
  <c r="AQ142" i="84"/>
  <c r="BC142" i="83"/>
  <c r="AQ142" i="83"/>
  <c r="BC142" i="85"/>
  <c r="AQ142" i="85"/>
  <c r="BC142" i="86"/>
  <c r="AQ142" i="86"/>
  <c r="BC142" i="88"/>
  <c r="AQ142" i="88"/>
  <c r="BC142" i="90"/>
  <c r="AQ142" i="90"/>
  <c r="BC142" i="87"/>
  <c r="AQ142" i="87"/>
  <c r="BC142" i="89"/>
  <c r="AQ142" i="89"/>
  <c r="AT143" i="82"/>
  <c r="AT143" i="84"/>
  <c r="AT143" i="83"/>
  <c r="AT143" i="85"/>
  <c r="AT143" i="86"/>
  <c r="AT143" i="88"/>
  <c r="AT143" i="90"/>
  <c r="AT143" i="87"/>
  <c r="AT143" i="89"/>
  <c r="AU143" i="82"/>
  <c r="AU143" i="83"/>
  <c r="AU143" i="84"/>
  <c r="AU143" i="86"/>
  <c r="AU143" i="85"/>
  <c r="AU143" i="87"/>
  <c r="AU143" i="89"/>
  <c r="AU143" i="88"/>
  <c r="AU143" i="90"/>
  <c r="AY143" i="82"/>
  <c r="AY143" i="83"/>
  <c r="AY143" i="84"/>
  <c r="AY143" i="86"/>
  <c r="AY143" i="85"/>
  <c r="AY143" i="87"/>
  <c r="AY143" i="89"/>
  <c r="AY143" i="88"/>
  <c r="AY143" i="90"/>
  <c r="AZ143" i="82"/>
  <c r="AZ143" i="84"/>
  <c r="AZ143" i="83"/>
  <c r="AZ143" i="85"/>
  <c r="AZ143" i="86"/>
  <c r="AZ143" i="88"/>
  <c r="AZ143" i="90"/>
  <c r="AZ143" i="87"/>
  <c r="AZ143" i="89"/>
  <c r="BB143" i="82"/>
  <c r="BB143" i="84"/>
  <c r="BB143" i="83"/>
  <c r="BB143" i="85"/>
  <c r="BB143" i="86"/>
  <c r="BB143" i="88"/>
  <c r="BB143" i="90"/>
  <c r="BB143" i="87"/>
  <c r="BB143" i="89"/>
  <c r="AR144" i="82"/>
  <c r="AR144" i="83"/>
  <c r="AR144" i="84"/>
  <c r="AR144" i="86"/>
  <c r="AR144" i="85"/>
  <c r="AR144" i="87"/>
  <c r="AR144" i="89"/>
  <c r="AR144" i="88"/>
  <c r="AR144" i="90"/>
  <c r="AV144" i="82"/>
  <c r="AV144" i="83"/>
  <c r="AV144" i="84"/>
  <c r="AV144" i="86"/>
  <c r="AV144" i="85"/>
  <c r="AV144" i="87"/>
  <c r="AV144" i="89"/>
  <c r="AV144" i="88"/>
  <c r="AV144" i="90"/>
  <c r="AW144" i="82"/>
  <c r="AW144" i="84"/>
  <c r="AW144" i="83"/>
  <c r="AW144" i="85"/>
  <c r="AW144" i="86"/>
  <c r="AW144" i="88"/>
  <c r="AW144" i="90"/>
  <c r="AW144" i="87"/>
  <c r="AW144" i="89"/>
  <c r="AX144" i="82"/>
  <c r="AX144" i="83"/>
  <c r="AX144" i="84"/>
  <c r="AX144" i="86"/>
  <c r="AX144" i="85"/>
  <c r="AX144" i="87"/>
  <c r="AX144" i="89"/>
  <c r="AX144" i="88"/>
  <c r="AX144" i="90"/>
  <c r="BA144" i="82"/>
  <c r="BA144" i="84"/>
  <c r="BA144" i="83"/>
  <c r="BA144" i="85"/>
  <c r="BA144" i="86"/>
  <c r="BA144" i="88"/>
  <c r="BA144" i="90"/>
  <c r="BA144" i="87"/>
  <c r="BA144" i="89"/>
  <c r="BC144" i="82"/>
  <c r="AQ144" i="82"/>
  <c r="BC144" i="84"/>
  <c r="AQ144" i="84"/>
  <c r="BC144" i="83"/>
  <c r="AQ144" i="83"/>
  <c r="BC144" i="85"/>
  <c r="AQ144" i="85"/>
  <c r="BC144" i="86"/>
  <c r="AQ144" i="86"/>
  <c r="BC144" i="88"/>
  <c r="AQ144" i="88"/>
  <c r="BC144" i="90"/>
  <c r="AQ144" i="90"/>
  <c r="BC144" i="87"/>
  <c r="AQ144" i="87"/>
  <c r="BC144" i="89"/>
  <c r="AQ144" i="89"/>
  <c r="AT145" i="82"/>
  <c r="AT145" i="84"/>
  <c r="AT145" i="83"/>
  <c r="AT145" i="85"/>
  <c r="AT145" i="86"/>
  <c r="AT145" i="88"/>
  <c r="AT145" i="90"/>
  <c r="AT145" i="87"/>
  <c r="AT145" i="89"/>
  <c r="AU145" i="82"/>
  <c r="AU145" i="83"/>
  <c r="AU145" i="84"/>
  <c r="AU145" i="86"/>
  <c r="AU145" i="85"/>
  <c r="AU145" i="87"/>
  <c r="AU145" i="89"/>
  <c r="AU145" i="88"/>
  <c r="AU145" i="90"/>
  <c r="AY145" i="82"/>
  <c r="AY145" i="83"/>
  <c r="AY145" i="84"/>
  <c r="AY145" i="86"/>
  <c r="AY145" i="85"/>
  <c r="AY145" i="87"/>
  <c r="AY145" i="89"/>
  <c r="AY145" i="88"/>
  <c r="AY145" i="90"/>
  <c r="AZ145" i="82"/>
  <c r="AZ145" i="84"/>
  <c r="AZ145" i="83"/>
  <c r="AZ145" i="85"/>
  <c r="AZ145" i="86"/>
  <c r="AZ145" i="88"/>
  <c r="AZ145" i="90"/>
  <c r="AZ145" i="87"/>
  <c r="AZ145" i="89"/>
  <c r="BB145" i="82"/>
  <c r="BB145" i="84"/>
  <c r="BB145" i="83"/>
  <c r="BB145" i="85"/>
  <c r="BB145" i="86"/>
  <c r="BB145" i="88"/>
  <c r="BB145" i="90"/>
  <c r="BB145" i="87"/>
  <c r="BB145" i="89"/>
  <c r="AR146" i="82"/>
  <c r="AR146" i="83"/>
  <c r="AR146" i="84"/>
  <c r="AR146" i="86"/>
  <c r="AR146" i="85"/>
  <c r="AR146" i="87"/>
  <c r="AR146" i="89"/>
  <c r="AR146" i="88"/>
  <c r="AR146" i="90"/>
  <c r="AV146" i="82"/>
  <c r="AV146" i="83"/>
  <c r="AV146" i="84"/>
  <c r="AV146" i="86"/>
  <c r="AV146" i="85"/>
  <c r="AV146" i="87"/>
  <c r="AV146" i="89"/>
  <c r="AV146" i="88"/>
  <c r="AV146" i="90"/>
  <c r="AW146" i="82"/>
  <c r="AW146" i="84"/>
  <c r="AW146" i="83"/>
  <c r="AW146" i="85"/>
  <c r="AW146" i="86"/>
  <c r="AW146" i="88"/>
  <c r="AW146" i="90"/>
  <c r="AW146" i="87"/>
  <c r="AW146" i="89"/>
  <c r="AX146" i="82"/>
  <c r="AX146" i="83"/>
  <c r="AX146" i="84"/>
  <c r="AX146" i="86"/>
  <c r="AX146" i="85"/>
  <c r="AX146" i="87"/>
  <c r="AX146" i="89"/>
  <c r="AX146" i="88"/>
  <c r="AX146" i="90"/>
  <c r="BA146" i="82"/>
  <c r="BA146" i="84"/>
  <c r="BA146" i="83"/>
  <c r="BA146" i="85"/>
  <c r="BA146" i="86"/>
  <c r="BA146" i="88"/>
  <c r="BA146" i="90"/>
  <c r="BA146" i="87"/>
  <c r="BA146" i="89"/>
  <c r="BC146" i="82"/>
  <c r="AQ146" i="82"/>
  <c r="BC146" i="84"/>
  <c r="AQ146" i="84"/>
  <c r="BC146" i="83"/>
  <c r="AQ146" i="83"/>
  <c r="BC146" i="85"/>
  <c r="AQ146" i="85"/>
  <c r="BC146" i="86"/>
  <c r="AQ146" i="86"/>
  <c r="BC146" i="88"/>
  <c r="AQ146" i="88"/>
  <c r="BC146" i="90"/>
  <c r="AQ146" i="90"/>
  <c r="BC146" i="87"/>
  <c r="AQ146" i="87"/>
  <c r="BC146" i="89"/>
  <c r="AQ146" i="89"/>
  <c r="AT147" i="82"/>
  <c r="AT147" i="84"/>
  <c r="AT147" i="83"/>
  <c r="AT147" i="85"/>
  <c r="AT147" i="86"/>
  <c r="AT147" i="88"/>
  <c r="AT147" i="90"/>
  <c r="AT147" i="87"/>
  <c r="AT147" i="89"/>
  <c r="AU147" i="82"/>
  <c r="AU147" i="83"/>
  <c r="AU147" i="84"/>
  <c r="AU147" i="86"/>
  <c r="AU147" i="85"/>
  <c r="AU147" i="87"/>
  <c r="AU147" i="89"/>
  <c r="AU147" i="88"/>
  <c r="AU147" i="90"/>
  <c r="AY147" i="82"/>
  <c r="AY147" i="83"/>
  <c r="AY147" i="84"/>
  <c r="AY147" i="86"/>
  <c r="AY147" i="85"/>
  <c r="AY147" i="87"/>
  <c r="AY147" i="89"/>
  <c r="AY147" i="88"/>
  <c r="AY147" i="90"/>
  <c r="AZ147" i="82"/>
  <c r="AZ147" i="84"/>
  <c r="AZ147" i="83"/>
  <c r="AZ147" i="85"/>
  <c r="AZ147" i="86"/>
  <c r="AZ147" i="88"/>
  <c r="AZ147" i="90"/>
  <c r="AZ147" i="87"/>
  <c r="AZ147" i="89"/>
  <c r="BB147" i="82"/>
  <c r="BB147" i="84"/>
  <c r="BB147" i="83"/>
  <c r="BB147" i="85"/>
  <c r="BB147" i="86"/>
  <c r="BB147" i="88"/>
  <c r="BB147" i="90"/>
  <c r="BB147" i="87"/>
  <c r="BB147" i="89"/>
  <c r="AR148" i="82"/>
  <c r="AR148" i="83"/>
  <c r="AR148" i="84"/>
  <c r="AR148" i="86"/>
  <c r="AR148" i="85"/>
  <c r="AR148" i="87"/>
  <c r="AR148" i="89"/>
  <c r="AR148" i="88"/>
  <c r="AR148" i="90"/>
  <c r="AV148" i="82"/>
  <c r="AV148" i="83"/>
  <c r="AV148" i="84"/>
  <c r="AV148" i="86"/>
  <c r="AV148" i="85"/>
  <c r="AV148" i="87"/>
  <c r="AV148" i="89"/>
  <c r="AV148" i="88"/>
  <c r="AV148" i="90"/>
  <c r="AW148" i="82"/>
  <c r="AW148" i="84"/>
  <c r="AW148" i="83"/>
  <c r="AW148" i="85"/>
  <c r="AW148" i="86"/>
  <c r="AW148" i="88"/>
  <c r="AW148" i="90"/>
  <c r="AW148" i="87"/>
  <c r="AW148" i="89"/>
  <c r="AX148" i="82"/>
  <c r="AX148" i="83"/>
  <c r="AX148" i="84"/>
  <c r="AX148" i="86"/>
  <c r="AX148" i="85"/>
  <c r="AX148" i="87"/>
  <c r="AX148" i="89"/>
  <c r="AX148" i="88"/>
  <c r="AX148" i="90"/>
  <c r="BA148" i="82"/>
  <c r="BA148" i="84"/>
  <c r="BA148" i="83"/>
  <c r="BA148" i="85"/>
  <c r="BA148" i="86"/>
  <c r="BA148" i="88"/>
  <c r="BA148" i="90"/>
  <c r="BA148" i="87"/>
  <c r="BA148" i="89"/>
  <c r="BC148" i="82"/>
  <c r="AQ148" i="82"/>
  <c r="BC148" i="84"/>
  <c r="AQ148" i="84"/>
  <c r="BC148" i="83"/>
  <c r="AQ148" i="83"/>
  <c r="BC148" i="85"/>
  <c r="AQ148" i="85"/>
  <c r="BC148" i="86"/>
  <c r="AQ148" i="86"/>
  <c r="BC148" i="88"/>
  <c r="AQ148" i="88"/>
  <c r="BC148" i="90"/>
  <c r="AQ148" i="90"/>
  <c r="BC148" i="87"/>
  <c r="AQ148" i="87"/>
  <c r="BC148" i="89"/>
  <c r="AQ148" i="89"/>
  <c r="AT149" i="82"/>
  <c r="AT149" i="84"/>
  <c r="AT149" i="83"/>
  <c r="AT149" i="85"/>
  <c r="AT149" i="86"/>
  <c r="AT149" i="88"/>
  <c r="AT149" i="90"/>
  <c r="AT149" i="87"/>
  <c r="AT149" i="89"/>
  <c r="AU149" i="82"/>
  <c r="AU149" i="83"/>
  <c r="AU149" i="84"/>
  <c r="AU149" i="86"/>
  <c r="AU149" i="85"/>
  <c r="AU149" i="87"/>
  <c r="AU149" i="89"/>
  <c r="AU149" i="88"/>
  <c r="AU149" i="90"/>
  <c r="AY149" i="82"/>
  <c r="AY149" i="83"/>
  <c r="AY149" i="84"/>
  <c r="AY149" i="86"/>
  <c r="AY149" i="85"/>
  <c r="AY149" i="87"/>
  <c r="AY149" i="89"/>
  <c r="AY149" i="88"/>
  <c r="AY149" i="90"/>
  <c r="AZ149" i="82"/>
  <c r="AZ149" i="84"/>
  <c r="AZ149" i="83"/>
  <c r="AZ149" i="85"/>
  <c r="AZ149" i="86"/>
  <c r="AZ149" i="88"/>
  <c r="AZ149" i="90"/>
  <c r="AZ149" i="87"/>
  <c r="AZ149" i="89"/>
  <c r="BB149" i="82"/>
  <c r="BB149" i="84"/>
  <c r="BB149" i="83"/>
  <c r="BB149" i="85"/>
  <c r="BB149" i="86"/>
  <c r="BB149" i="88"/>
  <c r="BB149" i="90"/>
  <c r="BB149" i="87"/>
  <c r="BB149" i="89"/>
  <c r="AR150" i="82"/>
  <c r="AR150" i="83"/>
  <c r="AR150" i="84"/>
  <c r="AR150" i="86"/>
  <c r="AR150" i="85"/>
  <c r="AR150" i="87"/>
  <c r="AR150" i="89"/>
  <c r="AR150" i="88"/>
  <c r="AR150" i="90"/>
  <c r="AV150" i="82"/>
  <c r="AV150" i="83"/>
  <c r="AV150" i="84"/>
  <c r="AV150" i="86"/>
  <c r="AV150" i="85"/>
  <c r="AV150" i="87"/>
  <c r="AV150" i="89"/>
  <c r="AV150" i="88"/>
  <c r="AV150" i="90"/>
  <c r="AW150" i="82"/>
  <c r="AW150" i="84"/>
  <c r="AW150" i="83"/>
  <c r="AW150" i="85"/>
  <c r="AW150" i="86"/>
  <c r="AW150" i="88"/>
  <c r="AW150" i="90"/>
  <c r="AW150" i="87"/>
  <c r="AW150" i="89"/>
  <c r="AX150" i="82"/>
  <c r="AX150" i="83"/>
  <c r="AX150" i="84"/>
  <c r="AX150" i="86"/>
  <c r="AX150" i="85"/>
  <c r="AX150" i="87"/>
  <c r="AX150" i="89"/>
  <c r="AX150" i="88"/>
  <c r="AX150" i="90"/>
  <c r="BA150" i="82"/>
  <c r="BA150" i="84"/>
  <c r="BA150" i="83"/>
  <c r="BA150" i="85"/>
  <c r="BA150" i="86"/>
  <c r="BA150" i="88"/>
  <c r="BA150" i="90"/>
  <c r="BA150" i="87"/>
  <c r="BA150" i="89"/>
  <c r="BC150" i="82"/>
  <c r="AQ150" i="82"/>
  <c r="BC150" i="84"/>
  <c r="AQ150" i="84"/>
  <c r="BC150" i="83"/>
  <c r="AQ150" i="83"/>
  <c r="BC150" i="85"/>
  <c r="AQ150" i="85"/>
  <c r="BC150" i="86"/>
  <c r="AQ150" i="86"/>
  <c r="BC150" i="88"/>
  <c r="AQ150" i="88"/>
  <c r="BC150" i="90"/>
  <c r="AQ150" i="90"/>
  <c r="BC150" i="87"/>
  <c r="AQ150" i="87"/>
  <c r="BC150" i="89"/>
  <c r="AQ150" i="89"/>
  <c r="AT151" i="82"/>
  <c r="AT151" i="84"/>
  <c r="AT151" i="83"/>
  <c r="AT151" i="85"/>
  <c r="AT151" i="86"/>
  <c r="AT151" i="88"/>
  <c r="AT151" i="90"/>
  <c r="AT151" i="87"/>
  <c r="AT151" i="89"/>
  <c r="AU151" i="82"/>
  <c r="AU151" i="83"/>
  <c r="AU151" i="84"/>
  <c r="AU151" i="86"/>
  <c r="AU151" i="85"/>
  <c r="AU151" i="87"/>
  <c r="AU151" i="89"/>
  <c r="AU151" i="88"/>
  <c r="AU151" i="90"/>
  <c r="AY151" i="82"/>
  <c r="AY151" i="83"/>
  <c r="AY151" i="84"/>
  <c r="AY151" i="86"/>
  <c r="AY151" i="85"/>
  <c r="AY151" i="87"/>
  <c r="AY151" i="89"/>
  <c r="AY151" i="88"/>
  <c r="AY151" i="90"/>
  <c r="AZ151" i="82"/>
  <c r="AZ151" i="84"/>
  <c r="AZ151" i="83"/>
  <c r="AZ151" i="85"/>
  <c r="AZ151" i="86"/>
  <c r="AZ151" i="88"/>
  <c r="AZ151" i="90"/>
  <c r="AZ151" i="87"/>
  <c r="AZ151" i="89"/>
  <c r="BB151" i="82"/>
  <c r="BB151" i="84"/>
  <c r="BB151" i="83"/>
  <c r="BB151" i="85"/>
  <c r="BB151" i="86"/>
  <c r="BB151" i="88"/>
  <c r="BB151" i="90"/>
  <c r="BB151" i="87"/>
  <c r="BB151" i="89"/>
  <c r="AR152" i="82"/>
  <c r="AR152" i="83"/>
  <c r="AR152" i="84"/>
  <c r="AR152" i="86"/>
  <c r="AR152" i="85"/>
  <c r="AR152" i="87"/>
  <c r="AR152" i="89"/>
  <c r="AR152" i="88"/>
  <c r="AR152" i="90"/>
  <c r="AV152" i="82"/>
  <c r="AV152" i="83"/>
  <c r="AV152" i="84"/>
  <c r="AV152" i="86"/>
  <c r="AV152" i="85"/>
  <c r="AV152" i="87"/>
  <c r="AV152" i="89"/>
  <c r="AV152" i="88"/>
  <c r="AV152" i="90"/>
  <c r="AW152" i="82"/>
  <c r="AW152" i="84"/>
  <c r="AW152" i="83"/>
  <c r="AW152" i="85"/>
  <c r="AW152" i="86"/>
  <c r="AW152" i="88"/>
  <c r="AW152" i="90"/>
  <c r="AW152" i="87"/>
  <c r="AW152" i="89"/>
  <c r="AX152" i="82"/>
  <c r="AX152" i="83"/>
  <c r="AX152" i="84"/>
  <c r="AX152" i="86"/>
  <c r="AX152" i="85"/>
  <c r="AX152" i="87"/>
  <c r="AX152" i="89"/>
  <c r="AX152" i="88"/>
  <c r="AX152" i="90"/>
  <c r="BA152" i="82"/>
  <c r="BA152" i="84"/>
  <c r="BA152" i="83"/>
  <c r="BA152" i="85"/>
  <c r="BA152" i="86"/>
  <c r="BA152" i="88"/>
  <c r="BA152" i="90"/>
  <c r="BA152" i="87"/>
  <c r="BA152" i="89"/>
  <c r="BC152" i="82"/>
  <c r="AQ152" i="82"/>
  <c r="BC152" i="84"/>
  <c r="AQ152" i="84"/>
  <c r="BC152" i="83"/>
  <c r="AQ152" i="83"/>
  <c r="BC152" i="85"/>
  <c r="AQ152" i="85"/>
  <c r="BC152" i="86"/>
  <c r="AQ152" i="86"/>
  <c r="BC152" i="88"/>
  <c r="AQ152" i="88"/>
  <c r="BC152" i="90"/>
  <c r="AQ152" i="90"/>
  <c r="BC152" i="87"/>
  <c r="AQ152" i="87"/>
  <c r="BC152" i="89"/>
  <c r="AQ152" i="89"/>
  <c r="AT153" i="82"/>
  <c r="AT153" i="84"/>
  <c r="AT153" i="83"/>
  <c r="AT153" i="85"/>
  <c r="AT153" i="86"/>
  <c r="AT153" i="88"/>
  <c r="AT153" i="90"/>
  <c r="AT153" i="87"/>
  <c r="AT153" i="89"/>
  <c r="AU153" i="82"/>
  <c r="AU153" i="83"/>
  <c r="AU153" i="84"/>
  <c r="AU153" i="86"/>
  <c r="AU153" i="85"/>
  <c r="AU153" i="87"/>
  <c r="AU153" i="89"/>
  <c r="AU153" i="88"/>
  <c r="AU153" i="90"/>
  <c r="AY153" i="82"/>
  <c r="AY153" i="83"/>
  <c r="AY153" i="84"/>
  <c r="AY153" i="86"/>
  <c r="AY153" i="85"/>
  <c r="AY153" i="87"/>
  <c r="AY153" i="89"/>
  <c r="AY153" i="88"/>
  <c r="AY153" i="90"/>
  <c r="AZ153" i="82"/>
  <c r="AZ153" i="83"/>
  <c r="AZ153" i="84"/>
  <c r="AZ153" i="85"/>
  <c r="AZ153" i="86"/>
  <c r="AZ153" i="88"/>
  <c r="AZ153" i="90"/>
  <c r="AZ153" i="87"/>
  <c r="AZ153" i="89"/>
  <c r="BB153" i="82"/>
  <c r="BB153" i="84"/>
  <c r="BB153" i="83"/>
  <c r="BB153" i="85"/>
  <c r="BB153" i="86"/>
  <c r="BB153" i="88"/>
  <c r="BB153" i="90"/>
  <c r="BB153" i="87"/>
  <c r="BB153" i="89"/>
  <c r="AR154" i="82"/>
  <c r="AR154" i="83"/>
  <c r="AR154" i="84"/>
  <c r="AR154" i="86"/>
  <c r="AR154" i="85"/>
  <c r="AR154" i="87"/>
  <c r="AR154" i="89"/>
  <c r="AR154" i="88"/>
  <c r="AR154" i="90"/>
  <c r="AV154" i="82"/>
  <c r="AV154" i="83"/>
  <c r="AV154" i="84"/>
  <c r="AV154" i="86"/>
  <c r="AV154" i="85"/>
  <c r="AV154" i="87"/>
  <c r="AV154" i="89"/>
  <c r="AV154" i="88"/>
  <c r="AV154" i="90"/>
  <c r="AW154" i="82"/>
  <c r="AW154" i="84"/>
  <c r="AW154" i="83"/>
  <c r="AW154" i="85"/>
  <c r="AW154" i="86"/>
  <c r="AW154" i="88"/>
  <c r="AW154" i="90"/>
  <c r="AW154" i="87"/>
  <c r="AW154" i="89"/>
  <c r="AX154" i="82"/>
  <c r="AX154" i="83"/>
  <c r="AX154" i="84"/>
  <c r="AX154" i="86"/>
  <c r="AX154" i="85"/>
  <c r="AX154" i="87"/>
  <c r="AX154" i="89"/>
  <c r="AX154" i="88"/>
  <c r="AX154" i="90"/>
  <c r="BA154" i="82"/>
  <c r="BA154" i="84"/>
  <c r="BA154" i="83"/>
  <c r="BA154" i="85"/>
  <c r="BA154" i="86"/>
  <c r="BA154" i="88"/>
  <c r="BA154" i="90"/>
  <c r="BA154" i="87"/>
  <c r="BA154" i="89"/>
  <c r="BC154" i="82"/>
  <c r="AQ154" i="82"/>
  <c r="BC154" i="83"/>
  <c r="AQ154" i="83"/>
  <c r="BC154" i="84"/>
  <c r="AQ154" i="84"/>
  <c r="BC154" i="85"/>
  <c r="AQ154" i="85"/>
  <c r="BC154" i="86"/>
  <c r="AQ154" i="86"/>
  <c r="BC154" i="88"/>
  <c r="AQ154" i="88"/>
  <c r="BC154" i="90"/>
  <c r="AQ154" i="90"/>
  <c r="BC154" i="87"/>
  <c r="AQ154" i="87"/>
  <c r="BC154" i="89"/>
  <c r="AQ154" i="89"/>
  <c r="AT155" i="82"/>
  <c r="AT155" i="83"/>
  <c r="AT155" i="84"/>
  <c r="AT155" i="85"/>
  <c r="AT155" i="86"/>
  <c r="AT155" i="88"/>
  <c r="AT155" i="90"/>
  <c r="AT155" i="87"/>
  <c r="AT155" i="89"/>
  <c r="AU155" i="82"/>
  <c r="AU155" i="83"/>
  <c r="AU155" i="84"/>
  <c r="AU155" i="86"/>
  <c r="AU155" i="85"/>
  <c r="AU155" i="87"/>
  <c r="AU155" i="89"/>
  <c r="AU155" i="88"/>
  <c r="AU155" i="90"/>
  <c r="AY155" i="82"/>
  <c r="AY155" i="83"/>
  <c r="AY155" i="84"/>
  <c r="AY155" i="86"/>
  <c r="AY155" i="85"/>
  <c r="AY155" i="87"/>
  <c r="AY155" i="89"/>
  <c r="AY155" i="88"/>
  <c r="AY155" i="90"/>
  <c r="AZ155" i="82"/>
  <c r="AZ155" i="84"/>
  <c r="AZ155" i="83"/>
  <c r="AZ155" i="85"/>
  <c r="AZ155" i="86"/>
  <c r="AZ155" i="88"/>
  <c r="AZ155" i="90"/>
  <c r="AZ155" i="87"/>
  <c r="AZ155" i="89"/>
  <c r="BB155" i="82"/>
  <c r="BB155" i="83"/>
  <c r="BB155" i="84"/>
  <c r="BB155" i="85"/>
  <c r="BB155" i="86"/>
  <c r="BB155" i="88"/>
  <c r="BB155" i="90"/>
  <c r="BB155" i="87"/>
  <c r="BB155" i="89"/>
  <c r="AR156" i="82"/>
  <c r="AR156" i="83"/>
  <c r="AR156" i="84"/>
  <c r="AR156" i="86"/>
  <c r="AR156" i="85"/>
  <c r="AR156" i="87"/>
  <c r="AR156" i="89"/>
  <c r="AR156" i="88"/>
  <c r="AR156" i="90"/>
  <c r="AV156" i="82"/>
  <c r="AV156" i="83"/>
  <c r="AV156" i="84"/>
  <c r="AV156" i="86"/>
  <c r="AV156" i="85"/>
  <c r="AV156" i="87"/>
  <c r="AV156" i="89"/>
  <c r="AV156" i="88"/>
  <c r="AV156" i="90"/>
  <c r="AW156" i="82"/>
  <c r="AW156" i="83"/>
  <c r="AW156" i="84"/>
  <c r="AW156" i="85"/>
  <c r="AW156" i="86"/>
  <c r="AW156" i="88"/>
  <c r="AW156" i="90"/>
  <c r="AW156" i="87"/>
  <c r="AW156" i="89"/>
  <c r="AX156" i="82"/>
  <c r="AX156" i="83"/>
  <c r="AX156" i="84"/>
  <c r="AX156" i="86"/>
  <c r="AX156" i="85"/>
  <c r="AX156" i="87"/>
  <c r="AX156" i="89"/>
  <c r="AX156" i="88"/>
  <c r="AX156" i="90"/>
  <c r="BA156" i="82"/>
  <c r="BA156" i="83"/>
  <c r="BA156" i="84"/>
  <c r="BA156" i="85"/>
  <c r="BA156" i="86"/>
  <c r="BA156" i="88"/>
  <c r="BA156" i="90"/>
  <c r="BA156" i="87"/>
  <c r="BA156" i="89"/>
  <c r="BC156" i="82"/>
  <c r="AQ156" i="82"/>
  <c r="BC156" i="84"/>
  <c r="AQ156" i="84"/>
  <c r="BC156" i="83"/>
  <c r="AQ156" i="83"/>
  <c r="BC156" i="85"/>
  <c r="AQ156" i="85"/>
  <c r="BC156" i="86"/>
  <c r="AQ156" i="86"/>
  <c r="BC156" i="88"/>
  <c r="AQ156" i="88"/>
  <c r="BC156" i="90"/>
  <c r="AQ156" i="90"/>
  <c r="BC156" i="87"/>
  <c r="AQ156" i="87"/>
  <c r="BC156" i="89"/>
  <c r="AQ156" i="89"/>
  <c r="AT157" i="82"/>
  <c r="AT157" i="84"/>
  <c r="AT157" i="83"/>
  <c r="AT157" i="85"/>
  <c r="AT157" i="86"/>
  <c r="AT157" i="88"/>
  <c r="AT157" i="90"/>
  <c r="AT157" i="87"/>
  <c r="AT157" i="89"/>
  <c r="AU157" i="82"/>
  <c r="AU157" i="83"/>
  <c r="AU157" i="84"/>
  <c r="AU157" i="86"/>
  <c r="AU157" i="85"/>
  <c r="AU157" i="87"/>
  <c r="AU157" i="89"/>
  <c r="AU157" i="88"/>
  <c r="AU157" i="90"/>
  <c r="AZ157" i="90"/>
  <c r="BB157" i="82"/>
  <c r="BB157" i="84"/>
  <c r="BB157" i="83"/>
  <c r="BB157" i="85"/>
  <c r="BB157" i="86"/>
  <c r="BB157" i="88"/>
  <c r="BB157" i="90"/>
  <c r="BB157" i="87"/>
  <c r="BB157" i="89"/>
  <c r="AR158" i="82"/>
  <c r="AR158" i="83"/>
  <c r="AR158" i="84"/>
  <c r="AR158" i="86"/>
  <c r="AR158" i="85"/>
  <c r="AR158" i="87"/>
  <c r="AR158" i="89"/>
  <c r="AR158" i="88"/>
  <c r="AR158" i="90"/>
  <c r="AV158" i="82"/>
  <c r="AV158" i="83"/>
  <c r="AV158" i="84"/>
  <c r="AV158" i="86"/>
  <c r="AV158" i="85"/>
  <c r="AV158" i="87"/>
  <c r="AV158" i="89"/>
  <c r="AV158" i="88"/>
  <c r="AV158" i="90"/>
  <c r="AW158" i="82"/>
  <c r="AW158" i="84"/>
  <c r="AW158" i="83"/>
  <c r="AW158" i="85"/>
  <c r="AW158" i="86"/>
  <c r="AW158" i="88"/>
  <c r="AW158" i="90"/>
  <c r="AW158" i="87"/>
  <c r="AW158" i="89"/>
  <c r="AX158" i="82"/>
  <c r="AX158" i="83"/>
  <c r="AX158" i="84"/>
  <c r="AX158" i="86"/>
  <c r="AX158" i="85"/>
  <c r="AX158" i="87"/>
  <c r="AX158" i="89"/>
  <c r="AX158" i="88"/>
  <c r="AX158" i="90"/>
  <c r="BA158" i="82"/>
  <c r="BA158" i="84"/>
  <c r="BA158" i="83"/>
  <c r="BA158" i="85"/>
  <c r="BA158" i="86"/>
  <c r="BA158" i="88"/>
  <c r="BA158" i="90"/>
  <c r="BA158" i="87"/>
  <c r="BA158" i="89"/>
  <c r="BC158" i="82"/>
  <c r="AQ158" i="82"/>
  <c r="BC158" i="83"/>
  <c r="AQ158" i="83"/>
  <c r="BC158" i="84"/>
  <c r="AQ158" i="84"/>
  <c r="BC158" i="85"/>
  <c r="AQ158" i="85"/>
  <c r="BC158" i="86"/>
  <c r="AQ158" i="86"/>
  <c r="BC158" i="88"/>
  <c r="AQ158" i="88"/>
  <c r="BC158" i="90"/>
  <c r="AQ158" i="90"/>
  <c r="BC158" i="87"/>
  <c r="AQ158" i="87"/>
  <c r="BC158" i="89"/>
  <c r="AQ158" i="89"/>
  <c r="AT159" i="82"/>
  <c r="AT159" i="83"/>
  <c r="AT159" i="84"/>
  <c r="AT159" i="85"/>
  <c r="AT159" i="86"/>
  <c r="AT159" i="88"/>
  <c r="AT159" i="90"/>
  <c r="AT159" i="87"/>
  <c r="AT159" i="89"/>
  <c r="AU159" i="82"/>
  <c r="AU159" i="83"/>
  <c r="AU159" i="84"/>
  <c r="AU159" i="86"/>
  <c r="AU159" i="85"/>
  <c r="AU159" i="87"/>
  <c r="AU159" i="89"/>
  <c r="AU159" i="88"/>
  <c r="AU159" i="90"/>
  <c r="AY159" i="82"/>
  <c r="AY159" i="83"/>
  <c r="AY159" i="84"/>
  <c r="AY159" i="86"/>
  <c r="AY159" i="85"/>
  <c r="AY159" i="87"/>
  <c r="AY159" i="89"/>
  <c r="AY159" i="88"/>
  <c r="AY159" i="90"/>
  <c r="AZ159" i="82"/>
  <c r="AZ159" i="84"/>
  <c r="AZ159" i="83"/>
  <c r="AZ159" i="85"/>
  <c r="AZ159" i="86"/>
  <c r="AZ159" i="88"/>
  <c r="AZ159" i="90"/>
  <c r="AZ159" i="87"/>
  <c r="AZ159" i="89"/>
  <c r="BB159" i="82"/>
  <c r="BB159" i="83"/>
  <c r="BB159" i="84"/>
  <c r="BB159" i="85"/>
  <c r="BB159" i="86"/>
  <c r="BB159" i="88"/>
  <c r="BB159" i="90"/>
  <c r="BB159" i="87"/>
  <c r="BB159" i="89"/>
  <c r="AR160" i="82"/>
  <c r="AR160" i="83"/>
  <c r="AR160" i="84"/>
  <c r="AR160" i="86"/>
  <c r="AR160" i="85"/>
  <c r="AR160" i="87"/>
  <c r="AR160" i="89"/>
  <c r="AR160" i="88"/>
  <c r="AR160" i="90"/>
  <c r="AV160" i="82"/>
  <c r="AV160" i="83"/>
  <c r="AV160" i="84"/>
  <c r="AV160" i="86"/>
  <c r="AV160" i="85"/>
  <c r="AV160" i="87"/>
  <c r="AV160" i="89"/>
  <c r="AV160" i="88"/>
  <c r="AV160" i="90"/>
  <c r="AW160" i="82"/>
  <c r="AW160" i="83"/>
  <c r="AW160" i="84"/>
  <c r="AW160" i="85"/>
  <c r="AW160" i="86"/>
  <c r="AW160" i="88"/>
  <c r="AW160" i="90"/>
  <c r="AW160" i="87"/>
  <c r="AW160" i="89"/>
  <c r="AX160" i="82"/>
  <c r="AX160" i="83"/>
  <c r="AX160" i="84"/>
  <c r="AX160" i="86"/>
  <c r="AX160" i="85"/>
  <c r="AX160" i="87"/>
  <c r="AX160" i="89"/>
  <c r="AX160" i="88"/>
  <c r="AX160" i="90"/>
  <c r="BA160" i="82"/>
  <c r="BA160" i="83"/>
  <c r="BA160" i="84"/>
  <c r="BA160" i="85"/>
  <c r="BA160" i="86"/>
  <c r="BA160" i="88"/>
  <c r="BA160" i="90"/>
  <c r="BA160" i="87"/>
  <c r="BA160" i="89"/>
  <c r="BC160" i="82"/>
  <c r="AQ160" i="82"/>
  <c r="BC160" i="84"/>
  <c r="AQ160" i="84"/>
  <c r="BC160" i="83"/>
  <c r="AQ160" i="83"/>
  <c r="BC160" i="85"/>
  <c r="AQ160" i="85"/>
  <c r="BC160" i="86"/>
  <c r="AQ160" i="86"/>
  <c r="BC160" i="88"/>
  <c r="AQ160" i="88"/>
  <c r="BC160" i="90"/>
  <c r="AQ160" i="90"/>
  <c r="BC160" i="87"/>
  <c r="AQ160" i="87"/>
  <c r="BC160" i="89"/>
  <c r="AQ160" i="89"/>
  <c r="AT161" i="82"/>
  <c r="AT161" i="84"/>
  <c r="AT161" i="83"/>
  <c r="AT161" i="85"/>
  <c r="AT161" i="86"/>
  <c r="AT161" i="88"/>
  <c r="AT161" i="90"/>
  <c r="AT161" i="87"/>
  <c r="AT161" i="89"/>
  <c r="AU161" i="82"/>
  <c r="AU161" i="83"/>
  <c r="AU161" i="84"/>
  <c r="AU161" i="86"/>
  <c r="AU161" i="85"/>
  <c r="AU161" i="87"/>
  <c r="AU161" i="89"/>
  <c r="AU161" i="88"/>
  <c r="AU161" i="90"/>
  <c r="AZ161" i="86"/>
  <c r="BB161" i="82"/>
  <c r="BB161" i="84"/>
  <c r="BB161" i="83"/>
  <c r="BB161" i="85"/>
  <c r="BB161" i="86"/>
  <c r="BB161" i="88"/>
  <c r="BB161" i="90"/>
  <c r="BB161" i="87"/>
  <c r="BB161" i="89"/>
  <c r="AR162" i="82"/>
  <c r="AR162" i="83"/>
  <c r="AR162" i="84"/>
  <c r="AR162" i="86"/>
  <c r="AR162" i="85"/>
  <c r="AR162" i="87"/>
  <c r="AR162" i="89"/>
  <c r="AR162" i="88"/>
  <c r="AR162" i="90"/>
  <c r="AV162" i="82"/>
  <c r="AV162" i="83"/>
  <c r="AV162" i="84"/>
  <c r="AV162" i="86"/>
  <c r="AV162" i="85"/>
  <c r="AV162" i="87"/>
  <c r="AV162" i="89"/>
  <c r="AV162" i="88"/>
  <c r="AV162" i="90"/>
  <c r="AW162" i="82"/>
  <c r="AW162" i="84"/>
  <c r="AW162" i="83"/>
  <c r="AW162" i="85"/>
  <c r="AW162" i="86"/>
  <c r="AW162" i="88"/>
  <c r="AW162" i="90"/>
  <c r="AW162" i="87"/>
  <c r="AW162" i="89"/>
  <c r="AX162" i="82"/>
  <c r="AX162" i="83"/>
  <c r="AX162" i="84"/>
  <c r="AX162" i="86"/>
  <c r="AX162" i="85"/>
  <c r="AX162" i="87"/>
  <c r="AX162" i="89"/>
  <c r="AX162" i="88"/>
  <c r="AX162" i="90"/>
  <c r="BA162" i="82"/>
  <c r="BA162" i="84"/>
  <c r="BA162" i="83"/>
  <c r="BA162" i="85"/>
  <c r="BA162" i="86"/>
  <c r="BA162" i="88"/>
  <c r="BA162" i="90"/>
  <c r="BA162" i="87"/>
  <c r="BA162" i="89"/>
  <c r="BC162" i="82"/>
  <c r="AQ162" i="82"/>
  <c r="BC162" i="83"/>
  <c r="AQ162" i="83"/>
  <c r="BC162" i="84"/>
  <c r="AQ162" i="84"/>
  <c r="BC162" i="85"/>
  <c r="AQ162" i="85"/>
  <c r="BC162" i="86"/>
  <c r="AQ162" i="86"/>
  <c r="BC162" i="88"/>
  <c r="AQ162" i="88"/>
  <c r="BC162" i="90"/>
  <c r="AQ162" i="90"/>
  <c r="BC162" i="87"/>
  <c r="AQ162" i="87"/>
  <c r="BC162" i="89"/>
  <c r="AQ162" i="89"/>
  <c r="AT163" i="82"/>
  <c r="AT163" i="83"/>
  <c r="AT163" i="84"/>
  <c r="AT163" i="85"/>
  <c r="AT163" i="86"/>
  <c r="AT163" i="88"/>
  <c r="AT163" i="90"/>
  <c r="AT163" i="87"/>
  <c r="AT163" i="89"/>
  <c r="AU163" i="82"/>
  <c r="AU163" i="83"/>
  <c r="AU163" i="84"/>
  <c r="AU163" i="86"/>
  <c r="AU163" i="85"/>
  <c r="AU163" i="87"/>
  <c r="AU163" i="89"/>
  <c r="AU163" i="88"/>
  <c r="AU163" i="90"/>
  <c r="AY163" i="82"/>
  <c r="AY163" i="83"/>
  <c r="AY163" i="84"/>
  <c r="AY163" i="86"/>
  <c r="AY163" i="85"/>
  <c r="AY163" i="87"/>
  <c r="AY163" i="89"/>
  <c r="AY163" i="88"/>
  <c r="AY163" i="90"/>
  <c r="AZ163" i="82"/>
  <c r="AZ163" i="84"/>
  <c r="AZ163" i="83"/>
  <c r="AZ163" i="85"/>
  <c r="AZ163" i="86"/>
  <c r="AZ163" i="88"/>
  <c r="AZ163" i="90"/>
  <c r="AZ163" i="87"/>
  <c r="AZ163" i="89"/>
  <c r="BB163" i="82"/>
  <c r="BB163" i="83"/>
  <c r="BB163" i="84"/>
  <c r="BB163" i="85"/>
  <c r="BB163" i="86"/>
  <c r="BB163" i="88"/>
  <c r="BB163" i="90"/>
  <c r="BB163" i="87"/>
  <c r="BB163" i="89"/>
  <c r="AR164" i="82"/>
  <c r="AR164" i="83"/>
  <c r="AR164" i="84"/>
  <c r="AR164" i="86"/>
  <c r="AR164" i="85"/>
  <c r="AR164" i="87"/>
  <c r="AR164" i="89"/>
  <c r="AR164" i="88"/>
  <c r="AR164" i="90"/>
  <c r="AV164" i="82"/>
  <c r="AV164" i="83"/>
  <c r="AV164" i="84"/>
  <c r="AV164" i="86"/>
  <c r="AV164" i="85"/>
  <c r="AV164" i="87"/>
  <c r="AV164" i="89"/>
  <c r="AV164" i="88"/>
  <c r="AV164" i="90"/>
  <c r="AW164" i="82"/>
  <c r="AW164" i="83"/>
  <c r="AW164" i="84"/>
  <c r="AW164" i="85"/>
  <c r="AW164" i="86"/>
  <c r="AW164" i="88"/>
  <c r="AW164" i="90"/>
  <c r="AW164" i="87"/>
  <c r="AW164" i="89"/>
  <c r="AX164" i="82"/>
  <c r="AX164" i="83"/>
  <c r="AX164" i="84"/>
  <c r="AX164" i="86"/>
  <c r="AX164" i="85"/>
  <c r="AX164" i="87"/>
  <c r="AX164" i="89"/>
  <c r="AX164" i="88"/>
  <c r="AX164" i="90"/>
  <c r="BA164" i="82"/>
  <c r="BA164" i="83"/>
  <c r="BA164" i="84"/>
  <c r="BA164" i="85"/>
  <c r="BA164" i="86"/>
  <c r="BA164" i="88"/>
  <c r="BA164" i="90"/>
  <c r="BA164" i="87"/>
  <c r="BA164" i="89"/>
  <c r="BC164" i="82"/>
  <c r="AQ164" i="82"/>
  <c r="BC164" i="84"/>
  <c r="AQ164" i="84"/>
  <c r="BC164" i="83"/>
  <c r="AQ164" i="83"/>
  <c r="BC164" i="85"/>
  <c r="AQ164" i="85"/>
  <c r="BC164" i="86"/>
  <c r="AQ164" i="86"/>
  <c r="BC164" i="88"/>
  <c r="AQ164" i="88"/>
  <c r="BC164" i="90"/>
  <c r="AQ164" i="90"/>
  <c r="BC164" i="87"/>
  <c r="AQ164" i="87"/>
  <c r="BC164" i="89"/>
  <c r="AQ164" i="89"/>
  <c r="AT165" i="82"/>
  <c r="AT165" i="84"/>
  <c r="AT165" i="83"/>
  <c r="AT165" i="85"/>
  <c r="AT165" i="86"/>
  <c r="AT165" i="88"/>
  <c r="AT165" i="90"/>
  <c r="AT165" i="87"/>
  <c r="AT165" i="89"/>
  <c r="AU165" i="82"/>
  <c r="AU165" i="83"/>
  <c r="AU165" i="84"/>
  <c r="AU165" i="86"/>
  <c r="AU165" i="85"/>
  <c r="AU165" i="87"/>
  <c r="AU165" i="89"/>
  <c r="AU165" i="88"/>
  <c r="AU165" i="90"/>
  <c r="AZ165" i="84"/>
  <c r="BB165" i="82"/>
  <c r="BB165" i="84"/>
  <c r="BB165" i="83"/>
  <c r="BB165" i="85"/>
  <c r="BB165" i="86"/>
  <c r="BB165" i="88"/>
  <c r="BB165" i="90"/>
  <c r="BB165" i="87"/>
  <c r="BB165" i="89"/>
  <c r="AR166" i="82"/>
  <c r="AR166" i="83"/>
  <c r="AR166" i="84"/>
  <c r="AR166" i="86"/>
  <c r="AR166" i="85"/>
  <c r="AR166" i="87"/>
  <c r="AR166" i="89"/>
  <c r="AR166" i="88"/>
  <c r="AR166" i="90"/>
  <c r="AV166" i="82"/>
  <c r="AV166" i="83"/>
  <c r="AV166" i="84"/>
  <c r="AV166" i="86"/>
  <c r="AV166" i="85"/>
  <c r="AV166" i="87"/>
  <c r="AV166" i="89"/>
  <c r="AV166" i="88"/>
  <c r="AV166" i="90"/>
  <c r="AW166" i="82"/>
  <c r="AW166" i="84"/>
  <c r="AW166" i="83"/>
  <c r="AW166" i="85"/>
  <c r="AW166" i="86"/>
  <c r="AW166" i="88"/>
  <c r="AW166" i="90"/>
  <c r="AW166" i="87"/>
  <c r="AW166" i="89"/>
  <c r="AX166" i="82"/>
  <c r="AX166" i="83"/>
  <c r="AX166" i="84"/>
  <c r="AX166" i="86"/>
  <c r="AX166" i="85"/>
  <c r="AX166" i="87"/>
  <c r="AX166" i="89"/>
  <c r="AX166" i="88"/>
  <c r="AX166" i="90"/>
  <c r="BA166" i="82"/>
  <c r="BA166" i="84"/>
  <c r="BA166" i="83"/>
  <c r="BA166" i="85"/>
  <c r="BA166" i="86"/>
  <c r="BA166" i="88"/>
  <c r="BA166" i="90"/>
  <c r="BA166" i="87"/>
  <c r="BA166" i="89"/>
  <c r="BC166" i="82"/>
  <c r="AQ166" i="82"/>
  <c r="BC166" i="83"/>
  <c r="AQ166" i="83"/>
  <c r="BC166" i="84"/>
  <c r="AQ166" i="84"/>
  <c r="BC166" i="85"/>
  <c r="AQ166" i="85"/>
  <c r="BC166" i="86"/>
  <c r="AQ166" i="86"/>
  <c r="BC166" i="88"/>
  <c r="AQ166" i="88"/>
  <c r="BC166" i="90"/>
  <c r="AQ166" i="90"/>
  <c r="BC166" i="87"/>
  <c r="AQ166" i="87"/>
  <c r="BC166" i="89"/>
  <c r="AQ166" i="89"/>
  <c r="AT167" i="82"/>
  <c r="AT167" i="83"/>
  <c r="AT167" i="84"/>
  <c r="AT167" i="85"/>
  <c r="AT167" i="86"/>
  <c r="AT167" i="88"/>
  <c r="AT167" i="90"/>
  <c r="AT167" i="87"/>
  <c r="AT167" i="89"/>
  <c r="AU167" i="82"/>
  <c r="AU167" i="83"/>
  <c r="AU167" i="84"/>
  <c r="AU167" i="86"/>
  <c r="AU167" i="85"/>
  <c r="AU167" i="87"/>
  <c r="AU167" i="89"/>
  <c r="AU167" i="88"/>
  <c r="AU167" i="90"/>
  <c r="AY167" i="82"/>
  <c r="AY167" i="83"/>
  <c r="AY167" i="84"/>
  <c r="AY167" i="86"/>
  <c r="AY167" i="85"/>
  <c r="AY167" i="87"/>
  <c r="AY167" i="89"/>
  <c r="AY167" i="88"/>
  <c r="AY167" i="90"/>
  <c r="AZ167" i="82"/>
  <c r="AZ167" i="83"/>
  <c r="AZ167" i="84"/>
  <c r="AZ167" i="85"/>
  <c r="AZ167" i="86"/>
  <c r="AZ167" i="88"/>
  <c r="AZ167" i="90"/>
  <c r="AZ167" i="87"/>
  <c r="AZ167" i="89"/>
  <c r="BB167" i="82"/>
  <c r="BB167" i="83"/>
  <c r="BB167" i="84"/>
  <c r="BB167" i="85"/>
  <c r="BB167" i="86"/>
  <c r="BB167" i="88"/>
  <c r="BB167" i="90"/>
  <c r="BB167" i="87"/>
  <c r="BB167" i="89"/>
  <c r="AR168" i="82"/>
  <c r="AR168" i="83"/>
  <c r="AR168" i="84"/>
  <c r="AR168" i="86"/>
  <c r="AR168" i="85"/>
  <c r="AR168" i="87"/>
  <c r="AR168" i="89"/>
  <c r="AR168" i="88"/>
  <c r="AR168" i="90"/>
  <c r="AV168" i="82"/>
  <c r="AV168" i="83"/>
  <c r="AV168" i="84"/>
  <c r="AV168" i="86"/>
  <c r="AV168" i="85"/>
  <c r="AV168" i="87"/>
  <c r="AV168" i="89"/>
  <c r="AV168" i="88"/>
  <c r="AV168" i="90"/>
  <c r="AW168" i="82"/>
  <c r="AW168" i="83"/>
  <c r="AW168" i="84"/>
  <c r="AW168" i="85"/>
  <c r="AW168" i="86"/>
  <c r="AW168" i="88"/>
  <c r="AW168" i="90"/>
  <c r="AW168" i="87"/>
  <c r="AW168" i="89"/>
  <c r="AX168" i="82"/>
  <c r="AX168" i="83"/>
  <c r="AX168" i="84"/>
  <c r="AX168" i="86"/>
  <c r="AX168" i="85"/>
  <c r="AX168" i="87"/>
  <c r="AX168" i="89"/>
  <c r="AX168" i="88"/>
  <c r="AX168" i="90"/>
  <c r="BA168" i="82"/>
  <c r="BA168" i="83"/>
  <c r="BA168" i="84"/>
  <c r="BA168" i="85"/>
  <c r="BA168" i="86"/>
  <c r="BA168" i="88"/>
  <c r="BA168" i="90"/>
  <c r="BA168" i="87"/>
  <c r="BA168" i="89"/>
  <c r="BC168" i="82"/>
  <c r="AQ168" i="82"/>
  <c r="BC168" i="83"/>
  <c r="AQ168" i="83"/>
  <c r="BC168" i="84"/>
  <c r="AQ168" i="84"/>
  <c r="BC168" i="85"/>
  <c r="AQ168" i="85"/>
  <c r="BC168" i="86"/>
  <c r="AQ168" i="86"/>
  <c r="BC168" i="88"/>
  <c r="AQ168" i="88"/>
  <c r="BC168" i="90"/>
  <c r="AQ168" i="90"/>
  <c r="BC168" i="87"/>
  <c r="AQ168" i="87"/>
  <c r="BC168" i="89"/>
  <c r="AQ168" i="89"/>
  <c r="AT169" i="82"/>
  <c r="AT169" i="83"/>
  <c r="AT169" i="84"/>
  <c r="AT169" i="85"/>
  <c r="AT169" i="86"/>
  <c r="AT169" i="88"/>
  <c r="AT169" i="90"/>
  <c r="AT169" i="87"/>
  <c r="AT169" i="89"/>
  <c r="AU169" i="82"/>
  <c r="AU169" i="83"/>
  <c r="AU169" i="84"/>
  <c r="AU169" i="86"/>
  <c r="AU169" i="85"/>
  <c r="AU169" i="87"/>
  <c r="AU169" i="89"/>
  <c r="AU169" i="88"/>
  <c r="AU169" i="90"/>
  <c r="AZ169" i="82"/>
  <c r="BB169" i="82"/>
  <c r="BB169" i="83"/>
  <c r="BB169" i="84"/>
  <c r="BB169" i="85"/>
  <c r="BB169" i="86"/>
  <c r="BB169" i="88"/>
  <c r="BB169" i="90"/>
  <c r="BB169" i="87"/>
  <c r="BB169" i="89"/>
  <c r="AR170" i="82"/>
  <c r="AR170" i="83"/>
  <c r="AR170" i="84"/>
  <c r="AR170" i="86"/>
  <c r="AR170" i="85"/>
  <c r="AR170" i="87"/>
  <c r="AR170" i="89"/>
  <c r="AR170" i="88"/>
  <c r="AR170" i="90"/>
  <c r="AV170" i="82"/>
  <c r="AV170" i="83"/>
  <c r="AV170" i="84"/>
  <c r="AV170" i="86"/>
  <c r="AV170" i="85"/>
  <c r="AV170" i="87"/>
  <c r="AV170" i="89"/>
  <c r="AV170" i="88"/>
  <c r="AV170" i="90"/>
  <c r="AW170" i="82"/>
  <c r="AW170" i="83"/>
  <c r="AW170" i="84"/>
  <c r="AW170" i="85"/>
  <c r="AW170" i="86"/>
  <c r="AW170" i="88"/>
  <c r="AW170" i="90"/>
  <c r="AW170" i="87"/>
  <c r="AW170" i="89"/>
  <c r="AX170" i="82"/>
  <c r="AX170" i="83"/>
  <c r="AX170" i="84"/>
  <c r="AX170" i="86"/>
  <c r="AX170" i="85"/>
  <c r="AX170" i="87"/>
  <c r="AX170" i="89"/>
  <c r="AX170" i="88"/>
  <c r="AX170" i="90"/>
  <c r="BA170" i="82"/>
  <c r="BA170" i="83"/>
  <c r="BA170" i="84"/>
  <c r="BA170" i="85"/>
  <c r="BA170" i="86"/>
  <c r="BA170" i="88"/>
  <c r="BA170" i="90"/>
  <c r="BA170" i="87"/>
  <c r="BA170" i="89"/>
  <c r="BC170" i="82"/>
  <c r="AQ170" i="82"/>
  <c r="BC170" i="83"/>
  <c r="AQ170" i="83"/>
  <c r="BC170" i="84"/>
  <c r="AQ170" i="84"/>
  <c r="BC170" i="85"/>
  <c r="AQ170" i="85"/>
  <c r="BC170" i="86"/>
  <c r="AQ170" i="86"/>
  <c r="BC170" i="88"/>
  <c r="AQ170" i="88"/>
  <c r="BC170" i="90"/>
  <c r="AQ170" i="90"/>
  <c r="BC170" i="87"/>
  <c r="AQ170" i="87"/>
  <c r="BC170" i="89"/>
  <c r="AQ170" i="89"/>
  <c r="AT171" i="82"/>
  <c r="AT171" i="83"/>
  <c r="AT171" i="84"/>
  <c r="AT171" i="85"/>
  <c r="AT171" i="86"/>
  <c r="AT171" i="88"/>
  <c r="AT171" i="90"/>
  <c r="AT171" i="87"/>
  <c r="AT171" i="89"/>
  <c r="AU171" i="82"/>
  <c r="AU171" i="83"/>
  <c r="AU171" i="84"/>
  <c r="AU171" i="86"/>
  <c r="AU171" i="85"/>
  <c r="AU171" i="87"/>
  <c r="AU171" i="89"/>
  <c r="AU171" i="88"/>
  <c r="AU171" i="90"/>
  <c r="AY171" i="82"/>
  <c r="AY171" i="83"/>
  <c r="AY171" i="84"/>
  <c r="AY171" i="86"/>
  <c r="AY171" i="85"/>
  <c r="AY171" i="87"/>
  <c r="AY171" i="89"/>
  <c r="AY171" i="88"/>
  <c r="AY171" i="90"/>
  <c r="AZ171" i="82"/>
  <c r="AZ171" i="83"/>
  <c r="AZ171" i="84"/>
  <c r="AZ171" i="85"/>
  <c r="AZ171" i="86"/>
  <c r="AZ171" i="88"/>
  <c r="AZ171" i="90"/>
  <c r="AZ171" i="87"/>
  <c r="AZ171" i="89"/>
  <c r="BB171" i="82"/>
  <c r="BB171" i="83"/>
  <c r="BB171" i="84"/>
  <c r="BB171" i="85"/>
  <c r="BB171" i="86"/>
  <c r="BB171" i="88"/>
  <c r="BB171" i="90"/>
  <c r="BB171" i="87"/>
  <c r="BB171" i="89"/>
  <c r="AR172" i="82"/>
  <c r="AR172" i="83"/>
  <c r="AR172" i="84"/>
  <c r="AR172" i="86"/>
  <c r="AR172" i="85"/>
  <c r="AR172" i="87"/>
  <c r="AR172" i="89"/>
  <c r="AR172" i="88"/>
  <c r="AR172" i="90"/>
  <c r="AV172" i="82"/>
  <c r="AV172" i="83"/>
  <c r="AV172" i="84"/>
  <c r="AV172" i="86"/>
  <c r="AV172" i="85"/>
  <c r="AV172" i="87"/>
  <c r="AV172" i="89"/>
  <c r="AV172" i="88"/>
  <c r="AV172" i="90"/>
  <c r="AW172" i="82"/>
  <c r="AW172" i="83"/>
  <c r="AW172" i="84"/>
  <c r="AW172" i="85"/>
  <c r="AW172" i="86"/>
  <c r="AW172" i="88"/>
  <c r="AW172" i="90"/>
  <c r="AW172" i="87"/>
  <c r="AW172" i="89"/>
  <c r="AX172" i="82"/>
  <c r="AX172" i="83"/>
  <c r="AX172" i="84"/>
  <c r="AX172" i="86"/>
  <c r="AX172" i="85"/>
  <c r="AX172" i="87"/>
  <c r="AX172" i="89"/>
  <c r="AX172" i="88"/>
  <c r="AX172" i="90"/>
  <c r="BA172" i="82"/>
  <c r="BA172" i="83"/>
  <c r="BA172" i="84"/>
  <c r="BA172" i="85"/>
  <c r="BA172" i="86"/>
  <c r="BA172" i="88"/>
  <c r="BA172" i="90"/>
  <c r="BA172" i="87"/>
  <c r="BA172" i="89"/>
  <c r="BC172" i="82"/>
  <c r="AQ172" i="82"/>
  <c r="BC172" i="83"/>
  <c r="AQ172" i="83"/>
  <c r="BC172" i="84"/>
  <c r="AQ172" i="84"/>
  <c r="BC172" i="85"/>
  <c r="AQ172" i="85"/>
  <c r="BC172" i="86"/>
  <c r="AQ172" i="86"/>
  <c r="BC172" i="88"/>
  <c r="AQ172" i="88"/>
  <c r="BC172" i="90"/>
  <c r="AQ172" i="90"/>
  <c r="BC172" i="87"/>
  <c r="AQ172" i="87"/>
  <c r="BC172" i="89"/>
  <c r="AQ172" i="89"/>
  <c r="AT173" i="82"/>
  <c r="AT173" i="83"/>
  <c r="AT173" i="84"/>
  <c r="AT173" i="85"/>
  <c r="AT173" i="86"/>
  <c r="AT173" i="88"/>
  <c r="AT173" i="90"/>
  <c r="AT173" i="87"/>
  <c r="AT173" i="89"/>
  <c r="AU173" i="82"/>
  <c r="AU173" i="83"/>
  <c r="AU173" i="84"/>
  <c r="AU173" i="86"/>
  <c r="AU173" i="85"/>
  <c r="AU173" i="87"/>
  <c r="AU173" i="89"/>
  <c r="AU173" i="88"/>
  <c r="AU173" i="90"/>
  <c r="AY173" i="88"/>
  <c r="BB173" i="82"/>
  <c r="BB173" i="83"/>
  <c r="BB173" i="84"/>
  <c r="BB173" i="85"/>
  <c r="BB173" i="86"/>
  <c r="BB173" i="88"/>
  <c r="BB173" i="90"/>
  <c r="BB173" i="87"/>
  <c r="BB173" i="89"/>
  <c r="AR174" i="82"/>
  <c r="AR174" i="83"/>
  <c r="AR174" i="84"/>
  <c r="AR174" i="86"/>
  <c r="AR174" i="85"/>
  <c r="AR174" i="87"/>
  <c r="AR174" i="89"/>
  <c r="AR174" i="88"/>
  <c r="AR174" i="90"/>
  <c r="AV174" i="82"/>
  <c r="AV174" i="83"/>
  <c r="AV174" i="84"/>
  <c r="AV174" i="86"/>
  <c r="AV174" i="85"/>
  <c r="AV174" i="87"/>
  <c r="AV174" i="89"/>
  <c r="AV174" i="88"/>
  <c r="AV174" i="90"/>
  <c r="AW174" i="82"/>
  <c r="AW174" i="83"/>
  <c r="AW174" i="84"/>
  <c r="AW174" i="85"/>
  <c r="AW174" i="86"/>
  <c r="AW174" i="88"/>
  <c r="AW174" i="90"/>
  <c r="AW174" i="87"/>
  <c r="AW174" i="89"/>
  <c r="AX174" i="82"/>
  <c r="AX174" i="83"/>
  <c r="AX174" i="84"/>
  <c r="AX174" i="86"/>
  <c r="AX174" i="85"/>
  <c r="AX174" i="87"/>
  <c r="AX174" i="89"/>
  <c r="AX174" i="88"/>
  <c r="AX174" i="90"/>
  <c r="BA174" i="82"/>
  <c r="BA174" i="83"/>
  <c r="BA174" i="84"/>
  <c r="BA174" i="85"/>
  <c r="BA174" i="86"/>
  <c r="BA174" i="88"/>
  <c r="BA174" i="90"/>
  <c r="BA174" i="87"/>
  <c r="BA174" i="89"/>
  <c r="BC174" i="82"/>
  <c r="AQ174" i="82"/>
  <c r="BC174" i="83"/>
  <c r="AQ174" i="83"/>
  <c r="BC174" i="84"/>
  <c r="AQ174" i="84"/>
  <c r="BC174" i="85"/>
  <c r="AQ174" i="85"/>
  <c r="BC174" i="86"/>
  <c r="AQ174" i="86"/>
  <c r="BC174" i="88"/>
  <c r="AQ174" i="88"/>
  <c r="BC174" i="90"/>
  <c r="AQ174" i="90"/>
  <c r="BC174" i="87"/>
  <c r="AQ174" i="87"/>
  <c r="BC174" i="89"/>
  <c r="AQ174" i="89"/>
  <c r="AT175" i="88"/>
  <c r="AU175" i="82"/>
  <c r="AU175" i="83"/>
  <c r="AU175" i="84"/>
  <c r="AU175" i="86"/>
  <c r="AU175" i="85"/>
  <c r="AU175" i="87"/>
  <c r="AU175" i="89"/>
  <c r="AU175" i="88"/>
  <c r="AU175" i="90"/>
  <c r="AY175" i="82"/>
  <c r="AY175" i="83"/>
  <c r="AY175" i="84"/>
  <c r="AY175" i="86"/>
  <c r="AY175" i="85"/>
  <c r="AY175" i="87"/>
  <c r="AY175" i="89"/>
  <c r="AY175" i="88"/>
  <c r="AY175" i="90"/>
  <c r="AZ175" i="82"/>
  <c r="AZ175" i="83"/>
  <c r="AZ175" i="84"/>
  <c r="AZ175" i="85"/>
  <c r="AZ175" i="86"/>
  <c r="AZ175" i="88"/>
  <c r="AZ175" i="90"/>
  <c r="AZ175" i="87"/>
  <c r="AZ175" i="89"/>
  <c r="BB175" i="85"/>
  <c r="AR176" i="82"/>
  <c r="AR176" i="83"/>
  <c r="AR176" i="84"/>
  <c r="AR176" i="86"/>
  <c r="AR176" i="85"/>
  <c r="AR176" i="87"/>
  <c r="AR176" i="89"/>
  <c r="AR176" i="88"/>
  <c r="AR176" i="90"/>
  <c r="AV176" i="82"/>
  <c r="AV176" i="83"/>
  <c r="AV176" i="84"/>
  <c r="AV176" i="86"/>
  <c r="AV176" i="85"/>
  <c r="AV176" i="87"/>
  <c r="AV176" i="89"/>
  <c r="AV176" i="88"/>
  <c r="AV176" i="90"/>
  <c r="AW176" i="82"/>
  <c r="AW176" i="83"/>
  <c r="AW176" i="84"/>
  <c r="AW176" i="85"/>
  <c r="AW176" i="86"/>
  <c r="AW176" i="88"/>
  <c r="AW176" i="90"/>
  <c r="AW176" i="87"/>
  <c r="AW176" i="89"/>
  <c r="AX176" i="82"/>
  <c r="AX176" i="83"/>
  <c r="AX176" i="84"/>
  <c r="AX176" i="86"/>
  <c r="AX176" i="85"/>
  <c r="AX176" i="87"/>
  <c r="AX176" i="89"/>
  <c r="AX176" i="88"/>
  <c r="AX176" i="90"/>
  <c r="BA176" i="82"/>
  <c r="BA176" i="83"/>
  <c r="BA176" i="84"/>
  <c r="BA176" i="85"/>
  <c r="BA176" i="86"/>
  <c r="BA176" i="88"/>
  <c r="BA176" i="90"/>
  <c r="BA176" i="87"/>
  <c r="BA176" i="89"/>
  <c r="BC176" i="82"/>
  <c r="AQ176" i="82"/>
  <c r="BC176" i="83"/>
  <c r="AQ176" i="83"/>
  <c r="BC176" i="84"/>
  <c r="AQ176" i="84"/>
  <c r="BC176" i="85"/>
  <c r="AQ176" i="85"/>
  <c r="BC176" i="86"/>
  <c r="AQ176" i="86"/>
  <c r="BC176" i="88"/>
  <c r="AQ176" i="88"/>
  <c r="BC176" i="90"/>
  <c r="AQ176" i="90"/>
  <c r="BC176" i="87"/>
  <c r="AQ176" i="87"/>
  <c r="BC176" i="89"/>
  <c r="AQ176" i="89"/>
  <c r="AT177" i="82"/>
  <c r="AT177" i="83"/>
  <c r="AT177" i="84"/>
  <c r="AT177" i="85"/>
  <c r="AT177" i="86"/>
  <c r="AT177" i="88"/>
  <c r="AT177" i="90"/>
  <c r="AT177" i="87"/>
  <c r="AT177" i="89"/>
  <c r="AY177" i="83"/>
  <c r="AZ177" i="89"/>
  <c r="BB177" i="82"/>
  <c r="BB177" i="83"/>
  <c r="BB177" i="84"/>
  <c r="BB177" i="85"/>
  <c r="BB177" i="86"/>
  <c r="BB177" i="88"/>
  <c r="BB177" i="90"/>
  <c r="BB177" i="87"/>
  <c r="BB177" i="89"/>
  <c r="AR178" i="82"/>
  <c r="AR178" i="83"/>
  <c r="AR178" i="84"/>
  <c r="AR178" i="86"/>
  <c r="AR178" i="85"/>
  <c r="AR178" i="87"/>
  <c r="AR178" i="89"/>
  <c r="AR178" i="88"/>
  <c r="AR178" i="90"/>
  <c r="AV178" i="82"/>
  <c r="AV178" i="83"/>
  <c r="AV178" i="84"/>
  <c r="AV178" i="86"/>
  <c r="AV178" i="85"/>
  <c r="AV178" i="87"/>
  <c r="AV178" i="89"/>
  <c r="AV178" i="88"/>
  <c r="AV178" i="90"/>
  <c r="AW178" i="82"/>
  <c r="AW178" i="83"/>
  <c r="AW178" i="84"/>
  <c r="AW178" i="85"/>
  <c r="AW178" i="86"/>
  <c r="AW178" i="88"/>
  <c r="AW178" i="90"/>
  <c r="AW178" i="87"/>
  <c r="AW178" i="89"/>
  <c r="AX178" i="82"/>
  <c r="AX178" i="83"/>
  <c r="AX178" i="84"/>
  <c r="AX178" i="86"/>
  <c r="AX178" i="85"/>
  <c r="AX178" i="87"/>
  <c r="AX178" i="89"/>
  <c r="AX178" i="88"/>
  <c r="AX178" i="90"/>
  <c r="BA178" i="82"/>
  <c r="BA178" i="83"/>
  <c r="BA178" i="84"/>
  <c r="BA178" i="85"/>
  <c r="BA178" i="86"/>
  <c r="BA178" i="88"/>
  <c r="BA178" i="90"/>
  <c r="BA178" i="87"/>
  <c r="BA178" i="89"/>
  <c r="BC178" i="82"/>
  <c r="AQ178" i="82"/>
  <c r="BC178" i="83"/>
  <c r="AQ178" i="83"/>
  <c r="BC178" i="84"/>
  <c r="AQ178" i="84"/>
  <c r="BC178" i="85"/>
  <c r="AQ178" i="85"/>
  <c r="BC178" i="86"/>
  <c r="AQ178" i="86"/>
  <c r="BC178" i="88"/>
  <c r="AQ178" i="88"/>
  <c r="BC178" i="90"/>
  <c r="AQ178" i="90"/>
  <c r="BC178" i="87"/>
  <c r="AQ178" i="87"/>
  <c r="BC178" i="89"/>
  <c r="AQ178" i="89"/>
  <c r="AU179" i="82"/>
  <c r="AU179" i="83"/>
  <c r="AU179" i="84"/>
  <c r="AU179" i="86"/>
  <c r="AU179" i="85"/>
  <c r="AU179" i="87"/>
  <c r="AU179" i="89"/>
  <c r="AU179" i="88"/>
  <c r="AU179" i="90"/>
  <c r="AY179" i="82"/>
  <c r="AY179" i="83"/>
  <c r="AY179" i="84"/>
  <c r="AY179" i="86"/>
  <c r="AY179" i="85"/>
  <c r="AY179" i="87"/>
  <c r="AY179" i="89"/>
  <c r="AY179" i="88"/>
  <c r="AY179" i="90"/>
  <c r="AZ179" i="82"/>
  <c r="AZ179" i="83"/>
  <c r="AZ179" i="84"/>
  <c r="AZ179" i="85"/>
  <c r="AZ179" i="86"/>
  <c r="AZ179" i="88"/>
  <c r="AZ179" i="90"/>
  <c r="AZ179" i="87"/>
  <c r="AZ179" i="89"/>
  <c r="AR180" i="82"/>
  <c r="AR180" i="83"/>
  <c r="AR180" i="84"/>
  <c r="AR180" i="86"/>
  <c r="AR180" i="85"/>
  <c r="AR180" i="87"/>
  <c r="AR180" i="89"/>
  <c r="AR180" i="88"/>
  <c r="AR180" i="90"/>
  <c r="AV180" i="82"/>
  <c r="AV180" i="83"/>
  <c r="AV180" i="84"/>
  <c r="AV180" i="86"/>
  <c r="AV180" i="85"/>
  <c r="AV180" i="87"/>
  <c r="AV180" i="89"/>
  <c r="AV180" i="88"/>
  <c r="AV180" i="90"/>
  <c r="AW180" i="82"/>
  <c r="AW180" i="83"/>
  <c r="AW180" i="84"/>
  <c r="AW180" i="85"/>
  <c r="AW180" i="86"/>
  <c r="AW180" i="88"/>
  <c r="AW180" i="90"/>
  <c r="AW180" i="87"/>
  <c r="AW180" i="89"/>
  <c r="AX180" i="82"/>
  <c r="AX180" i="83"/>
  <c r="AX180" i="84"/>
  <c r="AX180" i="86"/>
  <c r="AX180" i="85"/>
  <c r="AX180" i="87"/>
  <c r="AX180" i="89"/>
  <c r="AX180" i="88"/>
  <c r="AX180" i="90"/>
  <c r="BA180" i="82"/>
  <c r="BA180" i="83"/>
  <c r="BA180" i="84"/>
  <c r="BA180" i="85"/>
  <c r="BA180" i="86"/>
  <c r="BA180" i="88"/>
  <c r="BA180" i="90"/>
  <c r="BA180" i="87"/>
  <c r="BA180" i="89"/>
  <c r="BC180" i="82"/>
  <c r="AQ180" i="82"/>
  <c r="BC180" i="83"/>
  <c r="AQ180" i="83"/>
  <c r="BC180" i="84"/>
  <c r="AQ180" i="84"/>
  <c r="BC180" i="85"/>
  <c r="AQ180" i="85"/>
  <c r="BC180" i="86"/>
  <c r="AQ180" i="86"/>
  <c r="BC180" i="88"/>
  <c r="AQ180" i="88"/>
  <c r="BC180" i="90"/>
  <c r="AQ180" i="90"/>
  <c r="BC180" i="87"/>
  <c r="AQ180" i="87"/>
  <c r="BC180" i="89"/>
  <c r="AQ180" i="89"/>
  <c r="AT181" i="82"/>
  <c r="AT181" i="83"/>
  <c r="AT181" i="84"/>
  <c r="AT181" i="85"/>
  <c r="AT181" i="86"/>
  <c r="AT181" i="88"/>
  <c r="AT181" i="90"/>
  <c r="AT181" i="87"/>
  <c r="AT181" i="89"/>
  <c r="AU181" i="82"/>
  <c r="AY181" i="88"/>
  <c r="BB181" i="82"/>
  <c r="BB181" i="83"/>
  <c r="BB181" i="84"/>
  <c r="BB181" i="85"/>
  <c r="BB181" i="86"/>
  <c r="BB181" i="88"/>
  <c r="BB181" i="90"/>
  <c r="BB181" i="87"/>
  <c r="BB181" i="89"/>
  <c r="AR182" i="82"/>
  <c r="AR182" i="83"/>
  <c r="AR182" i="84"/>
  <c r="AR182" i="86"/>
  <c r="AR182" i="85"/>
  <c r="AR182" i="87"/>
  <c r="AR182" i="89"/>
  <c r="AR182" i="88"/>
  <c r="AR182" i="90"/>
  <c r="AV182" i="82"/>
  <c r="AV182" i="83"/>
  <c r="AV182" i="84"/>
  <c r="AV182" i="86"/>
  <c r="AV182" i="85"/>
  <c r="AV182" i="87"/>
  <c r="AV182" i="89"/>
  <c r="AV182" i="88"/>
  <c r="AV182" i="90"/>
  <c r="AW182" i="82"/>
  <c r="AW182" i="83"/>
  <c r="AW182" i="84"/>
  <c r="AW182" i="85"/>
  <c r="AW182" i="86"/>
  <c r="AW182" i="88"/>
  <c r="AW182" i="90"/>
  <c r="AW182" i="87"/>
  <c r="AW182" i="89"/>
  <c r="AX182" i="82"/>
  <c r="AX182" i="83"/>
  <c r="AX182" i="84"/>
  <c r="AX182" i="86"/>
  <c r="AX182" i="85"/>
  <c r="AX182" i="87"/>
  <c r="AX182" i="89"/>
  <c r="AX182" i="88"/>
  <c r="AX182" i="90"/>
  <c r="BA182" i="82"/>
  <c r="BA182" i="83"/>
  <c r="BA182" i="84"/>
  <c r="BA182" i="85"/>
  <c r="BA182" i="86"/>
  <c r="BA182" i="88"/>
  <c r="BA182" i="90"/>
  <c r="BA182" i="87"/>
  <c r="BA182" i="89"/>
  <c r="BC182" i="82"/>
  <c r="AQ182" i="82"/>
  <c r="BC182" i="83"/>
  <c r="AQ182" i="83"/>
  <c r="BC182" i="84"/>
  <c r="AQ182" i="84"/>
  <c r="BC182" i="85"/>
  <c r="AQ182" i="85"/>
  <c r="BC182" i="86"/>
  <c r="AQ182" i="86"/>
  <c r="BC182" i="88"/>
  <c r="AQ182" i="88"/>
  <c r="BC182" i="90"/>
  <c r="AQ182" i="90"/>
  <c r="BC182" i="87"/>
  <c r="AQ182" i="87"/>
  <c r="BC182" i="89"/>
  <c r="AQ182" i="89"/>
  <c r="AT183" i="88"/>
  <c r="AU183" i="82"/>
  <c r="AU183" i="83"/>
  <c r="AU183" i="84"/>
  <c r="AU183" i="86"/>
  <c r="AU183" i="85"/>
  <c r="AU183" i="87"/>
  <c r="AU183" i="89"/>
  <c r="AU183" i="88"/>
  <c r="AU183" i="90"/>
  <c r="AY183" i="82"/>
  <c r="AY183" i="83"/>
  <c r="AY183" i="84"/>
  <c r="AY183" i="86"/>
  <c r="AY183" i="85"/>
  <c r="AY183" i="87"/>
  <c r="AY183" i="89"/>
  <c r="AY183" i="88"/>
  <c r="AY183" i="90"/>
  <c r="AZ183" i="82"/>
  <c r="AZ183" i="83"/>
  <c r="AZ183" i="84"/>
  <c r="AZ183" i="85"/>
  <c r="AZ183" i="86"/>
  <c r="AZ183" i="88"/>
  <c r="AZ183" i="90"/>
  <c r="AZ183" i="87"/>
  <c r="AZ183" i="89"/>
  <c r="BB183" i="85"/>
  <c r="AR184" i="82"/>
  <c r="AR184" i="83"/>
  <c r="AR184" i="84"/>
  <c r="AR184" i="86"/>
  <c r="AR184" i="85"/>
  <c r="AR184" i="87"/>
  <c r="AR184" i="89"/>
  <c r="AR184" i="88"/>
  <c r="AR184" i="90"/>
  <c r="AV184" i="82"/>
  <c r="AV184" i="83"/>
  <c r="AV184" i="84"/>
  <c r="AV184" i="86"/>
  <c r="AV184" i="85"/>
  <c r="AV184" i="87"/>
  <c r="AV184" i="89"/>
  <c r="AV184" i="88"/>
  <c r="AV184" i="90"/>
  <c r="AW184" i="82"/>
  <c r="AW184" i="83"/>
  <c r="AW184" i="84"/>
  <c r="AW184" i="85"/>
  <c r="AW184" i="86"/>
  <c r="AW184" i="88"/>
  <c r="AW184" i="90"/>
  <c r="AW184" i="87"/>
  <c r="AW184" i="89"/>
  <c r="AX184" i="82"/>
  <c r="AX184" i="83"/>
  <c r="AX184" i="84"/>
  <c r="AX184" i="86"/>
  <c r="AX184" i="85"/>
  <c r="AX184" i="87"/>
  <c r="AX184" i="89"/>
  <c r="AX184" i="88"/>
  <c r="AX184" i="90"/>
  <c r="BA184" i="82"/>
  <c r="BA184" i="83"/>
  <c r="BA184" i="84"/>
  <c r="BA184" i="85"/>
  <c r="BA184" i="86"/>
  <c r="BA184" i="88"/>
  <c r="BA184" i="90"/>
  <c r="BA184" i="87"/>
  <c r="BA184" i="89"/>
  <c r="BC184" i="82"/>
  <c r="AQ184" i="82"/>
  <c r="BC184" i="83"/>
  <c r="AQ184" i="83"/>
  <c r="BC184" i="84"/>
  <c r="AQ184" i="84"/>
  <c r="AQ184" i="85"/>
  <c r="BC184" i="85"/>
  <c r="BC184" i="86"/>
  <c r="AQ184" i="86"/>
  <c r="BC184" i="88"/>
  <c r="AQ184" i="88"/>
  <c r="BC184" i="90"/>
  <c r="AQ184" i="90"/>
  <c r="BC184" i="87"/>
  <c r="AQ184" i="87"/>
  <c r="BC184" i="89"/>
  <c r="AQ184" i="89"/>
  <c r="AT185" i="82"/>
  <c r="AT185" i="83"/>
  <c r="AT185" i="84"/>
  <c r="AT185" i="85"/>
  <c r="AT185" i="86"/>
  <c r="AT185" i="88"/>
  <c r="AT185" i="90"/>
  <c r="AT185" i="87"/>
  <c r="AT185" i="89"/>
  <c r="AY185" i="83"/>
  <c r="AZ185" i="89"/>
  <c r="BB185" i="82"/>
  <c r="BB185" i="83"/>
  <c r="BB185" i="84"/>
  <c r="BB185" i="85"/>
  <c r="BB185" i="86"/>
  <c r="BB185" i="88"/>
  <c r="BB185" i="90"/>
  <c r="BB185" i="87"/>
  <c r="BB185" i="89"/>
  <c r="AR186" i="82"/>
  <c r="AR186" i="83"/>
  <c r="AR186" i="85"/>
  <c r="AR186" i="84"/>
  <c r="AR186" i="86"/>
  <c r="AR186" i="87"/>
  <c r="AR186" i="89"/>
  <c r="AR186" i="88"/>
  <c r="AR186" i="90"/>
  <c r="AV186" i="82"/>
  <c r="AV186" i="83"/>
  <c r="AV186" i="85"/>
  <c r="AV186" i="84"/>
  <c r="AV186" i="86"/>
  <c r="AV186" i="87"/>
  <c r="AV186" i="89"/>
  <c r="AV186" i="88"/>
  <c r="AV186" i="90"/>
  <c r="AW186" i="82"/>
  <c r="AW186" i="83"/>
  <c r="AW186" i="84"/>
  <c r="AW186" i="85"/>
  <c r="AW186" i="86"/>
  <c r="AW186" i="88"/>
  <c r="AW186" i="90"/>
  <c r="AW186" i="87"/>
  <c r="AW186" i="89"/>
  <c r="AX186" i="82"/>
  <c r="AX186" i="83"/>
  <c r="AX186" i="85"/>
  <c r="AX186" i="84"/>
  <c r="AX186" i="86"/>
  <c r="AX186" i="87"/>
  <c r="AX186" i="89"/>
  <c r="AX186" i="88"/>
  <c r="AX186" i="90"/>
  <c r="BA186" i="82"/>
  <c r="BA186" i="83"/>
  <c r="BA186" i="84"/>
  <c r="BA186" i="85"/>
  <c r="BA186" i="86"/>
  <c r="BA186" i="88"/>
  <c r="BA186" i="90"/>
  <c r="BA186" i="87"/>
  <c r="BA186" i="89"/>
  <c r="BC186" i="82"/>
  <c r="AQ186" i="82"/>
  <c r="BC186" i="83"/>
  <c r="AQ186" i="83"/>
  <c r="BC186" i="84"/>
  <c r="AQ186" i="84"/>
  <c r="BC186" i="85"/>
  <c r="AQ186" i="85"/>
  <c r="BC186" i="86"/>
  <c r="AQ186" i="86"/>
  <c r="BC186" i="88"/>
  <c r="AQ186" i="88"/>
  <c r="BC186" i="90"/>
  <c r="AQ186" i="90"/>
  <c r="BC186" i="87"/>
  <c r="AQ186" i="87"/>
  <c r="BC186" i="89"/>
  <c r="AQ186" i="89"/>
  <c r="AU187" i="82"/>
  <c r="AU187" i="83"/>
  <c r="AU187" i="85"/>
  <c r="AU187" i="84"/>
  <c r="AU187" i="86"/>
  <c r="AU187" i="87"/>
  <c r="AU187" i="89"/>
  <c r="AU187" i="88"/>
  <c r="AU187" i="90"/>
  <c r="AY187" i="82"/>
  <c r="AY187" i="83"/>
  <c r="AY187" i="85"/>
  <c r="AY187" i="84"/>
  <c r="AY187" i="86"/>
  <c r="AY187" i="87"/>
  <c r="AY187" i="89"/>
  <c r="AY187" i="88"/>
  <c r="AY187" i="90"/>
  <c r="AZ187" i="82"/>
  <c r="AZ187" i="83"/>
  <c r="AZ187" i="84"/>
  <c r="AZ187" i="85"/>
  <c r="AZ187" i="86"/>
  <c r="AZ187" i="88"/>
  <c r="AZ187" i="90"/>
  <c r="AZ187" i="87"/>
  <c r="AZ187" i="89"/>
  <c r="AR188" i="82"/>
  <c r="AR188" i="83"/>
  <c r="AR188" i="85"/>
  <c r="AR188" i="84"/>
  <c r="AR188" i="86"/>
  <c r="AR188" i="87"/>
  <c r="AR188" i="89"/>
  <c r="AR188" i="88"/>
  <c r="AR188" i="90"/>
  <c r="AV188" i="82"/>
  <c r="AV188" i="83"/>
  <c r="AV188" i="85"/>
  <c r="AV188" i="84"/>
  <c r="AV188" i="86"/>
  <c r="AV188" i="87"/>
  <c r="AV188" i="89"/>
  <c r="AV188" i="88"/>
  <c r="AV188" i="90"/>
  <c r="AW188" i="82"/>
  <c r="AW188" i="83"/>
  <c r="AW188" i="84"/>
  <c r="AW188" i="85"/>
  <c r="AW188" i="86"/>
  <c r="AW188" i="88"/>
  <c r="AW188" i="90"/>
  <c r="AW188" i="87"/>
  <c r="AW188" i="89"/>
  <c r="AX188" i="82"/>
  <c r="AX188" i="83"/>
  <c r="AX188" i="85"/>
  <c r="AX188" i="84"/>
  <c r="AX188" i="86"/>
  <c r="AX188" i="87"/>
  <c r="AX188" i="89"/>
  <c r="AX188" i="88"/>
  <c r="AX188" i="90"/>
  <c r="BA188" i="82"/>
  <c r="BA188" i="83"/>
  <c r="BA188" i="84"/>
  <c r="BA188" i="85"/>
  <c r="BA188" i="86"/>
  <c r="BA188" i="88"/>
  <c r="BA188" i="90"/>
  <c r="BA188" i="87"/>
  <c r="BA188" i="89"/>
  <c r="BC188" i="82"/>
  <c r="AQ188" i="82"/>
  <c r="BC188" i="83"/>
  <c r="AQ188" i="83"/>
  <c r="BC188" i="84"/>
  <c r="AQ188" i="84"/>
  <c r="BC188" i="85"/>
  <c r="AQ188" i="85"/>
  <c r="BC188" i="86"/>
  <c r="AQ188" i="86"/>
  <c r="BC188" i="88"/>
  <c r="AQ188" i="88"/>
  <c r="BC188" i="90"/>
  <c r="AQ188" i="90"/>
  <c r="BC188" i="87"/>
  <c r="AQ188" i="87"/>
  <c r="BC188" i="89"/>
  <c r="AQ188" i="89"/>
  <c r="AT189" i="82"/>
  <c r="AT189" i="83"/>
  <c r="AT189" i="84"/>
  <c r="AT189" i="85"/>
  <c r="AT189" i="86"/>
  <c r="AT189" i="88"/>
  <c r="AT189" i="90"/>
  <c r="AT189" i="87"/>
  <c r="AT189" i="89"/>
  <c r="AU189" i="82"/>
  <c r="AY189" i="88"/>
  <c r="BB189" i="82"/>
  <c r="BB189" i="83"/>
  <c r="BB189" i="84"/>
  <c r="BB189" i="85"/>
  <c r="BB189" i="86"/>
  <c r="BB189" i="88"/>
  <c r="BB189" i="90"/>
  <c r="BB189" i="87"/>
  <c r="BB189" i="89"/>
  <c r="AR190" i="82"/>
  <c r="AR190" i="83"/>
  <c r="AR190" i="85"/>
  <c r="AR190" i="84"/>
  <c r="AR190" i="86"/>
  <c r="AR190" i="87"/>
  <c r="AR190" i="89"/>
  <c r="AR190" i="88"/>
  <c r="AR190" i="90"/>
  <c r="AV190" i="82"/>
  <c r="AV190" i="83"/>
  <c r="AV190" i="85"/>
  <c r="AV190" i="84"/>
  <c r="AV190" i="86"/>
  <c r="AV190" i="87"/>
  <c r="AV190" i="89"/>
  <c r="AV190" i="88"/>
  <c r="AV190" i="90"/>
  <c r="AW190" i="82"/>
  <c r="AW190" i="83"/>
  <c r="AW190" i="84"/>
  <c r="AW190" i="85"/>
  <c r="AW190" i="86"/>
  <c r="AW190" i="88"/>
  <c r="AW190" i="90"/>
  <c r="AW190" i="87"/>
  <c r="AW190" i="89"/>
  <c r="AX190" i="82"/>
  <c r="AX190" i="83"/>
  <c r="AX190" i="85"/>
  <c r="AX190" i="84"/>
  <c r="AX190" i="86"/>
  <c r="AX190" i="87"/>
  <c r="AX190" i="89"/>
  <c r="AX190" i="88"/>
  <c r="AX190" i="90"/>
  <c r="BA190" i="82"/>
  <c r="BA190" i="83"/>
  <c r="BA190" i="84"/>
  <c r="BA190" i="85"/>
  <c r="BA190" i="86"/>
  <c r="BA190" i="88"/>
  <c r="BA190" i="90"/>
  <c r="BA190" i="87"/>
  <c r="BA190" i="89"/>
  <c r="BC190" i="82"/>
  <c r="AQ190" i="82"/>
  <c r="BC190" i="83"/>
  <c r="AQ190" i="83"/>
  <c r="BC190" i="84"/>
  <c r="AQ190" i="84"/>
  <c r="BC190" i="85"/>
  <c r="AQ190" i="85"/>
  <c r="BC190" i="86"/>
  <c r="AQ190" i="86"/>
  <c r="BC190" i="88"/>
  <c r="AQ190" i="88"/>
  <c r="BC190" i="90"/>
  <c r="AQ190" i="90"/>
  <c r="BC190" i="87"/>
  <c r="AQ190" i="87"/>
  <c r="BC190" i="89"/>
  <c r="AQ190" i="89"/>
  <c r="AT191" i="88"/>
  <c r="AU191" i="82"/>
  <c r="AU191" i="83"/>
  <c r="AU191" i="85"/>
  <c r="AU191" i="84"/>
  <c r="AU191" i="86"/>
  <c r="AU191" i="87"/>
  <c r="AU191" i="89"/>
  <c r="AU191" i="88"/>
  <c r="AU191" i="90"/>
  <c r="AY191" i="82"/>
  <c r="AY191" i="83"/>
  <c r="AY191" i="85"/>
  <c r="AY191" i="84"/>
  <c r="AY191" i="86"/>
  <c r="AY191" i="87"/>
  <c r="AY191" i="89"/>
  <c r="AY191" i="88"/>
  <c r="AY191" i="90"/>
  <c r="AZ191" i="82"/>
  <c r="AZ191" i="83"/>
  <c r="AZ191" i="84"/>
  <c r="AZ191" i="85"/>
  <c r="AZ191" i="86"/>
  <c r="AZ191" i="88"/>
  <c r="AZ191" i="90"/>
  <c r="AZ191" i="87"/>
  <c r="AZ191" i="89"/>
  <c r="BB191" i="85"/>
  <c r="AR192" i="82"/>
  <c r="AR192" i="83"/>
  <c r="AR192" i="85"/>
  <c r="AR192" i="84"/>
  <c r="AR192" i="86"/>
  <c r="AR192" i="87"/>
  <c r="AR192" i="89"/>
  <c r="AR192" i="88"/>
  <c r="AR192" i="90"/>
  <c r="AV192" i="82"/>
  <c r="AV192" i="83"/>
  <c r="AV192" i="85"/>
  <c r="AV192" i="84"/>
  <c r="AV192" i="86"/>
  <c r="AV192" i="87"/>
  <c r="AV192" i="89"/>
  <c r="AV192" i="88"/>
  <c r="AV192" i="90"/>
  <c r="AW192" i="82"/>
  <c r="AW192" i="83"/>
  <c r="AW192" i="84"/>
  <c r="AW192" i="85"/>
  <c r="AW192" i="86"/>
  <c r="AW192" i="88"/>
  <c r="AW192" i="90"/>
  <c r="AW192" i="87"/>
  <c r="AW192" i="89"/>
  <c r="AX192" i="82"/>
  <c r="AX192" i="83"/>
  <c r="AX192" i="85"/>
  <c r="AX192" i="84"/>
  <c r="AX192" i="86"/>
  <c r="AX192" i="87"/>
  <c r="AX192" i="89"/>
  <c r="AX192" i="88"/>
  <c r="AX192" i="90"/>
  <c r="BA192" i="82"/>
  <c r="BA192" i="83"/>
  <c r="BA192" i="84"/>
  <c r="BA192" i="85"/>
  <c r="BA192" i="86"/>
  <c r="BA192" i="88"/>
  <c r="BA192" i="90"/>
  <c r="BA192" i="87"/>
  <c r="BA192" i="89"/>
  <c r="BC192" i="82"/>
  <c r="AQ192" i="82"/>
  <c r="BC192" i="83"/>
  <c r="AQ192" i="83"/>
  <c r="BC192" i="84"/>
  <c r="AQ192" i="84"/>
  <c r="BC192" i="85"/>
  <c r="AQ192" i="85"/>
  <c r="BC192" i="86"/>
  <c r="AQ192" i="86"/>
  <c r="BC192" i="88"/>
  <c r="AQ192" i="88"/>
  <c r="BC192" i="90"/>
  <c r="AQ192" i="90"/>
  <c r="BC192" i="87"/>
  <c r="AQ192" i="87"/>
  <c r="BC192" i="89"/>
  <c r="AQ192" i="89"/>
  <c r="AT193" i="82"/>
  <c r="AT193" i="83"/>
  <c r="AT193" i="84"/>
  <c r="AT193" i="85"/>
  <c r="AT193" i="86"/>
  <c r="AT193" i="88"/>
  <c r="AT193" i="90"/>
  <c r="AT193" i="87"/>
  <c r="AT193" i="89"/>
  <c r="AY193" i="83"/>
  <c r="AZ193" i="89"/>
  <c r="BB193" i="82"/>
  <c r="BB193" i="83"/>
  <c r="BB193" i="84"/>
  <c r="BB193" i="85"/>
  <c r="BB193" i="86"/>
  <c r="BB193" i="88"/>
  <c r="BB193" i="90"/>
  <c r="BB193" i="87"/>
  <c r="BB193" i="89"/>
  <c r="AR194" i="82"/>
  <c r="AR194" i="83"/>
  <c r="AR194" i="85"/>
  <c r="AR194" i="84"/>
  <c r="AR194" i="86"/>
  <c r="AR194" i="87"/>
  <c r="AR194" i="89"/>
  <c r="AR194" i="88"/>
  <c r="AR194" i="90"/>
  <c r="AV194" i="82"/>
  <c r="AV194" i="83"/>
  <c r="AV194" i="85"/>
  <c r="AV194" i="84"/>
  <c r="AV194" i="86"/>
  <c r="AV194" i="87"/>
  <c r="AV194" i="89"/>
  <c r="AV194" i="88"/>
  <c r="AV194" i="90"/>
  <c r="AW194" i="82"/>
  <c r="AW194" i="83"/>
  <c r="AW194" i="84"/>
  <c r="AW194" i="85"/>
  <c r="AW194" i="86"/>
  <c r="AW194" i="88"/>
  <c r="AW194" i="90"/>
  <c r="AW194" i="87"/>
  <c r="AW194" i="89"/>
  <c r="AX194" i="82"/>
  <c r="AX194" i="83"/>
  <c r="AX194" i="85"/>
  <c r="AX194" i="84"/>
  <c r="AX194" i="86"/>
  <c r="AX194" i="87"/>
  <c r="AX194" i="89"/>
  <c r="AX194" i="88"/>
  <c r="AX194" i="90"/>
  <c r="BA194" i="82"/>
  <c r="BA194" i="83"/>
  <c r="BA194" i="84"/>
  <c r="BA194" i="85"/>
  <c r="BA194" i="86"/>
  <c r="BA194" i="88"/>
  <c r="BA194" i="90"/>
  <c r="BA194" i="87"/>
  <c r="BA194" i="89"/>
  <c r="BC194" i="82"/>
  <c r="AQ194" i="82"/>
  <c r="BC194" i="83"/>
  <c r="AQ194" i="83"/>
  <c r="BC194" i="84"/>
  <c r="AQ194" i="84"/>
  <c r="BC194" i="85"/>
  <c r="AQ194" i="85"/>
  <c r="BC194" i="86"/>
  <c r="AQ194" i="86"/>
  <c r="BC194" i="88"/>
  <c r="AQ194" i="88"/>
  <c r="BC194" i="90"/>
  <c r="AQ194" i="90"/>
  <c r="BC194" i="87"/>
  <c r="AQ194" i="87"/>
  <c r="BC194" i="89"/>
  <c r="AQ194" i="89"/>
  <c r="AU195" i="82"/>
  <c r="AU195" i="83"/>
  <c r="AU195" i="85"/>
  <c r="AU195" i="84"/>
  <c r="AU195" i="86"/>
  <c r="AU195" i="87"/>
  <c r="AU195" i="89"/>
  <c r="AU195" i="88"/>
  <c r="AU195" i="90"/>
  <c r="AY195" i="82"/>
  <c r="AY195" i="83"/>
  <c r="AY195" i="85"/>
  <c r="AY195" i="84"/>
  <c r="AY195" i="86"/>
  <c r="AY195" i="87"/>
  <c r="AY195" i="89"/>
  <c r="AY195" i="88"/>
  <c r="AY195" i="90"/>
  <c r="AZ195" i="82"/>
  <c r="AZ195" i="83"/>
  <c r="AZ195" i="84"/>
  <c r="AZ195" i="85"/>
  <c r="AZ195" i="86"/>
  <c r="AZ195" i="88"/>
  <c r="AZ195" i="90"/>
  <c r="AZ195" i="87"/>
  <c r="AZ195" i="89"/>
  <c r="AR196" i="82"/>
  <c r="AR196" i="83"/>
  <c r="AR196" i="85"/>
  <c r="AR196" i="84"/>
  <c r="AR196" i="86"/>
  <c r="AR196" i="87"/>
  <c r="AR196" i="89"/>
  <c r="AR196" i="88"/>
  <c r="AR196" i="90"/>
  <c r="AV196" i="82"/>
  <c r="AV196" i="83"/>
  <c r="AV196" i="85"/>
  <c r="AV196" i="84"/>
  <c r="AV196" i="86"/>
  <c r="AV196" i="87"/>
  <c r="AV196" i="89"/>
  <c r="AV196" i="88"/>
  <c r="AV196" i="90"/>
  <c r="AW196" i="82"/>
  <c r="AW196" i="83"/>
  <c r="AW196" i="84"/>
  <c r="AW196" i="85"/>
  <c r="AW196" i="86"/>
  <c r="AW196" i="88"/>
  <c r="AW196" i="90"/>
  <c r="AW196" i="87"/>
  <c r="AW196" i="89"/>
  <c r="AX196" i="82"/>
  <c r="AX196" i="83"/>
  <c r="AX196" i="85"/>
  <c r="AX196" i="84"/>
  <c r="AX196" i="86"/>
  <c r="AX196" i="87"/>
  <c r="AX196" i="89"/>
  <c r="AX196" i="88"/>
  <c r="AX196" i="90"/>
  <c r="BA196" i="82"/>
  <c r="BA196" i="83"/>
  <c r="BA196" i="84"/>
  <c r="BA196" i="85"/>
  <c r="BA196" i="86"/>
  <c r="BA196" i="88"/>
  <c r="BA196" i="90"/>
  <c r="BA196" i="87"/>
  <c r="BA196" i="89"/>
  <c r="BC196" i="82"/>
  <c r="AQ196" i="82"/>
  <c r="BC196" i="83"/>
  <c r="AQ196" i="83"/>
  <c r="BC196" i="84"/>
  <c r="AQ196" i="84"/>
  <c r="BC196" i="85"/>
  <c r="AQ196" i="85"/>
  <c r="BC196" i="86"/>
  <c r="AQ196" i="86"/>
  <c r="BC196" i="88"/>
  <c r="AQ196" i="88"/>
  <c r="BC196" i="90"/>
  <c r="AQ196" i="90"/>
  <c r="BC196" i="87"/>
  <c r="AQ196" i="87"/>
  <c r="BC196" i="89"/>
  <c r="AQ196" i="89"/>
  <c r="AT197" i="82"/>
  <c r="AT197" i="83"/>
  <c r="AT197" i="84"/>
  <c r="AT197" i="85"/>
  <c r="AT197" i="86"/>
  <c r="AT197" i="88"/>
  <c r="AT197" i="90"/>
  <c r="AT197" i="87"/>
  <c r="AT197" i="89"/>
  <c r="AU197" i="82"/>
  <c r="AY197" i="88"/>
  <c r="BB197" i="82"/>
  <c r="BB197" i="83"/>
  <c r="BB197" i="84"/>
  <c r="BB197" i="85"/>
  <c r="BB197" i="86"/>
  <c r="BB197" i="88"/>
  <c r="BB197" i="90"/>
  <c r="BB197" i="87"/>
  <c r="BB197" i="89"/>
  <c r="AR198" i="82"/>
  <c r="AR198" i="83"/>
  <c r="AR198" i="85"/>
  <c r="AR198" i="84"/>
  <c r="AR198" i="86"/>
  <c r="AR198" i="87"/>
  <c r="AR198" i="89"/>
  <c r="AR198" i="88"/>
  <c r="AR198" i="90"/>
  <c r="AV198" i="82"/>
  <c r="AV198" i="83"/>
  <c r="AV198" i="85"/>
  <c r="AV198" i="84"/>
  <c r="AV198" i="86"/>
  <c r="AV198" i="87"/>
  <c r="AV198" i="89"/>
  <c r="AV198" i="88"/>
  <c r="AV198" i="90"/>
  <c r="AW198" i="82"/>
  <c r="AW198" i="83"/>
  <c r="AW198" i="84"/>
  <c r="AW198" i="85"/>
  <c r="AW198" i="86"/>
  <c r="AW198" i="88"/>
  <c r="AW198" i="90"/>
  <c r="AW198" i="87"/>
  <c r="AW198" i="89"/>
  <c r="AX198" i="82"/>
  <c r="AX198" i="83"/>
  <c r="AX198" i="85"/>
  <c r="AX198" i="84"/>
  <c r="AX198" i="86"/>
  <c r="AX198" i="87"/>
  <c r="AX198" i="89"/>
  <c r="AX198" i="88"/>
  <c r="AX198" i="90"/>
  <c r="BA198" i="82"/>
  <c r="BA198" i="83"/>
  <c r="BA198" i="84"/>
  <c r="BA198" i="85"/>
  <c r="BA198" i="86"/>
  <c r="BA198" i="88"/>
  <c r="BA198" i="90"/>
  <c r="BA198" i="87"/>
  <c r="BA198" i="89"/>
  <c r="BC198" i="82"/>
  <c r="AQ198" i="82"/>
  <c r="BC198" i="83"/>
  <c r="AQ198" i="83"/>
  <c r="BC198" i="84"/>
  <c r="AQ198" i="84"/>
  <c r="BC198" i="85"/>
  <c r="AQ198" i="85"/>
  <c r="BC198" i="86"/>
  <c r="AQ198" i="86"/>
  <c r="BC198" i="88"/>
  <c r="AQ198" i="88"/>
  <c r="BC198" i="90"/>
  <c r="AQ198" i="90"/>
  <c r="BC198" i="87"/>
  <c r="AQ198" i="87"/>
  <c r="BC198" i="89"/>
  <c r="AQ198" i="89"/>
  <c r="AT199" i="88"/>
  <c r="AU199" i="82"/>
  <c r="AU199" i="83"/>
  <c r="AU199" i="85"/>
  <c r="AU199" i="84"/>
  <c r="AU199" i="86"/>
  <c r="AU199" i="87"/>
  <c r="AU199" i="89"/>
  <c r="AU199" i="88"/>
  <c r="AU199" i="90"/>
  <c r="AY199" i="82"/>
  <c r="AY199" i="83"/>
  <c r="AY199" i="85"/>
  <c r="AY199" i="84"/>
  <c r="AY199" i="86"/>
  <c r="AY199" i="87"/>
  <c r="AY199" i="89"/>
  <c r="AY199" i="88"/>
  <c r="AY199" i="90"/>
  <c r="AZ199" i="82"/>
  <c r="AZ199" i="83"/>
  <c r="AZ199" i="84"/>
  <c r="AZ199" i="85"/>
  <c r="AZ199" i="86"/>
  <c r="AZ199" i="88"/>
  <c r="AZ199" i="90"/>
  <c r="AZ199" i="87"/>
  <c r="AZ199" i="89"/>
  <c r="BB199" i="85"/>
  <c r="AR200" i="82"/>
  <c r="AR200" i="83"/>
  <c r="AR200" i="85"/>
  <c r="AR200" i="84"/>
  <c r="AR200" i="86"/>
  <c r="AR200" i="87"/>
  <c r="AR200" i="89"/>
  <c r="AR200" i="88"/>
  <c r="AR200" i="90"/>
  <c r="AV200" i="82"/>
  <c r="AV200" i="83"/>
  <c r="AV200" i="85"/>
  <c r="AV200" i="84"/>
  <c r="AV200" i="86"/>
  <c r="AV200" i="87"/>
  <c r="AV200" i="89"/>
  <c r="AV200" i="88"/>
  <c r="AV200" i="90"/>
  <c r="AW200" i="82"/>
  <c r="AW200" i="83"/>
  <c r="AW200" i="84"/>
  <c r="AW200" i="85"/>
  <c r="AW200" i="86"/>
  <c r="AW200" i="88"/>
  <c r="AW200" i="90"/>
  <c r="AW200" i="87"/>
  <c r="AW200" i="89"/>
  <c r="AX200" i="82"/>
  <c r="AX200" i="83"/>
  <c r="AX200" i="85"/>
  <c r="AX200" i="84"/>
  <c r="AX200" i="86"/>
  <c r="AX200" i="87"/>
  <c r="AX200" i="89"/>
  <c r="AX200" i="88"/>
  <c r="AX200" i="90"/>
  <c r="BA200" i="82"/>
  <c r="BA200" i="83"/>
  <c r="BA200" i="84"/>
  <c r="BA200" i="85"/>
  <c r="BA200" i="86"/>
  <c r="BA200" i="88"/>
  <c r="BA200" i="90"/>
  <c r="BA200" i="87"/>
  <c r="BA200" i="89"/>
  <c r="BC200" i="82"/>
  <c r="AQ200" i="82"/>
  <c r="BC200" i="83"/>
  <c r="AQ200" i="83"/>
  <c r="BC200" i="84"/>
  <c r="AQ200" i="84"/>
  <c r="BC200" i="85"/>
  <c r="AQ200" i="85"/>
  <c r="BC200" i="86"/>
  <c r="AQ200" i="86"/>
  <c r="BC200" i="88"/>
  <c r="AQ200" i="88"/>
  <c r="BC200" i="90"/>
  <c r="AQ200" i="90"/>
  <c r="BC200" i="87"/>
  <c r="AQ200" i="87"/>
  <c r="BC200" i="89"/>
  <c r="AQ200" i="89"/>
  <c r="AT201" i="82"/>
  <c r="AT201" i="83"/>
  <c r="AT201" i="84"/>
  <c r="AT201" i="85"/>
  <c r="AT201" i="86"/>
  <c r="AT201" i="88"/>
  <c r="AT201" i="90"/>
  <c r="AT201" i="87"/>
  <c r="AT201" i="89"/>
  <c r="AY201" i="83"/>
  <c r="AZ201" i="89"/>
  <c r="BB201" i="82"/>
  <c r="BB201" i="83"/>
  <c r="BB201" i="84"/>
  <c r="BB201" i="85"/>
  <c r="BB201" i="86"/>
  <c r="BB201" i="88"/>
  <c r="BB201" i="90"/>
  <c r="BB201" i="87"/>
  <c r="BB201" i="89"/>
  <c r="AR202" i="82"/>
  <c r="AR202" i="83"/>
  <c r="AR202" i="85"/>
  <c r="AR202" i="84"/>
  <c r="AR202" i="86"/>
  <c r="AR202" i="87"/>
  <c r="AR202" i="89"/>
  <c r="AR202" i="88"/>
  <c r="AR202" i="90"/>
  <c r="AV202" i="82"/>
  <c r="AV202" i="83"/>
  <c r="AV202" i="85"/>
  <c r="AV202" i="84"/>
  <c r="AV202" i="86"/>
  <c r="AV202" i="87"/>
  <c r="AV202" i="89"/>
  <c r="AV202" i="88"/>
  <c r="AV202" i="90"/>
  <c r="AW202" i="82"/>
  <c r="AW202" i="83"/>
  <c r="AW202" i="84"/>
  <c r="AW202" i="85"/>
  <c r="AW202" i="86"/>
  <c r="AW202" i="88"/>
  <c r="AW202" i="90"/>
  <c r="AW202" i="87"/>
  <c r="AW202" i="89"/>
  <c r="AX202" i="82"/>
  <c r="AX202" i="83"/>
  <c r="AX202" i="85"/>
  <c r="AX202" i="84"/>
  <c r="AX202" i="86"/>
  <c r="AX202" i="87"/>
  <c r="AX202" i="89"/>
  <c r="AX202" i="88"/>
  <c r="AX202" i="90"/>
  <c r="BA202" i="82"/>
  <c r="BA202" i="83"/>
  <c r="BA202" i="84"/>
  <c r="BA202" i="85"/>
  <c r="BA202" i="86"/>
  <c r="BA202" i="88"/>
  <c r="BA202" i="90"/>
  <c r="BA202" i="87"/>
  <c r="BA202" i="89"/>
  <c r="BC202" i="82"/>
  <c r="AQ202" i="82"/>
  <c r="BC202" i="83"/>
  <c r="AQ202" i="83"/>
  <c r="BC202" i="84"/>
  <c r="AQ202" i="84"/>
  <c r="BC202" i="85"/>
  <c r="AQ202" i="85"/>
  <c r="BC202" i="86"/>
  <c r="AQ202" i="86"/>
  <c r="BC202" i="88"/>
  <c r="AQ202" i="88"/>
  <c r="BC202" i="90"/>
  <c r="AQ202" i="90"/>
  <c r="BC202" i="87"/>
  <c r="AQ202" i="87"/>
  <c r="BC202" i="89"/>
  <c r="AQ202" i="89"/>
  <c r="AU203" i="82"/>
  <c r="AU203" i="83"/>
  <c r="AU203" i="85"/>
  <c r="AU203" i="84"/>
  <c r="AU203" i="86"/>
  <c r="AU203" i="87"/>
  <c r="AU203" i="89"/>
  <c r="AU203" i="88"/>
  <c r="AU203" i="90"/>
  <c r="AY203" i="82"/>
  <c r="AY203" i="83"/>
  <c r="AY203" i="85"/>
  <c r="AY203" i="84"/>
  <c r="AY203" i="86"/>
  <c r="AY203" i="87"/>
  <c r="AY203" i="89"/>
  <c r="AY203" i="88"/>
  <c r="AY203" i="90"/>
  <c r="AZ203" i="82"/>
  <c r="AZ203" i="83"/>
  <c r="AZ203" i="84"/>
  <c r="AZ203" i="85"/>
  <c r="AZ203" i="86"/>
  <c r="AZ203" i="88"/>
  <c r="AZ203" i="90"/>
  <c r="AZ203" i="87"/>
  <c r="AZ203" i="89"/>
  <c r="BB203" i="88"/>
  <c r="AR204" i="82"/>
  <c r="AR204" i="83"/>
  <c r="AR204" i="85"/>
  <c r="AR204" i="84"/>
  <c r="AR204" i="86"/>
  <c r="AR204" i="87"/>
  <c r="AR204" i="89"/>
  <c r="AR204" i="88"/>
  <c r="AR204" i="90"/>
  <c r="AV204" i="82"/>
  <c r="AV204" i="83"/>
  <c r="AV204" i="85"/>
  <c r="AV204" i="84"/>
  <c r="AV204" i="86"/>
  <c r="AV204" i="87"/>
  <c r="AV204" i="89"/>
  <c r="AV204" i="88"/>
  <c r="AV204" i="90"/>
  <c r="AW204" i="82"/>
  <c r="AW204" i="83"/>
  <c r="AW204" i="84"/>
  <c r="AW204" i="85"/>
  <c r="AW204" i="86"/>
  <c r="AW204" i="88"/>
  <c r="AW204" i="90"/>
  <c r="AW204" i="87"/>
  <c r="AW204" i="89"/>
  <c r="AX204" i="82"/>
  <c r="AX204" i="83"/>
  <c r="AX204" i="85"/>
  <c r="AX204" i="84"/>
  <c r="AX204" i="86"/>
  <c r="AX204" i="87"/>
  <c r="AX204" i="89"/>
  <c r="AX204" i="88"/>
  <c r="AX204" i="90"/>
  <c r="BA204" i="82"/>
  <c r="BA204" i="83"/>
  <c r="BA204" i="84"/>
  <c r="BA204" i="85"/>
  <c r="BA204" i="86"/>
  <c r="BA204" i="88"/>
  <c r="BA204" i="90"/>
  <c r="BA204" i="87"/>
  <c r="BA204" i="89"/>
  <c r="BC204" i="82"/>
  <c r="AQ204" i="82"/>
  <c r="BC204" i="83"/>
  <c r="AQ204" i="83"/>
  <c r="BC204" i="84"/>
  <c r="AQ204" i="84"/>
  <c r="BC204" i="85"/>
  <c r="AQ204" i="85"/>
  <c r="BC204" i="86"/>
  <c r="AQ204" i="86"/>
  <c r="BC204" i="88"/>
  <c r="AQ204" i="88"/>
  <c r="BC204" i="90"/>
  <c r="AQ204" i="90"/>
  <c r="BC204" i="87"/>
  <c r="AQ204" i="87"/>
  <c r="BC204" i="89"/>
  <c r="AQ204" i="89"/>
  <c r="AT205" i="85"/>
  <c r="AU205" i="85"/>
  <c r="AY205" i="83"/>
  <c r="AZ205" i="82"/>
  <c r="AZ205" i="89"/>
  <c r="BB205" i="82"/>
  <c r="BB205" i="83"/>
  <c r="BB205" i="84"/>
  <c r="BB205" i="85"/>
  <c r="BB205" i="86"/>
  <c r="BB205" i="88"/>
  <c r="BB205" i="90"/>
  <c r="BB205" i="87"/>
  <c r="BB205" i="89"/>
  <c r="AR206" i="82"/>
  <c r="AR206" i="83"/>
  <c r="AR206" i="85"/>
  <c r="AR206" i="84"/>
  <c r="AR206" i="86"/>
  <c r="AR206" i="87"/>
  <c r="AR206" i="89"/>
  <c r="AR206" i="88"/>
  <c r="AR206" i="90"/>
  <c r="AV206" i="82"/>
  <c r="AV206" i="83"/>
  <c r="AV206" i="85"/>
  <c r="AV206" i="84"/>
  <c r="AV206" i="86"/>
  <c r="AV206" i="87"/>
  <c r="AV206" i="89"/>
  <c r="AV206" i="88"/>
  <c r="AV206" i="90"/>
  <c r="AW206" i="82"/>
  <c r="AW206" i="83"/>
  <c r="AW206" i="84"/>
  <c r="AW206" i="85"/>
  <c r="AW206" i="86"/>
  <c r="AW206" i="88"/>
  <c r="AW206" i="90"/>
  <c r="AW206" i="87"/>
  <c r="AW206" i="89"/>
  <c r="AX206" i="82"/>
  <c r="AX206" i="83"/>
  <c r="AX206" i="85"/>
  <c r="AX206" i="84"/>
  <c r="AX206" i="86"/>
  <c r="AX206" i="87"/>
  <c r="AX206" i="89"/>
  <c r="AX206" i="88"/>
  <c r="AX206" i="90"/>
  <c r="BA206" i="82"/>
  <c r="BA206" i="83"/>
  <c r="BA206" i="84"/>
  <c r="BA206" i="85"/>
  <c r="BA206" i="86"/>
  <c r="BA206" i="88"/>
  <c r="BA206" i="90"/>
  <c r="BA206" i="87"/>
  <c r="BA206" i="89"/>
  <c r="BC206" i="82"/>
  <c r="AQ206" i="82"/>
  <c r="BC206" i="83"/>
  <c r="AQ206" i="83"/>
  <c r="BC206" i="84"/>
  <c r="AQ206" i="84"/>
  <c r="BC206" i="85"/>
  <c r="AQ206" i="85"/>
  <c r="BC206" i="86"/>
  <c r="AQ206" i="86"/>
  <c r="BC206" i="88"/>
  <c r="AQ206" i="88"/>
  <c r="BC206" i="90"/>
  <c r="AQ206" i="90"/>
  <c r="BC206" i="87"/>
  <c r="AQ206" i="87"/>
  <c r="BC206" i="89"/>
  <c r="AQ206" i="89"/>
  <c r="AT207" i="87"/>
  <c r="AU207" i="82"/>
  <c r="AU207" i="83"/>
  <c r="AU207" i="85"/>
  <c r="AU207" i="84"/>
  <c r="AU207" i="86"/>
  <c r="AU207" i="87"/>
  <c r="AU207" i="89"/>
  <c r="AU207" i="88"/>
  <c r="AU207" i="90"/>
  <c r="AY207" i="82"/>
  <c r="AY207" i="83"/>
  <c r="AY207" i="85"/>
  <c r="AY207" i="84"/>
  <c r="AY207" i="86"/>
  <c r="AY207" i="87"/>
  <c r="AY207" i="89"/>
  <c r="AY207" i="88"/>
  <c r="AY207" i="90"/>
  <c r="AZ207" i="82"/>
  <c r="AZ207" i="83"/>
  <c r="AZ207" i="84"/>
  <c r="AZ207" i="85"/>
  <c r="AZ207" i="86"/>
  <c r="AZ207" i="88"/>
  <c r="AZ207" i="90"/>
  <c r="AZ207" i="87"/>
  <c r="AZ207" i="89"/>
  <c r="BB207" i="83"/>
  <c r="AR208" i="82"/>
  <c r="AR208" i="83"/>
  <c r="AR208" i="85"/>
  <c r="AR208" i="84"/>
  <c r="AR208" i="86"/>
  <c r="AR208" i="87"/>
  <c r="AR208" i="89"/>
  <c r="AR208" i="88"/>
  <c r="AR208" i="90"/>
  <c r="AV208" i="82"/>
  <c r="AV208" i="83"/>
  <c r="AV208" i="85"/>
  <c r="AV208" i="84"/>
  <c r="AV208" i="86"/>
  <c r="AV208" i="87"/>
  <c r="AV208" i="89"/>
  <c r="AV208" i="88"/>
  <c r="AV208" i="90"/>
  <c r="AW208" i="82"/>
  <c r="AW208" i="83"/>
  <c r="AW208" i="84"/>
  <c r="AW208" i="85"/>
  <c r="AW208" i="86"/>
  <c r="AW208" i="88"/>
  <c r="AW208" i="90"/>
  <c r="AW208" i="87"/>
  <c r="AW208" i="89"/>
  <c r="AX208" i="82"/>
  <c r="AX208" i="83"/>
  <c r="AX208" i="85"/>
  <c r="AX208" i="84"/>
  <c r="AX208" i="86"/>
  <c r="AX208" i="87"/>
  <c r="AX208" i="89"/>
  <c r="AX208" i="88"/>
  <c r="AX208" i="90"/>
  <c r="BA208" i="82"/>
  <c r="BA208" i="83"/>
  <c r="BA208" i="84"/>
  <c r="BA208" i="85"/>
  <c r="BA208" i="86"/>
  <c r="BA208" i="88"/>
  <c r="BA208" i="90"/>
  <c r="BA208" i="87"/>
  <c r="BA208" i="89"/>
  <c r="BC208" i="82"/>
  <c r="AQ208" i="82"/>
  <c r="BC208" i="83"/>
  <c r="AQ208" i="83"/>
  <c r="BC208" i="84"/>
  <c r="AQ208" i="84"/>
  <c r="BC208" i="85"/>
  <c r="AQ208" i="85"/>
  <c r="BC208" i="86"/>
  <c r="AQ208" i="86"/>
  <c r="BC208" i="88"/>
  <c r="AQ208" i="88"/>
  <c r="BC208" i="90"/>
  <c r="AQ208" i="90"/>
  <c r="BC208" i="87"/>
  <c r="AQ208" i="87"/>
  <c r="BC208" i="89"/>
  <c r="AQ208" i="89"/>
  <c r="AT209" i="87"/>
  <c r="AU209" i="89"/>
  <c r="AY209" i="87"/>
  <c r="AZ209" i="86"/>
  <c r="BB209" i="82"/>
  <c r="BB209" i="83"/>
  <c r="BB209" i="84"/>
  <c r="BB209" i="85"/>
  <c r="BB209" i="86"/>
  <c r="BB209" i="88"/>
  <c r="BB209" i="90"/>
  <c r="BB209" i="87"/>
  <c r="BB209" i="89"/>
  <c r="AR210" i="82"/>
  <c r="AR210" i="83"/>
  <c r="AR210" i="85"/>
  <c r="AR210" i="84"/>
  <c r="AR210" i="86"/>
  <c r="AR210" i="87"/>
  <c r="AR210" i="89"/>
  <c r="AR210" i="88"/>
  <c r="AR210" i="90"/>
  <c r="AV210" i="82"/>
  <c r="AV210" i="83"/>
  <c r="AV210" i="85"/>
  <c r="AV210" i="84"/>
  <c r="AV210" i="86"/>
  <c r="AV210" i="87"/>
  <c r="AV210" i="89"/>
  <c r="AV210" i="88"/>
  <c r="AV210" i="90"/>
  <c r="AW210" i="82"/>
  <c r="AW210" i="83"/>
  <c r="AW210" i="84"/>
  <c r="AW210" i="85"/>
  <c r="AW210" i="86"/>
  <c r="AW210" i="88"/>
  <c r="AW210" i="90"/>
  <c r="AW210" i="87"/>
  <c r="AW210" i="89"/>
  <c r="AX210" i="82"/>
  <c r="AX210" i="83"/>
  <c r="AX210" i="85"/>
  <c r="AX210" i="84"/>
  <c r="AX210" i="86"/>
  <c r="AX210" i="87"/>
  <c r="AX210" i="89"/>
  <c r="AX210" i="88"/>
  <c r="AX210" i="90"/>
  <c r="BA210" i="82"/>
  <c r="BA210" i="83"/>
  <c r="BA210" i="84"/>
  <c r="BA210" i="85"/>
  <c r="BA210" i="86"/>
  <c r="BA210" i="88"/>
  <c r="BA210" i="90"/>
  <c r="BA210" i="87"/>
  <c r="BA210" i="89"/>
  <c r="BC210" i="82"/>
  <c r="AQ210" i="82"/>
  <c r="BC210" i="83"/>
  <c r="AQ210" i="83"/>
  <c r="BC210" i="84"/>
  <c r="AQ210" i="84"/>
  <c r="BC210" i="85"/>
  <c r="AQ210" i="85"/>
  <c r="BC210" i="86"/>
  <c r="AQ210" i="86"/>
  <c r="BC210" i="88"/>
  <c r="AQ210" i="88"/>
  <c r="BC210" i="90"/>
  <c r="AQ210" i="90"/>
  <c r="BC210" i="87"/>
  <c r="AQ210" i="87"/>
  <c r="BC210" i="89"/>
  <c r="AQ210" i="89"/>
  <c r="AT211" i="85"/>
  <c r="AU211" i="85"/>
  <c r="AY211" i="83"/>
  <c r="AZ211" i="82"/>
  <c r="AZ211" i="89"/>
  <c r="BB211" i="82"/>
  <c r="BB211" i="83"/>
  <c r="BB211" i="84"/>
  <c r="BB211" i="85"/>
  <c r="BB211" i="86"/>
  <c r="BB211" i="88"/>
  <c r="BB211" i="90"/>
  <c r="BB211" i="87"/>
  <c r="BB211" i="89"/>
  <c r="AR212" i="82"/>
  <c r="AR212" i="83"/>
  <c r="AR212" i="85"/>
  <c r="AR212" i="84"/>
  <c r="AR212" i="86"/>
  <c r="AR212" i="87"/>
  <c r="AR212" i="89"/>
  <c r="AR212" i="88"/>
  <c r="AR212" i="90"/>
  <c r="AV212" i="82"/>
  <c r="AV212" i="83"/>
  <c r="AV212" i="85"/>
  <c r="AV212" i="84"/>
  <c r="AV212" i="86"/>
  <c r="AV212" i="87"/>
  <c r="AV212" i="89"/>
  <c r="AV212" i="88"/>
  <c r="AV212" i="90"/>
  <c r="AW212" i="82"/>
  <c r="AW212" i="83"/>
  <c r="AW212" i="84"/>
  <c r="AW212" i="85"/>
  <c r="AW212" i="86"/>
  <c r="AW212" i="88"/>
  <c r="AW212" i="90"/>
  <c r="AW212" i="87"/>
  <c r="AW212" i="89"/>
  <c r="AX212" i="82"/>
  <c r="AX212" i="83"/>
  <c r="AX212" i="85"/>
  <c r="AX212" i="84"/>
  <c r="AX212" i="86"/>
  <c r="AX212" i="87"/>
  <c r="AX212" i="89"/>
  <c r="AX212" i="88"/>
  <c r="AX212" i="90"/>
  <c r="BA212" i="82"/>
  <c r="BA212" i="83"/>
  <c r="BA212" i="84"/>
  <c r="BA212" i="85"/>
  <c r="BA212" i="86"/>
  <c r="BA212" i="88"/>
  <c r="BA212" i="90"/>
  <c r="BA212" i="87"/>
  <c r="BA212" i="89"/>
  <c r="BC212" i="82"/>
  <c r="AQ212" i="82"/>
  <c r="BC212" i="83"/>
  <c r="AQ212" i="83"/>
  <c r="BC212" i="84"/>
  <c r="AQ212" i="84"/>
  <c r="BC212" i="85"/>
  <c r="AQ212" i="85"/>
  <c r="BC212" i="86"/>
  <c r="AQ212" i="86"/>
  <c r="BC212" i="88"/>
  <c r="AQ212" i="88"/>
  <c r="BC212" i="90"/>
  <c r="AQ212" i="90"/>
  <c r="BC212" i="87"/>
  <c r="AQ212" i="87"/>
  <c r="BC212" i="89"/>
  <c r="AQ212" i="89"/>
  <c r="AT213" i="87"/>
  <c r="AU213" i="82"/>
  <c r="AU213" i="83"/>
  <c r="AU213" i="85"/>
  <c r="AU213" i="84"/>
  <c r="AU213" i="86"/>
  <c r="AU213" i="87"/>
  <c r="AU213" i="89"/>
  <c r="AU213" i="88"/>
  <c r="AU213" i="90"/>
  <c r="AY213" i="82"/>
  <c r="AY213" i="83"/>
  <c r="AY213" i="85"/>
  <c r="AY213" i="84"/>
  <c r="AY213" i="86"/>
  <c r="AY213" i="87"/>
  <c r="AY213" i="89"/>
  <c r="AY213" i="88"/>
  <c r="AY213" i="90"/>
  <c r="AZ213" i="82"/>
  <c r="AZ213" i="83"/>
  <c r="AZ213" i="84"/>
  <c r="AZ213" i="85"/>
  <c r="AZ213" i="86"/>
  <c r="AZ213" i="88"/>
  <c r="AZ213" i="90"/>
  <c r="AZ213" i="87"/>
  <c r="AZ213" i="89"/>
  <c r="BB213" i="83"/>
  <c r="AR214" i="82"/>
  <c r="AR214" i="83"/>
  <c r="AR214" i="85"/>
  <c r="AR214" i="84"/>
  <c r="AR214" i="86"/>
  <c r="AR214" i="87"/>
  <c r="AR214" i="89"/>
  <c r="AR214" i="88"/>
  <c r="AR214" i="90"/>
  <c r="AV214" i="82"/>
  <c r="AV214" i="83"/>
  <c r="AV214" i="85"/>
  <c r="AV214" i="84"/>
  <c r="AV214" i="86"/>
  <c r="AV214" i="87"/>
  <c r="AV214" i="89"/>
  <c r="AV214" i="88"/>
  <c r="AV214" i="90"/>
  <c r="AW214" i="82"/>
  <c r="AW214" i="83"/>
  <c r="AW214" i="84"/>
  <c r="AW214" i="85"/>
  <c r="AW214" i="86"/>
  <c r="AW214" i="88"/>
  <c r="AW214" i="90"/>
  <c r="AW214" i="87"/>
  <c r="AW214" i="89"/>
  <c r="AX214" i="82"/>
  <c r="AX214" i="83"/>
  <c r="AX214" i="85"/>
  <c r="AX214" i="84"/>
  <c r="AX214" i="86"/>
  <c r="AX214" i="87"/>
  <c r="AX214" i="89"/>
  <c r="AX214" i="88"/>
  <c r="AX214" i="90"/>
  <c r="BA214" i="82"/>
  <c r="BA214" i="83"/>
  <c r="BA214" i="84"/>
  <c r="BA214" i="85"/>
  <c r="BA214" i="86"/>
  <c r="BA214" i="88"/>
  <c r="BA214" i="90"/>
  <c r="BA214" i="87"/>
  <c r="BA214" i="89"/>
  <c r="BC214" i="82"/>
  <c r="AQ214" i="82"/>
  <c r="BC214" i="83"/>
  <c r="AQ214" i="83"/>
  <c r="BC214" i="84"/>
  <c r="AQ214" i="84"/>
  <c r="BC214" i="85"/>
  <c r="AQ214" i="85"/>
  <c r="BC214" i="86"/>
  <c r="AQ214" i="86"/>
  <c r="BC214" i="88"/>
  <c r="AQ214" i="88"/>
  <c r="BC214" i="90"/>
  <c r="AQ214" i="90"/>
  <c r="BC214" i="87"/>
  <c r="AQ214" i="87"/>
  <c r="BC214" i="89"/>
  <c r="AQ214" i="89"/>
  <c r="AT215" i="87"/>
  <c r="AU215" i="89"/>
  <c r="AY215" i="87"/>
  <c r="AZ215" i="86"/>
  <c r="BB215" i="85"/>
  <c r="AR216" i="82"/>
  <c r="AR216" i="83"/>
  <c r="AR216" i="85"/>
  <c r="AR216" i="84"/>
  <c r="AR216" i="86"/>
  <c r="AR216" i="87"/>
  <c r="AR216" i="89"/>
  <c r="AR216" i="88"/>
  <c r="AR216" i="90"/>
  <c r="AV216" i="82"/>
  <c r="AV216" i="83"/>
  <c r="AV216" i="85"/>
  <c r="AV216" i="84"/>
  <c r="AV216" i="86"/>
  <c r="AV216" i="87"/>
  <c r="AV216" i="89"/>
  <c r="AV216" i="88"/>
  <c r="AV216" i="90"/>
  <c r="AW216" i="82"/>
  <c r="AW216" i="83"/>
  <c r="AW216" i="84"/>
  <c r="AW216" i="85"/>
  <c r="AW216" i="86"/>
  <c r="AW216" i="88"/>
  <c r="AW216" i="90"/>
  <c r="AW216" i="87"/>
  <c r="AW216" i="89"/>
  <c r="AX216" i="82"/>
  <c r="AX216" i="83"/>
  <c r="AX216" i="85"/>
  <c r="AX216" i="84"/>
  <c r="AX216" i="86"/>
  <c r="AX216" i="87"/>
  <c r="AX216" i="89"/>
  <c r="AX216" i="88"/>
  <c r="AX216" i="90"/>
  <c r="BA216" i="82"/>
  <c r="BA216" i="83"/>
  <c r="BA216" i="84"/>
  <c r="BA216" i="85"/>
  <c r="BA216" i="86"/>
  <c r="BA216" i="88"/>
  <c r="BA216" i="90"/>
  <c r="BA216" i="87"/>
  <c r="BA216" i="89"/>
  <c r="BC216" i="82"/>
  <c r="AQ216" i="82"/>
  <c r="BC216" i="83"/>
  <c r="AQ216" i="83"/>
  <c r="BC216" i="84"/>
  <c r="AQ216" i="84"/>
  <c r="BC216" i="85"/>
  <c r="AQ216" i="85"/>
  <c r="BC216" i="86"/>
  <c r="AQ216" i="86"/>
  <c r="BC216" i="87"/>
  <c r="AQ216" i="87"/>
  <c r="BC216" i="88"/>
  <c r="AQ216" i="88"/>
  <c r="BC216" i="90"/>
  <c r="AQ216" i="90"/>
  <c r="BC216" i="89"/>
  <c r="AQ216" i="89"/>
  <c r="AT217" i="87"/>
  <c r="AU217" i="82"/>
  <c r="AU217" i="83"/>
  <c r="AU217" i="85"/>
  <c r="AU217" i="84"/>
  <c r="AU217" i="86"/>
  <c r="AU217" i="87"/>
  <c r="AU217" i="89"/>
  <c r="AU217" i="88"/>
  <c r="AU217" i="90"/>
  <c r="AY217" i="84"/>
  <c r="AZ217" i="82"/>
  <c r="AZ217" i="83"/>
  <c r="AZ217" i="84"/>
  <c r="AZ217" i="85"/>
  <c r="AZ217" i="86"/>
  <c r="AZ217" i="88"/>
  <c r="AZ217" i="90"/>
  <c r="AZ217" i="87"/>
  <c r="AZ217" i="89"/>
  <c r="BB217" i="87"/>
  <c r="AR218" i="82"/>
  <c r="AR218" i="83"/>
  <c r="AR218" i="85"/>
  <c r="AR218" i="84"/>
  <c r="AR218" i="86"/>
  <c r="AR218" i="87"/>
  <c r="AR218" i="89"/>
  <c r="AR218" i="88"/>
  <c r="AR218" i="90"/>
  <c r="AV218" i="82"/>
  <c r="AV218" i="83"/>
  <c r="AV218" i="85"/>
  <c r="AV218" i="84"/>
  <c r="AV218" i="86"/>
  <c r="AV218" i="87"/>
  <c r="AV218" i="89"/>
  <c r="AV218" i="88"/>
  <c r="AV218" i="90"/>
  <c r="AW218" i="82"/>
  <c r="AW218" i="83"/>
  <c r="AW218" i="84"/>
  <c r="AW218" i="85"/>
  <c r="AW218" i="86"/>
  <c r="AW218" i="87"/>
  <c r="AW218" i="88"/>
  <c r="AW218" i="90"/>
  <c r="AW218" i="89"/>
  <c r="AX218" i="82"/>
  <c r="AX218" i="83"/>
  <c r="AX218" i="85"/>
  <c r="AX218" i="84"/>
  <c r="AX218" i="86"/>
  <c r="AX218" i="87"/>
  <c r="AX218" i="89"/>
  <c r="AX218" i="88"/>
  <c r="AX218" i="90"/>
  <c r="BA218" i="82"/>
  <c r="BA218" i="83"/>
  <c r="BA218" i="84"/>
  <c r="BA218" i="85"/>
  <c r="BA218" i="86"/>
  <c r="BA218" i="87"/>
  <c r="BA218" i="88"/>
  <c r="BA218" i="90"/>
  <c r="BA218" i="89"/>
  <c r="BC218" i="82"/>
  <c r="AQ218" i="82"/>
  <c r="BC218" i="83"/>
  <c r="AQ218" i="83"/>
  <c r="BC218" i="84"/>
  <c r="AQ218" i="84"/>
  <c r="BC218" i="85"/>
  <c r="AQ218" i="85"/>
  <c r="BC218" i="86"/>
  <c r="AQ218" i="86"/>
  <c r="BC218" i="88"/>
  <c r="AQ218" i="88"/>
  <c r="BC218" i="90"/>
  <c r="AQ218" i="90"/>
  <c r="BC218" i="87"/>
  <c r="AQ218" i="87"/>
  <c r="BC218" i="89"/>
  <c r="AQ218" i="89"/>
  <c r="AT219" i="85"/>
  <c r="AU219" i="82"/>
  <c r="AU219" i="83"/>
  <c r="AU219" i="85"/>
  <c r="AU219" i="84"/>
  <c r="AU219" i="86"/>
  <c r="AU219" i="87"/>
  <c r="AU219" i="89"/>
  <c r="AU219" i="88"/>
  <c r="AU219" i="90"/>
  <c r="AY219" i="87"/>
  <c r="AZ219" i="82"/>
  <c r="AZ219" i="83"/>
  <c r="AZ219" i="84"/>
  <c r="AZ219" i="85"/>
  <c r="AZ219" i="86"/>
  <c r="AZ219" i="87"/>
  <c r="AZ219" i="88"/>
  <c r="AZ219" i="90"/>
  <c r="AZ219" i="89"/>
  <c r="BB219" i="85"/>
  <c r="AR220" i="82"/>
  <c r="AR220" i="83"/>
  <c r="AR220" i="85"/>
  <c r="AR220" i="84"/>
  <c r="AR220" i="86"/>
  <c r="AR220" i="87"/>
  <c r="AR220" i="89"/>
  <c r="AR220" i="88"/>
  <c r="AR220" i="90"/>
  <c r="AV220" i="82"/>
  <c r="AV220" i="83"/>
  <c r="AV220" i="85"/>
  <c r="AV220" i="84"/>
  <c r="AV220" i="86"/>
  <c r="AV220" i="87"/>
  <c r="AV220" i="89"/>
  <c r="AV220" i="88"/>
  <c r="AV220" i="90"/>
  <c r="AW220" i="82"/>
  <c r="AW220" i="83"/>
  <c r="AW220" i="84"/>
  <c r="AW220" i="85"/>
  <c r="AW220" i="86"/>
  <c r="AW220" i="88"/>
  <c r="AW220" i="90"/>
  <c r="AW220" i="87"/>
  <c r="AW220" i="89"/>
  <c r="AX220" i="82"/>
  <c r="AX220" i="83"/>
  <c r="AX220" i="85"/>
  <c r="AX220" i="84"/>
  <c r="AX220" i="86"/>
  <c r="AX220" i="87"/>
  <c r="AX220" i="89"/>
  <c r="AX220" i="88"/>
  <c r="AX220" i="90"/>
  <c r="BA220" i="82"/>
  <c r="BA220" i="83"/>
  <c r="BA220" i="84"/>
  <c r="BA220" i="85"/>
  <c r="BA220" i="86"/>
  <c r="BA220" i="88"/>
  <c r="BA220" i="90"/>
  <c r="BA220" i="87"/>
  <c r="BA220" i="89"/>
  <c r="BC220" i="82"/>
  <c r="AQ220" i="82"/>
  <c r="BC220" i="83"/>
  <c r="AQ220" i="83"/>
  <c r="BC220" i="84"/>
  <c r="AQ220" i="84"/>
  <c r="BC220" i="85"/>
  <c r="AQ220" i="85"/>
  <c r="BC220" i="86"/>
  <c r="AQ220" i="86"/>
  <c r="BC220" i="87"/>
  <c r="AQ220" i="87"/>
  <c r="BC220" i="88"/>
  <c r="AQ220" i="88"/>
  <c r="BC220" i="90"/>
  <c r="AQ220" i="90"/>
  <c r="BC220" i="89"/>
  <c r="AQ220" i="89"/>
  <c r="AT221" i="87"/>
  <c r="AU221" i="82"/>
  <c r="AU221" i="83"/>
  <c r="AU221" i="85"/>
  <c r="AU221" i="84"/>
  <c r="AU221" i="86"/>
  <c r="AU221" i="87"/>
  <c r="AU221" i="89"/>
  <c r="AU221" i="88"/>
  <c r="AU221" i="90"/>
  <c r="AY221" i="84"/>
  <c r="AZ221" i="82"/>
  <c r="AZ221" i="83"/>
  <c r="AZ221" i="84"/>
  <c r="AZ221" i="85"/>
  <c r="AZ221" i="86"/>
  <c r="AZ221" i="88"/>
  <c r="AZ221" i="90"/>
  <c r="AZ221" i="87"/>
  <c r="AZ221" i="89"/>
  <c r="BB221" i="87"/>
  <c r="AR222" i="82"/>
  <c r="AR222" i="83"/>
  <c r="AR222" i="85"/>
  <c r="AR222" i="84"/>
  <c r="AR222" i="86"/>
  <c r="AR222" i="87"/>
  <c r="AR222" i="89"/>
  <c r="AR222" i="88"/>
  <c r="AR222" i="90"/>
  <c r="AV222" i="82"/>
  <c r="AV222" i="83"/>
  <c r="AV222" i="85"/>
  <c r="AV222" i="84"/>
  <c r="AV222" i="86"/>
  <c r="AV222" i="87"/>
  <c r="AV222" i="89"/>
  <c r="AV222" i="88"/>
  <c r="AV222" i="90"/>
  <c r="AW222" i="82"/>
  <c r="AW222" i="83"/>
  <c r="AW222" i="84"/>
  <c r="AW222" i="85"/>
  <c r="AW222" i="86"/>
  <c r="AW222" i="87"/>
  <c r="AW222" i="88"/>
  <c r="AW222" i="90"/>
  <c r="AW222" i="89"/>
  <c r="AX222" i="82"/>
  <c r="AX222" i="83"/>
  <c r="AX222" i="85"/>
  <c r="AX222" i="84"/>
  <c r="AX222" i="86"/>
  <c r="AX222" i="87"/>
  <c r="AX222" i="89"/>
  <c r="AX222" i="88"/>
  <c r="AX222" i="90"/>
  <c r="BA222" i="82"/>
  <c r="BA222" i="83"/>
  <c r="BA222" i="84"/>
  <c r="BA222" i="85"/>
  <c r="BA222" i="86"/>
  <c r="BA222" i="87"/>
  <c r="BA222" i="88"/>
  <c r="BA222" i="90"/>
  <c r="BA222" i="89"/>
  <c r="BC222" i="82"/>
  <c r="AQ222" i="82"/>
  <c r="BC222" i="83"/>
  <c r="AQ222" i="83"/>
  <c r="BC222" i="84"/>
  <c r="AQ222" i="84"/>
  <c r="BC222" i="85"/>
  <c r="AQ222" i="85"/>
  <c r="BC222" i="86"/>
  <c r="AQ222" i="86"/>
  <c r="BC222" i="88"/>
  <c r="AQ222" i="88"/>
  <c r="BC222" i="90"/>
  <c r="AQ222" i="90"/>
  <c r="BC222" i="87"/>
  <c r="AQ222" i="87"/>
  <c r="BC222" i="89"/>
  <c r="AQ222" i="89"/>
  <c r="AT223" i="85"/>
  <c r="AU223" i="82"/>
  <c r="AU223" i="83"/>
  <c r="AU223" i="85"/>
  <c r="AU223" i="84"/>
  <c r="AU223" i="86"/>
  <c r="AU223" i="87"/>
  <c r="AU223" i="89"/>
  <c r="AU223" i="88"/>
  <c r="AU223" i="90"/>
  <c r="AY223" i="87"/>
  <c r="AZ223" i="82"/>
  <c r="AZ223" i="83"/>
  <c r="AZ223" i="84"/>
  <c r="AZ223" i="85"/>
  <c r="AZ223" i="86"/>
  <c r="AZ223" i="87"/>
  <c r="AZ223" i="88"/>
  <c r="AZ223" i="90"/>
  <c r="AZ223" i="89"/>
  <c r="BB223" i="85"/>
  <c r="AR224" i="82"/>
  <c r="AR224" i="83"/>
  <c r="AR224" i="85"/>
  <c r="AR224" i="84"/>
  <c r="AR224" i="86"/>
  <c r="AR224" i="87"/>
  <c r="AR224" i="89"/>
  <c r="AR224" i="88"/>
  <c r="AR224" i="90"/>
  <c r="AV224" i="82"/>
  <c r="AV224" i="83"/>
  <c r="AV224" i="85"/>
  <c r="AV224" i="84"/>
  <c r="AV224" i="86"/>
  <c r="AV224" i="87"/>
  <c r="AV224" i="89"/>
  <c r="AV224" i="88"/>
  <c r="AV224" i="90"/>
  <c r="AW224" i="82"/>
  <c r="AW224" i="83"/>
  <c r="AW224" i="84"/>
  <c r="AW224" i="85"/>
  <c r="AW224" i="86"/>
  <c r="AW224" i="88"/>
  <c r="AW224" i="90"/>
  <c r="AW224" i="87"/>
  <c r="AW224" i="89"/>
  <c r="AX224" i="82"/>
  <c r="AX224" i="83"/>
  <c r="AX224" i="85"/>
  <c r="AX224" i="84"/>
  <c r="AX224" i="86"/>
  <c r="AX224" i="87"/>
  <c r="AX224" i="89"/>
  <c r="AX224" i="88"/>
  <c r="AX224" i="90"/>
  <c r="BA224" i="82"/>
  <c r="BA224" i="83"/>
  <c r="BA224" i="84"/>
  <c r="BA224" i="85"/>
  <c r="BA224" i="86"/>
  <c r="BA224" i="88"/>
  <c r="BA224" i="90"/>
  <c r="BA224" i="87"/>
  <c r="BA224" i="89"/>
  <c r="BC224" i="82"/>
  <c r="AQ224" i="82"/>
  <c r="BC224" i="83"/>
  <c r="AQ224" i="83"/>
  <c r="BC224" i="84"/>
  <c r="AQ224" i="84"/>
  <c r="BC224" i="85"/>
  <c r="AQ224" i="85"/>
  <c r="BC224" i="86"/>
  <c r="AQ224" i="86"/>
  <c r="BC224" i="87"/>
  <c r="AQ224" i="87"/>
  <c r="BC224" i="88"/>
  <c r="AQ224" i="88"/>
  <c r="BC224" i="90"/>
  <c r="AQ224" i="90"/>
  <c r="BC224" i="89"/>
  <c r="AQ224" i="89"/>
  <c r="AT225" i="87"/>
  <c r="AU225" i="86"/>
  <c r="AY225" i="84"/>
  <c r="AZ225" i="84"/>
  <c r="BB225" i="82"/>
  <c r="BB225" i="83"/>
  <c r="BB225" i="84"/>
  <c r="BB225" i="85"/>
  <c r="BB225" i="86"/>
  <c r="BB225" i="87"/>
  <c r="BB225" i="88"/>
  <c r="BB225" i="90"/>
  <c r="BB225" i="89"/>
  <c r="AR226" i="82"/>
  <c r="AR226" i="83"/>
  <c r="AR226" i="85"/>
  <c r="AR226" i="84"/>
  <c r="AR226" i="86"/>
  <c r="AR226" i="87"/>
  <c r="AR226" i="89"/>
  <c r="AR226" i="88"/>
  <c r="AR226" i="90"/>
  <c r="AV226" i="82"/>
  <c r="AV226" i="83"/>
  <c r="AV226" i="85"/>
  <c r="AV226" i="84"/>
  <c r="AV226" i="86"/>
  <c r="AV226" i="87"/>
  <c r="AV226" i="89"/>
  <c r="AV226" i="88"/>
  <c r="AV226" i="90"/>
  <c r="AW226" i="82"/>
  <c r="AW226" i="83"/>
  <c r="AW226" i="84"/>
  <c r="AW226" i="85"/>
  <c r="AW226" i="86"/>
  <c r="AW226" i="87"/>
  <c r="AW226" i="88"/>
  <c r="AW226" i="90"/>
  <c r="AW226" i="89"/>
  <c r="AX226" i="82"/>
  <c r="AX226" i="83"/>
  <c r="AX226" i="85"/>
  <c r="AX226" i="84"/>
  <c r="AX226" i="86"/>
  <c r="AX226" i="87"/>
  <c r="AX226" i="89"/>
  <c r="AX226" i="88"/>
  <c r="AX226" i="90"/>
  <c r="BA226" i="82"/>
  <c r="BA226" i="83"/>
  <c r="BA226" i="84"/>
  <c r="BA226" i="85"/>
  <c r="BA226" i="86"/>
  <c r="BA226" i="87"/>
  <c r="BA226" i="88"/>
  <c r="BA226" i="90"/>
  <c r="BA226" i="89"/>
  <c r="BC226" i="82"/>
  <c r="AQ226" i="82"/>
  <c r="BC226" i="83"/>
  <c r="AQ226" i="83"/>
  <c r="BC226" i="84"/>
  <c r="AQ226" i="84"/>
  <c r="BC226" i="85"/>
  <c r="AQ226" i="85"/>
  <c r="BC226" i="86"/>
  <c r="AQ226" i="86"/>
  <c r="BC226" i="88"/>
  <c r="AQ226" i="88"/>
  <c r="BC226" i="90"/>
  <c r="AQ226" i="90"/>
  <c r="BC226" i="87"/>
  <c r="AQ226" i="87"/>
  <c r="BC226" i="89"/>
  <c r="AQ226" i="89"/>
  <c r="AT227" i="83"/>
  <c r="AU227" i="82"/>
  <c r="AU227" i="83"/>
  <c r="AU227" i="85"/>
  <c r="AU227" i="84"/>
  <c r="AU227" i="86"/>
  <c r="AU227" i="87"/>
  <c r="AU227" i="89"/>
  <c r="AU227" i="88"/>
  <c r="AU227" i="90"/>
  <c r="AY227" i="82"/>
  <c r="AY227" i="83"/>
  <c r="AY227" i="85"/>
  <c r="AY227" i="84"/>
  <c r="AY227" i="86"/>
  <c r="AY227" i="87"/>
  <c r="AY227" i="89"/>
  <c r="AY227" i="88"/>
  <c r="AY227" i="90"/>
  <c r="AZ227" i="82"/>
  <c r="AZ227" i="83"/>
  <c r="AZ227" i="84"/>
  <c r="AZ227" i="85"/>
  <c r="AZ227" i="87"/>
  <c r="AZ227" i="86"/>
  <c r="AZ227" i="88"/>
  <c r="AZ227" i="90"/>
  <c r="AZ227" i="89"/>
  <c r="BB227" i="90"/>
  <c r="AR228" i="82"/>
  <c r="AR228" i="83"/>
  <c r="AR228" i="85"/>
  <c r="AR228" i="84"/>
  <c r="AR228" i="86"/>
  <c r="AR228" i="87"/>
  <c r="AR228" i="89"/>
  <c r="AR228" i="88"/>
  <c r="AR228" i="90"/>
  <c r="AV228" i="82"/>
  <c r="AV228" i="83"/>
  <c r="AV228" i="85"/>
  <c r="AV228" i="84"/>
  <c r="AV228" i="86"/>
  <c r="AV228" i="87"/>
  <c r="AV228" i="89"/>
  <c r="AV228" i="88"/>
  <c r="AV228" i="90"/>
  <c r="AW228" i="82"/>
  <c r="AW228" i="83"/>
  <c r="AW228" i="84"/>
  <c r="AW228" i="85"/>
  <c r="AW228" i="87"/>
  <c r="AW228" i="86"/>
  <c r="AW228" i="88"/>
  <c r="AW228" i="90"/>
  <c r="AW228" i="89"/>
  <c r="AX228" i="82"/>
  <c r="AX228" i="83"/>
  <c r="AX228" i="85"/>
  <c r="AX228" i="84"/>
  <c r="AX228" i="86"/>
  <c r="AX228" i="87"/>
  <c r="AX228" i="89"/>
  <c r="AX228" i="88"/>
  <c r="AX228" i="90"/>
  <c r="BA228" i="82"/>
  <c r="BA228" i="83"/>
  <c r="BA228" i="84"/>
  <c r="BA228" i="85"/>
  <c r="BA228" i="87"/>
  <c r="BA228" i="86"/>
  <c r="BA228" i="88"/>
  <c r="BA228" i="90"/>
  <c r="BA228" i="89"/>
  <c r="BC228" i="82"/>
  <c r="AQ228" i="82"/>
  <c r="BC228" i="83"/>
  <c r="AQ228" i="83"/>
  <c r="BC228" i="84"/>
  <c r="AQ228" i="84"/>
  <c r="BC228" i="85"/>
  <c r="AQ228" i="85"/>
  <c r="BC228" i="87"/>
  <c r="AQ228" i="87"/>
  <c r="BC228" i="86"/>
  <c r="AQ228" i="86"/>
  <c r="BC228" i="88"/>
  <c r="AQ228" i="88"/>
  <c r="BC228" i="90"/>
  <c r="AQ228" i="90"/>
  <c r="BC228" i="89"/>
  <c r="AQ228" i="89"/>
  <c r="AT229" i="83"/>
  <c r="AU229" i="82"/>
  <c r="AU229" i="90"/>
  <c r="AY229" i="88"/>
  <c r="AZ229" i="88"/>
  <c r="BB229" i="82"/>
  <c r="BB229" i="83"/>
  <c r="BB229" i="84"/>
  <c r="BB229" i="85"/>
  <c r="BB229" i="87"/>
  <c r="BB229" i="86"/>
  <c r="BB229" i="88"/>
  <c r="BB229" i="90"/>
  <c r="BB229" i="89"/>
  <c r="AR230" i="82"/>
  <c r="AR230" i="83"/>
  <c r="AR230" i="85"/>
  <c r="AR230" i="84"/>
  <c r="AR230" i="86"/>
  <c r="AR230" i="87"/>
  <c r="AR230" i="89"/>
  <c r="AR230" i="88"/>
  <c r="AR230" i="90"/>
  <c r="AV230" i="82"/>
  <c r="AV230" i="83"/>
  <c r="AV230" i="85"/>
  <c r="AV230" i="84"/>
  <c r="AV230" i="86"/>
  <c r="AV230" i="87"/>
  <c r="AV230" i="89"/>
  <c r="AV230" i="88"/>
  <c r="AV230" i="90"/>
  <c r="AW230" i="82"/>
  <c r="AW230" i="83"/>
  <c r="AW230" i="84"/>
  <c r="AW230" i="85"/>
  <c r="AW230" i="87"/>
  <c r="AW230" i="86"/>
  <c r="AW230" i="88"/>
  <c r="AW230" i="90"/>
  <c r="AW230" i="89"/>
  <c r="AX230" i="82"/>
  <c r="AX230" i="83"/>
  <c r="AX230" i="85"/>
  <c r="AX230" i="84"/>
  <c r="AX230" i="86"/>
  <c r="AX230" i="87"/>
  <c r="AX230" i="89"/>
  <c r="AX230" i="88"/>
  <c r="AX230" i="90"/>
  <c r="BA230" i="82"/>
  <c r="BA230" i="83"/>
  <c r="BA230" i="84"/>
  <c r="BA230" i="85"/>
  <c r="BA230" i="87"/>
  <c r="BA230" i="86"/>
  <c r="BA230" i="88"/>
  <c r="BA230" i="90"/>
  <c r="BA230" i="89"/>
  <c r="BC230" i="82"/>
  <c r="AQ230" i="82"/>
  <c r="BC230" i="83"/>
  <c r="AQ230" i="83"/>
  <c r="BC230" i="84"/>
  <c r="AQ230" i="84"/>
  <c r="BC230" i="85"/>
  <c r="AQ230" i="85"/>
  <c r="BC230" i="87"/>
  <c r="AQ230" i="87"/>
  <c r="BC230" i="86"/>
  <c r="AQ230" i="86"/>
  <c r="BC230" i="88"/>
  <c r="AQ230" i="88"/>
  <c r="BC230" i="90"/>
  <c r="AQ230" i="90"/>
  <c r="BC230" i="89"/>
  <c r="AQ230" i="89"/>
  <c r="AT231" i="86"/>
  <c r="AU231" i="82"/>
  <c r="AU231" i="83"/>
  <c r="AU231" i="85"/>
  <c r="AU231" i="84"/>
  <c r="AU231" i="86"/>
  <c r="AU231" i="87"/>
  <c r="AU231" i="89"/>
  <c r="AU231" i="88"/>
  <c r="AU231" i="90"/>
  <c r="AY231" i="82"/>
  <c r="AY231" i="83"/>
  <c r="AY231" i="85"/>
  <c r="AY231" i="84"/>
  <c r="AY231" i="86"/>
  <c r="AY231" i="87"/>
  <c r="AY231" i="89"/>
  <c r="AY231" i="88"/>
  <c r="AY231" i="90"/>
  <c r="AZ231" i="82"/>
  <c r="AZ231" i="83"/>
  <c r="AZ231" i="84"/>
  <c r="AZ231" i="85"/>
  <c r="AZ231" i="87"/>
  <c r="AZ231" i="86"/>
  <c r="AZ231" i="88"/>
  <c r="AZ231" i="90"/>
  <c r="AZ231" i="89"/>
  <c r="BB231" i="85"/>
  <c r="AR232" i="82"/>
  <c r="AR232" i="83"/>
  <c r="AR232" i="85"/>
  <c r="AR232" i="84"/>
  <c r="AR232" i="86"/>
  <c r="AR232" i="87"/>
  <c r="AR232" i="89"/>
  <c r="AR232" i="88"/>
  <c r="AR232" i="90"/>
  <c r="AV232" i="82"/>
  <c r="AV232" i="83"/>
  <c r="AV232" i="85"/>
  <c r="AV232" i="84"/>
  <c r="AV232" i="86"/>
  <c r="AV232" i="87"/>
  <c r="AV232" i="89"/>
  <c r="AV232" i="88"/>
  <c r="AV232" i="90"/>
  <c r="AW232" i="82"/>
  <c r="AW232" i="83"/>
  <c r="AW232" i="84"/>
  <c r="AW232" i="85"/>
  <c r="AW232" i="87"/>
  <c r="AW232" i="86"/>
  <c r="AW232" i="88"/>
  <c r="AW232" i="90"/>
  <c r="AW232" i="89"/>
  <c r="AX232" i="82"/>
  <c r="AX232" i="83"/>
  <c r="AX232" i="85"/>
  <c r="AX232" i="84"/>
  <c r="AX232" i="86"/>
  <c r="AX232" i="87"/>
  <c r="AX232" i="89"/>
  <c r="AX232" i="88"/>
  <c r="AX232" i="90"/>
  <c r="BA232" i="82"/>
  <c r="BA232" i="83"/>
  <c r="BA232" i="84"/>
  <c r="BA232" i="85"/>
  <c r="BA232" i="87"/>
  <c r="BA232" i="86"/>
  <c r="BA232" i="88"/>
  <c r="BA232" i="90"/>
  <c r="BA232" i="89"/>
  <c r="BC232" i="82"/>
  <c r="AQ232" i="82"/>
  <c r="BC232" i="83"/>
  <c r="AQ232" i="83"/>
  <c r="BC232" i="84"/>
  <c r="AQ232" i="84"/>
  <c r="BC232" i="85"/>
  <c r="AQ232" i="85"/>
  <c r="BC232" i="87"/>
  <c r="AQ232" i="87"/>
  <c r="BC232" i="86"/>
  <c r="AQ232" i="86"/>
  <c r="BC232" i="88"/>
  <c r="AQ232" i="88"/>
  <c r="BC232" i="90"/>
  <c r="AQ232" i="90"/>
  <c r="BC232" i="89"/>
  <c r="AQ232" i="89"/>
  <c r="AT233" i="86"/>
  <c r="AU233" i="86"/>
  <c r="AY233" i="84"/>
  <c r="AZ233" i="84"/>
  <c r="BB233" i="82"/>
  <c r="BB233" i="83"/>
  <c r="BB233" i="84"/>
  <c r="BB233" i="85"/>
  <c r="BB233" i="87"/>
  <c r="BB233" i="86"/>
  <c r="BB233" i="88"/>
  <c r="BB233" i="90"/>
  <c r="BB233" i="89"/>
  <c r="AR234" i="82"/>
  <c r="AR234" i="83"/>
  <c r="AR234" i="85"/>
  <c r="AR234" i="84"/>
  <c r="AR234" i="86"/>
  <c r="AR234" i="87"/>
  <c r="AR234" i="89"/>
  <c r="AR234" i="88"/>
  <c r="AR234" i="90"/>
  <c r="AV234" i="82"/>
  <c r="AV234" i="83"/>
  <c r="AV234" i="85"/>
  <c r="AV234" i="84"/>
  <c r="AV234" i="86"/>
  <c r="AV234" i="87"/>
  <c r="AV234" i="89"/>
  <c r="AV234" i="88"/>
  <c r="AV234" i="90"/>
  <c r="AW234" i="82"/>
  <c r="AW234" i="83"/>
  <c r="AW234" i="84"/>
  <c r="AW234" i="85"/>
  <c r="AW234" i="87"/>
  <c r="AW234" i="86"/>
  <c r="AW234" i="88"/>
  <c r="AW234" i="90"/>
  <c r="AW234" i="89"/>
  <c r="AX234" i="82"/>
  <c r="AX234" i="83"/>
  <c r="AX234" i="85"/>
  <c r="AX234" i="84"/>
  <c r="AX234" i="86"/>
  <c r="AX234" i="87"/>
  <c r="AX234" i="89"/>
  <c r="AX234" i="88"/>
  <c r="AX234" i="90"/>
  <c r="BA234" i="82"/>
  <c r="BA234" i="83"/>
  <c r="BA234" i="84"/>
  <c r="BA234" i="85"/>
  <c r="BA234" i="87"/>
  <c r="BA234" i="86"/>
  <c r="BA234" i="88"/>
  <c r="BA234" i="90"/>
  <c r="BA234" i="89"/>
  <c r="BC234" i="82"/>
  <c r="AQ234" i="82"/>
  <c r="BC234" i="83"/>
  <c r="AQ234" i="83"/>
  <c r="BC234" i="84"/>
  <c r="AQ234" i="84"/>
  <c r="BC234" i="85"/>
  <c r="AQ234" i="85"/>
  <c r="BC234" i="87"/>
  <c r="AQ234" i="87"/>
  <c r="BC234" i="86"/>
  <c r="AQ234" i="86"/>
  <c r="BC234" i="88"/>
  <c r="AQ234" i="88"/>
  <c r="BC234" i="90"/>
  <c r="AQ234" i="90"/>
  <c r="BC234" i="89"/>
  <c r="AQ234" i="89"/>
  <c r="AT235" i="83"/>
  <c r="AU235" i="82"/>
  <c r="AU235" i="83"/>
  <c r="AU235" i="85"/>
  <c r="AU235" i="84"/>
  <c r="AU235" i="86"/>
  <c r="AU235" i="87"/>
  <c r="AU235" i="89"/>
  <c r="AU235" i="88"/>
  <c r="AU235" i="90"/>
  <c r="AY235" i="82"/>
  <c r="AY235" i="83"/>
  <c r="AY235" i="85"/>
  <c r="AY235" i="84"/>
  <c r="AY235" i="86"/>
  <c r="AY235" i="87"/>
  <c r="AY235" i="89"/>
  <c r="AY235" i="88"/>
  <c r="AY235" i="90"/>
  <c r="AZ235" i="82"/>
  <c r="AZ235" i="83"/>
  <c r="AZ235" i="84"/>
  <c r="AZ235" i="85"/>
  <c r="AZ235" i="87"/>
  <c r="AZ235" i="86"/>
  <c r="AZ235" i="88"/>
  <c r="AZ235" i="90"/>
  <c r="AZ235" i="89"/>
  <c r="BB235" i="90"/>
  <c r="AR236" i="82"/>
  <c r="AR236" i="83"/>
  <c r="AR236" i="85"/>
  <c r="AR236" i="84"/>
  <c r="AR236" i="86"/>
  <c r="AR236" i="87"/>
  <c r="AR236" i="89"/>
  <c r="AR236" i="88"/>
  <c r="AR236" i="90"/>
  <c r="AV236" i="82"/>
  <c r="AV236" i="83"/>
  <c r="AV236" i="85"/>
  <c r="AV236" i="84"/>
  <c r="AV236" i="86"/>
  <c r="AV236" i="87"/>
  <c r="AV236" i="89"/>
  <c r="AV236" i="88"/>
  <c r="AV236" i="90"/>
  <c r="AW236" i="82"/>
  <c r="AW236" i="83"/>
  <c r="AW236" i="84"/>
  <c r="AW236" i="85"/>
  <c r="AW236" i="87"/>
  <c r="AW236" i="86"/>
  <c r="AW236" i="88"/>
  <c r="AW236" i="90"/>
  <c r="AW236" i="89"/>
  <c r="AX236" i="82"/>
  <c r="AX236" i="83"/>
  <c r="AX236" i="85"/>
  <c r="AX236" i="84"/>
  <c r="AX236" i="86"/>
  <c r="AX236" i="87"/>
  <c r="AX236" i="89"/>
  <c r="AX236" i="88"/>
  <c r="AX236" i="90"/>
  <c r="BA236" i="82"/>
  <c r="BA236" i="83"/>
  <c r="BA236" i="84"/>
  <c r="BA236" i="85"/>
  <c r="BA236" i="87"/>
  <c r="BA236" i="86"/>
  <c r="BA236" i="88"/>
  <c r="BA236" i="90"/>
  <c r="BA236" i="89"/>
  <c r="BC236" i="82"/>
  <c r="AQ236" i="82"/>
  <c r="BC236" i="83"/>
  <c r="AQ236" i="83"/>
  <c r="BC236" i="84"/>
  <c r="AQ236" i="84"/>
  <c r="BC236" i="85"/>
  <c r="AQ236" i="85"/>
  <c r="BC236" i="87"/>
  <c r="AQ236" i="87"/>
  <c r="BC236" i="86"/>
  <c r="AQ236" i="86"/>
  <c r="BC236" i="88"/>
  <c r="AQ236" i="88"/>
  <c r="BC236" i="90"/>
  <c r="AQ236" i="90"/>
  <c r="BC236" i="89"/>
  <c r="AQ236" i="89"/>
  <c r="AT237" i="83"/>
  <c r="AU237" i="82"/>
  <c r="AU237" i="90"/>
  <c r="AY237" i="88"/>
  <c r="AZ237" i="88"/>
  <c r="BB237" i="82"/>
  <c r="BB237" i="83"/>
  <c r="BB237" i="84"/>
  <c r="BB237" i="85"/>
  <c r="BB237" i="87"/>
  <c r="BB237" i="86"/>
  <c r="BB237" i="88"/>
  <c r="BB237" i="90"/>
  <c r="BB237" i="89"/>
  <c r="AR238" i="82"/>
  <c r="AR238" i="83"/>
  <c r="AR238" i="85"/>
  <c r="AR238" i="84"/>
  <c r="AR238" i="86"/>
  <c r="AR238" i="87"/>
  <c r="AR238" i="89"/>
  <c r="AR238" i="88"/>
  <c r="AR238" i="90"/>
  <c r="AV238" i="82"/>
  <c r="AV238" i="83"/>
  <c r="AV238" i="85"/>
  <c r="AV238" i="84"/>
  <c r="AV238" i="86"/>
  <c r="AV238" i="87"/>
  <c r="AV238" i="89"/>
  <c r="AV238" i="88"/>
  <c r="AV238" i="90"/>
  <c r="AW238" i="82"/>
  <c r="AW238" i="83"/>
  <c r="AW238" i="84"/>
  <c r="AW238" i="85"/>
  <c r="AW238" i="87"/>
  <c r="AW238" i="86"/>
  <c r="AW238" i="88"/>
  <c r="AW238" i="90"/>
  <c r="AW238" i="89"/>
  <c r="AX238" i="82"/>
  <c r="AX238" i="83"/>
  <c r="AX238" i="85"/>
  <c r="AX238" i="84"/>
  <c r="AX238" i="86"/>
  <c r="AX238" i="87"/>
  <c r="AX238" i="89"/>
  <c r="AX238" i="88"/>
  <c r="AX238" i="90"/>
  <c r="BA238" i="82"/>
  <c r="BA238" i="83"/>
  <c r="BA238" i="84"/>
  <c r="BA238" i="85"/>
  <c r="BA238" i="87"/>
  <c r="BA238" i="86"/>
  <c r="BA238" i="88"/>
  <c r="BA238" i="90"/>
  <c r="BA238" i="89"/>
  <c r="BC238" i="82"/>
  <c r="AQ238" i="82"/>
  <c r="BC238" i="83"/>
  <c r="AQ238" i="83"/>
  <c r="BC238" i="84"/>
  <c r="AQ238" i="84"/>
  <c r="BC238" i="85"/>
  <c r="AQ238" i="85"/>
  <c r="BC238" i="87"/>
  <c r="AQ238" i="87"/>
  <c r="BC238" i="86"/>
  <c r="AQ238" i="86"/>
  <c r="BC238" i="88"/>
  <c r="AQ238" i="88"/>
  <c r="BC238" i="90"/>
  <c r="AQ238" i="90"/>
  <c r="BC238" i="89"/>
  <c r="AQ238" i="89"/>
  <c r="AT239" i="86"/>
  <c r="AU239" i="82"/>
  <c r="AU239" i="83"/>
  <c r="AU239" i="85"/>
  <c r="AU239" i="84"/>
  <c r="AU239" i="86"/>
  <c r="AU239" i="87"/>
  <c r="AU239" i="89"/>
  <c r="AU239" i="88"/>
  <c r="AU239" i="90"/>
  <c r="AY239" i="82"/>
  <c r="AY239" i="83"/>
  <c r="AY239" i="85"/>
  <c r="AY239" i="84"/>
  <c r="AY239" i="86"/>
  <c r="AY239" i="87"/>
  <c r="AY239" i="89"/>
  <c r="AY239" i="88"/>
  <c r="AY239" i="90"/>
  <c r="AZ239" i="82"/>
  <c r="AZ239" i="83"/>
  <c r="AZ239" i="84"/>
  <c r="AZ239" i="85"/>
  <c r="AZ239" i="87"/>
  <c r="AZ239" i="86"/>
  <c r="AZ239" i="88"/>
  <c r="AZ239" i="90"/>
  <c r="AZ239" i="89"/>
  <c r="BB239" i="85"/>
  <c r="AR240" i="82"/>
  <c r="AR240" i="83"/>
  <c r="AR240" i="85"/>
  <c r="AR240" i="84"/>
  <c r="AR240" i="86"/>
  <c r="AR240" i="87"/>
  <c r="AR240" i="89"/>
  <c r="AR240" i="88"/>
  <c r="AR240" i="90"/>
  <c r="AV240" i="82"/>
  <c r="AV240" i="83"/>
  <c r="AV240" i="85"/>
  <c r="AV240" i="84"/>
  <c r="AV240" i="86"/>
  <c r="AV240" i="87"/>
  <c r="AV240" i="89"/>
  <c r="AV240" i="88"/>
  <c r="AV240" i="90"/>
  <c r="AW240" i="82"/>
  <c r="AW240" i="83"/>
  <c r="AW240" i="84"/>
  <c r="AW240" i="85"/>
  <c r="AW240" i="87"/>
  <c r="AW240" i="86"/>
  <c r="AW240" i="88"/>
  <c r="AW240" i="90"/>
  <c r="AW240" i="89"/>
  <c r="AX240" i="82"/>
  <c r="AX240" i="83"/>
  <c r="AX240" i="85"/>
  <c r="AX240" i="84"/>
  <c r="AX240" i="86"/>
  <c r="AX240" i="87"/>
  <c r="AX240" i="89"/>
  <c r="AX240" i="88"/>
  <c r="AX240" i="90"/>
  <c r="BA240" i="82"/>
  <c r="BA240" i="83"/>
  <c r="BA240" i="84"/>
  <c r="BA240" i="85"/>
  <c r="BA240" i="87"/>
  <c r="BA240" i="86"/>
  <c r="BA240" i="88"/>
  <c r="BA240" i="90"/>
  <c r="BA240" i="89"/>
  <c r="BC240" i="82"/>
  <c r="AQ240" i="82"/>
  <c r="BC240" i="83"/>
  <c r="AQ240" i="83"/>
  <c r="BC240" i="84"/>
  <c r="AQ240" i="84"/>
  <c r="BC240" i="85"/>
  <c r="AQ240" i="85"/>
  <c r="BC240" i="87"/>
  <c r="AQ240" i="87"/>
  <c r="BC240" i="86"/>
  <c r="AQ240" i="86"/>
  <c r="BC240" i="88"/>
  <c r="AQ240" i="88"/>
  <c r="BC240" i="90"/>
  <c r="AQ240" i="90"/>
  <c r="BC240" i="89"/>
  <c r="AQ240" i="89"/>
  <c r="AT241" i="86"/>
  <c r="AU241" i="86"/>
  <c r="AY241" i="84"/>
  <c r="AZ241" i="84"/>
  <c r="BB241" i="82"/>
  <c r="BB241" i="83"/>
  <c r="BB241" i="84"/>
  <c r="BB241" i="85"/>
  <c r="BB241" i="87"/>
  <c r="BB241" i="86"/>
  <c r="BB241" i="88"/>
  <c r="BB241" i="90"/>
  <c r="BB241" i="89"/>
  <c r="AR242" i="82"/>
  <c r="AR242" i="83"/>
  <c r="AR242" i="85"/>
  <c r="AR242" i="84"/>
  <c r="AR242" i="86"/>
  <c r="AR242" i="87"/>
  <c r="AR242" i="89"/>
  <c r="AR242" i="88"/>
  <c r="AR242" i="90"/>
  <c r="AV242" i="82"/>
  <c r="AV242" i="83"/>
  <c r="AV242" i="85"/>
  <c r="AV242" i="84"/>
  <c r="AV242" i="86"/>
  <c r="AV242" i="87"/>
  <c r="AV242" i="89"/>
  <c r="AV242" i="88"/>
  <c r="AV242" i="90"/>
  <c r="AW242" i="82"/>
  <c r="AW242" i="83"/>
  <c r="AW242" i="84"/>
  <c r="AW242" i="85"/>
  <c r="AW242" i="87"/>
  <c r="AW242" i="86"/>
  <c r="AW242" i="88"/>
  <c r="AW242" i="90"/>
  <c r="AW242" i="89"/>
  <c r="AX242" i="82"/>
  <c r="AX242" i="83"/>
  <c r="AX242" i="85"/>
  <c r="AX242" i="84"/>
  <c r="AX242" i="86"/>
  <c r="AX242" i="87"/>
  <c r="AX242" i="89"/>
  <c r="AX242" i="88"/>
  <c r="AX242" i="90"/>
  <c r="BA242" i="82"/>
  <c r="BA242" i="83"/>
  <c r="BA242" i="84"/>
  <c r="BA242" i="85"/>
  <c r="BA242" i="87"/>
  <c r="BA242" i="86"/>
  <c r="BA242" i="88"/>
  <c r="BA242" i="90"/>
  <c r="BA242" i="89"/>
  <c r="BC242" i="82"/>
  <c r="AQ242" i="82"/>
  <c r="BC242" i="83"/>
  <c r="AQ242" i="83"/>
  <c r="BC242" i="84"/>
  <c r="AQ242" i="84"/>
  <c r="BC242" i="85"/>
  <c r="AQ242" i="85"/>
  <c r="BC242" i="87"/>
  <c r="AQ242" i="87"/>
  <c r="BC242" i="86"/>
  <c r="AQ242" i="86"/>
  <c r="BC242" i="88"/>
  <c r="AQ242" i="88"/>
  <c r="BC242" i="90"/>
  <c r="AQ242" i="90"/>
  <c r="BC242" i="89"/>
  <c r="AQ242" i="89"/>
  <c r="AT243" i="83"/>
  <c r="AU243" i="82"/>
  <c r="AU243" i="83"/>
  <c r="AU243" i="85"/>
  <c r="AU243" i="84"/>
  <c r="AU243" i="86"/>
  <c r="AU243" i="87"/>
  <c r="AU243" i="89"/>
  <c r="AU243" i="88"/>
  <c r="AU243" i="90"/>
  <c r="AY243" i="82"/>
  <c r="AY243" i="83"/>
  <c r="AY243" i="85"/>
  <c r="AY243" i="84"/>
  <c r="AY243" i="86"/>
  <c r="AY243" i="87"/>
  <c r="AY243" i="89"/>
  <c r="AY243" i="88"/>
  <c r="AY243" i="90"/>
  <c r="AZ243" i="82"/>
  <c r="AZ243" i="83"/>
  <c r="AZ243" i="84"/>
  <c r="AZ243" i="85"/>
  <c r="AZ243" i="87"/>
  <c r="AZ243" i="86"/>
  <c r="AZ243" i="88"/>
  <c r="AZ243" i="90"/>
  <c r="AZ243" i="89"/>
  <c r="BB243" i="90"/>
  <c r="AR244" i="82"/>
  <c r="AR244" i="83"/>
  <c r="AR244" i="85"/>
  <c r="AR244" i="84"/>
  <c r="AR244" i="86"/>
  <c r="AR244" i="87"/>
  <c r="AR244" i="89"/>
  <c r="AR244" i="88"/>
  <c r="AR244" i="90"/>
  <c r="AV244" i="82"/>
  <c r="AV244" i="83"/>
  <c r="AV244" i="85"/>
  <c r="AV244" i="84"/>
  <c r="AV244" i="86"/>
  <c r="AV244" i="87"/>
  <c r="AV244" i="89"/>
  <c r="AV244" i="88"/>
  <c r="AV244" i="90"/>
  <c r="AW244" i="82"/>
  <c r="AW244" i="83"/>
  <c r="AW244" i="84"/>
  <c r="AW244" i="85"/>
  <c r="AW244" i="87"/>
  <c r="AW244" i="86"/>
  <c r="AW244" i="88"/>
  <c r="AW244" i="90"/>
  <c r="AW244" i="89"/>
  <c r="AX244" i="82"/>
  <c r="AX244" i="83"/>
  <c r="AX244" i="85"/>
  <c r="AX244" i="84"/>
  <c r="AX244" i="86"/>
  <c r="AX244" i="87"/>
  <c r="AX244" i="89"/>
  <c r="AX244" i="88"/>
  <c r="AX244" i="90"/>
  <c r="BA244" i="82"/>
  <c r="BA244" i="83"/>
  <c r="BA244" i="84"/>
  <c r="BA244" i="85"/>
  <c r="BA244" i="87"/>
  <c r="BA244" i="86"/>
  <c r="BA244" i="88"/>
  <c r="BA244" i="90"/>
  <c r="BA244" i="89"/>
  <c r="BC244" i="82"/>
  <c r="AQ244" i="82"/>
  <c r="BC244" i="83"/>
  <c r="AQ244" i="83"/>
  <c r="BC244" i="84"/>
  <c r="AQ244" i="84"/>
  <c r="BC244" i="85"/>
  <c r="AQ244" i="85"/>
  <c r="BC244" i="87"/>
  <c r="AQ244" i="87"/>
  <c r="BC244" i="86"/>
  <c r="AQ244" i="86"/>
  <c r="BC244" i="88"/>
  <c r="AQ244" i="88"/>
  <c r="BC244" i="90"/>
  <c r="AQ244" i="90"/>
  <c r="BC244" i="89"/>
  <c r="AQ244" i="89"/>
  <c r="AT245" i="83"/>
  <c r="AU245" i="82"/>
  <c r="AU245" i="90"/>
  <c r="AY245" i="88"/>
  <c r="AZ245" i="88"/>
  <c r="BB245" i="82"/>
  <c r="BB245" i="83"/>
  <c r="BB245" i="84"/>
  <c r="BB245" i="85"/>
  <c r="BB245" i="87"/>
  <c r="BB245" i="86"/>
  <c r="BB245" i="88"/>
  <c r="BB245" i="90"/>
  <c r="BB245" i="89"/>
  <c r="AR246" i="82"/>
  <c r="AR246" i="83"/>
  <c r="AR246" i="85"/>
  <c r="AR246" i="84"/>
  <c r="AR246" i="86"/>
  <c r="AR246" i="87"/>
  <c r="AR246" i="89"/>
  <c r="AR246" i="88"/>
  <c r="AR246" i="90"/>
  <c r="AV246" i="82"/>
  <c r="AV246" i="83"/>
  <c r="AV246" i="85"/>
  <c r="AV246" i="84"/>
  <c r="AV246" i="86"/>
  <c r="AV246" i="87"/>
  <c r="AV246" i="89"/>
  <c r="AV246" i="88"/>
  <c r="AV246" i="90"/>
  <c r="AW246" i="82"/>
  <c r="AW246" i="83"/>
  <c r="AW246" i="84"/>
  <c r="AW246" i="85"/>
  <c r="AW246" i="87"/>
  <c r="AW246" i="86"/>
  <c r="AW246" i="88"/>
  <c r="AW246" i="90"/>
  <c r="AW246" i="89"/>
  <c r="AX246" i="82"/>
  <c r="AX246" i="83"/>
  <c r="AX246" i="85"/>
  <c r="AX246" i="84"/>
  <c r="AX246" i="86"/>
  <c r="AX246" i="87"/>
  <c r="AX246" i="89"/>
  <c r="AX246" i="88"/>
  <c r="AX246" i="90"/>
  <c r="BA246" i="82"/>
  <c r="BA246" i="83"/>
  <c r="BA246" i="84"/>
  <c r="BA246" i="85"/>
  <c r="BA246" i="87"/>
  <c r="BA246" i="86"/>
  <c r="BA246" i="88"/>
  <c r="BA246" i="90"/>
  <c r="BA246" i="89"/>
  <c r="BC246" i="82"/>
  <c r="AQ246" i="82"/>
  <c r="BC246" i="83"/>
  <c r="AQ246" i="83"/>
  <c r="BC246" i="84"/>
  <c r="AQ246" i="84"/>
  <c r="BC246" i="85"/>
  <c r="AQ246" i="85"/>
  <c r="BC246" i="87"/>
  <c r="AQ246" i="87"/>
  <c r="BC246" i="86"/>
  <c r="AQ246" i="86"/>
  <c r="BC246" i="88"/>
  <c r="AQ246" i="88"/>
  <c r="BC246" i="90"/>
  <c r="AQ246" i="90"/>
  <c r="BC246" i="89"/>
  <c r="AQ246" i="89"/>
  <c r="AT247" i="86"/>
  <c r="AU247" i="82"/>
  <c r="AU247" i="83"/>
  <c r="AU247" i="85"/>
  <c r="AU247" i="84"/>
  <c r="AU247" i="86"/>
  <c r="AU247" i="87"/>
  <c r="AU247" i="89"/>
  <c r="AU247" i="88"/>
  <c r="AU247" i="90"/>
  <c r="AY247" i="82"/>
  <c r="AY247" i="83"/>
  <c r="AY247" i="85"/>
  <c r="AY247" i="84"/>
  <c r="AY247" i="86"/>
  <c r="AY247" i="87"/>
  <c r="AY247" i="89"/>
  <c r="AY247" i="88"/>
  <c r="AY247" i="90"/>
  <c r="AZ247" i="82"/>
  <c r="AZ247" i="83"/>
  <c r="AZ247" i="84"/>
  <c r="AZ247" i="85"/>
  <c r="AZ247" i="87"/>
  <c r="AZ247" i="86"/>
  <c r="AZ247" i="88"/>
  <c r="AZ247" i="90"/>
  <c r="AZ247" i="89"/>
  <c r="BB247" i="85"/>
  <c r="AR248" i="82"/>
  <c r="AR248" i="83"/>
  <c r="AR248" i="85"/>
  <c r="AR248" i="84"/>
  <c r="AR248" i="86"/>
  <c r="AR248" i="87"/>
  <c r="AR248" i="89"/>
  <c r="AR248" i="88"/>
  <c r="AR248" i="90"/>
  <c r="AV248" i="82"/>
  <c r="AV248" i="83"/>
  <c r="AV248" i="85"/>
  <c r="AV248" i="84"/>
  <c r="AV248" i="86"/>
  <c r="AV248" i="87"/>
  <c r="AV248" i="89"/>
  <c r="AV248" i="88"/>
  <c r="AV248" i="90"/>
  <c r="AW248" i="82"/>
  <c r="AW248" i="83"/>
  <c r="AW248" i="84"/>
  <c r="AW248" i="85"/>
  <c r="AW248" i="87"/>
  <c r="AW248" i="86"/>
  <c r="AW248" i="88"/>
  <c r="AW248" i="90"/>
  <c r="AW248" i="89"/>
  <c r="AX248" i="82"/>
  <c r="AX248" i="83"/>
  <c r="AX248" i="85"/>
  <c r="AX248" i="84"/>
  <c r="AX248" i="86"/>
  <c r="AX248" i="87"/>
  <c r="AX248" i="89"/>
  <c r="AX248" i="88"/>
  <c r="AX248" i="90"/>
  <c r="BA248" i="82"/>
  <c r="BA248" i="83"/>
  <c r="BA248" i="84"/>
  <c r="BA248" i="85"/>
  <c r="BA248" i="87"/>
  <c r="BA248" i="86"/>
  <c r="BA248" i="88"/>
  <c r="BA248" i="90"/>
  <c r="BA248" i="89"/>
  <c r="BC248" i="82"/>
  <c r="AQ248" i="82"/>
  <c r="BC248" i="83"/>
  <c r="AQ248" i="83"/>
  <c r="BC248" i="84"/>
  <c r="AQ248" i="84"/>
  <c r="BC248" i="85"/>
  <c r="AQ248" i="85"/>
  <c r="BC248" i="87"/>
  <c r="AQ248" i="87"/>
  <c r="BC248" i="86"/>
  <c r="AQ248" i="86"/>
  <c r="BC248" i="88"/>
  <c r="AQ248" i="88"/>
  <c r="BC248" i="90"/>
  <c r="AQ248" i="90"/>
  <c r="BC248" i="89"/>
  <c r="AQ248" i="89"/>
  <c r="AT249" i="86"/>
  <c r="AU249" i="86"/>
  <c r="AY249" i="84"/>
  <c r="AZ249" i="84"/>
  <c r="BB249" i="82"/>
  <c r="BB249" i="83"/>
  <c r="BB249" i="84"/>
  <c r="BB249" i="85"/>
  <c r="BB249" i="87"/>
  <c r="BB249" i="86"/>
  <c r="BB249" i="88"/>
  <c r="BB249" i="90"/>
  <c r="BB249" i="89"/>
  <c r="AR250" i="82"/>
  <c r="AR250" i="83"/>
  <c r="AR250" i="85"/>
  <c r="AR250" i="84"/>
  <c r="AR250" i="86"/>
  <c r="AR250" i="87"/>
  <c r="AR250" i="89"/>
  <c r="AR250" i="88"/>
  <c r="AR250" i="90"/>
  <c r="AV250" i="82"/>
  <c r="AV250" i="83"/>
  <c r="AV250" i="85"/>
  <c r="AV250" i="84"/>
  <c r="AV250" i="86"/>
  <c r="AV250" i="87"/>
  <c r="AV250" i="89"/>
  <c r="AV250" i="88"/>
  <c r="AV250" i="90"/>
  <c r="AW250" i="82"/>
  <c r="AW250" i="83"/>
  <c r="AW250" i="84"/>
  <c r="AW250" i="85"/>
  <c r="AW250" i="87"/>
  <c r="AW250" i="86"/>
  <c r="AW250" i="88"/>
  <c r="AW250" i="90"/>
  <c r="AW250" i="89"/>
  <c r="AX250" i="82"/>
  <c r="AX250" i="83"/>
  <c r="AX250" i="85"/>
  <c r="AX250" i="84"/>
  <c r="AX250" i="86"/>
  <c r="AX250" i="87"/>
  <c r="AX250" i="89"/>
  <c r="AX250" i="88"/>
  <c r="AX250" i="90"/>
  <c r="BA250" i="82"/>
  <c r="BA250" i="83"/>
  <c r="BA250" i="84"/>
  <c r="BA250" i="85"/>
  <c r="BA250" i="87"/>
  <c r="BA250" i="86"/>
  <c r="BA250" i="88"/>
  <c r="BA250" i="90"/>
  <c r="BA250" i="89"/>
  <c r="BC250" i="82"/>
  <c r="AQ250" i="82"/>
  <c r="BC250" i="83"/>
  <c r="AQ250" i="83"/>
  <c r="BC250" i="84"/>
  <c r="AQ250" i="84"/>
  <c r="BC250" i="85"/>
  <c r="AQ250" i="85"/>
  <c r="BC250" i="87"/>
  <c r="AQ250" i="87"/>
  <c r="BC250" i="86"/>
  <c r="AQ250" i="86"/>
  <c r="BC250" i="88"/>
  <c r="AQ250" i="88"/>
  <c r="BC250" i="90"/>
  <c r="AQ250" i="90"/>
  <c r="BC250" i="89"/>
  <c r="AQ250" i="89"/>
  <c r="AT251" i="83"/>
  <c r="AU251" i="82"/>
  <c r="AU251" i="83"/>
  <c r="AU251" i="85"/>
  <c r="AU251" i="84"/>
  <c r="AU251" i="86"/>
  <c r="AU251" i="87"/>
  <c r="AU251" i="89"/>
  <c r="AU251" i="88"/>
  <c r="AU251" i="90"/>
  <c r="AY251" i="82"/>
  <c r="AY251" i="83"/>
  <c r="AY251" i="85"/>
  <c r="AY251" i="84"/>
  <c r="AY251" i="86"/>
  <c r="AY251" i="87"/>
  <c r="AY251" i="89"/>
  <c r="AY251" i="88"/>
  <c r="AY251" i="90"/>
  <c r="AZ251" i="82"/>
  <c r="AZ251" i="83"/>
  <c r="AZ251" i="84"/>
  <c r="AZ251" i="85"/>
  <c r="AZ251" i="87"/>
  <c r="AZ251" i="86"/>
  <c r="AZ251" i="88"/>
  <c r="AZ251" i="90"/>
  <c r="AZ251" i="89"/>
  <c r="BB251" i="90"/>
  <c r="AR252" i="82"/>
  <c r="AR252" i="83"/>
  <c r="AR252" i="85"/>
  <c r="AR252" i="84"/>
  <c r="AR252" i="86"/>
  <c r="AR252" i="87"/>
  <c r="AR252" i="89"/>
  <c r="AR252" i="88"/>
  <c r="AR252" i="90"/>
  <c r="AV252" i="82"/>
  <c r="AV252" i="83"/>
  <c r="AV252" i="85"/>
  <c r="AV252" i="84"/>
  <c r="AV252" i="86"/>
  <c r="AV252" i="87"/>
  <c r="AV252" i="89"/>
  <c r="AV252" i="88"/>
  <c r="AV252" i="90"/>
  <c r="AW252" i="82"/>
  <c r="AW252" i="83"/>
  <c r="AW252" i="84"/>
  <c r="AW252" i="85"/>
  <c r="AW252" i="87"/>
  <c r="AW252" i="86"/>
  <c r="AW252" i="88"/>
  <c r="AW252" i="90"/>
  <c r="AW252" i="89"/>
  <c r="AX252" i="82"/>
  <c r="AX252" i="83"/>
  <c r="AX252" i="85"/>
  <c r="AX252" i="84"/>
  <c r="AX252" i="86"/>
  <c r="AX252" i="87"/>
  <c r="AX252" i="89"/>
  <c r="AX252" i="88"/>
  <c r="AX252" i="90"/>
  <c r="BA252" i="82"/>
  <c r="BA252" i="83"/>
  <c r="BA252" i="84"/>
  <c r="BA252" i="85"/>
  <c r="BA252" i="87"/>
  <c r="BA252" i="86"/>
  <c r="BA252" i="88"/>
  <c r="BA252" i="90"/>
  <c r="BA252" i="89"/>
  <c r="BC252" i="82"/>
  <c r="AQ252" i="82"/>
  <c r="BC252" i="83"/>
  <c r="AQ252" i="83"/>
  <c r="BC252" i="84"/>
  <c r="AQ252" i="84"/>
  <c r="BC252" i="85"/>
  <c r="AQ252" i="85"/>
  <c r="BC252" i="87"/>
  <c r="AQ252" i="87"/>
  <c r="BC252" i="86"/>
  <c r="AQ252" i="86"/>
  <c r="BC252" i="88"/>
  <c r="AQ252" i="88"/>
  <c r="BC252" i="90"/>
  <c r="AQ252" i="90"/>
  <c r="BC252" i="89"/>
  <c r="AQ252" i="89"/>
  <c r="AT253" i="82"/>
  <c r="AT253" i="83"/>
  <c r="AT253" i="84"/>
  <c r="AT253" i="85"/>
  <c r="AT253" i="87"/>
  <c r="AT253" i="86"/>
  <c r="AT253" i="88"/>
  <c r="AT253" i="90"/>
  <c r="AT253" i="89"/>
  <c r="AU253" i="89"/>
  <c r="AY253" i="87"/>
  <c r="AZ253" i="87"/>
  <c r="BB253" i="82"/>
  <c r="BB253" i="83"/>
  <c r="BB253" i="84"/>
  <c r="BB253" i="85"/>
  <c r="BB253" i="87"/>
  <c r="BB253" i="86"/>
  <c r="BB253" i="88"/>
  <c r="BB253" i="90"/>
  <c r="BB253" i="89"/>
  <c r="AR254" i="82"/>
  <c r="AR254" i="83"/>
  <c r="AR254" i="85"/>
  <c r="AR254" i="84"/>
  <c r="AR254" i="86"/>
  <c r="AR254" i="87"/>
  <c r="AR254" i="89"/>
  <c r="AR254" i="88"/>
  <c r="AR254" i="90"/>
  <c r="AV254" i="82"/>
  <c r="AV254" i="83"/>
  <c r="AV254" i="85"/>
  <c r="AV254" i="84"/>
  <c r="AV254" i="86"/>
  <c r="AV254" i="87"/>
  <c r="AV254" i="89"/>
  <c r="AV254" i="88"/>
  <c r="AV254" i="90"/>
  <c r="AW254" i="82"/>
  <c r="AW254" i="83"/>
  <c r="AW254" i="84"/>
  <c r="AW254" i="85"/>
  <c r="AW254" i="87"/>
  <c r="AW254" i="86"/>
  <c r="AW254" i="88"/>
  <c r="AW254" i="90"/>
  <c r="AW254" i="89"/>
  <c r="AX254" i="82"/>
  <c r="AX254" i="83"/>
  <c r="AX254" i="85"/>
  <c r="AX254" i="84"/>
  <c r="AX254" i="86"/>
  <c r="AX254" i="87"/>
  <c r="AX254" i="89"/>
  <c r="AX254" i="88"/>
  <c r="AX254" i="90"/>
  <c r="BA254" i="82"/>
  <c r="BA254" i="83"/>
  <c r="BA254" i="84"/>
  <c r="BA254" i="85"/>
  <c r="BA254" i="87"/>
  <c r="BA254" i="86"/>
  <c r="BA254" i="88"/>
  <c r="BA254" i="90"/>
  <c r="BA254" i="89"/>
  <c r="BC254" i="82"/>
  <c r="AQ254" i="82"/>
  <c r="BC254" i="83"/>
  <c r="AQ254" i="83"/>
  <c r="BC254" i="84"/>
  <c r="AQ254" i="84"/>
  <c r="BC254" i="85"/>
  <c r="AQ254" i="85"/>
  <c r="BC254" i="87"/>
  <c r="AQ254" i="87"/>
  <c r="BC254" i="86"/>
  <c r="AQ254" i="86"/>
  <c r="BC254" i="88"/>
  <c r="AQ254" i="88"/>
  <c r="BC254" i="90"/>
  <c r="AQ254" i="90"/>
  <c r="BC254" i="89"/>
  <c r="AQ254" i="89"/>
  <c r="AT255" i="82"/>
  <c r="AT255" i="83"/>
  <c r="AT255" i="84"/>
  <c r="AT255" i="85"/>
  <c r="AT255" i="87"/>
  <c r="AT255" i="86"/>
  <c r="AT255" i="88"/>
  <c r="AT255" i="90"/>
  <c r="AT255" i="89"/>
  <c r="AU255" i="86"/>
  <c r="AY255" i="84"/>
  <c r="AZ255" i="84"/>
  <c r="BB255" i="82"/>
  <c r="BB255" i="83"/>
  <c r="BB255" i="84"/>
  <c r="BB255" i="85"/>
  <c r="BB255" i="87"/>
  <c r="BB255" i="86"/>
  <c r="BB255" i="88"/>
  <c r="BB255" i="90"/>
  <c r="BB255" i="89"/>
  <c r="AR256" i="82"/>
  <c r="AR256" i="83"/>
  <c r="AR256" i="85"/>
  <c r="AR256" i="84"/>
  <c r="AR256" i="86"/>
  <c r="AR256" i="87"/>
  <c r="AR256" i="89"/>
  <c r="AR256" i="88"/>
  <c r="AR256" i="90"/>
  <c r="AV256" i="82"/>
  <c r="AV256" i="83"/>
  <c r="AV256" i="85"/>
  <c r="AV256" i="84"/>
  <c r="AV256" i="86"/>
  <c r="AV256" i="87"/>
  <c r="AV256" i="89"/>
  <c r="AV256" i="88"/>
  <c r="AV256" i="90"/>
  <c r="AW256" i="82"/>
  <c r="AW256" i="83"/>
  <c r="AW256" i="84"/>
  <c r="AW256" i="85"/>
  <c r="AW256" i="87"/>
  <c r="AW256" i="86"/>
  <c r="AW256" i="88"/>
  <c r="AW256" i="90"/>
  <c r="AW256" i="89"/>
  <c r="AX256" i="82"/>
  <c r="AX256" i="83"/>
  <c r="AX256" i="85"/>
  <c r="AX256" i="84"/>
  <c r="AX256" i="86"/>
  <c r="AX256" i="87"/>
  <c r="AX256" i="89"/>
  <c r="AX256" i="88"/>
  <c r="AX256" i="90"/>
  <c r="BA256" i="82"/>
  <c r="BA256" i="83"/>
  <c r="BA256" i="84"/>
  <c r="BA256" i="85"/>
  <c r="BA256" i="87"/>
  <c r="BA256" i="86"/>
  <c r="BA256" i="88"/>
  <c r="BA256" i="90"/>
  <c r="BA256" i="89"/>
  <c r="BC256" i="82"/>
  <c r="AQ256" i="82"/>
  <c r="BC256" i="83"/>
  <c r="AQ256" i="83"/>
  <c r="BC256" i="84"/>
  <c r="AQ256" i="84"/>
  <c r="BC256" i="85"/>
  <c r="AQ256" i="85"/>
  <c r="BC256" i="87"/>
  <c r="AQ256" i="87"/>
  <c r="BC256" i="86"/>
  <c r="AQ256" i="86"/>
  <c r="BC256" i="88"/>
  <c r="AQ256" i="88"/>
  <c r="BC256" i="90"/>
  <c r="AQ256" i="90"/>
  <c r="BC256" i="89"/>
  <c r="AQ256" i="89"/>
  <c r="AT257" i="82"/>
  <c r="AT257" i="83"/>
  <c r="AT257" i="84"/>
  <c r="AT257" i="85"/>
  <c r="AT257" i="87"/>
  <c r="AT257" i="86"/>
  <c r="AT257" i="88"/>
  <c r="AT257" i="90"/>
  <c r="AT257" i="89"/>
  <c r="AU257" i="89"/>
  <c r="AY257" i="87"/>
  <c r="AZ257" i="87"/>
  <c r="BB257" i="82"/>
  <c r="BB257" i="83"/>
  <c r="BB257" i="84"/>
  <c r="BB257" i="85"/>
  <c r="BB257" i="87"/>
  <c r="BB257" i="86"/>
  <c r="BB257" i="88"/>
  <c r="BB257" i="90"/>
  <c r="BB257" i="89"/>
  <c r="AR258" i="82"/>
  <c r="AR258" i="83"/>
  <c r="AR258" i="85"/>
  <c r="AR258" i="84"/>
  <c r="AR258" i="86"/>
  <c r="AR258" i="87"/>
  <c r="AR258" i="89"/>
  <c r="AR258" i="88"/>
  <c r="AR258" i="90"/>
  <c r="AV258" i="82"/>
  <c r="AV258" i="83"/>
  <c r="AV258" i="85"/>
  <c r="AV258" i="84"/>
  <c r="AV258" i="86"/>
  <c r="AV258" i="87"/>
  <c r="AV258" i="89"/>
  <c r="AV258" i="88"/>
  <c r="AV258" i="90"/>
  <c r="AW258" i="82"/>
  <c r="AW258" i="83"/>
  <c r="AW258" i="84"/>
  <c r="AW258" i="85"/>
  <c r="AW258" i="87"/>
  <c r="AW258" i="86"/>
  <c r="AW258" i="88"/>
  <c r="AW258" i="90"/>
  <c r="AW258" i="89"/>
  <c r="AX258" i="82"/>
  <c r="AX258" i="83"/>
  <c r="AX258" i="85"/>
  <c r="AX258" i="84"/>
  <c r="AX258" i="86"/>
  <c r="AX258" i="87"/>
  <c r="AX258" i="89"/>
  <c r="AX258" i="88"/>
  <c r="AX258" i="90"/>
  <c r="BA258" i="82"/>
  <c r="BA258" i="83"/>
  <c r="BA258" i="84"/>
  <c r="BA258" i="85"/>
  <c r="BA258" i="87"/>
  <c r="BA258" i="86"/>
  <c r="BA258" i="88"/>
  <c r="BA258" i="90"/>
  <c r="BA258" i="89"/>
  <c r="BC258" i="82"/>
  <c r="AQ258" i="82"/>
  <c r="BC258" i="83"/>
  <c r="AQ258" i="83"/>
  <c r="BC258" i="84"/>
  <c r="AQ258" i="84"/>
  <c r="BC258" i="85"/>
  <c r="AQ258" i="85"/>
  <c r="BC258" i="87"/>
  <c r="AQ258" i="87"/>
  <c r="BC258" i="86"/>
  <c r="AQ258" i="86"/>
  <c r="BC258" i="88"/>
  <c r="AQ258" i="88"/>
  <c r="BC258" i="90"/>
  <c r="AQ258" i="90"/>
  <c r="BC258" i="89"/>
  <c r="AQ258" i="89"/>
  <c r="AT259" i="82"/>
  <c r="AT259" i="83"/>
  <c r="AT259" i="84"/>
  <c r="AT259" i="85"/>
  <c r="AT259" i="87"/>
  <c r="AT259" i="86"/>
  <c r="AT259" i="88"/>
  <c r="AT259" i="90"/>
  <c r="AT259" i="89"/>
  <c r="AU259" i="86"/>
  <c r="AY259" i="84"/>
  <c r="AZ259" i="84"/>
  <c r="AZ259" i="88"/>
  <c r="BB259" i="82"/>
  <c r="BB259" i="83"/>
  <c r="BB259" i="84"/>
  <c r="BB259" i="85"/>
  <c r="BB259" i="87"/>
  <c r="BB259" i="86"/>
  <c r="BB259" i="88"/>
  <c r="BB259" i="90"/>
  <c r="BB259" i="89"/>
  <c r="AR260" i="82"/>
  <c r="AR260" i="83"/>
  <c r="AR260" i="85"/>
  <c r="AR260" i="84"/>
  <c r="AR260" i="86"/>
  <c r="AR260" i="87"/>
  <c r="AR260" i="89"/>
  <c r="AR260" i="88"/>
  <c r="AR260" i="90"/>
  <c r="AV260" i="82"/>
  <c r="AV260" i="83"/>
  <c r="AV260" i="85"/>
  <c r="AV260" i="84"/>
  <c r="AV260" i="86"/>
  <c r="AV260" i="87"/>
  <c r="AV260" i="89"/>
  <c r="AV260" i="88"/>
  <c r="AV260" i="90"/>
  <c r="AW260" i="82"/>
  <c r="AW260" i="83"/>
  <c r="AW260" i="84"/>
  <c r="AW260" i="85"/>
  <c r="AW260" i="87"/>
  <c r="AW260" i="86"/>
  <c r="AW260" i="88"/>
  <c r="AW260" i="90"/>
  <c r="AW260" i="89"/>
  <c r="AX260" i="82"/>
  <c r="AX260" i="83"/>
  <c r="AX260" i="85"/>
  <c r="AX260" i="84"/>
  <c r="AX260" i="86"/>
  <c r="AX260" i="87"/>
  <c r="AX260" i="89"/>
  <c r="AX260" i="88"/>
  <c r="AX260" i="90"/>
  <c r="BA260" i="82"/>
  <c r="BA260" i="83"/>
  <c r="BA260" i="84"/>
  <c r="BA260" i="85"/>
  <c r="BA260" i="87"/>
  <c r="BA260" i="86"/>
  <c r="BA260" i="88"/>
  <c r="BA260" i="90"/>
  <c r="BA260" i="89"/>
  <c r="BC260" i="82"/>
  <c r="AQ260" i="82"/>
  <c r="BC260" i="83"/>
  <c r="AQ260" i="83"/>
  <c r="BC260" i="84"/>
  <c r="AQ260" i="84"/>
  <c r="BC260" i="85"/>
  <c r="AQ260" i="85"/>
  <c r="BC260" i="87"/>
  <c r="AQ260" i="87"/>
  <c r="BC260" i="86"/>
  <c r="AQ260" i="86"/>
  <c r="BC260" i="88"/>
  <c r="AQ260" i="88"/>
  <c r="BC260" i="90"/>
  <c r="AQ260" i="90"/>
  <c r="BC260" i="89"/>
  <c r="AQ260" i="89"/>
  <c r="AT261" i="82"/>
  <c r="AT261" i="83"/>
  <c r="AT261" i="84"/>
  <c r="AT261" i="85"/>
  <c r="AT261" i="87"/>
  <c r="AT261" i="86"/>
  <c r="AT261" i="88"/>
  <c r="AT261" i="90"/>
  <c r="AT261" i="89"/>
  <c r="AU261" i="85"/>
  <c r="AU261" i="89"/>
  <c r="AY261" i="83"/>
  <c r="AY261" i="87"/>
  <c r="AZ261" i="82"/>
  <c r="AZ261" i="87"/>
  <c r="AZ261" i="89"/>
  <c r="BB261" i="82"/>
  <c r="BB261" i="83"/>
  <c r="BB261" i="84"/>
  <c r="BB261" i="85"/>
  <c r="BB261" i="87"/>
  <c r="BB261" i="86"/>
  <c r="BB261" i="88"/>
  <c r="BB261" i="90"/>
  <c r="BB261" i="89"/>
  <c r="AR262" i="82"/>
  <c r="AR262" i="83"/>
  <c r="AR262" i="85"/>
  <c r="AR262" i="84"/>
  <c r="AR262" i="86"/>
  <c r="AR262" i="87"/>
  <c r="AR262" i="89"/>
  <c r="AR262" i="88"/>
  <c r="AR262" i="90"/>
  <c r="AV262" i="82"/>
  <c r="AV262" i="83"/>
  <c r="AV262" i="85"/>
  <c r="AV262" i="84"/>
  <c r="AV262" i="86"/>
  <c r="AV262" i="87"/>
  <c r="AV262" i="89"/>
  <c r="AV262" i="88"/>
  <c r="AV262" i="90"/>
  <c r="AW262" i="82"/>
  <c r="AW262" i="83"/>
  <c r="AW262" i="84"/>
  <c r="AW262" i="85"/>
  <c r="AW262" i="87"/>
  <c r="AW262" i="86"/>
  <c r="AW262" i="88"/>
  <c r="AW262" i="90"/>
  <c r="AW262" i="89"/>
  <c r="AX262" i="82"/>
  <c r="AX262" i="83"/>
  <c r="AX262" i="85"/>
  <c r="AX262" i="84"/>
  <c r="AX262" i="86"/>
  <c r="AX262" i="87"/>
  <c r="AX262" i="89"/>
  <c r="AX262" i="88"/>
  <c r="AX262" i="90"/>
  <c r="BA262" i="82"/>
  <c r="BA262" i="83"/>
  <c r="BA262" i="84"/>
  <c r="BA262" i="85"/>
  <c r="BA262" i="87"/>
  <c r="BA262" i="86"/>
  <c r="BA262" i="88"/>
  <c r="BA262" i="90"/>
  <c r="BA262" i="89"/>
  <c r="BC262" i="82"/>
  <c r="AQ262" i="82"/>
  <c r="BC262" i="83"/>
  <c r="AQ262" i="83"/>
  <c r="BC262" i="84"/>
  <c r="AQ262" i="84"/>
  <c r="BC262" i="85"/>
  <c r="AQ262" i="85"/>
  <c r="BC262" i="87"/>
  <c r="AQ262" i="87"/>
  <c r="BC262" i="86"/>
  <c r="AQ262" i="86"/>
  <c r="BC262" i="88"/>
  <c r="AQ262" i="88"/>
  <c r="BC262" i="90"/>
  <c r="AQ262" i="90"/>
  <c r="BC262" i="89"/>
  <c r="AQ262" i="89"/>
  <c r="AT263" i="82"/>
  <c r="AT263" i="83"/>
  <c r="AT263" i="84"/>
  <c r="AT263" i="85"/>
  <c r="AT263" i="87"/>
  <c r="AT263" i="86"/>
  <c r="AT263" i="88"/>
  <c r="AT263" i="90"/>
  <c r="AT263" i="89"/>
  <c r="AU263" i="82"/>
  <c r="AU263" i="86"/>
  <c r="AU263" i="90"/>
  <c r="AY263" i="84"/>
  <c r="AY263" i="88"/>
  <c r="AZ263" i="84"/>
  <c r="AZ263" i="88"/>
  <c r="BB263" i="82"/>
  <c r="BB263" i="83"/>
  <c r="BB263" i="84"/>
  <c r="BB263" i="85"/>
  <c r="BB263" i="87"/>
  <c r="BB263" i="86"/>
  <c r="BB263" i="88"/>
  <c r="BB263" i="90"/>
  <c r="BB263" i="89"/>
  <c r="AR264" i="82"/>
  <c r="AR264" i="83"/>
  <c r="AR264" i="85"/>
  <c r="AR264" i="84"/>
  <c r="AR264" i="86"/>
  <c r="AR264" i="87"/>
  <c r="AR264" i="89"/>
  <c r="AR264" i="88"/>
  <c r="AR264" i="90"/>
  <c r="AV264" i="82"/>
  <c r="AV264" i="83"/>
  <c r="AV264" i="85"/>
  <c r="AV264" i="84"/>
  <c r="AV264" i="86"/>
  <c r="AV264" i="87"/>
  <c r="AV264" i="89"/>
  <c r="AV264" i="88"/>
  <c r="AV264" i="90"/>
  <c r="AW264" i="82"/>
  <c r="AW264" i="83"/>
  <c r="AW264" i="84"/>
  <c r="AW264" i="85"/>
  <c r="AW264" i="87"/>
  <c r="AW264" i="86"/>
  <c r="AW264" i="88"/>
  <c r="AW264" i="90"/>
  <c r="AW264" i="89"/>
  <c r="AX264" i="82"/>
  <c r="AX264" i="83"/>
  <c r="AX264" i="85"/>
  <c r="AX264" i="84"/>
  <c r="AX264" i="86"/>
  <c r="AX264" i="87"/>
  <c r="AX264" i="89"/>
  <c r="AX264" i="88"/>
  <c r="AX264" i="90"/>
  <c r="BA264" i="82"/>
  <c r="BA264" i="83"/>
  <c r="BA264" i="84"/>
  <c r="BA264" i="85"/>
  <c r="BA264" i="87"/>
  <c r="BA264" i="86"/>
  <c r="BA264" i="88"/>
  <c r="BA264" i="90"/>
  <c r="BA264" i="89"/>
  <c r="BC264" i="82"/>
  <c r="AQ264" i="82"/>
  <c r="BC264" i="83"/>
  <c r="AQ264" i="83"/>
  <c r="BC264" i="84"/>
  <c r="AQ264" i="84"/>
  <c r="BC264" i="85"/>
  <c r="AQ264" i="85"/>
  <c r="BC264" i="87"/>
  <c r="AQ264" i="87"/>
  <c r="BC264" i="86"/>
  <c r="AQ264" i="86"/>
  <c r="BC264" i="88"/>
  <c r="AQ264" i="88"/>
  <c r="BC264" i="90"/>
  <c r="AQ264" i="90"/>
  <c r="BC264" i="89"/>
  <c r="AQ264" i="89"/>
  <c r="AT265" i="82"/>
  <c r="AT265" i="83"/>
  <c r="AT265" i="84"/>
  <c r="AT265" i="85"/>
  <c r="AT265" i="87"/>
  <c r="AT265" i="86"/>
  <c r="AT265" i="88"/>
  <c r="AT265" i="90"/>
  <c r="AT265" i="89"/>
  <c r="AU265" i="85"/>
  <c r="AU265" i="89"/>
  <c r="AY265" i="83"/>
  <c r="AY265" i="87"/>
  <c r="AZ265" i="82"/>
  <c r="AZ265" i="87"/>
  <c r="AZ265" i="89"/>
  <c r="BB265" i="82"/>
  <c r="BB265" i="83"/>
  <c r="BB265" i="84"/>
  <c r="BB265" i="85"/>
  <c r="BB265" i="87"/>
  <c r="BB265" i="86"/>
  <c r="BB265" i="88"/>
  <c r="BB265" i="90"/>
  <c r="BB265" i="89"/>
  <c r="AR266" i="82"/>
  <c r="AR266" i="83"/>
  <c r="AR266" i="85"/>
  <c r="AR266" i="84"/>
  <c r="AR266" i="86"/>
  <c r="AR266" i="87"/>
  <c r="AR266" i="89"/>
  <c r="AR266" i="88"/>
  <c r="AR266" i="90"/>
  <c r="AV266" i="82"/>
  <c r="AV266" i="83"/>
  <c r="AV266" i="85"/>
  <c r="AV266" i="84"/>
  <c r="AV266" i="86"/>
  <c r="AV266" i="87"/>
  <c r="AV266" i="89"/>
  <c r="AV266" i="88"/>
  <c r="AV266" i="90"/>
  <c r="AW266" i="82"/>
  <c r="AW266" i="83"/>
  <c r="AW266" i="84"/>
  <c r="AW266" i="85"/>
  <c r="AW266" i="87"/>
  <c r="AW266" i="86"/>
  <c r="AW266" i="88"/>
  <c r="AW266" i="90"/>
  <c r="AW266" i="89"/>
  <c r="AX266" i="82"/>
  <c r="AX266" i="83"/>
  <c r="AX266" i="85"/>
  <c r="AX266" i="84"/>
  <c r="AX266" i="86"/>
  <c r="AX266" i="87"/>
  <c r="AX266" i="89"/>
  <c r="AX266" i="88"/>
  <c r="AX266" i="90"/>
  <c r="BA266" i="82"/>
  <c r="BA266" i="83"/>
  <c r="BA266" i="84"/>
  <c r="BA266" i="85"/>
  <c r="BA266" i="87"/>
  <c r="BA266" i="86"/>
  <c r="BA266" i="88"/>
  <c r="BA266" i="90"/>
  <c r="BA266" i="89"/>
  <c r="BC266" i="82"/>
  <c r="AQ266" i="82"/>
  <c r="BC266" i="83"/>
  <c r="AQ266" i="83"/>
  <c r="BC266" i="84"/>
  <c r="AQ266" i="84"/>
  <c r="BC266" i="85"/>
  <c r="AQ266" i="85"/>
  <c r="BC266" i="87"/>
  <c r="AQ266" i="87"/>
  <c r="BC266" i="86"/>
  <c r="AQ266" i="86"/>
  <c r="BC266" i="88"/>
  <c r="AQ266" i="88"/>
  <c r="BC266" i="90"/>
  <c r="AQ266" i="90"/>
  <c r="BC266" i="89"/>
  <c r="AQ266" i="89"/>
  <c r="AT267" i="82"/>
  <c r="AT267" i="83"/>
  <c r="AT267" i="84"/>
  <c r="AT267" i="85"/>
  <c r="AT267" i="87"/>
  <c r="AT267" i="86"/>
  <c r="AT267" i="88"/>
  <c r="AT267" i="90"/>
  <c r="AT267" i="89"/>
  <c r="AU267" i="82"/>
  <c r="AU267" i="86"/>
  <c r="AU267" i="90"/>
  <c r="AY267" i="84"/>
  <c r="AY267" i="88"/>
  <c r="AZ267" i="84"/>
  <c r="AZ267" i="88"/>
  <c r="BB267" i="82"/>
  <c r="BB267" i="83"/>
  <c r="BB267" i="84"/>
  <c r="BB267" i="85"/>
  <c r="BB267" i="87"/>
  <c r="BB267" i="86"/>
  <c r="BB267" i="88"/>
  <c r="BB267" i="90"/>
  <c r="BB267" i="89"/>
  <c r="AR268" i="82"/>
  <c r="AR268" i="83"/>
  <c r="AR268" i="85"/>
  <c r="AR268" i="84"/>
  <c r="AR268" i="86"/>
  <c r="AR268" i="87"/>
  <c r="AR268" i="89"/>
  <c r="AR268" i="88"/>
  <c r="AR268" i="90"/>
  <c r="AV268" i="82"/>
  <c r="AV268" i="83"/>
  <c r="AV268" i="85"/>
  <c r="AV268" i="84"/>
  <c r="AV268" i="86"/>
  <c r="AV268" i="87"/>
  <c r="AV268" i="89"/>
  <c r="AV268" i="88"/>
  <c r="AV268" i="90"/>
  <c r="AW268" i="82"/>
  <c r="AW268" i="83"/>
  <c r="AW268" i="84"/>
  <c r="AW268" i="85"/>
  <c r="AW268" i="87"/>
  <c r="AW268" i="86"/>
  <c r="AW268" i="88"/>
  <c r="AW268" i="90"/>
  <c r="AW268" i="89"/>
  <c r="AX268" i="82"/>
  <c r="AX268" i="83"/>
  <c r="AX268" i="85"/>
  <c r="AX268" i="84"/>
  <c r="AX268" i="86"/>
  <c r="AX268" i="87"/>
  <c r="AX268" i="89"/>
  <c r="AX268" i="88"/>
  <c r="AX268" i="90"/>
  <c r="BA268" i="82"/>
  <c r="BA268" i="83"/>
  <c r="BA268" i="84"/>
  <c r="BA268" i="85"/>
  <c r="BA268" i="87"/>
  <c r="BA268" i="86"/>
  <c r="BA268" i="88"/>
  <c r="BA268" i="90"/>
  <c r="BA268" i="89"/>
  <c r="BC268" i="82"/>
  <c r="AQ268" i="82"/>
  <c r="BC268" i="83"/>
  <c r="AQ268" i="83"/>
  <c r="BC268" i="84"/>
  <c r="AQ268" i="84"/>
  <c r="BC268" i="85"/>
  <c r="AQ268" i="85"/>
  <c r="BC268" i="87"/>
  <c r="AQ268" i="87"/>
  <c r="BC268" i="86"/>
  <c r="AQ268" i="86"/>
  <c r="BC268" i="88"/>
  <c r="AQ268" i="88"/>
  <c r="BC268" i="90"/>
  <c r="AQ268" i="90"/>
  <c r="BC268" i="89"/>
  <c r="AQ268" i="89"/>
  <c r="AT269" i="82"/>
  <c r="AT269" i="83"/>
  <c r="AT269" i="84"/>
  <c r="AT269" i="85"/>
  <c r="AT269" i="87"/>
  <c r="AT269" i="86"/>
  <c r="AT269" i="88"/>
  <c r="AT269" i="90"/>
  <c r="AT269" i="89"/>
  <c r="AU269" i="85"/>
  <c r="AU269" i="89"/>
  <c r="AY269" i="82"/>
  <c r="AY269" i="83"/>
  <c r="AY269" i="85"/>
  <c r="AY269" i="84"/>
  <c r="AY269" i="86"/>
  <c r="AY269" i="87"/>
  <c r="AY269" i="89"/>
  <c r="AY269" i="88"/>
  <c r="AY269" i="90"/>
  <c r="AZ269" i="84"/>
  <c r="AZ269" i="88"/>
  <c r="BB269" i="82"/>
  <c r="BB269" i="83"/>
  <c r="BB269" i="84"/>
  <c r="BB269" i="85"/>
  <c r="BB269" i="87"/>
  <c r="BB269" i="86"/>
  <c r="BB269" i="88"/>
  <c r="BB269" i="90"/>
  <c r="BB269" i="89"/>
  <c r="AR270" i="82"/>
  <c r="AR270" i="83"/>
  <c r="AR270" i="85"/>
  <c r="AR270" i="84"/>
  <c r="AR270" i="86"/>
  <c r="AR270" i="87"/>
  <c r="AR270" i="89"/>
  <c r="AR270" i="88"/>
  <c r="AR270" i="90"/>
  <c r="AV270" i="82"/>
  <c r="AV270" i="83"/>
  <c r="AV270" i="85"/>
  <c r="AV270" i="84"/>
  <c r="AV270" i="86"/>
  <c r="AV270" i="87"/>
  <c r="AV270" i="89"/>
  <c r="AV270" i="88"/>
  <c r="AV270" i="90"/>
  <c r="AV102" i="82"/>
  <c r="AV102" i="83"/>
  <c r="AV102" i="84"/>
  <c r="AV102" i="86"/>
  <c r="AV102" i="85"/>
  <c r="AV102" i="87"/>
  <c r="AV102" i="89"/>
  <c r="AV102" i="88"/>
  <c r="AV102" i="90"/>
  <c r="AW102" i="82"/>
  <c r="AW102" i="84"/>
  <c r="AW102" i="83"/>
  <c r="AW102" i="85"/>
  <c r="AW102" i="86"/>
  <c r="AW102" i="88"/>
  <c r="AW102" i="90"/>
  <c r="AW102" i="87"/>
  <c r="AW102" i="89"/>
  <c r="AT103" i="82"/>
  <c r="AT103" i="84"/>
  <c r="AT103" i="83"/>
  <c r="AT103" i="85"/>
  <c r="AT103" i="86"/>
  <c r="AT103" i="88"/>
  <c r="AT103" i="90"/>
  <c r="AT103" i="87"/>
  <c r="AT103" i="89"/>
  <c r="AU103" i="82"/>
  <c r="AU103" i="83"/>
  <c r="AU103" i="84"/>
  <c r="AU103" i="86"/>
  <c r="AU103" i="85"/>
  <c r="AU103" i="87"/>
  <c r="AU103" i="89"/>
  <c r="AU103" i="88"/>
  <c r="AU103" i="90"/>
  <c r="AY103" i="82"/>
  <c r="AY103" i="83"/>
  <c r="AY103" i="84"/>
  <c r="AY103" i="86"/>
  <c r="AY103" i="85"/>
  <c r="AY103" i="87"/>
  <c r="AY103" i="89"/>
  <c r="AY103" i="88"/>
  <c r="AY103" i="90"/>
  <c r="AZ103" i="82"/>
  <c r="AZ103" i="84"/>
  <c r="AZ103" i="83"/>
  <c r="AZ103" i="85"/>
  <c r="AZ103" i="86"/>
  <c r="AZ103" i="88"/>
  <c r="AZ103" i="90"/>
  <c r="AZ103" i="87"/>
  <c r="AZ103" i="89"/>
  <c r="BB103" i="82"/>
  <c r="BB103" i="84"/>
  <c r="BB103" i="83"/>
  <c r="BB103" i="85"/>
  <c r="BB103" i="86"/>
  <c r="BB103" i="88"/>
  <c r="BB103" i="90"/>
  <c r="BB103" i="87"/>
  <c r="BB103" i="89"/>
  <c r="AR112" i="82"/>
  <c r="AR112" i="83"/>
  <c r="AR112" i="84"/>
  <c r="AR112" i="86"/>
  <c r="AR112" i="85"/>
  <c r="AR112" i="87"/>
  <c r="AR112" i="89"/>
  <c r="AR112" i="88"/>
  <c r="AR112" i="90"/>
  <c r="AV112" i="82"/>
  <c r="AV112" i="83"/>
  <c r="AV112" i="84"/>
  <c r="AV112" i="86"/>
  <c r="AV112" i="85"/>
  <c r="AV112" i="87"/>
  <c r="AV112" i="89"/>
  <c r="AV112" i="88"/>
  <c r="AV112" i="90"/>
  <c r="AW112" i="82"/>
  <c r="AW112" i="84"/>
  <c r="AW112" i="83"/>
  <c r="AW112" i="85"/>
  <c r="AW112" i="86"/>
  <c r="AW112" i="88"/>
  <c r="AW112" i="90"/>
  <c r="AW112" i="87"/>
  <c r="AW112" i="89"/>
  <c r="AX112" i="82"/>
  <c r="AX112" i="83"/>
  <c r="AX112" i="84"/>
  <c r="AX112" i="86"/>
  <c r="AX112" i="85"/>
  <c r="AX112" i="87"/>
  <c r="AX112" i="89"/>
  <c r="AX112" i="88"/>
  <c r="AX112" i="90"/>
  <c r="BA112" i="82"/>
  <c r="BA112" i="84"/>
  <c r="BA112" i="83"/>
  <c r="BA112" i="85"/>
  <c r="BA112" i="86"/>
  <c r="BA112" i="88"/>
  <c r="BA112" i="90"/>
  <c r="BA112" i="87"/>
  <c r="BA112" i="89"/>
  <c r="BC112" i="82"/>
  <c r="AQ112" i="82"/>
  <c r="BC112" i="84"/>
  <c r="AQ112" i="84"/>
  <c r="BC112" i="83"/>
  <c r="AQ112" i="83"/>
  <c r="BC112" i="85"/>
  <c r="AQ112" i="85"/>
  <c r="BC112" i="86"/>
  <c r="AQ112" i="86"/>
  <c r="BC112" i="88"/>
  <c r="AQ112" i="88"/>
  <c r="BC112" i="90"/>
  <c r="AQ112" i="90"/>
  <c r="BC112" i="87"/>
  <c r="AQ112" i="87"/>
  <c r="BC112" i="89"/>
  <c r="AQ112" i="89"/>
  <c r="AT128" i="82"/>
  <c r="AT128" i="83"/>
  <c r="AT128" i="84"/>
  <c r="AT128" i="86"/>
  <c r="AT128" i="85"/>
  <c r="AT128" i="87"/>
  <c r="AT128" i="89"/>
  <c r="AT128" i="88"/>
  <c r="AT128" i="90"/>
  <c r="AU128" i="82"/>
  <c r="AU128" i="84"/>
  <c r="AU128" i="83"/>
  <c r="AU128" i="85"/>
  <c r="AU128" i="86"/>
  <c r="AU128" i="88"/>
  <c r="AU128" i="90"/>
  <c r="AU128" i="87"/>
  <c r="AU128" i="89"/>
  <c r="AY128" i="82"/>
  <c r="AY128" i="84"/>
  <c r="AY128" i="83"/>
  <c r="AY128" i="85"/>
  <c r="AY128" i="86"/>
  <c r="AY128" i="88"/>
  <c r="AY128" i="90"/>
  <c r="AY128" i="87"/>
  <c r="AY128" i="89"/>
  <c r="AZ128" i="82"/>
  <c r="AZ128" i="83"/>
  <c r="AZ128" i="84"/>
  <c r="AZ128" i="86"/>
  <c r="AZ128" i="85"/>
  <c r="AZ128" i="87"/>
  <c r="AZ128" i="89"/>
  <c r="AZ128" i="88"/>
  <c r="AZ128" i="90"/>
  <c r="BB128" i="82"/>
  <c r="BB128" i="83"/>
  <c r="BB128" i="84"/>
  <c r="BB128" i="86"/>
  <c r="BB128" i="85"/>
  <c r="BB128" i="87"/>
  <c r="BB128" i="89"/>
  <c r="BB128" i="88"/>
  <c r="BB128" i="90"/>
  <c r="AR129" i="82"/>
  <c r="AR129" i="84"/>
  <c r="AR129" i="83"/>
  <c r="AR129" i="85"/>
  <c r="AR129" i="86"/>
  <c r="AR129" i="88"/>
  <c r="AR129" i="90"/>
  <c r="AR129" i="87"/>
  <c r="AR129" i="89"/>
  <c r="AV129" i="82"/>
  <c r="AV129" i="84"/>
  <c r="AV129" i="83"/>
  <c r="AV129" i="85"/>
  <c r="AV129" i="86"/>
  <c r="AV129" i="88"/>
  <c r="AV129" i="90"/>
  <c r="AV129" i="87"/>
  <c r="AV129" i="89"/>
  <c r="AW129" i="82"/>
  <c r="AW129" i="83"/>
  <c r="AW129" i="84"/>
  <c r="AW129" i="86"/>
  <c r="AW129" i="85"/>
  <c r="AW129" i="87"/>
  <c r="AW129" i="89"/>
  <c r="AW129" i="88"/>
  <c r="AW129" i="90"/>
  <c r="AX129" i="82"/>
  <c r="AX129" i="84"/>
  <c r="AX129" i="83"/>
  <c r="AX129" i="85"/>
  <c r="AX129" i="86"/>
  <c r="AX129" i="88"/>
  <c r="AX129" i="90"/>
  <c r="AX129" i="87"/>
  <c r="AX129" i="89"/>
  <c r="BA129" i="82"/>
  <c r="BA129" i="83"/>
  <c r="BA129" i="84"/>
  <c r="BA129" i="86"/>
  <c r="BA129" i="85"/>
  <c r="BA129" i="87"/>
  <c r="BA129" i="89"/>
  <c r="BA129" i="88"/>
  <c r="BA129" i="90"/>
  <c r="BC129" i="82"/>
  <c r="AQ129" i="82"/>
  <c r="BC129" i="83"/>
  <c r="AQ129" i="83"/>
  <c r="BC129" i="84"/>
  <c r="AQ129" i="84"/>
  <c r="BC129" i="86"/>
  <c r="AQ129" i="86"/>
  <c r="BC129" i="85"/>
  <c r="AQ129" i="85"/>
  <c r="BC129" i="87"/>
  <c r="AQ129" i="87"/>
  <c r="BC129" i="89"/>
  <c r="AQ129" i="89"/>
  <c r="BC129" i="88"/>
  <c r="AQ129" i="88"/>
  <c r="BC129" i="90"/>
  <c r="AQ129" i="90"/>
  <c r="AT130" i="82"/>
  <c r="AT130" i="83"/>
  <c r="AT130" i="84"/>
  <c r="AT130" i="86"/>
  <c r="AT130" i="85"/>
  <c r="AT130" i="87"/>
  <c r="AT130" i="89"/>
  <c r="AT130" i="88"/>
  <c r="AT130" i="90"/>
  <c r="AU130" i="82"/>
  <c r="AU130" i="84"/>
  <c r="AU130" i="83"/>
  <c r="AU130" i="85"/>
  <c r="AU130" i="86"/>
  <c r="AU130" i="88"/>
  <c r="AU130" i="90"/>
  <c r="AU130" i="87"/>
  <c r="AU130" i="89"/>
  <c r="AY130" i="82"/>
  <c r="AY130" i="84"/>
  <c r="AY130" i="83"/>
  <c r="AY130" i="85"/>
  <c r="AY130" i="86"/>
  <c r="AY130" i="88"/>
  <c r="AY130" i="90"/>
  <c r="AY130" i="87"/>
  <c r="AY130" i="89"/>
  <c r="AZ130" i="82"/>
  <c r="AZ130" i="83"/>
  <c r="AZ130" i="84"/>
  <c r="AZ130" i="86"/>
  <c r="AZ130" i="85"/>
  <c r="AZ130" i="87"/>
  <c r="AZ130" i="89"/>
  <c r="AZ130" i="88"/>
  <c r="AZ130" i="90"/>
  <c r="BB130" i="82"/>
  <c r="BB130" i="83"/>
  <c r="BB130" i="84"/>
  <c r="BB130" i="86"/>
  <c r="BB130" i="85"/>
  <c r="BB130" i="87"/>
  <c r="BB130" i="89"/>
  <c r="BB130" i="88"/>
  <c r="BB130" i="90"/>
  <c r="AR131" i="82"/>
  <c r="AR131" i="84"/>
  <c r="AR131" i="83"/>
  <c r="AR131" i="85"/>
  <c r="AR131" i="86"/>
  <c r="AR131" i="88"/>
  <c r="AR131" i="90"/>
  <c r="AR131" i="87"/>
  <c r="AR131" i="89"/>
  <c r="AV131" i="82"/>
  <c r="AV131" i="84"/>
  <c r="AV131" i="83"/>
  <c r="AV131" i="85"/>
  <c r="AV131" i="86"/>
  <c r="AV131" i="88"/>
  <c r="AV131" i="90"/>
  <c r="AV131" i="87"/>
  <c r="AV131" i="89"/>
  <c r="AW131" i="82"/>
  <c r="AW131" i="83"/>
  <c r="AW131" i="84"/>
  <c r="AW131" i="86"/>
  <c r="AW131" i="85"/>
  <c r="AW131" i="87"/>
  <c r="AW131" i="89"/>
  <c r="AW131" i="88"/>
  <c r="AW131" i="90"/>
  <c r="AX131" i="82"/>
  <c r="AX131" i="84"/>
  <c r="AX131" i="83"/>
  <c r="AX131" i="85"/>
  <c r="AX131" i="86"/>
  <c r="AX131" i="88"/>
  <c r="AX131" i="90"/>
  <c r="AX131" i="87"/>
  <c r="AX131" i="89"/>
  <c r="BA131" i="82"/>
  <c r="BA131" i="83"/>
  <c r="BA131" i="84"/>
  <c r="BA131" i="86"/>
  <c r="BA131" i="85"/>
  <c r="BA131" i="87"/>
  <c r="BA131" i="89"/>
  <c r="BA131" i="88"/>
  <c r="BA131" i="90"/>
  <c r="BC131" i="82"/>
  <c r="AQ131" i="82"/>
  <c r="BC131" i="83"/>
  <c r="AQ131" i="83"/>
  <c r="BC131" i="84"/>
  <c r="AQ131" i="84"/>
  <c r="BC131" i="86"/>
  <c r="AQ131" i="86"/>
  <c r="BC131" i="85"/>
  <c r="AQ131" i="85"/>
  <c r="BC131" i="87"/>
  <c r="AQ131" i="87"/>
  <c r="BC131" i="89"/>
  <c r="AQ131" i="89"/>
  <c r="BC131" i="88"/>
  <c r="AQ131" i="88"/>
  <c r="BC131" i="90"/>
  <c r="AQ131" i="90"/>
  <c r="AT132" i="82"/>
  <c r="AT132" i="83"/>
  <c r="AT132" i="84"/>
  <c r="AT132" i="86"/>
  <c r="AT132" i="85"/>
  <c r="AT132" i="87"/>
  <c r="AT132" i="89"/>
  <c r="AT132" i="88"/>
  <c r="AT132" i="90"/>
  <c r="AU132" i="82"/>
  <c r="AU132" i="84"/>
  <c r="AU132" i="83"/>
  <c r="AU132" i="85"/>
  <c r="AU132" i="86"/>
  <c r="AU132" i="88"/>
  <c r="AU132" i="90"/>
  <c r="AU132" i="87"/>
  <c r="AU132" i="89"/>
  <c r="AY132" i="82"/>
  <c r="AY132" i="84"/>
  <c r="AY132" i="83"/>
  <c r="AY132" i="85"/>
  <c r="AY132" i="86"/>
  <c r="AY132" i="88"/>
  <c r="AY132" i="90"/>
  <c r="AY132" i="87"/>
  <c r="AY132" i="89"/>
  <c r="AZ132" i="82"/>
  <c r="AZ132" i="83"/>
  <c r="AZ132" i="84"/>
  <c r="AZ132" i="86"/>
  <c r="AZ132" i="85"/>
  <c r="AZ132" i="87"/>
  <c r="AZ132" i="89"/>
  <c r="AZ132" i="88"/>
  <c r="AZ132" i="90"/>
  <c r="BB132" i="82"/>
  <c r="BB132" i="83"/>
  <c r="BB132" i="84"/>
  <c r="BB132" i="86"/>
  <c r="BB132" i="85"/>
  <c r="BB132" i="87"/>
  <c r="BB132" i="89"/>
  <c r="BB132" i="88"/>
  <c r="BB132" i="90"/>
  <c r="AR133" i="82"/>
  <c r="AR133" i="84"/>
  <c r="AR133" i="83"/>
  <c r="AR133" i="85"/>
  <c r="AR133" i="86"/>
  <c r="AR133" i="88"/>
  <c r="AR133" i="90"/>
  <c r="AR133" i="87"/>
  <c r="AR133" i="89"/>
  <c r="AV133" i="82"/>
  <c r="AV133" i="84"/>
  <c r="AV133" i="83"/>
  <c r="AV133" i="85"/>
  <c r="AV133" i="86"/>
  <c r="AV133" i="88"/>
  <c r="AV133" i="90"/>
  <c r="AV133" i="87"/>
  <c r="AV133" i="89"/>
  <c r="AW133" i="82"/>
  <c r="AW133" i="83"/>
  <c r="AW133" i="84"/>
  <c r="AW133" i="86"/>
  <c r="AW133" i="85"/>
  <c r="AW133" i="87"/>
  <c r="AW133" i="89"/>
  <c r="AW133" i="88"/>
  <c r="AW133" i="90"/>
  <c r="AX133" i="82"/>
  <c r="AX133" i="84"/>
  <c r="AX133" i="83"/>
  <c r="AX133" i="85"/>
  <c r="AX133" i="86"/>
  <c r="AX133" i="88"/>
  <c r="AX133" i="90"/>
  <c r="AX133" i="87"/>
  <c r="AX133" i="89"/>
  <c r="BA133" i="82"/>
  <c r="BA133" i="83"/>
  <c r="BA133" i="84"/>
  <c r="BA133" i="86"/>
  <c r="BA133" i="85"/>
  <c r="BA133" i="87"/>
  <c r="BA133" i="89"/>
  <c r="BA133" i="88"/>
  <c r="BA133" i="90"/>
  <c r="BC133" i="82"/>
  <c r="AQ133" i="82"/>
  <c r="BC133" i="83"/>
  <c r="AQ133" i="83"/>
  <c r="BC133" i="84"/>
  <c r="AQ133" i="84"/>
  <c r="BC133" i="86"/>
  <c r="AQ133" i="86"/>
  <c r="BC133" i="85"/>
  <c r="AQ133" i="85"/>
  <c r="BC133" i="87"/>
  <c r="AQ133" i="87"/>
  <c r="BC133" i="89"/>
  <c r="AQ133" i="89"/>
  <c r="BC133" i="88"/>
  <c r="AQ133" i="88"/>
  <c r="BC133" i="90"/>
  <c r="AQ133" i="90"/>
  <c r="AT134" i="82"/>
  <c r="AT134" i="83"/>
  <c r="AT134" i="84"/>
  <c r="AT134" i="86"/>
  <c r="AT134" i="85"/>
  <c r="AT134" i="87"/>
  <c r="AT134" i="89"/>
  <c r="AT134" i="88"/>
  <c r="AT134" i="90"/>
  <c r="AU134" i="82"/>
  <c r="AU134" i="84"/>
  <c r="AU134" i="83"/>
  <c r="AU134" i="85"/>
  <c r="AU134" i="86"/>
  <c r="AU134" i="88"/>
  <c r="AU134" i="90"/>
  <c r="AU134" i="87"/>
  <c r="AU134" i="89"/>
  <c r="AY134" i="82"/>
  <c r="AY134" i="84"/>
  <c r="AY134" i="83"/>
  <c r="AY134" i="85"/>
  <c r="AY134" i="86"/>
  <c r="AY134" i="88"/>
  <c r="AY134" i="90"/>
  <c r="AY134" i="87"/>
  <c r="AY134" i="89"/>
  <c r="AZ134" i="82"/>
  <c r="AZ134" i="83"/>
  <c r="AZ134" i="84"/>
  <c r="AZ134" i="86"/>
  <c r="AZ134" i="85"/>
  <c r="AZ134" i="87"/>
  <c r="AZ134" i="89"/>
  <c r="AZ134" i="88"/>
  <c r="AZ134" i="90"/>
  <c r="BB134" i="82"/>
  <c r="BB134" i="83"/>
  <c r="BB134" i="84"/>
  <c r="BB134" i="86"/>
  <c r="BB134" i="85"/>
  <c r="BB134" i="87"/>
  <c r="BB134" i="89"/>
  <c r="BB134" i="88"/>
  <c r="BB134" i="90"/>
  <c r="AR135" i="82"/>
  <c r="AR135" i="84"/>
  <c r="AR135" i="83"/>
  <c r="AR135" i="85"/>
  <c r="AR135" i="86"/>
  <c r="AR135" i="88"/>
  <c r="AR135" i="90"/>
  <c r="AR135" i="87"/>
  <c r="AR135" i="89"/>
  <c r="AV135" i="82"/>
  <c r="AV135" i="84"/>
  <c r="AV135" i="83"/>
  <c r="AV135" i="85"/>
  <c r="AV135" i="86"/>
  <c r="AV135" i="88"/>
  <c r="AV135" i="90"/>
  <c r="AV135" i="87"/>
  <c r="AV135" i="89"/>
  <c r="AW135" i="82"/>
  <c r="AW135" i="83"/>
  <c r="AW135" i="84"/>
  <c r="AW135" i="86"/>
  <c r="AW135" i="85"/>
  <c r="AW135" i="87"/>
  <c r="AW135" i="89"/>
  <c r="AW135" i="88"/>
  <c r="AW135" i="90"/>
  <c r="AX135" i="82"/>
  <c r="AX135" i="84"/>
  <c r="AX135" i="83"/>
  <c r="AX135" i="85"/>
  <c r="AX135" i="86"/>
  <c r="AX135" i="88"/>
  <c r="AX135" i="90"/>
  <c r="AX135" i="87"/>
  <c r="AX135" i="89"/>
  <c r="BA135" i="82"/>
  <c r="BA135" i="83"/>
  <c r="BA135" i="84"/>
  <c r="BA135" i="86"/>
  <c r="BA135" i="85"/>
  <c r="BA135" i="87"/>
  <c r="BA135" i="89"/>
  <c r="BA135" i="88"/>
  <c r="BA135" i="90"/>
  <c r="BC135" i="82"/>
  <c r="AQ135" i="82"/>
  <c r="BC135" i="83"/>
  <c r="AQ135" i="83"/>
  <c r="BC135" i="84"/>
  <c r="AQ135" i="84"/>
  <c r="BC135" i="86"/>
  <c r="AQ135" i="86"/>
  <c r="BC135" i="85"/>
  <c r="AQ135" i="85"/>
  <c r="BC135" i="87"/>
  <c r="AQ135" i="87"/>
  <c r="BC135" i="89"/>
  <c r="AQ135" i="89"/>
  <c r="BC135" i="88"/>
  <c r="AQ135" i="88"/>
  <c r="BC135" i="90"/>
  <c r="AQ135" i="90"/>
  <c r="AT136" i="82"/>
  <c r="AT136" i="83"/>
  <c r="AT136" i="84"/>
  <c r="AT136" i="86"/>
  <c r="AT136" i="85"/>
  <c r="AT136" i="87"/>
  <c r="AT136" i="89"/>
  <c r="AT136" i="88"/>
  <c r="AT136" i="90"/>
  <c r="AU136" i="82"/>
  <c r="AU136" i="84"/>
  <c r="AU136" i="83"/>
  <c r="AU136" i="85"/>
  <c r="AU136" i="86"/>
  <c r="AU136" i="88"/>
  <c r="AU136" i="90"/>
  <c r="AU136" i="87"/>
  <c r="AU136" i="89"/>
  <c r="AY136" i="82"/>
  <c r="AY136" i="84"/>
  <c r="AY136" i="83"/>
  <c r="AY136" i="85"/>
  <c r="AY136" i="86"/>
  <c r="AY136" i="88"/>
  <c r="AY136" i="90"/>
  <c r="AY136" i="87"/>
  <c r="AY136" i="89"/>
  <c r="AZ136" i="82"/>
  <c r="AZ136" i="83"/>
  <c r="AZ136" i="84"/>
  <c r="AZ136" i="86"/>
  <c r="AZ136" i="85"/>
  <c r="AZ136" i="87"/>
  <c r="AZ136" i="89"/>
  <c r="AZ136" i="88"/>
  <c r="AZ136" i="90"/>
  <c r="BB136" i="82"/>
  <c r="BB136" i="83"/>
  <c r="BB136" i="84"/>
  <c r="BB136" i="86"/>
  <c r="BB136" i="85"/>
  <c r="BB136" i="87"/>
  <c r="BB136" i="89"/>
  <c r="BB136" i="88"/>
  <c r="BB136" i="90"/>
  <c r="AR137" i="82"/>
  <c r="AR137" i="84"/>
  <c r="AR137" i="83"/>
  <c r="AR137" i="85"/>
  <c r="AR137" i="86"/>
  <c r="AR137" i="88"/>
  <c r="AR137" i="90"/>
  <c r="AR137" i="87"/>
  <c r="AR137" i="89"/>
  <c r="AV137" i="82"/>
  <c r="AV137" i="84"/>
  <c r="AV137" i="83"/>
  <c r="AV137" i="85"/>
  <c r="AV137" i="86"/>
  <c r="AV137" i="88"/>
  <c r="AV137" i="90"/>
  <c r="AV137" i="87"/>
  <c r="AV137" i="89"/>
  <c r="AW137" i="82"/>
  <c r="AW137" i="83"/>
  <c r="AW137" i="84"/>
  <c r="AW137" i="86"/>
  <c r="AW137" i="85"/>
  <c r="AW137" i="87"/>
  <c r="AW137" i="89"/>
  <c r="AW137" i="88"/>
  <c r="AW137" i="90"/>
  <c r="AX137" i="82"/>
  <c r="AX137" i="84"/>
  <c r="AX137" i="83"/>
  <c r="AX137" i="85"/>
  <c r="AX137" i="86"/>
  <c r="AX137" i="88"/>
  <c r="AX137" i="90"/>
  <c r="AX137" i="87"/>
  <c r="AX137" i="89"/>
  <c r="BA137" i="82"/>
  <c r="BA137" i="83"/>
  <c r="BA137" i="84"/>
  <c r="BA137" i="86"/>
  <c r="BA137" i="85"/>
  <c r="BA137" i="87"/>
  <c r="BA137" i="89"/>
  <c r="BA137" i="88"/>
  <c r="BA137" i="90"/>
  <c r="BC137" i="82"/>
  <c r="AQ137" i="82"/>
  <c r="BC137" i="83"/>
  <c r="AQ137" i="83"/>
  <c r="BC137" i="84"/>
  <c r="AQ137" i="84"/>
  <c r="BC137" i="86"/>
  <c r="AQ137" i="86"/>
  <c r="BC137" i="85"/>
  <c r="AQ137" i="85"/>
  <c r="BC137" i="87"/>
  <c r="AQ137" i="87"/>
  <c r="BC137" i="89"/>
  <c r="AQ137" i="89"/>
  <c r="BC137" i="88"/>
  <c r="AQ137" i="88"/>
  <c r="BC137" i="90"/>
  <c r="AQ137" i="90"/>
  <c r="AT138" i="82"/>
  <c r="AT138" i="83"/>
  <c r="AT138" i="84"/>
  <c r="AT138" i="86"/>
  <c r="AT138" i="85"/>
  <c r="AT138" i="87"/>
  <c r="AT138" i="89"/>
  <c r="AT138" i="88"/>
  <c r="AT138" i="90"/>
  <c r="AU138" i="82"/>
  <c r="AU138" i="84"/>
  <c r="AU138" i="83"/>
  <c r="AU138" i="85"/>
  <c r="AU138" i="86"/>
  <c r="AU138" i="88"/>
  <c r="AU138" i="90"/>
  <c r="AU138" i="87"/>
  <c r="AU138" i="89"/>
  <c r="AY138" i="82"/>
  <c r="AY138" i="84"/>
  <c r="AY138" i="83"/>
  <c r="AY138" i="85"/>
  <c r="AY138" i="86"/>
  <c r="AY138" i="88"/>
  <c r="AY138" i="90"/>
  <c r="AY138" i="87"/>
  <c r="AY138" i="89"/>
  <c r="AZ138" i="82"/>
  <c r="AZ138" i="83"/>
  <c r="AZ138" i="84"/>
  <c r="AZ138" i="86"/>
  <c r="AZ138" i="85"/>
  <c r="AZ138" i="87"/>
  <c r="AZ138" i="89"/>
  <c r="AZ138" i="88"/>
  <c r="AZ138" i="90"/>
  <c r="BB138" i="82"/>
  <c r="BB138" i="83"/>
  <c r="BB138" i="84"/>
  <c r="BB138" i="86"/>
  <c r="BB138" i="85"/>
  <c r="BB138" i="87"/>
  <c r="BB138" i="89"/>
  <c r="BB138" i="88"/>
  <c r="BB138" i="90"/>
  <c r="AR139" i="82"/>
  <c r="AR139" i="84"/>
  <c r="AR139" i="83"/>
  <c r="AR139" i="85"/>
  <c r="AR139" i="86"/>
  <c r="AR139" i="88"/>
  <c r="AR139" i="90"/>
  <c r="AR139" i="87"/>
  <c r="AR139" i="89"/>
  <c r="AV139" i="82"/>
  <c r="AV139" i="84"/>
  <c r="AV139" i="83"/>
  <c r="AV139" i="85"/>
  <c r="AV139" i="86"/>
  <c r="AV139" i="88"/>
  <c r="AV139" i="90"/>
  <c r="AV139" i="87"/>
  <c r="AV139" i="89"/>
  <c r="AW139" i="82"/>
  <c r="AW139" i="83"/>
  <c r="AW139" i="84"/>
  <c r="AW139" i="86"/>
  <c r="AW139" i="85"/>
  <c r="AW139" i="87"/>
  <c r="AW139" i="89"/>
  <c r="AW139" i="88"/>
  <c r="AW139" i="90"/>
  <c r="AX139" i="82"/>
  <c r="AX139" i="84"/>
  <c r="AX139" i="83"/>
  <c r="AX139" i="85"/>
  <c r="AX139" i="86"/>
  <c r="AX139" i="88"/>
  <c r="AX139" i="90"/>
  <c r="AX139" i="87"/>
  <c r="AX139" i="89"/>
  <c r="BA139" i="82"/>
  <c r="BA139" i="83"/>
  <c r="BA139" i="84"/>
  <c r="BA139" i="86"/>
  <c r="BA139" i="85"/>
  <c r="BA139" i="87"/>
  <c r="BA139" i="89"/>
  <c r="BA139" i="88"/>
  <c r="BA139" i="90"/>
  <c r="BC139" i="82"/>
  <c r="AQ139" i="82"/>
  <c r="BC139" i="83"/>
  <c r="AQ139" i="83"/>
  <c r="BC139" i="84"/>
  <c r="AQ139" i="84"/>
  <c r="BC139" i="86"/>
  <c r="AQ139" i="86"/>
  <c r="BC139" i="85"/>
  <c r="AQ139" i="85"/>
  <c r="BC139" i="87"/>
  <c r="AQ139" i="87"/>
  <c r="BC139" i="89"/>
  <c r="AQ139" i="89"/>
  <c r="BC139" i="88"/>
  <c r="AQ139" i="88"/>
  <c r="BC139" i="90"/>
  <c r="AQ139" i="90"/>
  <c r="AT140" i="82"/>
  <c r="AT140" i="83"/>
  <c r="AT140" i="84"/>
  <c r="AT140" i="86"/>
  <c r="AT140" i="85"/>
  <c r="AT140" i="87"/>
  <c r="AT140" i="89"/>
  <c r="AT140" i="88"/>
  <c r="AT140" i="90"/>
  <c r="AU140" i="82"/>
  <c r="AU140" i="84"/>
  <c r="AU140" i="83"/>
  <c r="AU140" i="85"/>
  <c r="AU140" i="86"/>
  <c r="AU140" i="88"/>
  <c r="AU140" i="90"/>
  <c r="AU140" i="87"/>
  <c r="AU140" i="89"/>
  <c r="AY140" i="82"/>
  <c r="AY140" i="84"/>
  <c r="AY140" i="83"/>
  <c r="AY140" i="85"/>
  <c r="AY140" i="86"/>
  <c r="AY140" i="88"/>
  <c r="AY140" i="90"/>
  <c r="AY140" i="87"/>
  <c r="AY140" i="89"/>
  <c r="AZ140" i="82"/>
  <c r="AZ140" i="83"/>
  <c r="AZ140" i="84"/>
  <c r="AZ140" i="86"/>
  <c r="AZ140" i="85"/>
  <c r="AZ140" i="87"/>
  <c r="AZ140" i="89"/>
  <c r="AZ140" i="88"/>
  <c r="AZ140" i="90"/>
  <c r="BB140" i="82"/>
  <c r="BB140" i="83"/>
  <c r="BB140" i="84"/>
  <c r="BB140" i="86"/>
  <c r="BB140" i="85"/>
  <c r="BB140" i="87"/>
  <c r="BB140" i="89"/>
  <c r="BB140" i="88"/>
  <c r="BB140" i="90"/>
  <c r="AR141" i="82"/>
  <c r="AR141" i="84"/>
  <c r="AR141" i="83"/>
  <c r="AR141" i="85"/>
  <c r="AR141" i="86"/>
  <c r="AR141" i="88"/>
  <c r="AR141" i="90"/>
  <c r="AR141" i="87"/>
  <c r="AR141" i="89"/>
  <c r="AV141" i="82"/>
  <c r="AV141" i="84"/>
  <c r="AV141" i="83"/>
  <c r="AV141" i="85"/>
  <c r="AV141" i="86"/>
  <c r="AV141" i="88"/>
  <c r="AV141" i="90"/>
  <c r="AV141" i="87"/>
  <c r="AV141" i="89"/>
  <c r="AW141" i="82"/>
  <c r="AW141" i="83"/>
  <c r="AW141" i="84"/>
  <c r="AW141" i="86"/>
  <c r="AW141" i="85"/>
  <c r="AW141" i="87"/>
  <c r="AW141" i="89"/>
  <c r="AW141" i="88"/>
  <c r="AW141" i="90"/>
  <c r="AX141" i="82"/>
  <c r="AX141" i="84"/>
  <c r="AX141" i="83"/>
  <c r="AX141" i="85"/>
  <c r="AX141" i="86"/>
  <c r="AX141" i="88"/>
  <c r="AX141" i="90"/>
  <c r="AX141" i="87"/>
  <c r="AX141" i="89"/>
  <c r="BA141" i="82"/>
  <c r="BA141" i="83"/>
  <c r="BA141" i="84"/>
  <c r="BA141" i="86"/>
  <c r="BA141" i="85"/>
  <c r="BA141" i="87"/>
  <c r="BA141" i="89"/>
  <c r="BA141" i="88"/>
  <c r="BA141" i="90"/>
  <c r="BC141" i="82"/>
  <c r="AQ141" i="82"/>
  <c r="BC141" i="83"/>
  <c r="AQ141" i="83"/>
  <c r="BC141" i="84"/>
  <c r="AQ141" i="84"/>
  <c r="BC141" i="86"/>
  <c r="AQ141" i="86"/>
  <c r="BC141" i="85"/>
  <c r="AQ141" i="85"/>
  <c r="BC141" i="87"/>
  <c r="AQ141" i="87"/>
  <c r="BC141" i="89"/>
  <c r="AQ141" i="89"/>
  <c r="BC141" i="88"/>
  <c r="AQ141" i="88"/>
  <c r="BC141" i="90"/>
  <c r="AQ141" i="90"/>
  <c r="AT142" i="82"/>
  <c r="AT142" i="83"/>
  <c r="AT142" i="84"/>
  <c r="AT142" i="86"/>
  <c r="AT142" i="85"/>
  <c r="AT142" i="87"/>
  <c r="AT142" i="89"/>
  <c r="AT142" i="88"/>
  <c r="AT142" i="90"/>
  <c r="AU142" i="82"/>
  <c r="AU142" i="84"/>
  <c r="AU142" i="83"/>
  <c r="AU142" i="85"/>
  <c r="AU142" i="86"/>
  <c r="AU142" i="88"/>
  <c r="AU142" i="90"/>
  <c r="AU142" i="87"/>
  <c r="AU142" i="89"/>
  <c r="AY142" i="82"/>
  <c r="AY142" i="84"/>
  <c r="AY142" i="83"/>
  <c r="AY142" i="85"/>
  <c r="AY142" i="86"/>
  <c r="AY142" i="88"/>
  <c r="AY142" i="90"/>
  <c r="AY142" i="87"/>
  <c r="AY142" i="89"/>
  <c r="AZ142" i="82"/>
  <c r="AZ142" i="83"/>
  <c r="AZ142" i="84"/>
  <c r="AZ142" i="86"/>
  <c r="AZ142" i="85"/>
  <c r="AZ142" i="87"/>
  <c r="AZ142" i="89"/>
  <c r="AZ142" i="88"/>
  <c r="AZ142" i="90"/>
  <c r="BB142" i="82"/>
  <c r="BB142" i="83"/>
  <c r="BB142" i="84"/>
  <c r="BB142" i="86"/>
  <c r="BB142" i="85"/>
  <c r="BB142" i="87"/>
  <c r="BB142" i="89"/>
  <c r="BB142" i="88"/>
  <c r="BB142" i="90"/>
  <c r="AR143" i="82"/>
  <c r="AR143" i="84"/>
  <c r="AR143" i="83"/>
  <c r="AR143" i="85"/>
  <c r="AR143" i="86"/>
  <c r="AR143" i="88"/>
  <c r="AR143" i="90"/>
  <c r="AR143" i="87"/>
  <c r="AR143" i="89"/>
  <c r="AV143" i="82"/>
  <c r="AV143" i="84"/>
  <c r="AV143" i="83"/>
  <c r="AV143" i="85"/>
  <c r="AV143" i="86"/>
  <c r="AV143" i="88"/>
  <c r="AV143" i="90"/>
  <c r="AV143" i="87"/>
  <c r="AV143" i="89"/>
  <c r="AW143" i="82"/>
  <c r="AW143" i="83"/>
  <c r="AW143" i="84"/>
  <c r="AW143" i="86"/>
  <c r="AW143" i="85"/>
  <c r="AW143" i="87"/>
  <c r="AW143" i="89"/>
  <c r="AW143" i="88"/>
  <c r="AW143" i="90"/>
  <c r="AX143" i="82"/>
  <c r="AX143" i="84"/>
  <c r="AX143" i="83"/>
  <c r="AX143" i="85"/>
  <c r="AX143" i="86"/>
  <c r="AX143" i="88"/>
  <c r="AX143" i="90"/>
  <c r="AX143" i="87"/>
  <c r="AX143" i="89"/>
  <c r="BA143" i="82"/>
  <c r="BA143" i="83"/>
  <c r="BA143" i="84"/>
  <c r="BA143" i="86"/>
  <c r="BA143" i="85"/>
  <c r="BA143" i="87"/>
  <c r="BA143" i="89"/>
  <c r="BA143" i="88"/>
  <c r="BA143" i="90"/>
  <c r="BC143" i="82"/>
  <c r="AQ143" i="82"/>
  <c r="BC143" i="83"/>
  <c r="AQ143" i="83"/>
  <c r="BC143" i="84"/>
  <c r="AQ143" i="84"/>
  <c r="BC143" i="86"/>
  <c r="AQ143" i="86"/>
  <c r="BC143" i="85"/>
  <c r="AQ143" i="85"/>
  <c r="BC143" i="87"/>
  <c r="AQ143" i="87"/>
  <c r="BC143" i="89"/>
  <c r="AQ143" i="89"/>
  <c r="BC143" i="88"/>
  <c r="AQ143" i="88"/>
  <c r="BC143" i="90"/>
  <c r="AQ143" i="90"/>
  <c r="AT144" i="82"/>
  <c r="AT144" i="83"/>
  <c r="AT144" i="84"/>
  <c r="AT144" i="86"/>
  <c r="AT144" i="85"/>
  <c r="AT144" i="87"/>
  <c r="AT144" i="89"/>
  <c r="AT144" i="88"/>
  <c r="AT144" i="90"/>
  <c r="AU144" i="82"/>
  <c r="AU144" i="84"/>
  <c r="AU144" i="83"/>
  <c r="AU144" i="85"/>
  <c r="AU144" i="86"/>
  <c r="AU144" i="88"/>
  <c r="AU144" i="90"/>
  <c r="AU144" i="87"/>
  <c r="AU144" i="89"/>
  <c r="AY144" i="82"/>
  <c r="AY144" i="84"/>
  <c r="AY144" i="83"/>
  <c r="AY144" i="85"/>
  <c r="AY144" i="86"/>
  <c r="AY144" i="88"/>
  <c r="AY144" i="90"/>
  <c r="AY144" i="87"/>
  <c r="AY144" i="89"/>
  <c r="AZ144" i="82"/>
  <c r="AZ144" i="83"/>
  <c r="AZ144" i="84"/>
  <c r="AZ144" i="86"/>
  <c r="AZ144" i="85"/>
  <c r="AZ144" i="87"/>
  <c r="AZ144" i="89"/>
  <c r="AZ144" i="88"/>
  <c r="AZ144" i="90"/>
  <c r="BB144" i="82"/>
  <c r="BB144" i="83"/>
  <c r="BB144" i="84"/>
  <c r="BB144" i="86"/>
  <c r="BB144" i="85"/>
  <c r="BB144" i="87"/>
  <c r="BB144" i="89"/>
  <c r="BB144" i="88"/>
  <c r="BB144" i="90"/>
  <c r="AR145" i="82"/>
  <c r="AR145" i="84"/>
  <c r="AR145" i="83"/>
  <c r="AR145" i="85"/>
  <c r="AR145" i="86"/>
  <c r="AR145" i="88"/>
  <c r="AR145" i="90"/>
  <c r="AR145" i="87"/>
  <c r="AR145" i="89"/>
  <c r="AV145" i="82"/>
  <c r="AV145" i="84"/>
  <c r="AV145" i="83"/>
  <c r="AV145" i="85"/>
  <c r="AV145" i="86"/>
  <c r="AV145" i="88"/>
  <c r="AV145" i="90"/>
  <c r="AV145" i="87"/>
  <c r="AV145" i="89"/>
  <c r="AW145" i="82"/>
  <c r="AW145" i="83"/>
  <c r="AW145" i="84"/>
  <c r="AW145" i="86"/>
  <c r="AW145" i="85"/>
  <c r="AW145" i="87"/>
  <c r="AW145" i="89"/>
  <c r="AW145" i="88"/>
  <c r="AW145" i="90"/>
  <c r="AX145" i="82"/>
  <c r="AX145" i="84"/>
  <c r="AX145" i="83"/>
  <c r="AX145" i="85"/>
  <c r="AX145" i="86"/>
  <c r="AX145" i="88"/>
  <c r="AX145" i="90"/>
  <c r="AX145" i="87"/>
  <c r="AX145" i="89"/>
  <c r="BA145" i="82"/>
  <c r="BA145" i="83"/>
  <c r="BA145" i="84"/>
  <c r="BA145" i="86"/>
  <c r="BA145" i="85"/>
  <c r="BA145" i="87"/>
  <c r="BA145" i="89"/>
  <c r="BA145" i="88"/>
  <c r="BA145" i="90"/>
  <c r="BC145" i="82"/>
  <c r="AQ145" i="82"/>
  <c r="BC145" i="83"/>
  <c r="AQ145" i="83"/>
  <c r="BC145" i="84"/>
  <c r="AQ145" i="84"/>
  <c r="BC145" i="86"/>
  <c r="AQ145" i="86"/>
  <c r="BC145" i="85"/>
  <c r="AQ145" i="85"/>
  <c r="BC145" i="87"/>
  <c r="AQ145" i="87"/>
  <c r="BC145" i="89"/>
  <c r="AQ145" i="89"/>
  <c r="BC145" i="88"/>
  <c r="AQ145" i="88"/>
  <c r="BC145" i="90"/>
  <c r="AQ145" i="90"/>
  <c r="AT146" i="82"/>
  <c r="AT146" i="83"/>
  <c r="AT146" i="84"/>
  <c r="AT146" i="86"/>
  <c r="AT146" i="85"/>
  <c r="AT146" i="87"/>
  <c r="AT146" i="89"/>
  <c r="AT146" i="88"/>
  <c r="AT146" i="90"/>
  <c r="AU146" i="82"/>
  <c r="AU146" i="84"/>
  <c r="AU146" i="83"/>
  <c r="AU146" i="85"/>
  <c r="AU146" i="86"/>
  <c r="AU146" i="88"/>
  <c r="AU146" i="90"/>
  <c r="AU146" i="87"/>
  <c r="AU146" i="89"/>
  <c r="AY146" i="82"/>
  <c r="AY146" i="84"/>
  <c r="AY146" i="83"/>
  <c r="AY146" i="85"/>
  <c r="AY146" i="86"/>
  <c r="AY146" i="88"/>
  <c r="AY146" i="90"/>
  <c r="AY146" i="87"/>
  <c r="AY146" i="89"/>
  <c r="AZ146" i="82"/>
  <c r="AZ146" i="83"/>
  <c r="AZ146" i="84"/>
  <c r="AZ146" i="86"/>
  <c r="AZ146" i="85"/>
  <c r="AZ146" i="87"/>
  <c r="AZ146" i="89"/>
  <c r="AZ146" i="88"/>
  <c r="AZ146" i="90"/>
  <c r="BB146" i="82"/>
  <c r="BB146" i="83"/>
  <c r="BB146" i="84"/>
  <c r="BB146" i="86"/>
  <c r="BB146" i="85"/>
  <c r="BB146" i="87"/>
  <c r="BB146" i="89"/>
  <c r="BB146" i="88"/>
  <c r="BB146" i="90"/>
  <c r="AR147" i="82"/>
  <c r="AR147" i="84"/>
  <c r="AR147" i="83"/>
  <c r="AR147" i="85"/>
  <c r="AR147" i="86"/>
  <c r="AR147" i="88"/>
  <c r="AR147" i="90"/>
  <c r="AR147" i="87"/>
  <c r="AR147" i="89"/>
  <c r="AV147" i="82"/>
  <c r="AV147" i="84"/>
  <c r="AV147" i="83"/>
  <c r="AV147" i="85"/>
  <c r="AV147" i="86"/>
  <c r="AV147" i="88"/>
  <c r="AV147" i="90"/>
  <c r="AV147" i="87"/>
  <c r="AV147" i="89"/>
  <c r="AW147" i="82"/>
  <c r="AW147" i="83"/>
  <c r="AW147" i="84"/>
  <c r="AW147" i="86"/>
  <c r="AW147" i="85"/>
  <c r="AW147" i="87"/>
  <c r="AW147" i="89"/>
  <c r="AW147" i="88"/>
  <c r="AW147" i="90"/>
  <c r="AX147" i="82"/>
  <c r="AX147" i="84"/>
  <c r="AX147" i="83"/>
  <c r="AX147" i="85"/>
  <c r="AX147" i="86"/>
  <c r="AX147" i="88"/>
  <c r="AX147" i="90"/>
  <c r="AX147" i="87"/>
  <c r="AX147" i="89"/>
  <c r="BA147" i="82"/>
  <c r="BA147" i="83"/>
  <c r="BA147" i="84"/>
  <c r="BA147" i="86"/>
  <c r="BA147" i="85"/>
  <c r="BA147" i="87"/>
  <c r="BA147" i="89"/>
  <c r="BA147" i="88"/>
  <c r="BA147" i="90"/>
  <c r="BC147" i="82"/>
  <c r="AQ147" i="82"/>
  <c r="BC147" i="83"/>
  <c r="AQ147" i="83"/>
  <c r="BC147" i="84"/>
  <c r="AQ147" i="84"/>
  <c r="BC147" i="86"/>
  <c r="AQ147" i="86"/>
  <c r="BC147" i="85"/>
  <c r="AQ147" i="85"/>
  <c r="BC147" i="87"/>
  <c r="AQ147" i="87"/>
  <c r="BC147" i="89"/>
  <c r="AQ147" i="89"/>
  <c r="BC147" i="88"/>
  <c r="AQ147" i="88"/>
  <c r="BC147" i="90"/>
  <c r="AQ147" i="90"/>
  <c r="AT148" i="82"/>
  <c r="AT148" i="83"/>
  <c r="AT148" i="84"/>
  <c r="AT148" i="86"/>
  <c r="AT148" i="85"/>
  <c r="AT148" i="87"/>
  <c r="AT148" i="89"/>
  <c r="AT148" i="88"/>
  <c r="AT148" i="90"/>
  <c r="AU148" i="82"/>
  <c r="AU148" i="84"/>
  <c r="AU148" i="83"/>
  <c r="AU148" i="85"/>
  <c r="AU148" i="86"/>
  <c r="AU148" i="88"/>
  <c r="AU148" i="90"/>
  <c r="AU148" i="87"/>
  <c r="AU148" i="89"/>
  <c r="AY148" i="82"/>
  <c r="AY148" i="84"/>
  <c r="AY148" i="83"/>
  <c r="AY148" i="85"/>
  <c r="AY148" i="86"/>
  <c r="AY148" i="88"/>
  <c r="AY148" i="90"/>
  <c r="AY148" i="87"/>
  <c r="AY148" i="89"/>
  <c r="AZ148" i="82"/>
  <c r="AZ148" i="83"/>
  <c r="AZ148" i="84"/>
  <c r="AZ148" i="86"/>
  <c r="AZ148" i="85"/>
  <c r="AZ148" i="87"/>
  <c r="AZ148" i="89"/>
  <c r="AZ148" i="88"/>
  <c r="AZ148" i="90"/>
  <c r="BB148" i="82"/>
  <c r="BB148" i="83"/>
  <c r="BB148" i="84"/>
  <c r="BB148" i="86"/>
  <c r="BB148" i="85"/>
  <c r="BB148" i="87"/>
  <c r="BB148" i="89"/>
  <c r="BB148" i="88"/>
  <c r="BB148" i="90"/>
  <c r="AR149" i="82"/>
  <c r="AR149" i="84"/>
  <c r="AR149" i="83"/>
  <c r="AR149" i="85"/>
  <c r="AR149" i="86"/>
  <c r="AR149" i="88"/>
  <c r="AR149" i="90"/>
  <c r="AR149" i="87"/>
  <c r="AR149" i="89"/>
  <c r="AV149" i="82"/>
  <c r="AV149" i="84"/>
  <c r="AV149" i="83"/>
  <c r="AV149" i="85"/>
  <c r="AV149" i="86"/>
  <c r="AV149" i="88"/>
  <c r="AV149" i="90"/>
  <c r="AV149" i="87"/>
  <c r="AV149" i="89"/>
  <c r="AW149" i="82"/>
  <c r="AW149" i="83"/>
  <c r="AW149" i="84"/>
  <c r="AW149" i="86"/>
  <c r="AW149" i="85"/>
  <c r="AW149" i="87"/>
  <c r="AW149" i="89"/>
  <c r="AW149" i="88"/>
  <c r="AW149" i="90"/>
  <c r="AX149" i="82"/>
  <c r="AX149" i="84"/>
  <c r="AX149" i="83"/>
  <c r="AX149" i="85"/>
  <c r="AX149" i="86"/>
  <c r="AX149" i="88"/>
  <c r="AX149" i="90"/>
  <c r="AX149" i="87"/>
  <c r="AX149" i="89"/>
  <c r="BA149" i="82"/>
  <c r="BA149" i="83"/>
  <c r="BA149" i="84"/>
  <c r="BA149" i="86"/>
  <c r="BA149" i="85"/>
  <c r="BA149" i="87"/>
  <c r="BA149" i="89"/>
  <c r="BA149" i="88"/>
  <c r="BA149" i="90"/>
  <c r="BC149" i="82"/>
  <c r="AQ149" i="82"/>
  <c r="BC149" i="83"/>
  <c r="AQ149" i="83"/>
  <c r="BC149" i="84"/>
  <c r="AQ149" i="84"/>
  <c r="BC149" i="86"/>
  <c r="AQ149" i="86"/>
  <c r="BC149" i="85"/>
  <c r="AQ149" i="85"/>
  <c r="BC149" i="87"/>
  <c r="AQ149" i="87"/>
  <c r="BC149" i="89"/>
  <c r="AQ149" i="89"/>
  <c r="BC149" i="88"/>
  <c r="AQ149" i="88"/>
  <c r="BC149" i="90"/>
  <c r="AQ149" i="90"/>
  <c r="AT150" i="82"/>
  <c r="AT150" i="83"/>
  <c r="AT150" i="84"/>
  <c r="AT150" i="86"/>
  <c r="AT150" i="85"/>
  <c r="AT150" i="87"/>
  <c r="AT150" i="89"/>
  <c r="AT150" i="88"/>
  <c r="AT150" i="90"/>
  <c r="AU150" i="82"/>
  <c r="AU150" i="84"/>
  <c r="AU150" i="83"/>
  <c r="AU150" i="85"/>
  <c r="AU150" i="86"/>
  <c r="AU150" i="88"/>
  <c r="AU150" i="90"/>
  <c r="AU150" i="87"/>
  <c r="AU150" i="89"/>
  <c r="AY150" i="82"/>
  <c r="AY150" i="84"/>
  <c r="AY150" i="83"/>
  <c r="AY150" i="85"/>
  <c r="AY150" i="86"/>
  <c r="AY150" i="88"/>
  <c r="AY150" i="90"/>
  <c r="AY150" i="87"/>
  <c r="AY150" i="89"/>
  <c r="AZ150" i="82"/>
  <c r="AZ150" i="83"/>
  <c r="AZ150" i="84"/>
  <c r="AZ150" i="86"/>
  <c r="AZ150" i="85"/>
  <c r="AZ150" i="87"/>
  <c r="AZ150" i="89"/>
  <c r="AZ150" i="88"/>
  <c r="AZ150" i="90"/>
  <c r="BB150" i="82"/>
  <c r="BB150" i="83"/>
  <c r="BB150" i="84"/>
  <c r="BB150" i="86"/>
  <c r="BB150" i="85"/>
  <c r="BB150" i="87"/>
  <c r="BB150" i="89"/>
  <c r="BB150" i="88"/>
  <c r="BB150" i="90"/>
  <c r="AR151" i="82"/>
  <c r="AR151" i="84"/>
  <c r="AR151" i="83"/>
  <c r="AR151" i="85"/>
  <c r="AR151" i="86"/>
  <c r="AR151" i="88"/>
  <c r="AR151" i="90"/>
  <c r="AR151" i="87"/>
  <c r="AR151" i="89"/>
  <c r="AV151" i="82"/>
  <c r="AV151" i="84"/>
  <c r="AV151" i="83"/>
  <c r="AV151" i="85"/>
  <c r="AV151" i="86"/>
  <c r="AV151" i="88"/>
  <c r="AV151" i="90"/>
  <c r="AV151" i="87"/>
  <c r="AV151" i="89"/>
  <c r="AW151" i="82"/>
  <c r="AW151" i="83"/>
  <c r="AW151" i="84"/>
  <c r="AW151" i="86"/>
  <c r="AW151" i="85"/>
  <c r="AW151" i="87"/>
  <c r="AW151" i="89"/>
  <c r="AW151" i="88"/>
  <c r="AW151" i="90"/>
  <c r="AX151" i="82"/>
  <c r="AX151" i="84"/>
  <c r="AX151" i="83"/>
  <c r="AX151" i="85"/>
  <c r="AX151" i="86"/>
  <c r="AX151" i="88"/>
  <c r="AX151" i="90"/>
  <c r="AX151" i="87"/>
  <c r="AX151" i="89"/>
  <c r="BA151" i="82"/>
  <c r="BA151" i="83"/>
  <c r="BA151" i="84"/>
  <c r="BA151" i="86"/>
  <c r="BA151" i="85"/>
  <c r="BA151" i="87"/>
  <c r="BA151" i="89"/>
  <c r="BA151" i="88"/>
  <c r="BA151" i="90"/>
  <c r="BC151" i="82"/>
  <c r="AQ151" i="82"/>
  <c r="BC151" i="83"/>
  <c r="AQ151" i="83"/>
  <c r="BC151" i="84"/>
  <c r="AQ151" i="84"/>
  <c r="BC151" i="86"/>
  <c r="AQ151" i="86"/>
  <c r="BC151" i="85"/>
  <c r="AQ151" i="85"/>
  <c r="BC151" i="87"/>
  <c r="AQ151" i="87"/>
  <c r="BC151" i="89"/>
  <c r="AQ151" i="89"/>
  <c r="BC151" i="88"/>
  <c r="AQ151" i="88"/>
  <c r="BC151" i="90"/>
  <c r="AQ151" i="90"/>
  <c r="AT152" i="82"/>
  <c r="AT152" i="83"/>
  <c r="AT152" i="84"/>
  <c r="AT152" i="86"/>
  <c r="AT152" i="85"/>
  <c r="AT152" i="87"/>
  <c r="AT152" i="89"/>
  <c r="AT152" i="88"/>
  <c r="AT152" i="90"/>
  <c r="AU152" i="82"/>
  <c r="AU152" i="84"/>
  <c r="AU152" i="83"/>
  <c r="AU152" i="85"/>
  <c r="AU152" i="86"/>
  <c r="AU152" i="88"/>
  <c r="AU152" i="90"/>
  <c r="AU152" i="87"/>
  <c r="AU152" i="89"/>
  <c r="AY152" i="82"/>
  <c r="AY152" i="84"/>
  <c r="AY152" i="83"/>
  <c r="AY152" i="85"/>
  <c r="AY152" i="86"/>
  <c r="AY152" i="88"/>
  <c r="AY152" i="90"/>
  <c r="AY152" i="87"/>
  <c r="AY152" i="89"/>
  <c r="AZ152" i="82"/>
  <c r="AZ152" i="83"/>
  <c r="AZ152" i="84"/>
  <c r="AZ152" i="86"/>
  <c r="AZ152" i="85"/>
  <c r="AZ152" i="87"/>
  <c r="AZ152" i="89"/>
  <c r="AZ152" i="88"/>
  <c r="AZ152" i="90"/>
  <c r="BB152" i="82"/>
  <c r="BB152" i="83"/>
  <c r="BB152" i="84"/>
  <c r="BB152" i="86"/>
  <c r="BB152" i="85"/>
  <c r="BB152" i="87"/>
  <c r="BB152" i="89"/>
  <c r="BB152" i="88"/>
  <c r="BB152" i="90"/>
  <c r="AR153" i="82"/>
  <c r="AR153" i="84"/>
  <c r="AR153" i="83"/>
  <c r="AR153" i="85"/>
  <c r="AR153" i="86"/>
  <c r="AR153" i="88"/>
  <c r="AR153" i="90"/>
  <c r="AR153" i="87"/>
  <c r="AR153" i="89"/>
  <c r="AV153" i="82"/>
  <c r="AV153" i="83"/>
  <c r="AV153" i="84"/>
  <c r="AV153" i="85"/>
  <c r="AV153" i="86"/>
  <c r="AV153" i="88"/>
  <c r="AV153" i="90"/>
  <c r="AV153" i="87"/>
  <c r="AV153" i="89"/>
  <c r="AW153" i="82"/>
  <c r="AW153" i="83"/>
  <c r="AW153" i="84"/>
  <c r="AW153" i="86"/>
  <c r="AW153" i="85"/>
  <c r="AW153" i="87"/>
  <c r="AW153" i="89"/>
  <c r="AW153" i="88"/>
  <c r="AW153" i="90"/>
  <c r="AX153" i="82"/>
  <c r="AX153" i="84"/>
  <c r="AX153" i="83"/>
  <c r="AX153" i="85"/>
  <c r="AX153" i="86"/>
  <c r="AX153" i="88"/>
  <c r="AX153" i="90"/>
  <c r="AX153" i="87"/>
  <c r="AX153" i="89"/>
  <c r="BA153" i="82"/>
  <c r="BA153" i="83"/>
  <c r="BA153" i="84"/>
  <c r="BA153" i="86"/>
  <c r="BA153" i="85"/>
  <c r="BA153" i="87"/>
  <c r="BA153" i="89"/>
  <c r="BA153" i="88"/>
  <c r="BA153" i="90"/>
  <c r="BC153" i="82"/>
  <c r="AQ153" i="82"/>
  <c r="BC153" i="83"/>
  <c r="AQ153" i="83"/>
  <c r="BC153" i="84"/>
  <c r="AQ153" i="84"/>
  <c r="BC153" i="86"/>
  <c r="AQ153" i="86"/>
  <c r="BC153" i="85"/>
  <c r="AQ153" i="85"/>
  <c r="BC153" i="87"/>
  <c r="AQ153" i="87"/>
  <c r="BC153" i="89"/>
  <c r="AQ153" i="89"/>
  <c r="BC153" i="88"/>
  <c r="AQ153" i="88"/>
  <c r="BC153" i="90"/>
  <c r="AQ153" i="90"/>
  <c r="AT154" i="82"/>
  <c r="AT154" i="83"/>
  <c r="AT154" i="84"/>
  <c r="AT154" i="86"/>
  <c r="AT154" i="85"/>
  <c r="AT154" i="87"/>
  <c r="AT154" i="89"/>
  <c r="AT154" i="88"/>
  <c r="AT154" i="90"/>
  <c r="AU154" i="82"/>
  <c r="AU154" i="83"/>
  <c r="AU154" i="84"/>
  <c r="AU154" i="85"/>
  <c r="AU154" i="86"/>
  <c r="AU154" i="88"/>
  <c r="AU154" i="90"/>
  <c r="AU154" i="87"/>
  <c r="AU154" i="89"/>
  <c r="AY154" i="82"/>
  <c r="AY154" i="83"/>
  <c r="AY154" i="84"/>
  <c r="AY154" i="85"/>
  <c r="AY154" i="86"/>
  <c r="AY154" i="88"/>
  <c r="AY154" i="90"/>
  <c r="AY154" i="87"/>
  <c r="AY154" i="89"/>
  <c r="AZ154" i="82"/>
  <c r="AZ154" i="83"/>
  <c r="AZ154" i="84"/>
  <c r="AZ154" i="86"/>
  <c r="AZ154" i="85"/>
  <c r="AZ154" i="87"/>
  <c r="AZ154" i="89"/>
  <c r="AZ154" i="88"/>
  <c r="AZ154" i="90"/>
  <c r="BB154" i="82"/>
  <c r="BB154" i="83"/>
  <c r="BB154" i="84"/>
  <c r="BB154" i="86"/>
  <c r="BB154" i="85"/>
  <c r="BB154" i="87"/>
  <c r="BB154" i="89"/>
  <c r="BB154" i="88"/>
  <c r="BB154" i="90"/>
  <c r="AR155" i="84"/>
  <c r="AR155" i="88"/>
  <c r="AV155" i="82"/>
  <c r="AV155" i="84"/>
  <c r="AV155" i="83"/>
  <c r="AV155" i="85"/>
  <c r="AV155" i="86"/>
  <c r="AV155" i="88"/>
  <c r="AV155" i="90"/>
  <c r="AV155" i="87"/>
  <c r="AV155" i="89"/>
  <c r="AW155" i="86"/>
  <c r="AW155" i="88"/>
  <c r="AX155" i="82"/>
  <c r="AX155" i="83"/>
  <c r="AX155" i="84"/>
  <c r="AX155" i="85"/>
  <c r="AX155" i="86"/>
  <c r="AX155" i="88"/>
  <c r="AX155" i="90"/>
  <c r="AX155" i="87"/>
  <c r="AX155" i="89"/>
  <c r="BA155" i="83"/>
  <c r="BA155" i="87"/>
  <c r="BC155" i="82"/>
  <c r="AQ155" i="82"/>
  <c r="BC155" i="83"/>
  <c r="AQ155" i="83"/>
  <c r="BC155" i="84"/>
  <c r="AQ155" i="84"/>
  <c r="BC155" i="86"/>
  <c r="AQ155" i="86"/>
  <c r="BC155" i="85"/>
  <c r="AQ155" i="85"/>
  <c r="BC155" i="87"/>
  <c r="AQ155" i="87"/>
  <c r="BC155" i="89"/>
  <c r="AQ155" i="89"/>
  <c r="BC155" i="88"/>
  <c r="AQ155" i="88"/>
  <c r="BC155" i="90"/>
  <c r="AQ155" i="90"/>
  <c r="AT156" i="82"/>
  <c r="AT156" i="83"/>
  <c r="AT156" i="84"/>
  <c r="AT156" i="86"/>
  <c r="AT156" i="85"/>
  <c r="AT156" i="87"/>
  <c r="AT156" i="89"/>
  <c r="AT156" i="88"/>
  <c r="AT156" i="90"/>
  <c r="AU156" i="82"/>
  <c r="AU156" i="84"/>
  <c r="AU156" i="83"/>
  <c r="AU156" i="85"/>
  <c r="AU156" i="86"/>
  <c r="AU156" i="88"/>
  <c r="AU156" i="90"/>
  <c r="AU156" i="87"/>
  <c r="AU156" i="89"/>
  <c r="AY156" i="82"/>
  <c r="AY156" i="84"/>
  <c r="AY156" i="83"/>
  <c r="AY156" i="85"/>
  <c r="AY156" i="86"/>
  <c r="AY156" i="88"/>
  <c r="AY156" i="90"/>
  <c r="AY156" i="87"/>
  <c r="AY156" i="89"/>
  <c r="AZ156" i="82"/>
  <c r="AZ156" i="83"/>
  <c r="AZ156" i="84"/>
  <c r="AZ156" i="86"/>
  <c r="AZ156" i="85"/>
  <c r="AZ156" i="87"/>
  <c r="AZ156" i="89"/>
  <c r="AZ156" i="88"/>
  <c r="AZ156" i="90"/>
  <c r="BB156" i="82"/>
  <c r="BB156" i="83"/>
  <c r="BB156" i="84"/>
  <c r="BB156" i="86"/>
  <c r="BB156" i="85"/>
  <c r="BB156" i="87"/>
  <c r="BB156" i="89"/>
  <c r="BB156" i="88"/>
  <c r="BB156" i="90"/>
  <c r="AR157" i="85"/>
  <c r="AR157" i="87"/>
  <c r="AV157" i="84"/>
  <c r="AV157" i="90"/>
  <c r="AW157" i="82"/>
  <c r="AW157" i="83"/>
  <c r="AW157" i="84"/>
  <c r="AW157" i="86"/>
  <c r="AW157" i="85"/>
  <c r="AW157" i="87"/>
  <c r="AW157" i="89"/>
  <c r="AW157" i="88"/>
  <c r="AW157" i="90"/>
  <c r="AX157" i="83"/>
  <c r="AX157" i="90"/>
  <c r="BA157" i="82"/>
  <c r="BA157" i="83"/>
  <c r="BA157" i="84"/>
  <c r="BA157" i="86"/>
  <c r="BA157" i="85"/>
  <c r="BA157" i="87"/>
  <c r="BA157" i="89"/>
  <c r="BA157" i="88"/>
  <c r="BA157" i="90"/>
  <c r="BC157" i="83"/>
  <c r="BC157" i="86"/>
  <c r="BC157" i="87"/>
  <c r="BC157" i="88"/>
  <c r="AT158" i="82"/>
  <c r="AT158" i="83"/>
  <c r="AT158" i="84"/>
  <c r="AT158" i="86"/>
  <c r="AT158" i="85"/>
  <c r="AT158" i="87"/>
  <c r="AT158" i="89"/>
  <c r="AT158" i="88"/>
  <c r="AT158" i="90"/>
  <c r="AU158" i="82"/>
  <c r="AU158" i="83"/>
  <c r="AU158" i="84"/>
  <c r="AU158" i="85"/>
  <c r="AU158" i="86"/>
  <c r="AU158" i="88"/>
  <c r="AU158" i="90"/>
  <c r="AU158" i="87"/>
  <c r="AU158" i="89"/>
  <c r="AY158" i="82"/>
  <c r="AY158" i="83"/>
  <c r="AY158" i="84"/>
  <c r="AY158" i="85"/>
  <c r="AY158" i="86"/>
  <c r="AY158" i="88"/>
  <c r="AY158" i="90"/>
  <c r="AY158" i="87"/>
  <c r="AY158" i="89"/>
  <c r="AZ158" i="82"/>
  <c r="AZ158" i="83"/>
  <c r="AZ158" i="84"/>
  <c r="AZ158" i="86"/>
  <c r="AZ158" i="85"/>
  <c r="AZ158" i="87"/>
  <c r="AZ158" i="89"/>
  <c r="AZ158" i="88"/>
  <c r="AZ158" i="90"/>
  <c r="BB158" i="82"/>
  <c r="BB158" i="83"/>
  <c r="BB158" i="84"/>
  <c r="BB158" i="86"/>
  <c r="BB158" i="85"/>
  <c r="BB158" i="87"/>
  <c r="BB158" i="89"/>
  <c r="BB158" i="88"/>
  <c r="BB158" i="90"/>
  <c r="AR159" i="85"/>
  <c r="AR159" i="87"/>
  <c r="AV159" i="82"/>
  <c r="AV159" i="84"/>
  <c r="AV159" i="83"/>
  <c r="AV159" i="85"/>
  <c r="AV159" i="86"/>
  <c r="AV159" i="88"/>
  <c r="AV159" i="90"/>
  <c r="AV159" i="87"/>
  <c r="AV159" i="89"/>
  <c r="AW159" i="83"/>
  <c r="AW159" i="87"/>
  <c r="AX159" i="82"/>
  <c r="AX159" i="83"/>
  <c r="AX159" i="84"/>
  <c r="AX159" i="85"/>
  <c r="AX159" i="86"/>
  <c r="AX159" i="88"/>
  <c r="AX159" i="90"/>
  <c r="AX159" i="87"/>
  <c r="AX159" i="89"/>
  <c r="BA159" i="86"/>
  <c r="BA159" i="88"/>
  <c r="BC159" i="82"/>
  <c r="AQ159" i="82"/>
  <c r="BC159" i="83"/>
  <c r="AQ159" i="83"/>
  <c r="BC159" i="84"/>
  <c r="AQ159" i="84"/>
  <c r="BC159" i="86"/>
  <c r="AQ159" i="86"/>
  <c r="BC159" i="85"/>
  <c r="AQ159" i="85"/>
  <c r="BC159" i="87"/>
  <c r="AQ159" i="87"/>
  <c r="BC159" i="89"/>
  <c r="AQ159" i="89"/>
  <c r="BC159" i="88"/>
  <c r="AQ159" i="88"/>
  <c r="BC159" i="90"/>
  <c r="AQ159" i="90"/>
  <c r="AT160" i="82"/>
  <c r="AT160" i="83"/>
  <c r="AT160" i="84"/>
  <c r="AT160" i="86"/>
  <c r="AT160" i="85"/>
  <c r="AT160" i="87"/>
  <c r="AT160" i="89"/>
  <c r="AT160" i="88"/>
  <c r="AT160" i="90"/>
  <c r="AU160" i="82"/>
  <c r="AU160" i="84"/>
  <c r="AU160" i="83"/>
  <c r="AU160" i="85"/>
  <c r="AU160" i="86"/>
  <c r="AU160" i="88"/>
  <c r="AU160" i="90"/>
  <c r="AU160" i="87"/>
  <c r="AU160" i="89"/>
  <c r="AY160" i="82"/>
  <c r="AY160" i="84"/>
  <c r="AY160" i="83"/>
  <c r="AY160" i="85"/>
  <c r="AY160" i="86"/>
  <c r="AY160" i="88"/>
  <c r="AY160" i="90"/>
  <c r="AY160" i="87"/>
  <c r="AY160" i="89"/>
  <c r="AZ160" i="82"/>
  <c r="AZ160" i="83"/>
  <c r="AZ160" i="84"/>
  <c r="AZ160" i="86"/>
  <c r="AZ160" i="85"/>
  <c r="AZ160" i="87"/>
  <c r="AZ160" i="89"/>
  <c r="AZ160" i="88"/>
  <c r="AZ160" i="90"/>
  <c r="BB160" i="82"/>
  <c r="BB160" i="83"/>
  <c r="BB160" i="84"/>
  <c r="BB160" i="86"/>
  <c r="BB160" i="85"/>
  <c r="BB160" i="87"/>
  <c r="BB160" i="89"/>
  <c r="BB160" i="88"/>
  <c r="BB160" i="90"/>
  <c r="AR161" i="83"/>
  <c r="AR161" i="88"/>
  <c r="AV161" i="82"/>
  <c r="AV161" i="86"/>
  <c r="AV161" i="89"/>
  <c r="AW161" i="82"/>
  <c r="AW161" i="83"/>
  <c r="AW161" i="84"/>
  <c r="AW161" i="86"/>
  <c r="AW161" i="85"/>
  <c r="AW161" i="87"/>
  <c r="AW161" i="89"/>
  <c r="AW161" i="88"/>
  <c r="AW161" i="90"/>
  <c r="AX161" i="82"/>
  <c r="AX161" i="86"/>
  <c r="AX161" i="89"/>
  <c r="BA161" i="82"/>
  <c r="BA161" i="83"/>
  <c r="BA161" i="84"/>
  <c r="BA161" i="86"/>
  <c r="BA161" i="85"/>
  <c r="BA161" i="87"/>
  <c r="BA161" i="89"/>
  <c r="BA161" i="88"/>
  <c r="BA161" i="90"/>
  <c r="BC161" i="82"/>
  <c r="BC161" i="84"/>
  <c r="BC161" i="85"/>
  <c r="BC161" i="89"/>
  <c r="BC161" i="90"/>
  <c r="AT162" i="82"/>
  <c r="AT162" i="83"/>
  <c r="AT162" i="84"/>
  <c r="AT162" i="86"/>
  <c r="AT162" i="85"/>
  <c r="AT162" i="87"/>
  <c r="AT162" i="89"/>
  <c r="AT162" i="88"/>
  <c r="AT162" i="90"/>
  <c r="AU162" i="82"/>
  <c r="AU162" i="83"/>
  <c r="AU162" i="84"/>
  <c r="AU162" i="85"/>
  <c r="AU162" i="86"/>
  <c r="AU162" i="88"/>
  <c r="AU162" i="90"/>
  <c r="AU162" i="87"/>
  <c r="AU162" i="89"/>
  <c r="AY162" i="82"/>
  <c r="AY162" i="83"/>
  <c r="AY162" i="84"/>
  <c r="AY162" i="85"/>
  <c r="AY162" i="86"/>
  <c r="AY162" i="88"/>
  <c r="AY162" i="90"/>
  <c r="AY162" i="87"/>
  <c r="AY162" i="89"/>
  <c r="AZ162" i="82"/>
  <c r="AZ162" i="83"/>
  <c r="AZ162" i="84"/>
  <c r="AZ162" i="86"/>
  <c r="AZ162" i="85"/>
  <c r="AZ162" i="87"/>
  <c r="AZ162" i="89"/>
  <c r="AZ162" i="88"/>
  <c r="AZ162" i="90"/>
  <c r="BB162" i="82"/>
  <c r="BB162" i="83"/>
  <c r="BB162" i="84"/>
  <c r="BB162" i="86"/>
  <c r="BB162" i="85"/>
  <c r="BB162" i="87"/>
  <c r="BB162" i="89"/>
  <c r="BB162" i="88"/>
  <c r="BB162" i="90"/>
  <c r="AR163" i="84"/>
  <c r="AR163" i="88"/>
  <c r="AV163" i="82"/>
  <c r="AV163" i="84"/>
  <c r="AV163" i="83"/>
  <c r="AV163" i="85"/>
  <c r="AV163" i="86"/>
  <c r="AV163" i="88"/>
  <c r="AV163" i="90"/>
  <c r="AV163" i="87"/>
  <c r="AV163" i="89"/>
  <c r="AW163" i="86"/>
  <c r="AW163" i="88"/>
  <c r="AX163" i="82"/>
  <c r="AX163" i="83"/>
  <c r="AX163" i="84"/>
  <c r="AX163" i="85"/>
  <c r="AX163" i="86"/>
  <c r="AX163" i="88"/>
  <c r="AX163" i="90"/>
  <c r="AX163" i="87"/>
  <c r="AX163" i="89"/>
  <c r="BA163" i="83"/>
  <c r="BA163" i="87"/>
  <c r="BC163" i="82"/>
  <c r="AQ163" i="82"/>
  <c r="BC163" i="83"/>
  <c r="AQ163" i="83"/>
  <c r="BC163" i="84"/>
  <c r="AQ163" i="84"/>
  <c r="BC163" i="86"/>
  <c r="AQ163" i="86"/>
  <c r="BC163" i="85"/>
  <c r="AQ163" i="85"/>
  <c r="BC163" i="87"/>
  <c r="AQ163" i="87"/>
  <c r="BC163" i="89"/>
  <c r="AQ163" i="89"/>
  <c r="BC163" i="88"/>
  <c r="AQ163" i="88"/>
  <c r="BC163" i="90"/>
  <c r="AQ163" i="90"/>
  <c r="AT164" i="82"/>
  <c r="AT164" i="83"/>
  <c r="AT164" i="84"/>
  <c r="AT164" i="86"/>
  <c r="AT164" i="85"/>
  <c r="AT164" i="87"/>
  <c r="AT164" i="89"/>
  <c r="AT164" i="88"/>
  <c r="AT164" i="90"/>
  <c r="AU164" i="82"/>
  <c r="AU164" i="84"/>
  <c r="AU164" i="83"/>
  <c r="AU164" i="85"/>
  <c r="AU164" i="86"/>
  <c r="AU164" i="88"/>
  <c r="AU164" i="90"/>
  <c r="AU164" i="87"/>
  <c r="AU164" i="89"/>
  <c r="AY164" i="82"/>
  <c r="AY164" i="84"/>
  <c r="AY164" i="83"/>
  <c r="AY164" i="85"/>
  <c r="AY164" i="86"/>
  <c r="AY164" i="88"/>
  <c r="AY164" i="90"/>
  <c r="AY164" i="87"/>
  <c r="AY164" i="89"/>
  <c r="AZ164" i="82"/>
  <c r="AZ164" i="83"/>
  <c r="AZ164" i="84"/>
  <c r="AZ164" i="86"/>
  <c r="AZ164" i="85"/>
  <c r="AZ164" i="87"/>
  <c r="AZ164" i="89"/>
  <c r="AZ164" i="88"/>
  <c r="AZ164" i="90"/>
  <c r="BB164" i="82"/>
  <c r="BB164" i="83"/>
  <c r="BB164" i="84"/>
  <c r="BB164" i="86"/>
  <c r="BB164" i="85"/>
  <c r="BB164" i="87"/>
  <c r="BB164" i="89"/>
  <c r="BB164" i="88"/>
  <c r="BB164" i="90"/>
  <c r="AR165" i="85"/>
  <c r="AR165" i="87"/>
  <c r="AV165" i="84"/>
  <c r="AV165" i="90"/>
  <c r="AW165" i="82"/>
  <c r="AW165" i="83"/>
  <c r="AW165" i="84"/>
  <c r="AW165" i="86"/>
  <c r="AW165" i="85"/>
  <c r="AW165" i="87"/>
  <c r="AW165" i="89"/>
  <c r="AW165" i="88"/>
  <c r="AW165" i="90"/>
  <c r="AX165" i="83"/>
  <c r="AX165" i="90"/>
  <c r="BA165" i="82"/>
  <c r="BA165" i="83"/>
  <c r="BA165" i="84"/>
  <c r="BA165" i="86"/>
  <c r="BA165" i="85"/>
  <c r="BA165" i="87"/>
  <c r="BA165" i="89"/>
  <c r="BA165" i="88"/>
  <c r="BA165" i="90"/>
  <c r="BC165" i="83"/>
  <c r="BC165" i="86"/>
  <c r="BC165" i="87"/>
  <c r="BC165" i="88"/>
  <c r="AT166" i="82"/>
  <c r="AT166" i="83"/>
  <c r="AT166" i="84"/>
  <c r="AT166" i="86"/>
  <c r="AT166" i="85"/>
  <c r="AT166" i="87"/>
  <c r="AT166" i="89"/>
  <c r="AT166" i="88"/>
  <c r="AT166" i="90"/>
  <c r="AU166" i="82"/>
  <c r="AU166" i="83"/>
  <c r="AU166" i="84"/>
  <c r="AU166" i="85"/>
  <c r="AU166" i="86"/>
  <c r="AU166" i="88"/>
  <c r="AU166" i="90"/>
  <c r="AU166" i="87"/>
  <c r="AU166" i="89"/>
  <c r="AY166" i="82"/>
  <c r="AY166" i="83"/>
  <c r="AY166" i="84"/>
  <c r="AY166" i="85"/>
  <c r="AY166" i="86"/>
  <c r="AY166" i="88"/>
  <c r="AY166" i="90"/>
  <c r="AY166" i="87"/>
  <c r="AY166" i="89"/>
  <c r="AZ166" i="82"/>
  <c r="AZ166" i="83"/>
  <c r="AZ166" i="84"/>
  <c r="AZ166" i="86"/>
  <c r="AZ166" i="85"/>
  <c r="AZ166" i="87"/>
  <c r="AZ166" i="89"/>
  <c r="AZ166" i="88"/>
  <c r="AZ166" i="90"/>
  <c r="BB166" i="82"/>
  <c r="BB166" i="83"/>
  <c r="BB166" i="84"/>
  <c r="BB166" i="86"/>
  <c r="BB166" i="85"/>
  <c r="BB166" i="87"/>
  <c r="BB166" i="89"/>
  <c r="BB166" i="88"/>
  <c r="BB166" i="90"/>
  <c r="AR167" i="85"/>
  <c r="AR167" i="87"/>
  <c r="AV167" i="82"/>
  <c r="AV167" i="83"/>
  <c r="AV167" i="84"/>
  <c r="AV167" i="85"/>
  <c r="AV167" i="86"/>
  <c r="AV167" i="88"/>
  <c r="AV167" i="90"/>
  <c r="AV167" i="87"/>
  <c r="AV167" i="89"/>
  <c r="AW167" i="83"/>
  <c r="AW167" i="87"/>
  <c r="AX167" i="82"/>
  <c r="AX167" i="83"/>
  <c r="AX167" i="84"/>
  <c r="AX167" i="85"/>
  <c r="AX167" i="86"/>
  <c r="AX167" i="88"/>
  <c r="AX167" i="90"/>
  <c r="AX167" i="87"/>
  <c r="AX167" i="89"/>
  <c r="BA167" i="86"/>
  <c r="BA167" i="88"/>
  <c r="BC167" i="82"/>
  <c r="AQ167" i="82"/>
  <c r="BC167" i="83"/>
  <c r="AQ167" i="83"/>
  <c r="BC167" i="84"/>
  <c r="AQ167" i="84"/>
  <c r="BC167" i="86"/>
  <c r="AQ167" i="86"/>
  <c r="BC167" i="85"/>
  <c r="AQ167" i="85"/>
  <c r="BC167" i="87"/>
  <c r="AQ167" i="87"/>
  <c r="BC167" i="89"/>
  <c r="AQ167" i="89"/>
  <c r="BC167" i="88"/>
  <c r="AQ167" i="88"/>
  <c r="BC167" i="90"/>
  <c r="AQ167" i="90"/>
  <c r="AT168" i="82"/>
  <c r="AT168" i="83"/>
  <c r="AT168" i="84"/>
  <c r="AT168" i="86"/>
  <c r="AT168" i="85"/>
  <c r="AT168" i="87"/>
  <c r="AT168" i="89"/>
  <c r="AT168" i="88"/>
  <c r="AT168" i="90"/>
  <c r="AU168" i="82"/>
  <c r="AU168" i="83"/>
  <c r="AU168" i="84"/>
  <c r="AU168" i="85"/>
  <c r="AU168" i="86"/>
  <c r="AU168" i="88"/>
  <c r="AU168" i="90"/>
  <c r="AU168" i="87"/>
  <c r="AU168" i="89"/>
  <c r="AY168" i="82"/>
  <c r="AY168" i="83"/>
  <c r="AY168" i="84"/>
  <c r="AY168" i="85"/>
  <c r="AY168" i="86"/>
  <c r="AY168" i="88"/>
  <c r="AY168" i="90"/>
  <c r="AY168" i="87"/>
  <c r="AY168" i="89"/>
  <c r="AZ168" i="82"/>
  <c r="AZ168" i="83"/>
  <c r="AZ168" i="84"/>
  <c r="AZ168" i="86"/>
  <c r="AZ168" i="85"/>
  <c r="AZ168" i="87"/>
  <c r="AZ168" i="89"/>
  <c r="AZ168" i="88"/>
  <c r="AZ168" i="90"/>
  <c r="BB168" i="82"/>
  <c r="BB168" i="83"/>
  <c r="BB168" i="84"/>
  <c r="BB168" i="86"/>
  <c r="BB168" i="85"/>
  <c r="BB168" i="87"/>
  <c r="BB168" i="89"/>
  <c r="BB168" i="88"/>
  <c r="BB168" i="90"/>
  <c r="AR169" i="83"/>
  <c r="AR169" i="88"/>
  <c r="AV169" i="82"/>
  <c r="AV169" i="86"/>
  <c r="AV169" i="89"/>
  <c r="AW169" i="82"/>
  <c r="AW169" i="83"/>
  <c r="AW169" i="84"/>
  <c r="AW169" i="86"/>
  <c r="AW169" i="85"/>
  <c r="AW169" i="87"/>
  <c r="AW169" i="89"/>
  <c r="AW169" i="88"/>
  <c r="AW169" i="90"/>
  <c r="AX169" i="82"/>
  <c r="AX169" i="86"/>
  <c r="AX169" i="89"/>
  <c r="BA169" i="82"/>
  <c r="BA169" i="83"/>
  <c r="BA169" i="84"/>
  <c r="BA169" i="86"/>
  <c r="BA169" i="85"/>
  <c r="BA169" i="87"/>
  <c r="BA169" i="89"/>
  <c r="BA169" i="88"/>
  <c r="BA169" i="90"/>
  <c r="BC169" i="82"/>
  <c r="BC169" i="84"/>
  <c r="BC169" i="85"/>
  <c r="BC169" i="89"/>
  <c r="BC169" i="90"/>
  <c r="AT170" i="82"/>
  <c r="AT170" i="83"/>
  <c r="AT170" i="84"/>
  <c r="AT170" i="86"/>
  <c r="AT170" i="85"/>
  <c r="AT170" i="87"/>
  <c r="AT170" i="89"/>
  <c r="AT170" i="88"/>
  <c r="AT170" i="90"/>
  <c r="AU170" i="82"/>
  <c r="AU170" i="83"/>
  <c r="AU170" i="84"/>
  <c r="AU170" i="85"/>
  <c r="AU170" i="86"/>
  <c r="AU170" i="88"/>
  <c r="AU170" i="90"/>
  <c r="AU170" i="87"/>
  <c r="AU170" i="89"/>
  <c r="AY170" i="82"/>
  <c r="AY170" i="83"/>
  <c r="AY170" i="84"/>
  <c r="AY170" i="85"/>
  <c r="AY170" i="86"/>
  <c r="AY170" i="88"/>
  <c r="AY170" i="90"/>
  <c r="AY170" i="87"/>
  <c r="AY170" i="89"/>
  <c r="AZ170" i="82"/>
  <c r="AZ170" i="83"/>
  <c r="AZ170" i="84"/>
  <c r="AZ170" i="86"/>
  <c r="AZ170" i="85"/>
  <c r="AZ170" i="87"/>
  <c r="AZ170" i="89"/>
  <c r="AZ170" i="88"/>
  <c r="AZ170" i="90"/>
  <c r="BB170" i="82"/>
  <c r="BB170" i="83"/>
  <c r="BB170" i="84"/>
  <c r="BB170" i="86"/>
  <c r="BB170" i="85"/>
  <c r="BB170" i="87"/>
  <c r="BB170" i="89"/>
  <c r="BB170" i="88"/>
  <c r="BB170" i="90"/>
  <c r="AR171" i="83"/>
  <c r="AR171" i="88"/>
  <c r="AV171" i="82"/>
  <c r="AV171" i="83"/>
  <c r="AV171" i="84"/>
  <c r="AV171" i="85"/>
  <c r="AV171" i="86"/>
  <c r="AV171" i="88"/>
  <c r="AV171" i="90"/>
  <c r="AV171" i="87"/>
  <c r="AV171" i="89"/>
  <c r="AW171" i="86"/>
  <c r="AW171" i="88"/>
  <c r="AX171" i="82"/>
  <c r="AX171" i="83"/>
  <c r="AX171" i="84"/>
  <c r="AX171" i="85"/>
  <c r="AX171" i="86"/>
  <c r="AX171" i="88"/>
  <c r="AX171" i="90"/>
  <c r="AX171" i="87"/>
  <c r="AX171" i="89"/>
  <c r="BA171" i="83"/>
  <c r="BA171" i="87"/>
  <c r="BC171" i="82"/>
  <c r="AQ171" i="82"/>
  <c r="BC171" i="83"/>
  <c r="AQ171" i="83"/>
  <c r="BC171" i="84"/>
  <c r="AQ171" i="84"/>
  <c r="BC171" i="86"/>
  <c r="AQ171" i="86"/>
  <c r="BC171" i="85"/>
  <c r="AQ171" i="85"/>
  <c r="BC171" i="87"/>
  <c r="AQ171" i="87"/>
  <c r="BC171" i="89"/>
  <c r="AQ171" i="89"/>
  <c r="BC171" i="88"/>
  <c r="AQ171" i="88"/>
  <c r="BC171" i="90"/>
  <c r="AQ171" i="90"/>
  <c r="AT172" i="82"/>
  <c r="AT172" i="83"/>
  <c r="AT172" i="84"/>
  <c r="AT172" i="86"/>
  <c r="AT172" i="85"/>
  <c r="AT172" i="87"/>
  <c r="AT172" i="89"/>
  <c r="AT172" i="88"/>
  <c r="AT172" i="90"/>
  <c r="AU172" i="82"/>
  <c r="AU172" i="83"/>
  <c r="AU172" i="84"/>
  <c r="AU172" i="85"/>
  <c r="AU172" i="86"/>
  <c r="AU172" i="88"/>
  <c r="AU172" i="90"/>
  <c r="AU172" i="87"/>
  <c r="AU172" i="89"/>
  <c r="AY172" i="82"/>
  <c r="AY172" i="83"/>
  <c r="AY172" i="84"/>
  <c r="AY172" i="85"/>
  <c r="AY172" i="86"/>
  <c r="AY172" i="88"/>
  <c r="AY172" i="90"/>
  <c r="AY172" i="87"/>
  <c r="AY172" i="89"/>
  <c r="AZ172" i="82"/>
  <c r="AZ172" i="83"/>
  <c r="AZ172" i="84"/>
  <c r="AZ172" i="86"/>
  <c r="AZ172" i="85"/>
  <c r="AZ172" i="87"/>
  <c r="AZ172" i="89"/>
  <c r="AZ172" i="88"/>
  <c r="AZ172" i="90"/>
  <c r="BB172" i="82"/>
  <c r="BB172" i="83"/>
  <c r="BB172" i="84"/>
  <c r="BB172" i="86"/>
  <c r="BB172" i="85"/>
  <c r="BB172" i="87"/>
  <c r="BB172" i="89"/>
  <c r="BB172" i="88"/>
  <c r="BB172" i="90"/>
  <c r="AR173" i="85"/>
  <c r="AR173" i="87"/>
  <c r="AV173" i="84"/>
  <c r="AV173" i="90"/>
  <c r="AW173" i="82"/>
  <c r="AW173" i="83"/>
  <c r="AW173" i="84"/>
  <c r="AW173" i="86"/>
  <c r="AW173" i="85"/>
  <c r="AW173" i="87"/>
  <c r="AW173" i="89"/>
  <c r="AW173" i="88"/>
  <c r="AW173" i="90"/>
  <c r="AX173" i="84"/>
  <c r="AX173" i="90"/>
  <c r="BA173" i="82"/>
  <c r="BA173" i="83"/>
  <c r="BA173" i="84"/>
  <c r="BA173" i="86"/>
  <c r="BA173" i="85"/>
  <c r="BA173" i="87"/>
  <c r="BA173" i="89"/>
  <c r="BA173" i="88"/>
  <c r="BA173" i="90"/>
  <c r="BC173" i="83"/>
  <c r="BC173" i="86"/>
  <c r="BC173" i="87"/>
  <c r="BC173" i="88"/>
  <c r="AT174" i="82"/>
  <c r="AT174" i="83"/>
  <c r="AT174" i="84"/>
  <c r="AT174" i="86"/>
  <c r="AT174" i="85"/>
  <c r="AT174" i="87"/>
  <c r="AT174" i="89"/>
  <c r="AT174" i="88"/>
  <c r="AT174" i="90"/>
  <c r="AU174" i="82"/>
  <c r="AU174" i="83"/>
  <c r="AU174" i="84"/>
  <c r="AU174" i="85"/>
  <c r="AU174" i="86"/>
  <c r="AU174" i="88"/>
  <c r="AU174" i="90"/>
  <c r="AU174" i="87"/>
  <c r="AU174" i="89"/>
  <c r="AY174" i="82"/>
  <c r="AY174" i="83"/>
  <c r="AY174" i="84"/>
  <c r="AY174" i="85"/>
  <c r="AY174" i="86"/>
  <c r="AY174" i="88"/>
  <c r="AY174" i="90"/>
  <c r="AY174" i="87"/>
  <c r="AY174" i="89"/>
  <c r="AZ174" i="82"/>
  <c r="AZ174" i="83"/>
  <c r="AZ174" i="84"/>
  <c r="AZ174" i="86"/>
  <c r="AZ174" i="85"/>
  <c r="AZ174" i="87"/>
  <c r="AZ174" i="89"/>
  <c r="AZ174" i="88"/>
  <c r="AZ174" i="90"/>
  <c r="BB174" i="82"/>
  <c r="BB174" i="83"/>
  <c r="BB174" i="84"/>
  <c r="BB174" i="86"/>
  <c r="BB174" i="85"/>
  <c r="BB174" i="87"/>
  <c r="BB174" i="89"/>
  <c r="BB174" i="88"/>
  <c r="BB174" i="90"/>
  <c r="AR175" i="85"/>
  <c r="AR175" i="87"/>
  <c r="AV175" i="82"/>
  <c r="AV175" i="83"/>
  <c r="AV175" i="84"/>
  <c r="AV175" i="85"/>
  <c r="AV175" i="86"/>
  <c r="AV175" i="88"/>
  <c r="AV175" i="90"/>
  <c r="AV175" i="87"/>
  <c r="AV175" i="89"/>
  <c r="AW175" i="83"/>
  <c r="AW175" i="87"/>
  <c r="AX175" i="82"/>
  <c r="AX175" i="83"/>
  <c r="AX175" i="84"/>
  <c r="AX175" i="85"/>
  <c r="AX175" i="86"/>
  <c r="AX175" i="88"/>
  <c r="AX175" i="90"/>
  <c r="AX175" i="87"/>
  <c r="AX175" i="89"/>
  <c r="BA175" i="86"/>
  <c r="BA175" i="88"/>
  <c r="BC175" i="82"/>
  <c r="AQ175" i="82"/>
  <c r="BC175" i="83"/>
  <c r="AQ175" i="83"/>
  <c r="BC175" i="84"/>
  <c r="AQ175" i="84"/>
  <c r="BC175" i="86"/>
  <c r="AQ175" i="86"/>
  <c r="BC175" i="85"/>
  <c r="AQ175" i="85"/>
  <c r="BC175" i="87"/>
  <c r="AQ175" i="87"/>
  <c r="BC175" i="89"/>
  <c r="AQ175" i="89"/>
  <c r="BC175" i="88"/>
  <c r="AQ175" i="88"/>
  <c r="BC175" i="90"/>
  <c r="AQ175" i="90"/>
  <c r="AT176" i="82"/>
  <c r="AT176" i="83"/>
  <c r="AT176" i="84"/>
  <c r="AT176" i="86"/>
  <c r="AT176" i="85"/>
  <c r="AT176" i="87"/>
  <c r="AT176" i="89"/>
  <c r="AT176" i="88"/>
  <c r="AT176" i="90"/>
  <c r="AU176" i="82"/>
  <c r="AU176" i="83"/>
  <c r="AU176" i="84"/>
  <c r="AU176" i="85"/>
  <c r="AU176" i="86"/>
  <c r="AU176" i="88"/>
  <c r="AU176" i="90"/>
  <c r="AU176" i="87"/>
  <c r="AU176" i="89"/>
  <c r="AY176" i="82"/>
  <c r="AY176" i="83"/>
  <c r="AY176" i="84"/>
  <c r="AY176" i="85"/>
  <c r="AY176" i="86"/>
  <c r="AY176" i="88"/>
  <c r="AY176" i="90"/>
  <c r="AY176" i="87"/>
  <c r="AY176" i="89"/>
  <c r="AZ176" i="82"/>
  <c r="AZ176" i="83"/>
  <c r="AZ176" i="84"/>
  <c r="AZ176" i="86"/>
  <c r="AZ176" i="85"/>
  <c r="AZ176" i="87"/>
  <c r="AZ176" i="89"/>
  <c r="AZ176" i="88"/>
  <c r="AZ176" i="90"/>
  <c r="BB176" i="82"/>
  <c r="BB176" i="83"/>
  <c r="BB176" i="84"/>
  <c r="BB176" i="86"/>
  <c r="BB176" i="85"/>
  <c r="BB176" i="87"/>
  <c r="BB176" i="89"/>
  <c r="BB176" i="88"/>
  <c r="BB176" i="90"/>
  <c r="AW270" i="82"/>
  <c r="AW270" i="83"/>
  <c r="AW270" i="84"/>
  <c r="AW270" i="85"/>
  <c r="AW270" i="87"/>
  <c r="AW270" i="86"/>
  <c r="AW270" i="88"/>
  <c r="AW270" i="90"/>
  <c r="AW270" i="89"/>
  <c r="AX270" i="82"/>
  <c r="AX270" i="83"/>
  <c r="AX270" i="85"/>
  <c r="AX270" i="84"/>
  <c r="AX270" i="86"/>
  <c r="AX270" i="87"/>
  <c r="AX270" i="89"/>
  <c r="AX270" i="88"/>
  <c r="AX270" i="90"/>
  <c r="BA270" i="82"/>
  <c r="BA270" i="83"/>
  <c r="BA270" i="84"/>
  <c r="BA270" i="85"/>
  <c r="BA270" i="87"/>
  <c r="BA270" i="86"/>
  <c r="BA270" i="88"/>
  <c r="BA270" i="90"/>
  <c r="BA270" i="89"/>
  <c r="BC270" i="82"/>
  <c r="AQ270" i="82"/>
  <c r="BC270" i="83"/>
  <c r="AQ270" i="83"/>
  <c r="BC270" i="84"/>
  <c r="AQ270" i="84"/>
  <c r="BC270" i="85"/>
  <c r="AQ270" i="85"/>
  <c r="BC270" i="87"/>
  <c r="AQ270" i="87"/>
  <c r="BC270" i="86"/>
  <c r="AQ270" i="86"/>
  <c r="BC270" i="88"/>
  <c r="AQ270" i="88"/>
  <c r="BC270" i="90"/>
  <c r="AQ270" i="90"/>
  <c r="BC270" i="89"/>
  <c r="AQ270" i="89"/>
  <c r="AT271" i="82"/>
  <c r="AT271" i="83"/>
  <c r="AT271" i="84"/>
  <c r="AT271" i="85"/>
  <c r="AT271" i="87"/>
  <c r="AT271" i="86"/>
  <c r="AT271" i="88"/>
  <c r="AT271" i="90"/>
  <c r="AT271" i="89"/>
  <c r="AU271" i="83"/>
  <c r="AU271" i="87"/>
  <c r="AY271" i="82"/>
  <c r="AY271" i="86"/>
  <c r="AY271" i="90"/>
  <c r="AZ271" i="85"/>
  <c r="AZ271" i="90"/>
  <c r="BB271" i="82"/>
  <c r="BB271" i="83"/>
  <c r="BB271" i="84"/>
  <c r="BB271" i="85"/>
  <c r="BB271" i="87"/>
  <c r="BB271" i="86"/>
  <c r="BB271" i="88"/>
  <c r="BB271" i="90"/>
  <c r="BB271" i="89"/>
  <c r="AR272" i="82"/>
  <c r="AR272" i="83"/>
  <c r="AR272" i="85"/>
  <c r="AR272" i="84"/>
  <c r="AR272" i="86"/>
  <c r="AR272" i="87"/>
  <c r="AR272" i="89"/>
  <c r="AR272" i="88"/>
  <c r="AR272" i="90"/>
  <c r="AV272" i="82"/>
  <c r="AV272" i="83"/>
  <c r="AV272" i="85"/>
  <c r="AV272" i="84"/>
  <c r="AV272" i="86"/>
  <c r="AV272" i="87"/>
  <c r="AV272" i="89"/>
  <c r="AV272" i="88"/>
  <c r="AV272" i="90"/>
  <c r="AW272" i="82"/>
  <c r="AW272" i="83"/>
  <c r="AW272" i="84"/>
  <c r="AW272" i="85"/>
  <c r="AW272" i="87"/>
  <c r="AW272" i="86"/>
  <c r="AW272" i="88"/>
  <c r="AW272" i="90"/>
  <c r="AW272" i="89"/>
  <c r="AX272" i="82"/>
  <c r="AX272" i="83"/>
  <c r="AX272" i="85"/>
  <c r="AX272" i="84"/>
  <c r="AX272" i="86"/>
  <c r="AX272" i="87"/>
  <c r="AX272" i="89"/>
  <c r="AX272" i="88"/>
  <c r="AX272" i="90"/>
  <c r="BA272" i="82"/>
  <c r="BA272" i="83"/>
  <c r="BA272" i="84"/>
  <c r="BA272" i="85"/>
  <c r="BA272" i="87"/>
  <c r="BA272" i="86"/>
  <c r="BA272" i="88"/>
  <c r="BA272" i="90"/>
  <c r="BA272" i="89"/>
  <c r="BC272" i="82"/>
  <c r="AQ272" i="82"/>
  <c r="BC272" i="83"/>
  <c r="AQ272" i="83"/>
  <c r="BC272" i="84"/>
  <c r="AQ272" i="84"/>
  <c r="BC272" i="85"/>
  <c r="AQ272" i="85"/>
  <c r="BC272" i="87"/>
  <c r="AQ272" i="87"/>
  <c r="BC272" i="86"/>
  <c r="AQ272" i="86"/>
  <c r="BC272" i="88"/>
  <c r="AQ272" i="88"/>
  <c r="BC272" i="90"/>
  <c r="AQ272" i="90"/>
  <c r="BC272" i="89"/>
  <c r="AQ272" i="89"/>
  <c r="AT273" i="82"/>
  <c r="AT273" i="83"/>
  <c r="AT273" i="84"/>
  <c r="AT273" i="85"/>
  <c r="AT273" i="87"/>
  <c r="AT273" i="86"/>
  <c r="AT273" i="88"/>
  <c r="AT273" i="90"/>
  <c r="AT273" i="89"/>
  <c r="AU273" i="83"/>
  <c r="AU273" i="87"/>
  <c r="AY273" i="82"/>
  <c r="AY273" i="83"/>
  <c r="AY273" i="85"/>
  <c r="AY273" i="84"/>
  <c r="AY273" i="86"/>
  <c r="AY273" i="87"/>
  <c r="AY273" i="89"/>
  <c r="AY273" i="88"/>
  <c r="AY273" i="90"/>
  <c r="AZ273" i="85"/>
  <c r="AZ273" i="90"/>
  <c r="BB273" i="82"/>
  <c r="BB273" i="83"/>
  <c r="BB273" i="84"/>
  <c r="BB273" i="85"/>
  <c r="BB273" i="87"/>
  <c r="BB273" i="86"/>
  <c r="BB273" i="88"/>
  <c r="BB273" i="90"/>
  <c r="BB273" i="89"/>
  <c r="AR274" i="82"/>
  <c r="AR274" i="83"/>
  <c r="AR274" i="85"/>
  <c r="AR274" i="84"/>
  <c r="AR274" i="86"/>
  <c r="AR274" i="87"/>
  <c r="AR274" i="89"/>
  <c r="AR274" i="88"/>
  <c r="AR274" i="90"/>
  <c r="AV274" i="82"/>
  <c r="AV274" i="83"/>
  <c r="AV274" i="85"/>
  <c r="AV274" i="84"/>
  <c r="AV274" i="86"/>
  <c r="AV274" i="87"/>
  <c r="AV274" i="89"/>
  <c r="AV274" i="88"/>
  <c r="AV274" i="90"/>
  <c r="AW274" i="82"/>
  <c r="AW274" i="83"/>
  <c r="AW274" i="84"/>
  <c r="AW274" i="85"/>
  <c r="AW274" i="87"/>
  <c r="AW274" i="86"/>
  <c r="AW274" i="88"/>
  <c r="AW274" i="90"/>
  <c r="AW274" i="89"/>
  <c r="AX274" i="82"/>
  <c r="AX274" i="83"/>
  <c r="AX274" i="85"/>
  <c r="AX274" i="84"/>
  <c r="AX274" i="86"/>
  <c r="AX274" i="87"/>
  <c r="AX274" i="89"/>
  <c r="AX274" i="88"/>
  <c r="AX274" i="90"/>
  <c r="BA274" i="82"/>
  <c r="BA274" i="83"/>
  <c r="BA274" i="84"/>
  <c r="BA274" i="85"/>
  <c r="BA274" i="87"/>
  <c r="BA274" i="86"/>
  <c r="BA274" i="88"/>
  <c r="BA274" i="90"/>
  <c r="BA274" i="89"/>
  <c r="BC274" i="82"/>
  <c r="AQ274" i="82"/>
  <c r="BC274" i="83"/>
  <c r="AQ274" i="83"/>
  <c r="BC274" i="84"/>
  <c r="AQ274" i="84"/>
  <c r="BC274" i="85"/>
  <c r="AQ274" i="85"/>
  <c r="BC274" i="87"/>
  <c r="AQ274" i="87"/>
  <c r="BC274" i="86"/>
  <c r="AQ274" i="86"/>
  <c r="BC274" i="88"/>
  <c r="AQ274" i="88"/>
  <c r="BC274" i="90"/>
  <c r="AQ274" i="90"/>
  <c r="BC274" i="89"/>
  <c r="AQ274" i="89"/>
  <c r="AT275" i="82"/>
  <c r="AT275" i="83"/>
  <c r="AT275" i="84"/>
  <c r="AT275" i="85"/>
  <c r="AT275" i="87"/>
  <c r="AT275" i="86"/>
  <c r="AT275" i="88"/>
  <c r="AT275" i="90"/>
  <c r="AT275" i="89"/>
  <c r="AU275" i="83"/>
  <c r="AU275" i="87"/>
  <c r="AY275" i="82"/>
  <c r="AY275" i="86"/>
  <c r="AY275" i="90"/>
  <c r="AZ275" i="85"/>
  <c r="AZ275" i="90"/>
  <c r="BB275" i="82"/>
  <c r="BB275" i="83"/>
  <c r="BB275" i="84"/>
  <c r="BB275" i="85"/>
  <c r="BB275" i="87"/>
  <c r="BB275" i="86"/>
  <c r="BB275" i="88"/>
  <c r="BB275" i="90"/>
  <c r="BB275" i="89"/>
  <c r="AR276" i="82"/>
  <c r="AR276" i="83"/>
  <c r="AR276" i="85"/>
  <c r="AR276" i="84"/>
  <c r="AR276" i="86"/>
  <c r="AR276" i="87"/>
  <c r="AR276" i="89"/>
  <c r="AR276" i="88"/>
  <c r="AR276" i="90"/>
  <c r="AV276" i="82"/>
  <c r="AV276" i="83"/>
  <c r="AV276" i="85"/>
  <c r="AV276" i="84"/>
  <c r="AV276" i="86"/>
  <c r="AV276" i="87"/>
  <c r="AV276" i="89"/>
  <c r="AV276" i="88"/>
  <c r="AV276" i="90"/>
  <c r="AW276" i="82"/>
  <c r="AW276" i="83"/>
  <c r="AW276" i="84"/>
  <c r="AW276" i="85"/>
  <c r="AW276" i="87"/>
  <c r="AW276" i="86"/>
  <c r="AW276" i="88"/>
  <c r="AW276" i="90"/>
  <c r="AW276" i="89"/>
  <c r="AX276" i="82"/>
  <c r="AX276" i="83"/>
  <c r="AX276" i="85"/>
  <c r="AX276" i="84"/>
  <c r="AX276" i="86"/>
  <c r="AX276" i="87"/>
  <c r="AX276" i="89"/>
  <c r="AX276" i="88"/>
  <c r="AX276" i="90"/>
  <c r="BA276" i="82"/>
  <c r="BA276" i="83"/>
  <c r="BA276" i="84"/>
  <c r="BA276" i="85"/>
  <c r="BA276" i="87"/>
  <c r="BA276" i="86"/>
  <c r="BA276" i="88"/>
  <c r="BA276" i="90"/>
  <c r="BA276" i="89"/>
  <c r="BC276" i="82"/>
  <c r="AQ276" i="82"/>
  <c r="BC276" i="83"/>
  <c r="AQ276" i="83"/>
  <c r="BC276" i="84"/>
  <c r="AQ276" i="84"/>
  <c r="BC276" i="85"/>
  <c r="AQ276" i="85"/>
  <c r="BC276" i="87"/>
  <c r="AQ276" i="87"/>
  <c r="BC276" i="86"/>
  <c r="AQ276" i="86"/>
  <c r="BC276" i="88"/>
  <c r="AQ276" i="88"/>
  <c r="BC276" i="90"/>
  <c r="AQ276" i="90"/>
  <c r="BC276" i="89"/>
  <c r="AQ276" i="89"/>
  <c r="AT277" i="82"/>
  <c r="AT277" i="83"/>
  <c r="AT277" i="84"/>
  <c r="AT277" i="85"/>
  <c r="AT277" i="87"/>
  <c r="AT277" i="86"/>
  <c r="AT277" i="88"/>
  <c r="AT277" i="90"/>
  <c r="AT277" i="89"/>
  <c r="AU277" i="83"/>
  <c r="AU277" i="87"/>
  <c r="AY277" i="82"/>
  <c r="AY277" i="83"/>
  <c r="AY277" i="85"/>
  <c r="AY277" i="84"/>
  <c r="AY277" i="86"/>
  <c r="AY277" i="87"/>
  <c r="AY277" i="89"/>
  <c r="AY277" i="88"/>
  <c r="AY277" i="90"/>
  <c r="AZ277" i="85"/>
  <c r="AZ277" i="90"/>
  <c r="BB277" i="82"/>
  <c r="BB277" i="83"/>
  <c r="BB277" i="84"/>
  <c r="BB277" i="85"/>
  <c r="BB277" i="87"/>
  <c r="BB277" i="86"/>
  <c r="BB277" i="88"/>
  <c r="BB277" i="90"/>
  <c r="BB277" i="89"/>
  <c r="AR278" i="82"/>
  <c r="AR278" i="83"/>
  <c r="AR278" i="85"/>
  <c r="AR278" i="84"/>
  <c r="AR278" i="86"/>
  <c r="AR278" i="87"/>
  <c r="AR278" i="89"/>
  <c r="AR278" i="88"/>
  <c r="AR278" i="90"/>
  <c r="AV278" i="82"/>
  <c r="AV278" i="83"/>
  <c r="AV278" i="85"/>
  <c r="AV278" i="84"/>
  <c r="AV278" i="86"/>
  <c r="AV278" i="87"/>
  <c r="AV278" i="89"/>
  <c r="AV278" i="88"/>
  <c r="AV278" i="90"/>
  <c r="AW278" i="82"/>
  <c r="AW278" i="83"/>
  <c r="AW278" i="84"/>
  <c r="AW278" i="85"/>
  <c r="AW278" i="87"/>
  <c r="AW278" i="86"/>
  <c r="AW278" i="88"/>
  <c r="AW278" i="90"/>
  <c r="AW278" i="89"/>
  <c r="AX278" i="82"/>
  <c r="AX278" i="83"/>
  <c r="AX278" i="85"/>
  <c r="AX278" i="84"/>
  <c r="AX278" i="86"/>
  <c r="AX278" i="87"/>
  <c r="AX278" i="89"/>
  <c r="AX278" i="88"/>
  <c r="AX278" i="90"/>
  <c r="BA278" i="82"/>
  <c r="BA278" i="83"/>
  <c r="BA278" i="84"/>
  <c r="BA278" i="85"/>
  <c r="BA278" i="87"/>
  <c r="BA278" i="86"/>
  <c r="BA278" i="88"/>
  <c r="BA278" i="90"/>
  <c r="BA278" i="89"/>
  <c r="BC278" i="82"/>
  <c r="AQ278" i="82"/>
  <c r="BC278" i="83"/>
  <c r="AQ278" i="83"/>
  <c r="BC278" i="84"/>
  <c r="AQ278" i="84"/>
  <c r="BC278" i="85"/>
  <c r="AQ278" i="85"/>
  <c r="BC278" i="87"/>
  <c r="AQ278" i="87"/>
  <c r="BC278" i="86"/>
  <c r="AQ278" i="86"/>
  <c r="BC278" i="88"/>
  <c r="AQ278" i="88"/>
  <c r="BC278" i="90"/>
  <c r="AQ278" i="90"/>
  <c r="BC278" i="89"/>
  <c r="AQ278" i="89"/>
  <c r="AT279" i="82"/>
  <c r="AT279" i="83"/>
  <c r="AT279" i="84"/>
  <c r="AT279" i="85"/>
  <c r="AT279" i="87"/>
  <c r="AT279" i="86"/>
  <c r="AT279" i="88"/>
  <c r="AT279" i="90"/>
  <c r="AT279" i="89"/>
  <c r="AU279" i="83"/>
  <c r="AU279" i="87"/>
  <c r="AY279" i="82"/>
  <c r="AY279" i="86"/>
  <c r="AY279" i="90"/>
  <c r="AZ279" i="85"/>
  <c r="AZ279" i="90"/>
  <c r="BB279" i="82"/>
  <c r="BB279" i="83"/>
  <c r="BB279" i="84"/>
  <c r="BB279" i="85"/>
  <c r="BB279" i="87"/>
  <c r="BB279" i="86"/>
  <c r="BB279" i="88"/>
  <c r="BB279" i="90"/>
  <c r="BB279" i="89"/>
  <c r="AR280" i="82"/>
  <c r="AR280" i="83"/>
  <c r="AR280" i="85"/>
  <c r="AR280" i="84"/>
  <c r="AR280" i="86"/>
  <c r="AR280" i="87"/>
  <c r="AR280" i="89"/>
  <c r="AR280" i="88"/>
  <c r="AR280" i="90"/>
  <c r="AV280" i="82"/>
  <c r="AV280" i="83"/>
  <c r="AV280" i="85"/>
  <c r="AV280" i="84"/>
  <c r="AV280" i="86"/>
  <c r="AV280" i="87"/>
  <c r="AV280" i="89"/>
  <c r="AV280" i="88"/>
  <c r="AV280" i="90"/>
  <c r="AW280" i="82"/>
  <c r="AW280" i="83"/>
  <c r="AW280" i="84"/>
  <c r="AW280" i="85"/>
  <c r="AW280" i="87"/>
  <c r="AW280" i="86"/>
  <c r="AW280" i="88"/>
  <c r="AW280" i="90"/>
  <c r="AW280" i="89"/>
  <c r="AX280" i="82"/>
  <c r="AX280" i="83"/>
  <c r="AX280" i="85"/>
  <c r="AX280" i="84"/>
  <c r="AX280" i="86"/>
  <c r="AX280" i="87"/>
  <c r="AX280" i="89"/>
  <c r="AX280" i="88"/>
  <c r="AX280" i="90"/>
  <c r="BA280" i="82"/>
  <c r="BA280" i="83"/>
  <c r="BA280" i="84"/>
  <c r="BA280" i="85"/>
  <c r="BA280" i="87"/>
  <c r="BA280" i="86"/>
  <c r="BA280" i="88"/>
  <c r="BA280" i="90"/>
  <c r="BA280" i="89"/>
  <c r="BC280" i="82"/>
  <c r="AQ280" i="82"/>
  <c r="BC280" i="83"/>
  <c r="AQ280" i="83"/>
  <c r="BC280" i="84"/>
  <c r="AQ280" i="84"/>
  <c r="BC280" i="85"/>
  <c r="AQ280" i="85"/>
  <c r="BC280" i="87"/>
  <c r="AQ280" i="87"/>
  <c r="BC280" i="86"/>
  <c r="AQ280" i="86"/>
  <c r="BC280" i="88"/>
  <c r="AQ280" i="88"/>
  <c r="BC280" i="90"/>
  <c r="AQ280" i="90"/>
  <c r="BC280" i="89"/>
  <c r="AQ280" i="89"/>
  <c r="AR281" i="84"/>
  <c r="AR281" i="88"/>
  <c r="AW281" i="82"/>
  <c r="AW281" i="83"/>
  <c r="AW281" i="85"/>
  <c r="AW281" i="84"/>
  <c r="AW281" i="86"/>
  <c r="AW281" i="87"/>
  <c r="AW281" i="89"/>
  <c r="AW281" i="88"/>
  <c r="AW281" i="90"/>
  <c r="BA281" i="85"/>
  <c r="BA281" i="89"/>
  <c r="AR282" i="82"/>
  <c r="AR282" i="83"/>
  <c r="AR282" i="85"/>
  <c r="AR282" i="84"/>
  <c r="AR282" i="86"/>
  <c r="AR282" i="87"/>
  <c r="AR282" i="89"/>
  <c r="AR282" i="88"/>
  <c r="AR282" i="90"/>
  <c r="AV282" i="82"/>
  <c r="AV282" i="83"/>
  <c r="AV282" i="85"/>
  <c r="AV282" i="84"/>
  <c r="AV282" i="86"/>
  <c r="AV282" i="87"/>
  <c r="AV282" i="89"/>
  <c r="AV282" i="88"/>
  <c r="AV282" i="90"/>
  <c r="AW282" i="82"/>
  <c r="AW282" i="83"/>
  <c r="AW282" i="84"/>
  <c r="AW282" i="85"/>
  <c r="AW282" i="87"/>
  <c r="AW282" i="86"/>
  <c r="AW282" i="88"/>
  <c r="AW282" i="90"/>
  <c r="AW282" i="89"/>
  <c r="AX282" i="82"/>
  <c r="AX282" i="83"/>
  <c r="AX282" i="85"/>
  <c r="AX282" i="84"/>
  <c r="AX282" i="86"/>
  <c r="AX282" i="87"/>
  <c r="AX282" i="89"/>
  <c r="AX282" i="88"/>
  <c r="AX282" i="90"/>
  <c r="BA282" i="82"/>
  <c r="BA282" i="83"/>
  <c r="BA282" i="84"/>
  <c r="BA282" i="85"/>
  <c r="BA282" i="87"/>
  <c r="BA282" i="86"/>
  <c r="BA282" i="88"/>
  <c r="BA282" i="90"/>
  <c r="BA282" i="89"/>
  <c r="BC282" i="82"/>
  <c r="AQ282" i="82"/>
  <c r="BC282" i="83"/>
  <c r="AQ282" i="83"/>
  <c r="BC282" i="84"/>
  <c r="AQ282" i="84"/>
  <c r="BC282" i="85"/>
  <c r="AQ282" i="85"/>
  <c r="BC282" i="87"/>
  <c r="AQ282" i="87"/>
  <c r="BC282" i="86"/>
  <c r="AQ282" i="86"/>
  <c r="BC282" i="88"/>
  <c r="AQ282" i="88"/>
  <c r="BC282" i="90"/>
  <c r="AQ282" i="90"/>
  <c r="BC282" i="89"/>
  <c r="AQ282" i="89"/>
  <c r="AR283" i="82"/>
  <c r="AR283" i="83"/>
  <c r="AR283" i="84"/>
  <c r="AR283" i="85"/>
  <c r="AR283" i="87"/>
  <c r="AR283" i="86"/>
  <c r="AR283" i="88"/>
  <c r="AR283" i="90"/>
  <c r="AR283" i="89"/>
  <c r="AW283" i="83"/>
  <c r="AW283" i="87"/>
  <c r="BA283" i="82"/>
  <c r="BA283" i="83"/>
  <c r="BA283" i="85"/>
  <c r="BA283" i="84"/>
  <c r="BA283" i="86"/>
  <c r="BA283" i="87"/>
  <c r="BA283" i="89"/>
  <c r="BA283" i="88"/>
  <c r="BA283" i="90"/>
  <c r="AR284" i="82"/>
  <c r="AR284" i="83"/>
  <c r="AR284" i="85"/>
  <c r="AR284" i="84"/>
  <c r="AR284" i="86"/>
  <c r="AR284" i="87"/>
  <c r="AR284" i="89"/>
  <c r="AR284" i="88"/>
  <c r="AR284" i="90"/>
  <c r="AV284" i="82"/>
  <c r="AV284" i="83"/>
  <c r="AV284" i="85"/>
  <c r="AV284" i="84"/>
  <c r="AV284" i="86"/>
  <c r="AV284" i="87"/>
  <c r="AV284" i="89"/>
  <c r="AV284" i="88"/>
  <c r="AV284" i="90"/>
  <c r="AW284" i="82"/>
  <c r="AW284" i="83"/>
  <c r="AW284" i="84"/>
  <c r="AW284" i="85"/>
  <c r="AW284" i="87"/>
  <c r="AW284" i="86"/>
  <c r="AW284" i="88"/>
  <c r="AW284" i="90"/>
  <c r="AW284" i="89"/>
  <c r="AX284" i="82"/>
  <c r="AX284" i="83"/>
  <c r="AX284" i="85"/>
  <c r="AX284" i="84"/>
  <c r="AX284" i="86"/>
  <c r="AX284" i="87"/>
  <c r="AX284" i="89"/>
  <c r="AX284" i="88"/>
  <c r="AX284" i="90"/>
  <c r="BA284" i="82"/>
  <c r="BA284" i="83"/>
  <c r="BA284" i="84"/>
  <c r="BA284" i="85"/>
  <c r="BA284" i="87"/>
  <c r="BA284" i="86"/>
  <c r="BA284" i="88"/>
  <c r="BA284" i="90"/>
  <c r="BA284" i="89"/>
  <c r="BC284" i="82"/>
  <c r="AQ284" i="82"/>
  <c r="BC284" i="83"/>
  <c r="AQ284" i="83"/>
  <c r="BC284" i="84"/>
  <c r="AQ284" i="84"/>
  <c r="BC284" i="85"/>
  <c r="AQ284" i="85"/>
  <c r="BC284" i="87"/>
  <c r="AQ284" i="87"/>
  <c r="BC284" i="86"/>
  <c r="AQ284" i="86"/>
  <c r="BC284" i="88"/>
  <c r="AQ284" i="88"/>
  <c r="BC284" i="90"/>
  <c r="AQ284" i="90"/>
  <c r="BC284" i="89"/>
  <c r="AQ284" i="89"/>
  <c r="AR285" i="82"/>
  <c r="AR285" i="87"/>
  <c r="AR285" i="89"/>
  <c r="AW285" i="82"/>
  <c r="AW285" i="83"/>
  <c r="AW285" i="85"/>
  <c r="AW285" i="84"/>
  <c r="AW285" i="86"/>
  <c r="AW285" i="87"/>
  <c r="AW285" i="89"/>
  <c r="AW285" i="88"/>
  <c r="AW285" i="90"/>
  <c r="BA285" i="82"/>
  <c r="BA285" i="86"/>
  <c r="BA285" i="90"/>
  <c r="AR286" i="82"/>
  <c r="AR286" i="83"/>
  <c r="AR286" i="85"/>
  <c r="AR286" i="84"/>
  <c r="AR286" i="86"/>
  <c r="AR286" i="87"/>
  <c r="AR286" i="89"/>
  <c r="AR286" i="88"/>
  <c r="AR286" i="90"/>
  <c r="AV286" i="82"/>
  <c r="AV286" i="83"/>
  <c r="AV286" i="85"/>
  <c r="AV286" i="84"/>
  <c r="AV286" i="86"/>
  <c r="AV286" i="87"/>
  <c r="AV286" i="89"/>
  <c r="AV286" i="88"/>
  <c r="AV286" i="90"/>
  <c r="AW286" i="82"/>
  <c r="AW286" i="83"/>
  <c r="AW286" i="84"/>
  <c r="AW286" i="85"/>
  <c r="AW286" i="87"/>
  <c r="AW286" i="86"/>
  <c r="AW286" i="88"/>
  <c r="AW286" i="90"/>
  <c r="AW286" i="89"/>
  <c r="AX286" i="82"/>
  <c r="AX286" i="83"/>
  <c r="AX286" i="85"/>
  <c r="AX286" i="84"/>
  <c r="AX286" i="86"/>
  <c r="AX286" i="87"/>
  <c r="AX286" i="89"/>
  <c r="AX286" i="88"/>
  <c r="AX286" i="90"/>
  <c r="BA286" i="82"/>
  <c r="BA286" i="83"/>
  <c r="BA286" i="84"/>
  <c r="BA286" i="85"/>
  <c r="BA286" i="87"/>
  <c r="BA286" i="86"/>
  <c r="BA286" i="88"/>
  <c r="BA286" i="90"/>
  <c r="BA286" i="89"/>
  <c r="BC286" i="82"/>
  <c r="AQ286" i="82"/>
  <c r="BC286" i="83"/>
  <c r="AQ286" i="83"/>
  <c r="BC286" i="84"/>
  <c r="AQ286" i="84"/>
  <c r="BC286" i="85"/>
  <c r="AQ286" i="85"/>
  <c r="BC286" i="87"/>
  <c r="AQ286" i="87"/>
  <c r="BC286" i="86"/>
  <c r="AQ286" i="86"/>
  <c r="BC286" i="88"/>
  <c r="AQ286" i="88"/>
  <c r="BC286" i="90"/>
  <c r="AQ286" i="90"/>
  <c r="BC286" i="89"/>
  <c r="AQ286" i="89"/>
  <c r="AR287" i="82"/>
  <c r="AR287" i="83"/>
  <c r="AR287" i="84"/>
  <c r="AR287" i="85"/>
  <c r="AR287" i="87"/>
  <c r="AR287" i="86"/>
  <c r="AR287" i="88"/>
  <c r="AR287" i="90"/>
  <c r="AR287" i="89"/>
  <c r="AW287" i="82"/>
  <c r="AW287" i="83"/>
  <c r="AW287" i="85"/>
  <c r="AW287" i="84"/>
  <c r="AW287" i="86"/>
  <c r="AW287" i="87"/>
  <c r="AW287" i="89"/>
  <c r="AW287" i="88"/>
  <c r="AW287" i="90"/>
  <c r="AR288" i="82"/>
  <c r="AR288" i="83"/>
  <c r="AR288" i="85"/>
  <c r="AR288" i="84"/>
  <c r="AR288" i="86"/>
  <c r="AR288" i="87"/>
  <c r="AR288" i="89"/>
  <c r="AR288" i="88"/>
  <c r="AR288" i="90"/>
  <c r="AV288" i="82"/>
  <c r="AV288" i="83"/>
  <c r="AV288" i="85"/>
  <c r="AV288" i="84"/>
  <c r="AV288" i="86"/>
  <c r="AV288" i="87"/>
  <c r="AV288" i="89"/>
  <c r="AV288" i="88"/>
  <c r="AV288" i="90"/>
  <c r="AW288" i="82"/>
  <c r="AW288" i="83"/>
  <c r="AW288" i="84"/>
  <c r="AW288" i="85"/>
  <c r="AW288" i="87"/>
  <c r="AW288" i="86"/>
  <c r="AW288" i="88"/>
  <c r="AW288" i="90"/>
  <c r="AW288" i="89"/>
  <c r="AX288" i="82"/>
  <c r="AX288" i="83"/>
  <c r="AX288" i="85"/>
  <c r="AX288" i="84"/>
  <c r="AX288" i="86"/>
  <c r="AX288" i="87"/>
  <c r="AX288" i="89"/>
  <c r="AX288" i="88"/>
  <c r="AX288" i="90"/>
  <c r="BA288" i="82"/>
  <c r="BA288" i="83"/>
  <c r="BA288" i="84"/>
  <c r="BA288" i="85"/>
  <c r="BA288" i="87"/>
  <c r="BA288" i="86"/>
  <c r="BA288" i="88"/>
  <c r="BA288" i="90"/>
  <c r="BA288" i="89"/>
  <c r="BC288" i="82"/>
  <c r="AQ288" i="82"/>
  <c r="BC288" i="83"/>
  <c r="AQ288" i="83"/>
  <c r="BC288" i="84"/>
  <c r="AQ288" i="84"/>
  <c r="BC288" i="85"/>
  <c r="AQ288" i="85"/>
  <c r="BC288" i="87"/>
  <c r="AQ288" i="87"/>
  <c r="BC288" i="86"/>
  <c r="AQ288" i="86"/>
  <c r="BC288" i="88"/>
  <c r="AQ288" i="88"/>
  <c r="BC288" i="90"/>
  <c r="AQ288" i="90"/>
  <c r="BC288" i="89"/>
  <c r="AQ288" i="89"/>
  <c r="AW289" i="82"/>
  <c r="AW289" i="83"/>
  <c r="AW289" i="85"/>
  <c r="AW289" i="84"/>
  <c r="AW289" i="86"/>
  <c r="AW289" i="87"/>
  <c r="AW289" i="89"/>
  <c r="AW289" i="88"/>
  <c r="AW289" i="90"/>
  <c r="AR290" i="82"/>
  <c r="AR290" i="83"/>
  <c r="AR290" i="85"/>
  <c r="AR290" i="84"/>
  <c r="AR290" i="86"/>
  <c r="AR290" i="87"/>
  <c r="AR290" i="89"/>
  <c r="AR290" i="88"/>
  <c r="AR290" i="90"/>
  <c r="AV290" i="82"/>
  <c r="AV290" i="83"/>
  <c r="AV290" i="85"/>
  <c r="AV290" i="84"/>
  <c r="AV290" i="86"/>
  <c r="AV290" i="87"/>
  <c r="AV290" i="89"/>
  <c r="AV290" i="88"/>
  <c r="AV290" i="90"/>
  <c r="AW290" i="82"/>
  <c r="AW290" i="83"/>
  <c r="AW290" i="84"/>
  <c r="AW290" i="85"/>
  <c r="AW290" i="87"/>
  <c r="AW290" i="86"/>
  <c r="AW290" i="88"/>
  <c r="AW290" i="90"/>
  <c r="AW290" i="89"/>
  <c r="AX290" i="82"/>
  <c r="AX290" i="83"/>
  <c r="AX290" i="85"/>
  <c r="AX290" i="84"/>
  <c r="AX290" i="86"/>
  <c r="AX290" i="87"/>
  <c r="AX290" i="89"/>
  <c r="AX290" i="88"/>
  <c r="AX290" i="90"/>
  <c r="BA290" i="82"/>
  <c r="BA290" i="83"/>
  <c r="BA290" i="84"/>
  <c r="BA290" i="85"/>
  <c r="BA290" i="87"/>
  <c r="BA290" i="86"/>
  <c r="BA290" i="88"/>
  <c r="BA290" i="90"/>
  <c r="BA290" i="89"/>
  <c r="BC290" i="82"/>
  <c r="AQ290" i="82"/>
  <c r="BC290" i="83"/>
  <c r="AQ290" i="83"/>
  <c r="BC290" i="84"/>
  <c r="AQ290" i="84"/>
  <c r="BC290" i="85"/>
  <c r="AQ290" i="85"/>
  <c r="BC290" i="87"/>
  <c r="AQ290" i="87"/>
  <c r="BC290" i="86"/>
  <c r="AQ290" i="86"/>
  <c r="BC290" i="88"/>
  <c r="AQ290" i="88"/>
  <c r="BC290" i="90"/>
  <c r="AQ290" i="90"/>
  <c r="BC290" i="89"/>
  <c r="AQ290" i="89"/>
  <c r="AW291" i="82"/>
  <c r="AW291" i="83"/>
  <c r="AW291" i="85"/>
  <c r="AW291" i="84"/>
  <c r="AW291" i="86"/>
  <c r="AW291" i="87"/>
  <c r="AW291" i="89"/>
  <c r="AW291" i="88"/>
  <c r="AW291" i="90"/>
  <c r="AR292" i="82"/>
  <c r="AR292" i="83"/>
  <c r="AR292" i="85"/>
  <c r="AR292" i="84"/>
  <c r="AR292" i="86"/>
  <c r="AR292" i="87"/>
  <c r="AR292" i="89"/>
  <c r="AR292" i="88"/>
  <c r="AR292" i="90"/>
  <c r="AV292" i="82"/>
  <c r="AV292" i="83"/>
  <c r="AV292" i="85"/>
  <c r="AV292" i="84"/>
  <c r="AV292" i="86"/>
  <c r="AV292" i="87"/>
  <c r="AV292" i="89"/>
  <c r="AV292" i="88"/>
  <c r="AV292" i="90"/>
  <c r="AW292" i="82"/>
  <c r="AW292" i="83"/>
  <c r="AW292" i="84"/>
  <c r="AW292" i="85"/>
  <c r="AW292" i="87"/>
  <c r="AW292" i="86"/>
  <c r="AW292" i="88"/>
  <c r="AW292" i="90"/>
  <c r="AW292" i="89"/>
  <c r="AX292" i="82"/>
  <c r="AX292" i="83"/>
  <c r="AX292" i="85"/>
  <c r="AX292" i="84"/>
  <c r="AX292" i="86"/>
  <c r="AX292" i="87"/>
  <c r="AX292" i="89"/>
  <c r="AX292" i="88"/>
  <c r="AX292" i="90"/>
  <c r="BA292" i="82"/>
  <c r="BA292" i="83"/>
  <c r="BA292" i="84"/>
  <c r="BA292" i="85"/>
  <c r="BA292" i="87"/>
  <c r="BA292" i="86"/>
  <c r="BA292" i="88"/>
  <c r="BA292" i="90"/>
  <c r="BA292" i="89"/>
  <c r="BC292" i="82"/>
  <c r="AQ292" i="82"/>
  <c r="BC292" i="83"/>
  <c r="AQ292" i="83"/>
  <c r="BC292" i="84"/>
  <c r="AQ292" i="84"/>
  <c r="BC292" i="85"/>
  <c r="AQ292" i="85"/>
  <c r="BC292" i="87"/>
  <c r="AQ292" i="87"/>
  <c r="BC292" i="86"/>
  <c r="AQ292" i="86"/>
  <c r="BC292" i="88"/>
  <c r="AQ292" i="88"/>
  <c r="BC292" i="90"/>
  <c r="AQ292" i="90"/>
  <c r="BC292" i="89"/>
  <c r="AQ292" i="89"/>
  <c r="AW293" i="82"/>
  <c r="AW293" i="83"/>
  <c r="AW293" i="85"/>
  <c r="AW293" i="84"/>
  <c r="AW293" i="86"/>
  <c r="AW293" i="87"/>
  <c r="AW293" i="89"/>
  <c r="AW293" i="88"/>
  <c r="AW293" i="90"/>
  <c r="AR294" i="82"/>
  <c r="AR294" i="83"/>
  <c r="AR294" i="85"/>
  <c r="AR294" i="84"/>
  <c r="AR294" i="86"/>
  <c r="AR294" i="87"/>
  <c r="AR294" i="89"/>
  <c r="AR294" i="88"/>
  <c r="AR294" i="90"/>
  <c r="AV294" i="82"/>
  <c r="AV294" i="83"/>
  <c r="AV294" i="85"/>
  <c r="AV294" i="84"/>
  <c r="AV294" i="86"/>
  <c r="AV294" i="87"/>
  <c r="AV294" i="89"/>
  <c r="AV294" i="88"/>
  <c r="AV294" i="90"/>
  <c r="AW294" i="82"/>
  <c r="AW294" i="83"/>
  <c r="AW294" i="84"/>
  <c r="AW294" i="85"/>
  <c r="AW294" i="87"/>
  <c r="AW294" i="86"/>
  <c r="AW294" i="88"/>
  <c r="AW294" i="90"/>
  <c r="AW294" i="89"/>
  <c r="AX294" i="82"/>
  <c r="AX294" i="83"/>
  <c r="AX294" i="85"/>
  <c r="AX294" i="84"/>
  <c r="AX294" i="86"/>
  <c r="AX294" i="87"/>
  <c r="AX294" i="89"/>
  <c r="AX294" i="88"/>
  <c r="AX294" i="90"/>
  <c r="BA294" i="82"/>
  <c r="BA294" i="83"/>
  <c r="BA294" i="84"/>
  <c r="BA294" i="85"/>
  <c r="BA294" i="87"/>
  <c r="BA294" i="86"/>
  <c r="BA294" i="88"/>
  <c r="BA294" i="90"/>
  <c r="BA294" i="89"/>
  <c r="BC294" i="82"/>
  <c r="AQ294" i="82"/>
  <c r="BC294" i="83"/>
  <c r="AQ294" i="83"/>
  <c r="BC294" i="84"/>
  <c r="AQ294" i="84"/>
  <c r="BC294" i="85"/>
  <c r="AQ294" i="85"/>
  <c r="BC294" i="87"/>
  <c r="AQ294" i="87"/>
  <c r="BC294" i="86"/>
  <c r="AQ294" i="86"/>
  <c r="BC294" i="88"/>
  <c r="AQ294" i="88"/>
  <c r="BC294" i="90"/>
  <c r="AQ294" i="90"/>
  <c r="BC294" i="89"/>
  <c r="AQ294" i="89"/>
  <c r="AW295" i="82"/>
  <c r="AW295" i="83"/>
  <c r="AW295" i="85"/>
  <c r="AW295" i="84"/>
  <c r="AW295" i="86"/>
  <c r="AW295" i="87"/>
  <c r="AW295" i="89"/>
  <c r="AW295" i="88"/>
  <c r="AW295" i="90"/>
  <c r="AR296" i="82"/>
  <c r="AR296" i="83"/>
  <c r="AR296" i="85"/>
  <c r="AR296" i="84"/>
  <c r="AR296" i="86"/>
  <c r="AR296" i="87"/>
  <c r="AR296" i="89"/>
  <c r="AR296" i="88"/>
  <c r="AR296" i="90"/>
  <c r="AV296" i="82"/>
  <c r="AV296" i="83"/>
  <c r="AV296" i="85"/>
  <c r="AV296" i="84"/>
  <c r="AV296" i="86"/>
  <c r="AV296" i="87"/>
  <c r="AV296" i="89"/>
  <c r="AV296" i="88"/>
  <c r="AV296" i="90"/>
  <c r="AW296" i="82"/>
  <c r="AW296" i="83"/>
  <c r="AW296" i="84"/>
  <c r="AW296" i="85"/>
  <c r="AW296" i="87"/>
  <c r="AW296" i="86"/>
  <c r="AW296" i="88"/>
  <c r="AW296" i="90"/>
  <c r="AW296" i="89"/>
  <c r="AX296" i="82"/>
  <c r="AX296" i="83"/>
  <c r="AX296" i="85"/>
  <c r="AX296" i="84"/>
  <c r="AX296" i="86"/>
  <c r="AX296" i="87"/>
  <c r="AX296" i="89"/>
  <c r="AX296" i="88"/>
  <c r="AX296" i="90"/>
  <c r="BA296" i="82"/>
  <c r="BA296" i="83"/>
  <c r="BA296" i="84"/>
  <c r="BA296" i="85"/>
  <c r="BA296" i="87"/>
  <c r="BA296" i="86"/>
  <c r="BA296" i="88"/>
  <c r="BA296" i="90"/>
  <c r="BA296" i="89"/>
  <c r="BC296" i="82"/>
  <c r="AQ296" i="82"/>
  <c r="BC296" i="83"/>
  <c r="AQ296" i="83"/>
  <c r="BC296" i="84"/>
  <c r="AQ296" i="84"/>
  <c r="BC296" i="85"/>
  <c r="AQ296" i="85"/>
  <c r="BC296" i="87"/>
  <c r="AQ296" i="87"/>
  <c r="BC296" i="86"/>
  <c r="AQ296" i="86"/>
  <c r="BC296" i="88"/>
  <c r="AQ296" i="88"/>
  <c r="BC296" i="90"/>
  <c r="AQ296" i="90"/>
  <c r="BC296" i="89"/>
  <c r="AQ296" i="89"/>
  <c r="BA297" i="84"/>
  <c r="BA297" i="88"/>
  <c r="AT298" i="82"/>
  <c r="AT298" i="83"/>
  <c r="AT298" i="85"/>
  <c r="AT298" i="84"/>
  <c r="AT298" i="86"/>
  <c r="AT298" i="87"/>
  <c r="AT298" i="89"/>
  <c r="AT298" i="88"/>
  <c r="AT298" i="90"/>
  <c r="AU298" i="82"/>
  <c r="AU298" i="83"/>
  <c r="AU298" i="84"/>
  <c r="AU298" i="85"/>
  <c r="AU298" i="87"/>
  <c r="AU298" i="86"/>
  <c r="AU298" i="88"/>
  <c r="AU298" i="90"/>
  <c r="AU298" i="89"/>
  <c r="AY298" i="82"/>
  <c r="AY298" i="83"/>
  <c r="AY298" i="84"/>
  <c r="AY298" i="85"/>
  <c r="AY298" i="87"/>
  <c r="AY298" i="86"/>
  <c r="AY298" i="88"/>
  <c r="AY298" i="90"/>
  <c r="AY298" i="89"/>
  <c r="AZ298" i="82"/>
  <c r="AZ298" i="83"/>
  <c r="AZ298" i="85"/>
  <c r="AZ298" i="84"/>
  <c r="AZ298" i="86"/>
  <c r="AZ298" i="87"/>
  <c r="AZ298" i="89"/>
  <c r="AZ298" i="88"/>
  <c r="AZ298" i="90"/>
  <c r="BB298" i="82"/>
  <c r="BB298" i="83"/>
  <c r="BB298" i="85"/>
  <c r="BB298" i="84"/>
  <c r="BB298" i="86"/>
  <c r="BB298" i="87"/>
  <c r="BB298" i="89"/>
  <c r="BB298" i="88"/>
  <c r="BB298" i="90"/>
  <c r="AR300" i="82"/>
  <c r="AR300" i="83"/>
  <c r="AR300" i="85"/>
  <c r="AR300" i="84"/>
  <c r="AR300" i="86"/>
  <c r="AR300" i="87"/>
  <c r="AR300" i="89"/>
  <c r="AR300" i="88"/>
  <c r="AR300" i="90"/>
  <c r="AV300" i="82"/>
  <c r="AV300" i="83"/>
  <c r="AV300" i="85"/>
  <c r="AV300" i="84"/>
  <c r="AV300" i="86"/>
  <c r="AV300" i="87"/>
  <c r="AV300" i="89"/>
  <c r="AV300" i="88"/>
  <c r="AV300" i="90"/>
  <c r="AW300" i="82"/>
  <c r="AW300" i="83"/>
  <c r="AW300" i="84"/>
  <c r="AW300" i="85"/>
  <c r="AW300" i="87"/>
  <c r="AW300" i="86"/>
  <c r="AW300" i="88"/>
  <c r="AW300" i="90"/>
  <c r="AW300" i="89"/>
  <c r="AX300" i="82"/>
  <c r="AX300" i="83"/>
  <c r="AX300" i="85"/>
  <c r="AX300" i="84"/>
  <c r="AX300" i="86"/>
  <c r="AX300" i="87"/>
  <c r="AX300" i="89"/>
  <c r="AX300" i="88"/>
  <c r="AX300" i="90"/>
  <c r="BA300" i="82"/>
  <c r="BA300" i="83"/>
  <c r="BA300" i="84"/>
  <c r="BA300" i="85"/>
  <c r="BA300" i="87"/>
  <c r="BA300" i="86"/>
  <c r="BA300" i="88"/>
  <c r="BA300" i="90"/>
  <c r="BA300" i="89"/>
  <c r="BC300" i="82"/>
  <c r="AQ300" i="82"/>
  <c r="BC300" i="83"/>
  <c r="AQ300" i="83"/>
  <c r="BC300" i="84"/>
  <c r="AQ300" i="84"/>
  <c r="BC300" i="85"/>
  <c r="AQ300" i="85"/>
  <c r="BC300" i="87"/>
  <c r="AQ300" i="87"/>
  <c r="BC300" i="86"/>
  <c r="AQ300" i="86"/>
  <c r="BC300" i="88"/>
  <c r="AQ300" i="88"/>
  <c r="BC300" i="90"/>
  <c r="AQ300" i="90"/>
  <c r="BC300" i="89"/>
  <c r="AQ300" i="89"/>
  <c r="BA301" i="85"/>
  <c r="BA301" i="89"/>
  <c r="AT302" i="82"/>
  <c r="AT302" i="83"/>
  <c r="AT302" i="85"/>
  <c r="AT302" i="84"/>
  <c r="AT302" i="86"/>
  <c r="AT302" i="87"/>
  <c r="AT302" i="89"/>
  <c r="AT302" i="88"/>
  <c r="AT302" i="90"/>
  <c r="AU302" i="82"/>
  <c r="AU302" i="83"/>
  <c r="AU302" i="84"/>
  <c r="AU302" i="85"/>
  <c r="AU302" i="87"/>
  <c r="AU302" i="86"/>
  <c r="AU302" i="88"/>
  <c r="AU302" i="90"/>
  <c r="AU302" i="89"/>
  <c r="AY302" i="82"/>
  <c r="AY302" i="83"/>
  <c r="AY302" i="84"/>
  <c r="AY302" i="85"/>
  <c r="AY302" i="87"/>
  <c r="AY302" i="86"/>
  <c r="AY302" i="88"/>
  <c r="AY302" i="90"/>
  <c r="AY302" i="89"/>
  <c r="AZ302" i="82"/>
  <c r="AZ302" i="83"/>
  <c r="AZ302" i="85"/>
  <c r="AZ302" i="84"/>
  <c r="AZ302" i="86"/>
  <c r="AZ302" i="87"/>
  <c r="AZ302" i="89"/>
  <c r="AZ302" i="88"/>
  <c r="AZ302" i="90"/>
  <c r="BB302" i="82"/>
  <c r="BB302" i="83"/>
  <c r="BB302" i="85"/>
  <c r="BB302" i="84"/>
  <c r="BB302" i="86"/>
  <c r="BB302" i="87"/>
  <c r="BB302" i="89"/>
  <c r="BB302" i="88"/>
  <c r="BB302" i="90"/>
  <c r="AR304" i="82"/>
  <c r="AR304" i="83"/>
  <c r="AR304" i="85"/>
  <c r="AR304" i="84"/>
  <c r="AR304" i="86"/>
  <c r="AR304" i="87"/>
  <c r="AR304" i="89"/>
  <c r="AR304" i="88"/>
  <c r="AR304" i="90"/>
  <c r="AV304" i="82"/>
  <c r="AV304" i="83"/>
  <c r="AV304" i="85"/>
  <c r="AV304" i="84"/>
  <c r="AV304" i="86"/>
  <c r="AV304" i="87"/>
  <c r="AV304" i="89"/>
  <c r="AV304" i="88"/>
  <c r="AV304" i="90"/>
  <c r="AW304" i="82"/>
  <c r="AW304" i="83"/>
  <c r="AW304" i="84"/>
  <c r="AW304" i="85"/>
  <c r="AW304" i="87"/>
  <c r="AW304" i="86"/>
  <c r="AW304" i="88"/>
  <c r="AW304" i="90"/>
  <c r="AW304" i="89"/>
  <c r="AX304" i="82"/>
  <c r="AX304" i="83"/>
  <c r="AX304" i="85"/>
  <c r="AX304" i="84"/>
  <c r="AX304" i="86"/>
  <c r="AX304" i="87"/>
  <c r="AX304" i="89"/>
  <c r="AX304" i="88"/>
  <c r="AX304" i="90"/>
  <c r="BA304" i="82"/>
  <c r="BA304" i="83"/>
  <c r="BA304" i="84"/>
  <c r="BA304" i="85"/>
  <c r="BA304" i="87"/>
  <c r="BA304" i="86"/>
  <c r="BA304" i="88"/>
  <c r="BA304" i="90"/>
  <c r="BA304" i="89"/>
  <c r="BC304" i="82"/>
  <c r="AQ304" i="82"/>
  <c r="BC304" i="83"/>
  <c r="AQ304" i="83"/>
  <c r="BC304" i="84"/>
  <c r="AQ304" i="84"/>
  <c r="BC304" i="85"/>
  <c r="AQ304" i="85"/>
  <c r="BC304" i="87"/>
  <c r="AQ304" i="87"/>
  <c r="BC304" i="86"/>
  <c r="AQ304" i="86"/>
  <c r="BC304" i="88"/>
  <c r="AQ304" i="88"/>
  <c r="BC304" i="90"/>
  <c r="AQ304" i="90"/>
  <c r="BC304" i="89"/>
  <c r="AQ304" i="89"/>
  <c r="BA305" i="83"/>
  <c r="BA305" i="87"/>
  <c r="AT306" i="82"/>
  <c r="AT306" i="83"/>
  <c r="AT306" i="85"/>
  <c r="AT306" i="84"/>
  <c r="AT306" i="86"/>
  <c r="AT306" i="87"/>
  <c r="AT306" i="89"/>
  <c r="AT306" i="88"/>
  <c r="AT306" i="90"/>
  <c r="AU306" i="82"/>
  <c r="AU306" i="83"/>
  <c r="AU306" i="84"/>
  <c r="AU306" i="85"/>
  <c r="AU306" i="87"/>
  <c r="AU306" i="86"/>
  <c r="AU306" i="88"/>
  <c r="AU306" i="90"/>
  <c r="AU306" i="89"/>
  <c r="AY306" i="82"/>
  <c r="AY306" i="83"/>
  <c r="AY306" i="84"/>
  <c r="AY306" i="85"/>
  <c r="AY306" i="87"/>
  <c r="AY306" i="86"/>
  <c r="AY306" i="88"/>
  <c r="AY306" i="90"/>
  <c r="AY306" i="89"/>
  <c r="AZ306" i="82"/>
  <c r="AZ306" i="83"/>
  <c r="AZ306" i="85"/>
  <c r="AZ306" i="84"/>
  <c r="AZ306" i="86"/>
  <c r="AZ306" i="87"/>
  <c r="AZ306" i="89"/>
  <c r="AZ306" i="88"/>
  <c r="AZ306" i="90"/>
  <c r="BB306" i="82"/>
  <c r="BB306" i="83"/>
  <c r="BB306" i="85"/>
  <c r="BB306" i="84"/>
  <c r="BB306" i="86"/>
  <c r="BB306" i="87"/>
  <c r="BB306" i="89"/>
  <c r="BB306" i="88"/>
  <c r="BB306" i="90"/>
  <c r="AR308" i="82"/>
  <c r="AR308" i="83"/>
  <c r="AR308" i="85"/>
  <c r="AR308" i="84"/>
  <c r="AR308" i="86"/>
  <c r="AR308" i="87"/>
  <c r="AR308" i="89"/>
  <c r="AR308" i="88"/>
  <c r="AR308" i="90"/>
  <c r="AV308" i="82"/>
  <c r="AV308" i="83"/>
  <c r="AV308" i="85"/>
  <c r="AV308" i="84"/>
  <c r="AV308" i="86"/>
  <c r="AV308" i="87"/>
  <c r="AV308" i="89"/>
  <c r="AV308" i="88"/>
  <c r="AV308" i="90"/>
  <c r="AW308" i="82"/>
  <c r="AW308" i="83"/>
  <c r="AW308" i="84"/>
  <c r="AW308" i="85"/>
  <c r="AW308" i="87"/>
  <c r="AW308" i="86"/>
  <c r="AW308" i="88"/>
  <c r="AW308" i="90"/>
  <c r="AW308" i="89"/>
  <c r="AX308" i="82"/>
  <c r="AX308" i="83"/>
  <c r="AX308" i="85"/>
  <c r="AX308" i="84"/>
  <c r="AX308" i="86"/>
  <c r="AX308" i="87"/>
  <c r="AX308" i="89"/>
  <c r="AX308" i="88"/>
  <c r="AX308" i="90"/>
  <c r="BA308" i="82"/>
  <c r="BA308" i="83"/>
  <c r="BA308" i="84"/>
  <c r="BA308" i="85"/>
  <c r="BA308" i="87"/>
  <c r="BA308" i="86"/>
  <c r="BA308" i="88"/>
  <c r="BA308" i="90"/>
  <c r="BA308" i="89"/>
  <c r="BC308" i="82"/>
  <c r="AQ308" i="82"/>
  <c r="BC308" i="83"/>
  <c r="AQ308" i="83"/>
  <c r="BC308" i="84"/>
  <c r="AQ308" i="84"/>
  <c r="BC308" i="85"/>
  <c r="AQ308" i="85"/>
  <c r="BC308" i="87"/>
  <c r="AQ308" i="87"/>
  <c r="BC308" i="86"/>
  <c r="AQ308" i="86"/>
  <c r="BC308" i="88"/>
  <c r="AQ308" i="88"/>
  <c r="BC308" i="90"/>
  <c r="AQ308" i="90"/>
  <c r="BC308" i="89"/>
  <c r="AQ308" i="89"/>
  <c r="BA309" i="82"/>
  <c r="BA309" i="86"/>
  <c r="BA309" i="90"/>
  <c r="AT310" i="82"/>
  <c r="AT310" i="83"/>
  <c r="AT310" i="85"/>
  <c r="AT310" i="84"/>
  <c r="AT310" i="86"/>
  <c r="AT310" i="87"/>
  <c r="AT310" i="89"/>
  <c r="AT310" i="88"/>
  <c r="AT310" i="90"/>
  <c r="AU310" i="82"/>
  <c r="AU310" i="83"/>
  <c r="AU310" i="84"/>
  <c r="AU310" i="85"/>
  <c r="AU310" i="87"/>
  <c r="AU310" i="86"/>
  <c r="AU310" i="88"/>
  <c r="AU310" i="90"/>
  <c r="AU310" i="89"/>
  <c r="AY310" i="82"/>
  <c r="AY310" i="83"/>
  <c r="AY310" i="84"/>
  <c r="AY310" i="85"/>
  <c r="AY310" i="87"/>
  <c r="AY310" i="86"/>
  <c r="AY310" i="88"/>
  <c r="AY310" i="90"/>
  <c r="AY310" i="89"/>
  <c r="AZ310" i="82"/>
  <c r="AZ310" i="83"/>
  <c r="AZ310" i="85"/>
  <c r="AZ310" i="84"/>
  <c r="AZ310" i="86"/>
  <c r="AZ310" i="87"/>
  <c r="AZ310" i="89"/>
  <c r="AZ310" i="88"/>
  <c r="AZ310" i="90"/>
  <c r="BB310" i="82"/>
  <c r="BB310" i="83"/>
  <c r="BB310" i="85"/>
  <c r="BB310" i="84"/>
  <c r="BB310" i="86"/>
  <c r="BB310" i="87"/>
  <c r="BB310" i="89"/>
  <c r="BB310" i="88"/>
  <c r="BB310" i="90"/>
  <c r="AR312" i="82"/>
  <c r="AR312" i="83"/>
  <c r="AR312" i="85"/>
  <c r="AR312" i="84"/>
  <c r="AR312" i="86"/>
  <c r="AR312" i="87"/>
  <c r="AR312" i="89"/>
  <c r="AR312" i="88"/>
  <c r="AR312" i="90"/>
  <c r="AV312" i="82"/>
  <c r="AV312" i="83"/>
  <c r="AV312" i="85"/>
  <c r="AV312" i="84"/>
  <c r="AV312" i="86"/>
  <c r="AV312" i="87"/>
  <c r="AV312" i="89"/>
  <c r="AV312" i="88"/>
  <c r="AV312" i="90"/>
  <c r="AW312" i="82"/>
  <c r="AW312" i="83"/>
  <c r="AW312" i="84"/>
  <c r="AW312" i="85"/>
  <c r="AW312" i="87"/>
  <c r="AW312" i="86"/>
  <c r="AW312" i="88"/>
  <c r="AW312" i="90"/>
  <c r="AW312" i="89"/>
  <c r="AX312" i="82"/>
  <c r="AX312" i="83"/>
  <c r="AX312" i="85"/>
  <c r="AX312" i="84"/>
  <c r="AX312" i="86"/>
  <c r="AX312" i="87"/>
  <c r="AX312" i="89"/>
  <c r="AX312" i="88"/>
  <c r="AX312" i="90"/>
  <c r="BA312" i="82"/>
  <c r="BA312" i="83"/>
  <c r="BA312" i="84"/>
  <c r="BA312" i="85"/>
  <c r="BA312" i="87"/>
  <c r="BA312" i="86"/>
  <c r="BA312" i="88"/>
  <c r="BA312" i="90"/>
  <c r="BA312" i="89"/>
  <c r="BC312" i="82"/>
  <c r="AQ312" i="82"/>
  <c r="BC312" i="83"/>
  <c r="AQ312" i="83"/>
  <c r="BC312" i="84"/>
  <c r="AQ312" i="84"/>
  <c r="BC312" i="85"/>
  <c r="AQ312" i="85"/>
  <c r="BC312" i="87"/>
  <c r="AQ312" i="87"/>
  <c r="BC312" i="86"/>
  <c r="AQ312" i="86"/>
  <c r="BC312" i="88"/>
  <c r="AQ312" i="88"/>
  <c r="BC312" i="90"/>
  <c r="AQ312" i="90"/>
  <c r="BC312" i="89"/>
  <c r="AQ312" i="89"/>
  <c r="BA313" i="84"/>
  <c r="BA313" i="88"/>
  <c r="AT314" i="82"/>
  <c r="AT314" i="83"/>
  <c r="AT314" i="85"/>
  <c r="AT314" i="84"/>
  <c r="AT314" i="86"/>
  <c r="AT314" i="87"/>
  <c r="AT314" i="89"/>
  <c r="AT314" i="88"/>
  <c r="AT314" i="90"/>
  <c r="AU314" i="82"/>
  <c r="AU314" i="83"/>
  <c r="AU314" i="84"/>
  <c r="AU314" i="85"/>
  <c r="AU314" i="87"/>
  <c r="AU314" i="86"/>
  <c r="AU314" i="88"/>
  <c r="AU314" i="90"/>
  <c r="AU314" i="89"/>
  <c r="AY314" i="82"/>
  <c r="AY314" i="83"/>
  <c r="AY314" i="84"/>
  <c r="AY314" i="85"/>
  <c r="AY314" i="87"/>
  <c r="AY314" i="86"/>
  <c r="AY314" i="88"/>
  <c r="AY314" i="90"/>
  <c r="AY314" i="89"/>
  <c r="AZ314" i="82"/>
  <c r="AZ314" i="83"/>
  <c r="AZ314" i="85"/>
  <c r="AZ314" i="84"/>
  <c r="AZ314" i="86"/>
  <c r="AZ314" i="87"/>
  <c r="AZ314" i="89"/>
  <c r="AZ314" i="88"/>
  <c r="AZ314" i="90"/>
  <c r="BB314" i="82"/>
  <c r="BB314" i="83"/>
  <c r="BB314" i="85"/>
  <c r="BB314" i="84"/>
  <c r="BB314" i="86"/>
  <c r="BB314" i="87"/>
  <c r="BB314" i="89"/>
  <c r="BB314" i="88"/>
  <c r="BB314" i="90"/>
  <c r="AR316" i="82"/>
  <c r="AR316" i="83"/>
  <c r="AR316" i="85"/>
  <c r="AR316" i="84"/>
  <c r="AR316" i="86"/>
  <c r="AR316" i="87"/>
  <c r="AR316" i="89"/>
  <c r="AR316" i="88"/>
  <c r="AR316" i="90"/>
  <c r="AV316" i="82"/>
  <c r="AV316" i="83"/>
  <c r="AV316" i="85"/>
  <c r="AV316" i="84"/>
  <c r="AV316" i="86"/>
  <c r="AV316" i="87"/>
  <c r="AV316" i="89"/>
  <c r="AV316" i="88"/>
  <c r="AV316" i="90"/>
  <c r="AW316" i="82"/>
  <c r="AW316" i="83"/>
  <c r="AW316" i="84"/>
  <c r="AW316" i="85"/>
  <c r="AW316" i="87"/>
  <c r="AW316" i="86"/>
  <c r="AW316" i="88"/>
  <c r="AW316" i="90"/>
  <c r="AW316" i="89"/>
  <c r="AX316" i="82"/>
  <c r="AX316" i="83"/>
  <c r="AX316" i="85"/>
  <c r="AX316" i="84"/>
  <c r="AX316" i="86"/>
  <c r="AX316" i="87"/>
  <c r="AX316" i="89"/>
  <c r="AX316" i="88"/>
  <c r="AX316" i="90"/>
  <c r="BA316" i="82"/>
  <c r="BA316" i="83"/>
  <c r="BA316" i="84"/>
  <c r="BA316" i="85"/>
  <c r="BA316" i="87"/>
  <c r="BA316" i="86"/>
  <c r="BA316" i="88"/>
  <c r="BA316" i="90"/>
  <c r="BA316" i="89"/>
  <c r="BC316" i="82"/>
  <c r="AQ316" i="82"/>
  <c r="BC316" i="83"/>
  <c r="AQ316" i="83"/>
  <c r="BC316" i="84"/>
  <c r="AQ316" i="84"/>
  <c r="BC316" i="85"/>
  <c r="AQ316" i="85"/>
  <c r="BC316" i="87"/>
  <c r="AQ316" i="87"/>
  <c r="BC316" i="86"/>
  <c r="AQ316" i="86"/>
  <c r="BC316" i="88"/>
  <c r="AQ316" i="88"/>
  <c r="BC316" i="90"/>
  <c r="AQ316" i="90"/>
  <c r="BC316" i="89"/>
  <c r="AQ316" i="89"/>
  <c r="BA317" i="85"/>
  <c r="BA317" i="89"/>
  <c r="AT318" i="82"/>
  <c r="AT318" i="83"/>
  <c r="AT318" i="85"/>
  <c r="AT318" i="84"/>
  <c r="AT318" i="86"/>
  <c r="AT318" i="87"/>
  <c r="AT318" i="89"/>
  <c r="AT318" i="88"/>
  <c r="AT318" i="90"/>
  <c r="AU318" i="82"/>
  <c r="AU318" i="83"/>
  <c r="AU318" i="84"/>
  <c r="AU318" i="85"/>
  <c r="AU318" i="87"/>
  <c r="AU318" i="86"/>
  <c r="AU318" i="88"/>
  <c r="AU318" i="90"/>
  <c r="AU318" i="89"/>
  <c r="AY318" i="82"/>
  <c r="AY318" i="83"/>
  <c r="AY318" i="84"/>
  <c r="AY318" i="85"/>
  <c r="AY318" i="87"/>
  <c r="AY318" i="86"/>
  <c r="AY318" i="88"/>
  <c r="AY318" i="90"/>
  <c r="AY318" i="89"/>
  <c r="AZ318" i="82"/>
  <c r="AZ318" i="83"/>
  <c r="AZ318" i="85"/>
  <c r="AZ318" i="84"/>
  <c r="AZ318" i="86"/>
  <c r="AZ318" i="87"/>
  <c r="AZ318" i="89"/>
  <c r="AZ318" i="88"/>
  <c r="AZ318" i="90"/>
  <c r="BB318" i="82"/>
  <c r="BB318" i="83"/>
  <c r="BB318" i="85"/>
  <c r="BB318" i="84"/>
  <c r="BB318" i="86"/>
  <c r="BB318" i="87"/>
  <c r="BB318" i="89"/>
  <c r="BB318" i="88"/>
  <c r="BB318" i="90"/>
  <c r="AR320" i="82"/>
  <c r="AR320" i="83"/>
  <c r="AR320" i="85"/>
  <c r="AR320" i="84"/>
  <c r="AR320" i="86"/>
  <c r="AR320" i="87"/>
  <c r="AR320" i="89"/>
  <c r="AR320" i="88"/>
  <c r="AR320" i="90"/>
  <c r="AV320" i="82"/>
  <c r="AV320" i="83"/>
  <c r="AV320" i="85"/>
  <c r="AV320" i="84"/>
  <c r="AV320" i="86"/>
  <c r="AV320" i="87"/>
  <c r="AV320" i="89"/>
  <c r="AV320" i="88"/>
  <c r="AV320" i="90"/>
  <c r="AW320" i="82"/>
  <c r="AW320" i="83"/>
  <c r="AW320" i="84"/>
  <c r="AW320" i="85"/>
  <c r="AW320" i="87"/>
  <c r="AW320" i="86"/>
  <c r="AW320" i="88"/>
  <c r="AW320" i="90"/>
  <c r="AW320" i="89"/>
  <c r="AX320" i="82"/>
  <c r="AX320" i="83"/>
  <c r="AX320" i="85"/>
  <c r="AX320" i="84"/>
  <c r="AX320" i="86"/>
  <c r="AX320" i="87"/>
  <c r="AX320" i="89"/>
  <c r="AX320" i="88"/>
  <c r="AX320" i="90"/>
  <c r="BA320" i="82"/>
  <c r="BA320" i="83"/>
  <c r="BA320" i="84"/>
  <c r="BA320" i="85"/>
  <c r="BA320" i="87"/>
  <c r="BA320" i="86"/>
  <c r="BA320" i="88"/>
  <c r="BA320" i="90"/>
  <c r="BA320" i="89"/>
  <c r="BC320" i="82"/>
  <c r="AQ320" i="82"/>
  <c r="BC320" i="83"/>
  <c r="AQ320" i="83"/>
  <c r="BC320" i="84"/>
  <c r="AQ320" i="84"/>
  <c r="BC320" i="85"/>
  <c r="AQ320" i="85"/>
  <c r="BC320" i="87"/>
  <c r="AQ320" i="87"/>
  <c r="BC320" i="86"/>
  <c r="AQ320" i="86"/>
  <c r="BC320" i="88"/>
  <c r="AQ320" i="88"/>
  <c r="BC320" i="90"/>
  <c r="AQ320" i="90"/>
  <c r="BC320" i="89"/>
  <c r="AQ320" i="89"/>
  <c r="BA321" i="83"/>
  <c r="BA321" i="87"/>
  <c r="AT322" i="82"/>
  <c r="AT322" i="83"/>
  <c r="AT322" i="85"/>
  <c r="AT322" i="84"/>
  <c r="AT322" i="86"/>
  <c r="AT322" i="87"/>
  <c r="AT322" i="89"/>
  <c r="AT322" i="88"/>
  <c r="AT322" i="90"/>
  <c r="AU322" i="82"/>
  <c r="AU322" i="83"/>
  <c r="AU322" i="84"/>
  <c r="AU322" i="85"/>
  <c r="AU322" i="87"/>
  <c r="AU322" i="86"/>
  <c r="AU322" i="88"/>
  <c r="AU322" i="90"/>
  <c r="AU322" i="89"/>
  <c r="AY322" i="82"/>
  <c r="AY322" i="83"/>
  <c r="AY322" i="84"/>
  <c r="AY322" i="85"/>
  <c r="AY322" i="87"/>
  <c r="AY322" i="86"/>
  <c r="AY322" i="88"/>
  <c r="AY322" i="90"/>
  <c r="AY322" i="89"/>
  <c r="AZ322" i="82"/>
  <c r="AZ322" i="83"/>
  <c r="AZ322" i="85"/>
  <c r="AZ322" i="84"/>
  <c r="AZ322" i="86"/>
  <c r="AZ322" i="87"/>
  <c r="AZ322" i="89"/>
  <c r="AZ322" i="88"/>
  <c r="AZ322" i="90"/>
  <c r="BB322" i="82"/>
  <c r="BB322" i="83"/>
  <c r="BB322" i="85"/>
  <c r="BB322" i="84"/>
  <c r="BB322" i="86"/>
  <c r="BB322" i="87"/>
  <c r="BB322" i="89"/>
  <c r="BB322" i="88"/>
  <c r="BB322" i="90"/>
  <c r="AR324" i="82"/>
  <c r="AR324" i="83"/>
  <c r="AR324" i="85"/>
  <c r="AR324" i="84"/>
  <c r="AR324" i="86"/>
  <c r="AR324" i="87"/>
  <c r="AR324" i="89"/>
  <c r="AR324" i="88"/>
  <c r="AR324" i="90"/>
  <c r="AV324" i="82"/>
  <c r="AV324" i="83"/>
  <c r="AV324" i="85"/>
  <c r="AV324" i="84"/>
  <c r="AV324" i="86"/>
  <c r="AV324" i="87"/>
  <c r="AV324" i="89"/>
  <c r="AV324" i="88"/>
  <c r="AV324" i="90"/>
  <c r="AW324" i="82"/>
  <c r="AW324" i="83"/>
  <c r="AW324" i="84"/>
  <c r="AW324" i="85"/>
  <c r="AW324" i="87"/>
  <c r="AW324" i="86"/>
  <c r="AW324" i="88"/>
  <c r="AW324" i="90"/>
  <c r="AW324" i="89"/>
  <c r="AX324" i="82"/>
  <c r="AX324" i="83"/>
  <c r="AX324" i="85"/>
  <c r="AX324" i="84"/>
  <c r="AX324" i="86"/>
  <c r="AX324" i="87"/>
  <c r="AX324" i="89"/>
  <c r="AX324" i="88"/>
  <c r="AX324" i="90"/>
  <c r="BA324" i="82"/>
  <c r="BA324" i="83"/>
  <c r="BA324" i="84"/>
  <c r="BA324" i="85"/>
  <c r="BA324" i="87"/>
  <c r="BA324" i="86"/>
  <c r="BA324" i="88"/>
  <c r="BA324" i="90"/>
  <c r="BA324" i="89"/>
  <c r="AX326" i="82"/>
  <c r="AX326" i="83"/>
  <c r="AX326" i="85"/>
  <c r="AX326" i="84"/>
  <c r="AX326" i="86"/>
  <c r="AX326" i="87"/>
  <c r="AX326" i="89"/>
  <c r="AX326" i="88"/>
  <c r="AX326" i="90"/>
  <c r="BC326" i="82"/>
  <c r="AQ326" i="82"/>
  <c r="BC326" i="83"/>
  <c r="AQ326" i="83"/>
  <c r="BC326" i="84"/>
  <c r="AQ326" i="84"/>
  <c r="BC326" i="85"/>
  <c r="AQ326" i="85"/>
  <c r="BC326" i="87"/>
  <c r="AQ326" i="87"/>
  <c r="BC326" i="86"/>
  <c r="AQ326" i="86"/>
  <c r="BC326" i="88"/>
  <c r="AQ326" i="88"/>
  <c r="BC326" i="90"/>
  <c r="AQ326" i="90"/>
  <c r="BC326" i="89"/>
  <c r="AQ326" i="89"/>
  <c r="BA327" i="82"/>
  <c r="BA327" i="83"/>
  <c r="BA327" i="85"/>
  <c r="BA327" i="84"/>
  <c r="BA327" i="86"/>
  <c r="BA327" i="87"/>
  <c r="BA327" i="89"/>
  <c r="BA327" i="88"/>
  <c r="BA327" i="90"/>
  <c r="AT328" i="82"/>
  <c r="AT328" i="83"/>
  <c r="AT328" i="85"/>
  <c r="AT328" i="84"/>
  <c r="AT328" i="86"/>
  <c r="AT328" i="87"/>
  <c r="AT328" i="89"/>
  <c r="AT328" i="88"/>
  <c r="AT328" i="90"/>
  <c r="BB328" i="82"/>
  <c r="BB328" i="83"/>
  <c r="BB328" i="85"/>
  <c r="BB328" i="84"/>
  <c r="BB328" i="86"/>
  <c r="BB328" i="87"/>
  <c r="BB328" i="89"/>
  <c r="BB328" i="88"/>
  <c r="BB328" i="90"/>
  <c r="BA329" i="82"/>
  <c r="BA329" i="86"/>
  <c r="BA329" i="90"/>
  <c r="BA330" i="82"/>
  <c r="BA330" i="83"/>
  <c r="BA330" i="84"/>
  <c r="BA330" i="85"/>
  <c r="BA330" i="87"/>
  <c r="BA330" i="86"/>
  <c r="BA330" i="88"/>
  <c r="BA330" i="90"/>
  <c r="BA330" i="89"/>
  <c r="AU332" i="82"/>
  <c r="AU332" i="83"/>
  <c r="AU332" i="84"/>
  <c r="AU332" i="85"/>
  <c r="AU332" i="87"/>
  <c r="AU332" i="86"/>
  <c r="AU332" i="88"/>
  <c r="AU332" i="90"/>
  <c r="AU332" i="89"/>
  <c r="AX334" i="82"/>
  <c r="AX334" i="83"/>
  <c r="AX334" i="85"/>
  <c r="AX334" i="84"/>
  <c r="AX334" i="86"/>
  <c r="AX334" i="87"/>
  <c r="AX334" i="89"/>
  <c r="AX334" i="88"/>
  <c r="AX334" i="90"/>
  <c r="BC334" i="82"/>
  <c r="AQ334" i="82"/>
  <c r="BC334" i="83"/>
  <c r="AQ334" i="83"/>
  <c r="BC334" i="84"/>
  <c r="AQ334" i="84"/>
  <c r="BC334" i="85"/>
  <c r="AQ334" i="85"/>
  <c r="BC334" i="87"/>
  <c r="AQ334" i="87"/>
  <c r="BC334" i="86"/>
  <c r="AQ334" i="86"/>
  <c r="BC334" i="88"/>
  <c r="AQ334" i="88"/>
  <c r="BC334" i="90"/>
  <c r="AQ334" i="90"/>
  <c r="BC334" i="89"/>
  <c r="AQ334" i="89"/>
  <c r="BA335" i="82"/>
  <c r="BA335" i="83"/>
  <c r="BA335" i="85"/>
  <c r="BA335" i="84"/>
  <c r="BA335" i="86"/>
  <c r="BA335" i="87"/>
  <c r="BA335" i="89"/>
  <c r="BA335" i="88"/>
  <c r="BA335" i="90"/>
  <c r="AT336" i="82"/>
  <c r="AT336" i="83"/>
  <c r="AT336" i="85"/>
  <c r="AT336" i="84"/>
  <c r="AT336" i="86"/>
  <c r="AT336" i="87"/>
  <c r="AT336" i="89"/>
  <c r="AT336" i="88"/>
  <c r="AT336" i="90"/>
  <c r="BB336" i="82"/>
  <c r="BB336" i="83"/>
  <c r="BB336" i="85"/>
  <c r="BB336" i="84"/>
  <c r="BB336" i="86"/>
  <c r="BB336" i="87"/>
  <c r="BB336" i="89"/>
  <c r="BB336" i="88"/>
  <c r="BB336" i="90"/>
  <c r="BA337" i="84"/>
  <c r="BA337" i="88"/>
  <c r="BA338" i="82"/>
  <c r="BA338" i="83"/>
  <c r="BA338" i="84"/>
  <c r="BA338" i="85"/>
  <c r="BA338" i="87"/>
  <c r="BA338" i="86"/>
  <c r="BA338" i="88"/>
  <c r="BA338" i="90"/>
  <c r="BA338" i="89"/>
  <c r="AU340" i="82"/>
  <c r="AU340" i="83"/>
  <c r="AU340" i="84"/>
  <c r="AU340" i="85"/>
  <c r="AU340" i="87"/>
  <c r="AU340" i="86"/>
  <c r="AU340" i="88"/>
  <c r="AU340" i="90"/>
  <c r="AU340" i="89"/>
  <c r="AX342" i="82"/>
  <c r="AX342" i="83"/>
  <c r="AX342" i="85"/>
  <c r="AX342" i="84"/>
  <c r="AX342" i="86"/>
  <c r="AX342" i="87"/>
  <c r="AX342" i="89"/>
  <c r="AX342" i="88"/>
  <c r="AX342" i="90"/>
  <c r="BC342" i="82"/>
  <c r="AQ342" i="82"/>
  <c r="BC342" i="83"/>
  <c r="AQ342" i="83"/>
  <c r="BC342" i="84"/>
  <c r="AQ342" i="84"/>
  <c r="BC342" i="85"/>
  <c r="AQ342" i="85"/>
  <c r="BC342" i="87"/>
  <c r="AQ342" i="87"/>
  <c r="BC342" i="86"/>
  <c r="AQ342" i="86"/>
  <c r="BC342" i="88"/>
  <c r="AQ342" i="88"/>
  <c r="BC342" i="90"/>
  <c r="AQ342" i="90"/>
  <c r="BC342" i="89"/>
  <c r="AQ342" i="89"/>
  <c r="AX344" i="82"/>
  <c r="AX344" i="83"/>
  <c r="AX344" i="85"/>
  <c r="AX344" i="84"/>
  <c r="AX344" i="86"/>
  <c r="AX344" i="87"/>
  <c r="AX344" i="89"/>
  <c r="AX344" i="88"/>
  <c r="AX344" i="90"/>
  <c r="BC344" i="82"/>
  <c r="AQ344" i="82"/>
  <c r="BC344" i="83"/>
  <c r="AQ344" i="83"/>
  <c r="BC344" i="84"/>
  <c r="AQ344" i="84"/>
  <c r="BC344" i="85"/>
  <c r="AQ344" i="85"/>
  <c r="BC344" i="87"/>
  <c r="AQ344" i="87"/>
  <c r="BC344" i="86"/>
  <c r="AQ344" i="86"/>
  <c r="BC344" i="88"/>
  <c r="AQ344" i="88"/>
  <c r="BC344" i="90"/>
  <c r="AQ344" i="90"/>
  <c r="BC344" i="89"/>
  <c r="AQ344" i="89"/>
  <c r="BB345" i="82"/>
  <c r="BB345" i="83"/>
  <c r="BB345" i="84"/>
  <c r="BB345" i="85"/>
  <c r="BB345" i="87"/>
  <c r="BB345" i="86"/>
  <c r="BB345" i="88"/>
  <c r="BB345" i="90"/>
  <c r="BB345" i="89"/>
  <c r="AT346" i="82"/>
  <c r="AT346" i="83"/>
  <c r="AT346" i="85"/>
  <c r="AT346" i="84"/>
  <c r="AT346" i="86"/>
  <c r="AT346" i="87"/>
  <c r="AT346" i="89"/>
  <c r="AT346" i="88"/>
  <c r="AT346" i="90"/>
  <c r="BB346" i="82"/>
  <c r="BB346" i="83"/>
  <c r="BB346" i="85"/>
  <c r="BB346" i="84"/>
  <c r="BB346" i="86"/>
  <c r="BB346" i="87"/>
  <c r="BB346" i="89"/>
  <c r="BB346" i="88"/>
  <c r="BB346" i="90"/>
  <c r="AU348" i="82"/>
  <c r="AU348" i="83"/>
  <c r="AU348" i="84"/>
  <c r="AU348" i="85"/>
  <c r="AU348" i="87"/>
  <c r="AU348" i="86"/>
  <c r="AU348" i="88"/>
  <c r="AU348" i="90"/>
  <c r="AU348" i="89"/>
  <c r="AV349" i="84"/>
  <c r="AV349" i="88"/>
  <c r="AR177" i="83"/>
  <c r="AR177" i="88"/>
  <c r="AV177" i="82"/>
  <c r="AV177" i="86"/>
  <c r="AV177" i="89"/>
  <c r="AW177" i="86"/>
  <c r="AW177" i="88"/>
  <c r="AX177" i="84"/>
  <c r="AX177" i="90"/>
  <c r="BA177" i="82"/>
  <c r="BA177" i="83"/>
  <c r="BA177" i="84"/>
  <c r="BA177" i="86"/>
  <c r="BA177" i="85"/>
  <c r="BA177" i="87"/>
  <c r="BA177" i="89"/>
  <c r="BA177" i="88"/>
  <c r="BA177" i="90"/>
  <c r="BC177" i="83"/>
  <c r="BC177" i="86"/>
  <c r="BC177" i="87"/>
  <c r="BC177" i="88"/>
  <c r="AT178" i="82"/>
  <c r="AT178" i="83"/>
  <c r="AT178" i="84"/>
  <c r="AT178" i="86"/>
  <c r="AT178" i="85"/>
  <c r="AT178" i="87"/>
  <c r="AT178" i="89"/>
  <c r="AT178" i="88"/>
  <c r="AT178" i="90"/>
  <c r="AU178" i="82"/>
  <c r="AU178" i="83"/>
  <c r="AU178" i="84"/>
  <c r="AU178" i="85"/>
  <c r="AU178" i="86"/>
  <c r="AU178" i="88"/>
  <c r="AU178" i="90"/>
  <c r="AU178" i="87"/>
  <c r="AU178" i="89"/>
  <c r="AY178" i="82"/>
  <c r="AY178" i="83"/>
  <c r="AY178" i="84"/>
  <c r="AY178" i="85"/>
  <c r="AY178" i="86"/>
  <c r="AY178" i="88"/>
  <c r="AY178" i="90"/>
  <c r="AY178" i="87"/>
  <c r="AY178" i="89"/>
  <c r="AZ178" i="82"/>
  <c r="AZ178" i="83"/>
  <c r="AZ178" i="84"/>
  <c r="AZ178" i="86"/>
  <c r="AZ178" i="85"/>
  <c r="AZ178" i="87"/>
  <c r="AZ178" i="89"/>
  <c r="AZ178" i="88"/>
  <c r="AZ178" i="90"/>
  <c r="BB178" i="82"/>
  <c r="BB178" i="83"/>
  <c r="BB178" i="84"/>
  <c r="BB178" i="86"/>
  <c r="BB178" i="85"/>
  <c r="BB178" i="87"/>
  <c r="BB178" i="89"/>
  <c r="BB178" i="88"/>
  <c r="BB178" i="90"/>
  <c r="AR179" i="85"/>
  <c r="AR179" i="87"/>
  <c r="AV179" i="82"/>
  <c r="AV179" i="83"/>
  <c r="AV179" i="84"/>
  <c r="AV179" i="85"/>
  <c r="AV179" i="86"/>
  <c r="AV179" i="88"/>
  <c r="AV179" i="90"/>
  <c r="AV179" i="87"/>
  <c r="AV179" i="89"/>
  <c r="AW179" i="83"/>
  <c r="AW179" i="87"/>
  <c r="AX179" i="82"/>
  <c r="AX179" i="83"/>
  <c r="AX179" i="84"/>
  <c r="AX179" i="85"/>
  <c r="AX179" i="86"/>
  <c r="AX179" i="88"/>
  <c r="AX179" i="90"/>
  <c r="AX179" i="87"/>
  <c r="AX179" i="89"/>
  <c r="BA179" i="86"/>
  <c r="BA179" i="88"/>
  <c r="BC179" i="82"/>
  <c r="AQ179" i="82"/>
  <c r="BC179" i="83"/>
  <c r="AQ179" i="83"/>
  <c r="BC179" i="84"/>
  <c r="AQ179" i="84"/>
  <c r="BC179" i="86"/>
  <c r="AQ179" i="86"/>
  <c r="BC179" i="85"/>
  <c r="AQ179" i="85"/>
  <c r="BC179" i="87"/>
  <c r="AQ179" i="87"/>
  <c r="BC179" i="89"/>
  <c r="AQ179" i="89"/>
  <c r="BC179" i="88"/>
  <c r="AQ179" i="88"/>
  <c r="BC179" i="90"/>
  <c r="AQ179" i="90"/>
  <c r="AT180" i="82"/>
  <c r="AT180" i="83"/>
  <c r="AT180" i="84"/>
  <c r="AT180" i="86"/>
  <c r="AT180" i="85"/>
  <c r="AT180" i="87"/>
  <c r="AT180" i="89"/>
  <c r="AT180" i="88"/>
  <c r="AT180" i="90"/>
  <c r="AU180" i="82"/>
  <c r="AU180" i="83"/>
  <c r="AU180" i="84"/>
  <c r="AU180" i="85"/>
  <c r="AU180" i="86"/>
  <c r="AU180" i="88"/>
  <c r="AU180" i="90"/>
  <c r="AU180" i="87"/>
  <c r="AU180" i="89"/>
  <c r="AY180" i="82"/>
  <c r="AY180" i="83"/>
  <c r="AY180" i="84"/>
  <c r="AY180" i="85"/>
  <c r="AY180" i="86"/>
  <c r="AY180" i="88"/>
  <c r="AY180" i="90"/>
  <c r="AY180" i="87"/>
  <c r="AY180" i="89"/>
  <c r="AZ180" i="82"/>
  <c r="AZ180" i="83"/>
  <c r="AZ180" i="84"/>
  <c r="AZ180" i="86"/>
  <c r="AZ180" i="85"/>
  <c r="AZ180" i="87"/>
  <c r="AZ180" i="89"/>
  <c r="AZ180" i="88"/>
  <c r="AZ180" i="90"/>
  <c r="BB180" i="82"/>
  <c r="BB180" i="83"/>
  <c r="BB180" i="84"/>
  <c r="BB180" i="86"/>
  <c r="BB180" i="85"/>
  <c r="BB180" i="87"/>
  <c r="BB180" i="89"/>
  <c r="BB180" i="88"/>
  <c r="BB180" i="90"/>
  <c r="AR181" i="83"/>
  <c r="AR181" i="88"/>
  <c r="AV181" i="82"/>
  <c r="AV181" i="86"/>
  <c r="AV181" i="89"/>
  <c r="AW181" i="86"/>
  <c r="AW181" i="88"/>
  <c r="AX181" i="84"/>
  <c r="AX181" i="90"/>
  <c r="BA181" i="82"/>
  <c r="BA181" i="83"/>
  <c r="BA181" i="84"/>
  <c r="BA181" i="86"/>
  <c r="BA181" i="85"/>
  <c r="BA181" i="87"/>
  <c r="BA181" i="89"/>
  <c r="BA181" i="88"/>
  <c r="BA181" i="90"/>
  <c r="BC181" i="83"/>
  <c r="BC181" i="86"/>
  <c r="BC181" i="87"/>
  <c r="BC181" i="88"/>
  <c r="AT182" i="82"/>
  <c r="AT182" i="83"/>
  <c r="AT182" i="84"/>
  <c r="AT182" i="86"/>
  <c r="AT182" i="85"/>
  <c r="AT182" i="87"/>
  <c r="AT182" i="89"/>
  <c r="AT182" i="88"/>
  <c r="AT182" i="90"/>
  <c r="AU182" i="82"/>
  <c r="AU182" i="83"/>
  <c r="AU182" i="84"/>
  <c r="AU182" i="85"/>
  <c r="AU182" i="86"/>
  <c r="AU182" i="88"/>
  <c r="AU182" i="90"/>
  <c r="AU182" i="87"/>
  <c r="AU182" i="89"/>
  <c r="AY182" i="82"/>
  <c r="AY182" i="83"/>
  <c r="AY182" i="84"/>
  <c r="AY182" i="85"/>
  <c r="AY182" i="86"/>
  <c r="AY182" i="88"/>
  <c r="AY182" i="90"/>
  <c r="AY182" i="87"/>
  <c r="AY182" i="89"/>
  <c r="AZ182" i="82"/>
  <c r="AZ182" i="83"/>
  <c r="AZ182" i="84"/>
  <c r="AZ182" i="86"/>
  <c r="AZ182" i="85"/>
  <c r="AZ182" i="87"/>
  <c r="AZ182" i="89"/>
  <c r="AZ182" i="88"/>
  <c r="AZ182" i="90"/>
  <c r="BB182" i="82"/>
  <c r="BB182" i="83"/>
  <c r="BB182" i="84"/>
  <c r="BB182" i="86"/>
  <c r="BB182" i="85"/>
  <c r="BB182" i="87"/>
  <c r="BB182" i="89"/>
  <c r="BB182" i="88"/>
  <c r="BB182" i="90"/>
  <c r="AR183" i="85"/>
  <c r="AR183" i="87"/>
  <c r="AV183" i="82"/>
  <c r="AV183" i="83"/>
  <c r="AV183" i="84"/>
  <c r="AV183" i="85"/>
  <c r="AV183" i="86"/>
  <c r="AV183" i="88"/>
  <c r="AV183" i="90"/>
  <c r="AV183" i="87"/>
  <c r="AV183" i="89"/>
  <c r="AW183" i="83"/>
  <c r="AW183" i="87"/>
  <c r="AX183" i="82"/>
  <c r="AX183" i="83"/>
  <c r="AX183" i="84"/>
  <c r="AX183" i="85"/>
  <c r="AX183" i="86"/>
  <c r="AX183" i="88"/>
  <c r="AX183" i="90"/>
  <c r="AX183" i="87"/>
  <c r="AX183" i="89"/>
  <c r="BA183" i="86"/>
  <c r="BA183" i="88"/>
  <c r="BC183" i="82"/>
  <c r="AQ183" i="82"/>
  <c r="BC183" i="83"/>
  <c r="AQ183" i="83"/>
  <c r="BC183" i="84"/>
  <c r="AQ183" i="84"/>
  <c r="BC183" i="86"/>
  <c r="AQ183" i="86"/>
  <c r="BC183" i="85"/>
  <c r="AQ183" i="85"/>
  <c r="BC183" i="87"/>
  <c r="AQ183" i="87"/>
  <c r="BC183" i="89"/>
  <c r="AQ183" i="89"/>
  <c r="BC183" i="88"/>
  <c r="AQ183" i="88"/>
  <c r="BC183" i="90"/>
  <c r="AQ183" i="90"/>
  <c r="AT184" i="82"/>
  <c r="AT184" i="83"/>
  <c r="AT184" i="84"/>
  <c r="AT184" i="86"/>
  <c r="AT184" i="85"/>
  <c r="AT184" i="87"/>
  <c r="AT184" i="89"/>
  <c r="AT184" i="88"/>
  <c r="AT184" i="90"/>
  <c r="AU184" i="82"/>
  <c r="AU184" i="83"/>
  <c r="AU184" i="84"/>
  <c r="AU184" i="85"/>
  <c r="AU184" i="86"/>
  <c r="AU184" i="88"/>
  <c r="AU184" i="90"/>
  <c r="AU184" i="87"/>
  <c r="AU184" i="89"/>
  <c r="AY184" i="82"/>
  <c r="AY184" i="83"/>
  <c r="AY184" i="84"/>
  <c r="AY184" i="85"/>
  <c r="AY184" i="86"/>
  <c r="AY184" i="88"/>
  <c r="AY184" i="90"/>
  <c r="AY184" i="87"/>
  <c r="AY184" i="89"/>
  <c r="AZ184" i="82"/>
  <c r="AZ184" i="83"/>
  <c r="AZ184" i="84"/>
  <c r="AZ184" i="86"/>
  <c r="AZ184" i="85"/>
  <c r="AZ184" i="87"/>
  <c r="AZ184" i="89"/>
  <c r="AZ184" i="88"/>
  <c r="AZ184" i="90"/>
  <c r="BB184" i="82"/>
  <c r="BB184" i="83"/>
  <c r="BB184" i="85"/>
  <c r="BB184" i="84"/>
  <c r="BB184" i="86"/>
  <c r="BB184" i="87"/>
  <c r="BB184" i="89"/>
  <c r="BB184" i="88"/>
  <c r="BB184" i="90"/>
  <c r="AR185" i="83"/>
  <c r="AR185" i="88"/>
  <c r="AV185" i="82"/>
  <c r="AV185" i="86"/>
  <c r="AV185" i="89"/>
  <c r="AW185" i="84"/>
  <c r="AW185" i="88"/>
  <c r="AX185" i="84"/>
  <c r="AX185" i="90"/>
  <c r="BA185" i="82"/>
  <c r="BA185" i="83"/>
  <c r="BA185" i="85"/>
  <c r="BA185" i="84"/>
  <c r="BA185" i="86"/>
  <c r="BA185" i="87"/>
  <c r="BA185" i="89"/>
  <c r="BA185" i="88"/>
  <c r="BA185" i="90"/>
  <c r="BC185" i="83"/>
  <c r="BC185" i="84"/>
  <c r="BC185" i="87"/>
  <c r="BC185" i="88"/>
  <c r="AT186" i="82"/>
  <c r="AT186" i="83"/>
  <c r="AT186" i="85"/>
  <c r="AT186" i="84"/>
  <c r="AT186" i="86"/>
  <c r="AT186" i="87"/>
  <c r="AT186" i="89"/>
  <c r="AT186" i="88"/>
  <c r="AT186" i="90"/>
  <c r="AU186" i="82"/>
  <c r="AU186" i="83"/>
  <c r="AU186" i="84"/>
  <c r="AU186" i="85"/>
  <c r="AU186" i="86"/>
  <c r="AU186" i="88"/>
  <c r="AU186" i="90"/>
  <c r="AU186" i="87"/>
  <c r="AU186" i="89"/>
  <c r="AY186" i="82"/>
  <c r="AY186" i="83"/>
  <c r="AY186" i="84"/>
  <c r="AY186" i="85"/>
  <c r="AY186" i="86"/>
  <c r="AY186" i="88"/>
  <c r="AY186" i="90"/>
  <c r="AY186" i="87"/>
  <c r="AY186" i="89"/>
  <c r="AZ186" i="82"/>
  <c r="AZ186" i="83"/>
  <c r="AZ186" i="85"/>
  <c r="AZ186" i="84"/>
  <c r="AZ186" i="86"/>
  <c r="AZ186" i="87"/>
  <c r="AZ186" i="89"/>
  <c r="AZ186" i="88"/>
  <c r="AZ186" i="90"/>
  <c r="BB186" i="82"/>
  <c r="BB186" i="83"/>
  <c r="BB186" i="85"/>
  <c r="BB186" i="84"/>
  <c r="BB186" i="86"/>
  <c r="BB186" i="87"/>
  <c r="BB186" i="89"/>
  <c r="BB186" i="88"/>
  <c r="BB186" i="90"/>
  <c r="AR187" i="85"/>
  <c r="AR187" i="87"/>
  <c r="AV187" i="82"/>
  <c r="AV187" i="83"/>
  <c r="AV187" i="84"/>
  <c r="AV187" i="85"/>
  <c r="AV187" i="86"/>
  <c r="AV187" i="88"/>
  <c r="AV187" i="90"/>
  <c r="AV187" i="87"/>
  <c r="AV187" i="89"/>
  <c r="AW187" i="83"/>
  <c r="AW187" i="87"/>
  <c r="AX187" i="82"/>
  <c r="AX187" i="83"/>
  <c r="AX187" i="84"/>
  <c r="AX187" i="85"/>
  <c r="AX187" i="86"/>
  <c r="AX187" i="88"/>
  <c r="AX187" i="90"/>
  <c r="AX187" i="87"/>
  <c r="AX187" i="89"/>
  <c r="BA187" i="84"/>
  <c r="BA187" i="88"/>
  <c r="BC187" i="82"/>
  <c r="AQ187" i="82"/>
  <c r="BC187" i="83"/>
  <c r="AQ187" i="83"/>
  <c r="BC187" i="85"/>
  <c r="AQ187" i="85"/>
  <c r="BC187" i="84"/>
  <c r="AQ187" i="84"/>
  <c r="BC187" i="86"/>
  <c r="AQ187" i="86"/>
  <c r="BC187" i="87"/>
  <c r="AQ187" i="87"/>
  <c r="BC187" i="89"/>
  <c r="AQ187" i="89"/>
  <c r="BC187" i="88"/>
  <c r="AQ187" i="88"/>
  <c r="BC187" i="90"/>
  <c r="AQ187" i="90"/>
  <c r="AT188" i="82"/>
  <c r="AT188" i="83"/>
  <c r="AT188" i="85"/>
  <c r="AT188" i="84"/>
  <c r="AT188" i="86"/>
  <c r="AT188" i="87"/>
  <c r="AT188" i="89"/>
  <c r="AT188" i="88"/>
  <c r="AT188" i="90"/>
  <c r="AU188" i="82"/>
  <c r="AU188" i="83"/>
  <c r="AU188" i="84"/>
  <c r="AU188" i="85"/>
  <c r="AU188" i="86"/>
  <c r="AU188" i="88"/>
  <c r="AU188" i="90"/>
  <c r="AU188" i="87"/>
  <c r="AU188" i="89"/>
  <c r="AY188" i="82"/>
  <c r="AY188" i="83"/>
  <c r="AY188" i="84"/>
  <c r="AY188" i="85"/>
  <c r="AY188" i="86"/>
  <c r="AY188" i="88"/>
  <c r="AY188" i="90"/>
  <c r="AY188" i="87"/>
  <c r="AY188" i="89"/>
  <c r="AZ188" i="82"/>
  <c r="AZ188" i="83"/>
  <c r="AZ188" i="85"/>
  <c r="AZ188" i="84"/>
  <c r="AZ188" i="86"/>
  <c r="AZ188" i="87"/>
  <c r="AZ188" i="89"/>
  <c r="AZ188" i="88"/>
  <c r="AZ188" i="90"/>
  <c r="BB188" i="82"/>
  <c r="BB188" i="83"/>
  <c r="BB188" i="85"/>
  <c r="BB188" i="84"/>
  <c r="BB188" i="86"/>
  <c r="BB188" i="87"/>
  <c r="BB188" i="89"/>
  <c r="BB188" i="88"/>
  <c r="BB188" i="90"/>
  <c r="AR189" i="83"/>
  <c r="AR189" i="88"/>
  <c r="AV189" i="82"/>
  <c r="AV189" i="86"/>
  <c r="AV189" i="89"/>
  <c r="AW189" i="84"/>
  <c r="AW189" i="88"/>
  <c r="AX189" i="84"/>
  <c r="AX189" i="90"/>
  <c r="BA189" i="82"/>
  <c r="BA189" i="83"/>
  <c r="BA189" i="85"/>
  <c r="BA189" i="84"/>
  <c r="BA189" i="86"/>
  <c r="BA189" i="87"/>
  <c r="BA189" i="89"/>
  <c r="BA189" i="88"/>
  <c r="BA189" i="90"/>
  <c r="BC189" i="83"/>
  <c r="BC189" i="84"/>
  <c r="BC189" i="87"/>
  <c r="BC189" i="88"/>
  <c r="AT190" i="82"/>
  <c r="AT190" i="83"/>
  <c r="AT190" i="85"/>
  <c r="AT190" i="84"/>
  <c r="AT190" i="86"/>
  <c r="AT190" i="87"/>
  <c r="AT190" i="89"/>
  <c r="AT190" i="88"/>
  <c r="AT190" i="90"/>
  <c r="AU190" i="82"/>
  <c r="AU190" i="83"/>
  <c r="AU190" i="84"/>
  <c r="AU190" i="85"/>
  <c r="AU190" i="86"/>
  <c r="AU190" i="88"/>
  <c r="AU190" i="90"/>
  <c r="AU190" i="87"/>
  <c r="AU190" i="89"/>
  <c r="AY190" i="82"/>
  <c r="AY190" i="83"/>
  <c r="AY190" i="84"/>
  <c r="AY190" i="85"/>
  <c r="AY190" i="86"/>
  <c r="AY190" i="88"/>
  <c r="AY190" i="90"/>
  <c r="AY190" i="87"/>
  <c r="AY190" i="89"/>
  <c r="AZ190" i="82"/>
  <c r="AZ190" i="83"/>
  <c r="AZ190" i="85"/>
  <c r="AZ190" i="84"/>
  <c r="AZ190" i="86"/>
  <c r="AZ190" i="87"/>
  <c r="AZ190" i="89"/>
  <c r="AZ190" i="88"/>
  <c r="AZ190" i="90"/>
  <c r="BB190" i="82"/>
  <c r="BB190" i="83"/>
  <c r="BB190" i="85"/>
  <c r="BB190" i="84"/>
  <c r="BB190" i="86"/>
  <c r="BB190" i="87"/>
  <c r="BB190" i="89"/>
  <c r="BB190" i="88"/>
  <c r="BB190" i="90"/>
  <c r="AR191" i="85"/>
  <c r="AR191" i="87"/>
  <c r="AV191" i="82"/>
  <c r="AV191" i="83"/>
  <c r="AV191" i="84"/>
  <c r="AV191" i="85"/>
  <c r="AV191" i="86"/>
  <c r="AV191" i="88"/>
  <c r="AV191" i="90"/>
  <c r="AV191" i="87"/>
  <c r="AV191" i="89"/>
  <c r="AW191" i="83"/>
  <c r="AW191" i="87"/>
  <c r="AX191" i="82"/>
  <c r="AX191" i="83"/>
  <c r="AX191" i="84"/>
  <c r="AX191" i="85"/>
  <c r="AX191" i="86"/>
  <c r="AX191" i="88"/>
  <c r="AX191" i="90"/>
  <c r="AX191" i="87"/>
  <c r="AX191" i="89"/>
  <c r="BA191" i="84"/>
  <c r="BA191" i="88"/>
  <c r="BC191" i="82"/>
  <c r="AQ191" i="82"/>
  <c r="BC191" i="83"/>
  <c r="AQ191" i="83"/>
  <c r="BC191" i="85"/>
  <c r="AQ191" i="85"/>
  <c r="BC191" i="84"/>
  <c r="AQ191" i="84"/>
  <c r="BC191" i="86"/>
  <c r="AQ191" i="86"/>
  <c r="BC191" i="87"/>
  <c r="AQ191" i="87"/>
  <c r="BC191" i="89"/>
  <c r="AQ191" i="89"/>
  <c r="BC191" i="88"/>
  <c r="AQ191" i="88"/>
  <c r="BC191" i="90"/>
  <c r="AQ191" i="90"/>
  <c r="AT192" i="82"/>
  <c r="AT192" i="83"/>
  <c r="AT192" i="85"/>
  <c r="AT192" i="84"/>
  <c r="AT192" i="86"/>
  <c r="AT192" i="87"/>
  <c r="AT192" i="89"/>
  <c r="AT192" i="88"/>
  <c r="AT192" i="90"/>
  <c r="AU192" i="82"/>
  <c r="AU192" i="83"/>
  <c r="AU192" i="84"/>
  <c r="AU192" i="85"/>
  <c r="AU192" i="86"/>
  <c r="AU192" i="88"/>
  <c r="AU192" i="90"/>
  <c r="AU192" i="87"/>
  <c r="AU192" i="89"/>
  <c r="AY192" i="82"/>
  <c r="AY192" i="83"/>
  <c r="AY192" i="84"/>
  <c r="AY192" i="85"/>
  <c r="AY192" i="86"/>
  <c r="AY192" i="88"/>
  <c r="AY192" i="90"/>
  <c r="AY192" i="87"/>
  <c r="AY192" i="89"/>
  <c r="AZ192" i="82"/>
  <c r="AZ192" i="83"/>
  <c r="AZ192" i="85"/>
  <c r="AZ192" i="84"/>
  <c r="AZ192" i="86"/>
  <c r="AZ192" i="87"/>
  <c r="AZ192" i="89"/>
  <c r="AZ192" i="88"/>
  <c r="AZ192" i="90"/>
  <c r="BB192" i="82"/>
  <c r="BB192" i="83"/>
  <c r="BB192" i="85"/>
  <c r="BB192" i="84"/>
  <c r="BB192" i="86"/>
  <c r="BB192" i="87"/>
  <c r="BB192" i="89"/>
  <c r="BB192" i="88"/>
  <c r="BB192" i="90"/>
  <c r="AR193" i="83"/>
  <c r="AR193" i="88"/>
  <c r="AV193" i="82"/>
  <c r="AV193" i="86"/>
  <c r="AV193" i="89"/>
  <c r="AW193" i="84"/>
  <c r="AW193" i="88"/>
  <c r="AX193" i="84"/>
  <c r="AX193" i="90"/>
  <c r="BA193" i="82"/>
  <c r="BA193" i="83"/>
  <c r="BA193" i="85"/>
  <c r="BA193" i="84"/>
  <c r="BA193" i="86"/>
  <c r="BA193" i="87"/>
  <c r="BA193" i="89"/>
  <c r="BA193" i="88"/>
  <c r="BA193" i="90"/>
  <c r="BC193" i="83"/>
  <c r="BC193" i="84"/>
  <c r="BC193" i="87"/>
  <c r="BC193" i="88"/>
  <c r="AT194" i="82"/>
  <c r="AT194" i="83"/>
  <c r="AT194" i="85"/>
  <c r="AT194" i="84"/>
  <c r="AT194" i="86"/>
  <c r="AT194" i="87"/>
  <c r="AT194" i="89"/>
  <c r="AT194" i="88"/>
  <c r="AT194" i="90"/>
  <c r="AU194" i="82"/>
  <c r="AU194" i="83"/>
  <c r="AU194" i="84"/>
  <c r="AU194" i="85"/>
  <c r="AU194" i="86"/>
  <c r="AU194" i="88"/>
  <c r="AU194" i="90"/>
  <c r="AU194" i="87"/>
  <c r="AU194" i="89"/>
  <c r="AY194" i="82"/>
  <c r="AY194" i="83"/>
  <c r="AY194" i="84"/>
  <c r="AY194" i="85"/>
  <c r="AY194" i="86"/>
  <c r="AY194" i="88"/>
  <c r="AY194" i="90"/>
  <c r="AY194" i="87"/>
  <c r="AY194" i="89"/>
  <c r="AZ194" i="82"/>
  <c r="AZ194" i="83"/>
  <c r="AZ194" i="85"/>
  <c r="AZ194" i="84"/>
  <c r="AZ194" i="86"/>
  <c r="AZ194" i="87"/>
  <c r="AZ194" i="89"/>
  <c r="AZ194" i="88"/>
  <c r="AZ194" i="90"/>
  <c r="BB194" i="82"/>
  <c r="BB194" i="83"/>
  <c r="BB194" i="85"/>
  <c r="BB194" i="84"/>
  <c r="BB194" i="86"/>
  <c r="BB194" i="87"/>
  <c r="BB194" i="89"/>
  <c r="BB194" i="88"/>
  <c r="BB194" i="90"/>
  <c r="AR195" i="85"/>
  <c r="AR195" i="87"/>
  <c r="AV195" i="82"/>
  <c r="AV195" i="83"/>
  <c r="AV195" i="84"/>
  <c r="AV195" i="85"/>
  <c r="AV195" i="86"/>
  <c r="AV195" i="88"/>
  <c r="AV195" i="90"/>
  <c r="AV195" i="87"/>
  <c r="AV195" i="89"/>
  <c r="AW195" i="83"/>
  <c r="AW195" i="87"/>
  <c r="AX195" i="82"/>
  <c r="AX195" i="83"/>
  <c r="AX195" i="84"/>
  <c r="AX195" i="85"/>
  <c r="AX195" i="86"/>
  <c r="AX195" i="88"/>
  <c r="AX195" i="90"/>
  <c r="AX195" i="87"/>
  <c r="AX195" i="89"/>
  <c r="BA195" i="84"/>
  <c r="BA195" i="88"/>
  <c r="BC195" i="82"/>
  <c r="AQ195" i="82"/>
  <c r="BC195" i="83"/>
  <c r="AQ195" i="83"/>
  <c r="BC195" i="85"/>
  <c r="AQ195" i="85"/>
  <c r="BC195" i="84"/>
  <c r="AQ195" i="84"/>
  <c r="BC195" i="86"/>
  <c r="AQ195" i="86"/>
  <c r="BC195" i="87"/>
  <c r="AQ195" i="87"/>
  <c r="BC195" i="89"/>
  <c r="AQ195" i="89"/>
  <c r="BC195" i="88"/>
  <c r="AQ195" i="88"/>
  <c r="BC195" i="90"/>
  <c r="AQ195" i="90"/>
  <c r="AT196" i="82"/>
  <c r="AT196" i="83"/>
  <c r="AT196" i="85"/>
  <c r="AT196" i="84"/>
  <c r="AT196" i="86"/>
  <c r="AT196" i="87"/>
  <c r="AT196" i="89"/>
  <c r="AT196" i="88"/>
  <c r="AT196" i="90"/>
  <c r="AU196" i="82"/>
  <c r="AU196" i="83"/>
  <c r="AU196" i="84"/>
  <c r="AU196" i="85"/>
  <c r="AU196" i="86"/>
  <c r="AU196" i="88"/>
  <c r="AU196" i="90"/>
  <c r="AU196" i="87"/>
  <c r="AU196" i="89"/>
  <c r="AY196" i="82"/>
  <c r="AY196" i="83"/>
  <c r="AY196" i="84"/>
  <c r="AY196" i="85"/>
  <c r="AY196" i="86"/>
  <c r="AY196" i="88"/>
  <c r="AY196" i="90"/>
  <c r="AY196" i="87"/>
  <c r="AY196" i="89"/>
  <c r="AZ196" i="82"/>
  <c r="AZ196" i="83"/>
  <c r="AZ196" i="85"/>
  <c r="AZ196" i="84"/>
  <c r="AZ196" i="86"/>
  <c r="AZ196" i="87"/>
  <c r="AZ196" i="89"/>
  <c r="AZ196" i="88"/>
  <c r="AZ196" i="90"/>
  <c r="BB196" i="82"/>
  <c r="BB196" i="83"/>
  <c r="BB196" i="85"/>
  <c r="BB196" i="84"/>
  <c r="BB196" i="86"/>
  <c r="BB196" i="87"/>
  <c r="BB196" i="89"/>
  <c r="BB196" i="88"/>
  <c r="BB196" i="90"/>
  <c r="AR197" i="83"/>
  <c r="AR197" i="88"/>
  <c r="AV197" i="82"/>
  <c r="AV197" i="86"/>
  <c r="AV197" i="89"/>
  <c r="AW197" i="84"/>
  <c r="AW197" i="88"/>
  <c r="AX197" i="84"/>
  <c r="AX197" i="90"/>
  <c r="BA197" i="82"/>
  <c r="BA197" i="83"/>
  <c r="BA197" i="85"/>
  <c r="BA197" i="84"/>
  <c r="BA197" i="86"/>
  <c r="BA197" i="87"/>
  <c r="BA197" i="89"/>
  <c r="BA197" i="88"/>
  <c r="BA197" i="90"/>
  <c r="BC197" i="83"/>
  <c r="BC197" i="84"/>
  <c r="BC197" i="87"/>
  <c r="BC197" i="88"/>
  <c r="AT198" i="82"/>
  <c r="AT198" i="83"/>
  <c r="AT198" i="85"/>
  <c r="AT198" i="84"/>
  <c r="AT198" i="86"/>
  <c r="AT198" i="87"/>
  <c r="AT198" i="89"/>
  <c r="AT198" i="88"/>
  <c r="AT198" i="90"/>
  <c r="AU198" i="82"/>
  <c r="AU198" i="83"/>
  <c r="AU198" i="84"/>
  <c r="AU198" i="85"/>
  <c r="AU198" i="86"/>
  <c r="AU198" i="88"/>
  <c r="AU198" i="90"/>
  <c r="AU198" i="87"/>
  <c r="AU198" i="89"/>
  <c r="AY198" i="82"/>
  <c r="AY198" i="83"/>
  <c r="AY198" i="84"/>
  <c r="AY198" i="85"/>
  <c r="AY198" i="86"/>
  <c r="AY198" i="88"/>
  <c r="AY198" i="90"/>
  <c r="AY198" i="87"/>
  <c r="AY198" i="89"/>
  <c r="AZ198" i="82"/>
  <c r="AZ198" i="83"/>
  <c r="AZ198" i="85"/>
  <c r="AZ198" i="84"/>
  <c r="AZ198" i="86"/>
  <c r="AZ198" i="87"/>
  <c r="AZ198" i="89"/>
  <c r="AZ198" i="88"/>
  <c r="AZ198" i="90"/>
  <c r="BB198" i="82"/>
  <c r="BB198" i="83"/>
  <c r="BB198" i="85"/>
  <c r="BB198" i="84"/>
  <c r="BB198" i="86"/>
  <c r="BB198" i="87"/>
  <c r="BB198" i="89"/>
  <c r="BB198" i="88"/>
  <c r="BB198" i="90"/>
  <c r="AR199" i="85"/>
  <c r="AR199" i="87"/>
  <c r="AV199" i="82"/>
  <c r="AV199" i="83"/>
  <c r="AV199" i="84"/>
  <c r="AV199" i="85"/>
  <c r="AV199" i="86"/>
  <c r="AV199" i="88"/>
  <c r="AV199" i="90"/>
  <c r="AV199" i="87"/>
  <c r="AV199" i="89"/>
  <c r="AW199" i="83"/>
  <c r="AW199" i="87"/>
  <c r="AX199" i="82"/>
  <c r="AX199" i="83"/>
  <c r="AX199" i="84"/>
  <c r="AX199" i="85"/>
  <c r="AX199" i="86"/>
  <c r="AX199" i="88"/>
  <c r="AX199" i="90"/>
  <c r="AX199" i="87"/>
  <c r="AX199" i="89"/>
  <c r="BA199" i="84"/>
  <c r="BA199" i="88"/>
  <c r="BC199" i="82"/>
  <c r="AQ199" i="82"/>
  <c r="BC199" i="83"/>
  <c r="AQ199" i="83"/>
  <c r="BC199" i="85"/>
  <c r="AQ199" i="85"/>
  <c r="BC199" i="84"/>
  <c r="AQ199" i="84"/>
  <c r="BC199" i="86"/>
  <c r="AQ199" i="86"/>
  <c r="BC199" i="87"/>
  <c r="AQ199" i="87"/>
  <c r="BC199" i="89"/>
  <c r="AQ199" i="89"/>
  <c r="BC199" i="88"/>
  <c r="AQ199" i="88"/>
  <c r="BC199" i="90"/>
  <c r="AQ199" i="90"/>
  <c r="AT200" i="82"/>
  <c r="AT200" i="83"/>
  <c r="AT200" i="85"/>
  <c r="AT200" i="84"/>
  <c r="AT200" i="86"/>
  <c r="AT200" i="87"/>
  <c r="AT200" i="89"/>
  <c r="AT200" i="88"/>
  <c r="AT200" i="90"/>
  <c r="AU200" i="82"/>
  <c r="AU200" i="83"/>
  <c r="AU200" i="84"/>
  <c r="AU200" i="85"/>
  <c r="AU200" i="86"/>
  <c r="AU200" i="88"/>
  <c r="AU200" i="90"/>
  <c r="AU200" i="87"/>
  <c r="AU200" i="89"/>
  <c r="AY200" i="82"/>
  <c r="AY200" i="83"/>
  <c r="AY200" i="84"/>
  <c r="AY200" i="85"/>
  <c r="AY200" i="86"/>
  <c r="AY200" i="88"/>
  <c r="AY200" i="90"/>
  <c r="AY200" i="87"/>
  <c r="AY200" i="89"/>
  <c r="AZ200" i="82"/>
  <c r="AZ200" i="83"/>
  <c r="AZ200" i="85"/>
  <c r="AZ200" i="84"/>
  <c r="AZ200" i="86"/>
  <c r="AZ200" i="87"/>
  <c r="AZ200" i="89"/>
  <c r="AZ200" i="88"/>
  <c r="AZ200" i="90"/>
  <c r="BB200" i="82"/>
  <c r="BB200" i="83"/>
  <c r="BB200" i="85"/>
  <c r="BB200" i="84"/>
  <c r="BB200" i="86"/>
  <c r="BB200" i="87"/>
  <c r="BB200" i="89"/>
  <c r="BB200" i="88"/>
  <c r="BB200" i="90"/>
  <c r="AR201" i="83"/>
  <c r="AR201" i="88"/>
  <c r="AV201" i="82"/>
  <c r="AV201" i="86"/>
  <c r="AV201" i="89"/>
  <c r="AW201" i="84"/>
  <c r="AW201" i="88"/>
  <c r="AX201" i="84"/>
  <c r="AX201" i="90"/>
  <c r="BA201" i="82"/>
  <c r="BA201" i="83"/>
  <c r="BA201" i="85"/>
  <c r="BA201" i="84"/>
  <c r="BA201" i="86"/>
  <c r="BA201" i="87"/>
  <c r="BA201" i="89"/>
  <c r="BA201" i="88"/>
  <c r="BA201" i="90"/>
  <c r="BC201" i="83"/>
  <c r="BC201" i="84"/>
  <c r="BC201" i="87"/>
  <c r="BC201" i="88"/>
  <c r="AT202" i="82"/>
  <c r="AT202" i="83"/>
  <c r="AT202" i="85"/>
  <c r="AT202" i="84"/>
  <c r="AT202" i="86"/>
  <c r="AT202" i="87"/>
  <c r="AT202" i="89"/>
  <c r="AT202" i="88"/>
  <c r="AT202" i="90"/>
  <c r="AU202" i="82"/>
  <c r="AU202" i="83"/>
  <c r="AU202" i="84"/>
  <c r="AU202" i="85"/>
  <c r="AU202" i="86"/>
  <c r="AU202" i="88"/>
  <c r="AU202" i="90"/>
  <c r="AU202" i="87"/>
  <c r="AU202" i="89"/>
  <c r="AY202" i="82"/>
  <c r="AY202" i="83"/>
  <c r="AY202" i="84"/>
  <c r="AY202" i="85"/>
  <c r="AY202" i="86"/>
  <c r="AY202" i="88"/>
  <c r="AY202" i="90"/>
  <c r="AY202" i="87"/>
  <c r="AY202" i="89"/>
  <c r="AZ202" i="82"/>
  <c r="AZ202" i="83"/>
  <c r="AZ202" i="85"/>
  <c r="AZ202" i="84"/>
  <c r="AZ202" i="86"/>
  <c r="AZ202" i="87"/>
  <c r="AZ202" i="89"/>
  <c r="AZ202" i="88"/>
  <c r="AZ202" i="90"/>
  <c r="BB202" i="82"/>
  <c r="BB202" i="83"/>
  <c r="BB202" i="85"/>
  <c r="BB202" i="84"/>
  <c r="BB202" i="86"/>
  <c r="BB202" i="87"/>
  <c r="BB202" i="89"/>
  <c r="BB202" i="88"/>
  <c r="BB202" i="90"/>
  <c r="AR203" i="85"/>
  <c r="AR203" i="87"/>
  <c r="AV203" i="82"/>
  <c r="AV203" i="83"/>
  <c r="AV203" i="84"/>
  <c r="AV203" i="85"/>
  <c r="AV203" i="86"/>
  <c r="AV203" i="88"/>
  <c r="AV203" i="90"/>
  <c r="AV203" i="87"/>
  <c r="AV203" i="89"/>
  <c r="AW203" i="83"/>
  <c r="AW203" i="87"/>
  <c r="AX203" i="82"/>
  <c r="AX203" i="83"/>
  <c r="AX203" i="84"/>
  <c r="AX203" i="85"/>
  <c r="AX203" i="86"/>
  <c r="AX203" i="88"/>
  <c r="AX203" i="90"/>
  <c r="AX203" i="87"/>
  <c r="AX203" i="89"/>
  <c r="BA203" i="84"/>
  <c r="BA203" i="88"/>
  <c r="BC203" i="82"/>
  <c r="AQ203" i="82"/>
  <c r="BC203" i="83"/>
  <c r="AQ203" i="83"/>
  <c r="BC203" i="85"/>
  <c r="AQ203" i="85"/>
  <c r="BC203" i="84"/>
  <c r="AQ203" i="84"/>
  <c r="BC203" i="86"/>
  <c r="AQ203" i="86"/>
  <c r="BC203" i="87"/>
  <c r="AQ203" i="87"/>
  <c r="BC203" i="89"/>
  <c r="AQ203" i="89"/>
  <c r="BC203" i="88"/>
  <c r="AQ203" i="88"/>
  <c r="BC203" i="90"/>
  <c r="AQ203" i="90"/>
  <c r="AT204" i="82"/>
  <c r="AT204" i="83"/>
  <c r="AT204" i="85"/>
  <c r="AT204" i="84"/>
  <c r="AT204" i="86"/>
  <c r="AT204" i="87"/>
  <c r="AT204" i="89"/>
  <c r="AT204" i="88"/>
  <c r="AT204" i="90"/>
  <c r="AU204" i="82"/>
  <c r="AU204" i="83"/>
  <c r="AU204" i="84"/>
  <c r="AU204" i="85"/>
  <c r="AU204" i="86"/>
  <c r="AU204" i="88"/>
  <c r="AU204" i="90"/>
  <c r="AU204" i="87"/>
  <c r="AU204" i="89"/>
  <c r="AY204" i="82"/>
  <c r="AY204" i="83"/>
  <c r="AY204" i="84"/>
  <c r="AY204" i="85"/>
  <c r="AY204" i="86"/>
  <c r="AY204" i="88"/>
  <c r="AY204" i="90"/>
  <c r="AY204" i="87"/>
  <c r="AY204" i="89"/>
  <c r="AZ204" i="82"/>
  <c r="AZ204" i="83"/>
  <c r="AZ204" i="85"/>
  <c r="AZ204" i="84"/>
  <c r="AZ204" i="86"/>
  <c r="AZ204" i="87"/>
  <c r="AZ204" i="89"/>
  <c r="AZ204" i="88"/>
  <c r="AZ204" i="90"/>
  <c r="BB204" i="82"/>
  <c r="BB204" i="83"/>
  <c r="BB204" i="85"/>
  <c r="BB204" i="84"/>
  <c r="BB204" i="86"/>
  <c r="BB204" i="87"/>
  <c r="BB204" i="89"/>
  <c r="BB204" i="88"/>
  <c r="BB204" i="90"/>
  <c r="AR205" i="83"/>
  <c r="AR205" i="88"/>
  <c r="AV205" i="82"/>
  <c r="AV205" i="86"/>
  <c r="AV205" i="89"/>
  <c r="AW205" i="84"/>
  <c r="AW205" i="88"/>
  <c r="AX205" i="84"/>
  <c r="AX205" i="90"/>
  <c r="BA205" i="82"/>
  <c r="BA205" i="83"/>
  <c r="BA205" i="85"/>
  <c r="BA205" i="84"/>
  <c r="BA205" i="86"/>
  <c r="BA205" i="87"/>
  <c r="BA205" i="89"/>
  <c r="BA205" i="88"/>
  <c r="BA205" i="90"/>
  <c r="BC205" i="83"/>
  <c r="BC205" i="84"/>
  <c r="BC205" i="87"/>
  <c r="BC205" i="88"/>
  <c r="AT206" i="82"/>
  <c r="AT206" i="83"/>
  <c r="AT206" i="85"/>
  <c r="AT206" i="84"/>
  <c r="AT206" i="86"/>
  <c r="AT206" i="87"/>
  <c r="AT206" i="89"/>
  <c r="AT206" i="88"/>
  <c r="AT206" i="90"/>
  <c r="AU206" i="82"/>
  <c r="AU206" i="83"/>
  <c r="AU206" i="84"/>
  <c r="AU206" i="85"/>
  <c r="AU206" i="86"/>
  <c r="AU206" i="88"/>
  <c r="AU206" i="90"/>
  <c r="AU206" i="87"/>
  <c r="AU206" i="89"/>
  <c r="AY206" i="82"/>
  <c r="AY206" i="83"/>
  <c r="AY206" i="84"/>
  <c r="AY206" i="85"/>
  <c r="AY206" i="86"/>
  <c r="AY206" i="88"/>
  <c r="AY206" i="90"/>
  <c r="AY206" i="87"/>
  <c r="AY206" i="89"/>
  <c r="AZ206" i="82"/>
  <c r="AZ206" i="83"/>
  <c r="AZ206" i="85"/>
  <c r="AZ206" i="84"/>
  <c r="AZ206" i="86"/>
  <c r="AZ206" i="87"/>
  <c r="AZ206" i="89"/>
  <c r="AZ206" i="88"/>
  <c r="AZ206" i="90"/>
  <c r="BB206" i="82"/>
  <c r="BB206" i="83"/>
  <c r="BB206" i="85"/>
  <c r="BB206" i="84"/>
  <c r="BB206" i="86"/>
  <c r="BB206" i="87"/>
  <c r="BB206" i="89"/>
  <c r="BB206" i="88"/>
  <c r="BB206" i="90"/>
  <c r="AR207" i="85"/>
  <c r="AR207" i="87"/>
  <c r="AV207" i="82"/>
  <c r="AV207" i="83"/>
  <c r="AV207" i="84"/>
  <c r="AV207" i="85"/>
  <c r="AV207" i="86"/>
  <c r="AV207" i="88"/>
  <c r="AV207" i="90"/>
  <c r="AV207" i="87"/>
  <c r="AV207" i="89"/>
  <c r="AW207" i="83"/>
  <c r="AW207" i="87"/>
  <c r="AX207" i="82"/>
  <c r="AX207" i="83"/>
  <c r="AX207" i="84"/>
  <c r="AX207" i="85"/>
  <c r="AX207" i="86"/>
  <c r="AX207" i="88"/>
  <c r="AX207" i="90"/>
  <c r="AX207" i="87"/>
  <c r="AX207" i="89"/>
  <c r="BA207" i="84"/>
  <c r="BA207" i="88"/>
  <c r="BC207" i="82"/>
  <c r="AQ207" i="82"/>
  <c r="BC207" i="83"/>
  <c r="AQ207" i="83"/>
  <c r="BC207" i="85"/>
  <c r="AQ207" i="85"/>
  <c r="BC207" i="84"/>
  <c r="AQ207" i="84"/>
  <c r="BC207" i="86"/>
  <c r="AQ207" i="86"/>
  <c r="BC207" i="87"/>
  <c r="AQ207" i="87"/>
  <c r="BC207" i="89"/>
  <c r="AQ207" i="89"/>
  <c r="BC207" i="88"/>
  <c r="AQ207" i="88"/>
  <c r="BC207" i="90"/>
  <c r="AQ207" i="90"/>
  <c r="AT208" i="82"/>
  <c r="AT208" i="83"/>
  <c r="AT208" i="85"/>
  <c r="AT208" i="84"/>
  <c r="AT208" i="86"/>
  <c r="AT208" i="87"/>
  <c r="AT208" i="89"/>
  <c r="AT208" i="88"/>
  <c r="AT208" i="90"/>
  <c r="AU208" i="82"/>
  <c r="AU208" i="83"/>
  <c r="AU208" i="84"/>
  <c r="AU208" i="85"/>
  <c r="AU208" i="86"/>
  <c r="AU208" i="88"/>
  <c r="AU208" i="90"/>
  <c r="AU208" i="87"/>
  <c r="AU208" i="89"/>
  <c r="AY208" i="82"/>
  <c r="AY208" i="83"/>
  <c r="AY208" i="84"/>
  <c r="AY208" i="85"/>
  <c r="AY208" i="86"/>
  <c r="AY208" i="88"/>
  <c r="AY208" i="90"/>
  <c r="AY208" i="87"/>
  <c r="AY208" i="89"/>
  <c r="AZ208" i="82"/>
  <c r="AZ208" i="83"/>
  <c r="AZ208" i="85"/>
  <c r="AZ208" i="84"/>
  <c r="AZ208" i="86"/>
  <c r="AZ208" i="87"/>
  <c r="AZ208" i="89"/>
  <c r="AZ208" i="88"/>
  <c r="AZ208" i="90"/>
  <c r="BB208" i="82"/>
  <c r="BB208" i="83"/>
  <c r="BB208" i="85"/>
  <c r="BB208" i="84"/>
  <c r="BB208" i="86"/>
  <c r="BB208" i="87"/>
  <c r="BB208" i="89"/>
  <c r="BB208" i="88"/>
  <c r="BB208" i="90"/>
  <c r="AR209" i="83"/>
  <c r="AR209" i="88"/>
  <c r="AV209" i="82"/>
  <c r="AV209" i="86"/>
  <c r="AV209" i="89"/>
  <c r="AW209" i="84"/>
  <c r="AW209" i="88"/>
  <c r="AX209" i="84"/>
  <c r="AX209" i="90"/>
  <c r="BA209" i="82"/>
  <c r="BA209" i="83"/>
  <c r="BA209" i="85"/>
  <c r="BA209" i="84"/>
  <c r="BA209" i="86"/>
  <c r="BA209" i="87"/>
  <c r="BA209" i="89"/>
  <c r="BA209" i="88"/>
  <c r="BA209" i="90"/>
  <c r="BC209" i="83"/>
  <c r="BC209" i="84"/>
  <c r="BC209" i="87"/>
  <c r="BC209" i="88"/>
  <c r="AT210" i="82"/>
  <c r="AT210" i="83"/>
  <c r="AT210" i="85"/>
  <c r="AT210" i="84"/>
  <c r="AT210" i="86"/>
  <c r="AT210" i="87"/>
  <c r="AT210" i="89"/>
  <c r="AT210" i="88"/>
  <c r="AT210" i="90"/>
  <c r="AU210" i="82"/>
  <c r="AU210" i="83"/>
  <c r="AU210" i="84"/>
  <c r="AU210" i="85"/>
  <c r="AU210" i="86"/>
  <c r="AU210" i="88"/>
  <c r="AU210" i="90"/>
  <c r="AU210" i="87"/>
  <c r="AU210" i="89"/>
  <c r="AY210" i="82"/>
  <c r="AY210" i="83"/>
  <c r="AY210" i="84"/>
  <c r="AY210" i="85"/>
  <c r="AY210" i="86"/>
  <c r="AY210" i="88"/>
  <c r="AY210" i="90"/>
  <c r="AY210" i="87"/>
  <c r="AY210" i="89"/>
  <c r="AZ210" i="82"/>
  <c r="AZ210" i="83"/>
  <c r="AZ210" i="85"/>
  <c r="AZ210" i="84"/>
  <c r="AZ210" i="86"/>
  <c r="AZ210" i="87"/>
  <c r="AZ210" i="89"/>
  <c r="AZ210" i="88"/>
  <c r="AZ210" i="90"/>
  <c r="BB210" i="82"/>
  <c r="BB210" i="83"/>
  <c r="BB210" i="85"/>
  <c r="BB210" i="84"/>
  <c r="BB210" i="86"/>
  <c r="BB210" i="87"/>
  <c r="BB210" i="89"/>
  <c r="BB210" i="88"/>
  <c r="BB210" i="90"/>
  <c r="AR211" i="85"/>
  <c r="AR211" i="87"/>
  <c r="AV211" i="84"/>
  <c r="AV211" i="90"/>
  <c r="AW211" i="83"/>
  <c r="AW211" i="87"/>
  <c r="AX211" i="82"/>
  <c r="AX211" i="86"/>
  <c r="AX211" i="89"/>
  <c r="BA211" i="82"/>
  <c r="BA211" i="83"/>
  <c r="BA211" i="85"/>
  <c r="BA211" i="84"/>
  <c r="BA211" i="86"/>
  <c r="BA211" i="87"/>
  <c r="BA211" i="89"/>
  <c r="BA211" i="88"/>
  <c r="BA211" i="90"/>
  <c r="BC211" i="82"/>
  <c r="BC211" i="85"/>
  <c r="BC211" i="86"/>
  <c r="BC211" i="89"/>
  <c r="BC211" i="90"/>
  <c r="AT212" i="82"/>
  <c r="AT212" i="83"/>
  <c r="AT212" i="85"/>
  <c r="AT212" i="84"/>
  <c r="AT212" i="86"/>
  <c r="AT212" i="87"/>
  <c r="AT212" i="89"/>
  <c r="AT212" i="88"/>
  <c r="AT212" i="90"/>
  <c r="AU212" i="82"/>
  <c r="AU212" i="83"/>
  <c r="AU212" i="84"/>
  <c r="AU212" i="85"/>
  <c r="AU212" i="86"/>
  <c r="AU212" i="88"/>
  <c r="AU212" i="90"/>
  <c r="AU212" i="87"/>
  <c r="AU212" i="89"/>
  <c r="AY212" i="82"/>
  <c r="AY212" i="83"/>
  <c r="AY212" i="84"/>
  <c r="AY212" i="85"/>
  <c r="AY212" i="86"/>
  <c r="AY212" i="88"/>
  <c r="AY212" i="90"/>
  <c r="AY212" i="87"/>
  <c r="AY212" i="89"/>
  <c r="AZ212" i="82"/>
  <c r="AZ212" i="83"/>
  <c r="AZ212" i="85"/>
  <c r="AZ212" i="84"/>
  <c r="AZ212" i="86"/>
  <c r="AZ212" i="87"/>
  <c r="AZ212" i="89"/>
  <c r="AZ212" i="88"/>
  <c r="AZ212" i="90"/>
  <c r="BB212" i="82"/>
  <c r="BB212" i="83"/>
  <c r="BB212" i="85"/>
  <c r="BB212" i="84"/>
  <c r="BB212" i="86"/>
  <c r="BB212" i="87"/>
  <c r="BB212" i="89"/>
  <c r="BB212" i="88"/>
  <c r="BB212" i="90"/>
  <c r="AR213" i="83"/>
  <c r="AR213" i="88"/>
  <c r="AV213" i="82"/>
  <c r="AV213" i="83"/>
  <c r="AV213" i="84"/>
  <c r="AV213" i="85"/>
  <c r="AV213" i="86"/>
  <c r="AV213" i="88"/>
  <c r="AV213" i="90"/>
  <c r="AV213" i="87"/>
  <c r="AV213" i="89"/>
  <c r="AW213" i="83"/>
  <c r="AW213" i="84"/>
  <c r="AW213" i="87"/>
  <c r="AW213" i="88"/>
  <c r="AX213" i="82"/>
  <c r="AX213" i="83"/>
  <c r="AX213" i="84"/>
  <c r="AX213" i="85"/>
  <c r="AX213" i="86"/>
  <c r="AX213" i="88"/>
  <c r="AX213" i="90"/>
  <c r="AX213" i="87"/>
  <c r="AX213" i="89"/>
  <c r="BA213" i="83"/>
  <c r="BA213" i="84"/>
  <c r="BA213" i="87"/>
  <c r="BA213" i="88"/>
  <c r="BC213" i="82"/>
  <c r="AQ213" i="82"/>
  <c r="BC213" i="83"/>
  <c r="AQ213" i="83"/>
  <c r="BC213" i="85"/>
  <c r="AQ213" i="85"/>
  <c r="BC213" i="84"/>
  <c r="AQ213" i="84"/>
  <c r="BC213" i="86"/>
  <c r="AQ213" i="86"/>
  <c r="BC213" i="87"/>
  <c r="AQ213" i="87"/>
  <c r="BC213" i="89"/>
  <c r="AQ213" i="89"/>
  <c r="BC213" i="88"/>
  <c r="AQ213" i="88"/>
  <c r="BC213" i="90"/>
  <c r="AQ213" i="90"/>
  <c r="AT214" i="82"/>
  <c r="AT214" i="83"/>
  <c r="AT214" i="85"/>
  <c r="AT214" i="84"/>
  <c r="AT214" i="86"/>
  <c r="AT214" i="87"/>
  <c r="AT214" i="89"/>
  <c r="AT214" i="88"/>
  <c r="AT214" i="90"/>
  <c r="AU214" i="82"/>
  <c r="AU214" i="83"/>
  <c r="AU214" i="84"/>
  <c r="AU214" i="85"/>
  <c r="AU214" i="86"/>
  <c r="AU214" i="88"/>
  <c r="AU214" i="90"/>
  <c r="AU214" i="87"/>
  <c r="AU214" i="89"/>
  <c r="AY214" i="82"/>
  <c r="AY214" i="83"/>
  <c r="AY214" i="84"/>
  <c r="AY214" i="85"/>
  <c r="AY214" i="86"/>
  <c r="AY214" i="88"/>
  <c r="AY214" i="90"/>
  <c r="AY214" i="87"/>
  <c r="AY214" i="89"/>
  <c r="AZ214" i="82"/>
  <c r="AZ214" i="83"/>
  <c r="AZ214" i="85"/>
  <c r="AZ214" i="84"/>
  <c r="AZ214" i="86"/>
  <c r="AZ214" i="87"/>
  <c r="AZ214" i="89"/>
  <c r="AZ214" i="88"/>
  <c r="AZ214" i="90"/>
  <c r="BB214" i="82"/>
  <c r="BB214" i="83"/>
  <c r="BB214" i="85"/>
  <c r="BB214" i="84"/>
  <c r="BB214" i="86"/>
  <c r="BB214" i="87"/>
  <c r="BB214" i="89"/>
  <c r="BB214" i="88"/>
  <c r="BB214" i="90"/>
  <c r="AR215" i="83"/>
  <c r="AR215" i="85"/>
  <c r="AR215" i="87"/>
  <c r="AR215" i="90"/>
  <c r="AV215" i="82"/>
  <c r="AV215" i="84"/>
  <c r="AV215" i="86"/>
  <c r="AV215" i="88"/>
  <c r="AV215" i="89"/>
  <c r="AW215" i="83"/>
  <c r="AW215" i="84"/>
  <c r="AW215" i="87"/>
  <c r="AW215" i="88"/>
  <c r="AX215" i="82"/>
  <c r="AX215" i="84"/>
  <c r="AX215" i="86"/>
  <c r="AX215" i="90"/>
  <c r="AX215" i="89"/>
  <c r="BA215" i="82"/>
  <c r="BA215" i="83"/>
  <c r="BA215" i="85"/>
  <c r="BA215" i="84"/>
  <c r="BA215" i="86"/>
  <c r="BA215" i="87"/>
  <c r="BA215" i="89"/>
  <c r="BA215" i="88"/>
  <c r="BA215" i="90"/>
  <c r="BC215" i="82"/>
  <c r="AQ215" i="82"/>
  <c r="BC215" i="83"/>
  <c r="AQ215" i="83"/>
  <c r="BC215" i="85"/>
  <c r="AQ215" i="85"/>
  <c r="BC215" i="84"/>
  <c r="AQ215" i="84"/>
  <c r="BC215" i="86"/>
  <c r="AQ215" i="86"/>
  <c r="BC215" i="87"/>
  <c r="AQ215" i="87"/>
  <c r="BC215" i="89"/>
  <c r="AQ215" i="89"/>
  <c r="BC215" i="88"/>
  <c r="AQ215" i="88"/>
  <c r="BC215" i="90"/>
  <c r="AQ215" i="90"/>
  <c r="AT216" i="82"/>
  <c r="AT216" i="83"/>
  <c r="AT216" i="85"/>
  <c r="AT216" i="84"/>
  <c r="AT216" i="86"/>
  <c r="AT216" i="87"/>
  <c r="AT216" i="89"/>
  <c r="AT216" i="88"/>
  <c r="AT216" i="90"/>
  <c r="AU216" i="82"/>
  <c r="AU216" i="83"/>
  <c r="AU216" i="84"/>
  <c r="AU216" i="85"/>
  <c r="AU216" i="86"/>
  <c r="AU216" i="87"/>
  <c r="AU216" i="88"/>
  <c r="AU216" i="90"/>
  <c r="AU216" i="89"/>
  <c r="AY216" i="82"/>
  <c r="AY216" i="83"/>
  <c r="AY216" i="84"/>
  <c r="AY216" i="85"/>
  <c r="AY216" i="86"/>
  <c r="AY216" i="87"/>
  <c r="AY216" i="88"/>
  <c r="AY216" i="90"/>
  <c r="AY216" i="89"/>
  <c r="AZ216" i="82"/>
  <c r="AZ216" i="83"/>
  <c r="AZ216" i="85"/>
  <c r="AZ216" i="84"/>
  <c r="AZ216" i="86"/>
  <c r="AZ216" i="87"/>
  <c r="AZ216" i="89"/>
  <c r="AZ216" i="88"/>
  <c r="AZ216" i="90"/>
  <c r="BB216" i="82"/>
  <c r="BB216" i="83"/>
  <c r="BB216" i="85"/>
  <c r="BB216" i="84"/>
  <c r="BB216" i="86"/>
  <c r="BB216" i="87"/>
  <c r="BB216" i="89"/>
  <c r="BB216" i="88"/>
  <c r="BB216" i="90"/>
  <c r="AR217" i="83"/>
  <c r="AR217" i="85"/>
  <c r="AR217" i="88"/>
  <c r="AR217" i="87"/>
  <c r="AV217" i="82"/>
  <c r="AV217" i="84"/>
  <c r="AV217" i="86"/>
  <c r="AV217" i="90"/>
  <c r="AV217" i="89"/>
  <c r="AW217" i="82"/>
  <c r="AW217" i="83"/>
  <c r="AW217" i="85"/>
  <c r="AW217" i="84"/>
  <c r="AW217" i="86"/>
  <c r="AW217" i="87"/>
  <c r="AW217" i="89"/>
  <c r="AW217" i="88"/>
  <c r="AW217" i="90"/>
  <c r="AX217" i="82"/>
  <c r="AX217" i="83"/>
  <c r="AX217" i="84"/>
  <c r="AX217" i="85"/>
  <c r="AX217" i="86"/>
  <c r="AX217" i="87"/>
  <c r="AX217" i="88"/>
  <c r="AX217" i="90"/>
  <c r="AX217" i="89"/>
  <c r="BA217" i="83"/>
  <c r="BA217" i="84"/>
  <c r="BA217" i="87"/>
  <c r="BA217" i="88"/>
  <c r="BC217" i="82"/>
  <c r="AQ217" i="82"/>
  <c r="BC217" i="83"/>
  <c r="AQ217" i="83"/>
  <c r="BC217" i="85"/>
  <c r="AQ217" i="85"/>
  <c r="BC217" i="84"/>
  <c r="AQ217" i="84"/>
  <c r="BC217" i="86"/>
  <c r="AQ217" i="86"/>
  <c r="BC217" i="87"/>
  <c r="AQ217" i="87"/>
  <c r="BC217" i="89"/>
  <c r="AQ217" i="89"/>
  <c r="BC217" i="88"/>
  <c r="AQ217" i="88"/>
  <c r="BC217" i="90"/>
  <c r="AQ217" i="90"/>
  <c r="AT218" i="82"/>
  <c r="AT218" i="83"/>
  <c r="AT218" i="85"/>
  <c r="AT218" i="84"/>
  <c r="AT218" i="86"/>
  <c r="AT218" i="87"/>
  <c r="AT218" i="89"/>
  <c r="AT218" i="88"/>
  <c r="AT218" i="90"/>
  <c r="AU218" i="82"/>
  <c r="AU218" i="83"/>
  <c r="AU218" i="84"/>
  <c r="AU218" i="85"/>
  <c r="AU218" i="86"/>
  <c r="AU218" i="88"/>
  <c r="AU218" i="90"/>
  <c r="AU218" i="87"/>
  <c r="AU218" i="89"/>
  <c r="AY218" i="82"/>
  <c r="AY218" i="83"/>
  <c r="AY218" i="84"/>
  <c r="AY218" i="85"/>
  <c r="AY218" i="86"/>
  <c r="AY218" i="88"/>
  <c r="AY218" i="90"/>
  <c r="AY218" i="87"/>
  <c r="AY218" i="89"/>
  <c r="AZ218" i="82"/>
  <c r="AZ218" i="83"/>
  <c r="AZ218" i="85"/>
  <c r="AZ218" i="84"/>
  <c r="AZ218" i="86"/>
  <c r="AZ218" i="87"/>
  <c r="AZ218" i="89"/>
  <c r="AZ218" i="88"/>
  <c r="AZ218" i="90"/>
  <c r="BB218" i="82"/>
  <c r="BB218" i="83"/>
  <c r="BB218" i="85"/>
  <c r="BB218" i="84"/>
  <c r="BB218" i="86"/>
  <c r="BB218" i="87"/>
  <c r="BB218" i="89"/>
  <c r="BB218" i="88"/>
  <c r="BB218" i="90"/>
  <c r="AR219" i="83"/>
  <c r="AR219" i="85"/>
  <c r="AR219" i="87"/>
  <c r="AR219" i="90"/>
  <c r="AV219" i="82"/>
  <c r="AV219" i="84"/>
  <c r="AV219" i="86"/>
  <c r="AV219" i="88"/>
  <c r="AV219" i="89"/>
  <c r="AW219" i="83"/>
  <c r="AW219" i="84"/>
  <c r="AW219" i="87"/>
  <c r="AW219" i="88"/>
  <c r="AX219" i="82"/>
  <c r="AX219" i="83"/>
  <c r="AX219" i="84"/>
  <c r="AX219" i="85"/>
  <c r="AX219" i="86"/>
  <c r="AX219" i="88"/>
  <c r="AX219" i="90"/>
  <c r="AX219" i="87"/>
  <c r="AX219" i="89"/>
  <c r="BA219" i="82"/>
  <c r="BA219" i="83"/>
  <c r="BA219" i="85"/>
  <c r="BA219" i="84"/>
  <c r="BA219" i="86"/>
  <c r="BA219" i="87"/>
  <c r="BA219" i="89"/>
  <c r="BA219" i="88"/>
  <c r="BA219" i="90"/>
  <c r="BC219" i="82"/>
  <c r="AQ219" i="82"/>
  <c r="BC219" i="83"/>
  <c r="AQ219" i="83"/>
  <c r="BC219" i="85"/>
  <c r="AQ219" i="85"/>
  <c r="BC219" i="84"/>
  <c r="AQ219" i="84"/>
  <c r="BC219" i="86"/>
  <c r="AQ219" i="86"/>
  <c r="BC219" i="87"/>
  <c r="AQ219" i="87"/>
  <c r="BC219" i="89"/>
  <c r="AQ219" i="89"/>
  <c r="BC219" i="88"/>
  <c r="AQ219" i="88"/>
  <c r="BC219" i="90"/>
  <c r="AQ219" i="90"/>
  <c r="AT220" i="82"/>
  <c r="AT220" i="83"/>
  <c r="AT220" i="85"/>
  <c r="AT220" i="84"/>
  <c r="AT220" i="86"/>
  <c r="AT220" i="87"/>
  <c r="AT220" i="89"/>
  <c r="AT220" i="88"/>
  <c r="AT220" i="90"/>
  <c r="AU220" i="82"/>
  <c r="AU220" i="83"/>
  <c r="AU220" i="84"/>
  <c r="AU220" i="85"/>
  <c r="AU220" i="86"/>
  <c r="AU220" i="87"/>
  <c r="AU220" i="88"/>
  <c r="AU220" i="90"/>
  <c r="AU220" i="89"/>
  <c r="AY220" i="82"/>
  <c r="AY220" i="83"/>
  <c r="AY220" i="84"/>
  <c r="AY220" i="85"/>
  <c r="AY220" i="86"/>
  <c r="AY220" i="87"/>
  <c r="AY220" i="88"/>
  <c r="AY220" i="90"/>
  <c r="AY220" i="89"/>
  <c r="AZ220" i="82"/>
  <c r="AZ220" i="83"/>
  <c r="AZ220" i="85"/>
  <c r="AZ220" i="84"/>
  <c r="AZ220" i="86"/>
  <c r="AZ220" i="87"/>
  <c r="AZ220" i="89"/>
  <c r="AZ220" i="88"/>
  <c r="AZ220" i="90"/>
  <c r="BB220" i="82"/>
  <c r="BB220" i="83"/>
  <c r="BB220" i="85"/>
  <c r="BB220" i="84"/>
  <c r="BB220" i="86"/>
  <c r="BB220" i="87"/>
  <c r="BB220" i="89"/>
  <c r="BB220" i="88"/>
  <c r="BB220" i="90"/>
  <c r="AR221" i="83"/>
  <c r="AR221" i="85"/>
  <c r="AR221" i="88"/>
  <c r="AR221" i="87"/>
  <c r="AV221" i="82"/>
  <c r="AV221" i="84"/>
  <c r="AV221" i="86"/>
  <c r="AV221" i="90"/>
  <c r="AV221" i="89"/>
  <c r="AW221" i="82"/>
  <c r="AW221" i="83"/>
  <c r="AW221" i="85"/>
  <c r="AW221" i="84"/>
  <c r="AW221" i="86"/>
  <c r="AW221" i="87"/>
  <c r="AW221" i="89"/>
  <c r="AW221" i="88"/>
  <c r="AW221" i="90"/>
  <c r="AX221" i="82"/>
  <c r="AX221" i="83"/>
  <c r="AX221" i="84"/>
  <c r="AX221" i="85"/>
  <c r="AX221" i="86"/>
  <c r="AX221" i="87"/>
  <c r="AX221" i="88"/>
  <c r="AX221" i="90"/>
  <c r="AX221" i="89"/>
  <c r="BA221" i="83"/>
  <c r="BA221" i="84"/>
  <c r="BA221" i="87"/>
  <c r="BA221" i="88"/>
  <c r="BC221" i="82"/>
  <c r="AQ221" i="82"/>
  <c r="BC221" i="83"/>
  <c r="AQ221" i="83"/>
  <c r="BC221" i="85"/>
  <c r="AQ221" i="85"/>
  <c r="BC221" i="84"/>
  <c r="AQ221" i="84"/>
  <c r="BC221" i="86"/>
  <c r="AQ221" i="86"/>
  <c r="BC221" i="87"/>
  <c r="AQ221" i="87"/>
  <c r="BC221" i="89"/>
  <c r="AQ221" i="89"/>
  <c r="BC221" i="88"/>
  <c r="AQ221" i="88"/>
  <c r="BC221" i="90"/>
  <c r="AQ221" i="90"/>
  <c r="AT222" i="82"/>
  <c r="AT222" i="83"/>
  <c r="AT222" i="85"/>
  <c r="AT222" i="84"/>
  <c r="AT222" i="86"/>
  <c r="AT222" i="87"/>
  <c r="AT222" i="89"/>
  <c r="AT222" i="88"/>
  <c r="AT222" i="90"/>
  <c r="AU222" i="82"/>
  <c r="AU222" i="83"/>
  <c r="AU222" i="84"/>
  <c r="AU222" i="85"/>
  <c r="AU222" i="86"/>
  <c r="AU222" i="88"/>
  <c r="AU222" i="90"/>
  <c r="AU222" i="87"/>
  <c r="AU222" i="89"/>
  <c r="AY222" i="82"/>
  <c r="AY222" i="83"/>
  <c r="AY222" i="84"/>
  <c r="AY222" i="85"/>
  <c r="AY222" i="86"/>
  <c r="AY222" i="88"/>
  <c r="AY222" i="90"/>
  <c r="AY222" i="87"/>
  <c r="AY222" i="89"/>
  <c r="AZ222" i="82"/>
  <c r="AZ222" i="83"/>
  <c r="AZ222" i="85"/>
  <c r="AZ222" i="84"/>
  <c r="AZ222" i="86"/>
  <c r="AZ222" i="87"/>
  <c r="AZ222" i="89"/>
  <c r="AZ222" i="88"/>
  <c r="AZ222" i="90"/>
  <c r="BB222" i="82"/>
  <c r="BB222" i="83"/>
  <c r="BB222" i="85"/>
  <c r="BB222" i="84"/>
  <c r="BB222" i="86"/>
  <c r="BB222" i="87"/>
  <c r="BB222" i="89"/>
  <c r="BB222" i="88"/>
  <c r="BB222" i="90"/>
  <c r="AR223" i="83"/>
  <c r="AR223" i="85"/>
  <c r="AR223" i="87"/>
  <c r="AR223" i="90"/>
  <c r="AV223" i="82"/>
  <c r="AV223" i="84"/>
  <c r="AV223" i="86"/>
  <c r="AV223" i="88"/>
  <c r="AV223" i="89"/>
  <c r="AW223" i="83"/>
  <c r="AW223" i="84"/>
  <c r="AW223" i="87"/>
  <c r="AW223" i="88"/>
  <c r="AX223" i="82"/>
  <c r="AX223" i="83"/>
  <c r="AX223" i="84"/>
  <c r="AX223" i="85"/>
  <c r="AX223" i="86"/>
  <c r="AX223" i="88"/>
  <c r="AX223" i="90"/>
  <c r="AX223" i="87"/>
  <c r="AX223" i="89"/>
  <c r="BA223" i="82"/>
  <c r="BA223" i="83"/>
  <c r="BA223" i="85"/>
  <c r="BA223" i="84"/>
  <c r="BA223" i="86"/>
  <c r="BA223" i="87"/>
  <c r="BA223" i="89"/>
  <c r="BA223" i="88"/>
  <c r="BA223" i="90"/>
  <c r="BC223" i="82"/>
  <c r="AQ223" i="82"/>
  <c r="BC223" i="83"/>
  <c r="AQ223" i="83"/>
  <c r="BC223" i="85"/>
  <c r="AQ223" i="85"/>
  <c r="BC223" i="84"/>
  <c r="AQ223" i="84"/>
  <c r="BC223" i="86"/>
  <c r="AQ223" i="86"/>
  <c r="BC223" i="87"/>
  <c r="AQ223" i="87"/>
  <c r="BC223" i="89"/>
  <c r="AQ223" i="89"/>
  <c r="BC223" i="88"/>
  <c r="AQ223" i="88"/>
  <c r="BC223" i="90"/>
  <c r="AQ223" i="90"/>
  <c r="AT224" i="82"/>
  <c r="AT224" i="83"/>
  <c r="AT224" i="85"/>
  <c r="AT224" i="84"/>
  <c r="AT224" i="86"/>
  <c r="AT224" i="87"/>
  <c r="AT224" i="89"/>
  <c r="AT224" i="88"/>
  <c r="AT224" i="90"/>
  <c r="AU224" i="82"/>
  <c r="AU224" i="83"/>
  <c r="AU224" i="84"/>
  <c r="AU224" i="85"/>
  <c r="AU224" i="86"/>
  <c r="AU224" i="87"/>
  <c r="AU224" i="88"/>
  <c r="AU224" i="90"/>
  <c r="AU224" i="89"/>
  <c r="AY224" i="82"/>
  <c r="AY224" i="83"/>
  <c r="AY224" i="84"/>
  <c r="AY224" i="85"/>
  <c r="AY224" i="86"/>
  <c r="AY224" i="87"/>
  <c r="AY224" i="88"/>
  <c r="AY224" i="90"/>
  <c r="AY224" i="89"/>
  <c r="AZ224" i="82"/>
  <c r="AZ224" i="83"/>
  <c r="AZ224" i="85"/>
  <c r="AZ224" i="84"/>
  <c r="AZ224" i="86"/>
  <c r="AZ224" i="87"/>
  <c r="AZ224" i="89"/>
  <c r="AZ224" i="88"/>
  <c r="AZ224" i="90"/>
  <c r="BB224" i="82"/>
  <c r="BB224" i="83"/>
  <c r="BB224" i="85"/>
  <c r="BB224" i="84"/>
  <c r="BB224" i="86"/>
  <c r="BB224" i="87"/>
  <c r="BB224" i="89"/>
  <c r="BB224" i="88"/>
  <c r="BB224" i="90"/>
  <c r="AR225" i="83"/>
  <c r="AR225" i="85"/>
  <c r="AR225" i="88"/>
  <c r="AR225" i="87"/>
  <c r="AV225" i="82"/>
  <c r="AV225" i="84"/>
  <c r="AV225" i="86"/>
  <c r="AV225" i="90"/>
  <c r="AV225" i="89"/>
  <c r="AW225" i="83"/>
  <c r="AW225" i="84"/>
  <c r="AW225" i="87"/>
  <c r="AW225" i="88"/>
  <c r="AX225" i="82"/>
  <c r="AX225" i="84"/>
  <c r="AX225" i="86"/>
  <c r="AX225" i="88"/>
  <c r="AX225" i="89"/>
  <c r="BA225" i="82"/>
  <c r="BA225" i="83"/>
  <c r="BA225" i="85"/>
  <c r="BA225" i="84"/>
  <c r="BA225" i="86"/>
  <c r="BA225" i="87"/>
  <c r="BA225" i="89"/>
  <c r="BA225" i="88"/>
  <c r="BA225" i="90"/>
  <c r="BC225" i="82"/>
  <c r="BC225" i="83"/>
  <c r="BC225" i="85"/>
  <c r="BC225" i="84"/>
  <c r="BC225" i="86"/>
  <c r="BC225" i="87"/>
  <c r="BC225" i="89"/>
  <c r="BC225" i="88"/>
  <c r="BC225" i="90"/>
  <c r="AT226" i="82"/>
  <c r="AT226" i="83"/>
  <c r="AT226" i="85"/>
  <c r="AT226" i="84"/>
  <c r="AT226" i="86"/>
  <c r="AT226" i="87"/>
  <c r="AT226" i="89"/>
  <c r="AT226" i="88"/>
  <c r="AT226" i="90"/>
  <c r="AU226" i="82"/>
  <c r="AU226" i="83"/>
  <c r="AU226" i="84"/>
  <c r="AU226" i="85"/>
  <c r="AU226" i="86"/>
  <c r="AU226" i="88"/>
  <c r="AU226" i="90"/>
  <c r="AU226" i="87"/>
  <c r="AU226" i="89"/>
  <c r="AY226" i="82"/>
  <c r="AY226" i="83"/>
  <c r="AY226" i="84"/>
  <c r="AY226" i="85"/>
  <c r="AY226" i="86"/>
  <c r="AY226" i="88"/>
  <c r="AY226" i="90"/>
  <c r="AY226" i="87"/>
  <c r="AY226" i="89"/>
  <c r="AZ226" i="82"/>
  <c r="AZ226" i="83"/>
  <c r="AZ226" i="85"/>
  <c r="AZ226" i="84"/>
  <c r="AZ226" i="86"/>
  <c r="AZ226" i="87"/>
  <c r="AZ226" i="89"/>
  <c r="AZ226" i="88"/>
  <c r="AZ226" i="90"/>
  <c r="BB226" i="82"/>
  <c r="BB226" i="83"/>
  <c r="BB226" i="85"/>
  <c r="BB226" i="84"/>
  <c r="BB226" i="86"/>
  <c r="BB226" i="87"/>
  <c r="BB226" i="89"/>
  <c r="BB226" i="88"/>
  <c r="BB226" i="90"/>
  <c r="AR227" i="83"/>
  <c r="AR227" i="85"/>
  <c r="AR227" i="87"/>
  <c r="AR227" i="90"/>
  <c r="AV227" i="82"/>
  <c r="AV227" i="83"/>
  <c r="AV227" i="84"/>
  <c r="AV227" i="85"/>
  <c r="AV227" i="86"/>
  <c r="AV227" i="87"/>
  <c r="AV227" i="88"/>
  <c r="AV227" i="90"/>
  <c r="AV227" i="89"/>
  <c r="AW227" i="83"/>
  <c r="AW227" i="84"/>
  <c r="AW227" i="87"/>
  <c r="AW227" i="88"/>
  <c r="AX227" i="82"/>
  <c r="AX227" i="83"/>
  <c r="AX227" i="84"/>
  <c r="AX227" i="85"/>
  <c r="AX227" i="86"/>
  <c r="AX227" i="88"/>
  <c r="AX227" i="90"/>
  <c r="AX227" i="87"/>
  <c r="AX227" i="89"/>
  <c r="BA227" i="83"/>
  <c r="BA227" i="84"/>
  <c r="BA227" i="87"/>
  <c r="BA227" i="88"/>
  <c r="BC227" i="82"/>
  <c r="AQ227" i="82"/>
  <c r="BC227" i="83"/>
  <c r="AQ227" i="83"/>
  <c r="BC227" i="85"/>
  <c r="AQ227" i="85"/>
  <c r="BC227" i="84"/>
  <c r="AQ227" i="84"/>
  <c r="BC227" i="86"/>
  <c r="AQ227" i="86"/>
  <c r="BC227" i="87"/>
  <c r="AQ227" i="87"/>
  <c r="BC227" i="89"/>
  <c r="AQ227" i="89"/>
  <c r="BC227" i="88"/>
  <c r="AQ227" i="88"/>
  <c r="BC227" i="90"/>
  <c r="AQ227" i="90"/>
  <c r="AT228" i="82"/>
  <c r="AT228" i="83"/>
  <c r="AT228" i="85"/>
  <c r="AT228" i="84"/>
  <c r="AT228" i="86"/>
  <c r="AT228" i="87"/>
  <c r="AT228" i="89"/>
  <c r="AT228" i="88"/>
  <c r="AT228" i="90"/>
  <c r="AU228" i="82"/>
  <c r="AU228" i="83"/>
  <c r="AU228" i="84"/>
  <c r="AU228" i="85"/>
  <c r="AU228" i="87"/>
  <c r="AU228" i="86"/>
  <c r="AU228" i="88"/>
  <c r="AU228" i="90"/>
  <c r="AU228" i="89"/>
  <c r="AY228" i="82"/>
  <c r="AY228" i="83"/>
  <c r="AY228" i="84"/>
  <c r="AY228" i="85"/>
  <c r="AY228" i="87"/>
  <c r="AY228" i="86"/>
  <c r="AY228" i="88"/>
  <c r="AY228" i="90"/>
  <c r="AY228" i="89"/>
  <c r="AZ228" i="82"/>
  <c r="AZ228" i="83"/>
  <c r="AZ228" i="85"/>
  <c r="AZ228" i="84"/>
  <c r="AZ228" i="86"/>
  <c r="AZ228" i="87"/>
  <c r="AZ228" i="89"/>
  <c r="AZ228" i="88"/>
  <c r="AZ228" i="90"/>
  <c r="BB228" i="82"/>
  <c r="BB228" i="83"/>
  <c r="BB228" i="85"/>
  <c r="BB228" i="84"/>
  <c r="BB228" i="86"/>
  <c r="BB228" i="87"/>
  <c r="BB228" i="89"/>
  <c r="BB228" i="88"/>
  <c r="BB228" i="90"/>
  <c r="AR229" i="83"/>
  <c r="AR229" i="85"/>
  <c r="AR229" i="86"/>
  <c r="AR229" i="90"/>
  <c r="AV229" i="82"/>
  <c r="AV229" i="84"/>
  <c r="AV229" i="87"/>
  <c r="AV229" i="88"/>
  <c r="AV229" i="89"/>
  <c r="AW229" i="83"/>
  <c r="AW229" i="84"/>
  <c r="AW229" i="87"/>
  <c r="AW229" i="88"/>
  <c r="AX229" i="82"/>
  <c r="AX229" i="84"/>
  <c r="AX229" i="87"/>
  <c r="AX229" i="88"/>
  <c r="AX229" i="89"/>
  <c r="BA229" i="82"/>
  <c r="BA229" i="83"/>
  <c r="BA229" i="85"/>
  <c r="BA229" i="84"/>
  <c r="BA229" i="86"/>
  <c r="BA229" i="87"/>
  <c r="BA229" i="89"/>
  <c r="BA229" i="88"/>
  <c r="BA229" i="90"/>
  <c r="BC229" i="82"/>
  <c r="BC229" i="83"/>
  <c r="BC229" i="85"/>
  <c r="BC229" i="84"/>
  <c r="BC229" i="86"/>
  <c r="BC229" i="87"/>
  <c r="BC229" i="89"/>
  <c r="BC229" i="88"/>
  <c r="BC229" i="90"/>
  <c r="AT230" i="82"/>
  <c r="AT230" i="83"/>
  <c r="AT230" i="85"/>
  <c r="AT230" i="84"/>
  <c r="AT230" i="86"/>
  <c r="AT230" i="87"/>
  <c r="AT230" i="89"/>
  <c r="AT230" i="88"/>
  <c r="AT230" i="90"/>
  <c r="AU230" i="82"/>
  <c r="AU230" i="83"/>
  <c r="AU230" i="84"/>
  <c r="AU230" i="85"/>
  <c r="AU230" i="87"/>
  <c r="AU230" i="86"/>
  <c r="AU230" i="88"/>
  <c r="AU230" i="90"/>
  <c r="AU230" i="89"/>
  <c r="AY230" i="82"/>
  <c r="AY230" i="83"/>
  <c r="AY230" i="84"/>
  <c r="AY230" i="85"/>
  <c r="AY230" i="87"/>
  <c r="AY230" i="86"/>
  <c r="AY230" i="88"/>
  <c r="AY230" i="90"/>
  <c r="AY230" i="89"/>
  <c r="AZ230" i="82"/>
  <c r="AZ230" i="83"/>
  <c r="AZ230" i="85"/>
  <c r="AZ230" i="84"/>
  <c r="AZ230" i="86"/>
  <c r="AZ230" i="87"/>
  <c r="AZ230" i="89"/>
  <c r="AZ230" i="88"/>
  <c r="AZ230" i="90"/>
  <c r="BB230" i="82"/>
  <c r="BB230" i="83"/>
  <c r="BB230" i="85"/>
  <c r="BB230" i="84"/>
  <c r="BB230" i="86"/>
  <c r="BB230" i="87"/>
  <c r="BB230" i="89"/>
  <c r="BB230" i="88"/>
  <c r="BB230" i="90"/>
  <c r="AR231" i="83"/>
  <c r="AR231" i="85"/>
  <c r="AR231" i="86"/>
  <c r="AR231" i="90"/>
  <c r="AV231" i="82"/>
  <c r="AV231" i="83"/>
  <c r="AV231" i="84"/>
  <c r="AV231" i="85"/>
  <c r="AV231" i="87"/>
  <c r="AV231" i="86"/>
  <c r="AV231" i="88"/>
  <c r="AV231" i="90"/>
  <c r="AV231" i="89"/>
  <c r="AW231" i="83"/>
  <c r="AW231" i="84"/>
  <c r="AW231" i="87"/>
  <c r="AW231" i="88"/>
  <c r="AX231" i="82"/>
  <c r="AX231" i="83"/>
  <c r="AX231" i="84"/>
  <c r="AX231" i="85"/>
  <c r="AX231" i="87"/>
  <c r="AX231" i="86"/>
  <c r="AX231" i="88"/>
  <c r="AX231" i="90"/>
  <c r="AX231" i="89"/>
  <c r="BA231" i="83"/>
  <c r="BA231" i="84"/>
  <c r="BA231" i="87"/>
  <c r="BA231" i="88"/>
  <c r="BC231" i="82"/>
  <c r="AQ231" i="82"/>
  <c r="BC231" i="83"/>
  <c r="AQ231" i="83"/>
  <c r="BC231" i="85"/>
  <c r="AQ231" i="85"/>
  <c r="BC231" i="84"/>
  <c r="AQ231" i="84"/>
  <c r="BC231" i="86"/>
  <c r="AQ231" i="86"/>
  <c r="BC231" i="87"/>
  <c r="AQ231" i="87"/>
  <c r="BC231" i="89"/>
  <c r="AQ231" i="89"/>
  <c r="BC231" i="88"/>
  <c r="AQ231" i="88"/>
  <c r="BC231" i="90"/>
  <c r="AQ231" i="90"/>
  <c r="AT232" i="82"/>
  <c r="AT232" i="83"/>
  <c r="AT232" i="85"/>
  <c r="AT232" i="84"/>
  <c r="AT232" i="86"/>
  <c r="AT232" i="87"/>
  <c r="AT232" i="89"/>
  <c r="AT232" i="88"/>
  <c r="AT232" i="90"/>
  <c r="AU232" i="82"/>
  <c r="AU232" i="83"/>
  <c r="AU232" i="84"/>
  <c r="AU232" i="85"/>
  <c r="AU232" i="87"/>
  <c r="AU232" i="86"/>
  <c r="AU232" i="88"/>
  <c r="AU232" i="90"/>
  <c r="AU232" i="89"/>
  <c r="AY232" i="82"/>
  <c r="AY232" i="83"/>
  <c r="AY232" i="84"/>
  <c r="AY232" i="85"/>
  <c r="AY232" i="87"/>
  <c r="AY232" i="86"/>
  <c r="AY232" i="88"/>
  <c r="AY232" i="90"/>
  <c r="AY232" i="89"/>
  <c r="AZ232" i="82"/>
  <c r="AZ232" i="83"/>
  <c r="AZ232" i="85"/>
  <c r="AZ232" i="84"/>
  <c r="AZ232" i="86"/>
  <c r="AZ232" i="87"/>
  <c r="AZ232" i="89"/>
  <c r="AZ232" i="88"/>
  <c r="AZ232" i="90"/>
  <c r="BB232" i="82"/>
  <c r="BB232" i="83"/>
  <c r="BB232" i="85"/>
  <c r="BB232" i="84"/>
  <c r="BB232" i="86"/>
  <c r="BB232" i="87"/>
  <c r="BB232" i="89"/>
  <c r="BB232" i="88"/>
  <c r="BB232" i="90"/>
  <c r="AR233" i="83"/>
  <c r="AR233" i="85"/>
  <c r="AR233" i="86"/>
  <c r="AR233" i="90"/>
  <c r="AV233" i="82"/>
  <c r="AV233" i="84"/>
  <c r="AV233" i="87"/>
  <c r="AV233" i="88"/>
  <c r="AV233" i="89"/>
  <c r="AW233" i="83"/>
  <c r="AW233" i="84"/>
  <c r="AW233" i="87"/>
  <c r="AW233" i="88"/>
  <c r="AX233" i="82"/>
  <c r="AX233" i="84"/>
  <c r="AX233" i="87"/>
  <c r="AX233" i="88"/>
  <c r="AX233" i="89"/>
  <c r="BA233" i="82"/>
  <c r="BA233" i="83"/>
  <c r="BA233" i="85"/>
  <c r="BA233" i="84"/>
  <c r="BA233" i="86"/>
  <c r="BA233" i="87"/>
  <c r="BA233" i="89"/>
  <c r="BA233" i="88"/>
  <c r="BA233" i="90"/>
  <c r="BC233" i="82"/>
  <c r="BC233" i="83"/>
  <c r="BC233" i="85"/>
  <c r="BC233" i="84"/>
  <c r="BC233" i="86"/>
  <c r="BC233" i="87"/>
  <c r="BC233" i="89"/>
  <c r="BC233" i="88"/>
  <c r="BC233" i="90"/>
  <c r="AT234" i="82"/>
  <c r="AT234" i="83"/>
  <c r="AT234" i="85"/>
  <c r="AT234" i="84"/>
  <c r="AT234" i="86"/>
  <c r="AT234" i="87"/>
  <c r="AT234" i="89"/>
  <c r="AT234" i="88"/>
  <c r="AT234" i="90"/>
  <c r="AU234" i="82"/>
  <c r="AU234" i="83"/>
  <c r="AU234" i="84"/>
  <c r="AU234" i="85"/>
  <c r="AU234" i="87"/>
  <c r="AU234" i="86"/>
  <c r="AU234" i="88"/>
  <c r="AU234" i="90"/>
  <c r="AU234" i="89"/>
  <c r="AY234" i="82"/>
  <c r="AY234" i="83"/>
  <c r="AY234" i="84"/>
  <c r="AY234" i="85"/>
  <c r="AY234" i="87"/>
  <c r="AY234" i="86"/>
  <c r="AY234" i="88"/>
  <c r="AY234" i="90"/>
  <c r="AY234" i="89"/>
  <c r="AZ234" i="82"/>
  <c r="AZ234" i="83"/>
  <c r="AZ234" i="85"/>
  <c r="AZ234" i="84"/>
  <c r="AZ234" i="86"/>
  <c r="AZ234" i="87"/>
  <c r="AZ234" i="89"/>
  <c r="AZ234" i="88"/>
  <c r="AZ234" i="90"/>
  <c r="BB234" i="82"/>
  <c r="BB234" i="83"/>
  <c r="BB234" i="85"/>
  <c r="BB234" i="84"/>
  <c r="BB234" i="86"/>
  <c r="BB234" i="87"/>
  <c r="BB234" i="89"/>
  <c r="BB234" i="88"/>
  <c r="BB234" i="90"/>
  <c r="AR235" i="83"/>
  <c r="AR235" i="85"/>
  <c r="AR235" i="86"/>
  <c r="AR235" i="90"/>
  <c r="AV235" i="82"/>
  <c r="AV235" i="83"/>
  <c r="AV235" i="84"/>
  <c r="AV235" i="85"/>
  <c r="AV235" i="87"/>
  <c r="AV235" i="86"/>
  <c r="AV235" i="88"/>
  <c r="AV235" i="90"/>
  <c r="AV235" i="89"/>
  <c r="AW235" i="83"/>
  <c r="AW235" i="84"/>
  <c r="AW235" i="87"/>
  <c r="AW235" i="88"/>
  <c r="AX235" i="82"/>
  <c r="AX235" i="83"/>
  <c r="AX235" i="84"/>
  <c r="AX235" i="85"/>
  <c r="AX235" i="87"/>
  <c r="AX235" i="86"/>
  <c r="AX235" i="88"/>
  <c r="AX235" i="90"/>
  <c r="AX235" i="89"/>
  <c r="BA235" i="83"/>
  <c r="BA235" i="84"/>
  <c r="BA235" i="87"/>
  <c r="BA235" i="88"/>
  <c r="BC235" i="82"/>
  <c r="AQ235" i="82"/>
  <c r="BC235" i="83"/>
  <c r="AQ235" i="83"/>
  <c r="BC235" i="85"/>
  <c r="AQ235" i="85"/>
  <c r="BC235" i="84"/>
  <c r="AQ235" i="84"/>
  <c r="BC235" i="86"/>
  <c r="AQ235" i="86"/>
  <c r="BC235" i="87"/>
  <c r="AQ235" i="87"/>
  <c r="BC235" i="89"/>
  <c r="AQ235" i="89"/>
  <c r="BC235" i="88"/>
  <c r="AQ235" i="88"/>
  <c r="BC235" i="90"/>
  <c r="AQ235" i="90"/>
  <c r="AT236" i="82"/>
  <c r="AT236" i="83"/>
  <c r="AT236" i="85"/>
  <c r="AT236" i="84"/>
  <c r="AT236" i="86"/>
  <c r="AT236" i="87"/>
  <c r="AT236" i="89"/>
  <c r="AT236" i="88"/>
  <c r="AT236" i="90"/>
  <c r="AU236" i="82"/>
  <c r="AU236" i="83"/>
  <c r="AU236" i="84"/>
  <c r="AU236" i="85"/>
  <c r="AU236" i="87"/>
  <c r="AU236" i="86"/>
  <c r="AU236" i="88"/>
  <c r="AU236" i="90"/>
  <c r="AU236" i="89"/>
  <c r="AY236" i="82"/>
  <c r="AY236" i="83"/>
  <c r="AY236" i="84"/>
  <c r="AY236" i="85"/>
  <c r="AY236" i="87"/>
  <c r="AY236" i="86"/>
  <c r="AY236" i="88"/>
  <c r="AY236" i="90"/>
  <c r="AY236" i="89"/>
  <c r="AZ236" i="82"/>
  <c r="AZ236" i="83"/>
  <c r="AZ236" i="85"/>
  <c r="AZ236" i="84"/>
  <c r="AZ236" i="86"/>
  <c r="AZ236" i="87"/>
  <c r="AZ236" i="89"/>
  <c r="AZ236" i="88"/>
  <c r="AZ236" i="90"/>
  <c r="BB236" i="82"/>
  <c r="BB236" i="83"/>
  <c r="BB236" i="85"/>
  <c r="BB236" i="84"/>
  <c r="BB236" i="86"/>
  <c r="BB236" i="87"/>
  <c r="BB236" i="89"/>
  <c r="BB236" i="88"/>
  <c r="BB236" i="90"/>
  <c r="AR237" i="83"/>
  <c r="AR237" i="85"/>
  <c r="AR237" i="86"/>
  <c r="AR237" i="90"/>
  <c r="AV237" i="82"/>
  <c r="AV237" i="84"/>
  <c r="AV237" i="87"/>
  <c r="AV237" i="88"/>
  <c r="AV237" i="89"/>
  <c r="AW237" i="83"/>
  <c r="AW237" i="84"/>
  <c r="AW237" i="87"/>
  <c r="AW237" i="88"/>
  <c r="AX237" i="82"/>
  <c r="AX237" i="84"/>
  <c r="AX237" i="87"/>
  <c r="AX237" i="88"/>
  <c r="AX237" i="89"/>
  <c r="BA237" i="82"/>
  <c r="BA237" i="83"/>
  <c r="BA237" i="85"/>
  <c r="BA237" i="84"/>
  <c r="BA237" i="86"/>
  <c r="BA237" i="87"/>
  <c r="BA237" i="89"/>
  <c r="BA237" i="88"/>
  <c r="BA237" i="90"/>
  <c r="BC237" i="82"/>
  <c r="BC237" i="83"/>
  <c r="BC237" i="85"/>
  <c r="BC237" i="84"/>
  <c r="BC237" i="86"/>
  <c r="BC237" i="87"/>
  <c r="BC237" i="89"/>
  <c r="BC237" i="88"/>
  <c r="BC237" i="90"/>
  <c r="AT238" i="82"/>
  <c r="AT238" i="83"/>
  <c r="AT238" i="85"/>
  <c r="AT238" i="84"/>
  <c r="AT238" i="86"/>
  <c r="AT238" i="87"/>
  <c r="AT238" i="89"/>
  <c r="AT238" i="88"/>
  <c r="AT238" i="90"/>
  <c r="AU238" i="82"/>
  <c r="AU238" i="83"/>
  <c r="AU238" i="84"/>
  <c r="AU238" i="85"/>
  <c r="AU238" i="87"/>
  <c r="AU238" i="86"/>
  <c r="AU238" i="88"/>
  <c r="AU238" i="90"/>
  <c r="AU238" i="89"/>
  <c r="AY238" i="82"/>
  <c r="AY238" i="83"/>
  <c r="AY238" i="84"/>
  <c r="AY238" i="85"/>
  <c r="AY238" i="87"/>
  <c r="AY238" i="86"/>
  <c r="AY238" i="88"/>
  <c r="AY238" i="90"/>
  <c r="AY238" i="89"/>
  <c r="AZ238" i="82"/>
  <c r="AZ238" i="83"/>
  <c r="AZ238" i="85"/>
  <c r="AZ238" i="84"/>
  <c r="AZ238" i="86"/>
  <c r="AZ238" i="87"/>
  <c r="AZ238" i="89"/>
  <c r="AZ238" i="88"/>
  <c r="AZ238" i="90"/>
  <c r="BB238" i="82"/>
  <c r="BB238" i="83"/>
  <c r="BB238" i="85"/>
  <c r="BB238" i="84"/>
  <c r="BB238" i="86"/>
  <c r="BB238" i="87"/>
  <c r="BB238" i="89"/>
  <c r="BB238" i="88"/>
  <c r="BB238" i="90"/>
  <c r="AR239" i="83"/>
  <c r="AR239" i="85"/>
  <c r="AR239" i="86"/>
  <c r="AR239" i="90"/>
  <c r="AV239" i="82"/>
  <c r="AV239" i="83"/>
  <c r="AV239" i="84"/>
  <c r="AV239" i="85"/>
  <c r="AV239" i="87"/>
  <c r="AV239" i="86"/>
  <c r="AV239" i="88"/>
  <c r="AV239" i="90"/>
  <c r="AV239" i="89"/>
  <c r="AW239" i="83"/>
  <c r="AW239" i="84"/>
  <c r="AW239" i="87"/>
  <c r="AW239" i="88"/>
  <c r="AX239" i="82"/>
  <c r="AX239" i="83"/>
  <c r="AX239" i="84"/>
  <c r="AX239" i="85"/>
  <c r="AX239" i="87"/>
  <c r="AX239" i="86"/>
  <c r="AX239" i="88"/>
  <c r="AX239" i="90"/>
  <c r="AX239" i="89"/>
  <c r="BA239" i="83"/>
  <c r="BA239" i="84"/>
  <c r="BA239" i="87"/>
  <c r="BA239" i="88"/>
  <c r="BC239" i="82"/>
  <c r="AQ239" i="82"/>
  <c r="BC239" i="83"/>
  <c r="AQ239" i="83"/>
  <c r="BC239" i="85"/>
  <c r="AQ239" i="85"/>
  <c r="BC239" i="84"/>
  <c r="AQ239" i="84"/>
  <c r="BC239" i="86"/>
  <c r="AQ239" i="86"/>
  <c r="BC239" i="87"/>
  <c r="AQ239" i="87"/>
  <c r="BC239" i="89"/>
  <c r="AQ239" i="89"/>
  <c r="BC239" i="88"/>
  <c r="AQ239" i="88"/>
  <c r="BC239" i="90"/>
  <c r="AQ239" i="90"/>
  <c r="AT240" i="82"/>
  <c r="AT240" i="83"/>
  <c r="AT240" i="85"/>
  <c r="AT240" i="84"/>
  <c r="AT240" i="86"/>
  <c r="AT240" i="87"/>
  <c r="AT240" i="89"/>
  <c r="AT240" i="88"/>
  <c r="AT240" i="90"/>
  <c r="AU240" i="82"/>
  <c r="AU240" i="83"/>
  <c r="AU240" i="84"/>
  <c r="AU240" i="85"/>
  <c r="AU240" i="87"/>
  <c r="AU240" i="86"/>
  <c r="AU240" i="88"/>
  <c r="AU240" i="90"/>
  <c r="AU240" i="89"/>
  <c r="AY240" i="82"/>
  <c r="AY240" i="83"/>
  <c r="AY240" i="84"/>
  <c r="AY240" i="85"/>
  <c r="AY240" i="87"/>
  <c r="AY240" i="86"/>
  <c r="AY240" i="88"/>
  <c r="AY240" i="90"/>
  <c r="AY240" i="89"/>
  <c r="AZ240" i="82"/>
  <c r="AZ240" i="83"/>
  <c r="AZ240" i="85"/>
  <c r="AZ240" i="84"/>
  <c r="AZ240" i="86"/>
  <c r="AZ240" i="87"/>
  <c r="AZ240" i="89"/>
  <c r="AZ240" i="88"/>
  <c r="AZ240" i="90"/>
  <c r="BB240" i="82"/>
  <c r="BB240" i="83"/>
  <c r="BB240" i="85"/>
  <c r="BB240" i="84"/>
  <c r="BB240" i="86"/>
  <c r="BB240" i="87"/>
  <c r="BB240" i="89"/>
  <c r="BB240" i="88"/>
  <c r="BB240" i="90"/>
  <c r="AR241" i="83"/>
  <c r="AR241" i="85"/>
  <c r="AR241" i="86"/>
  <c r="AR241" i="90"/>
  <c r="AV241" i="82"/>
  <c r="AV241" i="84"/>
  <c r="AV241" i="87"/>
  <c r="AV241" i="88"/>
  <c r="AV241" i="89"/>
  <c r="AW241" i="83"/>
  <c r="AW241" i="84"/>
  <c r="AW241" i="87"/>
  <c r="AW241" i="88"/>
  <c r="AX241" i="82"/>
  <c r="AX241" i="84"/>
  <c r="AX241" i="87"/>
  <c r="AX241" i="88"/>
  <c r="AX241" i="89"/>
  <c r="BA241" i="82"/>
  <c r="BA241" i="83"/>
  <c r="BA241" i="85"/>
  <c r="BA241" i="84"/>
  <c r="BA241" i="86"/>
  <c r="BA241" i="87"/>
  <c r="BA241" i="89"/>
  <c r="BA241" i="88"/>
  <c r="BA241" i="90"/>
  <c r="BC241" i="82"/>
  <c r="BC241" i="83"/>
  <c r="BC241" i="85"/>
  <c r="BC241" i="84"/>
  <c r="BC241" i="86"/>
  <c r="BC241" i="87"/>
  <c r="BC241" i="89"/>
  <c r="BC241" i="88"/>
  <c r="BC241" i="90"/>
  <c r="AT242" i="82"/>
  <c r="AT242" i="83"/>
  <c r="AT242" i="85"/>
  <c r="AT242" i="84"/>
  <c r="AT242" i="86"/>
  <c r="AT242" i="87"/>
  <c r="AT242" i="89"/>
  <c r="AT242" i="88"/>
  <c r="AT242" i="90"/>
  <c r="AU242" i="82"/>
  <c r="AU242" i="83"/>
  <c r="AU242" i="84"/>
  <c r="AU242" i="85"/>
  <c r="AU242" i="87"/>
  <c r="AU242" i="86"/>
  <c r="AU242" i="88"/>
  <c r="AU242" i="90"/>
  <c r="AU242" i="89"/>
  <c r="AY242" i="82"/>
  <c r="AY242" i="83"/>
  <c r="AY242" i="84"/>
  <c r="AY242" i="85"/>
  <c r="AY242" i="87"/>
  <c r="AY242" i="86"/>
  <c r="AY242" i="88"/>
  <c r="AY242" i="90"/>
  <c r="AY242" i="89"/>
  <c r="AZ242" i="82"/>
  <c r="AZ242" i="83"/>
  <c r="AZ242" i="85"/>
  <c r="AZ242" i="84"/>
  <c r="AZ242" i="86"/>
  <c r="AZ242" i="87"/>
  <c r="AZ242" i="89"/>
  <c r="AZ242" i="88"/>
  <c r="AZ242" i="90"/>
  <c r="BB242" i="82"/>
  <c r="BB242" i="83"/>
  <c r="BB242" i="85"/>
  <c r="BB242" i="84"/>
  <c r="BB242" i="86"/>
  <c r="BB242" i="87"/>
  <c r="BB242" i="89"/>
  <c r="BB242" i="88"/>
  <c r="BB242" i="90"/>
  <c r="AR243" i="83"/>
  <c r="AR243" i="85"/>
  <c r="AR243" i="86"/>
  <c r="AR243" i="90"/>
  <c r="AV243" i="82"/>
  <c r="AV243" i="83"/>
  <c r="AV243" i="84"/>
  <c r="AV243" i="85"/>
  <c r="AV243" i="87"/>
  <c r="AV243" i="86"/>
  <c r="AV243" i="88"/>
  <c r="AV243" i="90"/>
  <c r="AV243" i="89"/>
  <c r="AW243" i="83"/>
  <c r="AW243" i="84"/>
  <c r="AW243" i="87"/>
  <c r="AW243" i="88"/>
  <c r="AX243" i="82"/>
  <c r="AX243" i="83"/>
  <c r="AX243" i="84"/>
  <c r="AX243" i="85"/>
  <c r="AX243" i="87"/>
  <c r="AX243" i="86"/>
  <c r="AX243" i="88"/>
  <c r="AX243" i="90"/>
  <c r="AX243" i="89"/>
  <c r="BA243" i="83"/>
  <c r="BA243" i="84"/>
  <c r="BA243" i="87"/>
  <c r="BA243" i="88"/>
  <c r="BC243" i="82"/>
  <c r="AQ243" i="82"/>
  <c r="BC243" i="83"/>
  <c r="AQ243" i="83"/>
  <c r="BC243" i="85"/>
  <c r="AQ243" i="85"/>
  <c r="BC243" i="84"/>
  <c r="AQ243" i="84"/>
  <c r="BC243" i="86"/>
  <c r="AQ243" i="86"/>
  <c r="BC243" i="87"/>
  <c r="AQ243" i="87"/>
  <c r="BC243" i="89"/>
  <c r="AQ243" i="89"/>
  <c r="BC243" i="88"/>
  <c r="AQ243" i="88"/>
  <c r="BC243" i="90"/>
  <c r="AQ243" i="90"/>
  <c r="AT244" i="82"/>
  <c r="AT244" i="83"/>
  <c r="AT244" i="85"/>
  <c r="AT244" i="84"/>
  <c r="AT244" i="86"/>
  <c r="AT244" i="87"/>
  <c r="AT244" i="89"/>
  <c r="AT244" i="88"/>
  <c r="AT244" i="90"/>
  <c r="AU244" i="82"/>
  <c r="AU244" i="83"/>
  <c r="AU244" i="84"/>
  <c r="AU244" i="85"/>
  <c r="AU244" i="87"/>
  <c r="AU244" i="86"/>
  <c r="AU244" i="88"/>
  <c r="AU244" i="90"/>
  <c r="AU244" i="89"/>
  <c r="AY244" i="82"/>
  <c r="AY244" i="83"/>
  <c r="AY244" i="84"/>
  <c r="AY244" i="85"/>
  <c r="AY244" i="87"/>
  <c r="AY244" i="86"/>
  <c r="AY244" i="88"/>
  <c r="AY244" i="90"/>
  <c r="AY244" i="89"/>
  <c r="AZ244" i="82"/>
  <c r="AZ244" i="83"/>
  <c r="AZ244" i="85"/>
  <c r="AZ244" i="84"/>
  <c r="AZ244" i="86"/>
  <c r="AZ244" i="87"/>
  <c r="AZ244" i="89"/>
  <c r="AZ244" i="88"/>
  <c r="AZ244" i="90"/>
  <c r="BB244" i="82"/>
  <c r="BB244" i="83"/>
  <c r="BB244" i="85"/>
  <c r="BB244" i="84"/>
  <c r="BB244" i="86"/>
  <c r="BB244" i="87"/>
  <c r="BB244" i="89"/>
  <c r="BB244" i="88"/>
  <c r="BB244" i="90"/>
  <c r="AR245" i="83"/>
  <c r="AR245" i="85"/>
  <c r="AR245" i="86"/>
  <c r="AR245" i="90"/>
  <c r="AV245" i="82"/>
  <c r="AV245" i="84"/>
  <c r="AV245" i="87"/>
  <c r="AV245" i="88"/>
  <c r="AV245" i="89"/>
  <c r="AW245" i="83"/>
  <c r="AW245" i="84"/>
  <c r="AW245" i="87"/>
  <c r="AW245" i="88"/>
  <c r="AX245" i="82"/>
  <c r="AX245" i="84"/>
  <c r="AX245" i="87"/>
  <c r="AX245" i="88"/>
  <c r="AX245" i="89"/>
  <c r="BA245" i="82"/>
  <c r="BA245" i="83"/>
  <c r="BA245" i="85"/>
  <c r="BA245" i="84"/>
  <c r="BA245" i="86"/>
  <c r="BA245" i="87"/>
  <c r="BA245" i="89"/>
  <c r="BA245" i="88"/>
  <c r="BA245" i="90"/>
  <c r="BC245" i="82"/>
  <c r="BC245" i="83"/>
  <c r="BC245" i="85"/>
  <c r="BC245" i="84"/>
  <c r="BC245" i="86"/>
  <c r="BC245" i="87"/>
  <c r="BC245" i="89"/>
  <c r="BC245" i="88"/>
  <c r="BC245" i="90"/>
  <c r="AT246" i="82"/>
  <c r="AT246" i="83"/>
  <c r="AT246" i="85"/>
  <c r="AT246" i="84"/>
  <c r="AT246" i="86"/>
  <c r="AT246" i="87"/>
  <c r="AT246" i="89"/>
  <c r="AT246" i="88"/>
  <c r="AT246" i="90"/>
  <c r="AU246" i="82"/>
  <c r="AU246" i="83"/>
  <c r="AU246" i="84"/>
  <c r="AU246" i="85"/>
  <c r="AU246" i="87"/>
  <c r="AU246" i="86"/>
  <c r="AU246" i="88"/>
  <c r="AU246" i="90"/>
  <c r="AU246" i="89"/>
  <c r="AY246" i="82"/>
  <c r="AY246" i="83"/>
  <c r="AY246" i="84"/>
  <c r="AY246" i="85"/>
  <c r="AY246" i="87"/>
  <c r="AY246" i="86"/>
  <c r="AY246" i="88"/>
  <c r="AY246" i="90"/>
  <c r="AY246" i="89"/>
  <c r="AZ246" i="82"/>
  <c r="AZ246" i="83"/>
  <c r="AZ246" i="85"/>
  <c r="AZ246" i="84"/>
  <c r="AZ246" i="86"/>
  <c r="AZ246" i="87"/>
  <c r="AZ246" i="89"/>
  <c r="AZ246" i="88"/>
  <c r="AZ246" i="90"/>
  <c r="BB246" i="82"/>
  <c r="BB246" i="83"/>
  <c r="BB246" i="85"/>
  <c r="BB246" i="84"/>
  <c r="BB246" i="86"/>
  <c r="BB246" i="87"/>
  <c r="BB246" i="89"/>
  <c r="BB246" i="88"/>
  <c r="BB246" i="90"/>
  <c r="AR247" i="83"/>
  <c r="AR247" i="85"/>
  <c r="AR247" i="86"/>
  <c r="AR247" i="90"/>
  <c r="AV247" i="82"/>
  <c r="AV247" i="83"/>
  <c r="AV247" i="84"/>
  <c r="AV247" i="85"/>
  <c r="AV247" i="87"/>
  <c r="AV247" i="86"/>
  <c r="AV247" i="88"/>
  <c r="AV247" i="90"/>
  <c r="AV247" i="89"/>
  <c r="AW247" i="83"/>
  <c r="AW247" i="84"/>
  <c r="AW247" i="87"/>
  <c r="AW247" i="88"/>
  <c r="AX247" i="82"/>
  <c r="AX247" i="83"/>
  <c r="AX247" i="84"/>
  <c r="AX247" i="85"/>
  <c r="AX247" i="87"/>
  <c r="AX247" i="86"/>
  <c r="AX247" i="88"/>
  <c r="AX247" i="90"/>
  <c r="AX247" i="89"/>
  <c r="BA247" i="83"/>
  <c r="BA247" i="84"/>
  <c r="BA247" i="87"/>
  <c r="BA247" i="88"/>
  <c r="BC247" i="82"/>
  <c r="AQ247" i="82"/>
  <c r="BC247" i="83"/>
  <c r="AQ247" i="83"/>
  <c r="BC247" i="85"/>
  <c r="AQ247" i="85"/>
  <c r="BC247" i="84"/>
  <c r="AQ247" i="84"/>
  <c r="BC247" i="86"/>
  <c r="AQ247" i="86"/>
  <c r="BC247" i="87"/>
  <c r="AQ247" i="87"/>
  <c r="BC247" i="89"/>
  <c r="AQ247" i="89"/>
  <c r="BC247" i="88"/>
  <c r="AQ247" i="88"/>
  <c r="BC247" i="90"/>
  <c r="AQ247" i="90"/>
  <c r="AT248" i="82"/>
  <c r="AT248" i="83"/>
  <c r="AT248" i="85"/>
  <c r="AT248" i="84"/>
  <c r="AT248" i="86"/>
  <c r="AT248" i="87"/>
  <c r="AT248" i="89"/>
  <c r="AT248" i="88"/>
  <c r="AT248" i="90"/>
  <c r="AU248" i="82"/>
  <c r="AU248" i="83"/>
  <c r="AU248" i="84"/>
  <c r="AU248" i="85"/>
  <c r="AU248" i="87"/>
  <c r="AU248" i="86"/>
  <c r="AU248" i="88"/>
  <c r="AU248" i="90"/>
  <c r="AU248" i="89"/>
  <c r="AY248" i="82"/>
  <c r="AY248" i="83"/>
  <c r="AY248" i="84"/>
  <c r="AY248" i="85"/>
  <c r="AY248" i="87"/>
  <c r="AY248" i="86"/>
  <c r="AY248" i="88"/>
  <c r="AY248" i="90"/>
  <c r="AY248" i="89"/>
  <c r="AZ248" i="82"/>
  <c r="AZ248" i="83"/>
  <c r="AZ248" i="85"/>
  <c r="AZ248" i="84"/>
  <c r="AZ248" i="86"/>
  <c r="AZ248" i="87"/>
  <c r="AZ248" i="89"/>
  <c r="AZ248" i="88"/>
  <c r="AZ248" i="90"/>
  <c r="BB248" i="82"/>
  <c r="BB248" i="83"/>
  <c r="BB248" i="85"/>
  <c r="BB248" i="84"/>
  <c r="BB248" i="86"/>
  <c r="BB248" i="87"/>
  <c r="BB248" i="89"/>
  <c r="BB248" i="88"/>
  <c r="BB248" i="90"/>
  <c r="AR249" i="83"/>
  <c r="AR249" i="85"/>
  <c r="AR249" i="86"/>
  <c r="AR249" i="90"/>
  <c r="AV249" i="82"/>
  <c r="AV249" i="84"/>
  <c r="AV249" i="87"/>
  <c r="AV249" i="88"/>
  <c r="AV249" i="89"/>
  <c r="AW249" i="83"/>
  <c r="AW249" i="84"/>
  <c r="AW249" i="87"/>
  <c r="AW249" i="88"/>
  <c r="AX249" i="82"/>
  <c r="AX249" i="84"/>
  <c r="AX249" i="87"/>
  <c r="AX249" i="88"/>
  <c r="AX249" i="89"/>
  <c r="BA249" i="82"/>
  <c r="BA249" i="83"/>
  <c r="BA249" i="85"/>
  <c r="BA249" i="84"/>
  <c r="BA249" i="86"/>
  <c r="BA249" i="87"/>
  <c r="BA249" i="89"/>
  <c r="BA249" i="88"/>
  <c r="BA249" i="90"/>
  <c r="BC249" i="82"/>
  <c r="BC249" i="83"/>
  <c r="BC249" i="85"/>
  <c r="BC249" i="84"/>
  <c r="BC249" i="86"/>
  <c r="BC249" i="87"/>
  <c r="BC249" i="89"/>
  <c r="BC249" i="88"/>
  <c r="BC249" i="90"/>
  <c r="AT250" i="82"/>
  <c r="AT250" i="83"/>
  <c r="AT250" i="85"/>
  <c r="AT250" i="84"/>
  <c r="AT250" i="86"/>
  <c r="AT250" i="87"/>
  <c r="AT250" i="89"/>
  <c r="AT250" i="88"/>
  <c r="AT250" i="90"/>
  <c r="AU250" i="82"/>
  <c r="AU250" i="83"/>
  <c r="AU250" i="84"/>
  <c r="AU250" i="85"/>
  <c r="AU250" i="87"/>
  <c r="AU250" i="86"/>
  <c r="AU250" i="88"/>
  <c r="AU250" i="90"/>
  <c r="AU250" i="89"/>
  <c r="AY250" i="82"/>
  <c r="AY250" i="83"/>
  <c r="AY250" i="84"/>
  <c r="AY250" i="85"/>
  <c r="AY250" i="87"/>
  <c r="AY250" i="86"/>
  <c r="AY250" i="88"/>
  <c r="AY250" i="90"/>
  <c r="AY250" i="89"/>
  <c r="AZ250" i="82"/>
  <c r="AZ250" i="83"/>
  <c r="AZ250" i="85"/>
  <c r="AZ250" i="84"/>
  <c r="AZ250" i="86"/>
  <c r="AZ250" i="87"/>
  <c r="AZ250" i="89"/>
  <c r="AZ250" i="88"/>
  <c r="AZ250" i="90"/>
  <c r="BB250" i="82"/>
  <c r="BB250" i="83"/>
  <c r="BB250" i="85"/>
  <c r="BB250" i="84"/>
  <c r="BB250" i="86"/>
  <c r="BB250" i="87"/>
  <c r="BB250" i="89"/>
  <c r="BB250" i="88"/>
  <c r="BB250" i="90"/>
  <c r="AR251" i="83"/>
  <c r="AR251" i="85"/>
  <c r="AR251" i="86"/>
  <c r="AR251" i="90"/>
  <c r="AV251" i="82"/>
  <c r="AV251" i="83"/>
  <c r="AV251" i="84"/>
  <c r="AV251" i="85"/>
  <c r="AV251" i="87"/>
  <c r="AV251" i="86"/>
  <c r="AV251" i="88"/>
  <c r="AV251" i="90"/>
  <c r="AV251" i="89"/>
  <c r="AW251" i="83"/>
  <c r="AW251" i="84"/>
  <c r="AW251" i="87"/>
  <c r="AW251" i="88"/>
  <c r="AX251" i="82"/>
  <c r="AX251" i="83"/>
  <c r="AX251" i="84"/>
  <c r="AX251" i="85"/>
  <c r="AX251" i="87"/>
  <c r="AX251" i="86"/>
  <c r="AX251" i="88"/>
  <c r="AX251" i="90"/>
  <c r="AX251" i="89"/>
  <c r="BA251" i="83"/>
  <c r="BA251" i="84"/>
  <c r="BA251" i="87"/>
  <c r="BA251" i="88"/>
  <c r="BC251" i="82"/>
  <c r="AQ251" i="82"/>
  <c r="BC251" i="83"/>
  <c r="AQ251" i="83"/>
  <c r="BC251" i="85"/>
  <c r="AQ251" i="85"/>
  <c r="BC251" i="84"/>
  <c r="AQ251" i="84"/>
  <c r="BC251" i="86"/>
  <c r="AQ251" i="86"/>
  <c r="BC251" i="87"/>
  <c r="AQ251" i="87"/>
  <c r="BC251" i="89"/>
  <c r="AQ251" i="89"/>
  <c r="BC251" i="88"/>
  <c r="AQ251" i="88"/>
  <c r="BC251" i="90"/>
  <c r="AQ251" i="90"/>
  <c r="AT252" i="82"/>
  <c r="AT252" i="83"/>
  <c r="AT252" i="85"/>
  <c r="AT252" i="84"/>
  <c r="AT252" i="86"/>
  <c r="AT252" i="87"/>
  <c r="AT252" i="89"/>
  <c r="AT252" i="88"/>
  <c r="AT252" i="90"/>
  <c r="AU252" i="82"/>
  <c r="AU252" i="83"/>
  <c r="AU252" i="84"/>
  <c r="AU252" i="85"/>
  <c r="AU252" i="87"/>
  <c r="AU252" i="86"/>
  <c r="AU252" i="88"/>
  <c r="AU252" i="90"/>
  <c r="AU252" i="89"/>
  <c r="AY252" i="82"/>
  <c r="AY252" i="83"/>
  <c r="AY252" i="84"/>
  <c r="AY252" i="85"/>
  <c r="AY252" i="87"/>
  <c r="AY252" i="86"/>
  <c r="AY252" i="88"/>
  <c r="AY252" i="90"/>
  <c r="AY252" i="89"/>
  <c r="AZ252" i="82"/>
  <c r="AZ252" i="83"/>
  <c r="AZ252" i="85"/>
  <c r="AZ252" i="84"/>
  <c r="AZ252" i="86"/>
  <c r="AZ252" i="87"/>
  <c r="AZ252" i="89"/>
  <c r="AZ252" i="88"/>
  <c r="AZ252" i="90"/>
  <c r="BB252" i="82"/>
  <c r="BB252" i="83"/>
  <c r="BB252" i="85"/>
  <c r="BB252" i="84"/>
  <c r="BB252" i="86"/>
  <c r="BB252" i="87"/>
  <c r="BB252" i="89"/>
  <c r="BB252" i="88"/>
  <c r="BB252" i="90"/>
  <c r="AR253" i="83"/>
  <c r="AR253" i="85"/>
  <c r="AR253" i="86"/>
  <c r="AR253" i="90"/>
  <c r="AV253" i="82"/>
  <c r="AV253" i="84"/>
  <c r="AV253" i="87"/>
  <c r="AV253" i="88"/>
  <c r="AV253" i="89"/>
  <c r="AW253" i="83"/>
  <c r="AW253" i="84"/>
  <c r="AW253" i="87"/>
  <c r="AW253" i="88"/>
  <c r="AX253" i="82"/>
  <c r="AX253" i="84"/>
  <c r="AX253" i="87"/>
  <c r="AX253" i="88"/>
  <c r="AX253" i="89"/>
  <c r="BA253" i="83"/>
  <c r="BA253" i="84"/>
  <c r="BA253" i="87"/>
  <c r="BA253" i="88"/>
  <c r="BC253" i="82"/>
  <c r="AQ253" i="82"/>
  <c r="BC253" i="83"/>
  <c r="AQ253" i="83"/>
  <c r="BC253" i="85"/>
  <c r="AQ253" i="85"/>
  <c r="BC253" i="84"/>
  <c r="AQ253" i="84"/>
  <c r="BC253" i="86"/>
  <c r="AQ253" i="86"/>
  <c r="BC253" i="87"/>
  <c r="AQ253" i="87"/>
  <c r="BC253" i="89"/>
  <c r="AQ253" i="89"/>
  <c r="BC253" i="88"/>
  <c r="AQ253" i="88"/>
  <c r="BC253" i="90"/>
  <c r="AQ253" i="90"/>
  <c r="AT254" i="82"/>
  <c r="AT254" i="83"/>
  <c r="AT254" i="85"/>
  <c r="AT254" i="84"/>
  <c r="AT254" i="86"/>
  <c r="AT254" i="87"/>
  <c r="AT254" i="89"/>
  <c r="AT254" i="88"/>
  <c r="AT254" i="90"/>
  <c r="AU254" i="82"/>
  <c r="AU254" i="83"/>
  <c r="AU254" i="84"/>
  <c r="AU254" i="85"/>
  <c r="AU254" i="87"/>
  <c r="AU254" i="86"/>
  <c r="AU254" i="88"/>
  <c r="AU254" i="90"/>
  <c r="AU254" i="89"/>
  <c r="AY254" i="82"/>
  <c r="AY254" i="83"/>
  <c r="AY254" i="84"/>
  <c r="AY254" i="85"/>
  <c r="AY254" i="87"/>
  <c r="AY254" i="86"/>
  <c r="AY254" i="88"/>
  <c r="AY254" i="90"/>
  <c r="AY254" i="89"/>
  <c r="AZ254" i="82"/>
  <c r="AZ254" i="83"/>
  <c r="AZ254" i="85"/>
  <c r="AZ254" i="84"/>
  <c r="AZ254" i="86"/>
  <c r="AZ254" i="87"/>
  <c r="AZ254" i="89"/>
  <c r="AZ254" i="88"/>
  <c r="AZ254" i="90"/>
  <c r="BB254" i="82"/>
  <c r="BB254" i="83"/>
  <c r="BB254" i="85"/>
  <c r="BB254" i="84"/>
  <c r="BB254" i="86"/>
  <c r="BB254" i="87"/>
  <c r="BB254" i="89"/>
  <c r="BB254" i="88"/>
  <c r="BB254" i="90"/>
  <c r="AR255" i="83"/>
  <c r="AR255" i="85"/>
  <c r="AR255" i="86"/>
  <c r="AR255" i="90"/>
  <c r="AV255" i="82"/>
  <c r="AV255" i="84"/>
  <c r="AV255" i="87"/>
  <c r="AV255" i="88"/>
  <c r="AV255" i="89"/>
  <c r="AW255" i="83"/>
  <c r="AW255" i="84"/>
  <c r="AW255" i="87"/>
  <c r="AW255" i="88"/>
  <c r="AX255" i="82"/>
  <c r="AX255" i="84"/>
  <c r="AX255" i="87"/>
  <c r="AX255" i="88"/>
  <c r="AX255" i="89"/>
  <c r="BA255" i="83"/>
  <c r="BA255" i="84"/>
  <c r="BA255" i="87"/>
  <c r="BA255" i="88"/>
  <c r="BC255" i="82"/>
  <c r="AQ255" i="82"/>
  <c r="BC255" i="83"/>
  <c r="AQ255" i="83"/>
  <c r="BC255" i="85"/>
  <c r="AQ255" i="85"/>
  <c r="BC255" i="84"/>
  <c r="AQ255" i="84"/>
  <c r="BC255" i="86"/>
  <c r="AQ255" i="86"/>
  <c r="BC255" i="87"/>
  <c r="AQ255" i="87"/>
  <c r="BC255" i="89"/>
  <c r="AQ255" i="89"/>
  <c r="BC255" i="88"/>
  <c r="AQ255" i="88"/>
  <c r="BC255" i="90"/>
  <c r="AQ255" i="90"/>
  <c r="AT256" i="82"/>
  <c r="AT256" i="83"/>
  <c r="AT256" i="85"/>
  <c r="AT256" i="84"/>
  <c r="AT256" i="86"/>
  <c r="AT256" i="87"/>
  <c r="AT256" i="89"/>
  <c r="AT256" i="88"/>
  <c r="AT256" i="90"/>
  <c r="AU256" i="82"/>
  <c r="AU256" i="83"/>
  <c r="AU256" i="84"/>
  <c r="AU256" i="85"/>
  <c r="AU256" i="87"/>
  <c r="AU256" i="86"/>
  <c r="AU256" i="88"/>
  <c r="AU256" i="90"/>
  <c r="AU256" i="89"/>
  <c r="AY256" i="82"/>
  <c r="AY256" i="83"/>
  <c r="AY256" i="84"/>
  <c r="AY256" i="85"/>
  <c r="AY256" i="87"/>
  <c r="AY256" i="86"/>
  <c r="AY256" i="88"/>
  <c r="AY256" i="90"/>
  <c r="AY256" i="89"/>
  <c r="AZ256" i="82"/>
  <c r="AZ256" i="83"/>
  <c r="AZ256" i="85"/>
  <c r="AZ256" i="84"/>
  <c r="AZ256" i="86"/>
  <c r="AZ256" i="87"/>
  <c r="AZ256" i="89"/>
  <c r="AZ256" i="88"/>
  <c r="AZ256" i="90"/>
  <c r="BB256" i="82"/>
  <c r="BB256" i="83"/>
  <c r="BB256" i="85"/>
  <c r="BB256" i="84"/>
  <c r="BB256" i="86"/>
  <c r="BB256" i="87"/>
  <c r="BB256" i="89"/>
  <c r="BB256" i="88"/>
  <c r="BB256" i="90"/>
  <c r="AR257" i="83"/>
  <c r="AR257" i="85"/>
  <c r="AR257" i="86"/>
  <c r="AR257" i="90"/>
  <c r="AV257" i="82"/>
  <c r="AV257" i="84"/>
  <c r="AV257" i="87"/>
  <c r="AV257" i="88"/>
  <c r="AV257" i="89"/>
  <c r="AW257" i="83"/>
  <c r="AW257" i="84"/>
  <c r="AW257" i="87"/>
  <c r="AW257" i="88"/>
  <c r="AX257" i="82"/>
  <c r="AX257" i="84"/>
  <c r="AX257" i="87"/>
  <c r="AX257" i="88"/>
  <c r="AX257" i="89"/>
  <c r="BA257" i="83"/>
  <c r="BA257" i="84"/>
  <c r="BA257" i="87"/>
  <c r="BA257" i="88"/>
  <c r="BC257" i="82"/>
  <c r="AQ257" i="82"/>
  <c r="BC257" i="83"/>
  <c r="AQ257" i="83"/>
  <c r="BC257" i="85"/>
  <c r="AQ257" i="85"/>
  <c r="BC257" i="84"/>
  <c r="AQ257" i="84"/>
  <c r="BC257" i="86"/>
  <c r="AQ257" i="86"/>
  <c r="BC257" i="87"/>
  <c r="AQ257" i="87"/>
  <c r="BC257" i="89"/>
  <c r="AQ257" i="89"/>
  <c r="BC257" i="88"/>
  <c r="AQ257" i="88"/>
  <c r="BC257" i="90"/>
  <c r="AQ257" i="90"/>
  <c r="AT258" i="82"/>
  <c r="AT258" i="83"/>
  <c r="AT258" i="85"/>
  <c r="AT258" i="84"/>
  <c r="AT258" i="86"/>
  <c r="AT258" i="87"/>
  <c r="AT258" i="89"/>
  <c r="AT258" i="88"/>
  <c r="AT258" i="90"/>
  <c r="AU258" i="82"/>
  <c r="AU258" i="83"/>
  <c r="AU258" i="84"/>
  <c r="AU258" i="85"/>
  <c r="AU258" i="87"/>
  <c r="AU258" i="86"/>
  <c r="AU258" i="88"/>
  <c r="AU258" i="90"/>
  <c r="AU258" i="89"/>
  <c r="AY258" i="82"/>
  <c r="AY258" i="83"/>
  <c r="AY258" i="84"/>
  <c r="AY258" i="85"/>
  <c r="AY258" i="87"/>
  <c r="AY258" i="86"/>
  <c r="AY258" i="88"/>
  <c r="AY258" i="90"/>
  <c r="AY258" i="89"/>
  <c r="AZ258" i="82"/>
  <c r="AZ258" i="83"/>
  <c r="AZ258" i="85"/>
  <c r="AZ258" i="84"/>
  <c r="AZ258" i="86"/>
  <c r="AZ258" i="87"/>
  <c r="AZ258" i="89"/>
  <c r="AZ258" i="88"/>
  <c r="AZ258" i="90"/>
  <c r="BB258" i="82"/>
  <c r="BB258" i="83"/>
  <c r="BB258" i="85"/>
  <c r="BB258" i="84"/>
  <c r="BB258" i="86"/>
  <c r="BB258" i="87"/>
  <c r="BB258" i="89"/>
  <c r="BB258" i="88"/>
  <c r="BB258" i="90"/>
  <c r="AR259" i="83"/>
  <c r="AR259" i="85"/>
  <c r="AR259" i="86"/>
  <c r="AR259" i="90"/>
  <c r="AV259" i="82"/>
  <c r="AV259" i="84"/>
  <c r="AV259" i="87"/>
  <c r="AV259" i="88"/>
  <c r="AV259" i="89"/>
  <c r="AW259" i="83"/>
  <c r="AW259" i="84"/>
  <c r="AW259" i="87"/>
  <c r="AW259" i="88"/>
  <c r="AX259" i="82"/>
  <c r="AX259" i="84"/>
  <c r="AX259" i="87"/>
  <c r="AX259" i="88"/>
  <c r="AX259" i="89"/>
  <c r="BA259" i="83"/>
  <c r="BA259" i="84"/>
  <c r="BA259" i="87"/>
  <c r="BA259" i="88"/>
  <c r="BC259" i="82"/>
  <c r="AQ259" i="82"/>
  <c r="BC259" i="83"/>
  <c r="AQ259" i="83"/>
  <c r="BC259" i="85"/>
  <c r="AQ259" i="85"/>
  <c r="BC259" i="84"/>
  <c r="AQ259" i="84"/>
  <c r="BC259" i="86"/>
  <c r="AQ259" i="86"/>
  <c r="BC259" i="87"/>
  <c r="AQ259" i="87"/>
  <c r="BC259" i="89"/>
  <c r="AQ259" i="89"/>
  <c r="BC259" i="88"/>
  <c r="AQ259" i="88"/>
  <c r="BC259" i="90"/>
  <c r="AQ259" i="90"/>
  <c r="AT260" i="82"/>
  <c r="AT260" i="83"/>
  <c r="AT260" i="85"/>
  <c r="AT260" i="84"/>
  <c r="AT260" i="86"/>
  <c r="AT260" i="87"/>
  <c r="AT260" i="89"/>
  <c r="AT260" i="88"/>
  <c r="AT260" i="90"/>
  <c r="AU260" i="82"/>
  <c r="AU260" i="83"/>
  <c r="AU260" i="84"/>
  <c r="AU260" i="85"/>
  <c r="AU260" i="87"/>
  <c r="AU260" i="86"/>
  <c r="AU260" i="88"/>
  <c r="AU260" i="90"/>
  <c r="AU260" i="89"/>
  <c r="AY260" i="82"/>
  <c r="AY260" i="83"/>
  <c r="AY260" i="84"/>
  <c r="AY260" i="85"/>
  <c r="AY260" i="87"/>
  <c r="AY260" i="86"/>
  <c r="AY260" i="88"/>
  <c r="AY260" i="90"/>
  <c r="AY260" i="89"/>
  <c r="AZ260" i="82"/>
  <c r="AZ260" i="83"/>
  <c r="AZ260" i="85"/>
  <c r="AZ260" i="84"/>
  <c r="AZ260" i="86"/>
  <c r="AZ260" i="87"/>
  <c r="AZ260" i="89"/>
  <c r="AZ260" i="88"/>
  <c r="AZ260" i="90"/>
  <c r="BB260" i="82"/>
  <c r="BB260" i="83"/>
  <c r="BB260" i="85"/>
  <c r="BB260" i="84"/>
  <c r="BB260" i="86"/>
  <c r="BB260" i="87"/>
  <c r="BB260" i="89"/>
  <c r="BB260" i="88"/>
  <c r="BB260" i="90"/>
  <c r="AR261" i="83"/>
  <c r="AR261" i="85"/>
  <c r="AR261" i="86"/>
  <c r="AR261" i="90"/>
  <c r="AV261" i="82"/>
  <c r="AV261" i="84"/>
  <c r="AV261" i="87"/>
  <c r="AV261" i="88"/>
  <c r="AV261" i="89"/>
  <c r="AW261" i="83"/>
  <c r="AW261" i="84"/>
  <c r="AW261" i="87"/>
  <c r="AW261" i="88"/>
  <c r="AX261" i="82"/>
  <c r="AX261" i="84"/>
  <c r="AX261" i="87"/>
  <c r="AX261" i="88"/>
  <c r="AX261" i="89"/>
  <c r="BA261" i="83"/>
  <c r="BA261" i="84"/>
  <c r="BA261" i="87"/>
  <c r="BA261" i="88"/>
  <c r="BC261" i="82"/>
  <c r="AQ261" i="82"/>
  <c r="BC261" i="83"/>
  <c r="AQ261" i="83"/>
  <c r="BC261" i="85"/>
  <c r="AQ261" i="85"/>
  <c r="BC261" i="84"/>
  <c r="AQ261" i="84"/>
  <c r="BC261" i="86"/>
  <c r="AQ261" i="86"/>
  <c r="BC261" i="87"/>
  <c r="AQ261" i="87"/>
  <c r="BC261" i="89"/>
  <c r="AQ261" i="89"/>
  <c r="BC261" i="88"/>
  <c r="AQ261" i="88"/>
  <c r="BC261" i="90"/>
  <c r="AQ261" i="90"/>
  <c r="AT262" i="82"/>
  <c r="AT262" i="83"/>
  <c r="AT262" i="85"/>
  <c r="AT262" i="84"/>
  <c r="AT262" i="86"/>
  <c r="AT262" i="87"/>
  <c r="AT262" i="89"/>
  <c r="AT262" i="88"/>
  <c r="AT262" i="90"/>
  <c r="AU262" i="82"/>
  <c r="AU262" i="83"/>
  <c r="AU262" i="84"/>
  <c r="AU262" i="85"/>
  <c r="AU262" i="87"/>
  <c r="AU262" i="86"/>
  <c r="AU262" i="88"/>
  <c r="AU262" i="90"/>
  <c r="AU262" i="89"/>
  <c r="AY262" i="82"/>
  <c r="AY262" i="83"/>
  <c r="AY262" i="84"/>
  <c r="AY262" i="85"/>
  <c r="AY262" i="87"/>
  <c r="AY262" i="86"/>
  <c r="AY262" i="88"/>
  <c r="AY262" i="90"/>
  <c r="AY262" i="89"/>
  <c r="AZ262" i="82"/>
  <c r="AZ262" i="83"/>
  <c r="AZ262" i="85"/>
  <c r="AZ262" i="84"/>
  <c r="AZ262" i="86"/>
  <c r="AZ262" i="87"/>
  <c r="AZ262" i="89"/>
  <c r="AZ262" i="88"/>
  <c r="AZ262" i="90"/>
  <c r="BB262" i="82"/>
  <c r="BB262" i="83"/>
  <c r="BB262" i="85"/>
  <c r="BB262" i="84"/>
  <c r="BB262" i="86"/>
  <c r="BB262" i="87"/>
  <c r="BB262" i="89"/>
  <c r="BB262" i="88"/>
  <c r="BB262" i="90"/>
  <c r="AR263" i="83"/>
  <c r="AR263" i="85"/>
  <c r="AR263" i="86"/>
  <c r="AR263" i="90"/>
  <c r="AV263" i="82"/>
  <c r="AV263" i="84"/>
  <c r="AV263" i="87"/>
  <c r="AV263" i="88"/>
  <c r="AV263" i="89"/>
  <c r="AW263" i="83"/>
  <c r="AW263" i="84"/>
  <c r="AW263" i="87"/>
  <c r="AW263" i="88"/>
  <c r="AX263" i="82"/>
  <c r="AX263" i="84"/>
  <c r="AX263" i="87"/>
  <c r="AX263" i="88"/>
  <c r="AX263" i="89"/>
  <c r="BA263" i="83"/>
  <c r="BA263" i="84"/>
  <c r="BA263" i="87"/>
  <c r="BA263" i="88"/>
  <c r="BC263" i="82"/>
  <c r="AQ263" i="82"/>
  <c r="BC263" i="83"/>
  <c r="AQ263" i="83"/>
  <c r="BC263" i="85"/>
  <c r="AQ263" i="85"/>
  <c r="BC263" i="84"/>
  <c r="AQ263" i="84"/>
  <c r="BC263" i="86"/>
  <c r="AQ263" i="86"/>
  <c r="BC263" i="87"/>
  <c r="AQ263" i="87"/>
  <c r="BC263" i="89"/>
  <c r="AQ263" i="89"/>
  <c r="BC263" i="88"/>
  <c r="AQ263" i="88"/>
  <c r="BC263" i="90"/>
  <c r="AQ263" i="90"/>
  <c r="AT264" i="82"/>
  <c r="AT264" i="83"/>
  <c r="AT264" i="85"/>
  <c r="AT264" i="84"/>
  <c r="AT264" i="86"/>
  <c r="AT264" i="87"/>
  <c r="AT264" i="89"/>
  <c r="AT264" i="88"/>
  <c r="AT264" i="90"/>
  <c r="AU264" i="82"/>
  <c r="AU264" i="83"/>
  <c r="AU264" i="84"/>
  <c r="AU264" i="85"/>
  <c r="AU264" i="87"/>
  <c r="AU264" i="86"/>
  <c r="AU264" i="88"/>
  <c r="AU264" i="90"/>
  <c r="AU264" i="89"/>
  <c r="AY264" i="82"/>
  <c r="AY264" i="83"/>
  <c r="AY264" i="84"/>
  <c r="AY264" i="85"/>
  <c r="AY264" i="87"/>
  <c r="AY264" i="86"/>
  <c r="AY264" i="88"/>
  <c r="AY264" i="90"/>
  <c r="AY264" i="89"/>
  <c r="AZ264" i="82"/>
  <c r="AZ264" i="83"/>
  <c r="AZ264" i="85"/>
  <c r="AZ264" i="84"/>
  <c r="AZ264" i="86"/>
  <c r="AZ264" i="87"/>
  <c r="AZ264" i="89"/>
  <c r="AZ264" i="88"/>
  <c r="AZ264" i="90"/>
  <c r="BB264" i="82"/>
  <c r="BB264" i="83"/>
  <c r="BB264" i="85"/>
  <c r="BB264" i="84"/>
  <c r="BB264" i="86"/>
  <c r="BB264" i="87"/>
  <c r="BB264" i="89"/>
  <c r="BB264" i="88"/>
  <c r="BB264" i="90"/>
  <c r="AR265" i="83"/>
  <c r="AR265" i="85"/>
  <c r="AR265" i="86"/>
  <c r="AR265" i="90"/>
  <c r="AV265" i="82"/>
  <c r="AV265" i="84"/>
  <c r="AV265" i="87"/>
  <c r="AV265" i="88"/>
  <c r="AV265" i="89"/>
  <c r="AW265" i="83"/>
  <c r="AW265" i="84"/>
  <c r="AW265" i="87"/>
  <c r="AW265" i="88"/>
  <c r="AX265" i="82"/>
  <c r="AX265" i="84"/>
  <c r="AX265" i="87"/>
  <c r="AX265" i="88"/>
  <c r="AX265" i="89"/>
  <c r="BA265" i="83"/>
  <c r="BA265" i="84"/>
  <c r="BA265" i="87"/>
  <c r="BA265" i="88"/>
  <c r="BC265" i="82"/>
  <c r="AQ265" i="82"/>
  <c r="BC265" i="83"/>
  <c r="AQ265" i="83"/>
  <c r="BC265" i="85"/>
  <c r="AQ265" i="85"/>
  <c r="BC265" i="84"/>
  <c r="AQ265" i="84"/>
  <c r="BC265" i="86"/>
  <c r="AQ265" i="86"/>
  <c r="BC265" i="87"/>
  <c r="AQ265" i="87"/>
  <c r="BC265" i="89"/>
  <c r="AQ265" i="89"/>
  <c r="BC265" i="88"/>
  <c r="AQ265" i="88"/>
  <c r="BC265" i="90"/>
  <c r="AQ265" i="90"/>
  <c r="AT266" i="82"/>
  <c r="AT266" i="83"/>
  <c r="AT266" i="85"/>
  <c r="AT266" i="84"/>
  <c r="AT266" i="86"/>
  <c r="AT266" i="87"/>
  <c r="AT266" i="89"/>
  <c r="AT266" i="88"/>
  <c r="AT266" i="90"/>
  <c r="AU266" i="82"/>
  <c r="AU266" i="83"/>
  <c r="AU266" i="84"/>
  <c r="AU266" i="85"/>
  <c r="AU266" i="87"/>
  <c r="AU266" i="86"/>
  <c r="AU266" i="88"/>
  <c r="AU266" i="90"/>
  <c r="AU266" i="89"/>
  <c r="AY266" i="82"/>
  <c r="AY266" i="83"/>
  <c r="AY266" i="84"/>
  <c r="AY266" i="85"/>
  <c r="AY266" i="87"/>
  <c r="AY266" i="86"/>
  <c r="AY266" i="88"/>
  <c r="AY266" i="90"/>
  <c r="AY266" i="89"/>
  <c r="AZ266" i="82"/>
  <c r="AZ266" i="83"/>
  <c r="AZ266" i="85"/>
  <c r="AZ266" i="84"/>
  <c r="AZ266" i="86"/>
  <c r="AZ266" i="87"/>
  <c r="AZ266" i="89"/>
  <c r="AZ266" i="88"/>
  <c r="AZ266" i="90"/>
  <c r="BB266" i="82"/>
  <c r="BB266" i="83"/>
  <c r="BB266" i="85"/>
  <c r="BB266" i="84"/>
  <c r="BB266" i="86"/>
  <c r="BB266" i="87"/>
  <c r="BB266" i="89"/>
  <c r="BB266" i="88"/>
  <c r="BB266" i="90"/>
  <c r="AR267" i="83"/>
  <c r="AR267" i="85"/>
  <c r="AR267" i="86"/>
  <c r="AR267" i="90"/>
  <c r="AV267" i="82"/>
  <c r="AV267" i="84"/>
  <c r="AV267" i="87"/>
  <c r="AV267" i="88"/>
  <c r="AV267" i="89"/>
  <c r="AW267" i="83"/>
  <c r="AW267" i="84"/>
  <c r="AW267" i="87"/>
  <c r="AW267" i="88"/>
  <c r="AX267" i="82"/>
  <c r="AX267" i="84"/>
  <c r="AX267" i="87"/>
  <c r="AX267" i="88"/>
  <c r="AX267" i="89"/>
  <c r="BA267" i="83"/>
  <c r="BA267" i="84"/>
  <c r="BA267" i="87"/>
  <c r="BA267" i="88"/>
  <c r="BC267" i="82"/>
  <c r="AQ267" i="82"/>
  <c r="BC267" i="83"/>
  <c r="AQ267" i="83"/>
  <c r="BC267" i="85"/>
  <c r="AQ267" i="85"/>
  <c r="BC267" i="84"/>
  <c r="AQ267" i="84"/>
  <c r="BC267" i="86"/>
  <c r="AQ267" i="86"/>
  <c r="BC267" i="87"/>
  <c r="AQ267" i="87"/>
  <c r="BC267" i="89"/>
  <c r="AQ267" i="89"/>
  <c r="BC267" i="88"/>
  <c r="AQ267" i="88"/>
  <c r="BC267" i="90"/>
  <c r="AQ267" i="90"/>
  <c r="AT268" i="82"/>
  <c r="AT268" i="83"/>
  <c r="AT268" i="85"/>
  <c r="AT268" i="84"/>
  <c r="AT268" i="86"/>
  <c r="AT268" i="87"/>
  <c r="AT268" i="89"/>
  <c r="AT268" i="88"/>
  <c r="AT268" i="90"/>
  <c r="AU268" i="82"/>
  <c r="AU268" i="83"/>
  <c r="AU268" i="84"/>
  <c r="AU268" i="85"/>
  <c r="AU268" i="87"/>
  <c r="AU268" i="86"/>
  <c r="AU268" i="88"/>
  <c r="AU268" i="90"/>
  <c r="AU268" i="89"/>
  <c r="AY268" i="82"/>
  <c r="AY268" i="83"/>
  <c r="AY268" i="84"/>
  <c r="AY268" i="85"/>
  <c r="AY268" i="87"/>
  <c r="AY268" i="86"/>
  <c r="AY268" i="88"/>
  <c r="AY268" i="90"/>
  <c r="AY268" i="89"/>
  <c r="AZ268" i="82"/>
  <c r="AZ268" i="83"/>
  <c r="AZ268" i="85"/>
  <c r="AZ268" i="84"/>
  <c r="AZ268" i="86"/>
  <c r="AZ268" i="87"/>
  <c r="AZ268" i="89"/>
  <c r="AZ268" i="88"/>
  <c r="AZ268" i="90"/>
  <c r="BB268" i="82"/>
  <c r="BB268" i="83"/>
  <c r="BB268" i="85"/>
  <c r="BB268" i="84"/>
  <c r="BB268" i="86"/>
  <c r="BB268" i="87"/>
  <c r="BB268" i="89"/>
  <c r="BB268" i="88"/>
  <c r="BB268" i="90"/>
  <c r="AR269" i="83"/>
  <c r="AR269" i="85"/>
  <c r="AR269" i="86"/>
  <c r="AR269" i="90"/>
  <c r="AV269" i="82"/>
  <c r="AV269" i="84"/>
  <c r="AV269" i="87"/>
  <c r="AV269" i="88"/>
  <c r="AV269" i="89"/>
  <c r="AW269" i="83"/>
  <c r="AW269" i="84"/>
  <c r="AW269" i="87"/>
  <c r="AW269" i="88"/>
  <c r="AX269" i="82"/>
  <c r="AX269" i="83"/>
  <c r="AX269" i="84"/>
  <c r="AX269" i="85"/>
  <c r="AX269" i="87"/>
  <c r="AX269" i="86"/>
  <c r="AX269" i="88"/>
  <c r="AX269" i="90"/>
  <c r="AX269" i="89"/>
  <c r="BA269" i="82"/>
  <c r="BA269" i="83"/>
  <c r="BA269" i="85"/>
  <c r="BA269" i="84"/>
  <c r="BA269" i="86"/>
  <c r="BA269" i="87"/>
  <c r="BA269" i="89"/>
  <c r="BA269" i="88"/>
  <c r="BA269" i="90"/>
  <c r="BC269" i="82"/>
  <c r="BC269" i="83"/>
  <c r="BC269" i="85"/>
  <c r="BC269" i="84"/>
  <c r="BC269" i="86"/>
  <c r="BC269" i="87"/>
  <c r="BC269" i="89"/>
  <c r="BC269" i="88"/>
  <c r="BC269" i="90"/>
  <c r="AT270" i="82"/>
  <c r="AT270" i="83"/>
  <c r="AT270" i="85"/>
  <c r="AT270" i="84"/>
  <c r="AT270" i="86"/>
  <c r="AT270" i="87"/>
  <c r="AT270" i="89"/>
  <c r="AT270" i="88"/>
  <c r="AT270" i="90"/>
  <c r="AU270" i="82"/>
  <c r="AU270" i="83"/>
  <c r="AU270" i="84"/>
  <c r="AU270" i="85"/>
  <c r="AU270" i="87"/>
  <c r="AU270" i="86"/>
  <c r="AU270" i="88"/>
  <c r="AU270" i="90"/>
  <c r="AU270" i="89"/>
  <c r="AY270" i="82"/>
  <c r="AY270" i="83"/>
  <c r="AY270" i="84"/>
  <c r="AY270" i="85"/>
  <c r="AY270" i="87"/>
  <c r="AY270" i="86"/>
  <c r="AY270" i="88"/>
  <c r="AY270" i="90"/>
  <c r="AY270" i="89"/>
  <c r="AZ270" i="82"/>
  <c r="AZ270" i="83"/>
  <c r="AZ270" i="85"/>
  <c r="AZ270" i="84"/>
  <c r="AZ270" i="86"/>
  <c r="AZ270" i="87"/>
  <c r="AZ270" i="89"/>
  <c r="AZ270" i="88"/>
  <c r="AZ270" i="90"/>
  <c r="BB270" i="82"/>
  <c r="BB270" i="83"/>
  <c r="BB270" i="85"/>
  <c r="BB270" i="84"/>
  <c r="BB270" i="86"/>
  <c r="BB270" i="87"/>
  <c r="BB270" i="89"/>
  <c r="BB270" i="88"/>
  <c r="BB270" i="90"/>
  <c r="AR271" i="83"/>
  <c r="AR271" i="85"/>
  <c r="AR271" i="86"/>
  <c r="AR271" i="90"/>
  <c r="AV271" i="82"/>
  <c r="AV271" i="84"/>
  <c r="AV271" i="87"/>
  <c r="AV271" i="88"/>
  <c r="AV271" i="89"/>
  <c r="AW271" i="83"/>
  <c r="AW271" i="84"/>
  <c r="AW271" i="87"/>
  <c r="AW271" i="88"/>
  <c r="AX271" i="82"/>
  <c r="AX271" i="84"/>
  <c r="AX271" i="87"/>
  <c r="AX271" i="88"/>
  <c r="AX271" i="89"/>
  <c r="BA271" i="83"/>
  <c r="BA271" i="84"/>
  <c r="BA271" i="87"/>
  <c r="BA271" i="88"/>
  <c r="BC271" i="82"/>
  <c r="AQ271" i="82"/>
  <c r="BC271" i="83"/>
  <c r="AQ271" i="83"/>
  <c r="BC271" i="85"/>
  <c r="AQ271" i="85"/>
  <c r="BC271" i="84"/>
  <c r="AQ271" i="84"/>
  <c r="BC271" i="86"/>
  <c r="AQ271" i="86"/>
  <c r="BC271" i="87"/>
  <c r="AQ271" i="87"/>
  <c r="BC271" i="89"/>
  <c r="AQ271" i="89"/>
  <c r="BC271" i="88"/>
  <c r="AQ271" i="88"/>
  <c r="BC271" i="90"/>
  <c r="AQ271" i="90"/>
  <c r="AT272" i="82"/>
  <c r="AT272" i="83"/>
  <c r="AT272" i="85"/>
  <c r="AT272" i="84"/>
  <c r="AT272" i="86"/>
  <c r="AT272" i="87"/>
  <c r="AT272" i="89"/>
  <c r="AT272" i="88"/>
  <c r="AT272" i="90"/>
  <c r="AU272" i="82"/>
  <c r="AU272" i="83"/>
  <c r="AU272" i="84"/>
  <c r="AU272" i="85"/>
  <c r="AU272" i="87"/>
  <c r="AU272" i="86"/>
  <c r="AU272" i="88"/>
  <c r="AU272" i="90"/>
  <c r="AU272" i="89"/>
  <c r="AY272" i="82"/>
  <c r="AY272" i="83"/>
  <c r="AY272" i="84"/>
  <c r="AY272" i="85"/>
  <c r="AY272" i="87"/>
  <c r="AY272" i="86"/>
  <c r="AY272" i="88"/>
  <c r="AY272" i="90"/>
  <c r="AY272" i="89"/>
  <c r="AZ272" i="82"/>
  <c r="AZ272" i="83"/>
  <c r="AZ272" i="85"/>
  <c r="AZ272" i="84"/>
  <c r="AZ272" i="86"/>
  <c r="AZ272" i="87"/>
  <c r="AZ272" i="89"/>
  <c r="AZ272" i="88"/>
  <c r="AZ272" i="90"/>
  <c r="BB272" i="82"/>
  <c r="BB272" i="83"/>
  <c r="BB272" i="85"/>
  <c r="BB272" i="84"/>
  <c r="BB272" i="86"/>
  <c r="BB272" i="87"/>
  <c r="BB272" i="89"/>
  <c r="BB272" i="88"/>
  <c r="BB272" i="90"/>
  <c r="AR273" i="83"/>
  <c r="AR273" i="85"/>
  <c r="AR273" i="86"/>
  <c r="AR273" i="90"/>
  <c r="AV273" i="82"/>
  <c r="AV273" i="84"/>
  <c r="AV273" i="87"/>
  <c r="AV273" i="88"/>
  <c r="AV273" i="89"/>
  <c r="AW273" i="83"/>
  <c r="AW273" i="84"/>
  <c r="AW273" i="87"/>
  <c r="AW273" i="88"/>
  <c r="AX273" i="82"/>
  <c r="AX273" i="83"/>
  <c r="AX273" i="84"/>
  <c r="AX273" i="85"/>
  <c r="AX273" i="87"/>
  <c r="AX273" i="86"/>
  <c r="AX273" i="88"/>
  <c r="AX273" i="90"/>
  <c r="AX273" i="89"/>
  <c r="BA273" i="82"/>
  <c r="BA273" i="83"/>
  <c r="BA273" i="85"/>
  <c r="BA273" i="84"/>
  <c r="BA273" i="86"/>
  <c r="BA273" i="87"/>
  <c r="BA273" i="89"/>
  <c r="BA273" i="88"/>
  <c r="BA273" i="90"/>
  <c r="BC273" i="82"/>
  <c r="BC273" i="83"/>
  <c r="BC273" i="85"/>
  <c r="BC273" i="84"/>
  <c r="BC273" i="86"/>
  <c r="BC273" i="87"/>
  <c r="BC273" i="89"/>
  <c r="BC273" i="88"/>
  <c r="BC273" i="90"/>
  <c r="AT274" i="82"/>
  <c r="AT274" i="83"/>
  <c r="AT274" i="85"/>
  <c r="AT274" i="84"/>
  <c r="AT274" i="86"/>
  <c r="AT274" i="87"/>
  <c r="AT274" i="89"/>
  <c r="AT274" i="88"/>
  <c r="AT274" i="90"/>
  <c r="AU274" i="82"/>
  <c r="AU274" i="83"/>
  <c r="AU274" i="84"/>
  <c r="AU274" i="85"/>
  <c r="AU274" i="87"/>
  <c r="AU274" i="86"/>
  <c r="AU274" i="88"/>
  <c r="AU274" i="90"/>
  <c r="AU274" i="89"/>
  <c r="AY274" i="82"/>
  <c r="AY274" i="83"/>
  <c r="AY274" i="84"/>
  <c r="AY274" i="85"/>
  <c r="AY274" i="87"/>
  <c r="AY274" i="86"/>
  <c r="AY274" i="88"/>
  <c r="AY274" i="90"/>
  <c r="AY274" i="89"/>
  <c r="AZ274" i="82"/>
  <c r="AZ274" i="83"/>
  <c r="AZ274" i="85"/>
  <c r="AZ274" i="84"/>
  <c r="AZ274" i="86"/>
  <c r="AZ274" i="87"/>
  <c r="AZ274" i="89"/>
  <c r="AZ274" i="88"/>
  <c r="AZ274" i="90"/>
  <c r="BB274" i="82"/>
  <c r="BB274" i="83"/>
  <c r="BB274" i="85"/>
  <c r="BB274" i="84"/>
  <c r="BB274" i="86"/>
  <c r="BB274" i="87"/>
  <c r="BB274" i="89"/>
  <c r="BB274" i="88"/>
  <c r="BB274" i="90"/>
  <c r="AR275" i="83"/>
  <c r="AR275" i="85"/>
  <c r="AR275" i="86"/>
  <c r="AR275" i="90"/>
  <c r="AV275" i="82"/>
  <c r="AV275" i="84"/>
  <c r="AV275" i="87"/>
  <c r="AV275" i="88"/>
  <c r="AV275" i="89"/>
  <c r="AW275" i="83"/>
  <c r="AW275" i="84"/>
  <c r="AW275" i="87"/>
  <c r="AW275" i="88"/>
  <c r="AX275" i="82"/>
  <c r="AX275" i="84"/>
  <c r="AX275" i="87"/>
  <c r="AX275" i="88"/>
  <c r="AX275" i="89"/>
  <c r="BA275" i="83"/>
  <c r="BA275" i="84"/>
  <c r="BA275" i="87"/>
  <c r="BA275" i="88"/>
  <c r="BC275" i="82"/>
  <c r="AQ275" i="82"/>
  <c r="BC275" i="83"/>
  <c r="AQ275" i="83"/>
  <c r="BC275" i="85"/>
  <c r="AQ275" i="85"/>
  <c r="BC275" i="84"/>
  <c r="AQ275" i="84"/>
  <c r="BC275" i="86"/>
  <c r="AQ275" i="86"/>
  <c r="BC275" i="87"/>
  <c r="AQ275" i="87"/>
  <c r="BC275" i="89"/>
  <c r="AQ275" i="89"/>
  <c r="BC275" i="88"/>
  <c r="AQ275" i="88"/>
  <c r="BC275" i="90"/>
  <c r="AQ275" i="90"/>
  <c r="AT276" i="82"/>
  <c r="AT276" i="83"/>
  <c r="AT276" i="85"/>
  <c r="AT276" i="84"/>
  <c r="AT276" i="86"/>
  <c r="AT276" i="87"/>
  <c r="AT276" i="89"/>
  <c r="AT276" i="88"/>
  <c r="AT276" i="90"/>
  <c r="AU276" i="82"/>
  <c r="AU276" i="83"/>
  <c r="AU276" i="84"/>
  <c r="AU276" i="85"/>
  <c r="AU276" i="87"/>
  <c r="AU276" i="86"/>
  <c r="AU276" i="88"/>
  <c r="AU276" i="90"/>
  <c r="AU276" i="89"/>
  <c r="AY276" i="82"/>
  <c r="AY276" i="83"/>
  <c r="AY276" i="84"/>
  <c r="AY276" i="85"/>
  <c r="AY276" i="87"/>
  <c r="AY276" i="86"/>
  <c r="AY276" i="88"/>
  <c r="AY276" i="90"/>
  <c r="AY276" i="89"/>
  <c r="AZ276" i="82"/>
  <c r="AZ276" i="83"/>
  <c r="AZ276" i="85"/>
  <c r="AZ276" i="84"/>
  <c r="AZ276" i="86"/>
  <c r="AZ276" i="87"/>
  <c r="AZ276" i="89"/>
  <c r="AZ276" i="88"/>
  <c r="AZ276" i="90"/>
  <c r="BB276" i="82"/>
  <c r="BB276" i="83"/>
  <c r="BB276" i="85"/>
  <c r="BB276" i="84"/>
  <c r="BB276" i="86"/>
  <c r="BB276" i="87"/>
  <c r="BB276" i="89"/>
  <c r="BB276" i="88"/>
  <c r="BB276" i="90"/>
  <c r="AR277" i="83"/>
  <c r="AR277" i="85"/>
  <c r="AR277" i="86"/>
  <c r="AR277" i="90"/>
  <c r="AV277" i="82"/>
  <c r="AV277" i="84"/>
  <c r="AV277" i="87"/>
  <c r="AV277" i="88"/>
  <c r="AV277" i="89"/>
  <c r="AW277" i="83"/>
  <c r="AW277" i="84"/>
  <c r="AW277" i="87"/>
  <c r="AW277" i="88"/>
  <c r="AX277" i="82"/>
  <c r="AX277" i="83"/>
  <c r="AX277" i="84"/>
  <c r="AX277" i="85"/>
  <c r="AX277" i="87"/>
  <c r="AX277" i="86"/>
  <c r="AX277" i="88"/>
  <c r="AX277" i="90"/>
  <c r="AX277" i="89"/>
  <c r="BA277" i="82"/>
  <c r="BA277" i="83"/>
  <c r="BA277" i="85"/>
  <c r="BA277" i="84"/>
  <c r="BA277" i="86"/>
  <c r="BA277" i="87"/>
  <c r="BA277" i="89"/>
  <c r="BA277" i="88"/>
  <c r="BA277" i="90"/>
  <c r="BC277" i="82"/>
  <c r="BC277" i="83"/>
  <c r="BC277" i="85"/>
  <c r="BC277" i="84"/>
  <c r="BC277" i="86"/>
  <c r="BC277" i="87"/>
  <c r="BC277" i="89"/>
  <c r="BC277" i="88"/>
  <c r="BC277" i="90"/>
  <c r="AT278" i="82"/>
  <c r="AT278" i="83"/>
  <c r="AT278" i="85"/>
  <c r="AT278" i="84"/>
  <c r="AT278" i="86"/>
  <c r="AT278" i="87"/>
  <c r="AT278" i="89"/>
  <c r="AT278" i="88"/>
  <c r="AT278" i="90"/>
  <c r="AU278" i="82"/>
  <c r="AU278" i="83"/>
  <c r="AU278" i="84"/>
  <c r="AU278" i="85"/>
  <c r="AU278" i="87"/>
  <c r="AU278" i="86"/>
  <c r="AU278" i="88"/>
  <c r="AU278" i="90"/>
  <c r="AU278" i="89"/>
  <c r="AY278" i="82"/>
  <c r="AY278" i="83"/>
  <c r="AY278" i="84"/>
  <c r="AY278" i="85"/>
  <c r="AY278" i="87"/>
  <c r="AY278" i="86"/>
  <c r="AY278" i="88"/>
  <c r="AY278" i="90"/>
  <c r="AY278" i="89"/>
  <c r="AZ278" i="82"/>
  <c r="AZ278" i="83"/>
  <c r="AZ278" i="85"/>
  <c r="AZ278" i="84"/>
  <c r="AZ278" i="86"/>
  <c r="AZ278" i="87"/>
  <c r="AZ278" i="89"/>
  <c r="AZ278" i="88"/>
  <c r="AZ278" i="90"/>
  <c r="BB278" i="82"/>
  <c r="BB278" i="83"/>
  <c r="BB278" i="85"/>
  <c r="BB278" i="84"/>
  <c r="BB278" i="86"/>
  <c r="BB278" i="87"/>
  <c r="BB278" i="89"/>
  <c r="BB278" i="88"/>
  <c r="BB278" i="90"/>
  <c r="AR279" i="83"/>
  <c r="AR279" i="85"/>
  <c r="AR279" i="86"/>
  <c r="AR279" i="90"/>
  <c r="AV279" i="82"/>
  <c r="AV279" i="84"/>
  <c r="AV279" i="87"/>
  <c r="AV279" i="88"/>
  <c r="AV279" i="89"/>
  <c r="AW279" i="83"/>
  <c r="AW279" i="84"/>
  <c r="AW279" i="87"/>
  <c r="AW279" i="88"/>
  <c r="AX279" i="82"/>
  <c r="AX279" i="84"/>
  <c r="AX279" i="87"/>
  <c r="AX279" i="88"/>
  <c r="AX279" i="89"/>
  <c r="BA279" i="83"/>
  <c r="BA279" i="84"/>
  <c r="BA279" i="87"/>
  <c r="BA279" i="88"/>
  <c r="BC279" i="82"/>
  <c r="AQ279" i="82"/>
  <c r="BC279" i="83"/>
  <c r="AQ279" i="83"/>
  <c r="BC279" i="85"/>
  <c r="AQ279" i="85"/>
  <c r="BC279" i="84"/>
  <c r="AQ279" i="84"/>
  <c r="BC279" i="86"/>
  <c r="AQ279" i="86"/>
  <c r="BC279" i="87"/>
  <c r="AQ279" i="87"/>
  <c r="BC279" i="89"/>
  <c r="AQ279" i="89"/>
  <c r="BC279" i="88"/>
  <c r="AQ279" i="88"/>
  <c r="BC279" i="90"/>
  <c r="AQ279" i="90"/>
  <c r="AT280" i="82"/>
  <c r="AT280" i="83"/>
  <c r="AT280" i="85"/>
  <c r="AT280" i="84"/>
  <c r="AT280" i="86"/>
  <c r="AT280" i="87"/>
  <c r="AT280" i="89"/>
  <c r="AT280" i="88"/>
  <c r="AT280" i="90"/>
  <c r="AU280" i="82"/>
  <c r="AU280" i="83"/>
  <c r="AU280" i="84"/>
  <c r="AU280" i="85"/>
  <c r="AU280" i="87"/>
  <c r="AU280" i="86"/>
  <c r="AU280" i="88"/>
  <c r="AU280" i="90"/>
  <c r="AU280" i="89"/>
  <c r="AY280" i="82"/>
  <c r="AY280" i="83"/>
  <c r="AY280" i="84"/>
  <c r="AY280" i="85"/>
  <c r="AY280" i="87"/>
  <c r="AY280" i="86"/>
  <c r="AY280" i="88"/>
  <c r="AY280" i="90"/>
  <c r="AY280" i="89"/>
  <c r="AZ280" i="82"/>
  <c r="AZ280" i="83"/>
  <c r="AZ280" i="85"/>
  <c r="AZ280" i="84"/>
  <c r="AZ280" i="86"/>
  <c r="AZ280" i="87"/>
  <c r="AZ280" i="89"/>
  <c r="AZ280" i="88"/>
  <c r="AZ280" i="90"/>
  <c r="BB280" i="82"/>
  <c r="BB280" i="83"/>
  <c r="BB280" i="85"/>
  <c r="BB280" i="84"/>
  <c r="BB280" i="86"/>
  <c r="BB280" i="87"/>
  <c r="BB280" i="89"/>
  <c r="BB280" i="88"/>
  <c r="BB280" i="90"/>
  <c r="AV281" i="82"/>
  <c r="AV281" i="83"/>
  <c r="AV281" i="84"/>
  <c r="AV281" i="85"/>
  <c r="AV281" i="87"/>
  <c r="AV281" i="86"/>
  <c r="AV281" i="88"/>
  <c r="AV281" i="90"/>
  <c r="AV281" i="89"/>
  <c r="AX281" i="82"/>
  <c r="AX281" i="83"/>
  <c r="AX281" i="84"/>
  <c r="AX281" i="85"/>
  <c r="AX281" i="87"/>
  <c r="AX281" i="86"/>
  <c r="AX281" i="88"/>
  <c r="AX281" i="90"/>
  <c r="AX281" i="89"/>
  <c r="AQ281" i="82"/>
  <c r="AQ281" i="83"/>
  <c r="AQ281" i="85"/>
  <c r="AQ281" i="84"/>
  <c r="AQ281" i="86"/>
  <c r="AQ281" i="87"/>
  <c r="AQ281" i="89"/>
  <c r="AQ281" i="88"/>
  <c r="AQ281" i="90"/>
  <c r="AT282" i="82"/>
  <c r="AT282" i="83"/>
  <c r="AT282" i="85"/>
  <c r="AT282" i="84"/>
  <c r="AT282" i="86"/>
  <c r="AT282" i="87"/>
  <c r="AT282" i="89"/>
  <c r="AT282" i="88"/>
  <c r="AT282" i="90"/>
  <c r="AU282" i="82"/>
  <c r="AU282" i="83"/>
  <c r="AU282" i="84"/>
  <c r="AU282" i="85"/>
  <c r="AU282" i="87"/>
  <c r="AU282" i="86"/>
  <c r="AU282" i="88"/>
  <c r="AU282" i="90"/>
  <c r="AU282" i="89"/>
  <c r="AY282" i="82"/>
  <c r="AY282" i="83"/>
  <c r="AY282" i="84"/>
  <c r="AY282" i="85"/>
  <c r="AY282" i="87"/>
  <c r="AY282" i="86"/>
  <c r="AY282" i="88"/>
  <c r="AY282" i="90"/>
  <c r="AY282" i="89"/>
  <c r="AZ282" i="82"/>
  <c r="AZ282" i="83"/>
  <c r="AZ282" i="85"/>
  <c r="AZ282" i="84"/>
  <c r="AZ282" i="86"/>
  <c r="AZ282" i="87"/>
  <c r="AZ282" i="89"/>
  <c r="AZ282" i="88"/>
  <c r="AZ282" i="90"/>
  <c r="BB282" i="82"/>
  <c r="BB282" i="83"/>
  <c r="BB282" i="85"/>
  <c r="BB282" i="84"/>
  <c r="BB282" i="86"/>
  <c r="BB282" i="87"/>
  <c r="BB282" i="89"/>
  <c r="BB282" i="88"/>
  <c r="BB282" i="90"/>
  <c r="AV283" i="82"/>
  <c r="AV283" i="84"/>
  <c r="AV283" i="87"/>
  <c r="AV283" i="88"/>
  <c r="AV283" i="89"/>
  <c r="AX283" i="83"/>
  <c r="AX283" i="85"/>
  <c r="AX283" i="86"/>
  <c r="AX283" i="90"/>
  <c r="BC283" i="82"/>
  <c r="AQ283" i="82"/>
  <c r="BC283" i="83"/>
  <c r="AQ283" i="83"/>
  <c r="BC283" i="85"/>
  <c r="AQ283" i="85"/>
  <c r="BC283" i="84"/>
  <c r="AQ283" i="84"/>
  <c r="BC283" i="86"/>
  <c r="AQ283" i="86"/>
  <c r="BC283" i="87"/>
  <c r="AQ283" i="87"/>
  <c r="BC283" i="89"/>
  <c r="AQ283" i="89"/>
  <c r="BC283" i="88"/>
  <c r="AQ283" i="88"/>
  <c r="BC283" i="90"/>
  <c r="AQ283" i="90"/>
  <c r="AT284" i="82"/>
  <c r="AT284" i="83"/>
  <c r="AT284" i="85"/>
  <c r="AT284" i="84"/>
  <c r="AT284" i="86"/>
  <c r="AT284" i="87"/>
  <c r="AT284" i="89"/>
  <c r="AT284" i="88"/>
  <c r="AT284" i="90"/>
  <c r="AU284" i="82"/>
  <c r="AU284" i="83"/>
  <c r="AU284" i="84"/>
  <c r="AU284" i="85"/>
  <c r="AU284" i="87"/>
  <c r="AU284" i="86"/>
  <c r="AU284" i="88"/>
  <c r="AU284" i="90"/>
  <c r="AU284" i="89"/>
  <c r="AY284" i="82"/>
  <c r="AY284" i="83"/>
  <c r="AY284" i="84"/>
  <c r="AY284" i="85"/>
  <c r="AY284" i="87"/>
  <c r="AY284" i="86"/>
  <c r="AY284" i="88"/>
  <c r="AY284" i="90"/>
  <c r="AY284" i="89"/>
  <c r="AZ284" i="82"/>
  <c r="AZ284" i="83"/>
  <c r="AZ284" i="85"/>
  <c r="AZ284" i="84"/>
  <c r="AZ284" i="86"/>
  <c r="AZ284" i="87"/>
  <c r="AZ284" i="89"/>
  <c r="AZ284" i="88"/>
  <c r="AZ284" i="90"/>
  <c r="BB284" i="82"/>
  <c r="BB284" i="83"/>
  <c r="BB284" i="85"/>
  <c r="BB284" i="84"/>
  <c r="BB284" i="86"/>
  <c r="BB284" i="87"/>
  <c r="BB284" i="89"/>
  <c r="BB284" i="88"/>
  <c r="BB284" i="90"/>
  <c r="AV285" i="82"/>
  <c r="AV285" i="83"/>
  <c r="AV285" i="84"/>
  <c r="AV285" i="85"/>
  <c r="AV285" i="87"/>
  <c r="AV285" i="86"/>
  <c r="AV285" i="88"/>
  <c r="AV285" i="90"/>
  <c r="AV285" i="89"/>
  <c r="AX285" i="82"/>
  <c r="AX285" i="83"/>
  <c r="AX285" i="84"/>
  <c r="AX285" i="85"/>
  <c r="AX285" i="87"/>
  <c r="AX285" i="86"/>
  <c r="AX285" i="88"/>
  <c r="AX285" i="90"/>
  <c r="AX285" i="89"/>
  <c r="AQ285" i="82"/>
  <c r="AQ285" i="83"/>
  <c r="AQ285" i="85"/>
  <c r="AQ285" i="84"/>
  <c r="AQ285" i="86"/>
  <c r="AQ285" i="87"/>
  <c r="AQ285" i="89"/>
  <c r="AQ285" i="88"/>
  <c r="AQ285" i="90"/>
  <c r="AT286" i="82"/>
  <c r="AT286" i="83"/>
  <c r="AT286" i="85"/>
  <c r="AT286" i="84"/>
  <c r="AT286" i="86"/>
  <c r="AT286" i="87"/>
  <c r="AT286" i="89"/>
  <c r="AT286" i="88"/>
  <c r="AT286" i="90"/>
  <c r="AU286" i="82"/>
  <c r="AU286" i="83"/>
  <c r="AU286" i="84"/>
  <c r="AU286" i="85"/>
  <c r="AU286" i="87"/>
  <c r="AU286" i="86"/>
  <c r="AU286" i="88"/>
  <c r="AU286" i="90"/>
  <c r="AU286" i="89"/>
  <c r="AY286" i="82"/>
  <c r="AY286" i="83"/>
  <c r="AY286" i="84"/>
  <c r="AY286" i="85"/>
  <c r="AY286" i="87"/>
  <c r="AY286" i="86"/>
  <c r="AY286" i="88"/>
  <c r="AY286" i="90"/>
  <c r="AY286" i="89"/>
  <c r="AZ286" i="82"/>
  <c r="AZ286" i="83"/>
  <c r="AZ286" i="85"/>
  <c r="AZ286" i="84"/>
  <c r="AZ286" i="86"/>
  <c r="AZ286" i="87"/>
  <c r="AZ286" i="89"/>
  <c r="AZ286" i="88"/>
  <c r="AZ286" i="90"/>
  <c r="BB286" i="82"/>
  <c r="BB286" i="83"/>
  <c r="BB286" i="85"/>
  <c r="BB286" i="84"/>
  <c r="BB286" i="86"/>
  <c r="BB286" i="87"/>
  <c r="BB286" i="89"/>
  <c r="BB286" i="88"/>
  <c r="BB286" i="90"/>
  <c r="AV287" i="82"/>
  <c r="AV287" i="84"/>
  <c r="AV287" i="87"/>
  <c r="AV287" i="88"/>
  <c r="AV287" i="89"/>
  <c r="BA287" i="83"/>
  <c r="BA287" i="84"/>
  <c r="BA287" i="87"/>
  <c r="BA287" i="88"/>
  <c r="AT288" i="82"/>
  <c r="AT288" i="83"/>
  <c r="AT288" i="85"/>
  <c r="AT288" i="84"/>
  <c r="AT288" i="86"/>
  <c r="AT288" i="87"/>
  <c r="AT288" i="89"/>
  <c r="AT288" i="88"/>
  <c r="AT288" i="90"/>
  <c r="AU288" i="82"/>
  <c r="AU288" i="83"/>
  <c r="AU288" i="84"/>
  <c r="AU288" i="85"/>
  <c r="AU288" i="87"/>
  <c r="AU288" i="86"/>
  <c r="AU288" i="88"/>
  <c r="AU288" i="90"/>
  <c r="AU288" i="89"/>
  <c r="AY288" i="82"/>
  <c r="AY288" i="83"/>
  <c r="AY288" i="84"/>
  <c r="AY288" i="85"/>
  <c r="AY288" i="87"/>
  <c r="AY288" i="86"/>
  <c r="AY288" i="88"/>
  <c r="AY288" i="90"/>
  <c r="AY288" i="89"/>
  <c r="AZ288" i="82"/>
  <c r="AZ288" i="83"/>
  <c r="AZ288" i="85"/>
  <c r="AZ288" i="84"/>
  <c r="AZ288" i="86"/>
  <c r="AZ288" i="87"/>
  <c r="AZ288" i="89"/>
  <c r="AZ288" i="88"/>
  <c r="AZ288" i="90"/>
  <c r="BB288" i="82"/>
  <c r="BB288" i="83"/>
  <c r="BB288" i="85"/>
  <c r="BB288" i="84"/>
  <c r="BB288" i="86"/>
  <c r="BB288" i="87"/>
  <c r="BB288" i="89"/>
  <c r="BB288" i="88"/>
  <c r="BB288" i="90"/>
  <c r="BA289" i="82"/>
  <c r="BA289" i="83"/>
  <c r="BA289" i="85"/>
  <c r="BA289" i="84"/>
  <c r="BA289" i="86"/>
  <c r="BA289" i="87"/>
  <c r="BA289" i="89"/>
  <c r="BA289" i="88"/>
  <c r="BA289" i="90"/>
  <c r="AT290" i="82"/>
  <c r="AT290" i="83"/>
  <c r="AT290" i="85"/>
  <c r="AT290" i="84"/>
  <c r="AT290" i="86"/>
  <c r="AT290" i="87"/>
  <c r="AT290" i="89"/>
  <c r="AT290" i="88"/>
  <c r="AT290" i="90"/>
  <c r="AU290" i="82"/>
  <c r="AU290" i="83"/>
  <c r="AU290" i="84"/>
  <c r="AU290" i="85"/>
  <c r="AU290" i="87"/>
  <c r="AU290" i="86"/>
  <c r="AU290" i="88"/>
  <c r="AU290" i="90"/>
  <c r="AU290" i="89"/>
  <c r="AY290" i="82"/>
  <c r="AY290" i="83"/>
  <c r="AY290" i="84"/>
  <c r="AY290" i="85"/>
  <c r="AY290" i="87"/>
  <c r="AY290" i="86"/>
  <c r="AY290" i="88"/>
  <c r="AY290" i="90"/>
  <c r="AY290" i="89"/>
  <c r="AZ290" i="82"/>
  <c r="AZ290" i="83"/>
  <c r="AZ290" i="85"/>
  <c r="AZ290" i="84"/>
  <c r="AZ290" i="86"/>
  <c r="AZ290" i="87"/>
  <c r="AZ290" i="89"/>
  <c r="AZ290" i="88"/>
  <c r="AZ290" i="90"/>
  <c r="BB290" i="82"/>
  <c r="BB290" i="83"/>
  <c r="BB290" i="85"/>
  <c r="BB290" i="84"/>
  <c r="BB290" i="86"/>
  <c r="BB290" i="87"/>
  <c r="BB290" i="89"/>
  <c r="BB290" i="88"/>
  <c r="BB290" i="90"/>
  <c r="BA291" i="83"/>
  <c r="BA291" i="84"/>
  <c r="BA291" i="87"/>
  <c r="BA291" i="88"/>
  <c r="AT292" i="82"/>
  <c r="AT292" i="83"/>
  <c r="AT292" i="85"/>
  <c r="AT292" i="84"/>
  <c r="AT292" i="86"/>
  <c r="AT292" i="87"/>
  <c r="AT292" i="89"/>
  <c r="AT292" i="88"/>
  <c r="AT292" i="90"/>
  <c r="AU292" i="82"/>
  <c r="AU292" i="83"/>
  <c r="AU292" i="84"/>
  <c r="AU292" i="85"/>
  <c r="AU292" i="87"/>
  <c r="AU292" i="86"/>
  <c r="AU292" i="88"/>
  <c r="AU292" i="90"/>
  <c r="AU292" i="89"/>
  <c r="AY292" i="82"/>
  <c r="AY292" i="83"/>
  <c r="AY292" i="84"/>
  <c r="AY292" i="85"/>
  <c r="AY292" i="87"/>
  <c r="AY292" i="86"/>
  <c r="AY292" i="88"/>
  <c r="AY292" i="90"/>
  <c r="AY292" i="89"/>
  <c r="AZ292" i="82"/>
  <c r="AZ292" i="83"/>
  <c r="AZ292" i="85"/>
  <c r="AZ292" i="84"/>
  <c r="AZ292" i="86"/>
  <c r="AZ292" i="87"/>
  <c r="AZ292" i="89"/>
  <c r="AZ292" i="88"/>
  <c r="AZ292" i="90"/>
  <c r="BB292" i="82"/>
  <c r="BB292" i="83"/>
  <c r="BB292" i="85"/>
  <c r="BB292" i="84"/>
  <c r="BB292" i="86"/>
  <c r="BB292" i="87"/>
  <c r="BB292" i="89"/>
  <c r="BB292" i="88"/>
  <c r="BB292" i="90"/>
  <c r="BA293" i="82"/>
  <c r="BA293" i="83"/>
  <c r="BA293" i="85"/>
  <c r="BA293" i="84"/>
  <c r="BA293" i="86"/>
  <c r="BA293" i="87"/>
  <c r="BA293" i="89"/>
  <c r="BA293" i="88"/>
  <c r="BA293" i="90"/>
  <c r="AT294" i="82"/>
  <c r="AT294" i="83"/>
  <c r="AT294" i="85"/>
  <c r="AT294" i="84"/>
  <c r="AT294" i="86"/>
  <c r="AT294" i="87"/>
  <c r="AT294" i="89"/>
  <c r="AT294" i="88"/>
  <c r="AT294" i="90"/>
  <c r="AU294" i="82"/>
  <c r="AU294" i="83"/>
  <c r="AU294" i="84"/>
  <c r="AU294" i="85"/>
  <c r="AU294" i="87"/>
  <c r="AU294" i="86"/>
  <c r="AU294" i="88"/>
  <c r="AU294" i="90"/>
  <c r="AU294" i="89"/>
  <c r="AY294" i="82"/>
  <c r="AY294" i="83"/>
  <c r="AY294" i="84"/>
  <c r="AY294" i="85"/>
  <c r="AY294" i="87"/>
  <c r="AY294" i="86"/>
  <c r="AY294" i="88"/>
  <c r="AY294" i="90"/>
  <c r="AY294" i="89"/>
  <c r="AZ294" i="82"/>
  <c r="AZ294" i="83"/>
  <c r="AZ294" i="85"/>
  <c r="AZ294" i="84"/>
  <c r="AZ294" i="86"/>
  <c r="AZ294" i="87"/>
  <c r="AZ294" i="89"/>
  <c r="AZ294" i="88"/>
  <c r="AZ294" i="90"/>
  <c r="BB294" i="82"/>
  <c r="BB294" i="83"/>
  <c r="BB294" i="85"/>
  <c r="BB294" i="84"/>
  <c r="BB294" i="86"/>
  <c r="BB294" i="87"/>
  <c r="BB294" i="89"/>
  <c r="BB294" i="88"/>
  <c r="BB294" i="90"/>
  <c r="BA295" i="83"/>
  <c r="BA295" i="84"/>
  <c r="BA295" i="87"/>
  <c r="BA295" i="88"/>
  <c r="AT296" i="82"/>
  <c r="AT296" i="83"/>
  <c r="AT296" i="85"/>
  <c r="AT296" i="84"/>
  <c r="AT296" i="86"/>
  <c r="AT296" i="87"/>
  <c r="AT296" i="89"/>
  <c r="AT296" i="88"/>
  <c r="AT296" i="90"/>
  <c r="AU296" i="82"/>
  <c r="AU296" i="83"/>
  <c r="AU296" i="84"/>
  <c r="AU296" i="85"/>
  <c r="AU296" i="87"/>
  <c r="AU296" i="86"/>
  <c r="AU296" i="88"/>
  <c r="AU296" i="90"/>
  <c r="AU296" i="89"/>
  <c r="AY296" i="82"/>
  <c r="AY296" i="83"/>
  <c r="AY296" i="84"/>
  <c r="AY296" i="85"/>
  <c r="AY296" i="87"/>
  <c r="AY296" i="86"/>
  <c r="AY296" i="88"/>
  <c r="AY296" i="90"/>
  <c r="AY296" i="89"/>
  <c r="AZ296" i="82"/>
  <c r="AZ296" i="83"/>
  <c r="AZ296" i="85"/>
  <c r="AZ296" i="84"/>
  <c r="AZ296" i="86"/>
  <c r="AZ296" i="87"/>
  <c r="AZ296" i="89"/>
  <c r="AZ296" i="88"/>
  <c r="AZ296" i="90"/>
  <c r="BB296" i="82"/>
  <c r="BB296" i="83"/>
  <c r="BB296" i="85"/>
  <c r="BB296" i="84"/>
  <c r="BB296" i="86"/>
  <c r="BB296" i="87"/>
  <c r="BB296" i="89"/>
  <c r="BB296" i="88"/>
  <c r="BB296" i="90"/>
  <c r="AR298" i="82"/>
  <c r="AR298" i="83"/>
  <c r="AR298" i="85"/>
  <c r="AR298" i="84"/>
  <c r="AR298" i="86"/>
  <c r="AR298" i="87"/>
  <c r="AR298" i="89"/>
  <c r="AR298" i="88"/>
  <c r="AR298" i="90"/>
  <c r="AV298" i="82"/>
  <c r="AV298" i="83"/>
  <c r="AV298" i="85"/>
  <c r="AV298" i="84"/>
  <c r="AV298" i="86"/>
  <c r="AV298" i="87"/>
  <c r="AV298" i="89"/>
  <c r="AV298" i="88"/>
  <c r="AV298" i="90"/>
  <c r="AW298" i="82"/>
  <c r="AW298" i="83"/>
  <c r="AW298" i="84"/>
  <c r="AW298" i="85"/>
  <c r="AW298" i="87"/>
  <c r="AW298" i="86"/>
  <c r="AW298" i="88"/>
  <c r="AW298" i="90"/>
  <c r="AW298" i="89"/>
  <c r="AX298" i="82"/>
  <c r="AX298" i="83"/>
  <c r="AX298" i="85"/>
  <c r="AX298" i="84"/>
  <c r="AX298" i="86"/>
  <c r="AX298" i="87"/>
  <c r="AX298" i="89"/>
  <c r="AX298" i="88"/>
  <c r="AX298" i="90"/>
  <c r="BA298" i="82"/>
  <c r="BA298" i="83"/>
  <c r="BA298" i="84"/>
  <c r="BA298" i="85"/>
  <c r="BA298" i="87"/>
  <c r="BA298" i="86"/>
  <c r="BA298" i="88"/>
  <c r="BA298" i="90"/>
  <c r="BA298" i="89"/>
  <c r="BC298" i="82"/>
  <c r="AQ298" i="82"/>
  <c r="BC298" i="83"/>
  <c r="AQ298" i="83"/>
  <c r="BC298" i="84"/>
  <c r="AQ298" i="84"/>
  <c r="BC298" i="85"/>
  <c r="AQ298" i="85"/>
  <c r="BC298" i="87"/>
  <c r="AQ298" i="87"/>
  <c r="BC298" i="86"/>
  <c r="AQ298" i="86"/>
  <c r="BC298" i="88"/>
  <c r="AQ298" i="88"/>
  <c r="BC298" i="90"/>
  <c r="AQ298" i="90"/>
  <c r="BC298" i="89"/>
  <c r="AQ298" i="89"/>
  <c r="BA299" i="82"/>
  <c r="BA299" i="85"/>
  <c r="BA299" i="86"/>
  <c r="BA299" i="89"/>
  <c r="BA299" i="90"/>
  <c r="AT300" i="82"/>
  <c r="AT300" i="83"/>
  <c r="AT300" i="85"/>
  <c r="AT300" i="84"/>
  <c r="AT300" i="86"/>
  <c r="AT300" i="87"/>
  <c r="AT300" i="89"/>
  <c r="AT300" i="88"/>
  <c r="AT300" i="90"/>
  <c r="AU300" i="82"/>
  <c r="AU300" i="83"/>
  <c r="AU300" i="84"/>
  <c r="AU300" i="85"/>
  <c r="AU300" i="87"/>
  <c r="AU300" i="86"/>
  <c r="AU300" i="88"/>
  <c r="AU300" i="90"/>
  <c r="AU300" i="89"/>
  <c r="AY300" i="82"/>
  <c r="AY300" i="83"/>
  <c r="AY300" i="84"/>
  <c r="AY300" i="85"/>
  <c r="AY300" i="87"/>
  <c r="AY300" i="86"/>
  <c r="AY300" i="88"/>
  <c r="AY300" i="90"/>
  <c r="AY300" i="89"/>
  <c r="AZ300" i="82"/>
  <c r="AZ300" i="83"/>
  <c r="AZ300" i="85"/>
  <c r="AZ300" i="84"/>
  <c r="AZ300" i="86"/>
  <c r="AZ300" i="87"/>
  <c r="AZ300" i="89"/>
  <c r="AZ300" i="88"/>
  <c r="AZ300" i="90"/>
  <c r="BB300" i="82"/>
  <c r="BB300" i="83"/>
  <c r="BB300" i="85"/>
  <c r="BB300" i="84"/>
  <c r="BB300" i="86"/>
  <c r="BB300" i="87"/>
  <c r="BB300" i="89"/>
  <c r="BB300" i="88"/>
  <c r="BB300" i="90"/>
  <c r="AR302" i="82"/>
  <c r="AR302" i="83"/>
  <c r="AR302" i="85"/>
  <c r="AR302" i="84"/>
  <c r="AR302" i="86"/>
  <c r="AR302" i="87"/>
  <c r="AR302" i="89"/>
  <c r="AR302" i="88"/>
  <c r="AR302" i="90"/>
  <c r="AV302" i="82"/>
  <c r="AV302" i="83"/>
  <c r="AV302" i="85"/>
  <c r="AV302" i="84"/>
  <c r="AV302" i="86"/>
  <c r="AV302" i="87"/>
  <c r="AV302" i="89"/>
  <c r="AV302" i="88"/>
  <c r="AV302" i="90"/>
  <c r="AW302" i="82"/>
  <c r="AW302" i="83"/>
  <c r="AW302" i="84"/>
  <c r="AW302" i="85"/>
  <c r="AW302" i="87"/>
  <c r="AW302" i="86"/>
  <c r="AW302" i="88"/>
  <c r="AW302" i="90"/>
  <c r="AW302" i="89"/>
  <c r="AX302" i="82"/>
  <c r="AX302" i="83"/>
  <c r="AX302" i="85"/>
  <c r="AX302" i="84"/>
  <c r="AX302" i="86"/>
  <c r="AX302" i="87"/>
  <c r="AX302" i="89"/>
  <c r="AX302" i="88"/>
  <c r="AX302" i="90"/>
  <c r="BA302" i="82"/>
  <c r="BA302" i="83"/>
  <c r="BA302" i="84"/>
  <c r="BA302" i="85"/>
  <c r="BA302" i="87"/>
  <c r="BA302" i="86"/>
  <c r="BA302" i="88"/>
  <c r="BA302" i="90"/>
  <c r="BA302" i="89"/>
  <c r="BC302" i="82"/>
  <c r="AQ302" i="82"/>
  <c r="BC302" i="83"/>
  <c r="AQ302" i="83"/>
  <c r="BC302" i="84"/>
  <c r="AQ302" i="84"/>
  <c r="BC302" i="85"/>
  <c r="AQ302" i="85"/>
  <c r="BC302" i="87"/>
  <c r="AQ302" i="87"/>
  <c r="BC302" i="86"/>
  <c r="AQ302" i="86"/>
  <c r="BC302" i="88"/>
  <c r="AQ302" i="88"/>
  <c r="BC302" i="90"/>
  <c r="AQ302" i="90"/>
  <c r="BC302" i="89"/>
  <c r="AQ302" i="89"/>
  <c r="BA303" i="83"/>
  <c r="BA303" i="84"/>
  <c r="BA303" i="87"/>
  <c r="BA303" i="88"/>
  <c r="AT304" i="82"/>
  <c r="AT304" i="83"/>
  <c r="AT304" i="85"/>
  <c r="AT304" i="84"/>
  <c r="AT304" i="86"/>
  <c r="AT304" i="87"/>
  <c r="AT304" i="89"/>
  <c r="AT304" i="88"/>
  <c r="AT304" i="90"/>
  <c r="AU304" i="82"/>
  <c r="AU304" i="83"/>
  <c r="AU304" i="84"/>
  <c r="AU304" i="85"/>
  <c r="AU304" i="87"/>
  <c r="AU304" i="86"/>
  <c r="AU304" i="88"/>
  <c r="AU304" i="90"/>
  <c r="AU304" i="89"/>
  <c r="AY304" i="82"/>
  <c r="AY304" i="83"/>
  <c r="AY304" i="84"/>
  <c r="AY304" i="85"/>
  <c r="AY304" i="87"/>
  <c r="AY304" i="86"/>
  <c r="AY304" i="88"/>
  <c r="AY304" i="90"/>
  <c r="AY304" i="89"/>
  <c r="AZ304" i="82"/>
  <c r="AZ304" i="83"/>
  <c r="AZ304" i="85"/>
  <c r="AZ304" i="84"/>
  <c r="AZ304" i="86"/>
  <c r="AZ304" i="87"/>
  <c r="AZ304" i="89"/>
  <c r="AZ304" i="88"/>
  <c r="AZ304" i="90"/>
  <c r="BB304" i="82"/>
  <c r="BB304" i="83"/>
  <c r="BB304" i="85"/>
  <c r="BB304" i="84"/>
  <c r="BB304" i="86"/>
  <c r="BB304" i="87"/>
  <c r="BB304" i="89"/>
  <c r="BB304" i="88"/>
  <c r="BB304" i="90"/>
  <c r="AR306" i="82"/>
  <c r="AR306" i="83"/>
  <c r="AR306" i="85"/>
  <c r="AR306" i="84"/>
  <c r="AR306" i="86"/>
  <c r="AR306" i="87"/>
  <c r="AR306" i="89"/>
  <c r="AR306" i="88"/>
  <c r="AR306" i="90"/>
  <c r="AV306" i="82"/>
  <c r="AV306" i="83"/>
  <c r="AV306" i="85"/>
  <c r="AV306" i="84"/>
  <c r="AV306" i="86"/>
  <c r="AV306" i="87"/>
  <c r="AV306" i="89"/>
  <c r="AV306" i="88"/>
  <c r="AV306" i="90"/>
  <c r="AW306" i="82"/>
  <c r="AW306" i="83"/>
  <c r="AW306" i="84"/>
  <c r="AW306" i="85"/>
  <c r="AW306" i="87"/>
  <c r="AW306" i="86"/>
  <c r="AW306" i="88"/>
  <c r="AW306" i="90"/>
  <c r="AW306" i="89"/>
  <c r="AX306" i="82"/>
  <c r="AX306" i="83"/>
  <c r="AX306" i="85"/>
  <c r="AX306" i="84"/>
  <c r="AX306" i="86"/>
  <c r="AX306" i="87"/>
  <c r="AX306" i="89"/>
  <c r="AX306" i="88"/>
  <c r="AX306" i="90"/>
  <c r="BA306" i="82"/>
  <c r="BA306" i="83"/>
  <c r="BA306" i="84"/>
  <c r="BA306" i="85"/>
  <c r="BA306" i="87"/>
  <c r="BA306" i="86"/>
  <c r="BA306" i="88"/>
  <c r="BA306" i="90"/>
  <c r="BA306" i="89"/>
  <c r="BC306" i="82"/>
  <c r="AQ306" i="82"/>
  <c r="BC306" i="83"/>
  <c r="AQ306" i="83"/>
  <c r="BC306" i="84"/>
  <c r="AQ306" i="84"/>
  <c r="BC306" i="85"/>
  <c r="AQ306" i="85"/>
  <c r="BC306" i="87"/>
  <c r="AQ306" i="87"/>
  <c r="BC306" i="86"/>
  <c r="AQ306" i="86"/>
  <c r="BC306" i="88"/>
  <c r="AQ306" i="88"/>
  <c r="BC306" i="90"/>
  <c r="AQ306" i="90"/>
  <c r="BC306" i="89"/>
  <c r="AQ306" i="89"/>
  <c r="BA307" i="82"/>
  <c r="BA307" i="85"/>
  <c r="BA307" i="86"/>
  <c r="BA307" i="89"/>
  <c r="BA307" i="90"/>
  <c r="AT308" i="82"/>
  <c r="AT308" i="83"/>
  <c r="AT308" i="85"/>
  <c r="AT308" i="84"/>
  <c r="AT308" i="86"/>
  <c r="AT308" i="87"/>
  <c r="AT308" i="89"/>
  <c r="AT308" i="88"/>
  <c r="AT308" i="90"/>
  <c r="AU308" i="82"/>
  <c r="AU308" i="83"/>
  <c r="AU308" i="84"/>
  <c r="AU308" i="85"/>
  <c r="AU308" i="87"/>
  <c r="AU308" i="86"/>
  <c r="AU308" i="88"/>
  <c r="AU308" i="90"/>
  <c r="AU308" i="89"/>
  <c r="AY308" i="82"/>
  <c r="AY308" i="83"/>
  <c r="AY308" i="84"/>
  <c r="AY308" i="85"/>
  <c r="AY308" i="87"/>
  <c r="AY308" i="86"/>
  <c r="AY308" i="88"/>
  <c r="AY308" i="90"/>
  <c r="AY308" i="89"/>
  <c r="AZ308" i="82"/>
  <c r="AZ308" i="83"/>
  <c r="AZ308" i="85"/>
  <c r="AZ308" i="84"/>
  <c r="AZ308" i="86"/>
  <c r="AZ308" i="87"/>
  <c r="AZ308" i="89"/>
  <c r="AZ308" i="88"/>
  <c r="AZ308" i="90"/>
  <c r="BB308" i="82"/>
  <c r="BB308" i="83"/>
  <c r="BB308" i="85"/>
  <c r="BB308" i="84"/>
  <c r="BB308" i="86"/>
  <c r="BB308" i="87"/>
  <c r="BB308" i="89"/>
  <c r="BB308" i="88"/>
  <c r="BB308" i="90"/>
  <c r="AR310" i="82"/>
  <c r="AR310" i="83"/>
  <c r="AR310" i="85"/>
  <c r="AR310" i="84"/>
  <c r="AR310" i="86"/>
  <c r="AR310" i="87"/>
  <c r="AR310" i="89"/>
  <c r="AR310" i="88"/>
  <c r="AR310" i="90"/>
  <c r="AV310" i="82"/>
  <c r="AV310" i="83"/>
  <c r="AV310" i="85"/>
  <c r="AV310" i="84"/>
  <c r="AV310" i="86"/>
  <c r="AV310" i="87"/>
  <c r="AV310" i="89"/>
  <c r="AV310" i="88"/>
  <c r="AV310" i="90"/>
  <c r="AW310" i="82"/>
  <c r="AW310" i="83"/>
  <c r="AW310" i="84"/>
  <c r="AW310" i="85"/>
  <c r="AW310" i="87"/>
  <c r="AW310" i="86"/>
  <c r="AW310" i="88"/>
  <c r="AW310" i="90"/>
  <c r="AW310" i="89"/>
  <c r="AX310" i="82"/>
  <c r="AX310" i="83"/>
  <c r="AX310" i="85"/>
  <c r="AX310" i="84"/>
  <c r="AX310" i="86"/>
  <c r="AX310" i="87"/>
  <c r="AX310" i="89"/>
  <c r="AX310" i="88"/>
  <c r="AX310" i="90"/>
  <c r="BA310" i="82"/>
  <c r="BA310" i="83"/>
  <c r="BA310" i="84"/>
  <c r="BA310" i="85"/>
  <c r="BA310" i="87"/>
  <c r="BA310" i="86"/>
  <c r="BA310" i="88"/>
  <c r="BA310" i="90"/>
  <c r="BA310" i="89"/>
  <c r="BC310" i="82"/>
  <c r="AQ310" i="82"/>
  <c r="BC310" i="83"/>
  <c r="AQ310" i="83"/>
  <c r="BC310" i="84"/>
  <c r="AQ310" i="84"/>
  <c r="BC310" i="85"/>
  <c r="AQ310" i="85"/>
  <c r="BC310" i="87"/>
  <c r="AQ310" i="87"/>
  <c r="BC310" i="86"/>
  <c r="AQ310" i="86"/>
  <c r="BC310" i="88"/>
  <c r="AQ310" i="88"/>
  <c r="BC310" i="90"/>
  <c r="AQ310" i="90"/>
  <c r="BC310" i="89"/>
  <c r="AQ310" i="89"/>
  <c r="BA311" i="83"/>
  <c r="BA311" i="84"/>
  <c r="BA311" i="87"/>
  <c r="BA311" i="88"/>
  <c r="AT312" i="82"/>
  <c r="AT312" i="83"/>
  <c r="AT312" i="85"/>
  <c r="AT312" i="84"/>
  <c r="AT312" i="86"/>
  <c r="AT312" i="87"/>
  <c r="AT312" i="89"/>
  <c r="AT312" i="88"/>
  <c r="AT312" i="90"/>
  <c r="AU312" i="82"/>
  <c r="AU312" i="83"/>
  <c r="AU312" i="84"/>
  <c r="AU312" i="85"/>
  <c r="AU312" i="87"/>
  <c r="AU312" i="86"/>
  <c r="AU312" i="88"/>
  <c r="AU312" i="90"/>
  <c r="AU312" i="89"/>
  <c r="AY312" i="82"/>
  <c r="AY312" i="83"/>
  <c r="AY312" i="84"/>
  <c r="AY312" i="85"/>
  <c r="AY312" i="87"/>
  <c r="AY312" i="86"/>
  <c r="AY312" i="88"/>
  <c r="AY312" i="90"/>
  <c r="AY312" i="89"/>
  <c r="AZ312" i="82"/>
  <c r="AZ312" i="83"/>
  <c r="AZ312" i="85"/>
  <c r="AZ312" i="84"/>
  <c r="AZ312" i="86"/>
  <c r="AZ312" i="87"/>
  <c r="AZ312" i="89"/>
  <c r="AZ312" i="88"/>
  <c r="AZ312" i="90"/>
  <c r="BB312" i="82"/>
  <c r="BB312" i="83"/>
  <c r="BB312" i="85"/>
  <c r="BB312" i="84"/>
  <c r="BB312" i="86"/>
  <c r="BB312" i="87"/>
  <c r="BB312" i="89"/>
  <c r="BB312" i="88"/>
  <c r="BB312" i="90"/>
  <c r="AR314" i="82"/>
  <c r="AR314" i="83"/>
  <c r="AR314" i="85"/>
  <c r="AR314" i="84"/>
  <c r="AR314" i="86"/>
  <c r="AR314" i="87"/>
  <c r="AR314" i="89"/>
  <c r="AR314" i="88"/>
  <c r="AR314" i="90"/>
  <c r="AV314" i="82"/>
  <c r="AV314" i="83"/>
  <c r="AV314" i="85"/>
  <c r="AV314" i="84"/>
  <c r="AV314" i="86"/>
  <c r="AV314" i="87"/>
  <c r="AV314" i="89"/>
  <c r="AV314" i="88"/>
  <c r="AV314" i="90"/>
  <c r="AW314" i="82"/>
  <c r="AW314" i="83"/>
  <c r="AW314" i="84"/>
  <c r="AW314" i="85"/>
  <c r="AW314" i="87"/>
  <c r="AW314" i="86"/>
  <c r="AW314" i="88"/>
  <c r="AW314" i="90"/>
  <c r="AW314" i="89"/>
  <c r="AX314" i="82"/>
  <c r="AX314" i="83"/>
  <c r="AX314" i="85"/>
  <c r="AX314" i="84"/>
  <c r="AX314" i="86"/>
  <c r="AX314" i="87"/>
  <c r="AX314" i="89"/>
  <c r="AX314" i="88"/>
  <c r="AX314" i="90"/>
  <c r="BA314" i="82"/>
  <c r="BA314" i="83"/>
  <c r="BA314" i="84"/>
  <c r="BA314" i="85"/>
  <c r="BA314" i="87"/>
  <c r="BA314" i="86"/>
  <c r="BA314" i="88"/>
  <c r="BA314" i="90"/>
  <c r="BA314" i="89"/>
  <c r="BC314" i="82"/>
  <c r="AQ314" i="82"/>
  <c r="BC314" i="83"/>
  <c r="AQ314" i="83"/>
  <c r="BC314" i="84"/>
  <c r="AQ314" i="84"/>
  <c r="BC314" i="85"/>
  <c r="AQ314" i="85"/>
  <c r="BC314" i="87"/>
  <c r="AQ314" i="87"/>
  <c r="BC314" i="86"/>
  <c r="AQ314" i="86"/>
  <c r="BC314" i="88"/>
  <c r="AQ314" i="88"/>
  <c r="BC314" i="90"/>
  <c r="AQ314" i="90"/>
  <c r="BC314" i="89"/>
  <c r="AQ314" i="89"/>
  <c r="BA315" i="82"/>
  <c r="BA315" i="85"/>
  <c r="BA315" i="86"/>
  <c r="BA315" i="89"/>
  <c r="BA315" i="90"/>
  <c r="AT316" i="82"/>
  <c r="AT316" i="83"/>
  <c r="AT316" i="85"/>
  <c r="AT316" i="84"/>
  <c r="AT316" i="86"/>
  <c r="AT316" i="87"/>
  <c r="AT316" i="89"/>
  <c r="AT316" i="88"/>
  <c r="AT316" i="90"/>
  <c r="AU316" i="82"/>
  <c r="AU316" i="83"/>
  <c r="AU316" i="84"/>
  <c r="AU316" i="85"/>
  <c r="AU316" i="87"/>
  <c r="AU316" i="86"/>
  <c r="AU316" i="88"/>
  <c r="AU316" i="90"/>
  <c r="AU316" i="89"/>
  <c r="AY316" i="82"/>
  <c r="AY316" i="83"/>
  <c r="AY316" i="84"/>
  <c r="AY316" i="85"/>
  <c r="AY316" i="87"/>
  <c r="AY316" i="86"/>
  <c r="AY316" i="88"/>
  <c r="AY316" i="90"/>
  <c r="AY316" i="89"/>
  <c r="AZ316" i="82"/>
  <c r="AZ316" i="83"/>
  <c r="AZ316" i="85"/>
  <c r="AZ316" i="84"/>
  <c r="AZ316" i="86"/>
  <c r="AZ316" i="87"/>
  <c r="AZ316" i="89"/>
  <c r="AZ316" i="88"/>
  <c r="AZ316" i="90"/>
  <c r="BB316" i="82"/>
  <c r="BB316" i="83"/>
  <c r="BB316" i="85"/>
  <c r="BB316" i="84"/>
  <c r="BB316" i="86"/>
  <c r="BB316" i="87"/>
  <c r="BB316" i="89"/>
  <c r="BB316" i="88"/>
  <c r="BB316" i="90"/>
  <c r="AR318" i="82"/>
  <c r="AR318" i="83"/>
  <c r="AR318" i="85"/>
  <c r="AR318" i="84"/>
  <c r="AR318" i="86"/>
  <c r="AR318" i="87"/>
  <c r="AR318" i="89"/>
  <c r="AR318" i="88"/>
  <c r="AR318" i="90"/>
  <c r="AV318" i="82"/>
  <c r="AV318" i="83"/>
  <c r="AV318" i="85"/>
  <c r="AV318" i="84"/>
  <c r="AV318" i="86"/>
  <c r="AV318" i="87"/>
  <c r="AV318" i="89"/>
  <c r="AV318" i="88"/>
  <c r="AV318" i="90"/>
  <c r="AW318" i="82"/>
  <c r="AW318" i="83"/>
  <c r="AW318" i="84"/>
  <c r="AW318" i="85"/>
  <c r="AW318" i="87"/>
  <c r="AW318" i="86"/>
  <c r="AW318" i="88"/>
  <c r="AW318" i="90"/>
  <c r="AW318" i="89"/>
  <c r="AX318" i="82"/>
  <c r="AX318" i="83"/>
  <c r="AX318" i="85"/>
  <c r="AX318" i="84"/>
  <c r="AX318" i="86"/>
  <c r="AX318" i="87"/>
  <c r="AX318" i="89"/>
  <c r="AX318" i="88"/>
  <c r="AX318" i="90"/>
  <c r="BA318" i="82"/>
  <c r="BA318" i="83"/>
  <c r="BA318" i="84"/>
  <c r="BA318" i="85"/>
  <c r="BA318" i="87"/>
  <c r="BA318" i="86"/>
  <c r="BA318" i="88"/>
  <c r="BA318" i="90"/>
  <c r="BA318" i="89"/>
  <c r="BC318" i="82"/>
  <c r="AQ318" i="82"/>
  <c r="BC318" i="83"/>
  <c r="AQ318" i="83"/>
  <c r="BC318" i="84"/>
  <c r="AQ318" i="84"/>
  <c r="BC318" i="85"/>
  <c r="AQ318" i="85"/>
  <c r="BC318" i="87"/>
  <c r="AQ318" i="87"/>
  <c r="BC318" i="86"/>
  <c r="AQ318" i="86"/>
  <c r="BC318" i="88"/>
  <c r="AQ318" i="88"/>
  <c r="BC318" i="90"/>
  <c r="AQ318" i="90"/>
  <c r="BC318" i="89"/>
  <c r="AQ318" i="89"/>
  <c r="BA319" i="83"/>
  <c r="BA319" i="84"/>
  <c r="BA319" i="87"/>
  <c r="BA319" i="88"/>
  <c r="AT320" i="82"/>
  <c r="AT320" i="83"/>
  <c r="AT320" i="85"/>
  <c r="AT320" i="84"/>
  <c r="AT320" i="86"/>
  <c r="AT320" i="87"/>
  <c r="AT320" i="89"/>
  <c r="AT320" i="88"/>
  <c r="AT320" i="90"/>
  <c r="AU320" i="82"/>
  <c r="AU320" i="83"/>
  <c r="AU320" i="84"/>
  <c r="AU320" i="85"/>
  <c r="AU320" i="87"/>
  <c r="AU320" i="86"/>
  <c r="AU320" i="88"/>
  <c r="AU320" i="90"/>
  <c r="AU320" i="89"/>
  <c r="AY320" i="82"/>
  <c r="AY320" i="83"/>
  <c r="AY320" i="84"/>
  <c r="AY320" i="85"/>
  <c r="AY320" i="87"/>
  <c r="AY320" i="86"/>
  <c r="AY320" i="88"/>
  <c r="AY320" i="90"/>
  <c r="AY320" i="89"/>
  <c r="AZ320" i="82"/>
  <c r="AZ320" i="83"/>
  <c r="AZ320" i="85"/>
  <c r="AZ320" i="84"/>
  <c r="AZ320" i="86"/>
  <c r="AZ320" i="87"/>
  <c r="AZ320" i="89"/>
  <c r="AZ320" i="88"/>
  <c r="AZ320" i="90"/>
  <c r="BB320" i="82"/>
  <c r="BB320" i="83"/>
  <c r="BB320" i="85"/>
  <c r="BB320" i="84"/>
  <c r="BB320" i="86"/>
  <c r="BB320" i="87"/>
  <c r="BB320" i="89"/>
  <c r="BB320" i="88"/>
  <c r="BB320" i="90"/>
  <c r="AR322" i="82"/>
  <c r="AR322" i="83"/>
  <c r="AR322" i="85"/>
  <c r="AR322" i="84"/>
  <c r="AR322" i="86"/>
  <c r="AR322" i="87"/>
  <c r="AR322" i="89"/>
  <c r="AR322" i="88"/>
  <c r="AR322" i="90"/>
  <c r="AV322" i="82"/>
  <c r="AV322" i="83"/>
  <c r="AV322" i="85"/>
  <c r="AV322" i="84"/>
  <c r="AV322" i="86"/>
  <c r="AV322" i="87"/>
  <c r="AV322" i="89"/>
  <c r="AV322" i="88"/>
  <c r="AV322" i="90"/>
  <c r="AW322" i="82"/>
  <c r="AW322" i="83"/>
  <c r="AW322" i="84"/>
  <c r="AW322" i="85"/>
  <c r="AW322" i="87"/>
  <c r="AW322" i="86"/>
  <c r="AW322" i="88"/>
  <c r="AW322" i="90"/>
  <c r="AW322" i="89"/>
  <c r="AX322" i="82"/>
  <c r="AX322" i="83"/>
  <c r="AX322" i="85"/>
  <c r="AX322" i="84"/>
  <c r="AX322" i="86"/>
  <c r="AX322" i="87"/>
  <c r="AX322" i="89"/>
  <c r="AX322" i="88"/>
  <c r="AX322" i="90"/>
  <c r="BA322" i="82"/>
  <c r="BA322" i="83"/>
  <c r="BA322" i="84"/>
  <c r="BA322" i="85"/>
  <c r="BA322" i="87"/>
  <c r="BA322" i="86"/>
  <c r="BA322" i="88"/>
  <c r="BA322" i="90"/>
  <c r="BA322" i="89"/>
  <c r="BC322" i="82"/>
  <c r="AQ322" i="82"/>
  <c r="BC322" i="83"/>
  <c r="AQ322" i="83"/>
  <c r="BC322" i="84"/>
  <c r="AQ322" i="84"/>
  <c r="BC322" i="85"/>
  <c r="AQ322" i="85"/>
  <c r="BC322" i="87"/>
  <c r="AQ322" i="87"/>
  <c r="BC322" i="86"/>
  <c r="AQ322" i="86"/>
  <c r="BC322" i="88"/>
  <c r="AQ322" i="88"/>
  <c r="BC322" i="90"/>
  <c r="AQ322" i="90"/>
  <c r="BC322" i="89"/>
  <c r="AQ322" i="89"/>
  <c r="BA323" i="82"/>
  <c r="BA323" i="85"/>
  <c r="BA323" i="86"/>
  <c r="BA323" i="89"/>
  <c r="BA323" i="90"/>
  <c r="AT324" i="82"/>
  <c r="AT324" i="83"/>
  <c r="AT324" i="85"/>
  <c r="AT324" i="84"/>
  <c r="AT324" i="86"/>
  <c r="AT324" i="87"/>
  <c r="AT324" i="89"/>
  <c r="AT324" i="88"/>
  <c r="AT324" i="90"/>
  <c r="AU324" i="82"/>
  <c r="AU324" i="83"/>
  <c r="AU324" i="84"/>
  <c r="AU324" i="85"/>
  <c r="AU324" i="87"/>
  <c r="AU324" i="86"/>
  <c r="AU324" i="88"/>
  <c r="AU324" i="90"/>
  <c r="AU324" i="89"/>
  <c r="AY324" i="82"/>
  <c r="AY324" i="83"/>
  <c r="AY324" i="84"/>
  <c r="AY324" i="85"/>
  <c r="AY324" i="87"/>
  <c r="AY324" i="86"/>
  <c r="AY324" i="88"/>
  <c r="AY324" i="90"/>
  <c r="AY324" i="89"/>
  <c r="AZ324" i="82"/>
  <c r="AZ324" i="83"/>
  <c r="AZ324" i="85"/>
  <c r="AZ324" i="84"/>
  <c r="AZ324" i="86"/>
  <c r="AZ324" i="87"/>
  <c r="AZ324" i="89"/>
  <c r="AZ324" i="88"/>
  <c r="AZ324" i="90"/>
  <c r="BB324" i="82"/>
  <c r="BB324" i="83"/>
  <c r="BB324" i="85"/>
  <c r="BB324" i="84"/>
  <c r="BB324" i="86"/>
  <c r="BB324" i="87"/>
  <c r="BB324" i="89"/>
  <c r="BB324" i="88"/>
  <c r="BB324" i="90"/>
  <c r="BA325" i="82"/>
  <c r="BA325" i="83"/>
  <c r="BA325" i="85"/>
  <c r="BA325" i="84"/>
  <c r="BA325" i="86"/>
  <c r="BA325" i="87"/>
  <c r="BA325" i="89"/>
  <c r="BA325" i="88"/>
  <c r="BA325" i="90"/>
  <c r="BA326" i="82"/>
  <c r="BA326" i="83"/>
  <c r="BA326" i="84"/>
  <c r="BA326" i="85"/>
  <c r="BA326" i="87"/>
  <c r="BA326" i="86"/>
  <c r="BA326" i="88"/>
  <c r="BA326" i="90"/>
  <c r="BA326" i="89"/>
  <c r="AU328" i="82"/>
  <c r="AU328" i="83"/>
  <c r="AU328" i="84"/>
  <c r="AU328" i="85"/>
  <c r="AU328" i="87"/>
  <c r="AU328" i="86"/>
  <c r="AU328" i="88"/>
  <c r="AU328" i="90"/>
  <c r="AU328" i="89"/>
  <c r="AX330" i="82"/>
  <c r="AX330" i="83"/>
  <c r="AX330" i="85"/>
  <c r="AX330" i="84"/>
  <c r="AX330" i="86"/>
  <c r="AX330" i="87"/>
  <c r="AX330" i="89"/>
  <c r="AX330" i="88"/>
  <c r="AX330" i="90"/>
  <c r="BC330" i="82"/>
  <c r="AQ330" i="82"/>
  <c r="BC330" i="83"/>
  <c r="AQ330" i="83"/>
  <c r="BC330" i="84"/>
  <c r="AQ330" i="84"/>
  <c r="BC330" i="85"/>
  <c r="AQ330" i="85"/>
  <c r="BC330" i="87"/>
  <c r="AQ330" i="87"/>
  <c r="BC330" i="86"/>
  <c r="AQ330" i="86"/>
  <c r="BC330" i="88"/>
  <c r="AQ330" i="88"/>
  <c r="BC330" i="90"/>
  <c r="AQ330" i="90"/>
  <c r="BC330" i="89"/>
  <c r="AQ330" i="89"/>
  <c r="BA331" i="82"/>
  <c r="BA331" i="85"/>
  <c r="BA331" i="86"/>
  <c r="BA331" i="89"/>
  <c r="BA331" i="90"/>
  <c r="AT332" i="82"/>
  <c r="AT332" i="83"/>
  <c r="AT332" i="85"/>
  <c r="AT332" i="84"/>
  <c r="AT332" i="86"/>
  <c r="AT332" i="87"/>
  <c r="AT332" i="89"/>
  <c r="AT332" i="88"/>
  <c r="AT332" i="90"/>
  <c r="BB332" i="82"/>
  <c r="BB332" i="83"/>
  <c r="BB332" i="85"/>
  <c r="BB332" i="84"/>
  <c r="BB332" i="86"/>
  <c r="BB332" i="87"/>
  <c r="BB332" i="89"/>
  <c r="BB332" i="88"/>
  <c r="BB332" i="90"/>
  <c r="BA333" i="82"/>
  <c r="BA333" i="83"/>
  <c r="BA333" i="85"/>
  <c r="BA333" i="84"/>
  <c r="BA333" i="86"/>
  <c r="BA333" i="87"/>
  <c r="BA333" i="89"/>
  <c r="BA333" i="88"/>
  <c r="BA333" i="90"/>
  <c r="BA334" i="82"/>
  <c r="BA334" i="83"/>
  <c r="BA334" i="84"/>
  <c r="BA334" i="85"/>
  <c r="BA334" i="87"/>
  <c r="BA334" i="86"/>
  <c r="BA334" i="88"/>
  <c r="BA334" i="90"/>
  <c r="BA334" i="89"/>
  <c r="AU336" i="82"/>
  <c r="AU336" i="83"/>
  <c r="AU336" i="84"/>
  <c r="AU336" i="85"/>
  <c r="AU336" i="87"/>
  <c r="AU336" i="86"/>
  <c r="AU336" i="88"/>
  <c r="AU336" i="90"/>
  <c r="AU336" i="89"/>
  <c r="AX338" i="82"/>
  <c r="AX338" i="83"/>
  <c r="AX338" i="85"/>
  <c r="AX338" i="84"/>
  <c r="AX338" i="86"/>
  <c r="AX338" i="87"/>
  <c r="AX338" i="89"/>
  <c r="AX338" i="88"/>
  <c r="AX338" i="90"/>
  <c r="BC338" i="82"/>
  <c r="AQ338" i="82"/>
  <c r="BC338" i="83"/>
  <c r="AQ338" i="83"/>
  <c r="BC338" i="84"/>
  <c r="AQ338" i="84"/>
  <c r="BC338" i="85"/>
  <c r="AQ338" i="85"/>
  <c r="BC338" i="87"/>
  <c r="AQ338" i="87"/>
  <c r="BC338" i="86"/>
  <c r="AQ338" i="86"/>
  <c r="BC338" i="88"/>
  <c r="AQ338" i="88"/>
  <c r="BC338" i="90"/>
  <c r="AQ338" i="90"/>
  <c r="BC338" i="89"/>
  <c r="AQ338" i="89"/>
  <c r="BA339" i="83"/>
  <c r="BA339" i="84"/>
  <c r="BA339" i="87"/>
  <c r="BA339" i="88"/>
  <c r="AT340" i="82"/>
  <c r="AT340" i="83"/>
  <c r="AT340" i="85"/>
  <c r="AT340" i="84"/>
  <c r="AT340" i="86"/>
  <c r="AT340" i="87"/>
  <c r="AT340" i="89"/>
  <c r="AT340" i="88"/>
  <c r="AT340" i="90"/>
  <c r="BB340" i="82"/>
  <c r="BB340" i="83"/>
  <c r="BB340" i="85"/>
  <c r="BB340" i="84"/>
  <c r="BB340" i="86"/>
  <c r="BB340" i="87"/>
  <c r="BB340" i="89"/>
  <c r="BB340" i="88"/>
  <c r="BB340" i="90"/>
  <c r="BA341" i="82"/>
  <c r="BA341" i="83"/>
  <c r="BA341" i="85"/>
  <c r="BA341" i="84"/>
  <c r="BA341" i="86"/>
  <c r="BA341" i="87"/>
  <c r="BA341" i="89"/>
  <c r="BA341" i="88"/>
  <c r="BA341" i="90"/>
  <c r="BA342" i="82"/>
  <c r="BA342" i="83"/>
  <c r="BA342" i="84"/>
  <c r="BA342" i="85"/>
  <c r="BA342" i="87"/>
  <c r="BA342" i="86"/>
  <c r="BA342" i="88"/>
  <c r="BA342" i="90"/>
  <c r="BA342" i="89"/>
  <c r="AU343" i="82"/>
  <c r="AU343" i="83"/>
  <c r="AU343" i="85"/>
  <c r="AU343" i="84"/>
  <c r="AU343" i="86"/>
  <c r="AU343" i="87"/>
  <c r="AU343" i="89"/>
  <c r="AU343" i="88"/>
  <c r="AU343" i="90"/>
  <c r="BA344" i="82"/>
  <c r="BA344" i="83"/>
  <c r="BA344" i="84"/>
  <c r="BA344" i="85"/>
  <c r="BA344" i="87"/>
  <c r="BA344" i="86"/>
  <c r="BA344" i="88"/>
  <c r="BA344" i="90"/>
  <c r="BA344" i="89"/>
  <c r="AT345" i="82"/>
  <c r="AT345" i="84"/>
  <c r="AT345" i="87"/>
  <c r="AT345" i="88"/>
  <c r="AT345" i="89"/>
  <c r="AU346" i="82"/>
  <c r="AU346" i="83"/>
  <c r="AU346" i="84"/>
  <c r="AU346" i="85"/>
  <c r="AU346" i="87"/>
  <c r="AU346" i="86"/>
  <c r="AU346" i="88"/>
  <c r="AU346" i="90"/>
  <c r="AU346" i="89"/>
  <c r="AR347" i="82"/>
  <c r="AR347" i="83"/>
  <c r="AR347" i="84"/>
  <c r="AR347" i="85"/>
  <c r="AR347" i="87"/>
  <c r="AR347" i="86"/>
  <c r="AR347" i="88"/>
  <c r="AR347" i="90"/>
  <c r="AR347" i="89"/>
  <c r="AT348" i="82"/>
  <c r="AT348" i="83"/>
  <c r="AT348" i="85"/>
  <c r="AT348" i="84"/>
  <c r="AT348" i="86"/>
  <c r="AT348" i="87"/>
  <c r="AT348" i="89"/>
  <c r="AT348" i="88"/>
  <c r="AT348" i="90"/>
  <c r="BB348" i="82"/>
  <c r="BB348" i="83"/>
  <c r="BB348" i="85"/>
  <c r="BB348" i="84"/>
  <c r="BB348" i="86"/>
  <c r="BB348" i="87"/>
  <c r="BB348" i="89"/>
  <c r="BB348" i="88"/>
  <c r="BB348" i="90"/>
  <c r="BA348" i="82"/>
  <c r="BA348" i="83"/>
  <c r="BA348" i="84"/>
  <c r="BA348" i="85"/>
  <c r="BA348" i="87"/>
  <c r="BA348" i="86"/>
  <c r="BA348" i="88"/>
  <c r="BA348" i="90"/>
  <c r="BA348" i="89"/>
  <c r="BC349" i="82"/>
  <c r="AQ349" i="82"/>
  <c r="BC349" i="83"/>
  <c r="AQ349" i="83"/>
  <c r="BC349" i="85"/>
  <c r="AQ349" i="85"/>
  <c r="BC349" i="84"/>
  <c r="AQ349" i="84"/>
  <c r="BC349" i="86"/>
  <c r="AQ349" i="86"/>
  <c r="BC349" i="87"/>
  <c r="AQ349" i="87"/>
  <c r="BC349" i="89"/>
  <c r="AQ349" i="89"/>
  <c r="BC349" i="88"/>
  <c r="AQ349" i="88"/>
  <c r="BC349" i="90"/>
  <c r="AQ349" i="90"/>
  <c r="BA347" i="82"/>
  <c r="BA347" i="83"/>
  <c r="BA347" i="85"/>
  <c r="BA347" i="84"/>
  <c r="BA347" i="86"/>
  <c r="BA347" i="87"/>
  <c r="BA347" i="89"/>
  <c r="BA347" i="88"/>
  <c r="BA347" i="90"/>
  <c r="AY345" i="82"/>
  <c r="AY345" i="83"/>
  <c r="AY345" i="85"/>
  <c r="AY345" i="84"/>
  <c r="AY345" i="86"/>
  <c r="AY345" i="87"/>
  <c r="AY345" i="89"/>
  <c r="AY345" i="88"/>
  <c r="AY345" i="90"/>
  <c r="AW341" i="82"/>
  <c r="AW341" i="83"/>
  <c r="AW341" i="85"/>
  <c r="AW341" i="84"/>
  <c r="AW341" i="86"/>
  <c r="AW341" i="87"/>
  <c r="AW341" i="89"/>
  <c r="AW341" i="88"/>
  <c r="AW341" i="90"/>
  <c r="AW339" i="82"/>
  <c r="AW339" i="83"/>
  <c r="AW339" i="85"/>
  <c r="AW339" i="84"/>
  <c r="AW339" i="86"/>
  <c r="AW339" i="87"/>
  <c r="AW339" i="89"/>
  <c r="AW339" i="88"/>
  <c r="AW339" i="90"/>
  <c r="AW337" i="82"/>
  <c r="AW337" i="83"/>
  <c r="AW337" i="85"/>
  <c r="AW337" i="84"/>
  <c r="AW337" i="86"/>
  <c r="AW337" i="87"/>
  <c r="AW337" i="89"/>
  <c r="AW337" i="88"/>
  <c r="AW337" i="90"/>
  <c r="AW335" i="82"/>
  <c r="AW335" i="83"/>
  <c r="AW335" i="85"/>
  <c r="AW335" i="84"/>
  <c r="AW335" i="86"/>
  <c r="AW335" i="87"/>
  <c r="AW335" i="89"/>
  <c r="AW335" i="88"/>
  <c r="AW335" i="90"/>
  <c r="AW333" i="82"/>
  <c r="AW333" i="83"/>
  <c r="AW333" i="85"/>
  <c r="AW333" i="84"/>
  <c r="AW333" i="86"/>
  <c r="AW333" i="87"/>
  <c r="AW333" i="89"/>
  <c r="AW333" i="88"/>
  <c r="AW333" i="90"/>
  <c r="AW331" i="82"/>
  <c r="AW331" i="83"/>
  <c r="AW331" i="85"/>
  <c r="AW331" i="84"/>
  <c r="AW331" i="86"/>
  <c r="AW331" i="87"/>
  <c r="AW331" i="89"/>
  <c r="AW331" i="88"/>
  <c r="AW331" i="90"/>
  <c r="AW329" i="82"/>
  <c r="AW329" i="83"/>
  <c r="AW329" i="85"/>
  <c r="AW329" i="84"/>
  <c r="AW329" i="86"/>
  <c r="AW329" i="87"/>
  <c r="AW329" i="89"/>
  <c r="AW329" i="88"/>
  <c r="AW329" i="90"/>
  <c r="AW327" i="82"/>
  <c r="AW327" i="83"/>
  <c r="AW327" i="85"/>
  <c r="AW327" i="84"/>
  <c r="AW327" i="86"/>
  <c r="AW327" i="87"/>
  <c r="AW327" i="89"/>
  <c r="AW327" i="88"/>
  <c r="AW327" i="90"/>
  <c r="AW325" i="82"/>
  <c r="AW325" i="83"/>
  <c r="AW325" i="85"/>
  <c r="AW325" i="84"/>
  <c r="AW325" i="86"/>
  <c r="AW325" i="87"/>
  <c r="AW325" i="89"/>
  <c r="AW325" i="88"/>
  <c r="AW325" i="90"/>
  <c r="AW323" i="82"/>
  <c r="AW323" i="83"/>
  <c r="AW323" i="85"/>
  <c r="AW323" i="84"/>
  <c r="AW323" i="86"/>
  <c r="AW323" i="87"/>
  <c r="AW323" i="89"/>
  <c r="AW323" i="88"/>
  <c r="AW323" i="90"/>
  <c r="AW321" i="82"/>
  <c r="AW321" i="83"/>
  <c r="AW321" i="85"/>
  <c r="AW321" i="84"/>
  <c r="AW321" i="86"/>
  <c r="AW321" i="87"/>
  <c r="AW321" i="89"/>
  <c r="AW321" i="88"/>
  <c r="AW321" i="90"/>
  <c r="AW319" i="82"/>
  <c r="AW319" i="83"/>
  <c r="AW319" i="85"/>
  <c r="AW319" i="84"/>
  <c r="AW319" i="86"/>
  <c r="AW319" i="87"/>
  <c r="AW319" i="89"/>
  <c r="AW319" i="88"/>
  <c r="AW319" i="90"/>
  <c r="AW317" i="82"/>
  <c r="AW317" i="83"/>
  <c r="AW317" i="85"/>
  <c r="AW317" i="84"/>
  <c r="AW317" i="86"/>
  <c r="AW317" i="87"/>
  <c r="AW317" i="89"/>
  <c r="AW317" i="88"/>
  <c r="AW317" i="90"/>
  <c r="AW315" i="82"/>
  <c r="AW315" i="83"/>
  <c r="AW315" i="85"/>
  <c r="AW315" i="84"/>
  <c r="AW315" i="86"/>
  <c r="AW315" i="87"/>
  <c r="AW315" i="89"/>
  <c r="AW315" i="88"/>
  <c r="AW315" i="90"/>
  <c r="AW313" i="82"/>
  <c r="AW313" i="83"/>
  <c r="AW313" i="85"/>
  <c r="AW313" i="84"/>
  <c r="AW313" i="86"/>
  <c r="AW313" i="87"/>
  <c r="AW313" i="89"/>
  <c r="AW313" i="88"/>
  <c r="AW313" i="90"/>
  <c r="AW311" i="82"/>
  <c r="AW311" i="83"/>
  <c r="AW311" i="85"/>
  <c r="AW311" i="84"/>
  <c r="AW311" i="86"/>
  <c r="AW311" i="87"/>
  <c r="AW311" i="89"/>
  <c r="AW311" i="88"/>
  <c r="AW311" i="90"/>
  <c r="AW309" i="82"/>
  <c r="AW309" i="83"/>
  <c r="AW309" i="85"/>
  <c r="AW309" i="84"/>
  <c r="AW309" i="86"/>
  <c r="AW309" i="87"/>
  <c r="AW309" i="89"/>
  <c r="AW309" i="88"/>
  <c r="AW309" i="90"/>
  <c r="AW307" i="82"/>
  <c r="AW307" i="83"/>
  <c r="AW307" i="85"/>
  <c r="AW307" i="84"/>
  <c r="AW307" i="86"/>
  <c r="AW307" i="87"/>
  <c r="AW307" i="89"/>
  <c r="AW307" i="88"/>
  <c r="AW307" i="90"/>
  <c r="AW305" i="82"/>
  <c r="AW305" i="83"/>
  <c r="AW305" i="85"/>
  <c r="AW305" i="84"/>
  <c r="AW305" i="86"/>
  <c r="AW305" i="87"/>
  <c r="AW305" i="89"/>
  <c r="AW305" i="88"/>
  <c r="AW305" i="90"/>
  <c r="AW303" i="82"/>
  <c r="AW303" i="83"/>
  <c r="AW303" i="85"/>
  <c r="AW303" i="84"/>
  <c r="AW303" i="86"/>
  <c r="AW303" i="87"/>
  <c r="AW303" i="89"/>
  <c r="AW303" i="88"/>
  <c r="AW303" i="90"/>
  <c r="AW301" i="82"/>
  <c r="AW301" i="83"/>
  <c r="AW301" i="85"/>
  <c r="AW301" i="84"/>
  <c r="AW301" i="86"/>
  <c r="AW301" i="87"/>
  <c r="AW301" i="89"/>
  <c r="AW301" i="88"/>
  <c r="AW301" i="90"/>
  <c r="AW299" i="82"/>
  <c r="AW299" i="83"/>
  <c r="AW299" i="85"/>
  <c r="AW299" i="84"/>
  <c r="AW299" i="86"/>
  <c r="AW299" i="87"/>
  <c r="AW299" i="89"/>
  <c r="AW299" i="88"/>
  <c r="AW299" i="90"/>
  <c r="AW297" i="82"/>
  <c r="AW297" i="83"/>
  <c r="AW297" i="85"/>
  <c r="AW297" i="84"/>
  <c r="AW297" i="86"/>
  <c r="AW297" i="87"/>
  <c r="AW297" i="89"/>
  <c r="AW297" i="88"/>
  <c r="AW297" i="90"/>
  <c r="U11" i="5"/>
  <c r="U7" i="5"/>
  <c r="AT98" i="91"/>
  <c r="AT127" i="91"/>
  <c r="BB102" i="91"/>
  <c r="BA96" i="91"/>
  <c r="AW349" i="91"/>
  <c r="BC347" i="91"/>
  <c r="AQ347" i="91"/>
  <c r="AV347" i="91"/>
  <c r="BC345" i="91"/>
  <c r="AQ345" i="91"/>
  <c r="AX345" i="91"/>
  <c r="AY343" i="91"/>
  <c r="BB341" i="91"/>
  <c r="AT341" i="91"/>
  <c r="BB339" i="91"/>
  <c r="AT339" i="91"/>
  <c r="BB337" i="91"/>
  <c r="AT337" i="91"/>
  <c r="BB335" i="91"/>
  <c r="AT335" i="91"/>
  <c r="BB333" i="91"/>
  <c r="AT333" i="91"/>
  <c r="BB331" i="91"/>
  <c r="AT331" i="91"/>
  <c r="BB329" i="91"/>
  <c r="AT329" i="91"/>
  <c r="BB327" i="91"/>
  <c r="AT327" i="91"/>
  <c r="BB325" i="91"/>
  <c r="AT325" i="91"/>
  <c r="BB323" i="91"/>
  <c r="AT323" i="91"/>
  <c r="BB321" i="91"/>
  <c r="AT321" i="91"/>
  <c r="BB319" i="91"/>
  <c r="AT319" i="91"/>
  <c r="BB317" i="91"/>
  <c r="AT317" i="91"/>
  <c r="BB315" i="91"/>
  <c r="AT315" i="91"/>
  <c r="BB313" i="91"/>
  <c r="AT313" i="91"/>
  <c r="BB311" i="91"/>
  <c r="AT311" i="91"/>
  <c r="BB309" i="91"/>
  <c r="AT309" i="91"/>
  <c r="BB307" i="91"/>
  <c r="AT307" i="91"/>
  <c r="BB305" i="91"/>
  <c r="AT305" i="91"/>
  <c r="BB303" i="91"/>
  <c r="AT303" i="91"/>
  <c r="BB301" i="91"/>
  <c r="AT301" i="91"/>
  <c r="BB299" i="91"/>
  <c r="AT299" i="91"/>
  <c r="BB297" i="91"/>
  <c r="AT297" i="91"/>
  <c r="BB295" i="91"/>
  <c r="AT295" i="91"/>
  <c r="BB293" i="91"/>
  <c r="AT293" i="91"/>
  <c r="BB291" i="91"/>
  <c r="AT291" i="91"/>
  <c r="BB289" i="91"/>
  <c r="AT289" i="91"/>
  <c r="BB287" i="91"/>
  <c r="AT287" i="91"/>
  <c r="BB285" i="91"/>
  <c r="AY285" i="91"/>
  <c r="AT285" i="91"/>
  <c r="BB283" i="91"/>
  <c r="AT283" i="91"/>
  <c r="BB281" i="91"/>
  <c r="AY281" i="91"/>
  <c r="AT281" i="91"/>
  <c r="BC348" i="91"/>
  <c r="AQ348" i="91"/>
  <c r="AU349" i="91"/>
  <c r="AT87" i="91"/>
  <c r="AT83" i="91"/>
  <c r="AT120" i="91"/>
  <c r="BC81" i="91"/>
  <c r="AQ81" i="91"/>
  <c r="AX81" i="91"/>
  <c r="BB82" i="91"/>
  <c r="AX82" i="91"/>
  <c r="AZ82" i="91"/>
  <c r="BA81" i="91"/>
  <c r="AV83" i="91"/>
  <c r="AV87" i="91"/>
  <c r="AT81" i="91"/>
  <c r="AU87" i="91"/>
  <c r="AR81" i="91"/>
  <c r="AU90" i="91"/>
  <c r="BB347" i="91"/>
  <c r="AY347" i="91"/>
  <c r="AT347" i="91"/>
  <c r="BC343" i="91"/>
  <c r="AQ343" i="91"/>
  <c r="AX343" i="91"/>
  <c r="AV343" i="91"/>
  <c r="AT110" i="91"/>
  <c r="AT100" i="91"/>
  <c r="BA110" i="91"/>
  <c r="BA349" i="91"/>
  <c r="AX347" i="91"/>
  <c r="BA345" i="91"/>
  <c r="BB343" i="91"/>
  <c r="AT343" i="91"/>
  <c r="AU341" i="91"/>
  <c r="AU339" i="91"/>
  <c r="AU337" i="91"/>
  <c r="AU335" i="91"/>
  <c r="AU333" i="91"/>
  <c r="AU331" i="91"/>
  <c r="AU329" i="91"/>
  <c r="AU327" i="91"/>
  <c r="AU325" i="91"/>
  <c r="AU323" i="91"/>
  <c r="AU321" i="91"/>
  <c r="AU319" i="91"/>
  <c r="AU317" i="91"/>
  <c r="AU315" i="91"/>
  <c r="AU313" i="91"/>
  <c r="AU311" i="91"/>
  <c r="AU309" i="91"/>
  <c r="AU307" i="91"/>
  <c r="AU305" i="91"/>
  <c r="AU303" i="91"/>
  <c r="AU301" i="91"/>
  <c r="AU299" i="91"/>
  <c r="AU297" i="91"/>
  <c r="AU295" i="91"/>
  <c r="AU293" i="91"/>
  <c r="AU291" i="91"/>
  <c r="AU289" i="91"/>
  <c r="AU287" i="91"/>
  <c r="AZ285" i="91"/>
  <c r="AU285" i="91"/>
  <c r="AZ283" i="91"/>
  <c r="AU283" i="91"/>
  <c r="AZ281" i="91"/>
  <c r="AU281" i="91"/>
  <c r="AT349" i="91"/>
  <c r="BB349" i="91"/>
  <c r="AT80" i="91"/>
  <c r="AT84" i="91"/>
  <c r="AT118" i="91"/>
  <c r="AT124" i="91"/>
  <c r="AT117" i="91"/>
  <c r="BB81" i="91"/>
  <c r="BC82" i="91"/>
  <c r="AQ82" i="91"/>
  <c r="AY81" i="91"/>
  <c r="AZ81" i="91"/>
  <c r="AY82" i="91"/>
  <c r="BA82" i="91"/>
  <c r="AV82" i="91"/>
  <c r="AT82" i="91"/>
  <c r="AV81" i="91"/>
  <c r="AU83" i="91"/>
  <c r="AU82" i="91"/>
  <c r="AU81" i="91"/>
  <c r="AR82" i="91"/>
  <c r="AW83" i="91"/>
  <c r="AW81" i="91"/>
  <c r="AW82" i="91"/>
  <c r="AW87" i="91"/>
  <c r="AV90" i="91"/>
  <c r="AW90" i="91"/>
  <c r="AZ347" i="91"/>
  <c r="AU347" i="91"/>
  <c r="BA343" i="91"/>
  <c r="AW343" i="91"/>
  <c r="AU102" i="91"/>
  <c r="AR103" i="91"/>
  <c r="AV103" i="91"/>
  <c r="AW103" i="91"/>
  <c r="AX103" i="91"/>
  <c r="BA103" i="91"/>
  <c r="BC103" i="91"/>
  <c r="AQ103" i="91"/>
  <c r="AT112" i="91"/>
  <c r="AU112" i="91"/>
  <c r="AY112" i="91"/>
  <c r="AZ112" i="91"/>
  <c r="BB112" i="91"/>
  <c r="AR128" i="91"/>
  <c r="AV128" i="91"/>
  <c r="AW128" i="91"/>
  <c r="AX128" i="91"/>
  <c r="BA128" i="91"/>
  <c r="BC128" i="91"/>
  <c r="AQ128" i="91"/>
  <c r="AT129" i="91"/>
  <c r="AU129" i="91"/>
  <c r="AY129" i="91"/>
  <c r="AZ129" i="91"/>
  <c r="BB129" i="91"/>
  <c r="AR130" i="91"/>
  <c r="AV130" i="91"/>
  <c r="AW130" i="91"/>
  <c r="AX130" i="91"/>
  <c r="BA130" i="91"/>
  <c r="BC130" i="91"/>
  <c r="AQ130" i="91"/>
  <c r="AT131" i="91"/>
  <c r="AU131" i="91"/>
  <c r="AY131" i="91"/>
  <c r="AZ131" i="91"/>
  <c r="BB131" i="91"/>
  <c r="AR132" i="91"/>
  <c r="AV132" i="91"/>
  <c r="AW132" i="91"/>
  <c r="AX132" i="91"/>
  <c r="BA132" i="91"/>
  <c r="BC132" i="91"/>
  <c r="AQ132" i="91"/>
  <c r="AT133" i="91"/>
  <c r="AU133" i="91"/>
  <c r="AY133" i="91"/>
  <c r="AZ133" i="91"/>
  <c r="BB133" i="91"/>
  <c r="AR134" i="91"/>
  <c r="AV134" i="91"/>
  <c r="AW134" i="91"/>
  <c r="AX134" i="91"/>
  <c r="BA134" i="91"/>
  <c r="BC134" i="91"/>
  <c r="AQ134" i="91"/>
  <c r="AT135" i="91"/>
  <c r="AU135" i="91"/>
  <c r="AY135" i="91"/>
  <c r="AZ135" i="91"/>
  <c r="BB135" i="91"/>
  <c r="AR136" i="91"/>
  <c r="AV136" i="91"/>
  <c r="AW136" i="91"/>
  <c r="AX136" i="91"/>
  <c r="BA136" i="91"/>
  <c r="BC136" i="91"/>
  <c r="AQ136" i="91"/>
  <c r="AT137" i="91"/>
  <c r="AU137" i="91"/>
  <c r="AY137" i="91"/>
  <c r="AZ137" i="91"/>
  <c r="BB137" i="91"/>
  <c r="AR138" i="91"/>
  <c r="AV138" i="91"/>
  <c r="AW138" i="91"/>
  <c r="AX138" i="91"/>
  <c r="BA138" i="91"/>
  <c r="BC138" i="91"/>
  <c r="AQ138" i="91"/>
  <c r="AT139" i="91"/>
  <c r="AU139" i="91"/>
  <c r="AY139" i="91"/>
  <c r="AZ139" i="91"/>
  <c r="BB139" i="91"/>
  <c r="AR140" i="91"/>
  <c r="AV140" i="91"/>
  <c r="AW140" i="91"/>
  <c r="AX140" i="91"/>
  <c r="BA140" i="91"/>
  <c r="BC140" i="91"/>
  <c r="AQ140" i="91"/>
  <c r="AT141" i="91"/>
  <c r="AU141" i="91"/>
  <c r="AY141" i="91"/>
  <c r="AZ141" i="91"/>
  <c r="BB141" i="91"/>
  <c r="AR142" i="91"/>
  <c r="AV142" i="91"/>
  <c r="AW142" i="91"/>
  <c r="AX142" i="91"/>
  <c r="BA142" i="91"/>
  <c r="BC142" i="91"/>
  <c r="AQ142" i="91"/>
  <c r="AT143" i="91"/>
  <c r="AU143" i="91"/>
  <c r="AY143" i="91"/>
  <c r="AZ143" i="91"/>
  <c r="BB143" i="91"/>
  <c r="AR144" i="91"/>
  <c r="AV144" i="91"/>
  <c r="AW144" i="91"/>
  <c r="AX144" i="91"/>
  <c r="BA144" i="91"/>
  <c r="BC144" i="91"/>
  <c r="AQ144" i="91"/>
  <c r="AT145" i="91"/>
  <c r="AU145" i="91"/>
  <c r="AY145" i="91"/>
  <c r="AZ145" i="91"/>
  <c r="BB145" i="91"/>
  <c r="AR146" i="91"/>
  <c r="AV146" i="91"/>
  <c r="AW146" i="91"/>
  <c r="AX146" i="91"/>
  <c r="BA146" i="91"/>
  <c r="BC146" i="91"/>
  <c r="AQ146" i="91"/>
  <c r="AT147" i="91"/>
  <c r="AU147" i="91"/>
  <c r="AY147" i="91"/>
  <c r="AZ147" i="91"/>
  <c r="BB147" i="91"/>
  <c r="AR148" i="91"/>
  <c r="AV148" i="91"/>
  <c r="AW148" i="91"/>
  <c r="AX148" i="91"/>
  <c r="BA148" i="91"/>
  <c r="BC148" i="91"/>
  <c r="AQ148" i="91"/>
  <c r="AT149" i="91"/>
  <c r="AU149" i="91"/>
  <c r="AY149" i="91"/>
  <c r="AZ149" i="91"/>
  <c r="BB149" i="91"/>
  <c r="AR150" i="91"/>
  <c r="AV150" i="91"/>
  <c r="AW150" i="91"/>
  <c r="AX150" i="91"/>
  <c r="BA150" i="91"/>
  <c r="BC150" i="91"/>
  <c r="AQ150" i="91"/>
  <c r="AT151" i="91"/>
  <c r="AU151" i="91"/>
  <c r="AY151" i="91"/>
  <c r="AZ151" i="91"/>
  <c r="BB151" i="91"/>
  <c r="AR152" i="91"/>
  <c r="AV152" i="91"/>
  <c r="AW152" i="91"/>
  <c r="AX152" i="91"/>
  <c r="BA152" i="91"/>
  <c r="BC152" i="91"/>
  <c r="AQ152" i="91"/>
  <c r="AT153" i="91"/>
  <c r="AU153" i="91"/>
  <c r="AY153" i="91"/>
  <c r="AZ153" i="91"/>
  <c r="BB153" i="91"/>
  <c r="AR154" i="91"/>
  <c r="AV154" i="91"/>
  <c r="AW154" i="91"/>
  <c r="AX154" i="91"/>
  <c r="BA154" i="91"/>
  <c r="BC154" i="91"/>
  <c r="AQ154" i="91"/>
  <c r="AT155" i="91"/>
  <c r="AU155" i="91"/>
  <c r="AY155" i="91"/>
  <c r="AZ155" i="91"/>
  <c r="BB155" i="91"/>
  <c r="AR156" i="91"/>
  <c r="AV156" i="91"/>
  <c r="AW156" i="91"/>
  <c r="AX156" i="91"/>
  <c r="BA156" i="91"/>
  <c r="BC156" i="91"/>
  <c r="AQ156" i="91"/>
  <c r="AT157" i="91"/>
  <c r="AU157" i="91"/>
  <c r="AZ157" i="91"/>
  <c r="BB157" i="91"/>
  <c r="AR158" i="91"/>
  <c r="AV158" i="91"/>
  <c r="AW158" i="91"/>
  <c r="AX158" i="91"/>
  <c r="BA158" i="91"/>
  <c r="BC158" i="91"/>
  <c r="AQ158" i="91"/>
  <c r="AT159" i="91"/>
  <c r="AU159" i="91"/>
  <c r="AY159" i="91"/>
  <c r="AZ159" i="91"/>
  <c r="BB159" i="91"/>
  <c r="AR160" i="91"/>
  <c r="AV160" i="91"/>
  <c r="AW160" i="91"/>
  <c r="AX160" i="91"/>
  <c r="BA160" i="91"/>
  <c r="BC160" i="91"/>
  <c r="AQ160" i="91"/>
  <c r="AT161" i="91"/>
  <c r="AU161" i="91"/>
  <c r="AZ161" i="91"/>
  <c r="BB161" i="91"/>
  <c r="AR162" i="91"/>
  <c r="AV162" i="91"/>
  <c r="AW162" i="91"/>
  <c r="AX162" i="91"/>
  <c r="BA162" i="91"/>
  <c r="BC162" i="91"/>
  <c r="AQ162" i="91"/>
  <c r="AT163" i="91"/>
  <c r="AU163" i="91"/>
  <c r="AY163" i="91"/>
  <c r="AZ163" i="91"/>
  <c r="BB163" i="91"/>
  <c r="AR164" i="91"/>
  <c r="AV164" i="91"/>
  <c r="AW164" i="91"/>
  <c r="AX164" i="91"/>
  <c r="BA164" i="91"/>
  <c r="BC164" i="91"/>
  <c r="AQ164" i="91"/>
  <c r="AT165" i="91"/>
  <c r="AU165" i="91"/>
  <c r="AZ165" i="91"/>
  <c r="BB165" i="91"/>
  <c r="AR166" i="91"/>
  <c r="AV166" i="91"/>
  <c r="AW166" i="91"/>
  <c r="AX166" i="91"/>
  <c r="BA166" i="91"/>
  <c r="BC166" i="91"/>
  <c r="AQ166" i="91"/>
  <c r="AT167" i="91"/>
  <c r="AU167" i="91"/>
  <c r="AY167" i="91"/>
  <c r="AZ167" i="91"/>
  <c r="BB167" i="91"/>
  <c r="AR168" i="91"/>
  <c r="AV168" i="91"/>
  <c r="AW168" i="91"/>
  <c r="AX168" i="91"/>
  <c r="BA168" i="91"/>
  <c r="BC168" i="91"/>
  <c r="AQ168" i="91"/>
  <c r="AT169" i="91"/>
  <c r="AU169" i="91"/>
  <c r="AZ169" i="91"/>
  <c r="BB169" i="91"/>
  <c r="AR170" i="91"/>
  <c r="AV170" i="91"/>
  <c r="AW170" i="91"/>
  <c r="AX170" i="91"/>
  <c r="BA170" i="91"/>
  <c r="BC170" i="91"/>
  <c r="AQ170" i="91"/>
  <c r="AT171" i="91"/>
  <c r="AU171" i="91"/>
  <c r="AY171" i="91"/>
  <c r="AZ171" i="91"/>
  <c r="BB171" i="91"/>
  <c r="AR172" i="91"/>
  <c r="AV172" i="91"/>
  <c r="AW172" i="91"/>
  <c r="AX172" i="91"/>
  <c r="BA172" i="91"/>
  <c r="BC172" i="91"/>
  <c r="AQ172" i="91"/>
  <c r="AT173" i="91"/>
  <c r="AU173" i="91"/>
  <c r="AZ173" i="91"/>
  <c r="BB173" i="91"/>
  <c r="AR174" i="91"/>
  <c r="AV174" i="91"/>
  <c r="AW174" i="91"/>
  <c r="AX174" i="91"/>
  <c r="BA174" i="91"/>
  <c r="BC174" i="91"/>
  <c r="AQ174" i="91"/>
  <c r="AU175" i="91"/>
  <c r="AY175" i="91"/>
  <c r="AZ175" i="91"/>
  <c r="AR176" i="91"/>
  <c r="AV176" i="91"/>
  <c r="AW176" i="91"/>
  <c r="AX176" i="91"/>
  <c r="BA176" i="91"/>
  <c r="BC176" i="91"/>
  <c r="AQ176" i="91"/>
  <c r="AT177" i="91"/>
  <c r="GQ141" i="15"/>
  <c r="GQ177" i="15"/>
  <c r="GQ226" i="15"/>
  <c r="GQ234" i="15"/>
  <c r="GQ236" i="15"/>
  <c r="GQ259" i="15"/>
  <c r="GQ267" i="15"/>
  <c r="GQ164" i="15"/>
  <c r="D34" i="93"/>
  <c r="J34" i="93" s="1"/>
  <c r="D6" i="93"/>
  <c r="GQ170" i="15"/>
  <c r="GQ186" i="15"/>
  <c r="GQ311" i="15"/>
  <c r="GQ315" i="15"/>
  <c r="GQ319" i="15"/>
  <c r="GQ323" i="15"/>
  <c r="GQ327" i="15"/>
  <c r="GQ331" i="15"/>
  <c r="GQ335" i="15"/>
  <c r="GQ339" i="15"/>
  <c r="GQ343" i="15"/>
  <c r="GP84" i="15"/>
  <c r="GO84" i="15" s="1"/>
  <c r="GQ104" i="15"/>
  <c r="GQ245" i="15"/>
  <c r="GQ249" i="15"/>
  <c r="GQ277" i="15"/>
  <c r="GQ347" i="15"/>
  <c r="GQ182" i="15"/>
  <c r="GQ251" i="15"/>
  <c r="GQ345" i="15"/>
  <c r="GQ156" i="15"/>
  <c r="GQ163" i="15"/>
  <c r="GQ199" i="15"/>
  <c r="GQ216" i="15"/>
  <c r="GQ232" i="15"/>
  <c r="GQ169" i="15"/>
  <c r="GQ175" i="15"/>
  <c r="GQ297" i="15"/>
  <c r="GP85" i="15"/>
  <c r="GO85" i="15" s="1"/>
  <c r="GQ185" i="15"/>
  <c r="GQ214" i="15"/>
  <c r="GQ273" i="15"/>
  <c r="GQ305" i="15"/>
  <c r="GQ222" i="15"/>
  <c r="GQ230" i="15"/>
  <c r="GQ240" i="15"/>
  <c r="GQ283" i="15"/>
  <c r="GQ291" i="15"/>
  <c r="GQ211" i="15"/>
  <c r="GQ191" i="15"/>
  <c r="GQ263" i="15"/>
  <c r="GQ307" i="15"/>
  <c r="GQ293" i="15"/>
  <c r="GQ290" i="15"/>
  <c r="GQ289" i="15"/>
  <c r="GQ213" i="15"/>
  <c r="GQ193" i="15"/>
  <c r="GQ172" i="15"/>
  <c r="GQ143" i="15"/>
  <c r="AY177" i="91"/>
  <c r="BB177" i="91"/>
  <c r="AR178" i="91"/>
  <c r="AV178" i="91"/>
  <c r="AW178" i="91"/>
  <c r="AX178" i="91"/>
  <c r="BA178" i="91"/>
  <c r="BC178" i="91"/>
  <c r="AQ178" i="91"/>
  <c r="AT179" i="91"/>
  <c r="AU179" i="91"/>
  <c r="AY179" i="91"/>
  <c r="AZ179" i="91"/>
  <c r="BB179" i="91"/>
  <c r="AR180" i="91"/>
  <c r="AV180" i="91"/>
  <c r="AW180" i="91"/>
  <c r="AX180" i="91"/>
  <c r="BA180" i="91"/>
  <c r="BC180" i="91"/>
  <c r="AQ180" i="91"/>
  <c r="AT181" i="91"/>
  <c r="AY181" i="91"/>
  <c r="BB181" i="91"/>
  <c r="AR182" i="91"/>
  <c r="AV182" i="91"/>
  <c r="AW182" i="91"/>
  <c r="AX182" i="91"/>
  <c r="BA182" i="91"/>
  <c r="BC182" i="91"/>
  <c r="AQ182" i="91"/>
  <c r="AT183" i="91"/>
  <c r="AU183" i="91"/>
  <c r="AY183" i="91"/>
  <c r="AZ183" i="91"/>
  <c r="BB183" i="91"/>
  <c r="AR184" i="91"/>
  <c r="AV184" i="91"/>
  <c r="AW184" i="91"/>
  <c r="AX184" i="91"/>
  <c r="BA184" i="91"/>
  <c r="BC184" i="91"/>
  <c r="AQ184" i="91"/>
  <c r="AT185" i="91"/>
  <c r="AY185" i="91"/>
  <c r="BB185" i="91"/>
  <c r="AR186" i="91"/>
  <c r="AV186" i="91"/>
  <c r="AW186" i="91"/>
  <c r="AX186" i="91"/>
  <c r="BA186" i="91"/>
  <c r="BC186" i="91"/>
  <c r="AQ186" i="91"/>
  <c r="AT187" i="91"/>
  <c r="AU187" i="91"/>
  <c r="AY187" i="91"/>
  <c r="AZ187" i="91"/>
  <c r="BB187" i="91"/>
  <c r="AR188" i="91"/>
  <c r="AV188" i="91"/>
  <c r="AW188" i="91"/>
  <c r="AX188" i="91"/>
  <c r="BA188" i="91"/>
  <c r="BC188" i="91"/>
  <c r="AQ188" i="91"/>
  <c r="AT189" i="91"/>
  <c r="AY189" i="91"/>
  <c r="BB189" i="91"/>
  <c r="AR190" i="91"/>
  <c r="AV190" i="91"/>
  <c r="AW190" i="91"/>
  <c r="AX190" i="91"/>
  <c r="BA190" i="91"/>
  <c r="BC190" i="91"/>
  <c r="AQ190" i="91"/>
  <c r="AT191" i="91"/>
  <c r="AU191" i="91"/>
  <c r="AY191" i="91"/>
  <c r="AZ191" i="91"/>
  <c r="BB191" i="91"/>
  <c r="AR192" i="91"/>
  <c r="AV192" i="91"/>
  <c r="AW192" i="91"/>
  <c r="AX192" i="91"/>
  <c r="BA192" i="91"/>
  <c r="BC192" i="91"/>
  <c r="AQ192" i="91"/>
  <c r="AT193" i="91"/>
  <c r="AY193" i="91"/>
  <c r="BB193" i="91"/>
  <c r="AR194" i="91"/>
  <c r="AV194" i="91"/>
  <c r="AW194" i="91"/>
  <c r="AX194" i="91"/>
  <c r="BA194" i="91"/>
  <c r="BC194" i="91"/>
  <c r="AQ194" i="91"/>
  <c r="AT195" i="91"/>
  <c r="AU195" i="91"/>
  <c r="AY195" i="91"/>
  <c r="AZ195" i="91"/>
  <c r="BB195" i="91"/>
  <c r="AR196" i="91"/>
  <c r="AV196" i="91"/>
  <c r="AW196" i="91"/>
  <c r="AX196" i="91"/>
  <c r="BA196" i="91"/>
  <c r="BC196" i="91"/>
  <c r="AQ196" i="91"/>
  <c r="AT197" i="91"/>
  <c r="AY197" i="91"/>
  <c r="BB197" i="91"/>
  <c r="AR198" i="91"/>
  <c r="AV198" i="91"/>
  <c r="AW198" i="91"/>
  <c r="AX198" i="91"/>
  <c r="BA198" i="91"/>
  <c r="BC198" i="91"/>
  <c r="AQ198" i="91"/>
  <c r="AT199" i="91"/>
  <c r="AU199" i="91"/>
  <c r="AY199" i="91"/>
  <c r="AZ199" i="91"/>
  <c r="BB199" i="91"/>
  <c r="AR200" i="91"/>
  <c r="AV200" i="91"/>
  <c r="AW200" i="91"/>
  <c r="AX200" i="91"/>
  <c r="BA200" i="91"/>
  <c r="BC200" i="91"/>
  <c r="AQ200" i="91"/>
  <c r="AT201" i="91"/>
  <c r="AY201" i="91"/>
  <c r="BB201" i="91"/>
  <c r="AR202" i="91"/>
  <c r="AV202" i="91"/>
  <c r="AW202" i="91"/>
  <c r="AX202" i="91"/>
  <c r="BA202" i="91"/>
  <c r="BC202" i="91"/>
  <c r="AQ202" i="91"/>
  <c r="AT203" i="91"/>
  <c r="AU203" i="91"/>
  <c r="AY203" i="91"/>
  <c r="AZ203" i="91"/>
  <c r="BB203" i="91"/>
  <c r="AR204" i="91"/>
  <c r="AV204" i="91"/>
  <c r="AW204" i="91"/>
  <c r="AX204" i="91"/>
  <c r="BA204" i="91"/>
  <c r="BC204" i="91"/>
  <c r="AQ204" i="91"/>
  <c r="AT205" i="91"/>
  <c r="AY205" i="91"/>
  <c r="BB205" i="91"/>
  <c r="AR206" i="91"/>
  <c r="AV206" i="91"/>
  <c r="AW206" i="91"/>
  <c r="AX206" i="91"/>
  <c r="BA206" i="91"/>
  <c r="BC206" i="91"/>
  <c r="AQ206" i="91"/>
  <c r="AT207" i="91"/>
  <c r="AU207" i="91"/>
  <c r="AY207" i="91"/>
  <c r="AZ207" i="91"/>
  <c r="BB207" i="91"/>
  <c r="AR208" i="91"/>
  <c r="AV208" i="91"/>
  <c r="AW208" i="91"/>
  <c r="AX208" i="91"/>
  <c r="BA208" i="91"/>
  <c r="BC208" i="91"/>
  <c r="AQ208" i="91"/>
  <c r="AT209" i="91"/>
  <c r="AY209" i="91"/>
  <c r="BB209" i="91"/>
  <c r="AR210" i="91"/>
  <c r="AV210" i="91"/>
  <c r="AW210" i="91"/>
  <c r="AX210" i="91"/>
  <c r="BA210" i="91"/>
  <c r="BC210" i="91"/>
  <c r="AQ210" i="91"/>
  <c r="AT211" i="91"/>
  <c r="AY211" i="91"/>
  <c r="BB211" i="91"/>
  <c r="AR212" i="91"/>
  <c r="AV212" i="91"/>
  <c r="AW212" i="91"/>
  <c r="AX212" i="91"/>
  <c r="BA212" i="91"/>
  <c r="BC212" i="91"/>
  <c r="AQ212" i="91"/>
  <c r="AT213" i="91"/>
  <c r="AU213" i="91"/>
  <c r="AY213" i="91"/>
  <c r="AZ213" i="91"/>
  <c r="BB213" i="91"/>
  <c r="AR214" i="91"/>
  <c r="AV214" i="91"/>
  <c r="AW214" i="91"/>
  <c r="AX214" i="91"/>
  <c r="BA214" i="91"/>
  <c r="BC214" i="91"/>
  <c r="AQ214" i="91"/>
  <c r="AT215" i="91"/>
  <c r="AY215" i="91"/>
  <c r="BB215" i="91"/>
  <c r="AR216" i="91"/>
  <c r="AV216" i="91"/>
  <c r="AW216" i="91"/>
  <c r="AX216" i="91"/>
  <c r="BA216" i="91"/>
  <c r="BC216" i="91"/>
  <c r="AQ216" i="91"/>
  <c r="AT217" i="91"/>
  <c r="AU217" i="91"/>
  <c r="AY217" i="91"/>
  <c r="AZ217" i="91"/>
  <c r="BB217" i="91"/>
  <c r="AR218" i="91"/>
  <c r="AV218" i="91"/>
  <c r="AW218" i="91"/>
  <c r="AX218" i="91"/>
  <c r="BA218" i="91"/>
  <c r="BC218" i="91"/>
  <c r="AQ218" i="91"/>
  <c r="AT219" i="91"/>
  <c r="AU219" i="91"/>
  <c r="AY219" i="91"/>
  <c r="AZ219" i="91"/>
  <c r="BB219" i="91"/>
  <c r="AR220" i="91"/>
  <c r="AV220" i="91"/>
  <c r="AW220" i="91"/>
  <c r="AX220" i="91"/>
  <c r="BA220" i="91"/>
  <c r="BC220" i="91"/>
  <c r="AQ220" i="91"/>
  <c r="AT221" i="91"/>
  <c r="AU221" i="91"/>
  <c r="AY221" i="91"/>
  <c r="AZ221" i="91"/>
  <c r="BB221" i="91"/>
  <c r="AR222" i="91"/>
  <c r="AV222" i="91"/>
  <c r="AW222" i="91"/>
  <c r="AX222" i="91"/>
  <c r="BA222" i="91"/>
  <c r="BC222" i="91"/>
  <c r="AQ222" i="91"/>
  <c r="AT223" i="91"/>
  <c r="AU223" i="91"/>
  <c r="AY223" i="91"/>
  <c r="AZ223" i="91"/>
  <c r="BB223" i="91"/>
  <c r="AR224" i="91"/>
  <c r="AV224" i="91"/>
  <c r="AW224" i="91"/>
  <c r="AX224" i="91"/>
  <c r="BA224" i="91"/>
  <c r="BC224" i="91"/>
  <c r="AQ224" i="91"/>
  <c r="AT225" i="91"/>
  <c r="AY225" i="91"/>
  <c r="BB225" i="91"/>
  <c r="AR226" i="91"/>
  <c r="AV226" i="91"/>
  <c r="AW226" i="91"/>
  <c r="AX226" i="91"/>
  <c r="BA226" i="91"/>
  <c r="BC226" i="91"/>
  <c r="AQ226" i="91"/>
  <c r="AT227" i="91"/>
  <c r="AU227" i="91"/>
  <c r="AY227" i="91"/>
  <c r="AZ227" i="91"/>
  <c r="BB227" i="91"/>
  <c r="AR228" i="91"/>
  <c r="AV228" i="91"/>
  <c r="AW228" i="91"/>
  <c r="AX228" i="91"/>
  <c r="BA228" i="91"/>
  <c r="BC228" i="91"/>
  <c r="AQ228" i="91"/>
  <c r="AT229" i="91"/>
  <c r="AY229" i="91"/>
  <c r="BB229" i="91"/>
  <c r="AR230" i="91"/>
  <c r="AV230" i="91"/>
  <c r="AW230" i="91"/>
  <c r="AX230" i="91"/>
  <c r="BA230" i="91"/>
  <c r="BC230" i="91"/>
  <c r="AQ230" i="91"/>
  <c r="AT231" i="91"/>
  <c r="AU231" i="91"/>
  <c r="AY231" i="91"/>
  <c r="AZ231" i="91"/>
  <c r="BB231" i="91"/>
  <c r="AR232" i="91"/>
  <c r="AV232" i="91"/>
  <c r="AW232" i="91"/>
  <c r="AX232" i="91"/>
  <c r="BA232" i="91"/>
  <c r="BC232" i="91"/>
  <c r="AQ232" i="91"/>
  <c r="AT233" i="91"/>
  <c r="AY233" i="91"/>
  <c r="BB233" i="91"/>
  <c r="AR234" i="91"/>
  <c r="AV234" i="91"/>
  <c r="AW234" i="91"/>
  <c r="AX234" i="91"/>
  <c r="BA234" i="91"/>
  <c r="BC234" i="91"/>
  <c r="AQ234" i="91"/>
  <c r="AT235" i="91"/>
  <c r="AU235" i="91"/>
  <c r="AY235" i="91"/>
  <c r="AZ235" i="91"/>
  <c r="BB235" i="91"/>
  <c r="AR236" i="91"/>
  <c r="AV236" i="91"/>
  <c r="AW236" i="91"/>
  <c r="AX236" i="91"/>
  <c r="BA236" i="91"/>
  <c r="BC236" i="91"/>
  <c r="AQ236" i="91"/>
  <c r="AT237" i="91"/>
  <c r="AY237" i="91"/>
  <c r="BB237" i="91"/>
  <c r="AR238" i="91"/>
  <c r="AV238" i="91"/>
  <c r="AW238" i="91"/>
  <c r="AX238" i="91"/>
  <c r="BA238" i="91"/>
  <c r="BC238" i="91"/>
  <c r="AQ238" i="91"/>
  <c r="AT239" i="91"/>
  <c r="AU239" i="91"/>
  <c r="AY239" i="91"/>
  <c r="AZ239" i="91"/>
  <c r="BB239" i="91"/>
  <c r="AR240" i="91"/>
  <c r="AV240" i="91"/>
  <c r="AW240" i="91"/>
  <c r="AX240" i="91"/>
  <c r="BA240" i="91"/>
  <c r="BC240" i="91"/>
  <c r="AQ240" i="91"/>
  <c r="AT241" i="91"/>
  <c r="AY241" i="91"/>
  <c r="BB241" i="91"/>
  <c r="AR242" i="91"/>
  <c r="AV242" i="91"/>
  <c r="AW242" i="91"/>
  <c r="AX242" i="91"/>
  <c r="BA242" i="91"/>
  <c r="BC242" i="91"/>
  <c r="AQ242" i="91"/>
  <c r="AT243" i="91"/>
  <c r="AU243" i="91"/>
  <c r="AY243" i="91"/>
  <c r="AZ243" i="91"/>
  <c r="BB243" i="91"/>
  <c r="AR244" i="91"/>
  <c r="AV244" i="91"/>
  <c r="AW244" i="91"/>
  <c r="AX244" i="91"/>
  <c r="BA244" i="91"/>
  <c r="BC244" i="91"/>
  <c r="AQ244" i="91"/>
  <c r="AT245" i="91"/>
  <c r="AY245" i="91"/>
  <c r="BB245" i="91"/>
  <c r="AR246" i="91"/>
  <c r="AV246" i="91"/>
  <c r="AW246" i="91"/>
  <c r="AX246" i="91"/>
  <c r="BA246" i="91"/>
  <c r="BC246" i="91"/>
  <c r="AQ246" i="91"/>
  <c r="AT247" i="91"/>
  <c r="AU247" i="91"/>
  <c r="AY247" i="91"/>
  <c r="AZ247" i="91"/>
  <c r="BB247" i="91"/>
  <c r="AR248" i="91"/>
  <c r="AV248" i="91"/>
  <c r="AW248" i="91"/>
  <c r="AX248" i="91"/>
  <c r="BA248" i="91"/>
  <c r="BC248" i="91"/>
  <c r="AQ248" i="91"/>
  <c r="AT249" i="91"/>
  <c r="AY249" i="91"/>
  <c r="BB249" i="91"/>
  <c r="AR250" i="91"/>
  <c r="AV250" i="91"/>
  <c r="AW250" i="91"/>
  <c r="AX250" i="91"/>
  <c r="BA250" i="91"/>
  <c r="BC250" i="91"/>
  <c r="AQ250" i="91"/>
  <c r="AT251" i="91"/>
  <c r="AU251" i="91"/>
  <c r="AY251" i="91"/>
  <c r="AZ251" i="91"/>
  <c r="BB251" i="91"/>
  <c r="AR252" i="91"/>
  <c r="AV252" i="91"/>
  <c r="AW252" i="91"/>
  <c r="AX252" i="91"/>
  <c r="BA252" i="91"/>
  <c r="BC252" i="91"/>
  <c r="AQ252" i="91"/>
  <c r="AT253" i="91"/>
  <c r="AY253" i="91"/>
  <c r="BB253" i="91"/>
  <c r="AR254" i="91"/>
  <c r="AV254" i="91"/>
  <c r="AW254" i="91"/>
  <c r="AX254" i="91"/>
  <c r="BA254" i="91"/>
  <c r="BC254" i="91"/>
  <c r="AQ254" i="91"/>
  <c r="AT255" i="91"/>
  <c r="AY255" i="91"/>
  <c r="BB255" i="91"/>
  <c r="AR256" i="91"/>
  <c r="AV256" i="91"/>
  <c r="AW256" i="91"/>
  <c r="AX256" i="91"/>
  <c r="BA256" i="91"/>
  <c r="BC256" i="91"/>
  <c r="AQ256" i="91"/>
  <c r="AT257" i="91"/>
  <c r="AY257" i="91"/>
  <c r="BB257" i="91"/>
  <c r="AR258" i="91"/>
  <c r="AV258" i="91"/>
  <c r="AW258" i="91"/>
  <c r="AX258" i="91"/>
  <c r="BA258" i="91"/>
  <c r="BC258" i="91"/>
  <c r="AQ258" i="91"/>
  <c r="AT259" i="91"/>
  <c r="AY259" i="91"/>
  <c r="BB259" i="91"/>
  <c r="AR260" i="91"/>
  <c r="AV260" i="91"/>
  <c r="AW260" i="91"/>
  <c r="AX260" i="91"/>
  <c r="BA260" i="91"/>
  <c r="BC260" i="91"/>
  <c r="AQ260" i="91"/>
  <c r="AT261" i="91"/>
  <c r="AY261" i="91"/>
  <c r="BB261" i="91"/>
  <c r="AR262" i="91"/>
  <c r="AV262" i="91"/>
  <c r="AW262" i="91"/>
  <c r="AX262" i="91"/>
  <c r="BA262" i="91"/>
  <c r="BC262" i="91"/>
  <c r="AQ262" i="91"/>
  <c r="AT263" i="91"/>
  <c r="AY263" i="91"/>
  <c r="BB263" i="91"/>
  <c r="AR264" i="91"/>
  <c r="AV264" i="91"/>
  <c r="AW264" i="91"/>
  <c r="AX264" i="91"/>
  <c r="BA264" i="91"/>
  <c r="BC264" i="91"/>
  <c r="AQ264" i="91"/>
  <c r="AT265" i="91"/>
  <c r="AY265" i="91"/>
  <c r="BB265" i="91"/>
  <c r="AR266" i="91"/>
  <c r="AV266" i="91"/>
  <c r="AW266" i="91"/>
  <c r="AX266" i="91"/>
  <c r="BA266" i="91"/>
  <c r="BC266" i="91"/>
  <c r="AQ266" i="91"/>
  <c r="AT267" i="91"/>
  <c r="AY267" i="91"/>
  <c r="BB267" i="91"/>
  <c r="AR268" i="91"/>
  <c r="AV268" i="91"/>
  <c r="AW268" i="91"/>
  <c r="AX268" i="91"/>
  <c r="BA268" i="91"/>
  <c r="BC268" i="91"/>
  <c r="AQ268" i="91"/>
  <c r="AT269" i="91"/>
  <c r="AY269" i="91"/>
  <c r="BB269" i="91"/>
  <c r="AR270" i="91"/>
  <c r="AV270" i="91"/>
  <c r="AV102" i="91"/>
  <c r="AW102" i="91"/>
  <c r="AT103" i="91"/>
  <c r="AU103" i="91"/>
  <c r="AY103" i="91"/>
  <c r="AZ103" i="91"/>
  <c r="BB103" i="91"/>
  <c r="AR112" i="91"/>
  <c r="AV112" i="91"/>
  <c r="AW112" i="91"/>
  <c r="AX112" i="91"/>
  <c r="BA112" i="91"/>
  <c r="BC112" i="91"/>
  <c r="AQ112" i="91"/>
  <c r="AT128" i="91"/>
  <c r="AU128" i="91"/>
  <c r="AY128" i="91"/>
  <c r="AZ128" i="91"/>
  <c r="BB128" i="91"/>
  <c r="AR129" i="91"/>
  <c r="AV129" i="91"/>
  <c r="AW129" i="91"/>
  <c r="AX129" i="91"/>
  <c r="BA129" i="91"/>
  <c r="BC129" i="91"/>
  <c r="AQ129" i="91"/>
  <c r="AT130" i="91"/>
  <c r="AU130" i="91"/>
  <c r="AY130" i="91"/>
  <c r="AZ130" i="91"/>
  <c r="BB130" i="91"/>
  <c r="AR131" i="91"/>
  <c r="AV131" i="91"/>
  <c r="AW131" i="91"/>
  <c r="AX131" i="91"/>
  <c r="BA131" i="91"/>
  <c r="BC131" i="91"/>
  <c r="AQ131" i="91"/>
  <c r="AT132" i="91"/>
  <c r="AU132" i="91"/>
  <c r="AY132" i="91"/>
  <c r="AZ132" i="91"/>
  <c r="BB132" i="91"/>
  <c r="AR133" i="91"/>
  <c r="AV133" i="91"/>
  <c r="AW133" i="91"/>
  <c r="AX133" i="91"/>
  <c r="BA133" i="91"/>
  <c r="BC133" i="91"/>
  <c r="AQ133" i="91"/>
  <c r="AT134" i="91"/>
  <c r="AU134" i="91"/>
  <c r="AY134" i="91"/>
  <c r="AZ134" i="91"/>
  <c r="BB134" i="91"/>
  <c r="AR135" i="91"/>
  <c r="AV135" i="91"/>
  <c r="AW135" i="91"/>
  <c r="AX135" i="91"/>
  <c r="BA135" i="91"/>
  <c r="BC135" i="91"/>
  <c r="AQ135" i="91"/>
  <c r="AT136" i="91"/>
  <c r="AU136" i="91"/>
  <c r="AY136" i="91"/>
  <c r="AZ136" i="91"/>
  <c r="BB136" i="91"/>
  <c r="AR137" i="91"/>
  <c r="AV137" i="91"/>
  <c r="AW137" i="91"/>
  <c r="AX137" i="91"/>
  <c r="BA137" i="91"/>
  <c r="BC137" i="91"/>
  <c r="AQ137" i="91"/>
  <c r="AT138" i="91"/>
  <c r="AU138" i="91"/>
  <c r="AY138" i="91"/>
  <c r="AZ138" i="91"/>
  <c r="BB138" i="91"/>
  <c r="AR139" i="91"/>
  <c r="AV139" i="91"/>
  <c r="AW139" i="91"/>
  <c r="AX139" i="91"/>
  <c r="BA139" i="91"/>
  <c r="BC139" i="91"/>
  <c r="AQ139" i="91"/>
  <c r="AT140" i="91"/>
  <c r="AU140" i="91"/>
  <c r="AY140" i="91"/>
  <c r="AZ140" i="91"/>
  <c r="BB140" i="91"/>
  <c r="AR141" i="91"/>
  <c r="AV141" i="91"/>
  <c r="AW141" i="91"/>
  <c r="AX141" i="91"/>
  <c r="BA141" i="91"/>
  <c r="BC141" i="91"/>
  <c r="AQ141" i="91"/>
  <c r="AT142" i="91"/>
  <c r="AU142" i="91"/>
  <c r="AY142" i="91"/>
  <c r="AZ142" i="91"/>
  <c r="BB142" i="91"/>
  <c r="AR143" i="91"/>
  <c r="AV143" i="91"/>
  <c r="AW143" i="91"/>
  <c r="AX143" i="91"/>
  <c r="BA143" i="91"/>
  <c r="BC143" i="91"/>
  <c r="AQ143" i="91"/>
  <c r="AT144" i="91"/>
  <c r="AU144" i="91"/>
  <c r="AY144" i="91"/>
  <c r="AZ144" i="91"/>
  <c r="BB144" i="91"/>
  <c r="AR145" i="91"/>
  <c r="AV145" i="91"/>
  <c r="AW145" i="91"/>
  <c r="AX145" i="91"/>
  <c r="BA145" i="91"/>
  <c r="BC145" i="91"/>
  <c r="AQ145" i="91"/>
  <c r="AT146" i="91"/>
  <c r="AU146" i="91"/>
  <c r="AY146" i="91"/>
  <c r="AZ146" i="91"/>
  <c r="BB146" i="91"/>
  <c r="AR147" i="91"/>
  <c r="AV147" i="91"/>
  <c r="AW147" i="91"/>
  <c r="AX147" i="91"/>
  <c r="BA147" i="91"/>
  <c r="BC147" i="91"/>
  <c r="AQ147" i="91"/>
  <c r="AT148" i="91"/>
  <c r="AU148" i="91"/>
  <c r="AY148" i="91"/>
  <c r="AZ148" i="91"/>
  <c r="BB148" i="91"/>
  <c r="AR149" i="91"/>
  <c r="AV149" i="91"/>
  <c r="AW149" i="91"/>
  <c r="AX149" i="91"/>
  <c r="BA149" i="91"/>
  <c r="BC149" i="91"/>
  <c r="AQ149" i="91"/>
  <c r="AT150" i="91"/>
  <c r="AU150" i="91"/>
  <c r="AY150" i="91"/>
  <c r="AZ150" i="91"/>
  <c r="BB150" i="91"/>
  <c r="AR151" i="91"/>
  <c r="AV151" i="91"/>
  <c r="AW151" i="91"/>
  <c r="AX151" i="91"/>
  <c r="BA151" i="91"/>
  <c r="BC151" i="91"/>
  <c r="AQ151" i="91"/>
  <c r="AT152" i="91"/>
  <c r="AU152" i="91"/>
  <c r="AY152" i="91"/>
  <c r="AZ152" i="91"/>
  <c r="BB152" i="91"/>
  <c r="AR153" i="91"/>
  <c r="AV153" i="91"/>
  <c r="AW153" i="91"/>
  <c r="AX153" i="91"/>
  <c r="BA153" i="91"/>
  <c r="BC153" i="91"/>
  <c r="AQ153" i="91"/>
  <c r="AT154" i="91"/>
  <c r="AU154" i="91"/>
  <c r="AY154" i="91"/>
  <c r="AZ154" i="91"/>
  <c r="BB154" i="91"/>
  <c r="AR155" i="91"/>
  <c r="AV155" i="91"/>
  <c r="AW155" i="91"/>
  <c r="AX155" i="91"/>
  <c r="BA155" i="91"/>
  <c r="BC155" i="91"/>
  <c r="AQ155" i="91"/>
  <c r="AT156" i="91"/>
  <c r="AU156" i="91"/>
  <c r="AY156" i="91"/>
  <c r="AZ156" i="91"/>
  <c r="BB156" i="91"/>
  <c r="AR157" i="91"/>
  <c r="AW157" i="91"/>
  <c r="BA157" i="91"/>
  <c r="AQ157" i="91"/>
  <c r="AT158" i="91"/>
  <c r="AU158" i="91"/>
  <c r="AY158" i="91"/>
  <c r="AZ158" i="91"/>
  <c r="BB158" i="91"/>
  <c r="AR159" i="91"/>
  <c r="AV159" i="91"/>
  <c r="AW159" i="91"/>
  <c r="AX159" i="91"/>
  <c r="BA159" i="91"/>
  <c r="BC159" i="91"/>
  <c r="AQ159" i="91"/>
  <c r="AT160" i="91"/>
  <c r="AU160" i="91"/>
  <c r="AY160" i="91"/>
  <c r="AZ160" i="91"/>
  <c r="BB160" i="91"/>
  <c r="AR161" i="91"/>
  <c r="AW161" i="91"/>
  <c r="BA161" i="91"/>
  <c r="AQ161" i="91"/>
  <c r="AT162" i="91"/>
  <c r="AU162" i="91"/>
  <c r="AY162" i="91"/>
  <c r="AZ162" i="91"/>
  <c r="BB162" i="91"/>
  <c r="AR163" i="91"/>
  <c r="AV163" i="91"/>
  <c r="AW163" i="91"/>
  <c r="AX163" i="91"/>
  <c r="BA163" i="91"/>
  <c r="BC163" i="91"/>
  <c r="AQ163" i="91"/>
  <c r="AT164" i="91"/>
  <c r="AU164" i="91"/>
  <c r="AY164" i="91"/>
  <c r="AZ164" i="91"/>
  <c r="BB164" i="91"/>
  <c r="AR165" i="91"/>
  <c r="AW165" i="91"/>
  <c r="BA165" i="91"/>
  <c r="AQ165" i="91"/>
  <c r="AT166" i="91"/>
  <c r="AU166" i="91"/>
  <c r="AY166" i="91"/>
  <c r="AZ166" i="91"/>
  <c r="BB166" i="91"/>
  <c r="AR167" i="91"/>
  <c r="AV167" i="91"/>
  <c r="AW167" i="91"/>
  <c r="AX167" i="91"/>
  <c r="BA167" i="91"/>
  <c r="BC167" i="91"/>
  <c r="AQ167" i="91"/>
  <c r="AT168" i="91"/>
  <c r="AU168" i="91"/>
  <c r="AY168" i="91"/>
  <c r="AZ168" i="91"/>
  <c r="BB168" i="91"/>
  <c r="AR169" i="91"/>
  <c r="AW169" i="91"/>
  <c r="BA169" i="91"/>
  <c r="AQ169" i="91"/>
  <c r="AT170" i="91"/>
  <c r="AU170" i="91"/>
  <c r="AY170" i="91"/>
  <c r="AZ170" i="91"/>
  <c r="BB170" i="91"/>
  <c r="AR171" i="91"/>
  <c r="AV171" i="91"/>
  <c r="AW171" i="91"/>
  <c r="AX171" i="91"/>
  <c r="BA171" i="91"/>
  <c r="BC171" i="91"/>
  <c r="AQ171" i="91"/>
  <c r="AT172" i="91"/>
  <c r="AU172" i="91"/>
  <c r="AY172" i="91"/>
  <c r="AZ172" i="91"/>
  <c r="BB172" i="91"/>
  <c r="AR173" i="91"/>
  <c r="AW173" i="91"/>
  <c r="BA173" i="91"/>
  <c r="AQ173" i="91"/>
  <c r="AT174" i="91"/>
  <c r="AU174" i="91"/>
  <c r="AY174" i="91"/>
  <c r="AZ174" i="91"/>
  <c r="BB174" i="91"/>
  <c r="AR175" i="91"/>
  <c r="AV175" i="91"/>
  <c r="AW175" i="91"/>
  <c r="AX175" i="91"/>
  <c r="BA175" i="91"/>
  <c r="BC175" i="91"/>
  <c r="AQ175" i="91"/>
  <c r="AT176" i="91"/>
  <c r="AU176" i="91"/>
  <c r="AY176" i="91"/>
  <c r="AZ176" i="91"/>
  <c r="BB176" i="91"/>
  <c r="AR177" i="91"/>
  <c r="AW177" i="91"/>
  <c r="BA177" i="91"/>
  <c r="AQ177" i="91"/>
  <c r="AT178" i="91"/>
  <c r="AU178" i="91"/>
  <c r="AY178" i="91"/>
  <c r="AZ178" i="91"/>
  <c r="BB178" i="91"/>
  <c r="AR179" i="91"/>
  <c r="AV179" i="91"/>
  <c r="AW179" i="91"/>
  <c r="AX179" i="91"/>
  <c r="BA179" i="91"/>
  <c r="BC179" i="91"/>
  <c r="AQ179" i="91"/>
  <c r="AT180" i="91"/>
  <c r="AU180" i="91"/>
  <c r="AY180" i="91"/>
  <c r="AZ180" i="91"/>
  <c r="BB180" i="91"/>
  <c r="AR181" i="91"/>
  <c r="AW181" i="91"/>
  <c r="AW270" i="91"/>
  <c r="AX270" i="91"/>
  <c r="BA270" i="91"/>
  <c r="BC270" i="91"/>
  <c r="AQ270" i="91"/>
  <c r="AT271" i="91"/>
  <c r="AU271" i="91"/>
  <c r="AZ271" i="91"/>
  <c r="BB271" i="91"/>
  <c r="AR272" i="91"/>
  <c r="AV272" i="91"/>
  <c r="AW272" i="91"/>
  <c r="AX272" i="91"/>
  <c r="BA272" i="91"/>
  <c r="BC272" i="91"/>
  <c r="AQ272" i="91"/>
  <c r="AT273" i="91"/>
  <c r="AU273" i="91"/>
  <c r="AY273" i="91"/>
  <c r="AZ273" i="91"/>
  <c r="BB273" i="91"/>
  <c r="AR274" i="91"/>
  <c r="AV274" i="91"/>
  <c r="AW274" i="91"/>
  <c r="AX274" i="91"/>
  <c r="BA274" i="91"/>
  <c r="BC274" i="91"/>
  <c r="AQ274" i="91"/>
  <c r="AT275" i="91"/>
  <c r="AU275" i="91"/>
  <c r="AZ275" i="91"/>
  <c r="BB275" i="91"/>
  <c r="AR276" i="91"/>
  <c r="AV276" i="91"/>
  <c r="AW276" i="91"/>
  <c r="AX276" i="91"/>
  <c r="BA276" i="91"/>
  <c r="BC276" i="91"/>
  <c r="AQ276" i="91"/>
  <c r="AT277" i="91"/>
  <c r="AU277" i="91"/>
  <c r="AY277" i="91"/>
  <c r="AZ277" i="91"/>
  <c r="BB277" i="91"/>
  <c r="AR278" i="91"/>
  <c r="AV278" i="91"/>
  <c r="AW278" i="91"/>
  <c r="AX278" i="91"/>
  <c r="BA278" i="91"/>
  <c r="BC278" i="91"/>
  <c r="AQ278" i="91"/>
  <c r="AT279" i="91"/>
  <c r="AU279" i="91"/>
  <c r="AZ279" i="91"/>
  <c r="BB279" i="91"/>
  <c r="AR280" i="91"/>
  <c r="AV280" i="91"/>
  <c r="AW280" i="91"/>
  <c r="AX280" i="91"/>
  <c r="BA280" i="91"/>
  <c r="BC280" i="91"/>
  <c r="AQ280" i="91"/>
  <c r="AW281" i="91"/>
  <c r="AR282" i="91"/>
  <c r="AV282" i="91"/>
  <c r="AW282" i="91"/>
  <c r="AX282" i="91"/>
  <c r="BA282" i="91"/>
  <c r="BC282" i="91"/>
  <c r="AQ282" i="91"/>
  <c r="AR283" i="91"/>
  <c r="AW283" i="91"/>
  <c r="BA283" i="91"/>
  <c r="AR284" i="91"/>
  <c r="AV284" i="91"/>
  <c r="AW284" i="91"/>
  <c r="AX284" i="91"/>
  <c r="BA284" i="91"/>
  <c r="BC284" i="91"/>
  <c r="AQ284" i="91"/>
  <c r="AW285" i="91"/>
  <c r="AR286" i="91"/>
  <c r="AV286" i="91"/>
  <c r="AW286" i="91"/>
  <c r="AX286" i="91"/>
  <c r="BA286" i="91"/>
  <c r="BC286" i="91"/>
  <c r="AQ286" i="91"/>
  <c r="AR287" i="91"/>
  <c r="AW287" i="91"/>
  <c r="AR288" i="91"/>
  <c r="AV288" i="91"/>
  <c r="AW288" i="91"/>
  <c r="AX288" i="91"/>
  <c r="BA288" i="91"/>
  <c r="BC288" i="91"/>
  <c r="AQ288" i="91"/>
  <c r="AW289" i="91"/>
  <c r="AR290" i="91"/>
  <c r="AV290" i="91"/>
  <c r="AW290" i="91"/>
  <c r="AX290" i="91"/>
  <c r="BA290" i="91"/>
  <c r="BC290" i="91"/>
  <c r="AQ290" i="91"/>
  <c r="AW291" i="91"/>
  <c r="AR292" i="91"/>
  <c r="AV292" i="91"/>
  <c r="AW292" i="91"/>
  <c r="AX292" i="91"/>
  <c r="BA292" i="91"/>
  <c r="BC292" i="91"/>
  <c r="AQ292" i="91"/>
  <c r="AW293" i="91"/>
  <c r="AR294" i="91"/>
  <c r="AV294" i="91"/>
  <c r="AW294" i="91"/>
  <c r="AX294" i="91"/>
  <c r="BA294" i="91"/>
  <c r="BC294" i="91"/>
  <c r="AQ294" i="91"/>
  <c r="AW295" i="91"/>
  <c r="AR296" i="91"/>
  <c r="AV296" i="91"/>
  <c r="AW296" i="91"/>
  <c r="AX296" i="91"/>
  <c r="BA296" i="91"/>
  <c r="BC296" i="91"/>
  <c r="AQ296" i="91"/>
  <c r="BA297" i="91"/>
  <c r="AT298" i="91"/>
  <c r="AU298" i="91"/>
  <c r="AY298" i="91"/>
  <c r="AZ298" i="91"/>
  <c r="BB298" i="91"/>
  <c r="AR300" i="91"/>
  <c r="AV300" i="91"/>
  <c r="AW300" i="91"/>
  <c r="AX300" i="91"/>
  <c r="BA300" i="91"/>
  <c r="BC300" i="91"/>
  <c r="AQ300" i="91"/>
  <c r="AT302" i="91"/>
  <c r="AU302" i="91"/>
  <c r="AY302" i="91"/>
  <c r="AZ302" i="91"/>
  <c r="BB302" i="91"/>
  <c r="AR304" i="91"/>
  <c r="AV304" i="91"/>
  <c r="AW304" i="91"/>
  <c r="AX304" i="91"/>
  <c r="BA304" i="91"/>
  <c r="BC304" i="91"/>
  <c r="AQ304" i="91"/>
  <c r="BA305" i="91"/>
  <c r="AT306" i="91"/>
  <c r="AU306" i="91"/>
  <c r="AY306" i="91"/>
  <c r="AZ306" i="91"/>
  <c r="BB306" i="91"/>
  <c r="AR308" i="91"/>
  <c r="AV308" i="91"/>
  <c r="AW308" i="91"/>
  <c r="AX308" i="91"/>
  <c r="BA308" i="91"/>
  <c r="BC308" i="91"/>
  <c r="AQ308" i="91"/>
  <c r="AT310" i="91"/>
  <c r="AU310" i="91"/>
  <c r="AY310" i="91"/>
  <c r="AZ310" i="91"/>
  <c r="BB310" i="91"/>
  <c r="AR312" i="91"/>
  <c r="AV312" i="91"/>
  <c r="AW312" i="91"/>
  <c r="AX312" i="91"/>
  <c r="BA312" i="91"/>
  <c r="BC312" i="91"/>
  <c r="AQ312" i="91"/>
  <c r="BA313" i="91"/>
  <c r="AT314" i="91"/>
  <c r="AU314" i="91"/>
  <c r="AY314" i="91"/>
  <c r="AZ314" i="91"/>
  <c r="BB314" i="91"/>
  <c r="AR316" i="91"/>
  <c r="AV316" i="91"/>
  <c r="AW316" i="91"/>
  <c r="AX316" i="91"/>
  <c r="BA316" i="91"/>
  <c r="BC316" i="91"/>
  <c r="AQ316" i="91"/>
  <c r="AT318" i="91"/>
  <c r="AU318" i="91"/>
  <c r="AY318" i="91"/>
  <c r="AZ318" i="91"/>
  <c r="BB318" i="91"/>
  <c r="AR320" i="91"/>
  <c r="AV320" i="91"/>
  <c r="AW320" i="91"/>
  <c r="AX320" i="91"/>
  <c r="BA320" i="91"/>
  <c r="BC320" i="91"/>
  <c r="AQ320" i="91"/>
  <c r="BA321" i="91"/>
  <c r="AT322" i="91"/>
  <c r="AU322" i="91"/>
  <c r="AY322" i="91"/>
  <c r="AZ322" i="91"/>
  <c r="BB322" i="91"/>
  <c r="AR324" i="91"/>
  <c r="AV324" i="91"/>
  <c r="AW324" i="91"/>
  <c r="AX324" i="91"/>
  <c r="BA324" i="91"/>
  <c r="AX326" i="91"/>
  <c r="BC326" i="91"/>
  <c r="AQ326" i="91"/>
  <c r="BA327" i="91"/>
  <c r="AT328" i="91"/>
  <c r="BB328" i="91"/>
  <c r="BA330" i="91"/>
  <c r="AU332" i="91"/>
  <c r="AX334" i="91"/>
  <c r="BC334" i="91"/>
  <c r="AQ334" i="91"/>
  <c r="BA335" i="91"/>
  <c r="AT336" i="91"/>
  <c r="BB336" i="91"/>
  <c r="BA337" i="91"/>
  <c r="BA338" i="91"/>
  <c r="AU340" i="91"/>
  <c r="AX342" i="91"/>
  <c r="BC342" i="91"/>
  <c r="AQ342" i="91"/>
  <c r="AX344" i="91"/>
  <c r="BC344" i="91"/>
  <c r="AQ344" i="91"/>
  <c r="BB345" i="91"/>
  <c r="AT346" i="91"/>
  <c r="BB346" i="91"/>
  <c r="AU348" i="91"/>
  <c r="BA181" i="91"/>
  <c r="AQ181" i="91"/>
  <c r="AT182" i="91"/>
  <c r="AU182" i="91"/>
  <c r="AY182" i="91"/>
  <c r="AZ182" i="91"/>
  <c r="BB182" i="91"/>
  <c r="AR183" i="91"/>
  <c r="AV183" i="91"/>
  <c r="AW183" i="91"/>
  <c r="AX183" i="91"/>
  <c r="BA183" i="91"/>
  <c r="BC183" i="91"/>
  <c r="AQ183" i="91"/>
  <c r="AT184" i="91"/>
  <c r="AU184" i="91"/>
  <c r="AY184" i="91"/>
  <c r="AZ184" i="91"/>
  <c r="BB184" i="91"/>
  <c r="AR185" i="91"/>
  <c r="AW185" i="91"/>
  <c r="BA185" i="91"/>
  <c r="AQ185" i="91"/>
  <c r="AT186" i="91"/>
  <c r="AU186" i="91"/>
  <c r="AY186" i="91"/>
  <c r="AZ186" i="91"/>
  <c r="BB186" i="91"/>
  <c r="AR187" i="91"/>
  <c r="AV187" i="91"/>
  <c r="AW187" i="91"/>
  <c r="AX187" i="91"/>
  <c r="BA187" i="91"/>
  <c r="BC187" i="91"/>
  <c r="AQ187" i="91"/>
  <c r="AT188" i="91"/>
  <c r="AU188" i="91"/>
  <c r="AY188" i="91"/>
  <c r="AZ188" i="91"/>
  <c r="BB188" i="91"/>
  <c r="AR189" i="91"/>
  <c r="AW189" i="91"/>
  <c r="BA189" i="91"/>
  <c r="AQ189" i="91"/>
  <c r="AT190" i="91"/>
  <c r="AU190" i="91"/>
  <c r="AY190" i="91"/>
  <c r="AZ190" i="91"/>
  <c r="BB190" i="91"/>
  <c r="AR191" i="91"/>
  <c r="AV191" i="91"/>
  <c r="AW191" i="91"/>
  <c r="AX191" i="91"/>
  <c r="BA191" i="91"/>
  <c r="BC191" i="91"/>
  <c r="AQ191" i="91"/>
  <c r="AT192" i="91"/>
  <c r="AU192" i="91"/>
  <c r="AY192" i="91"/>
  <c r="AZ192" i="91"/>
  <c r="BB192" i="91"/>
  <c r="AR193" i="91"/>
  <c r="AW193" i="91"/>
  <c r="BA193" i="91"/>
  <c r="AQ193" i="91"/>
  <c r="AT194" i="91"/>
  <c r="AU194" i="91"/>
  <c r="AY194" i="91"/>
  <c r="AZ194" i="91"/>
  <c r="BB194" i="91"/>
  <c r="AR195" i="91"/>
  <c r="AV195" i="91"/>
  <c r="AW195" i="91"/>
  <c r="AX195" i="91"/>
  <c r="BA195" i="91"/>
  <c r="BC195" i="91"/>
  <c r="AQ195" i="91"/>
  <c r="AT196" i="91"/>
  <c r="AU196" i="91"/>
  <c r="AY196" i="91"/>
  <c r="AZ196" i="91"/>
  <c r="BB196" i="91"/>
  <c r="AR197" i="91"/>
  <c r="AW197" i="91"/>
  <c r="BA197" i="91"/>
  <c r="AQ197" i="91"/>
  <c r="AT198" i="91"/>
  <c r="AU198" i="91"/>
  <c r="AY198" i="91"/>
  <c r="AZ198" i="91"/>
  <c r="BB198" i="91"/>
  <c r="AR199" i="91"/>
  <c r="AV199" i="91"/>
  <c r="AW199" i="91"/>
  <c r="AX199" i="91"/>
  <c r="BA199" i="91"/>
  <c r="BC199" i="91"/>
  <c r="AQ199" i="91"/>
  <c r="AT200" i="91"/>
  <c r="AU200" i="91"/>
  <c r="AY200" i="91"/>
  <c r="AZ200" i="91"/>
  <c r="BB200" i="91"/>
  <c r="AR201" i="91"/>
  <c r="AW201" i="91"/>
  <c r="BA201" i="91"/>
  <c r="AQ201" i="91"/>
  <c r="AT202" i="91"/>
  <c r="AU202" i="91"/>
  <c r="AY202" i="91"/>
  <c r="AZ202" i="91"/>
  <c r="BB202" i="91"/>
  <c r="AR203" i="91"/>
  <c r="AV203" i="91"/>
  <c r="AW203" i="91"/>
  <c r="AX203" i="91"/>
  <c r="BA203" i="91"/>
  <c r="BC203" i="91"/>
  <c r="AQ203" i="91"/>
  <c r="AT204" i="91"/>
  <c r="AU204" i="91"/>
  <c r="AY204" i="91"/>
  <c r="AZ204" i="91"/>
  <c r="BB204" i="91"/>
  <c r="AR205" i="91"/>
  <c r="AW205" i="91"/>
  <c r="BA205" i="91"/>
  <c r="AQ205" i="91"/>
  <c r="AT206" i="91"/>
  <c r="AU206" i="91"/>
  <c r="AY206" i="91"/>
  <c r="AZ206" i="91"/>
  <c r="BB206" i="91"/>
  <c r="AR207" i="91"/>
  <c r="AV207" i="91"/>
  <c r="AW207" i="91"/>
  <c r="AX207" i="91"/>
  <c r="BA207" i="91"/>
  <c r="BC207" i="91"/>
  <c r="AQ207" i="91"/>
  <c r="AT208" i="91"/>
  <c r="AU208" i="91"/>
  <c r="AY208" i="91"/>
  <c r="AZ208" i="91"/>
  <c r="BB208" i="91"/>
  <c r="AR209" i="91"/>
  <c r="AW209" i="91"/>
  <c r="BA209" i="91"/>
  <c r="AQ209" i="91"/>
  <c r="AT210" i="91"/>
  <c r="AU210" i="91"/>
  <c r="AY210" i="91"/>
  <c r="AZ210" i="91"/>
  <c r="BB210" i="91"/>
  <c r="AR211" i="91"/>
  <c r="AW211" i="91"/>
  <c r="BA211" i="91"/>
  <c r="AQ211" i="91"/>
  <c r="AT212" i="91"/>
  <c r="AU212" i="91"/>
  <c r="AY212" i="91"/>
  <c r="AZ212" i="91"/>
  <c r="BB212" i="91"/>
  <c r="AR213" i="91"/>
  <c r="AV213" i="91"/>
  <c r="AW213" i="91"/>
  <c r="AX213" i="91"/>
  <c r="BA213" i="91"/>
  <c r="BC213" i="91"/>
  <c r="AQ213" i="91"/>
  <c r="AT214" i="91"/>
  <c r="AU214" i="91"/>
  <c r="AY214" i="91"/>
  <c r="AZ214" i="91"/>
  <c r="BB214" i="91"/>
  <c r="AR215" i="91"/>
  <c r="AW215" i="91"/>
  <c r="BA215" i="91"/>
  <c r="BC215" i="91"/>
  <c r="AQ215" i="91"/>
  <c r="AT216" i="91"/>
  <c r="AU216" i="91"/>
  <c r="AY216" i="91"/>
  <c r="AZ216" i="91"/>
  <c r="BB216" i="91"/>
  <c r="AR217" i="91"/>
  <c r="AW217" i="91"/>
  <c r="AX217" i="91"/>
  <c r="BA217" i="91"/>
  <c r="BC217" i="91"/>
  <c r="AQ217" i="91"/>
  <c r="AT218" i="91"/>
  <c r="AU218" i="91"/>
  <c r="AY218" i="91"/>
  <c r="AZ218" i="91"/>
  <c r="BB218" i="91"/>
  <c r="AR219" i="91"/>
  <c r="AW219" i="91"/>
  <c r="AX219" i="91"/>
  <c r="BA219" i="91"/>
  <c r="BC219" i="91"/>
  <c r="AQ219" i="91"/>
  <c r="AT220" i="91"/>
  <c r="AU220" i="91"/>
  <c r="AY220" i="91"/>
  <c r="AZ220" i="91"/>
  <c r="BB220" i="91"/>
  <c r="AR221" i="91"/>
  <c r="AW221" i="91"/>
  <c r="AX221" i="91"/>
  <c r="BA221" i="91"/>
  <c r="BC221" i="91"/>
  <c r="AQ221" i="91"/>
  <c r="AT222" i="91"/>
  <c r="AU222" i="91"/>
  <c r="AY222" i="91"/>
  <c r="AZ222" i="91"/>
  <c r="BB222" i="91"/>
  <c r="AR223" i="91"/>
  <c r="AW223" i="91"/>
  <c r="AX223" i="91"/>
  <c r="BA223" i="91"/>
  <c r="BC223" i="91"/>
  <c r="AQ223" i="91"/>
  <c r="AT224" i="91"/>
  <c r="AU224" i="91"/>
  <c r="AY224" i="91"/>
  <c r="AZ224" i="91"/>
  <c r="BB224" i="91"/>
  <c r="AR225" i="91"/>
  <c r="AW225" i="91"/>
  <c r="BA225" i="91"/>
  <c r="AQ225" i="91"/>
  <c r="AT226" i="91"/>
  <c r="AU226" i="91"/>
  <c r="AY226" i="91"/>
  <c r="AZ226" i="91"/>
  <c r="BB226" i="91"/>
  <c r="AR227" i="91"/>
  <c r="AV227" i="91"/>
  <c r="AW227" i="91"/>
  <c r="AX227" i="91"/>
  <c r="BA227" i="91"/>
  <c r="BC227" i="91"/>
  <c r="AQ227" i="91"/>
  <c r="AT228" i="91"/>
  <c r="AU228" i="91"/>
  <c r="AY228" i="91"/>
  <c r="AZ228" i="91"/>
  <c r="BB228" i="91"/>
  <c r="AR229" i="91"/>
  <c r="AW229" i="91"/>
  <c r="BA229" i="91"/>
  <c r="AQ229" i="91"/>
  <c r="AT230" i="91"/>
  <c r="AU230" i="91"/>
  <c r="AY230" i="91"/>
  <c r="AZ230" i="91"/>
  <c r="BB230" i="91"/>
  <c r="AR231" i="91"/>
  <c r="AV231" i="91"/>
  <c r="AW231" i="91"/>
  <c r="AX231" i="91"/>
  <c r="BA231" i="91"/>
  <c r="BC231" i="91"/>
  <c r="AQ231" i="91"/>
  <c r="AT232" i="91"/>
  <c r="AU232" i="91"/>
  <c r="AY232" i="91"/>
  <c r="AZ232" i="91"/>
  <c r="BB232" i="91"/>
  <c r="AR233" i="91"/>
  <c r="AW233" i="91"/>
  <c r="BA233" i="91"/>
  <c r="AQ233" i="91"/>
  <c r="AT234" i="91"/>
  <c r="AU234" i="91"/>
  <c r="AY234" i="91"/>
  <c r="AZ234" i="91"/>
  <c r="BB234" i="91"/>
  <c r="AR235" i="91"/>
  <c r="AV235" i="91"/>
  <c r="AW235" i="91"/>
  <c r="AX235" i="91"/>
  <c r="BA235" i="91"/>
  <c r="BC235" i="91"/>
  <c r="AQ235" i="91"/>
  <c r="AT236" i="91"/>
  <c r="AU236" i="91"/>
  <c r="AY236" i="91"/>
  <c r="AZ236" i="91"/>
  <c r="BB236" i="91"/>
  <c r="AR237" i="91"/>
  <c r="AW237" i="91"/>
  <c r="BA237" i="91"/>
  <c r="AQ237" i="91"/>
  <c r="AT238" i="91"/>
  <c r="AU238" i="91"/>
  <c r="AY238" i="91"/>
  <c r="AZ238" i="91"/>
  <c r="BB238" i="91"/>
  <c r="AR239" i="91"/>
  <c r="AV239" i="91"/>
  <c r="AW239" i="91"/>
  <c r="AX239" i="91"/>
  <c r="BA239" i="91"/>
  <c r="BC239" i="91"/>
  <c r="AQ239" i="91"/>
  <c r="AT240" i="91"/>
  <c r="AU240" i="91"/>
  <c r="AY240" i="91"/>
  <c r="AZ240" i="91"/>
  <c r="BB240" i="91"/>
  <c r="AR241" i="91"/>
  <c r="AW241" i="91"/>
  <c r="BA241" i="91"/>
  <c r="AQ241" i="91"/>
  <c r="AT242" i="91"/>
  <c r="AU242" i="91"/>
  <c r="AY242" i="91"/>
  <c r="AZ242" i="91"/>
  <c r="BB242" i="91"/>
  <c r="AR243" i="91"/>
  <c r="AV243" i="91"/>
  <c r="AW243" i="91"/>
  <c r="AX243" i="91"/>
  <c r="BA243" i="91"/>
  <c r="BC243" i="91"/>
  <c r="AQ243" i="91"/>
  <c r="AT244" i="91"/>
  <c r="AU244" i="91"/>
  <c r="AY244" i="91"/>
  <c r="AZ244" i="91"/>
  <c r="BB244" i="91"/>
  <c r="AR245" i="91"/>
  <c r="AW245" i="91"/>
  <c r="BA245" i="91"/>
  <c r="AQ245" i="91"/>
  <c r="AT246" i="91"/>
  <c r="AU246" i="91"/>
  <c r="AY246" i="91"/>
  <c r="AZ246" i="91"/>
  <c r="BB246" i="91"/>
  <c r="AR247" i="91"/>
  <c r="AV247" i="91"/>
  <c r="AW247" i="91"/>
  <c r="AX247" i="91"/>
  <c r="BA247" i="91"/>
  <c r="BC247" i="91"/>
  <c r="AQ247" i="91"/>
  <c r="AT248" i="91"/>
  <c r="AU248" i="91"/>
  <c r="AY248" i="91"/>
  <c r="AZ248" i="91"/>
  <c r="BB248" i="91"/>
  <c r="AR249" i="91"/>
  <c r="AW249" i="91"/>
  <c r="BA249" i="91"/>
  <c r="AQ249" i="91"/>
  <c r="AT250" i="91"/>
  <c r="AU250" i="91"/>
  <c r="AY250" i="91"/>
  <c r="AZ250" i="91"/>
  <c r="BB250" i="91"/>
  <c r="AR251" i="91"/>
  <c r="AV251" i="91"/>
  <c r="AW251" i="91"/>
  <c r="AX251" i="91"/>
  <c r="BA251" i="91"/>
  <c r="BC251" i="91"/>
  <c r="AQ251" i="91"/>
  <c r="AT252" i="91"/>
  <c r="AU252" i="91"/>
  <c r="AY252" i="91"/>
  <c r="AZ252" i="91"/>
  <c r="BB252" i="91"/>
  <c r="AR253" i="91"/>
  <c r="AW253" i="91"/>
  <c r="BA253" i="91"/>
  <c r="BC253" i="91"/>
  <c r="AQ253" i="91"/>
  <c r="AT254" i="91"/>
  <c r="AU254" i="91"/>
  <c r="AY254" i="91"/>
  <c r="AZ254" i="91"/>
  <c r="BB254" i="91"/>
  <c r="AR255" i="91"/>
  <c r="AW255" i="91"/>
  <c r="BA255" i="91"/>
  <c r="BC255" i="91"/>
  <c r="AQ255" i="91"/>
  <c r="AT256" i="91"/>
  <c r="AU256" i="91"/>
  <c r="AY256" i="91"/>
  <c r="AZ256" i="91"/>
  <c r="BB256" i="91"/>
  <c r="AR257" i="91"/>
  <c r="AW257" i="91"/>
  <c r="BA257" i="91"/>
  <c r="BC257" i="91"/>
  <c r="AQ257" i="91"/>
  <c r="AT258" i="91"/>
  <c r="AU258" i="91"/>
  <c r="AY258" i="91"/>
  <c r="AZ258" i="91"/>
  <c r="BB258" i="91"/>
  <c r="AR259" i="91"/>
  <c r="AW259" i="91"/>
  <c r="BA259" i="91"/>
  <c r="BC259" i="91"/>
  <c r="AQ259" i="91"/>
  <c r="AT260" i="91"/>
  <c r="AU260" i="91"/>
  <c r="AY260" i="91"/>
  <c r="AZ260" i="91"/>
  <c r="BB260" i="91"/>
  <c r="AR261" i="91"/>
  <c r="AW261" i="91"/>
  <c r="BA261" i="91"/>
  <c r="BC261" i="91"/>
  <c r="AQ261" i="91"/>
  <c r="AT262" i="91"/>
  <c r="AU262" i="91"/>
  <c r="AY262" i="91"/>
  <c r="AZ262" i="91"/>
  <c r="BB262" i="91"/>
  <c r="AR263" i="91"/>
  <c r="AW263" i="91"/>
  <c r="BA263" i="91"/>
  <c r="BC263" i="91"/>
  <c r="AQ263" i="91"/>
  <c r="AT264" i="91"/>
  <c r="AU264" i="91"/>
  <c r="AY264" i="91"/>
  <c r="AZ264" i="91"/>
  <c r="BB264" i="91"/>
  <c r="AR265" i="91"/>
  <c r="AW265" i="91"/>
  <c r="BA265" i="91"/>
  <c r="BC265" i="91"/>
  <c r="AQ265" i="91"/>
  <c r="AT266" i="91"/>
  <c r="AU266" i="91"/>
  <c r="AY266" i="91"/>
  <c r="AZ266" i="91"/>
  <c r="BB266" i="91"/>
  <c r="AR267" i="91"/>
  <c r="AW267" i="91"/>
  <c r="BA267" i="91"/>
  <c r="BC267" i="91"/>
  <c r="AQ267" i="91"/>
  <c r="AT268" i="91"/>
  <c r="AU268" i="91"/>
  <c r="AY268" i="91"/>
  <c r="AZ268" i="91"/>
  <c r="BB268" i="91"/>
  <c r="AR269" i="91"/>
  <c r="AW269" i="91"/>
  <c r="AX269" i="91"/>
  <c r="BA269" i="91"/>
  <c r="AQ269" i="91"/>
  <c r="BC349" i="91"/>
  <c r="AQ349" i="91"/>
  <c r="BA347" i="91"/>
  <c r="AY345" i="91"/>
  <c r="AW341" i="91"/>
  <c r="AW339" i="91"/>
  <c r="AW337" i="91"/>
  <c r="AW335" i="91"/>
  <c r="AW333" i="91"/>
  <c r="AW331" i="91"/>
  <c r="AW329" i="91"/>
  <c r="AW327" i="91"/>
  <c r="AW325" i="91"/>
  <c r="AW323" i="91"/>
  <c r="AW321" i="91"/>
  <c r="AW319" i="91"/>
  <c r="AW317" i="91"/>
  <c r="AW315" i="91"/>
  <c r="AW313" i="91"/>
  <c r="AW311" i="91"/>
  <c r="AW309" i="91"/>
  <c r="AW307" i="91"/>
  <c r="AW305" i="91"/>
  <c r="AW303" i="91"/>
  <c r="AW301" i="91"/>
  <c r="AW299" i="91"/>
  <c r="AW297" i="91"/>
  <c r="AT270" i="91"/>
  <c r="AU270" i="91"/>
  <c r="AY270" i="91"/>
  <c r="AZ270" i="91"/>
  <c r="BB270" i="91"/>
  <c r="AV271" i="91"/>
  <c r="AX271" i="91"/>
  <c r="BC271" i="91"/>
  <c r="AQ271" i="91"/>
  <c r="AT272" i="91"/>
  <c r="AU272" i="91"/>
  <c r="AY272" i="91"/>
  <c r="AZ272" i="91"/>
  <c r="BB272" i="91"/>
  <c r="AV273" i="91"/>
  <c r="AX273" i="91"/>
  <c r="BA273" i="91"/>
  <c r="BC273" i="91"/>
  <c r="AT274" i="91"/>
  <c r="AU274" i="91"/>
  <c r="AY274" i="91"/>
  <c r="AZ274" i="91"/>
  <c r="BB274" i="91"/>
  <c r="AV275" i="91"/>
  <c r="AX275" i="91"/>
  <c r="BC275" i="91"/>
  <c r="AQ275" i="91"/>
  <c r="AT276" i="91"/>
  <c r="AU276" i="91"/>
  <c r="AY276" i="91"/>
  <c r="AZ276" i="91"/>
  <c r="BB276" i="91"/>
  <c r="AV277" i="91"/>
  <c r="AX277" i="91"/>
  <c r="BA277" i="91"/>
  <c r="BC277" i="91"/>
  <c r="AT278" i="91"/>
  <c r="AU278" i="91"/>
  <c r="AY278" i="91"/>
  <c r="AZ278" i="91"/>
  <c r="BB278" i="91"/>
  <c r="AV279" i="91"/>
  <c r="AX279" i="91"/>
  <c r="BC279" i="91"/>
  <c r="AQ279" i="91"/>
  <c r="AT280" i="91"/>
  <c r="AU280" i="91"/>
  <c r="AY280" i="91"/>
  <c r="AZ280" i="91"/>
  <c r="BB280" i="91"/>
  <c r="AV281" i="91"/>
  <c r="AX281" i="91"/>
  <c r="AQ281" i="91"/>
  <c r="AT282" i="91"/>
  <c r="AU282" i="91"/>
  <c r="AY282" i="91"/>
  <c r="AZ282" i="91"/>
  <c r="BB282" i="91"/>
  <c r="AV283" i="91"/>
  <c r="BC283" i="91"/>
  <c r="AQ283" i="91"/>
  <c r="AT284" i="91"/>
  <c r="AU284" i="91"/>
  <c r="AY284" i="91"/>
  <c r="AZ284" i="91"/>
  <c r="BB284" i="91"/>
  <c r="AV285" i="91"/>
  <c r="AX285" i="91"/>
  <c r="AQ285" i="91"/>
  <c r="AT286" i="91"/>
  <c r="AU286" i="91"/>
  <c r="AY286" i="91"/>
  <c r="AZ286" i="91"/>
  <c r="BB286" i="91"/>
  <c r="AV287" i="91"/>
  <c r="AT288" i="91"/>
  <c r="AU288" i="91"/>
  <c r="AY288" i="91"/>
  <c r="AZ288" i="91"/>
  <c r="BB288" i="91"/>
  <c r="BA289" i="91"/>
  <c r="AT290" i="91"/>
  <c r="AU290" i="91"/>
  <c r="AY290" i="91"/>
  <c r="AZ290" i="91"/>
  <c r="BB290" i="91"/>
  <c r="AT292" i="91"/>
  <c r="AU292" i="91"/>
  <c r="AY292" i="91"/>
  <c r="AZ292" i="91"/>
  <c r="BB292" i="91"/>
  <c r="BA293" i="91"/>
  <c r="AT294" i="91"/>
  <c r="AU294" i="91"/>
  <c r="AY294" i="91"/>
  <c r="AZ294" i="91"/>
  <c r="BB294" i="91"/>
  <c r="AT296" i="91"/>
  <c r="AU296" i="91"/>
  <c r="AY296" i="91"/>
  <c r="AZ296" i="91"/>
  <c r="BB296" i="91"/>
  <c r="AR298" i="91"/>
  <c r="AV298" i="91"/>
  <c r="AW298" i="91"/>
  <c r="AX298" i="91"/>
  <c r="BA298" i="91"/>
  <c r="BC298" i="91"/>
  <c r="AQ298" i="91"/>
  <c r="BA299" i="91"/>
  <c r="AT300" i="91"/>
  <c r="AU300" i="91"/>
  <c r="AY300" i="91"/>
  <c r="AZ300" i="91"/>
  <c r="BB300" i="91"/>
  <c r="AR302" i="91"/>
  <c r="AV302" i="91"/>
  <c r="AW302" i="91"/>
  <c r="AX302" i="91"/>
  <c r="BA302" i="91"/>
  <c r="BC302" i="91"/>
  <c r="AQ302" i="91"/>
  <c r="AT304" i="91"/>
  <c r="AU304" i="91"/>
  <c r="AY304" i="91"/>
  <c r="AZ304" i="91"/>
  <c r="BB304" i="91"/>
  <c r="AR306" i="91"/>
  <c r="AV306" i="91"/>
  <c r="AW306" i="91"/>
  <c r="AX306" i="91"/>
  <c r="BA306" i="91"/>
  <c r="BC306" i="91"/>
  <c r="AQ306" i="91"/>
  <c r="BA307" i="91"/>
  <c r="AT308" i="91"/>
  <c r="AU308" i="91"/>
  <c r="AY308" i="91"/>
  <c r="AZ308" i="91"/>
  <c r="BB308" i="91"/>
  <c r="AR310" i="91"/>
  <c r="AV310" i="91"/>
  <c r="AW310" i="91"/>
  <c r="AX310" i="91"/>
  <c r="BA310" i="91"/>
  <c r="BC310" i="91"/>
  <c r="AQ310" i="91"/>
  <c r="AT312" i="91"/>
  <c r="AU312" i="91"/>
  <c r="AY312" i="91"/>
  <c r="AZ312" i="91"/>
  <c r="BB312" i="91"/>
  <c r="AR314" i="91"/>
  <c r="AV314" i="91"/>
  <c r="AW314" i="91"/>
  <c r="AX314" i="91"/>
  <c r="BA314" i="91"/>
  <c r="BC314" i="91"/>
  <c r="AQ314" i="91"/>
  <c r="BA315" i="91"/>
  <c r="AT316" i="91"/>
  <c r="AU316" i="91"/>
  <c r="AY316" i="91"/>
  <c r="AZ316" i="91"/>
  <c r="BB316" i="91"/>
  <c r="AR318" i="91"/>
  <c r="AV318" i="91"/>
  <c r="AW318" i="91"/>
  <c r="AX318" i="91"/>
  <c r="BA318" i="91"/>
  <c r="BC318" i="91"/>
  <c r="AQ318" i="91"/>
  <c r="AT320" i="91"/>
  <c r="AU320" i="91"/>
  <c r="AY320" i="91"/>
  <c r="AZ320" i="91"/>
  <c r="BB320" i="91"/>
  <c r="AR322" i="91"/>
  <c r="AV322" i="91"/>
  <c r="AW322" i="91"/>
  <c r="AX322" i="91"/>
  <c r="BA322" i="91"/>
  <c r="BC322" i="91"/>
  <c r="AQ322" i="91"/>
  <c r="BA323" i="91"/>
  <c r="AT324" i="91"/>
  <c r="AU324" i="91"/>
  <c r="AY324" i="91"/>
  <c r="AZ324" i="91"/>
  <c r="BB324" i="91"/>
  <c r="BA325" i="91"/>
  <c r="BA326" i="91"/>
  <c r="AU328" i="91"/>
  <c r="AX330" i="91"/>
  <c r="BC330" i="91"/>
  <c r="AQ330" i="91"/>
  <c r="BA331" i="91"/>
  <c r="AT332" i="91"/>
  <c r="BB332" i="91"/>
  <c r="BA333" i="91"/>
  <c r="BA334" i="91"/>
  <c r="AU336" i="91"/>
  <c r="AX338" i="91"/>
  <c r="BC338" i="91"/>
  <c r="AQ338" i="91"/>
  <c r="AT340" i="91"/>
  <c r="BB340" i="91"/>
  <c r="BA341" i="91"/>
  <c r="BA342" i="91"/>
  <c r="AU343" i="91"/>
  <c r="BA344" i="91"/>
  <c r="AT345" i="91"/>
  <c r="AU346" i="91"/>
  <c r="AR347" i="91"/>
  <c r="AT348" i="91"/>
  <c r="BB348" i="91"/>
  <c r="BA348" i="91"/>
  <c r="GQ162" i="15"/>
  <c r="GQ244" i="15"/>
  <c r="AD324" i="5"/>
  <c r="L326" i="5"/>
  <c r="AR326" i="91" s="1"/>
  <c r="J326" i="5"/>
  <c r="AT326" i="73" s="1"/>
  <c r="N326" i="5"/>
  <c r="AU326" i="73" s="1"/>
  <c r="U326" i="5"/>
  <c r="AY326" i="73" s="1"/>
  <c r="V326" i="5"/>
  <c r="AZ326" i="73" s="1"/>
  <c r="AC326" i="5"/>
  <c r="BB326" i="73" s="1"/>
  <c r="M328" i="5"/>
  <c r="K328" i="5"/>
  <c r="O328" i="5"/>
  <c r="AV328" i="73" s="1"/>
  <c r="P328" i="5"/>
  <c r="AW328" i="73" s="1"/>
  <c r="T328" i="5"/>
  <c r="AX328" i="73" s="1"/>
  <c r="Q328" i="5"/>
  <c r="BA328" i="73" s="1"/>
  <c r="AD328" i="5"/>
  <c r="L330" i="5"/>
  <c r="AR330" i="91" s="1"/>
  <c r="J330" i="5"/>
  <c r="AT330" i="73" s="1"/>
  <c r="N330" i="5"/>
  <c r="AU330" i="73" s="1"/>
  <c r="U330" i="5"/>
  <c r="AY330" i="73" s="1"/>
  <c r="V330" i="5"/>
  <c r="AZ330" i="73" s="1"/>
  <c r="AC330" i="5"/>
  <c r="BB330" i="73" s="1"/>
  <c r="M332" i="5"/>
  <c r="K332" i="5"/>
  <c r="O332" i="5"/>
  <c r="AV332" i="73" s="1"/>
  <c r="P332" i="5"/>
  <c r="AW332" i="73" s="1"/>
  <c r="T332" i="5"/>
  <c r="AX332" i="73" s="1"/>
  <c r="Q332" i="5"/>
  <c r="BA332" i="73" s="1"/>
  <c r="AD332" i="5"/>
  <c r="L334" i="5"/>
  <c r="AR334" i="91" s="1"/>
  <c r="J334" i="5"/>
  <c r="AT334" i="73" s="1"/>
  <c r="N334" i="5"/>
  <c r="AU334" i="73" s="1"/>
  <c r="U334" i="5"/>
  <c r="AY334" i="73" s="1"/>
  <c r="V334" i="5"/>
  <c r="AZ334" i="73" s="1"/>
  <c r="AC334" i="5"/>
  <c r="BB334" i="73" s="1"/>
  <c r="M336" i="5"/>
  <c r="K336" i="5"/>
  <c r="AR336" i="73" s="1"/>
  <c r="O336" i="5"/>
  <c r="AV336" i="73" s="1"/>
  <c r="P336" i="5"/>
  <c r="AW336" i="73" s="1"/>
  <c r="T336" i="5"/>
  <c r="AX336" i="73" s="1"/>
  <c r="Q336" i="5"/>
  <c r="BA336" i="73" s="1"/>
  <c r="AD336" i="5"/>
  <c r="L338" i="5"/>
  <c r="AR338" i="91" s="1"/>
  <c r="J338" i="5"/>
  <c r="AT338" i="73" s="1"/>
  <c r="N338" i="5"/>
  <c r="AU338" i="73" s="1"/>
  <c r="U338" i="5"/>
  <c r="AY338" i="73" s="1"/>
  <c r="V338" i="5"/>
  <c r="AZ338" i="73" s="1"/>
  <c r="AC338" i="5"/>
  <c r="BB338" i="73" s="1"/>
  <c r="M340" i="5"/>
  <c r="K340" i="5"/>
  <c r="O340" i="5"/>
  <c r="AV340" i="73" s="1"/>
  <c r="P340" i="5"/>
  <c r="AW340" i="73" s="1"/>
  <c r="T340" i="5"/>
  <c r="AX340" i="73" s="1"/>
  <c r="Q340" i="5"/>
  <c r="BA340" i="73" s="1"/>
  <c r="AD340" i="5"/>
  <c r="L342" i="5"/>
  <c r="AR342" i="91" s="1"/>
  <c r="J342" i="5"/>
  <c r="AT342" i="73" s="1"/>
  <c r="N342" i="5"/>
  <c r="AU342" i="73" s="1"/>
  <c r="U342" i="5"/>
  <c r="AY342" i="73" s="1"/>
  <c r="V342" i="5"/>
  <c r="AZ342" i="73" s="1"/>
  <c r="AC342" i="5"/>
  <c r="BB342" i="73" s="1"/>
  <c r="L344" i="5"/>
  <c r="AR344" i="91" s="1"/>
  <c r="J344" i="5"/>
  <c r="AT344" i="73" s="1"/>
  <c r="N344" i="5"/>
  <c r="AU344" i="73" s="1"/>
  <c r="U344" i="5"/>
  <c r="AY344" i="73" s="1"/>
  <c r="V344" i="5"/>
  <c r="AZ344" i="73" s="1"/>
  <c r="AC344" i="5"/>
  <c r="BB344" i="73" s="1"/>
  <c r="M346" i="5"/>
  <c r="K346" i="5"/>
  <c r="AR346" i="73" s="1"/>
  <c r="O346" i="5"/>
  <c r="AV346" i="73" s="1"/>
  <c r="P346" i="5"/>
  <c r="AW346" i="73" s="1"/>
  <c r="T346" i="5"/>
  <c r="AX346" i="73" s="1"/>
  <c r="Q346" i="5"/>
  <c r="BA346" i="73" s="1"/>
  <c r="AD346" i="5"/>
  <c r="M348" i="5"/>
  <c r="K348" i="5"/>
  <c r="O348" i="5"/>
  <c r="AV348" i="73" s="1"/>
  <c r="P348" i="5"/>
  <c r="AW348" i="73" s="1"/>
  <c r="T348" i="5"/>
  <c r="AX348" i="73" s="1"/>
  <c r="GE22" i="15"/>
  <c r="AO22" i="5" s="1"/>
  <c r="GH22" i="15"/>
  <c r="AR22" i="5" s="1"/>
  <c r="GG22" i="15"/>
  <c r="AQ22" i="5" s="1"/>
  <c r="GJ22" i="15"/>
  <c r="AT22" i="5" s="1"/>
  <c r="GF349" i="15"/>
  <c r="AP349" i="5" s="1"/>
  <c r="GC349" i="15"/>
  <c r="AM349" i="5" s="1"/>
  <c r="GI349" i="15"/>
  <c r="GD348" i="15"/>
  <c r="AN348" i="5" s="1"/>
  <c r="GG348" i="15"/>
  <c r="GJ348" i="15"/>
  <c r="AT348" i="5" s="1"/>
  <c r="GB348" i="15"/>
  <c r="AL348" i="5" s="1"/>
  <c r="GE348" i="15"/>
  <c r="AO348" i="5" s="1"/>
  <c r="GH348" i="15"/>
  <c r="AR348" i="5" s="1"/>
  <c r="GF347" i="15"/>
  <c r="AP347" i="5" s="1"/>
  <c r="GC347" i="15"/>
  <c r="AM347" i="5" s="1"/>
  <c r="GI347" i="15"/>
  <c r="GD346" i="15"/>
  <c r="AN346" i="5" s="1"/>
  <c r="GG346" i="15"/>
  <c r="GJ346" i="15"/>
  <c r="AT346" i="5" s="1"/>
  <c r="GB346" i="15"/>
  <c r="AL346" i="5" s="1"/>
  <c r="GE346" i="15"/>
  <c r="AO346" i="5" s="1"/>
  <c r="GH346" i="15"/>
  <c r="GF345" i="15"/>
  <c r="AP345" i="5" s="1"/>
  <c r="GC345" i="15"/>
  <c r="AM345" i="5" s="1"/>
  <c r="GI345" i="15"/>
  <c r="GD344" i="15"/>
  <c r="AN344" i="5" s="1"/>
  <c r="GG344" i="15"/>
  <c r="AQ344" i="5" s="1"/>
  <c r="GJ344" i="15"/>
  <c r="AT344" i="5" s="1"/>
  <c r="GB344" i="15"/>
  <c r="AL344" i="5" s="1"/>
  <c r="GE344" i="15"/>
  <c r="AO344" i="5" s="1"/>
  <c r="GH344" i="15"/>
  <c r="GF343" i="15"/>
  <c r="AP343" i="5" s="1"/>
  <c r="GC343" i="15"/>
  <c r="AM343" i="5" s="1"/>
  <c r="GI343" i="15"/>
  <c r="GD342" i="15"/>
  <c r="AN342" i="5" s="1"/>
  <c r="GG342" i="15"/>
  <c r="AQ342" i="5" s="1"/>
  <c r="GJ342" i="15"/>
  <c r="AT342" i="5" s="1"/>
  <c r="GB342" i="15"/>
  <c r="GE342" i="15"/>
  <c r="AO342" i="5" s="1"/>
  <c r="GH342" i="15"/>
  <c r="AR342" i="5" s="1"/>
  <c r="GF341" i="15"/>
  <c r="AP341" i="5" s="1"/>
  <c r="GC341" i="15"/>
  <c r="AM341" i="5" s="1"/>
  <c r="GI341" i="15"/>
  <c r="GD340" i="15"/>
  <c r="AN340" i="5" s="1"/>
  <c r="GG340" i="15"/>
  <c r="AQ340" i="5" s="1"/>
  <c r="GJ340" i="15"/>
  <c r="AT340" i="5" s="1"/>
  <c r="GB340" i="15"/>
  <c r="AL340" i="5" s="1"/>
  <c r="GE340" i="15"/>
  <c r="AO340" i="5" s="1"/>
  <c r="GH340" i="15"/>
  <c r="AR340" i="5" s="1"/>
  <c r="GF339" i="15"/>
  <c r="AP339" i="5" s="1"/>
  <c r="GC339" i="15"/>
  <c r="AM339" i="5" s="1"/>
  <c r="GI339" i="15"/>
  <c r="GD338" i="15"/>
  <c r="AN338" i="5" s="1"/>
  <c r="GG338" i="15"/>
  <c r="GJ338" i="15"/>
  <c r="AT338" i="5" s="1"/>
  <c r="GB338" i="15"/>
  <c r="AL338" i="5" s="1"/>
  <c r="GE338" i="15"/>
  <c r="AO338" i="5" s="1"/>
  <c r="GH338" i="15"/>
  <c r="GF337" i="15"/>
  <c r="AP337" i="5" s="1"/>
  <c r="GC337" i="15"/>
  <c r="AM337" i="5" s="1"/>
  <c r="GI337" i="15"/>
  <c r="GD336" i="15"/>
  <c r="AN336" i="5" s="1"/>
  <c r="GG336" i="15"/>
  <c r="AQ336" i="5" s="1"/>
  <c r="GJ336" i="15"/>
  <c r="AT336" i="5" s="1"/>
  <c r="GB336" i="15"/>
  <c r="AL336" i="5" s="1"/>
  <c r="GE336" i="15"/>
  <c r="AO336" i="5" s="1"/>
  <c r="GH336" i="15"/>
  <c r="AR336" i="5" s="1"/>
  <c r="GF335" i="15"/>
  <c r="AP335" i="5" s="1"/>
  <c r="GC335" i="15"/>
  <c r="AM335" i="5" s="1"/>
  <c r="GI335" i="15"/>
  <c r="GD334" i="15"/>
  <c r="GG334" i="15"/>
  <c r="AQ334" i="5" s="1"/>
  <c r="GJ334" i="15"/>
  <c r="AT334" i="5" s="1"/>
  <c r="GB334" i="15"/>
  <c r="GE334" i="15"/>
  <c r="AO334" i="5" s="1"/>
  <c r="GH334" i="15"/>
  <c r="AR334" i="5" s="1"/>
  <c r="GF333" i="15"/>
  <c r="AP333" i="5" s="1"/>
  <c r="GC333" i="15"/>
  <c r="AM333" i="5" s="1"/>
  <c r="GI333" i="15"/>
  <c r="GD332" i="15"/>
  <c r="AN332" i="5" s="1"/>
  <c r="GG332" i="15"/>
  <c r="GJ332" i="15"/>
  <c r="AT332" i="5" s="1"/>
  <c r="GB332" i="15"/>
  <c r="AL332" i="5" s="1"/>
  <c r="GE332" i="15"/>
  <c r="AO332" i="5" s="1"/>
  <c r="GH332" i="15"/>
  <c r="AR332" i="5" s="1"/>
  <c r="GF331" i="15"/>
  <c r="AP331" i="5" s="1"/>
  <c r="GC331" i="15"/>
  <c r="AM331" i="5" s="1"/>
  <c r="GI331" i="15"/>
  <c r="GD330" i="15"/>
  <c r="AN330" i="5" s="1"/>
  <c r="GG330" i="15"/>
  <c r="GJ330" i="15"/>
  <c r="AT330" i="5" s="1"/>
  <c r="GB330" i="15"/>
  <c r="AL330" i="5" s="1"/>
  <c r="GE330" i="15"/>
  <c r="AO330" i="5" s="1"/>
  <c r="GH330" i="15"/>
  <c r="GF329" i="15"/>
  <c r="AP329" i="5" s="1"/>
  <c r="GC329" i="15"/>
  <c r="AM329" i="5" s="1"/>
  <c r="GI329" i="15"/>
  <c r="GD328" i="15"/>
  <c r="AN328" i="5" s="1"/>
  <c r="GG328" i="15"/>
  <c r="AQ328" i="5" s="1"/>
  <c r="GJ328" i="15"/>
  <c r="AT328" i="5" s="1"/>
  <c r="GB328" i="15"/>
  <c r="AL328" i="5" s="1"/>
  <c r="GE328" i="15"/>
  <c r="AO328" i="5" s="1"/>
  <c r="GH328" i="15"/>
  <c r="AR328" i="5" s="1"/>
  <c r="GF327" i="15"/>
  <c r="AP327" i="5" s="1"/>
  <c r="GC327" i="15"/>
  <c r="AM327" i="5" s="1"/>
  <c r="GI327" i="15"/>
  <c r="GD326" i="15"/>
  <c r="AN326" i="5" s="1"/>
  <c r="GG326" i="15"/>
  <c r="AQ326" i="5" s="1"/>
  <c r="GJ326" i="15"/>
  <c r="AT326" i="5" s="1"/>
  <c r="GB326" i="15"/>
  <c r="GE326" i="15"/>
  <c r="AO326" i="5" s="1"/>
  <c r="GH326" i="15"/>
  <c r="AR326" i="5" s="1"/>
  <c r="GF325" i="15"/>
  <c r="AP325" i="5" s="1"/>
  <c r="GC325" i="15"/>
  <c r="AM325" i="5" s="1"/>
  <c r="GI325" i="15"/>
  <c r="AS325" i="5" s="1"/>
  <c r="GD324" i="15"/>
  <c r="AN324" i="5" s="1"/>
  <c r="GG324" i="15"/>
  <c r="AQ324" i="5" s="1"/>
  <c r="GJ324" i="15"/>
  <c r="AT324" i="5" s="1"/>
  <c r="GB324" i="15"/>
  <c r="AL324" i="5" s="1"/>
  <c r="GE324" i="15"/>
  <c r="AO324" i="5" s="1"/>
  <c r="GH324" i="15"/>
  <c r="AR324" i="5" s="1"/>
  <c r="GF323" i="15"/>
  <c r="AP323" i="5" s="1"/>
  <c r="GC323" i="15"/>
  <c r="AM323" i="5" s="1"/>
  <c r="GI323" i="15"/>
  <c r="GD322" i="15"/>
  <c r="AN322" i="5" s="1"/>
  <c r="GG322" i="15"/>
  <c r="GJ322" i="15"/>
  <c r="AT322" i="5" s="1"/>
  <c r="GB322" i="15"/>
  <c r="AL322" i="5" s="1"/>
  <c r="GE322" i="15"/>
  <c r="AO322" i="5" s="1"/>
  <c r="GH322" i="15"/>
  <c r="GF321" i="15"/>
  <c r="AP321" i="5" s="1"/>
  <c r="GC321" i="15"/>
  <c r="AM321" i="5" s="1"/>
  <c r="GI321" i="15"/>
  <c r="GD320" i="15"/>
  <c r="AN320" i="5" s="1"/>
  <c r="GG320" i="15"/>
  <c r="AQ320" i="5" s="1"/>
  <c r="GJ320" i="15"/>
  <c r="AT320" i="5" s="1"/>
  <c r="GB320" i="15"/>
  <c r="AL320" i="5" s="1"/>
  <c r="GE320" i="15"/>
  <c r="AO320" i="5" s="1"/>
  <c r="GH320" i="15"/>
  <c r="GF319" i="15"/>
  <c r="AP319" i="5" s="1"/>
  <c r="GC319" i="15"/>
  <c r="AM319" i="5" s="1"/>
  <c r="GI319" i="15"/>
  <c r="AS319" i="5" s="1"/>
  <c r="GD318" i="15"/>
  <c r="AN318" i="5" s="1"/>
  <c r="GG318" i="15"/>
  <c r="AQ318" i="5" s="1"/>
  <c r="GJ318" i="15"/>
  <c r="AT318" i="5" s="1"/>
  <c r="GB318" i="15"/>
  <c r="GE318" i="15"/>
  <c r="AO318" i="5" s="1"/>
  <c r="GH318" i="15"/>
  <c r="AR318" i="5" s="1"/>
  <c r="GF317" i="15"/>
  <c r="AP317" i="5" s="1"/>
  <c r="GC317" i="15"/>
  <c r="AM317" i="5" s="1"/>
  <c r="GI317" i="15"/>
  <c r="AS317" i="5" s="1"/>
  <c r="GD316" i="15"/>
  <c r="AN316" i="5" s="1"/>
  <c r="GG316" i="15"/>
  <c r="AQ316" i="5" s="1"/>
  <c r="GJ316" i="15"/>
  <c r="AT316" i="5" s="1"/>
  <c r="GB316" i="15"/>
  <c r="AL316" i="5" s="1"/>
  <c r="GE316" i="15"/>
  <c r="AO316" i="5" s="1"/>
  <c r="GH316" i="15"/>
  <c r="AR316" i="5" s="1"/>
  <c r="GF315" i="15"/>
  <c r="AP315" i="5" s="1"/>
  <c r="GC315" i="15"/>
  <c r="AM315" i="5" s="1"/>
  <c r="GI315" i="15"/>
  <c r="AS315" i="5" s="1"/>
  <c r="GD314" i="15"/>
  <c r="GG314" i="15"/>
  <c r="AQ314" i="5" s="1"/>
  <c r="GJ314" i="15"/>
  <c r="AT314" i="5" s="1"/>
  <c r="GB314" i="15"/>
  <c r="AL314" i="5" s="1"/>
  <c r="GE314" i="15"/>
  <c r="AO314" i="5" s="1"/>
  <c r="GH314" i="15"/>
  <c r="AR314" i="5" s="1"/>
  <c r="GF313" i="15"/>
  <c r="AP313" i="5" s="1"/>
  <c r="GC313" i="15"/>
  <c r="AM313" i="5" s="1"/>
  <c r="GI313" i="15"/>
  <c r="AS313" i="5" s="1"/>
  <c r="GD312" i="15"/>
  <c r="AN312" i="5" s="1"/>
  <c r="GG312" i="15"/>
  <c r="AQ312" i="5" s="1"/>
  <c r="GJ312" i="15"/>
  <c r="AT312" i="5" s="1"/>
  <c r="GB312" i="15"/>
  <c r="AL312" i="5" s="1"/>
  <c r="GE312" i="15"/>
  <c r="AO312" i="5" s="1"/>
  <c r="GH312" i="15"/>
  <c r="GF311" i="15"/>
  <c r="AP311" i="5" s="1"/>
  <c r="GC311" i="15"/>
  <c r="AM311" i="5" s="1"/>
  <c r="GI311" i="15"/>
  <c r="AS311" i="5" s="1"/>
  <c r="GD310" i="15"/>
  <c r="AN310" i="5" s="1"/>
  <c r="GG310" i="15"/>
  <c r="AQ310" i="5" s="1"/>
  <c r="GJ310" i="15"/>
  <c r="AT310" i="5" s="1"/>
  <c r="GB310" i="15"/>
  <c r="AL310" i="5" s="1"/>
  <c r="GE310" i="15"/>
  <c r="AO310" i="5" s="1"/>
  <c r="GH310" i="15"/>
  <c r="AR310" i="5" s="1"/>
  <c r="GF309" i="15"/>
  <c r="AP309" i="5" s="1"/>
  <c r="GC309" i="15"/>
  <c r="AM309" i="5" s="1"/>
  <c r="GI309" i="15"/>
  <c r="AS309" i="5" s="1"/>
  <c r="GD308" i="15"/>
  <c r="AN308" i="5" s="1"/>
  <c r="GG308" i="15"/>
  <c r="AQ308" i="5" s="1"/>
  <c r="GJ308" i="15"/>
  <c r="AT308" i="5" s="1"/>
  <c r="GB308" i="15"/>
  <c r="AL308" i="5" s="1"/>
  <c r="GE308" i="15"/>
  <c r="AO308" i="5" s="1"/>
  <c r="GH308" i="15"/>
  <c r="AR308" i="5" s="1"/>
  <c r="GF307" i="15"/>
  <c r="AP307" i="5" s="1"/>
  <c r="GC307" i="15"/>
  <c r="AM307" i="5" s="1"/>
  <c r="GI307" i="15"/>
  <c r="AS307" i="5" s="1"/>
  <c r="GD306" i="15"/>
  <c r="AN306" i="5" s="1"/>
  <c r="GG306" i="15"/>
  <c r="AQ306" i="5" s="1"/>
  <c r="GJ306" i="15"/>
  <c r="AT306" i="5" s="1"/>
  <c r="GB306" i="15"/>
  <c r="AL306" i="5" s="1"/>
  <c r="GE306" i="15"/>
  <c r="AO306" i="5" s="1"/>
  <c r="GH306" i="15"/>
  <c r="GF305" i="15"/>
  <c r="AP305" i="5" s="1"/>
  <c r="GC305" i="15"/>
  <c r="AM305" i="5" s="1"/>
  <c r="GI305" i="15"/>
  <c r="GD304" i="15"/>
  <c r="AN304" i="5" s="1"/>
  <c r="GG304" i="15"/>
  <c r="AQ304" i="5" s="1"/>
  <c r="GJ304" i="15"/>
  <c r="AT304" i="5" s="1"/>
  <c r="GB304" i="15"/>
  <c r="AL304" i="5" s="1"/>
  <c r="GE304" i="15"/>
  <c r="AO304" i="5" s="1"/>
  <c r="GH304" i="15"/>
  <c r="AR304" i="5" s="1"/>
  <c r="GF303" i="15"/>
  <c r="AP303" i="5" s="1"/>
  <c r="GC303" i="15"/>
  <c r="AM303" i="5" s="1"/>
  <c r="GI303" i="15"/>
  <c r="AS303" i="5" s="1"/>
  <c r="GD302" i="15"/>
  <c r="AN302" i="5" s="1"/>
  <c r="GG302" i="15"/>
  <c r="AQ302" i="5" s="1"/>
  <c r="GJ302" i="15"/>
  <c r="AT302" i="5" s="1"/>
  <c r="GB302" i="15"/>
  <c r="GE302" i="15"/>
  <c r="AO302" i="5" s="1"/>
  <c r="GH302" i="15"/>
  <c r="AR302" i="5" s="1"/>
  <c r="GF301" i="15"/>
  <c r="AP301" i="5" s="1"/>
  <c r="GC301" i="15"/>
  <c r="AM301" i="5" s="1"/>
  <c r="GI301" i="15"/>
  <c r="AS301" i="5" s="1"/>
  <c r="GD300" i="15"/>
  <c r="AN300" i="5" s="1"/>
  <c r="GG300" i="15"/>
  <c r="AQ300" i="5" s="1"/>
  <c r="GJ300" i="15"/>
  <c r="AT300" i="5" s="1"/>
  <c r="GB300" i="15"/>
  <c r="AL300" i="5" s="1"/>
  <c r="GE300" i="15"/>
  <c r="AO300" i="5" s="1"/>
  <c r="GH300" i="15"/>
  <c r="AR300" i="5" s="1"/>
  <c r="GF299" i="15"/>
  <c r="AP299" i="5" s="1"/>
  <c r="GC299" i="15"/>
  <c r="AM299" i="5" s="1"/>
  <c r="GI299" i="15"/>
  <c r="GD298" i="15"/>
  <c r="AN298" i="5" s="1"/>
  <c r="GG298" i="15"/>
  <c r="AQ298" i="5" s="1"/>
  <c r="GJ298" i="15"/>
  <c r="AT298" i="5" s="1"/>
  <c r="GB298" i="15"/>
  <c r="AL298" i="5" s="1"/>
  <c r="GE298" i="15"/>
  <c r="AO298" i="5" s="1"/>
  <c r="GH298" i="15"/>
  <c r="AR298" i="5" s="1"/>
  <c r="GF297" i="15"/>
  <c r="AP297" i="5" s="1"/>
  <c r="GC297" i="15"/>
  <c r="AM297" i="5" s="1"/>
  <c r="GI297" i="15"/>
  <c r="AS297" i="5" s="1"/>
  <c r="GD296" i="15"/>
  <c r="AN296" i="5" s="1"/>
  <c r="GG296" i="15"/>
  <c r="AQ296" i="5" s="1"/>
  <c r="GJ296" i="15"/>
  <c r="AT296" i="5" s="1"/>
  <c r="GB296" i="15"/>
  <c r="AL296" i="5" s="1"/>
  <c r="GE296" i="15"/>
  <c r="AO296" i="5" s="1"/>
  <c r="GH296" i="15"/>
  <c r="GF295" i="15"/>
  <c r="AP295" i="5" s="1"/>
  <c r="GC295" i="15"/>
  <c r="AM295" i="5" s="1"/>
  <c r="GI295" i="15"/>
  <c r="AS295" i="5" s="1"/>
  <c r="GD294" i="15"/>
  <c r="AN294" i="5" s="1"/>
  <c r="GG294" i="15"/>
  <c r="AQ294" i="5" s="1"/>
  <c r="GJ294" i="15"/>
  <c r="AT294" i="5" s="1"/>
  <c r="GB294" i="15"/>
  <c r="AL294" i="5" s="1"/>
  <c r="GE294" i="15"/>
  <c r="AO294" i="5" s="1"/>
  <c r="GH294" i="15"/>
  <c r="AR294" i="5" s="1"/>
  <c r="GF293" i="15"/>
  <c r="AP293" i="5" s="1"/>
  <c r="GC293" i="15"/>
  <c r="AM293" i="5" s="1"/>
  <c r="GI293" i="15"/>
  <c r="AS293" i="5" s="1"/>
  <c r="GD292" i="15"/>
  <c r="AN292" i="5" s="1"/>
  <c r="GG292" i="15"/>
  <c r="AQ292" i="5" s="1"/>
  <c r="GJ292" i="15"/>
  <c r="AT292" i="5" s="1"/>
  <c r="GB292" i="15"/>
  <c r="AL292" i="5" s="1"/>
  <c r="GE292" i="15"/>
  <c r="AO292" i="5" s="1"/>
  <c r="GH292" i="15"/>
  <c r="AR292" i="5" s="1"/>
  <c r="GF291" i="15"/>
  <c r="AP291" i="5" s="1"/>
  <c r="GC291" i="15"/>
  <c r="AM291" i="5" s="1"/>
  <c r="GI291" i="15"/>
  <c r="AS291" i="5" s="1"/>
  <c r="GD290" i="15"/>
  <c r="AN290" i="5" s="1"/>
  <c r="GG290" i="15"/>
  <c r="AQ290" i="5" s="1"/>
  <c r="GJ290" i="15"/>
  <c r="AT290" i="5" s="1"/>
  <c r="GB290" i="15"/>
  <c r="AL290" i="5" s="1"/>
  <c r="GE290" i="15"/>
  <c r="AO290" i="5" s="1"/>
  <c r="GH290" i="15"/>
  <c r="GF289" i="15"/>
  <c r="AP289" i="5" s="1"/>
  <c r="GC289" i="15"/>
  <c r="AM289" i="5" s="1"/>
  <c r="GI289" i="15"/>
  <c r="AS289" i="5" s="1"/>
  <c r="GD288" i="15"/>
  <c r="AN288" i="5" s="1"/>
  <c r="GG288" i="15"/>
  <c r="AQ288" i="5" s="1"/>
  <c r="GJ288" i="15"/>
  <c r="AT288" i="5" s="1"/>
  <c r="GB288" i="15"/>
  <c r="AL288" i="5" s="1"/>
  <c r="GE288" i="15"/>
  <c r="AO288" i="5" s="1"/>
  <c r="GH288" i="15"/>
  <c r="GF287" i="15"/>
  <c r="AP287" i="5" s="1"/>
  <c r="GC287" i="15"/>
  <c r="AM287" i="5" s="1"/>
  <c r="GI287" i="15"/>
  <c r="AS287" i="5" s="1"/>
  <c r="GD286" i="15"/>
  <c r="GG286" i="15"/>
  <c r="AQ286" i="5" s="1"/>
  <c r="GJ286" i="15"/>
  <c r="AT286" i="5" s="1"/>
  <c r="GB286" i="15"/>
  <c r="AL286" i="5" s="1"/>
  <c r="GE286" i="15"/>
  <c r="AO286" i="5" s="1"/>
  <c r="GH286" i="15"/>
  <c r="AR286" i="5" s="1"/>
  <c r="GF285" i="15"/>
  <c r="AP285" i="5" s="1"/>
  <c r="GC285" i="15"/>
  <c r="AM285" i="5" s="1"/>
  <c r="GI285" i="15"/>
  <c r="AS285" i="5" s="1"/>
  <c r="GD284" i="15"/>
  <c r="AN284" i="5" s="1"/>
  <c r="GG284" i="15"/>
  <c r="AQ284" i="5" s="1"/>
  <c r="GJ284" i="15"/>
  <c r="AT284" i="5" s="1"/>
  <c r="GB284" i="15"/>
  <c r="GE284" i="15"/>
  <c r="AO284" i="5" s="1"/>
  <c r="GH284" i="15"/>
  <c r="GF283" i="15"/>
  <c r="AP283" i="5" s="1"/>
  <c r="GC283" i="15"/>
  <c r="AM283" i="5" s="1"/>
  <c r="GI283" i="15"/>
  <c r="AS283" i="5" s="1"/>
  <c r="GD282" i="15"/>
  <c r="AN282" i="5" s="1"/>
  <c r="GG282" i="15"/>
  <c r="AQ282" i="5" s="1"/>
  <c r="GJ282" i="15"/>
  <c r="AT282" i="5" s="1"/>
  <c r="GB282" i="15"/>
  <c r="AL282" i="5" s="1"/>
  <c r="GE282" i="15"/>
  <c r="AO282" i="5" s="1"/>
  <c r="GH282" i="15"/>
  <c r="AR282" i="5" s="1"/>
  <c r="GF281" i="15"/>
  <c r="AP281" i="5" s="1"/>
  <c r="GC281" i="15"/>
  <c r="AM281" i="5" s="1"/>
  <c r="GI281" i="15"/>
  <c r="AS281" i="5" s="1"/>
  <c r="GD280" i="15"/>
  <c r="AN280" i="5" s="1"/>
  <c r="GG280" i="15"/>
  <c r="AQ280" i="5" s="1"/>
  <c r="GJ280" i="15"/>
  <c r="AT280" i="5" s="1"/>
  <c r="GB280" i="15"/>
  <c r="AL280" i="5" s="1"/>
  <c r="GE280" i="15"/>
  <c r="AO280" i="5" s="1"/>
  <c r="GH280" i="15"/>
  <c r="AR280" i="5" s="1"/>
  <c r="GF279" i="15"/>
  <c r="AP279" i="5" s="1"/>
  <c r="GC279" i="15"/>
  <c r="AM279" i="5" s="1"/>
  <c r="GI279" i="15"/>
  <c r="AS279" i="5" s="1"/>
  <c r="GD278" i="15"/>
  <c r="AN278" i="5" s="1"/>
  <c r="GG278" i="15"/>
  <c r="AQ278" i="5" s="1"/>
  <c r="GJ278" i="15"/>
  <c r="AT278" i="5" s="1"/>
  <c r="GB278" i="15"/>
  <c r="AL278" i="5" s="1"/>
  <c r="GE278" i="15"/>
  <c r="AO278" i="5" s="1"/>
  <c r="GH278" i="15"/>
  <c r="AR278" i="5" s="1"/>
  <c r="GF277" i="15"/>
  <c r="AP277" i="5" s="1"/>
  <c r="GC277" i="15"/>
  <c r="AM277" i="5" s="1"/>
  <c r="GI277" i="15"/>
  <c r="AS277" i="5" s="1"/>
  <c r="GD276" i="15"/>
  <c r="AN276" i="5" s="1"/>
  <c r="GG276" i="15"/>
  <c r="AQ276" i="5" s="1"/>
  <c r="GJ276" i="15"/>
  <c r="AT276" i="5" s="1"/>
  <c r="GB276" i="15"/>
  <c r="GE276" i="15"/>
  <c r="AO276" i="5" s="1"/>
  <c r="GH276" i="15"/>
  <c r="GF275" i="15"/>
  <c r="AP275" i="5" s="1"/>
  <c r="GC275" i="15"/>
  <c r="AM275" i="5" s="1"/>
  <c r="GI275" i="15"/>
  <c r="AS275" i="5" s="1"/>
  <c r="GD274" i="15"/>
  <c r="AN274" i="5" s="1"/>
  <c r="GG274" i="15"/>
  <c r="GJ274" i="15"/>
  <c r="AT274" i="5" s="1"/>
  <c r="GB274" i="15"/>
  <c r="AL274" i="5" s="1"/>
  <c r="GE274" i="15"/>
  <c r="AO274" i="5" s="1"/>
  <c r="GH274" i="15"/>
  <c r="GF273" i="15"/>
  <c r="AP273" i="5" s="1"/>
  <c r="GC273" i="15"/>
  <c r="AM273" i="5" s="1"/>
  <c r="GI273" i="15"/>
  <c r="AS273" i="5" s="1"/>
  <c r="GD272" i="15"/>
  <c r="AN272" i="5" s="1"/>
  <c r="GG272" i="15"/>
  <c r="AQ272" i="5" s="1"/>
  <c r="GJ272" i="15"/>
  <c r="AT272" i="5" s="1"/>
  <c r="GB272" i="15"/>
  <c r="AL272" i="5" s="1"/>
  <c r="GE272" i="15"/>
  <c r="AO272" i="5" s="1"/>
  <c r="GH272" i="15"/>
  <c r="AR272" i="5" s="1"/>
  <c r="GF271" i="15"/>
  <c r="AP271" i="5" s="1"/>
  <c r="GC271" i="15"/>
  <c r="AM271" i="5" s="1"/>
  <c r="GI271" i="15"/>
  <c r="AS271" i="5" s="1"/>
  <c r="GD270" i="15"/>
  <c r="GG270" i="15"/>
  <c r="AQ270" i="5" s="1"/>
  <c r="GJ270" i="15"/>
  <c r="AT270" i="5" s="1"/>
  <c r="GB270" i="15"/>
  <c r="AL270" i="5" s="1"/>
  <c r="GE270" i="15"/>
  <c r="AO270" i="5" s="1"/>
  <c r="GH270" i="15"/>
  <c r="AR270" i="5" s="1"/>
  <c r="GF269" i="15"/>
  <c r="AP269" i="5" s="1"/>
  <c r="GC269" i="15"/>
  <c r="AM269" i="5" s="1"/>
  <c r="GI269" i="15"/>
  <c r="AS269" i="5" s="1"/>
  <c r="GD268" i="15"/>
  <c r="AN268" i="5" s="1"/>
  <c r="GG268" i="15"/>
  <c r="AQ268" i="5" s="1"/>
  <c r="GJ268" i="15"/>
  <c r="AT268" i="5" s="1"/>
  <c r="GB268" i="15"/>
  <c r="GE268" i="15"/>
  <c r="AO268" i="5" s="1"/>
  <c r="GH268" i="15"/>
  <c r="GF267" i="15"/>
  <c r="AP267" i="5" s="1"/>
  <c r="GC267" i="15"/>
  <c r="AM267" i="5" s="1"/>
  <c r="GI267" i="15"/>
  <c r="GD266" i="15"/>
  <c r="AN266" i="5" s="1"/>
  <c r="GG266" i="15"/>
  <c r="AQ266" i="5" s="1"/>
  <c r="GJ266" i="15"/>
  <c r="AT266" i="5" s="1"/>
  <c r="GB266" i="15"/>
  <c r="AL266" i="5" s="1"/>
  <c r="GE266" i="15"/>
  <c r="AO266" i="5" s="1"/>
  <c r="GH266" i="15"/>
  <c r="GF265" i="15"/>
  <c r="AP265" i="5" s="1"/>
  <c r="GC265" i="15"/>
  <c r="AM265" i="5" s="1"/>
  <c r="GI265" i="15"/>
  <c r="AS265" i="5" s="1"/>
  <c r="GD264" i="15"/>
  <c r="AN264" i="5" s="1"/>
  <c r="GG264" i="15"/>
  <c r="AQ264" i="5" s="1"/>
  <c r="GJ264" i="15"/>
  <c r="AT264" i="5" s="1"/>
  <c r="GB264" i="15"/>
  <c r="AL264" i="5" s="1"/>
  <c r="GE264" i="15"/>
  <c r="AO264" i="5" s="1"/>
  <c r="GH264" i="15"/>
  <c r="GF263" i="15"/>
  <c r="AP263" i="5" s="1"/>
  <c r="GC263" i="15"/>
  <c r="AM263" i="5" s="1"/>
  <c r="GI263" i="15"/>
  <c r="GD262" i="15"/>
  <c r="AN262" i="5" s="1"/>
  <c r="GG262" i="15"/>
  <c r="AQ262" i="5" s="1"/>
  <c r="GJ262" i="15"/>
  <c r="AT262" i="5" s="1"/>
  <c r="GB262" i="15"/>
  <c r="AL262" i="5" s="1"/>
  <c r="GE262" i="15"/>
  <c r="AO262" i="5" s="1"/>
  <c r="GH262" i="15"/>
  <c r="AR262" i="5" s="1"/>
  <c r="GF261" i="15"/>
  <c r="AP261" i="5" s="1"/>
  <c r="GC261" i="15"/>
  <c r="AM261" i="5" s="1"/>
  <c r="GI261" i="15"/>
  <c r="AS261" i="5" s="1"/>
  <c r="GD260" i="15"/>
  <c r="AN260" i="5" s="1"/>
  <c r="GG260" i="15"/>
  <c r="AQ260" i="5" s="1"/>
  <c r="GJ260" i="15"/>
  <c r="AT260" i="5" s="1"/>
  <c r="GB260" i="15"/>
  <c r="GE260" i="15"/>
  <c r="AO260" i="5" s="1"/>
  <c r="GH260" i="15"/>
  <c r="AR260" i="5" s="1"/>
  <c r="GF259" i="15"/>
  <c r="AP259" i="5" s="1"/>
  <c r="GC259" i="15"/>
  <c r="AM259" i="5" s="1"/>
  <c r="GI259" i="15"/>
  <c r="AS259" i="5" s="1"/>
  <c r="GD258" i="15"/>
  <c r="AN258" i="5" s="1"/>
  <c r="GG258" i="15"/>
  <c r="GJ258" i="15"/>
  <c r="AT258" i="5" s="1"/>
  <c r="GB258" i="15"/>
  <c r="AL258" i="5" s="1"/>
  <c r="GE258" i="15"/>
  <c r="AO258" i="5" s="1"/>
  <c r="GH258" i="15"/>
  <c r="AR258" i="5" s="1"/>
  <c r="GF257" i="15"/>
  <c r="GC257" i="15"/>
  <c r="AM257" i="5" s="1"/>
  <c r="GI257" i="15"/>
  <c r="AS257" i="5" s="1"/>
  <c r="GD256" i="15"/>
  <c r="AN256" i="5" s="1"/>
  <c r="GG256" i="15"/>
  <c r="AQ256" i="5" s="1"/>
  <c r="GJ256" i="15"/>
  <c r="AT256" i="5" s="1"/>
  <c r="GB256" i="15"/>
  <c r="AL256" i="5" s="1"/>
  <c r="GE256" i="15"/>
  <c r="AO256" i="5" s="1"/>
  <c r="GH256" i="15"/>
  <c r="GF255" i="15"/>
  <c r="AP255" i="5" s="1"/>
  <c r="GC255" i="15"/>
  <c r="AM255" i="5" s="1"/>
  <c r="GI255" i="15"/>
  <c r="AS255" i="5" s="1"/>
  <c r="GD254" i="15"/>
  <c r="GG254" i="15"/>
  <c r="AQ254" i="5" s="1"/>
  <c r="GJ254" i="15"/>
  <c r="AT254" i="5" s="1"/>
  <c r="GB254" i="15"/>
  <c r="AL254" i="5" s="1"/>
  <c r="GE254" i="15"/>
  <c r="AO254" i="5" s="1"/>
  <c r="GH254" i="15"/>
  <c r="AR254" i="5" s="1"/>
  <c r="GF253" i="15"/>
  <c r="AP253" i="5" s="1"/>
  <c r="GC253" i="15"/>
  <c r="AM253" i="5" s="1"/>
  <c r="GI253" i="15"/>
  <c r="AS253" i="5" s="1"/>
  <c r="GD252" i="15"/>
  <c r="AN252" i="5" s="1"/>
  <c r="GG252" i="15"/>
  <c r="AQ252" i="5" s="1"/>
  <c r="GJ252" i="15"/>
  <c r="AT252" i="5" s="1"/>
  <c r="GB252" i="15"/>
  <c r="GE252" i="15"/>
  <c r="AO252" i="5" s="1"/>
  <c r="GH252" i="15"/>
  <c r="GF251" i="15"/>
  <c r="AP251" i="5" s="1"/>
  <c r="GC251" i="15"/>
  <c r="AM251" i="5" s="1"/>
  <c r="GI251" i="15"/>
  <c r="GD250" i="15"/>
  <c r="AN250" i="5" s="1"/>
  <c r="GG250" i="15"/>
  <c r="AQ250" i="5" s="1"/>
  <c r="GJ250" i="15"/>
  <c r="AT250" i="5" s="1"/>
  <c r="GB250" i="15"/>
  <c r="AL250" i="5" s="1"/>
  <c r="GE250" i="15"/>
  <c r="AO250" i="5" s="1"/>
  <c r="GH250" i="15"/>
  <c r="GF249" i="15"/>
  <c r="AP249" i="5" s="1"/>
  <c r="GC249" i="15"/>
  <c r="AM249" i="5" s="1"/>
  <c r="GI249" i="15"/>
  <c r="AS249" i="5" s="1"/>
  <c r="GD248" i="15"/>
  <c r="AN248" i="5" s="1"/>
  <c r="GG248" i="15"/>
  <c r="AQ248" i="5" s="1"/>
  <c r="GJ248" i="15"/>
  <c r="AT248" i="5" s="1"/>
  <c r="GB248" i="15"/>
  <c r="AL248" i="5" s="1"/>
  <c r="GE248" i="15"/>
  <c r="AO248" i="5" s="1"/>
  <c r="GH248" i="15"/>
  <c r="GF247" i="15"/>
  <c r="AP247" i="5" s="1"/>
  <c r="GC247" i="15"/>
  <c r="AM247" i="5" s="1"/>
  <c r="GI247" i="15"/>
  <c r="GD246" i="15"/>
  <c r="AN246" i="5" s="1"/>
  <c r="GG246" i="15"/>
  <c r="AQ246" i="5" s="1"/>
  <c r="GJ246" i="15"/>
  <c r="AT246" i="5" s="1"/>
  <c r="GB246" i="15"/>
  <c r="AL246" i="5" s="1"/>
  <c r="GE246" i="15"/>
  <c r="AO246" i="5" s="1"/>
  <c r="GH246" i="15"/>
  <c r="AR246" i="5" s="1"/>
  <c r="GF245" i="15"/>
  <c r="AP245" i="5" s="1"/>
  <c r="GC245" i="15"/>
  <c r="AM245" i="5" s="1"/>
  <c r="GI245" i="15"/>
  <c r="AS245" i="5" s="1"/>
  <c r="GD244" i="15"/>
  <c r="AN244" i="5" s="1"/>
  <c r="GG244" i="15"/>
  <c r="AQ244" i="5" s="1"/>
  <c r="GJ244" i="15"/>
  <c r="AT244" i="5" s="1"/>
  <c r="GB244" i="15"/>
  <c r="GE244" i="15"/>
  <c r="AO244" i="5" s="1"/>
  <c r="GH244" i="15"/>
  <c r="GF243" i="15"/>
  <c r="AP243" i="5" s="1"/>
  <c r="GC243" i="15"/>
  <c r="AM243" i="5" s="1"/>
  <c r="GI243" i="15"/>
  <c r="AS243" i="5" s="1"/>
  <c r="GD242" i="15"/>
  <c r="AN242" i="5" s="1"/>
  <c r="GG242" i="15"/>
  <c r="GJ242" i="15"/>
  <c r="AT242" i="5" s="1"/>
  <c r="GB242" i="15"/>
  <c r="AL242" i="5" s="1"/>
  <c r="GE242" i="15"/>
  <c r="AO242" i="5" s="1"/>
  <c r="GH242" i="15"/>
  <c r="AR242" i="5" s="1"/>
  <c r="GF241" i="15"/>
  <c r="AP241" i="5" s="1"/>
  <c r="GC241" i="15"/>
  <c r="AM241" i="5" s="1"/>
  <c r="GI241" i="15"/>
  <c r="AS241" i="5" s="1"/>
  <c r="GD240" i="15"/>
  <c r="AN240" i="5" s="1"/>
  <c r="GG240" i="15"/>
  <c r="AQ240" i="5" s="1"/>
  <c r="GJ240" i="15"/>
  <c r="AT240" i="5" s="1"/>
  <c r="GB240" i="15"/>
  <c r="AL240" i="5" s="1"/>
  <c r="GE240" i="15"/>
  <c r="AO240" i="5" s="1"/>
  <c r="GH240" i="15"/>
  <c r="AR240" i="5" s="1"/>
  <c r="GF239" i="15"/>
  <c r="AP239" i="5" s="1"/>
  <c r="GC239" i="15"/>
  <c r="AM239" i="5" s="1"/>
  <c r="GI239" i="15"/>
  <c r="AS239" i="5" s="1"/>
  <c r="GD238" i="15"/>
  <c r="GG238" i="15"/>
  <c r="AQ238" i="5" s="1"/>
  <c r="GJ238" i="15"/>
  <c r="AT238" i="5" s="1"/>
  <c r="GB238" i="15"/>
  <c r="AL238" i="5" s="1"/>
  <c r="GE238" i="15"/>
  <c r="AO238" i="5" s="1"/>
  <c r="GH238" i="15"/>
  <c r="AR238" i="5" s="1"/>
  <c r="GF237" i="15"/>
  <c r="AP237" i="5" s="1"/>
  <c r="GC237" i="15"/>
  <c r="AM237" i="5" s="1"/>
  <c r="GI237" i="15"/>
  <c r="AS237" i="5" s="1"/>
  <c r="GD236" i="15"/>
  <c r="AN236" i="5" s="1"/>
  <c r="GG236" i="15"/>
  <c r="AQ236" i="5" s="1"/>
  <c r="GJ236" i="15"/>
  <c r="AT236" i="5" s="1"/>
  <c r="GB236" i="15"/>
  <c r="GE236" i="15"/>
  <c r="AO236" i="5" s="1"/>
  <c r="GH236" i="15"/>
  <c r="GF235" i="15"/>
  <c r="AP235" i="5" s="1"/>
  <c r="GC235" i="15"/>
  <c r="AM235" i="5" s="1"/>
  <c r="GI235" i="15"/>
  <c r="GD234" i="15"/>
  <c r="AN234" i="5" s="1"/>
  <c r="GG234" i="15"/>
  <c r="AQ234" i="5" s="1"/>
  <c r="GJ234" i="15"/>
  <c r="AT234" i="5" s="1"/>
  <c r="GB234" i="15"/>
  <c r="AL234" i="5" s="1"/>
  <c r="GE234" i="15"/>
  <c r="AO234" i="5" s="1"/>
  <c r="GH234" i="15"/>
  <c r="GF233" i="15"/>
  <c r="AP233" i="5" s="1"/>
  <c r="GC233" i="15"/>
  <c r="AM233" i="5" s="1"/>
  <c r="GI233" i="15"/>
  <c r="AS233" i="5" s="1"/>
  <c r="GD232" i="15"/>
  <c r="AN232" i="5" s="1"/>
  <c r="GG232" i="15"/>
  <c r="AQ232" i="5" s="1"/>
  <c r="GJ232" i="15"/>
  <c r="AT232" i="5" s="1"/>
  <c r="GB232" i="15"/>
  <c r="AL232" i="5" s="1"/>
  <c r="GE232" i="15"/>
  <c r="AO232" i="5" s="1"/>
  <c r="GH232" i="15"/>
  <c r="GF231" i="15"/>
  <c r="AP231" i="5" s="1"/>
  <c r="GC231" i="15"/>
  <c r="AM231" i="5" s="1"/>
  <c r="GI231" i="15"/>
  <c r="GD230" i="15"/>
  <c r="AN230" i="5" s="1"/>
  <c r="GG230" i="15"/>
  <c r="AQ230" i="5" s="1"/>
  <c r="GJ230" i="15"/>
  <c r="AT230" i="5" s="1"/>
  <c r="GB230" i="15"/>
  <c r="AL230" i="5" s="1"/>
  <c r="GE230" i="15"/>
  <c r="AO230" i="5" s="1"/>
  <c r="GH230" i="15"/>
  <c r="AR230" i="5" s="1"/>
  <c r="GF229" i="15"/>
  <c r="AP229" i="5" s="1"/>
  <c r="GC229" i="15"/>
  <c r="AM229" i="5" s="1"/>
  <c r="GI229" i="15"/>
  <c r="AS229" i="5" s="1"/>
  <c r="GD228" i="15"/>
  <c r="AN228" i="5" s="1"/>
  <c r="GG228" i="15"/>
  <c r="AQ228" i="5" s="1"/>
  <c r="GJ228" i="15"/>
  <c r="AT228" i="5" s="1"/>
  <c r="GB228" i="15"/>
  <c r="GE228" i="15"/>
  <c r="AO228" i="5" s="1"/>
  <c r="GH228" i="15"/>
  <c r="AR228" i="5" s="1"/>
  <c r="GF227" i="15"/>
  <c r="AP227" i="5" s="1"/>
  <c r="GC227" i="15"/>
  <c r="AM227" i="5" s="1"/>
  <c r="GI227" i="15"/>
  <c r="AS227" i="5" s="1"/>
  <c r="GD226" i="15"/>
  <c r="AN226" i="5" s="1"/>
  <c r="GG226" i="15"/>
  <c r="AQ226" i="5" s="1"/>
  <c r="GJ226" i="15"/>
  <c r="AT226" i="5" s="1"/>
  <c r="GB226" i="15"/>
  <c r="AL226" i="5" s="1"/>
  <c r="GE226" i="15"/>
  <c r="AO226" i="5" s="1"/>
  <c r="GH226" i="15"/>
  <c r="AR226" i="5" s="1"/>
  <c r="GF225" i="15"/>
  <c r="GC225" i="15"/>
  <c r="AM225" i="5" s="1"/>
  <c r="GI225" i="15"/>
  <c r="AS225" i="5" s="1"/>
  <c r="GD224" i="15"/>
  <c r="AN224" i="5" s="1"/>
  <c r="GG224" i="15"/>
  <c r="AQ224" i="5" s="1"/>
  <c r="GJ224" i="15"/>
  <c r="AT224" i="5" s="1"/>
  <c r="GB224" i="15"/>
  <c r="AL224" i="5" s="1"/>
  <c r="GE224" i="15"/>
  <c r="AO224" i="5" s="1"/>
  <c r="GH224" i="15"/>
  <c r="GF223" i="15"/>
  <c r="AP223" i="5" s="1"/>
  <c r="GC223" i="15"/>
  <c r="AM223" i="5" s="1"/>
  <c r="GI223" i="15"/>
  <c r="AS223" i="5" s="1"/>
  <c r="GD222" i="15"/>
  <c r="AN222" i="5" s="1"/>
  <c r="GG222" i="15"/>
  <c r="AQ222" i="5" s="1"/>
  <c r="GJ222" i="15"/>
  <c r="AT222" i="5" s="1"/>
  <c r="GB222" i="15"/>
  <c r="AL222" i="5" s="1"/>
  <c r="GE222" i="15"/>
  <c r="AO222" i="5" s="1"/>
  <c r="GH222" i="15"/>
  <c r="AR222" i="5" s="1"/>
  <c r="GF221" i="15"/>
  <c r="AP221" i="5" s="1"/>
  <c r="GC221" i="15"/>
  <c r="AM221" i="5" s="1"/>
  <c r="GI221" i="15"/>
  <c r="AS221" i="5" s="1"/>
  <c r="GD220" i="15"/>
  <c r="AN220" i="5" s="1"/>
  <c r="GG220" i="15"/>
  <c r="AQ220" i="5" s="1"/>
  <c r="GJ220" i="15"/>
  <c r="AT220" i="5" s="1"/>
  <c r="GB220" i="15"/>
  <c r="AL220" i="5" s="1"/>
  <c r="GE220" i="15"/>
  <c r="AO220" i="5" s="1"/>
  <c r="GH220" i="15"/>
  <c r="AR220" i="5" s="1"/>
  <c r="GF219" i="15"/>
  <c r="AP219" i="5" s="1"/>
  <c r="GC219" i="15"/>
  <c r="AM219" i="5" s="1"/>
  <c r="GI219" i="15"/>
  <c r="GD218" i="15"/>
  <c r="AN218" i="5" s="1"/>
  <c r="GG218" i="15"/>
  <c r="AQ218" i="5" s="1"/>
  <c r="GJ218" i="15"/>
  <c r="AT218" i="5" s="1"/>
  <c r="GB218" i="15"/>
  <c r="AL218" i="5" s="1"/>
  <c r="GE218" i="15"/>
  <c r="AO218" i="5" s="1"/>
  <c r="GH218" i="15"/>
  <c r="GF217" i="15"/>
  <c r="AP217" i="5" s="1"/>
  <c r="GC217" i="15"/>
  <c r="AM217" i="5" s="1"/>
  <c r="GI217" i="15"/>
  <c r="AS217" i="5" s="1"/>
  <c r="GD216" i="15"/>
  <c r="AN216" i="5" s="1"/>
  <c r="GG216" i="15"/>
  <c r="AQ216" i="5" s="1"/>
  <c r="GJ216" i="15"/>
  <c r="AT216" i="5" s="1"/>
  <c r="GB216" i="15"/>
  <c r="AL216" i="5" s="1"/>
  <c r="GE216" i="15"/>
  <c r="AO216" i="5" s="1"/>
  <c r="GH216" i="15"/>
  <c r="GF215" i="15"/>
  <c r="AP215" i="5" s="1"/>
  <c r="GC215" i="15"/>
  <c r="AM215" i="5" s="1"/>
  <c r="GI215" i="15"/>
  <c r="GD214" i="15"/>
  <c r="AN214" i="5" s="1"/>
  <c r="GG214" i="15"/>
  <c r="AQ214" i="5" s="1"/>
  <c r="GJ214" i="15"/>
  <c r="AT214" i="5" s="1"/>
  <c r="GB214" i="15"/>
  <c r="AL214" i="5" s="1"/>
  <c r="GE214" i="15"/>
  <c r="AO214" i="5" s="1"/>
  <c r="GH214" i="15"/>
  <c r="AR214" i="5" s="1"/>
  <c r="GF213" i="15"/>
  <c r="AP213" i="5" s="1"/>
  <c r="GC213" i="15"/>
  <c r="AM213" i="5" s="1"/>
  <c r="GI213" i="15"/>
  <c r="AS213" i="5" s="1"/>
  <c r="GD212" i="15"/>
  <c r="AN212" i="5" s="1"/>
  <c r="GG212" i="15"/>
  <c r="AQ212" i="5" s="1"/>
  <c r="GJ212" i="15"/>
  <c r="AT212" i="5" s="1"/>
  <c r="GB212" i="15"/>
  <c r="GE212" i="15"/>
  <c r="AO212" i="5" s="1"/>
  <c r="GH212" i="15"/>
  <c r="GF211" i="15"/>
  <c r="AP211" i="5" s="1"/>
  <c r="GC211" i="15"/>
  <c r="AM211" i="5" s="1"/>
  <c r="GI211" i="15"/>
  <c r="AS211" i="5" s="1"/>
  <c r="GD210" i="15"/>
  <c r="AN210" i="5" s="1"/>
  <c r="GG210" i="15"/>
  <c r="AQ210" i="5" s="1"/>
  <c r="GJ210" i="15"/>
  <c r="AT210" i="5" s="1"/>
  <c r="GB210" i="15"/>
  <c r="AL210" i="5" s="1"/>
  <c r="GE210" i="15"/>
  <c r="AO210" i="5" s="1"/>
  <c r="GH210" i="15"/>
  <c r="AR210" i="5" s="1"/>
  <c r="GF209" i="15"/>
  <c r="AP209" i="5" s="1"/>
  <c r="GC209" i="15"/>
  <c r="AM209" i="5" s="1"/>
  <c r="GI209" i="15"/>
  <c r="AS209" i="5" s="1"/>
  <c r="GD208" i="15"/>
  <c r="AN208" i="5" s="1"/>
  <c r="GG208" i="15"/>
  <c r="AQ208" i="5" s="1"/>
  <c r="GJ208" i="15"/>
  <c r="AT208" i="5" s="1"/>
  <c r="GB208" i="15"/>
  <c r="AL208" i="5" s="1"/>
  <c r="GE208" i="15"/>
  <c r="AO208" i="5" s="1"/>
  <c r="GH208" i="15"/>
  <c r="GF207" i="15"/>
  <c r="AP207" i="5" s="1"/>
  <c r="GC207" i="15"/>
  <c r="AM207" i="5" s="1"/>
  <c r="GI207" i="15"/>
  <c r="AS207" i="5" s="1"/>
  <c r="GD206" i="15"/>
  <c r="AN206" i="5" s="1"/>
  <c r="GG206" i="15"/>
  <c r="AQ206" i="5" s="1"/>
  <c r="GJ206" i="15"/>
  <c r="AT206" i="5" s="1"/>
  <c r="GB206" i="15"/>
  <c r="AL206" i="5" s="1"/>
  <c r="GE206" i="15"/>
  <c r="AO206" i="5" s="1"/>
  <c r="GH206" i="15"/>
  <c r="AR206" i="5" s="1"/>
  <c r="GF205" i="15"/>
  <c r="AP205" i="5" s="1"/>
  <c r="GC205" i="15"/>
  <c r="AM205" i="5" s="1"/>
  <c r="GI205" i="15"/>
  <c r="AS205" i="5" s="1"/>
  <c r="GD204" i="15"/>
  <c r="AN204" i="5" s="1"/>
  <c r="GG204" i="15"/>
  <c r="AQ204" i="5" s="1"/>
  <c r="GJ204" i="15"/>
  <c r="AT204" i="5" s="1"/>
  <c r="GB204" i="15"/>
  <c r="GE204" i="15"/>
  <c r="AO204" i="5" s="1"/>
  <c r="GH204" i="15"/>
  <c r="GF203" i="15"/>
  <c r="AP203" i="5" s="1"/>
  <c r="GC203" i="15"/>
  <c r="AM203" i="5" s="1"/>
  <c r="GI203" i="15"/>
  <c r="GD202" i="15"/>
  <c r="AN202" i="5" s="1"/>
  <c r="GG202" i="15"/>
  <c r="AQ202" i="5" s="1"/>
  <c r="GJ202" i="15"/>
  <c r="AT202" i="5" s="1"/>
  <c r="GB202" i="15"/>
  <c r="AL202" i="5" s="1"/>
  <c r="GE202" i="15"/>
  <c r="AO202" i="5" s="1"/>
  <c r="GH202" i="15"/>
  <c r="AR202" i="5" s="1"/>
  <c r="GF201" i="15"/>
  <c r="AP201" i="5" s="1"/>
  <c r="GC201" i="15"/>
  <c r="AM201" i="5" s="1"/>
  <c r="GI201" i="15"/>
  <c r="AS201" i="5" s="1"/>
  <c r="GD200" i="15"/>
  <c r="AN200" i="5" s="1"/>
  <c r="GG200" i="15"/>
  <c r="AQ200" i="5" s="1"/>
  <c r="GJ200" i="15"/>
  <c r="AT200" i="5" s="1"/>
  <c r="GB200" i="15"/>
  <c r="AL200" i="5" s="1"/>
  <c r="GE200" i="15"/>
  <c r="AO200" i="5" s="1"/>
  <c r="GH200" i="15"/>
  <c r="GF199" i="15"/>
  <c r="AP199" i="5" s="1"/>
  <c r="GC199" i="15"/>
  <c r="AM199" i="5" s="1"/>
  <c r="GI199" i="15"/>
  <c r="GD198" i="15"/>
  <c r="AN198" i="5" s="1"/>
  <c r="GG198" i="15"/>
  <c r="AQ198" i="5" s="1"/>
  <c r="GJ198" i="15"/>
  <c r="AT198" i="5" s="1"/>
  <c r="GB198" i="15"/>
  <c r="AL198" i="5" s="1"/>
  <c r="GE198" i="15"/>
  <c r="AO198" i="5" s="1"/>
  <c r="GH198" i="15"/>
  <c r="AR198" i="5" s="1"/>
  <c r="GF197" i="15"/>
  <c r="AP197" i="5" s="1"/>
  <c r="GC197" i="15"/>
  <c r="AM197" i="5" s="1"/>
  <c r="GI197" i="15"/>
  <c r="AS197" i="5" s="1"/>
  <c r="GD196" i="15"/>
  <c r="AN196" i="5" s="1"/>
  <c r="GG196" i="15"/>
  <c r="AQ196" i="5" s="1"/>
  <c r="GJ196" i="15"/>
  <c r="AT196" i="5" s="1"/>
  <c r="GB196" i="15"/>
  <c r="AL196" i="5" s="1"/>
  <c r="GE196" i="15"/>
  <c r="AO196" i="5" s="1"/>
  <c r="GH196" i="15"/>
  <c r="AR196" i="5" s="1"/>
  <c r="GF195" i="15"/>
  <c r="AP195" i="5" s="1"/>
  <c r="GC195" i="15"/>
  <c r="AM195" i="5" s="1"/>
  <c r="GI195" i="15"/>
  <c r="AS195" i="5" s="1"/>
  <c r="GD194" i="15"/>
  <c r="AN194" i="5" s="1"/>
  <c r="GG194" i="15"/>
  <c r="AQ194" i="5" s="1"/>
  <c r="GJ194" i="15"/>
  <c r="AT194" i="5" s="1"/>
  <c r="GB194" i="15"/>
  <c r="AL194" i="5" s="1"/>
  <c r="GE194" i="15"/>
  <c r="AO194" i="5" s="1"/>
  <c r="GH194" i="15"/>
  <c r="AR194" i="5" s="1"/>
  <c r="GF22" i="15"/>
  <c r="GI22" i="15"/>
  <c r="AS22" i="5" s="1"/>
  <c r="GD349" i="15"/>
  <c r="AN349" i="5" s="1"/>
  <c r="GG349" i="15"/>
  <c r="AQ349" i="5" s="1"/>
  <c r="GJ349" i="15"/>
  <c r="GB349" i="15"/>
  <c r="AL349" i="5" s="1"/>
  <c r="GE349" i="15"/>
  <c r="AO349" i="5" s="1"/>
  <c r="GH349" i="15"/>
  <c r="AR349" i="5" s="1"/>
  <c r="GF348" i="15"/>
  <c r="GC348" i="15"/>
  <c r="AM348" i="5" s="1"/>
  <c r="GI348" i="15"/>
  <c r="AS348" i="5" s="1"/>
  <c r="GD347" i="15"/>
  <c r="AN347" i="5" s="1"/>
  <c r="GG347" i="15"/>
  <c r="AQ347" i="5" s="1"/>
  <c r="GJ347" i="15"/>
  <c r="AT347" i="5" s="1"/>
  <c r="GB347" i="15"/>
  <c r="AL347" i="5" s="1"/>
  <c r="GE347" i="15"/>
  <c r="GH347" i="15"/>
  <c r="AR347" i="5" s="1"/>
  <c r="GF346" i="15"/>
  <c r="AP346" i="5" s="1"/>
  <c r="GC346" i="15"/>
  <c r="AM346" i="5" s="1"/>
  <c r="GI346" i="15"/>
  <c r="AS346" i="5" s="1"/>
  <c r="GD345" i="15"/>
  <c r="GG345" i="15"/>
  <c r="AQ345" i="5" s="1"/>
  <c r="GJ345" i="15"/>
  <c r="GB345" i="15"/>
  <c r="AL345" i="5" s="1"/>
  <c r="GE345" i="15"/>
  <c r="AO345" i="5" s="1"/>
  <c r="GH345" i="15"/>
  <c r="GF344" i="15"/>
  <c r="GC344" i="15"/>
  <c r="AM344" i="5" s="1"/>
  <c r="GI344" i="15"/>
  <c r="GD343" i="15"/>
  <c r="AN343" i="5" s="1"/>
  <c r="GG343" i="15"/>
  <c r="GJ343" i="15"/>
  <c r="AT343" i="5" s="1"/>
  <c r="GB343" i="15"/>
  <c r="AI343" i="5"/>
  <c r="GE343" i="15"/>
  <c r="GH343" i="15"/>
  <c r="AR343" i="5" s="1"/>
  <c r="GF342" i="15"/>
  <c r="AP342" i="5" s="1"/>
  <c r="GC342" i="15"/>
  <c r="AM342" i="5" s="1"/>
  <c r="GI342" i="15"/>
  <c r="AS342" i="5" s="1"/>
  <c r="GD341" i="15"/>
  <c r="GG341" i="15"/>
  <c r="AQ341" i="5" s="1"/>
  <c r="GJ341" i="15"/>
  <c r="AT341" i="5" s="1"/>
  <c r="GB341" i="15"/>
  <c r="GE341" i="15"/>
  <c r="AO341" i="5" s="1"/>
  <c r="GH341" i="15"/>
  <c r="AR341" i="5" s="1"/>
  <c r="GF340" i="15"/>
  <c r="AP340" i="5" s="1"/>
  <c r="GC340" i="15"/>
  <c r="AM340" i="5" s="1"/>
  <c r="GI340" i="15"/>
  <c r="AS340" i="5" s="1"/>
  <c r="GD339" i="15"/>
  <c r="AN339" i="5" s="1"/>
  <c r="GG339" i="15"/>
  <c r="AQ339" i="5" s="1"/>
  <c r="GJ339" i="15"/>
  <c r="GB339" i="15"/>
  <c r="GE339" i="15"/>
  <c r="AO339" i="5" s="1"/>
  <c r="GH339" i="15"/>
  <c r="AR339" i="5" s="1"/>
  <c r="GF338" i="15"/>
  <c r="AP338" i="5" s="1"/>
  <c r="GC338" i="15"/>
  <c r="AM338" i="5" s="1"/>
  <c r="GI338" i="15"/>
  <c r="GD337" i="15"/>
  <c r="AN337" i="5" s="1"/>
  <c r="GG337" i="15"/>
  <c r="AQ337" i="5" s="1"/>
  <c r="GJ337" i="15"/>
  <c r="AT337" i="5" s="1"/>
  <c r="GB337" i="15"/>
  <c r="AL337" i="5" s="1"/>
  <c r="GE337" i="15"/>
  <c r="GH337" i="15"/>
  <c r="GF336" i="15"/>
  <c r="AP336" i="5" s="1"/>
  <c r="GC336" i="15"/>
  <c r="AM336" i="5" s="1"/>
  <c r="GI336" i="15"/>
  <c r="GD335" i="15"/>
  <c r="AN335" i="5" s="1"/>
  <c r="GG335" i="15"/>
  <c r="AQ335" i="5" s="1"/>
  <c r="GJ335" i="15"/>
  <c r="GB335" i="15"/>
  <c r="AL335" i="5" s="1"/>
  <c r="AI335" i="5"/>
  <c r="GE335" i="15"/>
  <c r="GH335" i="15"/>
  <c r="AR335" i="5" s="1"/>
  <c r="GF334" i="15"/>
  <c r="AP334" i="5" s="1"/>
  <c r="GC334" i="15"/>
  <c r="GI334" i="15"/>
  <c r="AS334" i="5" s="1"/>
  <c r="GD333" i="15"/>
  <c r="AN333" i="5" s="1"/>
  <c r="GG333" i="15"/>
  <c r="AQ333" i="5" s="1"/>
  <c r="GJ333" i="15"/>
  <c r="GB333" i="15"/>
  <c r="AL333" i="5" s="1"/>
  <c r="GE333" i="15"/>
  <c r="AO333" i="5" s="1"/>
  <c r="GH333" i="15"/>
  <c r="AR333" i="5" s="1"/>
  <c r="GF332" i="15"/>
  <c r="GC332" i="15"/>
  <c r="AM332" i="5" s="1"/>
  <c r="GI332" i="15"/>
  <c r="AS332" i="5" s="1"/>
  <c r="GD331" i="15"/>
  <c r="AN331" i="5" s="1"/>
  <c r="GG331" i="15"/>
  <c r="AQ331" i="5" s="1"/>
  <c r="GJ331" i="15"/>
  <c r="AT331" i="5" s="1"/>
  <c r="GB331" i="15"/>
  <c r="GE331" i="15"/>
  <c r="AO331" i="5" s="1"/>
  <c r="GH331" i="15"/>
  <c r="GF330" i="15"/>
  <c r="GC330" i="15"/>
  <c r="GI330" i="15"/>
  <c r="AS330" i="5" s="1"/>
  <c r="GD329" i="15"/>
  <c r="AN329" i="5" s="1"/>
  <c r="GG329" i="15"/>
  <c r="AQ329" i="5" s="1"/>
  <c r="GJ329" i="15"/>
  <c r="GB329" i="15"/>
  <c r="AL329" i="5" s="1"/>
  <c r="GE329" i="15"/>
  <c r="AO329" i="5" s="1"/>
  <c r="GH329" i="15"/>
  <c r="GF328" i="15"/>
  <c r="GC328" i="15"/>
  <c r="AM328" i="5" s="1"/>
  <c r="GI328" i="15"/>
  <c r="GD327" i="15"/>
  <c r="AN327" i="5" s="1"/>
  <c r="GG327" i="15"/>
  <c r="AQ327" i="5" s="1"/>
  <c r="GJ327" i="15"/>
  <c r="AT327" i="5" s="1"/>
  <c r="GB327" i="15"/>
  <c r="GE327" i="15"/>
  <c r="AO327" i="5" s="1"/>
  <c r="GH327" i="15"/>
  <c r="AR327" i="5" s="1"/>
  <c r="GF326" i="15"/>
  <c r="AP326" i="5" s="1"/>
  <c r="GC326" i="15"/>
  <c r="AM326" i="5" s="1"/>
  <c r="GI326" i="15"/>
  <c r="AS326" i="5" s="1"/>
  <c r="GD325" i="15"/>
  <c r="GG325" i="15"/>
  <c r="AQ325" i="5" s="1"/>
  <c r="GJ325" i="15"/>
  <c r="GB325" i="15"/>
  <c r="AL325" i="5" s="1"/>
  <c r="GE325" i="15"/>
  <c r="AO325" i="5" s="1"/>
  <c r="GH325" i="15"/>
  <c r="AR325" i="5" s="1"/>
  <c r="GF324" i="15"/>
  <c r="GC324" i="15"/>
  <c r="AM324" i="5" s="1"/>
  <c r="GI324" i="15"/>
  <c r="AS324" i="5" s="1"/>
  <c r="GD323" i="15"/>
  <c r="AN323" i="5" s="1"/>
  <c r="GG323" i="15"/>
  <c r="GJ323" i="15"/>
  <c r="AT323" i="5" s="1"/>
  <c r="GB323" i="15"/>
  <c r="AL323" i="5" s="1"/>
  <c r="AI323" i="5"/>
  <c r="GE323" i="15"/>
  <c r="GH323" i="15"/>
  <c r="AR323" i="5" s="1"/>
  <c r="GF322" i="15"/>
  <c r="AP322" i="5" s="1"/>
  <c r="GC322" i="15"/>
  <c r="AM322" i="5" s="1"/>
  <c r="GI322" i="15"/>
  <c r="AS322" i="5" s="1"/>
  <c r="GD321" i="15"/>
  <c r="GG321" i="15"/>
  <c r="AQ321" i="5" s="1"/>
  <c r="GJ321" i="15"/>
  <c r="AT321" i="5" s="1"/>
  <c r="GB321" i="15"/>
  <c r="GE321" i="15"/>
  <c r="AO321" i="5" s="1"/>
  <c r="GH321" i="15"/>
  <c r="GF320" i="15"/>
  <c r="AP320" i="5" s="1"/>
  <c r="GC320" i="15"/>
  <c r="AM320" i="5" s="1"/>
  <c r="GI320" i="15"/>
  <c r="GD319" i="15"/>
  <c r="AN319" i="5" s="1"/>
  <c r="GG319" i="15"/>
  <c r="AQ319" i="5" s="1"/>
  <c r="GJ319" i="15"/>
  <c r="GB319" i="15"/>
  <c r="AL319" i="5" s="1"/>
  <c r="GE319" i="15"/>
  <c r="AO319" i="5" s="1"/>
  <c r="GH319" i="15"/>
  <c r="GF318" i="15"/>
  <c r="AP318" i="5" s="1"/>
  <c r="GC318" i="15"/>
  <c r="AM318" i="5" s="1"/>
  <c r="GI318" i="15"/>
  <c r="AS318" i="5" s="1"/>
  <c r="GD317" i="15"/>
  <c r="AN317" i="5" s="1"/>
  <c r="GG317" i="15"/>
  <c r="AQ317" i="5" s="1"/>
  <c r="GJ317" i="15"/>
  <c r="GB317" i="15"/>
  <c r="AL317" i="5" s="1"/>
  <c r="GE317" i="15"/>
  <c r="AO317" i="5" s="1"/>
  <c r="GH317" i="15"/>
  <c r="AR317" i="5" s="1"/>
  <c r="GF316" i="15"/>
  <c r="GC316" i="15"/>
  <c r="GI316" i="15"/>
  <c r="AS316" i="5" s="1"/>
  <c r="GD315" i="15"/>
  <c r="GG315" i="15"/>
  <c r="GJ315" i="15"/>
  <c r="AT315" i="5" s="1"/>
  <c r="GB315" i="15"/>
  <c r="AL315" i="5" s="1"/>
  <c r="GE315" i="15"/>
  <c r="AO315" i="5" s="1"/>
  <c r="GH315" i="15"/>
  <c r="AR315" i="5" s="1"/>
  <c r="GF314" i="15"/>
  <c r="AP314" i="5" s="1"/>
  <c r="GC314" i="15"/>
  <c r="GI314" i="15"/>
  <c r="AS314" i="5" s="1"/>
  <c r="GD313" i="15"/>
  <c r="AN313" i="5" s="1"/>
  <c r="GG313" i="15"/>
  <c r="AQ313" i="5" s="1"/>
  <c r="GJ313" i="15"/>
  <c r="AT313" i="5" s="1"/>
  <c r="GB313" i="15"/>
  <c r="AL313" i="5" s="1"/>
  <c r="GE313" i="15"/>
  <c r="AO313" i="5" s="1"/>
  <c r="GH313" i="15"/>
  <c r="GF312" i="15"/>
  <c r="GC312" i="15"/>
  <c r="AM312" i="5" s="1"/>
  <c r="GI312" i="15"/>
  <c r="AS312" i="5" s="1"/>
  <c r="GD311" i="15"/>
  <c r="AN311" i="5" s="1"/>
  <c r="GG311" i="15"/>
  <c r="AQ311" i="5" s="1"/>
  <c r="GJ311" i="15"/>
  <c r="AT311" i="5" s="1"/>
  <c r="GB311" i="15"/>
  <c r="AL311" i="5" s="1"/>
  <c r="GE311" i="15"/>
  <c r="AO311" i="5" s="1"/>
  <c r="GH311" i="15"/>
  <c r="AR311" i="5" s="1"/>
  <c r="GF310" i="15"/>
  <c r="AP310" i="5" s="1"/>
  <c r="GC310" i="15"/>
  <c r="GI310" i="15"/>
  <c r="GD309" i="15"/>
  <c r="AN309" i="5" s="1"/>
  <c r="GG309" i="15"/>
  <c r="AQ309" i="5" s="1"/>
  <c r="GJ309" i="15"/>
  <c r="GB309" i="15"/>
  <c r="AL309" i="5" s="1"/>
  <c r="GE309" i="15"/>
  <c r="AO309" i="5" s="1"/>
  <c r="GH309" i="15"/>
  <c r="AR309" i="5" s="1"/>
  <c r="GF308" i="15"/>
  <c r="GC308" i="15"/>
  <c r="AM308" i="5" s="1"/>
  <c r="GI308" i="15"/>
  <c r="AS308" i="5" s="1"/>
  <c r="GD307" i="15"/>
  <c r="AN307" i="5" s="1"/>
  <c r="GG307" i="15"/>
  <c r="AQ307" i="5" s="1"/>
  <c r="GJ307" i="15"/>
  <c r="GB307" i="15"/>
  <c r="AL307" i="5" s="1"/>
  <c r="GE307" i="15"/>
  <c r="GH307" i="15"/>
  <c r="AR307" i="5" s="1"/>
  <c r="GF306" i="15"/>
  <c r="AP306" i="5" s="1"/>
  <c r="GC306" i="15"/>
  <c r="AM306" i="5" s="1"/>
  <c r="GI306" i="15"/>
  <c r="AS306" i="5" s="1"/>
  <c r="GD305" i="15"/>
  <c r="GG305" i="15"/>
  <c r="AQ305" i="5" s="1"/>
  <c r="GJ305" i="15"/>
  <c r="AT305" i="5" s="1"/>
  <c r="GB305" i="15"/>
  <c r="AL305" i="5" s="1"/>
  <c r="GE305" i="15"/>
  <c r="AO305" i="5" s="1"/>
  <c r="GH305" i="15"/>
  <c r="GF304" i="15"/>
  <c r="AP304" i="5" s="1"/>
  <c r="GC304" i="15"/>
  <c r="GI304" i="15"/>
  <c r="GD303" i="15"/>
  <c r="GG303" i="15"/>
  <c r="AQ303" i="5" s="1"/>
  <c r="GJ303" i="15"/>
  <c r="AT303" i="5" s="1"/>
  <c r="GB303" i="15"/>
  <c r="AL303" i="5" s="1"/>
  <c r="AI303" i="5"/>
  <c r="GE303" i="15"/>
  <c r="GH303" i="15"/>
  <c r="GF302" i="15"/>
  <c r="AP302" i="5" s="1"/>
  <c r="GC302" i="15"/>
  <c r="AM302" i="5" s="1"/>
  <c r="GI302" i="15"/>
  <c r="AS302" i="5" s="1"/>
  <c r="GD301" i="15"/>
  <c r="GG301" i="15"/>
  <c r="AQ301" i="5" s="1"/>
  <c r="GJ301" i="15"/>
  <c r="GB301" i="15"/>
  <c r="AL301" i="5" s="1"/>
  <c r="GE301" i="15"/>
  <c r="AO301" i="5" s="1"/>
  <c r="GH301" i="15"/>
  <c r="AR301" i="5" s="1"/>
  <c r="GF300" i="15"/>
  <c r="GC300" i="15"/>
  <c r="AM300" i="5" s="1"/>
  <c r="GI300" i="15"/>
  <c r="AS300" i="5" s="1"/>
  <c r="GD299" i="15"/>
  <c r="AN299" i="5" s="1"/>
  <c r="GG299" i="15"/>
  <c r="GJ299" i="15"/>
  <c r="AT299" i="5" s="1"/>
  <c r="GB299" i="15"/>
  <c r="AL299" i="5" s="1"/>
  <c r="AI299" i="5"/>
  <c r="GE299" i="15"/>
  <c r="GH299" i="15"/>
  <c r="AR299" i="5" s="1"/>
  <c r="GF298" i="15"/>
  <c r="AP298" i="5" s="1"/>
  <c r="GC298" i="15"/>
  <c r="AM298" i="5" s="1"/>
  <c r="GI298" i="15"/>
  <c r="AS298" i="5" s="1"/>
  <c r="GD297" i="15"/>
  <c r="GG297" i="15"/>
  <c r="AQ297" i="5" s="1"/>
  <c r="GJ297" i="15"/>
  <c r="AT297" i="5" s="1"/>
  <c r="GB297" i="15"/>
  <c r="GE297" i="15"/>
  <c r="AO297" i="5" s="1"/>
  <c r="GH297" i="15"/>
  <c r="GF296" i="15"/>
  <c r="AP296" i="5" s="1"/>
  <c r="GC296" i="15"/>
  <c r="AM296" i="5" s="1"/>
  <c r="GI296" i="15"/>
  <c r="AS296" i="5" s="1"/>
  <c r="GD295" i="15"/>
  <c r="GG295" i="15"/>
  <c r="AQ295" i="5" s="1"/>
  <c r="GJ295" i="15"/>
  <c r="AT295" i="5" s="1"/>
  <c r="GB295" i="15"/>
  <c r="AL295" i="5" s="1"/>
  <c r="GL295" i="15"/>
  <c r="GE295" i="15"/>
  <c r="GH295" i="15"/>
  <c r="AR295" i="5" s="1"/>
  <c r="GF294" i="15"/>
  <c r="AP294" i="5" s="1"/>
  <c r="GC294" i="15"/>
  <c r="AM294" i="5" s="1"/>
  <c r="GI294" i="15"/>
  <c r="GD293" i="15"/>
  <c r="GG293" i="15"/>
  <c r="AQ293" i="5" s="1"/>
  <c r="GJ293" i="15"/>
  <c r="GB293" i="15"/>
  <c r="AL293" i="5" s="1"/>
  <c r="GE293" i="15"/>
  <c r="AO293" i="5" s="1"/>
  <c r="GH293" i="15"/>
  <c r="AR293" i="5" s="1"/>
  <c r="GF292" i="15"/>
  <c r="GC292" i="15"/>
  <c r="AM292" i="5" s="1"/>
  <c r="GI292" i="15"/>
  <c r="AS292" i="5" s="1"/>
  <c r="GD291" i="15"/>
  <c r="AN291" i="5" s="1"/>
  <c r="GG291" i="15"/>
  <c r="GJ291" i="15"/>
  <c r="AT291" i="5" s="1"/>
  <c r="GB291" i="15"/>
  <c r="AL291" i="5" s="1"/>
  <c r="AI291" i="5"/>
  <c r="GE291" i="15"/>
  <c r="GH291" i="15"/>
  <c r="AR291" i="5" s="1"/>
  <c r="GF290" i="15"/>
  <c r="GC290" i="15"/>
  <c r="AM290" i="5" s="1"/>
  <c r="GI290" i="15"/>
  <c r="AS290" i="5" s="1"/>
  <c r="GD289" i="15"/>
  <c r="AN289" i="5" s="1"/>
  <c r="GG289" i="15"/>
  <c r="GJ289" i="15"/>
  <c r="GB289" i="15"/>
  <c r="AL289" i="5" s="1"/>
  <c r="GE289" i="15"/>
  <c r="AO289" i="5" s="1"/>
  <c r="GH289" i="15"/>
  <c r="GF288" i="15"/>
  <c r="AP288" i="5" s="1"/>
  <c r="GC288" i="15"/>
  <c r="AM288" i="5" s="1"/>
  <c r="GI288" i="15"/>
  <c r="GD287" i="15"/>
  <c r="AN287" i="5" s="1"/>
  <c r="GG287" i="15"/>
  <c r="GJ287" i="15"/>
  <c r="AT287" i="5" s="1"/>
  <c r="GB287" i="15"/>
  <c r="AL287" i="5" s="1"/>
  <c r="AI287" i="5"/>
  <c r="GE287" i="15"/>
  <c r="AO287" i="5" s="1"/>
  <c r="GH287" i="15"/>
  <c r="AR287" i="5" s="1"/>
  <c r="GF286" i="15"/>
  <c r="AP286" i="5" s="1"/>
  <c r="GC286" i="15"/>
  <c r="GI286" i="15"/>
  <c r="AS286" i="5" s="1"/>
  <c r="GD285" i="15"/>
  <c r="AN285" i="5" s="1"/>
  <c r="GG285" i="15"/>
  <c r="AQ285" i="5" s="1"/>
  <c r="GJ285" i="15"/>
  <c r="GB285" i="15"/>
  <c r="AL285" i="5" s="1"/>
  <c r="GE285" i="15"/>
  <c r="AO285" i="5" s="1"/>
  <c r="GH285" i="15"/>
  <c r="AR285" i="5" s="1"/>
  <c r="GF284" i="15"/>
  <c r="GC284" i="15"/>
  <c r="AM284" i="5" s="1"/>
  <c r="GI284" i="15"/>
  <c r="AS284" i="5" s="1"/>
  <c r="GD283" i="15"/>
  <c r="AN283" i="5" s="1"/>
  <c r="GG283" i="15"/>
  <c r="AQ283" i="5" s="1"/>
  <c r="GJ283" i="15"/>
  <c r="AT283" i="5" s="1"/>
  <c r="GB283" i="15"/>
  <c r="AL283" i="5" s="1"/>
  <c r="AI283" i="5"/>
  <c r="GE283" i="15"/>
  <c r="GH283" i="15"/>
  <c r="AR283" i="5" s="1"/>
  <c r="GF282" i="15"/>
  <c r="AP282" i="5" s="1"/>
  <c r="GC282" i="15"/>
  <c r="GI282" i="15"/>
  <c r="GD281" i="15"/>
  <c r="AN281" i="5" s="1"/>
  <c r="GG281" i="15"/>
  <c r="AQ281" i="5" s="1"/>
  <c r="GJ281" i="15"/>
  <c r="GB281" i="15"/>
  <c r="AL281" i="5" s="1"/>
  <c r="GE281" i="15"/>
  <c r="AO281" i="5" s="1"/>
  <c r="GH281" i="15"/>
  <c r="GF280" i="15"/>
  <c r="GC280" i="15"/>
  <c r="AM280" i="5" s="1"/>
  <c r="GI280" i="15"/>
  <c r="AS280" i="5" s="1"/>
  <c r="GD279" i="15"/>
  <c r="AN279" i="5" s="1"/>
  <c r="GG279" i="15"/>
  <c r="AQ279" i="5" s="1"/>
  <c r="GJ279" i="15"/>
  <c r="GB279" i="15"/>
  <c r="GL279" i="15"/>
  <c r="GE279" i="15"/>
  <c r="AO279" i="5" s="1"/>
  <c r="GH279" i="15"/>
  <c r="GF278" i="15"/>
  <c r="AP278" i="5" s="1"/>
  <c r="GC278" i="15"/>
  <c r="AM278" i="5" s="1"/>
  <c r="GI278" i="15"/>
  <c r="AS278" i="5" s="1"/>
  <c r="GD277" i="15"/>
  <c r="GG277" i="15"/>
  <c r="AQ277" i="5" s="1"/>
  <c r="GJ277" i="15"/>
  <c r="GB277" i="15"/>
  <c r="AL277" i="5" s="1"/>
  <c r="GE277" i="15"/>
  <c r="AO277" i="5" s="1"/>
  <c r="GH277" i="15"/>
  <c r="AR277" i="5" s="1"/>
  <c r="GF276" i="15"/>
  <c r="GC276" i="15"/>
  <c r="GI276" i="15"/>
  <c r="AS276" i="5" s="1"/>
  <c r="GD275" i="15"/>
  <c r="GG275" i="15"/>
  <c r="GJ275" i="15"/>
  <c r="AT275" i="5" s="1"/>
  <c r="GB275" i="15"/>
  <c r="AL275" i="5" s="1"/>
  <c r="AI275" i="5"/>
  <c r="GE275" i="15"/>
  <c r="GH275" i="15"/>
  <c r="AR275" i="5" s="1"/>
  <c r="GF274" i="15"/>
  <c r="AP274" i="5" s="1"/>
  <c r="GC274" i="15"/>
  <c r="AM274" i="5" s="1"/>
  <c r="GI274" i="15"/>
  <c r="AS274" i="5" s="1"/>
  <c r="GD273" i="15"/>
  <c r="AN273" i="5" s="1"/>
  <c r="GG273" i="15"/>
  <c r="AQ273" i="5" s="1"/>
  <c r="GJ273" i="15"/>
  <c r="GB273" i="15"/>
  <c r="AL273" i="5" s="1"/>
  <c r="GE273" i="15"/>
  <c r="AO273" i="5" s="1"/>
  <c r="GH273" i="15"/>
  <c r="GF272" i="15"/>
  <c r="AP272" i="5" s="1"/>
  <c r="GC272" i="15"/>
  <c r="AM272" i="5" s="1"/>
  <c r="GI272" i="15"/>
  <c r="GD271" i="15"/>
  <c r="AN271" i="5" s="1"/>
  <c r="GG271" i="15"/>
  <c r="AQ271" i="5" s="1"/>
  <c r="GJ271" i="15"/>
  <c r="AT271" i="5" s="1"/>
  <c r="GB271" i="15"/>
  <c r="AI271" i="5"/>
  <c r="GE271" i="15"/>
  <c r="AO271" i="5" s="1"/>
  <c r="GH271" i="15"/>
  <c r="AR271" i="5" s="1"/>
  <c r="GF270" i="15"/>
  <c r="AP270" i="5" s="1"/>
  <c r="GC270" i="15"/>
  <c r="AM270" i="5" s="1"/>
  <c r="GI270" i="15"/>
  <c r="AS270" i="5" s="1"/>
  <c r="GD269" i="15"/>
  <c r="GG269" i="15"/>
  <c r="AQ269" i="5" s="1"/>
  <c r="GJ269" i="15"/>
  <c r="GB269" i="15"/>
  <c r="AL269" i="5" s="1"/>
  <c r="GE269" i="15"/>
  <c r="AO269" i="5" s="1"/>
  <c r="GH269" i="15"/>
  <c r="AR269" i="5" s="1"/>
  <c r="GF268" i="15"/>
  <c r="GC268" i="15"/>
  <c r="AM268" i="5" s="1"/>
  <c r="GI268" i="15"/>
  <c r="AS268" i="5" s="1"/>
  <c r="GD267" i="15"/>
  <c r="AN267" i="5" s="1"/>
  <c r="GG267" i="15"/>
  <c r="GJ267" i="15"/>
  <c r="AT267" i="5" s="1"/>
  <c r="GB267" i="15"/>
  <c r="GE267" i="15"/>
  <c r="AO267" i="5" s="1"/>
  <c r="GH267" i="15"/>
  <c r="GF266" i="15"/>
  <c r="AP266" i="5" s="1"/>
  <c r="GC266" i="15"/>
  <c r="AM266" i="5" s="1"/>
  <c r="GI266" i="15"/>
  <c r="AS266" i="5" s="1"/>
  <c r="GD265" i="15"/>
  <c r="GG265" i="15"/>
  <c r="AQ265" i="5" s="1"/>
  <c r="GJ265" i="15"/>
  <c r="GB265" i="15"/>
  <c r="AL265" i="5" s="1"/>
  <c r="GE265" i="15"/>
  <c r="AO265" i="5" s="1"/>
  <c r="GH265" i="15"/>
  <c r="GF264" i="15"/>
  <c r="GC264" i="15"/>
  <c r="GI264" i="15"/>
  <c r="GD263" i="15"/>
  <c r="GG263" i="15"/>
  <c r="GJ263" i="15"/>
  <c r="AT263" i="5" s="1"/>
  <c r="GB263" i="15"/>
  <c r="AL263" i="5" s="1"/>
  <c r="GL263" i="15"/>
  <c r="GE263" i="15"/>
  <c r="GH263" i="15"/>
  <c r="AR263" i="5" s="1"/>
  <c r="GF262" i="15"/>
  <c r="AP262" i="5" s="1"/>
  <c r="GC262" i="15"/>
  <c r="AM262" i="5" s="1"/>
  <c r="GI262" i="15"/>
  <c r="AS262" i="5" s="1"/>
  <c r="GD261" i="15"/>
  <c r="AN261" i="5" s="1"/>
  <c r="GG261" i="15"/>
  <c r="AQ261" i="5" s="1"/>
  <c r="GJ261" i="15"/>
  <c r="GB261" i="15"/>
  <c r="AL261" i="5" s="1"/>
  <c r="GE261" i="15"/>
  <c r="AO261" i="5" s="1"/>
  <c r="GH261" i="15"/>
  <c r="AR261" i="5" s="1"/>
  <c r="GF260" i="15"/>
  <c r="AP260" i="5" s="1"/>
  <c r="GC260" i="15"/>
  <c r="AM260" i="5" s="1"/>
  <c r="GI260" i="15"/>
  <c r="AS260" i="5" s="1"/>
  <c r="GD259" i="15"/>
  <c r="AN259" i="5" s="1"/>
  <c r="GG259" i="15"/>
  <c r="AQ259" i="5" s="1"/>
  <c r="GJ259" i="15"/>
  <c r="AT259" i="5" s="1"/>
  <c r="GB259" i="15"/>
  <c r="AI259" i="5"/>
  <c r="GE259" i="15"/>
  <c r="AO259" i="5" s="1"/>
  <c r="GH259" i="15"/>
  <c r="AR259" i="5" s="1"/>
  <c r="GF258" i="15"/>
  <c r="AP258" i="5" s="1"/>
  <c r="GC258" i="15"/>
  <c r="AM258" i="5" s="1"/>
  <c r="GI258" i="15"/>
  <c r="AS258" i="5" s="1"/>
  <c r="GD257" i="15"/>
  <c r="GG257" i="15"/>
  <c r="AQ257" i="5" s="1"/>
  <c r="GJ257" i="15"/>
  <c r="GB257" i="15"/>
  <c r="AL257" i="5" s="1"/>
  <c r="GE257" i="15"/>
  <c r="AO257" i="5" s="1"/>
  <c r="GH257" i="15"/>
  <c r="AR257" i="5" s="1"/>
  <c r="GF256" i="15"/>
  <c r="GC256" i="15"/>
  <c r="AM256" i="5" s="1"/>
  <c r="GI256" i="15"/>
  <c r="GD255" i="15"/>
  <c r="AN255" i="5" s="1"/>
  <c r="GG255" i="15"/>
  <c r="GJ255" i="15"/>
  <c r="AT255" i="5" s="1"/>
  <c r="GB255" i="15"/>
  <c r="GE255" i="15"/>
  <c r="GH255" i="15"/>
  <c r="GF254" i="15"/>
  <c r="AP254" i="5" s="1"/>
  <c r="GC254" i="15"/>
  <c r="GI254" i="15"/>
  <c r="AS254" i="5" s="1"/>
  <c r="GD253" i="15"/>
  <c r="AN253" i="5" s="1"/>
  <c r="GG253" i="15"/>
  <c r="AQ253" i="5" s="1"/>
  <c r="GJ253" i="15"/>
  <c r="GB253" i="15"/>
  <c r="AL253" i="5" s="1"/>
  <c r="GE253" i="15"/>
  <c r="AO253" i="5" s="1"/>
  <c r="GH253" i="15"/>
  <c r="AR253" i="5" s="1"/>
  <c r="GF252" i="15"/>
  <c r="GC252" i="15"/>
  <c r="AM252" i="5" s="1"/>
  <c r="GI252" i="15"/>
  <c r="AS252" i="5" s="1"/>
  <c r="GD251" i="15"/>
  <c r="AN251" i="5" s="1"/>
  <c r="GG251" i="15"/>
  <c r="AQ251" i="5" s="1"/>
  <c r="GJ251" i="15"/>
  <c r="AT251" i="5" s="1"/>
  <c r="GB251" i="15"/>
  <c r="GL251" i="15"/>
  <c r="GE251" i="15"/>
  <c r="AO251" i="5" s="1"/>
  <c r="GH251" i="15"/>
  <c r="AR251" i="5" s="1"/>
  <c r="GF250" i="15"/>
  <c r="GC250" i="15"/>
  <c r="AM250" i="5" s="1"/>
  <c r="GI250" i="15"/>
  <c r="AS250" i="5" s="1"/>
  <c r="GD249" i="15"/>
  <c r="GG249" i="15"/>
  <c r="AQ249" i="5" s="1"/>
  <c r="GJ249" i="15"/>
  <c r="AT249" i="5" s="1"/>
  <c r="GB249" i="15"/>
  <c r="AL249" i="5" s="1"/>
  <c r="GE249" i="15"/>
  <c r="AO249" i="5" s="1"/>
  <c r="GH249" i="15"/>
  <c r="GF248" i="15"/>
  <c r="GC248" i="15"/>
  <c r="AM248" i="5" s="1"/>
  <c r="GI248" i="15"/>
  <c r="AS248" i="5" s="1"/>
  <c r="GD247" i="15"/>
  <c r="AN247" i="5" s="1"/>
  <c r="GG247" i="15"/>
  <c r="AQ247" i="5" s="1"/>
  <c r="GJ247" i="15"/>
  <c r="AT247" i="5" s="1"/>
  <c r="GB247" i="15"/>
  <c r="GL247" i="15"/>
  <c r="GE247" i="15"/>
  <c r="AO247" i="5" s="1"/>
  <c r="GH247" i="15"/>
  <c r="AR247" i="5" s="1"/>
  <c r="GF246" i="15"/>
  <c r="AP246" i="5" s="1"/>
  <c r="GC246" i="15"/>
  <c r="AM246" i="5" s="1"/>
  <c r="GI246" i="15"/>
  <c r="AS246" i="5" s="1"/>
  <c r="GD245" i="15"/>
  <c r="GG245" i="15"/>
  <c r="AQ245" i="5" s="1"/>
  <c r="GJ245" i="15"/>
  <c r="GB245" i="15"/>
  <c r="AL245" i="5" s="1"/>
  <c r="GE245" i="15"/>
  <c r="AO245" i="5" s="1"/>
  <c r="GH245" i="15"/>
  <c r="AR245" i="5" s="1"/>
  <c r="GF244" i="15"/>
  <c r="GC244" i="15"/>
  <c r="AM244" i="5" s="1"/>
  <c r="GI244" i="15"/>
  <c r="AS244" i="5" s="1"/>
  <c r="GD243" i="15"/>
  <c r="AN243" i="5" s="1"/>
  <c r="GG243" i="15"/>
  <c r="GJ243" i="15"/>
  <c r="AT243" i="5" s="1"/>
  <c r="GB243" i="15"/>
  <c r="AL243" i="5" s="1"/>
  <c r="GL243" i="15"/>
  <c r="GE243" i="15"/>
  <c r="GH243" i="15"/>
  <c r="AR243" i="5" s="1"/>
  <c r="GF242" i="15"/>
  <c r="GC242" i="15"/>
  <c r="GI242" i="15"/>
  <c r="AS242" i="5" s="1"/>
  <c r="GD241" i="15"/>
  <c r="AN241" i="5" s="1"/>
  <c r="GG241" i="15"/>
  <c r="AQ241" i="5" s="1"/>
  <c r="GJ241" i="15"/>
  <c r="GB241" i="15"/>
  <c r="AL241" i="5" s="1"/>
  <c r="GE241" i="15"/>
  <c r="AO241" i="5" s="1"/>
  <c r="GH241" i="15"/>
  <c r="GF240" i="15"/>
  <c r="AP240" i="5" s="1"/>
  <c r="GC240" i="15"/>
  <c r="AM240" i="5" s="1"/>
  <c r="GI240" i="15"/>
  <c r="GD239" i="15"/>
  <c r="AN239" i="5" s="1"/>
  <c r="GG239" i="15"/>
  <c r="AQ239" i="5" s="1"/>
  <c r="GJ239" i="15"/>
  <c r="AT239" i="5" s="1"/>
  <c r="GB239" i="15"/>
  <c r="AL239" i="5" s="1"/>
  <c r="AI239" i="5"/>
  <c r="GE239" i="15"/>
  <c r="GH239" i="15"/>
  <c r="AR239" i="5" s="1"/>
  <c r="GF238" i="15"/>
  <c r="AP238" i="5" s="1"/>
  <c r="GC238" i="15"/>
  <c r="GI238" i="15"/>
  <c r="AS238" i="5" s="1"/>
  <c r="GD237" i="15"/>
  <c r="AN237" i="5" s="1"/>
  <c r="GG237" i="15"/>
  <c r="AQ237" i="5" s="1"/>
  <c r="GJ237" i="15"/>
  <c r="GB237" i="15"/>
  <c r="AL237" i="5" s="1"/>
  <c r="GE237" i="15"/>
  <c r="AO237" i="5" s="1"/>
  <c r="GH237" i="15"/>
  <c r="AR237" i="5" s="1"/>
  <c r="GF236" i="15"/>
  <c r="GC236" i="15"/>
  <c r="AM236" i="5" s="1"/>
  <c r="GI236" i="15"/>
  <c r="AS236" i="5" s="1"/>
  <c r="GD235" i="15"/>
  <c r="AN235" i="5" s="1"/>
  <c r="GG235" i="15"/>
  <c r="AQ235" i="5" s="1"/>
  <c r="GJ235" i="15"/>
  <c r="AT235" i="5" s="1"/>
  <c r="GB235" i="15"/>
  <c r="AI235" i="5"/>
  <c r="GE235" i="15"/>
  <c r="GH235" i="15"/>
  <c r="AR235" i="5" s="1"/>
  <c r="GF234" i="15"/>
  <c r="AP234" i="5" s="1"/>
  <c r="GC234" i="15"/>
  <c r="AM234" i="5" s="1"/>
  <c r="GI234" i="15"/>
  <c r="GD233" i="15"/>
  <c r="AN233" i="5" s="1"/>
  <c r="GG233" i="15"/>
  <c r="AQ233" i="5" s="1"/>
  <c r="GJ233" i="15"/>
  <c r="AT233" i="5" s="1"/>
  <c r="GB233" i="15"/>
  <c r="AL233" i="5" s="1"/>
  <c r="GE233" i="15"/>
  <c r="GH233" i="15"/>
  <c r="GF232" i="15"/>
  <c r="AP232" i="5" s="1"/>
  <c r="GC232" i="15"/>
  <c r="AM232" i="5" s="1"/>
  <c r="GI232" i="15"/>
  <c r="AS232" i="5" s="1"/>
  <c r="GD231" i="15"/>
  <c r="AN231" i="5" s="1"/>
  <c r="GG231" i="15"/>
  <c r="AQ231" i="5" s="1"/>
  <c r="GJ231" i="15"/>
  <c r="GB231" i="15"/>
  <c r="AL231" i="5" s="1"/>
  <c r="GL231" i="15"/>
  <c r="GE231" i="15"/>
  <c r="AO231" i="5" s="1"/>
  <c r="GH231" i="15"/>
  <c r="AR231" i="5" s="1"/>
  <c r="GF230" i="15"/>
  <c r="AP230" i="5" s="1"/>
  <c r="GC230" i="15"/>
  <c r="GI230" i="15"/>
  <c r="AS230" i="5" s="1"/>
  <c r="GD229" i="15"/>
  <c r="AN229" i="5" s="1"/>
  <c r="GG229" i="15"/>
  <c r="AQ229" i="5" s="1"/>
  <c r="GJ229" i="15"/>
  <c r="GB229" i="15"/>
  <c r="AL229" i="5" s="1"/>
  <c r="GE229" i="15"/>
  <c r="AO229" i="5" s="1"/>
  <c r="GH229" i="15"/>
  <c r="AR229" i="5" s="1"/>
  <c r="GF228" i="15"/>
  <c r="GC228" i="15"/>
  <c r="AM228" i="5" s="1"/>
  <c r="GI228" i="15"/>
  <c r="AS228" i="5" s="1"/>
  <c r="GD227" i="15"/>
  <c r="AN227" i="5" s="1"/>
  <c r="GG227" i="15"/>
  <c r="AQ227" i="5" s="1"/>
  <c r="GJ227" i="15"/>
  <c r="AT227" i="5" s="1"/>
  <c r="GB227" i="15"/>
  <c r="AI227" i="5"/>
  <c r="GE227" i="15"/>
  <c r="AO227" i="5" s="1"/>
  <c r="GH227" i="15"/>
  <c r="AR227" i="5" s="1"/>
  <c r="GF226" i="15"/>
  <c r="AP226" i="5" s="1"/>
  <c r="GC226" i="15"/>
  <c r="AM226" i="5" s="1"/>
  <c r="GI226" i="15"/>
  <c r="GD225" i="15"/>
  <c r="AN225" i="5" s="1"/>
  <c r="GG225" i="15"/>
  <c r="GJ225" i="15"/>
  <c r="GB225" i="15"/>
  <c r="AL225" i="5" s="1"/>
  <c r="GE225" i="15"/>
  <c r="AO225" i="5" s="1"/>
  <c r="GH225" i="15"/>
  <c r="GF224" i="15"/>
  <c r="AP224" i="5" s="1"/>
  <c r="GC224" i="15"/>
  <c r="AM224" i="5" s="1"/>
  <c r="GI224" i="15"/>
  <c r="GD223" i="15"/>
  <c r="AN223" i="5" s="1"/>
  <c r="GG223" i="15"/>
  <c r="GJ223" i="15"/>
  <c r="AT223" i="5" s="1"/>
  <c r="GB223" i="15"/>
  <c r="AI223" i="5"/>
  <c r="GE223" i="15"/>
  <c r="AO223" i="5" s="1"/>
  <c r="GH223" i="15"/>
  <c r="AR223" i="5" s="1"/>
  <c r="GF222" i="15"/>
  <c r="AP222" i="5" s="1"/>
  <c r="GC222" i="15"/>
  <c r="GI222" i="15"/>
  <c r="AS222" i="5" s="1"/>
  <c r="GD221" i="15"/>
  <c r="AN221" i="5" s="1"/>
  <c r="GG221" i="15"/>
  <c r="AQ221" i="5" s="1"/>
  <c r="GJ221" i="15"/>
  <c r="GB221" i="15"/>
  <c r="AL221" i="5" s="1"/>
  <c r="GE221" i="15"/>
  <c r="AO221" i="5" s="1"/>
  <c r="GH221" i="15"/>
  <c r="AR221" i="5" s="1"/>
  <c r="GF220" i="15"/>
  <c r="GC220" i="15"/>
  <c r="AM220" i="5" s="1"/>
  <c r="GI220" i="15"/>
  <c r="AS220" i="5" s="1"/>
  <c r="GD219" i="15"/>
  <c r="AN219" i="5" s="1"/>
  <c r="GG219" i="15"/>
  <c r="AQ219" i="5" s="1"/>
  <c r="GJ219" i="15"/>
  <c r="AT219" i="5" s="1"/>
  <c r="GB219" i="15"/>
  <c r="GL219" i="15"/>
  <c r="GE219" i="15"/>
  <c r="AO219" i="5" s="1"/>
  <c r="GH219" i="15"/>
  <c r="AR219" i="5" s="1"/>
  <c r="GF218" i="15"/>
  <c r="AP218" i="5" s="1"/>
  <c r="GC218" i="15"/>
  <c r="AM218" i="5" s="1"/>
  <c r="GI218" i="15"/>
  <c r="GD217" i="15"/>
  <c r="AN217" i="5" s="1"/>
  <c r="GG217" i="15"/>
  <c r="AQ217" i="5" s="1"/>
  <c r="GJ217" i="15"/>
  <c r="GB217" i="15"/>
  <c r="AL217" i="5" s="1"/>
  <c r="GE217" i="15"/>
  <c r="AO217" i="5" s="1"/>
  <c r="GH217" i="15"/>
  <c r="GF216" i="15"/>
  <c r="AP216" i="5" s="1"/>
  <c r="GC216" i="15"/>
  <c r="AM216" i="5" s="1"/>
  <c r="GI216" i="15"/>
  <c r="AS216" i="5" s="1"/>
  <c r="GD215" i="15"/>
  <c r="AN215" i="5" s="1"/>
  <c r="GG215" i="15"/>
  <c r="GJ215" i="15"/>
  <c r="AT215" i="5" s="1"/>
  <c r="GB215" i="15"/>
  <c r="AL215" i="5" s="1"/>
  <c r="GL215" i="15"/>
  <c r="GE215" i="15"/>
  <c r="AO215" i="5" s="1"/>
  <c r="GH215" i="15"/>
  <c r="AR215" i="5" s="1"/>
  <c r="GF214" i="15"/>
  <c r="GC214" i="15"/>
  <c r="AM214" i="5" s="1"/>
  <c r="GI214" i="15"/>
  <c r="AS214" i="5" s="1"/>
  <c r="GD213" i="15"/>
  <c r="GG213" i="15"/>
  <c r="AQ213" i="5" s="1"/>
  <c r="GJ213" i="15"/>
  <c r="GB213" i="15"/>
  <c r="AL213" i="5" s="1"/>
  <c r="GE213" i="15"/>
  <c r="AO213" i="5" s="1"/>
  <c r="GH213" i="15"/>
  <c r="AR213" i="5" s="1"/>
  <c r="GF212" i="15"/>
  <c r="GC212" i="15"/>
  <c r="AM212" i="5" s="1"/>
  <c r="GI212" i="15"/>
  <c r="AS212" i="5" s="1"/>
  <c r="GD211" i="15"/>
  <c r="AN211" i="5" s="1"/>
  <c r="GG211" i="15"/>
  <c r="GJ211" i="15"/>
  <c r="AT211" i="5" s="1"/>
  <c r="GB211" i="15"/>
  <c r="AL211" i="5" s="1"/>
  <c r="GL211" i="15"/>
  <c r="GE211" i="15"/>
  <c r="GH211" i="15"/>
  <c r="AR211" i="5" s="1"/>
  <c r="GF210" i="15"/>
  <c r="AP210" i="5" s="1"/>
  <c r="GC210" i="15"/>
  <c r="GI210" i="15"/>
  <c r="AS210" i="5" s="1"/>
  <c r="GD209" i="15"/>
  <c r="AN209" i="5" s="1"/>
  <c r="GG209" i="15"/>
  <c r="AQ209" i="5" s="1"/>
  <c r="GJ209" i="15"/>
  <c r="AT209" i="5" s="1"/>
  <c r="GB209" i="15"/>
  <c r="AL209" i="5" s="1"/>
  <c r="GE209" i="15"/>
  <c r="AO209" i="5" s="1"/>
  <c r="GH209" i="15"/>
  <c r="GF208" i="15"/>
  <c r="GC208" i="15"/>
  <c r="AM208" i="5" s="1"/>
  <c r="GI208" i="15"/>
  <c r="GD207" i="15"/>
  <c r="AN207" i="5" s="1"/>
  <c r="GG207" i="15"/>
  <c r="AQ207" i="5" s="1"/>
  <c r="GJ207" i="15"/>
  <c r="AT207" i="5" s="1"/>
  <c r="GB207" i="15"/>
  <c r="AL207" i="5" s="1"/>
  <c r="AI207" i="5"/>
  <c r="GE207" i="15"/>
  <c r="AO207" i="5" s="1"/>
  <c r="GH207" i="15"/>
  <c r="AR207" i="5" s="1"/>
  <c r="GF206" i="15"/>
  <c r="AP206" i="5" s="1"/>
  <c r="GC206" i="15"/>
  <c r="GI206" i="15"/>
  <c r="AS206" i="5" s="1"/>
  <c r="GD205" i="15"/>
  <c r="AN205" i="5" s="1"/>
  <c r="GG205" i="15"/>
  <c r="AQ205" i="5" s="1"/>
  <c r="GJ205" i="15"/>
  <c r="GB205" i="15"/>
  <c r="AL205" i="5" s="1"/>
  <c r="GE205" i="15"/>
  <c r="GH205" i="15"/>
  <c r="AR205" i="5" s="1"/>
  <c r="GF204" i="15"/>
  <c r="GC204" i="15"/>
  <c r="AM204" i="5" s="1"/>
  <c r="GI204" i="15"/>
  <c r="AS204" i="5" s="1"/>
  <c r="GD203" i="15"/>
  <c r="AN203" i="5" s="1"/>
  <c r="GG203" i="15"/>
  <c r="AQ203" i="5" s="1"/>
  <c r="GJ203" i="15"/>
  <c r="AT203" i="5" s="1"/>
  <c r="GB203" i="15"/>
  <c r="AI203" i="5"/>
  <c r="GE203" i="15"/>
  <c r="GH203" i="15"/>
  <c r="AR203" i="5" s="1"/>
  <c r="GF202" i="15"/>
  <c r="GC202" i="15"/>
  <c r="GI202" i="15"/>
  <c r="AS202" i="5" s="1"/>
  <c r="GD201" i="15"/>
  <c r="AN201" i="5" s="1"/>
  <c r="GG201" i="15"/>
  <c r="AQ201" i="5" s="1"/>
  <c r="GJ201" i="15"/>
  <c r="GB201" i="15"/>
  <c r="AL201" i="5" s="1"/>
  <c r="GE201" i="15"/>
  <c r="AO201" i="5" s="1"/>
  <c r="GH201" i="15"/>
  <c r="GF200" i="15"/>
  <c r="AP200" i="5" s="1"/>
  <c r="GC200" i="15"/>
  <c r="AM200" i="5" s="1"/>
  <c r="GI200" i="15"/>
  <c r="AS200" i="5" s="1"/>
  <c r="GD199" i="15"/>
  <c r="AN199" i="5" s="1"/>
  <c r="GG199" i="15"/>
  <c r="AQ199" i="5" s="1"/>
  <c r="GJ199" i="15"/>
  <c r="AT199" i="5" s="1"/>
  <c r="GB199" i="15"/>
  <c r="AL199" i="5" s="1"/>
  <c r="GL199" i="15"/>
  <c r="GE199" i="15"/>
  <c r="GH199" i="15"/>
  <c r="AR199" i="5" s="1"/>
  <c r="GF198" i="15"/>
  <c r="AP198" i="5" s="1"/>
  <c r="GC198" i="15"/>
  <c r="GI198" i="15"/>
  <c r="AS198" i="5" s="1"/>
  <c r="GD197" i="15"/>
  <c r="AN197" i="5" s="1"/>
  <c r="GG197" i="15"/>
  <c r="AQ197" i="5" s="1"/>
  <c r="GJ197" i="15"/>
  <c r="GB197" i="15"/>
  <c r="AL197" i="5" s="1"/>
  <c r="GE197" i="15"/>
  <c r="AO197" i="5" s="1"/>
  <c r="GH197" i="15"/>
  <c r="AR197" i="5" s="1"/>
  <c r="GF196" i="15"/>
  <c r="GC196" i="15"/>
  <c r="AM196" i="5" s="1"/>
  <c r="GI196" i="15"/>
  <c r="AS196" i="5" s="1"/>
  <c r="GD195" i="15"/>
  <c r="AN195" i="5" s="1"/>
  <c r="GG195" i="15"/>
  <c r="AQ195" i="5" s="1"/>
  <c r="GJ195" i="15"/>
  <c r="AT195" i="5" s="1"/>
  <c r="GB195" i="15"/>
  <c r="AI195" i="5"/>
  <c r="GE195" i="15"/>
  <c r="AO195" i="5" s="1"/>
  <c r="GH195" i="15"/>
  <c r="AR195" i="5" s="1"/>
  <c r="GF194" i="15"/>
  <c r="AP194" i="5" s="1"/>
  <c r="GC194" i="15"/>
  <c r="AM194" i="5" s="1"/>
  <c r="GI194" i="15"/>
  <c r="AS194" i="5" s="1"/>
  <c r="GD193" i="15"/>
  <c r="AN193" i="5" s="1"/>
  <c r="GG193" i="15"/>
  <c r="AQ193" i="5" s="1"/>
  <c r="GJ193" i="15"/>
  <c r="GB193" i="15"/>
  <c r="GE193" i="15"/>
  <c r="AO193" i="5" s="1"/>
  <c r="GH193" i="15"/>
  <c r="GF192" i="15"/>
  <c r="GC192" i="15"/>
  <c r="AM192" i="5" s="1"/>
  <c r="GI192" i="15"/>
  <c r="GF193" i="15"/>
  <c r="AP193" i="5" s="1"/>
  <c r="GC193" i="15"/>
  <c r="AM193" i="5" s="1"/>
  <c r="GD192" i="15"/>
  <c r="AN192" i="5" s="1"/>
  <c r="GG192" i="15"/>
  <c r="AQ192" i="5" s="1"/>
  <c r="GB192" i="15"/>
  <c r="AL192" i="5" s="1"/>
  <c r="GE192" i="15"/>
  <c r="AO192" i="5" s="1"/>
  <c r="GF191" i="15"/>
  <c r="AP191" i="5" s="1"/>
  <c r="GC191" i="15"/>
  <c r="AM191" i="5" s="1"/>
  <c r="GD190" i="15"/>
  <c r="AN190" i="5" s="1"/>
  <c r="GG190" i="15"/>
  <c r="AQ190" i="5" s="1"/>
  <c r="GB190" i="15"/>
  <c r="AL190" i="5" s="1"/>
  <c r="GE190" i="15"/>
  <c r="AO190" i="5" s="1"/>
  <c r="GF189" i="15"/>
  <c r="AP189" i="5" s="1"/>
  <c r="GC189" i="15"/>
  <c r="AM189" i="5" s="1"/>
  <c r="GD188" i="15"/>
  <c r="AN188" i="5" s="1"/>
  <c r="GG188" i="15"/>
  <c r="AQ188" i="5" s="1"/>
  <c r="GB188" i="15"/>
  <c r="AL188" i="5" s="1"/>
  <c r="GE188" i="15"/>
  <c r="AO188" i="5" s="1"/>
  <c r="GF187" i="15"/>
  <c r="AP187" i="5" s="1"/>
  <c r="GC187" i="15"/>
  <c r="AM187" i="5" s="1"/>
  <c r="GD186" i="15"/>
  <c r="AN186" i="5" s="1"/>
  <c r="GG186" i="15"/>
  <c r="AQ186" i="5" s="1"/>
  <c r="GB186" i="15"/>
  <c r="AL186" i="5" s="1"/>
  <c r="GE186" i="15"/>
  <c r="AO186" i="5" s="1"/>
  <c r="GF185" i="15"/>
  <c r="AP185" i="5" s="1"/>
  <c r="GC185" i="15"/>
  <c r="AM185" i="5" s="1"/>
  <c r="GD184" i="15"/>
  <c r="AN184" i="5" s="1"/>
  <c r="GG184" i="15"/>
  <c r="AQ184" i="5" s="1"/>
  <c r="GB184" i="15"/>
  <c r="AL184" i="5" s="1"/>
  <c r="GE184" i="15"/>
  <c r="AO184" i="5" s="1"/>
  <c r="GF183" i="15"/>
  <c r="AP183" i="5" s="1"/>
  <c r="GC183" i="15"/>
  <c r="AM183" i="5" s="1"/>
  <c r="GD182" i="15"/>
  <c r="AN182" i="5" s="1"/>
  <c r="GG182" i="15"/>
  <c r="AQ182" i="5" s="1"/>
  <c r="GB182" i="15"/>
  <c r="AL182" i="5" s="1"/>
  <c r="GE182" i="15"/>
  <c r="AO182" i="5" s="1"/>
  <c r="GF181" i="15"/>
  <c r="AP181" i="5" s="1"/>
  <c r="GC181" i="15"/>
  <c r="AM181" i="5" s="1"/>
  <c r="GD180" i="15"/>
  <c r="AN180" i="5" s="1"/>
  <c r="GG180" i="15"/>
  <c r="AQ180" i="5" s="1"/>
  <c r="GB180" i="15"/>
  <c r="AL180" i="5" s="1"/>
  <c r="GE180" i="15"/>
  <c r="AO180" i="5" s="1"/>
  <c r="GF179" i="15"/>
  <c r="AP179" i="5" s="1"/>
  <c r="GC179" i="15"/>
  <c r="AM179" i="5" s="1"/>
  <c r="GD178" i="15"/>
  <c r="AN178" i="5" s="1"/>
  <c r="GG178" i="15"/>
  <c r="AQ178" i="5" s="1"/>
  <c r="GB178" i="15"/>
  <c r="AL178" i="5" s="1"/>
  <c r="GE178" i="15"/>
  <c r="AO178" i="5" s="1"/>
  <c r="GF177" i="15"/>
  <c r="AP177" i="5" s="1"/>
  <c r="GC177" i="15"/>
  <c r="AM177" i="5" s="1"/>
  <c r="GD176" i="15"/>
  <c r="AN176" i="5" s="1"/>
  <c r="GG176" i="15"/>
  <c r="AQ176" i="5" s="1"/>
  <c r="GB176" i="15"/>
  <c r="AL176" i="5" s="1"/>
  <c r="GE176" i="15"/>
  <c r="AO176" i="5" s="1"/>
  <c r="GF175" i="15"/>
  <c r="AP175" i="5" s="1"/>
  <c r="GC175" i="15"/>
  <c r="AM175" i="5" s="1"/>
  <c r="GD174" i="15"/>
  <c r="AN174" i="5" s="1"/>
  <c r="GG174" i="15"/>
  <c r="AQ174" i="5" s="1"/>
  <c r="GB174" i="15"/>
  <c r="AL174" i="5" s="1"/>
  <c r="GE174" i="15"/>
  <c r="AO174" i="5" s="1"/>
  <c r="GF173" i="15"/>
  <c r="AP173" i="5" s="1"/>
  <c r="GC173" i="15"/>
  <c r="AM173" i="5" s="1"/>
  <c r="GD172" i="15"/>
  <c r="AN172" i="5" s="1"/>
  <c r="GG172" i="15"/>
  <c r="AQ172" i="5" s="1"/>
  <c r="GB172" i="15"/>
  <c r="AL172" i="5" s="1"/>
  <c r="GE172" i="15"/>
  <c r="AO172" i="5" s="1"/>
  <c r="GF171" i="15"/>
  <c r="AP171" i="5" s="1"/>
  <c r="GC171" i="15"/>
  <c r="AM171" i="5" s="1"/>
  <c r="GD170" i="15"/>
  <c r="AN170" i="5" s="1"/>
  <c r="GG170" i="15"/>
  <c r="AQ170" i="5" s="1"/>
  <c r="GB170" i="15"/>
  <c r="AL170" i="5" s="1"/>
  <c r="GE170" i="15"/>
  <c r="AO170" i="5" s="1"/>
  <c r="GF169" i="15"/>
  <c r="AP169" i="5" s="1"/>
  <c r="GC169" i="15"/>
  <c r="AM169" i="5" s="1"/>
  <c r="GD168" i="15"/>
  <c r="AN168" i="5" s="1"/>
  <c r="GG168" i="15"/>
  <c r="AQ168" i="5" s="1"/>
  <c r="GB168" i="15"/>
  <c r="AL168" i="5" s="1"/>
  <c r="GE168" i="15"/>
  <c r="AO168" i="5" s="1"/>
  <c r="GF167" i="15"/>
  <c r="AP167" i="5" s="1"/>
  <c r="GC167" i="15"/>
  <c r="AM167" i="5" s="1"/>
  <c r="GD166" i="15"/>
  <c r="AN166" i="5" s="1"/>
  <c r="GG166" i="15"/>
  <c r="AQ166" i="5" s="1"/>
  <c r="GB166" i="15"/>
  <c r="AL166" i="5" s="1"/>
  <c r="GE166" i="15"/>
  <c r="AO166" i="5" s="1"/>
  <c r="GF165" i="15"/>
  <c r="AP165" i="5" s="1"/>
  <c r="GC165" i="15"/>
  <c r="AM165" i="5" s="1"/>
  <c r="GD164" i="15"/>
  <c r="AN164" i="5" s="1"/>
  <c r="GG164" i="15"/>
  <c r="AQ164" i="5" s="1"/>
  <c r="GB164" i="15"/>
  <c r="AL164" i="5" s="1"/>
  <c r="GE164" i="15"/>
  <c r="AO164" i="5" s="1"/>
  <c r="GF163" i="15"/>
  <c r="AP163" i="5" s="1"/>
  <c r="GC163" i="15"/>
  <c r="AM163" i="5" s="1"/>
  <c r="GD162" i="15"/>
  <c r="AN162" i="5" s="1"/>
  <c r="GG162" i="15"/>
  <c r="AQ162" i="5" s="1"/>
  <c r="GB162" i="15"/>
  <c r="AL162" i="5" s="1"/>
  <c r="GE162" i="15"/>
  <c r="AO162" i="5" s="1"/>
  <c r="GF161" i="15"/>
  <c r="AP161" i="5" s="1"/>
  <c r="GC161" i="15"/>
  <c r="AM161" i="5" s="1"/>
  <c r="GD160" i="15"/>
  <c r="AN160" i="5" s="1"/>
  <c r="GG160" i="15"/>
  <c r="AQ160" i="5" s="1"/>
  <c r="GB160" i="15"/>
  <c r="AL160" i="5" s="1"/>
  <c r="GE160" i="15"/>
  <c r="AO160" i="5" s="1"/>
  <c r="GF159" i="15"/>
  <c r="AP159" i="5" s="1"/>
  <c r="GC159" i="15"/>
  <c r="AM159" i="5" s="1"/>
  <c r="GD158" i="15"/>
  <c r="AN158" i="5" s="1"/>
  <c r="GG158" i="15"/>
  <c r="AQ158" i="5" s="1"/>
  <c r="GB158" i="15"/>
  <c r="AL158" i="5" s="1"/>
  <c r="GE158" i="15"/>
  <c r="AO158" i="5" s="1"/>
  <c r="GF157" i="15"/>
  <c r="AP157" i="5" s="1"/>
  <c r="GC157" i="15"/>
  <c r="AM157" i="5" s="1"/>
  <c r="GD156" i="15"/>
  <c r="AN156" i="5" s="1"/>
  <c r="GG156" i="15"/>
  <c r="AQ156" i="5" s="1"/>
  <c r="GB156" i="15"/>
  <c r="AL156" i="5" s="1"/>
  <c r="GE156" i="15"/>
  <c r="AO156" i="5" s="1"/>
  <c r="GF155" i="15"/>
  <c r="AP155" i="5" s="1"/>
  <c r="GC155" i="15"/>
  <c r="AM155" i="5" s="1"/>
  <c r="GD154" i="15"/>
  <c r="AN154" i="5" s="1"/>
  <c r="GG154" i="15"/>
  <c r="AQ154" i="5" s="1"/>
  <c r="GB154" i="15"/>
  <c r="AL154" i="5" s="1"/>
  <c r="GE154" i="15"/>
  <c r="AO154" i="5" s="1"/>
  <c r="GF153" i="15"/>
  <c r="AP153" i="5" s="1"/>
  <c r="GC153" i="15"/>
  <c r="AM153" i="5" s="1"/>
  <c r="GD152" i="15"/>
  <c r="AN152" i="5" s="1"/>
  <c r="GG152" i="15"/>
  <c r="AQ152" i="5" s="1"/>
  <c r="GB152" i="15"/>
  <c r="AL152" i="5" s="1"/>
  <c r="GE152" i="15"/>
  <c r="AO152" i="5" s="1"/>
  <c r="GF151" i="15"/>
  <c r="AP151" i="5" s="1"/>
  <c r="GC151" i="15"/>
  <c r="AM151" i="5" s="1"/>
  <c r="GD150" i="15"/>
  <c r="AN150" i="5" s="1"/>
  <c r="GG150" i="15"/>
  <c r="AQ150" i="5" s="1"/>
  <c r="GB150" i="15"/>
  <c r="AL150" i="5" s="1"/>
  <c r="GE150" i="15"/>
  <c r="AO150" i="5" s="1"/>
  <c r="GF149" i="15"/>
  <c r="AP149" i="5" s="1"/>
  <c r="GC149" i="15"/>
  <c r="AM149" i="5" s="1"/>
  <c r="GD148" i="15"/>
  <c r="AN148" i="5" s="1"/>
  <c r="GG148" i="15"/>
  <c r="AQ148" i="5" s="1"/>
  <c r="GB148" i="15"/>
  <c r="AL148" i="5" s="1"/>
  <c r="GE148" i="15"/>
  <c r="AO148" i="5" s="1"/>
  <c r="GF147" i="15"/>
  <c r="AP147" i="5" s="1"/>
  <c r="GC147" i="15"/>
  <c r="AM147" i="5" s="1"/>
  <c r="GD146" i="15"/>
  <c r="AN146" i="5" s="1"/>
  <c r="GG146" i="15"/>
  <c r="AQ146" i="5" s="1"/>
  <c r="GB146" i="15"/>
  <c r="AL146" i="5" s="1"/>
  <c r="GE146" i="15"/>
  <c r="AO146" i="5" s="1"/>
  <c r="GF145" i="15"/>
  <c r="AP145" i="5" s="1"/>
  <c r="GC145" i="15"/>
  <c r="AM145" i="5" s="1"/>
  <c r="GD144" i="15"/>
  <c r="AN144" i="5" s="1"/>
  <c r="GG144" i="15"/>
  <c r="AQ144" i="5" s="1"/>
  <c r="GB144" i="15"/>
  <c r="AL144" i="5" s="1"/>
  <c r="GE144" i="15"/>
  <c r="AO144" i="5" s="1"/>
  <c r="GF143" i="15"/>
  <c r="AP143" i="5" s="1"/>
  <c r="GC143" i="15"/>
  <c r="AM143" i="5" s="1"/>
  <c r="GD142" i="15"/>
  <c r="AN142" i="5" s="1"/>
  <c r="GG142" i="15"/>
  <c r="AQ142" i="5" s="1"/>
  <c r="GB142" i="15"/>
  <c r="AL142" i="5" s="1"/>
  <c r="GE142" i="15"/>
  <c r="AO142" i="5" s="1"/>
  <c r="GF141" i="15"/>
  <c r="AP141" i="5" s="1"/>
  <c r="GC141" i="15"/>
  <c r="AM141" i="5" s="1"/>
  <c r="GD140" i="15"/>
  <c r="AN140" i="5" s="1"/>
  <c r="GG140" i="15"/>
  <c r="AQ140" i="5" s="1"/>
  <c r="GB140" i="15"/>
  <c r="AL140" i="5" s="1"/>
  <c r="GE140" i="15"/>
  <c r="AO140" i="5" s="1"/>
  <c r="GF139" i="15"/>
  <c r="AP139" i="5" s="1"/>
  <c r="GC139" i="15"/>
  <c r="AM139" i="5" s="1"/>
  <c r="GD138" i="15"/>
  <c r="AN138" i="5" s="1"/>
  <c r="GG138" i="15"/>
  <c r="AQ138" i="5" s="1"/>
  <c r="GB138" i="15"/>
  <c r="AL138" i="5" s="1"/>
  <c r="GE138" i="15"/>
  <c r="AO138" i="5" s="1"/>
  <c r="GF137" i="15"/>
  <c r="AP137" i="5" s="1"/>
  <c r="GC137" i="15"/>
  <c r="AM137" i="5" s="1"/>
  <c r="GD136" i="15"/>
  <c r="AN136" i="5" s="1"/>
  <c r="GG136" i="15"/>
  <c r="AQ136" i="5" s="1"/>
  <c r="GB136" i="15"/>
  <c r="AL136" i="5" s="1"/>
  <c r="GE136" i="15"/>
  <c r="AO136" i="5" s="1"/>
  <c r="GF135" i="15"/>
  <c r="AP135" i="5" s="1"/>
  <c r="GC135" i="15"/>
  <c r="AM135" i="5" s="1"/>
  <c r="GD134" i="15"/>
  <c r="AN134" i="5" s="1"/>
  <c r="GG134" i="15"/>
  <c r="GB134" i="15"/>
  <c r="AL134" i="5" s="1"/>
  <c r="GE134" i="15"/>
  <c r="AO134" i="5" s="1"/>
  <c r="GF133" i="15"/>
  <c r="AP133" i="5" s="1"/>
  <c r="GC133" i="15"/>
  <c r="AM133" i="5" s="1"/>
  <c r="GD132" i="15"/>
  <c r="AN132" i="5" s="1"/>
  <c r="GG132" i="15"/>
  <c r="AQ132" i="5" s="1"/>
  <c r="GB132" i="15"/>
  <c r="AL132" i="5" s="1"/>
  <c r="GE132" i="15"/>
  <c r="AO132" i="5" s="1"/>
  <c r="GF131" i="15"/>
  <c r="AP131" i="5" s="1"/>
  <c r="GC131" i="15"/>
  <c r="AM131" i="5" s="1"/>
  <c r="GD130" i="15"/>
  <c r="AN130" i="5" s="1"/>
  <c r="GG130" i="15"/>
  <c r="AQ130" i="5" s="1"/>
  <c r="GB130" i="15"/>
  <c r="AL130" i="5" s="1"/>
  <c r="GE130" i="15"/>
  <c r="AO130" i="5" s="1"/>
  <c r="GF129" i="15"/>
  <c r="AP129" i="5" s="1"/>
  <c r="GC129" i="15"/>
  <c r="AM129" i="5" s="1"/>
  <c r="GD128" i="15"/>
  <c r="AN128" i="5" s="1"/>
  <c r="GG128" i="15"/>
  <c r="AQ128" i="5" s="1"/>
  <c r="GB128" i="15"/>
  <c r="AL128" i="5" s="1"/>
  <c r="GE128" i="15"/>
  <c r="AO128" i="5" s="1"/>
  <c r="AJ127" i="5"/>
  <c r="GF127" i="15"/>
  <c r="AP127" i="5" s="1"/>
  <c r="GC127" i="15"/>
  <c r="AM127" i="5" s="1"/>
  <c r="GD126" i="15"/>
  <c r="AN126" i="5" s="1"/>
  <c r="GN126" i="15"/>
  <c r="GG126" i="15"/>
  <c r="AQ126" i="5" s="1"/>
  <c r="GB126" i="15"/>
  <c r="AL126" i="5" s="1"/>
  <c r="GE126" i="15"/>
  <c r="AO126" i="5" s="1"/>
  <c r="GM125" i="15"/>
  <c r="GF125" i="15"/>
  <c r="AP125" i="5" s="1"/>
  <c r="GC125" i="15"/>
  <c r="GD124" i="15"/>
  <c r="AN124" i="5" s="1"/>
  <c r="AK124" i="5"/>
  <c r="GG124" i="15"/>
  <c r="AQ124" i="5" s="1"/>
  <c r="GB124" i="15"/>
  <c r="AL124" i="5" s="1"/>
  <c r="GE124" i="15"/>
  <c r="AO124" i="5" s="1"/>
  <c r="AJ123" i="5"/>
  <c r="GF123" i="15"/>
  <c r="AP123" i="5" s="1"/>
  <c r="GC123" i="15"/>
  <c r="GD122" i="15"/>
  <c r="AN122" i="5" s="1"/>
  <c r="AK122" i="5"/>
  <c r="GG122" i="15"/>
  <c r="AQ122" i="5" s="1"/>
  <c r="GB122" i="15"/>
  <c r="AL122" i="5" s="1"/>
  <c r="GE122" i="15"/>
  <c r="AO122" i="5" s="1"/>
  <c r="GM121" i="15"/>
  <c r="GF121" i="15"/>
  <c r="AP121" i="5" s="1"/>
  <c r="GC121" i="15"/>
  <c r="GD120" i="15"/>
  <c r="AN120" i="5" s="1"/>
  <c r="AK120" i="5"/>
  <c r="GG120" i="15"/>
  <c r="AQ120" i="5" s="1"/>
  <c r="GB120" i="15"/>
  <c r="AL120" i="5" s="1"/>
  <c r="GE120" i="15"/>
  <c r="AO120" i="5" s="1"/>
  <c r="GM119" i="15"/>
  <c r="GF119" i="15"/>
  <c r="AP119" i="5" s="1"/>
  <c r="GC119" i="15"/>
  <c r="AM119" i="5" s="1"/>
  <c r="GD118" i="15"/>
  <c r="AN118" i="5" s="1"/>
  <c r="AK118" i="5"/>
  <c r="GG118" i="15"/>
  <c r="AQ118" i="5" s="1"/>
  <c r="GB118" i="15"/>
  <c r="AL118" i="5" s="1"/>
  <c r="GE118" i="15"/>
  <c r="AO118" i="5" s="1"/>
  <c r="AJ117" i="5"/>
  <c r="GF117" i="15"/>
  <c r="AP117" i="5" s="1"/>
  <c r="GC117" i="15"/>
  <c r="AM117" i="5" s="1"/>
  <c r="GD116" i="15"/>
  <c r="AN116" i="5" s="1"/>
  <c r="AK116" i="5"/>
  <c r="GG116" i="15"/>
  <c r="AQ116" i="5" s="1"/>
  <c r="GB116" i="15"/>
  <c r="AL116" i="5" s="1"/>
  <c r="AI116" i="5"/>
  <c r="GE116" i="15"/>
  <c r="AO116" i="5" s="1"/>
  <c r="AJ115" i="5"/>
  <c r="GF115" i="15"/>
  <c r="AP115" i="5" s="1"/>
  <c r="GC115" i="15"/>
  <c r="AM115" i="5" s="1"/>
  <c r="GD114" i="15"/>
  <c r="AN114" i="5" s="1"/>
  <c r="GN114" i="15"/>
  <c r="GG114" i="15"/>
  <c r="AQ114" i="5" s="1"/>
  <c r="GB114" i="15"/>
  <c r="AL114" i="5" s="1"/>
  <c r="GE114" i="15"/>
  <c r="AO114" i="5" s="1"/>
  <c r="AJ113" i="5"/>
  <c r="GF113" i="15"/>
  <c r="AP113" i="5" s="1"/>
  <c r="GC113" i="15"/>
  <c r="AM113" i="5" s="1"/>
  <c r="GD112" i="15"/>
  <c r="AN112" i="5" s="1"/>
  <c r="GG112" i="15"/>
  <c r="AQ112" i="5" s="1"/>
  <c r="GB112" i="15"/>
  <c r="AL112" i="5" s="1"/>
  <c r="GE112" i="15"/>
  <c r="AO112" i="5" s="1"/>
  <c r="GM111" i="15"/>
  <c r="GF111" i="15"/>
  <c r="AP111" i="5" s="1"/>
  <c r="GC111" i="15"/>
  <c r="AM111" i="5" s="1"/>
  <c r="GD110" i="15"/>
  <c r="AN110" i="5" s="1"/>
  <c r="GN110" i="15"/>
  <c r="GG110" i="15"/>
  <c r="AQ110" i="5" s="1"/>
  <c r="GB110" i="15"/>
  <c r="AL110" i="5" s="1"/>
  <c r="GE110" i="15"/>
  <c r="AO110" i="5" s="1"/>
  <c r="GF109" i="15"/>
  <c r="AP109" i="5" s="1"/>
  <c r="GC109" i="15"/>
  <c r="GD108" i="15"/>
  <c r="AN108" i="5" s="1"/>
  <c r="GN108" i="15"/>
  <c r="GG108" i="15"/>
  <c r="AQ108" i="5" s="1"/>
  <c r="GB108" i="15"/>
  <c r="AL108" i="5" s="1"/>
  <c r="GE108" i="15"/>
  <c r="AO108" i="5" s="1"/>
  <c r="GF107" i="15"/>
  <c r="AP107" i="5" s="1"/>
  <c r="GC107" i="15"/>
  <c r="GD106" i="15"/>
  <c r="AN106" i="5" s="1"/>
  <c r="AK106" i="5"/>
  <c r="GG106" i="15"/>
  <c r="AQ106" i="5" s="1"/>
  <c r="GB106" i="15"/>
  <c r="AL106" i="5" s="1"/>
  <c r="GE106" i="15"/>
  <c r="AO106" i="5" s="1"/>
  <c r="GF105" i="15"/>
  <c r="AP105" i="5" s="1"/>
  <c r="GC105" i="15"/>
  <c r="GD104" i="15"/>
  <c r="AN104" i="5" s="1"/>
  <c r="GN104" i="15"/>
  <c r="GG104" i="15"/>
  <c r="AQ104" i="5" s="1"/>
  <c r="GB104" i="15"/>
  <c r="AL104" i="5" s="1"/>
  <c r="GE104" i="15"/>
  <c r="AO104" i="5" s="1"/>
  <c r="GF103" i="15"/>
  <c r="AP103" i="5" s="1"/>
  <c r="GC103" i="15"/>
  <c r="AM103" i="5" s="1"/>
  <c r="GD102" i="15"/>
  <c r="AN102" i="5" s="1"/>
  <c r="GN102" i="15"/>
  <c r="GG102" i="15"/>
  <c r="AQ102" i="5" s="1"/>
  <c r="GB102" i="15"/>
  <c r="AL102" i="5" s="1"/>
  <c r="GE102" i="15"/>
  <c r="AO102" i="5" s="1"/>
  <c r="GF101" i="15"/>
  <c r="AP101" i="5" s="1"/>
  <c r="GC101" i="15"/>
  <c r="AM101" i="5" s="1"/>
  <c r="GD100" i="15"/>
  <c r="AN100" i="5" s="1"/>
  <c r="GN100" i="15"/>
  <c r="GG100" i="15"/>
  <c r="AQ100" i="5" s="1"/>
  <c r="GB100" i="15"/>
  <c r="GE100" i="15"/>
  <c r="AO100" i="5" s="1"/>
  <c r="GF99" i="15"/>
  <c r="AP99" i="5" s="1"/>
  <c r="GC99" i="15"/>
  <c r="AM99" i="5" s="1"/>
  <c r="GD98" i="15"/>
  <c r="AN98" i="5" s="1"/>
  <c r="GN98" i="15"/>
  <c r="GG98" i="15"/>
  <c r="AQ98" i="5" s="1"/>
  <c r="GB98" i="15"/>
  <c r="AL98" i="5" s="1"/>
  <c r="GE98" i="15"/>
  <c r="AO98" i="5" s="1"/>
  <c r="GM97" i="15"/>
  <c r="GF97" i="15"/>
  <c r="AP97" i="5" s="1"/>
  <c r="GC97" i="15"/>
  <c r="AM97" i="5" s="1"/>
  <c r="GD96" i="15"/>
  <c r="AN96" i="5" s="1"/>
  <c r="GN96" i="15"/>
  <c r="GG96" i="15"/>
  <c r="AQ96" i="5" s="1"/>
  <c r="GB96" i="15"/>
  <c r="AL96" i="5" s="1"/>
  <c r="GE96" i="15"/>
  <c r="AO96" i="5" s="1"/>
  <c r="GF95" i="15"/>
  <c r="AP95" i="5" s="1"/>
  <c r="GC95" i="15"/>
  <c r="AM95" i="5" s="1"/>
  <c r="GD94" i="15"/>
  <c r="AN94" i="5" s="1"/>
  <c r="AK94" i="5"/>
  <c r="GG94" i="15"/>
  <c r="AQ94" i="5" s="1"/>
  <c r="GB94" i="15"/>
  <c r="AL94" i="5" s="1"/>
  <c r="GE94" i="15"/>
  <c r="AO94" i="5" s="1"/>
  <c r="AJ93" i="5"/>
  <c r="GF93" i="15"/>
  <c r="AP93" i="5" s="1"/>
  <c r="GC93" i="15"/>
  <c r="GD92" i="15"/>
  <c r="AN92" i="5" s="1"/>
  <c r="AK92" i="5"/>
  <c r="GG92" i="15"/>
  <c r="AQ92" i="5" s="1"/>
  <c r="GB92" i="15"/>
  <c r="AL92" i="5" s="1"/>
  <c r="GE92" i="15"/>
  <c r="AO92" i="5" s="1"/>
  <c r="AJ91" i="5"/>
  <c r="GF91" i="15"/>
  <c r="AP91" i="5" s="1"/>
  <c r="GC91" i="15"/>
  <c r="GD90" i="15"/>
  <c r="GG90" i="15"/>
  <c r="AQ90" i="5" s="1"/>
  <c r="GB90" i="15"/>
  <c r="GE90" i="15"/>
  <c r="AO90" i="5" s="1"/>
  <c r="AJ89" i="5"/>
  <c r="GF89" i="15"/>
  <c r="AP89" i="5" s="1"/>
  <c r="GC89" i="15"/>
  <c r="GD88" i="15"/>
  <c r="AN88" i="5" s="1"/>
  <c r="GG88" i="15"/>
  <c r="AQ88" i="5" s="1"/>
  <c r="GB88" i="15"/>
  <c r="AL88" i="5" s="1"/>
  <c r="GL88" i="15"/>
  <c r="GE88" i="15"/>
  <c r="AO88" i="5" s="1"/>
  <c r="GM87" i="15"/>
  <c r="GF87" i="15"/>
  <c r="AP87" i="5" s="1"/>
  <c r="GC87" i="15"/>
  <c r="AM87" i="5" s="1"/>
  <c r="GD86" i="15"/>
  <c r="AN86" i="5" s="1"/>
  <c r="AK86" i="5"/>
  <c r="GG86" i="15"/>
  <c r="AQ86" i="5" s="1"/>
  <c r="GB86" i="15"/>
  <c r="AL86" i="5" s="1"/>
  <c r="GE86" i="15"/>
  <c r="AO86" i="5" s="1"/>
  <c r="AJ85" i="5"/>
  <c r="GF85" i="15"/>
  <c r="AP85" i="5" s="1"/>
  <c r="GC85" i="15"/>
  <c r="AM85" i="5" s="1"/>
  <c r="GD84" i="15"/>
  <c r="AN84" i="5" s="1"/>
  <c r="AK84" i="5"/>
  <c r="GG84" i="15"/>
  <c r="AQ84" i="5" s="1"/>
  <c r="GB84" i="15"/>
  <c r="GL84" i="15"/>
  <c r="GE84" i="15"/>
  <c r="AO84" i="5" s="1"/>
  <c r="GF83" i="15"/>
  <c r="AP83" i="5" s="1"/>
  <c r="GC83" i="15"/>
  <c r="GD82" i="15"/>
  <c r="AN82" i="5" s="1"/>
  <c r="GG82" i="15"/>
  <c r="GB82" i="15"/>
  <c r="AL82" i="5" s="1"/>
  <c r="GE82" i="15"/>
  <c r="AO82" i="5" s="1"/>
  <c r="AJ81" i="5"/>
  <c r="GF81" i="15"/>
  <c r="AP81" i="5" s="1"/>
  <c r="GC81" i="15"/>
  <c r="AM81" i="5" s="1"/>
  <c r="GD80" i="15"/>
  <c r="GG80" i="15"/>
  <c r="AQ80" i="5" s="1"/>
  <c r="GB80" i="15"/>
  <c r="AL80" i="5" s="1"/>
  <c r="AI80" i="5"/>
  <c r="GE80" i="15"/>
  <c r="AO80" i="5" s="1"/>
  <c r="GM79" i="15"/>
  <c r="GF79" i="15"/>
  <c r="AP79" i="5" s="1"/>
  <c r="GC79" i="15"/>
  <c r="AM79" i="5" s="1"/>
  <c r="GD78" i="15"/>
  <c r="AN78" i="5" s="1"/>
  <c r="GG78" i="15"/>
  <c r="AQ78" i="5" s="1"/>
  <c r="GB78" i="15"/>
  <c r="AL78" i="5" s="1"/>
  <c r="GE78" i="15"/>
  <c r="AO78" i="5" s="1"/>
  <c r="GM77" i="15"/>
  <c r="GF77" i="15"/>
  <c r="AP77" i="5" s="1"/>
  <c r="GC77" i="15"/>
  <c r="GD76" i="15"/>
  <c r="AN76" i="5" s="1"/>
  <c r="GG76" i="15"/>
  <c r="AQ76" i="5" s="1"/>
  <c r="GB76" i="15"/>
  <c r="AL76" i="5" s="1"/>
  <c r="GE76" i="15"/>
  <c r="AO76" i="5" s="1"/>
  <c r="GM75" i="15"/>
  <c r="GF75" i="15"/>
  <c r="AP75" i="5" s="1"/>
  <c r="GC75" i="15"/>
  <c r="GD74" i="15"/>
  <c r="GG74" i="15"/>
  <c r="AQ74" i="5" s="1"/>
  <c r="GB74" i="15"/>
  <c r="AI74" i="5"/>
  <c r="GE74" i="15"/>
  <c r="AO74" i="5" s="1"/>
  <c r="GF73" i="15"/>
  <c r="AP73" i="5" s="1"/>
  <c r="GC73" i="15"/>
  <c r="GD72" i="15"/>
  <c r="AK72" i="5"/>
  <c r="GG72" i="15"/>
  <c r="AQ72" i="5" s="1"/>
  <c r="GB72" i="15"/>
  <c r="AL72" i="5" s="1"/>
  <c r="GE72" i="15"/>
  <c r="AO72" i="5" s="1"/>
  <c r="GF71" i="15"/>
  <c r="AP71" i="5" s="1"/>
  <c r="GC71" i="15"/>
  <c r="GD70" i="15"/>
  <c r="AN70" i="5" s="1"/>
  <c r="GG70" i="15"/>
  <c r="AQ70" i="5" s="1"/>
  <c r="GB70" i="15"/>
  <c r="AL70" i="5" s="1"/>
  <c r="AI70" i="5"/>
  <c r="GE70" i="15"/>
  <c r="AO70" i="5" s="1"/>
  <c r="AJ69" i="5"/>
  <c r="GF69" i="15"/>
  <c r="AP69" i="5" s="1"/>
  <c r="GC69" i="15"/>
  <c r="AM69" i="5" s="1"/>
  <c r="GD68" i="15"/>
  <c r="AN68" i="5" s="1"/>
  <c r="GN68" i="15"/>
  <c r="GG68" i="15"/>
  <c r="AQ68" i="5" s="1"/>
  <c r="GB68" i="15"/>
  <c r="AL68" i="5" s="1"/>
  <c r="GE68" i="15"/>
  <c r="AO68" i="5" s="1"/>
  <c r="GM67" i="15"/>
  <c r="GF67" i="15"/>
  <c r="AP67" i="5" s="1"/>
  <c r="GC67" i="15"/>
  <c r="AM67" i="5" s="1"/>
  <c r="GD66" i="15"/>
  <c r="AN66" i="5" s="1"/>
  <c r="GG66" i="15"/>
  <c r="AQ66" i="5" s="1"/>
  <c r="GB66" i="15"/>
  <c r="GE66" i="15"/>
  <c r="AO66" i="5" s="1"/>
  <c r="GF65" i="15"/>
  <c r="AP65" i="5" s="1"/>
  <c r="GC65" i="15"/>
  <c r="AM65" i="5" s="1"/>
  <c r="GD64" i="15"/>
  <c r="GG64" i="15"/>
  <c r="AQ64" i="5" s="1"/>
  <c r="GB64" i="15"/>
  <c r="GE64" i="15"/>
  <c r="AO64" i="5" s="1"/>
  <c r="GM63" i="15"/>
  <c r="GF63" i="15"/>
  <c r="AP63" i="5" s="1"/>
  <c r="GC63" i="15"/>
  <c r="GD62" i="15"/>
  <c r="AN62" i="5" s="1"/>
  <c r="GG62" i="15"/>
  <c r="AQ62" i="5" s="1"/>
  <c r="GB62" i="15"/>
  <c r="AL62" i="5" s="1"/>
  <c r="GE62" i="15"/>
  <c r="AO62" i="5" s="1"/>
  <c r="GM61" i="15"/>
  <c r="GF61" i="15"/>
  <c r="AP61" i="5" s="1"/>
  <c r="GC61" i="15"/>
  <c r="GD60" i="15"/>
  <c r="GG60" i="15"/>
  <c r="AQ60" i="5" s="1"/>
  <c r="GB60" i="15"/>
  <c r="GE60" i="15"/>
  <c r="AO60" i="5" s="1"/>
  <c r="GM59" i="15"/>
  <c r="GF59" i="15"/>
  <c r="AP59" i="5" s="1"/>
  <c r="GC59" i="15"/>
  <c r="GD58" i="15"/>
  <c r="GG58" i="15"/>
  <c r="AQ58" i="5" s="1"/>
  <c r="GB58" i="15"/>
  <c r="GE58" i="15"/>
  <c r="AO58" i="5" s="1"/>
  <c r="GF57" i="15"/>
  <c r="AP57" i="5" s="1"/>
  <c r="GC57" i="15"/>
  <c r="GD56" i="15"/>
  <c r="GG56" i="15"/>
  <c r="AQ56" i="5" s="1"/>
  <c r="GB56" i="15"/>
  <c r="GE56" i="15"/>
  <c r="AO56" i="5" s="1"/>
  <c r="GM55" i="15"/>
  <c r="GF55" i="15"/>
  <c r="AP55" i="5" s="1"/>
  <c r="GC55" i="15"/>
  <c r="AM55" i="5" s="1"/>
  <c r="GD54" i="15"/>
  <c r="GG54" i="15"/>
  <c r="AQ54" i="5" s="1"/>
  <c r="GB54" i="15"/>
  <c r="GE54" i="15"/>
  <c r="AO54" i="5" s="1"/>
  <c r="GM53" i="15"/>
  <c r="GF53" i="15"/>
  <c r="AP53" i="5" s="1"/>
  <c r="GC53" i="15"/>
  <c r="AM53" i="5" s="1"/>
  <c r="GD52" i="15"/>
  <c r="GN52" i="15"/>
  <c r="GG52" i="15"/>
  <c r="AQ52" i="5" s="1"/>
  <c r="GB52" i="15"/>
  <c r="GE52" i="15"/>
  <c r="AO52" i="5" s="1"/>
  <c r="GF51" i="15"/>
  <c r="AP51" i="5" s="1"/>
  <c r="GC51" i="15"/>
  <c r="GD50" i="15"/>
  <c r="AK50" i="5"/>
  <c r="GG50" i="15"/>
  <c r="AQ50" i="5" s="1"/>
  <c r="GB50" i="15"/>
  <c r="GL50" i="15"/>
  <c r="GE50" i="15"/>
  <c r="AO50" i="5" s="1"/>
  <c r="GM49" i="15"/>
  <c r="GF49" i="15"/>
  <c r="AP49" i="5" s="1"/>
  <c r="GD48" i="15"/>
  <c r="GN48" i="15"/>
  <c r="GG48" i="15"/>
  <c r="AQ48" i="5" s="1"/>
  <c r="GB48" i="15"/>
  <c r="AL48" i="5" s="1"/>
  <c r="AI48" i="5"/>
  <c r="GE48" i="15"/>
  <c r="AO48" i="5" s="1"/>
  <c r="GF47" i="15"/>
  <c r="AP47" i="5" s="1"/>
  <c r="GC47" i="15"/>
  <c r="AM47" i="5" s="1"/>
  <c r="GD46" i="15"/>
  <c r="AN46" i="5" s="1"/>
  <c r="GG46" i="15"/>
  <c r="AQ46" i="5" s="1"/>
  <c r="GB46" i="15"/>
  <c r="AL46" i="5" s="1"/>
  <c r="AI46" i="5"/>
  <c r="GE46" i="15"/>
  <c r="AO46" i="5" s="1"/>
  <c r="GM45" i="15"/>
  <c r="GF45" i="15"/>
  <c r="AP45" i="5" s="1"/>
  <c r="GC45" i="15"/>
  <c r="GD44" i="15"/>
  <c r="GN44" i="15"/>
  <c r="GG44" i="15"/>
  <c r="AQ44" i="5" s="1"/>
  <c r="GB44" i="15"/>
  <c r="AL44" i="5" s="1"/>
  <c r="GE44" i="15"/>
  <c r="AO44" i="5" s="1"/>
  <c r="GF43" i="15"/>
  <c r="AP43" i="5" s="1"/>
  <c r="GD42" i="15"/>
  <c r="AN42" i="5" s="1"/>
  <c r="GG42" i="15"/>
  <c r="AQ42" i="5" s="1"/>
  <c r="GB42" i="15"/>
  <c r="GE42" i="15"/>
  <c r="AO42" i="5" s="1"/>
  <c r="GF41" i="15"/>
  <c r="AP41" i="5" s="1"/>
  <c r="GD40" i="15"/>
  <c r="AN40" i="5" s="1"/>
  <c r="GG40" i="15"/>
  <c r="AQ40" i="5" s="1"/>
  <c r="GB40" i="15"/>
  <c r="GE40" i="15"/>
  <c r="AO40" i="5" s="1"/>
  <c r="AJ39" i="5"/>
  <c r="GF39" i="15"/>
  <c r="AP39" i="5" s="1"/>
  <c r="GD38" i="15"/>
  <c r="AN38" i="5" s="1"/>
  <c r="GN38" i="15"/>
  <c r="GG38" i="15"/>
  <c r="AQ38" i="5" s="1"/>
  <c r="GB38" i="15"/>
  <c r="AI38" i="5"/>
  <c r="GE38" i="15"/>
  <c r="AO38" i="5" s="1"/>
  <c r="GM37" i="15"/>
  <c r="GF37" i="15"/>
  <c r="AP37" i="5" s="1"/>
  <c r="GD36" i="15"/>
  <c r="AN36" i="5" s="1"/>
  <c r="AK36" i="5"/>
  <c r="GG36" i="15"/>
  <c r="AQ36" i="5" s="1"/>
  <c r="GB36" i="15"/>
  <c r="AL36" i="5" s="1"/>
  <c r="GE36" i="15"/>
  <c r="AO36" i="5" s="1"/>
  <c r="AJ35" i="5"/>
  <c r="GF35" i="15"/>
  <c r="AP35" i="5" s="1"/>
  <c r="GC35" i="15"/>
  <c r="AM35" i="5" s="1"/>
  <c r="GG34" i="15"/>
  <c r="AQ34" i="5" s="1"/>
  <c r="GL34" i="15"/>
  <c r="GE34" i="15"/>
  <c r="AO34" i="5" s="1"/>
  <c r="AJ33" i="5"/>
  <c r="GF33" i="15"/>
  <c r="AP33" i="5" s="1"/>
  <c r="GD32" i="15"/>
  <c r="AN32" i="5" s="1"/>
  <c r="GG32" i="15"/>
  <c r="AQ32" i="5" s="1"/>
  <c r="GB32" i="15"/>
  <c r="GE32" i="15"/>
  <c r="AO32" i="5" s="1"/>
  <c r="GM31" i="15"/>
  <c r="GF31" i="15"/>
  <c r="AP31" i="5" s="1"/>
  <c r="GC31" i="15"/>
  <c r="AM31" i="5" s="1"/>
  <c r="GD30" i="15"/>
  <c r="AN30" i="5" s="1"/>
  <c r="GG30" i="15"/>
  <c r="AQ30" i="5" s="1"/>
  <c r="GB30" i="15"/>
  <c r="GE30" i="15"/>
  <c r="AO30" i="5" s="1"/>
  <c r="GF29" i="15"/>
  <c r="AP29" i="5" s="1"/>
  <c r="GD28" i="15"/>
  <c r="GG28" i="15"/>
  <c r="AQ28" i="5" s="1"/>
  <c r="GB28" i="15"/>
  <c r="GE28" i="15"/>
  <c r="AO28" i="5" s="1"/>
  <c r="GF27" i="15"/>
  <c r="AP27" i="5" s="1"/>
  <c r="GC27" i="15"/>
  <c r="AM27" i="5" s="1"/>
  <c r="GD26" i="15"/>
  <c r="AN26" i="5" s="1"/>
  <c r="GG26" i="15"/>
  <c r="AQ26" i="5" s="1"/>
  <c r="GB26" i="15"/>
  <c r="AL26" i="5" s="1"/>
  <c r="AI26" i="5"/>
  <c r="GE26" i="15"/>
  <c r="AO26" i="5" s="1"/>
  <c r="GF25" i="15"/>
  <c r="AP25" i="5" s="1"/>
  <c r="GC25" i="15"/>
  <c r="AM25" i="5" s="1"/>
  <c r="GG24" i="15"/>
  <c r="AQ24" i="5" s="1"/>
  <c r="AI24" i="5"/>
  <c r="GE24" i="15"/>
  <c r="AO24" i="5" s="1"/>
  <c r="GF23" i="15"/>
  <c r="AP23" i="5" s="1"/>
  <c r="GH24" i="15"/>
  <c r="AR24" i="5" s="1"/>
  <c r="GH26" i="15"/>
  <c r="AR26" i="5" s="1"/>
  <c r="GH28" i="15"/>
  <c r="AR28" i="5" s="1"/>
  <c r="GH30" i="15"/>
  <c r="AR30" i="5" s="1"/>
  <c r="GH32" i="15"/>
  <c r="AR32" i="5" s="1"/>
  <c r="GH34" i="15"/>
  <c r="AR34" i="5" s="1"/>
  <c r="GH36" i="15"/>
  <c r="AR36" i="5" s="1"/>
  <c r="GH38" i="15"/>
  <c r="AR38" i="5" s="1"/>
  <c r="GH40" i="15"/>
  <c r="AR40" i="5" s="1"/>
  <c r="GH42" i="15"/>
  <c r="AR42" i="5" s="1"/>
  <c r="GH44" i="15"/>
  <c r="AR44" i="5" s="1"/>
  <c r="GH46" i="15"/>
  <c r="AR46" i="5" s="1"/>
  <c r="GH48" i="15"/>
  <c r="AR48" i="5" s="1"/>
  <c r="GH50" i="15"/>
  <c r="AR50" i="5" s="1"/>
  <c r="GH52" i="15"/>
  <c r="AR52" i="5" s="1"/>
  <c r="GH54" i="15"/>
  <c r="AR54" i="5" s="1"/>
  <c r="GH56" i="15"/>
  <c r="AR56" i="5" s="1"/>
  <c r="GH58" i="15"/>
  <c r="AR58" i="5" s="1"/>
  <c r="GH60" i="15"/>
  <c r="AR60" i="5" s="1"/>
  <c r="GH62" i="15"/>
  <c r="AR62" i="5" s="1"/>
  <c r="GH64" i="15"/>
  <c r="AR64" i="5" s="1"/>
  <c r="GH66" i="15"/>
  <c r="AR66" i="5" s="1"/>
  <c r="GH68" i="15"/>
  <c r="AR68" i="5" s="1"/>
  <c r="GH70" i="15"/>
  <c r="AR70" i="5" s="1"/>
  <c r="GH72" i="15"/>
  <c r="AR72" i="5" s="1"/>
  <c r="GH74" i="15"/>
  <c r="AR74" i="5" s="1"/>
  <c r="GH76" i="15"/>
  <c r="AR76" i="5" s="1"/>
  <c r="GH78" i="15"/>
  <c r="AR78" i="5" s="1"/>
  <c r="GH80" i="15"/>
  <c r="AR80" i="5" s="1"/>
  <c r="GH82" i="15"/>
  <c r="AR82" i="5" s="1"/>
  <c r="GH84" i="15"/>
  <c r="AR84" i="5" s="1"/>
  <c r="GH86" i="15"/>
  <c r="AR86" i="5" s="1"/>
  <c r="GH88" i="15"/>
  <c r="AR88" i="5" s="1"/>
  <c r="GH90" i="15"/>
  <c r="AR90" i="5" s="1"/>
  <c r="GH92" i="15"/>
  <c r="AR92" i="5" s="1"/>
  <c r="GH94" i="15"/>
  <c r="AR94" i="5" s="1"/>
  <c r="GH96" i="15"/>
  <c r="AR96" i="5" s="1"/>
  <c r="GH98" i="15"/>
  <c r="AR98" i="5" s="1"/>
  <c r="GH100" i="15"/>
  <c r="AR100" i="5" s="1"/>
  <c r="GH102" i="15"/>
  <c r="AR102" i="5" s="1"/>
  <c r="GH104" i="15"/>
  <c r="AR104" i="5" s="1"/>
  <c r="GH106" i="15"/>
  <c r="AR106" i="5" s="1"/>
  <c r="GH108" i="15"/>
  <c r="AR108" i="5" s="1"/>
  <c r="GH110" i="15"/>
  <c r="AR110" i="5" s="1"/>
  <c r="GH112" i="15"/>
  <c r="AR112" i="5" s="1"/>
  <c r="GH114" i="15"/>
  <c r="AR114" i="5" s="1"/>
  <c r="GH116" i="15"/>
  <c r="AR116" i="5" s="1"/>
  <c r="GH118" i="15"/>
  <c r="AR118" i="5" s="1"/>
  <c r="GH120" i="15"/>
  <c r="AR120" i="5" s="1"/>
  <c r="GH122" i="15"/>
  <c r="AR122" i="5" s="1"/>
  <c r="GH124" i="15"/>
  <c r="AR124" i="5" s="1"/>
  <c r="GH126" i="15"/>
  <c r="AR126" i="5" s="1"/>
  <c r="GH128" i="15"/>
  <c r="AR128" i="5" s="1"/>
  <c r="GH130" i="15"/>
  <c r="AR130" i="5" s="1"/>
  <c r="GH132" i="15"/>
  <c r="AR132" i="5" s="1"/>
  <c r="GH134" i="15"/>
  <c r="AR134" i="5" s="1"/>
  <c r="GH136" i="15"/>
  <c r="AR136" i="5" s="1"/>
  <c r="GH138" i="15"/>
  <c r="AR138" i="5" s="1"/>
  <c r="GH140" i="15"/>
  <c r="AR140" i="5" s="1"/>
  <c r="GH142" i="15"/>
  <c r="AR142" i="5" s="1"/>
  <c r="GH144" i="15"/>
  <c r="AR144" i="5" s="1"/>
  <c r="GH146" i="15"/>
  <c r="AR146" i="5" s="1"/>
  <c r="GH148" i="15"/>
  <c r="AR148" i="5" s="1"/>
  <c r="GH150" i="15"/>
  <c r="GH152" i="15"/>
  <c r="AR152" i="5" s="1"/>
  <c r="GH154" i="15"/>
  <c r="AR154" i="5" s="1"/>
  <c r="GH156" i="15"/>
  <c r="AR156" i="5" s="1"/>
  <c r="GH158" i="15"/>
  <c r="AR158" i="5" s="1"/>
  <c r="GH160" i="15"/>
  <c r="AR160" i="5" s="1"/>
  <c r="GH162" i="15"/>
  <c r="GH164" i="15"/>
  <c r="AR164" i="5" s="1"/>
  <c r="GH166" i="15"/>
  <c r="AR166" i="5" s="1"/>
  <c r="GH168" i="15"/>
  <c r="AR168" i="5" s="1"/>
  <c r="GH170" i="15"/>
  <c r="AR170" i="5" s="1"/>
  <c r="GH172" i="15"/>
  <c r="AR172" i="5" s="1"/>
  <c r="GH174" i="15"/>
  <c r="AR174" i="5" s="1"/>
  <c r="GH176" i="15"/>
  <c r="GH178" i="15"/>
  <c r="GH180" i="15"/>
  <c r="AR180" i="5" s="1"/>
  <c r="GH182" i="15"/>
  <c r="AR182" i="5" s="1"/>
  <c r="GH184" i="15"/>
  <c r="AR184" i="5" s="1"/>
  <c r="GH186" i="15"/>
  <c r="GH188" i="15"/>
  <c r="AR188" i="5" s="1"/>
  <c r="GH190" i="15"/>
  <c r="AR190" i="5" s="1"/>
  <c r="GH192" i="15"/>
  <c r="AR192" i="5" s="1"/>
  <c r="GJ26" i="15"/>
  <c r="AT26" i="5" s="1"/>
  <c r="GJ30" i="15"/>
  <c r="AT30" i="5" s="1"/>
  <c r="GJ34" i="15"/>
  <c r="AT34" i="5" s="1"/>
  <c r="GJ38" i="15"/>
  <c r="AT38" i="5" s="1"/>
  <c r="GJ42" i="15"/>
  <c r="AT42" i="5" s="1"/>
  <c r="GJ46" i="15"/>
  <c r="AT46" i="5" s="1"/>
  <c r="GJ50" i="15"/>
  <c r="AT50" i="5" s="1"/>
  <c r="GJ54" i="15"/>
  <c r="AT54" i="5" s="1"/>
  <c r="GJ58" i="15"/>
  <c r="AT58" i="5" s="1"/>
  <c r="GJ62" i="15"/>
  <c r="AT62" i="5" s="1"/>
  <c r="GJ66" i="15"/>
  <c r="AT66" i="5" s="1"/>
  <c r="GJ70" i="15"/>
  <c r="AT70" i="5" s="1"/>
  <c r="GJ74" i="15"/>
  <c r="AT74" i="5" s="1"/>
  <c r="GJ78" i="15"/>
  <c r="AT78" i="5" s="1"/>
  <c r="GJ82" i="15"/>
  <c r="AT82" i="5" s="1"/>
  <c r="GJ86" i="15"/>
  <c r="AT86" i="5" s="1"/>
  <c r="GJ90" i="15"/>
  <c r="AT90" i="5" s="1"/>
  <c r="GJ94" i="15"/>
  <c r="AT94" i="5" s="1"/>
  <c r="GJ98" i="15"/>
  <c r="AT98" i="5" s="1"/>
  <c r="GJ102" i="15"/>
  <c r="AT102" i="5" s="1"/>
  <c r="GJ106" i="15"/>
  <c r="AT106" i="5" s="1"/>
  <c r="GJ110" i="15"/>
  <c r="AT110" i="5" s="1"/>
  <c r="GJ114" i="15"/>
  <c r="AT114" i="5" s="1"/>
  <c r="GJ118" i="15"/>
  <c r="AT118" i="5" s="1"/>
  <c r="GJ122" i="15"/>
  <c r="AT122" i="5" s="1"/>
  <c r="GJ126" i="15"/>
  <c r="AT126" i="5" s="1"/>
  <c r="GJ130" i="15"/>
  <c r="AT130" i="5" s="1"/>
  <c r="GJ134" i="15"/>
  <c r="AT134" i="5" s="1"/>
  <c r="GJ138" i="15"/>
  <c r="AT138" i="5" s="1"/>
  <c r="GJ142" i="15"/>
  <c r="AT142" i="5" s="1"/>
  <c r="GJ146" i="15"/>
  <c r="AT146" i="5" s="1"/>
  <c r="GJ150" i="15"/>
  <c r="AT150" i="5" s="1"/>
  <c r="GJ154" i="15"/>
  <c r="AT154" i="5" s="1"/>
  <c r="GJ158" i="15"/>
  <c r="AT158" i="5" s="1"/>
  <c r="GJ162" i="15"/>
  <c r="AT162" i="5" s="1"/>
  <c r="GJ166" i="15"/>
  <c r="AT166" i="5" s="1"/>
  <c r="GJ170" i="15"/>
  <c r="AT170" i="5" s="1"/>
  <c r="GJ174" i="15"/>
  <c r="AT174" i="5" s="1"/>
  <c r="GJ178" i="15"/>
  <c r="AT178" i="5" s="1"/>
  <c r="GJ182" i="15"/>
  <c r="AT182" i="5" s="1"/>
  <c r="GJ186" i="15"/>
  <c r="AT186" i="5" s="1"/>
  <c r="GJ190" i="15"/>
  <c r="AT190" i="5" s="1"/>
  <c r="GI23" i="15"/>
  <c r="AS23" i="5" s="1"/>
  <c r="GI27" i="15"/>
  <c r="AS27" i="5" s="1"/>
  <c r="GI31" i="15"/>
  <c r="AS31" i="5" s="1"/>
  <c r="GI35" i="15"/>
  <c r="AS35" i="5" s="1"/>
  <c r="GI39" i="15"/>
  <c r="AS39" i="5" s="1"/>
  <c r="GI43" i="15"/>
  <c r="AS43" i="5" s="1"/>
  <c r="GI47" i="15"/>
  <c r="AS47" i="5" s="1"/>
  <c r="GI51" i="15"/>
  <c r="AS51" i="5" s="1"/>
  <c r="GI55" i="15"/>
  <c r="AS55" i="5" s="1"/>
  <c r="GI59" i="15"/>
  <c r="AS59" i="5" s="1"/>
  <c r="GI63" i="15"/>
  <c r="AS63" i="5" s="1"/>
  <c r="GI67" i="15"/>
  <c r="AS67" i="5" s="1"/>
  <c r="GI71" i="15"/>
  <c r="AS71" i="5" s="1"/>
  <c r="GI75" i="15"/>
  <c r="AS75" i="5" s="1"/>
  <c r="GI79" i="15"/>
  <c r="AS79" i="5" s="1"/>
  <c r="GI83" i="15"/>
  <c r="AS83" i="5" s="1"/>
  <c r="GI87" i="15"/>
  <c r="AS87" i="5" s="1"/>
  <c r="GI91" i="15"/>
  <c r="AS91" i="5" s="1"/>
  <c r="GI95" i="15"/>
  <c r="AS95" i="5" s="1"/>
  <c r="GI99" i="15"/>
  <c r="AS99" i="5" s="1"/>
  <c r="GI103" i="15"/>
  <c r="AS103" i="5" s="1"/>
  <c r="GI107" i="15"/>
  <c r="AS107" i="5" s="1"/>
  <c r="GI111" i="15"/>
  <c r="AS111" i="5" s="1"/>
  <c r="GI115" i="15"/>
  <c r="AS115" i="5" s="1"/>
  <c r="GI119" i="15"/>
  <c r="AS119" i="5" s="1"/>
  <c r="GI123" i="15"/>
  <c r="AS123" i="5" s="1"/>
  <c r="GI127" i="15"/>
  <c r="AS127" i="5" s="1"/>
  <c r="GI131" i="15"/>
  <c r="AS131" i="5" s="1"/>
  <c r="GI135" i="15"/>
  <c r="AS135" i="5" s="1"/>
  <c r="GI139" i="15"/>
  <c r="AS139" i="5" s="1"/>
  <c r="GI143" i="15"/>
  <c r="AS143" i="5" s="1"/>
  <c r="GI147" i="15"/>
  <c r="AS147" i="5" s="1"/>
  <c r="GI151" i="15"/>
  <c r="AS151" i="5" s="1"/>
  <c r="GI155" i="15"/>
  <c r="AS155" i="5" s="1"/>
  <c r="GI159" i="15"/>
  <c r="AS159" i="5" s="1"/>
  <c r="GI163" i="15"/>
  <c r="AS163" i="5" s="1"/>
  <c r="GI167" i="15"/>
  <c r="AS167" i="5" s="1"/>
  <c r="GI171" i="15"/>
  <c r="AS171" i="5" s="1"/>
  <c r="GI175" i="15"/>
  <c r="GI179" i="15"/>
  <c r="AS179" i="5" s="1"/>
  <c r="GI183" i="15"/>
  <c r="AS183" i="5" s="1"/>
  <c r="GI187" i="15"/>
  <c r="AS187" i="5" s="1"/>
  <c r="GI191" i="15"/>
  <c r="GD191" i="15"/>
  <c r="AN191" i="5" s="1"/>
  <c r="GG191" i="15"/>
  <c r="AQ191" i="5" s="1"/>
  <c r="GB191" i="15"/>
  <c r="AI191" i="5"/>
  <c r="GE191" i="15"/>
  <c r="AO191" i="5" s="1"/>
  <c r="GF190" i="15"/>
  <c r="AP190" i="5" s="1"/>
  <c r="GC190" i="15"/>
  <c r="GD189" i="15"/>
  <c r="GG189" i="15"/>
  <c r="AQ189" i="5" s="1"/>
  <c r="GB189" i="15"/>
  <c r="AL189" i="5" s="1"/>
  <c r="GE189" i="15"/>
  <c r="AO189" i="5" s="1"/>
  <c r="GF188" i="15"/>
  <c r="GC188" i="15"/>
  <c r="GD187" i="15"/>
  <c r="AN187" i="5" s="1"/>
  <c r="GG187" i="15"/>
  <c r="AQ187" i="5" s="1"/>
  <c r="GB187" i="15"/>
  <c r="AI187" i="5"/>
  <c r="GE187" i="15"/>
  <c r="AO187" i="5" s="1"/>
  <c r="GF186" i="15"/>
  <c r="AP186" i="5" s="1"/>
  <c r="GC186" i="15"/>
  <c r="AM186" i="5" s="1"/>
  <c r="GD185" i="15"/>
  <c r="AN185" i="5" s="1"/>
  <c r="GG185" i="15"/>
  <c r="GB185" i="15"/>
  <c r="AL185" i="5" s="1"/>
  <c r="GE185" i="15"/>
  <c r="AO185" i="5" s="1"/>
  <c r="GF184" i="15"/>
  <c r="AP184" i="5" s="1"/>
  <c r="GC184" i="15"/>
  <c r="GD183" i="15"/>
  <c r="GG183" i="15"/>
  <c r="AQ183" i="5" s="1"/>
  <c r="GB183" i="15"/>
  <c r="AL183" i="5" s="1"/>
  <c r="GL183" i="15"/>
  <c r="GE183" i="15"/>
  <c r="AO183" i="5" s="1"/>
  <c r="GF182" i="15"/>
  <c r="AP182" i="5" s="1"/>
  <c r="GC182" i="15"/>
  <c r="GD181" i="15"/>
  <c r="GG181" i="15"/>
  <c r="AQ181" i="5" s="1"/>
  <c r="GB181" i="15"/>
  <c r="AL181" i="5" s="1"/>
  <c r="GE181" i="15"/>
  <c r="AO181" i="5" s="1"/>
  <c r="GF180" i="15"/>
  <c r="AP180" i="5" s="1"/>
  <c r="GC180" i="15"/>
  <c r="AM180" i="5" s="1"/>
  <c r="GD179" i="15"/>
  <c r="GG179" i="15"/>
  <c r="AQ179" i="5" s="1"/>
  <c r="GB179" i="15"/>
  <c r="GL179" i="15"/>
  <c r="GE179" i="15"/>
  <c r="AO179" i="5" s="1"/>
  <c r="GF178" i="15"/>
  <c r="AP178" i="5" s="1"/>
  <c r="GC178" i="15"/>
  <c r="GD177" i="15"/>
  <c r="AN177" i="5" s="1"/>
  <c r="GG177" i="15"/>
  <c r="AQ177" i="5" s="1"/>
  <c r="GB177" i="15"/>
  <c r="AL177" i="5" s="1"/>
  <c r="GE177" i="15"/>
  <c r="AO177" i="5" s="1"/>
  <c r="GF176" i="15"/>
  <c r="GC176" i="15"/>
  <c r="GD175" i="15"/>
  <c r="AN175" i="5" s="1"/>
  <c r="GG175" i="15"/>
  <c r="AQ175" i="5" s="1"/>
  <c r="GB175" i="15"/>
  <c r="AL175" i="5" s="1"/>
  <c r="GE175" i="15"/>
  <c r="AO175" i="5" s="1"/>
  <c r="GF174" i="15"/>
  <c r="AP174" i="5" s="1"/>
  <c r="GC174" i="15"/>
  <c r="AM174" i="5" s="1"/>
  <c r="GD173" i="15"/>
  <c r="AN173" i="5" s="1"/>
  <c r="GG173" i="15"/>
  <c r="AQ173" i="5" s="1"/>
  <c r="GB173" i="15"/>
  <c r="AL173" i="5" s="1"/>
  <c r="GE173" i="15"/>
  <c r="AO173" i="5" s="1"/>
  <c r="GF172" i="15"/>
  <c r="AP172" i="5" s="1"/>
  <c r="GC172" i="15"/>
  <c r="GD171" i="15"/>
  <c r="AN171" i="5" s="1"/>
  <c r="GG171" i="15"/>
  <c r="AQ171" i="5" s="1"/>
  <c r="GB171" i="15"/>
  <c r="AL171" i="5" s="1"/>
  <c r="AI171" i="5"/>
  <c r="GE171" i="15"/>
  <c r="AO171" i="5" s="1"/>
  <c r="GF170" i="15"/>
  <c r="AP170" i="5" s="1"/>
  <c r="GC170" i="15"/>
  <c r="AM170" i="5" s="1"/>
  <c r="GD169" i="15"/>
  <c r="GG169" i="15"/>
  <c r="GB169" i="15"/>
  <c r="AL169" i="5" s="1"/>
  <c r="GE169" i="15"/>
  <c r="AO169" i="5" s="1"/>
  <c r="GF168" i="15"/>
  <c r="AP168" i="5" s="1"/>
  <c r="GC168" i="15"/>
  <c r="GD167" i="15"/>
  <c r="GG167" i="15"/>
  <c r="AQ167" i="5" s="1"/>
  <c r="GB167" i="15"/>
  <c r="AL167" i="5" s="1"/>
  <c r="AI167" i="5"/>
  <c r="GE167" i="15"/>
  <c r="AO167" i="5" s="1"/>
  <c r="GF166" i="15"/>
  <c r="AP166" i="5" s="1"/>
  <c r="GC166" i="15"/>
  <c r="AM166" i="5" s="1"/>
  <c r="GD165" i="15"/>
  <c r="GG165" i="15"/>
  <c r="AQ165" i="5" s="1"/>
  <c r="GB165" i="15"/>
  <c r="AL165" i="5" s="1"/>
  <c r="GE165" i="15"/>
  <c r="AO165" i="5" s="1"/>
  <c r="GF164" i="15"/>
  <c r="AP164" i="5" s="1"/>
  <c r="GC164" i="15"/>
  <c r="AM164" i="5" s="1"/>
  <c r="GD163" i="15"/>
  <c r="GG163" i="15"/>
  <c r="GB163" i="15"/>
  <c r="GE163" i="15"/>
  <c r="AO163" i="5" s="1"/>
  <c r="GF162" i="15"/>
  <c r="AP162" i="5" s="1"/>
  <c r="GC162" i="15"/>
  <c r="GD161" i="15"/>
  <c r="AN161" i="5" s="1"/>
  <c r="GG161" i="15"/>
  <c r="AQ161" i="5" s="1"/>
  <c r="GB161" i="15"/>
  <c r="AL161" i="5" s="1"/>
  <c r="GE161" i="15"/>
  <c r="AO161" i="5" s="1"/>
  <c r="GF160" i="15"/>
  <c r="AP160" i="5" s="1"/>
  <c r="GC160" i="15"/>
  <c r="GD159" i="15"/>
  <c r="AN159" i="5" s="1"/>
  <c r="GG159" i="15"/>
  <c r="AQ159" i="5" s="1"/>
  <c r="GB159" i="15"/>
  <c r="AL159" i="5" s="1"/>
  <c r="GE159" i="15"/>
  <c r="AO159" i="5" s="1"/>
  <c r="GF158" i="15"/>
  <c r="GC158" i="15"/>
  <c r="AM158" i="5" s="1"/>
  <c r="GD157" i="15"/>
  <c r="AN157" i="5" s="1"/>
  <c r="GG157" i="15"/>
  <c r="AQ157" i="5" s="1"/>
  <c r="GB157" i="15"/>
  <c r="AL157" i="5" s="1"/>
  <c r="GE157" i="15"/>
  <c r="AO157" i="5" s="1"/>
  <c r="GF156" i="15"/>
  <c r="AP156" i="5" s="1"/>
  <c r="GC156" i="15"/>
  <c r="GD155" i="15"/>
  <c r="AN155" i="5" s="1"/>
  <c r="GG155" i="15"/>
  <c r="AQ155" i="5" s="1"/>
  <c r="GB155" i="15"/>
  <c r="AL155" i="5" s="1"/>
  <c r="AI155" i="5"/>
  <c r="GE155" i="15"/>
  <c r="AO155" i="5" s="1"/>
  <c r="GF154" i="15"/>
  <c r="AP154" i="5" s="1"/>
  <c r="GC154" i="15"/>
  <c r="AM154" i="5" s="1"/>
  <c r="GD153" i="15"/>
  <c r="AN153" i="5" s="1"/>
  <c r="GG153" i="15"/>
  <c r="AQ153" i="5" s="1"/>
  <c r="GB153" i="15"/>
  <c r="AL153" i="5" s="1"/>
  <c r="GE153" i="15"/>
  <c r="AO153" i="5" s="1"/>
  <c r="GF152" i="15"/>
  <c r="AP152" i="5" s="1"/>
  <c r="GC152" i="15"/>
  <c r="AM152" i="5" s="1"/>
  <c r="GD151" i="15"/>
  <c r="AN151" i="5" s="1"/>
  <c r="GG151" i="15"/>
  <c r="AQ151" i="5" s="1"/>
  <c r="GB151" i="15"/>
  <c r="AL151" i="5" s="1"/>
  <c r="AI151" i="5"/>
  <c r="GE151" i="15"/>
  <c r="AO151" i="5" s="1"/>
  <c r="GF150" i="15"/>
  <c r="AP150" i="5" s="1"/>
  <c r="GC150" i="15"/>
  <c r="GD149" i="15"/>
  <c r="AN149" i="5" s="1"/>
  <c r="GG149" i="15"/>
  <c r="AQ149" i="5" s="1"/>
  <c r="GB149" i="15"/>
  <c r="AL149" i="5" s="1"/>
  <c r="GE149" i="15"/>
  <c r="AO149" i="5" s="1"/>
  <c r="GF148" i="15"/>
  <c r="AP148" i="5" s="1"/>
  <c r="GC148" i="15"/>
  <c r="GD147" i="15"/>
  <c r="AN147" i="5" s="1"/>
  <c r="GG147" i="15"/>
  <c r="GB147" i="15"/>
  <c r="AI147" i="5"/>
  <c r="GE147" i="15"/>
  <c r="AO147" i="5" s="1"/>
  <c r="GF146" i="15"/>
  <c r="AP146" i="5" s="1"/>
  <c r="GC146" i="15"/>
  <c r="AM146" i="5" s="1"/>
  <c r="GD145" i="15"/>
  <c r="AN145" i="5" s="1"/>
  <c r="GG145" i="15"/>
  <c r="AQ145" i="5" s="1"/>
  <c r="GB145" i="15"/>
  <c r="AL145" i="5" s="1"/>
  <c r="GE145" i="15"/>
  <c r="AO145" i="5" s="1"/>
  <c r="GF144" i="15"/>
  <c r="AP144" i="5" s="1"/>
  <c r="GC144" i="15"/>
  <c r="AM144" i="5" s="1"/>
  <c r="GD143" i="15"/>
  <c r="AN143" i="5" s="1"/>
  <c r="GG143" i="15"/>
  <c r="AQ143" i="5" s="1"/>
  <c r="GB143" i="15"/>
  <c r="AL143" i="5" s="1"/>
  <c r="GL143" i="15"/>
  <c r="GE143" i="15"/>
  <c r="GF142" i="15"/>
  <c r="GC142" i="15"/>
  <c r="GD141" i="15"/>
  <c r="AN141" i="5" s="1"/>
  <c r="GG141" i="15"/>
  <c r="AQ141" i="5" s="1"/>
  <c r="GB141" i="15"/>
  <c r="AL141" i="5" s="1"/>
  <c r="GE141" i="15"/>
  <c r="AO141" i="5" s="1"/>
  <c r="GF140" i="15"/>
  <c r="AP140" i="5" s="1"/>
  <c r="GC140" i="15"/>
  <c r="AM140" i="5" s="1"/>
  <c r="GD139" i="15"/>
  <c r="AN139" i="5" s="1"/>
  <c r="GG139" i="15"/>
  <c r="AQ139" i="5" s="1"/>
  <c r="GB139" i="15"/>
  <c r="GE139" i="15"/>
  <c r="AO139" i="5" s="1"/>
  <c r="GF138" i="15"/>
  <c r="AP138" i="5" s="1"/>
  <c r="GC138" i="15"/>
  <c r="GD137" i="15"/>
  <c r="AN137" i="5" s="1"/>
  <c r="GG137" i="15"/>
  <c r="AQ137" i="5" s="1"/>
  <c r="GB137" i="15"/>
  <c r="AL137" i="5" s="1"/>
  <c r="GE137" i="15"/>
  <c r="AO137" i="5" s="1"/>
  <c r="GF136" i="15"/>
  <c r="AP136" i="5" s="1"/>
  <c r="GC136" i="15"/>
  <c r="GD135" i="15"/>
  <c r="AN135" i="5" s="1"/>
  <c r="GG135" i="15"/>
  <c r="AQ135" i="5" s="1"/>
  <c r="GB135" i="15"/>
  <c r="AL135" i="5" s="1"/>
  <c r="GL135" i="15"/>
  <c r="GE135" i="15"/>
  <c r="GF134" i="15"/>
  <c r="AP134" i="5" s="1"/>
  <c r="GC134" i="15"/>
  <c r="GD133" i="15"/>
  <c r="AN133" i="5" s="1"/>
  <c r="GG133" i="15"/>
  <c r="AQ133" i="5" s="1"/>
  <c r="GB133" i="15"/>
  <c r="AL133" i="5" s="1"/>
  <c r="GE133" i="15"/>
  <c r="AO133" i="5" s="1"/>
  <c r="GF132" i="15"/>
  <c r="AP132" i="5" s="1"/>
  <c r="GC132" i="15"/>
  <c r="GD131" i="15"/>
  <c r="AN131" i="5" s="1"/>
  <c r="GG131" i="15"/>
  <c r="AQ131" i="5" s="1"/>
  <c r="GB131" i="15"/>
  <c r="GE131" i="15"/>
  <c r="AO131" i="5" s="1"/>
  <c r="GF130" i="15"/>
  <c r="AP130" i="5" s="1"/>
  <c r="GC130" i="15"/>
  <c r="GD129" i="15"/>
  <c r="AN129" i="5" s="1"/>
  <c r="GG129" i="15"/>
  <c r="AQ129" i="5" s="1"/>
  <c r="GB129" i="15"/>
  <c r="GE129" i="15"/>
  <c r="GF128" i="15"/>
  <c r="AP128" i="5" s="1"/>
  <c r="GC128" i="15"/>
  <c r="AM128" i="5" s="1"/>
  <c r="GD127" i="15"/>
  <c r="AN127" i="5" s="1"/>
  <c r="GG127" i="15"/>
  <c r="AQ127" i="5" s="1"/>
  <c r="GB127" i="15"/>
  <c r="AL127" i="5" s="1"/>
  <c r="GE127" i="15"/>
  <c r="AO127" i="5" s="1"/>
  <c r="GF126" i="15"/>
  <c r="AP126" i="5" s="1"/>
  <c r="GC126" i="15"/>
  <c r="AT125" i="5"/>
  <c r="GD125" i="15"/>
  <c r="GG125" i="15"/>
  <c r="AQ125" i="5" s="1"/>
  <c r="GB125" i="15"/>
  <c r="GE125" i="15"/>
  <c r="AO125" i="5" s="1"/>
  <c r="GF124" i="15"/>
  <c r="GC124" i="15"/>
  <c r="AM124" i="5" s="1"/>
  <c r="GD123" i="15"/>
  <c r="AK123" i="5"/>
  <c r="GG123" i="15"/>
  <c r="GB123" i="15"/>
  <c r="GE123" i="15"/>
  <c r="AO123" i="5" s="1"/>
  <c r="GF122" i="15"/>
  <c r="AP122" i="5" s="1"/>
  <c r="GC122" i="15"/>
  <c r="AM122" i="5" s="1"/>
  <c r="AT121" i="5"/>
  <c r="GD121" i="15"/>
  <c r="GG121" i="15"/>
  <c r="AQ121" i="5" s="1"/>
  <c r="GB121" i="15"/>
  <c r="GE121" i="15"/>
  <c r="AO121" i="5" s="1"/>
  <c r="GF120" i="15"/>
  <c r="GC120" i="15"/>
  <c r="AM120" i="5" s="1"/>
  <c r="GD119" i="15"/>
  <c r="AN119" i="5" s="1"/>
  <c r="GG119" i="15"/>
  <c r="AQ119" i="5" s="1"/>
  <c r="GB119" i="15"/>
  <c r="GL119" i="15"/>
  <c r="GE119" i="15"/>
  <c r="AO119" i="5" s="1"/>
  <c r="AJ118" i="5"/>
  <c r="GF118" i="15"/>
  <c r="GC118" i="15"/>
  <c r="AT117" i="5"/>
  <c r="GD117" i="15"/>
  <c r="AN117" i="5" s="1"/>
  <c r="GN117" i="15"/>
  <c r="GG117" i="15"/>
  <c r="AQ117" i="5" s="1"/>
  <c r="GB117" i="15"/>
  <c r="AL117" i="5" s="1"/>
  <c r="GE117" i="15"/>
  <c r="AO117" i="5" s="1"/>
  <c r="GF116" i="15"/>
  <c r="GC116" i="15"/>
  <c r="AM116" i="5" s="1"/>
  <c r="GD115" i="15"/>
  <c r="AN115" i="5" s="1"/>
  <c r="GN115" i="15"/>
  <c r="GG115" i="15"/>
  <c r="AQ115" i="5" s="1"/>
  <c r="GB115" i="15"/>
  <c r="AL115" i="5" s="1"/>
  <c r="GE115" i="15"/>
  <c r="AO115" i="5" s="1"/>
  <c r="GF114" i="15"/>
  <c r="AP114" i="5" s="1"/>
  <c r="GC114" i="15"/>
  <c r="AM114" i="5" s="1"/>
  <c r="GD113" i="15"/>
  <c r="AN113" i="5" s="1"/>
  <c r="AK113" i="5"/>
  <c r="GG113" i="15"/>
  <c r="AQ113" i="5" s="1"/>
  <c r="GB113" i="15"/>
  <c r="AL113" i="5" s="1"/>
  <c r="GE113" i="15"/>
  <c r="GF112" i="15"/>
  <c r="AP112" i="5" s="1"/>
  <c r="GC112" i="15"/>
  <c r="AM112" i="5" s="1"/>
  <c r="GD111" i="15"/>
  <c r="AK111" i="5"/>
  <c r="GG111" i="15"/>
  <c r="GB111" i="15"/>
  <c r="AL111" i="5" s="1"/>
  <c r="GE111" i="15"/>
  <c r="AO111" i="5" s="1"/>
  <c r="GF110" i="15"/>
  <c r="AP110" i="5" s="1"/>
  <c r="GC110" i="15"/>
  <c r="AM110" i="5" s="1"/>
  <c r="AT109" i="5"/>
  <c r="GD109" i="15"/>
  <c r="GN109" i="15"/>
  <c r="GG109" i="15"/>
  <c r="AQ109" i="5" s="1"/>
  <c r="GB109" i="15"/>
  <c r="GE109" i="15"/>
  <c r="AO109" i="5" s="1"/>
  <c r="GF108" i="15"/>
  <c r="AP108" i="5" s="1"/>
  <c r="GC108" i="15"/>
  <c r="GD107" i="15"/>
  <c r="AK107" i="5"/>
  <c r="GG107" i="15"/>
  <c r="GB107" i="15"/>
  <c r="GE107" i="15"/>
  <c r="AO107" i="5" s="1"/>
  <c r="GM106" i="15"/>
  <c r="GF106" i="15"/>
  <c r="GC106" i="15"/>
  <c r="AM106" i="5" s="1"/>
  <c r="AT105" i="5"/>
  <c r="GD105" i="15"/>
  <c r="AK105" i="5"/>
  <c r="GG105" i="15"/>
  <c r="AQ105" i="5" s="1"/>
  <c r="GB105" i="15"/>
  <c r="GE105" i="15"/>
  <c r="GF104" i="15"/>
  <c r="AP104" i="5" s="1"/>
  <c r="GC104" i="15"/>
  <c r="AM104" i="5" s="1"/>
  <c r="GD103" i="15"/>
  <c r="GG103" i="15"/>
  <c r="AQ103" i="5" s="1"/>
  <c r="GB103" i="15"/>
  <c r="AL103" i="5" s="1"/>
  <c r="AI103" i="5"/>
  <c r="GE103" i="15"/>
  <c r="AO103" i="5" s="1"/>
  <c r="GF102" i="15"/>
  <c r="AP102" i="5" s="1"/>
  <c r="GC102" i="15"/>
  <c r="AM102" i="5" s="1"/>
  <c r="GD101" i="15"/>
  <c r="AN101" i="5" s="1"/>
  <c r="GG101" i="15"/>
  <c r="AQ101" i="5" s="1"/>
  <c r="GB101" i="15"/>
  <c r="GE101" i="15"/>
  <c r="AO101" i="5" s="1"/>
  <c r="GM100" i="15"/>
  <c r="GF100" i="15"/>
  <c r="AP100" i="5" s="1"/>
  <c r="GC100" i="15"/>
  <c r="AM100" i="5" s="1"/>
  <c r="GD99" i="15"/>
  <c r="GG99" i="15"/>
  <c r="GB99" i="15"/>
  <c r="GE99" i="15"/>
  <c r="AO99" i="5" s="1"/>
  <c r="GF98" i="15"/>
  <c r="AP98" i="5" s="1"/>
  <c r="GC98" i="15"/>
  <c r="AM98" i="5" s="1"/>
  <c r="GD97" i="15"/>
  <c r="AK97" i="5"/>
  <c r="GG97" i="15"/>
  <c r="AQ97" i="5" s="1"/>
  <c r="GB97" i="15"/>
  <c r="AL97" i="5" s="1"/>
  <c r="GE97" i="15"/>
  <c r="AO97" i="5" s="1"/>
  <c r="GF96" i="15"/>
  <c r="AP96" i="5" s="1"/>
  <c r="GC96" i="15"/>
  <c r="AM96" i="5" s="1"/>
  <c r="GD95" i="15"/>
  <c r="AN95" i="5" s="1"/>
  <c r="AK95" i="5"/>
  <c r="GG95" i="15"/>
  <c r="AQ95" i="5" s="1"/>
  <c r="GB95" i="15"/>
  <c r="AL95" i="5" s="1"/>
  <c r="GE95" i="15"/>
  <c r="AO95" i="5" s="1"/>
  <c r="GF94" i="15"/>
  <c r="AP94" i="5" s="1"/>
  <c r="GC94" i="15"/>
  <c r="AM94" i="5" s="1"/>
  <c r="AT93" i="5"/>
  <c r="GD93" i="15"/>
  <c r="GG93" i="15"/>
  <c r="AQ93" i="5" s="1"/>
  <c r="GB93" i="15"/>
  <c r="GE93" i="15"/>
  <c r="AO93" i="5" s="1"/>
  <c r="GF92" i="15"/>
  <c r="AP92" i="5" s="1"/>
  <c r="GC92" i="15"/>
  <c r="GD91" i="15"/>
  <c r="GG91" i="15"/>
  <c r="GB91" i="15"/>
  <c r="GE91" i="15"/>
  <c r="AO91" i="5" s="1"/>
  <c r="GF90" i="15"/>
  <c r="AP90" i="5" s="1"/>
  <c r="GC90" i="15"/>
  <c r="GD89" i="15"/>
  <c r="GG89" i="15"/>
  <c r="AQ89" i="5" s="1"/>
  <c r="GB89" i="15"/>
  <c r="GE89" i="15"/>
  <c r="AO89" i="5" s="1"/>
  <c r="GF88" i="15"/>
  <c r="AP88" i="5" s="1"/>
  <c r="GC88" i="15"/>
  <c r="AM88" i="5" s="1"/>
  <c r="GD87" i="15"/>
  <c r="AN87" i="5" s="1"/>
  <c r="AK87" i="5"/>
  <c r="GG87" i="15"/>
  <c r="AQ87" i="5" s="1"/>
  <c r="GB87" i="15"/>
  <c r="AI87" i="5"/>
  <c r="GE87" i="15"/>
  <c r="AO87" i="5" s="1"/>
  <c r="GM86" i="15"/>
  <c r="GF86" i="15"/>
  <c r="GC86" i="15"/>
  <c r="AM86" i="5" s="1"/>
  <c r="GD85" i="15"/>
  <c r="AN85" i="5" s="1"/>
  <c r="GG85" i="15"/>
  <c r="AQ85" i="5" s="1"/>
  <c r="GB85" i="15"/>
  <c r="AL85" i="5" s="1"/>
  <c r="GL85" i="15"/>
  <c r="GE85" i="15"/>
  <c r="AO85" i="5" s="1"/>
  <c r="GF84" i="15"/>
  <c r="AP84" i="5" s="1"/>
  <c r="GC84" i="15"/>
  <c r="AM84" i="5" s="1"/>
  <c r="GD83" i="15"/>
  <c r="GG83" i="15"/>
  <c r="AQ83" i="5" s="1"/>
  <c r="GB83" i="15"/>
  <c r="GE83" i="15"/>
  <c r="GF82" i="15"/>
  <c r="AP82" i="5" s="1"/>
  <c r="GC82" i="15"/>
  <c r="AM82" i="5" s="1"/>
  <c r="GD81" i="15"/>
  <c r="GG81" i="15"/>
  <c r="AQ81" i="5" s="1"/>
  <c r="GB81" i="15"/>
  <c r="AI81" i="5"/>
  <c r="GE81" i="15"/>
  <c r="AO81" i="5" s="1"/>
  <c r="AJ80" i="5"/>
  <c r="GF80" i="15"/>
  <c r="AP80" i="5" s="1"/>
  <c r="GC80" i="15"/>
  <c r="AM80" i="5" s="1"/>
  <c r="GD79" i="15"/>
  <c r="GG79" i="15"/>
  <c r="AQ79" i="5" s="1"/>
  <c r="GB79" i="15"/>
  <c r="AL79" i="5" s="1"/>
  <c r="GE79" i="15"/>
  <c r="GF78" i="15"/>
  <c r="AP78" i="5" s="1"/>
  <c r="GC78" i="15"/>
  <c r="AM78" i="5" s="1"/>
  <c r="GD77" i="15"/>
  <c r="GG77" i="15"/>
  <c r="AQ77" i="5" s="1"/>
  <c r="GB77" i="15"/>
  <c r="GE77" i="15"/>
  <c r="AO77" i="5" s="1"/>
  <c r="GF76" i="15"/>
  <c r="AP76" i="5" s="1"/>
  <c r="GC76" i="15"/>
  <c r="AM76" i="5" s="1"/>
  <c r="GD75" i="15"/>
  <c r="GG75" i="15"/>
  <c r="AQ75" i="5" s="1"/>
  <c r="GB75" i="15"/>
  <c r="GE75" i="15"/>
  <c r="GF74" i="15"/>
  <c r="AP74" i="5" s="1"/>
  <c r="GC74" i="15"/>
  <c r="AT73" i="5"/>
  <c r="GD73" i="15"/>
  <c r="GG73" i="15"/>
  <c r="AQ73" i="5" s="1"/>
  <c r="GB73" i="15"/>
  <c r="GE73" i="15"/>
  <c r="GF72" i="15"/>
  <c r="AP72" i="5" s="1"/>
  <c r="GC72" i="15"/>
  <c r="AM72" i="5" s="1"/>
  <c r="GD71" i="15"/>
  <c r="GN71" i="15"/>
  <c r="GG71" i="15"/>
  <c r="AQ71" i="5" s="1"/>
  <c r="GB71" i="15"/>
  <c r="AL71" i="5" s="1"/>
  <c r="GL71" i="15"/>
  <c r="GE71" i="15"/>
  <c r="AO71" i="5" s="1"/>
  <c r="GM70" i="15"/>
  <c r="GF70" i="15"/>
  <c r="AP70" i="5" s="1"/>
  <c r="GC70" i="15"/>
  <c r="AM70" i="5" s="1"/>
  <c r="GD69" i="15"/>
  <c r="GG69" i="15"/>
  <c r="AQ69" i="5" s="1"/>
  <c r="GB69" i="15"/>
  <c r="AL69" i="5" s="1"/>
  <c r="GE69" i="15"/>
  <c r="GF68" i="15"/>
  <c r="AP68" i="5" s="1"/>
  <c r="GC68" i="15"/>
  <c r="AM68" i="5" s="1"/>
  <c r="GD67" i="15"/>
  <c r="AN67" i="5" s="1"/>
  <c r="AK67" i="5"/>
  <c r="GG67" i="15"/>
  <c r="GB67" i="15"/>
  <c r="AL67" i="5" s="1"/>
  <c r="GE67" i="15"/>
  <c r="AO67" i="5" s="1"/>
  <c r="GF66" i="15"/>
  <c r="AP66" i="5" s="1"/>
  <c r="GC66" i="15"/>
  <c r="AM66" i="5" s="1"/>
  <c r="AT65" i="5"/>
  <c r="GD65" i="15"/>
  <c r="GN65" i="15"/>
  <c r="GG65" i="15"/>
  <c r="AQ65" i="5" s="1"/>
  <c r="GB65" i="15"/>
  <c r="AL65" i="5" s="1"/>
  <c r="GE65" i="15"/>
  <c r="AO65" i="5" s="1"/>
  <c r="GF64" i="15"/>
  <c r="AP64" i="5" s="1"/>
  <c r="GC64" i="15"/>
  <c r="GD63" i="15"/>
  <c r="AN63" i="5" s="1"/>
  <c r="GN63" i="15"/>
  <c r="GG63" i="15"/>
  <c r="AQ63" i="5" s="1"/>
  <c r="GB63" i="15"/>
  <c r="AI63" i="5"/>
  <c r="GE63" i="15"/>
  <c r="AO63" i="5" s="1"/>
  <c r="AJ62" i="5"/>
  <c r="GF62" i="15"/>
  <c r="AP62" i="5" s="1"/>
  <c r="GC62" i="15"/>
  <c r="AT61" i="5"/>
  <c r="GD61" i="15"/>
  <c r="AN61" i="5" s="1"/>
  <c r="GG61" i="15"/>
  <c r="AQ61" i="5" s="1"/>
  <c r="GB61" i="15"/>
  <c r="GE61" i="15"/>
  <c r="AO61" i="5" s="1"/>
  <c r="GF60" i="15"/>
  <c r="AP60" i="5" s="1"/>
  <c r="GC60" i="15"/>
  <c r="GD59" i="15"/>
  <c r="GG59" i="15"/>
  <c r="AQ59" i="5" s="1"/>
  <c r="GB59" i="15"/>
  <c r="GE59" i="15"/>
  <c r="AO59" i="5" s="1"/>
  <c r="AJ58" i="5"/>
  <c r="GF58" i="15"/>
  <c r="AP58" i="5" s="1"/>
  <c r="GC58" i="15"/>
  <c r="AT57" i="5"/>
  <c r="GD57" i="15"/>
  <c r="GG57" i="15"/>
  <c r="AQ57" i="5" s="1"/>
  <c r="GB57" i="15"/>
  <c r="GE57" i="15"/>
  <c r="AO57" i="5" s="1"/>
  <c r="GF56" i="15"/>
  <c r="AP56" i="5" s="1"/>
  <c r="GC56" i="15"/>
  <c r="GD55" i="15"/>
  <c r="GN55" i="15"/>
  <c r="GG55" i="15"/>
  <c r="AQ55" i="5" s="1"/>
  <c r="GB55" i="15"/>
  <c r="AL55" i="5" s="1"/>
  <c r="AI55" i="5"/>
  <c r="GE55" i="15"/>
  <c r="AO55" i="5" s="1"/>
  <c r="GF54" i="15"/>
  <c r="AP54" i="5" s="1"/>
  <c r="GC54" i="15"/>
  <c r="GD53" i="15"/>
  <c r="GG53" i="15"/>
  <c r="AQ53" i="5" s="1"/>
  <c r="GB53" i="15"/>
  <c r="AL53" i="5" s="1"/>
  <c r="GE53" i="15"/>
  <c r="AO53" i="5" s="1"/>
  <c r="AJ52" i="5"/>
  <c r="GF52" i="15"/>
  <c r="AP52" i="5" s="1"/>
  <c r="GC52" i="15"/>
  <c r="AM52" i="5" s="1"/>
  <c r="GD51" i="15"/>
  <c r="AK51" i="5"/>
  <c r="GG51" i="15"/>
  <c r="GB51" i="15"/>
  <c r="AI51" i="5"/>
  <c r="GE51" i="15"/>
  <c r="AO51" i="5" s="1"/>
  <c r="GF50" i="15"/>
  <c r="AP50" i="5" s="1"/>
  <c r="GC50" i="15"/>
  <c r="GG49" i="15"/>
  <c r="AQ49" i="5" s="1"/>
  <c r="GE49" i="15"/>
  <c r="AO49" i="5" s="1"/>
  <c r="GF48" i="15"/>
  <c r="AP48" i="5" s="1"/>
  <c r="GC48" i="15"/>
  <c r="GD47" i="15"/>
  <c r="AN47" i="5" s="1"/>
  <c r="GG47" i="15"/>
  <c r="AQ47" i="5" s="1"/>
  <c r="GB47" i="15"/>
  <c r="GL47" i="15"/>
  <c r="GE47" i="15"/>
  <c r="AO47" i="5" s="1"/>
  <c r="AJ46" i="5"/>
  <c r="GF46" i="15"/>
  <c r="AP46" i="5" s="1"/>
  <c r="GC46" i="15"/>
  <c r="GD45" i="15"/>
  <c r="GG45" i="15"/>
  <c r="AQ45" i="5" s="1"/>
  <c r="GB45" i="15"/>
  <c r="AL45" i="5" s="1"/>
  <c r="GE45" i="15"/>
  <c r="AO45" i="5" s="1"/>
  <c r="GF44" i="15"/>
  <c r="AP44" i="5" s="1"/>
  <c r="GC44" i="15"/>
  <c r="AM44" i="5" s="1"/>
  <c r="GG43" i="15"/>
  <c r="AQ43" i="5" s="1"/>
  <c r="GE43" i="15"/>
  <c r="AO43" i="5" s="1"/>
  <c r="GF42" i="15"/>
  <c r="AP42" i="5" s="1"/>
  <c r="GC42" i="15"/>
  <c r="AM42" i="5" s="1"/>
  <c r="GG41" i="15"/>
  <c r="AQ41" i="5" s="1"/>
  <c r="GE41" i="15"/>
  <c r="AO41" i="5" s="1"/>
  <c r="GF40" i="15"/>
  <c r="AP40" i="5" s="1"/>
  <c r="GC40" i="15"/>
  <c r="AM40" i="5" s="1"/>
  <c r="AK39" i="5"/>
  <c r="GG39" i="15"/>
  <c r="AQ39" i="5" s="1"/>
  <c r="GL39" i="15"/>
  <c r="GE39" i="15"/>
  <c r="AO39" i="5" s="1"/>
  <c r="GM38" i="15"/>
  <c r="GF38" i="15"/>
  <c r="AP38" i="5" s="1"/>
  <c r="GC38" i="15"/>
  <c r="AM38" i="5" s="1"/>
  <c r="AT37" i="5"/>
  <c r="GG37" i="15"/>
  <c r="AQ37" i="5" s="1"/>
  <c r="GL37" i="15"/>
  <c r="GE37" i="15"/>
  <c r="AO37" i="5" s="1"/>
  <c r="AJ36" i="5"/>
  <c r="GF36" i="15"/>
  <c r="GC36" i="15"/>
  <c r="AM36" i="5" s="1"/>
  <c r="GD35" i="15"/>
  <c r="AK35" i="5"/>
  <c r="GG35" i="15"/>
  <c r="AQ35" i="5" s="1"/>
  <c r="GB35" i="15"/>
  <c r="AL35" i="5" s="1"/>
  <c r="GE35" i="15"/>
  <c r="AO35" i="5" s="1"/>
  <c r="GF34" i="15"/>
  <c r="AP34" i="5" s="1"/>
  <c r="AT33" i="5"/>
  <c r="AK33" i="5"/>
  <c r="GG33" i="15"/>
  <c r="AQ33" i="5" s="1"/>
  <c r="GE33" i="15"/>
  <c r="AO33" i="5" s="1"/>
  <c r="AS32" i="5"/>
  <c r="GF32" i="15"/>
  <c r="AP32" i="5" s="1"/>
  <c r="GC32" i="15"/>
  <c r="AM32" i="5" s="1"/>
  <c r="GD31" i="15"/>
  <c r="AN31" i="5" s="1"/>
  <c r="GG31" i="15"/>
  <c r="GB31" i="15"/>
  <c r="GE31" i="15"/>
  <c r="AO31" i="5" s="1"/>
  <c r="GF30" i="15"/>
  <c r="AP30" i="5" s="1"/>
  <c r="GC30" i="15"/>
  <c r="AM30" i="5" s="1"/>
  <c r="GG29" i="15"/>
  <c r="AQ29" i="5" s="1"/>
  <c r="GE29" i="15"/>
  <c r="AO29" i="5" s="1"/>
  <c r="GF28" i="15"/>
  <c r="GC28" i="15"/>
  <c r="AM28" i="5" s="1"/>
  <c r="GD27" i="15"/>
  <c r="AN27" i="5" s="1"/>
  <c r="GG27" i="15"/>
  <c r="AQ27" i="5" s="1"/>
  <c r="GB27" i="15"/>
  <c r="AL27" i="5" s="1"/>
  <c r="GE27" i="15"/>
  <c r="AO27" i="5" s="1"/>
  <c r="GF26" i="15"/>
  <c r="AP26" i="5" s="1"/>
  <c r="GC26" i="15"/>
  <c r="GD25" i="15"/>
  <c r="AN25" i="5" s="1"/>
  <c r="GG25" i="15"/>
  <c r="AQ25" i="5" s="1"/>
  <c r="GB25" i="15"/>
  <c r="AL25" i="5" s="1"/>
  <c r="AI25" i="5"/>
  <c r="GE25" i="15"/>
  <c r="AO25" i="5" s="1"/>
  <c r="GF24" i="15"/>
  <c r="AP24" i="5" s="1"/>
  <c r="GG23" i="15"/>
  <c r="AQ23" i="5" s="1"/>
  <c r="GE23" i="15"/>
  <c r="AO23" i="5" s="1"/>
  <c r="GH23" i="15"/>
  <c r="AR23" i="5" s="1"/>
  <c r="GH25" i="15"/>
  <c r="AR25" i="5" s="1"/>
  <c r="GH27" i="15"/>
  <c r="AR27" i="5" s="1"/>
  <c r="GH29" i="15"/>
  <c r="AR29" i="5" s="1"/>
  <c r="GH31" i="15"/>
  <c r="AR31" i="5" s="1"/>
  <c r="GH33" i="15"/>
  <c r="AR33" i="5" s="1"/>
  <c r="GH35" i="15"/>
  <c r="GH37" i="15"/>
  <c r="AR37" i="5" s="1"/>
  <c r="GH39" i="15"/>
  <c r="AR39" i="5" s="1"/>
  <c r="GH41" i="15"/>
  <c r="AR41" i="5" s="1"/>
  <c r="GH43" i="15"/>
  <c r="AR43" i="5" s="1"/>
  <c r="GH45" i="15"/>
  <c r="AR45" i="5" s="1"/>
  <c r="GH47" i="15"/>
  <c r="AR47" i="5" s="1"/>
  <c r="GH49" i="15"/>
  <c r="AR49" i="5" s="1"/>
  <c r="GH51" i="15"/>
  <c r="GH53" i="15"/>
  <c r="AR53" i="5" s="1"/>
  <c r="GH55" i="15"/>
  <c r="AR55" i="5" s="1"/>
  <c r="GH57" i="15"/>
  <c r="AR57" i="5" s="1"/>
  <c r="GH59" i="15"/>
  <c r="AR59" i="5" s="1"/>
  <c r="GH61" i="15"/>
  <c r="AR61" i="5" s="1"/>
  <c r="GH63" i="15"/>
  <c r="AR63" i="5" s="1"/>
  <c r="GH65" i="15"/>
  <c r="AR65" i="5" s="1"/>
  <c r="GH67" i="15"/>
  <c r="GH69" i="15"/>
  <c r="AR69" i="5" s="1"/>
  <c r="GH71" i="15"/>
  <c r="AR71" i="5" s="1"/>
  <c r="GH73" i="15"/>
  <c r="AR73" i="5" s="1"/>
  <c r="GH75" i="15"/>
  <c r="AR75" i="5" s="1"/>
  <c r="GH77" i="15"/>
  <c r="AR77" i="5" s="1"/>
  <c r="GH79" i="15"/>
  <c r="AR79" i="5" s="1"/>
  <c r="GH81" i="15"/>
  <c r="AR81" i="5" s="1"/>
  <c r="GH83" i="15"/>
  <c r="GH85" i="15"/>
  <c r="AR85" i="5" s="1"/>
  <c r="GH87" i="15"/>
  <c r="AR87" i="5" s="1"/>
  <c r="GH89" i="15"/>
  <c r="AR89" i="5" s="1"/>
  <c r="GH91" i="15"/>
  <c r="AR91" i="5" s="1"/>
  <c r="GH93" i="15"/>
  <c r="AR93" i="5" s="1"/>
  <c r="GH95" i="15"/>
  <c r="AR95" i="5" s="1"/>
  <c r="GH97" i="15"/>
  <c r="AR97" i="5" s="1"/>
  <c r="GH99" i="15"/>
  <c r="GH101" i="15"/>
  <c r="AR101" i="5" s="1"/>
  <c r="GH103" i="15"/>
  <c r="AR103" i="5" s="1"/>
  <c r="GH105" i="15"/>
  <c r="AR105" i="5" s="1"/>
  <c r="GH107" i="15"/>
  <c r="AR107" i="5" s="1"/>
  <c r="GH109" i="15"/>
  <c r="AR109" i="5" s="1"/>
  <c r="GH111" i="15"/>
  <c r="AR111" i="5" s="1"/>
  <c r="GH113" i="15"/>
  <c r="AR113" i="5" s="1"/>
  <c r="GH115" i="15"/>
  <c r="GH117" i="15"/>
  <c r="AR117" i="5" s="1"/>
  <c r="GH119" i="15"/>
  <c r="AR119" i="5" s="1"/>
  <c r="GH121" i="15"/>
  <c r="AR121" i="5" s="1"/>
  <c r="GH123" i="15"/>
  <c r="AR123" i="5" s="1"/>
  <c r="GH125" i="15"/>
  <c r="AR125" i="5" s="1"/>
  <c r="GH127" i="15"/>
  <c r="AR127" i="5" s="1"/>
  <c r="GH129" i="15"/>
  <c r="AR129" i="5" s="1"/>
  <c r="GH131" i="15"/>
  <c r="GH133" i="15"/>
  <c r="AR133" i="5" s="1"/>
  <c r="GH135" i="15"/>
  <c r="AR135" i="5" s="1"/>
  <c r="GH137" i="15"/>
  <c r="AR137" i="5" s="1"/>
  <c r="GH139" i="15"/>
  <c r="AR139" i="5" s="1"/>
  <c r="GH141" i="15"/>
  <c r="AR141" i="5" s="1"/>
  <c r="GH143" i="15"/>
  <c r="AR143" i="5" s="1"/>
  <c r="GH145" i="15"/>
  <c r="AR145" i="5" s="1"/>
  <c r="GH147" i="15"/>
  <c r="GH149" i="15"/>
  <c r="AR149" i="5" s="1"/>
  <c r="GH151" i="15"/>
  <c r="AR151" i="5" s="1"/>
  <c r="GH153" i="15"/>
  <c r="AR153" i="5" s="1"/>
  <c r="GH155" i="15"/>
  <c r="AR155" i="5" s="1"/>
  <c r="GH157" i="15"/>
  <c r="AR157" i="5" s="1"/>
  <c r="GH159" i="15"/>
  <c r="AR159" i="5" s="1"/>
  <c r="GH161" i="15"/>
  <c r="AR161" i="5" s="1"/>
  <c r="GH163" i="15"/>
  <c r="GH165" i="15"/>
  <c r="AR165" i="5" s="1"/>
  <c r="GH167" i="15"/>
  <c r="GH169" i="15"/>
  <c r="GH171" i="15"/>
  <c r="GH173" i="15"/>
  <c r="AR173" i="5" s="1"/>
  <c r="GH175" i="15"/>
  <c r="GH177" i="15"/>
  <c r="AR177" i="5" s="1"/>
  <c r="GH179" i="15"/>
  <c r="AR179" i="5" s="1"/>
  <c r="GH181" i="15"/>
  <c r="AR181" i="5" s="1"/>
  <c r="GH183" i="15"/>
  <c r="AR183" i="5" s="1"/>
  <c r="GH185" i="15"/>
  <c r="AR185" i="5" s="1"/>
  <c r="GH187" i="15"/>
  <c r="AR187" i="5" s="1"/>
  <c r="GH189" i="15"/>
  <c r="AR189" i="5" s="1"/>
  <c r="GH191" i="15"/>
  <c r="GJ24" i="15"/>
  <c r="AT24" i="5" s="1"/>
  <c r="GJ28" i="15"/>
  <c r="AT28" i="5" s="1"/>
  <c r="GJ32" i="15"/>
  <c r="AT32" i="5" s="1"/>
  <c r="GJ36" i="15"/>
  <c r="AT36" i="5" s="1"/>
  <c r="GJ40" i="15"/>
  <c r="AT40" i="5" s="1"/>
  <c r="GJ44" i="15"/>
  <c r="AT44" i="5" s="1"/>
  <c r="GJ48" i="15"/>
  <c r="AT48" i="5" s="1"/>
  <c r="GJ52" i="15"/>
  <c r="AT52" i="5" s="1"/>
  <c r="GJ56" i="15"/>
  <c r="AT56" i="5" s="1"/>
  <c r="GJ60" i="15"/>
  <c r="AT60" i="5" s="1"/>
  <c r="GJ64" i="15"/>
  <c r="AT64" i="5" s="1"/>
  <c r="GJ68" i="15"/>
  <c r="AT68" i="5" s="1"/>
  <c r="GJ72" i="15"/>
  <c r="AT72" i="5" s="1"/>
  <c r="GJ76" i="15"/>
  <c r="AT76" i="5" s="1"/>
  <c r="GJ80" i="15"/>
  <c r="AT80" i="5" s="1"/>
  <c r="GJ84" i="15"/>
  <c r="AT84" i="5" s="1"/>
  <c r="GJ88" i="15"/>
  <c r="AT88" i="5" s="1"/>
  <c r="GJ92" i="15"/>
  <c r="AT92" i="5" s="1"/>
  <c r="GJ96" i="15"/>
  <c r="AT96" i="5" s="1"/>
  <c r="GJ100" i="15"/>
  <c r="AT100" i="5" s="1"/>
  <c r="GJ104" i="15"/>
  <c r="AT104" i="5" s="1"/>
  <c r="GJ108" i="15"/>
  <c r="AT108" i="5" s="1"/>
  <c r="GJ112" i="15"/>
  <c r="AT112" i="5" s="1"/>
  <c r="GJ116" i="15"/>
  <c r="AT116" i="5" s="1"/>
  <c r="GJ120" i="15"/>
  <c r="AT120" i="5" s="1"/>
  <c r="GJ124" i="15"/>
  <c r="AT124" i="5" s="1"/>
  <c r="GJ128" i="15"/>
  <c r="AT128" i="5" s="1"/>
  <c r="GJ132" i="15"/>
  <c r="AT132" i="5" s="1"/>
  <c r="GJ136" i="15"/>
  <c r="AT136" i="5" s="1"/>
  <c r="GJ140" i="15"/>
  <c r="AT140" i="5" s="1"/>
  <c r="GJ144" i="15"/>
  <c r="AT144" i="5" s="1"/>
  <c r="GJ148" i="15"/>
  <c r="AT148" i="5" s="1"/>
  <c r="GJ152" i="15"/>
  <c r="AT152" i="5" s="1"/>
  <c r="GJ156" i="15"/>
  <c r="AT156" i="5" s="1"/>
  <c r="GJ160" i="15"/>
  <c r="AT160" i="5" s="1"/>
  <c r="GJ164" i="15"/>
  <c r="AT164" i="5" s="1"/>
  <c r="GJ168" i="15"/>
  <c r="AT168" i="5" s="1"/>
  <c r="GJ172" i="15"/>
  <c r="AT172" i="5" s="1"/>
  <c r="GJ176" i="15"/>
  <c r="AT176" i="5" s="1"/>
  <c r="GJ180" i="15"/>
  <c r="AT180" i="5" s="1"/>
  <c r="GJ184" i="15"/>
  <c r="AT184" i="5" s="1"/>
  <c r="GJ188" i="15"/>
  <c r="AT188" i="5" s="1"/>
  <c r="GJ192" i="15"/>
  <c r="AT192" i="5" s="1"/>
  <c r="GI25" i="15"/>
  <c r="AS25" i="5" s="1"/>
  <c r="GI29" i="15"/>
  <c r="AS29" i="5" s="1"/>
  <c r="GI33" i="15"/>
  <c r="AS33" i="5" s="1"/>
  <c r="GI37" i="15"/>
  <c r="AS37" i="5" s="1"/>
  <c r="GI41" i="15"/>
  <c r="AS41" i="5" s="1"/>
  <c r="GI45" i="15"/>
  <c r="AS45" i="5" s="1"/>
  <c r="GI49" i="15"/>
  <c r="AS49" i="5" s="1"/>
  <c r="GI53" i="15"/>
  <c r="AS53" i="5" s="1"/>
  <c r="GI57" i="15"/>
  <c r="AS57" i="5" s="1"/>
  <c r="GI61" i="15"/>
  <c r="AS61" i="5" s="1"/>
  <c r="GI65" i="15"/>
  <c r="AS65" i="5" s="1"/>
  <c r="GI69" i="15"/>
  <c r="AS69" i="5" s="1"/>
  <c r="GI73" i="15"/>
  <c r="AS73" i="5" s="1"/>
  <c r="GI77" i="15"/>
  <c r="AS77" i="5" s="1"/>
  <c r="GI81" i="15"/>
  <c r="AS81" i="5" s="1"/>
  <c r="GI85" i="15"/>
  <c r="AS85" i="5" s="1"/>
  <c r="GI89" i="15"/>
  <c r="AS89" i="5" s="1"/>
  <c r="GI93" i="15"/>
  <c r="AS93" i="5" s="1"/>
  <c r="GI97" i="15"/>
  <c r="AS97" i="5" s="1"/>
  <c r="GI101" i="15"/>
  <c r="AS101" i="5" s="1"/>
  <c r="GI105" i="15"/>
  <c r="AS105" i="5" s="1"/>
  <c r="GI109" i="15"/>
  <c r="AS109" i="5" s="1"/>
  <c r="GI113" i="15"/>
  <c r="AS113" i="5" s="1"/>
  <c r="GI117" i="15"/>
  <c r="AS117" i="5" s="1"/>
  <c r="GI121" i="15"/>
  <c r="AS121" i="5" s="1"/>
  <c r="GI125" i="15"/>
  <c r="AS125" i="5" s="1"/>
  <c r="GI129" i="15"/>
  <c r="AS129" i="5" s="1"/>
  <c r="GI133" i="15"/>
  <c r="AS133" i="5" s="1"/>
  <c r="GI137" i="15"/>
  <c r="AS137" i="5" s="1"/>
  <c r="GI141" i="15"/>
  <c r="AS141" i="5" s="1"/>
  <c r="GI145" i="15"/>
  <c r="AS145" i="5" s="1"/>
  <c r="GI149" i="15"/>
  <c r="AS149" i="5" s="1"/>
  <c r="GI153" i="15"/>
  <c r="AS153" i="5" s="1"/>
  <c r="GI157" i="15"/>
  <c r="AS157" i="5" s="1"/>
  <c r="GI161" i="15"/>
  <c r="AS161" i="5" s="1"/>
  <c r="GI165" i="15"/>
  <c r="AS165" i="5" s="1"/>
  <c r="GI169" i="15"/>
  <c r="AS169" i="5" s="1"/>
  <c r="GI173" i="15"/>
  <c r="AS173" i="5" s="1"/>
  <c r="GI177" i="15"/>
  <c r="AS177" i="5" s="1"/>
  <c r="GI181" i="15"/>
  <c r="AS181" i="5" s="1"/>
  <c r="GI185" i="15"/>
  <c r="AS185" i="5" s="1"/>
  <c r="GI189" i="15"/>
  <c r="AS189" i="5" s="1"/>
  <c r="GI193" i="15"/>
  <c r="AS193" i="5" s="1"/>
  <c r="GJ23" i="15"/>
  <c r="AT23" i="5" s="1"/>
  <c r="GJ27" i="15"/>
  <c r="AT27" i="5" s="1"/>
  <c r="GJ31" i="15"/>
  <c r="AT31" i="5" s="1"/>
  <c r="GJ35" i="15"/>
  <c r="AT35" i="5" s="1"/>
  <c r="GJ39" i="15"/>
  <c r="AT39" i="5" s="1"/>
  <c r="GJ43" i="15"/>
  <c r="AT43" i="5" s="1"/>
  <c r="GJ47" i="15"/>
  <c r="GJ51" i="15"/>
  <c r="AT51" i="5" s="1"/>
  <c r="GJ55" i="15"/>
  <c r="AT55" i="5" s="1"/>
  <c r="GJ59" i="15"/>
  <c r="AT59" i="5" s="1"/>
  <c r="GJ63" i="15"/>
  <c r="AT63" i="5" s="1"/>
  <c r="GJ67" i="15"/>
  <c r="AT67" i="5" s="1"/>
  <c r="GJ71" i="15"/>
  <c r="AT71" i="5" s="1"/>
  <c r="GJ75" i="15"/>
  <c r="AT75" i="5" s="1"/>
  <c r="GJ79" i="15"/>
  <c r="AT79" i="5" s="1"/>
  <c r="GJ83" i="15"/>
  <c r="AT83" i="5" s="1"/>
  <c r="GJ87" i="15"/>
  <c r="AT87" i="5" s="1"/>
  <c r="GJ91" i="15"/>
  <c r="AT91" i="5" s="1"/>
  <c r="GJ95" i="15"/>
  <c r="AT95" i="5" s="1"/>
  <c r="GJ99" i="15"/>
  <c r="AT99" i="5" s="1"/>
  <c r="GJ103" i="15"/>
  <c r="AT103" i="5" s="1"/>
  <c r="GJ107" i="15"/>
  <c r="AT107" i="5" s="1"/>
  <c r="GJ111" i="15"/>
  <c r="AT111" i="5" s="1"/>
  <c r="GJ115" i="15"/>
  <c r="GJ119" i="15"/>
  <c r="AT119" i="5" s="1"/>
  <c r="GJ123" i="15"/>
  <c r="AT123" i="5" s="1"/>
  <c r="GJ127" i="15"/>
  <c r="AT127" i="5" s="1"/>
  <c r="GJ131" i="15"/>
  <c r="AT131" i="5" s="1"/>
  <c r="GJ135" i="15"/>
  <c r="AT135" i="5" s="1"/>
  <c r="GJ139" i="15"/>
  <c r="GJ143" i="15"/>
  <c r="AT143" i="5" s="1"/>
  <c r="GJ147" i="15"/>
  <c r="AT147" i="5" s="1"/>
  <c r="GJ151" i="15"/>
  <c r="AT151" i="5" s="1"/>
  <c r="GJ155" i="15"/>
  <c r="AT155" i="5" s="1"/>
  <c r="GJ159" i="15"/>
  <c r="AT159" i="5" s="1"/>
  <c r="GJ163" i="15"/>
  <c r="AT163" i="5" s="1"/>
  <c r="GJ167" i="15"/>
  <c r="AT167" i="5" s="1"/>
  <c r="GJ171" i="15"/>
  <c r="AT171" i="5" s="1"/>
  <c r="GJ175" i="15"/>
  <c r="AT175" i="5" s="1"/>
  <c r="GJ179" i="15"/>
  <c r="AT179" i="5" s="1"/>
  <c r="GJ183" i="15"/>
  <c r="AT183" i="5" s="1"/>
  <c r="GJ187" i="15"/>
  <c r="AT187" i="5" s="1"/>
  <c r="GJ191" i="15"/>
  <c r="AT191" i="5" s="1"/>
  <c r="GI26" i="15"/>
  <c r="AS26" i="5" s="1"/>
  <c r="GI30" i="15"/>
  <c r="AS30" i="5" s="1"/>
  <c r="GI34" i="15"/>
  <c r="AS34" i="5" s="1"/>
  <c r="GI38" i="15"/>
  <c r="GI42" i="15"/>
  <c r="AS42" i="5" s="1"/>
  <c r="GI46" i="15"/>
  <c r="AS46" i="5" s="1"/>
  <c r="GI50" i="15"/>
  <c r="AS50" i="5" s="1"/>
  <c r="GI54" i="15"/>
  <c r="AS54" i="5" s="1"/>
  <c r="GI58" i="15"/>
  <c r="AS58" i="5" s="1"/>
  <c r="GI62" i="15"/>
  <c r="AS62" i="5" s="1"/>
  <c r="GI66" i="15"/>
  <c r="AS66" i="5" s="1"/>
  <c r="GI70" i="15"/>
  <c r="AS70" i="5" s="1"/>
  <c r="GI74" i="15"/>
  <c r="AS74" i="5" s="1"/>
  <c r="GI78" i="15"/>
  <c r="AS78" i="5" s="1"/>
  <c r="GI82" i="15"/>
  <c r="AS82" i="5" s="1"/>
  <c r="GI86" i="15"/>
  <c r="AS86" i="5" s="1"/>
  <c r="GI90" i="15"/>
  <c r="GI94" i="15"/>
  <c r="AS94" i="5" s="1"/>
  <c r="GI98" i="15"/>
  <c r="AS98" i="5" s="1"/>
  <c r="GI102" i="15"/>
  <c r="AS102" i="5" s="1"/>
  <c r="GI106" i="15"/>
  <c r="AS106" i="5" s="1"/>
  <c r="GI110" i="15"/>
  <c r="AS110" i="5" s="1"/>
  <c r="GI114" i="15"/>
  <c r="AS114" i="5" s="1"/>
  <c r="GI118" i="15"/>
  <c r="AS118" i="5" s="1"/>
  <c r="GI122" i="15"/>
  <c r="GI126" i="15"/>
  <c r="AS126" i="5" s="1"/>
  <c r="GI130" i="15"/>
  <c r="AS130" i="5" s="1"/>
  <c r="GI134" i="15"/>
  <c r="AS134" i="5" s="1"/>
  <c r="GI138" i="15"/>
  <c r="AS138" i="5" s="1"/>
  <c r="GI142" i="15"/>
  <c r="AS142" i="5" s="1"/>
  <c r="GI146" i="15"/>
  <c r="AS146" i="5" s="1"/>
  <c r="GI150" i="15"/>
  <c r="AS150" i="5" s="1"/>
  <c r="GI154" i="15"/>
  <c r="GI158" i="15"/>
  <c r="AS158" i="5" s="1"/>
  <c r="GI162" i="15"/>
  <c r="AS162" i="5" s="1"/>
  <c r="GI166" i="15"/>
  <c r="AS166" i="5" s="1"/>
  <c r="GI170" i="15"/>
  <c r="AS170" i="5" s="1"/>
  <c r="GI174" i="15"/>
  <c r="AS174" i="5" s="1"/>
  <c r="GI178" i="15"/>
  <c r="GI182" i="15"/>
  <c r="AS182" i="5" s="1"/>
  <c r="GI186" i="15"/>
  <c r="GI190" i="15"/>
  <c r="AS190" i="5" s="1"/>
  <c r="GQ201" i="15"/>
  <c r="GN66" i="15"/>
  <c r="D16" i="93"/>
  <c r="I16" i="93" s="1"/>
  <c r="D19" i="93"/>
  <c r="I19" i="93" s="1"/>
  <c r="D41" i="93"/>
  <c r="I41" i="93" s="1"/>
  <c r="D25" i="93"/>
  <c r="I25" i="93" s="1"/>
  <c r="HP340" i="15"/>
  <c r="HV340" i="15" s="1"/>
  <c r="HP320" i="15"/>
  <c r="AK63" i="5"/>
  <c r="GM113" i="15"/>
  <c r="GQ196" i="15"/>
  <c r="GQ140" i="15"/>
  <c r="GQ133" i="15"/>
  <c r="AO113" i="5"/>
  <c r="AO105" i="5"/>
  <c r="AO75" i="5"/>
  <c r="AO73" i="5"/>
  <c r="AI71" i="5"/>
  <c r="AO69" i="5"/>
  <c r="AI67" i="5"/>
  <c r="GL61" i="15"/>
  <c r="AI59" i="5"/>
  <c r="GL49" i="15"/>
  <c r="GL45" i="15"/>
  <c r="GQ131" i="15"/>
  <c r="FY22" i="15"/>
  <c r="AI22" i="5" s="1"/>
  <c r="GL78" i="15"/>
  <c r="GL76" i="15"/>
  <c r="GL74" i="15"/>
  <c r="AI66" i="5"/>
  <c r="GL64" i="15"/>
  <c r="AI62" i="5"/>
  <c r="GL56" i="15"/>
  <c r="GL44" i="15"/>
  <c r="AI40" i="5"/>
  <c r="BC57" i="15"/>
  <c r="D38" i="93"/>
  <c r="I30" i="93"/>
  <c r="J30" i="93"/>
  <c r="HP262" i="15"/>
  <c r="HP326" i="15"/>
  <c r="HS326" i="15" s="1"/>
  <c r="HK326" i="15" s="1"/>
  <c r="HY326" i="15" s="1"/>
  <c r="HP342" i="15"/>
  <c r="HN164" i="15"/>
  <c r="AO164" i="65" s="1"/>
  <c r="AM164" i="65" s="1"/>
  <c r="AR204" i="5"/>
  <c r="AR212" i="5"/>
  <c r="AR236" i="5"/>
  <c r="AR244" i="5"/>
  <c r="AR252" i="5"/>
  <c r="AR268" i="5"/>
  <c r="AR276" i="5"/>
  <c r="AR284" i="5"/>
  <c r="AS203" i="5"/>
  <c r="AS219" i="5"/>
  <c r="AS235" i="5"/>
  <c r="AS251" i="5"/>
  <c r="AS267" i="5"/>
  <c r="AS299" i="5"/>
  <c r="AS323" i="5"/>
  <c r="AS331" i="5"/>
  <c r="AS339" i="5"/>
  <c r="AS347" i="5"/>
  <c r="GN84" i="15"/>
  <c r="AK79" i="5"/>
  <c r="GN79" i="15"/>
  <c r="AK71" i="5"/>
  <c r="GL129" i="15"/>
  <c r="AI129" i="5"/>
  <c r="GL103" i="15"/>
  <c r="AP22" i="5"/>
  <c r="AT349" i="5"/>
  <c r="AP348" i="5"/>
  <c r="AO347" i="5"/>
  <c r="AN345" i="5"/>
  <c r="AT345" i="5"/>
  <c r="AP344" i="5"/>
  <c r="AQ343" i="5"/>
  <c r="AO343" i="5"/>
  <c r="AL343" i="5"/>
  <c r="AN341" i="5"/>
  <c r="AL341" i="5"/>
  <c r="AT339" i="5"/>
  <c r="AL339" i="5"/>
  <c r="AS338" i="5"/>
  <c r="AO337" i="5"/>
  <c r="AT335" i="5"/>
  <c r="AM334" i="5"/>
  <c r="AT333" i="5"/>
  <c r="AP332" i="5"/>
  <c r="AI331" i="5"/>
  <c r="AL331" i="5"/>
  <c r="AR331" i="5"/>
  <c r="AM330" i="5"/>
  <c r="AP330" i="5"/>
  <c r="AT329" i="5"/>
  <c r="AP328" i="5"/>
  <c r="AL327" i="5"/>
  <c r="AN325" i="5"/>
  <c r="AT325" i="5"/>
  <c r="AP324" i="5"/>
  <c r="AQ323" i="5"/>
  <c r="AO323" i="5"/>
  <c r="AN321" i="5"/>
  <c r="AL321" i="5"/>
  <c r="AT319" i="5"/>
  <c r="AR319" i="5"/>
  <c r="AT317" i="5"/>
  <c r="AM316" i="5"/>
  <c r="AP316" i="5"/>
  <c r="AN315" i="5"/>
  <c r="AQ315" i="5"/>
  <c r="AM314" i="5"/>
  <c r="AP312" i="5"/>
  <c r="AI311" i="5"/>
  <c r="AM310" i="5"/>
  <c r="AS310" i="5"/>
  <c r="AT309" i="5"/>
  <c r="AP308" i="5"/>
  <c r="AT307" i="5"/>
  <c r="AO307" i="5"/>
  <c r="AN305" i="5"/>
  <c r="AM304" i="5"/>
  <c r="AN303" i="5"/>
  <c r="AR303" i="5"/>
  <c r="AN301" i="5"/>
  <c r="AT301" i="5"/>
  <c r="AP300" i="5"/>
  <c r="AQ299" i="5"/>
  <c r="AO299" i="5"/>
  <c r="AN297" i="5"/>
  <c r="AL297" i="5"/>
  <c r="AO295" i="5"/>
  <c r="AS294" i="5"/>
  <c r="AN293" i="5"/>
  <c r="AT293" i="5"/>
  <c r="AP292" i="5"/>
  <c r="AQ291" i="5"/>
  <c r="AO291" i="5"/>
  <c r="AP290" i="5"/>
  <c r="AT289" i="5"/>
  <c r="AQ287" i="5"/>
  <c r="AM286" i="5"/>
  <c r="AT285" i="5"/>
  <c r="AP284" i="5"/>
  <c r="AO283" i="5"/>
  <c r="AM282" i="5"/>
  <c r="AS282" i="5"/>
  <c r="AT281" i="5"/>
  <c r="AP280" i="5"/>
  <c r="AT279" i="5"/>
  <c r="AL279" i="5"/>
  <c r="AR279" i="5"/>
  <c r="AN277" i="5"/>
  <c r="AT277" i="5"/>
  <c r="AM276" i="5"/>
  <c r="AP276" i="5"/>
  <c r="AN275" i="5"/>
  <c r="AQ275" i="5"/>
  <c r="AO275" i="5"/>
  <c r="AT273" i="5"/>
  <c r="AL271" i="5"/>
  <c r="AN269" i="5"/>
  <c r="AT269" i="5"/>
  <c r="AP268" i="5"/>
  <c r="AQ267" i="5"/>
  <c r="AI267" i="5"/>
  <c r="AL267" i="5"/>
  <c r="AR267" i="5"/>
  <c r="AN265" i="5"/>
  <c r="AT265" i="5"/>
  <c r="AM264" i="5"/>
  <c r="AP264" i="5"/>
  <c r="AN263" i="5"/>
  <c r="AQ263" i="5"/>
  <c r="AO263" i="5"/>
  <c r="AT261" i="5"/>
  <c r="AL259" i="5"/>
  <c r="AN257" i="5"/>
  <c r="AT257" i="5"/>
  <c r="AP256" i="5"/>
  <c r="AQ255" i="5"/>
  <c r="AI255" i="5"/>
  <c r="AO255" i="5"/>
  <c r="AR255" i="5"/>
  <c r="AM254" i="5"/>
  <c r="AT253" i="5"/>
  <c r="AP252" i="5"/>
  <c r="AL251" i="5"/>
  <c r="AP250" i="5"/>
  <c r="AN249" i="5"/>
  <c r="AP248" i="5"/>
  <c r="AL247" i="5"/>
  <c r="AN245" i="5"/>
  <c r="AT245" i="5"/>
  <c r="AP244" i="5"/>
  <c r="AQ243" i="5"/>
  <c r="AO243" i="5"/>
  <c r="AM242" i="5"/>
  <c r="AP242" i="5"/>
  <c r="AT241" i="5"/>
  <c r="AO239" i="5"/>
  <c r="AM238" i="5"/>
  <c r="AT237" i="5"/>
  <c r="AP236" i="5"/>
  <c r="AL235" i="5"/>
  <c r="AS234" i="5"/>
  <c r="AO233" i="5"/>
  <c r="AT231" i="5"/>
  <c r="AM230" i="5"/>
  <c r="AT229" i="5"/>
  <c r="AP228" i="5"/>
  <c r="AL227" i="5"/>
  <c r="AS226" i="5"/>
  <c r="AT225" i="5"/>
  <c r="AQ223" i="5"/>
  <c r="AM222" i="5"/>
  <c r="AT221" i="5"/>
  <c r="AP220" i="5"/>
  <c r="AL219" i="5"/>
  <c r="AS218" i="5"/>
  <c r="AT217" i="5"/>
  <c r="AQ215" i="5"/>
  <c r="AP214" i="5"/>
  <c r="AN213" i="5"/>
  <c r="AT213" i="5"/>
  <c r="AP212" i="5"/>
  <c r="AQ211" i="5"/>
  <c r="AO211" i="5"/>
  <c r="AM210" i="5"/>
  <c r="AP208" i="5"/>
  <c r="AM206" i="5"/>
  <c r="AT205" i="5"/>
  <c r="AO205" i="5"/>
  <c r="AP204" i="5"/>
  <c r="AL203" i="5"/>
  <c r="AM202" i="5"/>
  <c r="AP202" i="5"/>
  <c r="AT201" i="5"/>
  <c r="AO199" i="5"/>
  <c r="AM198" i="5"/>
  <c r="AT197" i="5"/>
  <c r="AP196" i="5"/>
  <c r="AL195" i="5"/>
  <c r="AT193" i="5"/>
  <c r="AL193" i="5"/>
  <c r="AP192" i="5"/>
  <c r="AR191" i="5"/>
  <c r="AM190" i="5"/>
  <c r="AN189" i="5"/>
  <c r="AT189" i="5"/>
  <c r="AM188" i="5"/>
  <c r="AP188" i="5"/>
  <c r="AL187" i="5"/>
  <c r="AS186" i="5"/>
  <c r="AT185" i="5"/>
  <c r="AM184" i="5"/>
  <c r="AI183" i="5"/>
  <c r="AM182" i="5"/>
  <c r="AT181" i="5"/>
  <c r="AM178" i="5"/>
  <c r="AS178" i="5"/>
  <c r="AT177" i="5"/>
  <c r="AM176" i="5"/>
  <c r="AP176" i="5"/>
  <c r="AI175" i="5"/>
  <c r="AR175" i="5"/>
  <c r="AT173" i="5"/>
  <c r="AM172" i="5"/>
  <c r="AR171" i="5"/>
  <c r="AT169" i="5"/>
  <c r="AM168" i="5"/>
  <c r="AR167" i="5"/>
  <c r="AK119" i="5"/>
  <c r="GN90" i="15"/>
  <c r="AK90" i="5"/>
  <c r="AM48" i="5"/>
  <c r="AI44" i="5"/>
  <c r="AI78" i="5"/>
  <c r="AM63" i="5"/>
  <c r="GL40" i="15"/>
  <c r="AI76" i="5"/>
  <c r="AQ82" i="5"/>
  <c r="AQ242" i="5"/>
  <c r="AQ258" i="5"/>
  <c r="AQ274" i="5"/>
  <c r="AQ322" i="5"/>
  <c r="AQ330" i="5"/>
  <c r="AQ338" i="5"/>
  <c r="AQ346" i="5"/>
  <c r="AR176" i="5"/>
  <c r="AR200" i="5"/>
  <c r="AR208" i="5"/>
  <c r="AR216" i="5"/>
  <c r="AR224" i="5"/>
  <c r="AR232" i="5"/>
  <c r="AR248" i="5"/>
  <c r="AR256" i="5"/>
  <c r="AR264" i="5"/>
  <c r="AR288" i="5"/>
  <c r="AR296" i="5"/>
  <c r="AR312" i="5"/>
  <c r="AR320" i="5"/>
  <c r="AR344" i="5"/>
  <c r="AS175" i="5"/>
  <c r="AS191" i="5"/>
  <c r="AS199" i="5"/>
  <c r="AS215" i="5"/>
  <c r="AS231" i="5"/>
  <c r="AS247" i="5"/>
  <c r="AS263" i="5"/>
  <c r="AS327" i="5"/>
  <c r="AS335" i="5"/>
  <c r="AS343" i="5"/>
  <c r="H30" i="93"/>
  <c r="GN95" i="15"/>
  <c r="GN87" i="15"/>
  <c r="AQ169" i="5"/>
  <c r="AQ185" i="5"/>
  <c r="AQ225" i="5"/>
  <c r="AQ289" i="5"/>
  <c r="AR169" i="5"/>
  <c r="AR193" i="5"/>
  <c r="AR201" i="5"/>
  <c r="AR209" i="5"/>
  <c r="AR217" i="5"/>
  <c r="AR225" i="5"/>
  <c r="AR233" i="5"/>
  <c r="AR241" i="5"/>
  <c r="AR249" i="5"/>
  <c r="AR265" i="5"/>
  <c r="AR273" i="5"/>
  <c r="AR281" i="5"/>
  <c r="AR289" i="5"/>
  <c r="AR297" i="5"/>
  <c r="AR305" i="5"/>
  <c r="AR313" i="5"/>
  <c r="AR321" i="5"/>
  <c r="AR329" i="5"/>
  <c r="AR337" i="5"/>
  <c r="AR345" i="5"/>
  <c r="AS168" i="5"/>
  <c r="AS176" i="5"/>
  <c r="AS184" i="5"/>
  <c r="AS192" i="5"/>
  <c r="AS208" i="5"/>
  <c r="AS224" i="5"/>
  <c r="AS240" i="5"/>
  <c r="AS256" i="5"/>
  <c r="AS264" i="5"/>
  <c r="AS272" i="5"/>
  <c r="AS288" i="5"/>
  <c r="AS304" i="5"/>
  <c r="AS320" i="5"/>
  <c r="AS328" i="5"/>
  <c r="AS336" i="5"/>
  <c r="AS344" i="5"/>
  <c r="AT165" i="5"/>
  <c r="GL163" i="15"/>
  <c r="AM162" i="5"/>
  <c r="AT161" i="5"/>
  <c r="AM160" i="5"/>
  <c r="AI159" i="5"/>
  <c r="AP158" i="5"/>
  <c r="AT157" i="5"/>
  <c r="AM156" i="5"/>
  <c r="AT153" i="5"/>
  <c r="AM150" i="5"/>
  <c r="AT149" i="5"/>
  <c r="AM148" i="5"/>
  <c r="AL147" i="5"/>
  <c r="AT145" i="5"/>
  <c r="AI143" i="5"/>
  <c r="AM142" i="5"/>
  <c r="AP142" i="5"/>
  <c r="AT141" i="5"/>
  <c r="AT139" i="5"/>
  <c r="AI139" i="5"/>
  <c r="AM138" i="5"/>
  <c r="AT137" i="5"/>
  <c r="AM136" i="5"/>
  <c r="AI135" i="5"/>
  <c r="AM134" i="5"/>
  <c r="AT133" i="5"/>
  <c r="AM132" i="5"/>
  <c r="AI131" i="5"/>
  <c r="AM130" i="5"/>
  <c r="AT129" i="5"/>
  <c r="AO129" i="5"/>
  <c r="AP124" i="5"/>
  <c r="AP120" i="5"/>
  <c r="AP118" i="5"/>
  <c r="AP116" i="5"/>
  <c r="AT115" i="5"/>
  <c r="AM108" i="5"/>
  <c r="AP106" i="5"/>
  <c r="AN103" i="5"/>
  <c r="AT101" i="5"/>
  <c r="AL101" i="5"/>
  <c r="AL99" i="5"/>
  <c r="AT97" i="5"/>
  <c r="AN97" i="5"/>
  <c r="AM92" i="5"/>
  <c r="AT89" i="5"/>
  <c r="AP86" i="5"/>
  <c r="AT85" i="5"/>
  <c r="AO83" i="5"/>
  <c r="AN81" i="5"/>
  <c r="AT81" i="5"/>
  <c r="AO79" i="5"/>
  <c r="AT77" i="5"/>
  <c r="AT69" i="5"/>
  <c r="AN69" i="5"/>
  <c r="GL65" i="15"/>
  <c r="AT53" i="5"/>
  <c r="AT49" i="5"/>
  <c r="AS48" i="5"/>
  <c r="GM48" i="15"/>
  <c r="AT47" i="5"/>
  <c r="AK47" i="5"/>
  <c r="AM46" i="5"/>
  <c r="AT45" i="5"/>
  <c r="AS44" i="5"/>
  <c r="AT41" i="5"/>
  <c r="AS40" i="5"/>
  <c r="AS38" i="5"/>
  <c r="AP36" i="5"/>
  <c r="AS36" i="5"/>
  <c r="AN35" i="5"/>
  <c r="AL31" i="5"/>
  <c r="AS28" i="5"/>
  <c r="AP28" i="5"/>
  <c r="AM26" i="5"/>
  <c r="AS24" i="5"/>
  <c r="J94" i="5"/>
  <c r="AT94" i="73" s="1"/>
  <c r="AN94" i="65"/>
  <c r="AL66" i="5"/>
  <c r="BC50" i="15"/>
  <c r="D31" i="93"/>
  <c r="H31" i="93" s="1"/>
  <c r="HP144" i="15"/>
  <c r="HS144" i="15" s="1"/>
  <c r="HK144" i="15" s="1"/>
  <c r="HY144" i="15" s="1"/>
  <c r="HP244" i="15"/>
  <c r="HS244" i="15" s="1"/>
  <c r="HK244" i="15" s="1"/>
  <c r="HY244" i="15" s="1"/>
  <c r="HP252" i="15"/>
  <c r="HS252" i="15" s="1"/>
  <c r="HK252" i="15" s="1"/>
  <c r="HY252" i="15" s="1"/>
  <c r="HP260" i="15"/>
  <c r="HS260" i="15" s="1"/>
  <c r="HK260" i="15" s="1"/>
  <c r="HY260" i="15" s="1"/>
  <c r="HP268" i="15"/>
  <c r="HS268" i="15" s="1"/>
  <c r="HK268" i="15" s="1"/>
  <c r="HY268" i="15" s="1"/>
  <c r="HP280" i="15"/>
  <c r="HS280" i="15" s="1"/>
  <c r="HK280" i="15" s="1"/>
  <c r="HY280" i="15" s="1"/>
  <c r="HP292" i="15"/>
  <c r="HP308" i="15"/>
  <c r="HP324" i="15"/>
  <c r="AR150" i="5"/>
  <c r="AR162" i="5"/>
  <c r="AR178" i="5"/>
  <c r="AR186" i="5"/>
  <c r="AR218" i="5"/>
  <c r="AR234" i="5"/>
  <c r="AR250" i="5"/>
  <c r="AR266" i="5"/>
  <c r="AR274" i="5"/>
  <c r="AR290" i="5"/>
  <c r="AR306" i="5"/>
  <c r="AR322" i="5"/>
  <c r="AR330" i="5"/>
  <c r="AR338" i="5"/>
  <c r="AR346" i="5"/>
  <c r="AS305" i="5"/>
  <c r="AS321" i="5"/>
  <c r="AS329" i="5"/>
  <c r="AS333" i="5"/>
  <c r="AS337" i="5"/>
  <c r="AS341" i="5"/>
  <c r="AS345" i="5"/>
  <c r="AS349" i="5"/>
  <c r="AV35" i="5"/>
  <c r="AK109" i="5"/>
  <c r="AK125" i="5"/>
  <c r="AK93" i="5"/>
  <c r="AM126" i="5"/>
  <c r="AL87" i="5"/>
  <c r="AQ31" i="5"/>
  <c r="AQ51" i="5"/>
  <c r="AQ67" i="5"/>
  <c r="AQ91" i="5"/>
  <c r="AQ99" i="5"/>
  <c r="AQ107" i="5"/>
  <c r="AQ111" i="5"/>
  <c r="AQ123" i="5"/>
  <c r="AQ147" i="5"/>
  <c r="AQ163" i="5"/>
  <c r="AR35" i="5"/>
  <c r="AR51" i="5"/>
  <c r="AR67" i="5"/>
  <c r="AR83" i="5"/>
  <c r="AR99" i="5"/>
  <c r="AR115" i="5"/>
  <c r="AR131" i="5"/>
  <c r="AR147" i="5"/>
  <c r="AR163" i="5"/>
  <c r="AS52" i="5"/>
  <c r="AS56" i="5"/>
  <c r="AS90" i="5"/>
  <c r="AS122" i="5"/>
  <c r="AS154" i="5"/>
  <c r="AT25" i="5"/>
  <c r="HP80" i="15"/>
  <c r="GN83" i="15"/>
  <c r="AM83" i="5"/>
  <c r="HO317" i="15"/>
  <c r="HO289" i="15"/>
  <c r="HO273" i="15"/>
  <c r="HP230" i="15"/>
  <c r="HP222" i="15"/>
  <c r="HP214" i="15"/>
  <c r="HP206" i="15"/>
  <c r="HP198" i="15"/>
  <c r="HP190" i="15"/>
  <c r="HP309" i="15"/>
  <c r="HS309" i="15" s="1"/>
  <c r="HK309" i="15" s="1"/>
  <c r="HY309" i="15" s="1"/>
  <c r="GL347" i="15"/>
  <c r="AI347" i="5"/>
  <c r="GL343" i="15"/>
  <c r="GL339" i="15"/>
  <c r="AI339" i="5"/>
  <c r="GL335" i="15"/>
  <c r="GL331" i="15"/>
  <c r="GL327" i="15"/>
  <c r="AI327" i="5"/>
  <c r="GL323" i="15"/>
  <c r="GL319" i="15"/>
  <c r="AI319" i="5"/>
  <c r="AI315" i="5"/>
  <c r="GL315" i="15"/>
  <c r="GL311" i="15"/>
  <c r="AI307" i="5"/>
  <c r="GL307" i="15"/>
  <c r="GL303" i="15"/>
  <c r="GL299" i="15"/>
  <c r="AI295" i="5"/>
  <c r="GL291" i="15"/>
  <c r="GL287" i="15"/>
  <c r="HN283" i="15"/>
  <c r="AO283" i="65" s="1"/>
  <c r="AM283" i="65" s="1"/>
  <c r="AI279" i="5"/>
  <c r="GL275" i="15"/>
  <c r="GL267" i="15"/>
  <c r="AI263" i="5"/>
  <c r="GL259" i="15"/>
  <c r="AI251" i="5"/>
  <c r="AI243" i="5"/>
  <c r="GL235" i="15"/>
  <c r="AI231" i="5"/>
  <c r="GL227" i="15"/>
  <c r="AI219" i="5"/>
  <c r="AI211" i="5"/>
  <c r="GL203" i="15"/>
  <c r="AI199" i="5"/>
  <c r="GL195" i="15"/>
  <c r="GL187" i="15"/>
  <c r="AI179" i="5"/>
  <c r="GL175" i="15"/>
  <c r="GL171" i="15"/>
  <c r="AI163" i="5"/>
  <c r="GL155" i="15"/>
  <c r="GL147" i="15"/>
  <c r="GL139" i="15"/>
  <c r="GL131" i="15"/>
  <c r="HP122" i="15"/>
  <c r="AK65" i="5"/>
  <c r="GL80" i="15"/>
  <c r="BD139" i="15"/>
  <c r="AI61" i="5"/>
  <c r="GN35" i="15"/>
  <c r="GM46" i="15"/>
  <c r="GP326" i="15"/>
  <c r="GO326" i="15" s="1"/>
  <c r="GQ326" i="15"/>
  <c r="T349" i="5"/>
  <c r="AX349" i="73" s="1"/>
  <c r="M349" i="5"/>
  <c r="AR349" i="82" s="1"/>
  <c r="BJ347" i="65"/>
  <c r="P347" i="5"/>
  <c r="AW347" i="73" s="1"/>
  <c r="BJ345" i="65"/>
  <c r="V345" i="5"/>
  <c r="AZ345" i="73" s="1"/>
  <c r="N345" i="5"/>
  <c r="AU345" i="73" s="1"/>
  <c r="L345" i="5"/>
  <c r="AR345" i="82" s="1"/>
  <c r="BJ343" i="65"/>
  <c r="V343" i="5"/>
  <c r="AZ343" i="73" s="1"/>
  <c r="L343" i="5"/>
  <c r="AR343" i="82" s="1"/>
  <c r="BJ341" i="65"/>
  <c r="AD341" i="5"/>
  <c r="T341" i="5"/>
  <c r="AX341" i="73" s="1"/>
  <c r="O341" i="5"/>
  <c r="AV341" i="73" s="1"/>
  <c r="M341" i="5"/>
  <c r="AR341" i="91" s="1"/>
  <c r="BJ339" i="65"/>
  <c r="AD339" i="5"/>
  <c r="T339" i="5"/>
  <c r="AX339" i="73" s="1"/>
  <c r="O339" i="5"/>
  <c r="AV339" i="73" s="1"/>
  <c r="M339" i="5"/>
  <c r="AR339" i="91" s="1"/>
  <c r="BJ337" i="65"/>
  <c r="AD337" i="5"/>
  <c r="T337" i="5"/>
  <c r="AX337" i="73" s="1"/>
  <c r="O337" i="5"/>
  <c r="AV337" i="73" s="1"/>
  <c r="M337" i="5"/>
  <c r="AR337" i="91" s="1"/>
  <c r="BJ335" i="65"/>
  <c r="AD335" i="5"/>
  <c r="T335" i="5"/>
  <c r="AX335" i="73" s="1"/>
  <c r="O335" i="5"/>
  <c r="AV335" i="73" s="1"/>
  <c r="M335" i="5"/>
  <c r="BJ333" i="65"/>
  <c r="AD333" i="5"/>
  <c r="T333" i="5"/>
  <c r="AX333" i="73" s="1"/>
  <c r="O333" i="5"/>
  <c r="AV333" i="73" s="1"/>
  <c r="M333" i="5"/>
  <c r="AR333" i="91" s="1"/>
  <c r="BJ331" i="65"/>
  <c r="AD331" i="5"/>
  <c r="T331" i="5"/>
  <c r="AX331" i="73" s="1"/>
  <c r="O331" i="5"/>
  <c r="AV331" i="73" s="1"/>
  <c r="M331" i="5"/>
  <c r="AR331" i="91" s="1"/>
  <c r="BJ329" i="65"/>
  <c r="AD329" i="5"/>
  <c r="T329" i="5"/>
  <c r="AX329" i="73" s="1"/>
  <c r="O329" i="5"/>
  <c r="AV329" i="73" s="1"/>
  <c r="M329" i="5"/>
  <c r="AR329" i="91" s="1"/>
  <c r="BJ327" i="65"/>
  <c r="AD327" i="5"/>
  <c r="T327" i="5"/>
  <c r="AX327" i="73" s="1"/>
  <c r="O327" i="5"/>
  <c r="AV327" i="73" s="1"/>
  <c r="M327" i="5"/>
  <c r="BJ325" i="65"/>
  <c r="AD325" i="5"/>
  <c r="T325" i="5"/>
  <c r="AX325" i="73" s="1"/>
  <c r="O325" i="5"/>
  <c r="AV325" i="73" s="1"/>
  <c r="M325" i="5"/>
  <c r="AR325" i="91" s="1"/>
  <c r="BJ323" i="65"/>
  <c r="AD323" i="5"/>
  <c r="T323" i="5"/>
  <c r="AX323" i="73" s="1"/>
  <c r="O323" i="5"/>
  <c r="AV323" i="73" s="1"/>
  <c r="M323" i="5"/>
  <c r="AR323" i="91" s="1"/>
  <c r="BJ321" i="65"/>
  <c r="AD321" i="5"/>
  <c r="T321" i="5"/>
  <c r="AX321" i="73" s="1"/>
  <c r="O321" i="5"/>
  <c r="AV321" i="73" s="1"/>
  <c r="M321" i="5"/>
  <c r="AR321" i="91" s="1"/>
  <c r="BJ319" i="65"/>
  <c r="AD319" i="5"/>
  <c r="T319" i="5"/>
  <c r="AX319" i="73" s="1"/>
  <c r="O319" i="5"/>
  <c r="AV319" i="73" s="1"/>
  <c r="M319" i="5"/>
  <c r="AR319" i="91" s="1"/>
  <c r="BJ317" i="65"/>
  <c r="AD317" i="5"/>
  <c r="T317" i="5"/>
  <c r="AX317" i="73" s="1"/>
  <c r="O317" i="5"/>
  <c r="AV317" i="73" s="1"/>
  <c r="M317" i="5"/>
  <c r="AR317" i="91" s="1"/>
  <c r="BJ315" i="65"/>
  <c r="AD315" i="5"/>
  <c r="T315" i="5"/>
  <c r="AX315" i="73" s="1"/>
  <c r="O315" i="5"/>
  <c r="AV315" i="73" s="1"/>
  <c r="M315" i="5"/>
  <c r="AR315" i="91" s="1"/>
  <c r="BJ313" i="65"/>
  <c r="AD313" i="5"/>
  <c r="T313" i="5"/>
  <c r="AX313" i="73" s="1"/>
  <c r="O313" i="5"/>
  <c r="AV313" i="73" s="1"/>
  <c r="M313" i="5"/>
  <c r="AR313" i="91" s="1"/>
  <c r="BJ311" i="65"/>
  <c r="AD311" i="5"/>
  <c r="T311" i="5"/>
  <c r="AX311" i="73" s="1"/>
  <c r="O311" i="5"/>
  <c r="AV311" i="73" s="1"/>
  <c r="M311" i="5"/>
  <c r="AR311" i="91" s="1"/>
  <c r="BJ309" i="65"/>
  <c r="AD309" i="5"/>
  <c r="T309" i="5"/>
  <c r="AX309" i="73" s="1"/>
  <c r="O309" i="5"/>
  <c r="AV309" i="73" s="1"/>
  <c r="M309" i="5"/>
  <c r="AR309" i="91" s="1"/>
  <c r="BJ307" i="65"/>
  <c r="AD307" i="5"/>
  <c r="T307" i="5"/>
  <c r="AX307" i="73" s="1"/>
  <c r="O307" i="5"/>
  <c r="AV307" i="73" s="1"/>
  <c r="M307" i="5"/>
  <c r="AR307" i="91" s="1"/>
  <c r="BJ305" i="65"/>
  <c r="AD305" i="5"/>
  <c r="T305" i="5"/>
  <c r="AX305" i="73" s="1"/>
  <c r="O305" i="5"/>
  <c r="AV305" i="73" s="1"/>
  <c r="M305" i="5"/>
  <c r="AR305" i="91" s="1"/>
  <c r="BJ303" i="65"/>
  <c r="AD303" i="5"/>
  <c r="T303" i="5"/>
  <c r="AX303" i="73" s="1"/>
  <c r="O303" i="5"/>
  <c r="AV303" i="73" s="1"/>
  <c r="M303" i="5"/>
  <c r="AR303" i="91" s="1"/>
  <c r="BJ301" i="65"/>
  <c r="AD301" i="5"/>
  <c r="T301" i="5"/>
  <c r="AX301" i="73" s="1"/>
  <c r="O301" i="5"/>
  <c r="AV301" i="73" s="1"/>
  <c r="M301" i="5"/>
  <c r="AR301" i="91" s="1"/>
  <c r="BJ299" i="65"/>
  <c r="AD299" i="5"/>
  <c r="T299" i="5"/>
  <c r="AX299" i="73" s="1"/>
  <c r="O299" i="5"/>
  <c r="AV299" i="73" s="1"/>
  <c r="M299" i="5"/>
  <c r="AR299" i="91" s="1"/>
  <c r="BJ297" i="65"/>
  <c r="AD297" i="5"/>
  <c r="T297" i="5"/>
  <c r="AX297" i="73" s="1"/>
  <c r="O297" i="5"/>
  <c r="AV297" i="73" s="1"/>
  <c r="M297" i="5"/>
  <c r="AR297" i="91" s="1"/>
  <c r="BJ295" i="65"/>
  <c r="AD295" i="5"/>
  <c r="T295" i="5"/>
  <c r="AX295" i="73" s="1"/>
  <c r="O295" i="5"/>
  <c r="AV295" i="73" s="1"/>
  <c r="M295" i="5"/>
  <c r="BJ293" i="65"/>
  <c r="AD293" i="5"/>
  <c r="T293" i="5"/>
  <c r="AX293" i="73" s="1"/>
  <c r="O293" i="5"/>
  <c r="AV293" i="73" s="1"/>
  <c r="M293" i="5"/>
  <c r="AR293" i="91" s="1"/>
  <c r="BJ291" i="65"/>
  <c r="AD291" i="5"/>
  <c r="T291" i="5"/>
  <c r="AX291" i="73" s="1"/>
  <c r="O291" i="5"/>
  <c r="AV291" i="73" s="1"/>
  <c r="M291" i="5"/>
  <c r="BJ289" i="65"/>
  <c r="AD289" i="5"/>
  <c r="T289" i="5"/>
  <c r="AX289" i="73" s="1"/>
  <c r="O289" i="5"/>
  <c r="AV289" i="73" s="1"/>
  <c r="M289" i="5"/>
  <c r="AR289" i="91" s="1"/>
  <c r="BJ287" i="65"/>
  <c r="AD287" i="5"/>
  <c r="T287" i="5"/>
  <c r="AX287" i="73" s="1"/>
  <c r="GQ279" i="15"/>
  <c r="GQ272" i="15"/>
  <c r="GQ269" i="15"/>
  <c r="GQ256" i="15"/>
  <c r="GQ219" i="15"/>
  <c r="GQ218" i="15"/>
  <c r="GQ208" i="15"/>
  <c r="GQ113" i="15"/>
  <c r="GQ110" i="15"/>
  <c r="AL342" i="5"/>
  <c r="AL334" i="5"/>
  <c r="AL326" i="5"/>
  <c r="AL318" i="5"/>
  <c r="AL302" i="5"/>
  <c r="BD203" i="15"/>
  <c r="BD172" i="15"/>
  <c r="BD155" i="15"/>
  <c r="BD154" i="15"/>
  <c r="HN152" i="15"/>
  <c r="HQ152" i="15" s="1"/>
  <c r="HI152" i="15" s="1"/>
  <c r="HW152" i="15" s="1"/>
  <c r="GN118" i="15"/>
  <c r="GN97" i="15"/>
  <c r="GN105" i="15"/>
  <c r="GN107" i="15"/>
  <c r="AN80" i="5"/>
  <c r="BC24" i="15"/>
  <c r="GM83" i="15"/>
  <c r="BG63" i="15"/>
  <c r="BC49" i="15"/>
  <c r="GC49" i="15" s="1"/>
  <c r="HP108" i="15"/>
  <c r="AL83" i="5"/>
  <c r="D37" i="93"/>
  <c r="H37" i="93" s="1"/>
  <c r="D29" i="93"/>
  <c r="I29" i="93" s="1"/>
  <c r="D21" i="93"/>
  <c r="H21" i="93" s="1"/>
  <c r="GN122" i="15"/>
  <c r="GN119" i="15"/>
  <c r="GN86" i="15"/>
  <c r="AK126" i="5"/>
  <c r="GN111" i="15"/>
  <c r="AK102" i="5"/>
  <c r="GN125" i="15"/>
  <c r="GQ314" i="15"/>
  <c r="GQ228" i="15"/>
  <c r="GQ152" i="15"/>
  <c r="GQ150" i="15"/>
  <c r="GQ128" i="15"/>
  <c r="GQ126" i="15"/>
  <c r="GM117" i="15"/>
  <c r="AJ111" i="5"/>
  <c r="D13" i="93"/>
  <c r="I13" i="93" s="1"/>
  <c r="AK117" i="5"/>
  <c r="GN116" i="15"/>
  <c r="AK114" i="5"/>
  <c r="GN113" i="15"/>
  <c r="AK110" i="5"/>
  <c r="GN106" i="15"/>
  <c r="AK98" i="5"/>
  <c r="GN120" i="15"/>
  <c r="GN94" i="15"/>
  <c r="D42" i="93"/>
  <c r="H42" i="93" s="1"/>
  <c r="BG67" i="15"/>
  <c r="I39" i="93"/>
  <c r="AP80" i="65"/>
  <c r="AN80" i="65" s="1"/>
  <c r="D8" i="93"/>
  <c r="I8" i="93" s="1"/>
  <c r="AL42" i="5"/>
  <c r="D17" i="93"/>
  <c r="H17" i="93" s="1"/>
  <c r="HN291" i="15"/>
  <c r="HQ291" i="15" s="1"/>
  <c r="HI291" i="15" s="1"/>
  <c r="HW291" i="15" s="1"/>
  <c r="J55" i="5"/>
  <c r="AT55" i="73" s="1"/>
  <c r="AP85" i="65"/>
  <c r="J85" i="5" s="1"/>
  <c r="AT85" i="73" s="1"/>
  <c r="AP83" i="65"/>
  <c r="AN83" i="65" s="1"/>
  <c r="AP84" i="65"/>
  <c r="AN84" i="65" s="1"/>
  <c r="HN132" i="15"/>
  <c r="IE132" i="15" s="1"/>
  <c r="GM80" i="15"/>
  <c r="AJ87" i="5"/>
  <c r="AJ65" i="5"/>
  <c r="GL81" i="15"/>
  <c r="H4" i="93"/>
  <c r="H39" i="93"/>
  <c r="D11" i="93"/>
  <c r="J11" i="93" s="1"/>
  <c r="AN44" i="5"/>
  <c r="HP300" i="15"/>
  <c r="GQ134" i="15"/>
  <c r="GQ99" i="15"/>
  <c r="AP82" i="65"/>
  <c r="AN82" i="65" s="1"/>
  <c r="HP184" i="15"/>
  <c r="HP168" i="15"/>
  <c r="J63" i="5"/>
  <c r="AT63" i="73" s="1"/>
  <c r="H68" i="5"/>
  <c r="AL68" i="65" s="1"/>
  <c r="GK68" i="15"/>
  <c r="D40" i="93"/>
  <c r="J40" i="93" s="1"/>
  <c r="BC59" i="15"/>
  <c r="AJ45" i="5"/>
  <c r="GK38" i="15"/>
  <c r="H38" i="5"/>
  <c r="AL38" i="65" s="1"/>
  <c r="AI65" i="5"/>
  <c r="GN50" i="15"/>
  <c r="D26" i="93"/>
  <c r="GQ165" i="15"/>
  <c r="GQ136" i="15"/>
  <c r="GQ95" i="15"/>
  <c r="AJ44" i="5"/>
  <c r="GQ106" i="15"/>
  <c r="GN74" i="15"/>
  <c r="D22" i="93"/>
  <c r="H22" i="93" s="1"/>
  <c r="BC41" i="15"/>
  <c r="GC41" i="15" s="1"/>
  <c r="D24" i="93"/>
  <c r="J24" i="93" s="1"/>
  <c r="BC43" i="15"/>
  <c r="GC43" i="15" s="1"/>
  <c r="GL67" i="15"/>
  <c r="AJ79" i="5"/>
  <c r="BC29" i="15"/>
  <c r="GC29" i="15" s="1"/>
  <c r="D10" i="93"/>
  <c r="I10" i="93" s="1"/>
  <c r="BC39" i="15"/>
  <c r="GC39" i="15" s="1"/>
  <c r="D20" i="93"/>
  <c r="J20" i="93" s="1"/>
  <c r="AM71" i="5"/>
  <c r="BC34" i="15"/>
  <c r="GB34" i="15" s="1"/>
  <c r="D15" i="93"/>
  <c r="H15" i="93" s="1"/>
  <c r="BC37" i="15"/>
  <c r="GB37" i="15" s="1"/>
  <c r="D18" i="93"/>
  <c r="I18" i="93" s="1"/>
  <c r="BC51" i="15"/>
  <c r="D32" i="93"/>
  <c r="H32" i="93" s="1"/>
  <c r="BC33" i="15"/>
  <c r="GD33" i="15" s="1"/>
  <c r="D14" i="93"/>
  <c r="J14" i="93" s="1"/>
  <c r="AK52" i="5"/>
  <c r="AJ77" i="5"/>
  <c r="GP35" i="15"/>
  <c r="GO35" i="15" s="1"/>
  <c r="FY35" i="15" s="1"/>
  <c r="GP36" i="15"/>
  <c r="GO36" i="15" s="1"/>
  <c r="FY36" i="15" s="1"/>
  <c r="HP152" i="15"/>
  <c r="BC22" i="15"/>
  <c r="H5" i="93"/>
  <c r="J5" i="93"/>
  <c r="D9" i="93"/>
  <c r="H9" i="93" s="1"/>
  <c r="D12" i="93"/>
  <c r="H12" i="93" s="1"/>
  <c r="HN26" i="15"/>
  <c r="GP27" i="15"/>
  <c r="GO27" i="15" s="1"/>
  <c r="FY27" i="15" s="1"/>
  <c r="GP28" i="15"/>
  <c r="GO28" i="15" s="1"/>
  <c r="FY28" i="15" s="1"/>
  <c r="GP29" i="15"/>
  <c r="GO29" i="15" s="1"/>
  <c r="FY29" i="15" s="1"/>
  <c r="GP30" i="15"/>
  <c r="GO30" i="15" s="1"/>
  <c r="FY30" i="15" s="1"/>
  <c r="GP31" i="15"/>
  <c r="GO31" i="15" s="1"/>
  <c r="FY31" i="15" s="1"/>
  <c r="GL48" i="15"/>
  <c r="GL116" i="15"/>
  <c r="GL46" i="15"/>
  <c r="AI37" i="5"/>
  <c r="AI119" i="5"/>
  <c r="HN116" i="15"/>
  <c r="GQ93" i="15"/>
  <c r="GL66" i="15"/>
  <c r="I3" i="93"/>
  <c r="H3" i="93"/>
  <c r="J3" i="93"/>
  <c r="AJ22" i="5"/>
  <c r="GA22" i="15"/>
  <c r="G17" i="5"/>
  <c r="AK16" i="65" s="1"/>
  <c r="J4" i="93"/>
  <c r="BC23" i="15"/>
  <c r="GC23" i="15" s="1"/>
  <c r="I5" i="93"/>
  <c r="AJ75" i="5"/>
  <c r="AJ70" i="5"/>
  <c r="D23" i="93"/>
  <c r="GN51" i="15"/>
  <c r="AK48" i="5"/>
  <c r="BC58" i="15"/>
  <c r="J36" i="93"/>
  <c r="AK55" i="5"/>
  <c r="GM58" i="15"/>
  <c r="J33" i="93"/>
  <c r="J41" i="93"/>
  <c r="H28" i="93"/>
  <c r="H36" i="93"/>
  <c r="GN47" i="15"/>
  <c r="J43" i="93"/>
  <c r="J27" i="93"/>
  <c r="H27" i="93"/>
  <c r="I6" i="93"/>
  <c r="H6" i="93"/>
  <c r="GN75" i="15"/>
  <c r="J6" i="93"/>
  <c r="I27" i="93"/>
  <c r="I35" i="93"/>
  <c r="H43" i="93"/>
  <c r="I34" i="93"/>
  <c r="HO86" i="15"/>
  <c r="BD255" i="15"/>
  <c r="I85" i="5"/>
  <c r="BD307" i="15"/>
  <c r="BD273" i="15"/>
  <c r="BD259" i="15"/>
  <c r="BD257" i="15"/>
  <c r="GL55" i="15"/>
  <c r="AI32" i="5"/>
  <c r="GL32" i="15"/>
  <c r="AI60" i="5"/>
  <c r="GL60" i="15"/>
  <c r="AK83" i="5"/>
  <c r="AK78" i="5"/>
  <c r="GN67" i="15"/>
  <c r="CZ90" i="15"/>
  <c r="GQ160" i="15"/>
  <c r="GQ153" i="15"/>
  <c r="J19" i="93"/>
  <c r="J35" i="93"/>
  <c r="H34" i="93"/>
  <c r="GQ349" i="15"/>
  <c r="GQ330" i="15"/>
  <c r="GQ231" i="15"/>
  <c r="GQ220" i="15"/>
  <c r="GQ147" i="15"/>
  <c r="GQ145" i="15"/>
  <c r="GQ137" i="15"/>
  <c r="BD341" i="15"/>
  <c r="BD336" i="15"/>
  <c r="BD221" i="15"/>
  <c r="BD219" i="15"/>
  <c r="BD204" i="15"/>
  <c r="CY83" i="15"/>
  <c r="BD345" i="15"/>
  <c r="BD289" i="15"/>
  <c r="BD275" i="15"/>
  <c r="BD236" i="15"/>
  <c r="BD235" i="15"/>
  <c r="BD187" i="15"/>
  <c r="BD173" i="15"/>
  <c r="BD129" i="15"/>
  <c r="CZ84" i="15"/>
  <c r="CY84" i="15"/>
  <c r="AN115" i="65"/>
  <c r="J115" i="5"/>
  <c r="AT115" i="73" s="1"/>
  <c r="J102" i="5"/>
  <c r="AT102" i="73" s="1"/>
  <c r="AN102" i="65"/>
  <c r="J113" i="5"/>
  <c r="AT113" i="73" s="1"/>
  <c r="AN113" i="65"/>
  <c r="I80" i="5"/>
  <c r="GN39" i="15"/>
  <c r="GN36" i="15"/>
  <c r="I17" i="93"/>
  <c r="I33" i="93"/>
  <c r="J28" i="93"/>
  <c r="D7" i="93"/>
  <c r="BD338" i="15"/>
  <c r="BD321" i="15"/>
  <c r="BD291" i="15"/>
  <c r="BD272" i="15"/>
  <c r="BD239" i="15"/>
  <c r="BD220" i="15"/>
  <c r="BD189" i="15"/>
  <c r="BD157" i="15"/>
  <c r="BD138" i="15"/>
  <c r="BD125" i="15"/>
  <c r="BC125" i="15" s="1"/>
  <c r="BD123" i="15"/>
  <c r="BC123" i="15" s="1"/>
  <c r="BD121" i="15"/>
  <c r="BC121" i="15" s="1"/>
  <c r="BD109" i="15"/>
  <c r="BC109" i="15" s="1"/>
  <c r="BD107" i="15"/>
  <c r="BC107" i="15" s="1"/>
  <c r="BD105" i="15"/>
  <c r="BC105" i="15" s="1"/>
  <c r="BD93" i="15"/>
  <c r="BC93" i="15" s="1"/>
  <c r="I98" i="5"/>
  <c r="I124" i="5"/>
  <c r="CY102" i="15"/>
  <c r="DA102" i="15"/>
  <c r="CZ102" i="15"/>
  <c r="I87" i="5"/>
  <c r="GL51" i="15"/>
  <c r="GL42" i="15"/>
  <c r="AI39" i="5"/>
  <c r="GL89" i="15"/>
  <c r="AI89" i="5"/>
  <c r="AI50" i="5"/>
  <c r="AK68" i="5"/>
  <c r="GN70" i="15"/>
  <c r="AK70" i="5"/>
  <c r="GM36" i="15"/>
  <c r="AK34" i="5"/>
  <c r="AK38" i="5"/>
  <c r="GM33" i="15"/>
  <c r="GM35" i="15"/>
  <c r="AL38" i="5"/>
  <c r="GL25" i="15"/>
  <c r="GN34" i="15"/>
  <c r="J8" i="93" l="1"/>
  <c r="AR328" i="73"/>
  <c r="AY279" i="73"/>
  <c r="AY275" i="73"/>
  <c r="AY271" i="73"/>
  <c r="AY267" i="73"/>
  <c r="AY263" i="73"/>
  <c r="AY259" i="73"/>
  <c r="AY255" i="73"/>
  <c r="AW245" i="73"/>
  <c r="AR241" i="73"/>
  <c r="AW237" i="73"/>
  <c r="AW229" i="73"/>
  <c r="AR225" i="73"/>
  <c r="AW211" i="73"/>
  <c r="AW179" i="73"/>
  <c r="AR175" i="73"/>
  <c r="AR167" i="73"/>
  <c r="AR159" i="73"/>
  <c r="AR256" i="73"/>
  <c r="AR240" i="73"/>
  <c r="AR224" i="73"/>
  <c r="AR103" i="73"/>
  <c r="AW165" i="73"/>
  <c r="AW157" i="73"/>
  <c r="AY265" i="73"/>
  <c r="AY261" i="73"/>
  <c r="AY257" i="73"/>
  <c r="AY253" i="73"/>
  <c r="AW249" i="73"/>
  <c r="AR245" i="73"/>
  <c r="AW241" i="73"/>
  <c r="AW233" i="73"/>
  <c r="AR229" i="73"/>
  <c r="AW225" i="73"/>
  <c r="AZ221" i="73"/>
  <c r="AZ217" i="73"/>
  <c r="AW215" i="73"/>
  <c r="AV213" i="73"/>
  <c r="AV199" i="73"/>
  <c r="AV191" i="73"/>
  <c r="AR179" i="73"/>
  <c r="AV173" i="73"/>
  <c r="AR171" i="73"/>
  <c r="AV165" i="73"/>
  <c r="AR163" i="73"/>
  <c r="AV157" i="73"/>
  <c r="AR155" i="73"/>
  <c r="AR248" i="73"/>
  <c r="AR232" i="73"/>
  <c r="HP128" i="15"/>
  <c r="HS128" i="15" s="1"/>
  <c r="HK128" i="15" s="1"/>
  <c r="HY128" i="15" s="1"/>
  <c r="AR285" i="73"/>
  <c r="AZ267" i="73"/>
  <c r="AZ263" i="73"/>
  <c r="AZ259" i="73"/>
  <c r="AZ255" i="73"/>
  <c r="AV249" i="73"/>
  <c r="AV241" i="73"/>
  <c r="AV233" i="73"/>
  <c r="AV225" i="73"/>
  <c r="BC289" i="73"/>
  <c r="AQ289" i="73"/>
  <c r="BC293" i="73"/>
  <c r="AQ293" i="73"/>
  <c r="BC297" i="73"/>
  <c r="AQ297" i="73"/>
  <c r="BC301" i="73"/>
  <c r="AQ301" i="73"/>
  <c r="BC305" i="73"/>
  <c r="AQ305" i="73"/>
  <c r="BC309" i="73"/>
  <c r="AQ309" i="73"/>
  <c r="BC313" i="73"/>
  <c r="AQ313" i="73"/>
  <c r="BC317" i="73"/>
  <c r="AQ317" i="73"/>
  <c r="BC321" i="73"/>
  <c r="AQ321" i="73"/>
  <c r="BC325" i="73"/>
  <c r="AQ325" i="73"/>
  <c r="BC329" i="73"/>
  <c r="AQ329" i="73"/>
  <c r="BC333" i="73"/>
  <c r="AQ333" i="73"/>
  <c r="BC337" i="73"/>
  <c r="AQ337" i="73"/>
  <c r="BC341" i="73"/>
  <c r="AQ341" i="73"/>
  <c r="BC346" i="73"/>
  <c r="AQ346" i="73"/>
  <c r="BC336" i="73"/>
  <c r="AQ336" i="73"/>
  <c r="BC328" i="73"/>
  <c r="AQ328" i="73"/>
  <c r="BC285" i="73"/>
  <c r="AQ285" i="73"/>
  <c r="BC281" i="73"/>
  <c r="AQ281" i="73"/>
  <c r="BC249" i="73"/>
  <c r="AQ249" i="73"/>
  <c r="BC245" i="73"/>
  <c r="AQ245" i="73"/>
  <c r="BC241" i="73"/>
  <c r="AQ241" i="73"/>
  <c r="BC237" i="73"/>
  <c r="AQ237" i="73"/>
  <c r="BC233" i="73"/>
  <c r="AQ233" i="73"/>
  <c r="BC229" i="73"/>
  <c r="AQ229" i="73"/>
  <c r="BC225" i="73"/>
  <c r="AQ225" i="73"/>
  <c r="BC277" i="73"/>
  <c r="AQ277" i="73"/>
  <c r="BC273" i="73"/>
  <c r="AQ273" i="73"/>
  <c r="BC269" i="73"/>
  <c r="AQ269" i="73"/>
  <c r="BC211" i="73"/>
  <c r="AQ211" i="73"/>
  <c r="BC209" i="73"/>
  <c r="AQ209" i="73"/>
  <c r="BC205" i="73"/>
  <c r="AQ205" i="73"/>
  <c r="BC201" i="73"/>
  <c r="AQ201" i="73"/>
  <c r="BC197" i="73"/>
  <c r="AQ197" i="73"/>
  <c r="BC193" i="73"/>
  <c r="AQ193" i="73"/>
  <c r="BC189" i="73"/>
  <c r="AQ189" i="73"/>
  <c r="BC185" i="73"/>
  <c r="AQ185" i="73"/>
  <c r="BC183" i="73"/>
  <c r="AQ183" i="73"/>
  <c r="BC179" i="73"/>
  <c r="AQ179" i="73"/>
  <c r="BC175" i="73"/>
  <c r="AQ175" i="73"/>
  <c r="BC171" i="73"/>
  <c r="AQ171" i="73"/>
  <c r="BC167" i="73"/>
  <c r="AQ167" i="73"/>
  <c r="BC163" i="73"/>
  <c r="AQ163" i="73"/>
  <c r="BC159" i="73"/>
  <c r="AQ159" i="73"/>
  <c r="BC155" i="73"/>
  <c r="AQ155" i="73"/>
  <c r="BC264" i="73"/>
  <c r="AQ264" i="73"/>
  <c r="BC272" i="73"/>
  <c r="AQ272" i="73"/>
  <c r="BC280" i="73"/>
  <c r="AQ280" i="73"/>
  <c r="BC288" i="73"/>
  <c r="AQ288" i="73"/>
  <c r="BC296" i="73"/>
  <c r="AQ296" i="73"/>
  <c r="BC304" i="73"/>
  <c r="AQ304" i="73"/>
  <c r="BC312" i="73"/>
  <c r="AQ312" i="73"/>
  <c r="BC320" i="73"/>
  <c r="AQ320" i="73"/>
  <c r="BC334" i="73"/>
  <c r="AQ334" i="73"/>
  <c r="BC256" i="73"/>
  <c r="AQ256" i="73"/>
  <c r="BC248" i="73"/>
  <c r="AQ248" i="73"/>
  <c r="BC240" i="73"/>
  <c r="AQ240" i="73"/>
  <c r="BC232" i="73"/>
  <c r="AQ232" i="73"/>
  <c r="BC224" i="73"/>
  <c r="AQ224" i="73"/>
  <c r="BC147" i="73"/>
  <c r="AQ147" i="73"/>
  <c r="BC143" i="73"/>
  <c r="AQ143" i="73"/>
  <c r="BC139" i="73"/>
  <c r="AQ139" i="73"/>
  <c r="BC103" i="73"/>
  <c r="AQ103" i="73"/>
  <c r="BC145" i="73"/>
  <c r="AQ145" i="73"/>
  <c r="BC141" i="73"/>
  <c r="AQ141" i="73"/>
  <c r="AR348" i="73"/>
  <c r="AR340" i="73"/>
  <c r="AR332" i="73"/>
  <c r="AR341" i="73"/>
  <c r="AR333" i="73"/>
  <c r="AR325" i="73"/>
  <c r="AR279" i="73"/>
  <c r="AW277" i="73"/>
  <c r="AR275" i="73"/>
  <c r="AW273" i="73"/>
  <c r="AR271" i="73"/>
  <c r="AW269" i="73"/>
  <c r="AR335" i="73"/>
  <c r="AR327" i="73"/>
  <c r="AV279" i="73"/>
  <c r="AV275" i="73"/>
  <c r="AV271" i="73"/>
  <c r="AR295" i="73"/>
  <c r="AR291" i="73"/>
  <c r="AW265" i="73"/>
  <c r="AW261" i="73"/>
  <c r="AW257" i="73"/>
  <c r="AW253" i="73"/>
  <c r="AW223" i="73"/>
  <c r="AR221" i="73"/>
  <c r="AW219" i="73"/>
  <c r="AR217" i="73"/>
  <c r="AY249" i="73"/>
  <c r="AY245" i="73"/>
  <c r="AY241" i="73"/>
  <c r="AY237" i="73"/>
  <c r="AY233" i="73"/>
  <c r="AY229" i="73"/>
  <c r="AY225" i="73"/>
  <c r="AV221" i="73"/>
  <c r="AV217" i="73"/>
  <c r="AZ209" i="73"/>
  <c r="AY207" i="73"/>
  <c r="AZ205" i="73"/>
  <c r="AY203" i="73"/>
  <c r="AZ201" i="73"/>
  <c r="AY199" i="73"/>
  <c r="AZ197" i="73"/>
  <c r="AY195" i="73"/>
  <c r="AZ193" i="73"/>
  <c r="AY191" i="73"/>
  <c r="AZ189" i="73"/>
  <c r="AY187" i="73"/>
  <c r="AZ185" i="73"/>
  <c r="AR169" i="73"/>
  <c r="AR165" i="73"/>
  <c r="AR161" i="73"/>
  <c r="AZ213" i="73"/>
  <c r="AY183" i="73"/>
  <c r="AZ181" i="73"/>
  <c r="AY179" i="73"/>
  <c r="AZ177" i="73"/>
  <c r="AY175" i="73"/>
  <c r="AY173" i="73"/>
  <c r="AY169" i="73"/>
  <c r="AY165" i="73"/>
  <c r="AY161" i="73"/>
  <c r="AY157" i="73"/>
  <c r="AR153" i="73"/>
  <c r="AW151" i="73"/>
  <c r="AR149" i="73"/>
  <c r="AW147" i="73"/>
  <c r="AR145" i="73"/>
  <c r="AW143" i="73"/>
  <c r="AR141" i="73"/>
  <c r="AW139" i="73"/>
  <c r="AY328" i="73"/>
  <c r="AW330" i="73"/>
  <c r="AV334" i="73"/>
  <c r="AR338" i="73"/>
  <c r="AZ340" i="73"/>
  <c r="AW344" i="73"/>
  <c r="AV330" i="73"/>
  <c r="AY324" i="73"/>
  <c r="AR318" i="73"/>
  <c r="AV314" i="73"/>
  <c r="AW310" i="73"/>
  <c r="AY308" i="73"/>
  <c r="AR302" i="73"/>
  <c r="AV298" i="73"/>
  <c r="AW294" i="73"/>
  <c r="AY292" i="73"/>
  <c r="AR286" i="73"/>
  <c r="AV282" i="73"/>
  <c r="AW278" i="73"/>
  <c r="AY276" i="73"/>
  <c r="AR270" i="73"/>
  <c r="AV266" i="73"/>
  <c r="AW262" i="73"/>
  <c r="AY260" i="73"/>
  <c r="AZ171" i="73"/>
  <c r="AZ167" i="73"/>
  <c r="AZ163" i="73"/>
  <c r="AZ159" i="73"/>
  <c r="AZ155" i="73"/>
  <c r="AV151" i="73"/>
  <c r="AR137" i="73"/>
  <c r="AW135" i="73"/>
  <c r="AV135" i="73"/>
  <c r="AR133" i="73"/>
  <c r="AW131" i="73"/>
  <c r="AZ264" i="73"/>
  <c r="AZ280" i="73"/>
  <c r="AZ296" i="73"/>
  <c r="AZ312" i="73"/>
  <c r="AW326" i="73"/>
  <c r="AY332" i="73"/>
  <c r="AY348" i="73"/>
  <c r="AV344" i="73"/>
  <c r="AZ336" i="73"/>
  <c r="AZ324" i="73"/>
  <c r="AV310" i="73"/>
  <c r="AW306" i="73"/>
  <c r="AY296" i="73"/>
  <c r="AZ292" i="73"/>
  <c r="AV278" i="73"/>
  <c r="AW274" i="73"/>
  <c r="AY264" i="73"/>
  <c r="AZ260" i="73"/>
  <c r="AV254" i="73"/>
  <c r="AW250" i="73"/>
  <c r="AY248" i="73"/>
  <c r="AZ244" i="73"/>
  <c r="AV238" i="73"/>
  <c r="AW234" i="73"/>
  <c r="AY232" i="73"/>
  <c r="AZ228" i="73"/>
  <c r="AV222" i="73"/>
  <c r="AV218" i="73"/>
  <c r="AV214" i="73"/>
  <c r="AV210" i="73"/>
  <c r="AV206" i="73"/>
  <c r="AV202" i="73"/>
  <c r="AV198" i="73"/>
  <c r="AV194" i="73"/>
  <c r="AV137" i="73"/>
  <c r="AV133" i="73"/>
  <c r="AV129" i="73"/>
  <c r="AZ103" i="73"/>
  <c r="AY349" i="73"/>
  <c r="AZ283" i="73"/>
  <c r="AZ287" i="73"/>
  <c r="AZ291" i="73"/>
  <c r="AZ295" i="73"/>
  <c r="AZ299" i="73"/>
  <c r="AZ303" i="73"/>
  <c r="AZ307" i="73"/>
  <c r="AZ311" i="73"/>
  <c r="AZ315" i="73"/>
  <c r="AZ319" i="73"/>
  <c r="AZ323" i="73"/>
  <c r="AZ327" i="73"/>
  <c r="AZ331" i="73"/>
  <c r="AZ335" i="73"/>
  <c r="AZ339" i="73"/>
  <c r="AR345" i="73"/>
  <c r="AR349" i="73"/>
  <c r="AY340" i="73"/>
  <c r="AR326" i="73"/>
  <c r="AY320" i="73"/>
  <c r="AZ316" i="73"/>
  <c r="AV302" i="73"/>
  <c r="AW298" i="73"/>
  <c r="AY288" i="73"/>
  <c r="AZ284" i="73"/>
  <c r="AV270" i="73"/>
  <c r="AW266" i="73"/>
  <c r="AZ256" i="73"/>
  <c r="AV250" i="73"/>
  <c r="AW246" i="73"/>
  <c r="AY244" i="73"/>
  <c r="AZ240" i="73"/>
  <c r="AV234" i="73"/>
  <c r="AW230" i="73"/>
  <c r="AY228" i="73"/>
  <c r="AZ224" i="73"/>
  <c r="AW208" i="73"/>
  <c r="AZ207" i="73"/>
  <c r="AW204" i="73"/>
  <c r="AZ203" i="73"/>
  <c r="AW198" i="73"/>
  <c r="AW196" i="73"/>
  <c r="AZ195" i="73"/>
  <c r="AZ191" i="73"/>
  <c r="AZ183" i="73"/>
  <c r="AV141" i="73"/>
  <c r="AV131" i="73"/>
  <c r="AW129" i="73"/>
  <c r="AR343" i="73"/>
  <c r="AZ349" i="73"/>
  <c r="AY283" i="73"/>
  <c r="AY287" i="73"/>
  <c r="AY291" i="73"/>
  <c r="AY295" i="73"/>
  <c r="AY299" i="73"/>
  <c r="AY303" i="73"/>
  <c r="AY307" i="73"/>
  <c r="AY311" i="73"/>
  <c r="AY315" i="73"/>
  <c r="AY319" i="73"/>
  <c r="AY323" i="73"/>
  <c r="AY327" i="73"/>
  <c r="AY331" i="73"/>
  <c r="AY335" i="73"/>
  <c r="AY339" i="73"/>
  <c r="AV345" i="73"/>
  <c r="BC287" i="73"/>
  <c r="AQ287" i="73"/>
  <c r="BC291" i="73"/>
  <c r="AQ291" i="73"/>
  <c r="BC295" i="73"/>
  <c r="AQ295" i="73"/>
  <c r="BC299" i="73"/>
  <c r="AQ299" i="73"/>
  <c r="BC303" i="73"/>
  <c r="AQ303" i="73"/>
  <c r="BC307" i="73"/>
  <c r="AQ307" i="73"/>
  <c r="BC311" i="73"/>
  <c r="AQ311" i="73"/>
  <c r="BC315" i="73"/>
  <c r="AQ315" i="73"/>
  <c r="BC319" i="73"/>
  <c r="AQ319" i="73"/>
  <c r="BC323" i="73"/>
  <c r="AQ323" i="73"/>
  <c r="BC327" i="73"/>
  <c r="AQ327" i="73"/>
  <c r="BC331" i="73"/>
  <c r="AQ331" i="73"/>
  <c r="BC335" i="73"/>
  <c r="AQ335" i="73"/>
  <c r="BC339" i="73"/>
  <c r="AQ339" i="73"/>
  <c r="BC340" i="73"/>
  <c r="AQ340" i="73"/>
  <c r="BC332" i="73"/>
  <c r="AQ332" i="73"/>
  <c r="BC324" i="73"/>
  <c r="AQ324" i="73"/>
  <c r="BC283" i="73"/>
  <c r="AQ283" i="73"/>
  <c r="BC279" i="73"/>
  <c r="AQ279" i="73"/>
  <c r="BC275" i="73"/>
  <c r="AQ275" i="73"/>
  <c r="BC271" i="73"/>
  <c r="AQ271" i="73"/>
  <c r="BC267" i="73"/>
  <c r="AQ267" i="73"/>
  <c r="BC265" i="73"/>
  <c r="AQ265" i="73"/>
  <c r="BC263" i="73"/>
  <c r="AQ263" i="73"/>
  <c r="BC261" i="73"/>
  <c r="AQ261" i="73"/>
  <c r="BC259" i="73"/>
  <c r="AQ259" i="73"/>
  <c r="BC257" i="73"/>
  <c r="AQ257" i="73"/>
  <c r="BC255" i="73"/>
  <c r="AQ255" i="73"/>
  <c r="BC253" i="73"/>
  <c r="AQ253" i="73"/>
  <c r="BC251" i="73"/>
  <c r="AQ251" i="73"/>
  <c r="BC247" i="73"/>
  <c r="AQ247" i="73"/>
  <c r="BC243" i="73"/>
  <c r="AQ243" i="73"/>
  <c r="BC239" i="73"/>
  <c r="AQ239" i="73"/>
  <c r="BC235" i="73"/>
  <c r="AQ235" i="73"/>
  <c r="BC231" i="73"/>
  <c r="AQ231" i="73"/>
  <c r="BC227" i="73"/>
  <c r="AQ227" i="73"/>
  <c r="BC223" i="73"/>
  <c r="AQ223" i="73"/>
  <c r="BC213" i="73"/>
  <c r="AQ213" i="73"/>
  <c r="BC221" i="73"/>
  <c r="AQ221" i="73"/>
  <c r="BC217" i="73"/>
  <c r="AQ217" i="73"/>
  <c r="BC207" i="73"/>
  <c r="AQ207" i="73"/>
  <c r="BC203" i="73"/>
  <c r="AQ203" i="73"/>
  <c r="BC199" i="73"/>
  <c r="AQ199" i="73"/>
  <c r="BC195" i="73"/>
  <c r="AQ195" i="73"/>
  <c r="BC191" i="73"/>
  <c r="AQ191" i="73"/>
  <c r="BC187" i="73"/>
  <c r="AQ187" i="73"/>
  <c r="BC181" i="73"/>
  <c r="AQ181" i="73"/>
  <c r="BC177" i="73"/>
  <c r="AQ177" i="73"/>
  <c r="BC173" i="73"/>
  <c r="AQ173" i="73"/>
  <c r="BC169" i="73"/>
  <c r="AQ169" i="73"/>
  <c r="BC165" i="73"/>
  <c r="AQ165" i="73"/>
  <c r="BC161" i="73"/>
  <c r="AQ161" i="73"/>
  <c r="BC157" i="73"/>
  <c r="AQ157" i="73"/>
  <c r="BC260" i="73"/>
  <c r="AQ260" i="73"/>
  <c r="BC268" i="73"/>
  <c r="AQ268" i="73"/>
  <c r="BC276" i="73"/>
  <c r="AQ276" i="73"/>
  <c r="BC284" i="73"/>
  <c r="AQ284" i="73"/>
  <c r="BC292" i="73"/>
  <c r="AQ292" i="73"/>
  <c r="BC300" i="73"/>
  <c r="AQ300" i="73"/>
  <c r="BC308" i="73"/>
  <c r="AQ308" i="73"/>
  <c r="BC316" i="73"/>
  <c r="AQ316" i="73"/>
  <c r="BC326" i="73"/>
  <c r="AQ326" i="73"/>
  <c r="BC342" i="73"/>
  <c r="AQ342" i="73"/>
  <c r="BC252" i="73"/>
  <c r="AQ252" i="73"/>
  <c r="BC244" i="73"/>
  <c r="AQ244" i="73"/>
  <c r="BC236" i="73"/>
  <c r="AQ236" i="73"/>
  <c r="BC228" i="73"/>
  <c r="AQ228" i="73"/>
  <c r="BC151" i="73"/>
  <c r="AQ151" i="73"/>
  <c r="BC135" i="73"/>
  <c r="AQ135" i="73"/>
  <c r="AR339" i="73"/>
  <c r="AR331" i="73"/>
  <c r="AR323" i="73"/>
  <c r="AR319" i="73"/>
  <c r="AR315" i="73"/>
  <c r="AR311" i="73"/>
  <c r="AR307" i="73"/>
  <c r="AR303" i="73"/>
  <c r="AR299" i="73"/>
  <c r="AR337" i="73"/>
  <c r="AR329" i="73"/>
  <c r="AR321" i="73"/>
  <c r="AR317" i="73"/>
  <c r="AR313" i="73"/>
  <c r="AR309" i="73"/>
  <c r="AR305" i="73"/>
  <c r="AR301" i="73"/>
  <c r="AR297" i="73"/>
  <c r="AR293" i="73"/>
  <c r="AR289" i="73"/>
  <c r="AW279" i="73"/>
  <c r="AR277" i="73"/>
  <c r="AW275" i="73"/>
  <c r="AR273" i="73"/>
  <c r="AW271" i="73"/>
  <c r="AR269" i="73"/>
  <c r="AV267" i="73"/>
  <c r="AV265" i="73"/>
  <c r="AV263" i="73"/>
  <c r="AV261" i="73"/>
  <c r="AV259" i="73"/>
  <c r="AV257" i="73"/>
  <c r="AV255" i="73"/>
  <c r="AV253" i="73"/>
  <c r="AR249" i="73"/>
  <c r="AR237" i="73"/>
  <c r="AR233" i="73"/>
  <c r="AV277" i="73"/>
  <c r="AV273" i="73"/>
  <c r="AV269" i="73"/>
  <c r="AR267" i="73"/>
  <c r="AR265" i="73"/>
  <c r="AR263" i="73"/>
  <c r="AR261" i="73"/>
  <c r="AR259" i="73"/>
  <c r="AR257" i="73"/>
  <c r="AR255" i="73"/>
  <c r="AR253" i="73"/>
  <c r="AY251" i="73"/>
  <c r="AZ249" i="73"/>
  <c r="AY247" i="73"/>
  <c r="AZ245" i="73"/>
  <c r="AY243" i="73"/>
  <c r="AZ241" i="73"/>
  <c r="AY239" i="73"/>
  <c r="AZ237" i="73"/>
  <c r="AY235" i="73"/>
  <c r="AZ233" i="73"/>
  <c r="AY231" i="73"/>
  <c r="AZ229" i="73"/>
  <c r="AY227" i="73"/>
  <c r="AZ225" i="73"/>
  <c r="AW267" i="73"/>
  <c r="AW263" i="73"/>
  <c r="AW259" i="73"/>
  <c r="AW255" i="73"/>
  <c r="AZ251" i="73"/>
  <c r="AZ247" i="73"/>
  <c r="AZ243" i="73"/>
  <c r="AZ239" i="73"/>
  <c r="AZ235" i="73"/>
  <c r="AZ231" i="73"/>
  <c r="AZ227" i="73"/>
  <c r="AR223" i="73"/>
  <c r="AW221" i="73"/>
  <c r="AR219" i="73"/>
  <c r="AW217" i="73"/>
  <c r="AR215" i="73"/>
  <c r="AR211" i="73"/>
  <c r="AZ215" i="73"/>
  <c r="AY213" i="73"/>
  <c r="AZ211" i="73"/>
  <c r="AR209" i="73"/>
  <c r="AR205" i="73"/>
  <c r="AR201" i="73"/>
  <c r="AR197" i="73"/>
  <c r="AR193" i="73"/>
  <c r="AR189" i="73"/>
  <c r="AV223" i="73"/>
  <c r="AV219" i="73"/>
  <c r="AY215" i="73"/>
  <c r="AY211" i="73"/>
  <c r="AR183" i="73"/>
  <c r="AY201" i="73"/>
  <c r="AY197" i="73"/>
  <c r="AY193" i="73"/>
  <c r="AY189" i="73"/>
  <c r="AY185" i="73"/>
  <c r="AY181" i="73"/>
  <c r="AY177" i="73"/>
  <c r="AZ173" i="73"/>
  <c r="AY171" i="73"/>
  <c r="AZ169" i="73"/>
  <c r="AY167" i="73"/>
  <c r="AZ165" i="73"/>
  <c r="AY163" i="73"/>
  <c r="AZ161" i="73"/>
  <c r="AY159" i="73"/>
  <c r="AZ157" i="73"/>
  <c r="AY155" i="73"/>
  <c r="AZ179" i="73"/>
  <c r="AZ175" i="73"/>
  <c r="AW153" i="73"/>
  <c r="AR151" i="73"/>
  <c r="AW149" i="73"/>
  <c r="AR147" i="73"/>
  <c r="AW145" i="73"/>
  <c r="AR143" i="73"/>
  <c r="AW141" i="73"/>
  <c r="AR139" i="73"/>
  <c r="AR264" i="73"/>
  <c r="AR272" i="73"/>
  <c r="AR280" i="73"/>
  <c r="AR288" i="73"/>
  <c r="AR296" i="73"/>
  <c r="AR304" i="73"/>
  <c r="AR312" i="73"/>
  <c r="AR320" i="73"/>
  <c r="AV326" i="73"/>
  <c r="AR330" i="73"/>
  <c r="AZ332" i="73"/>
  <c r="AY336" i="73"/>
  <c r="AW338" i="73"/>
  <c r="AV342" i="73"/>
  <c r="AR344" i="73"/>
  <c r="AZ346" i="73"/>
  <c r="AZ348" i="73"/>
  <c r="AR334" i="73"/>
  <c r="AV322" i="73"/>
  <c r="AW318" i="73"/>
  <c r="AY316" i="73"/>
  <c r="AR310" i="73"/>
  <c r="AV306" i="73"/>
  <c r="AW302" i="73"/>
  <c r="AY300" i="73"/>
  <c r="AR294" i="73"/>
  <c r="AV290" i="73"/>
  <c r="AW286" i="73"/>
  <c r="AY284" i="73"/>
  <c r="AR278" i="73"/>
  <c r="AV274" i="73"/>
  <c r="AW270" i="73"/>
  <c r="AY268" i="73"/>
  <c r="AR262" i="73"/>
  <c r="AV153" i="73"/>
  <c r="AV149" i="73"/>
  <c r="AV147" i="73"/>
  <c r="AV143" i="73"/>
  <c r="AV139" i="73"/>
  <c r="AW137" i="73"/>
  <c r="AR135" i="73"/>
  <c r="AW133" i="73"/>
  <c r="AR131" i="73"/>
  <c r="AZ272" i="73"/>
  <c r="AZ288" i="73"/>
  <c r="AZ304" i="73"/>
  <c r="AZ320" i="73"/>
  <c r="AZ328" i="73"/>
  <c r="AW342" i="73"/>
  <c r="AY346" i="73"/>
  <c r="AR342" i="73"/>
  <c r="AW334" i="73"/>
  <c r="AW322" i="73"/>
  <c r="AY312" i="73"/>
  <c r="AZ308" i="73"/>
  <c r="AV294" i="73"/>
  <c r="AW290" i="73"/>
  <c r="AY280" i="73"/>
  <c r="AZ276" i="73"/>
  <c r="AV262" i="73"/>
  <c r="AW258" i="73"/>
  <c r="AY256" i="73"/>
  <c r="AZ252" i="73"/>
  <c r="AV246" i="73"/>
  <c r="AW242" i="73"/>
  <c r="AY240" i="73"/>
  <c r="AZ236" i="73"/>
  <c r="AV230" i="73"/>
  <c r="AW226" i="73"/>
  <c r="AY224" i="73"/>
  <c r="AV220" i="73"/>
  <c r="AV216" i="73"/>
  <c r="AV212" i="73"/>
  <c r="AV208" i="73"/>
  <c r="AV204" i="73"/>
  <c r="AV200" i="73"/>
  <c r="AV196" i="73"/>
  <c r="AV192" i="73"/>
  <c r="AZ281" i="73"/>
  <c r="AZ285" i="73"/>
  <c r="AZ289" i="73"/>
  <c r="AZ293" i="73"/>
  <c r="AZ297" i="73"/>
  <c r="AZ301" i="73"/>
  <c r="AZ305" i="73"/>
  <c r="AZ309" i="73"/>
  <c r="AZ313" i="73"/>
  <c r="AZ317" i="73"/>
  <c r="AZ321" i="73"/>
  <c r="AZ325" i="73"/>
  <c r="AZ329" i="73"/>
  <c r="AZ333" i="73"/>
  <c r="AZ337" i="73"/>
  <c r="AZ341" i="73"/>
  <c r="AW345" i="73"/>
  <c r="AV338" i="73"/>
  <c r="AV318" i="73"/>
  <c r="AW314" i="73"/>
  <c r="AY304" i="73"/>
  <c r="AZ300" i="73"/>
  <c r="AV286" i="73"/>
  <c r="AW282" i="73"/>
  <c r="AY272" i="73"/>
  <c r="AZ268" i="73"/>
  <c r="AV258" i="73"/>
  <c r="AW254" i="73"/>
  <c r="AY252" i="73"/>
  <c r="AZ248" i="73"/>
  <c r="AV242" i="73"/>
  <c r="AW238" i="73"/>
  <c r="AY236" i="73"/>
  <c r="AZ232" i="73"/>
  <c r="AV226" i="73"/>
  <c r="AW222" i="73"/>
  <c r="AW220" i="73"/>
  <c r="AW218" i="73"/>
  <c r="AW216" i="73"/>
  <c r="AW214" i="73"/>
  <c r="AW212" i="73"/>
  <c r="AW210" i="73"/>
  <c r="AY209" i="73"/>
  <c r="AW206" i="73"/>
  <c r="AY205" i="73"/>
  <c r="AW202" i="73"/>
  <c r="AW200" i="73"/>
  <c r="AZ199" i="73"/>
  <c r="AW194" i="73"/>
  <c r="AW192" i="73"/>
  <c r="AZ187" i="73"/>
  <c r="AV145" i="73"/>
  <c r="AY103" i="73"/>
  <c r="AY281" i="73"/>
  <c r="AY285" i="73"/>
  <c r="AY289" i="73"/>
  <c r="AY293" i="73"/>
  <c r="AY297" i="73"/>
  <c r="AY301" i="73"/>
  <c r="AY305" i="73"/>
  <c r="AY309" i="73"/>
  <c r="AY313" i="73"/>
  <c r="AY317" i="73"/>
  <c r="AY321" i="73"/>
  <c r="AY325" i="73"/>
  <c r="AY329" i="73"/>
  <c r="AY333" i="73"/>
  <c r="AY337" i="73"/>
  <c r="AY341" i="73"/>
  <c r="GD39" i="15"/>
  <c r="GB41" i="15"/>
  <c r="GD41" i="15"/>
  <c r="GB43" i="15"/>
  <c r="GD43" i="15"/>
  <c r="GB49" i="15"/>
  <c r="GD49" i="15"/>
  <c r="GB39" i="15"/>
  <c r="HO116" i="15"/>
  <c r="HN271" i="15"/>
  <c r="IE271" i="15" s="1"/>
  <c r="AW38" i="5"/>
  <c r="AW78" i="5"/>
  <c r="H29" i="93"/>
  <c r="H19" i="93"/>
  <c r="H25" i="93"/>
  <c r="J25" i="93"/>
  <c r="IE152" i="15"/>
  <c r="HP160" i="15"/>
  <c r="HP120" i="15"/>
  <c r="HP176" i="15"/>
  <c r="HN319" i="15"/>
  <c r="HT164" i="15"/>
  <c r="HP104" i="15"/>
  <c r="AW98" i="5"/>
  <c r="HO117" i="15"/>
  <c r="HP294" i="15"/>
  <c r="HP311" i="15"/>
  <c r="HS311" i="15" s="1"/>
  <c r="HK311" i="15" s="1"/>
  <c r="HY311" i="15" s="1"/>
  <c r="HP194" i="15"/>
  <c r="HP202" i="15"/>
  <c r="HS202" i="15" s="1"/>
  <c r="HK202" i="15" s="1"/>
  <c r="HY202" i="15" s="1"/>
  <c r="HP210" i="15"/>
  <c r="HP218" i="15"/>
  <c r="HP226" i="15"/>
  <c r="HP234" i="15"/>
  <c r="HS234" i="15" s="1"/>
  <c r="HK234" i="15" s="1"/>
  <c r="HY234" i="15" s="1"/>
  <c r="HO281" i="15"/>
  <c r="HO301" i="15"/>
  <c r="HN62" i="15"/>
  <c r="HQ62" i="15" s="1"/>
  <c r="HP312" i="15"/>
  <c r="HP296" i="15"/>
  <c r="HV296" i="15" s="1"/>
  <c r="HP288" i="15"/>
  <c r="HS288" i="15" s="1"/>
  <c r="HK288" i="15" s="1"/>
  <c r="HY288" i="15" s="1"/>
  <c r="HP272" i="15"/>
  <c r="HV272" i="15" s="1"/>
  <c r="HP264" i="15"/>
  <c r="HS264" i="15" s="1"/>
  <c r="HK264" i="15" s="1"/>
  <c r="HY264" i="15" s="1"/>
  <c r="HP256" i="15"/>
  <c r="HS256" i="15" s="1"/>
  <c r="HK256" i="15" s="1"/>
  <c r="HY256" i="15" s="1"/>
  <c r="HP248" i="15"/>
  <c r="HS248" i="15" s="1"/>
  <c r="HK248" i="15" s="1"/>
  <c r="HY248" i="15" s="1"/>
  <c r="HP240" i="15"/>
  <c r="HS240" i="15" s="1"/>
  <c r="HK240" i="15" s="1"/>
  <c r="HY240" i="15" s="1"/>
  <c r="HP136" i="15"/>
  <c r="HS136" i="15" s="1"/>
  <c r="HK136" i="15" s="1"/>
  <c r="HY136" i="15" s="1"/>
  <c r="HN196" i="15"/>
  <c r="HP278" i="15"/>
  <c r="HV278" i="15" s="1"/>
  <c r="HP246" i="15"/>
  <c r="HN258" i="15"/>
  <c r="AO258" i="65" s="1"/>
  <c r="AM258" i="65" s="1"/>
  <c r="HP53" i="15"/>
  <c r="J37" i="93"/>
  <c r="I31" i="93"/>
  <c r="HP44" i="15"/>
  <c r="HS44" i="15" s="1"/>
  <c r="HN45" i="15"/>
  <c r="HS272" i="15"/>
  <c r="HK272" i="15" s="1"/>
  <c r="HY272" i="15" s="1"/>
  <c r="IF271" i="15"/>
  <c r="HO26" i="15"/>
  <c r="HN69" i="15"/>
  <c r="HQ69" i="15" s="1"/>
  <c r="HN38" i="15"/>
  <c r="HO35" i="15"/>
  <c r="AW68" i="5"/>
  <c r="H8" i="93"/>
  <c r="HO104" i="15"/>
  <c r="HP117" i="15"/>
  <c r="HP148" i="15"/>
  <c r="HP156" i="15"/>
  <c r="HP162" i="15"/>
  <c r="HP114" i="15"/>
  <c r="HO153" i="15"/>
  <c r="HU153" i="15" s="1"/>
  <c r="HO98" i="15"/>
  <c r="HU98" i="15" s="1"/>
  <c r="AV111" i="5"/>
  <c r="HP84" i="15"/>
  <c r="HP116" i="15"/>
  <c r="HV116" i="15" s="1"/>
  <c r="HN158" i="15"/>
  <c r="HQ158" i="15" s="1"/>
  <c r="HI158" i="15" s="1"/>
  <c r="HW158" i="15" s="1"/>
  <c r="HN146" i="15"/>
  <c r="HP140" i="15"/>
  <c r="HS140" i="15" s="1"/>
  <c r="HK140" i="15" s="1"/>
  <c r="HY140" i="15" s="1"/>
  <c r="HP132" i="15"/>
  <c r="HP68" i="15"/>
  <c r="HS68" i="15" s="1"/>
  <c r="HP36" i="15"/>
  <c r="HS36" i="15" s="1"/>
  <c r="HO177" i="15"/>
  <c r="HR177" i="15" s="1"/>
  <c r="HJ177" i="15" s="1"/>
  <c r="HX177" i="15" s="1"/>
  <c r="AY281" i="90"/>
  <c r="AY281" i="89"/>
  <c r="AY281" i="86"/>
  <c r="AY281" i="85"/>
  <c r="AY281" i="82"/>
  <c r="AY285" i="88"/>
  <c r="AY285" i="87"/>
  <c r="AY285" i="84"/>
  <c r="AY285" i="83"/>
  <c r="AT117" i="89"/>
  <c r="AT117" i="90"/>
  <c r="AT117" i="86"/>
  <c r="AT117" i="83"/>
  <c r="AT117" i="82"/>
  <c r="AZ281" i="89"/>
  <c r="AZ281" i="88"/>
  <c r="AZ281" i="87"/>
  <c r="AZ281" i="84"/>
  <c r="AZ281" i="82"/>
  <c r="AZ285" i="90"/>
  <c r="AZ285" i="86"/>
  <c r="AZ285" i="85"/>
  <c r="AZ285" i="83"/>
  <c r="AR277" i="82"/>
  <c r="AR273" i="82"/>
  <c r="AR269" i="82"/>
  <c r="AR267" i="82"/>
  <c r="AR265" i="82"/>
  <c r="AR263" i="82"/>
  <c r="AR261" i="82"/>
  <c r="AR259" i="82"/>
  <c r="AR257" i="82"/>
  <c r="AR255" i="82"/>
  <c r="AR253" i="82"/>
  <c r="HQ26" i="15"/>
  <c r="AN117" i="65"/>
  <c r="AP63" i="65"/>
  <c r="AN63" i="65" s="1"/>
  <c r="BC285" i="82"/>
  <c r="BC281" i="82"/>
  <c r="AR251" i="82"/>
  <c r="AQ249" i="82"/>
  <c r="AR247" i="82"/>
  <c r="AQ245" i="82"/>
  <c r="AR243" i="82"/>
  <c r="AQ241" i="82"/>
  <c r="AR239" i="82"/>
  <c r="AQ237" i="82"/>
  <c r="AQ233" i="82"/>
  <c r="AR231" i="82"/>
  <c r="AQ229" i="82"/>
  <c r="AQ225" i="82"/>
  <c r="AQ277" i="82"/>
  <c r="AQ273" i="82"/>
  <c r="AQ269" i="82"/>
  <c r="AR249" i="82"/>
  <c r="AR245" i="82"/>
  <c r="AR241" i="82"/>
  <c r="AR237" i="82"/>
  <c r="AR233" i="82"/>
  <c r="AR229" i="82"/>
  <c r="AR225" i="82"/>
  <c r="HO110" i="15"/>
  <c r="AV115" i="5"/>
  <c r="HO129" i="15"/>
  <c r="HO137" i="15"/>
  <c r="HR137" i="15" s="1"/>
  <c r="HJ137" i="15" s="1"/>
  <c r="HX137" i="15" s="1"/>
  <c r="HO145" i="15"/>
  <c r="HO161" i="15"/>
  <c r="HO169" i="15"/>
  <c r="HO179" i="15"/>
  <c r="HO295" i="15"/>
  <c r="AR279" i="82"/>
  <c r="AW277" i="82"/>
  <c r="AR275" i="82"/>
  <c r="AW273" i="82"/>
  <c r="AR271" i="82"/>
  <c r="AW269" i="82"/>
  <c r="AV279" i="83"/>
  <c r="AV275" i="83"/>
  <c r="AV271" i="83"/>
  <c r="AW265" i="82"/>
  <c r="AW261" i="82"/>
  <c r="AW257" i="82"/>
  <c r="AW253" i="82"/>
  <c r="AW223" i="82"/>
  <c r="AR221" i="82"/>
  <c r="AW219" i="82"/>
  <c r="AR217" i="82"/>
  <c r="AR215" i="82"/>
  <c r="AR223" i="82"/>
  <c r="AV221" i="83"/>
  <c r="AR219" i="82"/>
  <c r="AV217" i="83"/>
  <c r="AV223" i="83"/>
  <c r="AV219" i="83"/>
  <c r="AJ88" i="5"/>
  <c r="AV88" i="5" s="1"/>
  <c r="GM88" i="15"/>
  <c r="AJ96" i="5"/>
  <c r="GM96" i="15"/>
  <c r="GM108" i="15"/>
  <c r="AJ108" i="5"/>
  <c r="GM101" i="15"/>
  <c r="HO101" i="15"/>
  <c r="GM105" i="15"/>
  <c r="AJ105" i="5"/>
  <c r="AJ119" i="5"/>
  <c r="AV119" i="5" s="1"/>
  <c r="GM115" i="15"/>
  <c r="GM127" i="15"/>
  <c r="AV349" i="83"/>
  <c r="AV349" i="85"/>
  <c r="AV349" i="86"/>
  <c r="AV349" i="90"/>
  <c r="BA337" i="82"/>
  <c r="BA337" i="85"/>
  <c r="BA337" i="86"/>
  <c r="BA337" i="89"/>
  <c r="BA337" i="90"/>
  <c r="BA329" i="83"/>
  <c r="BA329" i="84"/>
  <c r="BA329" i="87"/>
  <c r="BA329" i="88"/>
  <c r="BA321" i="82"/>
  <c r="BA321" i="85"/>
  <c r="BA321" i="86"/>
  <c r="BA321" i="89"/>
  <c r="BA321" i="90"/>
  <c r="BA317" i="83"/>
  <c r="BA317" i="84"/>
  <c r="BA317" i="87"/>
  <c r="BA317" i="88"/>
  <c r="BA313" i="82"/>
  <c r="BA313" i="85"/>
  <c r="BA313" i="86"/>
  <c r="BA313" i="89"/>
  <c r="BA313" i="90"/>
  <c r="BA309" i="83"/>
  <c r="BA309" i="84"/>
  <c r="BA309" i="87"/>
  <c r="BA309" i="88"/>
  <c r="BA305" i="82"/>
  <c r="BA305" i="85"/>
  <c r="BA305" i="86"/>
  <c r="BA305" i="89"/>
  <c r="BA305" i="90"/>
  <c r="BA301" i="83"/>
  <c r="BA301" i="84"/>
  <c r="BA301" i="87"/>
  <c r="BA301" i="88"/>
  <c r="BA297" i="82"/>
  <c r="BA297" i="85"/>
  <c r="BA297" i="86"/>
  <c r="BA297" i="89"/>
  <c r="BA297" i="90"/>
  <c r="BA285" i="83"/>
  <c r="BA285" i="84"/>
  <c r="BA285" i="87"/>
  <c r="BA285" i="88"/>
  <c r="AR285" i="83"/>
  <c r="AR285" i="85"/>
  <c r="AR285" i="86"/>
  <c r="AR285" i="90"/>
  <c r="AW283" i="82"/>
  <c r="AW283" i="85"/>
  <c r="AW283" i="86"/>
  <c r="AW283" i="89"/>
  <c r="AW283" i="90"/>
  <c r="BA281" i="83"/>
  <c r="BA281" i="84"/>
  <c r="BA281" i="87"/>
  <c r="BA281" i="88"/>
  <c r="AR281" i="83"/>
  <c r="AR281" i="85"/>
  <c r="AR281" i="86"/>
  <c r="AR281" i="90"/>
  <c r="AZ279" i="82"/>
  <c r="AZ279" i="84"/>
  <c r="AZ279" i="87"/>
  <c r="AZ279" i="88"/>
  <c r="AZ279" i="89"/>
  <c r="AU279" i="82"/>
  <c r="AU279" i="85"/>
  <c r="AU279" i="86"/>
  <c r="AU279" i="89"/>
  <c r="AU279" i="90"/>
  <c r="AZ277" i="82"/>
  <c r="AZ277" i="84"/>
  <c r="AZ277" i="87"/>
  <c r="AZ277" i="88"/>
  <c r="AZ277" i="89"/>
  <c r="AU277" i="82"/>
  <c r="AU277" i="85"/>
  <c r="AU277" i="86"/>
  <c r="AU277" i="89"/>
  <c r="AU277" i="90"/>
  <c r="AZ275" i="82"/>
  <c r="AZ275" i="84"/>
  <c r="AZ275" i="87"/>
  <c r="AZ275" i="88"/>
  <c r="AZ275" i="89"/>
  <c r="AU275" i="82"/>
  <c r="AU275" i="85"/>
  <c r="AU275" i="86"/>
  <c r="AU275" i="89"/>
  <c r="AU275" i="90"/>
  <c r="AZ273" i="82"/>
  <c r="AZ273" i="84"/>
  <c r="AZ273" i="87"/>
  <c r="AZ273" i="88"/>
  <c r="AZ273" i="89"/>
  <c r="AU273" i="82"/>
  <c r="AU273" i="85"/>
  <c r="AU273" i="86"/>
  <c r="AU273" i="89"/>
  <c r="AU273" i="90"/>
  <c r="AZ271" i="82"/>
  <c r="AZ271" i="84"/>
  <c r="AZ271" i="87"/>
  <c r="AZ271" i="88"/>
  <c r="AZ271" i="89"/>
  <c r="AU271" i="82"/>
  <c r="AU271" i="85"/>
  <c r="AU271" i="86"/>
  <c r="AU271" i="89"/>
  <c r="AU271" i="90"/>
  <c r="AZ269" i="83"/>
  <c r="AZ269" i="85"/>
  <c r="AZ269" i="86"/>
  <c r="AZ269" i="90"/>
  <c r="AU269" i="83"/>
  <c r="AU269" i="84"/>
  <c r="AU269" i="87"/>
  <c r="AU269" i="88"/>
  <c r="AZ267" i="83"/>
  <c r="AZ267" i="85"/>
  <c r="AZ267" i="86"/>
  <c r="AZ267" i="90"/>
  <c r="AU267" i="83"/>
  <c r="AU267" i="84"/>
  <c r="AU267" i="87"/>
  <c r="AU267" i="88"/>
  <c r="AZ265" i="83"/>
  <c r="AZ265" i="85"/>
  <c r="AZ265" i="86"/>
  <c r="AZ265" i="90"/>
  <c r="AU265" i="83"/>
  <c r="AU265" i="84"/>
  <c r="AU265" i="87"/>
  <c r="AU265" i="88"/>
  <c r="AZ263" i="83"/>
  <c r="AZ263" i="85"/>
  <c r="AZ263" i="86"/>
  <c r="AZ263" i="90"/>
  <c r="AU263" i="83"/>
  <c r="AU263" i="84"/>
  <c r="AU263" i="87"/>
  <c r="AU263" i="88"/>
  <c r="AZ261" i="83"/>
  <c r="AZ261" i="85"/>
  <c r="AZ261" i="86"/>
  <c r="AZ261" i="90"/>
  <c r="AU261" i="83"/>
  <c r="AU261" i="84"/>
  <c r="AU261" i="87"/>
  <c r="AU261" i="88"/>
  <c r="AZ259" i="83"/>
  <c r="AZ259" i="82"/>
  <c r="AZ259" i="85"/>
  <c r="AZ259" i="86"/>
  <c r="AZ259" i="90"/>
  <c r="AU259" i="83"/>
  <c r="AU259" i="84"/>
  <c r="AU259" i="87"/>
  <c r="AU259" i="88"/>
  <c r="AU259" i="85"/>
  <c r="AU259" i="89"/>
  <c r="AZ257" i="83"/>
  <c r="AZ257" i="85"/>
  <c r="AZ257" i="86"/>
  <c r="AZ257" i="90"/>
  <c r="AZ257" i="84"/>
  <c r="AZ257" i="88"/>
  <c r="AU257" i="83"/>
  <c r="AU257" i="84"/>
  <c r="AU257" i="87"/>
  <c r="AU257" i="88"/>
  <c r="AU257" i="82"/>
  <c r="AU257" i="86"/>
  <c r="AU257" i="90"/>
  <c r="AZ255" i="83"/>
  <c r="AZ255" i="85"/>
  <c r="AZ255" i="86"/>
  <c r="AZ255" i="90"/>
  <c r="AZ255" i="82"/>
  <c r="AZ255" i="87"/>
  <c r="AZ255" i="89"/>
  <c r="AU255" i="83"/>
  <c r="AU255" i="84"/>
  <c r="AU255" i="87"/>
  <c r="AU255" i="88"/>
  <c r="AU255" i="85"/>
  <c r="AU255" i="89"/>
  <c r="AZ253" i="83"/>
  <c r="AZ253" i="85"/>
  <c r="AZ253" i="86"/>
  <c r="AZ253" i="90"/>
  <c r="AZ253" i="84"/>
  <c r="AZ253" i="88"/>
  <c r="AU253" i="83"/>
  <c r="AU253" i="84"/>
  <c r="AU253" i="87"/>
  <c r="AU253" i="88"/>
  <c r="AU253" i="82"/>
  <c r="AU253" i="86"/>
  <c r="AU253" i="90"/>
  <c r="AZ283" i="82"/>
  <c r="AZ283" i="84"/>
  <c r="AZ283" i="87"/>
  <c r="AZ283" i="88"/>
  <c r="AZ283" i="89"/>
  <c r="AY283" i="82"/>
  <c r="AY283" i="85"/>
  <c r="AY283" i="86"/>
  <c r="AY283" i="89"/>
  <c r="AY283" i="90"/>
  <c r="AZ283" i="83"/>
  <c r="AZ283" i="86"/>
  <c r="AY283" i="84"/>
  <c r="AY283" i="88"/>
  <c r="AZ283" i="85"/>
  <c r="AY283" i="87"/>
  <c r="AY267" i="82"/>
  <c r="AY267" i="85"/>
  <c r="AY267" i="86"/>
  <c r="AY267" i="89"/>
  <c r="AY267" i="90"/>
  <c r="AY265" i="82"/>
  <c r="AY265" i="85"/>
  <c r="AY265" i="86"/>
  <c r="AY265" i="89"/>
  <c r="AY265" i="90"/>
  <c r="AY263" i="82"/>
  <c r="AY263" i="85"/>
  <c r="AY263" i="86"/>
  <c r="AY263" i="89"/>
  <c r="AY263" i="90"/>
  <c r="AY261" i="82"/>
  <c r="AY261" i="85"/>
  <c r="AY261" i="86"/>
  <c r="AY261" i="89"/>
  <c r="AY261" i="90"/>
  <c r="AY259" i="82"/>
  <c r="AY259" i="85"/>
  <c r="AY259" i="86"/>
  <c r="AY259" i="89"/>
  <c r="AY259" i="90"/>
  <c r="AY259" i="83"/>
  <c r="AY259" i="87"/>
  <c r="AY257" i="82"/>
  <c r="AY257" i="85"/>
  <c r="AY257" i="86"/>
  <c r="AY257" i="89"/>
  <c r="AY257" i="90"/>
  <c r="AY257" i="84"/>
  <c r="AY257" i="88"/>
  <c r="AY255" i="82"/>
  <c r="AY255" i="85"/>
  <c r="AY255" i="86"/>
  <c r="AY255" i="89"/>
  <c r="AY255" i="90"/>
  <c r="AY255" i="83"/>
  <c r="AY255" i="87"/>
  <c r="AY253" i="82"/>
  <c r="AY253" i="85"/>
  <c r="AY253" i="86"/>
  <c r="AY253" i="89"/>
  <c r="AY253" i="90"/>
  <c r="AY253" i="84"/>
  <c r="AY253" i="88"/>
  <c r="AZ249" i="83"/>
  <c r="AZ249" i="85"/>
  <c r="AZ249" i="86"/>
  <c r="AZ249" i="90"/>
  <c r="AZ249" i="82"/>
  <c r="AZ249" i="87"/>
  <c r="AZ249" i="89"/>
  <c r="AZ245" i="83"/>
  <c r="AZ245" i="85"/>
  <c r="AZ245" i="86"/>
  <c r="AZ245" i="90"/>
  <c r="AZ245" i="82"/>
  <c r="AZ245" i="87"/>
  <c r="AZ245" i="89"/>
  <c r="AZ241" i="83"/>
  <c r="AZ241" i="85"/>
  <c r="AZ241" i="86"/>
  <c r="AZ241" i="90"/>
  <c r="AZ241" i="82"/>
  <c r="AZ241" i="87"/>
  <c r="AZ241" i="89"/>
  <c r="AZ237" i="83"/>
  <c r="AZ237" i="85"/>
  <c r="AZ237" i="86"/>
  <c r="AZ237" i="90"/>
  <c r="AZ237" i="82"/>
  <c r="AZ237" i="87"/>
  <c r="AZ237" i="89"/>
  <c r="AZ233" i="83"/>
  <c r="AZ233" i="85"/>
  <c r="AZ233" i="86"/>
  <c r="AZ233" i="90"/>
  <c r="AZ233" i="82"/>
  <c r="AZ233" i="87"/>
  <c r="AZ233" i="89"/>
  <c r="AZ229" i="83"/>
  <c r="AZ229" i="85"/>
  <c r="AZ229" i="86"/>
  <c r="AZ229" i="90"/>
  <c r="AZ229" i="82"/>
  <c r="AZ229" i="87"/>
  <c r="AZ229" i="89"/>
  <c r="AZ225" i="83"/>
  <c r="AZ225" i="85"/>
  <c r="AZ225" i="88"/>
  <c r="AZ225" i="87"/>
  <c r="AZ225" i="82"/>
  <c r="AZ225" i="86"/>
  <c r="AZ225" i="89"/>
  <c r="AY279" i="83"/>
  <c r="AY279" i="84"/>
  <c r="AY279" i="87"/>
  <c r="AY279" i="88"/>
  <c r="AY275" i="83"/>
  <c r="AY275" i="84"/>
  <c r="AY275" i="87"/>
  <c r="AY275" i="88"/>
  <c r="AY271" i="83"/>
  <c r="AY271" i="84"/>
  <c r="AY271" i="87"/>
  <c r="AY271" i="88"/>
  <c r="BB251" i="82"/>
  <c r="BB251" i="84"/>
  <c r="BB251" i="87"/>
  <c r="BB251" i="88"/>
  <c r="BB251" i="89"/>
  <c r="BB251" i="83"/>
  <c r="BB251" i="86"/>
  <c r="AT251" i="82"/>
  <c r="AT251" i="84"/>
  <c r="AT251" i="87"/>
  <c r="AT251" i="88"/>
  <c r="AT251" i="89"/>
  <c r="AT251" i="85"/>
  <c r="AT251" i="90"/>
  <c r="AU249" i="83"/>
  <c r="AU249" i="84"/>
  <c r="AU249" i="87"/>
  <c r="AU249" i="88"/>
  <c r="AU249" i="85"/>
  <c r="AU249" i="89"/>
  <c r="BB247" i="82"/>
  <c r="BB247" i="84"/>
  <c r="BB247" i="87"/>
  <c r="BB247" i="88"/>
  <c r="BB247" i="89"/>
  <c r="BB247" i="83"/>
  <c r="BB247" i="86"/>
  <c r="AT247" i="82"/>
  <c r="AT247" i="84"/>
  <c r="AT247" i="87"/>
  <c r="AT247" i="88"/>
  <c r="AT247" i="89"/>
  <c r="AT247" i="85"/>
  <c r="AT247" i="90"/>
  <c r="AU245" i="83"/>
  <c r="AU245" i="84"/>
  <c r="AU245" i="87"/>
  <c r="AU245" i="88"/>
  <c r="AU245" i="85"/>
  <c r="AU245" i="89"/>
  <c r="BB243" i="82"/>
  <c r="BB243" i="84"/>
  <c r="BB243" i="87"/>
  <c r="BB243" i="88"/>
  <c r="BB243" i="89"/>
  <c r="BB243" i="83"/>
  <c r="BB243" i="86"/>
  <c r="AT243" i="82"/>
  <c r="AT243" i="84"/>
  <c r="AT243" i="87"/>
  <c r="AT243" i="88"/>
  <c r="AT243" i="89"/>
  <c r="AT243" i="85"/>
  <c r="AT243" i="90"/>
  <c r="AU241" i="83"/>
  <c r="AU241" i="84"/>
  <c r="AU241" i="87"/>
  <c r="AU241" i="88"/>
  <c r="AU241" i="85"/>
  <c r="AU241" i="89"/>
  <c r="BB239" i="82"/>
  <c r="BB239" i="84"/>
  <c r="BB239" i="87"/>
  <c r="BB239" i="88"/>
  <c r="BB239" i="89"/>
  <c r="BB239" i="83"/>
  <c r="BB239" i="86"/>
  <c r="AT239" i="82"/>
  <c r="AT239" i="84"/>
  <c r="AT239" i="87"/>
  <c r="AT239" i="88"/>
  <c r="AT239" i="89"/>
  <c r="AT239" i="85"/>
  <c r="AT239" i="90"/>
  <c r="AU237" i="83"/>
  <c r="AU237" i="84"/>
  <c r="AU237" i="87"/>
  <c r="AU237" i="88"/>
  <c r="AU237" i="85"/>
  <c r="AU237" i="89"/>
  <c r="BB235" i="82"/>
  <c r="BB235" i="84"/>
  <c r="BB235" i="87"/>
  <c r="BB235" i="88"/>
  <c r="BB235" i="89"/>
  <c r="BB235" i="83"/>
  <c r="BB235" i="86"/>
  <c r="AT235" i="82"/>
  <c r="AT235" i="84"/>
  <c r="AT235" i="87"/>
  <c r="AT235" i="88"/>
  <c r="AT235" i="89"/>
  <c r="AT235" i="85"/>
  <c r="AT235" i="90"/>
  <c r="AU233" i="83"/>
  <c r="AU233" i="84"/>
  <c r="AU233" i="87"/>
  <c r="AU233" i="88"/>
  <c r="AU233" i="85"/>
  <c r="AU233" i="89"/>
  <c r="BB231" i="82"/>
  <c r="BB231" i="84"/>
  <c r="BB231" i="87"/>
  <c r="BB231" i="88"/>
  <c r="BB231" i="89"/>
  <c r="BB231" i="83"/>
  <c r="BB231" i="86"/>
  <c r="AT231" i="82"/>
  <c r="AT231" i="84"/>
  <c r="AT231" i="87"/>
  <c r="AT231" i="88"/>
  <c r="AT231" i="89"/>
  <c r="AT231" i="85"/>
  <c r="AT231" i="90"/>
  <c r="AU229" i="83"/>
  <c r="AU229" i="84"/>
  <c r="AU229" i="87"/>
  <c r="AU229" i="88"/>
  <c r="AU229" i="85"/>
  <c r="AU229" i="89"/>
  <c r="BB227" i="82"/>
  <c r="BB227" i="84"/>
  <c r="BB227" i="87"/>
  <c r="BB227" i="88"/>
  <c r="BB227" i="89"/>
  <c r="BB227" i="83"/>
  <c r="BB227" i="86"/>
  <c r="AT227" i="82"/>
  <c r="AT227" i="84"/>
  <c r="AT227" i="86"/>
  <c r="AT227" i="90"/>
  <c r="AT227" i="89"/>
  <c r="AT227" i="85"/>
  <c r="AT227" i="87"/>
  <c r="AU225" i="83"/>
  <c r="AU225" i="84"/>
  <c r="AU225" i="87"/>
  <c r="AU225" i="88"/>
  <c r="AU225" i="85"/>
  <c r="AU225" i="89"/>
  <c r="BB223" i="82"/>
  <c r="BB223" i="84"/>
  <c r="BB223" i="86"/>
  <c r="BB223" i="90"/>
  <c r="BB223" i="89"/>
  <c r="BB223" i="83"/>
  <c r="BB223" i="88"/>
  <c r="AY223" i="82"/>
  <c r="AY223" i="85"/>
  <c r="AY223" i="86"/>
  <c r="AY223" i="89"/>
  <c r="AY223" i="90"/>
  <c r="AY223" i="84"/>
  <c r="AY223" i="88"/>
  <c r="AT223" i="82"/>
  <c r="AT223" i="84"/>
  <c r="AT223" i="86"/>
  <c r="AT223" i="90"/>
  <c r="AT223" i="89"/>
  <c r="AT223" i="83"/>
  <c r="AT223" i="88"/>
  <c r="BB221" i="82"/>
  <c r="BB221" i="84"/>
  <c r="BB221" i="86"/>
  <c r="BB221" i="88"/>
  <c r="BB221" i="89"/>
  <c r="BB221" i="85"/>
  <c r="BB221" i="90"/>
  <c r="AY221" i="82"/>
  <c r="AY221" i="85"/>
  <c r="AY221" i="86"/>
  <c r="AY221" i="89"/>
  <c r="AY221" i="90"/>
  <c r="AY221" i="83"/>
  <c r="AY221" i="87"/>
  <c r="AT221" i="82"/>
  <c r="AT221" i="84"/>
  <c r="AT221" i="86"/>
  <c r="AT221" i="88"/>
  <c r="AT221" i="89"/>
  <c r="AT221" i="85"/>
  <c r="AT221" i="90"/>
  <c r="BB219" i="82"/>
  <c r="BB219" i="84"/>
  <c r="BB219" i="86"/>
  <c r="BB219" i="90"/>
  <c r="BB219" i="89"/>
  <c r="BB219" i="83"/>
  <c r="BB219" i="88"/>
  <c r="AY219" i="82"/>
  <c r="AY219" i="85"/>
  <c r="AY219" i="86"/>
  <c r="AY219" i="89"/>
  <c r="AY219" i="90"/>
  <c r="AY219" i="84"/>
  <c r="AY219" i="88"/>
  <c r="AT219" i="82"/>
  <c r="AT219" i="84"/>
  <c r="AT219" i="86"/>
  <c r="AT219" i="90"/>
  <c r="AT219" i="89"/>
  <c r="AT219" i="83"/>
  <c r="AT219" i="88"/>
  <c r="BB217" i="82"/>
  <c r="BB217" i="84"/>
  <c r="BB217" i="86"/>
  <c r="BB217" i="88"/>
  <c r="BB217" i="89"/>
  <c r="BB217" i="85"/>
  <c r="BB217" i="90"/>
  <c r="AY217" i="82"/>
  <c r="AY217" i="85"/>
  <c r="AY217" i="86"/>
  <c r="AY217" i="89"/>
  <c r="AY217" i="90"/>
  <c r="AY217" i="83"/>
  <c r="AY217" i="87"/>
  <c r="AT217" i="82"/>
  <c r="AT217" i="84"/>
  <c r="AT217" i="86"/>
  <c r="AT217" i="88"/>
  <c r="AT217" i="89"/>
  <c r="AT217" i="85"/>
  <c r="AT217" i="90"/>
  <c r="BB215" i="82"/>
  <c r="BB215" i="84"/>
  <c r="BB215" i="86"/>
  <c r="BB215" i="90"/>
  <c r="BB215" i="89"/>
  <c r="BB215" i="83"/>
  <c r="BB215" i="88"/>
  <c r="AT249" i="82"/>
  <c r="AT249" i="84"/>
  <c r="AT249" i="87"/>
  <c r="AT249" i="88"/>
  <c r="AT249" i="89"/>
  <c r="AT249" i="85"/>
  <c r="AT249" i="90"/>
  <c r="AT245" i="82"/>
  <c r="AT245" i="84"/>
  <c r="AT245" i="87"/>
  <c r="AT245" i="88"/>
  <c r="AT245" i="89"/>
  <c r="AT245" i="85"/>
  <c r="AT245" i="90"/>
  <c r="AT241" i="82"/>
  <c r="AT241" i="84"/>
  <c r="AT241" i="87"/>
  <c r="AT241" i="88"/>
  <c r="AT241" i="89"/>
  <c r="AT241" i="85"/>
  <c r="AT241" i="90"/>
  <c r="AT237" i="82"/>
  <c r="AT237" i="84"/>
  <c r="AT237" i="87"/>
  <c r="AT237" i="88"/>
  <c r="AT237" i="89"/>
  <c r="AT237" i="85"/>
  <c r="AT237" i="90"/>
  <c r="AT233" i="82"/>
  <c r="AT233" i="84"/>
  <c r="AT233" i="87"/>
  <c r="AT233" i="88"/>
  <c r="AT233" i="89"/>
  <c r="AT233" i="85"/>
  <c r="AT233" i="90"/>
  <c r="AT229" i="82"/>
  <c r="AT229" i="84"/>
  <c r="AT229" i="87"/>
  <c r="AT229" i="88"/>
  <c r="AT229" i="89"/>
  <c r="AT229" i="85"/>
  <c r="AT229" i="90"/>
  <c r="AT225" i="82"/>
  <c r="AT225" i="84"/>
  <c r="AT225" i="86"/>
  <c r="AT225" i="88"/>
  <c r="AT225" i="89"/>
  <c r="AT225" i="85"/>
  <c r="AT225" i="90"/>
  <c r="AZ215" i="83"/>
  <c r="AZ215" i="85"/>
  <c r="AZ215" i="87"/>
  <c r="AZ215" i="90"/>
  <c r="AZ215" i="84"/>
  <c r="AZ215" i="88"/>
  <c r="AR213" i="82"/>
  <c r="AR213" i="84"/>
  <c r="AR213" i="86"/>
  <c r="AR213" i="90"/>
  <c r="AR213" i="89"/>
  <c r="AQ211" i="82"/>
  <c r="AQ211" i="83"/>
  <c r="AQ211" i="85"/>
  <c r="AQ211" i="84"/>
  <c r="AQ211" i="86"/>
  <c r="AQ211" i="87"/>
  <c r="AQ211" i="89"/>
  <c r="AQ211" i="88"/>
  <c r="AQ211" i="90"/>
  <c r="AZ211" i="83"/>
  <c r="AZ211" i="85"/>
  <c r="AZ211" i="88"/>
  <c r="AZ211" i="87"/>
  <c r="AZ211" i="84"/>
  <c r="AZ211" i="90"/>
  <c r="AX211" i="83"/>
  <c r="AX211" i="85"/>
  <c r="AX211" i="88"/>
  <c r="AX211" i="87"/>
  <c r="AV211" i="83"/>
  <c r="AV211" i="85"/>
  <c r="AV211" i="88"/>
  <c r="AV211" i="87"/>
  <c r="AR211" i="82"/>
  <c r="AR211" i="84"/>
  <c r="AR211" i="86"/>
  <c r="AR211" i="90"/>
  <c r="AR211" i="89"/>
  <c r="AY249" i="82"/>
  <c r="AY249" i="85"/>
  <c r="AY249" i="86"/>
  <c r="AY249" i="89"/>
  <c r="AY249" i="90"/>
  <c r="AY249" i="83"/>
  <c r="AY249" i="87"/>
  <c r="AY245" i="82"/>
  <c r="AY245" i="85"/>
  <c r="AY245" i="86"/>
  <c r="AY245" i="89"/>
  <c r="AY245" i="90"/>
  <c r="AY245" i="83"/>
  <c r="AY245" i="87"/>
  <c r="AY241" i="82"/>
  <c r="AY241" i="85"/>
  <c r="AY241" i="86"/>
  <c r="AY241" i="89"/>
  <c r="AY241" i="90"/>
  <c r="AY241" i="83"/>
  <c r="AY241" i="87"/>
  <c r="AY237" i="82"/>
  <c r="AY237" i="85"/>
  <c r="AY237" i="86"/>
  <c r="AY237" i="89"/>
  <c r="AY237" i="90"/>
  <c r="AY237" i="83"/>
  <c r="AY237" i="87"/>
  <c r="AY233" i="82"/>
  <c r="AY233" i="85"/>
  <c r="AY233" i="86"/>
  <c r="AY233" i="89"/>
  <c r="AY233" i="90"/>
  <c r="AY233" i="83"/>
  <c r="AY233" i="87"/>
  <c r="AY229" i="82"/>
  <c r="AY229" i="85"/>
  <c r="AY229" i="86"/>
  <c r="AY229" i="89"/>
  <c r="AY229" i="90"/>
  <c r="AY229" i="83"/>
  <c r="AY229" i="87"/>
  <c r="AY225" i="82"/>
  <c r="AY225" i="85"/>
  <c r="AY225" i="86"/>
  <c r="AY225" i="89"/>
  <c r="AY225" i="90"/>
  <c r="AY225" i="83"/>
  <c r="AY225" i="87"/>
  <c r="AU215" i="83"/>
  <c r="AU215" i="84"/>
  <c r="AU215" i="87"/>
  <c r="AU215" i="88"/>
  <c r="AU215" i="82"/>
  <c r="AU215" i="86"/>
  <c r="AU215" i="90"/>
  <c r="BB213" i="82"/>
  <c r="BB213" i="84"/>
  <c r="BB213" i="86"/>
  <c r="BB213" i="90"/>
  <c r="BB213" i="89"/>
  <c r="BB213" i="85"/>
  <c r="BB213" i="87"/>
  <c r="AT213" i="82"/>
  <c r="AT213" i="84"/>
  <c r="AT213" i="86"/>
  <c r="AT213" i="90"/>
  <c r="AT213" i="89"/>
  <c r="AT213" i="83"/>
  <c r="AT213" i="88"/>
  <c r="AU211" i="83"/>
  <c r="AU211" i="84"/>
  <c r="AU211" i="87"/>
  <c r="AU211" i="88"/>
  <c r="AU211" i="82"/>
  <c r="AU211" i="86"/>
  <c r="AU211" i="90"/>
  <c r="AW211" i="82"/>
  <c r="AW211" i="85"/>
  <c r="AW211" i="86"/>
  <c r="AW211" i="89"/>
  <c r="AW211" i="90"/>
  <c r="AQ209" i="82"/>
  <c r="AQ209" i="83"/>
  <c r="AQ209" i="85"/>
  <c r="AQ209" i="84"/>
  <c r="AQ209" i="86"/>
  <c r="AQ209" i="87"/>
  <c r="AQ209" i="89"/>
  <c r="AQ209" i="88"/>
  <c r="AQ209" i="90"/>
  <c r="AY209" i="82"/>
  <c r="AY209" i="85"/>
  <c r="AY209" i="86"/>
  <c r="AY209" i="89"/>
  <c r="AY209" i="90"/>
  <c r="AZ209" i="83"/>
  <c r="AZ209" i="85"/>
  <c r="AZ209" i="88"/>
  <c r="AZ209" i="87"/>
  <c r="AY209" i="84"/>
  <c r="AY209" i="88"/>
  <c r="AZ209" i="84"/>
  <c r="AZ209" i="90"/>
  <c r="AX209" i="83"/>
  <c r="AX209" i="85"/>
  <c r="AX209" i="88"/>
  <c r="AX209" i="87"/>
  <c r="AV209" i="83"/>
  <c r="AV209" i="85"/>
  <c r="AV209" i="88"/>
  <c r="AV209" i="87"/>
  <c r="AR209" i="82"/>
  <c r="AR209" i="84"/>
  <c r="AR209" i="86"/>
  <c r="AR209" i="90"/>
  <c r="AR209" i="89"/>
  <c r="BA207" i="82"/>
  <c r="BA207" i="85"/>
  <c r="BA207" i="86"/>
  <c r="BA207" i="89"/>
  <c r="BA207" i="90"/>
  <c r="AW207" i="82"/>
  <c r="AW207" i="85"/>
  <c r="AW207" i="86"/>
  <c r="AW207" i="89"/>
  <c r="AW207" i="90"/>
  <c r="AR207" i="82"/>
  <c r="AR207" i="84"/>
  <c r="AR207" i="86"/>
  <c r="AR207" i="90"/>
  <c r="AR207" i="89"/>
  <c r="AQ205" i="82"/>
  <c r="AQ205" i="83"/>
  <c r="AQ205" i="85"/>
  <c r="AQ205" i="84"/>
  <c r="AQ205" i="86"/>
  <c r="AQ205" i="87"/>
  <c r="AQ205" i="89"/>
  <c r="AQ205" i="88"/>
  <c r="AQ205" i="90"/>
  <c r="AY205" i="82"/>
  <c r="AY205" i="85"/>
  <c r="AY205" i="86"/>
  <c r="AY205" i="89"/>
  <c r="AY205" i="90"/>
  <c r="AZ205" i="83"/>
  <c r="AZ205" i="85"/>
  <c r="AZ205" i="88"/>
  <c r="AZ205" i="87"/>
  <c r="AY205" i="84"/>
  <c r="AY205" i="88"/>
  <c r="AZ205" i="84"/>
  <c r="AZ205" i="90"/>
  <c r="AX205" i="83"/>
  <c r="AX205" i="85"/>
  <c r="AX205" i="88"/>
  <c r="AX205" i="87"/>
  <c r="AV205" i="83"/>
  <c r="AV205" i="85"/>
  <c r="AV205" i="88"/>
  <c r="AV205" i="87"/>
  <c r="AR205" i="82"/>
  <c r="AR205" i="84"/>
  <c r="AR205" i="86"/>
  <c r="AR205" i="90"/>
  <c r="AR205" i="89"/>
  <c r="BA203" i="82"/>
  <c r="BA203" i="85"/>
  <c r="BA203" i="86"/>
  <c r="BA203" i="89"/>
  <c r="BA203" i="90"/>
  <c r="AW203" i="82"/>
  <c r="AW203" i="85"/>
  <c r="AW203" i="86"/>
  <c r="AW203" i="89"/>
  <c r="AW203" i="90"/>
  <c r="AR203" i="82"/>
  <c r="AR203" i="84"/>
  <c r="AR203" i="86"/>
  <c r="AR203" i="90"/>
  <c r="AR203" i="89"/>
  <c r="AQ201" i="82"/>
  <c r="AQ201" i="83"/>
  <c r="AQ201" i="85"/>
  <c r="AQ201" i="84"/>
  <c r="AQ201" i="86"/>
  <c r="AQ201" i="87"/>
  <c r="AQ201" i="89"/>
  <c r="AQ201" i="88"/>
  <c r="AQ201" i="90"/>
  <c r="AZ201" i="83"/>
  <c r="AZ201" i="85"/>
  <c r="AZ201" i="88"/>
  <c r="AZ201" i="87"/>
  <c r="AZ201" i="84"/>
  <c r="AZ201" i="90"/>
  <c r="AZ201" i="86"/>
  <c r="AX201" i="83"/>
  <c r="AX201" i="85"/>
  <c r="AX201" i="88"/>
  <c r="AX201" i="87"/>
  <c r="AV201" i="83"/>
  <c r="AV201" i="85"/>
  <c r="AV201" i="88"/>
  <c r="AV201" i="87"/>
  <c r="AR201" i="82"/>
  <c r="AR201" i="84"/>
  <c r="AR201" i="86"/>
  <c r="AR201" i="90"/>
  <c r="AR201" i="89"/>
  <c r="BA199" i="82"/>
  <c r="BA199" i="85"/>
  <c r="BA199" i="86"/>
  <c r="BA199" i="89"/>
  <c r="BA199" i="90"/>
  <c r="AW199" i="82"/>
  <c r="AW199" i="85"/>
  <c r="AW199" i="86"/>
  <c r="AW199" i="89"/>
  <c r="AW199" i="90"/>
  <c r="AR199" i="82"/>
  <c r="AR199" i="84"/>
  <c r="AR199" i="86"/>
  <c r="AR199" i="90"/>
  <c r="AR199" i="89"/>
  <c r="AQ197" i="82"/>
  <c r="AQ197" i="83"/>
  <c r="AQ197" i="85"/>
  <c r="AQ197" i="84"/>
  <c r="AQ197" i="86"/>
  <c r="AQ197" i="87"/>
  <c r="AQ197" i="89"/>
  <c r="AQ197" i="88"/>
  <c r="AQ197" i="90"/>
  <c r="AZ197" i="83"/>
  <c r="AZ197" i="85"/>
  <c r="AZ197" i="88"/>
  <c r="AZ197" i="87"/>
  <c r="AZ197" i="82"/>
  <c r="AZ197" i="86"/>
  <c r="AZ197" i="89"/>
  <c r="AZ197" i="84"/>
  <c r="AX197" i="83"/>
  <c r="AX197" i="85"/>
  <c r="AX197" i="88"/>
  <c r="AX197" i="87"/>
  <c r="AV197" i="83"/>
  <c r="AV197" i="85"/>
  <c r="AV197" i="88"/>
  <c r="AV197" i="87"/>
  <c r="AR197" i="82"/>
  <c r="AR197" i="84"/>
  <c r="AR197" i="86"/>
  <c r="AR197" i="90"/>
  <c r="AR197" i="89"/>
  <c r="BA195" i="82"/>
  <c r="BA195" i="85"/>
  <c r="BA195" i="86"/>
  <c r="BA195" i="89"/>
  <c r="BA195" i="90"/>
  <c r="AW195" i="82"/>
  <c r="AW195" i="85"/>
  <c r="AW195" i="86"/>
  <c r="AW195" i="89"/>
  <c r="AW195" i="90"/>
  <c r="AR195" i="82"/>
  <c r="AR195" i="84"/>
  <c r="AR195" i="86"/>
  <c r="AR195" i="90"/>
  <c r="AR195" i="89"/>
  <c r="AQ193" i="82"/>
  <c r="AQ193" i="83"/>
  <c r="AQ193" i="85"/>
  <c r="AQ193" i="84"/>
  <c r="AQ193" i="86"/>
  <c r="AQ193" i="87"/>
  <c r="AQ193" i="89"/>
  <c r="AQ193" i="88"/>
  <c r="AQ193" i="90"/>
  <c r="AZ193" i="83"/>
  <c r="AZ193" i="85"/>
  <c r="AZ193" i="88"/>
  <c r="AZ193" i="87"/>
  <c r="AZ193" i="84"/>
  <c r="AZ193" i="90"/>
  <c r="AZ193" i="86"/>
  <c r="AX193" i="83"/>
  <c r="AX193" i="85"/>
  <c r="AX193" i="88"/>
  <c r="AX193" i="87"/>
  <c r="AV193" i="83"/>
  <c r="AV193" i="85"/>
  <c r="AV193" i="88"/>
  <c r="AV193" i="87"/>
  <c r="AR193" i="82"/>
  <c r="AR193" i="84"/>
  <c r="AR193" i="86"/>
  <c r="AR193" i="90"/>
  <c r="AR193" i="89"/>
  <c r="BA191" i="82"/>
  <c r="BA191" i="85"/>
  <c r="BA191" i="86"/>
  <c r="BA191" i="89"/>
  <c r="BA191" i="90"/>
  <c r="AW191" i="82"/>
  <c r="AW191" i="85"/>
  <c r="AW191" i="86"/>
  <c r="AW191" i="89"/>
  <c r="AW191" i="90"/>
  <c r="AR191" i="82"/>
  <c r="AR191" i="84"/>
  <c r="AR191" i="86"/>
  <c r="AR191" i="90"/>
  <c r="AR191" i="89"/>
  <c r="AQ189" i="82"/>
  <c r="AQ189" i="83"/>
  <c r="AQ189" i="85"/>
  <c r="AQ189" i="84"/>
  <c r="AQ189" i="86"/>
  <c r="AQ189" i="87"/>
  <c r="AQ189" i="89"/>
  <c r="AQ189" i="88"/>
  <c r="AQ189" i="90"/>
  <c r="AZ189" i="83"/>
  <c r="AZ189" i="85"/>
  <c r="AZ189" i="88"/>
  <c r="AZ189" i="87"/>
  <c r="AZ189" i="82"/>
  <c r="AZ189" i="86"/>
  <c r="AZ189" i="89"/>
  <c r="AZ189" i="84"/>
  <c r="AX189" i="83"/>
  <c r="AX189" i="85"/>
  <c r="AX189" i="88"/>
  <c r="AX189" i="87"/>
  <c r="AV189" i="83"/>
  <c r="AV189" i="85"/>
  <c r="AV189" i="88"/>
  <c r="AV189" i="87"/>
  <c r="AR189" i="82"/>
  <c r="AR189" i="84"/>
  <c r="AR189" i="86"/>
  <c r="AR189" i="90"/>
  <c r="AR189" i="89"/>
  <c r="BA187" i="82"/>
  <c r="BA187" i="85"/>
  <c r="BA187" i="86"/>
  <c r="BA187" i="89"/>
  <c r="BA187" i="90"/>
  <c r="AW187" i="82"/>
  <c r="AW187" i="85"/>
  <c r="AW187" i="86"/>
  <c r="AW187" i="89"/>
  <c r="AW187" i="90"/>
  <c r="AR187" i="82"/>
  <c r="AR187" i="84"/>
  <c r="AR187" i="86"/>
  <c r="AR187" i="90"/>
  <c r="AR187" i="89"/>
  <c r="AQ185" i="82"/>
  <c r="AQ185" i="83"/>
  <c r="AQ185" i="85"/>
  <c r="AQ185" i="84"/>
  <c r="AQ185" i="86"/>
  <c r="AQ185" i="87"/>
  <c r="AQ185" i="89"/>
  <c r="AQ185" i="88"/>
  <c r="AQ185" i="90"/>
  <c r="AZ185" i="83"/>
  <c r="AZ185" i="85"/>
  <c r="AZ185" i="88"/>
  <c r="AZ185" i="87"/>
  <c r="AZ185" i="84"/>
  <c r="AZ185" i="90"/>
  <c r="AZ185" i="86"/>
  <c r="AX185" i="83"/>
  <c r="AX185" i="85"/>
  <c r="AX185" i="88"/>
  <c r="AX185" i="87"/>
  <c r="AV185" i="83"/>
  <c r="AV185" i="85"/>
  <c r="AV185" i="88"/>
  <c r="AV185" i="87"/>
  <c r="AY215" i="82"/>
  <c r="AY215" i="85"/>
  <c r="AY215" i="86"/>
  <c r="AY215" i="89"/>
  <c r="AY215" i="90"/>
  <c r="AY215" i="84"/>
  <c r="AY215" i="88"/>
  <c r="AY211" i="82"/>
  <c r="AY211" i="85"/>
  <c r="AY211" i="86"/>
  <c r="AY211" i="89"/>
  <c r="AY211" i="90"/>
  <c r="AY211" i="84"/>
  <c r="AY211" i="88"/>
  <c r="AU209" i="83"/>
  <c r="AU209" i="84"/>
  <c r="AU209" i="87"/>
  <c r="AU209" i="88"/>
  <c r="AU209" i="82"/>
  <c r="AU209" i="86"/>
  <c r="AU209" i="90"/>
  <c r="AW209" i="82"/>
  <c r="AW209" i="85"/>
  <c r="AW209" i="86"/>
  <c r="AW209" i="89"/>
  <c r="AW209" i="90"/>
  <c r="BB207" i="82"/>
  <c r="BB207" i="84"/>
  <c r="BB207" i="86"/>
  <c r="BB207" i="90"/>
  <c r="BB207" i="89"/>
  <c r="BB207" i="85"/>
  <c r="BB207" i="87"/>
  <c r="AT207" i="82"/>
  <c r="AT207" i="84"/>
  <c r="AT207" i="86"/>
  <c r="AT207" i="90"/>
  <c r="AT207" i="89"/>
  <c r="AT207" i="83"/>
  <c r="AT207" i="88"/>
  <c r="AU205" i="83"/>
  <c r="AU205" i="84"/>
  <c r="AU205" i="87"/>
  <c r="AU205" i="88"/>
  <c r="AU205" i="82"/>
  <c r="AU205" i="86"/>
  <c r="AU205" i="90"/>
  <c r="AW205" i="82"/>
  <c r="AW205" i="85"/>
  <c r="AW205" i="86"/>
  <c r="AW205" i="89"/>
  <c r="AW205" i="90"/>
  <c r="BB203" i="82"/>
  <c r="BB203" i="84"/>
  <c r="BB203" i="86"/>
  <c r="BB203" i="90"/>
  <c r="BB203" i="89"/>
  <c r="BB203" i="85"/>
  <c r="BB203" i="87"/>
  <c r="AT203" i="82"/>
  <c r="AT203" i="84"/>
  <c r="AT203" i="86"/>
  <c r="AT203" i="90"/>
  <c r="AT203" i="89"/>
  <c r="AT203" i="83"/>
  <c r="AT203" i="88"/>
  <c r="AT203" i="85"/>
  <c r="AU201" i="83"/>
  <c r="AU201" i="84"/>
  <c r="AU201" i="87"/>
  <c r="AU201" i="88"/>
  <c r="AU201" i="82"/>
  <c r="AU201" i="86"/>
  <c r="AU201" i="90"/>
  <c r="AU201" i="89"/>
  <c r="AW201" i="82"/>
  <c r="AW201" i="85"/>
  <c r="AW201" i="86"/>
  <c r="AW201" i="89"/>
  <c r="AW201" i="90"/>
  <c r="BB199" i="82"/>
  <c r="BB199" i="84"/>
  <c r="BB199" i="86"/>
  <c r="BB199" i="90"/>
  <c r="BB199" i="89"/>
  <c r="BB199" i="83"/>
  <c r="BB199" i="88"/>
  <c r="BB199" i="87"/>
  <c r="AT199" i="82"/>
  <c r="AT199" i="84"/>
  <c r="AT199" i="86"/>
  <c r="AT199" i="90"/>
  <c r="AT199" i="89"/>
  <c r="AT199" i="85"/>
  <c r="AT199" i="87"/>
  <c r="AT199" i="83"/>
  <c r="AU197" i="83"/>
  <c r="AU197" i="84"/>
  <c r="AU197" i="87"/>
  <c r="AU197" i="88"/>
  <c r="AU197" i="85"/>
  <c r="AU197" i="89"/>
  <c r="AU197" i="86"/>
  <c r="AW197" i="82"/>
  <c r="AW197" i="85"/>
  <c r="AW197" i="86"/>
  <c r="AW197" i="89"/>
  <c r="AW197" i="90"/>
  <c r="BB195" i="82"/>
  <c r="BB195" i="84"/>
  <c r="BB195" i="86"/>
  <c r="BB195" i="90"/>
  <c r="BB195" i="89"/>
  <c r="BB195" i="85"/>
  <c r="BB195" i="87"/>
  <c r="BB195" i="88"/>
  <c r="AT195" i="82"/>
  <c r="AT195" i="84"/>
  <c r="AT195" i="86"/>
  <c r="AT195" i="90"/>
  <c r="AT195" i="89"/>
  <c r="AT195" i="83"/>
  <c r="AT195" i="88"/>
  <c r="AT195" i="85"/>
  <c r="AU193" i="83"/>
  <c r="AU193" i="84"/>
  <c r="AU193" i="87"/>
  <c r="AU193" i="88"/>
  <c r="AU193" i="82"/>
  <c r="AU193" i="86"/>
  <c r="AU193" i="90"/>
  <c r="AU193" i="89"/>
  <c r="AW193" i="82"/>
  <c r="AW193" i="85"/>
  <c r="AW193" i="86"/>
  <c r="AW193" i="89"/>
  <c r="AW193" i="90"/>
  <c r="BB191" i="82"/>
  <c r="BB191" i="84"/>
  <c r="BB191" i="86"/>
  <c r="BB191" i="90"/>
  <c r="BB191" i="89"/>
  <c r="BB191" i="83"/>
  <c r="BB191" i="88"/>
  <c r="BB191" i="87"/>
  <c r="AT191" i="82"/>
  <c r="AT191" i="84"/>
  <c r="AT191" i="86"/>
  <c r="AT191" i="90"/>
  <c r="AT191" i="89"/>
  <c r="AT191" i="85"/>
  <c r="AT191" i="87"/>
  <c r="AT191" i="83"/>
  <c r="AU189" i="83"/>
  <c r="AU189" i="84"/>
  <c r="AU189" i="87"/>
  <c r="AU189" i="88"/>
  <c r="AU189" i="85"/>
  <c r="AU189" i="89"/>
  <c r="AU189" i="86"/>
  <c r="AW189" i="82"/>
  <c r="AW189" i="85"/>
  <c r="AW189" i="86"/>
  <c r="AW189" i="89"/>
  <c r="AW189" i="90"/>
  <c r="BB187" i="82"/>
  <c r="BB187" i="84"/>
  <c r="BB187" i="86"/>
  <c r="BB187" i="90"/>
  <c r="BB187" i="89"/>
  <c r="BB187" i="85"/>
  <c r="BB187" i="87"/>
  <c r="BB187" i="88"/>
  <c r="AT187" i="82"/>
  <c r="AT187" i="84"/>
  <c r="AT187" i="86"/>
  <c r="AT187" i="90"/>
  <c r="AT187" i="89"/>
  <c r="AT187" i="83"/>
  <c r="AT187" i="88"/>
  <c r="AT187" i="85"/>
  <c r="AU185" i="83"/>
  <c r="AU185" i="84"/>
  <c r="AU185" i="87"/>
  <c r="AU185" i="88"/>
  <c r="AU185" i="82"/>
  <c r="AU185" i="86"/>
  <c r="AU185" i="90"/>
  <c r="AU185" i="89"/>
  <c r="AW185" i="82"/>
  <c r="AW185" i="85"/>
  <c r="AW185" i="86"/>
  <c r="AW185" i="89"/>
  <c r="AW185" i="90"/>
  <c r="AR185" i="82"/>
  <c r="AR185" i="84"/>
  <c r="AR185" i="86"/>
  <c r="AR185" i="90"/>
  <c r="AR185" i="89"/>
  <c r="BA183" i="82"/>
  <c r="BA183" i="84"/>
  <c r="BA183" i="85"/>
  <c r="BA183" i="89"/>
  <c r="BA183" i="90"/>
  <c r="AW183" i="82"/>
  <c r="AW183" i="84"/>
  <c r="AW183" i="85"/>
  <c r="AW183" i="89"/>
  <c r="AW183" i="90"/>
  <c r="AR183" i="82"/>
  <c r="AR183" i="84"/>
  <c r="AR183" i="86"/>
  <c r="AR183" i="90"/>
  <c r="AR183" i="89"/>
  <c r="AQ181" i="82"/>
  <c r="AQ181" i="83"/>
  <c r="AQ181" i="84"/>
  <c r="AQ181" i="86"/>
  <c r="AQ181" i="85"/>
  <c r="AQ181" i="87"/>
  <c r="AQ181" i="89"/>
  <c r="AQ181" i="88"/>
  <c r="AQ181" i="90"/>
  <c r="AY181" i="82"/>
  <c r="AY181" i="84"/>
  <c r="AY181" i="85"/>
  <c r="AY181" i="89"/>
  <c r="AY181" i="90"/>
  <c r="AZ181" i="83"/>
  <c r="AZ181" i="85"/>
  <c r="AZ181" i="88"/>
  <c r="AZ181" i="87"/>
  <c r="AY181" i="83"/>
  <c r="AY181" i="87"/>
  <c r="AZ181" i="82"/>
  <c r="AZ181" i="86"/>
  <c r="AZ181" i="89"/>
  <c r="AY181" i="86"/>
  <c r="AZ181" i="84"/>
  <c r="AX181" i="83"/>
  <c r="AX181" i="85"/>
  <c r="AX181" i="88"/>
  <c r="AX181" i="87"/>
  <c r="AV181" i="83"/>
  <c r="AV181" i="85"/>
  <c r="AV181" i="88"/>
  <c r="AV181" i="87"/>
  <c r="AR181" i="82"/>
  <c r="AR181" i="84"/>
  <c r="AR181" i="86"/>
  <c r="AR181" i="90"/>
  <c r="AR181" i="89"/>
  <c r="BA179" i="82"/>
  <c r="BA179" i="84"/>
  <c r="BA179" i="85"/>
  <c r="BA179" i="89"/>
  <c r="BA179" i="90"/>
  <c r="AW179" i="82"/>
  <c r="AW179" i="84"/>
  <c r="AW179" i="85"/>
  <c r="AW179" i="89"/>
  <c r="AW179" i="90"/>
  <c r="AR179" i="82"/>
  <c r="AR179" i="84"/>
  <c r="AR179" i="86"/>
  <c r="AR179" i="90"/>
  <c r="AR179" i="89"/>
  <c r="AQ177" i="82"/>
  <c r="AQ177" i="83"/>
  <c r="AQ177" i="84"/>
  <c r="AQ177" i="86"/>
  <c r="AQ177" i="85"/>
  <c r="AQ177" i="87"/>
  <c r="AQ177" i="89"/>
  <c r="AQ177" i="88"/>
  <c r="AQ177" i="90"/>
  <c r="AY177" i="82"/>
  <c r="AY177" i="84"/>
  <c r="AY177" i="85"/>
  <c r="AY177" i="89"/>
  <c r="AY177" i="90"/>
  <c r="AZ177" i="83"/>
  <c r="AZ177" i="85"/>
  <c r="AZ177" i="88"/>
  <c r="AZ177" i="87"/>
  <c r="AY177" i="86"/>
  <c r="AY177" i="88"/>
  <c r="AZ177" i="84"/>
  <c r="AZ177" i="90"/>
  <c r="AY177" i="87"/>
  <c r="AZ177" i="86"/>
  <c r="AX177" i="83"/>
  <c r="AX177" i="85"/>
  <c r="AX177" i="88"/>
  <c r="AX177" i="87"/>
  <c r="AV177" i="83"/>
  <c r="AV177" i="85"/>
  <c r="AV177" i="88"/>
  <c r="AV177" i="87"/>
  <c r="AR177" i="82"/>
  <c r="AR177" i="84"/>
  <c r="AR177" i="86"/>
  <c r="AR177" i="90"/>
  <c r="AR177" i="89"/>
  <c r="BA175" i="82"/>
  <c r="BA175" i="84"/>
  <c r="BA175" i="85"/>
  <c r="BA175" i="89"/>
  <c r="BA175" i="90"/>
  <c r="AW175" i="82"/>
  <c r="AW175" i="84"/>
  <c r="AW175" i="85"/>
  <c r="AW175" i="89"/>
  <c r="AW175" i="90"/>
  <c r="AR175" i="82"/>
  <c r="AR175" i="84"/>
  <c r="AR175" i="86"/>
  <c r="AR175" i="90"/>
  <c r="AR175" i="89"/>
  <c r="AQ173" i="82"/>
  <c r="AQ173" i="83"/>
  <c r="AQ173" i="84"/>
  <c r="AQ173" i="86"/>
  <c r="AQ173" i="85"/>
  <c r="AQ173" i="87"/>
  <c r="AQ173" i="89"/>
  <c r="AQ173" i="88"/>
  <c r="AQ173" i="90"/>
  <c r="AY173" i="82"/>
  <c r="AY173" i="84"/>
  <c r="AY173" i="85"/>
  <c r="AY173" i="89"/>
  <c r="AY173" i="90"/>
  <c r="AZ173" i="83"/>
  <c r="AZ173" i="85"/>
  <c r="AZ173" i="88"/>
  <c r="AZ173" i="87"/>
  <c r="AY173" i="83"/>
  <c r="AY173" i="87"/>
  <c r="AZ173" i="82"/>
  <c r="AZ173" i="86"/>
  <c r="AZ173" i="89"/>
  <c r="AY173" i="86"/>
  <c r="AZ173" i="84"/>
  <c r="AX173" i="83"/>
  <c r="AX173" i="85"/>
  <c r="AX173" i="88"/>
  <c r="AX173" i="87"/>
  <c r="AV173" i="83"/>
  <c r="AV173" i="85"/>
  <c r="AV173" i="88"/>
  <c r="AV173" i="87"/>
  <c r="AR173" i="82"/>
  <c r="AR173" i="84"/>
  <c r="AR173" i="86"/>
  <c r="AR173" i="90"/>
  <c r="AR173" i="89"/>
  <c r="BA171" i="82"/>
  <c r="BA171" i="84"/>
  <c r="BA171" i="85"/>
  <c r="BA171" i="89"/>
  <c r="BA171" i="90"/>
  <c r="AW171" i="82"/>
  <c r="AW171" i="84"/>
  <c r="AW171" i="85"/>
  <c r="AW171" i="89"/>
  <c r="AW171" i="90"/>
  <c r="AR171" i="82"/>
  <c r="AR171" i="84"/>
  <c r="AR171" i="86"/>
  <c r="AR171" i="90"/>
  <c r="AR171" i="89"/>
  <c r="AQ169" i="82"/>
  <c r="AQ169" i="83"/>
  <c r="AQ169" i="84"/>
  <c r="AQ169" i="86"/>
  <c r="AQ169" i="85"/>
  <c r="AQ169" i="87"/>
  <c r="AQ169" i="89"/>
  <c r="AQ169" i="88"/>
  <c r="AQ169" i="90"/>
  <c r="AY169" i="82"/>
  <c r="AY169" i="84"/>
  <c r="AY169" i="85"/>
  <c r="AY169" i="89"/>
  <c r="AY169" i="90"/>
  <c r="AZ169" i="83"/>
  <c r="AZ169" i="85"/>
  <c r="AZ169" i="88"/>
  <c r="AZ169" i="87"/>
  <c r="AY169" i="86"/>
  <c r="AY169" i="88"/>
  <c r="AZ169" i="84"/>
  <c r="AZ169" i="90"/>
  <c r="AY169" i="87"/>
  <c r="AZ169" i="86"/>
  <c r="AX169" i="83"/>
  <c r="AX169" i="85"/>
  <c r="AX169" i="88"/>
  <c r="AX169" i="87"/>
  <c r="AV169" i="83"/>
  <c r="AV169" i="85"/>
  <c r="AV169" i="88"/>
  <c r="AV169" i="87"/>
  <c r="AR169" i="82"/>
  <c r="AR169" i="84"/>
  <c r="AR169" i="86"/>
  <c r="AR169" i="90"/>
  <c r="AR169" i="89"/>
  <c r="BA167" i="82"/>
  <c r="BA167" i="84"/>
  <c r="BA167" i="85"/>
  <c r="BA167" i="89"/>
  <c r="BA167" i="90"/>
  <c r="AW167" i="82"/>
  <c r="AW167" i="84"/>
  <c r="AW167" i="85"/>
  <c r="AW167" i="89"/>
  <c r="AW167" i="90"/>
  <c r="AR167" i="82"/>
  <c r="AR167" i="84"/>
  <c r="AR167" i="86"/>
  <c r="AR167" i="90"/>
  <c r="AR167" i="89"/>
  <c r="AQ165" i="82"/>
  <c r="AQ165" i="83"/>
  <c r="AQ165" i="84"/>
  <c r="AQ165" i="86"/>
  <c r="AQ165" i="85"/>
  <c r="AQ165" i="87"/>
  <c r="AQ165" i="89"/>
  <c r="AQ165" i="88"/>
  <c r="AQ165" i="90"/>
  <c r="AY165" i="82"/>
  <c r="AY165" i="84"/>
  <c r="AY165" i="85"/>
  <c r="AY165" i="89"/>
  <c r="AY165" i="90"/>
  <c r="AZ165" i="83"/>
  <c r="AZ165" i="85"/>
  <c r="AZ165" i="88"/>
  <c r="AZ165" i="87"/>
  <c r="AY165" i="83"/>
  <c r="AY165" i="87"/>
  <c r="AZ165" i="82"/>
  <c r="AZ165" i="86"/>
  <c r="AZ165" i="89"/>
  <c r="AY165" i="88"/>
  <c r="AZ165" i="90"/>
  <c r="AX165" i="84"/>
  <c r="AX165" i="85"/>
  <c r="AX165" i="88"/>
  <c r="AX165" i="87"/>
  <c r="AV165" i="83"/>
  <c r="AV165" i="85"/>
  <c r="AV165" i="88"/>
  <c r="AV165" i="87"/>
  <c r="AR165" i="82"/>
  <c r="AR165" i="84"/>
  <c r="AR165" i="86"/>
  <c r="AR165" i="90"/>
  <c r="AR165" i="89"/>
  <c r="BA163" i="82"/>
  <c r="BA163" i="84"/>
  <c r="BA163" i="85"/>
  <c r="BA163" i="89"/>
  <c r="BA163" i="90"/>
  <c r="AW163" i="82"/>
  <c r="AW163" i="84"/>
  <c r="AW163" i="85"/>
  <c r="AW163" i="89"/>
  <c r="AW163" i="90"/>
  <c r="AR163" i="82"/>
  <c r="AR163" i="83"/>
  <c r="AR163" i="86"/>
  <c r="AR163" i="90"/>
  <c r="AR163" i="89"/>
  <c r="AQ161" i="82"/>
  <c r="AQ161" i="83"/>
  <c r="AQ161" i="84"/>
  <c r="AQ161" i="86"/>
  <c r="AQ161" i="85"/>
  <c r="AQ161" i="87"/>
  <c r="AQ161" i="89"/>
  <c r="AQ161" i="88"/>
  <c r="AQ161" i="90"/>
  <c r="AY161" i="82"/>
  <c r="AY161" i="84"/>
  <c r="AY161" i="85"/>
  <c r="AY161" i="89"/>
  <c r="AY161" i="90"/>
  <c r="AZ161" i="83"/>
  <c r="AZ161" i="85"/>
  <c r="AZ161" i="88"/>
  <c r="AZ161" i="87"/>
  <c r="AY161" i="86"/>
  <c r="AY161" i="88"/>
  <c r="AZ161" i="84"/>
  <c r="AZ161" i="90"/>
  <c r="AY161" i="83"/>
  <c r="AZ161" i="82"/>
  <c r="AZ161" i="89"/>
  <c r="AX161" i="84"/>
  <c r="AX161" i="85"/>
  <c r="AX161" i="88"/>
  <c r="AX161" i="87"/>
  <c r="AV161" i="83"/>
  <c r="AV161" i="85"/>
  <c r="AV161" i="88"/>
  <c r="AV161" i="87"/>
  <c r="AR161" i="82"/>
  <c r="AR161" i="84"/>
  <c r="AR161" i="86"/>
  <c r="AR161" i="90"/>
  <c r="AR161" i="89"/>
  <c r="BA159" i="82"/>
  <c r="BA159" i="84"/>
  <c r="BA159" i="85"/>
  <c r="BA159" i="89"/>
  <c r="BA159" i="90"/>
  <c r="AW159" i="82"/>
  <c r="AW159" i="84"/>
  <c r="AW159" i="85"/>
  <c r="AW159" i="89"/>
  <c r="AW159" i="90"/>
  <c r="AR159" i="82"/>
  <c r="AR159" i="83"/>
  <c r="AR159" i="86"/>
  <c r="AR159" i="90"/>
  <c r="AR159" i="89"/>
  <c r="AQ157" i="82"/>
  <c r="AQ157" i="83"/>
  <c r="AQ157" i="84"/>
  <c r="AQ157" i="86"/>
  <c r="AQ157" i="85"/>
  <c r="AQ157" i="87"/>
  <c r="AQ157" i="89"/>
  <c r="AQ157" i="88"/>
  <c r="AQ157" i="90"/>
  <c r="AY157" i="82"/>
  <c r="AY157" i="84"/>
  <c r="AY157" i="85"/>
  <c r="AY157" i="89"/>
  <c r="AY157" i="90"/>
  <c r="AZ157" i="83"/>
  <c r="AZ157" i="85"/>
  <c r="AZ157" i="88"/>
  <c r="AZ157" i="87"/>
  <c r="AY157" i="83"/>
  <c r="AY157" i="87"/>
  <c r="AZ157" i="82"/>
  <c r="AZ157" i="86"/>
  <c r="AZ157" i="89"/>
  <c r="AY157" i="86"/>
  <c r="AZ157" i="84"/>
  <c r="AX157" i="84"/>
  <c r="AX157" i="85"/>
  <c r="AX157" i="88"/>
  <c r="AX157" i="87"/>
  <c r="AV157" i="83"/>
  <c r="AV157" i="85"/>
  <c r="AV157" i="88"/>
  <c r="AV157" i="87"/>
  <c r="AR157" i="82"/>
  <c r="AR157" i="84"/>
  <c r="AR157" i="86"/>
  <c r="AR157" i="90"/>
  <c r="AR157" i="89"/>
  <c r="BA155" i="82"/>
  <c r="BA155" i="84"/>
  <c r="BA155" i="85"/>
  <c r="BA155" i="89"/>
  <c r="BA155" i="90"/>
  <c r="AW155" i="82"/>
  <c r="AW155" i="84"/>
  <c r="AW155" i="85"/>
  <c r="AW155" i="89"/>
  <c r="AW155" i="90"/>
  <c r="AR155" i="82"/>
  <c r="AR155" i="83"/>
  <c r="AR155" i="86"/>
  <c r="AR155" i="90"/>
  <c r="AR155" i="89"/>
  <c r="AT215" i="82"/>
  <c r="AT215" i="84"/>
  <c r="AT215" i="86"/>
  <c r="AT215" i="90"/>
  <c r="AT215" i="89"/>
  <c r="AT215" i="83"/>
  <c r="AT215" i="88"/>
  <c r="AT211" i="82"/>
  <c r="AT211" i="84"/>
  <c r="AT211" i="86"/>
  <c r="AT211" i="90"/>
  <c r="AT211" i="89"/>
  <c r="AT211" i="83"/>
  <c r="AT211" i="88"/>
  <c r="AT209" i="82"/>
  <c r="AT209" i="84"/>
  <c r="AT209" i="86"/>
  <c r="AT209" i="90"/>
  <c r="AT209" i="89"/>
  <c r="AT209" i="83"/>
  <c r="AT209" i="88"/>
  <c r="AT205" i="82"/>
  <c r="AT205" i="84"/>
  <c r="AT205" i="86"/>
  <c r="AT205" i="90"/>
  <c r="AT205" i="89"/>
  <c r="AT205" i="83"/>
  <c r="AT205" i="88"/>
  <c r="AY201" i="82"/>
  <c r="AY201" i="85"/>
  <c r="AY201" i="86"/>
  <c r="AY201" i="89"/>
  <c r="AY201" i="90"/>
  <c r="AY201" i="84"/>
  <c r="AY201" i="88"/>
  <c r="AY201" i="87"/>
  <c r="AY197" i="82"/>
  <c r="AY197" i="85"/>
  <c r="AY197" i="86"/>
  <c r="AY197" i="89"/>
  <c r="AY197" i="90"/>
  <c r="AY197" i="83"/>
  <c r="AY197" i="87"/>
  <c r="AY197" i="84"/>
  <c r="AY193" i="82"/>
  <c r="AY193" i="85"/>
  <c r="AY193" i="86"/>
  <c r="AY193" i="89"/>
  <c r="AY193" i="90"/>
  <c r="AY193" i="84"/>
  <c r="AY193" i="88"/>
  <c r="AY193" i="87"/>
  <c r="AY189" i="82"/>
  <c r="AY189" i="85"/>
  <c r="AY189" i="86"/>
  <c r="AY189" i="89"/>
  <c r="AY189" i="90"/>
  <c r="AY189" i="83"/>
  <c r="AY189" i="87"/>
  <c r="AY189" i="84"/>
  <c r="AY185" i="82"/>
  <c r="AY185" i="85"/>
  <c r="AY185" i="86"/>
  <c r="AY185" i="89"/>
  <c r="AY185" i="90"/>
  <c r="AY185" i="84"/>
  <c r="AY185" i="88"/>
  <c r="AY185" i="87"/>
  <c r="BB183" i="82"/>
  <c r="BB183" i="84"/>
  <c r="BB183" i="86"/>
  <c r="BB183" i="90"/>
  <c r="BB183" i="89"/>
  <c r="BB183" i="83"/>
  <c r="BB183" i="88"/>
  <c r="BB183" i="87"/>
  <c r="AT183" i="82"/>
  <c r="AT183" i="84"/>
  <c r="AT183" i="86"/>
  <c r="AT183" i="90"/>
  <c r="AT183" i="89"/>
  <c r="AT183" i="85"/>
  <c r="AT183" i="87"/>
  <c r="AT183" i="83"/>
  <c r="AU181" i="83"/>
  <c r="AU181" i="86"/>
  <c r="AU181" i="87"/>
  <c r="AU181" i="88"/>
  <c r="AU181" i="84"/>
  <c r="AU181" i="89"/>
  <c r="AU181" i="85"/>
  <c r="AW181" i="82"/>
  <c r="AW181" i="84"/>
  <c r="AW181" i="85"/>
  <c r="AW181" i="89"/>
  <c r="AW181" i="90"/>
  <c r="BB179" i="82"/>
  <c r="BB179" i="84"/>
  <c r="BB179" i="86"/>
  <c r="BB179" i="90"/>
  <c r="BB179" i="89"/>
  <c r="BB179" i="85"/>
  <c r="BB179" i="87"/>
  <c r="BB179" i="88"/>
  <c r="AT179" i="82"/>
  <c r="AT179" i="84"/>
  <c r="AT179" i="86"/>
  <c r="AT179" i="90"/>
  <c r="AT179" i="89"/>
  <c r="AT179" i="83"/>
  <c r="AT179" i="88"/>
  <c r="AT179" i="85"/>
  <c r="AU177" i="83"/>
  <c r="AU177" i="86"/>
  <c r="AU177" i="87"/>
  <c r="AU177" i="88"/>
  <c r="AU177" i="82"/>
  <c r="AU177" i="85"/>
  <c r="AU177" i="90"/>
  <c r="AU177" i="89"/>
  <c r="AW177" i="82"/>
  <c r="AW177" i="84"/>
  <c r="AW177" i="85"/>
  <c r="AW177" i="89"/>
  <c r="AW177" i="90"/>
  <c r="BB175" i="82"/>
  <c r="BB175" i="84"/>
  <c r="BB175" i="86"/>
  <c r="BB175" i="90"/>
  <c r="BB175" i="89"/>
  <c r="BB175" i="83"/>
  <c r="BB175" i="88"/>
  <c r="BB175" i="87"/>
  <c r="AT175" i="82"/>
  <c r="AT175" i="84"/>
  <c r="AT175" i="86"/>
  <c r="AT175" i="90"/>
  <c r="AT175" i="89"/>
  <c r="AT175" i="85"/>
  <c r="AT175" i="87"/>
  <c r="AT175" i="83"/>
  <c r="AR291" i="91"/>
  <c r="AR295" i="91"/>
  <c r="AR327" i="91"/>
  <c r="AR335" i="91"/>
  <c r="BA339" i="91"/>
  <c r="BA319" i="91"/>
  <c r="BA311" i="91"/>
  <c r="BA303" i="91"/>
  <c r="BA295" i="91"/>
  <c r="BA291" i="91"/>
  <c r="BA287" i="91"/>
  <c r="BC285" i="91"/>
  <c r="AX283" i="91"/>
  <c r="BC281" i="91"/>
  <c r="BA279" i="91"/>
  <c r="AW279" i="91"/>
  <c r="AR279" i="91"/>
  <c r="AQ277" i="91"/>
  <c r="AW277" i="91"/>
  <c r="AR277" i="91"/>
  <c r="BA275" i="91"/>
  <c r="AW275" i="91"/>
  <c r="AR275" i="91"/>
  <c r="AQ273" i="91"/>
  <c r="AW273" i="91"/>
  <c r="AR273" i="91"/>
  <c r="BA271" i="91"/>
  <c r="AW271" i="91"/>
  <c r="AR271" i="91"/>
  <c r="BC269" i="91"/>
  <c r="AV269" i="91"/>
  <c r="AX267" i="91"/>
  <c r="AV267" i="91"/>
  <c r="AX265" i="91"/>
  <c r="AV265" i="91"/>
  <c r="AX263" i="91"/>
  <c r="AV263" i="91"/>
  <c r="AX261" i="91"/>
  <c r="AV261" i="91"/>
  <c r="AX259" i="91"/>
  <c r="AV259" i="91"/>
  <c r="AX257" i="91"/>
  <c r="AV257" i="91"/>
  <c r="AX255" i="91"/>
  <c r="AV255" i="91"/>
  <c r="AX253" i="91"/>
  <c r="AV253" i="91"/>
  <c r="BC249" i="91"/>
  <c r="AX249" i="91"/>
  <c r="AV249" i="91"/>
  <c r="BC245" i="91"/>
  <c r="AX245" i="91"/>
  <c r="AV245" i="91"/>
  <c r="BC241" i="91"/>
  <c r="AX241" i="91"/>
  <c r="AV241" i="91"/>
  <c r="BC237" i="91"/>
  <c r="AX237" i="91"/>
  <c r="AV237" i="91"/>
  <c r="BC233" i="91"/>
  <c r="AX233" i="91"/>
  <c r="AV233" i="91"/>
  <c r="BC229" i="91"/>
  <c r="AX229" i="91"/>
  <c r="AV229" i="91"/>
  <c r="BC225" i="91"/>
  <c r="AX225" i="91"/>
  <c r="AV225" i="91"/>
  <c r="AV223" i="91"/>
  <c r="AV221" i="91"/>
  <c r="AV219" i="91"/>
  <c r="AV217" i="91"/>
  <c r="AX215" i="91"/>
  <c r="AV215" i="91"/>
  <c r="BC211" i="91"/>
  <c r="AX211" i="91"/>
  <c r="AV211" i="91"/>
  <c r="BC209" i="91"/>
  <c r="AX209" i="91"/>
  <c r="AV209" i="91"/>
  <c r="BC205" i="91"/>
  <c r="AX205" i="91"/>
  <c r="AV205" i="91"/>
  <c r="BC201" i="91"/>
  <c r="AX201" i="91"/>
  <c r="AV201" i="91"/>
  <c r="BC197" i="91"/>
  <c r="AX197" i="91"/>
  <c r="AV197" i="91"/>
  <c r="BC193" i="91"/>
  <c r="AX193" i="91"/>
  <c r="AV193" i="91"/>
  <c r="BC189" i="91"/>
  <c r="AX189" i="91"/>
  <c r="AV189" i="91"/>
  <c r="BC185" i="91"/>
  <c r="AX185" i="91"/>
  <c r="AV185" i="91"/>
  <c r="BC181" i="91"/>
  <c r="AV349" i="91"/>
  <c r="BA329" i="91"/>
  <c r="BA317" i="91"/>
  <c r="BA309" i="91"/>
  <c r="BA301" i="91"/>
  <c r="BA285" i="91"/>
  <c r="AR285" i="91"/>
  <c r="BA281" i="91"/>
  <c r="AR281" i="91"/>
  <c r="AY279" i="91"/>
  <c r="AY275" i="91"/>
  <c r="AY271" i="91"/>
  <c r="AX181" i="91"/>
  <c r="AV181" i="91"/>
  <c r="BC177" i="91"/>
  <c r="AX177" i="91"/>
  <c r="AV177" i="91"/>
  <c r="BC173" i="91"/>
  <c r="AX173" i="91"/>
  <c r="AV173" i="91"/>
  <c r="BC169" i="91"/>
  <c r="AX169" i="91"/>
  <c r="AV169" i="91"/>
  <c r="BC165" i="91"/>
  <c r="AX165" i="91"/>
  <c r="AV165" i="91"/>
  <c r="BC161" i="91"/>
  <c r="AX161" i="91"/>
  <c r="AV161" i="91"/>
  <c r="BC157" i="91"/>
  <c r="AX157" i="91"/>
  <c r="AV157" i="91"/>
  <c r="AZ269" i="91"/>
  <c r="AU269" i="91"/>
  <c r="AZ267" i="91"/>
  <c r="AU267" i="91"/>
  <c r="AZ265" i="91"/>
  <c r="AU265" i="91"/>
  <c r="AZ263" i="91"/>
  <c r="AU263" i="91"/>
  <c r="AZ261" i="91"/>
  <c r="AU261" i="91"/>
  <c r="AZ259" i="91"/>
  <c r="AU259" i="91"/>
  <c r="AZ257" i="91"/>
  <c r="AU257" i="91"/>
  <c r="AZ255" i="91"/>
  <c r="AU255" i="91"/>
  <c r="AZ253" i="91"/>
  <c r="AU253" i="91"/>
  <c r="AZ249" i="91"/>
  <c r="AU249" i="91"/>
  <c r="AZ245" i="91"/>
  <c r="AU245" i="91"/>
  <c r="AZ241" i="91"/>
  <c r="AU241" i="91"/>
  <c r="AZ237" i="91"/>
  <c r="AU237" i="91"/>
  <c r="AZ233" i="91"/>
  <c r="AU233" i="91"/>
  <c r="AZ229" i="91"/>
  <c r="AU229" i="91"/>
  <c r="AZ225" i="91"/>
  <c r="AU225" i="91"/>
  <c r="AZ215" i="91"/>
  <c r="AU215" i="91"/>
  <c r="AZ211" i="91"/>
  <c r="AU211" i="91"/>
  <c r="AZ209" i="91"/>
  <c r="AU209" i="91"/>
  <c r="AZ205" i="91"/>
  <c r="AU205" i="91"/>
  <c r="AZ201" i="91"/>
  <c r="AU201" i="91"/>
  <c r="AZ197" i="91"/>
  <c r="AU197" i="91"/>
  <c r="AZ193" i="91"/>
  <c r="AU193" i="91"/>
  <c r="AZ189" i="91"/>
  <c r="AU189" i="91"/>
  <c r="AZ185" i="91"/>
  <c r="AU185" i="91"/>
  <c r="AZ181" i="91"/>
  <c r="AU181" i="91"/>
  <c r="AZ177" i="91"/>
  <c r="AU177" i="91"/>
  <c r="BB175" i="91"/>
  <c r="AT175" i="91"/>
  <c r="AY173" i="91"/>
  <c r="AY169" i="91"/>
  <c r="AY165" i="91"/>
  <c r="AY161" i="91"/>
  <c r="AY157" i="91"/>
  <c r="AY283" i="91"/>
  <c r="AT345" i="90"/>
  <c r="AT345" i="86"/>
  <c r="AT345" i="85"/>
  <c r="AT345" i="83"/>
  <c r="BA339" i="90"/>
  <c r="BA339" i="89"/>
  <c r="BA339" i="86"/>
  <c r="BA339" i="85"/>
  <c r="BA339" i="82"/>
  <c r="BA331" i="88"/>
  <c r="BA331" i="87"/>
  <c r="BA331" i="84"/>
  <c r="BA331" i="83"/>
  <c r="BA323" i="88"/>
  <c r="BA323" i="87"/>
  <c r="BA323" i="84"/>
  <c r="BA323" i="83"/>
  <c r="BA319" i="90"/>
  <c r="BA319" i="89"/>
  <c r="BA319" i="86"/>
  <c r="BA319" i="85"/>
  <c r="BA319" i="82"/>
  <c r="BA315" i="88"/>
  <c r="BA315" i="87"/>
  <c r="BA315" i="84"/>
  <c r="BA315" i="83"/>
  <c r="BA311" i="90"/>
  <c r="BA311" i="89"/>
  <c r="BA311" i="86"/>
  <c r="BA311" i="85"/>
  <c r="BA311" i="82"/>
  <c r="BA307" i="88"/>
  <c r="BA307" i="87"/>
  <c r="BA307" i="84"/>
  <c r="BA307" i="83"/>
  <c r="BA303" i="90"/>
  <c r="BA303" i="89"/>
  <c r="BA303" i="86"/>
  <c r="BA303" i="85"/>
  <c r="BA303" i="82"/>
  <c r="BA299" i="88"/>
  <c r="BA299" i="87"/>
  <c r="BA299" i="84"/>
  <c r="BA299" i="83"/>
  <c r="BA295" i="90"/>
  <c r="BA295" i="89"/>
  <c r="BA295" i="86"/>
  <c r="BA295" i="85"/>
  <c r="BA295" i="82"/>
  <c r="BA291" i="90"/>
  <c r="BA291" i="89"/>
  <c r="BA291" i="86"/>
  <c r="BA291" i="85"/>
  <c r="BA291" i="82"/>
  <c r="BA287" i="90"/>
  <c r="BA287" i="89"/>
  <c r="BA287" i="86"/>
  <c r="BA287" i="85"/>
  <c r="BA287" i="82"/>
  <c r="AV287" i="90"/>
  <c r="AV287" i="86"/>
  <c r="AV287" i="85"/>
  <c r="AV287" i="83"/>
  <c r="BC285" i="90"/>
  <c r="BC285" i="88"/>
  <c r="BC285" i="89"/>
  <c r="BC285" i="87"/>
  <c r="BC285" i="86"/>
  <c r="BC285" i="84"/>
  <c r="BC285" i="85"/>
  <c r="BC285" i="83"/>
  <c r="AX283" i="89"/>
  <c r="AX283" i="88"/>
  <c r="AX283" i="87"/>
  <c r="AX283" i="84"/>
  <c r="AX283" i="82"/>
  <c r="AV283" i="90"/>
  <c r="AV283" i="86"/>
  <c r="AV283" i="85"/>
  <c r="AV283" i="83"/>
  <c r="BC281" i="90"/>
  <c r="BC281" i="88"/>
  <c r="BC281" i="89"/>
  <c r="BC281" i="87"/>
  <c r="BC281" i="86"/>
  <c r="BC281" i="84"/>
  <c r="BC281" i="85"/>
  <c r="BC281" i="83"/>
  <c r="BA279" i="90"/>
  <c r="BA279" i="89"/>
  <c r="BA279" i="86"/>
  <c r="BA279" i="85"/>
  <c r="BA279" i="82"/>
  <c r="AX279" i="90"/>
  <c r="AX279" i="86"/>
  <c r="AX279" i="85"/>
  <c r="AX279" i="83"/>
  <c r="AW279" i="90"/>
  <c r="AW279" i="89"/>
  <c r="AW279" i="86"/>
  <c r="AW279" i="85"/>
  <c r="AW279" i="82"/>
  <c r="AV279" i="90"/>
  <c r="AV279" i="86"/>
  <c r="AV279" i="85"/>
  <c r="AR279" i="89"/>
  <c r="AR279" i="88"/>
  <c r="AR279" i="87"/>
  <c r="AR279" i="84"/>
  <c r="AQ277" i="90"/>
  <c r="AQ277" i="88"/>
  <c r="AQ277" i="89"/>
  <c r="AQ277" i="87"/>
  <c r="AQ277" i="86"/>
  <c r="AQ277" i="84"/>
  <c r="AQ277" i="85"/>
  <c r="AQ277" i="83"/>
  <c r="AW277" i="90"/>
  <c r="AW277" i="89"/>
  <c r="AW277" i="86"/>
  <c r="AW277" i="85"/>
  <c r="AV277" i="90"/>
  <c r="AV277" i="86"/>
  <c r="AV277" i="85"/>
  <c r="AV277" i="83"/>
  <c r="AR277" i="89"/>
  <c r="AR277" i="88"/>
  <c r="AR277" i="87"/>
  <c r="AR277" i="84"/>
  <c r="BA275" i="90"/>
  <c r="BA275" i="89"/>
  <c r="BA275" i="86"/>
  <c r="BA275" i="85"/>
  <c r="BA275" i="82"/>
  <c r="AX275" i="90"/>
  <c r="AX275" i="86"/>
  <c r="AX275" i="85"/>
  <c r="AX275" i="83"/>
  <c r="AW275" i="90"/>
  <c r="AW275" i="89"/>
  <c r="AW275" i="86"/>
  <c r="AW275" i="85"/>
  <c r="AW275" i="82"/>
  <c r="AV275" i="90"/>
  <c r="AV275" i="86"/>
  <c r="AV275" i="85"/>
  <c r="AR275" i="89"/>
  <c r="AR275" i="88"/>
  <c r="AR275" i="87"/>
  <c r="AR275" i="84"/>
  <c r="AQ273" i="90"/>
  <c r="AQ273" i="88"/>
  <c r="AQ273" i="89"/>
  <c r="AQ273" i="87"/>
  <c r="AQ273" i="86"/>
  <c r="AQ273" i="84"/>
  <c r="AQ273" i="85"/>
  <c r="AQ273" i="83"/>
  <c r="AW273" i="90"/>
  <c r="AW273" i="89"/>
  <c r="AW273" i="86"/>
  <c r="AW273" i="85"/>
  <c r="AV273" i="90"/>
  <c r="AV273" i="86"/>
  <c r="AV273" i="85"/>
  <c r="AV273" i="83"/>
  <c r="AR273" i="89"/>
  <c r="AR273" i="88"/>
  <c r="AR273" i="87"/>
  <c r="AR273" i="84"/>
  <c r="BA271" i="90"/>
  <c r="BA271" i="89"/>
  <c r="BA271" i="86"/>
  <c r="BA271" i="85"/>
  <c r="BA271" i="82"/>
  <c r="AX271" i="90"/>
  <c r="AX271" i="86"/>
  <c r="AX271" i="85"/>
  <c r="AX271" i="83"/>
  <c r="AW271" i="90"/>
  <c r="AW271" i="89"/>
  <c r="AW271" i="86"/>
  <c r="AW271" i="85"/>
  <c r="AW271" i="82"/>
  <c r="AV271" i="90"/>
  <c r="AV271" i="86"/>
  <c r="AV271" i="85"/>
  <c r="AR271" i="89"/>
  <c r="AR271" i="88"/>
  <c r="AR271" i="87"/>
  <c r="AR271" i="84"/>
  <c r="AQ269" i="90"/>
  <c r="AQ269" i="88"/>
  <c r="AQ269" i="89"/>
  <c r="AQ269" i="87"/>
  <c r="AQ269" i="86"/>
  <c r="AQ269" i="84"/>
  <c r="AQ269" i="85"/>
  <c r="AQ269" i="83"/>
  <c r="AW269" i="90"/>
  <c r="AW269" i="89"/>
  <c r="AW269" i="86"/>
  <c r="AW269" i="85"/>
  <c r="AV269" i="90"/>
  <c r="AV269" i="86"/>
  <c r="AV269" i="85"/>
  <c r="AV269" i="83"/>
  <c r="AR269" i="89"/>
  <c r="AR269" i="88"/>
  <c r="AR269" i="87"/>
  <c r="AR269" i="84"/>
  <c r="BA267" i="90"/>
  <c r="BA267" i="89"/>
  <c r="BA267" i="86"/>
  <c r="BA267" i="85"/>
  <c r="BA267" i="82"/>
  <c r="AX267" i="90"/>
  <c r="AX267" i="86"/>
  <c r="AX267" i="85"/>
  <c r="AX267" i="83"/>
  <c r="AW267" i="90"/>
  <c r="AW267" i="89"/>
  <c r="AW267" i="86"/>
  <c r="AW267" i="85"/>
  <c r="AW267" i="82"/>
  <c r="AV267" i="90"/>
  <c r="AV267" i="86"/>
  <c r="AV267" i="85"/>
  <c r="AV267" i="83"/>
  <c r="AR267" i="89"/>
  <c r="AR267" i="88"/>
  <c r="AR267" i="87"/>
  <c r="AR267" i="84"/>
  <c r="BA265" i="90"/>
  <c r="BA265" i="89"/>
  <c r="BA265" i="86"/>
  <c r="BA265" i="85"/>
  <c r="BA265" i="82"/>
  <c r="AX265" i="90"/>
  <c r="AX265" i="86"/>
  <c r="AX265" i="85"/>
  <c r="AX265" i="83"/>
  <c r="AW265" i="90"/>
  <c r="AW265" i="89"/>
  <c r="AW265" i="86"/>
  <c r="AW265" i="85"/>
  <c r="AV265" i="90"/>
  <c r="AV265" i="86"/>
  <c r="AV265" i="85"/>
  <c r="AV265" i="83"/>
  <c r="AR265" i="89"/>
  <c r="AR265" i="88"/>
  <c r="AR265" i="87"/>
  <c r="AR265" i="84"/>
  <c r="BA263" i="90"/>
  <c r="BA263" i="89"/>
  <c r="BA263" i="86"/>
  <c r="BA263" i="85"/>
  <c r="BA263" i="82"/>
  <c r="AX263" i="90"/>
  <c r="AX263" i="86"/>
  <c r="AX263" i="85"/>
  <c r="AX263" i="83"/>
  <c r="AW263" i="90"/>
  <c r="AW263" i="89"/>
  <c r="AW263" i="86"/>
  <c r="AW263" i="85"/>
  <c r="AW263" i="82"/>
  <c r="AV263" i="90"/>
  <c r="AV263" i="86"/>
  <c r="AV263" i="85"/>
  <c r="AV263" i="83"/>
  <c r="AR263" i="89"/>
  <c r="AR263" i="88"/>
  <c r="AR263" i="87"/>
  <c r="AR263" i="84"/>
  <c r="BA261" i="90"/>
  <c r="BA261" i="89"/>
  <c r="BA261" i="86"/>
  <c r="BA261" i="85"/>
  <c r="BA261" i="82"/>
  <c r="AX261" i="90"/>
  <c r="AX261" i="86"/>
  <c r="AX261" i="85"/>
  <c r="AX261" i="83"/>
  <c r="AW261" i="90"/>
  <c r="AW261" i="89"/>
  <c r="AW261" i="86"/>
  <c r="AW261" i="85"/>
  <c r="AV261" i="90"/>
  <c r="AV261" i="86"/>
  <c r="AV261" i="85"/>
  <c r="AV261" i="83"/>
  <c r="AR261" i="89"/>
  <c r="AR261" i="88"/>
  <c r="AR261" i="87"/>
  <c r="AR261" i="84"/>
  <c r="BA259" i="90"/>
  <c r="BA259" i="89"/>
  <c r="BA259" i="86"/>
  <c r="BA259" i="85"/>
  <c r="BA259" i="82"/>
  <c r="AX259" i="90"/>
  <c r="AX259" i="86"/>
  <c r="AX259" i="85"/>
  <c r="AX259" i="83"/>
  <c r="AW259" i="90"/>
  <c r="AW259" i="89"/>
  <c r="AW259" i="86"/>
  <c r="AW259" i="85"/>
  <c r="AW259" i="82"/>
  <c r="AV259" i="90"/>
  <c r="AV259" i="86"/>
  <c r="AV259" i="85"/>
  <c r="AV259" i="83"/>
  <c r="AR259" i="89"/>
  <c r="AR259" i="88"/>
  <c r="AR259" i="87"/>
  <c r="AR259" i="84"/>
  <c r="BA257" i="90"/>
  <c r="BA257" i="89"/>
  <c r="BA257" i="86"/>
  <c r="BA257" i="85"/>
  <c r="BA257" i="82"/>
  <c r="AX257" i="90"/>
  <c r="AX257" i="86"/>
  <c r="AX257" i="85"/>
  <c r="AX257" i="83"/>
  <c r="AW257" i="90"/>
  <c r="AW257" i="89"/>
  <c r="AW257" i="86"/>
  <c r="AW257" i="85"/>
  <c r="AV257" i="90"/>
  <c r="AV257" i="86"/>
  <c r="AV257" i="85"/>
  <c r="AV257" i="83"/>
  <c r="AR257" i="89"/>
  <c r="AR257" i="88"/>
  <c r="AR257" i="87"/>
  <c r="AR257" i="84"/>
  <c r="BA255" i="90"/>
  <c r="BA255" i="89"/>
  <c r="BA255" i="86"/>
  <c r="BA255" i="85"/>
  <c r="BA255" i="82"/>
  <c r="AX255" i="90"/>
  <c r="AX255" i="86"/>
  <c r="AX255" i="85"/>
  <c r="AX255" i="83"/>
  <c r="AW255" i="90"/>
  <c r="AW255" i="89"/>
  <c r="AW255" i="86"/>
  <c r="AW255" i="85"/>
  <c r="AW255" i="82"/>
  <c r="AV255" i="90"/>
  <c r="AV255" i="86"/>
  <c r="AV255" i="85"/>
  <c r="AV255" i="83"/>
  <c r="AR255" i="89"/>
  <c r="AR255" i="88"/>
  <c r="AR255" i="87"/>
  <c r="AR255" i="84"/>
  <c r="BA253" i="90"/>
  <c r="BA253" i="89"/>
  <c r="BA253" i="86"/>
  <c r="BA253" i="85"/>
  <c r="BA253" i="82"/>
  <c r="AX253" i="90"/>
  <c r="AX253" i="86"/>
  <c r="AX253" i="85"/>
  <c r="AX253" i="83"/>
  <c r="AW253" i="90"/>
  <c r="AW253" i="89"/>
  <c r="AW253" i="86"/>
  <c r="AW253" i="85"/>
  <c r="AV253" i="90"/>
  <c r="AV253" i="86"/>
  <c r="AV253" i="85"/>
  <c r="AV253" i="83"/>
  <c r="AR253" i="89"/>
  <c r="AR253" i="88"/>
  <c r="AR253" i="87"/>
  <c r="AR253" i="84"/>
  <c r="BA251" i="90"/>
  <c r="BA251" i="89"/>
  <c r="BA251" i="86"/>
  <c r="BA251" i="85"/>
  <c r="BA251" i="82"/>
  <c r="AW251" i="90"/>
  <c r="AW251" i="89"/>
  <c r="AW251" i="86"/>
  <c r="AW251" i="85"/>
  <c r="AW251" i="82"/>
  <c r="AR251" i="89"/>
  <c r="AR251" i="88"/>
  <c r="AR251" i="87"/>
  <c r="AR251" i="84"/>
  <c r="AQ249" i="90"/>
  <c r="AQ249" i="88"/>
  <c r="AQ249" i="89"/>
  <c r="AQ249" i="87"/>
  <c r="AQ249" i="86"/>
  <c r="AQ249" i="84"/>
  <c r="AQ249" i="85"/>
  <c r="AQ249" i="83"/>
  <c r="AX249" i="90"/>
  <c r="AX249" i="86"/>
  <c r="AX249" i="85"/>
  <c r="AX249" i="83"/>
  <c r="AW249" i="90"/>
  <c r="AW249" i="89"/>
  <c r="AW249" i="86"/>
  <c r="AW249" i="85"/>
  <c r="AW249" i="82"/>
  <c r="AV249" i="90"/>
  <c r="AV249" i="86"/>
  <c r="AV249" i="85"/>
  <c r="AV249" i="83"/>
  <c r="AR249" i="89"/>
  <c r="AR249" i="88"/>
  <c r="AR249" i="87"/>
  <c r="AR249" i="84"/>
  <c r="BA247" i="90"/>
  <c r="BA247" i="89"/>
  <c r="BA247" i="86"/>
  <c r="BA247" i="85"/>
  <c r="BA247" i="82"/>
  <c r="AW247" i="90"/>
  <c r="AW247" i="89"/>
  <c r="AW247" i="86"/>
  <c r="AW247" i="85"/>
  <c r="AW247" i="82"/>
  <c r="AR247" i="89"/>
  <c r="AR247" i="88"/>
  <c r="AR247" i="87"/>
  <c r="AR247" i="84"/>
  <c r="AQ245" i="90"/>
  <c r="AQ245" i="88"/>
  <c r="AQ245" i="89"/>
  <c r="AQ245" i="87"/>
  <c r="AQ245" i="86"/>
  <c r="AQ245" i="84"/>
  <c r="AQ245" i="85"/>
  <c r="AQ245" i="83"/>
  <c r="AX245" i="90"/>
  <c r="AX245" i="86"/>
  <c r="AX245" i="85"/>
  <c r="AX245" i="83"/>
  <c r="AW245" i="90"/>
  <c r="AW245" i="89"/>
  <c r="AW245" i="86"/>
  <c r="AW245" i="85"/>
  <c r="AW245" i="82"/>
  <c r="AV245" i="90"/>
  <c r="AV245" i="86"/>
  <c r="AV245" i="85"/>
  <c r="AV245" i="83"/>
  <c r="AR245" i="89"/>
  <c r="AR245" i="88"/>
  <c r="AR245" i="87"/>
  <c r="AR245" i="84"/>
  <c r="BA243" i="90"/>
  <c r="BA243" i="89"/>
  <c r="BA243" i="86"/>
  <c r="BA243" i="85"/>
  <c r="BA243" i="82"/>
  <c r="AW243" i="90"/>
  <c r="AW243" i="89"/>
  <c r="AW243" i="86"/>
  <c r="AW243" i="85"/>
  <c r="AW243" i="82"/>
  <c r="AR243" i="89"/>
  <c r="AR243" i="88"/>
  <c r="AR243" i="87"/>
  <c r="AR243" i="84"/>
  <c r="AQ241" i="90"/>
  <c r="AQ241" i="88"/>
  <c r="AQ241" i="89"/>
  <c r="AQ241" i="87"/>
  <c r="AQ241" i="86"/>
  <c r="AQ241" i="84"/>
  <c r="AQ241" i="85"/>
  <c r="AQ241" i="83"/>
  <c r="AX241" i="90"/>
  <c r="AX241" i="86"/>
  <c r="AX241" i="85"/>
  <c r="AX241" i="83"/>
  <c r="AW241" i="90"/>
  <c r="AW241" i="89"/>
  <c r="AW241" i="86"/>
  <c r="AW241" i="85"/>
  <c r="AW241" i="82"/>
  <c r="AV241" i="90"/>
  <c r="AV241" i="86"/>
  <c r="AV241" i="85"/>
  <c r="AV241" i="83"/>
  <c r="AR241" i="89"/>
  <c r="AR241" i="88"/>
  <c r="AR241" i="87"/>
  <c r="AR241" i="84"/>
  <c r="BA239" i="90"/>
  <c r="BA239" i="89"/>
  <c r="BA239" i="86"/>
  <c r="BA239" i="85"/>
  <c r="BA239" i="82"/>
  <c r="AW239" i="90"/>
  <c r="AW239" i="89"/>
  <c r="AW239" i="86"/>
  <c r="AW239" i="85"/>
  <c r="AW239" i="82"/>
  <c r="AR239" i="89"/>
  <c r="AR239" i="88"/>
  <c r="AR239" i="87"/>
  <c r="AR239" i="84"/>
  <c r="AQ237" i="90"/>
  <c r="AQ237" i="88"/>
  <c r="AQ237" i="89"/>
  <c r="AQ237" i="87"/>
  <c r="AQ237" i="86"/>
  <c r="AQ237" i="84"/>
  <c r="AQ237" i="85"/>
  <c r="AQ237" i="83"/>
  <c r="AX237" i="90"/>
  <c r="AX237" i="86"/>
  <c r="AX237" i="85"/>
  <c r="AX237" i="83"/>
  <c r="AW237" i="90"/>
  <c r="AW237" i="89"/>
  <c r="AW237" i="86"/>
  <c r="AW237" i="85"/>
  <c r="AW237" i="82"/>
  <c r="AV237" i="90"/>
  <c r="AV237" i="86"/>
  <c r="AV237" i="85"/>
  <c r="AV237" i="83"/>
  <c r="AR237" i="89"/>
  <c r="AR237" i="88"/>
  <c r="AR237" i="87"/>
  <c r="AR237" i="84"/>
  <c r="BA235" i="90"/>
  <c r="BA235" i="89"/>
  <c r="BA235" i="86"/>
  <c r="BA235" i="85"/>
  <c r="BA235" i="82"/>
  <c r="AW235" i="90"/>
  <c r="AW235" i="89"/>
  <c r="AW235" i="86"/>
  <c r="AW235" i="85"/>
  <c r="AW235" i="82"/>
  <c r="AR235" i="89"/>
  <c r="AR235" i="88"/>
  <c r="AR235" i="87"/>
  <c r="AR235" i="84"/>
  <c r="AR235" i="82"/>
  <c r="AQ233" i="90"/>
  <c r="AQ233" i="88"/>
  <c r="AQ233" i="89"/>
  <c r="AQ233" i="87"/>
  <c r="AQ233" i="86"/>
  <c r="AQ233" i="84"/>
  <c r="AQ233" i="85"/>
  <c r="AQ233" i="83"/>
  <c r="AX233" i="90"/>
  <c r="AX233" i="86"/>
  <c r="AX233" i="85"/>
  <c r="AX233" i="83"/>
  <c r="AW233" i="90"/>
  <c r="AW233" i="89"/>
  <c r="AW233" i="86"/>
  <c r="AW233" i="85"/>
  <c r="AW233" i="82"/>
  <c r="AV233" i="90"/>
  <c r="AV233" i="86"/>
  <c r="AV233" i="85"/>
  <c r="AV233" i="83"/>
  <c r="AR233" i="89"/>
  <c r="AR233" i="88"/>
  <c r="AR233" i="87"/>
  <c r="AR233" i="84"/>
  <c r="BA231" i="90"/>
  <c r="BA231" i="89"/>
  <c r="BA231" i="86"/>
  <c r="BA231" i="85"/>
  <c r="BA231" i="82"/>
  <c r="AW231" i="90"/>
  <c r="AW231" i="89"/>
  <c r="AW231" i="86"/>
  <c r="AW231" i="85"/>
  <c r="AW231" i="82"/>
  <c r="AR231" i="89"/>
  <c r="AR231" i="88"/>
  <c r="AR231" i="87"/>
  <c r="AR231" i="84"/>
  <c r="AQ229" i="90"/>
  <c r="AQ229" i="88"/>
  <c r="AQ229" i="89"/>
  <c r="AQ229" i="87"/>
  <c r="AQ229" i="86"/>
  <c r="AQ229" i="84"/>
  <c r="AQ229" i="85"/>
  <c r="AQ229" i="83"/>
  <c r="AX229" i="90"/>
  <c r="AX229" i="86"/>
  <c r="AX229" i="85"/>
  <c r="AX229" i="83"/>
  <c r="AW229" i="90"/>
  <c r="AW229" i="89"/>
  <c r="AW229" i="86"/>
  <c r="AW229" i="85"/>
  <c r="AW229" i="82"/>
  <c r="AV229" i="90"/>
  <c r="AV229" i="86"/>
  <c r="AV229" i="85"/>
  <c r="AV229" i="83"/>
  <c r="AR229" i="89"/>
  <c r="AR229" i="88"/>
  <c r="AR229" i="87"/>
  <c r="AR229" i="84"/>
  <c r="BA227" i="90"/>
  <c r="BA227" i="89"/>
  <c r="BA227" i="86"/>
  <c r="BA227" i="85"/>
  <c r="BA227" i="82"/>
  <c r="AW227" i="90"/>
  <c r="AW227" i="89"/>
  <c r="AW227" i="86"/>
  <c r="AW227" i="85"/>
  <c r="AW227" i="82"/>
  <c r="AR227" i="89"/>
  <c r="AR227" i="88"/>
  <c r="AR227" i="86"/>
  <c r="AR227" i="84"/>
  <c r="AR227" i="82"/>
  <c r="AQ225" i="90"/>
  <c r="AQ225" i="88"/>
  <c r="AQ225" i="89"/>
  <c r="AQ225" i="87"/>
  <c r="AQ225" i="86"/>
  <c r="AQ225" i="84"/>
  <c r="AQ225" i="85"/>
  <c r="AQ225" i="83"/>
  <c r="AX225" i="90"/>
  <c r="AX225" i="87"/>
  <c r="AX225" i="85"/>
  <c r="AX225" i="83"/>
  <c r="AW225" i="90"/>
  <c r="AW225" i="89"/>
  <c r="AW225" i="86"/>
  <c r="AW225" i="85"/>
  <c r="AW225" i="82"/>
  <c r="AV225" i="87"/>
  <c r="AV225" i="88"/>
  <c r="AV225" i="85"/>
  <c r="AV225" i="83"/>
  <c r="AR225" i="89"/>
  <c r="AR225" i="90"/>
  <c r="AR225" i="86"/>
  <c r="AR225" i="84"/>
  <c r="AW223" i="90"/>
  <c r="AW223" i="89"/>
  <c r="AW223" i="86"/>
  <c r="AW223" i="85"/>
  <c r="AV223" i="90"/>
  <c r="AV223" i="87"/>
  <c r="AV223" i="85"/>
  <c r="AR223" i="89"/>
  <c r="AR223" i="88"/>
  <c r="AR223" i="86"/>
  <c r="AR223" i="84"/>
  <c r="BA221" i="90"/>
  <c r="BA221" i="89"/>
  <c r="BA221" i="86"/>
  <c r="BA221" i="85"/>
  <c r="BA221" i="82"/>
  <c r="AV221" i="87"/>
  <c r="AV221" i="88"/>
  <c r="AV221" i="85"/>
  <c r="AR221" i="89"/>
  <c r="AR221" i="90"/>
  <c r="AR221" i="86"/>
  <c r="AR221" i="84"/>
  <c r="AW219" i="90"/>
  <c r="AW219" i="89"/>
  <c r="AW219" i="86"/>
  <c r="AW219" i="85"/>
  <c r="AV219" i="90"/>
  <c r="AV219" i="87"/>
  <c r="AV219" i="85"/>
  <c r="AR219" i="89"/>
  <c r="AR219" i="88"/>
  <c r="AR219" i="86"/>
  <c r="AR219" i="84"/>
  <c r="BA217" i="90"/>
  <c r="BA217" i="89"/>
  <c r="BA217" i="86"/>
  <c r="BA217" i="85"/>
  <c r="BA217" i="82"/>
  <c r="AV217" i="87"/>
  <c r="AV217" i="88"/>
  <c r="AV217" i="85"/>
  <c r="AR217" i="89"/>
  <c r="AR217" i="90"/>
  <c r="AR217" i="86"/>
  <c r="AR217" i="84"/>
  <c r="AX215" i="87"/>
  <c r="AX215" i="88"/>
  <c r="AX215" i="85"/>
  <c r="AX215" i="83"/>
  <c r="AW215" i="90"/>
  <c r="AW215" i="89"/>
  <c r="AW215" i="86"/>
  <c r="AW215" i="85"/>
  <c r="AW215" i="82"/>
  <c r="AV215" i="90"/>
  <c r="AV215" i="87"/>
  <c r="AV215" i="85"/>
  <c r="AV215" i="83"/>
  <c r="AR215" i="89"/>
  <c r="AR215" i="88"/>
  <c r="AR215" i="86"/>
  <c r="AR215" i="84"/>
  <c r="BA213" i="90"/>
  <c r="BA213" i="89"/>
  <c r="BA213" i="86"/>
  <c r="BA213" i="85"/>
  <c r="BA213" i="82"/>
  <c r="AW213" i="90"/>
  <c r="AW213" i="89"/>
  <c r="AW213" i="86"/>
  <c r="AW213" i="85"/>
  <c r="AW213" i="82"/>
  <c r="AR213" i="87"/>
  <c r="AR213" i="85"/>
  <c r="BC211" i="88"/>
  <c r="BC211" i="87"/>
  <c r="BC211" i="84"/>
  <c r="BC211" i="83"/>
  <c r="AX211" i="90"/>
  <c r="AX211" i="84"/>
  <c r="AW211" i="88"/>
  <c r="AW211" i="84"/>
  <c r="AV211" i="89"/>
  <c r="AV211" i="86"/>
  <c r="AV211" i="82"/>
  <c r="AR211" i="88"/>
  <c r="AR211" i="83"/>
  <c r="BC209" i="90"/>
  <c r="BC209" i="89"/>
  <c r="BC209" i="86"/>
  <c r="BC209" i="85"/>
  <c r="BC209" i="82"/>
  <c r="AX209" i="89"/>
  <c r="AX209" i="86"/>
  <c r="AX209" i="82"/>
  <c r="AW209" i="87"/>
  <c r="AW209" i="83"/>
  <c r="AV209" i="90"/>
  <c r="AV209" i="84"/>
  <c r="AR209" i="87"/>
  <c r="AR209" i="85"/>
  <c r="BA207" i="87"/>
  <c r="BA207" i="83"/>
  <c r="AW207" i="88"/>
  <c r="AW207" i="84"/>
  <c r="AR207" i="88"/>
  <c r="AR207" i="83"/>
  <c r="BC205" i="90"/>
  <c r="BC205" i="89"/>
  <c r="BC205" i="86"/>
  <c r="BC205" i="85"/>
  <c r="BC205" i="82"/>
  <c r="AX205" i="89"/>
  <c r="AX205" i="86"/>
  <c r="AX205" i="82"/>
  <c r="AW205" i="87"/>
  <c r="AW205" i="83"/>
  <c r="AV205" i="90"/>
  <c r="AV205" i="84"/>
  <c r="AR205" i="87"/>
  <c r="AR205" i="85"/>
  <c r="BA203" i="87"/>
  <c r="BA203" i="83"/>
  <c r="AW203" i="88"/>
  <c r="AW203" i="84"/>
  <c r="AR203" i="88"/>
  <c r="AR203" i="83"/>
  <c r="BC201" i="90"/>
  <c r="BC201" i="89"/>
  <c r="BC201" i="86"/>
  <c r="BC201" i="85"/>
  <c r="BC201" i="82"/>
  <c r="AX201" i="89"/>
  <c r="AX201" i="86"/>
  <c r="AX201" i="82"/>
  <c r="AW201" i="87"/>
  <c r="AW201" i="83"/>
  <c r="AV201" i="90"/>
  <c r="AV201" i="84"/>
  <c r="AR201" i="87"/>
  <c r="AR201" i="85"/>
  <c r="BA199" i="87"/>
  <c r="BA199" i="83"/>
  <c r="AW199" i="88"/>
  <c r="AW199" i="84"/>
  <c r="AR199" i="88"/>
  <c r="AR199" i="83"/>
  <c r="BC197" i="90"/>
  <c r="BC197" i="89"/>
  <c r="BC197" i="86"/>
  <c r="BC197" i="85"/>
  <c r="BC197" i="82"/>
  <c r="AX197" i="89"/>
  <c r="AX197" i="86"/>
  <c r="AX197" i="82"/>
  <c r="AW197" i="87"/>
  <c r="AW197" i="83"/>
  <c r="AV197" i="90"/>
  <c r="AV197" i="84"/>
  <c r="AR197" i="87"/>
  <c r="AR197" i="85"/>
  <c r="BA195" i="87"/>
  <c r="BA195" i="83"/>
  <c r="AW195" i="88"/>
  <c r="AW195" i="84"/>
  <c r="AR195" i="88"/>
  <c r="AR195" i="83"/>
  <c r="BC193" i="90"/>
  <c r="BC193" i="89"/>
  <c r="BC193" i="86"/>
  <c r="BC193" i="85"/>
  <c r="BC193" i="82"/>
  <c r="AX193" i="89"/>
  <c r="AX193" i="86"/>
  <c r="AX193" i="82"/>
  <c r="AW193" i="87"/>
  <c r="AW193" i="83"/>
  <c r="AV193" i="90"/>
  <c r="AV193" i="84"/>
  <c r="AR193" i="87"/>
  <c r="AR193" i="85"/>
  <c r="BA191" i="87"/>
  <c r="BA191" i="83"/>
  <c r="AW191" i="88"/>
  <c r="AW191" i="84"/>
  <c r="AR191" i="88"/>
  <c r="AR191" i="83"/>
  <c r="BC189" i="90"/>
  <c r="BC189" i="89"/>
  <c r="BC189" i="86"/>
  <c r="BC189" i="85"/>
  <c r="BC189" i="82"/>
  <c r="AX189" i="89"/>
  <c r="AX189" i="86"/>
  <c r="AX189" i="82"/>
  <c r="AW189" i="87"/>
  <c r="AW189" i="83"/>
  <c r="AV189" i="90"/>
  <c r="AV189" i="84"/>
  <c r="AR189" i="87"/>
  <c r="AR189" i="85"/>
  <c r="BA187" i="87"/>
  <c r="BA187" i="83"/>
  <c r="AW187" i="88"/>
  <c r="AW187" i="84"/>
  <c r="AR187" i="88"/>
  <c r="AR187" i="83"/>
  <c r="BC185" i="90"/>
  <c r="BC185" i="89"/>
  <c r="BC185" i="86"/>
  <c r="BC185" i="85"/>
  <c r="BC185" i="82"/>
  <c r="AX185" i="89"/>
  <c r="AX185" i="86"/>
  <c r="AX185" i="82"/>
  <c r="AW185" i="87"/>
  <c r="AW185" i="83"/>
  <c r="AV185" i="90"/>
  <c r="AV185" i="84"/>
  <c r="AR185" i="87"/>
  <c r="AR185" i="85"/>
  <c r="BA183" i="87"/>
  <c r="BA183" i="83"/>
  <c r="AW183" i="88"/>
  <c r="AW183" i="86"/>
  <c r="AR183" i="88"/>
  <c r="AR183" i="83"/>
  <c r="BC181" i="90"/>
  <c r="BC181" i="89"/>
  <c r="BC181" i="85"/>
  <c r="BC181" i="84"/>
  <c r="BC181" i="82"/>
  <c r="AX181" i="89"/>
  <c r="AX181" i="86"/>
  <c r="AX181" i="82"/>
  <c r="AW181" i="87"/>
  <c r="AW181" i="83"/>
  <c r="AV181" i="90"/>
  <c r="AV181" i="84"/>
  <c r="AR181" i="87"/>
  <c r="AR181" i="85"/>
  <c r="BA179" i="87"/>
  <c r="BA179" i="83"/>
  <c r="AW179" i="88"/>
  <c r="AW179" i="86"/>
  <c r="AR179" i="88"/>
  <c r="AR179" i="83"/>
  <c r="BC177" i="90"/>
  <c r="BC177" i="89"/>
  <c r="BC177" i="85"/>
  <c r="BC177" i="84"/>
  <c r="BC177" i="82"/>
  <c r="AX177" i="89"/>
  <c r="AX177" i="86"/>
  <c r="AX177" i="82"/>
  <c r="AW177" i="87"/>
  <c r="AW177" i="83"/>
  <c r="AV177" i="90"/>
  <c r="AV177" i="84"/>
  <c r="AR177" i="87"/>
  <c r="AR177" i="85"/>
  <c r="AV349" i="89"/>
  <c r="AV349" i="87"/>
  <c r="AV349" i="82"/>
  <c r="BA337" i="87"/>
  <c r="BA337" i="83"/>
  <c r="BA329" i="89"/>
  <c r="BA329" i="85"/>
  <c r="BA321" i="88"/>
  <c r="BA321" i="84"/>
  <c r="BA317" i="90"/>
  <c r="BA317" i="86"/>
  <c r="BA317" i="82"/>
  <c r="BA313" i="87"/>
  <c r="BA313" i="83"/>
  <c r="BA309" i="89"/>
  <c r="BA309" i="85"/>
  <c r="BA305" i="88"/>
  <c r="BA305" i="84"/>
  <c r="BA301" i="90"/>
  <c r="BA301" i="86"/>
  <c r="BA301" i="82"/>
  <c r="BA297" i="87"/>
  <c r="BA297" i="83"/>
  <c r="BA285" i="89"/>
  <c r="BA285" i="85"/>
  <c r="AR285" i="88"/>
  <c r="AR285" i="84"/>
  <c r="AW283" i="88"/>
  <c r="AW283" i="84"/>
  <c r="BA281" i="90"/>
  <c r="BA281" i="86"/>
  <c r="BA281" i="82"/>
  <c r="AR281" i="89"/>
  <c r="AR281" i="87"/>
  <c r="AR281" i="82"/>
  <c r="AZ279" i="86"/>
  <c r="AZ279" i="83"/>
  <c r="AY279" i="89"/>
  <c r="AY279" i="85"/>
  <c r="AU279" i="88"/>
  <c r="AU279" i="84"/>
  <c r="AZ277" i="86"/>
  <c r="AZ277" i="83"/>
  <c r="AU277" i="88"/>
  <c r="AU277" i="84"/>
  <c r="AZ275" i="86"/>
  <c r="AZ275" i="83"/>
  <c r="AY275" i="89"/>
  <c r="AY275" i="85"/>
  <c r="AU275" i="88"/>
  <c r="AU275" i="84"/>
  <c r="AZ273" i="86"/>
  <c r="AZ273" i="83"/>
  <c r="AU273" i="88"/>
  <c r="AU273" i="84"/>
  <c r="AZ271" i="86"/>
  <c r="AZ271" i="83"/>
  <c r="AY271" i="89"/>
  <c r="AY271" i="85"/>
  <c r="AU271" i="88"/>
  <c r="AU271" i="84"/>
  <c r="BA175" i="87"/>
  <c r="BA175" i="83"/>
  <c r="AW175" i="88"/>
  <c r="AW175" i="86"/>
  <c r="AR175" i="88"/>
  <c r="AR175" i="83"/>
  <c r="BC173" i="90"/>
  <c r="BC173" i="89"/>
  <c r="BC173" i="85"/>
  <c r="BC173" i="84"/>
  <c r="BC173" i="82"/>
  <c r="AX173" i="89"/>
  <c r="AX173" i="86"/>
  <c r="AX173" i="82"/>
  <c r="AV173" i="89"/>
  <c r="AV173" i="86"/>
  <c r="AV173" i="82"/>
  <c r="AR173" i="88"/>
  <c r="AR173" i="83"/>
  <c r="BA171" i="88"/>
  <c r="BA171" i="86"/>
  <c r="AW171" i="87"/>
  <c r="AW171" i="83"/>
  <c r="AR171" i="87"/>
  <c r="AR171" i="85"/>
  <c r="BC169" i="88"/>
  <c r="BC169" i="87"/>
  <c r="BC169" i="86"/>
  <c r="BC169" i="83"/>
  <c r="AX169" i="90"/>
  <c r="AX169" i="84"/>
  <c r="AV169" i="90"/>
  <c r="AV169" i="84"/>
  <c r="AR169" i="87"/>
  <c r="AR169" i="85"/>
  <c r="BA167" i="87"/>
  <c r="BA167" i="83"/>
  <c r="AW167" i="88"/>
  <c r="AW167" i="86"/>
  <c r="AR167" i="88"/>
  <c r="AR167" i="83"/>
  <c r="BC165" i="90"/>
  <c r="BC165" i="89"/>
  <c r="BC165" i="85"/>
  <c r="BC165" i="84"/>
  <c r="BC165" i="82"/>
  <c r="AX165" i="89"/>
  <c r="AX165" i="86"/>
  <c r="AX165" i="82"/>
  <c r="AV165" i="89"/>
  <c r="AV165" i="86"/>
  <c r="AV165" i="82"/>
  <c r="AR165" i="88"/>
  <c r="AR165" i="83"/>
  <c r="BA163" i="88"/>
  <c r="BA163" i="86"/>
  <c r="AW163" i="87"/>
  <c r="AW163" i="83"/>
  <c r="AR163" i="87"/>
  <c r="AR163" i="85"/>
  <c r="BC161" i="88"/>
  <c r="BC161" i="87"/>
  <c r="BC161" i="86"/>
  <c r="BC161" i="83"/>
  <c r="AX161" i="90"/>
  <c r="AX161" i="83"/>
  <c r="AV161" i="90"/>
  <c r="AV161" i="84"/>
  <c r="AR161" i="87"/>
  <c r="AR161" i="85"/>
  <c r="BA159" i="87"/>
  <c r="BA159" i="83"/>
  <c r="AW159" i="88"/>
  <c r="AW159" i="86"/>
  <c r="AR159" i="88"/>
  <c r="AR159" i="84"/>
  <c r="BC157" i="90"/>
  <c r="BC157" i="89"/>
  <c r="BC157" i="85"/>
  <c r="BC157" i="84"/>
  <c r="BC157" i="82"/>
  <c r="AX157" i="89"/>
  <c r="AX157" i="86"/>
  <c r="AX157" i="82"/>
  <c r="AV157" i="89"/>
  <c r="AV157" i="86"/>
  <c r="AV157" i="82"/>
  <c r="AR157" i="88"/>
  <c r="AR157" i="83"/>
  <c r="BA155" i="88"/>
  <c r="BA155" i="86"/>
  <c r="AW155" i="87"/>
  <c r="AW155" i="83"/>
  <c r="AR155" i="87"/>
  <c r="AR155" i="85"/>
  <c r="AZ269" i="89"/>
  <c r="AZ269" i="87"/>
  <c r="AZ269" i="82"/>
  <c r="AU269" i="90"/>
  <c r="AU269" i="86"/>
  <c r="AU269" i="82"/>
  <c r="AZ267" i="89"/>
  <c r="AZ267" i="87"/>
  <c r="AZ267" i="82"/>
  <c r="AY267" i="87"/>
  <c r="AY267" i="83"/>
  <c r="AU267" i="89"/>
  <c r="AU267" i="85"/>
  <c r="AZ265" i="88"/>
  <c r="AZ265" i="84"/>
  <c r="AY265" i="88"/>
  <c r="AY265" i="84"/>
  <c r="AU265" i="90"/>
  <c r="AU265" i="86"/>
  <c r="AU265" i="82"/>
  <c r="AZ263" i="89"/>
  <c r="AZ263" i="87"/>
  <c r="AZ263" i="82"/>
  <c r="AY263" i="87"/>
  <c r="AY263" i="83"/>
  <c r="AU263" i="89"/>
  <c r="AU263" i="85"/>
  <c r="AZ261" i="88"/>
  <c r="AZ261" i="84"/>
  <c r="AY261" i="88"/>
  <c r="AY261" i="84"/>
  <c r="AU261" i="90"/>
  <c r="AU261" i="86"/>
  <c r="AU261" i="82"/>
  <c r="AZ259" i="89"/>
  <c r="AZ259" i="87"/>
  <c r="AY259" i="88"/>
  <c r="AU259" i="90"/>
  <c r="AU259" i="82"/>
  <c r="AZ257" i="89"/>
  <c r="AZ257" i="82"/>
  <c r="AY257" i="83"/>
  <c r="AU257" i="85"/>
  <c r="AZ255" i="88"/>
  <c r="AY255" i="88"/>
  <c r="AU255" i="90"/>
  <c r="AU255" i="82"/>
  <c r="AZ253" i="89"/>
  <c r="AZ253" i="82"/>
  <c r="AY253" i="83"/>
  <c r="AU253" i="85"/>
  <c r="BB251" i="85"/>
  <c r="AT251" i="86"/>
  <c r="AZ249" i="88"/>
  <c r="AY249" i="88"/>
  <c r="AU249" i="90"/>
  <c r="AU249" i="82"/>
  <c r="AT249" i="83"/>
  <c r="BB247" i="90"/>
  <c r="AT247" i="83"/>
  <c r="AZ245" i="84"/>
  <c r="AY245" i="84"/>
  <c r="AU245" i="86"/>
  <c r="AT245" i="86"/>
  <c r="BB243" i="85"/>
  <c r="AT243" i="86"/>
  <c r="AZ241" i="88"/>
  <c r="AY241" i="88"/>
  <c r="AU241" i="90"/>
  <c r="AU241" i="82"/>
  <c r="AT241" i="83"/>
  <c r="BB239" i="90"/>
  <c r="AT239" i="83"/>
  <c r="AZ237" i="84"/>
  <c r="AY237" i="84"/>
  <c r="AU237" i="86"/>
  <c r="AT237" i="86"/>
  <c r="BB235" i="85"/>
  <c r="AT235" i="86"/>
  <c r="AZ233" i="88"/>
  <c r="AY233" i="88"/>
  <c r="AU233" i="90"/>
  <c r="AU233" i="82"/>
  <c r="AT233" i="83"/>
  <c r="BB231" i="90"/>
  <c r="AT231" i="83"/>
  <c r="AZ229" i="84"/>
  <c r="AY229" i="84"/>
  <c r="AU229" i="86"/>
  <c r="AT229" i="86"/>
  <c r="BB227" i="85"/>
  <c r="AT227" i="88"/>
  <c r="AZ225" i="90"/>
  <c r="AY225" i="88"/>
  <c r="AU225" i="90"/>
  <c r="AU225" i="82"/>
  <c r="AT225" i="83"/>
  <c r="BB223" i="87"/>
  <c r="AY223" i="83"/>
  <c r="AT223" i="87"/>
  <c r="BB221" i="83"/>
  <c r="AY221" i="88"/>
  <c r="AT221" i="83"/>
  <c r="BB219" i="87"/>
  <c r="AY219" i="83"/>
  <c r="AT219" i="87"/>
  <c r="BB217" i="83"/>
  <c r="AY217" i="88"/>
  <c r="AT217" i="83"/>
  <c r="BB215" i="87"/>
  <c r="AZ215" i="89"/>
  <c r="AZ215" i="82"/>
  <c r="AY215" i="83"/>
  <c r="AU215" i="85"/>
  <c r="AT215" i="85"/>
  <c r="BB213" i="88"/>
  <c r="AT213" i="85"/>
  <c r="AZ211" i="86"/>
  <c r="AY211" i="87"/>
  <c r="AU211" i="89"/>
  <c r="AT211" i="87"/>
  <c r="AZ209" i="89"/>
  <c r="AZ209" i="82"/>
  <c r="AY209" i="83"/>
  <c r="AU209" i="85"/>
  <c r="AT209" i="85"/>
  <c r="BB207" i="88"/>
  <c r="AT207" i="85"/>
  <c r="AZ205" i="86"/>
  <c r="AY205" i="87"/>
  <c r="AU205" i="89"/>
  <c r="AT205" i="87"/>
  <c r="BB203" i="83"/>
  <c r="AT203" i="87"/>
  <c r="AZ201" i="82"/>
  <c r="AU201" i="85"/>
  <c r="AZ197" i="90"/>
  <c r="AU197" i="90"/>
  <c r="BB195" i="83"/>
  <c r="AT195" i="87"/>
  <c r="AZ193" i="82"/>
  <c r="AU193" i="85"/>
  <c r="AZ189" i="90"/>
  <c r="AU189" i="90"/>
  <c r="BB187" i="83"/>
  <c r="AT187" i="87"/>
  <c r="AZ185" i="82"/>
  <c r="AU185" i="85"/>
  <c r="AZ181" i="90"/>
  <c r="AU181" i="90"/>
  <c r="BB179" i="83"/>
  <c r="AT179" i="87"/>
  <c r="AZ177" i="82"/>
  <c r="AU177" i="84"/>
  <c r="AZ173" i="90"/>
  <c r="AZ169" i="89"/>
  <c r="AY169" i="83"/>
  <c r="AY165" i="86"/>
  <c r="AY161" i="87"/>
  <c r="AY157" i="88"/>
  <c r="AY283" i="83"/>
  <c r="AZ283" i="90"/>
  <c r="GL24" i="15"/>
  <c r="GL22" i="15"/>
  <c r="I20" i="93"/>
  <c r="I42" i="93"/>
  <c r="J17" i="93"/>
  <c r="HO92" i="15"/>
  <c r="HO241" i="15"/>
  <c r="HU241" i="15" s="1"/>
  <c r="HO277" i="15"/>
  <c r="HO285" i="15"/>
  <c r="HR285" i="15" s="1"/>
  <c r="HJ285" i="15" s="1"/>
  <c r="HX285" i="15" s="1"/>
  <c r="HO309" i="15"/>
  <c r="HO325" i="15"/>
  <c r="HR325" i="15" s="1"/>
  <c r="HJ325" i="15" s="1"/>
  <c r="HX325" i="15" s="1"/>
  <c r="AJ31" i="5"/>
  <c r="HO52" i="15"/>
  <c r="AJ49" i="5"/>
  <c r="GM91" i="15"/>
  <c r="GM39" i="15"/>
  <c r="GM81" i="15"/>
  <c r="AJ67" i="5"/>
  <c r="AJ63" i="5"/>
  <c r="AV63" i="5" s="1"/>
  <c r="GM52" i="15"/>
  <c r="AJ55" i="5"/>
  <c r="HP95" i="15"/>
  <c r="HO120" i="15"/>
  <c r="HN84" i="15"/>
  <c r="HT84" i="15" s="1"/>
  <c r="HO133" i="15"/>
  <c r="HN140" i="15"/>
  <c r="IA140" i="15" s="1"/>
  <c r="HO141" i="15"/>
  <c r="HR141" i="15" s="1"/>
  <c r="HJ141" i="15" s="1"/>
  <c r="HX141" i="15" s="1"/>
  <c r="HN148" i="15"/>
  <c r="HT148" i="15" s="1"/>
  <c r="HO149" i="15"/>
  <c r="HO157" i="15"/>
  <c r="HR157" i="15" s="1"/>
  <c r="HJ157" i="15" s="1"/>
  <c r="HX157" i="15" s="1"/>
  <c r="HO165" i="15"/>
  <c r="HR165" i="15" s="1"/>
  <c r="HJ165" i="15" s="1"/>
  <c r="HX165" i="15" s="1"/>
  <c r="HN166" i="15"/>
  <c r="IA166" i="15" s="1"/>
  <c r="HO173" i="15"/>
  <c r="HU173" i="15" s="1"/>
  <c r="HN180" i="15"/>
  <c r="HT180" i="15" s="1"/>
  <c r="HN184" i="15"/>
  <c r="HN192" i="15"/>
  <c r="HQ192" i="15" s="1"/>
  <c r="HI192" i="15" s="1"/>
  <c r="HW192" i="15" s="1"/>
  <c r="BL192" i="15" s="1"/>
  <c r="AU62" i="5"/>
  <c r="AV69" i="5"/>
  <c r="AU78" i="5"/>
  <c r="AU80" i="5"/>
  <c r="AX80" i="5" s="1"/>
  <c r="AZ80" i="5" s="1"/>
  <c r="AS80" i="73" s="1"/>
  <c r="AV81" i="5"/>
  <c r="AV85" i="5"/>
  <c r="AU116" i="5"/>
  <c r="ID166" i="15"/>
  <c r="HQ180" i="15"/>
  <c r="HI180" i="15" s="1"/>
  <c r="HW180" i="15" s="1"/>
  <c r="GL52" i="15"/>
  <c r="AI52" i="5"/>
  <c r="AL100" i="5"/>
  <c r="HN100" i="15"/>
  <c r="AQ134" i="5"/>
  <c r="HP134" i="15"/>
  <c r="AL204" i="5"/>
  <c r="HN204" i="15"/>
  <c r="AL212" i="5"/>
  <c r="HN212" i="15"/>
  <c r="AP225" i="5"/>
  <c r="HO225" i="15"/>
  <c r="HU225" i="15" s="1"/>
  <c r="AL228" i="5"/>
  <c r="HN228" i="15"/>
  <c r="IA228" i="15" s="1"/>
  <c r="AL236" i="5"/>
  <c r="HN236" i="15"/>
  <c r="AN238" i="5"/>
  <c r="HP238" i="15"/>
  <c r="HS238" i="15" s="1"/>
  <c r="HK238" i="15" s="1"/>
  <c r="HY238" i="15" s="1"/>
  <c r="BN238" i="15" s="1"/>
  <c r="AL244" i="5"/>
  <c r="HN244" i="15"/>
  <c r="AL252" i="5"/>
  <c r="HN252" i="15"/>
  <c r="IA252" i="15" s="1"/>
  <c r="AN254" i="5"/>
  <c r="HP254" i="15"/>
  <c r="AP257" i="5"/>
  <c r="HO257" i="15"/>
  <c r="AL260" i="5"/>
  <c r="HN260" i="15"/>
  <c r="AL268" i="5"/>
  <c r="HN268" i="15"/>
  <c r="AN270" i="5"/>
  <c r="HP270" i="15"/>
  <c r="HS270" i="15" s="1"/>
  <c r="HK270" i="15" s="1"/>
  <c r="HY270" i="15" s="1"/>
  <c r="BN270" i="15" s="1"/>
  <c r="AL276" i="5"/>
  <c r="HN276" i="15"/>
  <c r="ID276" i="15" s="1"/>
  <c r="AL284" i="5"/>
  <c r="HN284" i="15"/>
  <c r="AN286" i="5"/>
  <c r="HP286" i="15"/>
  <c r="AN314" i="5"/>
  <c r="HP314" i="15"/>
  <c r="AQ332" i="5"/>
  <c r="HP332" i="15"/>
  <c r="AN334" i="5"/>
  <c r="HP334" i="15"/>
  <c r="AQ348" i="5"/>
  <c r="HP348" i="15"/>
  <c r="HP48" i="15"/>
  <c r="HS48" i="15" s="1"/>
  <c r="AW124" i="5"/>
  <c r="HN156" i="15"/>
  <c r="HN172" i="15"/>
  <c r="HO187" i="15"/>
  <c r="HU187" i="15" s="1"/>
  <c r="HN188" i="15"/>
  <c r="HO193" i="15"/>
  <c r="HO195" i="15"/>
  <c r="HO203" i="15"/>
  <c r="HO211" i="15"/>
  <c r="HO219" i="15"/>
  <c r="HO227" i="15"/>
  <c r="HR227" i="15" s="1"/>
  <c r="HJ227" i="15" s="1"/>
  <c r="HX227" i="15" s="1"/>
  <c r="HO235" i="15"/>
  <c r="HO243" i="15"/>
  <c r="HU243" i="15" s="1"/>
  <c r="HO251" i="15"/>
  <c r="HO259" i="15"/>
  <c r="HN262" i="15"/>
  <c r="IC262" i="15" s="1"/>
  <c r="HO267" i="15"/>
  <c r="HO291" i="15"/>
  <c r="HO299" i="15"/>
  <c r="HR299" i="15" s="1"/>
  <c r="HJ299" i="15" s="1"/>
  <c r="HX299" i="15" s="1"/>
  <c r="HO307" i="15"/>
  <c r="HO323" i="15"/>
  <c r="HR323" i="15" s="1"/>
  <c r="HJ323" i="15" s="1"/>
  <c r="HX323" i="15" s="1"/>
  <c r="HO331" i="15"/>
  <c r="HO339" i="15"/>
  <c r="HO347" i="15"/>
  <c r="HR241" i="15"/>
  <c r="HJ241" i="15" s="1"/>
  <c r="HX241" i="15" s="1"/>
  <c r="BM241" i="15" s="1"/>
  <c r="GL83" i="15"/>
  <c r="AI83" i="5"/>
  <c r="AJ34" i="5"/>
  <c r="GM34" i="15"/>
  <c r="AI34" i="5"/>
  <c r="J22" i="93"/>
  <c r="I15" i="93"/>
  <c r="I37" i="93"/>
  <c r="GL38" i="15"/>
  <c r="J31" i="93"/>
  <c r="I21" i="93"/>
  <c r="HT258" i="15"/>
  <c r="HV140" i="15"/>
  <c r="AJ100" i="5"/>
  <c r="HO99" i="15"/>
  <c r="HU99" i="15" s="1"/>
  <c r="HP110" i="15"/>
  <c r="HN46" i="15"/>
  <c r="HV260" i="15"/>
  <c r="GM76" i="15"/>
  <c r="HO53" i="15"/>
  <c r="HP94" i="15"/>
  <c r="HS94" i="15" s="1"/>
  <c r="HK94" i="15" s="1"/>
  <c r="HY94" i="15" s="1"/>
  <c r="HP98" i="15"/>
  <c r="IE291" i="15"/>
  <c r="HP164" i="15"/>
  <c r="IC164" i="15" s="1"/>
  <c r="HP172" i="15"/>
  <c r="IC172" i="15" s="1"/>
  <c r="HP180" i="15"/>
  <c r="IC180" i="15" s="1"/>
  <c r="AV65" i="5"/>
  <c r="AL84" i="5"/>
  <c r="HO115" i="15"/>
  <c r="HR115" i="15" s="1"/>
  <c r="HJ115" i="15" s="1"/>
  <c r="HX115" i="15" s="1"/>
  <c r="GM123" i="15"/>
  <c r="AJ106" i="5"/>
  <c r="HO113" i="15"/>
  <c r="HR113" i="15" s="1"/>
  <c r="HJ113" i="15" s="1"/>
  <c r="HX113" i="15" s="1"/>
  <c r="BM113" i="15" s="1"/>
  <c r="HP118" i="15"/>
  <c r="HO87" i="15"/>
  <c r="HR87" i="15" s="1"/>
  <c r="HJ87" i="15" s="1"/>
  <c r="HX87" i="15" s="1"/>
  <c r="AN48" i="5"/>
  <c r="HO81" i="15"/>
  <c r="AI215" i="5"/>
  <c r="AI247" i="5"/>
  <c r="GL271" i="15"/>
  <c r="GL283" i="15"/>
  <c r="HP186" i="15"/>
  <c r="AL50" i="5"/>
  <c r="AN53" i="5"/>
  <c r="HP142" i="15"/>
  <c r="HO209" i="15"/>
  <c r="AV55" i="5"/>
  <c r="J9" i="93"/>
  <c r="AZ289" i="82"/>
  <c r="AZ293" i="82"/>
  <c r="AZ297" i="82"/>
  <c r="AZ301" i="82"/>
  <c r="AZ305" i="82"/>
  <c r="AZ309" i="82"/>
  <c r="AZ313" i="82"/>
  <c r="AZ317" i="82"/>
  <c r="AZ321" i="82"/>
  <c r="AZ325" i="82"/>
  <c r="AZ329" i="82"/>
  <c r="AZ333" i="82"/>
  <c r="AZ337" i="82"/>
  <c r="AZ341" i="82"/>
  <c r="AZ348" i="82"/>
  <c r="AT113" i="82"/>
  <c r="AT113" i="84"/>
  <c r="AT113" i="83"/>
  <c r="AT113" i="85"/>
  <c r="AT113" i="86"/>
  <c r="AT113" i="88"/>
  <c r="AT113" i="90"/>
  <c r="AT113" i="87"/>
  <c r="AT113" i="89"/>
  <c r="AT102" i="82"/>
  <c r="AT102" i="83"/>
  <c r="AT102" i="84"/>
  <c r="AT102" i="86"/>
  <c r="AT102" i="85"/>
  <c r="AT102" i="87"/>
  <c r="AT102" i="89"/>
  <c r="AT102" i="88"/>
  <c r="AT102" i="90"/>
  <c r="AT63" i="82"/>
  <c r="AT63" i="84"/>
  <c r="AT63" i="83"/>
  <c r="AT63" i="85"/>
  <c r="AT63" i="86"/>
  <c r="AT63" i="88"/>
  <c r="AT63" i="90"/>
  <c r="AT63" i="87"/>
  <c r="AT63" i="89"/>
  <c r="AT85" i="82"/>
  <c r="AT85" i="84"/>
  <c r="AT85" i="83"/>
  <c r="AT85" i="85"/>
  <c r="AT85" i="86"/>
  <c r="AT85" i="88"/>
  <c r="AT85" i="90"/>
  <c r="AT85" i="87"/>
  <c r="AT85" i="89"/>
  <c r="AX287" i="82"/>
  <c r="AX287" i="83"/>
  <c r="AX287" i="84"/>
  <c r="AX287" i="85"/>
  <c r="AX287" i="87"/>
  <c r="AX287" i="86"/>
  <c r="AX287" i="88"/>
  <c r="AX287" i="90"/>
  <c r="AX287" i="89"/>
  <c r="AV289" i="82"/>
  <c r="AV289" i="83"/>
  <c r="AV289" i="84"/>
  <c r="AV289" i="85"/>
  <c r="AV289" i="87"/>
  <c r="AV289" i="86"/>
  <c r="AV289" i="88"/>
  <c r="AV289" i="90"/>
  <c r="AV289" i="89"/>
  <c r="BC289" i="82"/>
  <c r="AQ289" i="82"/>
  <c r="BC289" i="83"/>
  <c r="AQ289" i="83"/>
  <c r="BC289" i="85"/>
  <c r="AQ289" i="85"/>
  <c r="BC289" i="84"/>
  <c r="AQ289" i="84"/>
  <c r="BC289" i="86"/>
  <c r="AQ289" i="86"/>
  <c r="BC289" i="87"/>
  <c r="AQ289" i="87"/>
  <c r="BC289" i="89"/>
  <c r="AQ289" i="89"/>
  <c r="BC289" i="88"/>
  <c r="AQ289" i="88"/>
  <c r="BC289" i="90"/>
  <c r="AQ289" i="90"/>
  <c r="AY291" i="91"/>
  <c r="AX291" i="82"/>
  <c r="AX291" i="83"/>
  <c r="AX291" i="84"/>
  <c r="AX291" i="85"/>
  <c r="AX291" i="87"/>
  <c r="AX291" i="86"/>
  <c r="AX291" i="88"/>
  <c r="AX291" i="90"/>
  <c r="AX291" i="89"/>
  <c r="AV293" i="82"/>
  <c r="AV293" i="83"/>
  <c r="AV293" i="84"/>
  <c r="AV293" i="85"/>
  <c r="AV293" i="87"/>
  <c r="AV293" i="86"/>
  <c r="AV293" i="88"/>
  <c r="AV293" i="90"/>
  <c r="AV293" i="89"/>
  <c r="BC293" i="82"/>
  <c r="AQ293" i="82"/>
  <c r="BC293" i="83"/>
  <c r="AQ293" i="83"/>
  <c r="BC293" i="85"/>
  <c r="AQ293" i="85"/>
  <c r="BC293" i="84"/>
  <c r="AQ293" i="84"/>
  <c r="BC293" i="86"/>
  <c r="AQ293" i="86"/>
  <c r="BC293" i="87"/>
  <c r="AQ293" i="87"/>
  <c r="BC293" i="89"/>
  <c r="AQ293" i="89"/>
  <c r="BC293" i="88"/>
  <c r="AQ293" i="88"/>
  <c r="BC293" i="90"/>
  <c r="AQ293" i="90"/>
  <c r="AX295" i="82"/>
  <c r="AX295" i="83"/>
  <c r="AX295" i="84"/>
  <c r="AX295" i="85"/>
  <c r="AX295" i="87"/>
  <c r="AX295" i="86"/>
  <c r="AX295" i="88"/>
  <c r="AX295" i="90"/>
  <c r="AX295" i="89"/>
  <c r="AV297" i="82"/>
  <c r="AV297" i="83"/>
  <c r="AV297" i="84"/>
  <c r="AV297" i="85"/>
  <c r="AV297" i="87"/>
  <c r="AV297" i="86"/>
  <c r="AV297" i="88"/>
  <c r="AV297" i="90"/>
  <c r="AV297" i="89"/>
  <c r="BC297" i="82"/>
  <c r="AQ297" i="82"/>
  <c r="BC297" i="83"/>
  <c r="AQ297" i="83"/>
  <c r="BC297" i="85"/>
  <c r="AQ297" i="85"/>
  <c r="BC297" i="84"/>
  <c r="AQ297" i="84"/>
  <c r="BC297" i="86"/>
  <c r="AQ297" i="86"/>
  <c r="BC297" i="87"/>
  <c r="AQ297" i="87"/>
  <c r="BC297" i="89"/>
  <c r="AQ297" i="89"/>
  <c r="BC297" i="88"/>
  <c r="AQ297" i="88"/>
  <c r="BC297" i="90"/>
  <c r="AQ297" i="90"/>
  <c r="AY299" i="91"/>
  <c r="AX299" i="82"/>
  <c r="AX299" i="83"/>
  <c r="AX299" i="84"/>
  <c r="AX299" i="85"/>
  <c r="AX299" i="87"/>
  <c r="AX299" i="86"/>
  <c r="AX299" i="88"/>
  <c r="AX299" i="90"/>
  <c r="AX299" i="89"/>
  <c r="AV301" i="82"/>
  <c r="AV301" i="83"/>
  <c r="AV301" i="84"/>
  <c r="AV301" i="85"/>
  <c r="AV301" i="87"/>
  <c r="AV301" i="86"/>
  <c r="AV301" i="88"/>
  <c r="AV301" i="90"/>
  <c r="AV301" i="89"/>
  <c r="BC301" i="82"/>
  <c r="AQ301" i="82"/>
  <c r="BC301" i="83"/>
  <c r="AQ301" i="83"/>
  <c r="BC301" i="85"/>
  <c r="AQ301" i="85"/>
  <c r="BC301" i="84"/>
  <c r="AQ301" i="84"/>
  <c r="BC301" i="86"/>
  <c r="AQ301" i="86"/>
  <c r="BC301" i="87"/>
  <c r="AQ301" i="87"/>
  <c r="BC301" i="89"/>
  <c r="AQ301" i="89"/>
  <c r="BC301" i="88"/>
  <c r="AQ301" i="88"/>
  <c r="BC301" i="90"/>
  <c r="AQ301" i="90"/>
  <c r="AX303" i="82"/>
  <c r="AX303" i="83"/>
  <c r="AX303" i="84"/>
  <c r="AX303" i="85"/>
  <c r="AX303" i="87"/>
  <c r="AX303" i="86"/>
  <c r="AX303" i="88"/>
  <c r="AX303" i="90"/>
  <c r="AX303" i="89"/>
  <c r="AV305" i="82"/>
  <c r="AV305" i="83"/>
  <c r="AV305" i="84"/>
  <c r="AV305" i="85"/>
  <c r="AV305" i="87"/>
  <c r="AV305" i="86"/>
  <c r="AV305" i="88"/>
  <c r="AV305" i="90"/>
  <c r="AV305" i="89"/>
  <c r="BC305" i="82"/>
  <c r="AQ305" i="82"/>
  <c r="BC305" i="83"/>
  <c r="AQ305" i="83"/>
  <c r="BC305" i="85"/>
  <c r="AQ305" i="85"/>
  <c r="BC305" i="84"/>
  <c r="AQ305" i="84"/>
  <c r="BC305" i="86"/>
  <c r="AQ305" i="86"/>
  <c r="BC305" i="87"/>
  <c r="AQ305" i="87"/>
  <c r="BC305" i="89"/>
  <c r="AQ305" i="89"/>
  <c r="BC305" i="88"/>
  <c r="AQ305" i="88"/>
  <c r="BC305" i="90"/>
  <c r="AQ305" i="90"/>
  <c r="AY307" i="91"/>
  <c r="AX307" i="82"/>
  <c r="AX307" i="83"/>
  <c r="AX307" i="84"/>
  <c r="AX307" i="85"/>
  <c r="AX307" i="87"/>
  <c r="AX307" i="86"/>
  <c r="AX307" i="88"/>
  <c r="AX307" i="90"/>
  <c r="AX307" i="89"/>
  <c r="AV309" i="82"/>
  <c r="AV309" i="83"/>
  <c r="AV309" i="84"/>
  <c r="AV309" i="85"/>
  <c r="AV309" i="87"/>
  <c r="AV309" i="86"/>
  <c r="AV309" i="88"/>
  <c r="AV309" i="90"/>
  <c r="AV309" i="89"/>
  <c r="BC309" i="82"/>
  <c r="AQ309" i="82"/>
  <c r="BC309" i="83"/>
  <c r="AQ309" i="83"/>
  <c r="BC309" i="85"/>
  <c r="AQ309" i="85"/>
  <c r="BC309" i="84"/>
  <c r="AQ309" i="84"/>
  <c r="BC309" i="86"/>
  <c r="AQ309" i="86"/>
  <c r="BC309" i="87"/>
  <c r="AQ309" i="87"/>
  <c r="BC309" i="89"/>
  <c r="AQ309" i="89"/>
  <c r="BC309" i="88"/>
  <c r="AQ309" i="88"/>
  <c r="BC309" i="90"/>
  <c r="AQ309" i="90"/>
  <c r="AX311" i="82"/>
  <c r="AX311" i="83"/>
  <c r="AX311" i="84"/>
  <c r="AX311" i="85"/>
  <c r="AX311" i="87"/>
  <c r="AX311" i="86"/>
  <c r="AX311" i="88"/>
  <c r="AX311" i="90"/>
  <c r="AX311" i="89"/>
  <c r="AV313" i="82"/>
  <c r="AV313" i="83"/>
  <c r="AV313" i="84"/>
  <c r="AV313" i="85"/>
  <c r="AV313" i="87"/>
  <c r="AV313" i="86"/>
  <c r="AV313" i="88"/>
  <c r="AV313" i="90"/>
  <c r="AV313" i="89"/>
  <c r="BC313" i="82"/>
  <c r="AQ313" i="82"/>
  <c r="BC313" i="83"/>
  <c r="AQ313" i="83"/>
  <c r="BC313" i="85"/>
  <c r="AQ313" i="85"/>
  <c r="BC313" i="84"/>
  <c r="AQ313" i="84"/>
  <c r="BC313" i="86"/>
  <c r="AQ313" i="86"/>
  <c r="BC313" i="87"/>
  <c r="AQ313" i="87"/>
  <c r="BC313" i="89"/>
  <c r="AQ313" i="89"/>
  <c r="BC313" i="88"/>
  <c r="AQ313" i="88"/>
  <c r="BC313" i="90"/>
  <c r="AQ313" i="90"/>
  <c r="AY315" i="91"/>
  <c r="AX315" i="82"/>
  <c r="AX315" i="83"/>
  <c r="AX315" i="84"/>
  <c r="AX315" i="85"/>
  <c r="AX315" i="87"/>
  <c r="AX315" i="86"/>
  <c r="AX315" i="88"/>
  <c r="AX315" i="90"/>
  <c r="AX315" i="89"/>
  <c r="AV317" i="82"/>
  <c r="AV317" i="83"/>
  <c r="AV317" i="84"/>
  <c r="AV317" i="85"/>
  <c r="AV317" i="87"/>
  <c r="AV317" i="86"/>
  <c r="AV317" i="88"/>
  <c r="AV317" i="90"/>
  <c r="AV317" i="89"/>
  <c r="BC317" i="82"/>
  <c r="AQ317" i="82"/>
  <c r="BC317" i="83"/>
  <c r="AQ317" i="83"/>
  <c r="BC317" i="85"/>
  <c r="AQ317" i="85"/>
  <c r="BC317" i="84"/>
  <c r="AQ317" i="84"/>
  <c r="BC317" i="86"/>
  <c r="AQ317" i="86"/>
  <c r="BC317" i="87"/>
  <c r="AQ317" i="87"/>
  <c r="BC317" i="89"/>
  <c r="AQ317" i="89"/>
  <c r="BC317" i="88"/>
  <c r="AQ317" i="88"/>
  <c r="BC317" i="90"/>
  <c r="AQ317" i="90"/>
  <c r="AX319" i="82"/>
  <c r="AX319" i="83"/>
  <c r="AX319" i="84"/>
  <c r="AX319" i="85"/>
  <c r="AX319" i="87"/>
  <c r="AX319" i="86"/>
  <c r="AX319" i="88"/>
  <c r="AX319" i="90"/>
  <c r="AX319" i="89"/>
  <c r="AV321" i="82"/>
  <c r="AV321" i="83"/>
  <c r="AV321" i="84"/>
  <c r="AV321" i="85"/>
  <c r="AV321" i="87"/>
  <c r="AV321" i="86"/>
  <c r="AV321" i="88"/>
  <c r="AV321" i="90"/>
  <c r="AV321" i="89"/>
  <c r="BC321" i="82"/>
  <c r="AQ321" i="82"/>
  <c r="BC321" i="83"/>
  <c r="AQ321" i="83"/>
  <c r="BC321" i="85"/>
  <c r="AQ321" i="85"/>
  <c r="BC321" i="84"/>
  <c r="AQ321" i="84"/>
  <c r="BC321" i="86"/>
  <c r="AQ321" i="86"/>
  <c r="BC321" i="87"/>
  <c r="AQ321" i="87"/>
  <c r="BC321" i="89"/>
  <c r="AQ321" i="89"/>
  <c r="BC321" i="88"/>
  <c r="AQ321" i="88"/>
  <c r="BC321" i="90"/>
  <c r="AQ321" i="90"/>
  <c r="AY323" i="91"/>
  <c r="AX323" i="82"/>
  <c r="AX323" i="83"/>
  <c r="AX323" i="84"/>
  <c r="AX323" i="85"/>
  <c r="AX323" i="87"/>
  <c r="AX323" i="86"/>
  <c r="AX323" i="88"/>
  <c r="AX323" i="90"/>
  <c r="AX323" i="89"/>
  <c r="AV325" i="82"/>
  <c r="AV325" i="83"/>
  <c r="AV325" i="84"/>
  <c r="AV325" i="85"/>
  <c r="AV325" i="87"/>
  <c r="AV325" i="86"/>
  <c r="AV325" i="88"/>
  <c r="AV325" i="90"/>
  <c r="AV325" i="89"/>
  <c r="BC325" i="82"/>
  <c r="AQ325" i="82"/>
  <c r="BC325" i="83"/>
  <c r="AQ325" i="83"/>
  <c r="BC325" i="85"/>
  <c r="AQ325" i="85"/>
  <c r="BC325" i="84"/>
  <c r="AQ325" i="84"/>
  <c r="BC325" i="86"/>
  <c r="AQ325" i="86"/>
  <c r="BC325" i="87"/>
  <c r="AQ325" i="87"/>
  <c r="BC325" i="89"/>
  <c r="AQ325" i="89"/>
  <c r="BC325" i="88"/>
  <c r="AQ325" i="88"/>
  <c r="BC325" i="90"/>
  <c r="AQ325" i="90"/>
  <c r="AX327" i="82"/>
  <c r="AX327" i="83"/>
  <c r="AX327" i="84"/>
  <c r="AX327" i="85"/>
  <c r="AX327" i="87"/>
  <c r="AX327" i="86"/>
  <c r="AX327" i="88"/>
  <c r="AX327" i="90"/>
  <c r="AX327" i="89"/>
  <c r="AV329" i="82"/>
  <c r="AV329" i="83"/>
  <c r="AV329" i="84"/>
  <c r="AV329" i="85"/>
  <c r="AV329" i="87"/>
  <c r="AV329" i="86"/>
  <c r="AV329" i="88"/>
  <c r="AV329" i="90"/>
  <c r="AV329" i="89"/>
  <c r="BC329" i="82"/>
  <c r="AQ329" i="82"/>
  <c r="BC329" i="83"/>
  <c r="AQ329" i="83"/>
  <c r="BC329" i="85"/>
  <c r="AQ329" i="85"/>
  <c r="BC329" i="84"/>
  <c r="AQ329" i="84"/>
  <c r="BC329" i="86"/>
  <c r="AQ329" i="86"/>
  <c r="BC329" i="87"/>
  <c r="AQ329" i="87"/>
  <c r="BC329" i="89"/>
  <c r="AQ329" i="89"/>
  <c r="BC329" i="88"/>
  <c r="AQ329" i="88"/>
  <c r="BC329" i="90"/>
  <c r="AQ329" i="90"/>
  <c r="AY331" i="91"/>
  <c r="AX331" i="82"/>
  <c r="AX331" i="83"/>
  <c r="AX331" i="84"/>
  <c r="AX331" i="85"/>
  <c r="AX331" i="87"/>
  <c r="AX331" i="86"/>
  <c r="AX331" i="88"/>
  <c r="AX331" i="90"/>
  <c r="AX331" i="89"/>
  <c r="AV333" i="82"/>
  <c r="AV333" i="83"/>
  <c r="AV333" i="84"/>
  <c r="AV333" i="85"/>
  <c r="AV333" i="87"/>
  <c r="AV333" i="86"/>
  <c r="AV333" i="88"/>
  <c r="AV333" i="90"/>
  <c r="AV333" i="89"/>
  <c r="BC333" i="82"/>
  <c r="AQ333" i="82"/>
  <c r="BC333" i="83"/>
  <c r="AQ333" i="83"/>
  <c r="BC333" i="85"/>
  <c r="AQ333" i="85"/>
  <c r="BC333" i="84"/>
  <c r="AQ333" i="84"/>
  <c r="BC333" i="86"/>
  <c r="AQ333" i="86"/>
  <c r="BC333" i="87"/>
  <c r="AQ333" i="87"/>
  <c r="BC333" i="89"/>
  <c r="AQ333" i="89"/>
  <c r="BC333" i="88"/>
  <c r="AQ333" i="88"/>
  <c r="BC333" i="90"/>
  <c r="AQ333" i="90"/>
  <c r="AX335" i="82"/>
  <c r="AX335" i="83"/>
  <c r="AX335" i="84"/>
  <c r="AX335" i="85"/>
  <c r="AX335" i="87"/>
  <c r="AX335" i="86"/>
  <c r="AX335" i="88"/>
  <c r="AX335" i="90"/>
  <c r="AX335" i="89"/>
  <c r="AV337" i="82"/>
  <c r="AV337" i="83"/>
  <c r="AV337" i="84"/>
  <c r="AV337" i="85"/>
  <c r="AV337" i="87"/>
  <c r="AV337" i="86"/>
  <c r="AV337" i="88"/>
  <c r="AV337" i="90"/>
  <c r="AV337" i="89"/>
  <c r="BC337" i="82"/>
  <c r="AQ337" i="82"/>
  <c r="BC337" i="83"/>
  <c r="AQ337" i="83"/>
  <c r="BC337" i="85"/>
  <c r="AQ337" i="85"/>
  <c r="BC337" i="84"/>
  <c r="AQ337" i="84"/>
  <c r="BC337" i="86"/>
  <c r="AQ337" i="86"/>
  <c r="BC337" i="87"/>
  <c r="AQ337" i="87"/>
  <c r="BC337" i="89"/>
  <c r="AQ337" i="89"/>
  <c r="BC337" i="88"/>
  <c r="AQ337" i="88"/>
  <c r="BC337" i="90"/>
  <c r="AQ337" i="90"/>
  <c r="AY339" i="91"/>
  <c r="AX339" i="82"/>
  <c r="AX339" i="83"/>
  <c r="AX339" i="84"/>
  <c r="AX339" i="85"/>
  <c r="AX339" i="87"/>
  <c r="AX339" i="86"/>
  <c r="AX339" i="88"/>
  <c r="AX339" i="90"/>
  <c r="AX339" i="89"/>
  <c r="AV341" i="82"/>
  <c r="AV341" i="83"/>
  <c r="AV341" i="84"/>
  <c r="AV341" i="85"/>
  <c r="AV341" i="87"/>
  <c r="AV341" i="86"/>
  <c r="AV341" i="88"/>
  <c r="AV341" i="90"/>
  <c r="AV341" i="89"/>
  <c r="BC341" i="82"/>
  <c r="AQ341" i="82"/>
  <c r="BC341" i="83"/>
  <c r="AQ341" i="83"/>
  <c r="BC341" i="85"/>
  <c r="AQ341" i="85"/>
  <c r="BC341" i="84"/>
  <c r="AQ341" i="84"/>
  <c r="BC341" i="86"/>
  <c r="AQ341" i="86"/>
  <c r="BC341" i="87"/>
  <c r="AQ341" i="87"/>
  <c r="BC341" i="89"/>
  <c r="AQ341" i="89"/>
  <c r="BC341" i="88"/>
  <c r="AQ341" i="88"/>
  <c r="BC341" i="90"/>
  <c r="AQ341" i="90"/>
  <c r="AU345" i="82"/>
  <c r="AU345" i="83"/>
  <c r="AU345" i="85"/>
  <c r="AU345" i="84"/>
  <c r="AU345" i="86"/>
  <c r="AU345" i="87"/>
  <c r="AU345" i="89"/>
  <c r="AU345" i="88"/>
  <c r="AU345" i="90"/>
  <c r="AZ349" i="91"/>
  <c r="AX349" i="82"/>
  <c r="AX349" i="83"/>
  <c r="AX349" i="84"/>
  <c r="AX349" i="85"/>
  <c r="AX349" i="87"/>
  <c r="AX349" i="86"/>
  <c r="AX349" i="88"/>
  <c r="AX349" i="90"/>
  <c r="AX349" i="89"/>
  <c r="AT94" i="82"/>
  <c r="AT94" i="83"/>
  <c r="AT94" i="84"/>
  <c r="AT94" i="86"/>
  <c r="AT94" i="85"/>
  <c r="AT94" i="87"/>
  <c r="AT94" i="89"/>
  <c r="AT94" i="88"/>
  <c r="AT94" i="90"/>
  <c r="AW348" i="82"/>
  <c r="AW348" i="83"/>
  <c r="AW348" i="84"/>
  <c r="AW348" i="85"/>
  <c r="AW348" i="87"/>
  <c r="AW348" i="86"/>
  <c r="AW348" i="88"/>
  <c r="AW348" i="90"/>
  <c r="AW348" i="89"/>
  <c r="AR348" i="82"/>
  <c r="AR348" i="83"/>
  <c r="AR348" i="85"/>
  <c r="AR348" i="84"/>
  <c r="AR348" i="86"/>
  <c r="AR348" i="87"/>
  <c r="AR348" i="89"/>
  <c r="AR348" i="88"/>
  <c r="AR348" i="90"/>
  <c r="BC346" i="82"/>
  <c r="AQ346" i="82"/>
  <c r="BC346" i="83"/>
  <c r="AQ346" i="83"/>
  <c r="BC346" i="84"/>
  <c r="AQ346" i="84"/>
  <c r="BC346" i="85"/>
  <c r="AQ346" i="85"/>
  <c r="BC346" i="87"/>
  <c r="AQ346" i="87"/>
  <c r="BC346" i="86"/>
  <c r="AQ346" i="86"/>
  <c r="BC346" i="88"/>
  <c r="AQ346" i="88"/>
  <c r="BC346" i="90"/>
  <c r="AQ346" i="90"/>
  <c r="BC346" i="89"/>
  <c r="AQ346" i="89"/>
  <c r="AX346" i="82"/>
  <c r="AX346" i="83"/>
  <c r="AX346" i="85"/>
  <c r="AX346" i="84"/>
  <c r="AX346" i="86"/>
  <c r="AX346" i="87"/>
  <c r="AX346" i="89"/>
  <c r="AX346" i="88"/>
  <c r="AX346" i="90"/>
  <c r="AV346" i="82"/>
  <c r="AV346" i="83"/>
  <c r="AV346" i="85"/>
  <c r="AV346" i="84"/>
  <c r="AV346" i="86"/>
  <c r="AV346" i="87"/>
  <c r="AV346" i="89"/>
  <c r="AV346" i="88"/>
  <c r="AV346" i="90"/>
  <c r="AZ344" i="82"/>
  <c r="AZ344" i="83"/>
  <c r="AZ344" i="85"/>
  <c r="AZ344" i="84"/>
  <c r="AZ344" i="86"/>
  <c r="AZ344" i="87"/>
  <c r="AZ344" i="89"/>
  <c r="AZ344" i="88"/>
  <c r="AZ344" i="90"/>
  <c r="AU344" i="82"/>
  <c r="AU344" i="83"/>
  <c r="AU344" i="84"/>
  <c r="AU344" i="85"/>
  <c r="AU344" i="87"/>
  <c r="AU344" i="86"/>
  <c r="AU344" i="88"/>
  <c r="AU344" i="90"/>
  <c r="AU344" i="89"/>
  <c r="AZ342" i="82"/>
  <c r="AZ342" i="83"/>
  <c r="AZ342" i="85"/>
  <c r="AZ342" i="84"/>
  <c r="AZ342" i="86"/>
  <c r="AZ342" i="87"/>
  <c r="AZ342" i="89"/>
  <c r="AZ342" i="88"/>
  <c r="AZ342" i="90"/>
  <c r="AU342" i="82"/>
  <c r="AU342" i="83"/>
  <c r="AU342" i="84"/>
  <c r="AU342" i="85"/>
  <c r="AU342" i="87"/>
  <c r="AU342" i="86"/>
  <c r="AU342" i="88"/>
  <c r="AU342" i="90"/>
  <c r="AU342" i="89"/>
  <c r="BA340" i="82"/>
  <c r="BA340" i="83"/>
  <c r="BA340" i="84"/>
  <c r="BA340" i="85"/>
  <c r="BA340" i="87"/>
  <c r="BA340" i="86"/>
  <c r="BA340" i="88"/>
  <c r="BA340" i="90"/>
  <c r="BA340" i="89"/>
  <c r="AW340" i="82"/>
  <c r="AW340" i="83"/>
  <c r="AW340" i="84"/>
  <c r="AW340" i="85"/>
  <c r="AW340" i="87"/>
  <c r="AW340" i="86"/>
  <c r="AW340" i="88"/>
  <c r="AW340" i="90"/>
  <c r="AW340" i="89"/>
  <c r="AR340" i="82"/>
  <c r="AR340" i="83"/>
  <c r="AR340" i="85"/>
  <c r="AR340" i="84"/>
  <c r="AR340" i="86"/>
  <c r="AR340" i="87"/>
  <c r="AR340" i="89"/>
  <c r="AR340" i="88"/>
  <c r="AR340" i="90"/>
  <c r="BB338" i="82"/>
  <c r="BB338" i="83"/>
  <c r="BB338" i="85"/>
  <c r="BB338" i="84"/>
  <c r="BB338" i="86"/>
  <c r="BB338" i="87"/>
  <c r="BB338" i="89"/>
  <c r="BB338" i="88"/>
  <c r="BB338" i="90"/>
  <c r="AY338" i="82"/>
  <c r="AY338" i="83"/>
  <c r="AY338" i="84"/>
  <c r="AY338" i="85"/>
  <c r="AY338" i="87"/>
  <c r="AY338" i="86"/>
  <c r="AY338" i="88"/>
  <c r="AY338" i="90"/>
  <c r="AY338" i="89"/>
  <c r="AT338" i="82"/>
  <c r="AT338" i="83"/>
  <c r="AT338" i="85"/>
  <c r="AT338" i="84"/>
  <c r="AT338" i="86"/>
  <c r="AT338" i="87"/>
  <c r="AT338" i="89"/>
  <c r="AT338" i="88"/>
  <c r="AT338" i="90"/>
  <c r="BC336" i="82"/>
  <c r="AQ336" i="82"/>
  <c r="BC336" i="83"/>
  <c r="AQ336" i="83"/>
  <c r="BC336" i="84"/>
  <c r="AQ336" i="84"/>
  <c r="BC336" i="85"/>
  <c r="AQ336" i="85"/>
  <c r="BC336" i="87"/>
  <c r="AQ336" i="87"/>
  <c r="BC336" i="86"/>
  <c r="AQ336" i="86"/>
  <c r="BC336" i="88"/>
  <c r="AQ336" i="88"/>
  <c r="BC336" i="90"/>
  <c r="AQ336" i="90"/>
  <c r="BC336" i="89"/>
  <c r="AQ336" i="89"/>
  <c r="AX336" i="82"/>
  <c r="AX336" i="83"/>
  <c r="AX336" i="85"/>
  <c r="AX336" i="84"/>
  <c r="AX336" i="86"/>
  <c r="AX336" i="87"/>
  <c r="AX336" i="89"/>
  <c r="AX336" i="88"/>
  <c r="AX336" i="90"/>
  <c r="AV336" i="82"/>
  <c r="AV336" i="83"/>
  <c r="AV336" i="85"/>
  <c r="AV336" i="84"/>
  <c r="AV336" i="86"/>
  <c r="AV336" i="87"/>
  <c r="AV336" i="89"/>
  <c r="AV336" i="88"/>
  <c r="AV336" i="90"/>
  <c r="AZ334" i="82"/>
  <c r="AZ334" i="83"/>
  <c r="AZ334" i="85"/>
  <c r="AZ334" i="84"/>
  <c r="AZ334" i="86"/>
  <c r="AZ334" i="87"/>
  <c r="AZ334" i="89"/>
  <c r="AZ334" i="88"/>
  <c r="AZ334" i="90"/>
  <c r="AU334" i="82"/>
  <c r="AU334" i="83"/>
  <c r="AU334" i="84"/>
  <c r="AU334" i="85"/>
  <c r="AU334" i="87"/>
  <c r="AU334" i="86"/>
  <c r="AU334" i="88"/>
  <c r="AU334" i="90"/>
  <c r="AU334" i="89"/>
  <c r="BA332" i="82"/>
  <c r="BA332" i="83"/>
  <c r="BA332" i="84"/>
  <c r="BA332" i="85"/>
  <c r="BA332" i="87"/>
  <c r="BA332" i="86"/>
  <c r="BA332" i="88"/>
  <c r="BA332" i="90"/>
  <c r="BA332" i="89"/>
  <c r="AW332" i="82"/>
  <c r="AW332" i="83"/>
  <c r="AW332" i="84"/>
  <c r="AW332" i="85"/>
  <c r="AW332" i="87"/>
  <c r="AW332" i="86"/>
  <c r="AW332" i="88"/>
  <c r="AW332" i="90"/>
  <c r="AW332" i="89"/>
  <c r="AR332" i="82"/>
  <c r="AR332" i="83"/>
  <c r="AR332" i="85"/>
  <c r="AR332" i="84"/>
  <c r="AR332" i="86"/>
  <c r="AR332" i="87"/>
  <c r="AR332" i="89"/>
  <c r="AR332" i="88"/>
  <c r="AR332" i="90"/>
  <c r="BB330" i="82"/>
  <c r="BB330" i="83"/>
  <c r="BB330" i="85"/>
  <c r="BB330" i="84"/>
  <c r="BB330" i="86"/>
  <c r="BB330" i="87"/>
  <c r="BB330" i="89"/>
  <c r="BB330" i="88"/>
  <c r="BB330" i="90"/>
  <c r="AY330" i="82"/>
  <c r="AY330" i="83"/>
  <c r="AY330" i="84"/>
  <c r="AY330" i="85"/>
  <c r="AY330" i="87"/>
  <c r="AY330" i="86"/>
  <c r="AY330" i="88"/>
  <c r="AY330" i="90"/>
  <c r="AY330" i="89"/>
  <c r="AT330" i="82"/>
  <c r="AT330" i="83"/>
  <c r="AT330" i="85"/>
  <c r="AT330" i="84"/>
  <c r="AT330" i="86"/>
  <c r="AT330" i="87"/>
  <c r="AT330" i="89"/>
  <c r="AT330" i="88"/>
  <c r="AT330" i="90"/>
  <c r="BC328" i="82"/>
  <c r="AQ328" i="82"/>
  <c r="BC328" i="83"/>
  <c r="AQ328" i="83"/>
  <c r="BC328" i="84"/>
  <c r="AQ328" i="84"/>
  <c r="BC328" i="85"/>
  <c r="AQ328" i="85"/>
  <c r="BC328" i="87"/>
  <c r="AQ328" i="87"/>
  <c r="BC328" i="86"/>
  <c r="AQ328" i="86"/>
  <c r="BC328" i="88"/>
  <c r="AQ328" i="88"/>
  <c r="BC328" i="90"/>
  <c r="AQ328" i="90"/>
  <c r="BC328" i="89"/>
  <c r="AQ328" i="89"/>
  <c r="AX328" i="82"/>
  <c r="AX328" i="83"/>
  <c r="AX328" i="85"/>
  <c r="AX328" i="84"/>
  <c r="AX328" i="86"/>
  <c r="AX328" i="87"/>
  <c r="AX328" i="89"/>
  <c r="AX328" i="88"/>
  <c r="AX328" i="90"/>
  <c r="AV328" i="82"/>
  <c r="AV328" i="83"/>
  <c r="AV328" i="85"/>
  <c r="AV328" i="84"/>
  <c r="AV328" i="86"/>
  <c r="AV328" i="87"/>
  <c r="AV328" i="89"/>
  <c r="AV328" i="88"/>
  <c r="AV328" i="90"/>
  <c r="AZ326" i="82"/>
  <c r="AZ326" i="83"/>
  <c r="AZ326" i="85"/>
  <c r="AZ326" i="84"/>
  <c r="AZ326" i="86"/>
  <c r="AZ326" i="87"/>
  <c r="AZ326" i="89"/>
  <c r="AZ326" i="88"/>
  <c r="AZ326" i="90"/>
  <c r="AU326" i="82"/>
  <c r="AU326" i="83"/>
  <c r="AU326" i="84"/>
  <c r="AU326" i="85"/>
  <c r="AU326" i="87"/>
  <c r="AU326" i="86"/>
  <c r="AU326" i="88"/>
  <c r="AU326" i="90"/>
  <c r="AU326" i="89"/>
  <c r="AY348" i="89"/>
  <c r="AY348" i="88"/>
  <c r="AY348" i="87"/>
  <c r="AY348" i="84"/>
  <c r="AZ346" i="88"/>
  <c r="AZ346" i="87"/>
  <c r="AZ346" i="84"/>
  <c r="AZ346" i="83"/>
  <c r="AZ346" i="82"/>
  <c r="AW344" i="90"/>
  <c r="AW344" i="86"/>
  <c r="AW344" i="85"/>
  <c r="AW344" i="83"/>
  <c r="AW344" i="82"/>
  <c r="AR344" i="90"/>
  <c r="AR344" i="89"/>
  <c r="AR344" i="86"/>
  <c r="AR344" i="85"/>
  <c r="AW342" i="90"/>
  <c r="AW342" i="86"/>
  <c r="AW342" i="85"/>
  <c r="AW342" i="83"/>
  <c r="AW342" i="82"/>
  <c r="AR342" i="90"/>
  <c r="AR342" i="89"/>
  <c r="AR342" i="86"/>
  <c r="AR342" i="85"/>
  <c r="AY340" i="90"/>
  <c r="AY340" i="86"/>
  <c r="AY340" i="85"/>
  <c r="AY340" i="83"/>
  <c r="AY340" i="82"/>
  <c r="AV338" i="88"/>
  <c r="AV338" i="87"/>
  <c r="AV338" i="84"/>
  <c r="AV338" i="83"/>
  <c r="AV338" i="82"/>
  <c r="AR337" i="89"/>
  <c r="AR337" i="88"/>
  <c r="AR337" i="87"/>
  <c r="AR337" i="84"/>
  <c r="AZ336" i="88"/>
  <c r="AZ336" i="87"/>
  <c r="AZ336" i="84"/>
  <c r="AZ336" i="83"/>
  <c r="AZ336" i="82"/>
  <c r="AR335" i="90"/>
  <c r="AR335" i="86"/>
  <c r="AR335" i="85"/>
  <c r="AR335" i="83"/>
  <c r="AR335" i="82"/>
  <c r="AW334" i="90"/>
  <c r="AW334" i="86"/>
  <c r="AW334" i="85"/>
  <c r="AW334" i="83"/>
  <c r="AW334" i="82"/>
  <c r="AR334" i="90"/>
  <c r="AR334" i="89"/>
  <c r="AR334" i="86"/>
  <c r="AR334" i="85"/>
  <c r="AY332" i="90"/>
  <c r="AY332" i="86"/>
  <c r="AY332" i="85"/>
  <c r="AY332" i="83"/>
  <c r="AY332" i="82"/>
  <c r="AV330" i="88"/>
  <c r="AV330" i="87"/>
  <c r="AV330" i="84"/>
  <c r="AV330" i="83"/>
  <c r="AV330" i="82"/>
  <c r="AR329" i="89"/>
  <c r="AR329" i="88"/>
  <c r="AR329" i="87"/>
  <c r="AR329" i="84"/>
  <c r="AZ328" i="88"/>
  <c r="AZ328" i="87"/>
  <c r="AZ328" i="84"/>
  <c r="AZ328" i="83"/>
  <c r="AZ328" i="82"/>
  <c r="AR327" i="90"/>
  <c r="AR327" i="86"/>
  <c r="AR327" i="85"/>
  <c r="AR327" i="83"/>
  <c r="AR327" i="82"/>
  <c r="AW326" i="90"/>
  <c r="AW326" i="86"/>
  <c r="AW326" i="85"/>
  <c r="AW326" i="83"/>
  <c r="AW326" i="82"/>
  <c r="AR326" i="90"/>
  <c r="AR326" i="89"/>
  <c r="AR326" i="86"/>
  <c r="AR326" i="85"/>
  <c r="AR321" i="90"/>
  <c r="AR321" i="86"/>
  <c r="AR321" i="85"/>
  <c r="AR321" i="83"/>
  <c r="AR321" i="82"/>
  <c r="AR317" i="90"/>
  <c r="AR317" i="86"/>
  <c r="AR317" i="85"/>
  <c r="AR317" i="83"/>
  <c r="AR317" i="82"/>
  <c r="AR313" i="90"/>
  <c r="AR313" i="86"/>
  <c r="AR313" i="85"/>
  <c r="AR313" i="83"/>
  <c r="AR313" i="82"/>
  <c r="AR309" i="90"/>
  <c r="AR309" i="86"/>
  <c r="AR309" i="85"/>
  <c r="AR309" i="83"/>
  <c r="AR309" i="82"/>
  <c r="AR305" i="90"/>
  <c r="AR305" i="86"/>
  <c r="AR305" i="85"/>
  <c r="AR305" i="83"/>
  <c r="AR305" i="82"/>
  <c r="AR301" i="90"/>
  <c r="AR301" i="86"/>
  <c r="AR301" i="85"/>
  <c r="AR301" i="83"/>
  <c r="AR301" i="82"/>
  <c r="AR297" i="90"/>
  <c r="AR297" i="86"/>
  <c r="AR297" i="85"/>
  <c r="AR297" i="83"/>
  <c r="AR297" i="82"/>
  <c r="AR295" i="89"/>
  <c r="AR295" i="88"/>
  <c r="AR295" i="87"/>
  <c r="AR295" i="84"/>
  <c r="AR293" i="90"/>
  <c r="AR293" i="86"/>
  <c r="AR293" i="85"/>
  <c r="AR293" i="83"/>
  <c r="AR293" i="82"/>
  <c r="AR291" i="89"/>
  <c r="AR291" i="88"/>
  <c r="AR291" i="87"/>
  <c r="AR291" i="84"/>
  <c r="AR289" i="90"/>
  <c r="AR289" i="86"/>
  <c r="AR289" i="85"/>
  <c r="AR289" i="83"/>
  <c r="AR289" i="82"/>
  <c r="AZ348" i="88"/>
  <c r="AZ348" i="87"/>
  <c r="AZ348" i="84"/>
  <c r="AZ348" i="83"/>
  <c r="AY346" i="89"/>
  <c r="AY346" i="88"/>
  <c r="AY346" i="87"/>
  <c r="AY346" i="84"/>
  <c r="AV344" i="90"/>
  <c r="AV344" i="89"/>
  <c r="AV344" i="86"/>
  <c r="AV344" i="85"/>
  <c r="AV342" i="90"/>
  <c r="AV342" i="89"/>
  <c r="AV342" i="86"/>
  <c r="AV342" i="85"/>
  <c r="AR341" i="90"/>
  <c r="AR341" i="86"/>
  <c r="AR341" i="85"/>
  <c r="AR341" i="83"/>
  <c r="AR341" i="82"/>
  <c r="AZ340" i="90"/>
  <c r="AZ340" i="89"/>
  <c r="AZ340" i="86"/>
  <c r="AZ340" i="85"/>
  <c r="AR339" i="89"/>
  <c r="AR339" i="88"/>
  <c r="AR339" i="87"/>
  <c r="AR339" i="84"/>
  <c r="AW338" i="89"/>
  <c r="AW338" i="88"/>
  <c r="AW338" i="87"/>
  <c r="AW338" i="84"/>
  <c r="AR338" i="88"/>
  <c r="AR338" i="87"/>
  <c r="AR338" i="84"/>
  <c r="AR338" i="83"/>
  <c r="AR338" i="82"/>
  <c r="AY336" i="89"/>
  <c r="AY336" i="88"/>
  <c r="AY336" i="87"/>
  <c r="AY336" i="84"/>
  <c r="AV334" i="90"/>
  <c r="AV334" i="89"/>
  <c r="AV334" i="86"/>
  <c r="AV334" i="85"/>
  <c r="AR333" i="90"/>
  <c r="AR333" i="86"/>
  <c r="AR333" i="85"/>
  <c r="AR333" i="83"/>
  <c r="AR333" i="82"/>
  <c r="AZ332" i="90"/>
  <c r="AZ332" i="89"/>
  <c r="AZ332" i="86"/>
  <c r="AZ332" i="85"/>
  <c r="AR331" i="89"/>
  <c r="AR331" i="88"/>
  <c r="AR331" i="87"/>
  <c r="AR331" i="84"/>
  <c r="AW330" i="89"/>
  <c r="AW330" i="88"/>
  <c r="AW330" i="87"/>
  <c r="AW330" i="84"/>
  <c r="AR330" i="88"/>
  <c r="AR330" i="87"/>
  <c r="AR330" i="84"/>
  <c r="AR330" i="83"/>
  <c r="AR330" i="82"/>
  <c r="AY328" i="89"/>
  <c r="AY328" i="88"/>
  <c r="AY328" i="87"/>
  <c r="AY328" i="84"/>
  <c r="AV326" i="90"/>
  <c r="AV326" i="89"/>
  <c r="AV326" i="86"/>
  <c r="AV326" i="85"/>
  <c r="AR325" i="90"/>
  <c r="AR325" i="86"/>
  <c r="AR325" i="85"/>
  <c r="AR325" i="83"/>
  <c r="AR325" i="82"/>
  <c r="AR323" i="90"/>
  <c r="AR323" i="86"/>
  <c r="AR323" i="85"/>
  <c r="AR323" i="83"/>
  <c r="AR323" i="82"/>
  <c r="AR319" i="90"/>
  <c r="AR319" i="86"/>
  <c r="AR319" i="85"/>
  <c r="AR319" i="83"/>
  <c r="AR319" i="82"/>
  <c r="AR315" i="90"/>
  <c r="AR315" i="86"/>
  <c r="AR315" i="85"/>
  <c r="AR315" i="83"/>
  <c r="AR315" i="82"/>
  <c r="AR311" i="90"/>
  <c r="AR311" i="86"/>
  <c r="AR311" i="85"/>
  <c r="AR311" i="83"/>
  <c r="AR311" i="82"/>
  <c r="AR307" i="90"/>
  <c r="AR307" i="86"/>
  <c r="AR307" i="85"/>
  <c r="AR307" i="83"/>
  <c r="AR307" i="82"/>
  <c r="AR303" i="90"/>
  <c r="AR303" i="86"/>
  <c r="AR303" i="85"/>
  <c r="AR303" i="83"/>
  <c r="AR303" i="82"/>
  <c r="AR299" i="90"/>
  <c r="AR299" i="86"/>
  <c r="AR299" i="85"/>
  <c r="AR299" i="83"/>
  <c r="AR299" i="82"/>
  <c r="AZ349" i="89"/>
  <c r="AZ349" i="88"/>
  <c r="AZ349" i="87"/>
  <c r="AZ349" i="84"/>
  <c r="AY287" i="90"/>
  <c r="AY287" i="89"/>
  <c r="AY287" i="86"/>
  <c r="AY287" i="85"/>
  <c r="AY289" i="88"/>
  <c r="AY289" i="87"/>
  <c r="AY289" i="84"/>
  <c r="AY289" i="83"/>
  <c r="AY289" i="82"/>
  <c r="AY291" i="90"/>
  <c r="AY291" i="89"/>
  <c r="AY291" i="86"/>
  <c r="AY291" i="85"/>
  <c r="AY293" i="88"/>
  <c r="AY293" i="87"/>
  <c r="AY293" i="84"/>
  <c r="AY293" i="83"/>
  <c r="AY293" i="82"/>
  <c r="AY295" i="90"/>
  <c r="AY295" i="89"/>
  <c r="AY295" i="86"/>
  <c r="AY295" i="85"/>
  <c r="AY297" i="88"/>
  <c r="AY297" i="87"/>
  <c r="AY297" i="84"/>
  <c r="AY297" i="83"/>
  <c r="AY297" i="82"/>
  <c r="AY299" i="90"/>
  <c r="AY299" i="89"/>
  <c r="AY299" i="86"/>
  <c r="AY299" i="85"/>
  <c r="AY301" i="88"/>
  <c r="AY301" i="87"/>
  <c r="AY301" i="84"/>
  <c r="AY301" i="83"/>
  <c r="AY301" i="82"/>
  <c r="AY303" i="90"/>
  <c r="AY303" i="89"/>
  <c r="AY303" i="86"/>
  <c r="AY303" i="85"/>
  <c r="AY305" i="88"/>
  <c r="AY305" i="87"/>
  <c r="AY305" i="84"/>
  <c r="AY305" i="83"/>
  <c r="AY305" i="82"/>
  <c r="AY307" i="90"/>
  <c r="AY307" i="89"/>
  <c r="AY307" i="86"/>
  <c r="AY307" i="85"/>
  <c r="AY309" i="88"/>
  <c r="AY309" i="87"/>
  <c r="AY309" i="84"/>
  <c r="AY309" i="83"/>
  <c r="AY309" i="82"/>
  <c r="AY311" i="90"/>
  <c r="AY311" i="89"/>
  <c r="AY311" i="86"/>
  <c r="AY311" i="85"/>
  <c r="AY313" i="88"/>
  <c r="AY313" i="87"/>
  <c r="AY313" i="84"/>
  <c r="AY313" i="83"/>
  <c r="AY313" i="82"/>
  <c r="AY315" i="90"/>
  <c r="AY315" i="89"/>
  <c r="AY315" i="86"/>
  <c r="AY315" i="85"/>
  <c r="AY317" i="88"/>
  <c r="AY317" i="87"/>
  <c r="AY317" i="84"/>
  <c r="AY317" i="83"/>
  <c r="AY317" i="82"/>
  <c r="AY319" i="90"/>
  <c r="AY319" i="89"/>
  <c r="AY319" i="86"/>
  <c r="AY319" i="85"/>
  <c r="AY321" i="88"/>
  <c r="AY321" i="87"/>
  <c r="AY321" i="84"/>
  <c r="AY321" i="83"/>
  <c r="AY321" i="82"/>
  <c r="AY323" i="90"/>
  <c r="AY323" i="89"/>
  <c r="AY323" i="86"/>
  <c r="AY323" i="85"/>
  <c r="AY325" i="88"/>
  <c r="AY325" i="87"/>
  <c r="AY325" i="84"/>
  <c r="AY325" i="83"/>
  <c r="AY325" i="82"/>
  <c r="AY327" i="90"/>
  <c r="AY327" i="89"/>
  <c r="AY327" i="86"/>
  <c r="AY327" i="85"/>
  <c r="AY329" i="88"/>
  <c r="AY329" i="87"/>
  <c r="AY329" i="84"/>
  <c r="AY329" i="83"/>
  <c r="AY329" i="82"/>
  <c r="AY331" i="90"/>
  <c r="AY331" i="89"/>
  <c r="AY331" i="86"/>
  <c r="AY331" i="85"/>
  <c r="AY333" i="88"/>
  <c r="AY333" i="87"/>
  <c r="AY333" i="84"/>
  <c r="AY333" i="83"/>
  <c r="AY333" i="82"/>
  <c r="AY335" i="90"/>
  <c r="AY335" i="89"/>
  <c r="AY335" i="86"/>
  <c r="AY335" i="85"/>
  <c r="AY337" i="88"/>
  <c r="AY337" i="87"/>
  <c r="AY337" i="84"/>
  <c r="AY337" i="83"/>
  <c r="AY337" i="82"/>
  <c r="AY339" i="90"/>
  <c r="AY339" i="89"/>
  <c r="AY339" i="86"/>
  <c r="AY339" i="85"/>
  <c r="AY341" i="88"/>
  <c r="AY341" i="87"/>
  <c r="AY341" i="84"/>
  <c r="AY341" i="83"/>
  <c r="AY341" i="82"/>
  <c r="AV345" i="89"/>
  <c r="AV345" i="88"/>
  <c r="AV345" i="87"/>
  <c r="AV345" i="84"/>
  <c r="AR343" i="89"/>
  <c r="AR343" i="88"/>
  <c r="AR343" i="87"/>
  <c r="AR343" i="84"/>
  <c r="AY349" i="90"/>
  <c r="AY349" i="89"/>
  <c r="AY349" i="86"/>
  <c r="AY349" i="85"/>
  <c r="AZ287" i="90"/>
  <c r="AZ287" i="86"/>
  <c r="AZ287" i="85"/>
  <c r="AZ287" i="83"/>
  <c r="AZ287" i="82"/>
  <c r="AZ289" i="90"/>
  <c r="AZ289" i="86"/>
  <c r="AZ289" i="85"/>
  <c r="AZ289" i="83"/>
  <c r="AZ291" i="90"/>
  <c r="AZ291" i="86"/>
  <c r="AZ291" i="85"/>
  <c r="AZ291" i="83"/>
  <c r="AZ291" i="82"/>
  <c r="AZ293" i="90"/>
  <c r="AZ293" i="86"/>
  <c r="AZ293" i="85"/>
  <c r="AZ293" i="83"/>
  <c r="AZ295" i="90"/>
  <c r="AZ295" i="86"/>
  <c r="AZ295" i="85"/>
  <c r="AZ295" i="83"/>
  <c r="AZ295" i="82"/>
  <c r="AZ297" i="90"/>
  <c r="AZ297" i="86"/>
  <c r="AZ297" i="85"/>
  <c r="AZ297" i="83"/>
  <c r="AZ299" i="90"/>
  <c r="AZ299" i="86"/>
  <c r="AZ299" i="85"/>
  <c r="AZ299" i="83"/>
  <c r="AZ299" i="82"/>
  <c r="AZ301" i="90"/>
  <c r="AZ301" i="86"/>
  <c r="AZ301" i="85"/>
  <c r="AZ301" i="83"/>
  <c r="AZ303" i="90"/>
  <c r="AZ303" i="86"/>
  <c r="AZ303" i="85"/>
  <c r="AZ303" i="83"/>
  <c r="AZ303" i="82"/>
  <c r="AZ305" i="90"/>
  <c r="AZ305" i="86"/>
  <c r="AZ305" i="85"/>
  <c r="AZ305" i="83"/>
  <c r="AZ307" i="90"/>
  <c r="AZ307" i="86"/>
  <c r="AZ307" i="85"/>
  <c r="AZ307" i="83"/>
  <c r="AZ307" i="82"/>
  <c r="AZ309" i="90"/>
  <c r="AZ309" i="86"/>
  <c r="AZ309" i="85"/>
  <c r="AZ309" i="83"/>
  <c r="AZ311" i="90"/>
  <c r="AZ311" i="86"/>
  <c r="AZ311" i="85"/>
  <c r="AZ311" i="83"/>
  <c r="AZ311" i="82"/>
  <c r="AZ313" i="90"/>
  <c r="AZ313" i="86"/>
  <c r="AZ313" i="85"/>
  <c r="AZ313" i="83"/>
  <c r="AZ315" i="90"/>
  <c r="AZ315" i="86"/>
  <c r="AZ315" i="85"/>
  <c r="AZ315" i="83"/>
  <c r="AZ315" i="82"/>
  <c r="AZ317" i="90"/>
  <c r="AZ317" i="86"/>
  <c r="AZ317" i="85"/>
  <c r="AZ317" i="83"/>
  <c r="AZ319" i="90"/>
  <c r="AZ319" i="86"/>
  <c r="AZ319" i="85"/>
  <c r="AZ319" i="83"/>
  <c r="AZ319" i="82"/>
  <c r="AZ321" i="90"/>
  <c r="AZ321" i="86"/>
  <c r="AZ321" i="85"/>
  <c r="AZ321" i="83"/>
  <c r="AZ323" i="90"/>
  <c r="AZ323" i="86"/>
  <c r="AZ323" i="85"/>
  <c r="AZ323" i="83"/>
  <c r="AZ323" i="82"/>
  <c r="AZ325" i="90"/>
  <c r="AZ325" i="86"/>
  <c r="AZ325" i="85"/>
  <c r="AZ325" i="83"/>
  <c r="AZ327" i="90"/>
  <c r="AZ327" i="86"/>
  <c r="AZ327" i="85"/>
  <c r="AZ327" i="83"/>
  <c r="AZ327" i="82"/>
  <c r="AZ329" i="90"/>
  <c r="AZ329" i="86"/>
  <c r="AZ329" i="85"/>
  <c r="AZ329" i="83"/>
  <c r="AZ331" i="90"/>
  <c r="AZ331" i="86"/>
  <c r="AZ331" i="85"/>
  <c r="AZ331" i="83"/>
  <c r="AZ331" i="82"/>
  <c r="AZ333" i="90"/>
  <c r="AZ333" i="86"/>
  <c r="AZ333" i="85"/>
  <c r="AZ333" i="83"/>
  <c r="AZ335" i="90"/>
  <c r="AZ335" i="86"/>
  <c r="AZ335" i="85"/>
  <c r="AZ335" i="83"/>
  <c r="AZ335" i="82"/>
  <c r="AZ337" i="90"/>
  <c r="AZ337" i="86"/>
  <c r="AZ337" i="85"/>
  <c r="AZ337" i="83"/>
  <c r="AZ339" i="90"/>
  <c r="AZ339" i="86"/>
  <c r="AZ339" i="85"/>
  <c r="AZ339" i="83"/>
  <c r="AZ339" i="82"/>
  <c r="AZ341" i="90"/>
  <c r="AZ341" i="86"/>
  <c r="AZ341" i="85"/>
  <c r="AZ341" i="83"/>
  <c r="AR345" i="89"/>
  <c r="AR345" i="88"/>
  <c r="AR345" i="87"/>
  <c r="AR345" i="84"/>
  <c r="AW345" i="88"/>
  <c r="AW345" i="87"/>
  <c r="AW345" i="84"/>
  <c r="AW345" i="83"/>
  <c r="AW345" i="82"/>
  <c r="AR349" i="89"/>
  <c r="AR349" i="88"/>
  <c r="AR349" i="87"/>
  <c r="AR349" i="84"/>
  <c r="AT115" i="82"/>
  <c r="AT115" i="84"/>
  <c r="AT115" i="83"/>
  <c r="AT115" i="85"/>
  <c r="AT115" i="86"/>
  <c r="AT115" i="88"/>
  <c r="AT115" i="90"/>
  <c r="AT115" i="87"/>
  <c r="AT115" i="89"/>
  <c r="AS80" i="82"/>
  <c r="AS80" i="84"/>
  <c r="AS80" i="83"/>
  <c r="AS80" i="85"/>
  <c r="AS80" i="86"/>
  <c r="AS80" i="88"/>
  <c r="AS80" i="90"/>
  <c r="AS80" i="87"/>
  <c r="AS80" i="89"/>
  <c r="AT55" i="82"/>
  <c r="AT55" i="84"/>
  <c r="AT55" i="83"/>
  <c r="AT55" i="85"/>
  <c r="AT55" i="86"/>
  <c r="AT55" i="88"/>
  <c r="AT55" i="90"/>
  <c r="AT55" i="87"/>
  <c r="AT55" i="89"/>
  <c r="BC287" i="82"/>
  <c r="AQ287" i="82"/>
  <c r="BC287" i="83"/>
  <c r="AQ287" i="83"/>
  <c r="BC287" i="85"/>
  <c r="AQ287" i="85"/>
  <c r="BC287" i="84"/>
  <c r="AQ287" i="84"/>
  <c r="BC287" i="86"/>
  <c r="AQ287" i="86"/>
  <c r="BC287" i="87"/>
  <c r="AQ287" i="87"/>
  <c r="BC287" i="89"/>
  <c r="AQ287" i="89"/>
  <c r="BC287" i="88"/>
  <c r="AQ287" i="88"/>
  <c r="BC287" i="90"/>
  <c r="AQ287" i="90"/>
  <c r="AX289" i="82"/>
  <c r="AX289" i="83"/>
  <c r="AX289" i="84"/>
  <c r="AX289" i="85"/>
  <c r="AX289" i="87"/>
  <c r="AX289" i="86"/>
  <c r="AX289" i="88"/>
  <c r="AX289" i="90"/>
  <c r="AX289" i="89"/>
  <c r="AV291" i="82"/>
  <c r="AV291" i="83"/>
  <c r="AV291" i="84"/>
  <c r="AV291" i="85"/>
  <c r="AV291" i="87"/>
  <c r="AV291" i="86"/>
  <c r="AV291" i="88"/>
  <c r="AV291" i="90"/>
  <c r="AV291" i="89"/>
  <c r="BC291" i="82"/>
  <c r="AQ291" i="82"/>
  <c r="BC291" i="83"/>
  <c r="AQ291" i="83"/>
  <c r="BC291" i="85"/>
  <c r="AQ291" i="85"/>
  <c r="BC291" i="84"/>
  <c r="AQ291" i="84"/>
  <c r="BC291" i="86"/>
  <c r="AQ291" i="86"/>
  <c r="BC291" i="87"/>
  <c r="AQ291" i="87"/>
  <c r="BC291" i="89"/>
  <c r="AQ291" i="89"/>
  <c r="BC291" i="88"/>
  <c r="AQ291" i="88"/>
  <c r="BC291" i="90"/>
  <c r="AQ291" i="90"/>
  <c r="AX293" i="82"/>
  <c r="AX293" i="83"/>
  <c r="AX293" i="84"/>
  <c r="AX293" i="85"/>
  <c r="AX293" i="87"/>
  <c r="AX293" i="86"/>
  <c r="AX293" i="88"/>
  <c r="AX293" i="90"/>
  <c r="AX293" i="89"/>
  <c r="AV295" i="82"/>
  <c r="AV295" i="83"/>
  <c r="AV295" i="84"/>
  <c r="AV295" i="85"/>
  <c r="AV295" i="87"/>
  <c r="AV295" i="86"/>
  <c r="AV295" i="88"/>
  <c r="AV295" i="90"/>
  <c r="AV295" i="89"/>
  <c r="BC295" i="82"/>
  <c r="AQ295" i="82"/>
  <c r="BC295" i="83"/>
  <c r="AQ295" i="83"/>
  <c r="BC295" i="85"/>
  <c r="AQ295" i="85"/>
  <c r="BC295" i="84"/>
  <c r="AQ295" i="84"/>
  <c r="BC295" i="86"/>
  <c r="AQ295" i="86"/>
  <c r="BC295" i="87"/>
  <c r="AQ295" i="87"/>
  <c r="BC295" i="89"/>
  <c r="AQ295" i="89"/>
  <c r="BC295" i="88"/>
  <c r="AQ295" i="88"/>
  <c r="BC295" i="90"/>
  <c r="AQ295" i="90"/>
  <c r="AX297" i="82"/>
  <c r="AX297" i="83"/>
  <c r="AX297" i="84"/>
  <c r="AX297" i="85"/>
  <c r="AX297" i="87"/>
  <c r="AX297" i="86"/>
  <c r="AX297" i="88"/>
  <c r="AX297" i="90"/>
  <c r="AX297" i="89"/>
  <c r="AV299" i="82"/>
  <c r="AV299" i="83"/>
  <c r="AV299" i="84"/>
  <c r="AV299" i="85"/>
  <c r="AV299" i="87"/>
  <c r="AV299" i="86"/>
  <c r="AV299" i="88"/>
  <c r="AV299" i="90"/>
  <c r="AV299" i="89"/>
  <c r="BC299" i="82"/>
  <c r="AQ299" i="82"/>
  <c r="BC299" i="83"/>
  <c r="AQ299" i="83"/>
  <c r="BC299" i="85"/>
  <c r="AQ299" i="85"/>
  <c r="BC299" i="84"/>
  <c r="AQ299" i="84"/>
  <c r="BC299" i="86"/>
  <c r="AQ299" i="86"/>
  <c r="BC299" i="87"/>
  <c r="AQ299" i="87"/>
  <c r="BC299" i="89"/>
  <c r="AQ299" i="89"/>
  <c r="BC299" i="88"/>
  <c r="AQ299" i="88"/>
  <c r="BC299" i="90"/>
  <c r="AQ299" i="90"/>
  <c r="AX301" i="82"/>
  <c r="AX301" i="83"/>
  <c r="AX301" i="84"/>
  <c r="AX301" i="85"/>
  <c r="AX301" i="87"/>
  <c r="AX301" i="86"/>
  <c r="AX301" i="88"/>
  <c r="AX301" i="90"/>
  <c r="AX301" i="89"/>
  <c r="AV303" i="82"/>
  <c r="AV303" i="83"/>
  <c r="AV303" i="84"/>
  <c r="AV303" i="85"/>
  <c r="AV303" i="87"/>
  <c r="AV303" i="86"/>
  <c r="AV303" i="88"/>
  <c r="AV303" i="90"/>
  <c r="AV303" i="89"/>
  <c r="BC303" i="82"/>
  <c r="AQ303" i="82"/>
  <c r="BC303" i="83"/>
  <c r="AQ303" i="83"/>
  <c r="BC303" i="85"/>
  <c r="AQ303" i="85"/>
  <c r="BC303" i="84"/>
  <c r="AQ303" i="84"/>
  <c r="BC303" i="86"/>
  <c r="AQ303" i="86"/>
  <c r="BC303" i="87"/>
  <c r="AQ303" i="87"/>
  <c r="BC303" i="89"/>
  <c r="AQ303" i="89"/>
  <c r="BC303" i="88"/>
  <c r="AQ303" i="88"/>
  <c r="BC303" i="90"/>
  <c r="AQ303" i="90"/>
  <c r="AX305" i="82"/>
  <c r="AX305" i="83"/>
  <c r="AX305" i="84"/>
  <c r="AX305" i="85"/>
  <c r="AX305" i="87"/>
  <c r="AX305" i="86"/>
  <c r="AX305" i="88"/>
  <c r="AX305" i="90"/>
  <c r="AX305" i="89"/>
  <c r="AV307" i="82"/>
  <c r="AV307" i="83"/>
  <c r="AV307" i="84"/>
  <c r="AV307" i="85"/>
  <c r="AV307" i="87"/>
  <c r="AV307" i="86"/>
  <c r="AV307" i="88"/>
  <c r="AV307" i="90"/>
  <c r="AV307" i="89"/>
  <c r="BC307" i="82"/>
  <c r="AQ307" i="82"/>
  <c r="BC307" i="83"/>
  <c r="AQ307" i="83"/>
  <c r="BC307" i="85"/>
  <c r="AQ307" i="85"/>
  <c r="BC307" i="84"/>
  <c r="AQ307" i="84"/>
  <c r="BC307" i="86"/>
  <c r="AQ307" i="86"/>
  <c r="BC307" i="87"/>
  <c r="AQ307" i="87"/>
  <c r="BC307" i="89"/>
  <c r="AQ307" i="89"/>
  <c r="BC307" i="88"/>
  <c r="AQ307" i="88"/>
  <c r="BC307" i="90"/>
  <c r="AQ307" i="90"/>
  <c r="AX309" i="82"/>
  <c r="AX309" i="83"/>
  <c r="AX309" i="84"/>
  <c r="AX309" i="85"/>
  <c r="AX309" i="87"/>
  <c r="AX309" i="86"/>
  <c r="AX309" i="88"/>
  <c r="AX309" i="90"/>
  <c r="AX309" i="89"/>
  <c r="AV311" i="82"/>
  <c r="AV311" i="83"/>
  <c r="AV311" i="84"/>
  <c r="AV311" i="85"/>
  <c r="AV311" i="87"/>
  <c r="AV311" i="86"/>
  <c r="AV311" i="88"/>
  <c r="AV311" i="90"/>
  <c r="AV311" i="89"/>
  <c r="BC311" i="82"/>
  <c r="AQ311" i="82"/>
  <c r="BC311" i="83"/>
  <c r="AQ311" i="83"/>
  <c r="BC311" i="85"/>
  <c r="AQ311" i="85"/>
  <c r="BC311" i="84"/>
  <c r="AQ311" i="84"/>
  <c r="BC311" i="86"/>
  <c r="AQ311" i="86"/>
  <c r="BC311" i="87"/>
  <c r="AQ311" i="87"/>
  <c r="BC311" i="89"/>
  <c r="AQ311" i="89"/>
  <c r="BC311" i="88"/>
  <c r="AQ311" i="88"/>
  <c r="BC311" i="90"/>
  <c r="AQ311" i="90"/>
  <c r="AX313" i="82"/>
  <c r="AX313" i="83"/>
  <c r="AX313" i="84"/>
  <c r="AX313" i="85"/>
  <c r="AX313" i="87"/>
  <c r="AX313" i="86"/>
  <c r="AX313" i="88"/>
  <c r="AX313" i="90"/>
  <c r="AX313" i="89"/>
  <c r="AV315" i="82"/>
  <c r="AV315" i="83"/>
  <c r="AV315" i="84"/>
  <c r="AV315" i="85"/>
  <c r="AV315" i="87"/>
  <c r="AV315" i="86"/>
  <c r="AV315" i="88"/>
  <c r="AV315" i="90"/>
  <c r="AV315" i="89"/>
  <c r="BC315" i="82"/>
  <c r="AQ315" i="82"/>
  <c r="BC315" i="83"/>
  <c r="AQ315" i="83"/>
  <c r="BC315" i="85"/>
  <c r="AQ315" i="85"/>
  <c r="BC315" i="84"/>
  <c r="AQ315" i="84"/>
  <c r="BC315" i="86"/>
  <c r="AQ315" i="86"/>
  <c r="BC315" i="87"/>
  <c r="AQ315" i="87"/>
  <c r="BC315" i="89"/>
  <c r="AQ315" i="89"/>
  <c r="BC315" i="88"/>
  <c r="AQ315" i="88"/>
  <c r="BC315" i="90"/>
  <c r="AQ315" i="90"/>
  <c r="AX317" i="82"/>
  <c r="AX317" i="83"/>
  <c r="AX317" i="84"/>
  <c r="AX317" i="85"/>
  <c r="AX317" i="87"/>
  <c r="AX317" i="86"/>
  <c r="AX317" i="88"/>
  <c r="AX317" i="90"/>
  <c r="AX317" i="89"/>
  <c r="AV319" i="82"/>
  <c r="AV319" i="83"/>
  <c r="AV319" i="84"/>
  <c r="AV319" i="85"/>
  <c r="AV319" i="87"/>
  <c r="AV319" i="86"/>
  <c r="AV319" i="88"/>
  <c r="AV319" i="90"/>
  <c r="AV319" i="89"/>
  <c r="BC319" i="82"/>
  <c r="AQ319" i="82"/>
  <c r="BC319" i="83"/>
  <c r="AQ319" i="83"/>
  <c r="BC319" i="85"/>
  <c r="AQ319" i="85"/>
  <c r="BC319" i="84"/>
  <c r="AQ319" i="84"/>
  <c r="BC319" i="86"/>
  <c r="AQ319" i="86"/>
  <c r="BC319" i="87"/>
  <c r="AQ319" i="87"/>
  <c r="BC319" i="89"/>
  <c r="AQ319" i="89"/>
  <c r="BC319" i="88"/>
  <c r="AQ319" i="88"/>
  <c r="BC319" i="90"/>
  <c r="AQ319" i="90"/>
  <c r="AX321" i="82"/>
  <c r="AX321" i="83"/>
  <c r="AX321" i="84"/>
  <c r="AX321" i="85"/>
  <c r="AX321" i="87"/>
  <c r="AX321" i="86"/>
  <c r="AX321" i="88"/>
  <c r="AX321" i="90"/>
  <c r="AX321" i="89"/>
  <c r="AV323" i="82"/>
  <c r="AV323" i="83"/>
  <c r="AV323" i="84"/>
  <c r="AV323" i="85"/>
  <c r="AV323" i="87"/>
  <c r="AV323" i="86"/>
  <c r="AV323" i="88"/>
  <c r="AV323" i="90"/>
  <c r="AV323" i="89"/>
  <c r="BC323" i="82"/>
  <c r="AQ323" i="82"/>
  <c r="BC323" i="83"/>
  <c r="AQ323" i="83"/>
  <c r="BC323" i="85"/>
  <c r="AQ323" i="85"/>
  <c r="BC323" i="84"/>
  <c r="AQ323" i="84"/>
  <c r="BC323" i="86"/>
  <c r="AQ323" i="86"/>
  <c r="BC323" i="87"/>
  <c r="AQ323" i="87"/>
  <c r="BC323" i="89"/>
  <c r="AQ323" i="89"/>
  <c r="BC323" i="88"/>
  <c r="AQ323" i="88"/>
  <c r="BC323" i="90"/>
  <c r="AQ323" i="90"/>
  <c r="AX325" i="82"/>
  <c r="AX325" i="83"/>
  <c r="AX325" i="84"/>
  <c r="AX325" i="85"/>
  <c r="AX325" i="87"/>
  <c r="AX325" i="86"/>
  <c r="AX325" i="88"/>
  <c r="AX325" i="90"/>
  <c r="AX325" i="89"/>
  <c r="AV327" i="82"/>
  <c r="AV327" i="83"/>
  <c r="AV327" i="84"/>
  <c r="AV327" i="85"/>
  <c r="AV327" i="87"/>
  <c r="AV327" i="86"/>
  <c r="AV327" i="88"/>
  <c r="AV327" i="90"/>
  <c r="AV327" i="89"/>
  <c r="BC327" i="82"/>
  <c r="AQ327" i="82"/>
  <c r="BC327" i="83"/>
  <c r="AQ327" i="83"/>
  <c r="BC327" i="85"/>
  <c r="AQ327" i="85"/>
  <c r="BC327" i="84"/>
  <c r="AQ327" i="84"/>
  <c r="BC327" i="86"/>
  <c r="AQ327" i="86"/>
  <c r="BC327" i="87"/>
  <c r="AQ327" i="87"/>
  <c r="BC327" i="89"/>
  <c r="AQ327" i="89"/>
  <c r="BC327" i="88"/>
  <c r="AQ327" i="88"/>
  <c r="BC327" i="90"/>
  <c r="AQ327" i="90"/>
  <c r="AX329" i="82"/>
  <c r="AX329" i="83"/>
  <c r="AX329" i="84"/>
  <c r="AX329" i="85"/>
  <c r="AX329" i="87"/>
  <c r="AX329" i="86"/>
  <c r="AX329" i="88"/>
  <c r="AX329" i="90"/>
  <c r="AX329" i="89"/>
  <c r="AV331" i="82"/>
  <c r="AV331" i="83"/>
  <c r="AV331" i="84"/>
  <c r="AV331" i="85"/>
  <c r="AV331" i="87"/>
  <c r="AV331" i="86"/>
  <c r="AV331" i="88"/>
  <c r="AV331" i="90"/>
  <c r="AV331" i="89"/>
  <c r="BC331" i="82"/>
  <c r="AQ331" i="82"/>
  <c r="BC331" i="83"/>
  <c r="AQ331" i="83"/>
  <c r="BC331" i="85"/>
  <c r="AQ331" i="85"/>
  <c r="BC331" i="84"/>
  <c r="AQ331" i="84"/>
  <c r="BC331" i="86"/>
  <c r="AQ331" i="86"/>
  <c r="BC331" i="87"/>
  <c r="AQ331" i="87"/>
  <c r="BC331" i="89"/>
  <c r="AQ331" i="89"/>
  <c r="BC331" i="88"/>
  <c r="AQ331" i="88"/>
  <c r="BC331" i="90"/>
  <c r="AQ331" i="90"/>
  <c r="AX333" i="82"/>
  <c r="AX333" i="83"/>
  <c r="AX333" i="84"/>
  <c r="AX333" i="85"/>
  <c r="AX333" i="87"/>
  <c r="AX333" i="86"/>
  <c r="AX333" i="88"/>
  <c r="AX333" i="90"/>
  <c r="AX333" i="89"/>
  <c r="AV335" i="82"/>
  <c r="AV335" i="83"/>
  <c r="AV335" i="84"/>
  <c r="AV335" i="85"/>
  <c r="AV335" i="87"/>
  <c r="AV335" i="86"/>
  <c r="AV335" i="88"/>
  <c r="AV335" i="90"/>
  <c r="AV335" i="89"/>
  <c r="BC335" i="82"/>
  <c r="AQ335" i="82"/>
  <c r="BC335" i="83"/>
  <c r="AQ335" i="83"/>
  <c r="BC335" i="85"/>
  <c r="AQ335" i="85"/>
  <c r="BC335" i="84"/>
  <c r="AQ335" i="84"/>
  <c r="BC335" i="86"/>
  <c r="AQ335" i="86"/>
  <c r="BC335" i="87"/>
  <c r="AQ335" i="87"/>
  <c r="BC335" i="89"/>
  <c r="AQ335" i="89"/>
  <c r="BC335" i="88"/>
  <c r="AQ335" i="88"/>
  <c r="BC335" i="90"/>
  <c r="AQ335" i="90"/>
  <c r="AX337" i="82"/>
  <c r="AX337" i="83"/>
  <c r="AX337" i="84"/>
  <c r="AX337" i="85"/>
  <c r="AX337" i="87"/>
  <c r="AX337" i="86"/>
  <c r="AX337" i="88"/>
  <c r="AX337" i="90"/>
  <c r="AX337" i="89"/>
  <c r="AV339" i="82"/>
  <c r="AV339" i="83"/>
  <c r="AV339" i="84"/>
  <c r="AV339" i="85"/>
  <c r="AV339" i="87"/>
  <c r="AV339" i="86"/>
  <c r="AV339" i="88"/>
  <c r="AV339" i="90"/>
  <c r="AV339" i="89"/>
  <c r="BC339" i="82"/>
  <c r="AQ339" i="82"/>
  <c r="BC339" i="83"/>
  <c r="AQ339" i="83"/>
  <c r="BC339" i="85"/>
  <c r="AQ339" i="85"/>
  <c r="BC339" i="84"/>
  <c r="AQ339" i="84"/>
  <c r="BC339" i="86"/>
  <c r="AQ339" i="86"/>
  <c r="BC339" i="87"/>
  <c r="AQ339" i="87"/>
  <c r="BC339" i="89"/>
  <c r="AQ339" i="89"/>
  <c r="BC339" i="88"/>
  <c r="AQ339" i="88"/>
  <c r="BC339" i="90"/>
  <c r="AQ339" i="90"/>
  <c r="AX341" i="82"/>
  <c r="AX341" i="83"/>
  <c r="AX341" i="84"/>
  <c r="AX341" i="85"/>
  <c r="AX341" i="87"/>
  <c r="AX341" i="86"/>
  <c r="AX341" i="88"/>
  <c r="AX341" i="90"/>
  <c r="AX341" i="89"/>
  <c r="AZ343" i="82"/>
  <c r="AZ343" i="83"/>
  <c r="AZ343" i="84"/>
  <c r="AZ343" i="85"/>
  <c r="AZ343" i="87"/>
  <c r="AZ343" i="86"/>
  <c r="AZ343" i="88"/>
  <c r="AZ343" i="90"/>
  <c r="AZ343" i="89"/>
  <c r="AZ345" i="82"/>
  <c r="AZ345" i="83"/>
  <c r="AZ345" i="84"/>
  <c r="AZ345" i="85"/>
  <c r="AZ345" i="87"/>
  <c r="AZ345" i="86"/>
  <c r="AZ345" i="88"/>
  <c r="AZ345" i="90"/>
  <c r="AZ345" i="89"/>
  <c r="AW347" i="82"/>
  <c r="AW347" i="83"/>
  <c r="AW347" i="85"/>
  <c r="AW347" i="84"/>
  <c r="AW347" i="86"/>
  <c r="AW347" i="87"/>
  <c r="AW347" i="89"/>
  <c r="AW347" i="88"/>
  <c r="AW347" i="90"/>
  <c r="AX348" i="82"/>
  <c r="AX348" i="83"/>
  <c r="AX348" i="85"/>
  <c r="AX348" i="84"/>
  <c r="AX348" i="86"/>
  <c r="AX348" i="87"/>
  <c r="AX348" i="89"/>
  <c r="AX348" i="88"/>
  <c r="AX348" i="90"/>
  <c r="AV348" i="82"/>
  <c r="AV348" i="83"/>
  <c r="AV348" i="85"/>
  <c r="AV348" i="84"/>
  <c r="AV348" i="86"/>
  <c r="AV348" i="87"/>
  <c r="AV348" i="89"/>
  <c r="AV348" i="88"/>
  <c r="AV348" i="90"/>
  <c r="BA346" i="82"/>
  <c r="BA346" i="83"/>
  <c r="BA346" i="84"/>
  <c r="BA346" i="85"/>
  <c r="BA346" i="87"/>
  <c r="BA346" i="86"/>
  <c r="BA346" i="88"/>
  <c r="BA346" i="90"/>
  <c r="BA346" i="89"/>
  <c r="AW346" i="82"/>
  <c r="AW346" i="83"/>
  <c r="AW346" i="84"/>
  <c r="AW346" i="85"/>
  <c r="AW346" i="87"/>
  <c r="AW346" i="86"/>
  <c r="AW346" i="88"/>
  <c r="AW346" i="90"/>
  <c r="AW346" i="89"/>
  <c r="AR346" i="82"/>
  <c r="AR346" i="83"/>
  <c r="AR346" i="85"/>
  <c r="AR346" i="84"/>
  <c r="AR346" i="86"/>
  <c r="AR346" i="87"/>
  <c r="AR346" i="89"/>
  <c r="AR346" i="88"/>
  <c r="AR346" i="90"/>
  <c r="BB344" i="82"/>
  <c r="BB344" i="83"/>
  <c r="BB344" i="85"/>
  <c r="BB344" i="84"/>
  <c r="BB344" i="86"/>
  <c r="BB344" i="87"/>
  <c r="BB344" i="89"/>
  <c r="BB344" i="88"/>
  <c r="BB344" i="90"/>
  <c r="AY344" i="82"/>
  <c r="AY344" i="83"/>
  <c r="AY344" i="84"/>
  <c r="AY344" i="85"/>
  <c r="AY344" i="87"/>
  <c r="AY344" i="86"/>
  <c r="AY344" i="88"/>
  <c r="AY344" i="90"/>
  <c r="AY344" i="89"/>
  <c r="AT344" i="82"/>
  <c r="AT344" i="83"/>
  <c r="AT344" i="85"/>
  <c r="AT344" i="84"/>
  <c r="AT344" i="86"/>
  <c r="AT344" i="87"/>
  <c r="AT344" i="89"/>
  <c r="AT344" i="88"/>
  <c r="AT344" i="90"/>
  <c r="BB342" i="82"/>
  <c r="BB342" i="83"/>
  <c r="BB342" i="85"/>
  <c r="BB342" i="84"/>
  <c r="BB342" i="86"/>
  <c r="BB342" i="87"/>
  <c r="BB342" i="89"/>
  <c r="BB342" i="88"/>
  <c r="BB342" i="90"/>
  <c r="AY342" i="82"/>
  <c r="AY342" i="83"/>
  <c r="AY342" i="84"/>
  <c r="AY342" i="85"/>
  <c r="AY342" i="87"/>
  <c r="AY342" i="86"/>
  <c r="AY342" i="88"/>
  <c r="AY342" i="90"/>
  <c r="AY342" i="89"/>
  <c r="AT342" i="82"/>
  <c r="AT342" i="83"/>
  <c r="AT342" i="85"/>
  <c r="AT342" i="84"/>
  <c r="AT342" i="86"/>
  <c r="AT342" i="87"/>
  <c r="AT342" i="89"/>
  <c r="AT342" i="88"/>
  <c r="AT342" i="90"/>
  <c r="BC340" i="82"/>
  <c r="AQ340" i="82"/>
  <c r="BC340" i="83"/>
  <c r="AQ340" i="83"/>
  <c r="BC340" i="84"/>
  <c r="AQ340" i="84"/>
  <c r="BC340" i="85"/>
  <c r="AQ340" i="85"/>
  <c r="BC340" i="87"/>
  <c r="AQ340" i="87"/>
  <c r="BC340" i="86"/>
  <c r="AQ340" i="86"/>
  <c r="BC340" i="88"/>
  <c r="AQ340" i="88"/>
  <c r="BC340" i="90"/>
  <c r="AQ340" i="90"/>
  <c r="BC340" i="89"/>
  <c r="AQ340" i="89"/>
  <c r="AX340" i="82"/>
  <c r="AX340" i="83"/>
  <c r="AX340" i="85"/>
  <c r="AX340" i="84"/>
  <c r="AX340" i="86"/>
  <c r="AX340" i="87"/>
  <c r="AX340" i="89"/>
  <c r="AX340" i="88"/>
  <c r="AX340" i="90"/>
  <c r="AV340" i="82"/>
  <c r="AV340" i="83"/>
  <c r="AV340" i="85"/>
  <c r="AV340" i="84"/>
  <c r="AV340" i="86"/>
  <c r="AV340" i="87"/>
  <c r="AV340" i="89"/>
  <c r="AV340" i="88"/>
  <c r="AV340" i="90"/>
  <c r="AZ338" i="82"/>
  <c r="AZ338" i="83"/>
  <c r="AZ338" i="85"/>
  <c r="AZ338" i="84"/>
  <c r="AZ338" i="86"/>
  <c r="AZ338" i="87"/>
  <c r="AZ338" i="89"/>
  <c r="AZ338" i="88"/>
  <c r="AZ338" i="90"/>
  <c r="AU338" i="82"/>
  <c r="AU338" i="83"/>
  <c r="AU338" i="84"/>
  <c r="AU338" i="85"/>
  <c r="AU338" i="87"/>
  <c r="AU338" i="86"/>
  <c r="AU338" i="88"/>
  <c r="AU338" i="90"/>
  <c r="AU338" i="89"/>
  <c r="BA336" i="82"/>
  <c r="BA336" i="83"/>
  <c r="BA336" i="84"/>
  <c r="BA336" i="85"/>
  <c r="BA336" i="87"/>
  <c r="BA336" i="86"/>
  <c r="BA336" i="88"/>
  <c r="BA336" i="90"/>
  <c r="BA336" i="89"/>
  <c r="AW336" i="82"/>
  <c r="AW336" i="83"/>
  <c r="AW336" i="84"/>
  <c r="AW336" i="85"/>
  <c r="AW336" i="87"/>
  <c r="AW336" i="86"/>
  <c r="AW336" i="88"/>
  <c r="AW336" i="90"/>
  <c r="AW336" i="89"/>
  <c r="AR336" i="82"/>
  <c r="AR336" i="83"/>
  <c r="AR336" i="85"/>
  <c r="AR336" i="84"/>
  <c r="AR336" i="86"/>
  <c r="AR336" i="87"/>
  <c r="AR336" i="89"/>
  <c r="AR336" i="88"/>
  <c r="AR336" i="90"/>
  <c r="BB334" i="82"/>
  <c r="BB334" i="83"/>
  <c r="BB334" i="85"/>
  <c r="BB334" i="84"/>
  <c r="BB334" i="86"/>
  <c r="BB334" i="87"/>
  <c r="BB334" i="89"/>
  <c r="BB334" i="88"/>
  <c r="BB334" i="90"/>
  <c r="AY334" i="82"/>
  <c r="AY334" i="83"/>
  <c r="AY334" i="84"/>
  <c r="AY334" i="85"/>
  <c r="AY334" i="87"/>
  <c r="AY334" i="86"/>
  <c r="AY334" i="88"/>
  <c r="AY334" i="90"/>
  <c r="AY334" i="89"/>
  <c r="AT334" i="82"/>
  <c r="AT334" i="83"/>
  <c r="AT334" i="85"/>
  <c r="AT334" i="84"/>
  <c r="AT334" i="86"/>
  <c r="AT334" i="87"/>
  <c r="AT334" i="89"/>
  <c r="AT334" i="88"/>
  <c r="AT334" i="90"/>
  <c r="BC332" i="82"/>
  <c r="AQ332" i="82"/>
  <c r="BC332" i="83"/>
  <c r="AQ332" i="83"/>
  <c r="BC332" i="84"/>
  <c r="AQ332" i="84"/>
  <c r="BC332" i="85"/>
  <c r="AQ332" i="85"/>
  <c r="BC332" i="87"/>
  <c r="AQ332" i="87"/>
  <c r="BC332" i="86"/>
  <c r="AQ332" i="86"/>
  <c r="BC332" i="88"/>
  <c r="AQ332" i="88"/>
  <c r="BC332" i="90"/>
  <c r="AQ332" i="90"/>
  <c r="BC332" i="89"/>
  <c r="AQ332" i="89"/>
  <c r="AX332" i="82"/>
  <c r="AX332" i="83"/>
  <c r="AX332" i="85"/>
  <c r="AX332" i="84"/>
  <c r="AX332" i="86"/>
  <c r="AX332" i="87"/>
  <c r="AX332" i="89"/>
  <c r="AX332" i="88"/>
  <c r="AX332" i="90"/>
  <c r="AV332" i="82"/>
  <c r="AV332" i="83"/>
  <c r="AV332" i="85"/>
  <c r="AV332" i="84"/>
  <c r="AV332" i="86"/>
  <c r="AV332" i="87"/>
  <c r="AV332" i="89"/>
  <c r="AV332" i="88"/>
  <c r="AV332" i="90"/>
  <c r="AZ330" i="82"/>
  <c r="AZ330" i="83"/>
  <c r="AZ330" i="85"/>
  <c r="AZ330" i="84"/>
  <c r="AZ330" i="86"/>
  <c r="AZ330" i="87"/>
  <c r="AZ330" i="89"/>
  <c r="AZ330" i="88"/>
  <c r="AZ330" i="90"/>
  <c r="AU330" i="82"/>
  <c r="AU330" i="83"/>
  <c r="AU330" i="84"/>
  <c r="AU330" i="85"/>
  <c r="AU330" i="87"/>
  <c r="AU330" i="86"/>
  <c r="AU330" i="88"/>
  <c r="AU330" i="90"/>
  <c r="AU330" i="89"/>
  <c r="BA328" i="82"/>
  <c r="BA328" i="83"/>
  <c r="BA328" i="84"/>
  <c r="BA328" i="85"/>
  <c r="BA328" i="87"/>
  <c r="BA328" i="86"/>
  <c r="BA328" i="88"/>
  <c r="BA328" i="90"/>
  <c r="BA328" i="89"/>
  <c r="AW328" i="82"/>
  <c r="AW328" i="83"/>
  <c r="AW328" i="84"/>
  <c r="AW328" i="85"/>
  <c r="AW328" i="87"/>
  <c r="AW328" i="86"/>
  <c r="AW328" i="88"/>
  <c r="AW328" i="90"/>
  <c r="AW328" i="89"/>
  <c r="AR328" i="82"/>
  <c r="AR328" i="83"/>
  <c r="AR328" i="85"/>
  <c r="AR328" i="84"/>
  <c r="AR328" i="86"/>
  <c r="AR328" i="87"/>
  <c r="AR328" i="89"/>
  <c r="AR328" i="88"/>
  <c r="AR328" i="90"/>
  <c r="BB326" i="82"/>
  <c r="BB326" i="83"/>
  <c r="BB326" i="85"/>
  <c r="BB326" i="84"/>
  <c r="BB326" i="86"/>
  <c r="BB326" i="87"/>
  <c r="BB326" i="89"/>
  <c r="BB326" i="88"/>
  <c r="BB326" i="90"/>
  <c r="AY326" i="82"/>
  <c r="AY326" i="83"/>
  <c r="AY326" i="84"/>
  <c r="AY326" i="85"/>
  <c r="AY326" i="87"/>
  <c r="AY326" i="86"/>
  <c r="AY326" i="88"/>
  <c r="AY326" i="90"/>
  <c r="AY326" i="89"/>
  <c r="AT326" i="82"/>
  <c r="AT326" i="83"/>
  <c r="AT326" i="85"/>
  <c r="AT326" i="84"/>
  <c r="AT326" i="86"/>
  <c r="AT326" i="87"/>
  <c r="AT326" i="89"/>
  <c r="AT326" i="88"/>
  <c r="AT326" i="90"/>
  <c r="BC324" i="82"/>
  <c r="AQ324" i="82"/>
  <c r="BC324" i="83"/>
  <c r="AQ324" i="83"/>
  <c r="BC324" i="84"/>
  <c r="AQ324" i="84"/>
  <c r="BC324" i="85"/>
  <c r="AQ324" i="85"/>
  <c r="BC324" i="87"/>
  <c r="AQ324" i="87"/>
  <c r="BC324" i="86"/>
  <c r="AQ324" i="86"/>
  <c r="BC324" i="88"/>
  <c r="AQ324" i="88"/>
  <c r="BC324" i="90"/>
  <c r="AQ324" i="90"/>
  <c r="BC324" i="89"/>
  <c r="AQ324" i="89"/>
  <c r="AY348" i="90"/>
  <c r="AY348" i="86"/>
  <c r="AY348" i="85"/>
  <c r="AY348" i="83"/>
  <c r="AY348" i="82"/>
  <c r="AZ346" i="90"/>
  <c r="AZ346" i="89"/>
  <c r="AZ346" i="86"/>
  <c r="AZ346" i="85"/>
  <c r="AW344" i="89"/>
  <c r="AW344" i="88"/>
  <c r="AW344" i="87"/>
  <c r="AW344" i="84"/>
  <c r="AR344" i="88"/>
  <c r="AR344" i="87"/>
  <c r="AR344" i="84"/>
  <c r="AR344" i="83"/>
  <c r="AR344" i="82"/>
  <c r="AW342" i="89"/>
  <c r="AW342" i="88"/>
  <c r="AW342" i="87"/>
  <c r="AW342" i="84"/>
  <c r="AR342" i="88"/>
  <c r="AR342" i="87"/>
  <c r="AR342" i="84"/>
  <c r="AR342" i="83"/>
  <c r="AR342" i="82"/>
  <c r="AY340" i="89"/>
  <c r="AY340" i="88"/>
  <c r="AY340" i="87"/>
  <c r="AY340" i="84"/>
  <c r="AV338" i="90"/>
  <c r="AV338" i="89"/>
  <c r="AV338" i="86"/>
  <c r="AV338" i="85"/>
  <c r="AR337" i="90"/>
  <c r="AR337" i="86"/>
  <c r="AR337" i="85"/>
  <c r="AR337" i="83"/>
  <c r="AR337" i="82"/>
  <c r="AZ336" i="90"/>
  <c r="AZ336" i="89"/>
  <c r="AZ336" i="86"/>
  <c r="AZ336" i="85"/>
  <c r="AR335" i="89"/>
  <c r="AR335" i="88"/>
  <c r="AR335" i="87"/>
  <c r="AR335" i="84"/>
  <c r="AW334" i="89"/>
  <c r="AW334" i="88"/>
  <c r="AW334" i="87"/>
  <c r="AW334" i="84"/>
  <c r="AR334" i="88"/>
  <c r="AR334" i="87"/>
  <c r="AR334" i="84"/>
  <c r="AR334" i="83"/>
  <c r="AR334" i="82"/>
  <c r="AY332" i="89"/>
  <c r="AY332" i="88"/>
  <c r="AY332" i="87"/>
  <c r="AY332" i="84"/>
  <c r="AV330" i="90"/>
  <c r="AV330" i="89"/>
  <c r="AV330" i="86"/>
  <c r="AV330" i="85"/>
  <c r="AR329" i="90"/>
  <c r="AR329" i="86"/>
  <c r="AR329" i="85"/>
  <c r="AR329" i="83"/>
  <c r="AR329" i="82"/>
  <c r="AZ328" i="90"/>
  <c r="AZ328" i="89"/>
  <c r="AZ328" i="86"/>
  <c r="AZ328" i="85"/>
  <c r="AR327" i="89"/>
  <c r="AR327" i="88"/>
  <c r="AR327" i="87"/>
  <c r="AR327" i="84"/>
  <c r="AW326" i="89"/>
  <c r="AW326" i="88"/>
  <c r="AW326" i="87"/>
  <c r="AW326" i="84"/>
  <c r="AR326" i="88"/>
  <c r="AR326" i="87"/>
  <c r="AR326" i="84"/>
  <c r="AR326" i="83"/>
  <c r="AR326" i="82"/>
  <c r="AR321" i="89"/>
  <c r="AR321" i="88"/>
  <c r="AR321" i="87"/>
  <c r="AR321" i="84"/>
  <c r="AR317" i="89"/>
  <c r="AR317" i="88"/>
  <c r="AR317" i="87"/>
  <c r="AR317" i="84"/>
  <c r="AR313" i="89"/>
  <c r="AR313" i="88"/>
  <c r="AR313" i="87"/>
  <c r="AR313" i="84"/>
  <c r="AR309" i="89"/>
  <c r="AR309" i="88"/>
  <c r="AR309" i="87"/>
  <c r="AR309" i="84"/>
  <c r="AR305" i="89"/>
  <c r="AR305" i="88"/>
  <c r="AR305" i="87"/>
  <c r="AR305" i="84"/>
  <c r="AR301" i="89"/>
  <c r="AR301" i="88"/>
  <c r="AR301" i="87"/>
  <c r="AR301" i="84"/>
  <c r="AR297" i="89"/>
  <c r="AR297" i="88"/>
  <c r="AR297" i="87"/>
  <c r="AR297" i="84"/>
  <c r="AR295" i="90"/>
  <c r="AR295" i="86"/>
  <c r="AR295" i="85"/>
  <c r="AR295" i="83"/>
  <c r="AR295" i="82"/>
  <c r="AR293" i="89"/>
  <c r="AR293" i="88"/>
  <c r="AR293" i="87"/>
  <c r="AR293" i="84"/>
  <c r="AR291" i="90"/>
  <c r="AR291" i="86"/>
  <c r="AR291" i="85"/>
  <c r="AR291" i="83"/>
  <c r="AR291" i="82"/>
  <c r="AR289" i="89"/>
  <c r="AR289" i="88"/>
  <c r="AR289" i="87"/>
  <c r="AR289" i="84"/>
  <c r="AZ348" i="90"/>
  <c r="AZ348" i="89"/>
  <c r="AZ348" i="86"/>
  <c r="AZ348" i="85"/>
  <c r="AY346" i="90"/>
  <c r="AY346" i="86"/>
  <c r="AY346" i="85"/>
  <c r="AY346" i="83"/>
  <c r="AY346" i="82"/>
  <c r="AV344" i="88"/>
  <c r="AV344" i="87"/>
  <c r="AV344" i="84"/>
  <c r="AV344" i="83"/>
  <c r="AV344" i="82"/>
  <c r="AV342" i="88"/>
  <c r="AV342" i="87"/>
  <c r="AV342" i="84"/>
  <c r="AV342" i="83"/>
  <c r="AV342" i="82"/>
  <c r="AR341" i="89"/>
  <c r="AR341" i="88"/>
  <c r="AR341" i="87"/>
  <c r="AR341" i="84"/>
  <c r="AZ340" i="88"/>
  <c r="AZ340" i="87"/>
  <c r="AZ340" i="84"/>
  <c r="AZ340" i="83"/>
  <c r="AZ340" i="82"/>
  <c r="AR339" i="90"/>
  <c r="AR339" i="86"/>
  <c r="AR339" i="85"/>
  <c r="AR339" i="83"/>
  <c r="AR339" i="82"/>
  <c r="AW338" i="90"/>
  <c r="AW338" i="86"/>
  <c r="AW338" i="85"/>
  <c r="AW338" i="83"/>
  <c r="AW338" i="82"/>
  <c r="AR338" i="90"/>
  <c r="AR338" i="89"/>
  <c r="AR338" i="86"/>
  <c r="AR338" i="85"/>
  <c r="AY336" i="90"/>
  <c r="AY336" i="86"/>
  <c r="AY336" i="85"/>
  <c r="AY336" i="83"/>
  <c r="AY336" i="82"/>
  <c r="AV334" i="88"/>
  <c r="AV334" i="87"/>
  <c r="AV334" i="84"/>
  <c r="AV334" i="83"/>
  <c r="AV334" i="82"/>
  <c r="AR333" i="89"/>
  <c r="AR333" i="88"/>
  <c r="AR333" i="87"/>
  <c r="AR333" i="84"/>
  <c r="AZ332" i="88"/>
  <c r="AZ332" i="87"/>
  <c r="AZ332" i="84"/>
  <c r="AZ332" i="83"/>
  <c r="AZ332" i="82"/>
  <c r="AR331" i="90"/>
  <c r="AR331" i="86"/>
  <c r="AR331" i="85"/>
  <c r="AR331" i="83"/>
  <c r="AR331" i="82"/>
  <c r="AW330" i="90"/>
  <c r="AW330" i="86"/>
  <c r="AW330" i="85"/>
  <c r="AW330" i="83"/>
  <c r="AW330" i="82"/>
  <c r="AR330" i="90"/>
  <c r="AR330" i="89"/>
  <c r="AR330" i="86"/>
  <c r="AR330" i="85"/>
  <c r="AY328" i="90"/>
  <c r="AY328" i="86"/>
  <c r="AY328" i="85"/>
  <c r="AY328" i="83"/>
  <c r="AY328" i="82"/>
  <c r="AV326" i="88"/>
  <c r="AV326" i="87"/>
  <c r="AV326" i="84"/>
  <c r="AV326" i="83"/>
  <c r="AV326" i="82"/>
  <c r="AR325" i="89"/>
  <c r="AR325" i="88"/>
  <c r="AR325" i="87"/>
  <c r="AR325" i="84"/>
  <c r="AR323" i="89"/>
  <c r="AR323" i="88"/>
  <c r="AR323" i="87"/>
  <c r="AR323" i="84"/>
  <c r="AR319" i="89"/>
  <c r="AR319" i="88"/>
  <c r="AR319" i="87"/>
  <c r="AR319" i="84"/>
  <c r="AR315" i="89"/>
  <c r="AR315" i="88"/>
  <c r="AR315" i="87"/>
  <c r="AR315" i="84"/>
  <c r="AR311" i="89"/>
  <c r="AR311" i="88"/>
  <c r="AR311" i="87"/>
  <c r="AR311" i="84"/>
  <c r="AR307" i="89"/>
  <c r="AR307" i="88"/>
  <c r="AR307" i="87"/>
  <c r="AR307" i="84"/>
  <c r="AR303" i="89"/>
  <c r="AR303" i="88"/>
  <c r="AR303" i="87"/>
  <c r="AR303" i="84"/>
  <c r="AR299" i="89"/>
  <c r="AR299" i="88"/>
  <c r="AR299" i="87"/>
  <c r="AR299" i="84"/>
  <c r="AZ349" i="90"/>
  <c r="AZ349" i="86"/>
  <c r="AZ349" i="85"/>
  <c r="AZ349" i="83"/>
  <c r="AZ349" i="82"/>
  <c r="AY287" i="88"/>
  <c r="AY287" i="87"/>
  <c r="AY287" i="84"/>
  <c r="AY287" i="83"/>
  <c r="AY287" i="82"/>
  <c r="AY289" i="90"/>
  <c r="AY289" i="89"/>
  <c r="AY289" i="86"/>
  <c r="AY289" i="85"/>
  <c r="AY291" i="88"/>
  <c r="AY291" i="87"/>
  <c r="AY291" i="84"/>
  <c r="AY291" i="83"/>
  <c r="AY291" i="82"/>
  <c r="AY293" i="90"/>
  <c r="AY293" i="89"/>
  <c r="AY293" i="86"/>
  <c r="AY293" i="85"/>
  <c r="AY295" i="88"/>
  <c r="AY295" i="87"/>
  <c r="AY295" i="84"/>
  <c r="AY295" i="83"/>
  <c r="AY295" i="82"/>
  <c r="AY297" i="90"/>
  <c r="AY297" i="89"/>
  <c r="AY297" i="86"/>
  <c r="AY297" i="85"/>
  <c r="AY299" i="88"/>
  <c r="AY299" i="87"/>
  <c r="AY299" i="84"/>
  <c r="AY299" i="83"/>
  <c r="AY299" i="82"/>
  <c r="AY301" i="90"/>
  <c r="AY301" i="89"/>
  <c r="AY301" i="86"/>
  <c r="AY301" i="85"/>
  <c r="AY303" i="88"/>
  <c r="AY303" i="87"/>
  <c r="AY303" i="84"/>
  <c r="AY303" i="83"/>
  <c r="AY303" i="82"/>
  <c r="AY305" i="90"/>
  <c r="AY305" i="89"/>
  <c r="AY305" i="86"/>
  <c r="AY305" i="85"/>
  <c r="AY307" i="88"/>
  <c r="AY307" i="87"/>
  <c r="AY307" i="84"/>
  <c r="AY307" i="83"/>
  <c r="AY307" i="82"/>
  <c r="AY309" i="90"/>
  <c r="AY309" i="89"/>
  <c r="AY309" i="86"/>
  <c r="AY309" i="85"/>
  <c r="AY311" i="88"/>
  <c r="AY311" i="87"/>
  <c r="AY311" i="84"/>
  <c r="AY311" i="83"/>
  <c r="AY311" i="82"/>
  <c r="AY313" i="90"/>
  <c r="AY313" i="89"/>
  <c r="AY313" i="86"/>
  <c r="AY313" i="85"/>
  <c r="AY315" i="88"/>
  <c r="AY315" i="87"/>
  <c r="AY315" i="84"/>
  <c r="AY315" i="83"/>
  <c r="AY315" i="82"/>
  <c r="AY317" i="90"/>
  <c r="AY317" i="89"/>
  <c r="AY317" i="86"/>
  <c r="AY317" i="85"/>
  <c r="AY319" i="88"/>
  <c r="AY319" i="87"/>
  <c r="AY319" i="84"/>
  <c r="AY319" i="83"/>
  <c r="AY319" i="82"/>
  <c r="AY321" i="90"/>
  <c r="AY321" i="89"/>
  <c r="AY321" i="86"/>
  <c r="AY321" i="85"/>
  <c r="AY323" i="88"/>
  <c r="AY323" i="87"/>
  <c r="AY323" i="84"/>
  <c r="AY323" i="83"/>
  <c r="AY323" i="82"/>
  <c r="AY325" i="90"/>
  <c r="AY325" i="89"/>
  <c r="AY325" i="86"/>
  <c r="AY325" i="85"/>
  <c r="AY327" i="88"/>
  <c r="AY327" i="87"/>
  <c r="AY327" i="84"/>
  <c r="AY327" i="83"/>
  <c r="AY327" i="82"/>
  <c r="AY329" i="90"/>
  <c r="AY329" i="89"/>
  <c r="AY329" i="86"/>
  <c r="AY329" i="85"/>
  <c r="AY331" i="88"/>
  <c r="AY331" i="87"/>
  <c r="AY331" i="84"/>
  <c r="AY331" i="83"/>
  <c r="AY331" i="82"/>
  <c r="AY333" i="90"/>
  <c r="AY333" i="89"/>
  <c r="AY333" i="86"/>
  <c r="AY333" i="85"/>
  <c r="AY335" i="88"/>
  <c r="AY335" i="87"/>
  <c r="AY335" i="84"/>
  <c r="AY335" i="83"/>
  <c r="AY335" i="82"/>
  <c r="AY337" i="90"/>
  <c r="AY337" i="89"/>
  <c r="AY337" i="86"/>
  <c r="AY337" i="85"/>
  <c r="AY339" i="88"/>
  <c r="AY339" i="87"/>
  <c r="AY339" i="84"/>
  <c r="AY339" i="83"/>
  <c r="AY339" i="82"/>
  <c r="AY341" i="90"/>
  <c r="AY341" i="89"/>
  <c r="AY341" i="86"/>
  <c r="AY341" i="85"/>
  <c r="AV345" i="90"/>
  <c r="AV345" i="86"/>
  <c r="AV345" i="85"/>
  <c r="AV345" i="83"/>
  <c r="AV345" i="82"/>
  <c r="AR343" i="90"/>
  <c r="AR343" i="86"/>
  <c r="AR343" i="85"/>
  <c r="AR343" i="83"/>
  <c r="AY349" i="88"/>
  <c r="AY349" i="87"/>
  <c r="AY349" i="84"/>
  <c r="AY349" i="83"/>
  <c r="AY349" i="82"/>
  <c r="AZ287" i="89"/>
  <c r="AZ287" i="88"/>
  <c r="AZ287" i="87"/>
  <c r="AZ287" i="84"/>
  <c r="AZ289" i="89"/>
  <c r="AZ289" i="88"/>
  <c r="AZ289" i="87"/>
  <c r="AZ289" i="84"/>
  <c r="AZ291" i="89"/>
  <c r="AZ291" i="88"/>
  <c r="AZ291" i="87"/>
  <c r="AZ291" i="84"/>
  <c r="AZ293" i="89"/>
  <c r="AZ293" i="88"/>
  <c r="AZ293" i="87"/>
  <c r="AZ293" i="84"/>
  <c r="AZ295" i="89"/>
  <c r="AZ295" i="88"/>
  <c r="AZ295" i="87"/>
  <c r="AZ295" i="84"/>
  <c r="AZ297" i="89"/>
  <c r="AZ297" i="88"/>
  <c r="AZ297" i="87"/>
  <c r="AZ297" i="84"/>
  <c r="AZ299" i="89"/>
  <c r="AZ299" i="88"/>
  <c r="AZ299" i="87"/>
  <c r="AZ299" i="84"/>
  <c r="AZ301" i="89"/>
  <c r="AZ301" i="88"/>
  <c r="AZ301" i="87"/>
  <c r="AZ301" i="84"/>
  <c r="AZ303" i="89"/>
  <c r="AZ303" i="88"/>
  <c r="AZ303" i="87"/>
  <c r="AZ303" i="84"/>
  <c r="AZ305" i="89"/>
  <c r="AZ305" i="88"/>
  <c r="AZ305" i="87"/>
  <c r="AZ305" i="84"/>
  <c r="AZ307" i="89"/>
  <c r="AZ307" i="88"/>
  <c r="AZ307" i="87"/>
  <c r="AZ307" i="84"/>
  <c r="AZ309" i="89"/>
  <c r="AZ309" i="88"/>
  <c r="AZ309" i="87"/>
  <c r="AZ309" i="84"/>
  <c r="AZ311" i="89"/>
  <c r="AZ311" i="88"/>
  <c r="AZ311" i="87"/>
  <c r="AZ311" i="84"/>
  <c r="AZ313" i="89"/>
  <c r="AZ313" i="88"/>
  <c r="AZ313" i="87"/>
  <c r="AZ313" i="84"/>
  <c r="AZ315" i="89"/>
  <c r="AZ315" i="88"/>
  <c r="AZ315" i="87"/>
  <c r="AZ315" i="84"/>
  <c r="AZ317" i="89"/>
  <c r="AZ317" i="88"/>
  <c r="AZ317" i="87"/>
  <c r="AZ317" i="84"/>
  <c r="AZ319" i="89"/>
  <c r="AZ319" i="88"/>
  <c r="AZ319" i="87"/>
  <c r="AZ319" i="84"/>
  <c r="AZ321" i="89"/>
  <c r="AZ321" i="88"/>
  <c r="AZ321" i="87"/>
  <c r="AZ321" i="84"/>
  <c r="AZ323" i="89"/>
  <c r="AZ323" i="88"/>
  <c r="AZ323" i="87"/>
  <c r="AZ323" i="84"/>
  <c r="AZ325" i="89"/>
  <c r="AZ325" i="88"/>
  <c r="AZ325" i="87"/>
  <c r="AZ325" i="84"/>
  <c r="AZ327" i="89"/>
  <c r="AZ327" i="88"/>
  <c r="AZ327" i="87"/>
  <c r="AZ327" i="84"/>
  <c r="AZ329" i="89"/>
  <c r="AZ329" i="88"/>
  <c r="AZ329" i="87"/>
  <c r="AZ329" i="84"/>
  <c r="AZ331" i="89"/>
  <c r="AZ331" i="88"/>
  <c r="AZ331" i="87"/>
  <c r="AZ331" i="84"/>
  <c r="AZ333" i="89"/>
  <c r="AZ333" i="88"/>
  <c r="AZ333" i="87"/>
  <c r="AZ333" i="84"/>
  <c r="AZ335" i="89"/>
  <c r="AZ335" i="88"/>
  <c r="AZ335" i="87"/>
  <c r="AZ335" i="84"/>
  <c r="AZ337" i="89"/>
  <c r="AZ337" i="88"/>
  <c r="AZ337" i="87"/>
  <c r="AZ337" i="84"/>
  <c r="AZ339" i="89"/>
  <c r="AZ339" i="88"/>
  <c r="AZ339" i="87"/>
  <c r="AZ339" i="84"/>
  <c r="AZ341" i="89"/>
  <c r="AZ341" i="88"/>
  <c r="AZ341" i="87"/>
  <c r="AZ341" i="84"/>
  <c r="AR345" i="90"/>
  <c r="AR345" i="86"/>
  <c r="AR345" i="85"/>
  <c r="AR345" i="83"/>
  <c r="AW345" i="90"/>
  <c r="AW345" i="89"/>
  <c r="AW345" i="86"/>
  <c r="AW345" i="85"/>
  <c r="AR349" i="90"/>
  <c r="AR349" i="86"/>
  <c r="AR349" i="85"/>
  <c r="AR349" i="83"/>
  <c r="GN23" i="15"/>
  <c r="AK23" i="5"/>
  <c r="GB23" i="15"/>
  <c r="GC24" i="15"/>
  <c r="AM24" i="5" s="1"/>
  <c r="GN27" i="15"/>
  <c r="AJ28" i="5"/>
  <c r="AV28" i="5" s="1"/>
  <c r="GD29" i="15"/>
  <c r="AN29" i="5" s="1"/>
  <c r="GB33" i="15"/>
  <c r="GD37" i="15"/>
  <c r="GB24" i="15"/>
  <c r="GC33" i="15"/>
  <c r="GD34" i="15"/>
  <c r="GC37" i="15"/>
  <c r="GD23" i="15"/>
  <c r="GB29" i="15"/>
  <c r="AL29" i="5" s="1"/>
  <c r="GM30" i="15"/>
  <c r="GC34" i="15"/>
  <c r="AJ23" i="5"/>
  <c r="GD24" i="15"/>
  <c r="AN24" i="5" s="1"/>
  <c r="GM27" i="15"/>
  <c r="HP31" i="15"/>
  <c r="AW117" i="5"/>
  <c r="AU26" i="5"/>
  <c r="HN32" i="15"/>
  <c r="AW36" i="5"/>
  <c r="HN42" i="15"/>
  <c r="AU46" i="5"/>
  <c r="HO65" i="15"/>
  <c r="HN66" i="15"/>
  <c r="HQ66" i="15" s="1"/>
  <c r="AU70" i="5"/>
  <c r="AW84" i="5"/>
  <c r="AW86" i="5"/>
  <c r="HP88" i="15"/>
  <c r="AW106" i="5"/>
  <c r="HP112" i="15"/>
  <c r="HS112" i="15" s="1"/>
  <c r="HK112" i="15" s="1"/>
  <c r="HY112" i="15" s="1"/>
  <c r="BN112" i="15" s="1"/>
  <c r="AV117" i="5"/>
  <c r="AW118" i="5"/>
  <c r="AW120" i="5"/>
  <c r="AV127" i="5"/>
  <c r="HN130" i="15"/>
  <c r="IE130" i="15" s="1"/>
  <c r="HN138" i="15"/>
  <c r="IE138" i="15" s="1"/>
  <c r="HN142" i="15"/>
  <c r="IF142" i="15" s="1"/>
  <c r="HN150" i="15"/>
  <c r="IF150" i="15" s="1"/>
  <c r="HN154" i="15"/>
  <c r="HQ154" i="15" s="1"/>
  <c r="HI154" i="15" s="1"/>
  <c r="HW154" i="15" s="1"/>
  <c r="BL154" i="15" s="1"/>
  <c r="HN162" i="15"/>
  <c r="HN170" i="15"/>
  <c r="HT170" i="15" s="1"/>
  <c r="HN174" i="15"/>
  <c r="IE174" i="15" s="1"/>
  <c r="HN178" i="15"/>
  <c r="HQ178" i="15" s="1"/>
  <c r="HI178" i="15" s="1"/>
  <c r="HW178" i="15" s="1"/>
  <c r="BL178" i="15" s="1"/>
  <c r="HN182" i="15"/>
  <c r="HQ182" i="15" s="1"/>
  <c r="HI182" i="15" s="1"/>
  <c r="HW182" i="15" s="1"/>
  <c r="BL182" i="15" s="1"/>
  <c r="HO185" i="15"/>
  <c r="HU185" i="15" s="1"/>
  <c r="HN186" i="15"/>
  <c r="IA186" i="15" s="1"/>
  <c r="HP188" i="15"/>
  <c r="HV188" i="15" s="1"/>
  <c r="HP192" i="15"/>
  <c r="AU215" i="5"/>
  <c r="AU331" i="5"/>
  <c r="AX331" i="5" s="1"/>
  <c r="AZ331" i="5" s="1"/>
  <c r="AS331" i="73" s="1"/>
  <c r="HO199" i="15"/>
  <c r="HU199" i="15" s="1"/>
  <c r="HO201" i="15"/>
  <c r="HU201" i="15" s="1"/>
  <c r="HO207" i="15"/>
  <c r="HU207" i="15" s="1"/>
  <c r="HO215" i="15"/>
  <c r="HO217" i="15"/>
  <c r="HU217" i="15" s="1"/>
  <c r="HO223" i="15"/>
  <c r="HR223" i="15" s="1"/>
  <c r="HJ223" i="15" s="1"/>
  <c r="HX223" i="15" s="1"/>
  <c r="HO231" i="15"/>
  <c r="HO233" i="15"/>
  <c r="HU233" i="15" s="1"/>
  <c r="HO239" i="15"/>
  <c r="HO247" i="15"/>
  <c r="HR247" i="15" s="1"/>
  <c r="HJ247" i="15" s="1"/>
  <c r="HX247" i="15" s="1"/>
  <c r="HO249" i="15"/>
  <c r="HO255" i="15"/>
  <c r="HO263" i="15"/>
  <c r="HU263" i="15" s="1"/>
  <c r="HO265" i="15"/>
  <c r="HR265" i="15" s="1"/>
  <c r="HJ265" i="15" s="1"/>
  <c r="HX265" i="15" s="1"/>
  <c r="BM265" i="15" s="1"/>
  <c r="HO271" i="15"/>
  <c r="HO275" i="15"/>
  <c r="HR275" i="15" s="1"/>
  <c r="HJ275" i="15" s="1"/>
  <c r="HX275" i="15" s="1"/>
  <c r="HO279" i="15"/>
  <c r="HO283" i="15"/>
  <c r="HO287" i="15"/>
  <c r="HO293" i="15"/>
  <c r="HR293" i="15" s="1"/>
  <c r="HJ293" i="15" s="1"/>
  <c r="HX293" i="15" s="1"/>
  <c r="HO297" i="15"/>
  <c r="HO303" i="15"/>
  <c r="HR303" i="15" s="1"/>
  <c r="HJ303" i="15" s="1"/>
  <c r="HX303" i="15" s="1"/>
  <c r="HO305" i="15"/>
  <c r="HO311" i="15"/>
  <c r="HR311" i="15" s="1"/>
  <c r="HJ311" i="15" s="1"/>
  <c r="HX311" i="15" s="1"/>
  <c r="HO319" i="15"/>
  <c r="HO321" i="15"/>
  <c r="HU321" i="15" s="1"/>
  <c r="HO327" i="15"/>
  <c r="HO329" i="15"/>
  <c r="HR329" i="15" s="1"/>
  <c r="HJ329" i="15" s="1"/>
  <c r="HX329" i="15" s="1"/>
  <c r="HO333" i="15"/>
  <c r="HO335" i="15"/>
  <c r="HR335" i="15" s="1"/>
  <c r="HJ335" i="15" s="1"/>
  <c r="HX335" i="15" s="1"/>
  <c r="HO337" i="15"/>
  <c r="HO341" i="15"/>
  <c r="HU341" i="15" s="1"/>
  <c r="HO343" i="15"/>
  <c r="HO345" i="15"/>
  <c r="HR345" i="15" s="1"/>
  <c r="HJ345" i="15" s="1"/>
  <c r="HX345" i="15" s="1"/>
  <c r="HO349" i="15"/>
  <c r="AR343" i="91"/>
  <c r="AZ287" i="91"/>
  <c r="AZ295" i="91"/>
  <c r="AZ303" i="91"/>
  <c r="AZ311" i="91"/>
  <c r="AZ319" i="91"/>
  <c r="AZ327" i="91"/>
  <c r="AZ335" i="91"/>
  <c r="AW345" i="91"/>
  <c r="AY287" i="91"/>
  <c r="AY295" i="91"/>
  <c r="AY303" i="91"/>
  <c r="AY311" i="91"/>
  <c r="AY319" i="91"/>
  <c r="AY327" i="91"/>
  <c r="AY335" i="91"/>
  <c r="AV345" i="91"/>
  <c r="AY349" i="91"/>
  <c r="AZ291" i="91"/>
  <c r="AZ299" i="91"/>
  <c r="AZ307" i="91"/>
  <c r="AZ315" i="91"/>
  <c r="AZ323" i="91"/>
  <c r="AZ331" i="91"/>
  <c r="AZ339" i="91"/>
  <c r="IA138" i="15"/>
  <c r="IE142" i="15"/>
  <c r="HQ150" i="15"/>
  <c r="HI150" i="15" s="1"/>
  <c r="HW150" i="15" s="1"/>
  <c r="HT162" i="15"/>
  <c r="IF170" i="15"/>
  <c r="HT174" i="15"/>
  <c r="IF182" i="15"/>
  <c r="HT186" i="15"/>
  <c r="HR201" i="15"/>
  <c r="HJ201" i="15" s="1"/>
  <c r="HX201" i="15" s="1"/>
  <c r="HU265" i="15"/>
  <c r="AT113" i="91"/>
  <c r="AT102" i="91"/>
  <c r="AS80" i="91"/>
  <c r="AT63" i="91"/>
  <c r="AT55" i="91"/>
  <c r="BC287" i="91"/>
  <c r="AQ287" i="91"/>
  <c r="AX289" i="91"/>
  <c r="AV291" i="91"/>
  <c r="BC291" i="91"/>
  <c r="AQ291" i="91"/>
  <c r="AX293" i="91"/>
  <c r="AV295" i="91"/>
  <c r="BC295" i="91"/>
  <c r="AQ295" i="91"/>
  <c r="AX297" i="91"/>
  <c r="AV299" i="91"/>
  <c r="BC299" i="91"/>
  <c r="AQ299" i="91"/>
  <c r="AX301" i="91"/>
  <c r="AV303" i="91"/>
  <c r="BC303" i="91"/>
  <c r="AQ303" i="91"/>
  <c r="AX305" i="91"/>
  <c r="AV307" i="91"/>
  <c r="BC307" i="91"/>
  <c r="AQ307" i="91"/>
  <c r="AX309" i="91"/>
  <c r="AV311" i="91"/>
  <c r="BC311" i="91"/>
  <c r="AQ311" i="91"/>
  <c r="AX313" i="91"/>
  <c r="AV315" i="91"/>
  <c r="BC315" i="91"/>
  <c r="AQ315" i="91"/>
  <c r="AX317" i="91"/>
  <c r="AV319" i="91"/>
  <c r="BC319" i="91"/>
  <c r="AQ319" i="91"/>
  <c r="AX321" i="91"/>
  <c r="AV323" i="91"/>
  <c r="BC323" i="91"/>
  <c r="AQ323" i="91"/>
  <c r="AX325" i="91"/>
  <c r="AV327" i="91"/>
  <c r="BC327" i="91"/>
  <c r="AQ327" i="91"/>
  <c r="AX329" i="91"/>
  <c r="AV331" i="91"/>
  <c r="BC331" i="91"/>
  <c r="AQ331" i="91"/>
  <c r="AX333" i="91"/>
  <c r="AV335" i="91"/>
  <c r="BC335" i="91"/>
  <c r="AQ335" i="91"/>
  <c r="AX337" i="91"/>
  <c r="AV339" i="91"/>
  <c r="BC339" i="91"/>
  <c r="AQ339" i="91"/>
  <c r="AX341" i="91"/>
  <c r="AZ343" i="91"/>
  <c r="AZ345" i="91"/>
  <c r="AW347" i="91"/>
  <c r="AW348" i="91"/>
  <c r="AR348" i="91"/>
  <c r="BC346" i="91"/>
  <c r="AQ346" i="91"/>
  <c r="AX346" i="91"/>
  <c r="AV346" i="91"/>
  <c r="AZ344" i="91"/>
  <c r="AU344" i="91"/>
  <c r="AZ342" i="91"/>
  <c r="AU342" i="91"/>
  <c r="BA340" i="91"/>
  <c r="AW340" i="91"/>
  <c r="AR340" i="91"/>
  <c r="BB338" i="91"/>
  <c r="AY338" i="91"/>
  <c r="AT338" i="91"/>
  <c r="BC336" i="91"/>
  <c r="AQ336" i="91"/>
  <c r="AX336" i="91"/>
  <c r="AV336" i="91"/>
  <c r="AZ334" i="91"/>
  <c r="AU334" i="91"/>
  <c r="BA332" i="91"/>
  <c r="AW332" i="91"/>
  <c r="AR332" i="91"/>
  <c r="BB330" i="91"/>
  <c r="AY330" i="91"/>
  <c r="AT330" i="91"/>
  <c r="BC328" i="91"/>
  <c r="AQ328" i="91"/>
  <c r="AX328" i="91"/>
  <c r="AV328" i="91"/>
  <c r="AZ326" i="91"/>
  <c r="AU326" i="91"/>
  <c r="AT115" i="91"/>
  <c r="AT85" i="91"/>
  <c r="AX287" i="91"/>
  <c r="AV289" i="91"/>
  <c r="BC289" i="91"/>
  <c r="AQ289" i="91"/>
  <c r="AX291" i="91"/>
  <c r="AV293" i="91"/>
  <c r="BC293" i="91"/>
  <c r="AQ293" i="91"/>
  <c r="AX295" i="91"/>
  <c r="AV297" i="91"/>
  <c r="BC297" i="91"/>
  <c r="AQ297" i="91"/>
  <c r="AX299" i="91"/>
  <c r="AV301" i="91"/>
  <c r="BC301" i="91"/>
  <c r="AQ301" i="91"/>
  <c r="AX303" i="91"/>
  <c r="AV305" i="91"/>
  <c r="BC305" i="91"/>
  <c r="AQ305" i="91"/>
  <c r="AX307" i="91"/>
  <c r="AV309" i="91"/>
  <c r="BC309" i="91"/>
  <c r="AQ309" i="91"/>
  <c r="AX311" i="91"/>
  <c r="AV313" i="91"/>
  <c r="BC313" i="91"/>
  <c r="AQ313" i="91"/>
  <c r="AX315" i="91"/>
  <c r="AV317" i="91"/>
  <c r="BC317" i="91"/>
  <c r="AQ317" i="91"/>
  <c r="AX319" i="91"/>
  <c r="AV321" i="91"/>
  <c r="BC321" i="91"/>
  <c r="AQ321" i="91"/>
  <c r="AX323" i="91"/>
  <c r="AV325" i="91"/>
  <c r="BC325" i="91"/>
  <c r="AQ325" i="91"/>
  <c r="AX327" i="91"/>
  <c r="AV329" i="91"/>
  <c r="BC329" i="91"/>
  <c r="AQ329" i="91"/>
  <c r="AX331" i="91"/>
  <c r="AV333" i="91"/>
  <c r="BC333" i="91"/>
  <c r="AQ333" i="91"/>
  <c r="AX335" i="91"/>
  <c r="AV337" i="91"/>
  <c r="BC337" i="91"/>
  <c r="AQ337" i="91"/>
  <c r="AX339" i="91"/>
  <c r="AV341" i="91"/>
  <c r="BC341" i="91"/>
  <c r="AQ341" i="91"/>
  <c r="AU345" i="91"/>
  <c r="AX349" i="91"/>
  <c r="AT94" i="91"/>
  <c r="AX348" i="91"/>
  <c r="AV348" i="91"/>
  <c r="BA346" i="91"/>
  <c r="AW346" i="91"/>
  <c r="AR346" i="91"/>
  <c r="BB344" i="91"/>
  <c r="AY344" i="91"/>
  <c r="AT344" i="91"/>
  <c r="BB342" i="91"/>
  <c r="AY342" i="91"/>
  <c r="AT342" i="91"/>
  <c r="BC340" i="91"/>
  <c r="AQ340" i="91"/>
  <c r="AX340" i="91"/>
  <c r="AV340" i="91"/>
  <c r="AZ338" i="91"/>
  <c r="AU338" i="91"/>
  <c r="BA336" i="91"/>
  <c r="AW336" i="91"/>
  <c r="AR336" i="91"/>
  <c r="BB334" i="91"/>
  <c r="AY334" i="91"/>
  <c r="AT334" i="91"/>
  <c r="BC332" i="91"/>
  <c r="AQ332" i="91"/>
  <c r="AX332" i="91"/>
  <c r="AV332" i="91"/>
  <c r="AZ330" i="91"/>
  <c r="AU330" i="91"/>
  <c r="BA328" i="91"/>
  <c r="AW328" i="91"/>
  <c r="AR328" i="91"/>
  <c r="BB326" i="91"/>
  <c r="AY326" i="91"/>
  <c r="AT326" i="91"/>
  <c r="BC324" i="91"/>
  <c r="AQ324" i="91"/>
  <c r="AV100" i="5"/>
  <c r="AZ289" i="91"/>
  <c r="AZ293" i="91"/>
  <c r="AZ297" i="91"/>
  <c r="AZ301" i="91"/>
  <c r="AZ305" i="91"/>
  <c r="AZ309" i="91"/>
  <c r="AZ313" i="91"/>
  <c r="AZ317" i="91"/>
  <c r="AZ321" i="91"/>
  <c r="AZ325" i="91"/>
  <c r="AZ329" i="91"/>
  <c r="AZ333" i="91"/>
  <c r="AZ337" i="91"/>
  <c r="AZ341" i="91"/>
  <c r="AR345" i="91"/>
  <c r="AR349" i="91"/>
  <c r="AY289" i="91"/>
  <c r="AY293" i="91"/>
  <c r="AY297" i="91"/>
  <c r="AY301" i="91"/>
  <c r="AY305" i="91"/>
  <c r="AY309" i="91"/>
  <c r="AY313" i="91"/>
  <c r="AY317" i="91"/>
  <c r="AY321" i="91"/>
  <c r="AY325" i="91"/>
  <c r="AY329" i="91"/>
  <c r="AY333" i="91"/>
  <c r="AY337" i="91"/>
  <c r="AY341" i="91"/>
  <c r="HN25" i="15"/>
  <c r="HP38" i="15"/>
  <c r="GM29" i="15"/>
  <c r="AW70" i="5"/>
  <c r="AI42" i="5"/>
  <c r="AU42" i="5" s="1"/>
  <c r="H24" i="93"/>
  <c r="AY80" i="5"/>
  <c r="HO46" i="15"/>
  <c r="HR243" i="15"/>
  <c r="HJ243" i="15" s="1"/>
  <c r="HX243" i="15" s="1"/>
  <c r="BM243" i="15" s="1"/>
  <c r="J16" i="93"/>
  <c r="HN48" i="15"/>
  <c r="GL87" i="15"/>
  <c r="HO97" i="15"/>
  <c r="H16" i="93"/>
  <c r="IF166" i="15"/>
  <c r="ID262" i="15"/>
  <c r="ID258" i="15"/>
  <c r="IE258" i="15"/>
  <c r="HO47" i="15"/>
  <c r="BG47" i="15" s="1"/>
  <c r="ID192" i="15"/>
  <c r="IE262" i="15"/>
  <c r="IA258" i="15"/>
  <c r="ID260" i="15"/>
  <c r="J13" i="93"/>
  <c r="HV144" i="15"/>
  <c r="HV136" i="15"/>
  <c r="HV128" i="15"/>
  <c r="I9" i="93"/>
  <c r="IC142" i="15"/>
  <c r="HQ166" i="15"/>
  <c r="HI166" i="15" s="1"/>
  <c r="HW166" i="15" s="1"/>
  <c r="IF262" i="15"/>
  <c r="IF258" i="15"/>
  <c r="IE244" i="15"/>
  <c r="J42" i="93"/>
  <c r="AJ101" i="5"/>
  <c r="AV101" i="5" s="1"/>
  <c r="HO119" i="15"/>
  <c r="HU119" i="15" s="1"/>
  <c r="HO69" i="15"/>
  <c r="HO95" i="15"/>
  <c r="HU95" i="15" s="1"/>
  <c r="HO111" i="15"/>
  <c r="HP115" i="15"/>
  <c r="HV115" i="15" s="1"/>
  <c r="H41" i="93"/>
  <c r="HN53" i="15"/>
  <c r="IC53" i="15" s="1"/>
  <c r="IA184" i="15"/>
  <c r="AJ37" i="5"/>
  <c r="HR225" i="15"/>
  <c r="HJ225" i="15" s="1"/>
  <c r="HX225" i="15" s="1"/>
  <c r="BM225" i="15" s="1"/>
  <c r="IA188" i="15"/>
  <c r="IA180" i="15"/>
  <c r="IE172" i="15"/>
  <c r="IE164" i="15"/>
  <c r="IE156" i="15"/>
  <c r="IA148" i="15"/>
  <c r="HP146" i="15"/>
  <c r="IC146" i="15" s="1"/>
  <c r="HP150" i="15"/>
  <c r="HP154" i="15"/>
  <c r="IC154" i="15" s="1"/>
  <c r="HP158" i="15"/>
  <c r="IC158" i="15" s="1"/>
  <c r="HN72" i="15"/>
  <c r="IA72" i="15" s="1"/>
  <c r="HV268" i="15"/>
  <c r="HV252" i="15"/>
  <c r="HN36" i="15"/>
  <c r="AJ57" i="5"/>
  <c r="HO72" i="15"/>
  <c r="AI47" i="5"/>
  <c r="AJ53" i="5"/>
  <c r="AV53" i="5" s="1"/>
  <c r="GN72" i="15"/>
  <c r="IF236" i="15"/>
  <c r="GN92" i="15"/>
  <c r="GM89" i="15"/>
  <c r="GN123" i="15"/>
  <c r="HP102" i="15"/>
  <c r="HP126" i="15"/>
  <c r="HV126" i="15" s="1"/>
  <c r="IC252" i="15"/>
  <c r="IA212" i="15"/>
  <c r="HV240" i="15"/>
  <c r="HV288" i="15"/>
  <c r="HV244" i="15"/>
  <c r="HP166" i="15"/>
  <c r="IC166" i="15" s="1"/>
  <c r="HP170" i="15"/>
  <c r="HP174" i="15"/>
  <c r="IC174" i="15" s="1"/>
  <c r="HP178" i="15"/>
  <c r="HP182" i="15"/>
  <c r="IC182" i="15" s="1"/>
  <c r="HV234" i="15"/>
  <c r="HP290" i="15"/>
  <c r="HP302" i="15"/>
  <c r="GM62" i="15"/>
  <c r="HT236" i="15"/>
  <c r="GM65" i="15"/>
  <c r="AV87" i="5"/>
  <c r="HO103" i="15"/>
  <c r="HR103" i="15" s="1"/>
  <c r="HJ103" i="15" s="1"/>
  <c r="HX103" i="15" s="1"/>
  <c r="BM103" i="15" s="1"/>
  <c r="HO131" i="15"/>
  <c r="HO135" i="15"/>
  <c r="HO139" i="15"/>
  <c r="HR139" i="15" s="1"/>
  <c r="HJ139" i="15" s="1"/>
  <c r="HX139" i="15" s="1"/>
  <c r="HO143" i="15"/>
  <c r="HU143" i="15" s="1"/>
  <c r="HO147" i="15"/>
  <c r="HO151" i="15"/>
  <c r="HU151" i="15" s="1"/>
  <c r="HO155" i="15"/>
  <c r="HU155" i="15" s="1"/>
  <c r="HO159" i="15"/>
  <c r="HU159" i="15" s="1"/>
  <c r="HO163" i="15"/>
  <c r="HR163" i="15" s="1"/>
  <c r="HJ163" i="15" s="1"/>
  <c r="HX163" i="15" s="1"/>
  <c r="HO167" i="15"/>
  <c r="HR167" i="15" s="1"/>
  <c r="HJ167" i="15" s="1"/>
  <c r="HX167" i="15" s="1"/>
  <c r="BM167" i="15" s="1"/>
  <c r="HO171" i="15"/>
  <c r="HU177" i="15"/>
  <c r="ID148" i="15"/>
  <c r="HP92" i="15"/>
  <c r="HN76" i="15"/>
  <c r="HQ76" i="15" s="1"/>
  <c r="IE166" i="15"/>
  <c r="GM85" i="15"/>
  <c r="AW110" i="5"/>
  <c r="AW114" i="5"/>
  <c r="HP96" i="15"/>
  <c r="HV96" i="15" s="1"/>
  <c r="HO127" i="15"/>
  <c r="HU127" i="15" s="1"/>
  <c r="AJ97" i="5"/>
  <c r="AV97" i="5" s="1"/>
  <c r="AJ121" i="5"/>
  <c r="AJ125" i="5"/>
  <c r="GM93" i="15"/>
  <c r="AW102" i="5"/>
  <c r="AW126" i="5"/>
  <c r="HO67" i="15"/>
  <c r="HR67" i="15" s="1"/>
  <c r="HJ67" i="15" s="1"/>
  <c r="GN124" i="15"/>
  <c r="AK108" i="5"/>
  <c r="AW108" i="5" s="1"/>
  <c r="HP106" i="15"/>
  <c r="HS106" i="15" s="1"/>
  <c r="HN88" i="15"/>
  <c r="HQ88" i="15" s="1"/>
  <c r="HP70" i="15"/>
  <c r="HS70" i="15" s="1"/>
  <c r="HP124" i="15"/>
  <c r="HP86" i="15"/>
  <c r="HP100" i="15"/>
  <c r="HN70" i="15"/>
  <c r="HQ70" i="15" s="1"/>
  <c r="AK96" i="5"/>
  <c r="AW96" i="5" s="1"/>
  <c r="GM69" i="15"/>
  <c r="HN241" i="15"/>
  <c r="IA241" i="15" s="1"/>
  <c r="HN168" i="15"/>
  <c r="ID168" i="15" s="1"/>
  <c r="HN136" i="15"/>
  <c r="GN33" i="15"/>
  <c r="AK104" i="5"/>
  <c r="AW104" i="5" s="1"/>
  <c r="AK100" i="5"/>
  <c r="AW100" i="5" s="1"/>
  <c r="GL167" i="15"/>
  <c r="AU247" i="5"/>
  <c r="AX247" i="5" s="1"/>
  <c r="AZ247" i="5" s="1"/>
  <c r="AS247" i="73" s="1"/>
  <c r="HP284" i="15"/>
  <c r="HS278" i="15"/>
  <c r="HK278" i="15" s="1"/>
  <c r="HY278" i="15" s="1"/>
  <c r="BN278" i="15" s="1"/>
  <c r="CD278" i="15" s="1"/>
  <c r="HP298" i="15"/>
  <c r="HP310" i="15"/>
  <c r="HP318" i="15"/>
  <c r="HS318" i="15" s="1"/>
  <c r="HK318" i="15" s="1"/>
  <c r="HY318" i="15" s="1"/>
  <c r="HP196" i="15"/>
  <c r="HP200" i="15"/>
  <c r="HS200" i="15" s="1"/>
  <c r="HK200" i="15" s="1"/>
  <c r="HY200" i="15" s="1"/>
  <c r="HP204" i="15"/>
  <c r="HP208" i="15"/>
  <c r="HV208" i="15" s="1"/>
  <c r="HP212" i="15"/>
  <c r="HV212" i="15" s="1"/>
  <c r="HP216" i="15"/>
  <c r="HV216" i="15" s="1"/>
  <c r="HP220" i="15"/>
  <c r="HP224" i="15"/>
  <c r="HV224" i="15" s="1"/>
  <c r="HP228" i="15"/>
  <c r="HP232" i="15"/>
  <c r="HS232" i="15" s="1"/>
  <c r="HK232" i="15" s="1"/>
  <c r="HY232" i="15" s="1"/>
  <c r="HP236" i="15"/>
  <c r="HV236" i="15" s="1"/>
  <c r="HS340" i="15"/>
  <c r="HK340" i="15" s="1"/>
  <c r="HY340" i="15" s="1"/>
  <c r="BN340" i="15" s="1"/>
  <c r="HO55" i="15"/>
  <c r="BG55" i="15" s="1"/>
  <c r="HO85" i="15"/>
  <c r="HR85" i="15" s="1"/>
  <c r="HJ85" i="15" s="1"/>
  <c r="HX85" i="15" s="1"/>
  <c r="HP78" i="15"/>
  <c r="HS78" i="15" s="1"/>
  <c r="HN80" i="15"/>
  <c r="HP46" i="15"/>
  <c r="HS46" i="15" s="1"/>
  <c r="HN346" i="15"/>
  <c r="HN338" i="15"/>
  <c r="HN330" i="15"/>
  <c r="HN322" i="15"/>
  <c r="HN314" i="15"/>
  <c r="HN306" i="15"/>
  <c r="HN298" i="15"/>
  <c r="HN290" i="15"/>
  <c r="HN282" i="15"/>
  <c r="HN274" i="15"/>
  <c r="HN270" i="15"/>
  <c r="HN266" i="15"/>
  <c r="HN254" i="15"/>
  <c r="HN250" i="15"/>
  <c r="HN238" i="15"/>
  <c r="HN234" i="15"/>
  <c r="HN222" i="15"/>
  <c r="HN218" i="15"/>
  <c r="HN202" i="15"/>
  <c r="HN220" i="15"/>
  <c r="HO191" i="15"/>
  <c r="HU191" i="15" s="1"/>
  <c r="HO183" i="15"/>
  <c r="HR183" i="15" s="1"/>
  <c r="HJ183" i="15" s="1"/>
  <c r="HX183" i="15" s="1"/>
  <c r="HO175" i="15"/>
  <c r="HR175" i="15" s="1"/>
  <c r="HJ175" i="15" s="1"/>
  <c r="HX175" i="15" s="1"/>
  <c r="HN344" i="15"/>
  <c r="HN320" i="15"/>
  <c r="HN312" i="15"/>
  <c r="HT312" i="15" s="1"/>
  <c r="HN296" i="15"/>
  <c r="HN288" i="15"/>
  <c r="HN264" i="15"/>
  <c r="HN256" i="15"/>
  <c r="HT256" i="15" s="1"/>
  <c r="HN248" i="15"/>
  <c r="HN232" i="15"/>
  <c r="HN224" i="15"/>
  <c r="HN216" i="15"/>
  <c r="HN208" i="15"/>
  <c r="HN200" i="15"/>
  <c r="HN176" i="15"/>
  <c r="HN160" i="15"/>
  <c r="HN144" i="15"/>
  <c r="HP346" i="15"/>
  <c r="HV346" i="15" s="1"/>
  <c r="HP338" i="15"/>
  <c r="HS338" i="15" s="1"/>
  <c r="HK338" i="15" s="1"/>
  <c r="HY338" i="15" s="1"/>
  <c r="HP330" i="15"/>
  <c r="HP322" i="15"/>
  <c r="HP306" i="15"/>
  <c r="HS306" i="15" s="1"/>
  <c r="HK306" i="15" s="1"/>
  <c r="HY306" i="15" s="1"/>
  <c r="HP274" i="15"/>
  <c r="HV274" i="15" s="1"/>
  <c r="HP266" i="15"/>
  <c r="HP258" i="15"/>
  <c r="HV258" i="15" s="1"/>
  <c r="HP250" i="15"/>
  <c r="HV250" i="15" s="1"/>
  <c r="HP242" i="15"/>
  <c r="HP138" i="15"/>
  <c r="HV138" i="15" s="1"/>
  <c r="HP130" i="15"/>
  <c r="HV130" i="15" s="1"/>
  <c r="HP82" i="15"/>
  <c r="AU76" i="5"/>
  <c r="HO63" i="15"/>
  <c r="HR63" i="15" s="1"/>
  <c r="GL70" i="15"/>
  <c r="HO80" i="15"/>
  <c r="HP316" i="15"/>
  <c r="HS316" i="15" s="1"/>
  <c r="HK316" i="15" s="1"/>
  <c r="HY316" i="15" s="1"/>
  <c r="HP328" i="15"/>
  <c r="HP336" i="15"/>
  <c r="HP344" i="15"/>
  <c r="HN198" i="15"/>
  <c r="HN194" i="15"/>
  <c r="IC194" i="15" s="1"/>
  <c r="HN230" i="15"/>
  <c r="HN226" i="15"/>
  <c r="HN240" i="15"/>
  <c r="HP282" i="15"/>
  <c r="IC282" i="15" s="1"/>
  <c r="AY348" i="91"/>
  <c r="AZ346" i="91"/>
  <c r="AW344" i="91"/>
  <c r="AW342" i="91"/>
  <c r="AY340" i="91"/>
  <c r="AV338" i="91"/>
  <c r="AZ336" i="91"/>
  <c r="AW334" i="91"/>
  <c r="AY332" i="91"/>
  <c r="AV330" i="91"/>
  <c r="AZ328" i="91"/>
  <c r="AW326" i="91"/>
  <c r="AZ348" i="91"/>
  <c r="AY346" i="91"/>
  <c r="AV344" i="91"/>
  <c r="AV342" i="91"/>
  <c r="AZ340" i="91"/>
  <c r="AW338" i="91"/>
  <c r="AY336" i="91"/>
  <c r="AV334" i="91"/>
  <c r="AZ332" i="91"/>
  <c r="AW330" i="91"/>
  <c r="AY328" i="91"/>
  <c r="AV326" i="91"/>
  <c r="AV79" i="5"/>
  <c r="J21" i="93"/>
  <c r="HV202" i="15"/>
  <c r="AU155" i="5"/>
  <c r="AY155" i="5" s="1"/>
  <c r="BL170" i="15"/>
  <c r="BL146" i="15"/>
  <c r="BL291" i="15"/>
  <c r="BL180" i="15"/>
  <c r="BN309" i="15"/>
  <c r="BN311" i="15"/>
  <c r="BN202" i="15"/>
  <c r="BN234" i="15"/>
  <c r="BL150" i="15"/>
  <c r="BN338" i="15"/>
  <c r="BL258" i="15"/>
  <c r="BL166" i="15"/>
  <c r="BN272" i="15"/>
  <c r="BL158" i="15"/>
  <c r="BL152" i="15"/>
  <c r="BN288" i="15"/>
  <c r="BN280" i="15"/>
  <c r="BN268" i="15"/>
  <c r="BN264" i="15"/>
  <c r="BN260" i="15"/>
  <c r="BN256" i="15"/>
  <c r="BN252" i="15"/>
  <c r="BN248" i="15"/>
  <c r="BN244" i="15"/>
  <c r="BN240" i="15"/>
  <c r="BN144" i="15"/>
  <c r="BN140" i="15"/>
  <c r="AS140" i="65" s="1"/>
  <c r="BN136" i="15"/>
  <c r="BN132" i="15"/>
  <c r="CA132" i="15" s="1"/>
  <c r="AV132" i="65" s="1"/>
  <c r="BN128" i="15"/>
  <c r="BN326" i="15"/>
  <c r="AV106" i="5"/>
  <c r="AU175" i="5"/>
  <c r="AU199" i="5"/>
  <c r="AU207" i="5"/>
  <c r="AV36" i="5"/>
  <c r="AV31" i="5"/>
  <c r="IF176" i="15"/>
  <c r="AN85" i="65"/>
  <c r="ID144" i="15"/>
  <c r="HT158" i="15"/>
  <c r="IA192" i="15"/>
  <c r="IC244" i="15"/>
  <c r="IC140" i="15"/>
  <c r="IC132" i="15"/>
  <c r="AW48" i="5"/>
  <c r="IA158" i="15"/>
  <c r="IF152" i="15"/>
  <c r="IC314" i="15"/>
  <c r="HT192" i="15"/>
  <c r="IE220" i="15"/>
  <c r="ID152" i="15"/>
  <c r="IE140" i="15"/>
  <c r="IA132" i="15"/>
  <c r="IC152" i="15"/>
  <c r="HR199" i="15"/>
  <c r="HJ199" i="15" s="1"/>
  <c r="HX199" i="15" s="1"/>
  <c r="BM199" i="15" s="1"/>
  <c r="HV264" i="15"/>
  <c r="HV256" i="15"/>
  <c r="HV248" i="15"/>
  <c r="HQ208" i="15"/>
  <c r="HI208" i="15" s="1"/>
  <c r="HW208" i="15" s="1"/>
  <c r="ID248" i="15"/>
  <c r="IF296" i="15"/>
  <c r="IA320" i="15"/>
  <c r="IF320" i="15"/>
  <c r="IA264" i="15"/>
  <c r="IE248" i="15"/>
  <c r="IA208" i="15"/>
  <c r="HS296" i="15"/>
  <c r="HK296" i="15" s="1"/>
  <c r="HY296" i="15" s="1"/>
  <c r="HV280" i="15"/>
  <c r="HT196" i="15"/>
  <c r="HR207" i="15"/>
  <c r="HJ207" i="15" s="1"/>
  <c r="HX207" i="15" s="1"/>
  <c r="BM207" i="15" s="1"/>
  <c r="IC248" i="15"/>
  <c r="ID216" i="15"/>
  <c r="AU279" i="5"/>
  <c r="AY279" i="5" s="1"/>
  <c r="HS96" i="15"/>
  <c r="AK60" i="5"/>
  <c r="GN60" i="15"/>
  <c r="AK80" i="5"/>
  <c r="GN80" i="15"/>
  <c r="GL86" i="15"/>
  <c r="AI86" i="5"/>
  <c r="AU86" i="5" s="1"/>
  <c r="AY86" i="5" s="1"/>
  <c r="HN86" i="15"/>
  <c r="GN88" i="15"/>
  <c r="AK88" i="5"/>
  <c r="AW88" i="5" s="1"/>
  <c r="GL98" i="15"/>
  <c r="HN98" i="15"/>
  <c r="AI98" i="5"/>
  <c r="AU98" i="5" s="1"/>
  <c r="AJ109" i="5"/>
  <c r="GM109" i="15"/>
  <c r="GN112" i="15"/>
  <c r="AK112" i="5"/>
  <c r="AW112" i="5" s="1"/>
  <c r="GN128" i="15"/>
  <c r="AK128" i="5"/>
  <c r="GM129" i="15"/>
  <c r="AJ129" i="5"/>
  <c r="AV129" i="5" s="1"/>
  <c r="GL130" i="15"/>
  <c r="AI130" i="5"/>
  <c r="AU130" i="5" s="1"/>
  <c r="AK132" i="5"/>
  <c r="AW132" i="5" s="1"/>
  <c r="GN132" i="15"/>
  <c r="GM133" i="15"/>
  <c r="AJ133" i="5"/>
  <c r="AV133" i="5" s="1"/>
  <c r="AI134" i="5"/>
  <c r="AU134" i="5" s="1"/>
  <c r="HN134" i="15"/>
  <c r="IC134" i="15" s="1"/>
  <c r="GL134" i="15"/>
  <c r="GN136" i="15"/>
  <c r="AK136" i="5"/>
  <c r="AW136" i="5" s="1"/>
  <c r="GM137" i="15"/>
  <c r="AJ137" i="5"/>
  <c r="AV137" i="5" s="1"/>
  <c r="GL138" i="15"/>
  <c r="AI138" i="5"/>
  <c r="AU138" i="5" s="1"/>
  <c r="AK140" i="5"/>
  <c r="AW140" i="5" s="1"/>
  <c r="GN140" i="15"/>
  <c r="GM141" i="15"/>
  <c r="AJ141" i="5"/>
  <c r="AV141" i="5" s="1"/>
  <c r="AI142" i="5"/>
  <c r="AU142" i="5" s="1"/>
  <c r="GL142" i="15"/>
  <c r="GN144" i="15"/>
  <c r="AK144" i="5"/>
  <c r="AW144" i="5" s="1"/>
  <c r="GM145" i="15"/>
  <c r="AJ145" i="5"/>
  <c r="AV145" i="5" s="1"/>
  <c r="AI146" i="5"/>
  <c r="AU146" i="5" s="1"/>
  <c r="GL146" i="15"/>
  <c r="AK148" i="5"/>
  <c r="AW148" i="5" s="1"/>
  <c r="GN148" i="15"/>
  <c r="GM149" i="15"/>
  <c r="AJ149" i="5"/>
  <c r="AV149" i="5" s="1"/>
  <c r="AI150" i="5"/>
  <c r="GL150" i="15"/>
  <c r="AK152" i="5"/>
  <c r="AW152" i="5" s="1"/>
  <c r="GN152" i="15"/>
  <c r="GM153" i="15"/>
  <c r="AJ153" i="5"/>
  <c r="AV153" i="5" s="1"/>
  <c r="GL154" i="15"/>
  <c r="AI154" i="5"/>
  <c r="AU154" i="5" s="1"/>
  <c r="GN156" i="15"/>
  <c r="AK156" i="5"/>
  <c r="AW156" i="5" s="1"/>
  <c r="GM157" i="15"/>
  <c r="AJ157" i="5"/>
  <c r="AV157" i="5" s="1"/>
  <c r="AI158" i="5"/>
  <c r="AU158" i="5" s="1"/>
  <c r="GL158" i="15"/>
  <c r="GN160" i="15"/>
  <c r="AK160" i="5"/>
  <c r="AW160" i="5" s="1"/>
  <c r="GM161" i="15"/>
  <c r="AJ161" i="5"/>
  <c r="AV161" i="5" s="1"/>
  <c r="AI162" i="5"/>
  <c r="AU162" i="5" s="1"/>
  <c r="GL162" i="15"/>
  <c r="AK164" i="5"/>
  <c r="AW164" i="5" s="1"/>
  <c r="GN164" i="15"/>
  <c r="GM165" i="15"/>
  <c r="AJ165" i="5"/>
  <c r="AV165" i="5" s="1"/>
  <c r="AI166" i="5"/>
  <c r="AU166" i="5" s="1"/>
  <c r="GL166" i="15"/>
  <c r="GN168" i="15"/>
  <c r="AK168" i="5"/>
  <c r="AW168" i="5" s="1"/>
  <c r="GM169" i="15"/>
  <c r="AJ169" i="5"/>
  <c r="AV169" i="5" s="1"/>
  <c r="AI170" i="5"/>
  <c r="AU170" i="5" s="1"/>
  <c r="AX170" i="5" s="1"/>
  <c r="AZ170" i="5" s="1"/>
  <c r="AS170" i="73" s="1"/>
  <c r="GL170" i="15"/>
  <c r="GN172" i="15"/>
  <c r="AK172" i="5"/>
  <c r="AW172" i="5" s="1"/>
  <c r="GM173" i="15"/>
  <c r="AJ173" i="5"/>
  <c r="AV173" i="5" s="1"/>
  <c r="AI174" i="5"/>
  <c r="AU174" i="5" s="1"/>
  <c r="AY174" i="5" s="1"/>
  <c r="GL174" i="15"/>
  <c r="GN176" i="15"/>
  <c r="AK176" i="5"/>
  <c r="AW176" i="5" s="1"/>
  <c r="GM177" i="15"/>
  <c r="AJ177" i="5"/>
  <c r="AV177" i="5" s="1"/>
  <c r="GL178" i="15"/>
  <c r="AI178" i="5"/>
  <c r="AK180" i="5"/>
  <c r="AW180" i="5" s="1"/>
  <c r="GN180" i="15"/>
  <c r="GM181" i="15"/>
  <c r="AJ181" i="5"/>
  <c r="AV181" i="5" s="1"/>
  <c r="HO181" i="15"/>
  <c r="AI182" i="5"/>
  <c r="AU182" i="5" s="1"/>
  <c r="GL182" i="15"/>
  <c r="GN184" i="15"/>
  <c r="AK184" i="5"/>
  <c r="AW184" i="5" s="1"/>
  <c r="GM185" i="15"/>
  <c r="AJ185" i="5"/>
  <c r="AV185" i="5" s="1"/>
  <c r="AI186" i="5"/>
  <c r="GL186" i="15"/>
  <c r="GN188" i="15"/>
  <c r="AK188" i="5"/>
  <c r="AW188" i="5" s="1"/>
  <c r="GM189" i="15"/>
  <c r="HO189" i="15"/>
  <c r="AJ189" i="5"/>
  <c r="AV189" i="5" s="1"/>
  <c r="GL190" i="15"/>
  <c r="AI190" i="5"/>
  <c r="AU190" i="5" s="1"/>
  <c r="HN190" i="15"/>
  <c r="IC190" i="15" s="1"/>
  <c r="AK192" i="5"/>
  <c r="AW192" i="5" s="1"/>
  <c r="GN192" i="15"/>
  <c r="GM193" i="15"/>
  <c r="AJ193" i="5"/>
  <c r="AV193" i="5" s="1"/>
  <c r="GM195" i="15"/>
  <c r="AJ195" i="5"/>
  <c r="AV195" i="5" s="1"/>
  <c r="GM197" i="15"/>
  <c r="AJ197" i="5"/>
  <c r="AV197" i="5" s="1"/>
  <c r="HO197" i="15"/>
  <c r="GM199" i="15"/>
  <c r="AJ199" i="5"/>
  <c r="GM201" i="15"/>
  <c r="AJ201" i="5"/>
  <c r="AV201" i="5" s="1"/>
  <c r="GM203" i="15"/>
  <c r="AJ203" i="5"/>
  <c r="AV203" i="5" s="1"/>
  <c r="HO205" i="15"/>
  <c r="GM205" i="15"/>
  <c r="AJ205" i="5"/>
  <c r="AV205" i="5" s="1"/>
  <c r="GM207" i="15"/>
  <c r="AJ207" i="5"/>
  <c r="GM209" i="15"/>
  <c r="AJ209" i="5"/>
  <c r="AJ211" i="5"/>
  <c r="GM211" i="15"/>
  <c r="GM213" i="15"/>
  <c r="AJ213" i="5"/>
  <c r="AV213" i="5" s="1"/>
  <c r="HO213" i="15"/>
  <c r="GM215" i="15"/>
  <c r="AJ215" i="5"/>
  <c r="GM217" i="15"/>
  <c r="AJ217" i="5"/>
  <c r="AV217" i="5" s="1"/>
  <c r="GM219" i="15"/>
  <c r="AJ219" i="5"/>
  <c r="AV219" i="5" s="1"/>
  <c r="GM221" i="15"/>
  <c r="HO221" i="15"/>
  <c r="AJ221" i="5"/>
  <c r="AV221" i="5" s="1"/>
  <c r="GM223" i="15"/>
  <c r="AJ223" i="5"/>
  <c r="GM225" i="15"/>
  <c r="AJ225" i="5"/>
  <c r="AV225" i="5" s="1"/>
  <c r="AJ227" i="5"/>
  <c r="AV227" i="5" s="1"/>
  <c r="GM227" i="15"/>
  <c r="GM229" i="15"/>
  <c r="AJ229" i="5"/>
  <c r="AV229" i="5" s="1"/>
  <c r="HO229" i="15"/>
  <c r="GM231" i="15"/>
  <c r="AJ231" i="5"/>
  <c r="GM233" i="15"/>
  <c r="AJ233" i="5"/>
  <c r="AV233" i="5" s="1"/>
  <c r="GM235" i="15"/>
  <c r="AJ235" i="5"/>
  <c r="AV235" i="5" s="1"/>
  <c r="GM237" i="15"/>
  <c r="HO237" i="15"/>
  <c r="AJ237" i="5"/>
  <c r="AV237" i="5" s="1"/>
  <c r="GM239" i="15"/>
  <c r="AJ239" i="5"/>
  <c r="GM241" i="15"/>
  <c r="AJ241" i="5"/>
  <c r="AV241" i="5" s="1"/>
  <c r="AJ243" i="5"/>
  <c r="AV243" i="5" s="1"/>
  <c r="GM243" i="15"/>
  <c r="GM245" i="15"/>
  <c r="AJ245" i="5"/>
  <c r="AV245" i="5" s="1"/>
  <c r="HO245" i="15"/>
  <c r="GM247" i="15"/>
  <c r="AJ247" i="5"/>
  <c r="GM249" i="15"/>
  <c r="AJ249" i="5"/>
  <c r="AV249" i="5" s="1"/>
  <c r="AJ251" i="5"/>
  <c r="AV251" i="5" s="1"/>
  <c r="GM251" i="15"/>
  <c r="GM253" i="15"/>
  <c r="HO253" i="15"/>
  <c r="AJ253" i="5"/>
  <c r="AV253" i="5" s="1"/>
  <c r="AJ255" i="5"/>
  <c r="AV255" i="5" s="1"/>
  <c r="GM255" i="15"/>
  <c r="GM257" i="15"/>
  <c r="AJ257" i="5"/>
  <c r="AV257" i="5" s="1"/>
  <c r="AJ259" i="5"/>
  <c r="AV259" i="5" s="1"/>
  <c r="GM259" i="15"/>
  <c r="GM261" i="15"/>
  <c r="AJ261" i="5"/>
  <c r="AV261" i="5" s="1"/>
  <c r="HO261" i="15"/>
  <c r="GM263" i="15"/>
  <c r="AJ263" i="5"/>
  <c r="GM265" i="15"/>
  <c r="AJ265" i="5"/>
  <c r="AV265" i="5" s="1"/>
  <c r="GM267" i="15"/>
  <c r="AJ267" i="5"/>
  <c r="AV267" i="5" s="1"/>
  <c r="GM269" i="15"/>
  <c r="HO269" i="15"/>
  <c r="AJ269" i="5"/>
  <c r="AV269" i="5" s="1"/>
  <c r="GM271" i="15"/>
  <c r="AJ271" i="5"/>
  <c r="AV271" i="5" s="1"/>
  <c r="GM273" i="15"/>
  <c r="AJ273" i="5"/>
  <c r="AV273" i="5" s="1"/>
  <c r="GM275" i="15"/>
  <c r="AJ275" i="5"/>
  <c r="AV275" i="5" s="1"/>
  <c r="GM277" i="15"/>
  <c r="AJ277" i="5"/>
  <c r="AV277" i="5" s="1"/>
  <c r="GM279" i="15"/>
  <c r="AJ279" i="5"/>
  <c r="AV279" i="5" s="1"/>
  <c r="GM281" i="15"/>
  <c r="AJ281" i="5"/>
  <c r="AV281" i="5" s="1"/>
  <c r="GM283" i="15"/>
  <c r="AJ283" i="5"/>
  <c r="AV283" i="5" s="1"/>
  <c r="GM285" i="15"/>
  <c r="AJ285" i="5"/>
  <c r="AV285" i="5" s="1"/>
  <c r="GM287" i="15"/>
  <c r="AJ287" i="5"/>
  <c r="AV287" i="5" s="1"/>
  <c r="GM289" i="15"/>
  <c r="AJ289" i="5"/>
  <c r="AV289" i="5" s="1"/>
  <c r="GM291" i="15"/>
  <c r="AJ291" i="5"/>
  <c r="AV291" i="5" s="1"/>
  <c r="GM293" i="15"/>
  <c r="AJ293" i="5"/>
  <c r="AV293" i="5" s="1"/>
  <c r="GM295" i="15"/>
  <c r="AJ295" i="5"/>
  <c r="AV295" i="5" s="1"/>
  <c r="GM297" i="15"/>
  <c r="AJ297" i="5"/>
  <c r="AV297" i="5" s="1"/>
  <c r="GM299" i="15"/>
  <c r="AJ299" i="5"/>
  <c r="AV299" i="5" s="1"/>
  <c r="GM301" i="15"/>
  <c r="AJ301" i="5"/>
  <c r="AV301" i="5" s="1"/>
  <c r="GM303" i="15"/>
  <c r="AJ303" i="5"/>
  <c r="AV303" i="5" s="1"/>
  <c r="GM305" i="15"/>
  <c r="AJ305" i="5"/>
  <c r="AV305" i="5" s="1"/>
  <c r="GM307" i="15"/>
  <c r="AJ307" i="5"/>
  <c r="AV307" i="5" s="1"/>
  <c r="GM309" i="15"/>
  <c r="AJ309" i="5"/>
  <c r="AV309" i="5" s="1"/>
  <c r="GM311" i="15"/>
  <c r="AJ311" i="5"/>
  <c r="AV311" i="5" s="1"/>
  <c r="GM313" i="15"/>
  <c r="HO313" i="15"/>
  <c r="AJ313" i="5"/>
  <c r="AV313" i="5" s="1"/>
  <c r="GM315" i="15"/>
  <c r="HO315" i="15"/>
  <c r="AJ315" i="5"/>
  <c r="AV315" i="5" s="1"/>
  <c r="GM317" i="15"/>
  <c r="AJ317" i="5"/>
  <c r="AV317" i="5" s="1"/>
  <c r="GM319" i="15"/>
  <c r="AJ319" i="5"/>
  <c r="AV319" i="5" s="1"/>
  <c r="GM321" i="15"/>
  <c r="AJ321" i="5"/>
  <c r="AV321" i="5" s="1"/>
  <c r="GM323" i="15"/>
  <c r="AJ323" i="5"/>
  <c r="AV323" i="5" s="1"/>
  <c r="GM325" i="15"/>
  <c r="AJ325" i="5"/>
  <c r="AV325" i="5" s="1"/>
  <c r="GM327" i="15"/>
  <c r="AJ327" i="5"/>
  <c r="AV327" i="5" s="1"/>
  <c r="GM329" i="15"/>
  <c r="AJ329" i="5"/>
  <c r="AV329" i="5" s="1"/>
  <c r="GM331" i="15"/>
  <c r="AJ331" i="5"/>
  <c r="AV331" i="5" s="1"/>
  <c r="GM333" i="15"/>
  <c r="AJ333" i="5"/>
  <c r="AV333" i="5" s="1"/>
  <c r="GM335" i="15"/>
  <c r="AJ335" i="5"/>
  <c r="AV335" i="5" s="1"/>
  <c r="GM337" i="15"/>
  <c r="AJ337" i="5"/>
  <c r="AV337" i="5" s="1"/>
  <c r="GM339" i="15"/>
  <c r="AJ339" i="5"/>
  <c r="AV339" i="5" s="1"/>
  <c r="GM341" i="15"/>
  <c r="AJ341" i="5"/>
  <c r="AV341" i="5" s="1"/>
  <c r="GM343" i="15"/>
  <c r="AJ343" i="5"/>
  <c r="AV343" i="5" s="1"/>
  <c r="GM345" i="15"/>
  <c r="AJ345" i="5"/>
  <c r="AV345" i="5" s="1"/>
  <c r="GM347" i="15"/>
  <c r="AJ347" i="5"/>
  <c r="AV347" i="5" s="1"/>
  <c r="GM349" i="15"/>
  <c r="AJ349" i="5"/>
  <c r="AV349" i="5" s="1"/>
  <c r="AW63" i="5"/>
  <c r="AU186" i="5"/>
  <c r="AU178" i="5"/>
  <c r="AY178" i="5" s="1"/>
  <c r="AU150" i="5"/>
  <c r="AV211" i="5"/>
  <c r="AW92" i="5"/>
  <c r="AV113" i="5"/>
  <c r="AW116" i="5"/>
  <c r="AI88" i="5"/>
  <c r="AU88" i="5" s="1"/>
  <c r="AK44" i="5"/>
  <c r="AW44" i="5" s="1"/>
  <c r="AI84" i="5"/>
  <c r="AV209" i="5"/>
  <c r="GN42" i="15"/>
  <c r="AK42" i="5"/>
  <c r="AW42" i="5" s="1"/>
  <c r="GN46" i="15"/>
  <c r="AK46" i="5"/>
  <c r="AW46" i="5" s="1"/>
  <c r="GM51" i="15"/>
  <c r="AJ51" i="5"/>
  <c r="AK54" i="5"/>
  <c r="GN54" i="15"/>
  <c r="AK58" i="5"/>
  <c r="GN58" i="15"/>
  <c r="HP66" i="15"/>
  <c r="HS66" i="15" s="1"/>
  <c r="AK66" i="5"/>
  <c r="AW66" i="5" s="1"/>
  <c r="AK82" i="5"/>
  <c r="AW82" i="5" s="1"/>
  <c r="GN82" i="15"/>
  <c r="AJ83" i="5"/>
  <c r="AV83" i="5" s="1"/>
  <c r="HO83" i="15"/>
  <c r="GM95" i="15"/>
  <c r="AJ95" i="5"/>
  <c r="AV95" i="5" s="1"/>
  <c r="GM99" i="15"/>
  <c r="AJ99" i="5"/>
  <c r="AV99" i="5" s="1"/>
  <c r="GL100" i="15"/>
  <c r="AI100" i="5"/>
  <c r="AU100" i="5" s="1"/>
  <c r="GM103" i="15"/>
  <c r="AJ103" i="5"/>
  <c r="AV103" i="5" s="1"/>
  <c r="HN104" i="15"/>
  <c r="IF104" i="15" s="1"/>
  <c r="GL104" i="15"/>
  <c r="AI104" i="5"/>
  <c r="AU104" i="5" s="1"/>
  <c r="AY104" i="5" s="1"/>
  <c r="GM107" i="15"/>
  <c r="AJ107" i="5"/>
  <c r="GL124" i="15"/>
  <c r="HN124" i="15"/>
  <c r="AI124" i="5"/>
  <c r="AU124" i="5" s="1"/>
  <c r="GL128" i="15"/>
  <c r="AI128" i="5"/>
  <c r="AU128" i="5" s="1"/>
  <c r="HN128" i="15"/>
  <c r="GN130" i="15"/>
  <c r="AK130" i="5"/>
  <c r="AW130" i="5" s="1"/>
  <c r="GM131" i="15"/>
  <c r="AJ131" i="5"/>
  <c r="AV131" i="5" s="1"/>
  <c r="AI132" i="5"/>
  <c r="AU132" i="5" s="1"/>
  <c r="GL132" i="15"/>
  <c r="GN134" i="15"/>
  <c r="AK134" i="5"/>
  <c r="AW134" i="5" s="1"/>
  <c r="GM135" i="15"/>
  <c r="AJ135" i="5"/>
  <c r="AV135" i="5" s="1"/>
  <c r="GL136" i="15"/>
  <c r="AI136" i="5"/>
  <c r="AU136" i="5" s="1"/>
  <c r="GN138" i="15"/>
  <c r="AK138" i="5"/>
  <c r="GM139" i="15"/>
  <c r="AJ139" i="5"/>
  <c r="AV139" i="5" s="1"/>
  <c r="AI140" i="5"/>
  <c r="AU140" i="5" s="1"/>
  <c r="GL140" i="15"/>
  <c r="GN142" i="15"/>
  <c r="AK142" i="5"/>
  <c r="AW142" i="5" s="1"/>
  <c r="AJ143" i="5"/>
  <c r="AV143" i="5" s="1"/>
  <c r="GM143" i="15"/>
  <c r="GL144" i="15"/>
  <c r="AI144" i="5"/>
  <c r="AU144" i="5" s="1"/>
  <c r="GN146" i="15"/>
  <c r="AK146" i="5"/>
  <c r="AW146" i="5" s="1"/>
  <c r="GM147" i="15"/>
  <c r="AJ147" i="5"/>
  <c r="AV147" i="5" s="1"/>
  <c r="AI148" i="5"/>
  <c r="AU148" i="5" s="1"/>
  <c r="GL148" i="15"/>
  <c r="GN150" i="15"/>
  <c r="AK150" i="5"/>
  <c r="AW150" i="5" s="1"/>
  <c r="AJ151" i="5"/>
  <c r="AV151" i="5" s="1"/>
  <c r="GM151" i="15"/>
  <c r="GL152" i="15"/>
  <c r="AI152" i="5"/>
  <c r="AU152" i="5" s="1"/>
  <c r="AX152" i="5" s="1"/>
  <c r="AZ152" i="5" s="1"/>
  <c r="AS152" i="73" s="1"/>
  <c r="GN154" i="15"/>
  <c r="AK154" i="5"/>
  <c r="AW154" i="5" s="1"/>
  <c r="AJ155" i="5"/>
  <c r="AV155" i="5" s="1"/>
  <c r="GM155" i="15"/>
  <c r="AI156" i="5"/>
  <c r="AU156" i="5" s="1"/>
  <c r="GL156" i="15"/>
  <c r="GN158" i="15"/>
  <c r="AK158" i="5"/>
  <c r="AW158" i="5" s="1"/>
  <c r="GM159" i="15"/>
  <c r="AJ159" i="5"/>
  <c r="AV159" i="5" s="1"/>
  <c r="GL160" i="15"/>
  <c r="AI160" i="5"/>
  <c r="AU160" i="5" s="1"/>
  <c r="AX160" i="5" s="1"/>
  <c r="AZ160" i="5" s="1"/>
  <c r="AS160" i="73" s="1"/>
  <c r="GN162" i="15"/>
  <c r="AK162" i="5"/>
  <c r="AW162" i="5" s="1"/>
  <c r="GM163" i="15"/>
  <c r="AJ163" i="5"/>
  <c r="AV163" i="5" s="1"/>
  <c r="AI164" i="5"/>
  <c r="AU164" i="5" s="1"/>
  <c r="GL164" i="15"/>
  <c r="GN166" i="15"/>
  <c r="AK166" i="5"/>
  <c r="AW166" i="5" s="1"/>
  <c r="AJ167" i="5"/>
  <c r="AV167" i="5" s="1"/>
  <c r="GM167" i="15"/>
  <c r="GL168" i="15"/>
  <c r="AI168" i="5"/>
  <c r="AU168" i="5" s="1"/>
  <c r="GN170" i="15"/>
  <c r="AK170" i="5"/>
  <c r="AW170" i="5" s="1"/>
  <c r="GM171" i="15"/>
  <c r="AJ171" i="5"/>
  <c r="AV171" i="5" s="1"/>
  <c r="AI172" i="5"/>
  <c r="AU172" i="5" s="1"/>
  <c r="GL172" i="15"/>
  <c r="GN174" i="15"/>
  <c r="AK174" i="5"/>
  <c r="AW174" i="5" s="1"/>
  <c r="GM175" i="15"/>
  <c r="AJ175" i="5"/>
  <c r="AV175" i="5" s="1"/>
  <c r="GL176" i="15"/>
  <c r="AI176" i="5"/>
  <c r="AU176" i="5" s="1"/>
  <c r="GN178" i="15"/>
  <c r="AK178" i="5"/>
  <c r="AW178" i="5" s="1"/>
  <c r="GM179" i="15"/>
  <c r="AJ179" i="5"/>
  <c r="AV179" i="5" s="1"/>
  <c r="AI180" i="5"/>
  <c r="AU180" i="5" s="1"/>
  <c r="GL180" i="15"/>
  <c r="GN182" i="15"/>
  <c r="AK182" i="5"/>
  <c r="AW182" i="5" s="1"/>
  <c r="AJ183" i="5"/>
  <c r="GM183" i="15"/>
  <c r="GL184" i="15"/>
  <c r="AI184" i="5"/>
  <c r="AU184" i="5" s="1"/>
  <c r="AY184" i="5" s="1"/>
  <c r="GN186" i="15"/>
  <c r="AK186" i="5"/>
  <c r="AW186" i="5" s="1"/>
  <c r="GM187" i="15"/>
  <c r="AJ187" i="5"/>
  <c r="AV187" i="5" s="1"/>
  <c r="AI188" i="5"/>
  <c r="AU188" i="5" s="1"/>
  <c r="GL188" i="15"/>
  <c r="GN190" i="15"/>
  <c r="AK190" i="5"/>
  <c r="AW190" i="5" s="1"/>
  <c r="AJ191" i="5"/>
  <c r="AV191" i="5" s="1"/>
  <c r="GM191" i="15"/>
  <c r="AI192" i="5"/>
  <c r="AU192" i="5" s="1"/>
  <c r="AY192" i="5" s="1"/>
  <c r="GL192" i="15"/>
  <c r="GL194" i="15"/>
  <c r="AI194" i="5"/>
  <c r="AU194" i="5" s="1"/>
  <c r="AX194" i="5" s="1"/>
  <c r="AZ194" i="5" s="1"/>
  <c r="AS194" i="73" s="1"/>
  <c r="GN194" i="15"/>
  <c r="AK194" i="5"/>
  <c r="AW194" i="5" s="1"/>
  <c r="AI196" i="5"/>
  <c r="AU196" i="5" s="1"/>
  <c r="GL196" i="15"/>
  <c r="AK196" i="5"/>
  <c r="AW196" i="5" s="1"/>
  <c r="GN196" i="15"/>
  <c r="GL198" i="15"/>
  <c r="AI198" i="5"/>
  <c r="AU198" i="5" s="1"/>
  <c r="AY198" i="5" s="1"/>
  <c r="GN198" i="15"/>
  <c r="AK198" i="5"/>
  <c r="AW198" i="5" s="1"/>
  <c r="AI200" i="5"/>
  <c r="AU200" i="5" s="1"/>
  <c r="AY200" i="5" s="1"/>
  <c r="GL200" i="15"/>
  <c r="GN200" i="15"/>
  <c r="AK200" i="5"/>
  <c r="AW200" i="5" s="1"/>
  <c r="GL202" i="15"/>
  <c r="AI202" i="5"/>
  <c r="AU202" i="5" s="1"/>
  <c r="GN202" i="15"/>
  <c r="AK202" i="5"/>
  <c r="AW202" i="5" s="1"/>
  <c r="AI204" i="5"/>
  <c r="AU204" i="5" s="1"/>
  <c r="GL204" i="15"/>
  <c r="AK204" i="5"/>
  <c r="AW204" i="5" s="1"/>
  <c r="GN204" i="15"/>
  <c r="GL206" i="15"/>
  <c r="HN206" i="15"/>
  <c r="AI206" i="5"/>
  <c r="AU206" i="5" s="1"/>
  <c r="GN206" i="15"/>
  <c r="AK206" i="5"/>
  <c r="AW206" i="5" s="1"/>
  <c r="GL208" i="15"/>
  <c r="AI208" i="5"/>
  <c r="GN208" i="15"/>
  <c r="AK208" i="5"/>
  <c r="AW208" i="5" s="1"/>
  <c r="GL210" i="15"/>
  <c r="AI210" i="5"/>
  <c r="AU210" i="5" s="1"/>
  <c r="HN210" i="15"/>
  <c r="GN210" i="15"/>
  <c r="AK210" i="5"/>
  <c r="AW210" i="5" s="1"/>
  <c r="AI212" i="5"/>
  <c r="AU212" i="5" s="1"/>
  <c r="GL212" i="15"/>
  <c r="AK212" i="5"/>
  <c r="AW212" i="5" s="1"/>
  <c r="GN212" i="15"/>
  <c r="GL214" i="15"/>
  <c r="AI214" i="5"/>
  <c r="AU214" i="5" s="1"/>
  <c r="AX214" i="5" s="1"/>
  <c r="AZ214" i="5" s="1"/>
  <c r="AS214" i="73" s="1"/>
  <c r="HN214" i="15"/>
  <c r="GN214" i="15"/>
  <c r="AK214" i="5"/>
  <c r="AW214" i="5" s="1"/>
  <c r="GL216" i="15"/>
  <c r="AI216" i="5"/>
  <c r="AU216" i="5" s="1"/>
  <c r="GN216" i="15"/>
  <c r="AK216" i="5"/>
  <c r="AW216" i="5" s="1"/>
  <c r="GL218" i="15"/>
  <c r="AI218" i="5"/>
  <c r="AU218" i="5" s="1"/>
  <c r="GN218" i="15"/>
  <c r="AK218" i="5"/>
  <c r="AW218" i="5" s="1"/>
  <c r="AI220" i="5"/>
  <c r="AU220" i="5" s="1"/>
  <c r="GL220" i="15"/>
  <c r="GN220" i="15"/>
  <c r="AK220" i="5"/>
  <c r="AW220" i="5" s="1"/>
  <c r="GL222" i="15"/>
  <c r="AI222" i="5"/>
  <c r="AU222" i="5" s="1"/>
  <c r="GN222" i="15"/>
  <c r="AK222" i="5"/>
  <c r="AW222" i="5" s="1"/>
  <c r="GL224" i="15"/>
  <c r="AI224" i="5"/>
  <c r="AU224" i="5" s="1"/>
  <c r="GN224" i="15"/>
  <c r="AK224" i="5"/>
  <c r="AW224" i="5" s="1"/>
  <c r="GL226" i="15"/>
  <c r="AI226" i="5"/>
  <c r="AU226" i="5" s="1"/>
  <c r="GN226" i="15"/>
  <c r="AK226" i="5"/>
  <c r="AW226" i="5" s="1"/>
  <c r="AI228" i="5"/>
  <c r="AU228" i="5" s="1"/>
  <c r="GL228" i="15"/>
  <c r="AK228" i="5"/>
  <c r="AW228" i="5" s="1"/>
  <c r="GN228" i="15"/>
  <c r="GL230" i="15"/>
  <c r="AI230" i="5"/>
  <c r="AU230" i="5" s="1"/>
  <c r="GN230" i="15"/>
  <c r="AK230" i="5"/>
  <c r="AW230" i="5" s="1"/>
  <c r="GL232" i="15"/>
  <c r="AI232" i="5"/>
  <c r="GN232" i="15"/>
  <c r="AK232" i="5"/>
  <c r="AW232" i="5" s="1"/>
  <c r="GL234" i="15"/>
  <c r="AI234" i="5"/>
  <c r="AU234" i="5" s="1"/>
  <c r="GN234" i="15"/>
  <c r="AK234" i="5"/>
  <c r="AW234" i="5" s="1"/>
  <c r="AI236" i="5"/>
  <c r="AU236" i="5" s="1"/>
  <c r="GL236" i="15"/>
  <c r="GN236" i="15"/>
  <c r="AK236" i="5"/>
  <c r="AW236" i="5" s="1"/>
  <c r="GL238" i="15"/>
  <c r="AI238" i="5"/>
  <c r="AU238" i="5" s="1"/>
  <c r="GN238" i="15"/>
  <c r="AK238" i="5"/>
  <c r="AW238" i="5" s="1"/>
  <c r="GL240" i="15"/>
  <c r="AI240" i="5"/>
  <c r="AU240" i="5" s="1"/>
  <c r="GN240" i="15"/>
  <c r="AK240" i="5"/>
  <c r="AW240" i="5" s="1"/>
  <c r="AI242" i="5"/>
  <c r="AU242" i="5" s="1"/>
  <c r="HN242" i="15"/>
  <c r="GL242" i="15"/>
  <c r="GN242" i="15"/>
  <c r="AK242" i="5"/>
  <c r="AW242" i="5" s="1"/>
  <c r="AI244" i="5"/>
  <c r="AU244" i="5" s="1"/>
  <c r="AY244" i="5" s="1"/>
  <c r="GL244" i="15"/>
  <c r="AK244" i="5"/>
  <c r="AW244" i="5" s="1"/>
  <c r="GN244" i="15"/>
  <c r="AI246" i="5"/>
  <c r="AU246" i="5" s="1"/>
  <c r="HN246" i="15"/>
  <c r="GL246" i="15"/>
  <c r="GN246" i="15"/>
  <c r="AK246" i="5"/>
  <c r="AW246" i="5" s="1"/>
  <c r="GL248" i="15"/>
  <c r="AI248" i="5"/>
  <c r="AU248" i="5" s="1"/>
  <c r="GN248" i="15"/>
  <c r="AK248" i="5"/>
  <c r="AW248" i="5" s="1"/>
  <c r="AI250" i="5"/>
  <c r="AU250" i="5" s="1"/>
  <c r="GL250" i="15"/>
  <c r="GN250" i="15"/>
  <c r="AK250" i="5"/>
  <c r="AW250" i="5" s="1"/>
  <c r="AI252" i="5"/>
  <c r="AU252" i="5" s="1"/>
  <c r="GL252" i="15"/>
  <c r="AK252" i="5"/>
  <c r="AW252" i="5" s="1"/>
  <c r="GN252" i="15"/>
  <c r="AI254" i="5"/>
  <c r="AU254" i="5" s="1"/>
  <c r="GL254" i="15"/>
  <c r="GN254" i="15"/>
  <c r="AK254" i="5"/>
  <c r="AW254" i="5" s="1"/>
  <c r="GL256" i="15"/>
  <c r="AI256" i="5"/>
  <c r="AU256" i="5" s="1"/>
  <c r="AX256" i="5" s="1"/>
  <c r="AZ256" i="5" s="1"/>
  <c r="AS256" i="73" s="1"/>
  <c r="AK256" i="5"/>
  <c r="AW256" i="5" s="1"/>
  <c r="GN256" i="15"/>
  <c r="AI258" i="5"/>
  <c r="AU258" i="5" s="1"/>
  <c r="GL258" i="15"/>
  <c r="GN258" i="15"/>
  <c r="AK258" i="5"/>
  <c r="AW258" i="5" s="1"/>
  <c r="AI260" i="5"/>
  <c r="AU260" i="5" s="1"/>
  <c r="GL260" i="15"/>
  <c r="AK260" i="5"/>
  <c r="AW260" i="5" s="1"/>
  <c r="GN260" i="15"/>
  <c r="AI262" i="5"/>
  <c r="AU262" i="5" s="1"/>
  <c r="GL262" i="15"/>
  <c r="GN262" i="15"/>
  <c r="AK262" i="5"/>
  <c r="AW262" i="5" s="1"/>
  <c r="GL264" i="15"/>
  <c r="AI264" i="5"/>
  <c r="AU264" i="5" s="1"/>
  <c r="AY264" i="5" s="1"/>
  <c r="GN264" i="15"/>
  <c r="AK264" i="5"/>
  <c r="AW264" i="5" s="1"/>
  <c r="AI266" i="5"/>
  <c r="AU266" i="5" s="1"/>
  <c r="GL266" i="15"/>
  <c r="GN266" i="15"/>
  <c r="AK266" i="5"/>
  <c r="AW266" i="5" s="1"/>
  <c r="AI268" i="5"/>
  <c r="AU268" i="5" s="1"/>
  <c r="GL268" i="15"/>
  <c r="GN268" i="15"/>
  <c r="AK268" i="5"/>
  <c r="AW268" i="5" s="1"/>
  <c r="AI270" i="5"/>
  <c r="AU270" i="5" s="1"/>
  <c r="GL270" i="15"/>
  <c r="GN270" i="15"/>
  <c r="AK270" i="5"/>
  <c r="AW270" i="5" s="1"/>
  <c r="AI272" i="5"/>
  <c r="AU272" i="5" s="1"/>
  <c r="HN272" i="15"/>
  <c r="GL272" i="15"/>
  <c r="GN272" i="15"/>
  <c r="AK272" i="5"/>
  <c r="AW272" i="5" s="1"/>
  <c r="AI274" i="5"/>
  <c r="AU274" i="5" s="1"/>
  <c r="GL274" i="15"/>
  <c r="GN274" i="15"/>
  <c r="AK274" i="5"/>
  <c r="AW274" i="5" s="1"/>
  <c r="AI276" i="5"/>
  <c r="AU276" i="5" s="1"/>
  <c r="GL276" i="15"/>
  <c r="GN276" i="15"/>
  <c r="AK276" i="5"/>
  <c r="AW276" i="5" s="1"/>
  <c r="HP276" i="15"/>
  <c r="GL278" i="15"/>
  <c r="AI278" i="5"/>
  <c r="AU278" i="5" s="1"/>
  <c r="AX278" i="5" s="1"/>
  <c r="AZ278" i="5" s="1"/>
  <c r="AS278" i="73" s="1"/>
  <c r="HN278" i="15"/>
  <c r="GN278" i="15"/>
  <c r="AK278" i="5"/>
  <c r="AW278" i="5" s="1"/>
  <c r="HN280" i="15"/>
  <c r="AI280" i="5"/>
  <c r="AU280" i="5" s="1"/>
  <c r="GL280" i="15"/>
  <c r="GN280" i="15"/>
  <c r="AK280" i="5"/>
  <c r="AW280" i="5" s="1"/>
  <c r="AI282" i="5"/>
  <c r="AU282" i="5" s="1"/>
  <c r="GL282" i="15"/>
  <c r="GN282" i="15"/>
  <c r="AK282" i="5"/>
  <c r="AW282" i="5" s="1"/>
  <c r="AI284" i="5"/>
  <c r="AU284" i="5" s="1"/>
  <c r="GL284" i="15"/>
  <c r="GN284" i="15"/>
  <c r="AK284" i="5"/>
  <c r="AW284" i="5" s="1"/>
  <c r="AI286" i="5"/>
  <c r="AU286" i="5" s="1"/>
  <c r="GL286" i="15"/>
  <c r="HN286" i="15"/>
  <c r="GN286" i="15"/>
  <c r="AK286" i="5"/>
  <c r="AW286" i="5" s="1"/>
  <c r="GL288" i="15"/>
  <c r="AI288" i="5"/>
  <c r="GN288" i="15"/>
  <c r="AK288" i="5"/>
  <c r="AW288" i="5" s="1"/>
  <c r="AI290" i="5"/>
  <c r="AU290" i="5" s="1"/>
  <c r="GL290" i="15"/>
  <c r="AK290" i="5"/>
  <c r="AW290" i="5" s="1"/>
  <c r="GN290" i="15"/>
  <c r="GN292" i="15"/>
  <c r="AK292" i="5"/>
  <c r="AW292" i="5" s="1"/>
  <c r="GN294" i="15"/>
  <c r="AK294" i="5"/>
  <c r="AW294" i="5" s="1"/>
  <c r="GL296" i="15"/>
  <c r="AI296" i="5"/>
  <c r="AU296" i="5" s="1"/>
  <c r="GN296" i="15"/>
  <c r="AK296" i="5"/>
  <c r="AW296" i="5" s="1"/>
  <c r="AI298" i="5"/>
  <c r="AU298" i="5" s="1"/>
  <c r="GL298" i="15"/>
  <c r="GN298" i="15"/>
  <c r="AK298" i="5"/>
  <c r="AW298" i="5" s="1"/>
  <c r="GN300" i="15"/>
  <c r="AK300" i="5"/>
  <c r="AW300" i="5" s="1"/>
  <c r="GN302" i="15"/>
  <c r="AK302" i="5"/>
  <c r="AW302" i="5" s="1"/>
  <c r="AI304" i="5"/>
  <c r="AU304" i="5" s="1"/>
  <c r="HN304" i="15"/>
  <c r="GL304" i="15"/>
  <c r="GN304" i="15"/>
  <c r="HP304" i="15"/>
  <c r="AK304" i="5"/>
  <c r="AW304" i="5" s="1"/>
  <c r="AI306" i="5"/>
  <c r="AU306" i="5" s="1"/>
  <c r="GL306" i="15"/>
  <c r="GN306" i="15"/>
  <c r="AK306" i="5"/>
  <c r="AW306" i="5" s="1"/>
  <c r="GN308" i="15"/>
  <c r="AK308" i="5"/>
  <c r="AW308" i="5" s="1"/>
  <c r="GN310" i="15"/>
  <c r="AK310" i="5"/>
  <c r="AW310" i="5" s="1"/>
  <c r="AI312" i="5"/>
  <c r="AU312" i="5" s="1"/>
  <c r="GL312" i="15"/>
  <c r="GN312" i="15"/>
  <c r="AK312" i="5"/>
  <c r="AW312" i="5" s="1"/>
  <c r="AI314" i="5"/>
  <c r="AU314" i="5" s="1"/>
  <c r="GL314" i="15"/>
  <c r="GN314" i="15"/>
  <c r="AK314" i="5"/>
  <c r="AW314" i="5" s="1"/>
  <c r="GN316" i="15"/>
  <c r="AK316" i="5"/>
  <c r="AW316" i="5" s="1"/>
  <c r="GN318" i="15"/>
  <c r="AK318" i="5"/>
  <c r="AW318" i="5" s="1"/>
  <c r="AI320" i="5"/>
  <c r="AU320" i="5" s="1"/>
  <c r="GL320" i="15"/>
  <c r="GN320" i="15"/>
  <c r="AK320" i="5"/>
  <c r="AW320" i="5" s="1"/>
  <c r="AI322" i="5"/>
  <c r="AU322" i="5" s="1"/>
  <c r="GL322" i="15"/>
  <c r="GN322" i="15"/>
  <c r="AK322" i="5"/>
  <c r="AW322" i="5" s="1"/>
  <c r="GN324" i="15"/>
  <c r="AK324" i="5"/>
  <c r="AW324" i="5" s="1"/>
  <c r="GN326" i="15"/>
  <c r="AK326" i="5"/>
  <c r="AW326" i="5" s="1"/>
  <c r="HN328" i="15"/>
  <c r="AI328" i="5"/>
  <c r="AU328" i="5" s="1"/>
  <c r="AX328" i="5" s="1"/>
  <c r="AZ328" i="5" s="1"/>
  <c r="AS328" i="73" s="1"/>
  <c r="GL328" i="15"/>
  <c r="GN328" i="15"/>
  <c r="AK328" i="5"/>
  <c r="AW328" i="5" s="1"/>
  <c r="AI330" i="5"/>
  <c r="AU330" i="5" s="1"/>
  <c r="GL330" i="15"/>
  <c r="GN330" i="15"/>
  <c r="AK330" i="5"/>
  <c r="AW330" i="5" s="1"/>
  <c r="GN332" i="15"/>
  <c r="AK332" i="5"/>
  <c r="AW332" i="5" s="1"/>
  <c r="GN334" i="15"/>
  <c r="AK334" i="5"/>
  <c r="AW334" i="5" s="1"/>
  <c r="AI336" i="5"/>
  <c r="AU336" i="5" s="1"/>
  <c r="HN336" i="15"/>
  <c r="GL336" i="15"/>
  <c r="GN336" i="15"/>
  <c r="AK336" i="5"/>
  <c r="AW336" i="5" s="1"/>
  <c r="AI338" i="5"/>
  <c r="AU338" i="5" s="1"/>
  <c r="GL338" i="15"/>
  <c r="GN338" i="15"/>
  <c r="AK338" i="5"/>
  <c r="AW338" i="5" s="1"/>
  <c r="GN340" i="15"/>
  <c r="AK340" i="5"/>
  <c r="AW340" i="5" s="1"/>
  <c r="GN342" i="15"/>
  <c r="AK342" i="5"/>
  <c r="AW342" i="5" s="1"/>
  <c r="AI344" i="5"/>
  <c r="AU344" i="5" s="1"/>
  <c r="GL344" i="15"/>
  <c r="GN344" i="15"/>
  <c r="AK344" i="5"/>
  <c r="AW344" i="5" s="1"/>
  <c r="AI346" i="5"/>
  <c r="AU346" i="5" s="1"/>
  <c r="GL346" i="15"/>
  <c r="GN346" i="15"/>
  <c r="AK346" i="5"/>
  <c r="AW346" i="5" s="1"/>
  <c r="GN348" i="15"/>
  <c r="AK348" i="5"/>
  <c r="AW348" i="5" s="1"/>
  <c r="AV70" i="5"/>
  <c r="AU84" i="5"/>
  <c r="AV67" i="5"/>
  <c r="AW80" i="5"/>
  <c r="AW128" i="5"/>
  <c r="AV263" i="5"/>
  <c r="AV247" i="5"/>
  <c r="AV239" i="5"/>
  <c r="AV231" i="5"/>
  <c r="AV223" i="5"/>
  <c r="AV215" i="5"/>
  <c r="AV207" i="5"/>
  <c r="AV199" i="5"/>
  <c r="AV183" i="5"/>
  <c r="AU288" i="5"/>
  <c r="AU232" i="5"/>
  <c r="AX232" i="5" s="1"/>
  <c r="AZ232" i="5" s="1"/>
  <c r="AS232" i="73" s="1"/>
  <c r="AU208" i="5"/>
  <c r="AX208" i="5" s="1"/>
  <c r="AZ208" i="5" s="1"/>
  <c r="AS208" i="73" s="1"/>
  <c r="AW138" i="5"/>
  <c r="HO79" i="15"/>
  <c r="AW94" i="5"/>
  <c r="AW122" i="5"/>
  <c r="AJ61" i="5"/>
  <c r="GB22" i="15"/>
  <c r="AL22" i="5" s="1"/>
  <c r="AU22" i="5" s="1"/>
  <c r="GC22" i="15"/>
  <c r="AM22" i="5" s="1"/>
  <c r="AV22" i="5" s="1"/>
  <c r="GD22" i="15"/>
  <c r="BM201" i="15"/>
  <c r="BM139" i="15"/>
  <c r="BM163" i="15"/>
  <c r="BM177" i="15"/>
  <c r="BM185" i="15"/>
  <c r="BM141" i="15"/>
  <c r="BM157" i="15"/>
  <c r="BM165" i="15"/>
  <c r="BM85" i="15"/>
  <c r="BM183" i="15"/>
  <c r="BM175" i="15"/>
  <c r="BM217" i="15"/>
  <c r="HP173" i="15"/>
  <c r="HV173" i="15" s="1"/>
  <c r="AW95" i="5"/>
  <c r="AV44" i="5"/>
  <c r="AU83" i="5"/>
  <c r="AY83" i="5" s="1"/>
  <c r="HP147" i="15"/>
  <c r="HP149" i="15"/>
  <c r="HV149" i="15" s="1"/>
  <c r="HP161" i="15"/>
  <c r="HP177" i="15"/>
  <c r="HV177" i="15" s="1"/>
  <c r="HP277" i="15"/>
  <c r="GM78" i="15"/>
  <c r="AJ78" i="5"/>
  <c r="H26" i="93"/>
  <c r="J26" i="93"/>
  <c r="HU87" i="15"/>
  <c r="AX279" i="5"/>
  <c r="AZ279" i="5" s="1"/>
  <c r="AS279" i="73" s="1"/>
  <c r="HT146" i="15"/>
  <c r="IF146" i="15"/>
  <c r="HS226" i="15"/>
  <c r="HK226" i="15" s="1"/>
  <c r="HY226" i="15" s="1"/>
  <c r="HV226" i="15"/>
  <c r="IA80" i="15"/>
  <c r="HQ80" i="15"/>
  <c r="HI80" i="15" s="1"/>
  <c r="HW80" i="15" s="1"/>
  <c r="AY256" i="5"/>
  <c r="AJ64" i="5"/>
  <c r="GM64" i="15"/>
  <c r="AN65" i="5"/>
  <c r="AW65" i="5" s="1"/>
  <c r="HP65" i="15"/>
  <c r="GN127" i="15"/>
  <c r="HP127" i="15"/>
  <c r="HS127" i="15" s="1"/>
  <c r="HK127" i="15" s="1"/>
  <c r="HY127" i="15" s="1"/>
  <c r="AK127" i="5"/>
  <c r="AW127" i="5" s="1"/>
  <c r="GN99" i="15"/>
  <c r="AK99" i="5"/>
  <c r="HR349" i="15"/>
  <c r="HJ349" i="15" s="1"/>
  <c r="HX349" i="15" s="1"/>
  <c r="HU349" i="15"/>
  <c r="HQ346" i="15"/>
  <c r="HI346" i="15" s="1"/>
  <c r="HW346" i="15" s="1"/>
  <c r="IA346" i="15"/>
  <c r="IC338" i="15"/>
  <c r="IF290" i="15"/>
  <c r="HT282" i="15"/>
  <c r="ID282" i="15"/>
  <c r="IA270" i="15"/>
  <c r="HT270" i="15"/>
  <c r="IF270" i="15"/>
  <c r="ID254" i="15"/>
  <c r="IE254" i="15"/>
  <c r="HQ254" i="15"/>
  <c r="HI254" i="15" s="1"/>
  <c r="HW254" i="15" s="1"/>
  <c r="IA254" i="15"/>
  <c r="HT254" i="15"/>
  <c r="IA238" i="15"/>
  <c r="HQ238" i="15"/>
  <c r="HI238" i="15" s="1"/>
  <c r="HW238" i="15" s="1"/>
  <c r="HQ222" i="15"/>
  <c r="HI222" i="15" s="1"/>
  <c r="HW222" i="15" s="1"/>
  <c r="IE222" i="15"/>
  <c r="IC222" i="15"/>
  <c r="IF222" i="15"/>
  <c r="HQ202" i="15"/>
  <c r="HI202" i="15" s="1"/>
  <c r="HW202" i="15" s="1"/>
  <c r="IF202" i="15"/>
  <c r="ID186" i="15"/>
  <c r="ID182" i="15"/>
  <c r="HT178" i="15"/>
  <c r="ID178" i="15"/>
  <c r="IC178" i="15"/>
  <c r="IA178" i="15"/>
  <c r="ID170" i="15"/>
  <c r="IA170" i="15"/>
  <c r="IF162" i="15"/>
  <c r="IC162" i="15"/>
  <c r="HT154" i="15"/>
  <c r="ID154" i="15"/>
  <c r="IA154" i="15"/>
  <c r="AK49" i="5"/>
  <c r="GN49" i="15"/>
  <c r="AN55" i="5"/>
  <c r="AW55" i="5" s="1"/>
  <c r="HP55" i="15"/>
  <c r="HS55" i="15" s="1"/>
  <c r="AN111" i="5"/>
  <c r="AW111" i="5" s="1"/>
  <c r="HP111" i="15"/>
  <c r="AL119" i="5"/>
  <c r="AU119" i="5" s="1"/>
  <c r="AY119" i="5" s="1"/>
  <c r="HN119" i="15"/>
  <c r="AL163" i="5"/>
  <c r="AU163" i="5" s="1"/>
  <c r="HN163" i="15"/>
  <c r="IE163" i="15" s="1"/>
  <c r="AN163" i="5"/>
  <c r="HP163" i="15"/>
  <c r="AN165" i="5"/>
  <c r="HP165" i="15"/>
  <c r="HT228" i="15"/>
  <c r="HS116" i="15"/>
  <c r="AN167" i="5"/>
  <c r="HP167" i="15"/>
  <c r="AN169" i="5"/>
  <c r="HP169" i="15"/>
  <c r="AL179" i="5"/>
  <c r="HN179" i="15"/>
  <c r="ID179" i="15" s="1"/>
  <c r="AN179" i="5"/>
  <c r="HP179" i="15"/>
  <c r="IC179" i="15" s="1"/>
  <c r="AN181" i="5"/>
  <c r="HP181" i="15"/>
  <c r="AN183" i="5"/>
  <c r="HP183" i="15"/>
  <c r="AL191" i="5"/>
  <c r="AU191" i="5" s="1"/>
  <c r="AX191" i="5" s="1"/>
  <c r="AZ191" i="5" s="1"/>
  <c r="AS191" i="73" s="1"/>
  <c r="HN191" i="15"/>
  <c r="HQ191" i="15" s="1"/>
  <c r="HI191" i="15" s="1"/>
  <c r="HW191" i="15" s="1"/>
  <c r="AO203" i="5"/>
  <c r="AU203" i="5" s="1"/>
  <c r="HN203" i="15"/>
  <c r="HQ203" i="15" s="1"/>
  <c r="HI203" i="15" s="1"/>
  <c r="HW203" i="15" s="1"/>
  <c r="AL223" i="5"/>
  <c r="AU223" i="5" s="1"/>
  <c r="HN223" i="15"/>
  <c r="HQ223" i="15" s="1"/>
  <c r="HI223" i="15" s="1"/>
  <c r="HW223" i="15" s="1"/>
  <c r="AO235" i="5"/>
  <c r="AU235" i="5" s="1"/>
  <c r="HN235" i="15"/>
  <c r="HQ235" i="15" s="1"/>
  <c r="HI235" i="15" s="1"/>
  <c r="HW235" i="15" s="1"/>
  <c r="AL255" i="5"/>
  <c r="AU255" i="5" s="1"/>
  <c r="HN255" i="15"/>
  <c r="ID255" i="15" s="1"/>
  <c r="AN295" i="5"/>
  <c r="HP295" i="15"/>
  <c r="AO303" i="5"/>
  <c r="AU303" i="5" s="1"/>
  <c r="AX303" i="5" s="1"/>
  <c r="AZ303" i="5" s="1"/>
  <c r="AS303" i="73" s="1"/>
  <c r="HN303" i="15"/>
  <c r="AO335" i="5"/>
  <c r="AU335" i="5" s="1"/>
  <c r="AX335" i="5" s="1"/>
  <c r="AZ335" i="5" s="1"/>
  <c r="AS335" i="73" s="1"/>
  <c r="HN335" i="15"/>
  <c r="HR347" i="15"/>
  <c r="HJ347" i="15" s="1"/>
  <c r="HX347" i="15" s="1"/>
  <c r="HU347" i="15"/>
  <c r="HU103" i="15"/>
  <c r="HN151" i="15"/>
  <c r="HT151" i="15" s="1"/>
  <c r="HP171" i="15"/>
  <c r="HV171" i="15" s="1"/>
  <c r="HP175" i="15"/>
  <c r="HP287" i="15"/>
  <c r="HS287" i="15" s="1"/>
  <c r="HK287" i="15" s="1"/>
  <c r="HY287" i="15" s="1"/>
  <c r="HP303" i="15"/>
  <c r="IA276" i="15"/>
  <c r="IE204" i="15"/>
  <c r="IE180" i="15"/>
  <c r="IA164" i="15"/>
  <c r="IA156" i="15"/>
  <c r="IE148" i="15"/>
  <c r="IC148" i="15"/>
  <c r="IC156" i="15"/>
  <c r="AU25" i="5"/>
  <c r="HV238" i="15"/>
  <c r="ID252" i="15"/>
  <c r="IC284" i="15"/>
  <c r="AU65" i="5"/>
  <c r="AX65" i="5" s="1"/>
  <c r="AZ65" i="5" s="1"/>
  <c r="AS65" i="73" s="1"/>
  <c r="IA284" i="15"/>
  <c r="HQ268" i="15"/>
  <c r="HI268" i="15" s="1"/>
  <c r="HW268" i="15" s="1"/>
  <c r="HT252" i="15"/>
  <c r="HT204" i="15"/>
  <c r="IC286" i="15"/>
  <c r="HU179" i="15"/>
  <c r="AV80" i="5"/>
  <c r="IF180" i="15"/>
  <c r="IF164" i="15"/>
  <c r="IF156" i="15"/>
  <c r="IF148" i="15"/>
  <c r="HR187" i="15"/>
  <c r="HJ187" i="15" s="1"/>
  <c r="HX187" i="15" s="1"/>
  <c r="ID204" i="15"/>
  <c r="ID180" i="15"/>
  <c r="HQ172" i="15"/>
  <c r="HI172" i="15" s="1"/>
  <c r="HW172" i="15" s="1"/>
  <c r="ID164" i="15"/>
  <c r="HQ164" i="15"/>
  <c r="HI164" i="15" s="1"/>
  <c r="HW164" i="15" s="1"/>
  <c r="ID156" i="15"/>
  <c r="AY328" i="5"/>
  <c r="HQ148" i="15"/>
  <c r="HI148" i="15" s="1"/>
  <c r="HW148" i="15" s="1"/>
  <c r="ID172" i="15"/>
  <c r="GL26" i="15"/>
  <c r="AI45" i="5"/>
  <c r="AU45" i="5" s="1"/>
  <c r="AU171" i="5"/>
  <c r="AU179" i="5"/>
  <c r="AX179" i="5" s="1"/>
  <c r="AZ179" i="5" s="1"/>
  <c r="AS179" i="73" s="1"/>
  <c r="AU195" i="5"/>
  <c r="AU227" i="5"/>
  <c r="AX227" i="5" s="1"/>
  <c r="AZ227" i="5" s="1"/>
  <c r="AS227" i="73" s="1"/>
  <c r="AU259" i="5"/>
  <c r="AX259" i="5" s="1"/>
  <c r="AZ259" i="5" s="1"/>
  <c r="AS259" i="73" s="1"/>
  <c r="AU315" i="5"/>
  <c r="HV270" i="15"/>
  <c r="HV326" i="15"/>
  <c r="HO38" i="15"/>
  <c r="HR38" i="15" s="1"/>
  <c r="GL63" i="15"/>
  <c r="HP185" i="15"/>
  <c r="HP195" i="15"/>
  <c r="HS195" i="15" s="1"/>
  <c r="HK195" i="15" s="1"/>
  <c r="HY195" i="15" s="1"/>
  <c r="HP197" i="15"/>
  <c r="HV197" i="15" s="1"/>
  <c r="HP199" i="15"/>
  <c r="HS199" i="15" s="1"/>
  <c r="HK199" i="15" s="1"/>
  <c r="HY199" i="15" s="1"/>
  <c r="HP201" i="15"/>
  <c r="HS201" i="15" s="1"/>
  <c r="HK201" i="15" s="1"/>
  <c r="HY201" i="15" s="1"/>
  <c r="HP211" i="15"/>
  <c r="HP213" i="15"/>
  <c r="HV213" i="15" s="1"/>
  <c r="HP215" i="15"/>
  <c r="HP217" i="15"/>
  <c r="HP227" i="15"/>
  <c r="HP229" i="15"/>
  <c r="HS229" i="15" s="1"/>
  <c r="HK229" i="15" s="1"/>
  <c r="HY229" i="15" s="1"/>
  <c r="HP231" i="15"/>
  <c r="HV231" i="15" s="1"/>
  <c r="HP233" i="15"/>
  <c r="HS233" i="15" s="1"/>
  <c r="HK233" i="15" s="1"/>
  <c r="HY233" i="15" s="1"/>
  <c r="HP299" i="15"/>
  <c r="HV299" i="15" s="1"/>
  <c r="HP313" i="15"/>
  <c r="HV313" i="15" s="1"/>
  <c r="AN45" i="5"/>
  <c r="HP45" i="15"/>
  <c r="HS45" i="15" s="1"/>
  <c r="IA291" i="15"/>
  <c r="IF291" i="15"/>
  <c r="HT203" i="15"/>
  <c r="HT235" i="15"/>
  <c r="HS188" i="15"/>
  <c r="HK188" i="15" s="1"/>
  <c r="HY188" i="15" s="1"/>
  <c r="HS204" i="15"/>
  <c r="HK204" i="15" s="1"/>
  <c r="HY204" i="15" s="1"/>
  <c r="HV204" i="15"/>
  <c r="IC204" i="15"/>
  <c r="HS212" i="15"/>
  <c r="HK212" i="15" s="1"/>
  <c r="HY212" i="15" s="1"/>
  <c r="IC212" i="15"/>
  <c r="HS224" i="15"/>
  <c r="HK224" i="15" s="1"/>
  <c r="HY224" i="15" s="1"/>
  <c r="HS228" i="15"/>
  <c r="HK228" i="15" s="1"/>
  <c r="HY228" i="15" s="1"/>
  <c r="HV228" i="15"/>
  <c r="HS236" i="15"/>
  <c r="HK236" i="15" s="1"/>
  <c r="HY236" i="15" s="1"/>
  <c r="IC236" i="15"/>
  <c r="HS80" i="15"/>
  <c r="HK80" i="15" s="1"/>
  <c r="HY80" i="15" s="1"/>
  <c r="HV80" i="15"/>
  <c r="AJ84" i="5"/>
  <c r="AV84" i="5" s="1"/>
  <c r="GM84" i="15"/>
  <c r="AN99" i="5"/>
  <c r="HP99" i="15"/>
  <c r="HV99" i="15" s="1"/>
  <c r="IE84" i="15"/>
  <c r="ID84" i="15"/>
  <c r="AK121" i="5"/>
  <c r="GN121" i="15"/>
  <c r="HV311" i="15"/>
  <c r="AN72" i="5"/>
  <c r="AW72" i="5" s="1"/>
  <c r="HP72" i="15"/>
  <c r="HS72" i="15" s="1"/>
  <c r="ID241" i="15"/>
  <c r="IF241" i="15"/>
  <c r="HQ142" i="15"/>
  <c r="HI142" i="15" s="1"/>
  <c r="HW142" i="15" s="1"/>
  <c r="HQ136" i="15"/>
  <c r="HI136" i="15" s="1"/>
  <c r="HW136" i="15" s="1"/>
  <c r="IC136" i="15"/>
  <c r="IA136" i="15"/>
  <c r="IF151" i="15"/>
  <c r="IA271" i="15"/>
  <c r="HQ271" i="15"/>
  <c r="HI271" i="15" s="1"/>
  <c r="HW271" i="15" s="1"/>
  <c r="IB271" i="15"/>
  <c r="IA283" i="15"/>
  <c r="IF283" i="15"/>
  <c r="HQ283" i="15"/>
  <c r="HI283" i="15" s="1"/>
  <c r="HW283" i="15" s="1"/>
  <c r="HV186" i="15"/>
  <c r="HS186" i="15"/>
  <c r="HK186" i="15" s="1"/>
  <c r="HY186" i="15" s="1"/>
  <c r="HV190" i="15"/>
  <c r="HS190" i="15"/>
  <c r="HK190" i="15" s="1"/>
  <c r="HY190" i="15" s="1"/>
  <c r="HS194" i="15"/>
  <c r="HK194" i="15" s="1"/>
  <c r="HY194" i="15" s="1"/>
  <c r="HV194" i="15"/>
  <c r="HV198" i="15"/>
  <c r="HS198" i="15"/>
  <c r="HK198" i="15" s="1"/>
  <c r="HY198" i="15" s="1"/>
  <c r="HV206" i="15"/>
  <c r="HS206" i="15"/>
  <c r="HK206" i="15" s="1"/>
  <c r="HY206" i="15" s="1"/>
  <c r="HS210" i="15"/>
  <c r="HK210" i="15" s="1"/>
  <c r="HY210" i="15" s="1"/>
  <c r="HV210" i="15"/>
  <c r="HV214" i="15"/>
  <c r="HS214" i="15"/>
  <c r="HK214" i="15" s="1"/>
  <c r="HY214" i="15" s="1"/>
  <c r="HV218" i="15"/>
  <c r="HS218" i="15"/>
  <c r="HK218" i="15" s="1"/>
  <c r="HY218" i="15" s="1"/>
  <c r="HS222" i="15"/>
  <c r="HK222" i="15" s="1"/>
  <c r="HY222" i="15" s="1"/>
  <c r="HV222" i="15"/>
  <c r="HS230" i="15"/>
  <c r="HK230" i="15" s="1"/>
  <c r="HY230" i="15" s="1"/>
  <c r="HV230" i="15"/>
  <c r="GN59" i="15"/>
  <c r="AK59" i="5"/>
  <c r="AJ66" i="5"/>
  <c r="AV66" i="5" s="1"/>
  <c r="GM66" i="15"/>
  <c r="AL81" i="5"/>
  <c r="HN81" i="15"/>
  <c r="AJ82" i="5"/>
  <c r="GM82" i="15"/>
  <c r="AJ90" i="5"/>
  <c r="GM90" i="15"/>
  <c r="AJ98" i="5"/>
  <c r="AV98" i="5" s="1"/>
  <c r="GM98" i="15"/>
  <c r="AT113" i="5"/>
  <c r="AW113" i="5" s="1"/>
  <c r="HP113" i="15"/>
  <c r="AM118" i="5"/>
  <c r="AV118" i="5" s="1"/>
  <c r="HO118" i="15"/>
  <c r="AL131" i="5"/>
  <c r="AU131" i="5" s="1"/>
  <c r="HN131" i="15"/>
  <c r="AO135" i="5"/>
  <c r="HN135" i="15"/>
  <c r="ID135" i="15" s="1"/>
  <c r="AL139" i="5"/>
  <c r="AU139" i="5" s="1"/>
  <c r="HN139" i="15"/>
  <c r="ID139" i="15" s="1"/>
  <c r="AO143" i="5"/>
  <c r="HN143" i="15"/>
  <c r="ID143" i="15" s="1"/>
  <c r="HO112" i="15"/>
  <c r="HR112" i="15" s="1"/>
  <c r="HJ112" i="15" s="1"/>
  <c r="HX112" i="15" s="1"/>
  <c r="HP159" i="15"/>
  <c r="IA196" i="15"/>
  <c r="IC196" i="15"/>
  <c r="HP151" i="15"/>
  <c r="HP153" i="15"/>
  <c r="HV153" i="15" s="1"/>
  <c r="HP155" i="15"/>
  <c r="HP157" i="15"/>
  <c r="HS157" i="15" s="1"/>
  <c r="HK157" i="15" s="1"/>
  <c r="HY157" i="15" s="1"/>
  <c r="HO24" i="15"/>
  <c r="IF196" i="15"/>
  <c r="ID196" i="15"/>
  <c r="HQ196" i="15"/>
  <c r="HI196" i="15" s="1"/>
  <c r="HW196" i="15" s="1"/>
  <c r="HN323" i="15"/>
  <c r="HN331" i="15"/>
  <c r="HN78" i="15"/>
  <c r="HQ78" i="15" s="1"/>
  <c r="HN213" i="15"/>
  <c r="IB213" i="15" s="1"/>
  <c r="HN112" i="15"/>
  <c r="AU147" i="5"/>
  <c r="AY147" i="5" s="1"/>
  <c r="HN159" i="15"/>
  <c r="AU187" i="5"/>
  <c r="AY187" i="5" s="1"/>
  <c r="HN207" i="15"/>
  <c r="AU211" i="5"/>
  <c r="AY211" i="5" s="1"/>
  <c r="HN219" i="15"/>
  <c r="AU231" i="5"/>
  <c r="AX231" i="5" s="1"/>
  <c r="AZ231" i="5" s="1"/>
  <c r="AS231" i="73" s="1"/>
  <c r="HN239" i="15"/>
  <c r="AU243" i="5"/>
  <c r="HN251" i="15"/>
  <c r="AU263" i="5"/>
  <c r="AX263" i="5" s="1"/>
  <c r="AZ263" i="5" s="1"/>
  <c r="AS263" i="73" s="1"/>
  <c r="HN267" i="15"/>
  <c r="AU275" i="5"/>
  <c r="AY275" i="5" s="1"/>
  <c r="HN287" i="15"/>
  <c r="AU347" i="5"/>
  <c r="AX347" i="5" s="1"/>
  <c r="AZ347" i="5" s="1"/>
  <c r="AS347" i="73" s="1"/>
  <c r="HP187" i="15"/>
  <c r="HP189" i="15"/>
  <c r="HV189" i="15" s="1"/>
  <c r="HP191" i="15"/>
  <c r="HP193" i="15"/>
  <c r="HP203" i="15"/>
  <c r="HP205" i="15"/>
  <c r="HV205" i="15" s="1"/>
  <c r="HP207" i="15"/>
  <c r="HV207" i="15" s="1"/>
  <c r="HP209" i="15"/>
  <c r="HP219" i="15"/>
  <c r="HP221" i="15"/>
  <c r="HV221" i="15" s="1"/>
  <c r="HP223" i="15"/>
  <c r="HP225" i="15"/>
  <c r="HV225" i="15" s="1"/>
  <c r="HP235" i="15"/>
  <c r="IC235" i="15" s="1"/>
  <c r="HN82" i="15"/>
  <c r="AI49" i="5"/>
  <c r="AX174" i="5"/>
  <c r="AZ174" i="5" s="1"/>
  <c r="AS174" i="73" s="1"/>
  <c r="HR233" i="15"/>
  <c r="HJ233" i="15" s="1"/>
  <c r="HX233" i="15" s="1"/>
  <c r="HU249" i="15"/>
  <c r="HR249" i="15"/>
  <c r="HJ249" i="15" s="1"/>
  <c r="HX249" i="15" s="1"/>
  <c r="AY194" i="5"/>
  <c r="AL32" i="5"/>
  <c r="AU32" i="5" s="1"/>
  <c r="HP27" i="15"/>
  <c r="HS27" i="15" s="1"/>
  <c r="HO31" i="15"/>
  <c r="BG31" i="15" s="1"/>
  <c r="HP42" i="15"/>
  <c r="HS42" i="15" s="1"/>
  <c r="AK75" i="5"/>
  <c r="H10" i="93"/>
  <c r="J10" i="93"/>
  <c r="H20" i="93"/>
  <c r="I26" i="93"/>
  <c r="HV316" i="15"/>
  <c r="HS320" i="15"/>
  <c r="HK320" i="15" s="1"/>
  <c r="HY320" i="15" s="1"/>
  <c r="HV320" i="15"/>
  <c r="AK74" i="5"/>
  <c r="AU66" i="5"/>
  <c r="AJ27" i="5"/>
  <c r="AV27" i="5" s="1"/>
  <c r="HP30" i="15"/>
  <c r="HS30" i="15" s="1"/>
  <c r="I24" i="93"/>
  <c r="I22" i="93"/>
  <c r="AJ59" i="5"/>
  <c r="J15" i="93"/>
  <c r="GM23" i="15"/>
  <c r="GM44" i="15"/>
  <c r="GL62" i="15"/>
  <c r="GL59" i="15"/>
  <c r="GL72" i="15"/>
  <c r="AI72" i="5"/>
  <c r="AU72" i="5" s="1"/>
  <c r="AI82" i="5"/>
  <c r="AU82" i="5" s="1"/>
  <c r="GL82" i="15"/>
  <c r="AI112" i="5"/>
  <c r="AU112" i="5" s="1"/>
  <c r="GL112" i="15"/>
  <c r="GM41" i="15"/>
  <c r="AJ41" i="5"/>
  <c r="GM43" i="15"/>
  <c r="AJ43" i="5"/>
  <c r="HO62" i="15"/>
  <c r="AI56" i="5"/>
  <c r="AI64" i="5"/>
  <c r="GL27" i="15"/>
  <c r="AW119" i="5"/>
  <c r="AW35" i="5"/>
  <c r="AV46" i="5"/>
  <c r="AV96" i="5"/>
  <c r="AW97" i="5"/>
  <c r="AV108" i="5"/>
  <c r="AX192" i="5"/>
  <c r="AZ192" i="5" s="1"/>
  <c r="AS192" i="73" s="1"/>
  <c r="AU55" i="5"/>
  <c r="AX55" i="5" s="1"/>
  <c r="AZ55" i="5" s="1"/>
  <c r="AS55" i="73" s="1"/>
  <c r="AU87" i="5"/>
  <c r="AY87" i="5" s="1"/>
  <c r="AU44" i="5"/>
  <c r="AY44" i="5" s="1"/>
  <c r="AU135" i="5"/>
  <c r="AX135" i="5" s="1"/>
  <c r="AZ135" i="5" s="1"/>
  <c r="AS135" i="73" s="1"/>
  <c r="AU143" i="5"/>
  <c r="AX143" i="5" s="1"/>
  <c r="AZ143" i="5" s="1"/>
  <c r="AS143" i="73" s="1"/>
  <c r="HN147" i="15"/>
  <c r="ID147" i="15" s="1"/>
  <c r="AU151" i="5"/>
  <c r="AY151" i="5" s="1"/>
  <c r="HN155" i="15"/>
  <c r="AU159" i="5"/>
  <c r="AY159" i="5" s="1"/>
  <c r="AU167" i="5"/>
  <c r="AU183" i="5"/>
  <c r="AU239" i="5"/>
  <c r="HN259" i="15"/>
  <c r="AU267" i="5"/>
  <c r="AY267" i="5" s="1"/>
  <c r="HN275" i="15"/>
  <c r="ID275" i="15" s="1"/>
  <c r="AU283" i="5"/>
  <c r="AU291" i="5"/>
  <c r="AY291" i="5" s="1"/>
  <c r="AU299" i="5"/>
  <c r="AY299" i="5" s="1"/>
  <c r="AU307" i="5"/>
  <c r="AU311" i="5"/>
  <c r="AU323" i="5"/>
  <c r="AY323" i="5" s="1"/>
  <c r="AU339" i="5"/>
  <c r="AY339" i="5" s="1"/>
  <c r="AU343" i="5"/>
  <c r="AY343" i="5" s="1"/>
  <c r="GN32" i="15"/>
  <c r="AK32" i="5"/>
  <c r="AW32" i="5" s="1"/>
  <c r="AI36" i="5"/>
  <c r="AU36" i="5" s="1"/>
  <c r="AX36" i="5" s="1"/>
  <c r="GL36" i="15"/>
  <c r="HP26" i="15"/>
  <c r="BF26" i="15" s="1"/>
  <c r="AK26" i="5"/>
  <c r="AW26" i="5" s="1"/>
  <c r="I14" i="93"/>
  <c r="H14" i="93"/>
  <c r="I32" i="93"/>
  <c r="J32" i="93"/>
  <c r="H18" i="93"/>
  <c r="J18" i="93"/>
  <c r="AM29" i="5"/>
  <c r="AL40" i="5"/>
  <c r="AU40" i="5" s="1"/>
  <c r="HN40" i="15"/>
  <c r="IB81" i="15"/>
  <c r="HU137" i="15"/>
  <c r="HR169" i="15"/>
  <c r="HJ169" i="15" s="1"/>
  <c r="HX169" i="15" s="1"/>
  <c r="HU169" i="15"/>
  <c r="BG38" i="15"/>
  <c r="IA147" i="15"/>
  <c r="HQ155" i="15"/>
  <c r="HI155" i="15" s="1"/>
  <c r="HW155" i="15" s="1"/>
  <c r="IE155" i="15"/>
  <c r="IF155" i="15"/>
  <c r="HT155" i="15"/>
  <c r="AX267" i="5"/>
  <c r="AZ267" i="5" s="1"/>
  <c r="AS267" i="73" s="1"/>
  <c r="AX283" i="5"/>
  <c r="AZ283" i="5" s="1"/>
  <c r="AS283" i="73" s="1"/>
  <c r="AY283" i="5"/>
  <c r="AX291" i="5"/>
  <c r="AZ291" i="5" s="1"/>
  <c r="AS291" i="73" s="1"/>
  <c r="AX299" i="5"/>
  <c r="AZ299" i="5" s="1"/>
  <c r="AS299" i="73" s="1"/>
  <c r="AX343" i="5"/>
  <c r="AZ343" i="5" s="1"/>
  <c r="AS343" i="73" s="1"/>
  <c r="HS53" i="15"/>
  <c r="AY331" i="5"/>
  <c r="H11" i="93"/>
  <c r="I11" i="93"/>
  <c r="HR143" i="15"/>
  <c r="HJ143" i="15" s="1"/>
  <c r="HX143" i="15" s="1"/>
  <c r="GN61" i="15"/>
  <c r="AK61" i="5"/>
  <c r="AW61" i="5" s="1"/>
  <c r="GN69" i="15"/>
  <c r="HP69" i="15"/>
  <c r="HS69" i="15" s="1"/>
  <c r="AK69" i="5"/>
  <c r="AW69" i="5" s="1"/>
  <c r="GL79" i="15"/>
  <c r="HN79" i="15"/>
  <c r="AI79" i="5"/>
  <c r="AU79" i="5" s="1"/>
  <c r="GL73" i="15"/>
  <c r="AI73" i="5"/>
  <c r="GL68" i="15"/>
  <c r="AI68" i="5"/>
  <c r="AU68" i="5" s="1"/>
  <c r="AX68" i="5" s="1"/>
  <c r="AZ68" i="5" s="1"/>
  <c r="AS68" i="73" s="1"/>
  <c r="GL43" i="15"/>
  <c r="AI43" i="5"/>
  <c r="AI58" i="5"/>
  <c r="GL58" i="15"/>
  <c r="GL41" i="15"/>
  <c r="AI41" i="5"/>
  <c r="AI54" i="5"/>
  <c r="GL54" i="15"/>
  <c r="HP79" i="15"/>
  <c r="HS79" i="15" s="1"/>
  <c r="AN79" i="5"/>
  <c r="AW79" i="5" s="1"/>
  <c r="GN41" i="15"/>
  <c r="AK41" i="5"/>
  <c r="GN43" i="15"/>
  <c r="AK43" i="5"/>
  <c r="GM60" i="15"/>
  <c r="AJ60" i="5"/>
  <c r="AK89" i="5"/>
  <c r="GN89" i="15"/>
  <c r="AJ102" i="5"/>
  <c r="AV102" i="5" s="1"/>
  <c r="HO102" i="15"/>
  <c r="GN103" i="15"/>
  <c r="HP103" i="15"/>
  <c r="AK103" i="5"/>
  <c r="AW103" i="5" s="1"/>
  <c r="GM114" i="15"/>
  <c r="AJ114" i="5"/>
  <c r="AV114" i="5" s="1"/>
  <c r="GM116" i="15"/>
  <c r="AJ116" i="5"/>
  <c r="AV116" i="5" s="1"/>
  <c r="GM128" i="15"/>
  <c r="AJ128" i="5"/>
  <c r="AV128" i="5" s="1"/>
  <c r="AJ130" i="5"/>
  <c r="AV130" i="5" s="1"/>
  <c r="GM130" i="15"/>
  <c r="GM134" i="15"/>
  <c r="AJ134" i="5"/>
  <c r="AV134" i="5" s="1"/>
  <c r="AK139" i="5"/>
  <c r="AW139" i="5" s="1"/>
  <c r="HP139" i="15"/>
  <c r="GN139" i="15"/>
  <c r="GN143" i="15"/>
  <c r="AK143" i="5"/>
  <c r="AW143" i="5" s="1"/>
  <c r="HP143" i="15"/>
  <c r="GM154" i="15"/>
  <c r="AJ154" i="5"/>
  <c r="AV154" i="5" s="1"/>
  <c r="GN155" i="15"/>
  <c r="AK155" i="5"/>
  <c r="AW155" i="5" s="1"/>
  <c r="AK159" i="5"/>
  <c r="AW159" i="5" s="1"/>
  <c r="GN159" i="15"/>
  <c r="AK163" i="5"/>
  <c r="GN163" i="15"/>
  <c r="AX200" i="5"/>
  <c r="AZ200" i="5" s="1"/>
  <c r="AS200" i="73" s="1"/>
  <c r="HR343" i="15"/>
  <c r="HJ343" i="15" s="1"/>
  <c r="HX343" i="15" s="1"/>
  <c r="HU343" i="15"/>
  <c r="HU335" i="15"/>
  <c r="HU247" i="15"/>
  <c r="HU231" i="15"/>
  <c r="HR231" i="15"/>
  <c r="HJ231" i="15" s="1"/>
  <c r="HX231" i="15" s="1"/>
  <c r="HV306" i="15"/>
  <c r="AK169" i="5"/>
  <c r="GN169" i="15"/>
  <c r="GM170" i="15"/>
  <c r="AJ170" i="5"/>
  <c r="AV170" i="5" s="1"/>
  <c r="GN171" i="15"/>
  <c r="AK171" i="5"/>
  <c r="AW171" i="5" s="1"/>
  <c r="GN177" i="15"/>
  <c r="AK177" i="5"/>
  <c r="AW177" i="5" s="1"/>
  <c r="AJ178" i="5"/>
  <c r="AV178" i="5" s="1"/>
  <c r="GM178" i="15"/>
  <c r="HO178" i="15"/>
  <c r="IB178" i="15" s="1"/>
  <c r="AK179" i="5"/>
  <c r="GN179" i="15"/>
  <c r="AJ184" i="5"/>
  <c r="AV184" i="5" s="1"/>
  <c r="HO184" i="15"/>
  <c r="GM184" i="15"/>
  <c r="AI185" i="5"/>
  <c r="AU185" i="5" s="1"/>
  <c r="HN185" i="15"/>
  <c r="GL185" i="15"/>
  <c r="AK193" i="5"/>
  <c r="AW193" i="5" s="1"/>
  <c r="GN193" i="15"/>
  <c r="GN201" i="15"/>
  <c r="AK201" i="5"/>
  <c r="AW201" i="5" s="1"/>
  <c r="AJ202" i="5"/>
  <c r="AV202" i="5" s="1"/>
  <c r="GM202" i="15"/>
  <c r="HO202" i="15"/>
  <c r="AK203" i="5"/>
  <c r="AW203" i="5" s="1"/>
  <c r="GN203" i="15"/>
  <c r="AJ208" i="5"/>
  <c r="AV208" i="5" s="1"/>
  <c r="GM208" i="15"/>
  <c r="HO208" i="15"/>
  <c r="IB208" i="15" s="1"/>
  <c r="GL209" i="15"/>
  <c r="AI209" i="5"/>
  <c r="AU209" i="5" s="1"/>
  <c r="AY209" i="5" s="1"/>
  <c r="HN209" i="15"/>
  <c r="GN209" i="15"/>
  <c r="AK209" i="5"/>
  <c r="AW209" i="5" s="1"/>
  <c r="GM210" i="15"/>
  <c r="AJ210" i="5"/>
  <c r="AV210" i="5" s="1"/>
  <c r="HO210" i="15"/>
  <c r="GM216" i="15"/>
  <c r="AJ216" i="5"/>
  <c r="AV216" i="5" s="1"/>
  <c r="HO216" i="15"/>
  <c r="AI217" i="5"/>
  <c r="AU217" i="5" s="1"/>
  <c r="GL217" i="15"/>
  <c r="GN217" i="15"/>
  <c r="AK217" i="5"/>
  <c r="AW217" i="5" s="1"/>
  <c r="GM218" i="15"/>
  <c r="AJ218" i="5"/>
  <c r="AV218" i="5" s="1"/>
  <c r="HO218" i="15"/>
  <c r="GN219" i="15"/>
  <c r="AK219" i="5"/>
  <c r="AW219" i="5" s="1"/>
  <c r="GM224" i="15"/>
  <c r="AJ224" i="5"/>
  <c r="AV224" i="5" s="1"/>
  <c r="HO224" i="15"/>
  <c r="AI225" i="5"/>
  <c r="AU225" i="5" s="1"/>
  <c r="GL225" i="15"/>
  <c r="HN225" i="15"/>
  <c r="GN235" i="15"/>
  <c r="AK235" i="5"/>
  <c r="AW235" i="5" s="1"/>
  <c r="AK241" i="5"/>
  <c r="HP241" i="15"/>
  <c r="GN241" i="15"/>
  <c r="AJ242" i="5"/>
  <c r="AV242" i="5" s="1"/>
  <c r="GM242" i="15"/>
  <c r="HO242" i="15"/>
  <c r="GN249" i="15"/>
  <c r="AK249" i="5"/>
  <c r="AW249" i="5" s="1"/>
  <c r="HP249" i="15"/>
  <c r="GM250" i="15"/>
  <c r="AJ250" i="5"/>
  <c r="HO250" i="15"/>
  <c r="AK251" i="5"/>
  <c r="AW251" i="5" s="1"/>
  <c r="HP251" i="15"/>
  <c r="GN251" i="15"/>
  <c r="HP83" i="15"/>
  <c r="HN83" i="15"/>
  <c r="HP119" i="15"/>
  <c r="AK101" i="5"/>
  <c r="AW101" i="5" s="1"/>
  <c r="GN101" i="15"/>
  <c r="AJ54" i="5"/>
  <c r="GM54" i="15"/>
  <c r="GN45" i="15"/>
  <c r="AK45" i="5"/>
  <c r="GN77" i="15"/>
  <c r="AK77" i="5"/>
  <c r="AJ94" i="5"/>
  <c r="AV94" i="5" s="1"/>
  <c r="GM94" i="15"/>
  <c r="GM124" i="15"/>
  <c r="AJ124" i="5"/>
  <c r="AV124" i="5" s="1"/>
  <c r="AK131" i="5"/>
  <c r="AW131" i="5" s="1"/>
  <c r="HP131" i="15"/>
  <c r="GN131" i="15"/>
  <c r="GN135" i="15"/>
  <c r="AK135" i="5"/>
  <c r="AW135" i="5" s="1"/>
  <c r="HP135" i="15"/>
  <c r="AJ138" i="5"/>
  <c r="GM138" i="15"/>
  <c r="GM142" i="15"/>
  <c r="AJ142" i="5"/>
  <c r="AV142" i="5" s="1"/>
  <c r="GM146" i="15"/>
  <c r="AJ146" i="5"/>
  <c r="AV146" i="5" s="1"/>
  <c r="GN147" i="15"/>
  <c r="AK147" i="5"/>
  <c r="AW147" i="5" s="1"/>
  <c r="AJ150" i="5"/>
  <c r="AV150" i="5" s="1"/>
  <c r="GM150" i="15"/>
  <c r="AK151" i="5"/>
  <c r="AW151" i="5" s="1"/>
  <c r="GN151" i="15"/>
  <c r="AJ158" i="5"/>
  <c r="GM158" i="15"/>
  <c r="GM162" i="15"/>
  <c r="AJ162" i="5"/>
  <c r="AV162" i="5" s="1"/>
  <c r="GM166" i="15"/>
  <c r="AJ166" i="5"/>
  <c r="AV166" i="5" s="1"/>
  <c r="AI257" i="5"/>
  <c r="AU257" i="5" s="1"/>
  <c r="AY257" i="5" s="1"/>
  <c r="HN257" i="15"/>
  <c r="GL257" i="15"/>
  <c r="AI69" i="5"/>
  <c r="AU69" i="5" s="1"/>
  <c r="GL69" i="15"/>
  <c r="HR327" i="15"/>
  <c r="HJ327" i="15" s="1"/>
  <c r="HX327" i="15" s="1"/>
  <c r="HU327" i="15"/>
  <c r="HU239" i="15"/>
  <c r="HR239" i="15"/>
  <c r="HJ239" i="15" s="1"/>
  <c r="HX239" i="15" s="1"/>
  <c r="HU223" i="15"/>
  <c r="HS346" i="15"/>
  <c r="HK346" i="15" s="1"/>
  <c r="HY346" i="15" s="1"/>
  <c r="HV322" i="15"/>
  <c r="HS322" i="15"/>
  <c r="HK322" i="15" s="1"/>
  <c r="HY322" i="15" s="1"/>
  <c r="AJ168" i="5"/>
  <c r="AV168" i="5" s="1"/>
  <c r="GM168" i="15"/>
  <c r="AI169" i="5"/>
  <c r="AU169" i="5" s="1"/>
  <c r="HN169" i="15"/>
  <c r="GL169" i="15"/>
  <c r="GM176" i="15"/>
  <c r="AJ176" i="5"/>
  <c r="AV176" i="5" s="1"/>
  <c r="HO176" i="15"/>
  <c r="GL177" i="15"/>
  <c r="HN177" i="15"/>
  <c r="AI177" i="5"/>
  <c r="AU177" i="5" s="1"/>
  <c r="AK185" i="5"/>
  <c r="AW185" i="5" s="1"/>
  <c r="GN185" i="15"/>
  <c r="GM186" i="15"/>
  <c r="AJ186" i="5"/>
  <c r="AV186" i="5" s="1"/>
  <c r="HO186" i="15"/>
  <c r="GN187" i="15"/>
  <c r="AK187" i="5"/>
  <c r="AW187" i="5" s="1"/>
  <c r="GM192" i="15"/>
  <c r="AJ192" i="5"/>
  <c r="AV192" i="5" s="1"/>
  <c r="HO192" i="15"/>
  <c r="AI193" i="5"/>
  <c r="AU193" i="5" s="1"/>
  <c r="AY193" i="5" s="1"/>
  <c r="GL193" i="15"/>
  <c r="HN193" i="15"/>
  <c r="GM194" i="15"/>
  <c r="AJ194" i="5"/>
  <c r="AV194" i="5" s="1"/>
  <c r="HO194" i="15"/>
  <c r="GN195" i="15"/>
  <c r="AK195" i="5"/>
  <c r="AW195" i="5" s="1"/>
  <c r="AJ200" i="5"/>
  <c r="GM200" i="15"/>
  <c r="HO200" i="15"/>
  <c r="GL201" i="15"/>
  <c r="AI201" i="5"/>
  <c r="AU201" i="5" s="1"/>
  <c r="HN201" i="15"/>
  <c r="GN211" i="15"/>
  <c r="AK211" i="5"/>
  <c r="AW211" i="5" s="1"/>
  <c r="AK225" i="5"/>
  <c r="AW225" i="5" s="1"/>
  <c r="GN225" i="15"/>
  <c r="AJ226" i="5"/>
  <c r="AV226" i="5" s="1"/>
  <c r="GM226" i="15"/>
  <c r="HO226" i="15"/>
  <c r="AK227" i="5"/>
  <c r="AW227" i="5" s="1"/>
  <c r="GN227" i="15"/>
  <c r="GM232" i="15"/>
  <c r="AJ232" i="5"/>
  <c r="AV232" i="5" s="1"/>
  <c r="HO232" i="15"/>
  <c r="HN233" i="15"/>
  <c r="GL233" i="15"/>
  <c r="AI233" i="5"/>
  <c r="AU233" i="5" s="1"/>
  <c r="GN233" i="15"/>
  <c r="AK233" i="5"/>
  <c r="AW233" i="5" s="1"/>
  <c r="GM234" i="15"/>
  <c r="AJ234" i="5"/>
  <c r="HO234" i="15"/>
  <c r="GM240" i="15"/>
  <c r="AJ240" i="5"/>
  <c r="AV240" i="5" s="1"/>
  <c r="HO240" i="15"/>
  <c r="AI241" i="5"/>
  <c r="AU241" i="5" s="1"/>
  <c r="GL241" i="15"/>
  <c r="AK243" i="5"/>
  <c r="GN243" i="15"/>
  <c r="HP243" i="15"/>
  <c r="GM248" i="15"/>
  <c r="AJ248" i="5"/>
  <c r="AV248" i="5" s="1"/>
  <c r="HO248" i="15"/>
  <c r="HN249" i="15"/>
  <c r="AI249" i="5"/>
  <c r="AU249" i="5" s="1"/>
  <c r="GL249" i="15"/>
  <c r="AJ256" i="5"/>
  <c r="AV256" i="5" s="1"/>
  <c r="GM256" i="15"/>
  <c r="HO256" i="15"/>
  <c r="AJ260" i="5"/>
  <c r="GM260" i="15"/>
  <c r="HO260" i="15"/>
  <c r="GL261" i="15"/>
  <c r="AI261" i="5"/>
  <c r="AU261" i="5" s="1"/>
  <c r="HN261" i="15"/>
  <c r="AK261" i="5"/>
  <c r="AW261" i="5" s="1"/>
  <c r="GN261" i="15"/>
  <c r="HP261" i="15"/>
  <c r="GM262" i="15"/>
  <c r="AJ262" i="5"/>
  <c r="AV262" i="5" s="1"/>
  <c r="HO262" i="15"/>
  <c r="GN263" i="15"/>
  <c r="AK263" i="5"/>
  <c r="AW263" i="5" s="1"/>
  <c r="HP263" i="15"/>
  <c r="GM268" i="15"/>
  <c r="HO268" i="15"/>
  <c r="AJ268" i="5"/>
  <c r="AV268" i="5" s="1"/>
  <c r="GL269" i="15"/>
  <c r="AI269" i="5"/>
  <c r="AU269" i="5" s="1"/>
  <c r="HN269" i="15"/>
  <c r="GN269" i="15"/>
  <c r="HP269" i="15"/>
  <c r="AK269" i="5"/>
  <c r="AW269" i="5" s="1"/>
  <c r="GM270" i="15"/>
  <c r="AJ270" i="5"/>
  <c r="AV270" i="5" s="1"/>
  <c r="HO270" i="15"/>
  <c r="GN271" i="15"/>
  <c r="AK271" i="5"/>
  <c r="AW271" i="5" s="1"/>
  <c r="HP271" i="15"/>
  <c r="GM276" i="15"/>
  <c r="AJ276" i="5"/>
  <c r="AI277" i="5"/>
  <c r="AU277" i="5" s="1"/>
  <c r="HN277" i="15"/>
  <c r="GL277" i="15"/>
  <c r="GN277" i="15"/>
  <c r="AK277" i="5"/>
  <c r="AW277" i="5" s="1"/>
  <c r="GM278" i="15"/>
  <c r="AJ278" i="5"/>
  <c r="AV278" i="5" s="1"/>
  <c r="GN279" i="15"/>
  <c r="AK279" i="5"/>
  <c r="AW279" i="5" s="1"/>
  <c r="HP279" i="15"/>
  <c r="GM284" i="15"/>
  <c r="AJ284" i="5"/>
  <c r="AV284" i="5" s="1"/>
  <c r="AI285" i="5"/>
  <c r="AU285" i="5" s="1"/>
  <c r="HN285" i="15"/>
  <c r="GL285" i="15"/>
  <c r="GN285" i="15"/>
  <c r="AK285" i="5"/>
  <c r="AW285" i="5" s="1"/>
  <c r="HP285" i="15"/>
  <c r="GM286" i="15"/>
  <c r="AJ286" i="5"/>
  <c r="AV286" i="5" s="1"/>
  <c r="GN287" i="15"/>
  <c r="AK287" i="5"/>
  <c r="AW287" i="5" s="1"/>
  <c r="GM292" i="15"/>
  <c r="AJ292" i="5"/>
  <c r="AV292" i="5" s="1"/>
  <c r="GL293" i="15"/>
  <c r="HN293" i="15"/>
  <c r="AI293" i="5"/>
  <c r="AU293" i="5" s="1"/>
  <c r="GN293" i="15"/>
  <c r="AK293" i="5"/>
  <c r="AW293" i="5" s="1"/>
  <c r="HP293" i="15"/>
  <c r="GM294" i="15"/>
  <c r="AJ294" i="5"/>
  <c r="AV294" i="5" s="1"/>
  <c r="HO294" i="15"/>
  <c r="GN295" i="15"/>
  <c r="AK295" i="5"/>
  <c r="GM300" i="15"/>
  <c r="AJ300" i="5"/>
  <c r="AV300" i="5" s="1"/>
  <c r="HN301" i="15"/>
  <c r="GL301" i="15"/>
  <c r="AI301" i="5"/>
  <c r="AU301" i="5" s="1"/>
  <c r="GN301" i="15"/>
  <c r="AK301" i="5"/>
  <c r="AW301" i="5" s="1"/>
  <c r="GM302" i="15"/>
  <c r="AJ302" i="5"/>
  <c r="AV302" i="5" s="1"/>
  <c r="HO302" i="15"/>
  <c r="GM304" i="15"/>
  <c r="AJ304" i="5"/>
  <c r="AV304" i="5" s="1"/>
  <c r="GL305" i="15"/>
  <c r="HN305" i="15"/>
  <c r="AI305" i="5"/>
  <c r="AU305" i="5" s="1"/>
  <c r="GN305" i="15"/>
  <c r="AK305" i="5"/>
  <c r="AW305" i="5" s="1"/>
  <c r="GM306" i="15"/>
  <c r="AJ306" i="5"/>
  <c r="AV306" i="5" s="1"/>
  <c r="HO306" i="15"/>
  <c r="GN307" i="15"/>
  <c r="AK307" i="5"/>
  <c r="AW307" i="5" s="1"/>
  <c r="HP307" i="15"/>
  <c r="GM312" i="15"/>
  <c r="AJ312" i="5"/>
  <c r="AV312" i="5" s="1"/>
  <c r="HN313" i="15"/>
  <c r="GL313" i="15"/>
  <c r="AI313" i="5"/>
  <c r="AU313" i="5" s="1"/>
  <c r="GN313" i="15"/>
  <c r="AK313" i="5"/>
  <c r="AW313" i="5" s="1"/>
  <c r="GM314" i="15"/>
  <c r="AJ314" i="5"/>
  <c r="AV314" i="5" s="1"/>
  <c r="HO314" i="15"/>
  <c r="GN315" i="15"/>
  <c r="AK315" i="5"/>
  <c r="AW315" i="5" s="1"/>
  <c r="HP315" i="15"/>
  <c r="GN319" i="15"/>
  <c r="AK319" i="5"/>
  <c r="AW319" i="5" s="1"/>
  <c r="GM324" i="15"/>
  <c r="AJ324" i="5"/>
  <c r="AV324" i="5" s="1"/>
  <c r="HO324" i="15"/>
  <c r="GL325" i="15"/>
  <c r="AI325" i="5"/>
  <c r="AU325" i="5" s="1"/>
  <c r="HN325" i="15"/>
  <c r="GN325" i="15"/>
  <c r="AK325" i="5"/>
  <c r="AW325" i="5" s="1"/>
  <c r="HP325" i="15"/>
  <c r="GM326" i="15"/>
  <c r="AJ326" i="5"/>
  <c r="AV326" i="5" s="1"/>
  <c r="HO326" i="15"/>
  <c r="GN327" i="15"/>
  <c r="AK327" i="5"/>
  <c r="AW327" i="5" s="1"/>
  <c r="HP327" i="15"/>
  <c r="GM332" i="15"/>
  <c r="AJ332" i="5"/>
  <c r="AV332" i="5" s="1"/>
  <c r="HO332" i="15"/>
  <c r="GL333" i="15"/>
  <c r="AI333" i="5"/>
  <c r="AU333" i="5" s="1"/>
  <c r="HN333" i="15"/>
  <c r="GN333" i="15"/>
  <c r="HP333" i="15"/>
  <c r="AK333" i="5"/>
  <c r="AW333" i="5" s="1"/>
  <c r="GM334" i="15"/>
  <c r="HO334" i="15"/>
  <c r="AJ334" i="5"/>
  <c r="AV334" i="5" s="1"/>
  <c r="GM336" i="15"/>
  <c r="AJ336" i="5"/>
  <c r="AV336" i="5" s="1"/>
  <c r="HO336" i="15"/>
  <c r="AI337" i="5"/>
  <c r="AU337" i="5" s="1"/>
  <c r="HN337" i="15"/>
  <c r="GL337" i="15"/>
  <c r="GN337" i="15"/>
  <c r="HP337" i="15"/>
  <c r="AK337" i="5"/>
  <c r="AW337" i="5" s="1"/>
  <c r="GM338" i="15"/>
  <c r="AJ338" i="5"/>
  <c r="HO338" i="15"/>
  <c r="GN339" i="15"/>
  <c r="AK339" i="5"/>
  <c r="AW339" i="5" s="1"/>
  <c r="HP339" i="15"/>
  <c r="GM344" i="15"/>
  <c r="AJ344" i="5"/>
  <c r="AV344" i="5" s="1"/>
  <c r="HO344" i="15"/>
  <c r="AI345" i="5"/>
  <c r="AU345" i="5" s="1"/>
  <c r="GL345" i="15"/>
  <c r="HN345" i="15"/>
  <c r="GN345" i="15"/>
  <c r="HP345" i="15"/>
  <c r="AK345" i="5"/>
  <c r="AW345" i="5" s="1"/>
  <c r="GM346" i="15"/>
  <c r="AJ346" i="5"/>
  <c r="AV346" i="5" s="1"/>
  <c r="HO346" i="15"/>
  <c r="GN347" i="15"/>
  <c r="AK347" i="5"/>
  <c r="AW347" i="5" s="1"/>
  <c r="HP347" i="15"/>
  <c r="I38" i="93"/>
  <c r="J38" i="93"/>
  <c r="H38" i="93"/>
  <c r="GN53" i="15"/>
  <c r="AK53" i="5"/>
  <c r="AW53" i="5" s="1"/>
  <c r="AJ47" i="5"/>
  <c r="AV47" i="5" s="1"/>
  <c r="GM47" i="15"/>
  <c r="AK57" i="5"/>
  <c r="GN57" i="15"/>
  <c r="GM40" i="15"/>
  <c r="AJ40" i="5"/>
  <c r="AV40" i="5" s="1"/>
  <c r="GL57" i="15"/>
  <c r="AI57" i="5"/>
  <c r="AI77" i="5"/>
  <c r="GL77" i="15"/>
  <c r="GL33" i="15"/>
  <c r="AI33" i="5"/>
  <c r="AI53" i="5"/>
  <c r="AU53" i="5" s="1"/>
  <c r="AY53" i="5" s="1"/>
  <c r="GL53" i="15"/>
  <c r="AX184" i="5"/>
  <c r="AZ184" i="5" s="1"/>
  <c r="AS184" i="73" s="1"/>
  <c r="GN91" i="15"/>
  <c r="AK91" i="5"/>
  <c r="AJ42" i="5"/>
  <c r="AV42" i="5" s="1"/>
  <c r="GM42" i="15"/>
  <c r="HO42" i="15"/>
  <c r="IB42" i="15" s="1"/>
  <c r="HU345" i="15"/>
  <c r="HR341" i="15"/>
  <c r="HJ341" i="15" s="1"/>
  <c r="HX341" i="15" s="1"/>
  <c r="HR337" i="15"/>
  <c r="HJ337" i="15" s="1"/>
  <c r="HX337" i="15" s="1"/>
  <c r="HU337" i="15"/>
  <c r="HR333" i="15"/>
  <c r="HJ333" i="15" s="1"/>
  <c r="HX333" i="15" s="1"/>
  <c r="HU333" i="15"/>
  <c r="HU329" i="15"/>
  <c r="HR321" i="15"/>
  <c r="HJ321" i="15" s="1"/>
  <c r="HX321" i="15" s="1"/>
  <c r="HR305" i="15"/>
  <c r="HJ305" i="15" s="1"/>
  <c r="HX305" i="15" s="1"/>
  <c r="HU305" i="15"/>
  <c r="HS324" i="15"/>
  <c r="HK324" i="15" s="1"/>
  <c r="HY324" i="15" s="1"/>
  <c r="HV324" i="15"/>
  <c r="HV312" i="15"/>
  <c r="HS312" i="15"/>
  <c r="HK312" i="15" s="1"/>
  <c r="HY312" i="15" s="1"/>
  <c r="HS308" i="15"/>
  <c r="HK308" i="15" s="1"/>
  <c r="HY308" i="15" s="1"/>
  <c r="HV308" i="15"/>
  <c r="HS292" i="15"/>
  <c r="HK292" i="15" s="1"/>
  <c r="HY292" i="15" s="1"/>
  <c r="HV292" i="15"/>
  <c r="GL23" i="15"/>
  <c r="AI23" i="5"/>
  <c r="AL63" i="5"/>
  <c r="AU63" i="5" s="1"/>
  <c r="AX63" i="5" s="1"/>
  <c r="AZ63" i="5" s="1"/>
  <c r="AS63" i="73" s="1"/>
  <c r="HN63" i="15"/>
  <c r="AJ68" i="5"/>
  <c r="AV68" i="5" s="1"/>
  <c r="GM68" i="15"/>
  <c r="HO68" i="15"/>
  <c r="HU68" i="15" s="1"/>
  <c r="GN81" i="15"/>
  <c r="AK81" i="5"/>
  <c r="AW81" i="5" s="1"/>
  <c r="HP81" i="15"/>
  <c r="GN85" i="15"/>
  <c r="AK85" i="5"/>
  <c r="AW85" i="5" s="1"/>
  <c r="HP85" i="15"/>
  <c r="GM92" i="15"/>
  <c r="AJ92" i="5"/>
  <c r="AV92" i="5" s="1"/>
  <c r="GM104" i="15"/>
  <c r="AJ104" i="5"/>
  <c r="AV104" i="5" s="1"/>
  <c r="GM110" i="15"/>
  <c r="AJ110" i="5"/>
  <c r="AV110" i="5" s="1"/>
  <c r="GM112" i="15"/>
  <c r="AJ112" i="5"/>
  <c r="AV112" i="5" s="1"/>
  <c r="AJ120" i="5"/>
  <c r="AV120" i="5" s="1"/>
  <c r="GM120" i="15"/>
  <c r="AJ122" i="5"/>
  <c r="AV122" i="5" s="1"/>
  <c r="GM122" i="15"/>
  <c r="AJ126" i="5"/>
  <c r="AV126" i="5" s="1"/>
  <c r="GM126" i="15"/>
  <c r="AL129" i="5"/>
  <c r="AU129" i="5" s="1"/>
  <c r="HN129" i="15"/>
  <c r="GN129" i="15"/>
  <c r="AK129" i="5"/>
  <c r="AW129" i="5" s="1"/>
  <c r="HP129" i="15"/>
  <c r="AJ132" i="5"/>
  <c r="AV132" i="5" s="1"/>
  <c r="GM132" i="15"/>
  <c r="AI133" i="5"/>
  <c r="AU133" i="5" s="1"/>
  <c r="AY133" i="5" s="1"/>
  <c r="HN133" i="15"/>
  <c r="GL133" i="15"/>
  <c r="AK133" i="5"/>
  <c r="AW133" i="5" s="1"/>
  <c r="GN133" i="15"/>
  <c r="HP133" i="15"/>
  <c r="GM136" i="15"/>
  <c r="AJ136" i="5"/>
  <c r="AV136" i="5" s="1"/>
  <c r="AI137" i="5"/>
  <c r="AU137" i="5" s="1"/>
  <c r="HN137" i="15"/>
  <c r="GL137" i="15"/>
  <c r="GN137" i="15"/>
  <c r="AK137" i="5"/>
  <c r="AW137" i="5" s="1"/>
  <c r="HP137" i="15"/>
  <c r="GM140" i="15"/>
  <c r="AJ140" i="5"/>
  <c r="AV140" i="5" s="1"/>
  <c r="GL141" i="15"/>
  <c r="AI141" i="5"/>
  <c r="AU141" i="5" s="1"/>
  <c r="HN141" i="15"/>
  <c r="IB141" i="15" s="1"/>
  <c r="GN141" i="15"/>
  <c r="AK141" i="5"/>
  <c r="AW141" i="5" s="1"/>
  <c r="HP141" i="15"/>
  <c r="AJ144" i="5"/>
  <c r="AV144" i="5" s="1"/>
  <c r="GM144" i="15"/>
  <c r="GL145" i="15"/>
  <c r="HN145" i="15"/>
  <c r="AI145" i="5"/>
  <c r="AU145" i="5" s="1"/>
  <c r="AK145" i="5"/>
  <c r="AW145" i="5" s="1"/>
  <c r="GN145" i="15"/>
  <c r="HP145" i="15"/>
  <c r="AJ148" i="5"/>
  <c r="AV148" i="5" s="1"/>
  <c r="GM148" i="15"/>
  <c r="AI149" i="5"/>
  <c r="AU149" i="5" s="1"/>
  <c r="AY149" i="5" s="1"/>
  <c r="HN149" i="15"/>
  <c r="IC149" i="15" s="1"/>
  <c r="GL149" i="15"/>
  <c r="AK149" i="5"/>
  <c r="AW149" i="5" s="1"/>
  <c r="GN149" i="15"/>
  <c r="AJ152" i="5"/>
  <c r="AV152" i="5" s="1"/>
  <c r="GM152" i="15"/>
  <c r="AI153" i="5"/>
  <c r="AU153" i="5" s="1"/>
  <c r="HN153" i="15"/>
  <c r="GL153" i="15"/>
  <c r="AK153" i="5"/>
  <c r="AW153" i="5" s="1"/>
  <c r="GN153" i="15"/>
  <c r="AJ156" i="5"/>
  <c r="AV156" i="5" s="1"/>
  <c r="GM156" i="15"/>
  <c r="GL157" i="15"/>
  <c r="HN157" i="15"/>
  <c r="IB157" i="15" s="1"/>
  <c r="AI157" i="5"/>
  <c r="AU157" i="5" s="1"/>
  <c r="AK157" i="5"/>
  <c r="AW157" i="5" s="1"/>
  <c r="GN157" i="15"/>
  <c r="AJ160" i="5"/>
  <c r="AV160" i="5" s="1"/>
  <c r="GM160" i="15"/>
  <c r="GL161" i="15"/>
  <c r="AI161" i="5"/>
  <c r="AU161" i="5" s="1"/>
  <c r="HN161" i="15"/>
  <c r="AK161" i="5"/>
  <c r="AW161" i="5" s="1"/>
  <c r="GN161" i="15"/>
  <c r="GM164" i="15"/>
  <c r="AJ164" i="5"/>
  <c r="AV164" i="5" s="1"/>
  <c r="AI165" i="5"/>
  <c r="AU165" i="5" s="1"/>
  <c r="HN165" i="15"/>
  <c r="GL165" i="15"/>
  <c r="GN165" i="15"/>
  <c r="AK165" i="5"/>
  <c r="AI75" i="5"/>
  <c r="GL75" i="15"/>
  <c r="GN167" i="15"/>
  <c r="AK167" i="5"/>
  <c r="GM172" i="15"/>
  <c r="AJ172" i="5"/>
  <c r="AV172" i="5" s="1"/>
  <c r="GL173" i="15"/>
  <c r="AI173" i="5"/>
  <c r="AU173" i="5" s="1"/>
  <c r="AX173" i="5" s="1"/>
  <c r="AZ173" i="5" s="1"/>
  <c r="AS173" i="73" s="1"/>
  <c r="HN173" i="15"/>
  <c r="IB173" i="15" s="1"/>
  <c r="GN173" i="15"/>
  <c r="AK173" i="5"/>
  <c r="AW173" i="5" s="1"/>
  <c r="GM174" i="15"/>
  <c r="AJ174" i="5"/>
  <c r="AV174" i="5" s="1"/>
  <c r="GN175" i="15"/>
  <c r="AK175" i="5"/>
  <c r="AW175" i="5" s="1"/>
  <c r="GM180" i="15"/>
  <c r="AJ180" i="5"/>
  <c r="AV180" i="5" s="1"/>
  <c r="HO180" i="15"/>
  <c r="AI181" i="5"/>
  <c r="AU181" i="5" s="1"/>
  <c r="HN181" i="15"/>
  <c r="GL181" i="15"/>
  <c r="GN181" i="15"/>
  <c r="AK181" i="5"/>
  <c r="GM182" i="15"/>
  <c r="AJ182" i="5"/>
  <c r="AV182" i="5" s="1"/>
  <c r="HO182" i="15"/>
  <c r="GN183" i="15"/>
  <c r="AK183" i="5"/>
  <c r="GM188" i="15"/>
  <c r="AJ188" i="5"/>
  <c r="AV188" i="5" s="1"/>
  <c r="HO188" i="15"/>
  <c r="AI189" i="5"/>
  <c r="AU189" i="5" s="1"/>
  <c r="AY189" i="5" s="1"/>
  <c r="GL189" i="15"/>
  <c r="HN189" i="15"/>
  <c r="AK189" i="5"/>
  <c r="AW189" i="5" s="1"/>
  <c r="GN189" i="15"/>
  <c r="GM190" i="15"/>
  <c r="AJ190" i="5"/>
  <c r="AV190" i="5" s="1"/>
  <c r="HO190" i="15"/>
  <c r="GN191" i="15"/>
  <c r="AK191" i="5"/>
  <c r="AW191" i="5" s="1"/>
  <c r="AJ196" i="5"/>
  <c r="AV196" i="5" s="1"/>
  <c r="GM196" i="15"/>
  <c r="HO196" i="15"/>
  <c r="AI197" i="5"/>
  <c r="AU197" i="5" s="1"/>
  <c r="AY197" i="5" s="1"/>
  <c r="GL197" i="15"/>
  <c r="HN197" i="15"/>
  <c r="AK197" i="5"/>
  <c r="AW197" i="5" s="1"/>
  <c r="GN197" i="15"/>
  <c r="AJ198" i="5"/>
  <c r="AV198" i="5" s="1"/>
  <c r="GM198" i="15"/>
  <c r="HO198" i="15"/>
  <c r="AK199" i="5"/>
  <c r="AW199" i="5" s="1"/>
  <c r="GN199" i="15"/>
  <c r="GM204" i="15"/>
  <c r="AJ204" i="5"/>
  <c r="AV204" i="5" s="1"/>
  <c r="HO204" i="15"/>
  <c r="AI205" i="5"/>
  <c r="AU205" i="5" s="1"/>
  <c r="AX205" i="5" s="1"/>
  <c r="AZ205" i="5" s="1"/>
  <c r="AS205" i="73" s="1"/>
  <c r="GL205" i="15"/>
  <c r="HN205" i="15"/>
  <c r="AK205" i="5"/>
  <c r="AW205" i="5" s="1"/>
  <c r="GN205" i="15"/>
  <c r="AJ206" i="5"/>
  <c r="AV206" i="5" s="1"/>
  <c r="GM206" i="15"/>
  <c r="HO206" i="15"/>
  <c r="AK207" i="5"/>
  <c r="AW207" i="5" s="1"/>
  <c r="GN207" i="15"/>
  <c r="GM212" i="15"/>
  <c r="AJ212" i="5"/>
  <c r="AV212" i="5" s="1"/>
  <c r="HO212" i="15"/>
  <c r="AI213" i="5"/>
  <c r="AU213" i="5" s="1"/>
  <c r="AX213" i="5" s="1"/>
  <c r="AZ213" i="5" s="1"/>
  <c r="AS213" i="73" s="1"/>
  <c r="GL213" i="15"/>
  <c r="AK213" i="5"/>
  <c r="AW213" i="5" s="1"/>
  <c r="GN213" i="15"/>
  <c r="GM214" i="15"/>
  <c r="AJ214" i="5"/>
  <c r="AV214" i="5" s="1"/>
  <c r="HO214" i="15"/>
  <c r="GN215" i="15"/>
  <c r="AK215" i="5"/>
  <c r="AW215" i="5" s="1"/>
  <c r="GM220" i="15"/>
  <c r="AJ220" i="5"/>
  <c r="AV220" i="5" s="1"/>
  <c r="HO220" i="15"/>
  <c r="AI221" i="5"/>
  <c r="AU221" i="5" s="1"/>
  <c r="HN221" i="15"/>
  <c r="GL221" i="15"/>
  <c r="GN221" i="15"/>
  <c r="AK221" i="5"/>
  <c r="AW221" i="5" s="1"/>
  <c r="GM222" i="15"/>
  <c r="AJ222" i="5"/>
  <c r="AV222" i="5" s="1"/>
  <c r="HO222" i="15"/>
  <c r="GN223" i="15"/>
  <c r="AK223" i="5"/>
  <c r="AW223" i="5" s="1"/>
  <c r="AJ228" i="5"/>
  <c r="AV228" i="5" s="1"/>
  <c r="HO228" i="15"/>
  <c r="GM228" i="15"/>
  <c r="GL229" i="15"/>
  <c r="HN229" i="15"/>
  <c r="AI229" i="5"/>
  <c r="AU229" i="5" s="1"/>
  <c r="AK229" i="5"/>
  <c r="AW229" i="5" s="1"/>
  <c r="GN229" i="15"/>
  <c r="GM230" i="15"/>
  <c r="AJ230" i="5"/>
  <c r="AV230" i="5" s="1"/>
  <c r="HO230" i="15"/>
  <c r="GN231" i="15"/>
  <c r="AK231" i="5"/>
  <c r="AW231" i="5" s="1"/>
  <c r="GM236" i="15"/>
  <c r="AJ236" i="5"/>
  <c r="AV236" i="5" s="1"/>
  <c r="HO236" i="15"/>
  <c r="GL237" i="15"/>
  <c r="HN237" i="15"/>
  <c r="AI237" i="5"/>
  <c r="AU237" i="5" s="1"/>
  <c r="GN237" i="15"/>
  <c r="AK237" i="5"/>
  <c r="AW237" i="5" s="1"/>
  <c r="HP237" i="15"/>
  <c r="GM238" i="15"/>
  <c r="AJ238" i="5"/>
  <c r="AV238" i="5" s="1"/>
  <c r="HO238" i="15"/>
  <c r="GN239" i="15"/>
  <c r="AK239" i="5"/>
  <c r="AW239" i="5" s="1"/>
  <c r="HP239" i="15"/>
  <c r="AJ244" i="5"/>
  <c r="AV244" i="5" s="1"/>
  <c r="GM244" i="15"/>
  <c r="HO244" i="15"/>
  <c r="AI245" i="5"/>
  <c r="AU245" i="5" s="1"/>
  <c r="HN245" i="15"/>
  <c r="GL245" i="15"/>
  <c r="GN245" i="15"/>
  <c r="AK245" i="5"/>
  <c r="AW245" i="5" s="1"/>
  <c r="HP245" i="15"/>
  <c r="GM246" i="15"/>
  <c r="AJ246" i="5"/>
  <c r="AV246" i="5" s="1"/>
  <c r="HO246" i="15"/>
  <c r="GN247" i="15"/>
  <c r="AK247" i="5"/>
  <c r="AW247" i="5" s="1"/>
  <c r="HP247" i="15"/>
  <c r="AJ252" i="5"/>
  <c r="AV252" i="5" s="1"/>
  <c r="GM252" i="15"/>
  <c r="HO252" i="15"/>
  <c r="AI253" i="5"/>
  <c r="AU253" i="5" s="1"/>
  <c r="HN253" i="15"/>
  <c r="GL253" i="15"/>
  <c r="AK253" i="5"/>
  <c r="AW253" i="5" s="1"/>
  <c r="GN253" i="15"/>
  <c r="HP253" i="15"/>
  <c r="AJ254" i="5"/>
  <c r="AV254" i="5" s="1"/>
  <c r="GM254" i="15"/>
  <c r="HO254" i="15"/>
  <c r="AK255" i="5"/>
  <c r="HP255" i="15"/>
  <c r="IC255" i="15" s="1"/>
  <c r="GN255" i="15"/>
  <c r="AK257" i="5"/>
  <c r="AW257" i="5" s="1"/>
  <c r="GN257" i="15"/>
  <c r="HP257" i="15"/>
  <c r="AJ258" i="5"/>
  <c r="AV258" i="5" s="1"/>
  <c r="GM258" i="15"/>
  <c r="HO258" i="15"/>
  <c r="AK259" i="5"/>
  <c r="AW259" i="5" s="1"/>
  <c r="HP259" i="15"/>
  <c r="GN259" i="15"/>
  <c r="GM264" i="15"/>
  <c r="AJ264" i="5"/>
  <c r="AV264" i="5" s="1"/>
  <c r="HO264" i="15"/>
  <c r="AI265" i="5"/>
  <c r="AU265" i="5" s="1"/>
  <c r="GL265" i="15"/>
  <c r="HN265" i="15"/>
  <c r="GN265" i="15"/>
  <c r="AK265" i="5"/>
  <c r="AW265" i="5" s="1"/>
  <c r="HP265" i="15"/>
  <c r="GM266" i="15"/>
  <c r="AJ266" i="5"/>
  <c r="AV266" i="5" s="1"/>
  <c r="HO266" i="15"/>
  <c r="GN267" i="15"/>
  <c r="HP267" i="15"/>
  <c r="AK267" i="5"/>
  <c r="AW267" i="5" s="1"/>
  <c r="GM272" i="15"/>
  <c r="AJ272" i="5"/>
  <c r="AV272" i="5" s="1"/>
  <c r="AI273" i="5"/>
  <c r="AU273" i="5" s="1"/>
  <c r="HN273" i="15"/>
  <c r="GL273" i="15"/>
  <c r="GN273" i="15"/>
  <c r="AK273" i="5"/>
  <c r="AW273" i="5" s="1"/>
  <c r="HP273" i="15"/>
  <c r="GM274" i="15"/>
  <c r="AJ274" i="5"/>
  <c r="AV274" i="5" s="1"/>
  <c r="GN275" i="15"/>
  <c r="AK275" i="5"/>
  <c r="AW275" i="5" s="1"/>
  <c r="HP275" i="15"/>
  <c r="GM280" i="15"/>
  <c r="AJ280" i="5"/>
  <c r="AV280" i="5" s="1"/>
  <c r="AI281" i="5"/>
  <c r="AU281" i="5" s="1"/>
  <c r="HN281" i="15"/>
  <c r="GL281" i="15"/>
  <c r="GN281" i="15"/>
  <c r="AK281" i="5"/>
  <c r="AW281" i="5" s="1"/>
  <c r="HP281" i="15"/>
  <c r="GM282" i="15"/>
  <c r="AJ282" i="5"/>
  <c r="AV282" i="5" s="1"/>
  <c r="GN283" i="15"/>
  <c r="AK283" i="5"/>
  <c r="AW283" i="5" s="1"/>
  <c r="HP283" i="15"/>
  <c r="GM288" i="15"/>
  <c r="AJ288" i="5"/>
  <c r="AV288" i="5" s="1"/>
  <c r="GL289" i="15"/>
  <c r="AI289" i="5"/>
  <c r="AU289" i="5" s="1"/>
  <c r="HN289" i="15"/>
  <c r="GN289" i="15"/>
  <c r="AK289" i="5"/>
  <c r="AW289" i="5" s="1"/>
  <c r="HP289" i="15"/>
  <c r="AJ290" i="5"/>
  <c r="AV290" i="5" s="1"/>
  <c r="GM290" i="15"/>
  <c r="GN291" i="15"/>
  <c r="AK291" i="5"/>
  <c r="AW291" i="5" s="1"/>
  <c r="GM296" i="15"/>
  <c r="AJ296" i="5"/>
  <c r="AV296" i="5" s="1"/>
  <c r="GL297" i="15"/>
  <c r="AI297" i="5"/>
  <c r="AU297" i="5" s="1"/>
  <c r="HN297" i="15"/>
  <c r="GN297" i="15"/>
  <c r="AK297" i="5"/>
  <c r="AW297" i="5" s="1"/>
  <c r="GM298" i="15"/>
  <c r="AJ298" i="5"/>
  <c r="AV298" i="5" s="1"/>
  <c r="GN299" i="15"/>
  <c r="AK299" i="5"/>
  <c r="AW299" i="5" s="1"/>
  <c r="GN303" i="15"/>
  <c r="AK303" i="5"/>
  <c r="AW303" i="5" s="1"/>
  <c r="GM308" i="15"/>
  <c r="AJ308" i="5"/>
  <c r="AV308" i="5" s="1"/>
  <c r="HO308" i="15"/>
  <c r="AI309" i="5"/>
  <c r="AU309" i="5" s="1"/>
  <c r="HN309" i="15"/>
  <c r="GL309" i="15"/>
  <c r="GN309" i="15"/>
  <c r="AK309" i="5"/>
  <c r="AW309" i="5" s="1"/>
  <c r="GM310" i="15"/>
  <c r="AJ310" i="5"/>
  <c r="AV310" i="5" s="1"/>
  <c r="HO310" i="15"/>
  <c r="GN311" i="15"/>
  <c r="AK311" i="5"/>
  <c r="AW311" i="5" s="1"/>
  <c r="GM316" i="15"/>
  <c r="AJ316" i="5"/>
  <c r="AV316" i="5" s="1"/>
  <c r="HO316" i="15"/>
  <c r="AI317" i="5"/>
  <c r="AU317" i="5" s="1"/>
  <c r="HN317" i="15"/>
  <c r="GL317" i="15"/>
  <c r="GN317" i="15"/>
  <c r="AK317" i="5"/>
  <c r="AW317" i="5" s="1"/>
  <c r="GM318" i="15"/>
  <c r="AJ318" i="5"/>
  <c r="AV318" i="5" s="1"/>
  <c r="HO318" i="15"/>
  <c r="GM320" i="15"/>
  <c r="AJ320" i="5"/>
  <c r="AV320" i="5" s="1"/>
  <c r="AI321" i="5"/>
  <c r="AU321" i="5" s="1"/>
  <c r="HN321" i="15"/>
  <c r="GL321" i="15"/>
  <c r="GN321" i="15"/>
  <c r="AK321" i="5"/>
  <c r="AW321" i="5" s="1"/>
  <c r="GM322" i="15"/>
  <c r="AJ322" i="5"/>
  <c r="AV322" i="5" s="1"/>
  <c r="HO322" i="15"/>
  <c r="GN323" i="15"/>
  <c r="AK323" i="5"/>
  <c r="AW323" i="5" s="1"/>
  <c r="HP323" i="15"/>
  <c r="GM328" i="15"/>
  <c r="AJ328" i="5"/>
  <c r="HO328" i="15"/>
  <c r="AI329" i="5"/>
  <c r="AU329" i="5" s="1"/>
  <c r="HN329" i="15"/>
  <c r="GL329" i="15"/>
  <c r="GN329" i="15"/>
  <c r="AK329" i="5"/>
  <c r="AW329" i="5" s="1"/>
  <c r="HP329" i="15"/>
  <c r="GM330" i="15"/>
  <c r="AJ330" i="5"/>
  <c r="AV330" i="5" s="1"/>
  <c r="HO330" i="15"/>
  <c r="GN331" i="15"/>
  <c r="AK331" i="5"/>
  <c r="AW331" i="5" s="1"/>
  <c r="HP331" i="15"/>
  <c r="GN335" i="15"/>
  <c r="HP335" i="15"/>
  <c r="IC335" i="15" s="1"/>
  <c r="AK335" i="5"/>
  <c r="AW335" i="5" s="1"/>
  <c r="GM340" i="15"/>
  <c r="AJ340" i="5"/>
  <c r="AV340" i="5" s="1"/>
  <c r="HO340" i="15"/>
  <c r="AI341" i="5"/>
  <c r="AU341" i="5" s="1"/>
  <c r="HN341" i="15"/>
  <c r="GL341" i="15"/>
  <c r="GN341" i="15"/>
  <c r="HP341" i="15"/>
  <c r="AK341" i="5"/>
  <c r="AW341" i="5" s="1"/>
  <c r="GM342" i="15"/>
  <c r="HO342" i="15"/>
  <c r="AJ342" i="5"/>
  <c r="AV342" i="5" s="1"/>
  <c r="GN343" i="15"/>
  <c r="HP343" i="15"/>
  <c r="AK343" i="5"/>
  <c r="AW343" i="5" s="1"/>
  <c r="GM348" i="15"/>
  <c r="AJ348" i="5"/>
  <c r="AV348" i="5" s="1"/>
  <c r="HO348" i="15"/>
  <c r="GL349" i="15"/>
  <c r="HN349" i="15"/>
  <c r="AI349" i="5"/>
  <c r="AU349" i="5" s="1"/>
  <c r="GN349" i="15"/>
  <c r="AK349" i="5"/>
  <c r="AW349" i="5" s="1"/>
  <c r="HP349" i="15"/>
  <c r="HU331" i="15"/>
  <c r="HR331" i="15"/>
  <c r="HJ331" i="15" s="1"/>
  <c r="HX331" i="15" s="1"/>
  <c r="HU323" i="15"/>
  <c r="HU307" i="15"/>
  <c r="HR307" i="15"/>
  <c r="HJ307" i="15" s="1"/>
  <c r="HX307" i="15" s="1"/>
  <c r="HU299" i="15"/>
  <c r="HU291" i="15"/>
  <c r="HR291" i="15"/>
  <c r="HJ291" i="15" s="1"/>
  <c r="HX291" i="15" s="1"/>
  <c r="HU235" i="15"/>
  <c r="HR235" i="15"/>
  <c r="HJ235" i="15" s="1"/>
  <c r="HX235" i="15" s="1"/>
  <c r="HU227" i="15"/>
  <c r="HU203" i="15"/>
  <c r="HR203" i="15"/>
  <c r="HJ203" i="15" s="1"/>
  <c r="HX203" i="15" s="1"/>
  <c r="HQ100" i="15"/>
  <c r="HI100" i="15" s="1"/>
  <c r="HW100" i="15" s="1"/>
  <c r="ID100" i="15"/>
  <c r="HT100" i="15"/>
  <c r="HV342" i="15"/>
  <c r="HS342" i="15"/>
  <c r="HK342" i="15" s="1"/>
  <c r="HY342" i="15" s="1"/>
  <c r="HS262" i="15"/>
  <c r="HK262" i="15" s="1"/>
  <c r="HY262" i="15" s="1"/>
  <c r="HV262" i="15"/>
  <c r="HS246" i="15"/>
  <c r="HK246" i="15" s="1"/>
  <c r="HY246" i="15" s="1"/>
  <c r="HV246" i="15"/>
  <c r="AM57" i="5"/>
  <c r="AV57" i="5" s="1"/>
  <c r="HN55" i="15"/>
  <c r="AW255" i="5"/>
  <c r="AV328" i="5"/>
  <c r="AU38" i="5"/>
  <c r="HO36" i="15"/>
  <c r="HR36" i="15" s="1"/>
  <c r="HP35" i="15"/>
  <c r="HP47" i="15"/>
  <c r="HS47" i="15" s="1"/>
  <c r="AJ38" i="5"/>
  <c r="AV38" i="5" s="1"/>
  <c r="AW67" i="5"/>
  <c r="GN78" i="15"/>
  <c r="HO70" i="15"/>
  <c r="AV52" i="5"/>
  <c r="IE144" i="15"/>
  <c r="IF144" i="15"/>
  <c r="HT176" i="15"/>
  <c r="IA176" i="15"/>
  <c r="IC200" i="15"/>
  <c r="HN44" i="15"/>
  <c r="IA144" i="15"/>
  <c r="HQ176" i="15"/>
  <c r="HI176" i="15" s="1"/>
  <c r="HW176" i="15" s="1"/>
  <c r="IE158" i="15"/>
  <c r="IF158" i="15"/>
  <c r="IC192" i="15"/>
  <c r="ID224" i="15"/>
  <c r="IA224" i="15"/>
  <c r="ID220" i="15"/>
  <c r="HO40" i="15"/>
  <c r="BG40" i="15" s="1"/>
  <c r="H13" i="93"/>
  <c r="J29" i="93"/>
  <c r="IC144" i="15"/>
  <c r="IE224" i="15"/>
  <c r="IF112" i="15"/>
  <c r="HN68" i="15"/>
  <c r="HQ68" i="15" s="1"/>
  <c r="HO96" i="15"/>
  <c r="HR96" i="15" s="1"/>
  <c r="HO108" i="15"/>
  <c r="HR108" i="15" s="1"/>
  <c r="HO122" i="15"/>
  <c r="HR122" i="15" s="1"/>
  <c r="HO88" i="15"/>
  <c r="HR88" i="15" s="1"/>
  <c r="HO106" i="15"/>
  <c r="HU106" i="15" s="1"/>
  <c r="HO114" i="15"/>
  <c r="HO126" i="15"/>
  <c r="HR126" i="15" s="1"/>
  <c r="IF80" i="15"/>
  <c r="HJ63" i="15"/>
  <c r="ID158" i="15"/>
  <c r="IF192" i="15"/>
  <c r="HT152" i="15"/>
  <c r="IE184" i="15"/>
  <c r="HQ224" i="15"/>
  <c r="HI224" i="15" s="1"/>
  <c r="HW224" i="15" s="1"/>
  <c r="IA152" i="15"/>
  <c r="HQ184" i="15"/>
  <c r="HI184" i="15" s="1"/>
  <c r="HW184" i="15" s="1"/>
  <c r="AJ48" i="5"/>
  <c r="AV48" i="5" s="1"/>
  <c r="AI85" i="5"/>
  <c r="AU85" i="5" s="1"/>
  <c r="AX85" i="5" s="1"/>
  <c r="AZ85" i="5" s="1"/>
  <c r="AS85" i="73" s="1"/>
  <c r="AU48" i="5"/>
  <c r="AY48" i="5" s="1"/>
  <c r="HN103" i="15"/>
  <c r="HT103" i="15" s="1"/>
  <c r="HT179" i="15"/>
  <c r="IF179" i="15"/>
  <c r="HT163" i="15"/>
  <c r="IF163" i="15"/>
  <c r="ID151" i="15"/>
  <c r="IE146" i="15"/>
  <c r="HV233" i="15"/>
  <c r="HV229" i="15"/>
  <c r="IF84" i="15"/>
  <c r="HQ84" i="15"/>
  <c r="HI84" i="15" s="1"/>
  <c r="HW84" i="15" s="1"/>
  <c r="HU183" i="15"/>
  <c r="HO44" i="15"/>
  <c r="BG44" i="15" s="1"/>
  <c r="AW47" i="5"/>
  <c r="AU67" i="5"/>
  <c r="AY67" i="5" s="1"/>
  <c r="IC274" i="15"/>
  <c r="HO78" i="15"/>
  <c r="BG78" i="15" s="1"/>
  <c r="AV78" i="5"/>
  <c r="AY78" i="5" s="1"/>
  <c r="HT208" i="15"/>
  <c r="IA248" i="15"/>
  <c r="HQ264" i="15"/>
  <c r="HI264" i="15" s="1"/>
  <c r="HW264" i="15" s="1"/>
  <c r="IE312" i="15"/>
  <c r="ID320" i="15"/>
  <c r="HP101" i="15"/>
  <c r="HS101" i="15" s="1"/>
  <c r="ID344" i="15"/>
  <c r="HT320" i="15"/>
  <c r="IA312" i="15"/>
  <c r="ID296" i="15"/>
  <c r="IE296" i="15"/>
  <c r="IC264" i="15"/>
  <c r="HQ248" i="15"/>
  <c r="HI248" i="15" s="1"/>
  <c r="HW248" i="15" s="1"/>
  <c r="HT248" i="15"/>
  <c r="IE216" i="15"/>
  <c r="IC208" i="15"/>
  <c r="IB291" i="15"/>
  <c r="HT291" i="15"/>
  <c r="IC80" i="15"/>
  <c r="IE241" i="15"/>
  <c r="IE213" i="15"/>
  <c r="IE320" i="15"/>
  <c r="HU175" i="15"/>
  <c r="HV201" i="15"/>
  <c r="HS197" i="15"/>
  <c r="HK197" i="15" s="1"/>
  <c r="HY197" i="15" s="1"/>
  <c r="HP291" i="15"/>
  <c r="IC291" i="15" s="1"/>
  <c r="HP297" i="15"/>
  <c r="HV297" i="15" s="1"/>
  <c r="HR191" i="15"/>
  <c r="HJ191" i="15" s="1"/>
  <c r="HX191" i="15" s="1"/>
  <c r="HT241" i="15"/>
  <c r="HN295" i="15"/>
  <c r="IE295" i="15" s="1"/>
  <c r="HN311" i="15"/>
  <c r="IC311" i="15" s="1"/>
  <c r="HN327" i="15"/>
  <c r="IC327" i="15" s="1"/>
  <c r="HN343" i="15"/>
  <c r="IB343" i="15" s="1"/>
  <c r="ID184" i="15"/>
  <c r="ID288" i="15"/>
  <c r="AU81" i="5"/>
  <c r="AX81" i="5" s="1"/>
  <c r="AZ81" i="5" s="1"/>
  <c r="AS81" i="73" s="1"/>
  <c r="IA179" i="15"/>
  <c r="IA163" i="15"/>
  <c r="ID146" i="15"/>
  <c r="IE203" i="15"/>
  <c r="IF203" i="15"/>
  <c r="ID235" i="15"/>
  <c r="HT251" i="15"/>
  <c r="IF267" i="15"/>
  <c r="ID283" i="15"/>
  <c r="IE283" i="15"/>
  <c r="HO128" i="15"/>
  <c r="HO130" i="15"/>
  <c r="HO132" i="15"/>
  <c r="HO134" i="15"/>
  <c r="IB134" i="15" s="1"/>
  <c r="HO136" i="15"/>
  <c r="IB136" i="15" s="1"/>
  <c r="HO138" i="15"/>
  <c r="IB138" i="15" s="1"/>
  <c r="HO140" i="15"/>
  <c r="IB140" i="15" s="1"/>
  <c r="HO142" i="15"/>
  <c r="IB142" i="15" s="1"/>
  <c r="HO144" i="15"/>
  <c r="IB144" i="15" s="1"/>
  <c r="HO146" i="15"/>
  <c r="HO148" i="15"/>
  <c r="HO150" i="15"/>
  <c r="HR150" i="15" s="1"/>
  <c r="HJ150" i="15" s="1"/>
  <c r="HX150" i="15" s="1"/>
  <c r="HO152" i="15"/>
  <c r="IB152" i="15" s="1"/>
  <c r="HO154" i="15"/>
  <c r="IB154" i="15" s="1"/>
  <c r="HO156" i="15"/>
  <c r="IB156" i="15" s="1"/>
  <c r="HO158" i="15"/>
  <c r="IB158" i="15" s="1"/>
  <c r="HO160" i="15"/>
  <c r="HO162" i="15"/>
  <c r="HO164" i="15"/>
  <c r="HR164" i="15" s="1"/>
  <c r="HJ164" i="15" s="1"/>
  <c r="HX164" i="15" s="1"/>
  <c r="HO166" i="15"/>
  <c r="HU166" i="15" s="1"/>
  <c r="HO168" i="15"/>
  <c r="HO170" i="15"/>
  <c r="HU170" i="15" s="1"/>
  <c r="HO172" i="15"/>
  <c r="HU172" i="15" s="1"/>
  <c r="HO174" i="15"/>
  <c r="IB174" i="15" s="1"/>
  <c r="HR263" i="15"/>
  <c r="HJ263" i="15" s="1"/>
  <c r="HX263" i="15" s="1"/>
  <c r="HU85" i="15"/>
  <c r="AP67" i="65"/>
  <c r="IB251" i="15"/>
  <c r="HR55" i="15"/>
  <c r="HJ55" i="15" s="1"/>
  <c r="IE179" i="15"/>
  <c r="IA151" i="15"/>
  <c r="HN307" i="15"/>
  <c r="IB307" i="15" s="1"/>
  <c r="HN339" i="15"/>
  <c r="HT339" i="15" s="1"/>
  <c r="IA203" i="15"/>
  <c r="IB235" i="15"/>
  <c r="IE267" i="15"/>
  <c r="AY278" i="5"/>
  <c r="HO100" i="15"/>
  <c r="HR100" i="15" s="1"/>
  <c r="HJ100" i="15" s="1"/>
  <c r="HX100" i="15" s="1"/>
  <c r="IE264" i="15"/>
  <c r="IE191" i="15"/>
  <c r="IF191" i="15"/>
  <c r="IC207" i="15"/>
  <c r="IF223" i="15"/>
  <c r="IA239" i="15"/>
  <c r="HT255" i="15"/>
  <c r="HT271" i="15"/>
  <c r="IB287" i="15"/>
  <c r="HS274" i="15"/>
  <c r="HK274" i="15" s="1"/>
  <c r="HY274" i="15" s="1"/>
  <c r="HT88" i="15"/>
  <c r="HT296" i="15"/>
  <c r="IB191" i="15"/>
  <c r="IC191" i="15"/>
  <c r="IF255" i="15"/>
  <c r="AY263" i="5"/>
  <c r="ID191" i="15"/>
  <c r="HT223" i="15"/>
  <c r="IE255" i="15"/>
  <c r="IE287" i="15"/>
  <c r="IB203" i="15"/>
  <c r="IF219" i="15"/>
  <c r="HT283" i="15"/>
  <c r="IB223" i="15"/>
  <c r="ID271" i="15"/>
  <c r="HQ207" i="15"/>
  <c r="HI207" i="15" s="1"/>
  <c r="HW207" i="15" s="1"/>
  <c r="HO82" i="15"/>
  <c r="HT80" i="15"/>
  <c r="HO124" i="15"/>
  <c r="AM62" i="5"/>
  <c r="AV62" i="5" s="1"/>
  <c r="HV127" i="15"/>
  <c r="IC84" i="15"/>
  <c r="AJ86" i="5"/>
  <c r="AV86" i="5" s="1"/>
  <c r="GM118" i="15"/>
  <c r="HO94" i="15"/>
  <c r="GM102" i="15"/>
  <c r="AK115" i="5"/>
  <c r="AW115" i="5" s="1"/>
  <c r="IA84" i="15"/>
  <c r="HS213" i="15"/>
  <c r="HK213" i="15" s="1"/>
  <c r="HY213" i="15" s="1"/>
  <c r="HN299" i="15"/>
  <c r="IA235" i="15"/>
  <c r="HN65" i="15"/>
  <c r="HP97" i="15"/>
  <c r="HS97" i="15" s="1"/>
  <c r="HP87" i="15"/>
  <c r="HO48" i="15"/>
  <c r="HP61" i="15"/>
  <c r="HS61" i="15" s="1"/>
  <c r="AN83" i="5"/>
  <c r="AW83" i="5" s="1"/>
  <c r="HO66" i="15"/>
  <c r="GN93" i="15"/>
  <c r="HN217" i="15"/>
  <c r="GL151" i="15"/>
  <c r="GL159" i="15"/>
  <c r="HN167" i="15"/>
  <c r="HN171" i="15"/>
  <c r="IB171" i="15" s="1"/>
  <c r="HN175" i="15"/>
  <c r="IB175" i="15" s="1"/>
  <c r="HN183" i="15"/>
  <c r="IC183" i="15" s="1"/>
  <c r="HN187" i="15"/>
  <c r="GL191" i="15"/>
  <c r="HN195" i="15"/>
  <c r="HN199" i="15"/>
  <c r="GL207" i="15"/>
  <c r="HN211" i="15"/>
  <c r="HN215" i="15"/>
  <c r="AU219" i="5"/>
  <c r="AX219" i="5" s="1"/>
  <c r="AZ219" i="5" s="1"/>
  <c r="AS219" i="73" s="1"/>
  <c r="GL223" i="15"/>
  <c r="HN227" i="15"/>
  <c r="HN231" i="15"/>
  <c r="GL239" i="15"/>
  <c r="HN243" i="15"/>
  <c r="HN247" i="15"/>
  <c r="AU251" i="5"/>
  <c r="GL255" i="15"/>
  <c r="HN263" i="15"/>
  <c r="AU271" i="5"/>
  <c r="HN279" i="15"/>
  <c r="AU287" i="5"/>
  <c r="AU295" i="5"/>
  <c r="HN315" i="15"/>
  <c r="HT315" i="15" s="1"/>
  <c r="AU319" i="5"/>
  <c r="AU327" i="5"/>
  <c r="AX327" i="5" s="1"/>
  <c r="AZ327" i="5" s="1"/>
  <c r="AS327" i="73" s="1"/>
  <c r="HN347" i="15"/>
  <c r="HS207" i="15"/>
  <c r="HK207" i="15" s="1"/>
  <c r="HY207" i="15" s="1"/>
  <c r="HS313" i="15"/>
  <c r="HK313" i="15" s="1"/>
  <c r="HY313" i="15" s="1"/>
  <c r="HV309" i="15"/>
  <c r="HP301" i="15"/>
  <c r="HP305" i="15"/>
  <c r="HP317" i="15"/>
  <c r="HP319" i="15"/>
  <c r="IC319" i="15" s="1"/>
  <c r="HP321" i="15"/>
  <c r="HO272" i="15"/>
  <c r="IB272" i="15" s="1"/>
  <c r="HO274" i="15"/>
  <c r="HO276" i="15"/>
  <c r="HO278" i="15"/>
  <c r="HO280" i="15"/>
  <c r="IB280" i="15" s="1"/>
  <c r="HO282" i="15"/>
  <c r="IB282" i="15" s="1"/>
  <c r="HO284" i="15"/>
  <c r="HO286" i="15"/>
  <c r="HO288" i="15"/>
  <c r="HO290" i="15"/>
  <c r="HO292" i="15"/>
  <c r="HU292" i="15" s="1"/>
  <c r="HO296" i="15"/>
  <c r="IB296" i="15" s="1"/>
  <c r="HO298" i="15"/>
  <c r="IB298" i="15" s="1"/>
  <c r="HO300" i="15"/>
  <c r="HU300" i="15" s="1"/>
  <c r="HO304" i="15"/>
  <c r="HO312" i="15"/>
  <c r="HO320" i="15"/>
  <c r="HU320" i="15" s="1"/>
  <c r="HV338" i="15"/>
  <c r="HP67" i="15"/>
  <c r="HS67" i="15" s="1"/>
  <c r="HK67" i="15" s="1"/>
  <c r="HN87" i="15"/>
  <c r="IC346" i="15"/>
  <c r="AV82" i="5"/>
  <c r="HO84" i="15"/>
  <c r="HN85" i="15"/>
  <c r="AW87" i="5"/>
  <c r="AV138" i="5"/>
  <c r="AV158" i="5"/>
  <c r="HP63" i="15"/>
  <c r="HS63" i="15" s="1"/>
  <c r="HK63" i="15" s="1"/>
  <c r="HN67" i="15"/>
  <c r="AV200" i="5"/>
  <c r="AV234" i="5"/>
  <c r="AW241" i="5"/>
  <c r="AW243" i="5"/>
  <c r="AV250" i="5"/>
  <c r="AV260" i="5"/>
  <c r="AV276" i="5"/>
  <c r="AV338" i="5"/>
  <c r="AU103" i="5"/>
  <c r="AX87" i="5"/>
  <c r="AZ87" i="5" s="1"/>
  <c r="AS87" i="73" s="1"/>
  <c r="HU271" i="15"/>
  <c r="HR271" i="15"/>
  <c r="HJ271" i="15" s="1"/>
  <c r="HX271" i="15" s="1"/>
  <c r="HU273" i="15"/>
  <c r="HR273" i="15"/>
  <c r="HJ273" i="15" s="1"/>
  <c r="HX273" i="15" s="1"/>
  <c r="HU275" i="15"/>
  <c r="HU277" i="15"/>
  <c r="HR277" i="15"/>
  <c r="HJ277" i="15" s="1"/>
  <c r="HX277" i="15" s="1"/>
  <c r="HU279" i="15"/>
  <c r="HR279" i="15"/>
  <c r="HJ279" i="15" s="1"/>
  <c r="HX279" i="15" s="1"/>
  <c r="HU281" i="15"/>
  <c r="HR281" i="15"/>
  <c r="HJ281" i="15" s="1"/>
  <c r="HX281" i="15" s="1"/>
  <c r="HU283" i="15"/>
  <c r="HU285" i="15"/>
  <c r="HU287" i="15"/>
  <c r="HR287" i="15"/>
  <c r="HJ287" i="15" s="1"/>
  <c r="HX287" i="15" s="1"/>
  <c r="HU289" i="15"/>
  <c r="HR289" i="15"/>
  <c r="HJ289" i="15" s="1"/>
  <c r="HX289" i="15" s="1"/>
  <c r="HU293" i="15"/>
  <c r="HU295" i="15"/>
  <c r="HR295" i="15"/>
  <c r="HJ295" i="15" s="1"/>
  <c r="HX295" i="15" s="1"/>
  <c r="HR297" i="15"/>
  <c r="HJ297" i="15" s="1"/>
  <c r="HX297" i="15" s="1"/>
  <c r="HU297" i="15"/>
  <c r="HU301" i="15"/>
  <c r="HR301" i="15"/>
  <c r="HJ301" i="15" s="1"/>
  <c r="HX301" i="15" s="1"/>
  <c r="HU303" i="15"/>
  <c r="HU309" i="15"/>
  <c r="HR309" i="15"/>
  <c r="HJ309" i="15" s="1"/>
  <c r="HX309" i="15" s="1"/>
  <c r="HU311" i="15"/>
  <c r="HU317" i="15"/>
  <c r="HR317" i="15"/>
  <c r="HJ317" i="15" s="1"/>
  <c r="HX317" i="15" s="1"/>
  <c r="HU319" i="15"/>
  <c r="HR319" i="15"/>
  <c r="HJ319" i="15" s="1"/>
  <c r="HX319" i="15" s="1"/>
  <c r="HU325" i="15"/>
  <c r="IB325" i="15"/>
  <c r="HS298" i="15"/>
  <c r="HK298" i="15" s="1"/>
  <c r="HY298" i="15" s="1"/>
  <c r="HS310" i="15"/>
  <c r="HK310" i="15" s="1"/>
  <c r="HY310" i="15" s="1"/>
  <c r="HV310" i="15"/>
  <c r="HV200" i="15"/>
  <c r="IC309" i="15"/>
  <c r="HV318" i="15"/>
  <c r="IC225" i="15"/>
  <c r="HV284" i="15"/>
  <c r="HS284" i="15"/>
  <c r="HK284" i="15" s="1"/>
  <c r="HY284" i="15" s="1"/>
  <c r="HS295" i="15"/>
  <c r="HK295" i="15" s="1"/>
  <c r="HY295" i="15" s="1"/>
  <c r="HV295" i="15"/>
  <c r="HV294" i="15"/>
  <c r="HS294" i="15"/>
  <c r="HK294" i="15" s="1"/>
  <c r="HY294" i="15" s="1"/>
  <c r="HU113" i="15"/>
  <c r="HS122" i="15"/>
  <c r="HV122" i="15"/>
  <c r="AY219" i="5"/>
  <c r="AX195" i="5"/>
  <c r="AZ195" i="5" s="1"/>
  <c r="AS195" i="73" s="1"/>
  <c r="AY195" i="5"/>
  <c r="AX211" i="5"/>
  <c r="AZ211" i="5" s="1"/>
  <c r="AS211" i="73" s="1"/>
  <c r="AY347" i="5"/>
  <c r="AI292" i="5"/>
  <c r="AU292" i="5" s="1"/>
  <c r="HN292" i="15"/>
  <c r="GL292" i="15"/>
  <c r="AI294" i="5"/>
  <c r="AU294" i="5" s="1"/>
  <c r="HN294" i="15"/>
  <c r="GL294" i="15"/>
  <c r="GL300" i="15"/>
  <c r="AI300" i="5"/>
  <c r="AU300" i="5" s="1"/>
  <c r="HN300" i="15"/>
  <c r="GL302" i="15"/>
  <c r="AI302" i="5"/>
  <c r="AU302" i="5" s="1"/>
  <c r="HN302" i="15"/>
  <c r="AI308" i="5"/>
  <c r="AU308" i="5" s="1"/>
  <c r="HN308" i="15"/>
  <c r="GL308" i="15"/>
  <c r="AI310" i="5"/>
  <c r="AU310" i="5" s="1"/>
  <c r="GL310" i="15"/>
  <c r="HN310" i="15"/>
  <c r="GL316" i="15"/>
  <c r="AI316" i="5"/>
  <c r="AU316" i="5" s="1"/>
  <c r="HN316" i="15"/>
  <c r="GL318" i="15"/>
  <c r="AI318" i="5"/>
  <c r="AU318" i="5" s="1"/>
  <c r="HN318" i="15"/>
  <c r="AI324" i="5"/>
  <c r="AU324" i="5" s="1"/>
  <c r="HN324" i="15"/>
  <c r="GL324" i="15"/>
  <c r="AI326" i="5"/>
  <c r="AU326" i="5" s="1"/>
  <c r="HN326" i="15"/>
  <c r="GL326" i="15"/>
  <c r="GL332" i="15"/>
  <c r="AI332" i="5"/>
  <c r="AU332" i="5" s="1"/>
  <c r="HN332" i="15"/>
  <c r="GL334" i="15"/>
  <c r="AI334" i="5"/>
  <c r="AU334" i="5" s="1"/>
  <c r="HN334" i="15"/>
  <c r="AI340" i="5"/>
  <c r="AU340" i="5" s="1"/>
  <c r="HN340" i="15"/>
  <c r="GL340" i="15"/>
  <c r="AI342" i="5"/>
  <c r="AU342" i="5" s="1"/>
  <c r="HN342" i="15"/>
  <c r="GL342" i="15"/>
  <c r="HN348" i="15"/>
  <c r="AI348" i="5"/>
  <c r="AU348" i="5" s="1"/>
  <c r="GL348" i="15"/>
  <c r="AX171" i="5"/>
  <c r="AZ171" i="5" s="1"/>
  <c r="AS171" i="73" s="1"/>
  <c r="AY171" i="5"/>
  <c r="AX180" i="5"/>
  <c r="AZ180" i="5" s="1"/>
  <c r="AS180" i="73" s="1"/>
  <c r="AY180" i="5"/>
  <c r="AX186" i="5"/>
  <c r="AZ186" i="5" s="1"/>
  <c r="AS186" i="73" s="1"/>
  <c r="AY186" i="5"/>
  <c r="AY204" i="5"/>
  <c r="AX204" i="5"/>
  <c r="AZ204" i="5" s="1"/>
  <c r="AS204" i="73" s="1"/>
  <c r="IF213" i="15"/>
  <c r="IB241" i="15"/>
  <c r="HQ241" i="15"/>
  <c r="HI241" i="15" s="1"/>
  <c r="HW241" i="15" s="1"/>
  <c r="AY170" i="5"/>
  <c r="AX187" i="5"/>
  <c r="AZ187" i="5" s="1"/>
  <c r="AS187" i="73" s="1"/>
  <c r="HP32" i="15"/>
  <c r="HS32" i="15" s="1"/>
  <c r="AK30" i="5"/>
  <c r="HV100" i="15"/>
  <c r="HS100" i="15"/>
  <c r="HK100" i="15" s="1"/>
  <c r="HY100" i="15" s="1"/>
  <c r="IC100" i="15"/>
  <c r="AL61" i="5"/>
  <c r="AU61" i="5" s="1"/>
  <c r="HN61" i="15"/>
  <c r="HQ61" i="15" s="1"/>
  <c r="IF53" i="15"/>
  <c r="I12" i="93"/>
  <c r="ID72" i="15"/>
  <c r="AM49" i="5"/>
  <c r="AV49" i="5" s="1"/>
  <c r="HO61" i="15"/>
  <c r="AM61" i="5"/>
  <c r="AV61" i="5" s="1"/>
  <c r="IC124" i="15"/>
  <c r="HV124" i="15"/>
  <c r="HS124" i="15"/>
  <c r="HK124" i="15" s="1"/>
  <c r="HY124" i="15" s="1"/>
  <c r="HS108" i="15"/>
  <c r="HV108" i="15"/>
  <c r="AK27" i="5"/>
  <c r="AW27" i="5" s="1"/>
  <c r="HV84" i="15"/>
  <c r="HS84" i="15"/>
  <c r="HK84" i="15" s="1"/>
  <c r="HY84" i="15" s="1"/>
  <c r="HV118" i="15"/>
  <c r="HS118" i="15"/>
  <c r="HK118" i="15" s="1"/>
  <c r="HY118" i="15" s="1"/>
  <c r="AY63" i="5"/>
  <c r="AX323" i="5"/>
  <c r="AZ323" i="5" s="1"/>
  <c r="AS323" i="73" s="1"/>
  <c r="HR117" i="15"/>
  <c r="HJ117" i="15" s="1"/>
  <c r="HX117" i="15" s="1"/>
  <c r="HU117" i="15"/>
  <c r="HU165" i="15"/>
  <c r="HR153" i="15"/>
  <c r="HJ153" i="15" s="1"/>
  <c r="HX153" i="15" s="1"/>
  <c r="HU139" i="15"/>
  <c r="HR127" i="15"/>
  <c r="HJ127" i="15" s="1"/>
  <c r="HX127" i="15" s="1"/>
  <c r="HS99" i="15"/>
  <c r="HR65" i="15"/>
  <c r="BG65" i="15"/>
  <c r="HR98" i="15"/>
  <c r="HJ98" i="15" s="1"/>
  <c r="HX98" i="15" s="1"/>
  <c r="IB98" i="15"/>
  <c r="I84" i="5"/>
  <c r="IC65" i="15"/>
  <c r="HS65" i="15"/>
  <c r="IB65" i="15"/>
  <c r="HV104" i="15"/>
  <c r="HS104" i="15"/>
  <c r="ID291" i="15"/>
  <c r="HV92" i="15"/>
  <c r="HS92" i="15"/>
  <c r="HR110" i="15"/>
  <c r="HJ110" i="15" s="1"/>
  <c r="HX110" i="15" s="1"/>
  <c r="HU110" i="15"/>
  <c r="J79" i="5"/>
  <c r="AT79" i="73" s="1"/>
  <c r="HU156" i="15"/>
  <c r="IB153" i="15"/>
  <c r="HU112" i="15"/>
  <c r="HU129" i="15"/>
  <c r="HR129" i="15"/>
  <c r="HJ129" i="15" s="1"/>
  <c r="HX129" i="15" s="1"/>
  <c r="HR131" i="15"/>
  <c r="HJ131" i="15" s="1"/>
  <c r="HX131" i="15" s="1"/>
  <c r="HU131" i="15"/>
  <c r="HU133" i="15"/>
  <c r="HR133" i="15"/>
  <c r="HJ133" i="15" s="1"/>
  <c r="HX133" i="15" s="1"/>
  <c r="HU141" i="15"/>
  <c r="HU145" i="15"/>
  <c r="HR145" i="15"/>
  <c r="HJ145" i="15" s="1"/>
  <c r="HX145" i="15" s="1"/>
  <c r="HR147" i="15"/>
  <c r="HJ147" i="15" s="1"/>
  <c r="HX147" i="15" s="1"/>
  <c r="HU147" i="15"/>
  <c r="IB147" i="15"/>
  <c r="HU149" i="15"/>
  <c r="HR149" i="15"/>
  <c r="HJ149" i="15" s="1"/>
  <c r="HX149" i="15" s="1"/>
  <c r="HR151" i="15"/>
  <c r="HJ151" i="15" s="1"/>
  <c r="HX151" i="15" s="1"/>
  <c r="HR155" i="15"/>
  <c r="HJ155" i="15" s="1"/>
  <c r="HX155" i="15" s="1"/>
  <c r="IB155" i="15"/>
  <c r="HU157" i="15"/>
  <c r="IB159" i="15"/>
  <c r="HU161" i="15"/>
  <c r="HR161" i="15"/>
  <c r="HJ161" i="15" s="1"/>
  <c r="HX161" i="15" s="1"/>
  <c r="HU163" i="15"/>
  <c r="IB163" i="15"/>
  <c r="IB167" i="15"/>
  <c r="HR171" i="15"/>
  <c r="HJ171" i="15" s="1"/>
  <c r="HX171" i="15" s="1"/>
  <c r="HU171" i="15"/>
  <c r="HR173" i="15"/>
  <c r="HJ173" i="15" s="1"/>
  <c r="HX173" i="15" s="1"/>
  <c r="IB169" i="15"/>
  <c r="AX132" i="5"/>
  <c r="AZ132" i="5" s="1"/>
  <c r="AS132" i="73" s="1"/>
  <c r="AY132" i="5"/>
  <c r="IB131" i="15"/>
  <c r="HQ135" i="15"/>
  <c r="HI135" i="15" s="1"/>
  <c r="HW135" i="15" s="1"/>
  <c r="IB135" i="15"/>
  <c r="IB139" i="15"/>
  <c r="HQ143" i="15"/>
  <c r="HI143" i="15" s="1"/>
  <c r="HW143" i="15" s="1"/>
  <c r="IB143" i="15"/>
  <c r="AY130" i="5"/>
  <c r="AX130" i="5"/>
  <c r="AZ130" i="5" s="1"/>
  <c r="AS130" i="73" s="1"/>
  <c r="HQ132" i="15"/>
  <c r="HI132" i="15" s="1"/>
  <c r="HW132" i="15" s="1"/>
  <c r="ID132" i="15"/>
  <c r="HT132" i="15"/>
  <c r="IF132" i="15"/>
  <c r="HT138" i="15"/>
  <c r="IF138" i="15"/>
  <c r="HQ138" i="15"/>
  <c r="HI138" i="15" s="1"/>
  <c r="HW138" i="15" s="1"/>
  <c r="ID138" i="15"/>
  <c r="HQ140" i="15"/>
  <c r="HI140" i="15" s="1"/>
  <c r="HW140" i="15" s="1"/>
  <c r="ID140" i="15"/>
  <c r="HT140" i="15"/>
  <c r="IF140" i="15"/>
  <c r="GM50" i="15"/>
  <c r="AJ50" i="5"/>
  <c r="HS290" i="15"/>
  <c r="HK290" i="15" s="1"/>
  <c r="HY290" i="15" s="1"/>
  <c r="HV290" i="15"/>
  <c r="HS300" i="15"/>
  <c r="HK300" i="15" s="1"/>
  <c r="HY300" i="15" s="1"/>
  <c r="HV300" i="15"/>
  <c r="HS303" i="15"/>
  <c r="HK303" i="15" s="1"/>
  <c r="HY303" i="15" s="1"/>
  <c r="HV303" i="15"/>
  <c r="IB303" i="15"/>
  <c r="HT303" i="15"/>
  <c r="IF303" i="15"/>
  <c r="IA303" i="15"/>
  <c r="IC303" i="15"/>
  <c r="ID303" i="15"/>
  <c r="HQ303" i="15"/>
  <c r="HI303" i="15" s="1"/>
  <c r="HW303" i="15" s="1"/>
  <c r="IE303" i="15"/>
  <c r="IB319" i="15"/>
  <c r="HT319" i="15"/>
  <c r="IF319" i="15"/>
  <c r="IA319" i="15"/>
  <c r="ID319" i="15"/>
  <c r="HQ319" i="15"/>
  <c r="HI319" i="15" s="1"/>
  <c r="HW319" i="15" s="1"/>
  <c r="IE319" i="15"/>
  <c r="HT335" i="15"/>
  <c r="IF335" i="15"/>
  <c r="HQ335" i="15"/>
  <c r="HI335" i="15" s="1"/>
  <c r="HW335" i="15" s="1"/>
  <c r="IA335" i="15"/>
  <c r="IB335" i="15"/>
  <c r="ID335" i="15"/>
  <c r="IE335" i="15"/>
  <c r="HS302" i="15"/>
  <c r="HK302" i="15" s="1"/>
  <c r="HY302" i="15" s="1"/>
  <c r="HV302" i="15"/>
  <c r="IB295" i="15"/>
  <c r="HT311" i="15"/>
  <c r="IB311" i="15"/>
  <c r="IA327" i="15"/>
  <c r="ID343" i="15"/>
  <c r="HT343" i="15"/>
  <c r="HT130" i="15"/>
  <c r="IF130" i="15"/>
  <c r="HQ130" i="15"/>
  <c r="HI130" i="15" s="1"/>
  <c r="HW130" i="15" s="1"/>
  <c r="ID130" i="15"/>
  <c r="HS165" i="15"/>
  <c r="HK165" i="15" s="1"/>
  <c r="HY165" i="15" s="1"/>
  <c r="HV165" i="15"/>
  <c r="HV167" i="15"/>
  <c r="HS167" i="15"/>
  <c r="HK167" i="15" s="1"/>
  <c r="HY167" i="15" s="1"/>
  <c r="IC167" i="15"/>
  <c r="HV169" i="15"/>
  <c r="HS169" i="15"/>
  <c r="HK169" i="15" s="1"/>
  <c r="HY169" i="15" s="1"/>
  <c r="HS173" i="15"/>
  <c r="HK173" i="15" s="1"/>
  <c r="HY173" i="15" s="1"/>
  <c r="HV175" i="15"/>
  <c r="IC175" i="15"/>
  <c r="HS175" i="15"/>
  <c r="HK175" i="15" s="1"/>
  <c r="HY175" i="15" s="1"/>
  <c r="HS177" i="15"/>
  <c r="HK177" i="15" s="1"/>
  <c r="HY177" i="15" s="1"/>
  <c r="HS179" i="15"/>
  <c r="HK179" i="15" s="1"/>
  <c r="HY179" i="15" s="1"/>
  <c r="HV179" i="15"/>
  <c r="HS181" i="15"/>
  <c r="HK181" i="15" s="1"/>
  <c r="HY181" i="15" s="1"/>
  <c r="HV181" i="15"/>
  <c r="HV183" i="15"/>
  <c r="HS183" i="15"/>
  <c r="HK183" i="15" s="1"/>
  <c r="HY183" i="15" s="1"/>
  <c r="HS164" i="15"/>
  <c r="HK164" i="15" s="1"/>
  <c r="HY164" i="15" s="1"/>
  <c r="HV164" i="15"/>
  <c r="HV166" i="15"/>
  <c r="HV168" i="15"/>
  <c r="HS168" i="15"/>
  <c r="HK168" i="15" s="1"/>
  <c r="HY168" i="15" s="1"/>
  <c r="HV170" i="15"/>
  <c r="HS170" i="15"/>
  <c r="HK170" i="15" s="1"/>
  <c r="HY170" i="15" s="1"/>
  <c r="HV172" i="15"/>
  <c r="HV174" i="15"/>
  <c r="HV176" i="15"/>
  <c r="HS176" i="15"/>
  <c r="HK176" i="15" s="1"/>
  <c r="HY176" i="15" s="1"/>
  <c r="HV178" i="15"/>
  <c r="HS178" i="15"/>
  <c r="HK178" i="15" s="1"/>
  <c r="HY178" i="15" s="1"/>
  <c r="HS180" i="15"/>
  <c r="HK180" i="15" s="1"/>
  <c r="HY180" i="15" s="1"/>
  <c r="HV180" i="15"/>
  <c r="HV182" i="15"/>
  <c r="HV184" i="15"/>
  <c r="HS184" i="15"/>
  <c r="HK184" i="15" s="1"/>
  <c r="HY184" i="15" s="1"/>
  <c r="HV120" i="15"/>
  <c r="HS120" i="15"/>
  <c r="HK120" i="15" s="1"/>
  <c r="HY120" i="15" s="1"/>
  <c r="HS98" i="15"/>
  <c r="HK98" i="15" s="1"/>
  <c r="HY98" i="15" s="1"/>
  <c r="HV98" i="15"/>
  <c r="IC98" i="15"/>
  <c r="HV111" i="15"/>
  <c r="HS111" i="15"/>
  <c r="HS126" i="15"/>
  <c r="H40" i="93"/>
  <c r="I40" i="93"/>
  <c r="HN27" i="15"/>
  <c r="H42" i="5"/>
  <c r="AL42" i="65" s="1"/>
  <c r="GK42" i="15"/>
  <c r="GM24" i="15"/>
  <c r="AJ24" i="5"/>
  <c r="AV24" i="5" s="1"/>
  <c r="HV94" i="15"/>
  <c r="HS102" i="15"/>
  <c r="HK102" i="15" s="1"/>
  <c r="HY102" i="15" s="1"/>
  <c r="HV102" i="15"/>
  <c r="HS114" i="15"/>
  <c r="HV114" i="15"/>
  <c r="AY124" i="5"/>
  <c r="AX124" i="5"/>
  <c r="AZ124" i="5" s="1"/>
  <c r="AS124" i="73" s="1"/>
  <c r="AM59" i="5"/>
  <c r="HV68" i="15"/>
  <c r="AU71" i="5"/>
  <c r="AX71" i="5" s="1"/>
  <c r="AZ71" i="5" s="1"/>
  <c r="AS71" i="73" s="1"/>
  <c r="IF78" i="15"/>
  <c r="ID78" i="15"/>
  <c r="AO78" i="65"/>
  <c r="IA78" i="15"/>
  <c r="IE78" i="15"/>
  <c r="GN64" i="15"/>
  <c r="AK64" i="5"/>
  <c r="GL31" i="15"/>
  <c r="AI31" i="5"/>
  <c r="AU31" i="5" s="1"/>
  <c r="GL29" i="15"/>
  <c r="AI29" i="5"/>
  <c r="AU29" i="5" s="1"/>
  <c r="GL28" i="15"/>
  <c r="AI28" i="5"/>
  <c r="GM71" i="15"/>
  <c r="AJ71" i="5"/>
  <c r="AV71" i="5" s="1"/>
  <c r="HO71" i="15"/>
  <c r="GM57" i="15"/>
  <c r="GN62" i="15"/>
  <c r="AK62" i="5"/>
  <c r="AW62" i="5" s="1"/>
  <c r="AJ72" i="5"/>
  <c r="AV72" i="5" s="1"/>
  <c r="GM72" i="15"/>
  <c r="AJ74" i="5"/>
  <c r="GM74" i="15"/>
  <c r="AJ76" i="5"/>
  <c r="AV76" i="5" s="1"/>
  <c r="HO76" i="15"/>
  <c r="AN71" i="5"/>
  <c r="AW71" i="5" s="1"/>
  <c r="HP71" i="15"/>
  <c r="AL47" i="5"/>
  <c r="AU47" i="5" s="1"/>
  <c r="HN47" i="15"/>
  <c r="BF47" i="15" s="1"/>
  <c r="HO45" i="15"/>
  <c r="IA45" i="15" s="1"/>
  <c r="AM45" i="5"/>
  <c r="AV45" i="5" s="1"/>
  <c r="AX44" i="5"/>
  <c r="AZ44" i="5" s="1"/>
  <c r="AS44" i="73" s="1"/>
  <c r="AI30" i="5"/>
  <c r="GL30" i="15"/>
  <c r="GM56" i="15"/>
  <c r="AJ56" i="5"/>
  <c r="GN73" i="15"/>
  <c r="AK73" i="5"/>
  <c r="GN40" i="15"/>
  <c r="AK40" i="5"/>
  <c r="AW40" i="5" s="1"/>
  <c r="HP40" i="15"/>
  <c r="GN76" i="15"/>
  <c r="HP76" i="15"/>
  <c r="AK76" i="5"/>
  <c r="AW76" i="5" s="1"/>
  <c r="GM73" i="15"/>
  <c r="AJ73" i="5"/>
  <c r="AN34" i="5"/>
  <c r="AW34" i="5" s="1"/>
  <c r="BG53" i="15"/>
  <c r="HR53" i="15"/>
  <c r="J12" i="93"/>
  <c r="HN31" i="15"/>
  <c r="HN71" i="15"/>
  <c r="HQ71" i="15" s="1"/>
  <c r="HP62" i="15"/>
  <c r="HS162" i="15"/>
  <c r="HK162" i="15" s="1"/>
  <c r="HY162" i="15" s="1"/>
  <c r="HV162" i="15"/>
  <c r="HV163" i="15"/>
  <c r="HS163" i="15"/>
  <c r="HK163" i="15" s="1"/>
  <c r="HY163" i="15" s="1"/>
  <c r="IC163" i="15"/>
  <c r="HQ72" i="15"/>
  <c r="HV146" i="15"/>
  <c r="HS148" i="15"/>
  <c r="HK148" i="15" s="1"/>
  <c r="HY148" i="15" s="1"/>
  <c r="HV148" i="15"/>
  <c r="HS150" i="15"/>
  <c r="HK150" i="15" s="1"/>
  <c r="HY150" i="15" s="1"/>
  <c r="IC150" i="15"/>
  <c r="HV150" i="15"/>
  <c r="HV152" i="15"/>
  <c r="HS152" i="15"/>
  <c r="HK152" i="15" s="1"/>
  <c r="HY152" i="15" s="1"/>
  <c r="HS154" i="15"/>
  <c r="HK154" i="15" s="1"/>
  <c r="HY154" i="15" s="1"/>
  <c r="HS156" i="15"/>
  <c r="HK156" i="15" s="1"/>
  <c r="HY156" i="15" s="1"/>
  <c r="HV156" i="15"/>
  <c r="HS158" i="15"/>
  <c r="HK158" i="15" s="1"/>
  <c r="HY158" i="15" s="1"/>
  <c r="HV158" i="15"/>
  <c r="HV160" i="15"/>
  <c r="HS160" i="15"/>
  <c r="HK160" i="15" s="1"/>
  <c r="HY160" i="15" s="1"/>
  <c r="HV147" i="15"/>
  <c r="HS147" i="15"/>
  <c r="HK147" i="15" s="1"/>
  <c r="HY147" i="15" s="1"/>
  <c r="IC147" i="15"/>
  <c r="HV151" i="15"/>
  <c r="IC151" i="15"/>
  <c r="HS151" i="15"/>
  <c r="HK151" i="15" s="1"/>
  <c r="HY151" i="15" s="1"/>
  <c r="HS153" i="15"/>
  <c r="HK153" i="15" s="1"/>
  <c r="HY153" i="15" s="1"/>
  <c r="HV155" i="15"/>
  <c r="HS155" i="15"/>
  <c r="HK155" i="15" s="1"/>
  <c r="HY155" i="15" s="1"/>
  <c r="IC155" i="15"/>
  <c r="HV157" i="15"/>
  <c r="HV159" i="15"/>
  <c r="HS159" i="15"/>
  <c r="HK159" i="15" s="1"/>
  <c r="HY159" i="15" s="1"/>
  <c r="HV161" i="15"/>
  <c r="HS161" i="15"/>
  <c r="HK161" i="15" s="1"/>
  <c r="HY161" i="15" s="1"/>
  <c r="HV277" i="15"/>
  <c r="HS277" i="15"/>
  <c r="HK277" i="15" s="1"/>
  <c r="HY277" i="15" s="1"/>
  <c r="IC287" i="15"/>
  <c r="ID103" i="15"/>
  <c r="IA103" i="15"/>
  <c r="IE53" i="15"/>
  <c r="HN24" i="15"/>
  <c r="AL24" i="5"/>
  <c r="AU24" i="5" s="1"/>
  <c r="GM22" i="15"/>
  <c r="GN30" i="15"/>
  <c r="AJ30" i="5"/>
  <c r="AV30" i="5" s="1"/>
  <c r="HO29" i="15"/>
  <c r="BG29" i="15" s="1"/>
  <c r="GM28" i="15"/>
  <c r="AJ26" i="5"/>
  <c r="AV26" i="5" s="1"/>
  <c r="AX26" i="5" s="1"/>
  <c r="AZ26" i="5" s="1"/>
  <c r="AS26" i="73" s="1"/>
  <c r="HP25" i="15"/>
  <c r="HS25" i="15" s="1"/>
  <c r="AK25" i="5"/>
  <c r="AW25" i="5" s="1"/>
  <c r="GN25" i="15"/>
  <c r="HR24" i="15"/>
  <c r="BG24" i="15"/>
  <c r="GN26" i="15"/>
  <c r="HO28" i="15"/>
  <c r="HR28" i="15" s="1"/>
  <c r="GM26" i="15"/>
  <c r="AJ29" i="5"/>
  <c r="AW30" i="5"/>
  <c r="GN22" i="15"/>
  <c r="GN56" i="15"/>
  <c r="AK56" i="5"/>
  <c r="HQ116" i="15"/>
  <c r="HT116" i="15"/>
  <c r="AX116" i="5"/>
  <c r="AZ116" i="5" s="1"/>
  <c r="AS116" i="73" s="1"/>
  <c r="AY116" i="5"/>
  <c r="HQ119" i="15"/>
  <c r="HT119" i="15"/>
  <c r="GL114" i="15"/>
  <c r="AI114" i="5"/>
  <c r="AU114" i="5" s="1"/>
  <c r="HN114" i="15"/>
  <c r="AO114" i="65" s="1"/>
  <c r="HQ45" i="15"/>
  <c r="AI96" i="5"/>
  <c r="AU96" i="5" s="1"/>
  <c r="AX96" i="5" s="1"/>
  <c r="AZ96" i="5" s="1"/>
  <c r="AS96" i="73" s="1"/>
  <c r="HN96" i="15"/>
  <c r="IA96" i="15" s="1"/>
  <c r="GL96" i="15"/>
  <c r="GL111" i="15"/>
  <c r="HN111" i="15"/>
  <c r="AO111" i="65" s="1"/>
  <c r="AI111" i="5"/>
  <c r="AU111" i="5" s="1"/>
  <c r="AX111" i="5" s="1"/>
  <c r="AZ111" i="5" s="1"/>
  <c r="AS111" i="73" s="1"/>
  <c r="GL92" i="15"/>
  <c r="AI92" i="5"/>
  <c r="AU92" i="5" s="1"/>
  <c r="HN92" i="15"/>
  <c r="AO92" i="65" s="1"/>
  <c r="GL110" i="15"/>
  <c r="AI110" i="5"/>
  <c r="AU110" i="5" s="1"/>
  <c r="AY110" i="5" s="1"/>
  <c r="HN110" i="15"/>
  <c r="IE110" i="15" s="1"/>
  <c r="AI113" i="5"/>
  <c r="AU113" i="5" s="1"/>
  <c r="AX113" i="5" s="1"/>
  <c r="AZ113" i="5" s="1"/>
  <c r="AS113" i="73" s="1"/>
  <c r="HN113" i="15"/>
  <c r="GL113" i="15"/>
  <c r="HQ42" i="15"/>
  <c r="HT42" i="15"/>
  <c r="AM23" i="5"/>
  <c r="HO23" i="15"/>
  <c r="IF72" i="15"/>
  <c r="HR72" i="15"/>
  <c r="IE72" i="15"/>
  <c r="IC72" i="15"/>
  <c r="BG72" i="15"/>
  <c r="IB72" i="15"/>
  <c r="BG104" i="15"/>
  <c r="HR104" i="15"/>
  <c r="HU104" i="15"/>
  <c r="IC104" i="15"/>
  <c r="IE104" i="15"/>
  <c r="ID104" i="15"/>
  <c r="IB104" i="15"/>
  <c r="BG119" i="15"/>
  <c r="AO119" i="65"/>
  <c r="IF119" i="15"/>
  <c r="ID119" i="15"/>
  <c r="IA119" i="15"/>
  <c r="IE119" i="15"/>
  <c r="HV95" i="15"/>
  <c r="HS95" i="15"/>
  <c r="IB69" i="15"/>
  <c r="HR69" i="15"/>
  <c r="ID69" i="15"/>
  <c r="BG69" i="15"/>
  <c r="HR92" i="15"/>
  <c r="HU92" i="15"/>
  <c r="BG92" i="15"/>
  <c r="BG99" i="15"/>
  <c r="BG111" i="15"/>
  <c r="HR111" i="15"/>
  <c r="IE111" i="15"/>
  <c r="HU111" i="15"/>
  <c r="IA111" i="15"/>
  <c r="BG116" i="15"/>
  <c r="IB116" i="15"/>
  <c r="ID116" i="15"/>
  <c r="AO116" i="65"/>
  <c r="IE116" i="15"/>
  <c r="IC116" i="15"/>
  <c r="HR116" i="15"/>
  <c r="HU116" i="15"/>
  <c r="IF116" i="15"/>
  <c r="IA116" i="15"/>
  <c r="HS115" i="15"/>
  <c r="HK115" i="15" s="1"/>
  <c r="IF69" i="15"/>
  <c r="AO69" i="65"/>
  <c r="HT68" i="15"/>
  <c r="IA68" i="15"/>
  <c r="BG96" i="15"/>
  <c r="BG108" i="15"/>
  <c r="BG122" i="15"/>
  <c r="IE88" i="15"/>
  <c r="AO88" i="65"/>
  <c r="IF88" i="15"/>
  <c r="IC88" i="15"/>
  <c r="IA88" i="15"/>
  <c r="ID88" i="15"/>
  <c r="BG88" i="15"/>
  <c r="IB88" i="15"/>
  <c r="BG95" i="15"/>
  <c r="HR95" i="15"/>
  <c r="BG106" i="15"/>
  <c r="BG114" i="15"/>
  <c r="HU114" i="15"/>
  <c r="BG126" i="15"/>
  <c r="HV110" i="15"/>
  <c r="HS110" i="15"/>
  <c r="HK110" i="15" s="1"/>
  <c r="HS117" i="15"/>
  <c r="HK117" i="15" s="1"/>
  <c r="HV117" i="15"/>
  <c r="IE69" i="15"/>
  <c r="IA69" i="15"/>
  <c r="AK22" i="5"/>
  <c r="HO22" i="15"/>
  <c r="I23" i="93"/>
  <c r="J23" i="93"/>
  <c r="H23" i="93"/>
  <c r="HQ44" i="15"/>
  <c r="AY138" i="5"/>
  <c r="AX138" i="5"/>
  <c r="AZ138" i="5" s="1"/>
  <c r="AS138" i="73" s="1"/>
  <c r="HU97" i="15"/>
  <c r="BG97" i="15"/>
  <c r="HR97" i="15"/>
  <c r="IE70" i="15"/>
  <c r="AN64" i="5"/>
  <c r="HP64" i="15"/>
  <c r="HO64" i="15"/>
  <c r="AM64" i="5"/>
  <c r="AM56" i="5"/>
  <c r="HO56" i="15"/>
  <c r="AN60" i="5"/>
  <c r="AW60" i="5" s="1"/>
  <c r="HP60" i="15"/>
  <c r="AL52" i="5"/>
  <c r="AU52" i="5" s="1"/>
  <c r="HN52" i="15"/>
  <c r="IF52" i="15" s="1"/>
  <c r="IA86" i="15"/>
  <c r="AO86" i="65"/>
  <c r="ID86" i="15"/>
  <c r="IE86" i="15"/>
  <c r="IF86" i="15"/>
  <c r="IB86" i="15"/>
  <c r="HR86" i="15"/>
  <c r="BG86" i="15"/>
  <c r="HU86" i="15"/>
  <c r="BG101" i="15"/>
  <c r="HU101" i="15"/>
  <c r="HR101" i="15"/>
  <c r="HN64" i="15"/>
  <c r="AL64" i="5"/>
  <c r="AL56" i="5"/>
  <c r="AU56" i="5" s="1"/>
  <c r="HN56" i="15"/>
  <c r="HP56" i="15"/>
  <c r="AN56" i="5"/>
  <c r="HO60" i="15"/>
  <c r="AM60" i="5"/>
  <c r="AL60" i="5"/>
  <c r="AU60" i="5" s="1"/>
  <c r="HN60" i="15"/>
  <c r="AN52" i="5"/>
  <c r="AW52" i="5" s="1"/>
  <c r="HP52" i="15"/>
  <c r="IF42" i="15"/>
  <c r="IC42" i="15"/>
  <c r="AI95" i="5"/>
  <c r="AU95" i="5" s="1"/>
  <c r="GL95" i="15"/>
  <c r="HN95" i="15"/>
  <c r="GL105" i="15"/>
  <c r="AI105" i="5"/>
  <c r="AY175" i="5"/>
  <c r="AX175" i="5"/>
  <c r="AZ175" i="5" s="1"/>
  <c r="AS175" i="73" s="1"/>
  <c r="AI94" i="5"/>
  <c r="AU94" i="5" s="1"/>
  <c r="AY94" i="5" s="1"/>
  <c r="GL94" i="15"/>
  <c r="HN94" i="15"/>
  <c r="HN97" i="15"/>
  <c r="GL97" i="15"/>
  <c r="AI97" i="5"/>
  <c r="AU97" i="5" s="1"/>
  <c r="AX97" i="5" s="1"/>
  <c r="AZ97" i="5" s="1"/>
  <c r="AS97" i="73" s="1"/>
  <c r="AI127" i="5"/>
  <c r="AU127" i="5" s="1"/>
  <c r="AX127" i="5" s="1"/>
  <c r="AZ127" i="5" s="1"/>
  <c r="AS127" i="73" s="1"/>
  <c r="GL127" i="15"/>
  <c r="HN127" i="15"/>
  <c r="AY173" i="5"/>
  <c r="AX83" i="5"/>
  <c r="AZ83" i="5" s="1"/>
  <c r="AS83" i="73" s="1"/>
  <c r="GL106" i="15"/>
  <c r="AI106" i="5"/>
  <c r="AU106" i="5" s="1"/>
  <c r="HN106" i="15"/>
  <c r="AX189" i="5"/>
  <c r="AZ189" i="5" s="1"/>
  <c r="AS189" i="73" s="1"/>
  <c r="AX193" i="5"/>
  <c r="AZ193" i="5" s="1"/>
  <c r="AS193" i="73" s="1"/>
  <c r="AX78" i="5"/>
  <c r="AZ78" i="5" s="1"/>
  <c r="AS78" i="73" s="1"/>
  <c r="GL90" i="15"/>
  <c r="AI90" i="5"/>
  <c r="GL121" i="15"/>
  <c r="AI121" i="5"/>
  <c r="AY162" i="5"/>
  <c r="AX162" i="5"/>
  <c r="AZ162" i="5" s="1"/>
  <c r="AS162" i="73" s="1"/>
  <c r="AY190" i="5"/>
  <c r="AX190" i="5"/>
  <c r="AZ190" i="5" s="1"/>
  <c r="AS190" i="73" s="1"/>
  <c r="AY196" i="5"/>
  <c r="AX196" i="5"/>
  <c r="AZ196" i="5" s="1"/>
  <c r="AS196" i="73" s="1"/>
  <c r="AX198" i="5"/>
  <c r="AZ198" i="5" s="1"/>
  <c r="AS198" i="73" s="1"/>
  <c r="AX199" i="5"/>
  <c r="AZ199" i="5" s="1"/>
  <c r="AS199" i="73" s="1"/>
  <c r="AY199" i="5"/>
  <c r="HQ48" i="15"/>
  <c r="IE48" i="15"/>
  <c r="IA48" i="15"/>
  <c r="GL91" i="15"/>
  <c r="AI91" i="5"/>
  <c r="HN118" i="15"/>
  <c r="GL118" i="15"/>
  <c r="AI118" i="5"/>
  <c r="AU118" i="5" s="1"/>
  <c r="GL122" i="15"/>
  <c r="AI122" i="5"/>
  <c r="AU122" i="5" s="1"/>
  <c r="AY122" i="5" s="1"/>
  <c r="HN122" i="15"/>
  <c r="AI109" i="5"/>
  <c r="GL109" i="15"/>
  <c r="GL120" i="15"/>
  <c r="HN120" i="15"/>
  <c r="AI120" i="5"/>
  <c r="AU120" i="5" s="1"/>
  <c r="HN126" i="15"/>
  <c r="GL126" i="15"/>
  <c r="AI126" i="5"/>
  <c r="AU126" i="5" s="1"/>
  <c r="AL93" i="5"/>
  <c r="AL107" i="5"/>
  <c r="AL125" i="5"/>
  <c r="AJ25" i="5"/>
  <c r="AV25" i="5" s="1"/>
  <c r="GM25" i="15"/>
  <c r="HO25" i="15"/>
  <c r="AI93" i="5"/>
  <c r="GL93" i="15"/>
  <c r="AI101" i="5"/>
  <c r="AU101" i="5" s="1"/>
  <c r="GL101" i="15"/>
  <c r="HN101" i="15"/>
  <c r="AI115" i="5"/>
  <c r="AU115" i="5" s="1"/>
  <c r="GL115" i="15"/>
  <c r="HN115" i="15"/>
  <c r="AI102" i="5"/>
  <c r="AU102" i="5" s="1"/>
  <c r="HN102" i="15"/>
  <c r="GL102" i="15"/>
  <c r="AI123" i="5"/>
  <c r="GL123" i="15"/>
  <c r="AY143" i="5"/>
  <c r="AX147" i="5"/>
  <c r="AZ147" i="5" s="1"/>
  <c r="AS147" i="73" s="1"/>
  <c r="AX159" i="5"/>
  <c r="AZ159" i="5" s="1"/>
  <c r="AS159" i="73" s="1"/>
  <c r="AY167" i="5"/>
  <c r="AX167" i="5"/>
  <c r="AZ167" i="5" s="1"/>
  <c r="AS167" i="73" s="1"/>
  <c r="AX178" i="5"/>
  <c r="AZ178" i="5" s="1"/>
  <c r="AS178" i="73" s="1"/>
  <c r="AY205" i="5"/>
  <c r="AY307" i="5"/>
  <c r="AX307" i="5"/>
  <c r="AZ307" i="5" s="1"/>
  <c r="AS307" i="73" s="1"/>
  <c r="AY214" i="5"/>
  <c r="AX149" i="5"/>
  <c r="AZ149" i="5" s="1"/>
  <c r="AS149" i="73" s="1"/>
  <c r="AX257" i="5"/>
  <c r="AZ257" i="5" s="1"/>
  <c r="AS257" i="73" s="1"/>
  <c r="HQ32" i="15"/>
  <c r="AX104" i="5"/>
  <c r="AZ104" i="5" s="1"/>
  <c r="AS104" i="73" s="1"/>
  <c r="AY98" i="5"/>
  <c r="AX98" i="5"/>
  <c r="AZ98" i="5" s="1"/>
  <c r="AS98" i="73" s="1"/>
  <c r="AX86" i="5"/>
  <c r="AZ86" i="5" s="1"/>
  <c r="AS86" i="73" s="1"/>
  <c r="AL123" i="5"/>
  <c r="AI99" i="5"/>
  <c r="AU99" i="5" s="1"/>
  <c r="HN99" i="15"/>
  <c r="GL99" i="15"/>
  <c r="AI108" i="5"/>
  <c r="AU108" i="5" s="1"/>
  <c r="GL108" i="15"/>
  <c r="HN108" i="15"/>
  <c r="AI117" i="5"/>
  <c r="AU117" i="5" s="1"/>
  <c r="GL117" i="15"/>
  <c r="HN117" i="15"/>
  <c r="AI107" i="5"/>
  <c r="GL107" i="15"/>
  <c r="HN107" i="15"/>
  <c r="AI125" i="5"/>
  <c r="GL125" i="15"/>
  <c r="AY140" i="5"/>
  <c r="AX140" i="5"/>
  <c r="AZ140" i="5" s="1"/>
  <c r="AS140" i="73" s="1"/>
  <c r="AY146" i="5"/>
  <c r="AX146" i="5"/>
  <c r="AZ146" i="5" s="1"/>
  <c r="AS146" i="73" s="1"/>
  <c r="AX148" i="5"/>
  <c r="AZ148" i="5" s="1"/>
  <c r="AS148" i="73" s="1"/>
  <c r="AY148" i="5"/>
  <c r="AX154" i="5"/>
  <c r="AZ154" i="5" s="1"/>
  <c r="AS154" i="73" s="1"/>
  <c r="AY154" i="5"/>
  <c r="AY164" i="5"/>
  <c r="AX164" i="5"/>
  <c r="AZ164" i="5" s="1"/>
  <c r="AS164" i="73" s="1"/>
  <c r="AY172" i="5"/>
  <c r="AX172" i="5"/>
  <c r="AZ172" i="5" s="1"/>
  <c r="AS172" i="73" s="1"/>
  <c r="AX188" i="5"/>
  <c r="AZ188" i="5" s="1"/>
  <c r="AS188" i="73" s="1"/>
  <c r="AY188" i="5"/>
  <c r="AY206" i="5"/>
  <c r="AX206" i="5"/>
  <c r="AZ206" i="5" s="1"/>
  <c r="AS206" i="73" s="1"/>
  <c r="J7" i="93"/>
  <c r="I7" i="93"/>
  <c r="H7" i="93"/>
  <c r="AX207" i="5"/>
  <c r="AZ207" i="5" s="1"/>
  <c r="AS207" i="73" s="1"/>
  <c r="AY207" i="5"/>
  <c r="AY241" i="5"/>
  <c r="AX241" i="5"/>
  <c r="AZ241" i="5" s="1"/>
  <c r="AS241" i="73" s="1"/>
  <c r="AX215" i="5"/>
  <c r="AZ215" i="5" s="1"/>
  <c r="AS215" i="73" s="1"/>
  <c r="AY215" i="5"/>
  <c r="AX133" i="5"/>
  <c r="AZ133" i="5" s="1"/>
  <c r="AS133" i="73" s="1"/>
  <c r="AX88" i="5"/>
  <c r="AZ88" i="5" s="1"/>
  <c r="AS88" i="73" s="1"/>
  <c r="AY88" i="5"/>
  <c r="AX119" i="5"/>
  <c r="AZ119" i="5" s="1"/>
  <c r="AS119" i="73" s="1"/>
  <c r="IF46" i="15"/>
  <c r="HR46" i="15"/>
  <c r="IB46" i="15"/>
  <c r="ID46" i="15"/>
  <c r="BG46" i="15"/>
  <c r="IE46" i="15"/>
  <c r="BG52" i="15"/>
  <c r="HR52" i="15"/>
  <c r="HS35" i="15"/>
  <c r="IB26" i="15"/>
  <c r="IE26" i="15"/>
  <c r="HR26" i="15"/>
  <c r="ID26" i="15"/>
  <c r="IF26" i="15"/>
  <c r="BG26" i="15"/>
  <c r="BG36" i="15"/>
  <c r="AJ32" i="5"/>
  <c r="AV32" i="5" s="1"/>
  <c r="HO32" i="15"/>
  <c r="IA32" i="15" s="1"/>
  <c r="GM32" i="15"/>
  <c r="HN35" i="15"/>
  <c r="AI35" i="5"/>
  <c r="AU35" i="5" s="1"/>
  <c r="GL35" i="15"/>
  <c r="AL33" i="5"/>
  <c r="AU33" i="5" s="1"/>
  <c r="HN33" i="15"/>
  <c r="AN33" i="5"/>
  <c r="AW33" i="5" s="1"/>
  <c r="HP33" i="15"/>
  <c r="AL30" i="5"/>
  <c r="AU30" i="5" s="1"/>
  <c r="HN30" i="15"/>
  <c r="AM54" i="5"/>
  <c r="HO54" i="15"/>
  <c r="AL28" i="5"/>
  <c r="HN28" i="15"/>
  <c r="HP91" i="15"/>
  <c r="AN91" i="5"/>
  <c r="AN89" i="5"/>
  <c r="HP89" i="15"/>
  <c r="AL89" i="5"/>
  <c r="AU89" i="5" s="1"/>
  <c r="HN89" i="15"/>
  <c r="AN75" i="5"/>
  <c r="AW75" i="5" s="1"/>
  <c r="HP75" i="15"/>
  <c r="AN73" i="5"/>
  <c r="HP73" i="15"/>
  <c r="AL73" i="5"/>
  <c r="HN73" i="15"/>
  <c r="AN90" i="5"/>
  <c r="AW90" i="5" s="1"/>
  <c r="HP90" i="15"/>
  <c r="AM77" i="5"/>
  <c r="AV77" i="5" s="1"/>
  <c r="HO77" i="15"/>
  <c r="AL77" i="5"/>
  <c r="HN77" i="15"/>
  <c r="AN74" i="5"/>
  <c r="HP74" i="15"/>
  <c r="HN50" i="15"/>
  <c r="HN29" i="15"/>
  <c r="GN31" i="15"/>
  <c r="AK31" i="5"/>
  <c r="AW31" i="5" s="1"/>
  <c r="AK37" i="5"/>
  <c r="GN37" i="15"/>
  <c r="AY70" i="5"/>
  <c r="AX70" i="5"/>
  <c r="AZ70" i="5" s="1"/>
  <c r="AS70" i="73" s="1"/>
  <c r="AN50" i="5"/>
  <c r="AW50" i="5" s="1"/>
  <c r="HP50" i="15"/>
  <c r="HO50" i="15"/>
  <c r="AM50" i="5"/>
  <c r="AN54" i="5"/>
  <c r="AW54" i="5" s="1"/>
  <c r="HP54" i="15"/>
  <c r="AL54" i="5"/>
  <c r="AU54" i="5" s="1"/>
  <c r="HN54" i="15"/>
  <c r="AM91" i="5"/>
  <c r="AV91" i="5" s="1"/>
  <c r="HO91" i="15"/>
  <c r="HN91" i="15"/>
  <c r="AL91" i="5"/>
  <c r="AM89" i="5"/>
  <c r="AV89" i="5" s="1"/>
  <c r="HO89" i="15"/>
  <c r="HN75" i="15"/>
  <c r="AL75" i="5"/>
  <c r="AM75" i="5"/>
  <c r="AV75" i="5" s="1"/>
  <c r="HO75" i="15"/>
  <c r="AM73" i="5"/>
  <c r="HO73" i="15"/>
  <c r="AM90" i="5"/>
  <c r="HO90" i="15"/>
  <c r="HN90" i="15"/>
  <c r="AL90" i="5"/>
  <c r="AN77" i="5"/>
  <c r="HP77" i="15"/>
  <c r="AM74" i="5"/>
  <c r="HO74" i="15"/>
  <c r="AL74" i="5"/>
  <c r="AU74" i="5" s="1"/>
  <c r="HN74" i="15"/>
  <c r="AU50" i="5"/>
  <c r="GN24" i="15"/>
  <c r="HP24" i="15"/>
  <c r="AK24" i="5"/>
  <c r="AK28" i="5"/>
  <c r="GN28" i="15"/>
  <c r="HS38" i="15"/>
  <c r="HV38" i="15"/>
  <c r="HP29" i="15"/>
  <c r="AK29" i="5"/>
  <c r="GN29" i="15"/>
  <c r="AP36" i="65"/>
  <c r="BG35" i="15"/>
  <c r="HR35" i="15"/>
  <c r="HR31" i="15"/>
  <c r="HT38" i="15"/>
  <c r="HQ38" i="15"/>
  <c r="IF38" i="15"/>
  <c r="IA38" i="15"/>
  <c r="IB38" i="15"/>
  <c r="IE38" i="15"/>
  <c r="ID38" i="15"/>
  <c r="IC38" i="15"/>
  <c r="AN28" i="5"/>
  <c r="HP28" i="15"/>
  <c r="BG28" i="15"/>
  <c r="HQ36" i="15"/>
  <c r="IF36" i="15"/>
  <c r="IE36" i="15"/>
  <c r="HS31" i="15"/>
  <c r="IF32" i="15"/>
  <c r="AX38" i="5"/>
  <c r="AZ38" i="5" s="1"/>
  <c r="AS38" i="73" s="1"/>
  <c r="HO30" i="15"/>
  <c r="HO27" i="15"/>
  <c r="AY320" i="5" l="1"/>
  <c r="AX320" i="5"/>
  <c r="AZ320" i="5" s="1"/>
  <c r="AS320" i="73" s="1"/>
  <c r="IF147" i="15"/>
  <c r="IE147" i="15"/>
  <c r="IE154" i="15"/>
  <c r="HT147" i="15"/>
  <c r="HQ147" i="15"/>
  <c r="HI147" i="15" s="1"/>
  <c r="HW147" i="15" s="1"/>
  <c r="IB80" i="15"/>
  <c r="HR217" i="15"/>
  <c r="HJ217" i="15" s="1"/>
  <c r="HX217" i="15" s="1"/>
  <c r="HQ258" i="15"/>
  <c r="HI258" i="15" s="1"/>
  <c r="HW258" i="15" s="1"/>
  <c r="HV199" i="15"/>
  <c r="HR185" i="15"/>
  <c r="HJ185" i="15" s="1"/>
  <c r="HX185" i="15" s="1"/>
  <c r="IF178" i="15"/>
  <c r="HQ170" i="15"/>
  <c r="HI170" i="15" s="1"/>
  <c r="HW170" i="15" s="1"/>
  <c r="IF154" i="15"/>
  <c r="HT142" i="15"/>
  <c r="ID142" i="15"/>
  <c r="ID44" i="15"/>
  <c r="BF44" i="15"/>
  <c r="AO44" i="65" s="1"/>
  <c r="AM44" i="65" s="1"/>
  <c r="IF48" i="15"/>
  <c r="BF48" i="15"/>
  <c r="AO48" i="65" s="1"/>
  <c r="HQ46" i="15"/>
  <c r="BF46" i="15"/>
  <c r="AY38" i="5"/>
  <c r="BF36" i="15"/>
  <c r="AO36" i="65" s="1"/>
  <c r="AX42" i="5"/>
  <c r="AZ42" i="5" s="1"/>
  <c r="AS42" i="73" s="1"/>
  <c r="BF42" i="15"/>
  <c r="IE35" i="15"/>
  <c r="BF35" i="15"/>
  <c r="HQ40" i="15"/>
  <c r="BF40" i="15"/>
  <c r="BF38" i="15"/>
  <c r="AO38" i="65" s="1"/>
  <c r="BF45" i="15"/>
  <c r="AV50" i="5"/>
  <c r="HS205" i="15"/>
  <c r="HK205" i="15" s="1"/>
  <c r="HY205" i="15" s="1"/>
  <c r="HS221" i="15"/>
  <c r="HK221" i="15" s="1"/>
  <c r="HY221" i="15" s="1"/>
  <c r="HV232" i="15"/>
  <c r="IC242" i="15"/>
  <c r="HS208" i="15"/>
  <c r="HK208" i="15" s="1"/>
  <c r="HY208" i="15" s="1"/>
  <c r="AO196" i="65"/>
  <c r="AM196" i="65" s="1"/>
  <c r="IE196" i="15"/>
  <c r="HS132" i="15"/>
  <c r="HK132" i="15" s="1"/>
  <c r="HY132" i="15" s="1"/>
  <c r="HV132" i="15"/>
  <c r="HQ146" i="15"/>
  <c r="HI146" i="15" s="1"/>
  <c r="HW146" i="15" s="1"/>
  <c r="IA146" i="15"/>
  <c r="HQ25" i="15"/>
  <c r="BF25" i="15"/>
  <c r="BF24" i="15"/>
  <c r="BF32" i="15"/>
  <c r="HQ31" i="15"/>
  <c r="BF31" i="15"/>
  <c r="BF29" i="15"/>
  <c r="BF28" i="15"/>
  <c r="BF30" i="15"/>
  <c r="BF27" i="15"/>
  <c r="AW91" i="5"/>
  <c r="IF44" i="15"/>
  <c r="IC110" i="15"/>
  <c r="IB327" i="15"/>
  <c r="IC295" i="15"/>
  <c r="HR170" i="15"/>
  <c r="HJ170" i="15" s="1"/>
  <c r="HX170" i="15" s="1"/>
  <c r="HU142" i="15"/>
  <c r="HT307" i="15"/>
  <c r="HR280" i="15"/>
  <c r="HJ280" i="15" s="1"/>
  <c r="HX280" i="15" s="1"/>
  <c r="AO81" i="65"/>
  <c r="AM81" i="65" s="1"/>
  <c r="AO335" i="65"/>
  <c r="AM335" i="65" s="1"/>
  <c r="AO319" i="65"/>
  <c r="AM319" i="65" s="1"/>
  <c r="AO303" i="65"/>
  <c r="AM303" i="65" s="1"/>
  <c r="AO140" i="65"/>
  <c r="AM140" i="65" s="1"/>
  <c r="AO132" i="65"/>
  <c r="AM132" i="65" s="1"/>
  <c r="AO143" i="65"/>
  <c r="AM143" i="65" s="1"/>
  <c r="AO131" i="65"/>
  <c r="AM131" i="65" s="1"/>
  <c r="AO163" i="65"/>
  <c r="AM163" i="65" s="1"/>
  <c r="AO287" i="65"/>
  <c r="AM287" i="65" s="1"/>
  <c r="AO208" i="65"/>
  <c r="AM208" i="65" s="1"/>
  <c r="AO216" i="65"/>
  <c r="AM216" i="65" s="1"/>
  <c r="AO158" i="65"/>
  <c r="AM158" i="65" s="1"/>
  <c r="AO100" i="65"/>
  <c r="AO186" i="65"/>
  <c r="AM186" i="65" s="1"/>
  <c r="AO147" i="65"/>
  <c r="AM147" i="65" s="1"/>
  <c r="AO267" i="65"/>
  <c r="AM267" i="65" s="1"/>
  <c r="AO142" i="65"/>
  <c r="AM142" i="65" s="1"/>
  <c r="AO168" i="65"/>
  <c r="AM168" i="65" s="1"/>
  <c r="AO170" i="65"/>
  <c r="AM170" i="65" s="1"/>
  <c r="AO222" i="65"/>
  <c r="AM222" i="65" s="1"/>
  <c r="AO238" i="65"/>
  <c r="AM238" i="65" s="1"/>
  <c r="AO146" i="65"/>
  <c r="AM146" i="65" s="1"/>
  <c r="AO152" i="65"/>
  <c r="AM152" i="65" s="1"/>
  <c r="AO218" i="65"/>
  <c r="AM218" i="65" s="1"/>
  <c r="AO234" i="65"/>
  <c r="AM234" i="65" s="1"/>
  <c r="AO250" i="65"/>
  <c r="AM250" i="65" s="1"/>
  <c r="AO274" i="65"/>
  <c r="AM274" i="65" s="1"/>
  <c r="AP55" i="65"/>
  <c r="AN55" i="65" s="1"/>
  <c r="AP47" i="65"/>
  <c r="AO166" i="65"/>
  <c r="AM166" i="65" s="1"/>
  <c r="AO148" i="65"/>
  <c r="AM148" i="65" s="1"/>
  <c r="HK78" i="15"/>
  <c r="HQ174" i="15"/>
  <c r="HI174" i="15" s="1"/>
  <c r="HW174" i="15" s="1"/>
  <c r="BL174" i="15" s="1"/>
  <c r="HT150" i="15"/>
  <c r="HV112" i="15"/>
  <c r="AO130" i="65"/>
  <c r="AM130" i="65" s="1"/>
  <c r="AO138" i="65"/>
  <c r="AM138" i="65" s="1"/>
  <c r="AO139" i="65"/>
  <c r="AM139" i="65" s="1"/>
  <c r="AO135" i="65"/>
  <c r="AM135" i="65" s="1"/>
  <c r="AO291" i="65"/>
  <c r="AM291" i="65" s="1"/>
  <c r="AO241" i="65"/>
  <c r="AM241" i="65" s="1"/>
  <c r="AO271" i="65"/>
  <c r="AM271" i="65" s="1"/>
  <c r="AO223" i="65"/>
  <c r="AM223" i="65" s="1"/>
  <c r="AO219" i="65"/>
  <c r="AM219" i="65" s="1"/>
  <c r="AO151" i="65"/>
  <c r="AM151" i="65" s="1"/>
  <c r="AO264" i="65"/>
  <c r="AM264" i="65" s="1"/>
  <c r="AO344" i="65"/>
  <c r="AM344" i="65" s="1"/>
  <c r="AP78" i="65"/>
  <c r="AP44" i="65"/>
  <c r="AO144" i="65"/>
  <c r="AM144" i="65" s="1"/>
  <c r="AO178" i="65"/>
  <c r="AM178" i="65" s="1"/>
  <c r="AO155" i="65"/>
  <c r="AM155" i="65" s="1"/>
  <c r="AO136" i="65"/>
  <c r="AM136" i="65" s="1"/>
  <c r="AO84" i="65"/>
  <c r="AM84" i="65" s="1"/>
  <c r="AO179" i="65"/>
  <c r="AM179" i="65" s="1"/>
  <c r="AO236" i="65"/>
  <c r="AM236" i="65" s="1"/>
  <c r="AO228" i="65"/>
  <c r="AM228" i="65" s="1"/>
  <c r="AO154" i="65"/>
  <c r="AM154" i="65" s="1"/>
  <c r="AO80" i="65"/>
  <c r="AM80" i="65" s="1"/>
  <c r="AO296" i="65"/>
  <c r="AM296" i="65" s="1"/>
  <c r="AO252" i="65"/>
  <c r="AM252" i="65" s="1"/>
  <c r="AO276" i="65"/>
  <c r="AM276" i="65" s="1"/>
  <c r="AO182" i="65"/>
  <c r="AM182" i="65" s="1"/>
  <c r="AO174" i="65"/>
  <c r="AM174" i="65" s="1"/>
  <c r="AO150" i="65"/>
  <c r="AM150" i="65" s="1"/>
  <c r="AO192" i="65"/>
  <c r="AM192" i="65" s="1"/>
  <c r="AO180" i="65"/>
  <c r="AM180" i="65" s="1"/>
  <c r="IC159" i="15"/>
  <c r="AW99" i="5"/>
  <c r="AX144" i="5"/>
  <c r="AZ144" i="5" s="1"/>
  <c r="AS144" i="73" s="1"/>
  <c r="AY144" i="5"/>
  <c r="IB124" i="15"/>
  <c r="HR124" i="15"/>
  <c r="HJ124" i="15" s="1"/>
  <c r="HX124" i="15" s="1"/>
  <c r="IF331" i="15"/>
  <c r="ID131" i="15"/>
  <c r="HT131" i="15"/>
  <c r="HU118" i="15"/>
  <c r="HR118" i="15"/>
  <c r="HJ118" i="15" s="1"/>
  <c r="HX118" i="15" s="1"/>
  <c r="IF81" i="15"/>
  <c r="HT81" i="15"/>
  <c r="HV215" i="15"/>
  <c r="HS215" i="15"/>
  <c r="HK215" i="15" s="1"/>
  <c r="HY215" i="15" s="1"/>
  <c r="HS211" i="15"/>
  <c r="HK211" i="15" s="1"/>
  <c r="HY211" i="15" s="1"/>
  <c r="HV211" i="15"/>
  <c r="AN22" i="5"/>
  <c r="AW22" i="5" s="1"/>
  <c r="HP22" i="15"/>
  <c r="HS22" i="15" s="1"/>
  <c r="AX296" i="5"/>
  <c r="AZ296" i="5" s="1"/>
  <c r="AS296" i="73" s="1"/>
  <c r="AY296" i="5"/>
  <c r="AX176" i="5"/>
  <c r="AZ176" i="5" s="1"/>
  <c r="AS176" i="73" s="1"/>
  <c r="AY176" i="5"/>
  <c r="HV82" i="15"/>
  <c r="HS82" i="15"/>
  <c r="HK82" i="15" s="1"/>
  <c r="HY82" i="15" s="1"/>
  <c r="HS266" i="15"/>
  <c r="HK266" i="15" s="1"/>
  <c r="HY266" i="15" s="1"/>
  <c r="BN266" i="15" s="1"/>
  <c r="HV266" i="15"/>
  <c r="HS330" i="15"/>
  <c r="HK330" i="15" s="1"/>
  <c r="HY330" i="15" s="1"/>
  <c r="BN330" i="15" s="1"/>
  <c r="HV330" i="15"/>
  <c r="IC330" i="15"/>
  <c r="IF160" i="15"/>
  <c r="HT200" i="15"/>
  <c r="IE200" i="15"/>
  <c r="IA200" i="15"/>
  <c r="HQ216" i="15"/>
  <c r="HI216" i="15" s="1"/>
  <c r="HW216" i="15" s="1"/>
  <c r="BL216" i="15" s="1"/>
  <c r="IC216" i="15"/>
  <c r="IF216" i="15"/>
  <c r="IC232" i="15"/>
  <c r="ID232" i="15"/>
  <c r="HT232" i="15"/>
  <c r="IA256" i="15"/>
  <c r="IC256" i="15"/>
  <c r="HQ256" i="15"/>
  <c r="HI256" i="15" s="1"/>
  <c r="HW256" i="15" s="1"/>
  <c r="BL256" i="15" s="1"/>
  <c r="HQ288" i="15"/>
  <c r="HI288" i="15" s="1"/>
  <c r="HW288" i="15" s="1"/>
  <c r="IC288" i="15"/>
  <c r="IF288" i="15"/>
  <c r="IC344" i="15"/>
  <c r="IE344" i="15"/>
  <c r="IC220" i="15"/>
  <c r="IA220" i="15"/>
  <c r="HT220" i="15"/>
  <c r="ID266" i="15"/>
  <c r="IC266" i="15"/>
  <c r="IC290" i="15"/>
  <c r="HT306" i="15"/>
  <c r="IF306" i="15"/>
  <c r="HT322" i="15"/>
  <c r="IE322" i="15"/>
  <c r="IC322" i="15"/>
  <c r="IE338" i="15"/>
  <c r="HQ338" i="15"/>
  <c r="HI338" i="15" s="1"/>
  <c r="HW338" i="15" s="1"/>
  <c r="BL338" i="15" s="1"/>
  <c r="HS86" i="15"/>
  <c r="HV86" i="15"/>
  <c r="HV301" i="15"/>
  <c r="HS301" i="15"/>
  <c r="HK301" i="15" s="1"/>
  <c r="HY301" i="15" s="1"/>
  <c r="BN301" i="15" s="1"/>
  <c r="HQ65" i="15"/>
  <c r="AO65" i="65"/>
  <c r="AX225" i="5"/>
  <c r="AZ225" i="5" s="1"/>
  <c r="AS225" i="73" s="1"/>
  <c r="AY225" i="5"/>
  <c r="HQ259" i="15"/>
  <c r="HI259" i="15" s="1"/>
  <c r="HW259" i="15" s="1"/>
  <c r="IA259" i="15"/>
  <c r="AX183" i="5"/>
  <c r="AZ183" i="5" s="1"/>
  <c r="AS183" i="73" s="1"/>
  <c r="AY183" i="5"/>
  <c r="HV191" i="15"/>
  <c r="HS191" i="15"/>
  <c r="HK191" i="15" s="1"/>
  <c r="HY191" i="15" s="1"/>
  <c r="BN191" i="15" s="1"/>
  <c r="HS187" i="15"/>
  <c r="HK187" i="15" s="1"/>
  <c r="HY187" i="15" s="1"/>
  <c r="HV187" i="15"/>
  <c r="IF287" i="15"/>
  <c r="ID287" i="15"/>
  <c r="IA251" i="15"/>
  <c r="ID251" i="15"/>
  <c r="HQ251" i="15"/>
  <c r="HI251" i="15" s="1"/>
  <c r="HW251" i="15" s="1"/>
  <c r="IF239" i="15"/>
  <c r="IC219" i="15"/>
  <c r="HQ219" i="15"/>
  <c r="HI219" i="15" s="1"/>
  <c r="HW219" i="15" s="1"/>
  <c r="IF207" i="15"/>
  <c r="ID159" i="15"/>
  <c r="IE159" i="15"/>
  <c r="IE112" i="15"/>
  <c r="ID112" i="15"/>
  <c r="HQ323" i="15"/>
  <c r="HI323" i="15" s="1"/>
  <c r="HW323" i="15" s="1"/>
  <c r="IF323" i="15"/>
  <c r="AY150" i="5"/>
  <c r="AX150" i="5"/>
  <c r="AZ150" i="5" s="1"/>
  <c r="AS150" i="73" s="1"/>
  <c r="HV298" i="15"/>
  <c r="IC298" i="15"/>
  <c r="IB283" i="15"/>
  <c r="HR283" i="15"/>
  <c r="HJ283" i="15" s="1"/>
  <c r="HX283" i="15" s="1"/>
  <c r="BM283" i="15" s="1"/>
  <c r="HU255" i="15"/>
  <c r="IB255" i="15"/>
  <c r="HR255" i="15"/>
  <c r="HJ255" i="15" s="1"/>
  <c r="HX255" i="15" s="1"/>
  <c r="HU215" i="15"/>
  <c r="HR215" i="15"/>
  <c r="HJ215" i="15" s="1"/>
  <c r="HX215" i="15" s="1"/>
  <c r="HV192" i="15"/>
  <c r="HS192" i="15"/>
  <c r="HK192" i="15" s="1"/>
  <c r="HY192" i="15" s="1"/>
  <c r="IC186" i="15"/>
  <c r="HQ186" i="15"/>
  <c r="HI186" i="15" s="1"/>
  <c r="HW186" i="15" s="1"/>
  <c r="BL186" i="15" s="1"/>
  <c r="IF186" i="15"/>
  <c r="IE186" i="15"/>
  <c r="IB186" i="15"/>
  <c r="IE182" i="15"/>
  <c r="IA182" i="15"/>
  <c r="HT182" i="15"/>
  <c r="ID174" i="15"/>
  <c r="IF174" i="15"/>
  <c r="IA174" i="15"/>
  <c r="HQ162" i="15"/>
  <c r="HI162" i="15" s="1"/>
  <c r="HW162" i="15" s="1"/>
  <c r="BL162" i="15" s="1"/>
  <c r="IE162" i="15"/>
  <c r="ID162" i="15"/>
  <c r="IA162" i="15"/>
  <c r="IA150" i="15"/>
  <c r="IE150" i="15"/>
  <c r="ID150" i="15"/>
  <c r="HV88" i="15"/>
  <c r="HS88" i="15"/>
  <c r="HK88" i="15" s="1"/>
  <c r="HY88" i="15" s="1"/>
  <c r="AM33" i="5"/>
  <c r="AV33" i="5" s="1"/>
  <c r="HO33" i="15"/>
  <c r="HR33" i="15" s="1"/>
  <c r="HU81" i="15"/>
  <c r="HR81" i="15"/>
  <c r="HJ81" i="15" s="1"/>
  <c r="HX81" i="15" s="1"/>
  <c r="BM81" i="15" s="1"/>
  <c r="HU339" i="15"/>
  <c r="HR339" i="15"/>
  <c r="HJ339" i="15" s="1"/>
  <c r="HX339" i="15" s="1"/>
  <c r="BM339" i="15" s="1"/>
  <c r="HU259" i="15"/>
  <c r="HR259" i="15"/>
  <c r="HJ259" i="15" s="1"/>
  <c r="HX259" i="15" s="1"/>
  <c r="HU211" i="15"/>
  <c r="HR211" i="15"/>
  <c r="HJ211" i="15" s="1"/>
  <c r="HX211" i="15" s="1"/>
  <c r="BM211" i="15" s="1"/>
  <c r="HR195" i="15"/>
  <c r="HJ195" i="15" s="1"/>
  <c r="HX195" i="15" s="1"/>
  <c r="BM195" i="15" s="1"/>
  <c r="HU195" i="15"/>
  <c r="ID188" i="15"/>
  <c r="IE188" i="15"/>
  <c r="HT188" i="15"/>
  <c r="HQ188" i="15"/>
  <c r="HI188" i="15" s="1"/>
  <c r="HW188" i="15" s="1"/>
  <c r="IC188" i="15"/>
  <c r="IA172" i="15"/>
  <c r="IF172" i="15"/>
  <c r="HV334" i="15"/>
  <c r="HS334" i="15"/>
  <c r="HK334" i="15" s="1"/>
  <c r="HY334" i="15" s="1"/>
  <c r="HS314" i="15"/>
  <c r="HK314" i="15" s="1"/>
  <c r="HY314" i="15" s="1"/>
  <c r="BN314" i="15" s="1"/>
  <c r="HV314" i="15"/>
  <c r="HV286" i="15"/>
  <c r="HS286" i="15"/>
  <c r="HK286" i="15" s="1"/>
  <c r="HY286" i="15" s="1"/>
  <c r="BN286" i="15" s="1"/>
  <c r="IF284" i="15"/>
  <c r="ID284" i="15"/>
  <c r="HT284" i="15"/>
  <c r="IA268" i="15"/>
  <c r="IE268" i="15"/>
  <c r="HT268" i="15"/>
  <c r="IE260" i="15"/>
  <c r="IA260" i="15"/>
  <c r="HS254" i="15"/>
  <c r="HK254" i="15" s="1"/>
  <c r="HY254" i="15" s="1"/>
  <c r="BN254" i="15" s="1"/>
  <c r="HV254" i="15"/>
  <c r="IF244" i="15"/>
  <c r="HQ244" i="15"/>
  <c r="HI244" i="15" s="1"/>
  <c r="HW244" i="15" s="1"/>
  <c r="BL244" i="15" s="1"/>
  <c r="IE236" i="15"/>
  <c r="HQ236" i="15"/>
  <c r="HI236" i="15" s="1"/>
  <c r="HW236" i="15" s="1"/>
  <c r="BL236" i="15" s="1"/>
  <c r="ID212" i="15"/>
  <c r="HQ212" i="15"/>
  <c r="HI212" i="15" s="1"/>
  <c r="HW212" i="15" s="1"/>
  <c r="IF212" i="15"/>
  <c r="IA204" i="15"/>
  <c r="IF204" i="15"/>
  <c r="HQ204" i="15"/>
  <c r="HI204" i="15" s="1"/>
  <c r="HW204" i="15" s="1"/>
  <c r="BL204" i="15" s="1"/>
  <c r="IE100" i="15"/>
  <c r="IF100" i="15"/>
  <c r="IA100" i="15"/>
  <c r="HT184" i="15"/>
  <c r="IF184" i="15"/>
  <c r="IC184" i="15"/>
  <c r="HU120" i="15"/>
  <c r="HR120" i="15"/>
  <c r="HJ120" i="15" s="1"/>
  <c r="HX120" i="15" s="1"/>
  <c r="HR179" i="15"/>
  <c r="HJ179" i="15" s="1"/>
  <c r="HX179" i="15" s="1"/>
  <c r="BM179" i="15" s="1"/>
  <c r="IB179" i="15"/>
  <c r="HK38" i="15"/>
  <c r="IA46" i="15"/>
  <c r="AO46" i="65"/>
  <c r="IC46" i="15"/>
  <c r="IF25" i="15"/>
  <c r="AY65" i="5"/>
  <c r="ID48" i="15"/>
  <c r="IC48" i="15"/>
  <c r="AY191" i="5"/>
  <c r="IC86" i="15"/>
  <c r="IC70" i="15"/>
  <c r="IF70" i="15"/>
  <c r="HR47" i="15"/>
  <c r="HJ47" i="15" s="1"/>
  <c r="AX48" i="5"/>
  <c r="AZ48" i="5" s="1"/>
  <c r="AS48" i="73" s="1"/>
  <c r="HU96" i="15"/>
  <c r="HR99" i="15"/>
  <c r="IB119" i="15"/>
  <c r="HR119" i="15"/>
  <c r="AO104" i="65"/>
  <c r="IA104" i="15"/>
  <c r="AO72" i="65"/>
  <c r="HQ53" i="15"/>
  <c r="ID53" i="15"/>
  <c r="IA53" i="15"/>
  <c r="HV287" i="15"/>
  <c r="HS149" i="15"/>
  <c r="HK149" i="15" s="1"/>
  <c r="HY149" i="15" s="1"/>
  <c r="BN149" i="15" s="1"/>
  <c r="HV154" i="15"/>
  <c r="HS146" i="15"/>
  <c r="HK146" i="15" s="1"/>
  <c r="HY146" i="15" s="1"/>
  <c r="BN146" i="15" s="1"/>
  <c r="AO53" i="65"/>
  <c r="IB47" i="15"/>
  <c r="IC78" i="15"/>
  <c r="AV59" i="5"/>
  <c r="HS182" i="15"/>
  <c r="HK182" i="15" s="1"/>
  <c r="HY182" i="15" s="1"/>
  <c r="BN182" i="15" s="1"/>
  <c r="HS174" i="15"/>
  <c r="HK174" i="15" s="1"/>
  <c r="HY174" i="15" s="1"/>
  <c r="HS172" i="15"/>
  <c r="HK172" i="15" s="1"/>
  <c r="HY172" i="15" s="1"/>
  <c r="HS166" i="15"/>
  <c r="HK166" i="15" s="1"/>
  <c r="HY166" i="15" s="1"/>
  <c r="HS171" i="15"/>
  <c r="HK171" i="15" s="1"/>
  <c r="HY171" i="15" s="1"/>
  <c r="IE81" i="15"/>
  <c r="IE143" i="15"/>
  <c r="IA143" i="15"/>
  <c r="IA139" i="15"/>
  <c r="IE139" i="15"/>
  <c r="HQ139" i="15"/>
  <c r="HI139" i="15" s="1"/>
  <c r="HW139" i="15" s="1"/>
  <c r="BL139" i="15" s="1"/>
  <c r="IE135" i="15"/>
  <c r="IA135" i="15"/>
  <c r="IA131" i="15"/>
  <c r="IE131" i="15"/>
  <c r="HQ131" i="15"/>
  <c r="HI131" i="15" s="1"/>
  <c r="HW131" i="15" s="1"/>
  <c r="HU167" i="15"/>
  <c r="HR159" i="15"/>
  <c r="HJ159" i="15" s="1"/>
  <c r="HX159" i="15" s="1"/>
  <c r="IB151" i="15"/>
  <c r="HN22" i="15"/>
  <c r="IF339" i="15"/>
  <c r="HU115" i="15"/>
  <c r="IB53" i="15"/>
  <c r="HV106" i="15"/>
  <c r="AY179" i="5"/>
  <c r="AX155" i="5"/>
  <c r="AZ155" i="5" s="1"/>
  <c r="AS155" i="73" s="1"/>
  <c r="ID331" i="15"/>
  <c r="IB312" i="15"/>
  <c r="IB290" i="15"/>
  <c r="IB286" i="15"/>
  <c r="IB278" i="15"/>
  <c r="IB274" i="15"/>
  <c r="IC66" i="15"/>
  <c r="IA331" i="15"/>
  <c r="IA232" i="15"/>
  <c r="IE232" i="15"/>
  <c r="IC306" i="15"/>
  <c r="IE256" i="15"/>
  <c r="IB220" i="15"/>
  <c r="IC160" i="15"/>
  <c r="HT160" i="15"/>
  <c r="IC331" i="15"/>
  <c r="AW181" i="5"/>
  <c r="AY208" i="5"/>
  <c r="AY160" i="5"/>
  <c r="IB306" i="15"/>
  <c r="AW169" i="5"/>
  <c r="AY152" i="5"/>
  <c r="IF139" i="15"/>
  <c r="AY247" i="5"/>
  <c r="IC218" i="15"/>
  <c r="ID234" i="15"/>
  <c r="IF250" i="15"/>
  <c r="HQ266" i="15"/>
  <c r="HI266" i="15" s="1"/>
  <c r="HW266" i="15" s="1"/>
  <c r="HQ274" i="15"/>
  <c r="HI274" i="15" s="1"/>
  <c r="HW274" i="15" s="1"/>
  <c r="BL274" i="15" s="1"/>
  <c r="HT288" i="15"/>
  <c r="IC312" i="15"/>
  <c r="IA344" i="15"/>
  <c r="ID160" i="15"/>
  <c r="IB304" i="15"/>
  <c r="IB288" i="15"/>
  <c r="IB284" i="15"/>
  <c r="IB276" i="15"/>
  <c r="IB48" i="15"/>
  <c r="IB168" i="15"/>
  <c r="IA70" i="15"/>
  <c r="HK47" i="15"/>
  <c r="IB256" i="15"/>
  <c r="AW163" i="5"/>
  <c r="AX46" i="5"/>
  <c r="AZ46" i="5" s="1"/>
  <c r="AS46" i="73" s="1"/>
  <c r="HK55" i="15"/>
  <c r="IC228" i="15"/>
  <c r="AX216" i="5"/>
  <c r="AZ216" i="5" s="1"/>
  <c r="AS216" i="73" s="1"/>
  <c r="AY216" i="5"/>
  <c r="AY182" i="5"/>
  <c r="AX182" i="5"/>
  <c r="AZ182" i="5" s="1"/>
  <c r="AS182" i="73" s="1"/>
  <c r="IA25" i="15"/>
  <c r="IB35" i="15"/>
  <c r="HI53" i="15"/>
  <c r="HQ343" i="15"/>
  <c r="HI343" i="15" s="1"/>
  <c r="HW343" i="15" s="1"/>
  <c r="HQ311" i="15"/>
  <c r="HI311" i="15" s="1"/>
  <c r="HW311" i="15" s="1"/>
  <c r="BL311" i="15" s="1"/>
  <c r="HS297" i="15"/>
  <c r="HK297" i="15" s="1"/>
  <c r="HY297" i="15" s="1"/>
  <c r="IB164" i="15"/>
  <c r="HU152" i="15"/>
  <c r="HU298" i="15"/>
  <c r="IC81" i="15"/>
  <c r="AY42" i="5"/>
  <c r="HT139" i="15"/>
  <c r="IF131" i="15"/>
  <c r="IE275" i="15"/>
  <c r="ID81" i="15"/>
  <c r="IC223" i="15"/>
  <c r="HU38" i="15"/>
  <c r="HQ151" i="15"/>
  <c r="HI151" i="15" s="1"/>
  <c r="HW151" i="15" s="1"/>
  <c r="BL151" i="15" s="1"/>
  <c r="IA255" i="15"/>
  <c r="IE223" i="15"/>
  <c r="IA191" i="15"/>
  <c r="ID163" i="15"/>
  <c r="HT218" i="15"/>
  <c r="IE266" i="15"/>
  <c r="IA274" i="15"/>
  <c r="IA290" i="15"/>
  <c r="HQ322" i="15"/>
  <c r="HI322" i="15" s="1"/>
  <c r="HW322" i="15" s="1"/>
  <c r="IF200" i="15"/>
  <c r="HS216" i="15"/>
  <c r="HK216" i="15" s="1"/>
  <c r="HY216" i="15" s="1"/>
  <c r="IA130" i="15"/>
  <c r="IC170" i="15"/>
  <c r="IE178" i="15"/>
  <c r="IE170" i="15"/>
  <c r="IA142" i="15"/>
  <c r="IC32" i="15"/>
  <c r="AY79" i="5"/>
  <c r="AX79" i="5"/>
  <c r="AZ79" i="5" s="1"/>
  <c r="AS79" i="73" s="1"/>
  <c r="AX344" i="5"/>
  <c r="AZ344" i="5" s="1"/>
  <c r="AS344" i="73" s="1"/>
  <c r="AY344" i="5"/>
  <c r="AY312" i="5"/>
  <c r="AX312" i="5"/>
  <c r="AZ312" i="5" s="1"/>
  <c r="AS312" i="73" s="1"/>
  <c r="AX248" i="5"/>
  <c r="AZ248" i="5" s="1"/>
  <c r="AS248" i="73" s="1"/>
  <c r="AY248" i="5"/>
  <c r="AX224" i="5"/>
  <c r="AZ224" i="5" s="1"/>
  <c r="AS224" i="73" s="1"/>
  <c r="AY224" i="5"/>
  <c r="AY139" i="5"/>
  <c r="AX139" i="5"/>
  <c r="AZ139" i="5" s="1"/>
  <c r="AS139" i="73" s="1"/>
  <c r="AX131" i="5"/>
  <c r="AZ131" i="5" s="1"/>
  <c r="AS131" i="73" s="1"/>
  <c r="AY131" i="5"/>
  <c r="AX203" i="5"/>
  <c r="AZ203" i="5" s="1"/>
  <c r="AS203" i="73" s="1"/>
  <c r="AY203" i="5"/>
  <c r="AO32" i="65"/>
  <c r="I32" i="5" s="1"/>
  <c r="IE32" i="15"/>
  <c r="AO31" i="65"/>
  <c r="AM31" i="65" s="1"/>
  <c r="IC36" i="15"/>
  <c r="IB36" i="15"/>
  <c r="ID36" i="15"/>
  <c r="IA36" i="15"/>
  <c r="HI38" i="15"/>
  <c r="AV90" i="5"/>
  <c r="HS26" i="15"/>
  <c r="AV54" i="5"/>
  <c r="AX32" i="5"/>
  <c r="AZ32" i="5" s="1"/>
  <c r="AS32" i="73" s="1"/>
  <c r="IA26" i="15"/>
  <c r="AO26" i="65"/>
  <c r="IC26" i="15"/>
  <c r="AY213" i="5"/>
  <c r="AX151" i="5"/>
  <c r="AZ151" i="5" s="1"/>
  <c r="AS151" i="73" s="1"/>
  <c r="AY135" i="5"/>
  <c r="AX197" i="5"/>
  <c r="AZ197" i="5" s="1"/>
  <c r="AS197" i="73" s="1"/>
  <c r="AY55" i="5"/>
  <c r="AV64" i="5"/>
  <c r="IB70" i="15"/>
  <c r="IE44" i="15"/>
  <c r="IA114" i="15"/>
  <c r="ID114" i="15"/>
  <c r="HU88" i="15"/>
  <c r="AO68" i="65"/>
  <c r="IF68" i="15"/>
  <c r="HI78" i="15"/>
  <c r="AY85" i="5"/>
  <c r="IC153" i="15"/>
  <c r="HR44" i="15"/>
  <c r="HR78" i="15"/>
  <c r="HJ78" i="15" s="1"/>
  <c r="HV101" i="15"/>
  <c r="HT327" i="15"/>
  <c r="ID295" i="15"/>
  <c r="IF295" i="15"/>
  <c r="HQ295" i="15"/>
  <c r="HI295" i="15" s="1"/>
  <c r="HW295" i="15" s="1"/>
  <c r="HV291" i="15"/>
  <c r="HR166" i="15"/>
  <c r="HJ166" i="15" s="1"/>
  <c r="HX166" i="15" s="1"/>
  <c r="HU158" i="15"/>
  <c r="HR154" i="15"/>
  <c r="HJ154" i="15" s="1"/>
  <c r="HX154" i="15" s="1"/>
  <c r="BM154" i="15" s="1"/>
  <c r="HU150" i="15"/>
  <c r="HR138" i="15"/>
  <c r="HJ138" i="15" s="1"/>
  <c r="HX138" i="15" s="1"/>
  <c r="IB323" i="15"/>
  <c r="HT323" i="15"/>
  <c r="AX209" i="5"/>
  <c r="AZ209" i="5" s="1"/>
  <c r="AS209" i="73" s="1"/>
  <c r="AY303" i="5"/>
  <c r="AY335" i="5"/>
  <c r="HS225" i="15"/>
  <c r="HK225" i="15" s="1"/>
  <c r="HY225" i="15" s="1"/>
  <c r="BN225" i="15" s="1"/>
  <c r="HR320" i="15"/>
  <c r="HJ320" i="15" s="1"/>
  <c r="HX320" i="15" s="1"/>
  <c r="BM320" i="15" s="1"/>
  <c r="HR288" i="15"/>
  <c r="HJ288" i="15" s="1"/>
  <c r="HX288" i="15" s="1"/>
  <c r="BM288" i="15" s="1"/>
  <c r="HR272" i="15"/>
  <c r="HJ272" i="15" s="1"/>
  <c r="HX272" i="15" s="1"/>
  <c r="BM272" i="15" s="1"/>
  <c r="HS299" i="15"/>
  <c r="HK299" i="15" s="1"/>
  <c r="HY299" i="15" s="1"/>
  <c r="HV195" i="15"/>
  <c r="HS189" i="15"/>
  <c r="HK189" i="15" s="1"/>
  <c r="HY189" i="15" s="1"/>
  <c r="BN189" i="15" s="1"/>
  <c r="AY232" i="5"/>
  <c r="AY227" i="5"/>
  <c r="AY231" i="5"/>
  <c r="AX244" i="5"/>
  <c r="AZ244" i="5" s="1"/>
  <c r="AS244" i="73" s="1"/>
  <c r="AX275" i="5"/>
  <c r="AZ275" i="5" s="1"/>
  <c r="AS275" i="73" s="1"/>
  <c r="AW183" i="5"/>
  <c r="AW167" i="5"/>
  <c r="AW165" i="5"/>
  <c r="AW295" i="5"/>
  <c r="AW45" i="5"/>
  <c r="AY45" i="5" s="1"/>
  <c r="AW179" i="5"/>
  <c r="IF275" i="15"/>
  <c r="IE259" i="15"/>
  <c r="AX264" i="5"/>
  <c r="AZ264" i="5" s="1"/>
  <c r="AS264" i="73" s="1"/>
  <c r="HR106" i="15"/>
  <c r="HU122" i="15"/>
  <c r="IB68" i="15"/>
  <c r="IB112" i="15"/>
  <c r="IB172" i="15"/>
  <c r="HR140" i="15"/>
  <c r="HJ140" i="15" s="1"/>
  <c r="HX140" i="15" s="1"/>
  <c r="BM140" i="15" s="1"/>
  <c r="HR136" i="15"/>
  <c r="HJ136" i="15" s="1"/>
  <c r="HX136" i="15" s="1"/>
  <c r="HU100" i="15"/>
  <c r="IE151" i="15"/>
  <c r="AY259" i="5"/>
  <c r="IF235" i="15"/>
  <c r="HQ179" i="15"/>
  <c r="HI179" i="15" s="1"/>
  <c r="HW179" i="15" s="1"/>
  <c r="BL179" i="15" s="1"/>
  <c r="HQ163" i="15"/>
  <c r="HI163" i="15" s="1"/>
  <c r="HW163" i="15" s="1"/>
  <c r="BL163" i="15" s="1"/>
  <c r="IE192" i="15"/>
  <c r="HT166" i="15"/>
  <c r="AY127" i="5"/>
  <c r="HS291" i="15"/>
  <c r="HK291" i="15" s="1"/>
  <c r="HY291" i="15" s="1"/>
  <c r="BN291" i="15" s="1"/>
  <c r="HR209" i="15"/>
  <c r="HJ209" i="15" s="1"/>
  <c r="HX209" i="15" s="1"/>
  <c r="BM209" i="15" s="1"/>
  <c r="BZ209" i="15" s="1"/>
  <c r="HU209" i="15"/>
  <c r="HQ262" i="15"/>
  <c r="HI262" i="15" s="1"/>
  <c r="HW262" i="15" s="1"/>
  <c r="BL262" i="15" s="1"/>
  <c r="FT262" i="15" s="1"/>
  <c r="IA262" i="15"/>
  <c r="HT262" i="15"/>
  <c r="HU251" i="15"/>
  <c r="HR251" i="15"/>
  <c r="HJ251" i="15" s="1"/>
  <c r="HX251" i="15" s="1"/>
  <c r="BM251" i="15" s="1"/>
  <c r="HU219" i="15"/>
  <c r="HR219" i="15"/>
  <c r="HJ219" i="15" s="1"/>
  <c r="HX219" i="15" s="1"/>
  <c r="BM219" i="15" s="1"/>
  <c r="FU219" i="15" s="1"/>
  <c r="FA219" i="15" s="1"/>
  <c r="BG219" i="65" s="1"/>
  <c r="HU193" i="15"/>
  <c r="HR193" i="15"/>
  <c r="HJ193" i="15" s="1"/>
  <c r="HX193" i="15" s="1"/>
  <c r="BM193" i="15" s="1"/>
  <c r="CC193" i="15" s="1"/>
  <c r="HQ156" i="15"/>
  <c r="HI156" i="15" s="1"/>
  <c r="HW156" i="15" s="1"/>
  <c r="BL156" i="15" s="1"/>
  <c r="HT156" i="15"/>
  <c r="HS142" i="15"/>
  <c r="HK142" i="15" s="1"/>
  <c r="HY142" i="15" s="1"/>
  <c r="BN142" i="15" s="1"/>
  <c r="HV142" i="15"/>
  <c r="HU267" i="15"/>
  <c r="HR267" i="15"/>
  <c r="HJ267" i="15" s="1"/>
  <c r="HX267" i="15" s="1"/>
  <c r="BM267" i="15" s="1"/>
  <c r="FU267" i="15" s="1"/>
  <c r="FA267" i="15" s="1"/>
  <c r="BG267" i="65" s="1"/>
  <c r="IF188" i="15"/>
  <c r="HT172" i="15"/>
  <c r="HV348" i="15"/>
  <c r="HS348" i="15"/>
  <c r="HK348" i="15" s="1"/>
  <c r="HY348" i="15" s="1"/>
  <c r="BN348" i="15" s="1"/>
  <c r="BQ348" i="15" s="1"/>
  <c r="HV332" i="15"/>
  <c r="HS332" i="15"/>
  <c r="HK332" i="15" s="1"/>
  <c r="HY332" i="15" s="1"/>
  <c r="BN332" i="15" s="1"/>
  <c r="CD332" i="15" s="1"/>
  <c r="IE284" i="15"/>
  <c r="HQ284" i="15"/>
  <c r="HI284" i="15" s="1"/>
  <c r="HW284" i="15" s="1"/>
  <c r="BL284" i="15" s="1"/>
  <c r="BY284" i="15" s="1"/>
  <c r="HT276" i="15"/>
  <c r="IE276" i="15"/>
  <c r="HQ276" i="15"/>
  <c r="HI276" i="15" s="1"/>
  <c r="HW276" i="15" s="1"/>
  <c r="BL276" i="15" s="1"/>
  <c r="IF276" i="15"/>
  <c r="IF268" i="15"/>
  <c r="ID268" i="15"/>
  <c r="IC268" i="15"/>
  <c r="IC260" i="15"/>
  <c r="HT260" i="15"/>
  <c r="HQ260" i="15"/>
  <c r="HI260" i="15" s="1"/>
  <c r="HW260" i="15" s="1"/>
  <c r="BL260" i="15" s="1"/>
  <c r="CB260" i="15" s="1"/>
  <c r="IF260" i="15"/>
  <c r="HR257" i="15"/>
  <c r="HJ257" i="15" s="1"/>
  <c r="HX257" i="15" s="1"/>
  <c r="BM257" i="15" s="1"/>
  <c r="BP257" i="15" s="1"/>
  <c r="HU257" i="15"/>
  <c r="HQ252" i="15"/>
  <c r="HI252" i="15" s="1"/>
  <c r="HW252" i="15" s="1"/>
  <c r="BL252" i="15" s="1"/>
  <c r="CB252" i="15" s="1"/>
  <c r="IE252" i="15"/>
  <c r="IF252" i="15"/>
  <c r="HT244" i="15"/>
  <c r="ID244" i="15"/>
  <c r="IA244" i="15"/>
  <c r="IA236" i="15"/>
  <c r="ID236" i="15"/>
  <c r="HQ228" i="15"/>
  <c r="HI228" i="15" s="1"/>
  <c r="HW228" i="15" s="1"/>
  <c r="BL228" i="15" s="1"/>
  <c r="BY228" i="15" s="1"/>
  <c r="IF228" i="15"/>
  <c r="IE228" i="15"/>
  <c r="ID228" i="15"/>
  <c r="IE212" i="15"/>
  <c r="HT212" i="15"/>
  <c r="HV134" i="15"/>
  <c r="HS134" i="15"/>
  <c r="HK134" i="15" s="1"/>
  <c r="HY134" i="15" s="1"/>
  <c r="BN134" i="15" s="1"/>
  <c r="AS119" i="82"/>
  <c r="AS119" i="83"/>
  <c r="AS119" i="84"/>
  <c r="AS119" i="86"/>
  <c r="AS119" i="85"/>
  <c r="AS119" i="87"/>
  <c r="AS119" i="89"/>
  <c r="AS119" i="88"/>
  <c r="AS119" i="90"/>
  <c r="AS133" i="82"/>
  <c r="AS133" i="83"/>
  <c r="AS133" i="84"/>
  <c r="AS133" i="86"/>
  <c r="AS133" i="85"/>
  <c r="AS133" i="87"/>
  <c r="AS133" i="89"/>
  <c r="AS133" i="88"/>
  <c r="AS133" i="90"/>
  <c r="AS148" i="82"/>
  <c r="AS148" i="84"/>
  <c r="AS148" i="83"/>
  <c r="AS148" i="85"/>
  <c r="AS148" i="86"/>
  <c r="AS148" i="88"/>
  <c r="AS148" i="90"/>
  <c r="AS148" i="87"/>
  <c r="AS148" i="89"/>
  <c r="AS104" i="82"/>
  <c r="AS104" i="84"/>
  <c r="AS104" i="83"/>
  <c r="AS104" i="85"/>
  <c r="AS104" i="86"/>
  <c r="AS104" i="88"/>
  <c r="AS104" i="90"/>
  <c r="AS104" i="87"/>
  <c r="AS104" i="89"/>
  <c r="AS214" i="82"/>
  <c r="AS214" i="83"/>
  <c r="AS214" i="84"/>
  <c r="AS214" i="85"/>
  <c r="AS214" i="86"/>
  <c r="AS214" i="88"/>
  <c r="AS214" i="90"/>
  <c r="AS214" i="87"/>
  <c r="AS214" i="89"/>
  <c r="AS178" i="82"/>
  <c r="AS178" i="83"/>
  <c r="AS178" i="84"/>
  <c r="AS178" i="85"/>
  <c r="AS178" i="86"/>
  <c r="AS178" i="88"/>
  <c r="AS178" i="90"/>
  <c r="AS178" i="87"/>
  <c r="AS178" i="89"/>
  <c r="AS151" i="82"/>
  <c r="AS65" i="82"/>
  <c r="AS65" i="83"/>
  <c r="AS65" i="84"/>
  <c r="AS65" i="86"/>
  <c r="AS65" i="85"/>
  <c r="AS65" i="87"/>
  <c r="AS65" i="89"/>
  <c r="AS65" i="88"/>
  <c r="AS65" i="90"/>
  <c r="AS196" i="82"/>
  <c r="AS196" i="83"/>
  <c r="AS196" i="84"/>
  <c r="AS196" i="85"/>
  <c r="AS196" i="86"/>
  <c r="AS196" i="88"/>
  <c r="AS196" i="90"/>
  <c r="AS196" i="87"/>
  <c r="AS196" i="89"/>
  <c r="AS162" i="82"/>
  <c r="AS162" i="84"/>
  <c r="AS162" i="83"/>
  <c r="AS162" i="85"/>
  <c r="AS162" i="86"/>
  <c r="AS162" i="88"/>
  <c r="AS162" i="90"/>
  <c r="AS162" i="87"/>
  <c r="AS162" i="89"/>
  <c r="AS197" i="87"/>
  <c r="AS189" i="82"/>
  <c r="AS189" i="83"/>
  <c r="AS189" i="85"/>
  <c r="AS189" i="84"/>
  <c r="AS189" i="86"/>
  <c r="AS189" i="87"/>
  <c r="AS189" i="89"/>
  <c r="AS189" i="88"/>
  <c r="AS189" i="90"/>
  <c r="AS113" i="82"/>
  <c r="AS113" i="83"/>
  <c r="AS113" i="84"/>
  <c r="AS113" i="86"/>
  <c r="AS113" i="85"/>
  <c r="AS113" i="87"/>
  <c r="AS113" i="89"/>
  <c r="AS113" i="88"/>
  <c r="AS113" i="90"/>
  <c r="AS96" i="82"/>
  <c r="AS96" i="84"/>
  <c r="AS96" i="83"/>
  <c r="AS96" i="85"/>
  <c r="AS96" i="86"/>
  <c r="AS96" i="88"/>
  <c r="AS96" i="90"/>
  <c r="AS96" i="87"/>
  <c r="AS96" i="89"/>
  <c r="AS116" i="82"/>
  <c r="AS116" i="84"/>
  <c r="AS116" i="83"/>
  <c r="AS116" i="85"/>
  <c r="AS116" i="86"/>
  <c r="AS116" i="88"/>
  <c r="AS116" i="90"/>
  <c r="AS116" i="87"/>
  <c r="AS116" i="89"/>
  <c r="AS26" i="82"/>
  <c r="AS26" i="84"/>
  <c r="AS26" i="83"/>
  <c r="AS26" i="85"/>
  <c r="AS26" i="86"/>
  <c r="AS26" i="88"/>
  <c r="AS26" i="90"/>
  <c r="AS26" i="87"/>
  <c r="AS26" i="89"/>
  <c r="AS44" i="82"/>
  <c r="AS44" i="84"/>
  <c r="AS44" i="83"/>
  <c r="AS44" i="85"/>
  <c r="AS44" i="86"/>
  <c r="AS44" i="88"/>
  <c r="AS44" i="90"/>
  <c r="AS44" i="87"/>
  <c r="AS44" i="89"/>
  <c r="AS124" i="82"/>
  <c r="AS124" i="84"/>
  <c r="AS124" i="83"/>
  <c r="AS124" i="85"/>
  <c r="AS124" i="86"/>
  <c r="AS124" i="88"/>
  <c r="AS124" i="90"/>
  <c r="AS124" i="87"/>
  <c r="AS124" i="89"/>
  <c r="AT79" i="82"/>
  <c r="AT79" i="84"/>
  <c r="AT79" i="83"/>
  <c r="AT79" i="85"/>
  <c r="AT79" i="86"/>
  <c r="AT79" i="88"/>
  <c r="AT79" i="90"/>
  <c r="AT79" i="87"/>
  <c r="AT79" i="89"/>
  <c r="AS180" i="82"/>
  <c r="AS180" i="83"/>
  <c r="AS180" i="84"/>
  <c r="AS180" i="85"/>
  <c r="AS180" i="86"/>
  <c r="AS180" i="88"/>
  <c r="AS180" i="90"/>
  <c r="AS180" i="87"/>
  <c r="AS180" i="89"/>
  <c r="AS155" i="86"/>
  <c r="AS155" i="88"/>
  <c r="AS347" i="82"/>
  <c r="AS347" i="83"/>
  <c r="AS347" i="85"/>
  <c r="AS347" i="84"/>
  <c r="AS347" i="86"/>
  <c r="AS347" i="87"/>
  <c r="AS347" i="89"/>
  <c r="AS347" i="88"/>
  <c r="AS347" i="90"/>
  <c r="AS327" i="82"/>
  <c r="AS327" i="83"/>
  <c r="AS327" i="85"/>
  <c r="AS327" i="84"/>
  <c r="AS327" i="86"/>
  <c r="AS327" i="87"/>
  <c r="AS327" i="89"/>
  <c r="AS327" i="88"/>
  <c r="AS327" i="90"/>
  <c r="AS38" i="82"/>
  <c r="AS38" i="84"/>
  <c r="AS38" i="83"/>
  <c r="AS38" i="85"/>
  <c r="AS38" i="86"/>
  <c r="AS38" i="88"/>
  <c r="AS38" i="90"/>
  <c r="AS38" i="87"/>
  <c r="AS38" i="89"/>
  <c r="AS70" i="82"/>
  <c r="AS70" i="84"/>
  <c r="AS70" i="83"/>
  <c r="AS70" i="85"/>
  <c r="AS70" i="86"/>
  <c r="AS70" i="88"/>
  <c r="AS70" i="90"/>
  <c r="AS70" i="87"/>
  <c r="AS70" i="89"/>
  <c r="AS32" i="84"/>
  <c r="AS32" i="85"/>
  <c r="AS32" i="88"/>
  <c r="AS32" i="87"/>
  <c r="AS215" i="82"/>
  <c r="AS215" i="83"/>
  <c r="AS215" i="85"/>
  <c r="AS215" i="84"/>
  <c r="AS215" i="86"/>
  <c r="AS215" i="87"/>
  <c r="AS215" i="89"/>
  <c r="AS215" i="88"/>
  <c r="AS215" i="90"/>
  <c r="AS207" i="82"/>
  <c r="AS207" i="83"/>
  <c r="AS207" i="85"/>
  <c r="AS207" i="84"/>
  <c r="AS207" i="86"/>
  <c r="AS207" i="87"/>
  <c r="AS207" i="89"/>
  <c r="AS207" i="88"/>
  <c r="AS207" i="90"/>
  <c r="AS206" i="82"/>
  <c r="AS206" i="83"/>
  <c r="AS206" i="84"/>
  <c r="AS206" i="85"/>
  <c r="AS206" i="86"/>
  <c r="AS206" i="88"/>
  <c r="AS206" i="90"/>
  <c r="AS206" i="87"/>
  <c r="AS206" i="89"/>
  <c r="AS172" i="82"/>
  <c r="AS172" i="83"/>
  <c r="AS172" i="84"/>
  <c r="AS172" i="85"/>
  <c r="AS172" i="86"/>
  <c r="AS172" i="88"/>
  <c r="AS172" i="90"/>
  <c r="AS172" i="87"/>
  <c r="AS172" i="89"/>
  <c r="AS164" i="82"/>
  <c r="AS164" i="83"/>
  <c r="AS164" i="84"/>
  <c r="AS164" i="85"/>
  <c r="AS164" i="86"/>
  <c r="AS164" i="88"/>
  <c r="AS164" i="90"/>
  <c r="AS164" i="87"/>
  <c r="AS164" i="89"/>
  <c r="AS146" i="82"/>
  <c r="AS146" i="84"/>
  <c r="AS146" i="83"/>
  <c r="AS146" i="85"/>
  <c r="AS146" i="86"/>
  <c r="AS146" i="88"/>
  <c r="AS146" i="90"/>
  <c r="AS146" i="87"/>
  <c r="AS146" i="89"/>
  <c r="AS140" i="82"/>
  <c r="AS140" i="84"/>
  <c r="AS140" i="83"/>
  <c r="AS140" i="85"/>
  <c r="AS140" i="86"/>
  <c r="AS140" i="88"/>
  <c r="AS140" i="90"/>
  <c r="AS140" i="87"/>
  <c r="AS140" i="89"/>
  <c r="AS98" i="82"/>
  <c r="AS98" i="84"/>
  <c r="AS98" i="83"/>
  <c r="AS98" i="85"/>
  <c r="AS98" i="86"/>
  <c r="AS98" i="88"/>
  <c r="AS98" i="90"/>
  <c r="AS98" i="87"/>
  <c r="AS98" i="89"/>
  <c r="AS257" i="82"/>
  <c r="AS257" i="83"/>
  <c r="AS257" i="85"/>
  <c r="AS257" i="84"/>
  <c r="AS257" i="86"/>
  <c r="AS257" i="87"/>
  <c r="AS257" i="89"/>
  <c r="AS257" i="88"/>
  <c r="AS257" i="90"/>
  <c r="AS307" i="82"/>
  <c r="AS307" i="83"/>
  <c r="AS307" i="85"/>
  <c r="AS307" i="84"/>
  <c r="AS307" i="86"/>
  <c r="AS307" i="87"/>
  <c r="AS307" i="89"/>
  <c r="AS307" i="88"/>
  <c r="AS307" i="90"/>
  <c r="AS167" i="82"/>
  <c r="AS167" i="83"/>
  <c r="AS167" i="84"/>
  <c r="AS167" i="86"/>
  <c r="AS167" i="85"/>
  <c r="AS167" i="87"/>
  <c r="AS167" i="89"/>
  <c r="AS167" i="88"/>
  <c r="AS167" i="90"/>
  <c r="AS159" i="82"/>
  <c r="AS159" i="83"/>
  <c r="AS159" i="84"/>
  <c r="AS159" i="86"/>
  <c r="AS159" i="85"/>
  <c r="AS159" i="87"/>
  <c r="AS159" i="89"/>
  <c r="AS159" i="88"/>
  <c r="AS159" i="90"/>
  <c r="AS147" i="82"/>
  <c r="AS147" i="83"/>
  <c r="AS147" i="84"/>
  <c r="AS147" i="86"/>
  <c r="AS147" i="85"/>
  <c r="AS147" i="87"/>
  <c r="AS147" i="89"/>
  <c r="AS147" i="88"/>
  <c r="AS147" i="90"/>
  <c r="AS191" i="82"/>
  <c r="AS191" i="83"/>
  <c r="AS191" i="85"/>
  <c r="AS191" i="84"/>
  <c r="AS191" i="86"/>
  <c r="AS191" i="87"/>
  <c r="AS191" i="89"/>
  <c r="AS191" i="88"/>
  <c r="AS191" i="90"/>
  <c r="AS199" i="82"/>
  <c r="AS199" i="83"/>
  <c r="AS199" i="85"/>
  <c r="AS199" i="84"/>
  <c r="AS199" i="86"/>
  <c r="AS199" i="87"/>
  <c r="AS199" i="89"/>
  <c r="AS199" i="88"/>
  <c r="AS199" i="90"/>
  <c r="AS193" i="82"/>
  <c r="AS193" i="83"/>
  <c r="AS193" i="85"/>
  <c r="AS193" i="84"/>
  <c r="AS193" i="86"/>
  <c r="AS193" i="87"/>
  <c r="AS193" i="89"/>
  <c r="AS193" i="88"/>
  <c r="AS193" i="90"/>
  <c r="AS83" i="82"/>
  <c r="AS83" i="83"/>
  <c r="AS83" i="84"/>
  <c r="AS83" i="86"/>
  <c r="AS83" i="85"/>
  <c r="AS83" i="87"/>
  <c r="AS83" i="89"/>
  <c r="AS83" i="88"/>
  <c r="AS83" i="90"/>
  <c r="AS97" i="82"/>
  <c r="AS97" i="83"/>
  <c r="AS97" i="84"/>
  <c r="AS97" i="86"/>
  <c r="AS97" i="85"/>
  <c r="AS97" i="87"/>
  <c r="AS97" i="89"/>
  <c r="AS97" i="88"/>
  <c r="AS97" i="90"/>
  <c r="AS175" i="82"/>
  <c r="AS175" i="83"/>
  <c r="AS175" i="84"/>
  <c r="AS175" i="86"/>
  <c r="AS175" i="85"/>
  <c r="AS175" i="87"/>
  <c r="AS175" i="89"/>
  <c r="AS175" i="88"/>
  <c r="AS175" i="90"/>
  <c r="AS138" i="82"/>
  <c r="AS138" i="84"/>
  <c r="AS138" i="83"/>
  <c r="AS138" i="85"/>
  <c r="AS138" i="86"/>
  <c r="AS138" i="88"/>
  <c r="AS138" i="90"/>
  <c r="AS138" i="87"/>
  <c r="AS138" i="89"/>
  <c r="AS48" i="83"/>
  <c r="AS48" i="90"/>
  <c r="AS111" i="82"/>
  <c r="AS111" i="83"/>
  <c r="AS111" i="84"/>
  <c r="AS111" i="86"/>
  <c r="AS111" i="85"/>
  <c r="AS111" i="87"/>
  <c r="AS111" i="89"/>
  <c r="AS111" i="88"/>
  <c r="AS111" i="90"/>
  <c r="AS79" i="82"/>
  <c r="AS79" i="84"/>
  <c r="AS79" i="85"/>
  <c r="AS79" i="89"/>
  <c r="AS79" i="90"/>
  <c r="AS132" i="82"/>
  <c r="AS132" i="84"/>
  <c r="AS132" i="83"/>
  <c r="AS132" i="85"/>
  <c r="AS132" i="86"/>
  <c r="AS132" i="88"/>
  <c r="AS132" i="90"/>
  <c r="AS132" i="87"/>
  <c r="AS132" i="89"/>
  <c r="AS63" i="82"/>
  <c r="AS63" i="83"/>
  <c r="AS63" i="84"/>
  <c r="AS63" i="86"/>
  <c r="AS63" i="85"/>
  <c r="AS63" i="87"/>
  <c r="AS63" i="89"/>
  <c r="AS63" i="88"/>
  <c r="AS63" i="90"/>
  <c r="AS187" i="82"/>
  <c r="AS187" i="83"/>
  <c r="AS187" i="85"/>
  <c r="AS187" i="84"/>
  <c r="AS187" i="86"/>
  <c r="AS187" i="87"/>
  <c r="AS187" i="89"/>
  <c r="AS187" i="88"/>
  <c r="AS187" i="90"/>
  <c r="AS204" i="82"/>
  <c r="AS204" i="83"/>
  <c r="AS204" i="84"/>
  <c r="AS204" i="85"/>
  <c r="AS204" i="86"/>
  <c r="AS204" i="88"/>
  <c r="AS204" i="90"/>
  <c r="AS204" i="87"/>
  <c r="AS204" i="89"/>
  <c r="AS211" i="82"/>
  <c r="AS211" i="83"/>
  <c r="AS211" i="85"/>
  <c r="AS211" i="84"/>
  <c r="AS211" i="86"/>
  <c r="AS211" i="87"/>
  <c r="AS211" i="89"/>
  <c r="AS211" i="88"/>
  <c r="AS211" i="90"/>
  <c r="AS195" i="82"/>
  <c r="AS195" i="83"/>
  <c r="AS195" i="85"/>
  <c r="AS195" i="84"/>
  <c r="AS195" i="86"/>
  <c r="AS195" i="87"/>
  <c r="AS195" i="89"/>
  <c r="AS195" i="88"/>
  <c r="AS195" i="90"/>
  <c r="AS87" i="82"/>
  <c r="AS87" i="83"/>
  <c r="AS87" i="84"/>
  <c r="AS87" i="86"/>
  <c r="AS87" i="85"/>
  <c r="AS87" i="87"/>
  <c r="AS87" i="89"/>
  <c r="AS87" i="88"/>
  <c r="AS87" i="90"/>
  <c r="AS219" i="82"/>
  <c r="AS219" i="83"/>
  <c r="AS219" i="85"/>
  <c r="AS219" i="84"/>
  <c r="AS219" i="86"/>
  <c r="AS219" i="87"/>
  <c r="AS219" i="89"/>
  <c r="AS219" i="88"/>
  <c r="AS219" i="90"/>
  <c r="AS203" i="87"/>
  <c r="AS244" i="82"/>
  <c r="AS244" i="85"/>
  <c r="AS244" i="90"/>
  <c r="AS275" i="90"/>
  <c r="AS205" i="82"/>
  <c r="AS205" i="83"/>
  <c r="AS205" i="85"/>
  <c r="AS205" i="84"/>
  <c r="AS205" i="86"/>
  <c r="AS205" i="87"/>
  <c r="AS205" i="89"/>
  <c r="AS205" i="88"/>
  <c r="AS205" i="90"/>
  <c r="AS173" i="82"/>
  <c r="AS173" i="83"/>
  <c r="AS173" i="84"/>
  <c r="AS173" i="86"/>
  <c r="AS173" i="85"/>
  <c r="AS173" i="87"/>
  <c r="AS173" i="89"/>
  <c r="AS173" i="88"/>
  <c r="AS173" i="90"/>
  <c r="AS144" i="87"/>
  <c r="AS176" i="90"/>
  <c r="AS216" i="83"/>
  <c r="AS216" i="85"/>
  <c r="AS216" i="88"/>
  <c r="AS216" i="87"/>
  <c r="AS184" i="82"/>
  <c r="AS184" i="83"/>
  <c r="AS184" i="84"/>
  <c r="AS184" i="85"/>
  <c r="AS184" i="86"/>
  <c r="AS184" i="88"/>
  <c r="AS184" i="90"/>
  <c r="AS184" i="87"/>
  <c r="AS184" i="89"/>
  <c r="AS331" i="82"/>
  <c r="AS331" i="83"/>
  <c r="AS331" i="85"/>
  <c r="AS331" i="84"/>
  <c r="AS331" i="86"/>
  <c r="AS331" i="87"/>
  <c r="AS331" i="89"/>
  <c r="AS331" i="88"/>
  <c r="AS331" i="90"/>
  <c r="AS299" i="82"/>
  <c r="AS299" i="83"/>
  <c r="AS299" i="85"/>
  <c r="AS299" i="84"/>
  <c r="AS299" i="86"/>
  <c r="AS299" i="87"/>
  <c r="AS299" i="89"/>
  <c r="AS299" i="88"/>
  <c r="AS299" i="90"/>
  <c r="AS267" i="82"/>
  <c r="AS267" i="83"/>
  <c r="AS267" i="85"/>
  <c r="AS267" i="84"/>
  <c r="AS267" i="86"/>
  <c r="AS267" i="87"/>
  <c r="AS267" i="89"/>
  <c r="AS267" i="88"/>
  <c r="AS267" i="90"/>
  <c r="AS303" i="82"/>
  <c r="AS303" i="83"/>
  <c r="AS303" i="85"/>
  <c r="AS303" i="84"/>
  <c r="AS303" i="86"/>
  <c r="AS303" i="87"/>
  <c r="AS303" i="89"/>
  <c r="AS303" i="88"/>
  <c r="AS303" i="90"/>
  <c r="AS183" i="82"/>
  <c r="AS183" i="83"/>
  <c r="AS183" i="84"/>
  <c r="AS183" i="86"/>
  <c r="AS183" i="85"/>
  <c r="AS183" i="87"/>
  <c r="AS183" i="89"/>
  <c r="AS183" i="88"/>
  <c r="AS183" i="90"/>
  <c r="AS143" i="82"/>
  <c r="AS143" i="83"/>
  <c r="AS143" i="84"/>
  <c r="AS143" i="86"/>
  <c r="AS143" i="85"/>
  <c r="AS143" i="87"/>
  <c r="AS143" i="89"/>
  <c r="AS143" i="88"/>
  <c r="AS143" i="90"/>
  <c r="AS135" i="82"/>
  <c r="AS135" i="83"/>
  <c r="AS135" i="84"/>
  <c r="AS135" i="86"/>
  <c r="AS135" i="85"/>
  <c r="AS135" i="87"/>
  <c r="AS135" i="89"/>
  <c r="AS135" i="88"/>
  <c r="AS135" i="90"/>
  <c r="AS55" i="82"/>
  <c r="AS55" i="83"/>
  <c r="AS55" i="84"/>
  <c r="AS55" i="86"/>
  <c r="AS55" i="85"/>
  <c r="AS55" i="87"/>
  <c r="AS55" i="89"/>
  <c r="AS55" i="88"/>
  <c r="AS55" i="90"/>
  <c r="AS192" i="82"/>
  <c r="AS192" i="83"/>
  <c r="AS192" i="84"/>
  <c r="AS192" i="85"/>
  <c r="AS192" i="86"/>
  <c r="AS192" i="88"/>
  <c r="AS192" i="90"/>
  <c r="AS192" i="87"/>
  <c r="AS192" i="89"/>
  <c r="AS46" i="85"/>
  <c r="AS46" i="87"/>
  <c r="AS194" i="82"/>
  <c r="AS194" i="83"/>
  <c r="AS194" i="84"/>
  <c r="AS194" i="85"/>
  <c r="AS194" i="86"/>
  <c r="AS194" i="88"/>
  <c r="AS194" i="90"/>
  <c r="AS194" i="87"/>
  <c r="AS194" i="89"/>
  <c r="AS263" i="82"/>
  <c r="AS263" i="83"/>
  <c r="AS263" i="85"/>
  <c r="AS263" i="84"/>
  <c r="AS263" i="86"/>
  <c r="AS263" i="87"/>
  <c r="AS263" i="89"/>
  <c r="AS263" i="88"/>
  <c r="AS263" i="90"/>
  <c r="AS231" i="82"/>
  <c r="AS231" i="83"/>
  <c r="AS231" i="85"/>
  <c r="AS231" i="84"/>
  <c r="AS231" i="86"/>
  <c r="AS231" i="87"/>
  <c r="AS231" i="89"/>
  <c r="AS231" i="88"/>
  <c r="AS231" i="90"/>
  <c r="AS312" i="82"/>
  <c r="AS312" i="84"/>
  <c r="AS312" i="87"/>
  <c r="AS312" i="88"/>
  <c r="AS312" i="89"/>
  <c r="AS248" i="82"/>
  <c r="AS259" i="82"/>
  <c r="AS259" i="83"/>
  <c r="AS259" i="85"/>
  <c r="AS259" i="84"/>
  <c r="AS259" i="86"/>
  <c r="AS259" i="87"/>
  <c r="AS259" i="89"/>
  <c r="AS259" i="88"/>
  <c r="AS259" i="90"/>
  <c r="AS247" i="82"/>
  <c r="AS247" i="83"/>
  <c r="AS247" i="85"/>
  <c r="AS247" i="84"/>
  <c r="AS247" i="86"/>
  <c r="AS247" i="87"/>
  <c r="AS247" i="89"/>
  <c r="AS247" i="88"/>
  <c r="AS247" i="90"/>
  <c r="AS256" i="82"/>
  <c r="AS256" i="83"/>
  <c r="AS256" i="84"/>
  <c r="AS256" i="85"/>
  <c r="AS256" i="87"/>
  <c r="AS256" i="86"/>
  <c r="AS256" i="88"/>
  <c r="AS256" i="90"/>
  <c r="AS256" i="89"/>
  <c r="AS328" i="82"/>
  <c r="AS328" i="83"/>
  <c r="AS328" i="84"/>
  <c r="AS328" i="85"/>
  <c r="AS328" i="87"/>
  <c r="AS328" i="86"/>
  <c r="AS328" i="88"/>
  <c r="AS328" i="90"/>
  <c r="AS328" i="89"/>
  <c r="HR29" i="15"/>
  <c r="HJ29" i="15" s="1"/>
  <c r="AW29" i="5"/>
  <c r="AV73" i="5"/>
  <c r="AW73" i="5"/>
  <c r="AY113" i="5"/>
  <c r="AY96" i="5"/>
  <c r="AU107" i="5"/>
  <c r="AV56" i="5"/>
  <c r="HR304" i="15"/>
  <c r="HJ304" i="15" s="1"/>
  <c r="HX304" i="15" s="1"/>
  <c r="HR292" i="15"/>
  <c r="HJ292" i="15" s="1"/>
  <c r="HX292" i="15" s="1"/>
  <c r="BM292" i="15" s="1"/>
  <c r="HR284" i="15"/>
  <c r="HJ284" i="15" s="1"/>
  <c r="HX284" i="15" s="1"/>
  <c r="HR276" i="15"/>
  <c r="HJ276" i="15" s="1"/>
  <c r="HX276" i="15" s="1"/>
  <c r="BM276" i="15" s="1"/>
  <c r="FU276" i="15" s="1"/>
  <c r="AS42" i="82"/>
  <c r="AS42" i="84"/>
  <c r="AS42" i="83"/>
  <c r="AS42" i="85"/>
  <c r="AS42" i="86"/>
  <c r="AS42" i="88"/>
  <c r="AS42" i="90"/>
  <c r="AS42" i="87"/>
  <c r="AS42" i="89"/>
  <c r="AS88" i="82"/>
  <c r="AS88" i="84"/>
  <c r="AS88" i="83"/>
  <c r="AS88" i="85"/>
  <c r="AS88" i="86"/>
  <c r="AS88" i="88"/>
  <c r="AS88" i="90"/>
  <c r="AS88" i="87"/>
  <c r="AS88" i="89"/>
  <c r="AS241" i="82"/>
  <c r="AS241" i="83"/>
  <c r="AS241" i="85"/>
  <c r="AS241" i="84"/>
  <c r="AS241" i="86"/>
  <c r="AS241" i="87"/>
  <c r="AS241" i="89"/>
  <c r="AS241" i="88"/>
  <c r="AS241" i="90"/>
  <c r="AS188" i="82"/>
  <c r="AS188" i="83"/>
  <c r="AS188" i="84"/>
  <c r="AS188" i="85"/>
  <c r="AS188" i="86"/>
  <c r="AS188" i="88"/>
  <c r="AS188" i="90"/>
  <c r="AS188" i="87"/>
  <c r="AS188" i="89"/>
  <c r="AS154" i="82"/>
  <c r="AS154" i="84"/>
  <c r="AS154" i="83"/>
  <c r="AS154" i="85"/>
  <c r="AS154" i="86"/>
  <c r="AS154" i="88"/>
  <c r="AS154" i="90"/>
  <c r="AS154" i="87"/>
  <c r="AS154" i="89"/>
  <c r="AS86" i="82"/>
  <c r="AS86" i="84"/>
  <c r="AS86" i="83"/>
  <c r="AS86" i="85"/>
  <c r="AS86" i="86"/>
  <c r="AS86" i="88"/>
  <c r="AS86" i="90"/>
  <c r="AS86" i="87"/>
  <c r="AS86" i="89"/>
  <c r="AS149" i="82"/>
  <c r="AS149" i="83"/>
  <c r="AS149" i="84"/>
  <c r="AS149" i="86"/>
  <c r="AS149" i="85"/>
  <c r="AS149" i="87"/>
  <c r="AS149" i="89"/>
  <c r="AS149" i="88"/>
  <c r="AS149" i="90"/>
  <c r="AS198" i="82"/>
  <c r="AS198" i="83"/>
  <c r="AS198" i="84"/>
  <c r="AS198" i="85"/>
  <c r="AS198" i="86"/>
  <c r="AS198" i="88"/>
  <c r="AS198" i="90"/>
  <c r="AS198" i="87"/>
  <c r="AS198" i="89"/>
  <c r="AS190" i="82"/>
  <c r="AS190" i="83"/>
  <c r="AS190" i="84"/>
  <c r="AS190" i="85"/>
  <c r="AS190" i="86"/>
  <c r="AS190" i="88"/>
  <c r="AS190" i="90"/>
  <c r="AS190" i="87"/>
  <c r="AS190" i="89"/>
  <c r="AS78" i="82"/>
  <c r="AS78" i="84"/>
  <c r="AS78" i="83"/>
  <c r="AS78" i="85"/>
  <c r="AS78" i="86"/>
  <c r="AS78" i="88"/>
  <c r="AS78" i="90"/>
  <c r="AS78" i="87"/>
  <c r="AS78" i="89"/>
  <c r="AS127" i="82"/>
  <c r="AS127" i="83"/>
  <c r="AS127" i="84"/>
  <c r="AS127" i="86"/>
  <c r="AS127" i="85"/>
  <c r="AS127" i="87"/>
  <c r="AS127" i="89"/>
  <c r="AS127" i="88"/>
  <c r="AS127" i="90"/>
  <c r="AS71" i="82"/>
  <c r="AS71" i="83"/>
  <c r="AS71" i="84"/>
  <c r="AS71" i="86"/>
  <c r="AS71" i="85"/>
  <c r="AS71" i="87"/>
  <c r="AS71" i="89"/>
  <c r="AS71" i="88"/>
  <c r="AS71" i="90"/>
  <c r="AS130" i="82"/>
  <c r="AS130" i="84"/>
  <c r="AS130" i="83"/>
  <c r="AS130" i="85"/>
  <c r="AS130" i="86"/>
  <c r="AS130" i="88"/>
  <c r="AS130" i="90"/>
  <c r="AS130" i="87"/>
  <c r="AS130" i="89"/>
  <c r="AS323" i="82"/>
  <c r="AS323" i="83"/>
  <c r="AS323" i="85"/>
  <c r="AS323" i="84"/>
  <c r="AS323" i="86"/>
  <c r="AS323" i="87"/>
  <c r="AS323" i="89"/>
  <c r="AS323" i="88"/>
  <c r="AS323" i="90"/>
  <c r="AS179" i="82"/>
  <c r="AS179" i="83"/>
  <c r="AS179" i="84"/>
  <c r="AS179" i="86"/>
  <c r="AS179" i="85"/>
  <c r="AS179" i="87"/>
  <c r="AS179" i="89"/>
  <c r="AS179" i="88"/>
  <c r="AS179" i="90"/>
  <c r="AS170" i="82"/>
  <c r="AS170" i="83"/>
  <c r="AS170" i="84"/>
  <c r="AS170" i="85"/>
  <c r="AS170" i="86"/>
  <c r="AS170" i="88"/>
  <c r="AS170" i="90"/>
  <c r="AS170" i="87"/>
  <c r="AS170" i="89"/>
  <c r="AS186" i="82"/>
  <c r="AS186" i="83"/>
  <c r="AS186" i="84"/>
  <c r="AS186" i="85"/>
  <c r="AS186" i="86"/>
  <c r="AS186" i="88"/>
  <c r="AS186" i="90"/>
  <c r="AS186" i="87"/>
  <c r="AS186" i="89"/>
  <c r="AS171" i="82"/>
  <c r="AS171" i="83"/>
  <c r="AS171" i="84"/>
  <c r="AS171" i="86"/>
  <c r="AS171" i="85"/>
  <c r="AS171" i="87"/>
  <c r="AS171" i="89"/>
  <c r="AS171" i="88"/>
  <c r="AS171" i="90"/>
  <c r="AS131" i="84"/>
  <c r="AS81" i="82"/>
  <c r="AS81" i="83"/>
  <c r="AS81" i="84"/>
  <c r="AS81" i="86"/>
  <c r="AS81" i="85"/>
  <c r="AS81" i="87"/>
  <c r="AS81" i="89"/>
  <c r="AS81" i="88"/>
  <c r="AS81" i="90"/>
  <c r="AS85" i="82"/>
  <c r="AS85" i="83"/>
  <c r="AS85" i="84"/>
  <c r="AS85" i="86"/>
  <c r="AS85" i="85"/>
  <c r="AS85" i="87"/>
  <c r="AS85" i="89"/>
  <c r="AS85" i="88"/>
  <c r="AS85" i="90"/>
  <c r="AS213" i="82"/>
  <c r="AS213" i="83"/>
  <c r="AS213" i="85"/>
  <c r="AS213" i="84"/>
  <c r="AS213" i="86"/>
  <c r="AS213" i="87"/>
  <c r="AS213" i="89"/>
  <c r="AS213" i="88"/>
  <c r="AS213" i="90"/>
  <c r="AS208" i="82"/>
  <c r="AS208" i="83"/>
  <c r="AS208" i="84"/>
  <c r="AS208" i="85"/>
  <c r="AS208" i="86"/>
  <c r="AS208" i="88"/>
  <c r="AS208" i="90"/>
  <c r="AS208" i="87"/>
  <c r="AS208" i="89"/>
  <c r="AS320" i="82"/>
  <c r="AS320" i="83"/>
  <c r="AS320" i="84"/>
  <c r="AS320" i="85"/>
  <c r="AS320" i="87"/>
  <c r="AS320" i="86"/>
  <c r="AS320" i="88"/>
  <c r="AS320" i="90"/>
  <c r="AS320" i="89"/>
  <c r="AS160" i="82"/>
  <c r="AS160" i="83"/>
  <c r="AS160" i="84"/>
  <c r="AS160" i="85"/>
  <c r="AS160" i="86"/>
  <c r="AS160" i="88"/>
  <c r="AS160" i="90"/>
  <c r="AS160" i="87"/>
  <c r="AS160" i="89"/>
  <c r="AS225" i="82"/>
  <c r="AS225" i="83"/>
  <c r="AS225" i="85"/>
  <c r="AS225" i="84"/>
  <c r="AS225" i="86"/>
  <c r="AS225" i="87"/>
  <c r="AS225" i="89"/>
  <c r="AS225" i="88"/>
  <c r="AS225" i="90"/>
  <c r="AS200" i="82"/>
  <c r="AS200" i="83"/>
  <c r="AS200" i="84"/>
  <c r="AS200" i="85"/>
  <c r="AS200" i="86"/>
  <c r="AS200" i="88"/>
  <c r="AS200" i="90"/>
  <c r="AS200" i="87"/>
  <c r="AS200" i="89"/>
  <c r="AS152" i="82"/>
  <c r="AS152" i="84"/>
  <c r="AS152" i="83"/>
  <c r="AS152" i="85"/>
  <c r="AS152" i="86"/>
  <c r="AS152" i="88"/>
  <c r="AS152" i="90"/>
  <c r="AS152" i="87"/>
  <c r="AS152" i="89"/>
  <c r="AS68" i="82"/>
  <c r="AS68" i="84"/>
  <c r="AS68" i="83"/>
  <c r="AS68" i="85"/>
  <c r="AS68" i="86"/>
  <c r="AS68" i="88"/>
  <c r="AS68" i="90"/>
  <c r="AS68" i="87"/>
  <c r="AS68" i="89"/>
  <c r="AS343" i="82"/>
  <c r="AS343" i="83"/>
  <c r="AS343" i="85"/>
  <c r="AS343" i="84"/>
  <c r="AS343" i="86"/>
  <c r="AS343" i="87"/>
  <c r="AS343" i="89"/>
  <c r="AS343" i="88"/>
  <c r="AS343" i="90"/>
  <c r="AS291" i="82"/>
  <c r="AS291" i="83"/>
  <c r="AS291" i="85"/>
  <c r="AS291" i="84"/>
  <c r="AS291" i="86"/>
  <c r="AS291" i="87"/>
  <c r="AS291" i="89"/>
  <c r="AS291" i="88"/>
  <c r="AS291" i="90"/>
  <c r="AS283" i="82"/>
  <c r="AS283" i="83"/>
  <c r="AS283" i="85"/>
  <c r="AS283" i="84"/>
  <c r="AS283" i="86"/>
  <c r="AS283" i="87"/>
  <c r="AS283" i="89"/>
  <c r="AS283" i="88"/>
  <c r="AS283" i="90"/>
  <c r="AS139" i="83"/>
  <c r="AS139" i="86"/>
  <c r="AS139" i="87"/>
  <c r="AS139" i="88"/>
  <c r="AS150" i="86"/>
  <c r="AS182" i="84"/>
  <c r="AS182" i="90"/>
  <c r="AS174" i="82"/>
  <c r="AS174" i="83"/>
  <c r="AS174" i="84"/>
  <c r="AS174" i="85"/>
  <c r="AS174" i="86"/>
  <c r="AS174" i="88"/>
  <c r="AS174" i="90"/>
  <c r="AS174" i="87"/>
  <c r="AS174" i="89"/>
  <c r="AS264" i="89"/>
  <c r="AS227" i="82"/>
  <c r="AS227" i="83"/>
  <c r="AS227" i="85"/>
  <c r="AS227" i="84"/>
  <c r="AS227" i="86"/>
  <c r="AS227" i="87"/>
  <c r="AS227" i="89"/>
  <c r="AS227" i="88"/>
  <c r="AS227" i="90"/>
  <c r="AS335" i="82"/>
  <c r="AS335" i="83"/>
  <c r="AS335" i="85"/>
  <c r="AS335" i="84"/>
  <c r="AS335" i="86"/>
  <c r="AS335" i="87"/>
  <c r="AS335" i="89"/>
  <c r="AS335" i="88"/>
  <c r="AS335" i="90"/>
  <c r="AS279" i="82"/>
  <c r="AS279" i="83"/>
  <c r="AS279" i="85"/>
  <c r="AS279" i="84"/>
  <c r="AS279" i="86"/>
  <c r="AS279" i="87"/>
  <c r="AS279" i="89"/>
  <c r="AS279" i="88"/>
  <c r="AS279" i="90"/>
  <c r="AS232" i="82"/>
  <c r="AS232" i="83"/>
  <c r="AS232" i="84"/>
  <c r="AS232" i="85"/>
  <c r="AS232" i="87"/>
  <c r="AS232" i="86"/>
  <c r="AS232" i="88"/>
  <c r="AS232" i="90"/>
  <c r="AS232" i="89"/>
  <c r="AS296" i="85"/>
  <c r="AS296" i="90"/>
  <c r="AS278" i="82"/>
  <c r="AS278" i="83"/>
  <c r="AS278" i="84"/>
  <c r="AS278" i="85"/>
  <c r="AS278" i="87"/>
  <c r="AS278" i="86"/>
  <c r="AS278" i="88"/>
  <c r="AS278" i="90"/>
  <c r="AS278" i="89"/>
  <c r="AV23" i="5"/>
  <c r="AW24" i="5"/>
  <c r="AY24" i="5" s="1"/>
  <c r="AS38" i="91"/>
  <c r="AS70" i="91"/>
  <c r="AS215" i="91"/>
  <c r="AS207" i="91"/>
  <c r="AS206" i="91"/>
  <c r="AS172" i="91"/>
  <c r="AS164" i="91"/>
  <c r="AS146" i="91"/>
  <c r="AS140" i="91"/>
  <c r="AS98" i="91"/>
  <c r="AS257" i="91"/>
  <c r="AS307" i="91"/>
  <c r="AS167" i="91"/>
  <c r="AS159" i="91"/>
  <c r="AS147" i="91"/>
  <c r="AS191" i="91"/>
  <c r="AS199" i="91"/>
  <c r="AS193" i="91"/>
  <c r="AS83" i="91"/>
  <c r="AS97" i="91"/>
  <c r="AS175" i="91"/>
  <c r="AS138" i="91"/>
  <c r="AS111" i="91"/>
  <c r="AS79" i="91"/>
  <c r="AS132" i="91"/>
  <c r="AS63" i="91"/>
  <c r="AS187" i="91"/>
  <c r="AS204" i="91"/>
  <c r="AS211" i="91"/>
  <c r="AS195" i="91"/>
  <c r="AS87" i="91"/>
  <c r="AS219" i="91"/>
  <c r="AS213" i="91"/>
  <c r="AS208" i="91"/>
  <c r="AS320" i="91"/>
  <c r="AS160" i="91"/>
  <c r="AS225" i="91"/>
  <c r="AS200" i="91"/>
  <c r="AS152" i="91"/>
  <c r="AS68" i="91"/>
  <c r="AS343" i="91"/>
  <c r="AS291" i="91"/>
  <c r="AS283" i="91"/>
  <c r="AS174" i="91"/>
  <c r="AS227" i="91"/>
  <c r="AS335" i="91"/>
  <c r="AS279" i="91"/>
  <c r="AS232" i="91"/>
  <c r="AS278" i="91"/>
  <c r="HT240" i="15"/>
  <c r="ID240" i="15"/>
  <c r="IE240" i="15"/>
  <c r="IF240" i="15"/>
  <c r="IA240" i="15"/>
  <c r="HQ240" i="15"/>
  <c r="HI240" i="15" s="1"/>
  <c r="HW240" i="15" s="1"/>
  <c r="BL240" i="15" s="1"/>
  <c r="CB240" i="15" s="1"/>
  <c r="ID230" i="15"/>
  <c r="HQ230" i="15"/>
  <c r="HI230" i="15" s="1"/>
  <c r="HW230" i="15" s="1"/>
  <c r="BL230" i="15" s="1"/>
  <c r="BO230" i="15" s="1"/>
  <c r="IF230" i="15"/>
  <c r="IE230" i="15"/>
  <c r="IA230" i="15"/>
  <c r="HT230" i="15"/>
  <c r="IF198" i="15"/>
  <c r="ID198" i="15"/>
  <c r="IE198" i="15"/>
  <c r="HT198" i="15"/>
  <c r="HQ198" i="15"/>
  <c r="HI198" i="15" s="1"/>
  <c r="HW198" i="15" s="1"/>
  <c r="BL198" i="15" s="1"/>
  <c r="IC198" i="15"/>
  <c r="IA198" i="15"/>
  <c r="HV336" i="15"/>
  <c r="HS336" i="15"/>
  <c r="HK336" i="15" s="1"/>
  <c r="HY336" i="15" s="1"/>
  <c r="BN336" i="15" s="1"/>
  <c r="AS336" i="65" s="1"/>
  <c r="HS130" i="15"/>
  <c r="HK130" i="15" s="1"/>
  <c r="HY130" i="15" s="1"/>
  <c r="BN130" i="15" s="1"/>
  <c r="IC130" i="15"/>
  <c r="HS242" i="15"/>
  <c r="HK242" i="15" s="1"/>
  <c r="HY242" i="15" s="1"/>
  <c r="BN242" i="15" s="1"/>
  <c r="HV242" i="15"/>
  <c r="HS258" i="15"/>
  <c r="HK258" i="15" s="1"/>
  <c r="HY258" i="15" s="1"/>
  <c r="BN258" i="15" s="1"/>
  <c r="IC258" i="15"/>
  <c r="HQ144" i="15"/>
  <c r="HI144" i="15" s="1"/>
  <c r="HW144" i="15" s="1"/>
  <c r="BL144" i="15" s="1"/>
  <c r="FT144" i="15" s="1"/>
  <c r="HT144" i="15"/>
  <c r="IE176" i="15"/>
  <c r="ID176" i="15"/>
  <c r="IE208" i="15"/>
  <c r="ID208" i="15"/>
  <c r="IF208" i="15"/>
  <c r="HT224" i="15"/>
  <c r="IF224" i="15"/>
  <c r="IF248" i="15"/>
  <c r="IF264" i="15"/>
  <c r="ID264" i="15"/>
  <c r="HT264" i="15"/>
  <c r="IA296" i="15"/>
  <c r="HQ296" i="15"/>
  <c r="HI296" i="15" s="1"/>
  <c r="HW296" i="15" s="1"/>
  <c r="BL296" i="15" s="1"/>
  <c r="BO296" i="15" s="1"/>
  <c r="HQ320" i="15"/>
  <c r="HI320" i="15" s="1"/>
  <c r="HW320" i="15" s="1"/>
  <c r="BL320" i="15" s="1"/>
  <c r="BV320" i="15" s="1"/>
  <c r="IC320" i="15"/>
  <c r="IE202" i="15"/>
  <c r="HT202" i="15"/>
  <c r="IA202" i="15"/>
  <c r="ID202" i="15"/>
  <c r="IA222" i="15"/>
  <c r="ID222" i="15"/>
  <c r="HT222" i="15"/>
  <c r="HT238" i="15"/>
  <c r="IE238" i="15"/>
  <c r="IF238" i="15"/>
  <c r="IC238" i="15"/>
  <c r="ID238" i="15"/>
  <c r="IF254" i="15"/>
  <c r="IE270" i="15"/>
  <c r="HQ270" i="15"/>
  <c r="HI270" i="15" s="1"/>
  <c r="HW270" i="15" s="1"/>
  <c r="BL270" i="15" s="1"/>
  <c r="FT270" i="15" s="1"/>
  <c r="IC270" i="15"/>
  <c r="ID270" i="15"/>
  <c r="HQ282" i="15"/>
  <c r="HI282" i="15" s="1"/>
  <c r="HW282" i="15" s="1"/>
  <c r="BL282" i="15" s="1"/>
  <c r="BV282" i="15" s="1"/>
  <c r="IA282" i="15"/>
  <c r="IE282" i="15"/>
  <c r="IF282" i="15"/>
  <c r="HQ298" i="15"/>
  <c r="HI298" i="15" s="1"/>
  <c r="HW298" i="15" s="1"/>
  <c r="BL298" i="15" s="1"/>
  <c r="BV298" i="15" s="1"/>
  <c r="IA298" i="15"/>
  <c r="ID298" i="15"/>
  <c r="IF298" i="15"/>
  <c r="IE298" i="15"/>
  <c r="HT298" i="15"/>
  <c r="ID314" i="15"/>
  <c r="IE314" i="15"/>
  <c r="IF314" i="15"/>
  <c r="IA314" i="15"/>
  <c r="HQ314" i="15"/>
  <c r="HI314" i="15" s="1"/>
  <c r="HW314" i="15" s="1"/>
  <c r="BL314" i="15" s="1"/>
  <c r="HT314" i="15"/>
  <c r="ID330" i="15"/>
  <c r="IA330" i="15"/>
  <c r="HQ330" i="15"/>
  <c r="HI330" i="15" s="1"/>
  <c r="HW330" i="15" s="1"/>
  <c r="BL330" i="15" s="1"/>
  <c r="CB330" i="15" s="1"/>
  <c r="IE330" i="15"/>
  <c r="IF330" i="15"/>
  <c r="HT330" i="15"/>
  <c r="ID346" i="15"/>
  <c r="IE346" i="15"/>
  <c r="IF346" i="15"/>
  <c r="HT346" i="15"/>
  <c r="ID80" i="15"/>
  <c r="IE80" i="15"/>
  <c r="HV220" i="15"/>
  <c r="HS220" i="15"/>
  <c r="HK220" i="15" s="1"/>
  <c r="HY220" i="15" s="1"/>
  <c r="BN220" i="15" s="1"/>
  <c r="HS196" i="15"/>
  <c r="HK196" i="15" s="1"/>
  <c r="HY196" i="15" s="1"/>
  <c r="BN196" i="15" s="1"/>
  <c r="BQ196" i="15" s="1"/>
  <c r="HV196" i="15"/>
  <c r="IF136" i="15"/>
  <c r="IE136" i="15"/>
  <c r="ID136" i="15"/>
  <c r="HT136" i="15"/>
  <c r="IC296" i="15"/>
  <c r="IC254" i="15"/>
  <c r="IC176" i="15"/>
  <c r="AS42" i="91"/>
  <c r="AS119" i="91"/>
  <c r="AS88" i="91"/>
  <c r="AS133" i="91"/>
  <c r="AS241" i="91"/>
  <c r="AS188" i="91"/>
  <c r="AS154" i="91"/>
  <c r="AS148" i="91"/>
  <c r="AS86" i="91"/>
  <c r="AS104" i="91"/>
  <c r="AS149" i="91"/>
  <c r="AS214" i="91"/>
  <c r="AS178" i="91"/>
  <c r="AS65" i="91"/>
  <c r="AS198" i="91"/>
  <c r="AS196" i="91"/>
  <c r="AS190" i="91"/>
  <c r="AS162" i="91"/>
  <c r="AS78" i="91"/>
  <c r="AS189" i="91"/>
  <c r="AS127" i="91"/>
  <c r="AS113" i="91"/>
  <c r="AS96" i="91"/>
  <c r="AS116" i="91"/>
  <c r="AS26" i="91"/>
  <c r="AS44" i="91"/>
  <c r="AS71" i="91"/>
  <c r="AS124" i="91"/>
  <c r="AS130" i="91"/>
  <c r="AT79" i="91"/>
  <c r="AS323" i="91"/>
  <c r="AS179" i="91"/>
  <c r="AS170" i="91"/>
  <c r="AS186" i="91"/>
  <c r="AS180" i="91"/>
  <c r="AS171" i="91"/>
  <c r="AS155" i="91"/>
  <c r="AS347" i="91"/>
  <c r="AS327" i="91"/>
  <c r="AS81" i="91"/>
  <c r="AS85" i="91"/>
  <c r="AS205" i="91"/>
  <c r="AS173" i="91"/>
  <c r="AS176" i="91"/>
  <c r="AS184" i="91"/>
  <c r="AS331" i="91"/>
  <c r="AS299" i="91"/>
  <c r="AS267" i="91"/>
  <c r="AS303" i="91"/>
  <c r="AS183" i="91"/>
  <c r="AS143" i="91"/>
  <c r="AS135" i="91"/>
  <c r="AS55" i="91"/>
  <c r="AS192" i="91"/>
  <c r="AS46" i="91"/>
  <c r="AS194" i="91"/>
  <c r="AS263" i="91"/>
  <c r="AS231" i="91"/>
  <c r="AS312" i="91"/>
  <c r="AS259" i="91"/>
  <c r="AS247" i="91"/>
  <c r="AS256" i="91"/>
  <c r="AS328" i="91"/>
  <c r="HV282" i="15"/>
  <c r="HS282" i="15"/>
  <c r="HK282" i="15" s="1"/>
  <c r="HY282" i="15" s="1"/>
  <c r="BN282" i="15" s="1"/>
  <c r="BQ282" i="15" s="1"/>
  <c r="HQ226" i="15"/>
  <c r="HI226" i="15" s="1"/>
  <c r="HW226" i="15" s="1"/>
  <c r="BL226" i="15" s="1"/>
  <c r="HT226" i="15"/>
  <c r="IA226" i="15"/>
  <c r="IF226" i="15"/>
  <c r="IE226" i="15"/>
  <c r="ID226" i="15"/>
  <c r="HQ194" i="15"/>
  <c r="HI194" i="15" s="1"/>
  <c r="HW194" i="15" s="1"/>
  <c r="BL194" i="15" s="1"/>
  <c r="AQ194" i="65" s="1"/>
  <c r="IF194" i="15"/>
  <c r="HT194" i="15"/>
  <c r="IE194" i="15"/>
  <c r="IA194" i="15"/>
  <c r="ID194" i="15"/>
  <c r="HS344" i="15"/>
  <c r="HK344" i="15" s="1"/>
  <c r="HY344" i="15" s="1"/>
  <c r="BN344" i="15" s="1"/>
  <c r="BQ344" i="15" s="1"/>
  <c r="HV344" i="15"/>
  <c r="HV328" i="15"/>
  <c r="HS328" i="15"/>
  <c r="HK328" i="15" s="1"/>
  <c r="HY328" i="15" s="1"/>
  <c r="BN328" i="15" s="1"/>
  <c r="HU80" i="15"/>
  <c r="HR80" i="15"/>
  <c r="HJ80" i="15" s="1"/>
  <c r="HX80" i="15" s="1"/>
  <c r="BM80" i="15" s="1"/>
  <c r="BP80" i="15" s="1"/>
  <c r="HS138" i="15"/>
  <c r="HK138" i="15" s="1"/>
  <c r="HY138" i="15" s="1"/>
  <c r="BN138" i="15" s="1"/>
  <c r="IC138" i="15"/>
  <c r="HS250" i="15"/>
  <c r="HK250" i="15" s="1"/>
  <c r="HY250" i="15" s="1"/>
  <c r="BN250" i="15" s="1"/>
  <c r="BQ250" i="15" s="1"/>
  <c r="IC250" i="15"/>
  <c r="HQ160" i="15"/>
  <c r="HI160" i="15" s="1"/>
  <c r="HW160" i="15" s="1"/>
  <c r="BL160" i="15" s="1"/>
  <c r="FT160" i="15" s="1"/>
  <c r="IA160" i="15"/>
  <c r="IE160" i="15"/>
  <c r="ID200" i="15"/>
  <c r="HQ200" i="15"/>
  <c r="HI200" i="15" s="1"/>
  <c r="HW200" i="15" s="1"/>
  <c r="BL200" i="15" s="1"/>
  <c r="BV200" i="15" s="1"/>
  <c r="IA216" i="15"/>
  <c r="HT216" i="15"/>
  <c r="HQ232" i="15"/>
  <c r="HI232" i="15" s="1"/>
  <c r="HW232" i="15" s="1"/>
  <c r="BL232" i="15" s="1"/>
  <c r="BY232" i="15" s="1"/>
  <c r="IF232" i="15"/>
  <c r="IF256" i="15"/>
  <c r="ID256" i="15"/>
  <c r="IE288" i="15"/>
  <c r="IA288" i="15"/>
  <c r="IF312" i="15"/>
  <c r="HQ312" i="15"/>
  <c r="HI312" i="15" s="1"/>
  <c r="HW312" i="15" s="1"/>
  <c r="BL312" i="15" s="1"/>
  <c r="BV312" i="15" s="1"/>
  <c r="ID312" i="15"/>
  <c r="HQ344" i="15"/>
  <c r="HI344" i="15" s="1"/>
  <c r="HW344" i="15" s="1"/>
  <c r="BL344" i="15" s="1"/>
  <c r="CB344" i="15" s="1"/>
  <c r="IF344" i="15"/>
  <c r="HT344" i="15"/>
  <c r="IF220" i="15"/>
  <c r="HQ220" i="15"/>
  <c r="HI220" i="15" s="1"/>
  <c r="HW220" i="15" s="1"/>
  <c r="BL220" i="15" s="1"/>
  <c r="BO220" i="15" s="1"/>
  <c r="IA218" i="15"/>
  <c r="HQ218" i="15"/>
  <c r="HI218" i="15" s="1"/>
  <c r="HW218" i="15" s="1"/>
  <c r="BL218" i="15" s="1"/>
  <c r="AQ218" i="65" s="1"/>
  <c r="IF218" i="15"/>
  <c r="IE218" i="15"/>
  <c r="ID218" i="15"/>
  <c r="IE234" i="15"/>
  <c r="IA234" i="15"/>
  <c r="HT234" i="15"/>
  <c r="HQ234" i="15"/>
  <c r="HI234" i="15" s="1"/>
  <c r="HW234" i="15" s="1"/>
  <c r="BL234" i="15" s="1"/>
  <c r="BO234" i="15" s="1"/>
  <c r="IC234" i="15"/>
  <c r="IF234" i="15"/>
  <c r="IA250" i="15"/>
  <c r="HT250" i="15"/>
  <c r="IE250" i="15"/>
  <c r="ID250" i="15"/>
  <c r="HQ250" i="15"/>
  <c r="HI250" i="15" s="1"/>
  <c r="HW250" i="15" s="1"/>
  <c r="BL250" i="15" s="1"/>
  <c r="FT250" i="15" s="1"/>
  <c r="IF266" i="15"/>
  <c r="HT266" i="15"/>
  <c r="IA266" i="15"/>
  <c r="ID274" i="15"/>
  <c r="IF274" i="15"/>
  <c r="IE274" i="15"/>
  <c r="HT274" i="15"/>
  <c r="HT290" i="15"/>
  <c r="ID290" i="15"/>
  <c r="IE290" i="15"/>
  <c r="HQ290" i="15"/>
  <c r="HI290" i="15" s="1"/>
  <c r="HW290" i="15" s="1"/>
  <c r="BL290" i="15" s="1"/>
  <c r="HQ306" i="15"/>
  <c r="HI306" i="15" s="1"/>
  <c r="HW306" i="15" s="1"/>
  <c r="BL306" i="15" s="1"/>
  <c r="CB306" i="15" s="1"/>
  <c r="IE306" i="15"/>
  <c r="ID306" i="15"/>
  <c r="IA306" i="15"/>
  <c r="IA322" i="15"/>
  <c r="ID322" i="15"/>
  <c r="IF322" i="15"/>
  <c r="HT338" i="15"/>
  <c r="IA338" i="15"/>
  <c r="IF338" i="15"/>
  <c r="ID338" i="15"/>
  <c r="HQ168" i="15"/>
  <c r="HI168" i="15" s="1"/>
  <c r="HW168" i="15" s="1"/>
  <c r="BL168" i="15" s="1"/>
  <c r="AQ168" i="65" s="1"/>
  <c r="IA168" i="15"/>
  <c r="HT168" i="15"/>
  <c r="IE168" i="15"/>
  <c r="IC168" i="15"/>
  <c r="IF168" i="15"/>
  <c r="HR135" i="15"/>
  <c r="HJ135" i="15" s="1"/>
  <c r="HX135" i="15" s="1"/>
  <c r="BM135" i="15" s="1"/>
  <c r="AR135" i="65" s="1"/>
  <c r="HU135" i="15"/>
  <c r="IC224" i="15"/>
  <c r="IC240" i="15"/>
  <c r="IC202" i="15"/>
  <c r="IC230" i="15"/>
  <c r="IC226" i="15"/>
  <c r="FT158" i="15"/>
  <c r="BY158" i="15"/>
  <c r="AT158" i="65" s="1"/>
  <c r="BV158" i="15"/>
  <c r="CB158" i="15"/>
  <c r="AQ158" i="65"/>
  <c r="BO158" i="15"/>
  <c r="BO200" i="15"/>
  <c r="CA286" i="15"/>
  <c r="AV286" i="65" s="1"/>
  <c r="CD286" i="15"/>
  <c r="AS286" i="65"/>
  <c r="BQ286" i="15"/>
  <c r="AQ152" i="65"/>
  <c r="BY152" i="15"/>
  <c r="BV152" i="15"/>
  <c r="FT192" i="15"/>
  <c r="BY192" i="15"/>
  <c r="AT192" i="65" s="1"/>
  <c r="CB192" i="15"/>
  <c r="BV192" i="15"/>
  <c r="BO192" i="15"/>
  <c r="AQ192" i="65"/>
  <c r="AQ198" i="65"/>
  <c r="CB198" i="15"/>
  <c r="FT198" i="15"/>
  <c r="BO198" i="15"/>
  <c r="BY226" i="15"/>
  <c r="BO166" i="15"/>
  <c r="FT166" i="15"/>
  <c r="BY166" i="15"/>
  <c r="DB166" i="15" s="1"/>
  <c r="BV166" i="15"/>
  <c r="CB166" i="15"/>
  <c r="AQ166" i="65"/>
  <c r="AQ296" i="65"/>
  <c r="FT182" i="15"/>
  <c r="BV182" i="15"/>
  <c r="BY182" i="15"/>
  <c r="DB182" i="15" s="1"/>
  <c r="CB182" i="15"/>
  <c r="AQ182" i="65"/>
  <c r="BO182" i="15"/>
  <c r="AS112" i="65"/>
  <c r="BQ112" i="15"/>
  <c r="CA112" i="15"/>
  <c r="AV112" i="65" s="1"/>
  <c r="CD142" i="15"/>
  <c r="BQ142" i="15"/>
  <c r="CA254" i="15"/>
  <c r="AV254" i="65" s="1"/>
  <c r="BQ254" i="15"/>
  <c r="CD254" i="15"/>
  <c r="BQ326" i="15"/>
  <c r="BQ240" i="15"/>
  <c r="AS240" i="65"/>
  <c r="CD240" i="15"/>
  <c r="CA240" i="15"/>
  <c r="AV240" i="65" s="1"/>
  <c r="BQ248" i="15"/>
  <c r="AS248" i="65"/>
  <c r="CA248" i="15"/>
  <c r="AV248" i="65" s="1"/>
  <c r="CA264" i="15"/>
  <c r="AV264" i="65" s="1"/>
  <c r="AS264" i="65"/>
  <c r="CD280" i="15"/>
  <c r="BQ280" i="15"/>
  <c r="CA272" i="15"/>
  <c r="AV272" i="65" s="1"/>
  <c r="AS272" i="65"/>
  <c r="BQ272" i="15"/>
  <c r="CD272" i="15"/>
  <c r="AS238" i="65"/>
  <c r="BQ238" i="15"/>
  <c r="CD238" i="15"/>
  <c r="CA238" i="15"/>
  <c r="AV238" i="65" s="1"/>
  <c r="AS270" i="65"/>
  <c r="CD270" i="15"/>
  <c r="BQ270" i="15"/>
  <c r="CA128" i="15"/>
  <c r="AV128" i="65" s="1"/>
  <c r="AS128" i="65"/>
  <c r="BQ128" i="15"/>
  <c r="CD128" i="15"/>
  <c r="AS136" i="65"/>
  <c r="BQ136" i="15"/>
  <c r="CA136" i="15"/>
  <c r="AV136" i="65" s="1"/>
  <c r="CD136" i="15"/>
  <c r="CA144" i="15"/>
  <c r="AV144" i="65" s="1"/>
  <c r="CD144" i="15"/>
  <c r="AS144" i="65"/>
  <c r="BQ144" i="15"/>
  <c r="CA244" i="15"/>
  <c r="AV244" i="65" s="1"/>
  <c r="BQ244" i="15"/>
  <c r="AS244" i="65"/>
  <c r="CD252" i="15"/>
  <c r="CA252" i="15"/>
  <c r="AV252" i="65" s="1"/>
  <c r="AS260" i="65"/>
  <c r="CA260" i="15"/>
  <c r="AV260" i="65" s="1"/>
  <c r="BQ260" i="15"/>
  <c r="CD260" i="15"/>
  <c r="CA268" i="15"/>
  <c r="AV268" i="65" s="1"/>
  <c r="AS268" i="65"/>
  <c r="BQ288" i="15"/>
  <c r="AS288" i="65"/>
  <c r="CA288" i="15"/>
  <c r="AV288" i="65" s="1"/>
  <c r="CD288" i="15"/>
  <c r="CD340" i="15"/>
  <c r="AS340" i="65"/>
  <c r="BQ340" i="15"/>
  <c r="CA340" i="15"/>
  <c r="AV340" i="65" s="1"/>
  <c r="AS134" i="65"/>
  <c r="BY262" i="15"/>
  <c r="CD266" i="15"/>
  <c r="CD338" i="15"/>
  <c r="AS338" i="65"/>
  <c r="CA338" i="15"/>
  <c r="AV338" i="65" s="1"/>
  <c r="BQ338" i="15"/>
  <c r="BY150" i="15"/>
  <c r="DB150" i="15" s="1"/>
  <c r="BV150" i="15"/>
  <c r="AQ150" i="65"/>
  <c r="BO150" i="15"/>
  <c r="CB150" i="15"/>
  <c r="FT150" i="15"/>
  <c r="CD234" i="15"/>
  <c r="AS234" i="65"/>
  <c r="BQ234" i="15"/>
  <c r="CA234" i="15"/>
  <c r="AV234" i="65" s="1"/>
  <c r="CA311" i="15"/>
  <c r="AV311" i="65" s="1"/>
  <c r="AS311" i="65"/>
  <c r="BQ311" i="15"/>
  <c r="CD311" i="15"/>
  <c r="CB291" i="15"/>
  <c r="FT291" i="15"/>
  <c r="AQ291" i="65"/>
  <c r="BY291" i="15"/>
  <c r="AT291" i="65" s="1"/>
  <c r="BO291" i="15"/>
  <c r="BV291" i="15"/>
  <c r="FT146" i="15"/>
  <c r="BV146" i="15"/>
  <c r="CB146" i="15"/>
  <c r="BY146" i="15"/>
  <c r="AT146" i="65" s="1"/>
  <c r="AQ146" i="65"/>
  <c r="BO146" i="15"/>
  <c r="BY162" i="15"/>
  <c r="DB162" i="15" s="1"/>
  <c r="FT162" i="15"/>
  <c r="BV162" i="15"/>
  <c r="CB162" i="15"/>
  <c r="AQ162" i="65"/>
  <c r="BO162" i="15"/>
  <c r="AQ178" i="65"/>
  <c r="BO178" i="15"/>
  <c r="BY178" i="15"/>
  <c r="AT178" i="65" s="1"/>
  <c r="FT178" i="15"/>
  <c r="BV178" i="15"/>
  <c r="CB178" i="15"/>
  <c r="BV204" i="15"/>
  <c r="AQ204" i="65"/>
  <c r="BY204" i="15"/>
  <c r="AT204" i="65" s="1"/>
  <c r="CB204" i="15"/>
  <c r="BO204" i="15"/>
  <c r="FT204" i="15"/>
  <c r="FT312" i="15"/>
  <c r="BY290" i="15"/>
  <c r="DB290" i="15" s="1"/>
  <c r="BV174" i="15"/>
  <c r="CB174" i="15"/>
  <c r="AQ174" i="65"/>
  <c r="BO174" i="15"/>
  <c r="FT174" i="15"/>
  <c r="BY174" i="15"/>
  <c r="AT174" i="65" s="1"/>
  <c r="BO258" i="15"/>
  <c r="FT258" i="15"/>
  <c r="BY258" i="15"/>
  <c r="AT258" i="65" s="1"/>
  <c r="BV258" i="15"/>
  <c r="AQ258" i="65"/>
  <c r="CB258" i="15"/>
  <c r="BQ314" i="15"/>
  <c r="CA330" i="15"/>
  <c r="AV330" i="65" s="1"/>
  <c r="FT344" i="15"/>
  <c r="CD202" i="15"/>
  <c r="AS202" i="65"/>
  <c r="BQ202" i="15"/>
  <c r="CA202" i="15"/>
  <c r="AV202" i="65" s="1"/>
  <c r="CA309" i="15"/>
  <c r="AV309" i="65" s="1"/>
  <c r="BQ309" i="15"/>
  <c r="AS309" i="65"/>
  <c r="CD309" i="15"/>
  <c r="BY180" i="15"/>
  <c r="CB180" i="15"/>
  <c r="FT180" i="15"/>
  <c r="AQ180" i="65"/>
  <c r="BO180" i="15"/>
  <c r="BV180" i="15"/>
  <c r="BO156" i="15"/>
  <c r="BV156" i="15"/>
  <c r="FT154" i="15"/>
  <c r="BY154" i="15"/>
  <c r="DB154" i="15" s="1"/>
  <c r="AQ154" i="65"/>
  <c r="BO154" i="15"/>
  <c r="BV154" i="15"/>
  <c r="CB154" i="15"/>
  <c r="AQ170" i="65"/>
  <c r="BY170" i="15"/>
  <c r="AT170" i="65" s="1"/>
  <c r="CB170" i="15"/>
  <c r="BO170" i="15"/>
  <c r="FT170" i="15"/>
  <c r="BV170" i="15"/>
  <c r="BY186" i="15"/>
  <c r="AT186" i="65" s="1"/>
  <c r="FT186" i="15"/>
  <c r="BV186" i="15"/>
  <c r="CB186" i="15"/>
  <c r="AQ186" i="65"/>
  <c r="BO186" i="15"/>
  <c r="FT244" i="15"/>
  <c r="AQ244" i="65"/>
  <c r="BY168" i="15"/>
  <c r="AT168" i="65" s="1"/>
  <c r="AQ276" i="65"/>
  <c r="BO276" i="15"/>
  <c r="CB276" i="15"/>
  <c r="BV276" i="15"/>
  <c r="BY220" i="15"/>
  <c r="DB220" i="15" s="1"/>
  <c r="BN153" i="15"/>
  <c r="BN151" i="15"/>
  <c r="BN147" i="15"/>
  <c r="BN160" i="15"/>
  <c r="AS160" i="65" s="1"/>
  <c r="BN152" i="15"/>
  <c r="CA152" i="15" s="1"/>
  <c r="AV152" i="65" s="1"/>
  <c r="BN150" i="15"/>
  <c r="AS150" i="65" s="1"/>
  <c r="BN148" i="15"/>
  <c r="CD148" i="15" s="1"/>
  <c r="BN162" i="15"/>
  <c r="BN94" i="15"/>
  <c r="BN120" i="15"/>
  <c r="BN184" i="15"/>
  <c r="BN178" i="15"/>
  <c r="BN176" i="15"/>
  <c r="BN170" i="15"/>
  <c r="BN168" i="15"/>
  <c r="BN183" i="15"/>
  <c r="BN177" i="15"/>
  <c r="BN175" i="15"/>
  <c r="BN173" i="15"/>
  <c r="BN171" i="15"/>
  <c r="BN167" i="15"/>
  <c r="BN297" i="15"/>
  <c r="BL335" i="15"/>
  <c r="BL319" i="15"/>
  <c r="BL303" i="15"/>
  <c r="BL138" i="15"/>
  <c r="BL131" i="15"/>
  <c r="BN100" i="15"/>
  <c r="BN284" i="15"/>
  <c r="BN318" i="15"/>
  <c r="BN299" i="15"/>
  <c r="BN313" i="15"/>
  <c r="BN82" i="15"/>
  <c r="BN205" i="15"/>
  <c r="BN221" i="15"/>
  <c r="BL251" i="15"/>
  <c r="BL219" i="15"/>
  <c r="BN197" i="15"/>
  <c r="BL248" i="15"/>
  <c r="BL264" i="15"/>
  <c r="BL184" i="15"/>
  <c r="BL224" i="15"/>
  <c r="BL176" i="15"/>
  <c r="BN262" i="15"/>
  <c r="BN342" i="15"/>
  <c r="BL100" i="15"/>
  <c r="BN312" i="15"/>
  <c r="BN346" i="15"/>
  <c r="BN306" i="15"/>
  <c r="BL155" i="15"/>
  <c r="BL147" i="15"/>
  <c r="BL259" i="15"/>
  <c r="BN316" i="15"/>
  <c r="BN187" i="15"/>
  <c r="BL196" i="15"/>
  <c r="BN230" i="15"/>
  <c r="BN222" i="15"/>
  <c r="BN210" i="15"/>
  <c r="BN194" i="15"/>
  <c r="BL283" i="15"/>
  <c r="BL271" i="15"/>
  <c r="BL136" i="15"/>
  <c r="BL142" i="15"/>
  <c r="BN224" i="15"/>
  <c r="BN204" i="15"/>
  <c r="BN188" i="15"/>
  <c r="BN233" i="15"/>
  <c r="BN229" i="15"/>
  <c r="BN201" i="15"/>
  <c r="BN334" i="15"/>
  <c r="BL164" i="15"/>
  <c r="BL172" i="15"/>
  <c r="BL212" i="15"/>
  <c r="BL202" i="15"/>
  <c r="BL222" i="15"/>
  <c r="BL254" i="15"/>
  <c r="BL266" i="15"/>
  <c r="BL346" i="15"/>
  <c r="BN127" i="15"/>
  <c r="BN226" i="15"/>
  <c r="BN208" i="15"/>
  <c r="BN296" i="15"/>
  <c r="BL288" i="15"/>
  <c r="BL208" i="15"/>
  <c r="CD112" i="15"/>
  <c r="BY194" i="15"/>
  <c r="AS254" i="65"/>
  <c r="CA270" i="15"/>
  <c r="AV270" i="65" s="1"/>
  <c r="CD326" i="15"/>
  <c r="CA326" i="15"/>
  <c r="AV326" i="65" s="1"/>
  <c r="AS326" i="65"/>
  <c r="CD132" i="15"/>
  <c r="BQ132" i="15"/>
  <c r="AS132" i="65"/>
  <c r="CA140" i="15"/>
  <c r="AV140" i="65" s="1"/>
  <c r="BQ140" i="15"/>
  <c r="CD140" i="15"/>
  <c r="CD248" i="15"/>
  <c r="BQ252" i="15"/>
  <c r="AS252" i="65"/>
  <c r="BQ256" i="15"/>
  <c r="CA256" i="15"/>
  <c r="AV256" i="65" s="1"/>
  <c r="CD256" i="15"/>
  <c r="CD264" i="15"/>
  <c r="BQ264" i="15"/>
  <c r="BQ268" i="15"/>
  <c r="CD268" i="15"/>
  <c r="CA280" i="15"/>
  <c r="AV280" i="65" s="1"/>
  <c r="AS280" i="65"/>
  <c r="AS278" i="65"/>
  <c r="CA278" i="15"/>
  <c r="AV278" i="65" s="1"/>
  <c r="BQ278" i="15"/>
  <c r="FT152" i="15"/>
  <c r="BO152" i="15"/>
  <c r="BN287" i="15"/>
  <c r="BQ287" i="15" s="1"/>
  <c r="BN277" i="15"/>
  <c r="BQ277" i="15" s="1"/>
  <c r="BN161" i="15"/>
  <c r="BN159" i="15"/>
  <c r="BN157" i="15"/>
  <c r="BQ157" i="15" s="1"/>
  <c r="BN155" i="15"/>
  <c r="BQ155" i="15" s="1"/>
  <c r="BN158" i="15"/>
  <c r="AS158" i="65" s="1"/>
  <c r="BN156" i="15"/>
  <c r="CD156" i="15" s="1"/>
  <c r="BN154" i="15"/>
  <c r="CD154" i="15" s="1"/>
  <c r="BN163" i="15"/>
  <c r="BN102" i="15"/>
  <c r="BN98" i="15"/>
  <c r="BN180" i="15"/>
  <c r="BN174" i="15"/>
  <c r="BN172" i="15"/>
  <c r="BN166" i="15"/>
  <c r="BN164" i="15"/>
  <c r="BN181" i="15"/>
  <c r="BN179" i="15"/>
  <c r="BN169" i="15"/>
  <c r="BN165" i="15"/>
  <c r="BL130" i="15"/>
  <c r="BL343" i="15"/>
  <c r="BL295" i="15"/>
  <c r="BN302" i="15"/>
  <c r="BN303" i="15"/>
  <c r="BN300" i="15"/>
  <c r="BN290" i="15"/>
  <c r="BL140" i="15"/>
  <c r="BL132" i="15"/>
  <c r="BL143" i="15"/>
  <c r="BL135" i="15"/>
  <c r="BN118" i="15"/>
  <c r="BN84" i="15"/>
  <c r="BQ84" i="15" s="1"/>
  <c r="BN124" i="15"/>
  <c r="BL241" i="15"/>
  <c r="BN294" i="15"/>
  <c r="BN295" i="15"/>
  <c r="BN215" i="15"/>
  <c r="BN200" i="15"/>
  <c r="BN310" i="15"/>
  <c r="BN298" i="15"/>
  <c r="BN207" i="15"/>
  <c r="BN213" i="15"/>
  <c r="CA213" i="15" s="1"/>
  <c r="AV213" i="65" s="1"/>
  <c r="BL207" i="15"/>
  <c r="BN274" i="15"/>
  <c r="BL323" i="15"/>
  <c r="BL84" i="15"/>
  <c r="BN246" i="15"/>
  <c r="BN292" i="15"/>
  <c r="BN308" i="15"/>
  <c r="BN324" i="15"/>
  <c r="BN322" i="15"/>
  <c r="BN320" i="15"/>
  <c r="BN218" i="15"/>
  <c r="BN214" i="15"/>
  <c r="BN206" i="15"/>
  <c r="BN198" i="15"/>
  <c r="BN190" i="15"/>
  <c r="BN186" i="15"/>
  <c r="BN80" i="15"/>
  <c r="BN236" i="15"/>
  <c r="BN232" i="15"/>
  <c r="BN228" i="15"/>
  <c r="BN212" i="15"/>
  <c r="BL235" i="15"/>
  <c r="BL223" i="15"/>
  <c r="BL203" i="15"/>
  <c r="BL191" i="15"/>
  <c r="BN211" i="15"/>
  <c r="BN199" i="15"/>
  <c r="BN195" i="15"/>
  <c r="BL148" i="15"/>
  <c r="BL188" i="15"/>
  <c r="BL268" i="15"/>
  <c r="BL238" i="15"/>
  <c r="BL322" i="15"/>
  <c r="BL80" i="15"/>
  <c r="BN192" i="15"/>
  <c r="BN216" i="15"/>
  <c r="CD244" i="15"/>
  <c r="CB152" i="15"/>
  <c r="AS256" i="65"/>
  <c r="IB31" i="15"/>
  <c r="ID31" i="15"/>
  <c r="AY36" i="5"/>
  <c r="AY68" i="5"/>
  <c r="AU75" i="5"/>
  <c r="AX75" i="5" s="1"/>
  <c r="AZ75" i="5" s="1"/>
  <c r="AS75" i="73" s="1"/>
  <c r="AW74" i="5"/>
  <c r="AU73" i="5"/>
  <c r="AY73" i="5" s="1"/>
  <c r="AX94" i="5"/>
  <c r="AZ94" i="5" s="1"/>
  <c r="AS94" i="73" s="1"/>
  <c r="ID52" i="15"/>
  <c r="AV60" i="5"/>
  <c r="AW56" i="5"/>
  <c r="AU64" i="5"/>
  <c r="HU126" i="15"/>
  <c r="IC69" i="15"/>
  <c r="AV29" i="5"/>
  <c r="AX29" i="5" s="1"/>
  <c r="AZ29" i="5" s="1"/>
  <c r="AS29" i="73" s="1"/>
  <c r="IC103" i="15"/>
  <c r="IB103" i="15"/>
  <c r="HQ103" i="15"/>
  <c r="HI103" i="15" s="1"/>
  <c r="HW103" i="15" s="1"/>
  <c r="IC157" i="15"/>
  <c r="HR40" i="15"/>
  <c r="HJ40" i="15" s="1"/>
  <c r="IC173" i="15"/>
  <c r="ID327" i="15"/>
  <c r="IE327" i="15"/>
  <c r="IF327" i="15"/>
  <c r="HQ327" i="15"/>
  <c r="HI327" i="15" s="1"/>
  <c r="HW327" i="15" s="1"/>
  <c r="IA295" i="15"/>
  <c r="HT295" i="15"/>
  <c r="AY81" i="5"/>
  <c r="HR172" i="15"/>
  <c r="HJ172" i="15" s="1"/>
  <c r="HX172" i="15" s="1"/>
  <c r="BM172" i="15" s="1"/>
  <c r="HU164" i="15"/>
  <c r="HR156" i="15"/>
  <c r="HJ156" i="15" s="1"/>
  <c r="HX156" i="15" s="1"/>
  <c r="BM156" i="15" s="1"/>
  <c r="HR152" i="15"/>
  <c r="HJ152" i="15" s="1"/>
  <c r="HX152" i="15" s="1"/>
  <c r="HU140" i="15"/>
  <c r="HU136" i="15"/>
  <c r="IA307" i="15"/>
  <c r="IB100" i="15"/>
  <c r="HU124" i="15"/>
  <c r="AX339" i="5"/>
  <c r="AZ339" i="5" s="1"/>
  <c r="AS339" i="73" s="1"/>
  <c r="HV97" i="15"/>
  <c r="AY327" i="5"/>
  <c r="HQ275" i="15"/>
  <c r="HI275" i="15" s="1"/>
  <c r="HW275" i="15" s="1"/>
  <c r="IB275" i="15"/>
  <c r="IF259" i="15"/>
  <c r="AU91" i="5"/>
  <c r="IC52" i="15"/>
  <c r="IC114" i="15"/>
  <c r="IE114" i="15"/>
  <c r="IC111" i="15"/>
  <c r="IE92" i="15"/>
  <c r="IE315" i="15"/>
  <c r="AX346" i="5"/>
  <c r="AZ346" i="5" s="1"/>
  <c r="AS346" i="73" s="1"/>
  <c r="AY346" i="5"/>
  <c r="AY338" i="5"/>
  <c r="AX338" i="5"/>
  <c r="AZ338" i="5" s="1"/>
  <c r="AS338" i="73" s="1"/>
  <c r="AX322" i="5"/>
  <c r="AZ322" i="5" s="1"/>
  <c r="AS322" i="73" s="1"/>
  <c r="AY322" i="5"/>
  <c r="AY314" i="5"/>
  <c r="AX314" i="5"/>
  <c r="AZ314" i="5" s="1"/>
  <c r="AS314" i="73" s="1"/>
  <c r="AX306" i="5"/>
  <c r="AZ306" i="5" s="1"/>
  <c r="AS306" i="73" s="1"/>
  <c r="AY306" i="5"/>
  <c r="AX298" i="5"/>
  <c r="AZ298" i="5" s="1"/>
  <c r="AS298" i="73" s="1"/>
  <c r="AY298" i="5"/>
  <c r="AY290" i="5"/>
  <c r="AX290" i="5"/>
  <c r="AZ290" i="5" s="1"/>
  <c r="AS290" i="73" s="1"/>
  <c r="AY276" i="5"/>
  <c r="AX276" i="5"/>
  <c r="AZ276" i="5" s="1"/>
  <c r="AS276" i="73" s="1"/>
  <c r="AX274" i="5"/>
  <c r="AZ274" i="5" s="1"/>
  <c r="AS274" i="73" s="1"/>
  <c r="AY274" i="5"/>
  <c r="AY238" i="5"/>
  <c r="AX238" i="5"/>
  <c r="AZ238" i="5" s="1"/>
  <c r="AS238" i="73" s="1"/>
  <c r="AX234" i="5"/>
  <c r="AZ234" i="5" s="1"/>
  <c r="AS234" i="73" s="1"/>
  <c r="AY234" i="5"/>
  <c r="AX222" i="5"/>
  <c r="AZ222" i="5" s="1"/>
  <c r="AS222" i="73" s="1"/>
  <c r="AY222" i="5"/>
  <c r="AY218" i="5"/>
  <c r="AX218" i="5"/>
  <c r="AZ218" i="5" s="1"/>
  <c r="AS218" i="73" s="1"/>
  <c r="AY212" i="5"/>
  <c r="AX212" i="5"/>
  <c r="AZ212" i="5" s="1"/>
  <c r="AS212" i="73" s="1"/>
  <c r="AY156" i="5"/>
  <c r="AX156" i="5"/>
  <c r="AZ156" i="5" s="1"/>
  <c r="AS156" i="73" s="1"/>
  <c r="AX100" i="5"/>
  <c r="AZ100" i="5" s="1"/>
  <c r="AS100" i="73" s="1"/>
  <c r="AY100" i="5"/>
  <c r="AY330" i="5"/>
  <c r="AX330" i="5"/>
  <c r="AZ330" i="5" s="1"/>
  <c r="AS330" i="73" s="1"/>
  <c r="AY284" i="5"/>
  <c r="AX284" i="5"/>
  <c r="AZ284" i="5" s="1"/>
  <c r="AS284" i="73" s="1"/>
  <c r="AX282" i="5"/>
  <c r="AZ282" i="5" s="1"/>
  <c r="AS282" i="73" s="1"/>
  <c r="AY282" i="5"/>
  <c r="AX270" i="5"/>
  <c r="AZ270" i="5" s="1"/>
  <c r="AS270" i="73" s="1"/>
  <c r="AY270" i="5"/>
  <c r="AY268" i="5"/>
  <c r="AX268" i="5"/>
  <c r="AZ268" i="5" s="1"/>
  <c r="AS268" i="73" s="1"/>
  <c r="AX266" i="5"/>
  <c r="AZ266" i="5" s="1"/>
  <c r="AS266" i="73" s="1"/>
  <c r="AY266" i="5"/>
  <c r="AX254" i="5"/>
  <c r="AZ254" i="5" s="1"/>
  <c r="AS254" i="73" s="1"/>
  <c r="AY254" i="5"/>
  <c r="AY252" i="5"/>
  <c r="AX252" i="5"/>
  <c r="AZ252" i="5" s="1"/>
  <c r="AS252" i="73" s="1"/>
  <c r="AY236" i="5"/>
  <c r="AX236" i="5"/>
  <c r="AZ236" i="5" s="1"/>
  <c r="AS236" i="73" s="1"/>
  <c r="AX202" i="5"/>
  <c r="AZ202" i="5" s="1"/>
  <c r="AS202" i="73" s="1"/>
  <c r="AY202" i="5"/>
  <c r="BG79" i="15"/>
  <c r="HR79" i="15"/>
  <c r="AX288" i="5"/>
  <c r="AZ288" i="5" s="1"/>
  <c r="AS288" i="73" s="1"/>
  <c r="AY288" i="5"/>
  <c r="AY336" i="5"/>
  <c r="AX336" i="5"/>
  <c r="AZ336" i="5" s="1"/>
  <c r="AS336" i="73" s="1"/>
  <c r="HT304" i="15"/>
  <c r="IC304" i="15"/>
  <c r="ID304" i="15"/>
  <c r="IA304" i="15"/>
  <c r="HQ304" i="15"/>
  <c r="HI304" i="15" s="1"/>
  <c r="HW304" i="15" s="1"/>
  <c r="IE304" i="15"/>
  <c r="IF304" i="15"/>
  <c r="IA286" i="15"/>
  <c r="HT286" i="15"/>
  <c r="ID286" i="15"/>
  <c r="HQ286" i="15"/>
  <c r="HI286" i="15" s="1"/>
  <c r="HW286" i="15" s="1"/>
  <c r="IE286" i="15"/>
  <c r="IF286" i="15"/>
  <c r="AX286" i="5"/>
  <c r="AZ286" i="5" s="1"/>
  <c r="AS286" i="73" s="1"/>
  <c r="AY286" i="5"/>
  <c r="AY280" i="5"/>
  <c r="AX280" i="5"/>
  <c r="AZ280" i="5" s="1"/>
  <c r="AS280" i="73" s="1"/>
  <c r="IF278" i="15"/>
  <c r="IC278" i="15"/>
  <c r="HT278" i="15"/>
  <c r="HQ278" i="15"/>
  <c r="HI278" i="15" s="1"/>
  <c r="HW278" i="15" s="1"/>
  <c r="IA278" i="15"/>
  <c r="ID278" i="15"/>
  <c r="IE278" i="15"/>
  <c r="AY272" i="5"/>
  <c r="AX272" i="5"/>
  <c r="AZ272" i="5" s="1"/>
  <c r="AS272" i="73" s="1"/>
  <c r="AX262" i="5"/>
  <c r="AZ262" i="5" s="1"/>
  <c r="AS262" i="73" s="1"/>
  <c r="AY262" i="5"/>
  <c r="AY260" i="5"/>
  <c r="AX260" i="5"/>
  <c r="AZ260" i="5" s="1"/>
  <c r="AS260" i="73" s="1"/>
  <c r="AY258" i="5"/>
  <c r="AX258" i="5"/>
  <c r="AZ258" i="5" s="1"/>
  <c r="AS258" i="73" s="1"/>
  <c r="AX250" i="5"/>
  <c r="AZ250" i="5" s="1"/>
  <c r="AS250" i="73" s="1"/>
  <c r="AY250" i="5"/>
  <c r="IA246" i="15"/>
  <c r="IC246" i="15"/>
  <c r="IE246" i="15"/>
  <c r="ID246" i="15"/>
  <c r="HT246" i="15"/>
  <c r="IF246" i="15"/>
  <c r="HQ246" i="15"/>
  <c r="HI246" i="15" s="1"/>
  <c r="HW246" i="15" s="1"/>
  <c r="AY242" i="5"/>
  <c r="AX242" i="5"/>
  <c r="AZ242" i="5" s="1"/>
  <c r="AS242" i="73" s="1"/>
  <c r="AX228" i="5"/>
  <c r="AZ228" i="5" s="1"/>
  <c r="AS228" i="73" s="1"/>
  <c r="AY228" i="5"/>
  <c r="AY220" i="5"/>
  <c r="AX220" i="5"/>
  <c r="AZ220" i="5" s="1"/>
  <c r="AS220" i="73" s="1"/>
  <c r="IE210" i="15"/>
  <c r="IA210" i="15"/>
  <c r="HT210" i="15"/>
  <c r="ID210" i="15"/>
  <c r="HQ210" i="15"/>
  <c r="HI210" i="15" s="1"/>
  <c r="HW210" i="15" s="1"/>
  <c r="IC210" i="15"/>
  <c r="IF210" i="15"/>
  <c r="HQ206" i="15"/>
  <c r="HI206" i="15" s="1"/>
  <c r="HW206" i="15" s="1"/>
  <c r="IA206" i="15"/>
  <c r="IF206" i="15"/>
  <c r="HT206" i="15"/>
  <c r="ID206" i="15"/>
  <c r="IE206" i="15"/>
  <c r="AX168" i="5"/>
  <c r="AZ168" i="5" s="1"/>
  <c r="AS168" i="73" s="1"/>
  <c r="AY168" i="5"/>
  <c r="AY136" i="5"/>
  <c r="AX136" i="5"/>
  <c r="AZ136" i="5" s="1"/>
  <c r="AS136" i="73" s="1"/>
  <c r="HQ128" i="15"/>
  <c r="HI128" i="15" s="1"/>
  <c r="HW128" i="15" s="1"/>
  <c r="IC128" i="15"/>
  <c r="IA128" i="15"/>
  <c r="HT128" i="15"/>
  <c r="ID128" i="15"/>
  <c r="IF128" i="15"/>
  <c r="IE128" i="15"/>
  <c r="HQ124" i="15"/>
  <c r="HI124" i="15" s="1"/>
  <c r="HW124" i="15" s="1"/>
  <c r="IA124" i="15"/>
  <c r="HT124" i="15"/>
  <c r="IE124" i="15"/>
  <c r="IF124" i="15"/>
  <c r="ID124" i="15"/>
  <c r="HT104" i="15"/>
  <c r="HQ104" i="15"/>
  <c r="HI104" i="15" s="1"/>
  <c r="HW104" i="15" s="1"/>
  <c r="HR315" i="15"/>
  <c r="HJ315" i="15" s="1"/>
  <c r="HX315" i="15" s="1"/>
  <c r="BM315" i="15" s="1"/>
  <c r="AR315" i="65" s="1"/>
  <c r="HU315" i="15"/>
  <c r="HU269" i="15"/>
  <c r="HR269" i="15"/>
  <c r="HJ269" i="15" s="1"/>
  <c r="HX269" i="15" s="1"/>
  <c r="BM269" i="15" s="1"/>
  <c r="CC269" i="15" s="1"/>
  <c r="HU261" i="15"/>
  <c r="HR261" i="15"/>
  <c r="HJ261" i="15" s="1"/>
  <c r="HX261" i="15" s="1"/>
  <c r="BM261" i="15" s="1"/>
  <c r="HU253" i="15"/>
  <c r="HR253" i="15"/>
  <c r="HJ253" i="15" s="1"/>
  <c r="HX253" i="15" s="1"/>
  <c r="BM253" i="15" s="1"/>
  <c r="BP253" i="15" s="1"/>
  <c r="HU245" i="15"/>
  <c r="HR245" i="15"/>
  <c r="HJ245" i="15" s="1"/>
  <c r="HX245" i="15" s="1"/>
  <c r="BM245" i="15" s="1"/>
  <c r="AR245" i="65" s="1"/>
  <c r="HU237" i="15"/>
  <c r="HR237" i="15"/>
  <c r="HJ237" i="15" s="1"/>
  <c r="HX237" i="15" s="1"/>
  <c r="BM237" i="15" s="1"/>
  <c r="FU237" i="15" s="1"/>
  <c r="FA237" i="15" s="1"/>
  <c r="BG237" i="65" s="1"/>
  <c r="HU229" i="15"/>
  <c r="HR229" i="15"/>
  <c r="HJ229" i="15" s="1"/>
  <c r="HX229" i="15" s="1"/>
  <c r="BM229" i="15" s="1"/>
  <c r="BP229" i="15" s="1"/>
  <c r="HU221" i="15"/>
  <c r="HR221" i="15"/>
  <c r="HJ221" i="15" s="1"/>
  <c r="HX221" i="15" s="1"/>
  <c r="BM221" i="15" s="1"/>
  <c r="BZ221" i="15" s="1"/>
  <c r="AU221" i="65" s="1"/>
  <c r="HU213" i="15"/>
  <c r="HR213" i="15"/>
  <c r="HJ213" i="15" s="1"/>
  <c r="HX213" i="15" s="1"/>
  <c r="BM213" i="15" s="1"/>
  <c r="HU197" i="15"/>
  <c r="HR197" i="15"/>
  <c r="HJ197" i="15" s="1"/>
  <c r="HX197" i="15" s="1"/>
  <c r="BM197" i="15" s="1"/>
  <c r="AR197" i="65" s="1"/>
  <c r="AX134" i="5"/>
  <c r="AZ134" i="5" s="1"/>
  <c r="AS134" i="73" s="1"/>
  <c r="AY134" i="5"/>
  <c r="HQ98" i="15"/>
  <c r="HI98" i="15" s="1"/>
  <c r="HW98" i="15" s="1"/>
  <c r="HT98" i="15"/>
  <c r="IE98" i="15"/>
  <c r="IA98" i="15"/>
  <c r="ID98" i="15"/>
  <c r="IF98" i="15"/>
  <c r="HT86" i="15"/>
  <c r="HQ86" i="15"/>
  <c r="AY84" i="5"/>
  <c r="AX84" i="5"/>
  <c r="AZ84" i="5" s="1"/>
  <c r="AS84" i="73" s="1"/>
  <c r="IF336" i="15"/>
  <c r="IA336" i="15"/>
  <c r="IC336" i="15"/>
  <c r="HT336" i="15"/>
  <c r="ID336" i="15"/>
  <c r="HQ336" i="15"/>
  <c r="HI336" i="15" s="1"/>
  <c r="HW336" i="15" s="1"/>
  <c r="IE336" i="15"/>
  <c r="HQ328" i="15"/>
  <c r="HI328" i="15" s="1"/>
  <c r="HW328" i="15" s="1"/>
  <c r="ID328" i="15"/>
  <c r="IC328" i="15"/>
  <c r="IE328" i="15"/>
  <c r="HT328" i="15"/>
  <c r="IF328" i="15"/>
  <c r="IA328" i="15"/>
  <c r="HV304" i="15"/>
  <c r="HS304" i="15"/>
  <c r="HK304" i="15" s="1"/>
  <c r="HY304" i="15" s="1"/>
  <c r="AX304" i="5"/>
  <c r="AZ304" i="5" s="1"/>
  <c r="AS304" i="73" s="1"/>
  <c r="AY304" i="5"/>
  <c r="IC280" i="15"/>
  <c r="IA280" i="15"/>
  <c r="IF280" i="15"/>
  <c r="IE280" i="15"/>
  <c r="HQ280" i="15"/>
  <c r="HI280" i="15" s="1"/>
  <c r="HW280" i="15" s="1"/>
  <c r="ID280" i="15"/>
  <c r="HT280" i="15"/>
  <c r="HV276" i="15"/>
  <c r="IC276" i="15"/>
  <c r="HS276" i="15"/>
  <c r="HK276" i="15" s="1"/>
  <c r="HY276" i="15" s="1"/>
  <c r="HT272" i="15"/>
  <c r="HQ272" i="15"/>
  <c r="HI272" i="15" s="1"/>
  <c r="HW272" i="15" s="1"/>
  <c r="IF272" i="15"/>
  <c r="IA272" i="15"/>
  <c r="ID272" i="15"/>
  <c r="IE272" i="15"/>
  <c r="IC272" i="15"/>
  <c r="AX246" i="5"/>
  <c r="AZ246" i="5" s="1"/>
  <c r="AS246" i="73" s="1"/>
  <c r="AY246" i="5"/>
  <c r="HQ242" i="15"/>
  <c r="HI242" i="15" s="1"/>
  <c r="HW242" i="15" s="1"/>
  <c r="ID242" i="15"/>
  <c r="IF242" i="15"/>
  <c r="IE242" i="15"/>
  <c r="IA242" i="15"/>
  <c r="HT242" i="15"/>
  <c r="AX240" i="5"/>
  <c r="AZ240" i="5" s="1"/>
  <c r="AS240" i="73" s="1"/>
  <c r="AY240" i="5"/>
  <c r="AY230" i="5"/>
  <c r="AX230" i="5"/>
  <c r="AZ230" i="5" s="1"/>
  <c r="AS230" i="73" s="1"/>
  <c r="AY226" i="5"/>
  <c r="AX226" i="5"/>
  <c r="AZ226" i="5" s="1"/>
  <c r="AS226" i="73" s="1"/>
  <c r="IF214" i="15"/>
  <c r="IC214" i="15"/>
  <c r="IA214" i="15"/>
  <c r="HQ214" i="15"/>
  <c r="HI214" i="15" s="1"/>
  <c r="HW214" i="15" s="1"/>
  <c r="HT214" i="15"/>
  <c r="IE214" i="15"/>
  <c r="ID214" i="15"/>
  <c r="AY210" i="5"/>
  <c r="AX210" i="5"/>
  <c r="AZ210" i="5" s="1"/>
  <c r="AS210" i="73" s="1"/>
  <c r="AX128" i="5"/>
  <c r="AZ128" i="5" s="1"/>
  <c r="AS128" i="73" s="1"/>
  <c r="AY128" i="5"/>
  <c r="HR83" i="15"/>
  <c r="HJ83" i="15" s="1"/>
  <c r="HX83" i="15" s="1"/>
  <c r="BM83" i="15" s="1"/>
  <c r="FU83" i="15" s="1"/>
  <c r="HU83" i="15"/>
  <c r="HR313" i="15"/>
  <c r="HJ313" i="15" s="1"/>
  <c r="HX313" i="15" s="1"/>
  <c r="BM313" i="15" s="1"/>
  <c r="HU313" i="15"/>
  <c r="HU205" i="15"/>
  <c r="HR205" i="15"/>
  <c r="HJ205" i="15" s="1"/>
  <c r="HX205" i="15" s="1"/>
  <c r="BM205" i="15" s="1"/>
  <c r="HQ190" i="15"/>
  <c r="HI190" i="15" s="1"/>
  <c r="HW190" i="15" s="1"/>
  <c r="HT190" i="15"/>
  <c r="IF190" i="15"/>
  <c r="ID190" i="15"/>
  <c r="IE190" i="15"/>
  <c r="IA190" i="15"/>
  <c r="HU189" i="15"/>
  <c r="HR189" i="15"/>
  <c r="HJ189" i="15" s="1"/>
  <c r="HX189" i="15" s="1"/>
  <c r="BM189" i="15" s="1"/>
  <c r="BP189" i="15" s="1"/>
  <c r="HR181" i="15"/>
  <c r="HJ181" i="15" s="1"/>
  <c r="HX181" i="15" s="1"/>
  <c r="BM181" i="15" s="1"/>
  <c r="HU181" i="15"/>
  <c r="AX166" i="5"/>
  <c r="AZ166" i="5" s="1"/>
  <c r="AS166" i="73" s="1"/>
  <c r="AY166" i="5"/>
  <c r="AY158" i="5"/>
  <c r="AX158" i="5"/>
  <c r="AZ158" i="5" s="1"/>
  <c r="AS158" i="73" s="1"/>
  <c r="AY142" i="5"/>
  <c r="AX142" i="5"/>
  <c r="AZ142" i="5" s="1"/>
  <c r="AS142" i="73" s="1"/>
  <c r="IA134" i="15"/>
  <c r="IF134" i="15"/>
  <c r="IE134" i="15"/>
  <c r="HQ134" i="15"/>
  <c r="HI134" i="15" s="1"/>
  <c r="HW134" i="15" s="1"/>
  <c r="ID134" i="15"/>
  <c r="HT134" i="15"/>
  <c r="IC206" i="15"/>
  <c r="BP219" i="15"/>
  <c r="BZ243" i="15"/>
  <c r="AU243" i="65" s="1"/>
  <c r="CC243" i="15"/>
  <c r="BP243" i="15"/>
  <c r="AR243" i="65"/>
  <c r="FU243" i="15"/>
  <c r="ID110" i="15"/>
  <c r="IF110" i="15"/>
  <c r="CC315" i="15"/>
  <c r="BZ315" i="15"/>
  <c r="FU315" i="15"/>
  <c r="FA315" i="15" s="1"/>
  <c r="BG315" i="65" s="1"/>
  <c r="BZ195" i="15"/>
  <c r="AR195" i="65"/>
  <c r="BP195" i="15"/>
  <c r="CC195" i="15"/>
  <c r="FU195" i="15"/>
  <c r="FA195" i="15" s="1"/>
  <c r="BG195" i="65" s="1"/>
  <c r="FU241" i="15"/>
  <c r="FA241" i="15" s="1"/>
  <c r="BG241" i="65" s="1"/>
  <c r="CC241" i="15"/>
  <c r="AR241" i="65"/>
  <c r="BZ241" i="15"/>
  <c r="BP241" i="15"/>
  <c r="BP217" i="15"/>
  <c r="CC217" i="15"/>
  <c r="BZ217" i="15"/>
  <c r="FU217" i="15"/>
  <c r="FA217" i="15" s="1"/>
  <c r="BG217" i="65" s="1"/>
  <c r="AR217" i="65"/>
  <c r="FU209" i="15"/>
  <c r="FA209" i="15" s="1"/>
  <c r="BG209" i="65" s="1"/>
  <c r="AR209" i="65"/>
  <c r="CC175" i="15"/>
  <c r="AR175" i="65"/>
  <c r="FU175" i="15"/>
  <c r="FA175" i="15" s="1"/>
  <c r="BG175" i="65" s="1"/>
  <c r="BZ175" i="15"/>
  <c r="BP175" i="15"/>
  <c r="FU85" i="15"/>
  <c r="BZ85" i="15"/>
  <c r="AU85" i="65" s="1"/>
  <c r="O85" i="5" s="1"/>
  <c r="AR85" i="65"/>
  <c r="L85" i="5" s="1"/>
  <c r="BP85" i="15"/>
  <c r="CC85" i="15"/>
  <c r="BZ83" i="15"/>
  <c r="FU157" i="15"/>
  <c r="FA157" i="15" s="1"/>
  <c r="BG157" i="65" s="1"/>
  <c r="BP157" i="15"/>
  <c r="CC157" i="15"/>
  <c r="AR157" i="65"/>
  <c r="BZ157" i="15"/>
  <c r="AU157" i="65" s="1"/>
  <c r="FU185" i="15"/>
  <c r="FA185" i="15" s="1"/>
  <c r="BG185" i="65" s="1"/>
  <c r="CC185" i="15"/>
  <c r="AR185" i="65"/>
  <c r="BZ185" i="15"/>
  <c r="BP185" i="15"/>
  <c r="BP199" i="15"/>
  <c r="AR199" i="65"/>
  <c r="BZ199" i="15"/>
  <c r="AU199" i="65" s="1"/>
  <c r="CC199" i="15"/>
  <c r="FU199" i="15"/>
  <c r="FA199" i="15" s="1"/>
  <c r="BG199" i="65" s="1"/>
  <c r="AR177" i="65"/>
  <c r="FU177" i="15"/>
  <c r="FA177" i="15" s="1"/>
  <c r="BG177" i="65" s="1"/>
  <c r="BZ177" i="15"/>
  <c r="CC177" i="15"/>
  <c r="BP177" i="15"/>
  <c r="CC265" i="15"/>
  <c r="AR265" i="65"/>
  <c r="BP265" i="15"/>
  <c r="FU265" i="15"/>
  <c r="FA265" i="15" s="1"/>
  <c r="BG265" i="65" s="1"/>
  <c r="BZ265" i="15"/>
  <c r="BP193" i="15"/>
  <c r="AR267" i="65"/>
  <c r="BP267" i="15"/>
  <c r="BZ139" i="15"/>
  <c r="BP139" i="15"/>
  <c r="AR139" i="65"/>
  <c r="FU139" i="15"/>
  <c r="FA139" i="15" s="1"/>
  <c r="BG139" i="65" s="1"/>
  <c r="CC139" i="15"/>
  <c r="AR103" i="65"/>
  <c r="FU103" i="15"/>
  <c r="FA103" i="15" s="1"/>
  <c r="BG103" i="65" s="1"/>
  <c r="BZ103" i="15"/>
  <c r="BP103" i="15"/>
  <c r="CC103" i="15"/>
  <c r="BP167" i="15"/>
  <c r="AR167" i="65"/>
  <c r="BZ167" i="15"/>
  <c r="CC167" i="15"/>
  <c r="FU167" i="15"/>
  <c r="FA167" i="15" s="1"/>
  <c r="BG167" i="65" s="1"/>
  <c r="CC179" i="15"/>
  <c r="BP179" i="15"/>
  <c r="AR179" i="65"/>
  <c r="FU179" i="15"/>
  <c r="FA179" i="15" s="1"/>
  <c r="BG179" i="65" s="1"/>
  <c r="BZ179" i="15"/>
  <c r="BZ257" i="15"/>
  <c r="AR189" i="65"/>
  <c r="FU183" i="15"/>
  <c r="FA183" i="15" s="1"/>
  <c r="BG183" i="65" s="1"/>
  <c r="BP183" i="15"/>
  <c r="AR183" i="65"/>
  <c r="BZ183" i="15"/>
  <c r="CC183" i="15"/>
  <c r="FU339" i="15"/>
  <c r="FA339" i="15" s="1"/>
  <c r="BG339" i="65" s="1"/>
  <c r="FU113" i="15"/>
  <c r="BZ113" i="15"/>
  <c r="CC113" i="15"/>
  <c r="AR113" i="65"/>
  <c r="L113" i="5" s="1"/>
  <c r="BP113" i="15"/>
  <c r="BZ165" i="15"/>
  <c r="CC165" i="15"/>
  <c r="FU165" i="15"/>
  <c r="FA165" i="15" s="1"/>
  <c r="BG165" i="65" s="1"/>
  <c r="BP165" i="15"/>
  <c r="AR165" i="65"/>
  <c r="FU141" i="15"/>
  <c r="FA141" i="15" s="1"/>
  <c r="BG141" i="65" s="1"/>
  <c r="CC141" i="15"/>
  <c r="BP141" i="15"/>
  <c r="AR141" i="65"/>
  <c r="BZ141" i="15"/>
  <c r="FU207" i="15"/>
  <c r="BP207" i="15"/>
  <c r="BZ207" i="15"/>
  <c r="AU207" i="65" s="1"/>
  <c r="CC207" i="15"/>
  <c r="AR207" i="65"/>
  <c r="BZ225" i="15"/>
  <c r="CC225" i="15"/>
  <c r="AR225" i="65"/>
  <c r="BP225" i="15"/>
  <c r="FU225" i="15"/>
  <c r="FA225" i="15" s="1"/>
  <c r="BG225" i="65" s="1"/>
  <c r="AR251" i="65"/>
  <c r="AR163" i="65"/>
  <c r="BZ163" i="15"/>
  <c r="BP163" i="15"/>
  <c r="FU163" i="15"/>
  <c r="FA163" i="15" s="1"/>
  <c r="BG163" i="65" s="1"/>
  <c r="CC163" i="15"/>
  <c r="BP201" i="15"/>
  <c r="FU201" i="15"/>
  <c r="FA201" i="15" s="1"/>
  <c r="BG201" i="65" s="1"/>
  <c r="BZ201" i="15"/>
  <c r="AU201" i="65" s="1"/>
  <c r="AR201" i="65"/>
  <c r="CC201" i="15"/>
  <c r="BM173" i="15"/>
  <c r="BZ173" i="15" s="1"/>
  <c r="BM161" i="15"/>
  <c r="CC161" i="15" s="1"/>
  <c r="BM149" i="15"/>
  <c r="BP149" i="15" s="1"/>
  <c r="BM147" i="15"/>
  <c r="AR147" i="65" s="1"/>
  <c r="BM133" i="15"/>
  <c r="FU133" i="15" s="1"/>
  <c r="BM129" i="15"/>
  <c r="BZ129" i="15" s="1"/>
  <c r="BM112" i="15"/>
  <c r="BZ112" i="15" s="1"/>
  <c r="BM170" i="15"/>
  <c r="BP170" i="15" s="1"/>
  <c r="BM138" i="15"/>
  <c r="BZ138" i="15" s="1"/>
  <c r="BM136" i="15"/>
  <c r="CC136" i="15" s="1"/>
  <c r="BM110" i="15"/>
  <c r="AR110" i="65" s="1"/>
  <c r="L110" i="5" s="1"/>
  <c r="BM127" i="15"/>
  <c r="BM117" i="15"/>
  <c r="BP117" i="15" s="1"/>
  <c r="BM118" i="15"/>
  <c r="BM297" i="15"/>
  <c r="FU297" i="15" s="1"/>
  <c r="FA297" i="15" s="1"/>
  <c r="BG297" i="65" s="1"/>
  <c r="BM304" i="15"/>
  <c r="BZ304" i="15" s="1"/>
  <c r="BM284" i="15"/>
  <c r="BM255" i="15"/>
  <c r="BM120" i="15"/>
  <c r="BM150" i="15"/>
  <c r="FU150" i="15" s="1"/>
  <c r="FB150" i="15" s="1"/>
  <c r="BM191" i="15"/>
  <c r="BM215" i="15"/>
  <c r="BM329" i="15"/>
  <c r="BM345" i="15"/>
  <c r="BM327" i="15"/>
  <c r="BM343" i="15"/>
  <c r="BM249" i="15"/>
  <c r="BM233" i="15"/>
  <c r="BM259" i="15"/>
  <c r="BM349" i="15"/>
  <c r="BM87" i="15"/>
  <c r="BM171" i="15"/>
  <c r="BP171" i="15" s="1"/>
  <c r="BM159" i="15"/>
  <c r="AR159" i="65" s="1"/>
  <c r="BM155" i="15"/>
  <c r="BZ155" i="15" s="1"/>
  <c r="BM151" i="15"/>
  <c r="BZ151" i="15" s="1"/>
  <c r="BM145" i="15"/>
  <c r="BZ145" i="15" s="1"/>
  <c r="BM131" i="15"/>
  <c r="BZ131" i="15" s="1"/>
  <c r="BM166" i="15"/>
  <c r="BZ166" i="15" s="1"/>
  <c r="BM152" i="15"/>
  <c r="CC152" i="15" s="1"/>
  <c r="BM100" i="15"/>
  <c r="BM98" i="15"/>
  <c r="BZ98" i="15" s="1"/>
  <c r="BM115" i="15"/>
  <c r="CC115" i="15" s="1"/>
  <c r="BM124" i="15"/>
  <c r="AR124" i="65" s="1"/>
  <c r="L124" i="5" s="1"/>
  <c r="BM153" i="15"/>
  <c r="BM325" i="15"/>
  <c r="CC325" i="15" s="1"/>
  <c r="BM319" i="15"/>
  <c r="BZ319" i="15" s="1"/>
  <c r="BM317" i="15"/>
  <c r="AR317" i="65" s="1"/>
  <c r="BM311" i="15"/>
  <c r="BP311" i="15" s="1"/>
  <c r="BM309" i="15"/>
  <c r="FU309" i="15" s="1"/>
  <c r="BM303" i="15"/>
  <c r="AR303" i="65" s="1"/>
  <c r="BM301" i="15"/>
  <c r="BZ301" i="15" s="1"/>
  <c r="BM295" i="15"/>
  <c r="CC295" i="15" s="1"/>
  <c r="BM293" i="15"/>
  <c r="AR293" i="65" s="1"/>
  <c r="BM289" i="15"/>
  <c r="BP289" i="15" s="1"/>
  <c r="BM287" i="15"/>
  <c r="AR287" i="65" s="1"/>
  <c r="BM285" i="15"/>
  <c r="BP285" i="15" s="1"/>
  <c r="BM281" i="15"/>
  <c r="BP281" i="15" s="1"/>
  <c r="BM279" i="15"/>
  <c r="FU279" i="15" s="1"/>
  <c r="BM277" i="15"/>
  <c r="CC277" i="15" s="1"/>
  <c r="BM275" i="15"/>
  <c r="AR275" i="65" s="1"/>
  <c r="BM273" i="15"/>
  <c r="FU273" i="15" s="1"/>
  <c r="BM271" i="15"/>
  <c r="BZ271" i="15" s="1"/>
  <c r="BM280" i="15"/>
  <c r="AR280" i="65" s="1"/>
  <c r="BM263" i="15"/>
  <c r="CC263" i="15" s="1"/>
  <c r="BM164" i="15"/>
  <c r="BM203" i="15"/>
  <c r="BM227" i="15"/>
  <c r="BM235" i="15"/>
  <c r="BM291" i="15"/>
  <c r="BM299" i="15"/>
  <c r="BM307" i="15"/>
  <c r="BM323" i="15"/>
  <c r="BM331" i="15"/>
  <c r="BM305" i="15"/>
  <c r="BM321" i="15"/>
  <c r="BM333" i="15"/>
  <c r="BM337" i="15"/>
  <c r="BM341" i="15"/>
  <c r="BM223" i="15"/>
  <c r="BM239" i="15"/>
  <c r="BM231" i="15"/>
  <c r="BM247" i="15"/>
  <c r="BM335" i="15"/>
  <c r="BM143" i="15"/>
  <c r="BP143" i="15" s="1"/>
  <c r="BM169" i="15"/>
  <c r="BM137" i="15"/>
  <c r="BM187" i="15"/>
  <c r="BM347" i="15"/>
  <c r="HS231" i="15"/>
  <c r="HK231" i="15" s="1"/>
  <c r="HY231" i="15" s="1"/>
  <c r="AY163" i="5"/>
  <c r="AX163" i="5"/>
  <c r="AZ163" i="5" s="1"/>
  <c r="AS163" i="73" s="1"/>
  <c r="HS227" i="15"/>
  <c r="HK227" i="15" s="1"/>
  <c r="HY227" i="15" s="1"/>
  <c r="HV227" i="15"/>
  <c r="AX315" i="5"/>
  <c r="AZ315" i="5" s="1"/>
  <c r="AS315" i="73" s="1"/>
  <c r="AY315" i="5"/>
  <c r="HV217" i="15"/>
  <c r="HS217" i="15"/>
  <c r="HK217" i="15" s="1"/>
  <c r="HY217" i="15" s="1"/>
  <c r="HV185" i="15"/>
  <c r="HS185" i="15"/>
  <c r="HK185" i="15" s="1"/>
  <c r="HY185" i="15" s="1"/>
  <c r="HQ255" i="15"/>
  <c r="HI255" i="15" s="1"/>
  <c r="HW255" i="15" s="1"/>
  <c r="IE235" i="15"/>
  <c r="ID223" i="15"/>
  <c r="IA223" i="15"/>
  <c r="ID203" i="15"/>
  <c r="HT191" i="15"/>
  <c r="HQ82" i="15"/>
  <c r="HI82" i="15" s="1"/>
  <c r="HW82" i="15" s="1"/>
  <c r="IA82" i="15"/>
  <c r="ID82" i="15"/>
  <c r="IF82" i="15"/>
  <c r="IE82" i="15"/>
  <c r="HT82" i="15"/>
  <c r="IC82" i="15"/>
  <c r="HS209" i="15"/>
  <c r="HK209" i="15" s="1"/>
  <c r="HY209" i="15" s="1"/>
  <c r="HV209" i="15"/>
  <c r="HS193" i="15"/>
  <c r="HK193" i="15" s="1"/>
  <c r="HY193" i="15" s="1"/>
  <c r="HV193" i="15"/>
  <c r="AX243" i="5"/>
  <c r="AZ243" i="5" s="1"/>
  <c r="AS243" i="73" s="1"/>
  <c r="AY243" i="5"/>
  <c r="HQ213" i="15"/>
  <c r="HI213" i="15" s="1"/>
  <c r="HW213" i="15" s="1"/>
  <c r="IA213" i="15"/>
  <c r="HT213" i="15"/>
  <c r="ID213" i="15"/>
  <c r="IC213" i="15"/>
  <c r="IA323" i="15"/>
  <c r="IE323" i="15"/>
  <c r="ID323" i="15"/>
  <c r="HT143" i="15"/>
  <c r="IF143" i="15"/>
  <c r="IF135" i="15"/>
  <c r="HT135" i="15"/>
  <c r="HV113" i="15"/>
  <c r="HS113" i="15"/>
  <c r="HK113" i="15" s="1"/>
  <c r="HY113" i="15" s="1"/>
  <c r="HQ81" i="15"/>
  <c r="HI81" i="15" s="1"/>
  <c r="HW81" i="15" s="1"/>
  <c r="IA81" i="15"/>
  <c r="HS235" i="15"/>
  <c r="HK235" i="15" s="1"/>
  <c r="HY235" i="15" s="1"/>
  <c r="HV235" i="15"/>
  <c r="HS223" i="15"/>
  <c r="HK223" i="15" s="1"/>
  <c r="HY223" i="15" s="1"/>
  <c r="HV223" i="15"/>
  <c r="HV219" i="15"/>
  <c r="HS219" i="15"/>
  <c r="HK219" i="15" s="1"/>
  <c r="HY219" i="15" s="1"/>
  <c r="HS203" i="15"/>
  <c r="HK203" i="15" s="1"/>
  <c r="HY203" i="15" s="1"/>
  <c r="IC203" i="15"/>
  <c r="HV203" i="15"/>
  <c r="IA287" i="15"/>
  <c r="HT287" i="15"/>
  <c r="HQ287" i="15"/>
  <c r="HI287" i="15" s="1"/>
  <c r="HW287" i="15" s="1"/>
  <c r="IA267" i="15"/>
  <c r="IB267" i="15"/>
  <c r="HQ267" i="15"/>
  <c r="HI267" i="15" s="1"/>
  <c r="HW267" i="15" s="1"/>
  <c r="HT267" i="15"/>
  <c r="ID267" i="15"/>
  <c r="IE251" i="15"/>
  <c r="IF251" i="15"/>
  <c r="IB239" i="15"/>
  <c r="IE239" i="15"/>
  <c r="HQ239" i="15"/>
  <c r="HI239" i="15" s="1"/>
  <c r="HW239" i="15" s="1"/>
  <c r="HT239" i="15"/>
  <c r="ID239" i="15"/>
  <c r="IB219" i="15"/>
  <c r="IE219" i="15"/>
  <c r="ID219" i="15"/>
  <c r="HT219" i="15"/>
  <c r="IA219" i="15"/>
  <c r="IB207" i="15"/>
  <c r="IE207" i="15"/>
  <c r="IA207" i="15"/>
  <c r="HT207" i="15"/>
  <c r="ID207" i="15"/>
  <c r="HQ159" i="15"/>
  <c r="HI159" i="15" s="1"/>
  <c r="HW159" i="15" s="1"/>
  <c r="IA159" i="15"/>
  <c r="IF159" i="15"/>
  <c r="HT159" i="15"/>
  <c r="HQ112" i="15"/>
  <c r="HI112" i="15" s="1"/>
  <c r="HW112" i="15" s="1"/>
  <c r="HT112" i="15"/>
  <c r="IC112" i="15"/>
  <c r="IA112" i="15"/>
  <c r="IB331" i="15"/>
  <c r="HQ331" i="15"/>
  <c r="HI331" i="15" s="1"/>
  <c r="HW331" i="15" s="1"/>
  <c r="IE331" i="15"/>
  <c r="HT331" i="15"/>
  <c r="AY71" i="5"/>
  <c r="HU312" i="15"/>
  <c r="HR300" i="15"/>
  <c r="HJ300" i="15" s="1"/>
  <c r="HX300" i="15" s="1"/>
  <c r="HR296" i="15"/>
  <c r="HJ296" i="15" s="1"/>
  <c r="HX296" i="15" s="1"/>
  <c r="HR290" i="15"/>
  <c r="HJ290" i="15" s="1"/>
  <c r="HX290" i="15" s="1"/>
  <c r="HU286" i="15"/>
  <c r="HR282" i="15"/>
  <c r="HJ282" i="15" s="1"/>
  <c r="HX282" i="15" s="1"/>
  <c r="HU278" i="15"/>
  <c r="HR274" i="15"/>
  <c r="HJ274" i="15" s="1"/>
  <c r="HX274" i="15" s="1"/>
  <c r="AY82" i="5"/>
  <c r="AX82" i="5"/>
  <c r="AZ82" i="5" s="1"/>
  <c r="AS82" i="73" s="1"/>
  <c r="AX112" i="5"/>
  <c r="AZ112" i="5" s="1"/>
  <c r="AS112" i="73" s="1"/>
  <c r="AY112" i="5"/>
  <c r="AI27" i="5"/>
  <c r="AU27" i="5" s="1"/>
  <c r="AY27" i="5" s="1"/>
  <c r="HR62" i="15"/>
  <c r="BG62" i="15"/>
  <c r="AY26" i="5"/>
  <c r="IF31" i="15"/>
  <c r="IE31" i="15"/>
  <c r="IC31" i="15"/>
  <c r="IA31" i="15"/>
  <c r="IE28" i="15"/>
  <c r="IB25" i="15"/>
  <c r="IC25" i="15"/>
  <c r="AO25" i="65"/>
  <c r="I25" i="5" s="1"/>
  <c r="AY32" i="5"/>
  <c r="IF22" i="15"/>
  <c r="AU90" i="5"/>
  <c r="AY90" i="5" s="1"/>
  <c r="AX122" i="5"/>
  <c r="AZ122" i="5" s="1"/>
  <c r="AS122" i="73" s="1"/>
  <c r="IE52" i="15"/>
  <c r="AO52" i="65"/>
  <c r="AM52" i="65" s="1"/>
  <c r="IB52" i="15"/>
  <c r="AY111" i="5"/>
  <c r="AX110" i="5"/>
  <c r="AZ110" i="5" s="1"/>
  <c r="AS110" i="73" s="1"/>
  <c r="IF114" i="15"/>
  <c r="AO96" i="65"/>
  <c r="AM96" i="65" s="1"/>
  <c r="AO45" i="65"/>
  <c r="AM45" i="65" s="1"/>
  <c r="IB71" i="15"/>
  <c r="HK65" i="15"/>
  <c r="HR312" i="15"/>
  <c r="HJ312" i="15" s="1"/>
  <c r="HX312" i="15" s="1"/>
  <c r="HU296" i="15"/>
  <c r="HU290" i="15"/>
  <c r="HR286" i="15"/>
  <c r="HJ286" i="15" s="1"/>
  <c r="HX286" i="15" s="1"/>
  <c r="HU282" i="15"/>
  <c r="HR278" i="15"/>
  <c r="HJ278" i="15" s="1"/>
  <c r="HX278" i="15" s="1"/>
  <c r="HU274" i="15"/>
  <c r="AX67" i="5"/>
  <c r="AZ67" i="5" s="1"/>
  <c r="AS67" i="73" s="1"/>
  <c r="HJ36" i="15"/>
  <c r="AX53" i="5"/>
  <c r="AZ53" i="5" s="1"/>
  <c r="AS53" i="73" s="1"/>
  <c r="AY25" i="5"/>
  <c r="AY29" i="5"/>
  <c r="AX45" i="5"/>
  <c r="AZ45" i="5" s="1"/>
  <c r="AS45" i="73" s="1"/>
  <c r="AY46" i="5"/>
  <c r="AO66" i="65"/>
  <c r="AM66" i="65" s="1"/>
  <c r="IF66" i="15"/>
  <c r="AY311" i="5"/>
  <c r="AX311" i="5"/>
  <c r="AZ311" i="5" s="1"/>
  <c r="AS311" i="73" s="1"/>
  <c r="HT275" i="15"/>
  <c r="IA275" i="15"/>
  <c r="IB259" i="15"/>
  <c r="HT259" i="15"/>
  <c r="ID259" i="15"/>
  <c r="AX239" i="5"/>
  <c r="AZ239" i="5" s="1"/>
  <c r="AS239" i="73" s="1"/>
  <c r="AY239" i="5"/>
  <c r="AY255" i="5"/>
  <c r="AX255" i="5"/>
  <c r="AZ255" i="5" s="1"/>
  <c r="AS255" i="73" s="1"/>
  <c r="AY223" i="5"/>
  <c r="AX223" i="5"/>
  <c r="AZ223" i="5" s="1"/>
  <c r="AS223" i="73" s="1"/>
  <c r="IA155" i="15"/>
  <c r="ID155" i="15"/>
  <c r="IF33" i="15"/>
  <c r="IB114" i="15"/>
  <c r="AY129" i="5"/>
  <c r="AX129" i="5"/>
  <c r="AZ129" i="5" s="1"/>
  <c r="AS129" i="73" s="1"/>
  <c r="AY40" i="5"/>
  <c r="AX40" i="5"/>
  <c r="AZ40" i="5" s="1"/>
  <c r="AS40" i="73" s="1"/>
  <c r="HI40" i="15"/>
  <c r="AX103" i="5"/>
  <c r="AZ103" i="5" s="1"/>
  <c r="AS103" i="73" s="1"/>
  <c r="AY103" i="5"/>
  <c r="HU84" i="15"/>
  <c r="HR84" i="15"/>
  <c r="HJ84" i="15" s="1"/>
  <c r="HX84" i="15" s="1"/>
  <c r="HV321" i="15"/>
  <c r="HS321" i="15"/>
  <c r="HK321" i="15" s="1"/>
  <c r="HY321" i="15" s="1"/>
  <c r="HS317" i="15"/>
  <c r="HK317" i="15" s="1"/>
  <c r="HY317" i="15" s="1"/>
  <c r="HV317" i="15"/>
  <c r="IC347" i="15"/>
  <c r="IB347" i="15"/>
  <c r="HT347" i="15"/>
  <c r="HQ347" i="15"/>
  <c r="HI347" i="15" s="1"/>
  <c r="HW347" i="15" s="1"/>
  <c r="ID347" i="15"/>
  <c r="IE347" i="15"/>
  <c r="IF347" i="15"/>
  <c r="IA347" i="15"/>
  <c r="AY319" i="5"/>
  <c r="AX319" i="5"/>
  <c r="AZ319" i="5" s="1"/>
  <c r="AS319" i="73" s="1"/>
  <c r="AX295" i="5"/>
  <c r="AZ295" i="5" s="1"/>
  <c r="AS295" i="73" s="1"/>
  <c r="AY295" i="5"/>
  <c r="IF279" i="15"/>
  <c r="HQ279" i="15"/>
  <c r="HI279" i="15" s="1"/>
  <c r="HW279" i="15" s="1"/>
  <c r="IB279" i="15"/>
  <c r="HT279" i="15"/>
  <c r="IC279" i="15"/>
  <c r="ID279" i="15"/>
  <c r="IA279" i="15"/>
  <c r="IE279" i="15"/>
  <c r="IF263" i="15"/>
  <c r="HQ263" i="15"/>
  <c r="HI263" i="15" s="1"/>
  <c r="HW263" i="15" s="1"/>
  <c r="IA263" i="15"/>
  <c r="IE263" i="15"/>
  <c r="HT263" i="15"/>
  <c r="IB263" i="15"/>
  <c r="IC263" i="15"/>
  <c r="ID263" i="15"/>
  <c r="AY251" i="5"/>
  <c r="AX251" i="5"/>
  <c r="AZ251" i="5" s="1"/>
  <c r="AS251" i="73" s="1"/>
  <c r="HQ243" i="15"/>
  <c r="HI243" i="15" s="1"/>
  <c r="HW243" i="15" s="1"/>
  <c r="ID243" i="15"/>
  <c r="IE243" i="15"/>
  <c r="HT243" i="15"/>
  <c r="IA243" i="15"/>
  <c r="IB243" i="15"/>
  <c r="IF243" i="15"/>
  <c r="IC243" i="15"/>
  <c r="AX235" i="5"/>
  <c r="AZ235" i="5" s="1"/>
  <c r="AS235" i="73" s="1"/>
  <c r="AY235" i="5"/>
  <c r="HQ227" i="15"/>
  <c r="HI227" i="15" s="1"/>
  <c r="HW227" i="15" s="1"/>
  <c r="IA227" i="15"/>
  <c r="ID227" i="15"/>
  <c r="HT227" i="15"/>
  <c r="IC227" i="15"/>
  <c r="IE227" i="15"/>
  <c r="IB227" i="15"/>
  <c r="IF227" i="15"/>
  <c r="IB211" i="15"/>
  <c r="IF211" i="15"/>
  <c r="HT211" i="15"/>
  <c r="IC211" i="15"/>
  <c r="IE211" i="15"/>
  <c r="HQ211" i="15"/>
  <c r="HI211" i="15" s="1"/>
  <c r="HW211" i="15" s="1"/>
  <c r="IA211" i="15"/>
  <c r="ID211" i="15"/>
  <c r="HQ195" i="15"/>
  <c r="HI195" i="15" s="1"/>
  <c r="HW195" i="15" s="1"/>
  <c r="IB195" i="15"/>
  <c r="ID195" i="15"/>
  <c r="IF195" i="15"/>
  <c r="IE195" i="15"/>
  <c r="HT195" i="15"/>
  <c r="IC195" i="15"/>
  <c r="IA195" i="15"/>
  <c r="HQ187" i="15"/>
  <c r="HI187" i="15" s="1"/>
  <c r="HW187" i="15" s="1"/>
  <c r="IF187" i="15"/>
  <c r="HT187" i="15"/>
  <c r="IB187" i="15"/>
  <c r="IC187" i="15"/>
  <c r="ID187" i="15"/>
  <c r="IE187" i="15"/>
  <c r="IA187" i="15"/>
  <c r="IA175" i="15"/>
  <c r="IE175" i="15"/>
  <c r="ID175" i="15"/>
  <c r="HT175" i="15"/>
  <c r="IF175" i="15"/>
  <c r="HQ167" i="15"/>
  <c r="HI167" i="15" s="1"/>
  <c r="HW167" i="15" s="1"/>
  <c r="ID167" i="15"/>
  <c r="IA167" i="15"/>
  <c r="IF167" i="15"/>
  <c r="IE167" i="15"/>
  <c r="HT167" i="15"/>
  <c r="I66" i="5"/>
  <c r="HV87" i="15"/>
  <c r="HS87" i="15"/>
  <c r="HK87" i="15" s="1"/>
  <c r="HY87" i="15" s="1"/>
  <c r="HR82" i="15"/>
  <c r="HJ82" i="15" s="1"/>
  <c r="HX82" i="15" s="1"/>
  <c r="HU82" i="15"/>
  <c r="IB82" i="15"/>
  <c r="IB339" i="15"/>
  <c r="IC339" i="15"/>
  <c r="IE339" i="15"/>
  <c r="ID339" i="15"/>
  <c r="HQ339" i="15"/>
  <c r="HI339" i="15" s="1"/>
  <c r="HW339" i="15" s="1"/>
  <c r="HR174" i="15"/>
  <c r="HJ174" i="15" s="1"/>
  <c r="HX174" i="15" s="1"/>
  <c r="HU174" i="15"/>
  <c r="HR162" i="15"/>
  <c r="HJ162" i="15" s="1"/>
  <c r="HX162" i="15" s="1"/>
  <c r="HU162" i="15"/>
  <c r="IB162" i="15"/>
  <c r="HR146" i="15"/>
  <c r="HJ146" i="15" s="1"/>
  <c r="HX146" i="15" s="1"/>
  <c r="IB146" i="15"/>
  <c r="HU146" i="15"/>
  <c r="HU134" i="15"/>
  <c r="HR134" i="15"/>
  <c r="HJ134" i="15" s="1"/>
  <c r="HX134" i="15" s="1"/>
  <c r="HR130" i="15"/>
  <c r="HJ130" i="15" s="1"/>
  <c r="HX130" i="15" s="1"/>
  <c r="HU130" i="15"/>
  <c r="IB130" i="15"/>
  <c r="AY66" i="5"/>
  <c r="AX66" i="5"/>
  <c r="AZ66" i="5" s="1"/>
  <c r="AS66" i="73" s="1"/>
  <c r="HV349" i="15"/>
  <c r="HS349" i="15"/>
  <c r="HK349" i="15" s="1"/>
  <c r="HY349" i="15" s="1"/>
  <c r="ID349" i="15"/>
  <c r="IE349" i="15"/>
  <c r="HT349" i="15"/>
  <c r="IA349" i="15"/>
  <c r="HQ349" i="15"/>
  <c r="HI349" i="15" s="1"/>
  <c r="HW349" i="15" s="1"/>
  <c r="IF349" i="15"/>
  <c r="IC349" i="15"/>
  <c r="IB349" i="15"/>
  <c r="HR348" i="15"/>
  <c r="HJ348" i="15" s="1"/>
  <c r="HX348" i="15" s="1"/>
  <c r="HU348" i="15"/>
  <c r="HV343" i="15"/>
  <c r="HS343" i="15"/>
  <c r="HK343" i="15" s="1"/>
  <c r="HY343" i="15" s="1"/>
  <c r="HV341" i="15"/>
  <c r="HS341" i="15"/>
  <c r="HK341" i="15" s="1"/>
  <c r="HY341" i="15" s="1"/>
  <c r="AY341" i="5"/>
  <c r="AX341" i="5"/>
  <c r="AZ341" i="5" s="1"/>
  <c r="AS341" i="73" s="1"/>
  <c r="HU330" i="15"/>
  <c r="HR330" i="15"/>
  <c r="HJ330" i="15" s="1"/>
  <c r="HX330" i="15" s="1"/>
  <c r="IB330" i="15"/>
  <c r="AY329" i="5"/>
  <c r="AX329" i="5"/>
  <c r="AZ329" i="5" s="1"/>
  <c r="AS329" i="73" s="1"/>
  <c r="HS323" i="15"/>
  <c r="HK323" i="15" s="1"/>
  <c r="HY323" i="15" s="1"/>
  <c r="HV323" i="15"/>
  <c r="IC323" i="15"/>
  <c r="AX321" i="5"/>
  <c r="AZ321" i="5" s="1"/>
  <c r="AS321" i="73" s="1"/>
  <c r="AY321" i="5"/>
  <c r="AX317" i="5"/>
  <c r="AZ317" i="5" s="1"/>
  <c r="AS317" i="73" s="1"/>
  <c r="AY317" i="5"/>
  <c r="HR310" i="15"/>
  <c r="HJ310" i="15" s="1"/>
  <c r="HX310" i="15" s="1"/>
  <c r="HU310" i="15"/>
  <c r="IB309" i="15"/>
  <c r="ID309" i="15"/>
  <c r="IE309" i="15"/>
  <c r="IF309" i="15"/>
  <c r="HQ309" i="15"/>
  <c r="HI309" i="15" s="1"/>
  <c r="HW309" i="15" s="1"/>
  <c r="HT309" i="15"/>
  <c r="IA309" i="15"/>
  <c r="HR308" i="15"/>
  <c r="HJ308" i="15" s="1"/>
  <c r="HX308" i="15" s="1"/>
  <c r="HU308" i="15"/>
  <c r="AX297" i="5"/>
  <c r="AZ297" i="5" s="1"/>
  <c r="AS297" i="73" s="1"/>
  <c r="AY297" i="5"/>
  <c r="HS289" i="15"/>
  <c r="HK289" i="15" s="1"/>
  <c r="HY289" i="15" s="1"/>
  <c r="HV289" i="15"/>
  <c r="AX289" i="5"/>
  <c r="AY289" i="5"/>
  <c r="AZ289" i="5"/>
  <c r="AS289" i="73" s="1"/>
  <c r="HV283" i="15"/>
  <c r="HS283" i="15"/>
  <c r="HK283" i="15" s="1"/>
  <c r="HY283" i="15" s="1"/>
  <c r="AY281" i="5"/>
  <c r="AX281" i="5"/>
  <c r="AZ281" i="5" s="1"/>
  <c r="AS281" i="73" s="1"/>
  <c r="HV273" i="15"/>
  <c r="HS273" i="15"/>
  <c r="HK273" i="15" s="1"/>
  <c r="HY273" i="15" s="1"/>
  <c r="IF273" i="15"/>
  <c r="HQ273" i="15"/>
  <c r="HI273" i="15" s="1"/>
  <c r="HW273" i="15" s="1"/>
  <c r="IA273" i="15"/>
  <c r="IE273" i="15"/>
  <c r="IC273" i="15"/>
  <c r="HT273" i="15"/>
  <c r="ID273" i="15"/>
  <c r="IB273" i="15"/>
  <c r="HV265" i="15"/>
  <c r="HS265" i="15"/>
  <c r="HK265" i="15" s="1"/>
  <c r="HY265" i="15" s="1"/>
  <c r="HR264" i="15"/>
  <c r="HJ264" i="15" s="1"/>
  <c r="HX264" i="15" s="1"/>
  <c r="HU264" i="15"/>
  <c r="HS259" i="15"/>
  <c r="HK259" i="15" s="1"/>
  <c r="HY259" i="15" s="1"/>
  <c r="HV259" i="15"/>
  <c r="IC259" i="15"/>
  <c r="HR258" i="15"/>
  <c r="HJ258" i="15" s="1"/>
  <c r="HX258" i="15" s="1"/>
  <c r="HU258" i="15"/>
  <c r="IB258" i="15"/>
  <c r="HV253" i="15"/>
  <c r="HS253" i="15"/>
  <c r="HK253" i="15" s="1"/>
  <c r="HY253" i="15" s="1"/>
  <c r="HQ253" i="15"/>
  <c r="HI253" i="15" s="1"/>
  <c r="HW253" i="15" s="1"/>
  <c r="IF253" i="15"/>
  <c r="HT253" i="15"/>
  <c r="IB253" i="15"/>
  <c r="ID253" i="15"/>
  <c r="IC253" i="15"/>
  <c r="IA253" i="15"/>
  <c r="IE253" i="15"/>
  <c r="HR252" i="15"/>
  <c r="HJ252" i="15" s="1"/>
  <c r="HX252" i="15" s="1"/>
  <c r="HU252" i="15"/>
  <c r="IB252" i="15"/>
  <c r="HR246" i="15"/>
  <c r="HJ246" i="15" s="1"/>
  <c r="HX246" i="15" s="1"/>
  <c r="HU246" i="15"/>
  <c r="IB246" i="15"/>
  <c r="AY245" i="5"/>
  <c r="AX245" i="5"/>
  <c r="AZ245" i="5" s="1"/>
  <c r="AS245" i="73" s="1"/>
  <c r="HS239" i="15"/>
  <c r="HK239" i="15" s="1"/>
  <c r="HY239" i="15" s="1"/>
  <c r="IC239" i="15"/>
  <c r="HV239" i="15"/>
  <c r="HS237" i="15"/>
  <c r="HK237" i="15" s="1"/>
  <c r="HY237" i="15" s="1"/>
  <c r="HV237" i="15"/>
  <c r="HQ237" i="15"/>
  <c r="HI237" i="15" s="1"/>
  <c r="HW237" i="15" s="1"/>
  <c r="IF237" i="15"/>
  <c r="IC237" i="15"/>
  <c r="HT237" i="15"/>
  <c r="IB237" i="15"/>
  <c r="IA237" i="15"/>
  <c r="ID237" i="15"/>
  <c r="IE237" i="15"/>
  <c r="HR236" i="15"/>
  <c r="HJ236" i="15" s="1"/>
  <c r="HX236" i="15" s="1"/>
  <c r="HU236" i="15"/>
  <c r="IB236" i="15"/>
  <c r="AY229" i="5"/>
  <c r="AX229" i="5"/>
  <c r="AZ229" i="5" s="1"/>
  <c r="AS229" i="73" s="1"/>
  <c r="HR228" i="15"/>
  <c r="HJ228" i="15" s="1"/>
  <c r="HX228" i="15" s="1"/>
  <c r="HU228" i="15"/>
  <c r="IB228" i="15"/>
  <c r="HR222" i="15"/>
  <c r="HJ222" i="15" s="1"/>
  <c r="HX222" i="15" s="1"/>
  <c r="IB222" i="15"/>
  <c r="HU222" i="15"/>
  <c r="HT221" i="15"/>
  <c r="IB221" i="15"/>
  <c r="ID221" i="15"/>
  <c r="IC221" i="15"/>
  <c r="IF221" i="15"/>
  <c r="HQ221" i="15"/>
  <c r="HI221" i="15" s="1"/>
  <c r="HW221" i="15" s="1"/>
  <c r="IE221" i="15"/>
  <c r="IA221" i="15"/>
  <c r="HU220" i="15"/>
  <c r="HR220" i="15"/>
  <c r="HJ220" i="15" s="1"/>
  <c r="HX220" i="15" s="1"/>
  <c r="HR212" i="15"/>
  <c r="HJ212" i="15" s="1"/>
  <c r="HX212" i="15" s="1"/>
  <c r="HU212" i="15"/>
  <c r="IB212" i="15"/>
  <c r="HQ205" i="15"/>
  <c r="HI205" i="15" s="1"/>
  <c r="HW205" i="15" s="1"/>
  <c r="IB205" i="15"/>
  <c r="IC205" i="15"/>
  <c r="IF205" i="15"/>
  <c r="HT205" i="15"/>
  <c r="IA205" i="15"/>
  <c r="IE205" i="15"/>
  <c r="ID205" i="15"/>
  <c r="HU198" i="15"/>
  <c r="IB198" i="15"/>
  <c r="HR198" i="15"/>
  <c r="HJ198" i="15" s="1"/>
  <c r="HX198" i="15" s="1"/>
  <c r="HR196" i="15"/>
  <c r="HJ196" i="15" s="1"/>
  <c r="HX196" i="15" s="1"/>
  <c r="IB196" i="15"/>
  <c r="HU196" i="15"/>
  <c r="HQ189" i="15"/>
  <c r="HI189" i="15" s="1"/>
  <c r="HW189" i="15" s="1"/>
  <c r="IB189" i="15"/>
  <c r="IA189" i="15"/>
  <c r="IE189" i="15"/>
  <c r="ID189" i="15"/>
  <c r="IC189" i="15"/>
  <c r="HT189" i="15"/>
  <c r="IF189" i="15"/>
  <c r="HU182" i="15"/>
  <c r="HR182" i="15"/>
  <c r="HJ182" i="15" s="1"/>
  <c r="HX182" i="15" s="1"/>
  <c r="IB182" i="15"/>
  <c r="IA181" i="15"/>
  <c r="ID181" i="15"/>
  <c r="IE181" i="15"/>
  <c r="IF181" i="15"/>
  <c r="HQ181" i="15"/>
  <c r="HI181" i="15" s="1"/>
  <c r="HW181" i="15" s="1"/>
  <c r="HT181" i="15"/>
  <c r="IB181" i="15"/>
  <c r="HR180" i="15"/>
  <c r="HJ180" i="15" s="1"/>
  <c r="HX180" i="15" s="1"/>
  <c r="HU180" i="15"/>
  <c r="IB180" i="15"/>
  <c r="IE165" i="15"/>
  <c r="IA165" i="15"/>
  <c r="ID165" i="15"/>
  <c r="HT165" i="15"/>
  <c r="IF165" i="15"/>
  <c r="IB165" i="15"/>
  <c r="HQ165" i="15"/>
  <c r="HI165" i="15" s="1"/>
  <c r="HW165" i="15" s="1"/>
  <c r="HQ161" i="15"/>
  <c r="HI161" i="15" s="1"/>
  <c r="HW161" i="15" s="1"/>
  <c r="IA161" i="15"/>
  <c r="ID161" i="15"/>
  <c r="IC161" i="15"/>
  <c r="IB161" i="15"/>
  <c r="HT161" i="15"/>
  <c r="IE161" i="15"/>
  <c r="IF161" i="15"/>
  <c r="HQ157" i="15"/>
  <c r="HI157" i="15" s="1"/>
  <c r="HW157" i="15" s="1"/>
  <c r="HT157" i="15"/>
  <c r="IF157" i="15"/>
  <c r="ID157" i="15"/>
  <c r="IA157" i="15"/>
  <c r="IE157" i="15"/>
  <c r="AX153" i="5"/>
  <c r="AZ153" i="5" s="1"/>
  <c r="AS153" i="73" s="1"/>
  <c r="AY153" i="5"/>
  <c r="IE149" i="15"/>
  <c r="IA149" i="15"/>
  <c r="ID149" i="15"/>
  <c r="HT149" i="15"/>
  <c r="IB149" i="15"/>
  <c r="IF149" i="15"/>
  <c r="HQ149" i="15"/>
  <c r="HI149" i="15" s="1"/>
  <c r="HW149" i="15" s="1"/>
  <c r="HS145" i="15"/>
  <c r="HK145" i="15" s="1"/>
  <c r="HY145" i="15" s="1"/>
  <c r="HV145" i="15"/>
  <c r="HQ145" i="15"/>
  <c r="HI145" i="15" s="1"/>
  <c r="HW145" i="15" s="1"/>
  <c r="IB145" i="15"/>
  <c r="IF145" i="15"/>
  <c r="IE145" i="15"/>
  <c r="IA145" i="15"/>
  <c r="ID145" i="15"/>
  <c r="HT145" i="15"/>
  <c r="IC145" i="15"/>
  <c r="HV141" i="15"/>
  <c r="HS141" i="15"/>
  <c r="HK141" i="15" s="1"/>
  <c r="HY141" i="15" s="1"/>
  <c r="AY141" i="5"/>
  <c r="AX141" i="5"/>
  <c r="AZ141" i="5" s="1"/>
  <c r="AS141" i="73" s="1"/>
  <c r="HS137" i="15"/>
  <c r="HK137" i="15" s="1"/>
  <c r="HY137" i="15" s="1"/>
  <c r="HV137" i="15"/>
  <c r="IE137" i="15"/>
  <c r="HT137" i="15"/>
  <c r="HQ137" i="15"/>
  <c r="HI137" i="15" s="1"/>
  <c r="HW137" i="15" s="1"/>
  <c r="IF137" i="15"/>
  <c r="IA137" i="15"/>
  <c r="IC137" i="15"/>
  <c r="ID137" i="15"/>
  <c r="HV133" i="15"/>
  <c r="HS133" i="15"/>
  <c r="HK133" i="15" s="1"/>
  <c r="HY133" i="15" s="1"/>
  <c r="ID133" i="15"/>
  <c r="HQ133" i="15"/>
  <c r="HI133" i="15" s="1"/>
  <c r="HW133" i="15" s="1"/>
  <c r="IA133" i="15"/>
  <c r="HT133" i="15"/>
  <c r="IC133" i="15"/>
  <c r="IF133" i="15"/>
  <c r="IB133" i="15"/>
  <c r="IE133" i="15"/>
  <c r="HS129" i="15"/>
  <c r="HK129" i="15" s="1"/>
  <c r="HY129" i="15" s="1"/>
  <c r="HV129" i="15"/>
  <c r="HV81" i="15"/>
  <c r="HS81" i="15"/>
  <c r="HK81" i="15" s="1"/>
  <c r="HY81" i="15" s="1"/>
  <c r="HQ63" i="15"/>
  <c r="HI63" i="15" s="1"/>
  <c r="ID63" i="15"/>
  <c r="IB63" i="15"/>
  <c r="IE63" i="15"/>
  <c r="IA63" i="15"/>
  <c r="IC63" i="15"/>
  <c r="IF63" i="15"/>
  <c r="HR42" i="15"/>
  <c r="BG42" i="15"/>
  <c r="HS347" i="15"/>
  <c r="HK347" i="15" s="1"/>
  <c r="HY347" i="15" s="1"/>
  <c r="HV347" i="15"/>
  <c r="HR344" i="15"/>
  <c r="HJ344" i="15" s="1"/>
  <c r="HX344" i="15" s="1"/>
  <c r="HU344" i="15"/>
  <c r="HU338" i="15"/>
  <c r="HR338" i="15"/>
  <c r="HJ338" i="15" s="1"/>
  <c r="HX338" i="15" s="1"/>
  <c r="IB338" i="15"/>
  <c r="HV337" i="15"/>
  <c r="HS337" i="15"/>
  <c r="HK337" i="15" s="1"/>
  <c r="HY337" i="15" s="1"/>
  <c r="AX337" i="5"/>
  <c r="AZ337" i="5" s="1"/>
  <c r="AS337" i="73" s="1"/>
  <c r="AY337" i="5"/>
  <c r="HV333" i="15"/>
  <c r="HS333" i="15"/>
  <c r="HK333" i="15" s="1"/>
  <c r="HY333" i="15" s="1"/>
  <c r="IB333" i="15"/>
  <c r="HT333" i="15"/>
  <c r="HQ333" i="15"/>
  <c r="HI333" i="15" s="1"/>
  <c r="HW333" i="15" s="1"/>
  <c r="IF333" i="15"/>
  <c r="IA333" i="15"/>
  <c r="IE333" i="15"/>
  <c r="IC333" i="15"/>
  <c r="ID333" i="15"/>
  <c r="HV327" i="15"/>
  <c r="HS327" i="15"/>
  <c r="HK327" i="15" s="1"/>
  <c r="HY327" i="15" s="1"/>
  <c r="HS325" i="15"/>
  <c r="HK325" i="15" s="1"/>
  <c r="HY325" i="15" s="1"/>
  <c r="HV325" i="15"/>
  <c r="AY325" i="5"/>
  <c r="AX325" i="5"/>
  <c r="AZ325" i="5" s="1"/>
  <c r="AS325" i="73" s="1"/>
  <c r="HR324" i="15"/>
  <c r="HJ324" i="15" s="1"/>
  <c r="HX324" i="15" s="1"/>
  <c r="HU324" i="15"/>
  <c r="HU314" i="15"/>
  <c r="HR314" i="15"/>
  <c r="HJ314" i="15" s="1"/>
  <c r="HX314" i="15" s="1"/>
  <c r="IB314" i="15"/>
  <c r="HS307" i="15"/>
  <c r="HK307" i="15" s="1"/>
  <c r="HY307" i="15" s="1"/>
  <c r="HV307" i="15"/>
  <c r="AX305" i="5"/>
  <c r="AZ305" i="5" s="1"/>
  <c r="AS305" i="73" s="1"/>
  <c r="AY305" i="5"/>
  <c r="AY301" i="5"/>
  <c r="AX301" i="5"/>
  <c r="AZ301" i="5" s="1"/>
  <c r="AS301" i="73" s="1"/>
  <c r="HQ301" i="15"/>
  <c r="HI301" i="15" s="1"/>
  <c r="HW301" i="15" s="1"/>
  <c r="IE301" i="15"/>
  <c r="IC301" i="15"/>
  <c r="ID301" i="15"/>
  <c r="IA301" i="15"/>
  <c r="IB301" i="15"/>
  <c r="HT301" i="15"/>
  <c r="IF301" i="15"/>
  <c r="HS293" i="15"/>
  <c r="HK293" i="15" s="1"/>
  <c r="HY293" i="15" s="1"/>
  <c r="HV293" i="15"/>
  <c r="HQ293" i="15"/>
  <c r="HI293" i="15" s="1"/>
  <c r="HW293" i="15" s="1"/>
  <c r="IF293" i="15"/>
  <c r="ID293" i="15"/>
  <c r="IA293" i="15"/>
  <c r="IE293" i="15"/>
  <c r="HT293" i="15"/>
  <c r="IC293" i="15"/>
  <c r="IB293" i="15"/>
  <c r="HS285" i="15"/>
  <c r="HK285" i="15" s="1"/>
  <c r="HY285" i="15" s="1"/>
  <c r="HV285" i="15"/>
  <c r="HT285" i="15"/>
  <c r="IB285" i="15"/>
  <c r="ID285" i="15"/>
  <c r="HQ285" i="15"/>
  <c r="HI285" i="15" s="1"/>
  <c r="HW285" i="15" s="1"/>
  <c r="IE285" i="15"/>
  <c r="IA285" i="15"/>
  <c r="IF285" i="15"/>
  <c r="IC285" i="15"/>
  <c r="HV279" i="15"/>
  <c r="HS279" i="15"/>
  <c r="HK279" i="15" s="1"/>
  <c r="HY279" i="15" s="1"/>
  <c r="HQ277" i="15"/>
  <c r="HI277" i="15" s="1"/>
  <c r="HW277" i="15" s="1"/>
  <c r="IF277" i="15"/>
  <c r="IB277" i="15"/>
  <c r="ID277" i="15"/>
  <c r="HT277" i="15"/>
  <c r="IE277" i="15"/>
  <c r="IA277" i="15"/>
  <c r="HV271" i="15"/>
  <c r="HS271" i="15"/>
  <c r="HK271" i="15" s="1"/>
  <c r="HY271" i="15" s="1"/>
  <c r="IC271" i="15"/>
  <c r="AY269" i="5"/>
  <c r="AX269" i="5"/>
  <c r="AZ269" i="5" s="1"/>
  <c r="AS269" i="73" s="1"/>
  <c r="HR262" i="15"/>
  <c r="HJ262" i="15" s="1"/>
  <c r="HX262" i="15" s="1"/>
  <c r="HU262" i="15"/>
  <c r="IB262" i="15"/>
  <c r="HQ261" i="15"/>
  <c r="HI261" i="15" s="1"/>
  <c r="HW261" i="15" s="1"/>
  <c r="IF261" i="15"/>
  <c r="IA261" i="15"/>
  <c r="IE261" i="15"/>
  <c r="ID261" i="15"/>
  <c r="HT261" i="15"/>
  <c r="IB261" i="15"/>
  <c r="IC261" i="15"/>
  <c r="HR256" i="15"/>
  <c r="HJ256" i="15" s="1"/>
  <c r="HX256" i="15" s="1"/>
  <c r="HU256" i="15"/>
  <c r="AX249" i="5"/>
  <c r="AZ249" i="5" s="1"/>
  <c r="AS249" i="73" s="1"/>
  <c r="AY249" i="5"/>
  <c r="HR248" i="15"/>
  <c r="HJ248" i="15" s="1"/>
  <c r="HX248" i="15" s="1"/>
  <c r="HU248" i="15"/>
  <c r="HU240" i="15"/>
  <c r="HR240" i="15"/>
  <c r="HJ240" i="15" s="1"/>
  <c r="HX240" i="15" s="1"/>
  <c r="IB240" i="15"/>
  <c r="AX233" i="5"/>
  <c r="AZ233" i="5" s="1"/>
  <c r="AS233" i="73" s="1"/>
  <c r="AY233" i="5"/>
  <c r="HQ233" i="15"/>
  <c r="HI233" i="15" s="1"/>
  <c r="HW233" i="15" s="1"/>
  <c r="IE233" i="15"/>
  <c r="IB233" i="15"/>
  <c r="IA233" i="15"/>
  <c r="ID233" i="15"/>
  <c r="IF233" i="15"/>
  <c r="HT233" i="15"/>
  <c r="IC233" i="15"/>
  <c r="HR226" i="15"/>
  <c r="HJ226" i="15" s="1"/>
  <c r="HX226" i="15" s="1"/>
  <c r="IB226" i="15"/>
  <c r="HU226" i="15"/>
  <c r="AX201" i="5"/>
  <c r="AZ201" i="5" s="1"/>
  <c r="AS201" i="73" s="1"/>
  <c r="AY201" i="5"/>
  <c r="HU200" i="15"/>
  <c r="HR200" i="15"/>
  <c r="HJ200" i="15" s="1"/>
  <c r="HX200" i="15" s="1"/>
  <c r="HQ193" i="15"/>
  <c r="HI193" i="15" s="1"/>
  <c r="HW193" i="15" s="1"/>
  <c r="IE193" i="15"/>
  <c r="IB193" i="15"/>
  <c r="IC193" i="15"/>
  <c r="ID193" i="15"/>
  <c r="IA193" i="15"/>
  <c r="IF193" i="15"/>
  <c r="HT193" i="15"/>
  <c r="HU186" i="15"/>
  <c r="HR186" i="15"/>
  <c r="HJ186" i="15" s="1"/>
  <c r="HX186" i="15" s="1"/>
  <c r="IB177" i="15"/>
  <c r="HQ177" i="15"/>
  <c r="HI177" i="15" s="1"/>
  <c r="HW177" i="15" s="1"/>
  <c r="IF177" i="15"/>
  <c r="ID177" i="15"/>
  <c r="IA177" i="15"/>
  <c r="IE177" i="15"/>
  <c r="HT177" i="15"/>
  <c r="IC177" i="15"/>
  <c r="HR176" i="15"/>
  <c r="HJ176" i="15" s="1"/>
  <c r="HX176" i="15" s="1"/>
  <c r="HU176" i="15"/>
  <c r="IE169" i="15"/>
  <c r="HQ169" i="15"/>
  <c r="HI169" i="15" s="1"/>
  <c r="HW169" i="15" s="1"/>
  <c r="HT169" i="15"/>
  <c r="IF169" i="15"/>
  <c r="ID169" i="15"/>
  <c r="IA169" i="15"/>
  <c r="AY69" i="5"/>
  <c r="AX69" i="5"/>
  <c r="AZ69" i="5" s="1"/>
  <c r="AS69" i="73" s="1"/>
  <c r="IC257" i="15"/>
  <c r="HQ257" i="15"/>
  <c r="HI257" i="15" s="1"/>
  <c r="HW257" i="15" s="1"/>
  <c r="ID257" i="15"/>
  <c r="IA257" i="15"/>
  <c r="IB257" i="15"/>
  <c r="HT257" i="15"/>
  <c r="IE257" i="15"/>
  <c r="IF257" i="15"/>
  <c r="HS135" i="15"/>
  <c r="HK135" i="15" s="1"/>
  <c r="HY135" i="15" s="1"/>
  <c r="HV135" i="15"/>
  <c r="HS131" i="15"/>
  <c r="HK131" i="15" s="1"/>
  <c r="HY131" i="15" s="1"/>
  <c r="HV131" i="15"/>
  <c r="HS119" i="15"/>
  <c r="HK119" i="15" s="1"/>
  <c r="HY119" i="15" s="1"/>
  <c r="HV119" i="15"/>
  <c r="IF83" i="15"/>
  <c r="HT83" i="15"/>
  <c r="ID83" i="15"/>
  <c r="IE83" i="15"/>
  <c r="IC83" i="15"/>
  <c r="IB83" i="15"/>
  <c r="IA83" i="15"/>
  <c r="HQ83" i="15"/>
  <c r="HI83" i="15" s="1"/>
  <c r="HW83" i="15" s="1"/>
  <c r="HS83" i="15"/>
  <c r="HK83" i="15" s="1"/>
  <c r="HY83" i="15" s="1"/>
  <c r="HV83" i="15"/>
  <c r="HS251" i="15"/>
  <c r="HK251" i="15" s="1"/>
  <c r="HY251" i="15" s="1"/>
  <c r="HV251" i="15"/>
  <c r="IC251" i="15"/>
  <c r="HR250" i="15"/>
  <c r="HJ250" i="15" s="1"/>
  <c r="HX250" i="15" s="1"/>
  <c r="HU250" i="15"/>
  <c r="IB250" i="15"/>
  <c r="HR242" i="15"/>
  <c r="HJ242" i="15" s="1"/>
  <c r="HX242" i="15" s="1"/>
  <c r="HU242" i="15"/>
  <c r="IB242" i="15"/>
  <c r="HV241" i="15"/>
  <c r="HS241" i="15"/>
  <c r="HK241" i="15" s="1"/>
  <c r="HY241" i="15" s="1"/>
  <c r="HQ225" i="15"/>
  <c r="HI225" i="15" s="1"/>
  <c r="HW225" i="15" s="1"/>
  <c r="IB225" i="15"/>
  <c r="IF225" i="15"/>
  <c r="HT225" i="15"/>
  <c r="IE225" i="15"/>
  <c r="ID225" i="15"/>
  <c r="IA225" i="15"/>
  <c r="HR218" i="15"/>
  <c r="HJ218" i="15" s="1"/>
  <c r="HX218" i="15" s="1"/>
  <c r="IB218" i="15"/>
  <c r="HU218" i="15"/>
  <c r="AX217" i="5"/>
  <c r="AZ217" i="5" s="1"/>
  <c r="AS217" i="73" s="1"/>
  <c r="AY217" i="5"/>
  <c r="HR210" i="15"/>
  <c r="HJ210" i="15" s="1"/>
  <c r="HX210" i="15" s="1"/>
  <c r="IB210" i="15"/>
  <c r="HU210" i="15"/>
  <c r="HR208" i="15"/>
  <c r="HJ208" i="15" s="1"/>
  <c r="HX208" i="15" s="1"/>
  <c r="HU208" i="15"/>
  <c r="AY185" i="5"/>
  <c r="AX185" i="5"/>
  <c r="AZ185" i="5" s="1"/>
  <c r="AS185" i="73" s="1"/>
  <c r="HR184" i="15"/>
  <c r="HJ184" i="15" s="1"/>
  <c r="HX184" i="15" s="1"/>
  <c r="HU184" i="15"/>
  <c r="IB184" i="15"/>
  <c r="HR178" i="15"/>
  <c r="HJ178" i="15" s="1"/>
  <c r="HX178" i="15" s="1"/>
  <c r="HU178" i="15"/>
  <c r="HS143" i="15"/>
  <c r="HK143" i="15" s="1"/>
  <c r="HY143" i="15" s="1"/>
  <c r="HV143" i="15"/>
  <c r="HS139" i="15"/>
  <c r="HK139" i="15" s="1"/>
  <c r="HY139" i="15" s="1"/>
  <c r="HV139" i="15"/>
  <c r="IA79" i="15"/>
  <c r="IB79" i="15"/>
  <c r="ID79" i="15"/>
  <c r="IE79" i="15"/>
  <c r="HQ79" i="15"/>
  <c r="IC79" i="15"/>
  <c r="AO79" i="65"/>
  <c r="IF79" i="15"/>
  <c r="HQ67" i="15"/>
  <c r="HI67" i="15" s="1"/>
  <c r="IA67" i="15"/>
  <c r="IF67" i="15"/>
  <c r="IE67" i="15"/>
  <c r="IC67" i="15"/>
  <c r="IB67" i="15"/>
  <c r="ID67" i="15"/>
  <c r="IE85" i="15"/>
  <c r="HQ85" i="15"/>
  <c r="HI85" i="15" s="1"/>
  <c r="HW85" i="15" s="1"/>
  <c r="HT85" i="15"/>
  <c r="ID85" i="15"/>
  <c r="IA85" i="15"/>
  <c r="IB85" i="15"/>
  <c r="IF85" i="15"/>
  <c r="IC85" i="15"/>
  <c r="IF87" i="15"/>
  <c r="HQ87" i="15"/>
  <c r="HI87" i="15" s="1"/>
  <c r="HW87" i="15" s="1"/>
  <c r="IE87" i="15"/>
  <c r="HT87" i="15"/>
  <c r="IB87" i="15"/>
  <c r="IA87" i="15"/>
  <c r="IC87" i="15"/>
  <c r="ID87" i="15"/>
  <c r="HS319" i="15"/>
  <c r="HK319" i="15" s="1"/>
  <c r="HY319" i="15" s="1"/>
  <c r="HV319" i="15"/>
  <c r="HV305" i="15"/>
  <c r="HS305" i="15"/>
  <c r="HK305" i="15" s="1"/>
  <c r="HY305" i="15" s="1"/>
  <c r="IF315" i="15"/>
  <c r="IB315" i="15"/>
  <c r="HQ315" i="15"/>
  <c r="HI315" i="15" s="1"/>
  <c r="HW315" i="15" s="1"/>
  <c r="IC315" i="15"/>
  <c r="IA315" i="15"/>
  <c r="ID315" i="15"/>
  <c r="AY287" i="5"/>
  <c r="AX287" i="5"/>
  <c r="AZ287" i="5" s="1"/>
  <c r="AS287" i="73" s="1"/>
  <c r="AX271" i="5"/>
  <c r="AZ271" i="5" s="1"/>
  <c r="AS271" i="73" s="1"/>
  <c r="AY271" i="5"/>
  <c r="IE247" i="15"/>
  <c r="ID247" i="15"/>
  <c r="HT247" i="15"/>
  <c r="IA247" i="15"/>
  <c r="IF247" i="15"/>
  <c r="IC247" i="15"/>
  <c r="HQ247" i="15"/>
  <c r="HI247" i="15" s="1"/>
  <c r="HW247" i="15" s="1"/>
  <c r="IB247" i="15"/>
  <c r="ID231" i="15"/>
  <c r="IE231" i="15"/>
  <c r="IB231" i="15"/>
  <c r="HT231" i="15"/>
  <c r="IC231" i="15"/>
  <c r="IF231" i="15"/>
  <c r="HQ231" i="15"/>
  <c r="HI231" i="15" s="1"/>
  <c r="HW231" i="15" s="1"/>
  <c r="IA231" i="15"/>
  <c r="IB215" i="15"/>
  <c r="IC215" i="15"/>
  <c r="HQ215" i="15"/>
  <c r="HI215" i="15" s="1"/>
  <c r="HW215" i="15" s="1"/>
  <c r="IF215" i="15"/>
  <c r="HT215" i="15"/>
  <c r="ID215" i="15"/>
  <c r="IE215" i="15"/>
  <c r="IA215" i="15"/>
  <c r="HQ199" i="15"/>
  <c r="HI199" i="15" s="1"/>
  <c r="HW199" i="15" s="1"/>
  <c r="HT199" i="15"/>
  <c r="IA199" i="15"/>
  <c r="ID199" i="15"/>
  <c r="IF199" i="15"/>
  <c r="IB199" i="15"/>
  <c r="IC199" i="15"/>
  <c r="IE199" i="15"/>
  <c r="HQ183" i="15"/>
  <c r="HI183" i="15" s="1"/>
  <c r="HW183" i="15" s="1"/>
  <c r="IB183" i="15"/>
  <c r="IA183" i="15"/>
  <c r="ID183" i="15"/>
  <c r="IE183" i="15"/>
  <c r="IF183" i="15"/>
  <c r="HT183" i="15"/>
  <c r="HQ171" i="15"/>
  <c r="HI171" i="15" s="1"/>
  <c r="HW171" i="15" s="1"/>
  <c r="IC171" i="15"/>
  <c r="IF171" i="15"/>
  <c r="HT171" i="15"/>
  <c r="IE171" i="15"/>
  <c r="IA171" i="15"/>
  <c r="ID171" i="15"/>
  <c r="IC217" i="15"/>
  <c r="HT217" i="15"/>
  <c r="IF217" i="15"/>
  <c r="IB217" i="15"/>
  <c r="IA217" i="15"/>
  <c r="ID217" i="15"/>
  <c r="HQ217" i="15"/>
  <c r="HI217" i="15" s="1"/>
  <c r="HW217" i="15" s="1"/>
  <c r="IE217" i="15"/>
  <c r="HR66" i="15"/>
  <c r="IA66" i="15"/>
  <c r="IE66" i="15"/>
  <c r="ID66" i="15"/>
  <c r="BG66" i="15"/>
  <c r="HR48" i="15"/>
  <c r="BG48" i="15"/>
  <c r="IC299" i="15"/>
  <c r="ID299" i="15"/>
  <c r="HT299" i="15"/>
  <c r="IA299" i="15"/>
  <c r="HQ299" i="15"/>
  <c r="HI299" i="15" s="1"/>
  <c r="HW299" i="15" s="1"/>
  <c r="IE299" i="15"/>
  <c r="IF299" i="15"/>
  <c r="IB299" i="15"/>
  <c r="HR94" i="15"/>
  <c r="HJ94" i="15" s="1"/>
  <c r="HX94" i="15" s="1"/>
  <c r="HU94" i="15"/>
  <c r="IC307" i="15"/>
  <c r="ID307" i="15"/>
  <c r="IE307" i="15"/>
  <c r="HQ307" i="15"/>
  <c r="HI307" i="15" s="1"/>
  <c r="HW307" i="15" s="1"/>
  <c r="IF307" i="15"/>
  <c r="AN67" i="65"/>
  <c r="J67" i="5"/>
  <c r="AT67" i="73" s="1"/>
  <c r="HU168" i="15"/>
  <c r="HR168" i="15"/>
  <c r="HJ168" i="15" s="1"/>
  <c r="HX168" i="15" s="1"/>
  <c r="HR160" i="15"/>
  <c r="HJ160" i="15" s="1"/>
  <c r="HX160" i="15" s="1"/>
  <c r="IB160" i="15"/>
  <c r="HU160" i="15"/>
  <c r="HU148" i="15"/>
  <c r="HR148" i="15"/>
  <c r="HJ148" i="15" s="1"/>
  <c r="HX148" i="15" s="1"/>
  <c r="IB148" i="15"/>
  <c r="HR144" i="15"/>
  <c r="HJ144" i="15" s="1"/>
  <c r="HX144" i="15" s="1"/>
  <c r="HU144" i="15"/>
  <c r="HU132" i="15"/>
  <c r="HR132" i="15"/>
  <c r="HJ132" i="15" s="1"/>
  <c r="HX132" i="15" s="1"/>
  <c r="IB132" i="15"/>
  <c r="HR128" i="15"/>
  <c r="HJ128" i="15" s="1"/>
  <c r="HX128" i="15" s="1"/>
  <c r="HU128" i="15"/>
  <c r="IB128" i="15"/>
  <c r="IC55" i="15"/>
  <c r="HQ55" i="15"/>
  <c r="HI55" i="15" s="1"/>
  <c r="IA55" i="15"/>
  <c r="IB55" i="15"/>
  <c r="ID55" i="15"/>
  <c r="AO55" i="65"/>
  <c r="IF55" i="15"/>
  <c r="IE55" i="15"/>
  <c r="AL57" i="5"/>
  <c r="AU57" i="5" s="1"/>
  <c r="HN57" i="15"/>
  <c r="AN57" i="5"/>
  <c r="AW57" i="5" s="1"/>
  <c r="HP57" i="15"/>
  <c r="HS57" i="15" s="1"/>
  <c r="I100" i="5"/>
  <c r="AM100" i="65"/>
  <c r="AY349" i="5"/>
  <c r="AX349" i="5"/>
  <c r="AZ349" i="5" s="1"/>
  <c r="AS349" i="73" s="1"/>
  <c r="HU342" i="15"/>
  <c r="HR342" i="15"/>
  <c r="HJ342" i="15" s="1"/>
  <c r="HX342" i="15" s="1"/>
  <c r="HQ341" i="15"/>
  <c r="HI341" i="15" s="1"/>
  <c r="HW341" i="15" s="1"/>
  <c r="IC341" i="15"/>
  <c r="IF341" i="15"/>
  <c r="ID341" i="15"/>
  <c r="IE341" i="15"/>
  <c r="IB341" i="15"/>
  <c r="IA341" i="15"/>
  <c r="HT341" i="15"/>
  <c r="HU340" i="15"/>
  <c r="HR340" i="15"/>
  <c r="HJ340" i="15" s="1"/>
  <c r="HX340" i="15" s="1"/>
  <c r="HV335" i="15"/>
  <c r="HS335" i="15"/>
  <c r="HK335" i="15" s="1"/>
  <c r="HY335" i="15" s="1"/>
  <c r="HV331" i="15"/>
  <c r="HS331" i="15"/>
  <c r="HK331" i="15" s="1"/>
  <c r="HY331" i="15" s="1"/>
  <c r="HV329" i="15"/>
  <c r="HS329" i="15"/>
  <c r="HK329" i="15" s="1"/>
  <c r="HY329" i="15" s="1"/>
  <c r="IB329" i="15"/>
  <c r="HQ329" i="15"/>
  <c r="HI329" i="15" s="1"/>
  <c r="HW329" i="15" s="1"/>
  <c r="IF329" i="15"/>
  <c r="IC329" i="15"/>
  <c r="IE329" i="15"/>
  <c r="ID329" i="15"/>
  <c r="HT329" i="15"/>
  <c r="IA329" i="15"/>
  <c r="HR328" i="15"/>
  <c r="HJ328" i="15" s="1"/>
  <c r="HX328" i="15" s="1"/>
  <c r="HU328" i="15"/>
  <c r="IB328" i="15"/>
  <c r="HU322" i="15"/>
  <c r="HR322" i="15"/>
  <c r="HJ322" i="15" s="1"/>
  <c r="HX322" i="15" s="1"/>
  <c r="IB322" i="15"/>
  <c r="IB321" i="15"/>
  <c r="IA321" i="15"/>
  <c r="HT321" i="15"/>
  <c r="HQ321" i="15"/>
  <c r="HI321" i="15" s="1"/>
  <c r="HW321" i="15" s="1"/>
  <c r="IF321" i="15"/>
  <c r="IC321" i="15"/>
  <c r="ID321" i="15"/>
  <c r="IE321" i="15"/>
  <c r="HR318" i="15"/>
  <c r="HJ318" i="15" s="1"/>
  <c r="HX318" i="15" s="1"/>
  <c r="HU318" i="15"/>
  <c r="IC317" i="15"/>
  <c r="HQ317" i="15"/>
  <c r="HI317" i="15" s="1"/>
  <c r="HW317" i="15" s="1"/>
  <c r="IB317" i="15"/>
  <c r="IA317" i="15"/>
  <c r="IF317" i="15"/>
  <c r="ID317" i="15"/>
  <c r="IE317" i="15"/>
  <c r="HT317" i="15"/>
  <c r="HR316" i="15"/>
  <c r="HJ316" i="15" s="1"/>
  <c r="HX316" i="15" s="1"/>
  <c r="HU316" i="15"/>
  <c r="AX309" i="5"/>
  <c r="AZ309" i="5" s="1"/>
  <c r="AS309" i="73" s="1"/>
  <c r="AY309" i="5"/>
  <c r="IB297" i="15"/>
  <c r="IC297" i="15"/>
  <c r="HT297" i="15"/>
  <c r="HQ297" i="15"/>
  <c r="HI297" i="15" s="1"/>
  <c r="HW297" i="15" s="1"/>
  <c r="IA297" i="15"/>
  <c r="IE297" i="15"/>
  <c r="IF297" i="15"/>
  <c r="ID297" i="15"/>
  <c r="HT289" i="15"/>
  <c r="IA289" i="15"/>
  <c r="IC289" i="15"/>
  <c r="HQ289" i="15"/>
  <c r="HI289" i="15" s="1"/>
  <c r="HW289" i="15" s="1"/>
  <c r="IF289" i="15"/>
  <c r="IB289" i="15"/>
  <c r="IE289" i="15"/>
  <c r="ID289" i="15"/>
  <c r="HS281" i="15"/>
  <c r="HK281" i="15" s="1"/>
  <c r="HY281" i="15" s="1"/>
  <c r="HV281" i="15"/>
  <c r="HQ281" i="15"/>
  <c r="HI281" i="15" s="1"/>
  <c r="HW281" i="15" s="1"/>
  <c r="IC281" i="15"/>
  <c r="HT281" i="15"/>
  <c r="IF281" i="15"/>
  <c r="IB281" i="15"/>
  <c r="IE281" i="15"/>
  <c r="IA281" i="15"/>
  <c r="ID281" i="15"/>
  <c r="HS275" i="15"/>
  <c r="HK275" i="15" s="1"/>
  <c r="HY275" i="15" s="1"/>
  <c r="HV275" i="15"/>
  <c r="AY273" i="5"/>
  <c r="AX273" i="5"/>
  <c r="AZ273" i="5" s="1"/>
  <c r="AS273" i="73" s="1"/>
  <c r="HS267" i="15"/>
  <c r="HK267" i="15" s="1"/>
  <c r="HY267" i="15" s="1"/>
  <c r="IC267" i="15"/>
  <c r="HV267" i="15"/>
  <c r="HR266" i="15"/>
  <c r="HJ266" i="15" s="1"/>
  <c r="HX266" i="15" s="1"/>
  <c r="HU266" i="15"/>
  <c r="IB266" i="15"/>
  <c r="IB265" i="15"/>
  <c r="HQ265" i="15"/>
  <c r="HI265" i="15" s="1"/>
  <c r="HW265" i="15" s="1"/>
  <c r="IA265" i="15"/>
  <c r="IE265" i="15"/>
  <c r="IF265" i="15"/>
  <c r="IC265" i="15"/>
  <c r="HT265" i="15"/>
  <c r="ID265" i="15"/>
  <c r="AX265" i="5"/>
  <c r="AZ265" i="5" s="1"/>
  <c r="AS265" i="73" s="1"/>
  <c r="AY265" i="5"/>
  <c r="HV257" i="15"/>
  <c r="HS257" i="15"/>
  <c r="HK257" i="15" s="1"/>
  <c r="HY257" i="15" s="1"/>
  <c r="HS255" i="15"/>
  <c r="HK255" i="15" s="1"/>
  <c r="HY255" i="15" s="1"/>
  <c r="HV255" i="15"/>
  <c r="HR254" i="15"/>
  <c r="HJ254" i="15" s="1"/>
  <c r="HX254" i="15" s="1"/>
  <c r="HU254" i="15"/>
  <c r="IB254" i="15"/>
  <c r="AY253" i="5"/>
  <c r="AX253" i="5"/>
  <c r="AZ253" i="5" s="1"/>
  <c r="AS253" i="73" s="1"/>
  <c r="HS247" i="15"/>
  <c r="HK247" i="15" s="1"/>
  <c r="HY247" i="15" s="1"/>
  <c r="HV247" i="15"/>
  <c r="HV245" i="15"/>
  <c r="HS245" i="15"/>
  <c r="HK245" i="15" s="1"/>
  <c r="HY245" i="15" s="1"/>
  <c r="HT245" i="15"/>
  <c r="ID245" i="15"/>
  <c r="IE245" i="15"/>
  <c r="IA245" i="15"/>
  <c r="IB245" i="15"/>
  <c r="HQ245" i="15"/>
  <c r="HI245" i="15" s="1"/>
  <c r="HW245" i="15" s="1"/>
  <c r="IC245" i="15"/>
  <c r="IF245" i="15"/>
  <c r="HU244" i="15"/>
  <c r="HR244" i="15"/>
  <c r="HJ244" i="15" s="1"/>
  <c r="HX244" i="15" s="1"/>
  <c r="IB244" i="15"/>
  <c r="HR238" i="15"/>
  <c r="HJ238" i="15" s="1"/>
  <c r="HX238" i="15" s="1"/>
  <c r="HU238" i="15"/>
  <c r="IB238" i="15"/>
  <c r="AY237" i="5"/>
  <c r="AX237" i="5"/>
  <c r="AZ237" i="5" s="1"/>
  <c r="AS237" i="73" s="1"/>
  <c r="HU230" i="15"/>
  <c r="IB230" i="15"/>
  <c r="HR230" i="15"/>
  <c r="HJ230" i="15" s="1"/>
  <c r="HX230" i="15" s="1"/>
  <c r="HT229" i="15"/>
  <c r="IB229" i="15"/>
  <c r="IE229" i="15"/>
  <c r="IA229" i="15"/>
  <c r="HQ229" i="15"/>
  <c r="HI229" i="15" s="1"/>
  <c r="HW229" i="15" s="1"/>
  <c r="IC229" i="15"/>
  <c r="ID229" i="15"/>
  <c r="IF229" i="15"/>
  <c r="AX221" i="5"/>
  <c r="AZ221" i="5" s="1"/>
  <c r="AS221" i="73" s="1"/>
  <c r="AY221" i="5"/>
  <c r="HR214" i="15"/>
  <c r="HJ214" i="15" s="1"/>
  <c r="HX214" i="15" s="1"/>
  <c r="IB214" i="15"/>
  <c r="HU214" i="15"/>
  <c r="HU206" i="15"/>
  <c r="IB206" i="15"/>
  <c r="HR206" i="15"/>
  <c r="HJ206" i="15" s="1"/>
  <c r="HX206" i="15" s="1"/>
  <c r="HU204" i="15"/>
  <c r="HR204" i="15"/>
  <c r="HJ204" i="15" s="1"/>
  <c r="HX204" i="15" s="1"/>
  <c r="IB204" i="15"/>
  <c r="HQ197" i="15"/>
  <c r="HI197" i="15" s="1"/>
  <c r="HW197" i="15" s="1"/>
  <c r="IB197" i="15"/>
  <c r="IC197" i="15"/>
  <c r="IA197" i="15"/>
  <c r="IE197" i="15"/>
  <c r="IF197" i="15"/>
  <c r="HT197" i="15"/>
  <c r="ID197" i="15"/>
  <c r="HR190" i="15"/>
  <c r="HJ190" i="15" s="1"/>
  <c r="HX190" i="15" s="1"/>
  <c r="IB190" i="15"/>
  <c r="HU190" i="15"/>
  <c r="HR188" i="15"/>
  <c r="HJ188" i="15" s="1"/>
  <c r="HX188" i="15" s="1"/>
  <c r="IB188" i="15"/>
  <c r="HU188" i="15"/>
  <c r="AX181" i="5"/>
  <c r="AZ181" i="5" s="1"/>
  <c r="AS181" i="73" s="1"/>
  <c r="AY181" i="5"/>
  <c r="HQ173" i="15"/>
  <c r="HI173" i="15" s="1"/>
  <c r="HW173" i="15" s="1"/>
  <c r="IA173" i="15"/>
  <c r="HT173" i="15"/>
  <c r="IF173" i="15"/>
  <c r="ID173" i="15"/>
  <c r="IE173" i="15"/>
  <c r="AX165" i="5"/>
  <c r="AZ165" i="5" s="1"/>
  <c r="AS165" i="73" s="1"/>
  <c r="AY165" i="5"/>
  <c r="AY161" i="5"/>
  <c r="AX161" i="5"/>
  <c r="AZ161" i="5" s="1"/>
  <c r="AS161" i="73" s="1"/>
  <c r="AY157" i="5"/>
  <c r="AX157" i="5"/>
  <c r="AZ157" i="5" s="1"/>
  <c r="AS157" i="73" s="1"/>
  <c r="IE153" i="15"/>
  <c r="IF153" i="15"/>
  <c r="ID153" i="15"/>
  <c r="IA153" i="15"/>
  <c r="HT153" i="15"/>
  <c r="HQ153" i="15"/>
  <c r="HI153" i="15" s="1"/>
  <c r="HW153" i="15" s="1"/>
  <c r="AX145" i="5"/>
  <c r="AZ145" i="5" s="1"/>
  <c r="AS145" i="73" s="1"/>
  <c r="AY145" i="5"/>
  <c r="HQ141" i="15"/>
  <c r="HI141" i="15" s="1"/>
  <c r="HW141" i="15" s="1"/>
  <c r="ID141" i="15"/>
  <c r="IA141" i="15"/>
  <c r="IF141" i="15"/>
  <c r="IE141" i="15"/>
  <c r="HT141" i="15"/>
  <c r="IC141" i="15"/>
  <c r="AX137" i="5"/>
  <c r="AZ137" i="5" s="1"/>
  <c r="AS137" i="73" s="1"/>
  <c r="AY137" i="5"/>
  <c r="HQ129" i="15"/>
  <c r="HI129" i="15" s="1"/>
  <c r="HW129" i="15" s="1"/>
  <c r="IA129" i="15"/>
  <c r="ID129" i="15"/>
  <c r="IB129" i="15"/>
  <c r="HT129" i="15"/>
  <c r="IF129" i="15"/>
  <c r="IE129" i="15"/>
  <c r="IC129" i="15"/>
  <c r="HS85" i="15"/>
  <c r="HK85" i="15" s="1"/>
  <c r="HY85" i="15" s="1"/>
  <c r="HV85" i="15"/>
  <c r="HR68" i="15"/>
  <c r="BG68" i="15"/>
  <c r="HU346" i="15"/>
  <c r="HR346" i="15"/>
  <c r="HJ346" i="15" s="1"/>
  <c r="HX346" i="15" s="1"/>
  <c r="IB346" i="15"/>
  <c r="HV345" i="15"/>
  <c r="HS345" i="15"/>
  <c r="HK345" i="15" s="1"/>
  <c r="HY345" i="15" s="1"/>
  <c r="HT345" i="15"/>
  <c r="ID345" i="15"/>
  <c r="IE345" i="15"/>
  <c r="IB345" i="15"/>
  <c r="IF345" i="15"/>
  <c r="IC345" i="15"/>
  <c r="IA345" i="15"/>
  <c r="HQ345" i="15"/>
  <c r="HI345" i="15" s="1"/>
  <c r="HW345" i="15" s="1"/>
  <c r="AY345" i="5"/>
  <c r="AX345" i="5"/>
  <c r="AZ345" i="5" s="1"/>
  <c r="AS345" i="73" s="1"/>
  <c r="HV339" i="15"/>
  <c r="HS339" i="15"/>
  <c r="HK339" i="15" s="1"/>
  <c r="HY339" i="15" s="1"/>
  <c r="IB337" i="15"/>
  <c r="IF337" i="15"/>
  <c r="HQ337" i="15"/>
  <c r="HI337" i="15" s="1"/>
  <c r="HW337" i="15" s="1"/>
  <c r="HT337" i="15"/>
  <c r="IE337" i="15"/>
  <c r="IA337" i="15"/>
  <c r="IC337" i="15"/>
  <c r="ID337" i="15"/>
  <c r="HR336" i="15"/>
  <c r="HJ336" i="15" s="1"/>
  <c r="HX336" i="15" s="1"/>
  <c r="HU336" i="15"/>
  <c r="IB336" i="15"/>
  <c r="HU334" i="15"/>
  <c r="HR334" i="15"/>
  <c r="HJ334" i="15" s="1"/>
  <c r="HX334" i="15" s="1"/>
  <c r="AY333" i="5"/>
  <c r="AX333" i="5"/>
  <c r="AZ333" i="5" s="1"/>
  <c r="AS333" i="73" s="1"/>
  <c r="HR332" i="15"/>
  <c r="HJ332" i="15" s="1"/>
  <c r="HX332" i="15" s="1"/>
  <c r="HU332" i="15"/>
  <c r="HR326" i="15"/>
  <c r="HJ326" i="15" s="1"/>
  <c r="HX326" i="15" s="1"/>
  <c r="HU326" i="15"/>
  <c r="ID325" i="15"/>
  <c r="IE325" i="15"/>
  <c r="IF325" i="15"/>
  <c r="HQ325" i="15"/>
  <c r="HI325" i="15" s="1"/>
  <c r="HW325" i="15" s="1"/>
  <c r="IA325" i="15"/>
  <c r="HT325" i="15"/>
  <c r="IC325" i="15"/>
  <c r="HV315" i="15"/>
  <c r="HS315" i="15"/>
  <c r="HK315" i="15" s="1"/>
  <c r="HY315" i="15" s="1"/>
  <c r="AY313" i="5"/>
  <c r="AX313" i="5"/>
  <c r="AZ313" i="5" s="1"/>
  <c r="AS313" i="73" s="1"/>
  <c r="IB313" i="15"/>
  <c r="IE313" i="15"/>
  <c r="HT313" i="15"/>
  <c r="IA313" i="15"/>
  <c r="IF313" i="15"/>
  <c r="HQ313" i="15"/>
  <c r="HI313" i="15" s="1"/>
  <c r="HW313" i="15" s="1"/>
  <c r="ID313" i="15"/>
  <c r="IC313" i="15"/>
  <c r="HU306" i="15"/>
  <c r="HR306" i="15"/>
  <c r="HJ306" i="15" s="1"/>
  <c r="HX306" i="15" s="1"/>
  <c r="HQ305" i="15"/>
  <c r="HI305" i="15" s="1"/>
  <c r="HW305" i="15" s="1"/>
  <c r="IA305" i="15"/>
  <c r="IF305" i="15"/>
  <c r="HT305" i="15"/>
  <c r="IB305" i="15"/>
  <c r="IC305" i="15"/>
  <c r="ID305" i="15"/>
  <c r="IE305" i="15"/>
  <c r="HU302" i="15"/>
  <c r="HR302" i="15"/>
  <c r="HJ302" i="15" s="1"/>
  <c r="HX302" i="15" s="1"/>
  <c r="HU294" i="15"/>
  <c r="HR294" i="15"/>
  <c r="HJ294" i="15" s="1"/>
  <c r="HX294" i="15" s="1"/>
  <c r="AY293" i="5"/>
  <c r="AX293" i="5"/>
  <c r="AZ293" i="5" s="1"/>
  <c r="AS293" i="73" s="1"/>
  <c r="AX285" i="5"/>
  <c r="AZ285" i="5" s="1"/>
  <c r="AS285" i="73" s="1"/>
  <c r="AY285" i="5"/>
  <c r="AX277" i="5"/>
  <c r="AZ277" i="5" s="1"/>
  <c r="AS277" i="73" s="1"/>
  <c r="AY277" i="5"/>
  <c r="HU270" i="15"/>
  <c r="HR270" i="15"/>
  <c r="HJ270" i="15" s="1"/>
  <c r="HX270" i="15" s="1"/>
  <c r="IB270" i="15"/>
  <c r="HV269" i="15"/>
  <c r="HS269" i="15"/>
  <c r="HK269" i="15" s="1"/>
  <c r="HY269" i="15" s="1"/>
  <c r="HT269" i="15"/>
  <c r="ID269" i="15"/>
  <c r="IB269" i="15"/>
  <c r="HQ269" i="15"/>
  <c r="HI269" i="15" s="1"/>
  <c r="HW269" i="15" s="1"/>
  <c r="IA269" i="15"/>
  <c r="IE269" i="15"/>
  <c r="IF269" i="15"/>
  <c r="IC269" i="15"/>
  <c r="HU268" i="15"/>
  <c r="HR268" i="15"/>
  <c r="HJ268" i="15" s="1"/>
  <c r="HX268" i="15" s="1"/>
  <c r="IB268" i="15"/>
  <c r="HS263" i="15"/>
  <c r="HK263" i="15" s="1"/>
  <c r="HY263" i="15" s="1"/>
  <c r="HV263" i="15"/>
  <c r="HV261" i="15"/>
  <c r="HS261" i="15"/>
  <c r="HK261" i="15" s="1"/>
  <c r="HY261" i="15" s="1"/>
  <c r="AY261" i="5"/>
  <c r="AX261" i="5"/>
  <c r="AZ261" i="5" s="1"/>
  <c r="AS261" i="73" s="1"/>
  <c r="HR260" i="15"/>
  <c r="HJ260" i="15" s="1"/>
  <c r="HX260" i="15" s="1"/>
  <c r="HU260" i="15"/>
  <c r="IB260" i="15"/>
  <c r="HQ249" i="15"/>
  <c r="HI249" i="15" s="1"/>
  <c r="HW249" i="15" s="1"/>
  <c r="HT249" i="15"/>
  <c r="IF249" i="15"/>
  <c r="IA249" i="15"/>
  <c r="ID249" i="15"/>
  <c r="IB249" i="15"/>
  <c r="IC249" i="15"/>
  <c r="IE249" i="15"/>
  <c r="HS243" i="15"/>
  <c r="HK243" i="15" s="1"/>
  <c r="HY243" i="15" s="1"/>
  <c r="HV243" i="15"/>
  <c r="HR234" i="15"/>
  <c r="HJ234" i="15" s="1"/>
  <c r="HX234" i="15" s="1"/>
  <c r="HU234" i="15"/>
  <c r="IB234" i="15"/>
  <c r="HR232" i="15"/>
  <c r="HJ232" i="15" s="1"/>
  <c r="HX232" i="15" s="1"/>
  <c r="HU232" i="15"/>
  <c r="IB232" i="15"/>
  <c r="HQ201" i="15"/>
  <c r="HI201" i="15" s="1"/>
  <c r="HW201" i="15" s="1"/>
  <c r="IB201" i="15"/>
  <c r="IA201" i="15"/>
  <c r="ID201" i="15"/>
  <c r="IE201" i="15"/>
  <c r="HT201" i="15"/>
  <c r="IC201" i="15"/>
  <c r="IF201" i="15"/>
  <c r="HR194" i="15"/>
  <c r="HJ194" i="15" s="1"/>
  <c r="HX194" i="15" s="1"/>
  <c r="HU194" i="15"/>
  <c r="IB194" i="15"/>
  <c r="HU192" i="15"/>
  <c r="HR192" i="15"/>
  <c r="HJ192" i="15" s="1"/>
  <c r="HX192" i="15" s="1"/>
  <c r="IB192" i="15"/>
  <c r="AY177" i="5"/>
  <c r="AX177" i="5"/>
  <c r="AZ177" i="5" s="1"/>
  <c r="AS177" i="73" s="1"/>
  <c r="AX169" i="5"/>
  <c r="AZ169" i="5" s="1"/>
  <c r="AS169" i="73" s="1"/>
  <c r="AY169" i="5"/>
  <c r="HV249" i="15"/>
  <c r="HS249" i="15"/>
  <c r="HK249" i="15" s="1"/>
  <c r="HY249" i="15" s="1"/>
  <c r="HR224" i="15"/>
  <c r="HJ224" i="15" s="1"/>
  <c r="HX224" i="15" s="1"/>
  <c r="HU224" i="15"/>
  <c r="IB224" i="15"/>
  <c r="HU216" i="15"/>
  <c r="HR216" i="15"/>
  <c r="HJ216" i="15" s="1"/>
  <c r="HX216" i="15" s="1"/>
  <c r="IB216" i="15"/>
  <c r="HQ209" i="15"/>
  <c r="HI209" i="15" s="1"/>
  <c r="HW209" i="15" s="1"/>
  <c r="IB209" i="15"/>
  <c r="IE209" i="15"/>
  <c r="IC209" i="15"/>
  <c r="IA209" i="15"/>
  <c r="ID209" i="15"/>
  <c r="IF209" i="15"/>
  <c r="HT209" i="15"/>
  <c r="HR202" i="15"/>
  <c r="HJ202" i="15" s="1"/>
  <c r="HX202" i="15" s="1"/>
  <c r="HU202" i="15"/>
  <c r="IB202" i="15"/>
  <c r="IB185" i="15"/>
  <c r="HT185" i="15"/>
  <c r="IE185" i="15"/>
  <c r="ID185" i="15"/>
  <c r="IA185" i="15"/>
  <c r="HQ185" i="15"/>
  <c r="HI185" i="15" s="1"/>
  <c r="HW185" i="15" s="1"/>
  <c r="IF185" i="15"/>
  <c r="IC185" i="15"/>
  <c r="HS103" i="15"/>
  <c r="HK103" i="15" s="1"/>
  <c r="HY103" i="15" s="1"/>
  <c r="HV103" i="15"/>
  <c r="HU102" i="15"/>
  <c r="HR102" i="15"/>
  <c r="HJ102" i="15" s="1"/>
  <c r="HX102" i="15" s="1"/>
  <c r="AP38" i="65"/>
  <c r="HJ38" i="15"/>
  <c r="HX38" i="15" s="1"/>
  <c r="BJ38" i="15" s="1"/>
  <c r="IB320" i="15"/>
  <c r="IC283" i="15"/>
  <c r="IC135" i="15"/>
  <c r="IC181" i="15"/>
  <c r="ID32" i="15"/>
  <c r="IB32" i="15"/>
  <c r="HI36" i="15"/>
  <c r="AZ36" i="5"/>
  <c r="AS36" i="73" s="1"/>
  <c r="IE33" i="15"/>
  <c r="BG33" i="15"/>
  <c r="ID33" i="15"/>
  <c r="ID35" i="15"/>
  <c r="HK36" i="15"/>
  <c r="IC29" i="15"/>
  <c r="IB22" i="15"/>
  <c r="ID22" i="15"/>
  <c r="IC22" i="15"/>
  <c r="AV74" i="5"/>
  <c r="AW77" i="5"/>
  <c r="AU77" i="5"/>
  <c r="AY77" i="5" s="1"/>
  <c r="AW89" i="5"/>
  <c r="AU28" i="5"/>
  <c r="IA52" i="15"/>
  <c r="AX25" i="5"/>
  <c r="AZ25" i="5" s="1"/>
  <c r="AS25" i="73" s="1"/>
  <c r="IC47" i="15"/>
  <c r="ID42" i="15"/>
  <c r="IA42" i="15"/>
  <c r="AO42" i="65"/>
  <c r="AM42" i="65" s="1"/>
  <c r="IE42" i="15"/>
  <c r="AW64" i="5"/>
  <c r="HR70" i="15"/>
  <c r="BG70" i="15"/>
  <c r="ID70" i="15"/>
  <c r="AO70" i="65"/>
  <c r="AM70" i="65" s="1"/>
  <c r="IC44" i="15"/>
  <c r="HI44" i="15"/>
  <c r="IA44" i="15"/>
  <c r="HR114" i="15"/>
  <c r="HJ114" i="15" s="1"/>
  <c r="HX114" i="15" s="1"/>
  <c r="HU108" i="15"/>
  <c r="IF96" i="15"/>
  <c r="ID96" i="15"/>
  <c r="IC68" i="15"/>
  <c r="IE68" i="15"/>
  <c r="ID68" i="15"/>
  <c r="IF92" i="15"/>
  <c r="ID92" i="15"/>
  <c r="IC119" i="15"/>
  <c r="BP110" i="15"/>
  <c r="IE103" i="15"/>
  <c r="IF103" i="15"/>
  <c r="ID71" i="15"/>
  <c r="IA71" i="15"/>
  <c r="IC277" i="15"/>
  <c r="HO57" i="15"/>
  <c r="BG57" i="15" s="1"/>
  <c r="IC169" i="15"/>
  <c r="IA343" i="15"/>
  <c r="IF343" i="15"/>
  <c r="IE343" i="15"/>
  <c r="IC343" i="15"/>
  <c r="IA311" i="15"/>
  <c r="ID311" i="15"/>
  <c r="IE311" i="15"/>
  <c r="IF311" i="15"/>
  <c r="AR153" i="65"/>
  <c r="IC131" i="15"/>
  <c r="IB137" i="15"/>
  <c r="IB166" i="15"/>
  <c r="AR143" i="65"/>
  <c r="IB170" i="15"/>
  <c r="HR158" i="15"/>
  <c r="HJ158" i="15" s="1"/>
  <c r="HX158" i="15" s="1"/>
  <c r="HU154" i="15"/>
  <c r="IB150" i="15"/>
  <c r="HR142" i="15"/>
  <c r="HJ142" i="15" s="1"/>
  <c r="HX142" i="15" s="1"/>
  <c r="HU138" i="15"/>
  <c r="IA339" i="15"/>
  <c r="IE65" i="15"/>
  <c r="IF65" i="15"/>
  <c r="IA65" i="15"/>
  <c r="ID65" i="15"/>
  <c r="HQ175" i="15"/>
  <c r="HI175" i="15" s="1"/>
  <c r="HW175" i="15" s="1"/>
  <c r="HU304" i="15"/>
  <c r="HR298" i="15"/>
  <c r="HJ298" i="15" s="1"/>
  <c r="HX298" i="15" s="1"/>
  <c r="HU288" i="15"/>
  <c r="HU284" i="15"/>
  <c r="HU280" i="15"/>
  <c r="HU276" i="15"/>
  <c r="HU272" i="15"/>
  <c r="IB66" i="15"/>
  <c r="IB248" i="15"/>
  <c r="IB264" i="15"/>
  <c r="IB344" i="15"/>
  <c r="IB84" i="15"/>
  <c r="IC241" i="15"/>
  <c r="IB78" i="15"/>
  <c r="IB200" i="15"/>
  <c r="IB44" i="15"/>
  <c r="IB176" i="15"/>
  <c r="IC143" i="15"/>
  <c r="IC139" i="15"/>
  <c r="IC165" i="15"/>
  <c r="IC275" i="15"/>
  <c r="AR311" i="65"/>
  <c r="AR295" i="65"/>
  <c r="BZ281" i="15"/>
  <c r="BZ277" i="15"/>
  <c r="CC273" i="15"/>
  <c r="CC320" i="15"/>
  <c r="FU320" i="15"/>
  <c r="AR320" i="65"/>
  <c r="BZ292" i="15"/>
  <c r="CC280" i="15"/>
  <c r="AR276" i="65"/>
  <c r="CC272" i="15"/>
  <c r="IC35" i="15"/>
  <c r="IA35" i="15"/>
  <c r="IF35" i="15"/>
  <c r="AO35" i="65"/>
  <c r="AM35" i="65" s="1"/>
  <c r="HQ348" i="15"/>
  <c r="HI348" i="15" s="1"/>
  <c r="HW348" i="15" s="1"/>
  <c r="ID348" i="15"/>
  <c r="IA348" i="15"/>
  <c r="IC348" i="15"/>
  <c r="IF348" i="15"/>
  <c r="IB348" i="15"/>
  <c r="HT348" i="15"/>
  <c r="IE348" i="15"/>
  <c r="HT342" i="15"/>
  <c r="IF342" i="15"/>
  <c r="IB342" i="15"/>
  <c r="HQ342" i="15"/>
  <c r="HI342" i="15" s="1"/>
  <c r="HW342" i="15" s="1"/>
  <c r="IA342" i="15"/>
  <c r="IC342" i="15"/>
  <c r="ID342" i="15"/>
  <c r="IE342" i="15"/>
  <c r="AY340" i="5"/>
  <c r="AX340" i="5"/>
  <c r="AZ340" i="5" s="1"/>
  <c r="AS340" i="73" s="1"/>
  <c r="AX334" i="5"/>
  <c r="AZ334" i="5" s="1"/>
  <c r="AS334" i="73" s="1"/>
  <c r="AY334" i="5"/>
  <c r="IE332" i="15"/>
  <c r="ID332" i="15"/>
  <c r="IB332" i="15"/>
  <c r="HQ332" i="15"/>
  <c r="HI332" i="15" s="1"/>
  <c r="HW332" i="15" s="1"/>
  <c r="IF332" i="15"/>
  <c r="HT332" i="15"/>
  <c r="IA332" i="15"/>
  <c r="IC332" i="15"/>
  <c r="IB326" i="15"/>
  <c r="HQ326" i="15"/>
  <c r="HI326" i="15" s="1"/>
  <c r="HW326" i="15" s="1"/>
  <c r="ID326" i="15"/>
  <c r="IF326" i="15"/>
  <c r="IC326" i="15"/>
  <c r="IE326" i="15"/>
  <c r="HT326" i="15"/>
  <c r="IA326" i="15"/>
  <c r="AY324" i="5"/>
  <c r="AX324" i="5"/>
  <c r="AZ324" i="5" s="1"/>
  <c r="AS324" i="73" s="1"/>
  <c r="AX318" i="5"/>
  <c r="AZ318" i="5" s="1"/>
  <c r="AS318" i="73" s="1"/>
  <c r="AY318" i="5"/>
  <c r="HQ316" i="15"/>
  <c r="HI316" i="15" s="1"/>
  <c r="HW316" i="15" s="1"/>
  <c r="IA316" i="15"/>
  <c r="IE316" i="15"/>
  <c r="IC316" i="15"/>
  <c r="IB316" i="15"/>
  <c r="IF316" i="15"/>
  <c r="ID316" i="15"/>
  <c r="HT316" i="15"/>
  <c r="AX308" i="5"/>
  <c r="AY308" i="5"/>
  <c r="AZ308" i="5"/>
  <c r="AS308" i="73" s="1"/>
  <c r="AX302" i="5"/>
  <c r="AZ302" i="5" s="1"/>
  <c r="AS302" i="73" s="1"/>
  <c r="AY302" i="5"/>
  <c r="HT300" i="15"/>
  <c r="IF300" i="15"/>
  <c r="IA300" i="15"/>
  <c r="IB300" i="15"/>
  <c r="ID300" i="15"/>
  <c r="HQ300" i="15"/>
  <c r="HI300" i="15" s="1"/>
  <c r="HW300" i="15" s="1"/>
  <c r="IC300" i="15"/>
  <c r="IE300" i="15"/>
  <c r="HT294" i="15"/>
  <c r="IA294" i="15"/>
  <c r="IF294" i="15"/>
  <c r="IB294" i="15"/>
  <c r="ID294" i="15"/>
  <c r="IE294" i="15"/>
  <c r="IC294" i="15"/>
  <c r="HQ294" i="15"/>
  <c r="HI294" i="15" s="1"/>
  <c r="HW294" i="15" s="1"/>
  <c r="AX292" i="5"/>
  <c r="AZ292" i="5" s="1"/>
  <c r="AS292" i="73" s="1"/>
  <c r="AY292" i="5"/>
  <c r="AX348" i="5"/>
  <c r="AZ348" i="5" s="1"/>
  <c r="AS348" i="73" s="1"/>
  <c r="AY348" i="5"/>
  <c r="AY342" i="5"/>
  <c r="AX342" i="5"/>
  <c r="AZ342" i="5" s="1"/>
  <c r="AS342" i="73" s="1"/>
  <c r="IB340" i="15"/>
  <c r="HT340" i="15"/>
  <c r="ID340" i="15"/>
  <c r="IF340" i="15"/>
  <c r="HQ340" i="15"/>
  <c r="HI340" i="15" s="1"/>
  <c r="HW340" i="15" s="1"/>
  <c r="IE340" i="15"/>
  <c r="IC340" i="15"/>
  <c r="IA340" i="15"/>
  <c r="HT334" i="15"/>
  <c r="IA334" i="15"/>
  <c r="IC334" i="15"/>
  <c r="HQ334" i="15"/>
  <c r="HI334" i="15" s="1"/>
  <c r="HW334" i="15" s="1"/>
  <c r="IF334" i="15"/>
  <c r="IB334" i="15"/>
  <c r="ID334" i="15"/>
  <c r="IE334" i="15"/>
  <c r="AX332" i="5"/>
  <c r="AZ332" i="5" s="1"/>
  <c r="AS332" i="73" s="1"/>
  <c r="AY332" i="5"/>
  <c r="AX326" i="5"/>
  <c r="AZ326" i="5" s="1"/>
  <c r="AS326" i="73" s="1"/>
  <c r="AY326" i="5"/>
  <c r="HT324" i="15"/>
  <c r="HQ324" i="15"/>
  <c r="HI324" i="15" s="1"/>
  <c r="HW324" i="15" s="1"/>
  <c r="IC324" i="15"/>
  <c r="IB324" i="15"/>
  <c r="IF324" i="15"/>
  <c r="IA324" i="15"/>
  <c r="ID324" i="15"/>
  <c r="IE324" i="15"/>
  <c r="IA318" i="15"/>
  <c r="IB318" i="15"/>
  <c r="IE318" i="15"/>
  <c r="IC318" i="15"/>
  <c r="HQ318" i="15"/>
  <c r="HI318" i="15" s="1"/>
  <c r="HW318" i="15" s="1"/>
  <c r="IF318" i="15"/>
  <c r="HT318" i="15"/>
  <c r="ID318" i="15"/>
  <c r="AY316" i="5"/>
  <c r="AX316" i="5"/>
  <c r="AZ316" i="5" s="1"/>
  <c r="AS316" i="73" s="1"/>
  <c r="IE310" i="15"/>
  <c r="HQ310" i="15"/>
  <c r="HI310" i="15" s="1"/>
  <c r="HW310" i="15" s="1"/>
  <c r="IF310" i="15"/>
  <c r="IB310" i="15"/>
  <c r="IA310" i="15"/>
  <c r="ID310" i="15"/>
  <c r="HT310" i="15"/>
  <c r="IC310" i="15"/>
  <c r="AX310" i="5"/>
  <c r="AZ310" i="5" s="1"/>
  <c r="AS310" i="73" s="1"/>
  <c r="AY310" i="5"/>
  <c r="IC308" i="15"/>
  <c r="ID308" i="15"/>
  <c r="HT308" i="15"/>
  <c r="IA308" i="15"/>
  <c r="IB308" i="15"/>
  <c r="IE308" i="15"/>
  <c r="IF308" i="15"/>
  <c r="HQ308" i="15"/>
  <c r="HI308" i="15" s="1"/>
  <c r="HW308" i="15" s="1"/>
  <c r="IC302" i="15"/>
  <c r="ID302" i="15"/>
  <c r="HT302" i="15"/>
  <c r="IB302" i="15"/>
  <c r="HQ302" i="15"/>
  <c r="HI302" i="15" s="1"/>
  <c r="HW302" i="15" s="1"/>
  <c r="IA302" i="15"/>
  <c r="IF302" i="15"/>
  <c r="IE302" i="15"/>
  <c r="AY300" i="5"/>
  <c r="AX300" i="5"/>
  <c r="AZ300" i="5" s="1"/>
  <c r="AS300" i="73" s="1"/>
  <c r="AY294" i="5"/>
  <c r="AX294" i="5"/>
  <c r="AZ294" i="5" s="1"/>
  <c r="AS294" i="73" s="1"/>
  <c r="HQ292" i="15"/>
  <c r="HI292" i="15" s="1"/>
  <c r="HW292" i="15" s="1"/>
  <c r="IA292" i="15"/>
  <c r="IF292" i="15"/>
  <c r="IC292" i="15"/>
  <c r="HT292" i="15"/>
  <c r="IB292" i="15"/>
  <c r="ID292" i="15"/>
  <c r="IE292" i="15"/>
  <c r="DB158" i="15"/>
  <c r="IB110" i="15"/>
  <c r="IA110" i="15"/>
  <c r="ID111" i="15"/>
  <c r="IB111" i="15"/>
  <c r="IF111" i="15"/>
  <c r="IB92" i="15"/>
  <c r="IA92" i="15"/>
  <c r="IC92" i="15"/>
  <c r="HP34" i="15"/>
  <c r="HS34" i="15" s="1"/>
  <c r="HN125" i="15"/>
  <c r="HT125" i="15" s="1"/>
  <c r="AU125" i="5"/>
  <c r="AL49" i="5"/>
  <c r="AU49" i="5" s="1"/>
  <c r="HN49" i="15"/>
  <c r="AN49" i="5"/>
  <c r="AW49" i="5" s="1"/>
  <c r="HP49" i="15"/>
  <c r="HS49" i="15" s="1"/>
  <c r="HO49" i="15"/>
  <c r="HR61" i="15"/>
  <c r="IE61" i="15"/>
  <c r="IF61" i="15"/>
  <c r="AO61" i="65"/>
  <c r="BG61" i="15"/>
  <c r="IB61" i="15"/>
  <c r="ID61" i="15"/>
  <c r="IC61" i="15"/>
  <c r="IA61" i="15"/>
  <c r="AX61" i="5"/>
  <c r="AZ61" i="5" s="1"/>
  <c r="AS61" i="73" s="1"/>
  <c r="AY61" i="5"/>
  <c r="AP65" i="65"/>
  <c r="HJ65" i="15"/>
  <c r="HI65" i="15"/>
  <c r="IF71" i="15"/>
  <c r="AO71" i="65"/>
  <c r="AM71" i="65" s="1"/>
  <c r="IE71" i="15"/>
  <c r="I65" i="5"/>
  <c r="AM65" i="65"/>
  <c r="IB29" i="15"/>
  <c r="AY97" i="5"/>
  <c r="IC96" i="15"/>
  <c r="IE96" i="15"/>
  <c r="IB96" i="15"/>
  <c r="HK44" i="15"/>
  <c r="GK55" i="15"/>
  <c r="H55" i="5"/>
  <c r="AL55" i="65" s="1"/>
  <c r="H48" i="5"/>
  <c r="AL48" i="65" s="1"/>
  <c r="GK48" i="15"/>
  <c r="GK67" i="15"/>
  <c r="H67" i="5"/>
  <c r="AL67" i="65" s="1"/>
  <c r="GK61" i="15"/>
  <c r="H61" i="5"/>
  <c r="AL61" i="65" s="1"/>
  <c r="BZ147" i="15"/>
  <c r="CC131" i="15"/>
  <c r="CC170" i="15"/>
  <c r="BZ154" i="15"/>
  <c r="CC154" i="15"/>
  <c r="FU154" i="15"/>
  <c r="FU152" i="15"/>
  <c r="AR171" i="65"/>
  <c r="FU159" i="15"/>
  <c r="FU151" i="15"/>
  <c r="CC133" i="15"/>
  <c r="CC140" i="15"/>
  <c r="AT154" i="65"/>
  <c r="DB146" i="15"/>
  <c r="AU163" i="65"/>
  <c r="FA207" i="15"/>
  <c r="BG207" i="65" s="1"/>
  <c r="HO59" i="15"/>
  <c r="HR59" i="15" s="1"/>
  <c r="HY117" i="15"/>
  <c r="H63" i="5"/>
  <c r="AL63" i="65" s="1"/>
  <c r="GK63" i="15"/>
  <c r="IA28" i="15"/>
  <c r="HN59" i="15"/>
  <c r="AL59" i="5"/>
  <c r="AU59" i="5" s="1"/>
  <c r="HU42" i="15"/>
  <c r="HV42" i="15"/>
  <c r="AN59" i="5"/>
  <c r="AW59" i="5" s="1"/>
  <c r="HP59" i="15"/>
  <c r="HQ27" i="15"/>
  <c r="AM78" i="65"/>
  <c r="I78" i="5"/>
  <c r="ID25" i="15"/>
  <c r="IE25" i="15"/>
  <c r="I44" i="5"/>
  <c r="AN41" i="5"/>
  <c r="AW41" i="5" s="1"/>
  <c r="HP41" i="15"/>
  <c r="AN43" i="5"/>
  <c r="AW43" i="5" s="1"/>
  <c r="HP43" i="15"/>
  <c r="HO43" i="15"/>
  <c r="AM43" i="5"/>
  <c r="AV43" i="5" s="1"/>
  <c r="HJ53" i="15"/>
  <c r="AP53" i="65"/>
  <c r="AM34" i="5"/>
  <c r="AV34" i="5" s="1"/>
  <c r="HO34" i="15"/>
  <c r="AN37" i="5"/>
  <c r="AW37" i="5" s="1"/>
  <c r="HP37" i="15"/>
  <c r="HN51" i="15"/>
  <c r="AL51" i="5"/>
  <c r="AU51" i="5" s="1"/>
  <c r="HO51" i="15"/>
  <c r="AM51" i="5"/>
  <c r="AV51" i="5" s="1"/>
  <c r="AP40" i="65"/>
  <c r="AY47" i="5"/>
  <c r="AX47" i="5"/>
  <c r="AZ47" i="5" s="1"/>
  <c r="AS47" i="73" s="1"/>
  <c r="BG45" i="15"/>
  <c r="ID45" i="15"/>
  <c r="IE45" i="15"/>
  <c r="HR45" i="15"/>
  <c r="IF45" i="15"/>
  <c r="IC45" i="15"/>
  <c r="IB45" i="15"/>
  <c r="AM39" i="5"/>
  <c r="AV39" i="5" s="1"/>
  <c r="HO39" i="15"/>
  <c r="AO47" i="65"/>
  <c r="HQ47" i="15"/>
  <c r="HI47" i="15" s="1"/>
  <c r="IE47" i="15"/>
  <c r="IA47" i="15"/>
  <c r="ID47" i="15"/>
  <c r="IF47" i="15"/>
  <c r="HS71" i="15"/>
  <c r="IC71" i="15"/>
  <c r="IE76" i="15"/>
  <c r="IB76" i="15"/>
  <c r="IF76" i="15"/>
  <c r="HR76" i="15"/>
  <c r="ID76" i="15"/>
  <c r="BG76" i="15"/>
  <c r="AO76" i="65"/>
  <c r="IA76" i="15"/>
  <c r="AX62" i="5"/>
  <c r="AZ62" i="5" s="1"/>
  <c r="AS62" i="73" s="1"/>
  <c r="AY62" i="5"/>
  <c r="BG71" i="15"/>
  <c r="HR71" i="15"/>
  <c r="HJ44" i="15"/>
  <c r="I71" i="5"/>
  <c r="IB62" i="15"/>
  <c r="IA62" i="15"/>
  <c r="ID62" i="15"/>
  <c r="AO62" i="65"/>
  <c r="IE62" i="15"/>
  <c r="IF62" i="15"/>
  <c r="HS62" i="15"/>
  <c r="IC62" i="15"/>
  <c r="AM41" i="5"/>
  <c r="AV41" i="5" s="1"/>
  <c r="HO41" i="15"/>
  <c r="AL41" i="5"/>
  <c r="AU41" i="5" s="1"/>
  <c r="HN41" i="15"/>
  <c r="BF41" i="15" s="1"/>
  <c r="AL43" i="5"/>
  <c r="AU43" i="5" s="1"/>
  <c r="HN43" i="15"/>
  <c r="AL34" i="5"/>
  <c r="AU34" i="5" s="1"/>
  <c r="HN34" i="15"/>
  <c r="BF34" i="15" s="1"/>
  <c r="AM37" i="5"/>
  <c r="AV37" i="5" s="1"/>
  <c r="HO37" i="15"/>
  <c r="AL37" i="5"/>
  <c r="AU37" i="5" s="1"/>
  <c r="HN37" i="15"/>
  <c r="BF37" i="15" s="1"/>
  <c r="HP51" i="15"/>
  <c r="AN51" i="5"/>
  <c r="AW51" i="5" s="1"/>
  <c r="J44" i="5"/>
  <c r="AT44" i="73" s="1"/>
  <c r="AN44" i="65"/>
  <c r="HS76" i="15"/>
  <c r="IC76" i="15"/>
  <c r="ID40" i="15"/>
  <c r="IB40" i="15"/>
  <c r="IF40" i="15"/>
  <c r="IE40" i="15"/>
  <c r="HS40" i="15"/>
  <c r="HK40" i="15" s="1"/>
  <c r="IA40" i="15"/>
  <c r="IC40" i="15"/>
  <c r="AO40" i="65"/>
  <c r="HN39" i="15"/>
  <c r="AL39" i="5"/>
  <c r="AU39" i="5" s="1"/>
  <c r="AN39" i="5"/>
  <c r="AW39" i="5" s="1"/>
  <c r="HP39" i="15"/>
  <c r="AX76" i="5"/>
  <c r="AZ76" i="5" s="1"/>
  <c r="AS76" i="73" s="1"/>
  <c r="AY76" i="5"/>
  <c r="AY72" i="5"/>
  <c r="AX72" i="5"/>
  <c r="AZ72" i="5" s="1"/>
  <c r="AS72" i="73" s="1"/>
  <c r="HK53" i="15"/>
  <c r="HY110" i="15"/>
  <c r="AU93" i="5"/>
  <c r="BQ150" i="15"/>
  <c r="BQ148" i="15"/>
  <c r="CD157" i="15"/>
  <c r="CA147" i="15"/>
  <c r="AV147" i="65" s="1"/>
  <c r="AS147" i="65"/>
  <c r="CA156" i="15"/>
  <c r="AV156" i="65" s="1"/>
  <c r="AS287" i="65"/>
  <c r="Z233" i="5"/>
  <c r="HJ119" i="15"/>
  <c r="HX119" i="15" s="1"/>
  <c r="HW38" i="15"/>
  <c r="BH38" i="15" s="1"/>
  <c r="HY38" i="15"/>
  <c r="BK38" i="15" s="1"/>
  <c r="HQ24" i="15"/>
  <c r="HI24" i="15" s="1"/>
  <c r="HJ24" i="15"/>
  <c r="AP24" i="65"/>
  <c r="AU83" i="65"/>
  <c r="HY115" i="15"/>
  <c r="HQ114" i="15"/>
  <c r="HI114" i="15" s="1"/>
  <c r="HT114" i="15"/>
  <c r="AY114" i="5"/>
  <c r="AX114" i="5"/>
  <c r="AZ114" i="5" s="1"/>
  <c r="AS114" i="73" s="1"/>
  <c r="AX92" i="5"/>
  <c r="AZ92" i="5" s="1"/>
  <c r="AS92" i="73" s="1"/>
  <c r="AY92" i="5"/>
  <c r="HT96" i="15"/>
  <c r="HQ96" i="15"/>
  <c r="HI96" i="15" s="1"/>
  <c r="HQ110" i="15"/>
  <c r="HI110" i="15" s="1"/>
  <c r="HT110" i="15"/>
  <c r="HT92" i="15"/>
  <c r="HQ92" i="15"/>
  <c r="HI92" i="15" s="1"/>
  <c r="HQ111" i="15"/>
  <c r="HI111" i="15" s="1"/>
  <c r="HT111" i="15"/>
  <c r="IE113" i="15"/>
  <c r="IB113" i="15"/>
  <c r="IF113" i="15"/>
  <c r="IC113" i="15"/>
  <c r="HT113" i="15"/>
  <c r="ID113" i="15"/>
  <c r="IA113" i="15"/>
  <c r="HQ113" i="15"/>
  <c r="HI113" i="15" s="1"/>
  <c r="HK31" i="15"/>
  <c r="AW28" i="5"/>
  <c r="AY28" i="5" s="1"/>
  <c r="AN23" i="5"/>
  <c r="AW23" i="5" s="1"/>
  <c r="HP23" i="15"/>
  <c r="AL23" i="5"/>
  <c r="AU23" i="5" s="1"/>
  <c r="HN23" i="15"/>
  <c r="BF23" i="15" s="1"/>
  <c r="BG23" i="15"/>
  <c r="HR23" i="15"/>
  <c r="AT290" i="65"/>
  <c r="HJ72" i="15"/>
  <c r="HK72" i="15"/>
  <c r="AP72" i="65"/>
  <c r="HI72" i="15"/>
  <c r="I72" i="5"/>
  <c r="AM72" i="65"/>
  <c r="HK95" i="15"/>
  <c r="HY95" i="15" s="1"/>
  <c r="AP95" i="65"/>
  <c r="HJ95" i="15"/>
  <c r="HX95" i="15" s="1"/>
  <c r="AP88" i="65"/>
  <c r="HJ88" i="15"/>
  <c r="HX88" i="15" s="1"/>
  <c r="HI88" i="15"/>
  <c r="HW88" i="15" s="1"/>
  <c r="AM69" i="65"/>
  <c r="I69" i="5"/>
  <c r="AN78" i="65"/>
  <c r="J78" i="5"/>
  <c r="AT78" i="73" s="1"/>
  <c r="I116" i="5"/>
  <c r="AM116" i="65"/>
  <c r="HJ92" i="15"/>
  <c r="HX92" i="15" s="1"/>
  <c r="AP92" i="65"/>
  <c r="HK92" i="15"/>
  <c r="HY92" i="15" s="1"/>
  <c r="HK69" i="15"/>
  <c r="AP69" i="65"/>
  <c r="HJ69" i="15"/>
  <c r="HI69" i="15"/>
  <c r="I104" i="5"/>
  <c r="AM104" i="65"/>
  <c r="AP104" i="65"/>
  <c r="HK104" i="15"/>
  <c r="HY104" i="15" s="1"/>
  <c r="HJ104" i="15"/>
  <c r="HX104" i="15" s="1"/>
  <c r="I110" i="5"/>
  <c r="AP126" i="65"/>
  <c r="HK126" i="15"/>
  <c r="HY126" i="15" s="1"/>
  <c r="HJ126" i="15"/>
  <c r="HX126" i="15" s="1"/>
  <c r="AP114" i="65"/>
  <c r="HK114" i="15"/>
  <c r="HY114" i="15" s="1"/>
  <c r="I114" i="5"/>
  <c r="AM114" i="65"/>
  <c r="HK106" i="15"/>
  <c r="HY106" i="15" s="1"/>
  <c r="AP106" i="65"/>
  <c r="HJ106" i="15"/>
  <c r="HX106" i="15" s="1"/>
  <c r="AM88" i="65"/>
  <c r="I88" i="5"/>
  <c r="HJ122" i="15"/>
  <c r="HX122" i="15" s="1"/>
  <c r="AP122" i="65"/>
  <c r="HK122" i="15"/>
  <c r="HY122" i="15" s="1"/>
  <c r="AP108" i="65"/>
  <c r="HJ108" i="15"/>
  <c r="HX108" i="15" s="1"/>
  <c r="HK108" i="15"/>
  <c r="HY108" i="15" s="1"/>
  <c r="AP96" i="65"/>
  <c r="HJ96" i="15"/>
  <c r="HX96" i="15" s="1"/>
  <c r="HK96" i="15"/>
  <c r="HY96" i="15" s="1"/>
  <c r="I96" i="5"/>
  <c r="AM68" i="65"/>
  <c r="I68" i="5"/>
  <c r="AP116" i="65"/>
  <c r="HI116" i="15"/>
  <c r="HW116" i="15" s="1"/>
  <c r="HJ116" i="15"/>
  <c r="HX116" i="15" s="1"/>
  <c r="HK116" i="15"/>
  <c r="HY116" i="15" s="1"/>
  <c r="I111" i="5"/>
  <c r="AM111" i="65"/>
  <c r="AP111" i="65"/>
  <c r="HJ111" i="15"/>
  <c r="HX111" i="15" s="1"/>
  <c r="HK111" i="15"/>
  <c r="HY111" i="15" s="1"/>
  <c r="AP99" i="65"/>
  <c r="HK99" i="15"/>
  <c r="HY99" i="15" s="1"/>
  <c r="HJ99" i="15"/>
  <c r="HX99" i="15" s="1"/>
  <c r="AM92" i="65"/>
  <c r="I92" i="5"/>
  <c r="I119" i="5"/>
  <c r="AM119" i="65"/>
  <c r="HI119" i="15"/>
  <c r="HW119" i="15" s="1"/>
  <c r="AP119" i="65"/>
  <c r="AT182" i="65"/>
  <c r="AT166" i="65"/>
  <c r="AN58" i="5"/>
  <c r="AW58" i="5" s="1"/>
  <c r="HP58" i="15"/>
  <c r="BG22" i="15"/>
  <c r="HK22" i="15" s="1"/>
  <c r="HR22" i="15"/>
  <c r="HN58" i="15"/>
  <c r="AL58" i="5"/>
  <c r="AU58" i="5" s="1"/>
  <c r="AM58" i="5"/>
  <c r="AV58" i="5" s="1"/>
  <c r="HO58" i="15"/>
  <c r="IA29" i="15"/>
  <c r="AO29" i="65"/>
  <c r="AM29" i="65" s="1"/>
  <c r="DB226" i="15"/>
  <c r="AT226" i="65"/>
  <c r="DB258" i="15"/>
  <c r="AX60" i="5"/>
  <c r="AZ60" i="5" s="1"/>
  <c r="AS60" i="73" s="1"/>
  <c r="AY60" i="5"/>
  <c r="HS52" i="15"/>
  <c r="HK52" i="15" s="1"/>
  <c r="AO60" i="65"/>
  <c r="IA60" i="15"/>
  <c r="ID60" i="15"/>
  <c r="IE60" i="15"/>
  <c r="IF60" i="15"/>
  <c r="HQ60" i="15"/>
  <c r="IC60" i="15"/>
  <c r="IB60" i="15"/>
  <c r="HS56" i="15"/>
  <c r="AX56" i="5"/>
  <c r="AZ56" i="5" s="1"/>
  <c r="AS56" i="73" s="1"/>
  <c r="AY56" i="5"/>
  <c r="HQ64" i="15"/>
  <c r="IE64" i="15"/>
  <c r="AO64" i="65"/>
  <c r="IB64" i="15"/>
  <c r="ID64" i="15"/>
  <c r="IF64" i="15"/>
  <c r="IA64" i="15"/>
  <c r="IC64" i="15"/>
  <c r="HK101" i="15"/>
  <c r="HY101" i="15" s="1"/>
  <c r="AP101" i="65"/>
  <c r="HJ101" i="15"/>
  <c r="HX101" i="15" s="1"/>
  <c r="HI86" i="15"/>
  <c r="HW86" i="15" s="1"/>
  <c r="AP86" i="65"/>
  <c r="HJ86" i="15"/>
  <c r="HX86" i="15" s="1"/>
  <c r="HK86" i="15"/>
  <c r="HY86" i="15" s="1"/>
  <c r="AX52" i="5"/>
  <c r="AZ52" i="5" s="1"/>
  <c r="AS52" i="73" s="1"/>
  <c r="AY52" i="5"/>
  <c r="BG56" i="15"/>
  <c r="HR56" i="15"/>
  <c r="HS64" i="15"/>
  <c r="I70" i="5"/>
  <c r="HJ97" i="15"/>
  <c r="HX97" i="15" s="1"/>
  <c r="HK97" i="15"/>
  <c r="HY97" i="15" s="1"/>
  <c r="AP97" i="65"/>
  <c r="BG60" i="15"/>
  <c r="HR60" i="15"/>
  <c r="ID56" i="15"/>
  <c r="HQ56" i="15"/>
  <c r="AO56" i="65"/>
  <c r="IA56" i="15"/>
  <c r="IF56" i="15"/>
  <c r="IE56" i="15"/>
  <c r="IC56" i="15"/>
  <c r="IB56" i="15"/>
  <c r="AY64" i="5"/>
  <c r="AX64" i="5"/>
  <c r="AZ64" i="5" s="1"/>
  <c r="AS64" i="73" s="1"/>
  <c r="I86" i="5"/>
  <c r="AM86" i="65"/>
  <c r="HQ52" i="15"/>
  <c r="HI52" i="15" s="1"/>
  <c r="HS60" i="15"/>
  <c r="HR64" i="15"/>
  <c r="BG64" i="15"/>
  <c r="ID28" i="15"/>
  <c r="HT97" i="15"/>
  <c r="IE97" i="15"/>
  <c r="AO97" i="65"/>
  <c r="IC97" i="15"/>
  <c r="ID97" i="15"/>
  <c r="HQ97" i="15"/>
  <c r="HI97" i="15" s="1"/>
  <c r="IF97" i="15"/>
  <c r="IB97" i="15"/>
  <c r="IA97" i="15"/>
  <c r="I42" i="5"/>
  <c r="IC127" i="15"/>
  <c r="IA127" i="15"/>
  <c r="HQ127" i="15"/>
  <c r="HI127" i="15" s="1"/>
  <c r="ID127" i="15"/>
  <c r="IE127" i="15"/>
  <c r="HT127" i="15"/>
  <c r="IF127" i="15"/>
  <c r="IB127" i="15"/>
  <c r="IE94" i="15"/>
  <c r="HT94" i="15"/>
  <c r="IF94" i="15"/>
  <c r="IA94" i="15"/>
  <c r="HQ94" i="15"/>
  <c r="HI94" i="15" s="1"/>
  <c r="ID94" i="15"/>
  <c r="IB94" i="15"/>
  <c r="IC94" i="15"/>
  <c r="IC95" i="15"/>
  <c r="HQ95" i="15"/>
  <c r="HI95" i="15" s="1"/>
  <c r="ID95" i="15"/>
  <c r="AO95" i="65"/>
  <c r="IE95" i="15"/>
  <c r="IB95" i="15"/>
  <c r="HT95" i="15"/>
  <c r="IF95" i="15"/>
  <c r="IA95" i="15"/>
  <c r="AX95" i="5"/>
  <c r="AZ95" i="5" s="1"/>
  <c r="AS95" i="73" s="1"/>
  <c r="AY95" i="5"/>
  <c r="I48" i="5"/>
  <c r="AM48" i="65"/>
  <c r="FA243" i="15"/>
  <c r="BG243" i="65" s="1"/>
  <c r="IB106" i="15"/>
  <c r="HT106" i="15"/>
  <c r="IF106" i="15"/>
  <c r="IA106" i="15"/>
  <c r="HQ106" i="15"/>
  <c r="HI106" i="15" s="1"/>
  <c r="ID106" i="15"/>
  <c r="AO106" i="65"/>
  <c r="IE106" i="15"/>
  <c r="IC106" i="15"/>
  <c r="AO28" i="65"/>
  <c r="I28" i="5" s="1"/>
  <c r="HN93" i="15"/>
  <c r="HQ93" i="15" s="1"/>
  <c r="AY106" i="5"/>
  <c r="AX106" i="5"/>
  <c r="AZ106" i="5" s="1"/>
  <c r="AS106" i="73" s="1"/>
  <c r="AX120" i="5"/>
  <c r="AZ120" i="5" s="1"/>
  <c r="AS120" i="73" s="1"/>
  <c r="AY120" i="5"/>
  <c r="AY118" i="5"/>
  <c r="AX118" i="5"/>
  <c r="AZ118" i="5" s="1"/>
  <c r="AS118" i="73" s="1"/>
  <c r="HT118" i="15"/>
  <c r="IC118" i="15"/>
  <c r="ID118" i="15"/>
  <c r="HQ118" i="15"/>
  <c r="HI118" i="15" s="1"/>
  <c r="IB118" i="15"/>
  <c r="IF118" i="15"/>
  <c r="IA118" i="15"/>
  <c r="IE118" i="15"/>
  <c r="AX126" i="5"/>
  <c r="AZ126" i="5" s="1"/>
  <c r="AS126" i="73" s="1"/>
  <c r="AY126" i="5"/>
  <c r="IB126" i="15"/>
  <c r="IE126" i="15"/>
  <c r="IF126" i="15"/>
  <c r="AO126" i="65"/>
  <c r="ID126" i="15"/>
  <c r="IC126" i="15"/>
  <c r="HQ126" i="15"/>
  <c r="HI126" i="15" s="1"/>
  <c r="HT126" i="15"/>
  <c r="IA126" i="15"/>
  <c r="IA120" i="15"/>
  <c r="HQ120" i="15"/>
  <c r="HI120" i="15" s="1"/>
  <c r="HT120" i="15"/>
  <c r="IB120" i="15"/>
  <c r="ID120" i="15"/>
  <c r="IE120" i="15"/>
  <c r="IF120" i="15"/>
  <c r="IC120" i="15"/>
  <c r="HQ122" i="15"/>
  <c r="HI122" i="15" s="1"/>
  <c r="IA122" i="15"/>
  <c r="IB122" i="15"/>
  <c r="AO122" i="65"/>
  <c r="HT122" i="15"/>
  <c r="HW122" i="15" s="1"/>
  <c r="IF122" i="15"/>
  <c r="IC122" i="15"/>
  <c r="ID122" i="15"/>
  <c r="IE122" i="15"/>
  <c r="IE29" i="15"/>
  <c r="IF29" i="15"/>
  <c r="ID29" i="15"/>
  <c r="I52" i="5"/>
  <c r="I46" i="5"/>
  <c r="AM46" i="65"/>
  <c r="HQ107" i="15"/>
  <c r="HT107" i="15"/>
  <c r="HQ108" i="15"/>
  <c r="HI108" i="15" s="1"/>
  <c r="IA108" i="15"/>
  <c r="IB108" i="15"/>
  <c r="AO108" i="65"/>
  <c r="HT108" i="15"/>
  <c r="HW108" i="15" s="1"/>
  <c r="IF108" i="15"/>
  <c r="IC108" i="15"/>
  <c r="ID108" i="15"/>
  <c r="IE108" i="15"/>
  <c r="AX108" i="5"/>
  <c r="AZ108" i="5" s="1"/>
  <c r="AS108" i="73" s="1"/>
  <c r="AY108" i="5"/>
  <c r="AO99" i="65"/>
  <c r="IA99" i="15"/>
  <c r="HQ99" i="15"/>
  <c r="HI99" i="15" s="1"/>
  <c r="IF99" i="15"/>
  <c r="IB99" i="15"/>
  <c r="IC99" i="15"/>
  <c r="IE99" i="15"/>
  <c r="HT99" i="15"/>
  <c r="ID99" i="15"/>
  <c r="AN123" i="5"/>
  <c r="AW123" i="5" s="1"/>
  <c r="HP123" i="15"/>
  <c r="HP109" i="15"/>
  <c r="AN109" i="5"/>
  <c r="AW109" i="5" s="1"/>
  <c r="AM105" i="5"/>
  <c r="AV105" i="5" s="1"/>
  <c r="HO105" i="15"/>
  <c r="AL105" i="5"/>
  <c r="AU105" i="5" s="1"/>
  <c r="HN105" i="15"/>
  <c r="AY102" i="5"/>
  <c r="AX102" i="5"/>
  <c r="AZ102" i="5" s="1"/>
  <c r="AS102" i="73" s="1"/>
  <c r="IA101" i="15"/>
  <c r="AO101" i="65"/>
  <c r="IE101" i="15"/>
  <c r="IC101" i="15"/>
  <c r="HQ101" i="15"/>
  <c r="HI101" i="15" s="1"/>
  <c r="HT101" i="15"/>
  <c r="ID101" i="15"/>
  <c r="IF101" i="15"/>
  <c r="IB101" i="15"/>
  <c r="AX101" i="5"/>
  <c r="AZ101" i="5" s="1"/>
  <c r="AS101" i="73" s="1"/>
  <c r="AY101" i="5"/>
  <c r="BG25" i="15"/>
  <c r="HR25" i="15"/>
  <c r="AN125" i="5"/>
  <c r="AW125" i="5" s="1"/>
  <c r="HP125" i="15"/>
  <c r="HN121" i="15"/>
  <c r="AL121" i="5"/>
  <c r="AU121" i="5" s="1"/>
  <c r="AN121" i="5"/>
  <c r="AW121" i="5" s="1"/>
  <c r="HP121" i="15"/>
  <c r="AN107" i="5"/>
  <c r="AW107" i="5" s="1"/>
  <c r="HP107" i="15"/>
  <c r="AM93" i="5"/>
  <c r="AV93" i="5" s="1"/>
  <c r="HO93" i="15"/>
  <c r="HJ52" i="15"/>
  <c r="AP52" i="65"/>
  <c r="HK46" i="15"/>
  <c r="AP46" i="65"/>
  <c r="HI46" i="15"/>
  <c r="HJ46" i="15"/>
  <c r="IA117" i="15"/>
  <c r="IE117" i="15"/>
  <c r="ID117" i="15"/>
  <c r="IC117" i="15"/>
  <c r="HT117" i="15"/>
  <c r="HQ117" i="15"/>
  <c r="HI117" i="15" s="1"/>
  <c r="IF117" i="15"/>
  <c r="IB117" i="15"/>
  <c r="AY117" i="5"/>
  <c r="AX117" i="5"/>
  <c r="AZ117" i="5" s="1"/>
  <c r="AS117" i="73" s="1"/>
  <c r="AX99" i="5"/>
  <c r="AZ99" i="5" s="1"/>
  <c r="AS99" i="73" s="1"/>
  <c r="AY99" i="5"/>
  <c r="AM123" i="5"/>
  <c r="AV123" i="5" s="1"/>
  <c r="HO123" i="15"/>
  <c r="AM109" i="5"/>
  <c r="AV109" i="5" s="1"/>
  <c r="HO109" i="15"/>
  <c r="AL109" i="5"/>
  <c r="AU109" i="5" s="1"/>
  <c r="HN109" i="15"/>
  <c r="AN105" i="5"/>
  <c r="AW105" i="5" s="1"/>
  <c r="HP105" i="15"/>
  <c r="HQ102" i="15"/>
  <c r="HI102" i="15" s="1"/>
  <c r="IE102" i="15"/>
  <c r="IF102" i="15"/>
  <c r="IA102" i="15"/>
  <c r="HT102" i="15"/>
  <c r="ID102" i="15"/>
  <c r="IC102" i="15"/>
  <c r="IB102" i="15"/>
  <c r="IA115" i="15"/>
  <c r="HQ115" i="15"/>
  <c r="HI115" i="15" s="1"/>
  <c r="IF115" i="15"/>
  <c r="IC115" i="15"/>
  <c r="IE115" i="15"/>
  <c r="HT115" i="15"/>
  <c r="ID115" i="15"/>
  <c r="IB115" i="15"/>
  <c r="AX115" i="5"/>
  <c r="AZ115" i="5" s="1"/>
  <c r="AS115" i="73" s="1"/>
  <c r="AY115" i="5"/>
  <c r="AM125" i="5"/>
  <c r="AV125" i="5" s="1"/>
  <c r="HO125" i="15"/>
  <c r="AM121" i="5"/>
  <c r="AV121" i="5" s="1"/>
  <c r="HO121" i="15"/>
  <c r="AM107" i="5"/>
  <c r="AV107" i="5" s="1"/>
  <c r="AX107" i="5" s="1"/>
  <c r="AZ107" i="5" s="1"/>
  <c r="AS107" i="73" s="1"/>
  <c r="HO107" i="15"/>
  <c r="AN93" i="5"/>
  <c r="AW93" i="5" s="1"/>
  <c r="HP93" i="15"/>
  <c r="IB28" i="15"/>
  <c r="IF28" i="15"/>
  <c r="HN123" i="15"/>
  <c r="AU123" i="5"/>
  <c r="AX50" i="5"/>
  <c r="AZ50" i="5" s="1"/>
  <c r="AS50" i="73" s="1"/>
  <c r="AY50" i="5"/>
  <c r="AO74" i="65"/>
  <c r="ID74" i="15"/>
  <c r="IF74" i="15"/>
  <c r="IA74" i="15"/>
  <c r="HQ74" i="15"/>
  <c r="IE74" i="15"/>
  <c r="IB74" i="15"/>
  <c r="HR74" i="15"/>
  <c r="BG74" i="15"/>
  <c r="IC77" i="15"/>
  <c r="HS77" i="15"/>
  <c r="AX90" i="5"/>
  <c r="AZ90" i="5" s="1"/>
  <c r="AS90" i="73" s="1"/>
  <c r="HR90" i="15"/>
  <c r="HU90" i="15"/>
  <c r="IB90" i="15"/>
  <c r="BG90" i="15"/>
  <c r="HR73" i="15"/>
  <c r="IB73" i="15"/>
  <c r="BG73" i="15"/>
  <c r="HR75" i="15"/>
  <c r="IB75" i="15"/>
  <c r="BG75" i="15"/>
  <c r="AY75" i="5"/>
  <c r="IB89" i="15"/>
  <c r="HR89" i="15"/>
  <c r="BG89" i="15"/>
  <c r="HU89" i="15"/>
  <c r="AX91" i="5"/>
  <c r="AZ91" i="5" s="1"/>
  <c r="AS91" i="73" s="1"/>
  <c r="AY91" i="5"/>
  <c r="HR91" i="15"/>
  <c r="IB91" i="15"/>
  <c r="HU91" i="15"/>
  <c r="BG91" i="15"/>
  <c r="HQ54" i="15"/>
  <c r="ID54" i="15"/>
  <c r="AO54" i="65"/>
  <c r="IE54" i="15"/>
  <c r="IA54" i="15"/>
  <c r="IF54" i="15"/>
  <c r="HS54" i="15"/>
  <c r="IC54" i="15"/>
  <c r="HS50" i="15"/>
  <c r="IC50" i="15"/>
  <c r="HQ29" i="15"/>
  <c r="HI29" i="15" s="1"/>
  <c r="HQ50" i="15"/>
  <c r="AO50" i="65"/>
  <c r="ID50" i="15"/>
  <c r="IA50" i="15"/>
  <c r="IE50" i="15"/>
  <c r="IF50" i="15"/>
  <c r="AX73" i="5"/>
  <c r="AZ73" i="5" s="1"/>
  <c r="AS73" i="73" s="1"/>
  <c r="HS91" i="15"/>
  <c r="IC91" i="15"/>
  <c r="HV91" i="15"/>
  <c r="IB54" i="15"/>
  <c r="BG54" i="15"/>
  <c r="HR54" i="15"/>
  <c r="HQ30" i="15"/>
  <c r="HS33" i="15"/>
  <c r="HQ33" i="15"/>
  <c r="HQ35" i="15"/>
  <c r="HI35" i="15" s="1"/>
  <c r="BG32" i="15"/>
  <c r="HR32" i="15"/>
  <c r="DA100" i="15"/>
  <c r="AX74" i="5"/>
  <c r="AZ74" i="5" s="1"/>
  <c r="AS74" i="73" s="1"/>
  <c r="AY74" i="5"/>
  <c r="AO90" i="65"/>
  <c r="ID90" i="15"/>
  <c r="IF90" i="15"/>
  <c r="HT90" i="15"/>
  <c r="IA90" i="15"/>
  <c r="HQ90" i="15"/>
  <c r="IE90" i="15"/>
  <c r="IE75" i="15"/>
  <c r="IA75" i="15"/>
  <c r="IF75" i="15"/>
  <c r="AO75" i="65"/>
  <c r="ID75" i="15"/>
  <c r="HQ75" i="15"/>
  <c r="ID91" i="15"/>
  <c r="AO91" i="65"/>
  <c r="IA91" i="15"/>
  <c r="IE91" i="15"/>
  <c r="IF91" i="15"/>
  <c r="HT91" i="15"/>
  <c r="HQ91" i="15"/>
  <c r="AX54" i="5"/>
  <c r="AZ54" i="5" s="1"/>
  <c r="AS54" i="73" s="1"/>
  <c r="AY54" i="5"/>
  <c r="IB50" i="15"/>
  <c r="BG50" i="15"/>
  <c r="HR50" i="15"/>
  <c r="AY31" i="5"/>
  <c r="AX31" i="5"/>
  <c r="AZ31" i="5" s="1"/>
  <c r="AS31" i="73" s="1"/>
  <c r="AX89" i="5"/>
  <c r="AZ89" i="5" s="1"/>
  <c r="AS89" i="73" s="1"/>
  <c r="AY89" i="5"/>
  <c r="HS74" i="15"/>
  <c r="IC74" i="15"/>
  <c r="HQ77" i="15"/>
  <c r="IA77" i="15"/>
  <c r="AO77" i="65"/>
  <c r="ID77" i="15"/>
  <c r="IE77" i="15"/>
  <c r="IF77" i="15"/>
  <c r="BG77" i="15"/>
  <c r="IB77" i="15"/>
  <c r="HR77" i="15"/>
  <c r="IC90" i="15"/>
  <c r="HV90" i="15"/>
  <c r="HS90" i="15"/>
  <c r="ID73" i="15"/>
  <c r="IE73" i="15"/>
  <c r="IA73" i="15"/>
  <c r="AO73" i="65"/>
  <c r="IF73" i="15"/>
  <c r="HQ73" i="15"/>
  <c r="IC73" i="15"/>
  <c r="HS73" i="15"/>
  <c r="IC75" i="15"/>
  <c r="HS75" i="15"/>
  <c r="AO89" i="65"/>
  <c r="IF89" i="15"/>
  <c r="HT89" i="15"/>
  <c r="IA89" i="15"/>
  <c r="ID89" i="15"/>
  <c r="HQ89" i="15"/>
  <c r="IE89" i="15"/>
  <c r="HV89" i="15"/>
  <c r="HS89" i="15"/>
  <c r="IC89" i="15"/>
  <c r="HQ28" i="15"/>
  <c r="HI28" i="15" s="1"/>
  <c r="AY33" i="5"/>
  <c r="AX33" i="5"/>
  <c r="AZ33" i="5" s="1"/>
  <c r="AS33" i="73" s="1"/>
  <c r="AX35" i="5"/>
  <c r="AZ35" i="5" s="1"/>
  <c r="AS35" i="73" s="1"/>
  <c r="AY35" i="5"/>
  <c r="HK26" i="15"/>
  <c r="HI26" i="15"/>
  <c r="AP26" i="65"/>
  <c r="HJ26" i="15"/>
  <c r="AM26" i="65"/>
  <c r="I26" i="5"/>
  <c r="HJ35" i="15"/>
  <c r="HK35" i="15"/>
  <c r="AP35" i="65"/>
  <c r="HS29" i="15"/>
  <c r="HK29" i="15" s="1"/>
  <c r="AX24" i="5"/>
  <c r="AZ24" i="5" s="1"/>
  <c r="AS24" i="73" s="1"/>
  <c r="HJ31" i="15"/>
  <c r="HI31" i="15"/>
  <c r="AP31" i="65"/>
  <c r="AN36" i="65"/>
  <c r="J36" i="5"/>
  <c r="AT36" i="73" s="1"/>
  <c r="HS24" i="15"/>
  <c r="HK24" i="15" s="1"/>
  <c r="IE24" i="15"/>
  <c r="ID24" i="15"/>
  <c r="IC24" i="15"/>
  <c r="IA24" i="15"/>
  <c r="AO24" i="65"/>
  <c r="IB24" i="15"/>
  <c r="IF24" i="15"/>
  <c r="HR30" i="15"/>
  <c r="BG30" i="15"/>
  <c r="IE30" i="15"/>
  <c r="IB30" i="15"/>
  <c r="IF30" i="15"/>
  <c r="AO30" i="65"/>
  <c r="IC30" i="15"/>
  <c r="IA30" i="15"/>
  <c r="ID30" i="15"/>
  <c r="AM32" i="65"/>
  <c r="HS28" i="15"/>
  <c r="HK28" i="15" s="1"/>
  <c r="IC28" i="15"/>
  <c r="AX30" i="5"/>
  <c r="AZ30" i="5" s="1"/>
  <c r="AS30" i="73" s="1"/>
  <c r="AY30" i="5"/>
  <c r="AM38" i="65"/>
  <c r="I38" i="5"/>
  <c r="BG27" i="15"/>
  <c r="HR27" i="15"/>
  <c r="ID27" i="15"/>
  <c r="AO27" i="65"/>
  <c r="IB27" i="15"/>
  <c r="IA27" i="15"/>
  <c r="IF27" i="15"/>
  <c r="IE27" i="15"/>
  <c r="I31" i="5"/>
  <c r="I36" i="5"/>
  <c r="AM36" i="65"/>
  <c r="AP28" i="65"/>
  <c r="HJ28" i="15"/>
  <c r="AX27" i="5"/>
  <c r="AZ27" i="5" s="1"/>
  <c r="AS27" i="73" s="1"/>
  <c r="AP29" i="65"/>
  <c r="IC27" i="15"/>
  <c r="AR129" i="65" l="1"/>
  <c r="AR161" i="65"/>
  <c r="CC289" i="15"/>
  <c r="AR80" i="65"/>
  <c r="L80" i="5" s="1"/>
  <c r="AQ270" i="65"/>
  <c r="BZ115" i="15"/>
  <c r="AU115" i="65" s="1"/>
  <c r="O115" i="5" s="1"/>
  <c r="BV270" i="15"/>
  <c r="BP303" i="15"/>
  <c r="AS209" i="84"/>
  <c r="AM25" i="65"/>
  <c r="I35" i="5"/>
  <c r="HK33" i="15"/>
  <c r="I45" i="5"/>
  <c r="BP112" i="15"/>
  <c r="BZ133" i="15"/>
  <c r="BP151" i="15"/>
  <c r="CC159" i="15"/>
  <c r="BZ159" i="15"/>
  <c r="AR131" i="65"/>
  <c r="FU131" i="15"/>
  <c r="FA131" i="15" s="1"/>
  <c r="BG131" i="65" s="1"/>
  <c r="BZ149" i="15"/>
  <c r="AR273" i="65"/>
  <c r="BP277" i="15"/>
  <c r="FU277" i="15"/>
  <c r="AR281" i="65"/>
  <c r="FU189" i="15"/>
  <c r="FA189" i="15" s="1"/>
  <c r="BG189" i="65" s="1"/>
  <c r="CC189" i="15"/>
  <c r="AQ250" i="65"/>
  <c r="BV284" i="15"/>
  <c r="CB228" i="15"/>
  <c r="BY240" i="15"/>
  <c r="AT240" i="65" s="1"/>
  <c r="CB296" i="15"/>
  <c r="BV252" i="15"/>
  <c r="AS264" i="87"/>
  <c r="HI71" i="15"/>
  <c r="AP70" i="65"/>
  <c r="HK79" i="15"/>
  <c r="AP25" i="65"/>
  <c r="BF43" i="15"/>
  <c r="IA33" i="15"/>
  <c r="BF49" i="15"/>
  <c r="AN47" i="65"/>
  <c r="J47" i="5"/>
  <c r="AT47" i="73" s="1"/>
  <c r="BF39" i="15"/>
  <c r="AT220" i="65"/>
  <c r="DB174" i="15"/>
  <c r="CA287" i="15"/>
  <c r="AV287" i="65" s="1"/>
  <c r="AT162" i="65"/>
  <c r="CC112" i="15"/>
  <c r="AR133" i="65"/>
  <c r="CC151" i="15"/>
  <c r="AR151" i="65"/>
  <c r="BP159" i="15"/>
  <c r="AR152" i="65"/>
  <c r="BP131" i="15"/>
  <c r="CC149" i="15"/>
  <c r="BP273" i="15"/>
  <c r="BZ273" i="15"/>
  <c r="AR277" i="65"/>
  <c r="FU281" i="15"/>
  <c r="CC281" i="15"/>
  <c r="CC293" i="15"/>
  <c r="AR309" i="65"/>
  <c r="CC83" i="15"/>
  <c r="BP315" i="15"/>
  <c r="CB160" i="15"/>
  <c r="DB228" i="15"/>
  <c r="AT228" i="65"/>
  <c r="AT284" i="65"/>
  <c r="DB284" i="15"/>
  <c r="DB240" i="15"/>
  <c r="DB168" i="15"/>
  <c r="CA277" i="15"/>
  <c r="AV277" i="65" s="1"/>
  <c r="DB204" i="15"/>
  <c r="FU129" i="15"/>
  <c r="CC145" i="15"/>
  <c r="BP136" i="15"/>
  <c r="BP161" i="15"/>
  <c r="DB192" i="15"/>
  <c r="BZ285" i="15"/>
  <c r="BP319" i="15"/>
  <c r="BZ189" i="15"/>
  <c r="BY252" i="15"/>
  <c r="CA348" i="15"/>
  <c r="AV348" i="65" s="1"/>
  <c r="BV260" i="15"/>
  <c r="AS275" i="82"/>
  <c r="AS209" i="88"/>
  <c r="AS209" i="82"/>
  <c r="FU275" i="15"/>
  <c r="FU285" i="15"/>
  <c r="FA285" i="15" s="1"/>
  <c r="BG285" i="65" s="1"/>
  <c r="AR285" i="65"/>
  <c r="AR289" i="65"/>
  <c r="BZ295" i="15"/>
  <c r="CC303" i="15"/>
  <c r="CC311" i="15"/>
  <c r="FU319" i="15"/>
  <c r="FA319" i="15" s="1"/>
  <c r="BG319" i="65" s="1"/>
  <c r="CC319" i="15"/>
  <c r="HJ70" i="15"/>
  <c r="FA150" i="15"/>
  <c r="BG150" i="65" s="1"/>
  <c r="FU136" i="15"/>
  <c r="FU170" i="15"/>
  <c r="BP147" i="15"/>
  <c r="CC285" i="15"/>
  <c r="FU289" i="15"/>
  <c r="FA289" i="15" s="1"/>
  <c r="BG289" i="65" s="1"/>
  <c r="BZ289" i="15"/>
  <c r="BP295" i="15"/>
  <c r="FU295" i="15"/>
  <c r="FA295" i="15" s="1"/>
  <c r="BG295" i="65" s="1"/>
  <c r="FU303" i="15"/>
  <c r="FA303" i="15" s="1"/>
  <c r="BG303" i="65" s="1"/>
  <c r="BZ303" i="15"/>
  <c r="BZ311" i="15"/>
  <c r="FU311" i="15"/>
  <c r="FA311" i="15" s="1"/>
  <c r="BG311" i="65" s="1"/>
  <c r="AR319" i="65"/>
  <c r="FU263" i="15"/>
  <c r="FA263" i="15" s="1"/>
  <c r="BG263" i="65" s="1"/>
  <c r="AR83" i="65"/>
  <c r="L83" i="5" s="1"/>
  <c r="BP83" i="15"/>
  <c r="HW127" i="15"/>
  <c r="IE22" i="15"/>
  <c r="BF22" i="15"/>
  <c r="AO22" i="65" s="1"/>
  <c r="BF33" i="15"/>
  <c r="AO33" i="65" s="1"/>
  <c r="BV194" i="15"/>
  <c r="FT260" i="15"/>
  <c r="CB314" i="15"/>
  <c r="AS182" i="91"/>
  <c r="AS182" i="89"/>
  <c r="AS182" i="86"/>
  <c r="AS182" i="82"/>
  <c r="AS344" i="83"/>
  <c r="AS248" i="90"/>
  <c r="AS224" i="83"/>
  <c r="AS46" i="88"/>
  <c r="AS46" i="84"/>
  <c r="AS176" i="84"/>
  <c r="AS144" i="85"/>
  <c r="AS275" i="86"/>
  <c r="AS48" i="89"/>
  <c r="AS48" i="86"/>
  <c r="AS48" i="82"/>
  <c r="AS155" i="87"/>
  <c r="AS155" i="83"/>
  <c r="IC33" i="15"/>
  <c r="AS275" i="85"/>
  <c r="AS150" i="82"/>
  <c r="BQ146" i="15"/>
  <c r="AS146" i="65"/>
  <c r="AS149" i="65"/>
  <c r="CA149" i="15"/>
  <c r="AV149" i="65" s="1"/>
  <c r="CA332" i="15"/>
  <c r="AV332" i="65" s="1"/>
  <c r="AS344" i="91"/>
  <c r="AS248" i="91"/>
  <c r="AS151" i="91"/>
  <c r="AS150" i="91"/>
  <c r="AS48" i="91"/>
  <c r="AS182" i="87"/>
  <c r="AS182" i="88"/>
  <c r="AS182" i="85"/>
  <c r="AS182" i="83"/>
  <c r="AS150" i="89"/>
  <c r="AS131" i="89"/>
  <c r="AS344" i="86"/>
  <c r="AS248" i="85"/>
  <c r="AS224" i="88"/>
  <c r="AS46" i="89"/>
  <c r="AS46" i="90"/>
  <c r="AS46" i="86"/>
  <c r="AS46" i="83"/>
  <c r="AS46" i="82"/>
  <c r="AS275" i="89"/>
  <c r="AS203" i="83"/>
  <c r="AS48" i="87"/>
  <c r="AS48" i="88"/>
  <c r="AS48" i="85"/>
  <c r="AS48" i="84"/>
  <c r="AS155" i="90"/>
  <c r="AS155" i="89"/>
  <c r="AS155" i="85"/>
  <c r="AS155" i="84"/>
  <c r="AS155" i="82"/>
  <c r="AS197" i="83"/>
  <c r="AS151" i="88"/>
  <c r="AO115" i="65"/>
  <c r="AO120" i="65"/>
  <c r="AO94" i="65"/>
  <c r="HI45" i="15"/>
  <c r="AO110" i="65"/>
  <c r="AM110" i="65" s="1"/>
  <c r="AO308" i="65"/>
  <c r="AM308" i="65" s="1"/>
  <c r="AO310" i="65"/>
  <c r="AM310" i="65" s="1"/>
  <c r="AO318" i="65"/>
  <c r="AM318" i="65" s="1"/>
  <c r="AO340" i="65"/>
  <c r="AM340" i="65" s="1"/>
  <c r="AO326" i="65"/>
  <c r="AM326" i="65" s="1"/>
  <c r="AO348" i="65"/>
  <c r="AM348" i="65" s="1"/>
  <c r="AO103" i="65"/>
  <c r="AM103" i="65" s="1"/>
  <c r="HI70" i="15"/>
  <c r="AO209" i="65"/>
  <c r="AM209" i="65" s="1"/>
  <c r="AO313" i="65"/>
  <c r="AM313" i="65" s="1"/>
  <c r="HI68" i="15"/>
  <c r="HW68" i="15" s="1"/>
  <c r="AO129" i="65"/>
  <c r="AM129" i="65" s="1"/>
  <c r="AO229" i="65"/>
  <c r="AM229" i="65" s="1"/>
  <c r="AO245" i="65"/>
  <c r="AM245" i="65" s="1"/>
  <c r="AO265" i="65"/>
  <c r="AM265" i="65" s="1"/>
  <c r="AO289" i="65"/>
  <c r="AM289" i="65" s="1"/>
  <c r="AO317" i="65"/>
  <c r="AM317" i="65" s="1"/>
  <c r="AO329" i="65"/>
  <c r="AM329" i="65" s="1"/>
  <c r="AO341" i="65"/>
  <c r="AM341" i="65" s="1"/>
  <c r="AO307" i="65"/>
  <c r="AM307" i="65" s="1"/>
  <c r="AO171" i="65"/>
  <c r="AM171" i="65" s="1"/>
  <c r="AO215" i="65"/>
  <c r="AM215" i="65" s="1"/>
  <c r="AO247" i="65"/>
  <c r="AM247" i="65" s="1"/>
  <c r="AO315" i="65"/>
  <c r="AM315" i="65" s="1"/>
  <c r="AO67" i="65"/>
  <c r="AO257" i="65"/>
  <c r="AM257" i="65" s="1"/>
  <c r="AO169" i="65"/>
  <c r="AM169" i="65" s="1"/>
  <c r="AO233" i="65"/>
  <c r="AM233" i="65" s="1"/>
  <c r="AO261" i="65"/>
  <c r="AM261" i="65" s="1"/>
  <c r="AO293" i="65"/>
  <c r="AM293" i="65" s="1"/>
  <c r="AO301" i="65"/>
  <c r="AM301" i="65" s="1"/>
  <c r="AO333" i="65"/>
  <c r="AM333" i="65" s="1"/>
  <c r="AO63" i="65"/>
  <c r="AO137" i="65"/>
  <c r="AM137" i="65" s="1"/>
  <c r="AO145" i="65"/>
  <c r="AM145" i="65" s="1"/>
  <c r="AO149" i="65"/>
  <c r="AM149" i="65" s="1"/>
  <c r="AO157" i="65"/>
  <c r="AM157" i="65" s="1"/>
  <c r="AO253" i="65"/>
  <c r="AM253" i="65" s="1"/>
  <c r="AO273" i="65"/>
  <c r="AM273" i="65" s="1"/>
  <c r="AO167" i="65"/>
  <c r="AM167" i="65" s="1"/>
  <c r="AO211" i="65"/>
  <c r="AM211" i="65" s="1"/>
  <c r="AO243" i="65"/>
  <c r="AM243" i="65" s="1"/>
  <c r="AO263" i="65"/>
  <c r="AM263" i="65" s="1"/>
  <c r="AO279" i="65"/>
  <c r="AM279" i="65" s="1"/>
  <c r="AO275" i="65"/>
  <c r="AM275" i="65" s="1"/>
  <c r="AO112" i="65"/>
  <c r="AM112" i="65" s="1"/>
  <c r="AO251" i="65"/>
  <c r="AM251" i="65" s="1"/>
  <c r="AO82" i="65"/>
  <c r="AM82" i="65" s="1"/>
  <c r="AO235" i="65"/>
  <c r="AM235" i="65" s="1"/>
  <c r="AO255" i="65"/>
  <c r="AM255" i="65" s="1"/>
  <c r="AO134" i="65"/>
  <c r="AM134" i="65" s="1"/>
  <c r="AO190" i="65"/>
  <c r="AM190" i="65" s="1"/>
  <c r="AO242" i="65"/>
  <c r="AM242" i="65" s="1"/>
  <c r="AO272" i="65"/>
  <c r="AM272" i="65" s="1"/>
  <c r="AO280" i="65"/>
  <c r="AM280" i="65" s="1"/>
  <c r="AO328" i="65"/>
  <c r="AM328" i="65" s="1"/>
  <c r="AO128" i="65"/>
  <c r="AM128" i="65" s="1"/>
  <c r="AO210" i="65"/>
  <c r="AM210" i="65" s="1"/>
  <c r="AO304" i="65"/>
  <c r="AM304" i="65" s="1"/>
  <c r="AP79" i="65"/>
  <c r="AN79" i="65" s="1"/>
  <c r="AO295" i="65"/>
  <c r="AM295" i="65" s="1"/>
  <c r="AO306" i="65"/>
  <c r="AM306" i="65" s="1"/>
  <c r="AO220" i="65"/>
  <c r="AM220" i="65" s="1"/>
  <c r="AO256" i="65"/>
  <c r="AM256" i="65" s="1"/>
  <c r="AO232" i="65"/>
  <c r="AM232" i="65" s="1"/>
  <c r="AO194" i="65"/>
  <c r="AM194" i="65" s="1"/>
  <c r="AO226" i="65"/>
  <c r="AM226" i="65" s="1"/>
  <c r="AO346" i="65"/>
  <c r="AM346" i="65" s="1"/>
  <c r="AO298" i="65"/>
  <c r="AM298" i="65" s="1"/>
  <c r="AO270" i="65"/>
  <c r="AM270" i="65" s="1"/>
  <c r="AO254" i="65"/>
  <c r="AM254" i="65" s="1"/>
  <c r="AO202" i="65"/>
  <c r="AM202" i="65" s="1"/>
  <c r="AO320" i="65"/>
  <c r="AM320" i="65" s="1"/>
  <c r="AO224" i="65"/>
  <c r="AM224" i="65" s="1"/>
  <c r="AO176" i="65"/>
  <c r="AM176" i="65" s="1"/>
  <c r="AO198" i="65"/>
  <c r="AM198" i="65" s="1"/>
  <c r="AO240" i="65"/>
  <c r="AM240" i="65" s="1"/>
  <c r="AO212" i="65"/>
  <c r="AM212" i="65" s="1"/>
  <c r="AO260" i="65"/>
  <c r="AM260" i="65" s="1"/>
  <c r="AO284" i="65"/>
  <c r="AM284" i="65" s="1"/>
  <c r="AO172" i="65"/>
  <c r="AM172" i="65" s="1"/>
  <c r="AO188" i="65"/>
  <c r="AM188" i="65" s="1"/>
  <c r="AO262" i="65"/>
  <c r="AM262" i="65" s="1"/>
  <c r="AO162" i="65"/>
  <c r="AM162" i="65" s="1"/>
  <c r="AO288" i="65"/>
  <c r="AM288" i="65" s="1"/>
  <c r="AO160" i="65"/>
  <c r="AM160" i="65" s="1"/>
  <c r="AO331" i="65"/>
  <c r="AM331" i="65" s="1"/>
  <c r="AO102" i="65"/>
  <c r="AO117" i="65"/>
  <c r="AO118" i="65"/>
  <c r="AO127" i="65"/>
  <c r="AO113" i="65"/>
  <c r="AO292" i="65"/>
  <c r="AM292" i="65" s="1"/>
  <c r="AO302" i="65"/>
  <c r="AM302" i="65" s="1"/>
  <c r="AO324" i="65"/>
  <c r="AM324" i="65" s="1"/>
  <c r="AO334" i="65"/>
  <c r="AM334" i="65" s="1"/>
  <c r="AO294" i="65"/>
  <c r="AM294" i="65" s="1"/>
  <c r="AO300" i="65"/>
  <c r="AM300" i="65" s="1"/>
  <c r="AO316" i="65"/>
  <c r="AM316" i="65" s="1"/>
  <c r="AO332" i="65"/>
  <c r="AM332" i="65" s="1"/>
  <c r="AO342" i="65"/>
  <c r="AM342" i="65" s="1"/>
  <c r="AO185" i="65"/>
  <c r="AM185" i="65" s="1"/>
  <c r="AO201" i="65"/>
  <c r="AM201" i="65" s="1"/>
  <c r="AO249" i="65"/>
  <c r="AM249" i="65" s="1"/>
  <c r="AO269" i="65"/>
  <c r="AM269" i="65" s="1"/>
  <c r="AO305" i="65"/>
  <c r="AM305" i="65" s="1"/>
  <c r="AO325" i="65"/>
  <c r="AM325" i="65" s="1"/>
  <c r="AO337" i="65"/>
  <c r="AM337" i="65" s="1"/>
  <c r="AO345" i="65"/>
  <c r="AM345" i="65" s="1"/>
  <c r="AO141" i="65"/>
  <c r="AM141" i="65" s="1"/>
  <c r="AO153" i="65"/>
  <c r="AM153" i="65" s="1"/>
  <c r="AO173" i="65"/>
  <c r="AM173" i="65" s="1"/>
  <c r="AO197" i="65"/>
  <c r="AM197" i="65" s="1"/>
  <c r="AO281" i="65"/>
  <c r="AM281" i="65" s="1"/>
  <c r="AO297" i="65"/>
  <c r="AM297" i="65" s="1"/>
  <c r="AO321" i="65"/>
  <c r="AM321" i="65" s="1"/>
  <c r="AO299" i="65"/>
  <c r="AM299" i="65" s="1"/>
  <c r="HI48" i="15"/>
  <c r="AO217" i="65"/>
  <c r="AM217" i="65" s="1"/>
  <c r="AO183" i="65"/>
  <c r="AM183" i="65" s="1"/>
  <c r="AO199" i="65"/>
  <c r="AM199" i="65" s="1"/>
  <c r="AO231" i="65"/>
  <c r="AM231" i="65" s="1"/>
  <c r="AO87" i="65"/>
  <c r="AM87" i="65" s="1"/>
  <c r="AO85" i="65"/>
  <c r="AM85" i="65" s="1"/>
  <c r="AO225" i="65"/>
  <c r="AM225" i="65" s="1"/>
  <c r="AO83" i="65"/>
  <c r="AM83" i="65" s="1"/>
  <c r="AO177" i="65"/>
  <c r="AM177" i="65" s="1"/>
  <c r="AO193" i="65"/>
  <c r="AM193" i="65" s="1"/>
  <c r="AO277" i="65"/>
  <c r="AM277" i="65" s="1"/>
  <c r="AO285" i="65"/>
  <c r="AM285" i="65" s="1"/>
  <c r="AO133" i="65"/>
  <c r="AM133" i="65" s="1"/>
  <c r="AO161" i="65"/>
  <c r="AM161" i="65" s="1"/>
  <c r="AO165" i="65"/>
  <c r="AM165" i="65" s="1"/>
  <c r="AO181" i="65"/>
  <c r="AM181" i="65" s="1"/>
  <c r="AO189" i="65"/>
  <c r="AM189" i="65" s="1"/>
  <c r="AO205" i="65"/>
  <c r="AM205" i="65" s="1"/>
  <c r="AO221" i="65"/>
  <c r="AM221" i="65" s="1"/>
  <c r="AO237" i="65"/>
  <c r="AM237" i="65" s="1"/>
  <c r="AO309" i="65"/>
  <c r="AM309" i="65" s="1"/>
  <c r="AO349" i="65"/>
  <c r="AM349" i="65" s="1"/>
  <c r="AO339" i="65"/>
  <c r="AM339" i="65" s="1"/>
  <c r="AO175" i="65"/>
  <c r="AM175" i="65" s="1"/>
  <c r="AO187" i="65"/>
  <c r="AM187" i="65" s="1"/>
  <c r="AO195" i="65"/>
  <c r="AM195" i="65" s="1"/>
  <c r="AO227" i="65"/>
  <c r="AM227" i="65" s="1"/>
  <c r="AO347" i="65"/>
  <c r="AM347" i="65" s="1"/>
  <c r="AO259" i="65"/>
  <c r="AM259" i="65" s="1"/>
  <c r="AO159" i="65"/>
  <c r="AM159" i="65" s="1"/>
  <c r="AO191" i="65"/>
  <c r="AM191" i="65" s="1"/>
  <c r="AO203" i="65"/>
  <c r="AM203" i="65" s="1"/>
  <c r="AO214" i="65"/>
  <c r="AM214" i="65" s="1"/>
  <c r="AO336" i="65"/>
  <c r="AM336" i="65" s="1"/>
  <c r="AO98" i="65"/>
  <c r="AM98" i="65" s="1"/>
  <c r="AO124" i="65"/>
  <c r="AM124" i="65" s="1"/>
  <c r="AO206" i="65"/>
  <c r="AM206" i="65" s="1"/>
  <c r="AO246" i="65"/>
  <c r="AM246" i="65" s="1"/>
  <c r="AO278" i="65"/>
  <c r="AM278" i="65" s="1"/>
  <c r="AO286" i="65"/>
  <c r="AM286" i="65" s="1"/>
  <c r="AO338" i="65"/>
  <c r="AM338" i="65" s="1"/>
  <c r="AO266" i="65"/>
  <c r="AM266" i="65" s="1"/>
  <c r="AO312" i="65"/>
  <c r="AM312" i="65" s="1"/>
  <c r="AO330" i="65"/>
  <c r="AM330" i="65" s="1"/>
  <c r="AO314" i="65"/>
  <c r="AM314" i="65" s="1"/>
  <c r="AO282" i="65"/>
  <c r="AM282" i="65" s="1"/>
  <c r="AO248" i="65"/>
  <c r="AM248" i="65" s="1"/>
  <c r="AO230" i="65"/>
  <c r="AM230" i="65" s="1"/>
  <c r="AO244" i="65"/>
  <c r="AM244" i="65" s="1"/>
  <c r="AO156" i="65"/>
  <c r="AM156" i="65" s="1"/>
  <c r="AO213" i="65"/>
  <c r="AM213" i="65" s="1"/>
  <c r="AO327" i="65"/>
  <c r="AM327" i="65" s="1"/>
  <c r="AO311" i="65"/>
  <c r="AM311" i="65" s="1"/>
  <c r="AO343" i="65"/>
  <c r="AM343" i="65" s="1"/>
  <c r="AO200" i="65"/>
  <c r="AM200" i="65" s="1"/>
  <c r="AO322" i="65"/>
  <c r="AM322" i="65" s="1"/>
  <c r="AO184" i="65"/>
  <c r="AM184" i="65" s="1"/>
  <c r="AO204" i="65"/>
  <c r="AM204" i="65" s="1"/>
  <c r="AO268" i="65"/>
  <c r="AM268" i="65" s="1"/>
  <c r="AO323" i="65"/>
  <c r="AM323" i="65" s="1"/>
  <c r="AO207" i="65"/>
  <c r="AM207" i="65" s="1"/>
  <c r="AO239" i="65"/>
  <c r="AM239" i="65" s="1"/>
  <c r="AO290" i="65"/>
  <c r="AM290" i="65" s="1"/>
  <c r="CC283" i="15"/>
  <c r="AR283" i="65"/>
  <c r="AX22" i="5"/>
  <c r="AZ22" i="5" s="1"/>
  <c r="AS22" i="73" s="1"/>
  <c r="AY22" i="5"/>
  <c r="HQ57" i="15"/>
  <c r="IA57" i="15"/>
  <c r="AO57" i="65"/>
  <c r="BP280" i="15"/>
  <c r="BZ280" i="15"/>
  <c r="AR166" i="65"/>
  <c r="BP166" i="15"/>
  <c r="FU166" i="15"/>
  <c r="FA166" i="15" s="1"/>
  <c r="BG166" i="65" s="1"/>
  <c r="AR145" i="65"/>
  <c r="FU145" i="15"/>
  <c r="FU155" i="15"/>
  <c r="AR155" i="65"/>
  <c r="FU171" i="15"/>
  <c r="CC171" i="15"/>
  <c r="AR284" i="65"/>
  <c r="BP297" i="15"/>
  <c r="CC297" i="15"/>
  <c r="AR138" i="65"/>
  <c r="BP138" i="15"/>
  <c r="CC138" i="15"/>
  <c r="AU257" i="65"/>
  <c r="AU167" i="65"/>
  <c r="AU139" i="65"/>
  <c r="DB262" i="15"/>
  <c r="AT262" i="65"/>
  <c r="BY244" i="15"/>
  <c r="CB244" i="15"/>
  <c r="CD314" i="15"/>
  <c r="AS314" i="65"/>
  <c r="BP339" i="15"/>
  <c r="CC339" i="15"/>
  <c r="AR339" i="65"/>
  <c r="AS150" i="84"/>
  <c r="AS150" i="85"/>
  <c r="AS150" i="88"/>
  <c r="AS150" i="87"/>
  <c r="BQ330" i="15"/>
  <c r="AS330" i="65"/>
  <c r="AS266" i="65"/>
  <c r="CA266" i="15"/>
  <c r="AV266" i="65" s="1"/>
  <c r="AS176" i="83"/>
  <c r="AS176" i="85"/>
  <c r="AS176" i="88"/>
  <c r="AS176" i="87"/>
  <c r="AS296" i="82"/>
  <c r="AS296" i="84"/>
  <c r="AS296" i="87"/>
  <c r="AS296" i="88"/>
  <c r="AS296" i="89"/>
  <c r="AS296" i="91"/>
  <c r="AS144" i="82"/>
  <c r="AS144" i="83"/>
  <c r="AS144" i="86"/>
  <c r="AS144" i="90"/>
  <c r="AS144" i="89"/>
  <c r="AS144" i="91"/>
  <c r="BP152" i="15"/>
  <c r="BZ152" i="15"/>
  <c r="AR170" i="65"/>
  <c r="BZ170" i="15"/>
  <c r="CC129" i="15"/>
  <c r="BP129" i="15"/>
  <c r="FU147" i="15"/>
  <c r="CC147" i="15"/>
  <c r="FU161" i="15"/>
  <c r="BZ161" i="15"/>
  <c r="AU141" i="65"/>
  <c r="AU185" i="65"/>
  <c r="FU181" i="15"/>
  <c r="FA181" i="15" s="1"/>
  <c r="BG181" i="65" s="1"/>
  <c r="BZ181" i="15"/>
  <c r="FU205" i="15"/>
  <c r="FA205" i="15" s="1"/>
  <c r="BG205" i="65" s="1"/>
  <c r="CC205" i="15"/>
  <c r="FU213" i="15"/>
  <c r="FA213" i="15" s="1"/>
  <c r="BG213" i="65" s="1"/>
  <c r="BP213" i="15"/>
  <c r="BV306" i="15"/>
  <c r="AQ306" i="65"/>
  <c r="BO306" i="15"/>
  <c r="FT234" i="15"/>
  <c r="BY234" i="15"/>
  <c r="CB234" i="15"/>
  <c r="BO344" i="15"/>
  <c r="BV344" i="15"/>
  <c r="AQ312" i="65"/>
  <c r="BY312" i="15"/>
  <c r="FT232" i="15"/>
  <c r="BO232" i="15"/>
  <c r="BZ80" i="15"/>
  <c r="FU80" i="15"/>
  <c r="CC80" i="15"/>
  <c r="BQ328" i="15"/>
  <c r="CA328" i="15"/>
  <c r="AV328" i="65" s="1"/>
  <c r="FT194" i="15"/>
  <c r="BO194" i="15"/>
  <c r="CB194" i="15"/>
  <c r="CB226" i="15"/>
  <c r="BO226" i="15"/>
  <c r="CA282" i="15"/>
  <c r="AV282" i="65" s="1"/>
  <c r="CD282" i="15"/>
  <c r="AS220" i="65"/>
  <c r="BQ220" i="15"/>
  <c r="CD220" i="15"/>
  <c r="BO270" i="15"/>
  <c r="BY270" i="15"/>
  <c r="CB270" i="15"/>
  <c r="BV296" i="15"/>
  <c r="BY296" i="15"/>
  <c r="FT296" i="15"/>
  <c r="CD336" i="15"/>
  <c r="CA336" i="15"/>
  <c r="AV336" i="65" s="1"/>
  <c r="BQ336" i="15"/>
  <c r="BY198" i="15"/>
  <c r="BV198" i="15"/>
  <c r="AQ252" i="65"/>
  <c r="BO252" i="15"/>
  <c r="FT252" i="15"/>
  <c r="CC257" i="15"/>
  <c r="FU257" i="15"/>
  <c r="FA257" i="15" s="1"/>
  <c r="BG257" i="65" s="1"/>
  <c r="AR257" i="65"/>
  <c r="BO260" i="15"/>
  <c r="BY260" i="15"/>
  <c r="AQ260" i="65"/>
  <c r="FT276" i="15"/>
  <c r="BY276" i="15"/>
  <c r="BQ332" i="15"/>
  <c r="AS332" i="65"/>
  <c r="AS348" i="65"/>
  <c r="CD348" i="15"/>
  <c r="BZ267" i="15"/>
  <c r="CC267" i="15"/>
  <c r="BO262" i="15"/>
  <c r="BV262" i="15"/>
  <c r="CB262" i="15"/>
  <c r="AQ262" i="65"/>
  <c r="BP209" i="15"/>
  <c r="CC209" i="15"/>
  <c r="BZ140" i="15"/>
  <c r="FU140" i="15"/>
  <c r="FA140" i="15" s="1"/>
  <c r="BG140" i="65" s="1"/>
  <c r="AS275" i="83"/>
  <c r="AS275" i="84"/>
  <c r="AS275" i="87"/>
  <c r="AS275" i="88"/>
  <c r="AS275" i="91"/>
  <c r="BP320" i="15"/>
  <c r="BZ320" i="15"/>
  <c r="BP154" i="15"/>
  <c r="AR154" i="65"/>
  <c r="AS32" i="82"/>
  <c r="AS32" i="83"/>
  <c r="AS32" i="86"/>
  <c r="AS32" i="90"/>
  <c r="AS32" i="89"/>
  <c r="AS32" i="91"/>
  <c r="AS139" i="82"/>
  <c r="AS139" i="84"/>
  <c r="AS139" i="85"/>
  <c r="AS139" i="89"/>
  <c r="AS139" i="90"/>
  <c r="AS139" i="91"/>
  <c r="AS312" i="83"/>
  <c r="AS312" i="85"/>
  <c r="AS312" i="86"/>
  <c r="AS312" i="90"/>
  <c r="AS79" i="83"/>
  <c r="AS79" i="86"/>
  <c r="AS79" i="87"/>
  <c r="AS79" i="88"/>
  <c r="AS216" i="82"/>
  <c r="AS216" i="84"/>
  <c r="AS216" i="86"/>
  <c r="AS216" i="90"/>
  <c r="AS216" i="89"/>
  <c r="AS216" i="91"/>
  <c r="I53" i="5"/>
  <c r="AM53" i="65"/>
  <c r="CD155" i="15"/>
  <c r="IC57" i="15"/>
  <c r="DB291" i="15"/>
  <c r="DB186" i="15"/>
  <c r="DB170" i="15"/>
  <c r="DB178" i="15"/>
  <c r="BP145" i="15"/>
  <c r="CC155" i="15"/>
  <c r="BP155" i="15"/>
  <c r="BZ171" i="15"/>
  <c r="FU138" i="15"/>
  <c r="FA138" i="15" s="1"/>
  <c r="BG138" i="65" s="1"/>
  <c r="CC166" i="15"/>
  <c r="FU280" i="15"/>
  <c r="FU284" i="15"/>
  <c r="BZ297" i="15"/>
  <c r="AR297" i="65"/>
  <c r="HJ33" i="15"/>
  <c r="AU209" i="65"/>
  <c r="AU183" i="65"/>
  <c r="BZ339" i="15"/>
  <c r="BV244" i="15"/>
  <c r="BO244" i="15"/>
  <c r="CD330" i="15"/>
  <c r="CA314" i="15"/>
  <c r="AV314" i="65" s="1"/>
  <c r="BQ266" i="15"/>
  <c r="AS296" i="86"/>
  <c r="AS296" i="83"/>
  <c r="AS150" i="90"/>
  <c r="AS150" i="83"/>
  <c r="AS176" i="89"/>
  <c r="AS176" i="86"/>
  <c r="AS176" i="82"/>
  <c r="AS144" i="88"/>
  <c r="AS144" i="84"/>
  <c r="IB33" i="15"/>
  <c r="HQ22" i="15"/>
  <c r="IA22" i="15"/>
  <c r="AS151" i="86"/>
  <c r="HT93" i="15"/>
  <c r="FU156" i="15"/>
  <c r="BZ156" i="15"/>
  <c r="AR156" i="65"/>
  <c r="CC156" i="15"/>
  <c r="BP156" i="15"/>
  <c r="FU172" i="15"/>
  <c r="CC172" i="15"/>
  <c r="AR172" i="65"/>
  <c r="BZ172" i="15"/>
  <c r="BP172" i="15"/>
  <c r="BP288" i="15"/>
  <c r="FU288" i="15"/>
  <c r="FA288" i="15" s="1"/>
  <c r="BG288" i="65" s="1"/>
  <c r="AR288" i="65"/>
  <c r="CC288" i="15"/>
  <c r="CC304" i="15"/>
  <c r="FU304" i="15"/>
  <c r="FA304" i="15" s="1"/>
  <c r="BG304" i="65" s="1"/>
  <c r="AR304" i="65"/>
  <c r="FU173" i="15"/>
  <c r="CC173" i="15"/>
  <c r="AU181" i="65"/>
  <c r="CC181" i="15"/>
  <c r="AR181" i="65"/>
  <c r="BP205" i="15"/>
  <c r="AR205" i="65"/>
  <c r="BZ205" i="15"/>
  <c r="CC197" i="15"/>
  <c r="FU197" i="15"/>
  <c r="FA197" i="15" s="1"/>
  <c r="BG197" i="65" s="1"/>
  <c r="BP197" i="15"/>
  <c r="AR213" i="65"/>
  <c r="BZ213" i="15"/>
  <c r="CC221" i="15"/>
  <c r="BP221" i="15"/>
  <c r="FU229" i="15"/>
  <c r="FA229" i="15" s="1"/>
  <c r="BG229" i="65" s="1"/>
  <c r="CC229" i="15"/>
  <c r="AR237" i="65"/>
  <c r="CC237" i="15"/>
  <c r="BP237" i="15"/>
  <c r="CC245" i="15"/>
  <c r="BZ245" i="15"/>
  <c r="FU245" i="15"/>
  <c r="FA245" i="15" s="1"/>
  <c r="BG245" i="65" s="1"/>
  <c r="AR253" i="65"/>
  <c r="FU253" i="15"/>
  <c r="FA253" i="15" s="1"/>
  <c r="BG253" i="65" s="1"/>
  <c r="AR269" i="65"/>
  <c r="BZ269" i="15"/>
  <c r="BP135" i="15"/>
  <c r="CC135" i="15"/>
  <c r="CB168" i="15"/>
  <c r="BO168" i="15"/>
  <c r="CB290" i="15"/>
  <c r="FT290" i="15"/>
  <c r="AQ290" i="65"/>
  <c r="BO250" i="15"/>
  <c r="BY250" i="15"/>
  <c r="CB250" i="15"/>
  <c r="BY218" i="15"/>
  <c r="CB218" i="15"/>
  <c r="FT218" i="15"/>
  <c r="AQ220" i="65"/>
  <c r="BV220" i="15"/>
  <c r="FT220" i="15"/>
  <c r="FT200" i="15"/>
  <c r="CB200" i="15"/>
  <c r="BY160" i="15"/>
  <c r="AQ160" i="65"/>
  <c r="BV160" i="15"/>
  <c r="CD250" i="15"/>
  <c r="AS250" i="65"/>
  <c r="AS138" i="65"/>
  <c r="CD138" i="15"/>
  <c r="AS344" i="65"/>
  <c r="CA344" i="15"/>
  <c r="AV344" i="65" s="1"/>
  <c r="CA196" i="15"/>
  <c r="AV196" i="65" s="1"/>
  <c r="CD196" i="15"/>
  <c r="BO330" i="15"/>
  <c r="FT330" i="15"/>
  <c r="BV330" i="15"/>
  <c r="BY314" i="15"/>
  <c r="BO314" i="15"/>
  <c r="BV314" i="15"/>
  <c r="BO298" i="15"/>
  <c r="CB298" i="15"/>
  <c r="AQ298" i="65"/>
  <c r="BO282" i="15"/>
  <c r="CB282" i="15"/>
  <c r="FT282" i="15"/>
  <c r="AQ282" i="65"/>
  <c r="AQ320" i="65"/>
  <c r="CB320" i="15"/>
  <c r="BO320" i="15"/>
  <c r="BO144" i="15"/>
  <c r="BY144" i="15"/>
  <c r="AQ144" i="65"/>
  <c r="BQ258" i="15"/>
  <c r="CA242" i="15"/>
  <c r="AV242" i="65" s="1"/>
  <c r="CD242" i="15"/>
  <c r="BQ130" i="15"/>
  <c r="CD130" i="15"/>
  <c r="BV230" i="15"/>
  <c r="AQ230" i="65"/>
  <c r="FT230" i="15"/>
  <c r="AQ240" i="65"/>
  <c r="BV240" i="15"/>
  <c r="BP276" i="15"/>
  <c r="BZ276" i="15"/>
  <c r="BP292" i="15"/>
  <c r="AR292" i="65"/>
  <c r="FU292" i="15"/>
  <c r="FA292" i="15" s="1"/>
  <c r="BG292" i="65" s="1"/>
  <c r="CD134" i="15"/>
  <c r="BQ134" i="15"/>
  <c r="BV228" i="15"/>
  <c r="FT228" i="15"/>
  <c r="AQ284" i="65"/>
  <c r="BO284" i="15"/>
  <c r="AS142" i="65"/>
  <c r="CA142" i="15"/>
  <c r="AV142" i="65" s="1"/>
  <c r="FT156" i="15"/>
  <c r="AQ156" i="65"/>
  <c r="CB156" i="15"/>
  <c r="BZ193" i="15"/>
  <c r="AR193" i="65"/>
  <c r="FU193" i="15"/>
  <c r="FA193" i="15" s="1"/>
  <c r="BG193" i="65" s="1"/>
  <c r="CC219" i="15"/>
  <c r="AR219" i="65"/>
  <c r="BZ219" i="15"/>
  <c r="BZ251" i="15"/>
  <c r="CC251" i="15"/>
  <c r="FU251" i="15"/>
  <c r="FA251" i="15" s="1"/>
  <c r="BG251" i="65" s="1"/>
  <c r="AS264" i="82"/>
  <c r="AS264" i="83"/>
  <c r="AS264" i="85"/>
  <c r="AS264" i="86"/>
  <c r="AS264" i="90"/>
  <c r="AS264" i="91"/>
  <c r="AS244" i="84"/>
  <c r="AS244" i="87"/>
  <c r="AS244" i="88"/>
  <c r="AS244" i="89"/>
  <c r="AS209" i="85"/>
  <c r="AS209" i="86"/>
  <c r="AS209" i="89"/>
  <c r="AS209" i="90"/>
  <c r="AS209" i="91"/>
  <c r="AS197" i="85"/>
  <c r="AS197" i="86"/>
  <c r="AS197" i="89"/>
  <c r="AS197" i="90"/>
  <c r="AS197" i="91"/>
  <c r="AS151" i="84"/>
  <c r="AS151" i="85"/>
  <c r="AS151" i="89"/>
  <c r="AS151" i="90"/>
  <c r="AS203" i="85"/>
  <c r="AS203" i="86"/>
  <c r="AS203" i="89"/>
  <c r="AS203" i="90"/>
  <c r="AS203" i="91"/>
  <c r="AS131" i="82"/>
  <c r="AS131" i="83"/>
  <c r="AS131" i="86"/>
  <c r="AS131" i="87"/>
  <c r="AS131" i="88"/>
  <c r="AS131" i="91"/>
  <c r="AS224" i="84"/>
  <c r="AS224" i="86"/>
  <c r="AS224" i="90"/>
  <c r="AS224" i="89"/>
  <c r="AS224" i="91"/>
  <c r="AS248" i="84"/>
  <c r="AS248" i="87"/>
  <c r="AS248" i="88"/>
  <c r="AS248" i="89"/>
  <c r="AS344" i="84"/>
  <c r="AS344" i="87"/>
  <c r="AS344" i="88"/>
  <c r="AS344" i="89"/>
  <c r="BP272" i="15"/>
  <c r="AR272" i="65"/>
  <c r="FU272" i="15"/>
  <c r="AR271" i="65"/>
  <c r="BP271" i="15"/>
  <c r="BP275" i="15"/>
  <c r="CC275" i="15"/>
  <c r="BP279" i="15"/>
  <c r="BZ279" i="15"/>
  <c r="AR279" i="65"/>
  <c r="BZ283" i="15"/>
  <c r="BP283" i="15"/>
  <c r="CC287" i="15"/>
  <c r="BP287" i="15"/>
  <c r="BZ287" i="15"/>
  <c r="FU293" i="15"/>
  <c r="BZ293" i="15"/>
  <c r="FU301" i="15"/>
  <c r="BP301" i="15"/>
  <c r="BP309" i="15"/>
  <c r="CC309" i="15"/>
  <c r="BZ317" i="15"/>
  <c r="FU317" i="15"/>
  <c r="CC317" i="15"/>
  <c r="AR325" i="65"/>
  <c r="FU325" i="15"/>
  <c r="BZ284" i="15"/>
  <c r="CC284" i="15"/>
  <c r="BP284" i="15"/>
  <c r="AU265" i="65"/>
  <c r="AU175" i="65"/>
  <c r="AU241" i="65"/>
  <c r="I29" i="5"/>
  <c r="AP33" i="65"/>
  <c r="HK70" i="15"/>
  <c r="AX28" i="5"/>
  <c r="AZ28" i="5" s="1"/>
  <c r="AS28" i="73" s="1"/>
  <c r="AU225" i="65"/>
  <c r="AR140" i="65"/>
  <c r="BP140" i="15"/>
  <c r="FU112" i="15"/>
  <c r="AR112" i="65"/>
  <c r="BP133" i="15"/>
  <c r="AR136" i="65"/>
  <c r="BZ136" i="15"/>
  <c r="FU149" i="15"/>
  <c r="FA149" i="15" s="1"/>
  <c r="BG149" i="65" s="1"/>
  <c r="AR149" i="65"/>
  <c r="BP173" i="15"/>
  <c r="AR173" i="65"/>
  <c r="AU267" i="65"/>
  <c r="CC276" i="15"/>
  <c r="CC292" i="15"/>
  <c r="BP304" i="15"/>
  <c r="CC150" i="15"/>
  <c r="AT150" i="65"/>
  <c r="HI79" i="15"/>
  <c r="FU135" i="15"/>
  <c r="FA135" i="15" s="1"/>
  <c r="BG135" i="65" s="1"/>
  <c r="BZ135" i="15"/>
  <c r="BP251" i="15"/>
  <c r="BP181" i="15"/>
  <c r="CC213" i="15"/>
  <c r="FU221" i="15"/>
  <c r="FA221" i="15" s="1"/>
  <c r="BG221" i="65" s="1"/>
  <c r="AR221" i="65"/>
  <c r="BZ237" i="15"/>
  <c r="BP245" i="15"/>
  <c r="BP269" i="15"/>
  <c r="BZ253" i="15"/>
  <c r="CB220" i="15"/>
  <c r="BV250" i="15"/>
  <c r="FT168" i="15"/>
  <c r="BV168" i="15"/>
  <c r="FT284" i="15"/>
  <c r="CB284" i="15"/>
  <c r="BY156" i="15"/>
  <c r="BY298" i="15"/>
  <c r="FT298" i="15"/>
  <c r="BV144" i="15"/>
  <c r="CB144" i="15"/>
  <c r="CA258" i="15"/>
  <c r="AV258" i="65" s="1"/>
  <c r="AS242" i="65"/>
  <c r="BY230" i="15"/>
  <c r="CB230" i="15"/>
  <c r="AQ228" i="65"/>
  <c r="BO228" i="15"/>
  <c r="BV290" i="15"/>
  <c r="BO290" i="15"/>
  <c r="AQ330" i="65"/>
  <c r="BY330" i="15"/>
  <c r="BY320" i="15"/>
  <c r="FT320" i="15"/>
  <c r="BO160" i="15"/>
  <c r="CA138" i="15"/>
  <c r="AV138" i="65" s="1"/>
  <c r="BO240" i="15"/>
  <c r="FT240" i="15"/>
  <c r="CA134" i="15"/>
  <c r="AV134" i="65" s="1"/>
  <c r="AS196" i="65"/>
  <c r="BY282" i="15"/>
  <c r="BO218" i="15"/>
  <c r="BV218" i="15"/>
  <c r="AQ314" i="65"/>
  <c r="FT314" i="15"/>
  <c r="AQ200" i="65"/>
  <c r="BY200" i="15"/>
  <c r="AS244" i="91"/>
  <c r="AS264" i="88"/>
  <c r="AS264" i="84"/>
  <c r="AS131" i="90"/>
  <c r="AS131" i="85"/>
  <c r="AS344" i="90"/>
  <c r="AS344" i="85"/>
  <c r="AS344" i="82"/>
  <c r="AS248" i="86"/>
  <c r="AS248" i="83"/>
  <c r="AS224" i="87"/>
  <c r="AS224" i="85"/>
  <c r="AS224" i="82"/>
  <c r="AS244" i="86"/>
  <c r="AS244" i="83"/>
  <c r="AS203" i="88"/>
  <c r="AS203" i="84"/>
  <c r="AS203" i="82"/>
  <c r="AS209" i="87"/>
  <c r="AS209" i="83"/>
  <c r="AS197" i="88"/>
  <c r="AS197" i="84"/>
  <c r="AS197" i="82"/>
  <c r="AS151" i="87"/>
  <c r="AS151" i="83"/>
  <c r="HQ125" i="15"/>
  <c r="FB166" i="15"/>
  <c r="AU98" i="65"/>
  <c r="O98" i="5" s="1"/>
  <c r="HK62" i="15"/>
  <c r="IB57" i="15"/>
  <c r="BZ272" i="15"/>
  <c r="BZ288" i="15"/>
  <c r="CC271" i="15"/>
  <c r="FU271" i="15"/>
  <c r="BZ275" i="15"/>
  <c r="CC279" i="15"/>
  <c r="FU283" i="15"/>
  <c r="FU287" i="15"/>
  <c r="BP293" i="15"/>
  <c r="AR301" i="65"/>
  <c r="CC301" i="15"/>
  <c r="BZ309" i="15"/>
  <c r="BP317" i="15"/>
  <c r="BP325" i="15"/>
  <c r="BZ325" i="15"/>
  <c r="BZ197" i="15"/>
  <c r="AY125" i="5"/>
  <c r="AS258" i="65"/>
  <c r="CD258" i="15"/>
  <c r="BQ242" i="15"/>
  <c r="AS130" i="65"/>
  <c r="CA130" i="15"/>
  <c r="AV130" i="65" s="1"/>
  <c r="CA250" i="15"/>
  <c r="AV250" i="65" s="1"/>
  <c r="BQ138" i="15"/>
  <c r="CD344" i="15"/>
  <c r="FU269" i="15"/>
  <c r="FA269" i="15" s="1"/>
  <c r="BG269" i="65" s="1"/>
  <c r="BZ229" i="15"/>
  <c r="AR229" i="65"/>
  <c r="CC253" i="15"/>
  <c r="CA220" i="15"/>
  <c r="AV220" i="65" s="1"/>
  <c r="BY344" i="15"/>
  <c r="AQ344" i="65"/>
  <c r="AQ232" i="65"/>
  <c r="CB232" i="15"/>
  <c r="BV232" i="15"/>
  <c r="BO312" i="15"/>
  <c r="CB312" i="15"/>
  <c r="AS282" i="65"/>
  <c r="CD328" i="15"/>
  <c r="AS328" i="65"/>
  <c r="FT306" i="15"/>
  <c r="BY306" i="15"/>
  <c r="AQ234" i="65"/>
  <c r="BV234" i="15"/>
  <c r="AQ226" i="65"/>
  <c r="BV226" i="15"/>
  <c r="FT226" i="15"/>
  <c r="AS30" i="82"/>
  <c r="AS30" i="84"/>
  <c r="AS30" i="83"/>
  <c r="AS30" i="85"/>
  <c r="AS30" i="86"/>
  <c r="AS30" i="88"/>
  <c r="AS30" i="90"/>
  <c r="AS30" i="87"/>
  <c r="AS30" i="89"/>
  <c r="AT36" i="82"/>
  <c r="AT36" i="83"/>
  <c r="AT36" i="84"/>
  <c r="AT36" i="86"/>
  <c r="AT36" i="85"/>
  <c r="AT36" i="87"/>
  <c r="AT36" i="89"/>
  <c r="AT36" i="88"/>
  <c r="AT36" i="90"/>
  <c r="AS24" i="82"/>
  <c r="AS24" i="84"/>
  <c r="AS24" i="83"/>
  <c r="AS24" i="85"/>
  <c r="AS24" i="86"/>
  <c r="AS24" i="88"/>
  <c r="AS24" i="90"/>
  <c r="AS24" i="87"/>
  <c r="AS24" i="89"/>
  <c r="AS33" i="82"/>
  <c r="AS33" i="83"/>
  <c r="AS33" i="84"/>
  <c r="AS33" i="86"/>
  <c r="AS33" i="85"/>
  <c r="AS33" i="87"/>
  <c r="AS33" i="89"/>
  <c r="AS33" i="88"/>
  <c r="AS33" i="90"/>
  <c r="AS31" i="82"/>
  <c r="AS31" i="83"/>
  <c r="AS31" i="84"/>
  <c r="AS31" i="86"/>
  <c r="AS31" i="85"/>
  <c r="AS31" i="87"/>
  <c r="AS31" i="89"/>
  <c r="AS31" i="88"/>
  <c r="AS31" i="90"/>
  <c r="AS54" i="82"/>
  <c r="AS54" i="84"/>
  <c r="AS54" i="83"/>
  <c r="AS54" i="85"/>
  <c r="AS54" i="86"/>
  <c r="AS54" i="88"/>
  <c r="AS54" i="90"/>
  <c r="AS54" i="87"/>
  <c r="AS54" i="89"/>
  <c r="AS74" i="82"/>
  <c r="AS74" i="84"/>
  <c r="AS74" i="83"/>
  <c r="AS74" i="85"/>
  <c r="AS74" i="86"/>
  <c r="AS74" i="88"/>
  <c r="AS74" i="90"/>
  <c r="AS74" i="87"/>
  <c r="AS74" i="89"/>
  <c r="AS73" i="82"/>
  <c r="AS73" i="83"/>
  <c r="AS73" i="84"/>
  <c r="AS73" i="86"/>
  <c r="AS73" i="85"/>
  <c r="AS73" i="87"/>
  <c r="AS73" i="89"/>
  <c r="AS73" i="88"/>
  <c r="AS73" i="90"/>
  <c r="AS91" i="82"/>
  <c r="AS91" i="83"/>
  <c r="AS91" i="84"/>
  <c r="AS91" i="86"/>
  <c r="AS91" i="85"/>
  <c r="AS91" i="87"/>
  <c r="AS91" i="89"/>
  <c r="AS91" i="88"/>
  <c r="AS91" i="90"/>
  <c r="AS75" i="82"/>
  <c r="AS75" i="83"/>
  <c r="AS75" i="84"/>
  <c r="AS75" i="86"/>
  <c r="AS75" i="85"/>
  <c r="AS75" i="87"/>
  <c r="AS75" i="89"/>
  <c r="AS75" i="88"/>
  <c r="AS75" i="90"/>
  <c r="AS115" i="82"/>
  <c r="AS115" i="83"/>
  <c r="AS115" i="84"/>
  <c r="AS115" i="86"/>
  <c r="AS115" i="85"/>
  <c r="AS115" i="87"/>
  <c r="AS115" i="89"/>
  <c r="AS115" i="88"/>
  <c r="AS115" i="90"/>
  <c r="AS99" i="82"/>
  <c r="AS99" i="83"/>
  <c r="AS99" i="84"/>
  <c r="AS99" i="86"/>
  <c r="AS99" i="85"/>
  <c r="AS99" i="87"/>
  <c r="AS99" i="89"/>
  <c r="AS99" i="88"/>
  <c r="AS99" i="90"/>
  <c r="AS120" i="82"/>
  <c r="AS120" i="84"/>
  <c r="AS120" i="83"/>
  <c r="AS120" i="85"/>
  <c r="AS120" i="86"/>
  <c r="AS120" i="88"/>
  <c r="AS120" i="90"/>
  <c r="AS120" i="87"/>
  <c r="AS120" i="89"/>
  <c r="AS64" i="82"/>
  <c r="AS64" i="84"/>
  <c r="AS64" i="83"/>
  <c r="AS64" i="85"/>
  <c r="AS64" i="86"/>
  <c r="AS64" i="88"/>
  <c r="AS64" i="90"/>
  <c r="AS64" i="87"/>
  <c r="AS64" i="89"/>
  <c r="AS56" i="82"/>
  <c r="AS56" i="84"/>
  <c r="AS56" i="83"/>
  <c r="AS56" i="85"/>
  <c r="AS56" i="86"/>
  <c r="AS56" i="88"/>
  <c r="AS56" i="90"/>
  <c r="AS56" i="87"/>
  <c r="AS56" i="89"/>
  <c r="AS60" i="82"/>
  <c r="AS60" i="84"/>
  <c r="AS60" i="83"/>
  <c r="AS60" i="85"/>
  <c r="AS60" i="86"/>
  <c r="AS60" i="88"/>
  <c r="AS60" i="90"/>
  <c r="AS60" i="87"/>
  <c r="AS60" i="89"/>
  <c r="AS28" i="82"/>
  <c r="AS28" i="84"/>
  <c r="AS28" i="83"/>
  <c r="AS28" i="85"/>
  <c r="AS28" i="86"/>
  <c r="AS28" i="88"/>
  <c r="AS28" i="90"/>
  <c r="AS28" i="87"/>
  <c r="AS28" i="89"/>
  <c r="AS92" i="82"/>
  <c r="AS92" i="84"/>
  <c r="AS92" i="83"/>
  <c r="AS92" i="85"/>
  <c r="AS92" i="86"/>
  <c r="AS92" i="88"/>
  <c r="AS92" i="90"/>
  <c r="AS92" i="87"/>
  <c r="AS92" i="89"/>
  <c r="AS76" i="82"/>
  <c r="AS76" i="84"/>
  <c r="AS76" i="83"/>
  <c r="AS76" i="85"/>
  <c r="AS76" i="86"/>
  <c r="AS76" i="88"/>
  <c r="AS76" i="90"/>
  <c r="AS76" i="87"/>
  <c r="AS76" i="89"/>
  <c r="AT44" i="82"/>
  <c r="AT44" i="83"/>
  <c r="AT44" i="84"/>
  <c r="AT44" i="86"/>
  <c r="AT44" i="85"/>
  <c r="AT44" i="87"/>
  <c r="AT44" i="89"/>
  <c r="AT44" i="88"/>
  <c r="AT44" i="90"/>
  <c r="AS62" i="82"/>
  <c r="AS62" i="84"/>
  <c r="AS62" i="83"/>
  <c r="AS62" i="85"/>
  <c r="AS62" i="86"/>
  <c r="AS62" i="88"/>
  <c r="AS62" i="90"/>
  <c r="AS62" i="87"/>
  <c r="AS62" i="89"/>
  <c r="AS47" i="82"/>
  <c r="AS47" i="83"/>
  <c r="AS47" i="84"/>
  <c r="AS47" i="86"/>
  <c r="AS47" i="85"/>
  <c r="AS47" i="87"/>
  <c r="AS47" i="89"/>
  <c r="AS47" i="88"/>
  <c r="AS47" i="90"/>
  <c r="AS310" i="82"/>
  <c r="AS310" i="83"/>
  <c r="AS310" i="84"/>
  <c r="AS310" i="85"/>
  <c r="AS310" i="87"/>
  <c r="AS310" i="86"/>
  <c r="AS310" i="88"/>
  <c r="AS310" i="90"/>
  <c r="AS310" i="89"/>
  <c r="AS316" i="82"/>
  <c r="AS316" i="83"/>
  <c r="AS316" i="84"/>
  <c r="AS316" i="85"/>
  <c r="AS316" i="87"/>
  <c r="AS316" i="86"/>
  <c r="AS316" i="88"/>
  <c r="AS316" i="90"/>
  <c r="AS316" i="89"/>
  <c r="AS342" i="82"/>
  <c r="AS342" i="83"/>
  <c r="AS342" i="84"/>
  <c r="AS342" i="85"/>
  <c r="AS342" i="87"/>
  <c r="AS342" i="86"/>
  <c r="AS342" i="88"/>
  <c r="AS342" i="90"/>
  <c r="AS342" i="89"/>
  <c r="AS308" i="82"/>
  <c r="AS308" i="83"/>
  <c r="AS308" i="84"/>
  <c r="AS308" i="85"/>
  <c r="AS308" i="87"/>
  <c r="AS308" i="86"/>
  <c r="AS308" i="88"/>
  <c r="AS308" i="90"/>
  <c r="AS308" i="89"/>
  <c r="AS324" i="82"/>
  <c r="AS324" i="83"/>
  <c r="AS324" i="84"/>
  <c r="AS324" i="85"/>
  <c r="AS324" i="87"/>
  <c r="AS324" i="86"/>
  <c r="AS324" i="88"/>
  <c r="AS324" i="90"/>
  <c r="AS324" i="89"/>
  <c r="AS340" i="82"/>
  <c r="AS340" i="83"/>
  <c r="AS340" i="84"/>
  <c r="AS340" i="85"/>
  <c r="AS340" i="87"/>
  <c r="AS340" i="86"/>
  <c r="AS340" i="88"/>
  <c r="AS340" i="90"/>
  <c r="AS340" i="89"/>
  <c r="AS25" i="82"/>
  <c r="AS25" i="83"/>
  <c r="AS25" i="84"/>
  <c r="AS25" i="86"/>
  <c r="AS25" i="85"/>
  <c r="AS25" i="87"/>
  <c r="AS25" i="89"/>
  <c r="AS25" i="88"/>
  <c r="AS25" i="90"/>
  <c r="AS36" i="82"/>
  <c r="AS36" i="84"/>
  <c r="AS36" i="83"/>
  <c r="AS36" i="85"/>
  <c r="AS36" i="86"/>
  <c r="AS36" i="88"/>
  <c r="AS36" i="90"/>
  <c r="AS36" i="87"/>
  <c r="AS36" i="89"/>
  <c r="AS169" i="82"/>
  <c r="AS169" i="83"/>
  <c r="AS169" i="84"/>
  <c r="AS169" i="86"/>
  <c r="AS169" i="85"/>
  <c r="AS169" i="87"/>
  <c r="AS169" i="89"/>
  <c r="AS169" i="88"/>
  <c r="AS169" i="90"/>
  <c r="AS261" i="82"/>
  <c r="AS261" i="83"/>
  <c r="AS261" i="85"/>
  <c r="AS261" i="84"/>
  <c r="AS261" i="86"/>
  <c r="AS261" i="87"/>
  <c r="AS261" i="89"/>
  <c r="AS261" i="88"/>
  <c r="AS261" i="90"/>
  <c r="AS277" i="82"/>
  <c r="AS277" i="83"/>
  <c r="AS277" i="85"/>
  <c r="AS277" i="84"/>
  <c r="AS277" i="86"/>
  <c r="AS277" i="87"/>
  <c r="AS277" i="89"/>
  <c r="AS277" i="88"/>
  <c r="AS277" i="90"/>
  <c r="AS285" i="82"/>
  <c r="AS285" i="83"/>
  <c r="AS285" i="85"/>
  <c r="AS285" i="84"/>
  <c r="AS285" i="86"/>
  <c r="AS285" i="87"/>
  <c r="AS285" i="89"/>
  <c r="AS285" i="88"/>
  <c r="AS285" i="90"/>
  <c r="AS165" i="82"/>
  <c r="AS165" i="83"/>
  <c r="AS165" i="84"/>
  <c r="AS165" i="86"/>
  <c r="AS165" i="85"/>
  <c r="AS165" i="87"/>
  <c r="AS165" i="89"/>
  <c r="AS165" i="88"/>
  <c r="AS165" i="90"/>
  <c r="AS237" i="82"/>
  <c r="AS237" i="83"/>
  <c r="AS237" i="85"/>
  <c r="AS237" i="84"/>
  <c r="AS237" i="86"/>
  <c r="AS237" i="87"/>
  <c r="AS237" i="89"/>
  <c r="AS237" i="88"/>
  <c r="AS237" i="90"/>
  <c r="AS265" i="82"/>
  <c r="AS265" i="83"/>
  <c r="AS265" i="85"/>
  <c r="AS265" i="84"/>
  <c r="AS265" i="86"/>
  <c r="AS265" i="87"/>
  <c r="AS265" i="89"/>
  <c r="AS265" i="88"/>
  <c r="AS265" i="90"/>
  <c r="AS273" i="82"/>
  <c r="AS273" i="83"/>
  <c r="AS273" i="85"/>
  <c r="AS273" i="84"/>
  <c r="AS273" i="86"/>
  <c r="AS273" i="87"/>
  <c r="AS273" i="89"/>
  <c r="AS273" i="88"/>
  <c r="AS273" i="90"/>
  <c r="AS309" i="82"/>
  <c r="AS309" i="83"/>
  <c r="AS309" i="85"/>
  <c r="AS309" i="84"/>
  <c r="AS309" i="86"/>
  <c r="AS309" i="87"/>
  <c r="AS309" i="89"/>
  <c r="AS309" i="88"/>
  <c r="AS309" i="90"/>
  <c r="AS287" i="82"/>
  <c r="AS287" i="83"/>
  <c r="AS287" i="85"/>
  <c r="AS287" i="84"/>
  <c r="AS287" i="86"/>
  <c r="AS287" i="87"/>
  <c r="AS287" i="89"/>
  <c r="AS287" i="88"/>
  <c r="AS287" i="90"/>
  <c r="AS185" i="82"/>
  <c r="AS185" i="83"/>
  <c r="AS185" i="85"/>
  <c r="AS185" i="84"/>
  <c r="AS185" i="86"/>
  <c r="AS185" i="87"/>
  <c r="AS185" i="89"/>
  <c r="AS185" i="88"/>
  <c r="AS185" i="90"/>
  <c r="AS217" i="82"/>
  <c r="AS217" i="83"/>
  <c r="AS217" i="85"/>
  <c r="AS217" i="84"/>
  <c r="AS217" i="86"/>
  <c r="AS217" i="87"/>
  <c r="AS217" i="89"/>
  <c r="AS217" i="88"/>
  <c r="AS217" i="90"/>
  <c r="AS249" i="82"/>
  <c r="AS249" i="83"/>
  <c r="AS249" i="85"/>
  <c r="AS249" i="84"/>
  <c r="AS249" i="86"/>
  <c r="AS249" i="87"/>
  <c r="AS249" i="89"/>
  <c r="AS249" i="88"/>
  <c r="AS249" i="90"/>
  <c r="AS305" i="82"/>
  <c r="AS305" i="83"/>
  <c r="AS305" i="85"/>
  <c r="AS305" i="84"/>
  <c r="AS305" i="86"/>
  <c r="AS305" i="87"/>
  <c r="AS305" i="89"/>
  <c r="AS305" i="88"/>
  <c r="AS305" i="90"/>
  <c r="AS325" i="82"/>
  <c r="AS325" i="83"/>
  <c r="AS325" i="85"/>
  <c r="AS325" i="84"/>
  <c r="AS325" i="86"/>
  <c r="AS325" i="87"/>
  <c r="AS325" i="89"/>
  <c r="AS325" i="88"/>
  <c r="AS325" i="90"/>
  <c r="AS337" i="82"/>
  <c r="AS337" i="83"/>
  <c r="AS337" i="85"/>
  <c r="AS337" i="84"/>
  <c r="AS337" i="86"/>
  <c r="AS337" i="87"/>
  <c r="AS337" i="89"/>
  <c r="AS337" i="88"/>
  <c r="AS337" i="90"/>
  <c r="AS229" i="82"/>
  <c r="AS229" i="83"/>
  <c r="AS229" i="85"/>
  <c r="AS229" i="84"/>
  <c r="AS229" i="86"/>
  <c r="AS229" i="87"/>
  <c r="AS229" i="89"/>
  <c r="AS229" i="88"/>
  <c r="AS229" i="90"/>
  <c r="AS341" i="82"/>
  <c r="AS341" i="83"/>
  <c r="AS341" i="85"/>
  <c r="AS341" i="84"/>
  <c r="AS341" i="86"/>
  <c r="AS341" i="87"/>
  <c r="AS341" i="89"/>
  <c r="AS341" i="88"/>
  <c r="AS341" i="90"/>
  <c r="AS235" i="82"/>
  <c r="AS235" i="83"/>
  <c r="AS235" i="85"/>
  <c r="AS235" i="84"/>
  <c r="AS235" i="86"/>
  <c r="AS235" i="87"/>
  <c r="AS235" i="89"/>
  <c r="AS235" i="88"/>
  <c r="AS235" i="90"/>
  <c r="AS251" i="82"/>
  <c r="AS251" i="83"/>
  <c r="AS251" i="85"/>
  <c r="AS251" i="84"/>
  <c r="AS251" i="86"/>
  <c r="AS251" i="87"/>
  <c r="AS251" i="89"/>
  <c r="AS251" i="88"/>
  <c r="AS251" i="90"/>
  <c r="AS319" i="82"/>
  <c r="AS319" i="83"/>
  <c r="AS319" i="85"/>
  <c r="AS319" i="84"/>
  <c r="AS319" i="86"/>
  <c r="AS319" i="87"/>
  <c r="AS319" i="89"/>
  <c r="AS319" i="88"/>
  <c r="AS319" i="90"/>
  <c r="AS103" i="82"/>
  <c r="AS103" i="83"/>
  <c r="AS103" i="84"/>
  <c r="AS103" i="86"/>
  <c r="AS103" i="85"/>
  <c r="AS103" i="87"/>
  <c r="AS103" i="89"/>
  <c r="AS103" i="88"/>
  <c r="AS103" i="90"/>
  <c r="AS40" i="82"/>
  <c r="AS40" i="84"/>
  <c r="AS40" i="83"/>
  <c r="AS40" i="85"/>
  <c r="AS40" i="86"/>
  <c r="AS40" i="88"/>
  <c r="AS40" i="90"/>
  <c r="AS40" i="87"/>
  <c r="AS40" i="89"/>
  <c r="AS129" i="82"/>
  <c r="AS129" i="83"/>
  <c r="AS129" i="84"/>
  <c r="AS129" i="86"/>
  <c r="AS129" i="85"/>
  <c r="AS129" i="87"/>
  <c r="AS129" i="89"/>
  <c r="AS129" i="88"/>
  <c r="AS129" i="90"/>
  <c r="AS223" i="82"/>
  <c r="AS223" i="83"/>
  <c r="AS223" i="85"/>
  <c r="AS223" i="84"/>
  <c r="AS223" i="86"/>
  <c r="AS223" i="87"/>
  <c r="AS223" i="89"/>
  <c r="AS223" i="88"/>
  <c r="AS223" i="90"/>
  <c r="AS255" i="82"/>
  <c r="AS255" i="83"/>
  <c r="AS255" i="85"/>
  <c r="AS255" i="84"/>
  <c r="AS255" i="86"/>
  <c r="AS255" i="87"/>
  <c r="AS255" i="89"/>
  <c r="AS255" i="88"/>
  <c r="AS255" i="90"/>
  <c r="AS45" i="82"/>
  <c r="AS45" i="83"/>
  <c r="AS45" i="84"/>
  <c r="AS45" i="86"/>
  <c r="AS45" i="85"/>
  <c r="AS45" i="87"/>
  <c r="AS45" i="89"/>
  <c r="AS45" i="88"/>
  <c r="AS45" i="90"/>
  <c r="AS110" i="82"/>
  <c r="AS110" i="84"/>
  <c r="AS110" i="83"/>
  <c r="AS110" i="85"/>
  <c r="AS110" i="86"/>
  <c r="AS110" i="88"/>
  <c r="AS110" i="90"/>
  <c r="AS110" i="87"/>
  <c r="AS110" i="89"/>
  <c r="AS112" i="82"/>
  <c r="AS112" i="84"/>
  <c r="AS112" i="83"/>
  <c r="AS112" i="85"/>
  <c r="AS112" i="86"/>
  <c r="AS112" i="88"/>
  <c r="AS112" i="90"/>
  <c r="AS112" i="87"/>
  <c r="AS112" i="89"/>
  <c r="AS29" i="82"/>
  <c r="AS29" i="83"/>
  <c r="AS29" i="84"/>
  <c r="AS29" i="86"/>
  <c r="AS29" i="85"/>
  <c r="AS29" i="87"/>
  <c r="AS29" i="89"/>
  <c r="AS29" i="88"/>
  <c r="AS29" i="90"/>
  <c r="AS163" i="82"/>
  <c r="AS163" i="83"/>
  <c r="AS163" i="84"/>
  <c r="AS163" i="86"/>
  <c r="AS163" i="85"/>
  <c r="AS163" i="87"/>
  <c r="AS163" i="89"/>
  <c r="AS163" i="88"/>
  <c r="AS163" i="90"/>
  <c r="AS142" i="82"/>
  <c r="AS142" i="84"/>
  <c r="AS142" i="83"/>
  <c r="AS142" i="85"/>
  <c r="AS142" i="86"/>
  <c r="AS142" i="88"/>
  <c r="AS142" i="90"/>
  <c r="AS142" i="87"/>
  <c r="AS142" i="89"/>
  <c r="AS158" i="82"/>
  <c r="AS158" i="84"/>
  <c r="AS158" i="83"/>
  <c r="AS158" i="85"/>
  <c r="AS158" i="86"/>
  <c r="AS158" i="88"/>
  <c r="AS158" i="90"/>
  <c r="AS158" i="87"/>
  <c r="AS158" i="89"/>
  <c r="AS128" i="82"/>
  <c r="AS128" i="84"/>
  <c r="AS128" i="83"/>
  <c r="AS128" i="85"/>
  <c r="AS128" i="86"/>
  <c r="AS128" i="88"/>
  <c r="AS128" i="90"/>
  <c r="AS128" i="87"/>
  <c r="AS128" i="89"/>
  <c r="AS240" i="82"/>
  <c r="AS240" i="83"/>
  <c r="AS240" i="84"/>
  <c r="AS240" i="85"/>
  <c r="AS240" i="87"/>
  <c r="AS240" i="86"/>
  <c r="AS240" i="88"/>
  <c r="AS240" i="90"/>
  <c r="AS240" i="89"/>
  <c r="AS304" i="82"/>
  <c r="AS304" i="83"/>
  <c r="AS304" i="84"/>
  <c r="AS304" i="85"/>
  <c r="AS304" i="87"/>
  <c r="AS304" i="86"/>
  <c r="AS304" i="88"/>
  <c r="AS304" i="90"/>
  <c r="AS304" i="89"/>
  <c r="AS134" i="82"/>
  <c r="AS134" i="84"/>
  <c r="AS134" i="83"/>
  <c r="AS134" i="85"/>
  <c r="AS134" i="86"/>
  <c r="AS134" i="88"/>
  <c r="AS134" i="90"/>
  <c r="AS134" i="87"/>
  <c r="AS134" i="89"/>
  <c r="AS136" i="82"/>
  <c r="AS136" i="84"/>
  <c r="AS136" i="83"/>
  <c r="AS136" i="85"/>
  <c r="AS136" i="86"/>
  <c r="AS136" i="88"/>
  <c r="AS136" i="90"/>
  <c r="AS136" i="87"/>
  <c r="AS136" i="89"/>
  <c r="AS228" i="82"/>
  <c r="AS228" i="83"/>
  <c r="AS228" i="84"/>
  <c r="AS228" i="85"/>
  <c r="AS228" i="87"/>
  <c r="AS228" i="86"/>
  <c r="AS228" i="88"/>
  <c r="AS228" i="90"/>
  <c r="AS228" i="89"/>
  <c r="AS250" i="82"/>
  <c r="AS250" i="83"/>
  <c r="AS250" i="84"/>
  <c r="AS250" i="85"/>
  <c r="AS250" i="87"/>
  <c r="AS250" i="86"/>
  <c r="AS250" i="88"/>
  <c r="AS250" i="90"/>
  <c r="AS250" i="89"/>
  <c r="AS262" i="82"/>
  <c r="AS262" i="83"/>
  <c r="AS262" i="84"/>
  <c r="AS262" i="85"/>
  <c r="AS262" i="87"/>
  <c r="AS262" i="86"/>
  <c r="AS262" i="88"/>
  <c r="AS262" i="90"/>
  <c r="AS262" i="89"/>
  <c r="AS286" i="82"/>
  <c r="AS286" i="83"/>
  <c r="AS286" i="84"/>
  <c r="AS286" i="85"/>
  <c r="AS286" i="87"/>
  <c r="AS286" i="86"/>
  <c r="AS286" i="88"/>
  <c r="AS286" i="90"/>
  <c r="AS286" i="89"/>
  <c r="AS336" i="82"/>
  <c r="AS336" i="83"/>
  <c r="AS336" i="84"/>
  <c r="AS336" i="85"/>
  <c r="AS336" i="87"/>
  <c r="AS336" i="86"/>
  <c r="AS336" i="88"/>
  <c r="AS336" i="90"/>
  <c r="AS336" i="89"/>
  <c r="AS236" i="82"/>
  <c r="AS236" i="83"/>
  <c r="AS236" i="84"/>
  <c r="AS236" i="85"/>
  <c r="AS236" i="87"/>
  <c r="AS236" i="86"/>
  <c r="AS236" i="88"/>
  <c r="AS236" i="90"/>
  <c r="AS236" i="89"/>
  <c r="AS252" i="82"/>
  <c r="AS252" i="83"/>
  <c r="AS252" i="84"/>
  <c r="AS252" i="85"/>
  <c r="AS252" i="87"/>
  <c r="AS252" i="86"/>
  <c r="AS252" i="88"/>
  <c r="AS252" i="90"/>
  <c r="AS252" i="89"/>
  <c r="AS268" i="82"/>
  <c r="AS268" i="83"/>
  <c r="AS268" i="84"/>
  <c r="AS268" i="85"/>
  <c r="AS268" i="87"/>
  <c r="AS268" i="86"/>
  <c r="AS268" i="88"/>
  <c r="AS268" i="90"/>
  <c r="AS268" i="89"/>
  <c r="AS284" i="82"/>
  <c r="AS284" i="83"/>
  <c r="AS284" i="84"/>
  <c r="AS284" i="85"/>
  <c r="AS284" i="87"/>
  <c r="AS284" i="86"/>
  <c r="AS284" i="88"/>
  <c r="AS284" i="90"/>
  <c r="AS284" i="89"/>
  <c r="AS330" i="82"/>
  <c r="AS330" i="83"/>
  <c r="AS330" i="84"/>
  <c r="AS330" i="85"/>
  <c r="AS330" i="87"/>
  <c r="AS330" i="86"/>
  <c r="AS330" i="88"/>
  <c r="AS330" i="90"/>
  <c r="AS330" i="89"/>
  <c r="AS156" i="82"/>
  <c r="AS156" i="83"/>
  <c r="AS156" i="84"/>
  <c r="AS156" i="85"/>
  <c r="AS156" i="86"/>
  <c r="AS156" i="88"/>
  <c r="AS156" i="90"/>
  <c r="AS156" i="87"/>
  <c r="AS156" i="89"/>
  <c r="AS212" i="82"/>
  <c r="AS212" i="83"/>
  <c r="AS212" i="84"/>
  <c r="AS212" i="85"/>
  <c r="AS212" i="86"/>
  <c r="AS212" i="88"/>
  <c r="AS212" i="90"/>
  <c r="AS212" i="87"/>
  <c r="AS212" i="89"/>
  <c r="AS218" i="82"/>
  <c r="AS218" i="83"/>
  <c r="AS218" i="84"/>
  <c r="AS218" i="85"/>
  <c r="AS218" i="86"/>
  <c r="AS218" i="87"/>
  <c r="AS218" i="88"/>
  <c r="AS218" i="90"/>
  <c r="AS218" i="89"/>
  <c r="AS238" i="82"/>
  <c r="AS238" i="83"/>
  <c r="AS238" i="84"/>
  <c r="AS238" i="85"/>
  <c r="AS238" i="87"/>
  <c r="AS238" i="86"/>
  <c r="AS238" i="88"/>
  <c r="AS238" i="90"/>
  <c r="AS238" i="89"/>
  <c r="AS276" i="82"/>
  <c r="AS276" i="83"/>
  <c r="AS276" i="84"/>
  <c r="AS276" i="85"/>
  <c r="AS276" i="87"/>
  <c r="AS276" i="86"/>
  <c r="AS276" i="88"/>
  <c r="AS276" i="90"/>
  <c r="AS276" i="89"/>
  <c r="AS290" i="82"/>
  <c r="AS290" i="83"/>
  <c r="AS290" i="84"/>
  <c r="AS290" i="85"/>
  <c r="AS290" i="87"/>
  <c r="AS290" i="86"/>
  <c r="AS290" i="88"/>
  <c r="AS290" i="90"/>
  <c r="AS290" i="89"/>
  <c r="AS314" i="82"/>
  <c r="AS314" i="83"/>
  <c r="AS314" i="84"/>
  <c r="AS314" i="85"/>
  <c r="AS314" i="87"/>
  <c r="AS314" i="86"/>
  <c r="AS314" i="88"/>
  <c r="AS314" i="90"/>
  <c r="AS314" i="89"/>
  <c r="AS338" i="82"/>
  <c r="AS338" i="83"/>
  <c r="AS338" i="84"/>
  <c r="AS338" i="85"/>
  <c r="AS338" i="87"/>
  <c r="AS338" i="86"/>
  <c r="AS338" i="88"/>
  <c r="AS338" i="90"/>
  <c r="AS338" i="89"/>
  <c r="AS339" i="82"/>
  <c r="AS339" i="83"/>
  <c r="AS339" i="85"/>
  <c r="AS339" i="84"/>
  <c r="AS339" i="86"/>
  <c r="AS339" i="87"/>
  <c r="AS339" i="89"/>
  <c r="AS339" i="88"/>
  <c r="AS339" i="90"/>
  <c r="AS94" i="82"/>
  <c r="AS94" i="84"/>
  <c r="AS94" i="83"/>
  <c r="AS94" i="85"/>
  <c r="AS94" i="86"/>
  <c r="AS94" i="88"/>
  <c r="AS94" i="90"/>
  <c r="AS94" i="87"/>
  <c r="AS94" i="89"/>
  <c r="AS27" i="82"/>
  <c r="AS27" i="83"/>
  <c r="AS27" i="84"/>
  <c r="AS27" i="86"/>
  <c r="AS27" i="85"/>
  <c r="AS27" i="87"/>
  <c r="AS27" i="89"/>
  <c r="AS27" i="88"/>
  <c r="AS27" i="90"/>
  <c r="AS35" i="82"/>
  <c r="AS35" i="83"/>
  <c r="AS35" i="84"/>
  <c r="AS35" i="86"/>
  <c r="AS35" i="85"/>
  <c r="AS35" i="87"/>
  <c r="AS35" i="89"/>
  <c r="AS35" i="88"/>
  <c r="AS35" i="90"/>
  <c r="AS89" i="82"/>
  <c r="AS89" i="83"/>
  <c r="AS89" i="84"/>
  <c r="AS89" i="86"/>
  <c r="AS89" i="85"/>
  <c r="AS89" i="87"/>
  <c r="AS89" i="89"/>
  <c r="AS89" i="88"/>
  <c r="AS89" i="90"/>
  <c r="AS90" i="82"/>
  <c r="AS90" i="84"/>
  <c r="AS90" i="83"/>
  <c r="AS90" i="85"/>
  <c r="AS90" i="86"/>
  <c r="AS90" i="88"/>
  <c r="AS90" i="90"/>
  <c r="AS90" i="87"/>
  <c r="AS90" i="89"/>
  <c r="AS50" i="82"/>
  <c r="AS50" i="84"/>
  <c r="AS50" i="83"/>
  <c r="AS50" i="85"/>
  <c r="AS50" i="86"/>
  <c r="AS50" i="88"/>
  <c r="AS50" i="90"/>
  <c r="AS50" i="87"/>
  <c r="AS50" i="89"/>
  <c r="AS107" i="82"/>
  <c r="AS107" i="83"/>
  <c r="AS107" i="84"/>
  <c r="AS107" i="86"/>
  <c r="AS107" i="85"/>
  <c r="AS107" i="87"/>
  <c r="AS107" i="89"/>
  <c r="AS107" i="88"/>
  <c r="AS107" i="90"/>
  <c r="AS117" i="82"/>
  <c r="AS117" i="83"/>
  <c r="AS117" i="84"/>
  <c r="AS117" i="86"/>
  <c r="AS117" i="85"/>
  <c r="AS117" i="87"/>
  <c r="AS117" i="89"/>
  <c r="AS117" i="88"/>
  <c r="AS117" i="90"/>
  <c r="AS101" i="82"/>
  <c r="AS101" i="83"/>
  <c r="AS101" i="84"/>
  <c r="AS101" i="86"/>
  <c r="AS101" i="85"/>
  <c r="AS101" i="87"/>
  <c r="AS101" i="89"/>
  <c r="AS101" i="88"/>
  <c r="AS101" i="90"/>
  <c r="AS102" i="82"/>
  <c r="AS102" i="84"/>
  <c r="AS102" i="83"/>
  <c r="AS102" i="85"/>
  <c r="AS102" i="86"/>
  <c r="AS102" i="88"/>
  <c r="AS102" i="90"/>
  <c r="AS102" i="87"/>
  <c r="AS102" i="89"/>
  <c r="AS108" i="82"/>
  <c r="AS108" i="84"/>
  <c r="AS108" i="83"/>
  <c r="AS108" i="85"/>
  <c r="AS108" i="86"/>
  <c r="AS108" i="88"/>
  <c r="AS108" i="90"/>
  <c r="AS108" i="87"/>
  <c r="AS108" i="89"/>
  <c r="AS126" i="82"/>
  <c r="AS126" i="84"/>
  <c r="AS126" i="83"/>
  <c r="AS126" i="85"/>
  <c r="AS126" i="86"/>
  <c r="AS126" i="88"/>
  <c r="AS126" i="90"/>
  <c r="AS126" i="87"/>
  <c r="AS126" i="89"/>
  <c r="AS118" i="82"/>
  <c r="AS118" i="84"/>
  <c r="AS118" i="83"/>
  <c r="AS118" i="85"/>
  <c r="AS118" i="86"/>
  <c r="AS118" i="88"/>
  <c r="AS118" i="90"/>
  <c r="AS118" i="87"/>
  <c r="AS118" i="89"/>
  <c r="AS106" i="82"/>
  <c r="AS106" i="84"/>
  <c r="AS106" i="83"/>
  <c r="AS106" i="85"/>
  <c r="AS106" i="86"/>
  <c r="AS106" i="88"/>
  <c r="AS106" i="90"/>
  <c r="AS106" i="87"/>
  <c r="AS106" i="89"/>
  <c r="AS95" i="82"/>
  <c r="AS95" i="83"/>
  <c r="AS95" i="84"/>
  <c r="AS95" i="86"/>
  <c r="AS95" i="85"/>
  <c r="AS95" i="87"/>
  <c r="AS95" i="89"/>
  <c r="AS95" i="88"/>
  <c r="AS95" i="90"/>
  <c r="AS52" i="82"/>
  <c r="AS52" i="84"/>
  <c r="AS52" i="83"/>
  <c r="AS52" i="85"/>
  <c r="AS52" i="86"/>
  <c r="AS52" i="88"/>
  <c r="AS52" i="90"/>
  <c r="AS52" i="87"/>
  <c r="AS52" i="89"/>
  <c r="AT78" i="82"/>
  <c r="AT78" i="83"/>
  <c r="AT78" i="84"/>
  <c r="AT78" i="86"/>
  <c r="AT78" i="85"/>
  <c r="AT78" i="87"/>
  <c r="AT78" i="89"/>
  <c r="AT78" i="88"/>
  <c r="AT78" i="90"/>
  <c r="AS114" i="82"/>
  <c r="AS114" i="84"/>
  <c r="AS114" i="83"/>
  <c r="AS114" i="85"/>
  <c r="AS114" i="86"/>
  <c r="AS114" i="88"/>
  <c r="AS114" i="90"/>
  <c r="AS114" i="87"/>
  <c r="AS114" i="89"/>
  <c r="AS72" i="82"/>
  <c r="AS72" i="84"/>
  <c r="AS72" i="83"/>
  <c r="AS72" i="85"/>
  <c r="AS72" i="86"/>
  <c r="AS72" i="88"/>
  <c r="AS72" i="90"/>
  <c r="AS72" i="87"/>
  <c r="AS72" i="89"/>
  <c r="AS61" i="82"/>
  <c r="AS61" i="83"/>
  <c r="AS61" i="84"/>
  <c r="AS61" i="86"/>
  <c r="AS61" i="85"/>
  <c r="AS61" i="87"/>
  <c r="AS61" i="89"/>
  <c r="AS61" i="88"/>
  <c r="AS61" i="90"/>
  <c r="AS294" i="82"/>
  <c r="AS294" i="83"/>
  <c r="AS294" i="84"/>
  <c r="AS294" i="85"/>
  <c r="AS294" i="87"/>
  <c r="AS294" i="86"/>
  <c r="AS294" i="88"/>
  <c r="AS294" i="90"/>
  <c r="AS294" i="89"/>
  <c r="AS300" i="82"/>
  <c r="AS300" i="83"/>
  <c r="AS300" i="84"/>
  <c r="AS300" i="85"/>
  <c r="AS300" i="87"/>
  <c r="AS300" i="86"/>
  <c r="AS300" i="88"/>
  <c r="AS300" i="90"/>
  <c r="AS300" i="89"/>
  <c r="AS326" i="82"/>
  <c r="AS326" i="83"/>
  <c r="AS326" i="84"/>
  <c r="AS326" i="85"/>
  <c r="AS326" i="87"/>
  <c r="AS326" i="86"/>
  <c r="AS326" i="88"/>
  <c r="AS326" i="90"/>
  <c r="AS326" i="89"/>
  <c r="AS332" i="82"/>
  <c r="AS332" i="83"/>
  <c r="AS332" i="84"/>
  <c r="AS332" i="85"/>
  <c r="AS332" i="87"/>
  <c r="AS332" i="86"/>
  <c r="AS332" i="88"/>
  <c r="AS332" i="90"/>
  <c r="AS332" i="89"/>
  <c r="AS348" i="82"/>
  <c r="AS348" i="83"/>
  <c r="AS348" i="84"/>
  <c r="AS348" i="85"/>
  <c r="AS348" i="87"/>
  <c r="AS348" i="86"/>
  <c r="AS348" i="88"/>
  <c r="AS348" i="90"/>
  <c r="AS348" i="89"/>
  <c r="AS292" i="82"/>
  <c r="AS292" i="83"/>
  <c r="AS292" i="84"/>
  <c r="AS292" i="85"/>
  <c r="AS292" i="87"/>
  <c r="AS292" i="86"/>
  <c r="AS292" i="88"/>
  <c r="AS292" i="90"/>
  <c r="AS292" i="89"/>
  <c r="AS302" i="82"/>
  <c r="AS302" i="83"/>
  <c r="AS302" i="84"/>
  <c r="AS302" i="85"/>
  <c r="AS302" i="87"/>
  <c r="AS302" i="86"/>
  <c r="AS302" i="88"/>
  <c r="AS302" i="90"/>
  <c r="AS302" i="89"/>
  <c r="AS318" i="82"/>
  <c r="AS318" i="83"/>
  <c r="AS318" i="84"/>
  <c r="AS318" i="85"/>
  <c r="AS318" i="87"/>
  <c r="AS318" i="86"/>
  <c r="AS318" i="88"/>
  <c r="AS318" i="90"/>
  <c r="AS318" i="89"/>
  <c r="AS334" i="82"/>
  <c r="AS334" i="83"/>
  <c r="AS334" i="84"/>
  <c r="AS334" i="85"/>
  <c r="AS334" i="87"/>
  <c r="AS334" i="86"/>
  <c r="AS334" i="88"/>
  <c r="AS334" i="90"/>
  <c r="AS334" i="89"/>
  <c r="AS177" i="82"/>
  <c r="AS177" i="83"/>
  <c r="AS177" i="84"/>
  <c r="AS177" i="86"/>
  <c r="AS177" i="85"/>
  <c r="AS177" i="87"/>
  <c r="AS177" i="89"/>
  <c r="AS177" i="88"/>
  <c r="AS177" i="90"/>
  <c r="AS293" i="82"/>
  <c r="AS293" i="83"/>
  <c r="AS293" i="85"/>
  <c r="AS293" i="84"/>
  <c r="AS293" i="86"/>
  <c r="AS293" i="87"/>
  <c r="AS293" i="89"/>
  <c r="AS293" i="88"/>
  <c r="AS293" i="90"/>
  <c r="AS313" i="82"/>
  <c r="AS313" i="83"/>
  <c r="AS313" i="85"/>
  <c r="AS313" i="84"/>
  <c r="AS313" i="86"/>
  <c r="AS313" i="87"/>
  <c r="AS313" i="89"/>
  <c r="AS313" i="88"/>
  <c r="AS313" i="90"/>
  <c r="AS333" i="82"/>
  <c r="AS333" i="83"/>
  <c r="AS333" i="85"/>
  <c r="AS333" i="84"/>
  <c r="AS333" i="86"/>
  <c r="AS333" i="87"/>
  <c r="AS333" i="89"/>
  <c r="AS333" i="88"/>
  <c r="AS333" i="90"/>
  <c r="AS345" i="82"/>
  <c r="AS345" i="83"/>
  <c r="AS345" i="85"/>
  <c r="AS345" i="84"/>
  <c r="AS345" i="86"/>
  <c r="AS345" i="87"/>
  <c r="AS345" i="89"/>
  <c r="AS345" i="88"/>
  <c r="AS345" i="90"/>
  <c r="AS137" i="82"/>
  <c r="AS137" i="83"/>
  <c r="AS137" i="84"/>
  <c r="AS137" i="86"/>
  <c r="AS137" i="85"/>
  <c r="AS137" i="87"/>
  <c r="AS137" i="89"/>
  <c r="AS137" i="88"/>
  <c r="AS137" i="90"/>
  <c r="AS145" i="82"/>
  <c r="AS145" i="83"/>
  <c r="AS145" i="84"/>
  <c r="AS145" i="86"/>
  <c r="AS145" i="85"/>
  <c r="AS145" i="87"/>
  <c r="AS145" i="89"/>
  <c r="AS145" i="88"/>
  <c r="AS145" i="90"/>
  <c r="AS157" i="82"/>
  <c r="AS157" i="83"/>
  <c r="AS157" i="84"/>
  <c r="AS157" i="86"/>
  <c r="AS157" i="85"/>
  <c r="AS157" i="87"/>
  <c r="AS157" i="89"/>
  <c r="AS157" i="88"/>
  <c r="AS157" i="90"/>
  <c r="AS161" i="82"/>
  <c r="AS161" i="83"/>
  <c r="AS161" i="84"/>
  <c r="AS161" i="86"/>
  <c r="AS161" i="85"/>
  <c r="AS161" i="87"/>
  <c r="AS161" i="89"/>
  <c r="AS161" i="88"/>
  <c r="AS161" i="90"/>
  <c r="AS181" i="82"/>
  <c r="AS181" i="83"/>
  <c r="AS181" i="84"/>
  <c r="AS181" i="86"/>
  <c r="AS181" i="85"/>
  <c r="AS181" i="87"/>
  <c r="AS181" i="89"/>
  <c r="AS181" i="88"/>
  <c r="AS181" i="90"/>
  <c r="AS221" i="82"/>
  <c r="AS221" i="83"/>
  <c r="AS221" i="85"/>
  <c r="AS221" i="84"/>
  <c r="AS221" i="86"/>
  <c r="AS221" i="87"/>
  <c r="AS221" i="89"/>
  <c r="AS221" i="88"/>
  <c r="AS221" i="90"/>
  <c r="AS253" i="82"/>
  <c r="AS253" i="83"/>
  <c r="AS253" i="85"/>
  <c r="AS253" i="84"/>
  <c r="AS253" i="86"/>
  <c r="AS253" i="87"/>
  <c r="AS253" i="89"/>
  <c r="AS253" i="88"/>
  <c r="AS253" i="90"/>
  <c r="AS349" i="82"/>
  <c r="AS349" i="83"/>
  <c r="AS349" i="85"/>
  <c r="AS349" i="84"/>
  <c r="AS349" i="86"/>
  <c r="AS349" i="87"/>
  <c r="AS349" i="89"/>
  <c r="AS349" i="88"/>
  <c r="AS349" i="90"/>
  <c r="AT67" i="82"/>
  <c r="AT67" i="84"/>
  <c r="AT67" i="83"/>
  <c r="AT67" i="85"/>
  <c r="AT67" i="86"/>
  <c r="AT67" i="88"/>
  <c r="AT67" i="90"/>
  <c r="AT67" i="87"/>
  <c r="AT67" i="89"/>
  <c r="AS271" i="82"/>
  <c r="AS271" i="83"/>
  <c r="AS271" i="85"/>
  <c r="AS271" i="84"/>
  <c r="AS271" i="86"/>
  <c r="AS271" i="87"/>
  <c r="AS271" i="89"/>
  <c r="AS271" i="88"/>
  <c r="AS271" i="90"/>
  <c r="AS69" i="82"/>
  <c r="AS69" i="83"/>
  <c r="AS69" i="84"/>
  <c r="AS69" i="86"/>
  <c r="AS69" i="85"/>
  <c r="AS69" i="87"/>
  <c r="AS69" i="89"/>
  <c r="AS69" i="88"/>
  <c r="AS69" i="90"/>
  <c r="AS201" i="82"/>
  <c r="AS201" i="83"/>
  <c r="AS201" i="85"/>
  <c r="AS201" i="84"/>
  <c r="AS201" i="86"/>
  <c r="AS201" i="87"/>
  <c r="AS201" i="89"/>
  <c r="AS201" i="88"/>
  <c r="AS201" i="90"/>
  <c r="AS233" i="82"/>
  <c r="AS233" i="83"/>
  <c r="AS233" i="85"/>
  <c r="AS233" i="84"/>
  <c r="AS233" i="86"/>
  <c r="AS233" i="87"/>
  <c r="AS233" i="89"/>
  <c r="AS233" i="88"/>
  <c r="AS233" i="90"/>
  <c r="AS269" i="82"/>
  <c r="AS269" i="83"/>
  <c r="AS269" i="85"/>
  <c r="AS269" i="84"/>
  <c r="AS269" i="86"/>
  <c r="AS269" i="87"/>
  <c r="AS269" i="89"/>
  <c r="AS269" i="88"/>
  <c r="AS269" i="90"/>
  <c r="AS301" i="82"/>
  <c r="AS301" i="83"/>
  <c r="AS301" i="85"/>
  <c r="AS301" i="84"/>
  <c r="AS301" i="86"/>
  <c r="AS301" i="87"/>
  <c r="AS301" i="89"/>
  <c r="AS301" i="88"/>
  <c r="AS301" i="90"/>
  <c r="AS141" i="82"/>
  <c r="AS141" i="83"/>
  <c r="AS141" i="84"/>
  <c r="AS141" i="86"/>
  <c r="AS141" i="85"/>
  <c r="AS141" i="87"/>
  <c r="AS141" i="89"/>
  <c r="AS141" i="88"/>
  <c r="AS141" i="90"/>
  <c r="AS153" i="82"/>
  <c r="AS153" i="83"/>
  <c r="AS153" i="84"/>
  <c r="AS153" i="86"/>
  <c r="AS153" i="85"/>
  <c r="AS153" i="87"/>
  <c r="AS153" i="89"/>
  <c r="AS153" i="88"/>
  <c r="AS153" i="90"/>
  <c r="AS245" i="82"/>
  <c r="AS245" i="83"/>
  <c r="AS245" i="85"/>
  <c r="AS245" i="84"/>
  <c r="AS245" i="86"/>
  <c r="AS245" i="87"/>
  <c r="AS245" i="89"/>
  <c r="AS245" i="88"/>
  <c r="AS245" i="90"/>
  <c r="AS281" i="82"/>
  <c r="AS281" i="83"/>
  <c r="AS281" i="85"/>
  <c r="AS281" i="84"/>
  <c r="AS281" i="86"/>
  <c r="AS281" i="87"/>
  <c r="AS281" i="89"/>
  <c r="AS281" i="88"/>
  <c r="AS281" i="90"/>
  <c r="AS289" i="82"/>
  <c r="AS289" i="83"/>
  <c r="AS289" i="85"/>
  <c r="AS289" i="84"/>
  <c r="AS289" i="86"/>
  <c r="AS289" i="87"/>
  <c r="AS289" i="89"/>
  <c r="AS289" i="88"/>
  <c r="AS289" i="90"/>
  <c r="AS297" i="82"/>
  <c r="AS297" i="83"/>
  <c r="AS297" i="85"/>
  <c r="AS297" i="84"/>
  <c r="AS297" i="86"/>
  <c r="AS297" i="87"/>
  <c r="AS297" i="89"/>
  <c r="AS297" i="88"/>
  <c r="AS297" i="90"/>
  <c r="AS317" i="82"/>
  <c r="AS317" i="83"/>
  <c r="AS317" i="85"/>
  <c r="AS317" i="84"/>
  <c r="AS317" i="86"/>
  <c r="AS317" i="87"/>
  <c r="AS317" i="89"/>
  <c r="AS317" i="88"/>
  <c r="AS317" i="90"/>
  <c r="AS321" i="82"/>
  <c r="AS321" i="83"/>
  <c r="AS321" i="85"/>
  <c r="AS321" i="84"/>
  <c r="AS321" i="86"/>
  <c r="AS321" i="87"/>
  <c r="AS321" i="89"/>
  <c r="AS321" i="88"/>
  <c r="AS321" i="90"/>
  <c r="AS329" i="82"/>
  <c r="AS329" i="83"/>
  <c r="AS329" i="85"/>
  <c r="AS329" i="84"/>
  <c r="AS329" i="86"/>
  <c r="AS329" i="87"/>
  <c r="AS329" i="89"/>
  <c r="AS329" i="88"/>
  <c r="AS329" i="90"/>
  <c r="AS66" i="82"/>
  <c r="AS66" i="84"/>
  <c r="AS66" i="83"/>
  <c r="AS66" i="85"/>
  <c r="AS66" i="86"/>
  <c r="AS66" i="88"/>
  <c r="AS66" i="90"/>
  <c r="AS66" i="87"/>
  <c r="AS66" i="89"/>
  <c r="AS295" i="82"/>
  <c r="AS295" i="83"/>
  <c r="AS295" i="85"/>
  <c r="AS295" i="84"/>
  <c r="AS295" i="86"/>
  <c r="AS295" i="87"/>
  <c r="AS295" i="89"/>
  <c r="AS295" i="88"/>
  <c r="AS295" i="90"/>
  <c r="AS239" i="82"/>
  <c r="AS239" i="83"/>
  <c r="AS239" i="85"/>
  <c r="AS239" i="84"/>
  <c r="AS239" i="86"/>
  <c r="AS239" i="87"/>
  <c r="AS239" i="89"/>
  <c r="AS239" i="88"/>
  <c r="AS239" i="90"/>
  <c r="AS311" i="82"/>
  <c r="AS311" i="83"/>
  <c r="AS311" i="85"/>
  <c r="AS311" i="84"/>
  <c r="AS311" i="86"/>
  <c r="AS311" i="87"/>
  <c r="AS311" i="89"/>
  <c r="AS311" i="88"/>
  <c r="AS311" i="90"/>
  <c r="AS53" i="82"/>
  <c r="AS53" i="83"/>
  <c r="AS53" i="84"/>
  <c r="AS53" i="86"/>
  <c r="AS53" i="85"/>
  <c r="AS53" i="87"/>
  <c r="AS53" i="89"/>
  <c r="AS53" i="88"/>
  <c r="AS53" i="90"/>
  <c r="AS67" i="82"/>
  <c r="AS67" i="83"/>
  <c r="AS67" i="84"/>
  <c r="AS67" i="86"/>
  <c r="AS67" i="85"/>
  <c r="AS67" i="87"/>
  <c r="AS67" i="89"/>
  <c r="AS67" i="88"/>
  <c r="AS67" i="90"/>
  <c r="AS122" i="82"/>
  <c r="AS122" i="84"/>
  <c r="AS122" i="83"/>
  <c r="AS122" i="85"/>
  <c r="AS122" i="86"/>
  <c r="AS122" i="88"/>
  <c r="AS122" i="90"/>
  <c r="AS122" i="87"/>
  <c r="AS122" i="89"/>
  <c r="AS82" i="82"/>
  <c r="AS82" i="84"/>
  <c r="AS82" i="83"/>
  <c r="AS82" i="85"/>
  <c r="AS82" i="86"/>
  <c r="AS82" i="88"/>
  <c r="AS82" i="90"/>
  <c r="AS82" i="87"/>
  <c r="AS82" i="89"/>
  <c r="AS243" i="82"/>
  <c r="AS243" i="83"/>
  <c r="AS243" i="85"/>
  <c r="AS243" i="84"/>
  <c r="AS243" i="86"/>
  <c r="AS243" i="87"/>
  <c r="AS243" i="89"/>
  <c r="AS243" i="88"/>
  <c r="AS243" i="90"/>
  <c r="AS315" i="82"/>
  <c r="AS315" i="83"/>
  <c r="AS315" i="85"/>
  <c r="AS315" i="84"/>
  <c r="AS315" i="86"/>
  <c r="AS315" i="87"/>
  <c r="AS315" i="89"/>
  <c r="AS315" i="88"/>
  <c r="AS315" i="90"/>
  <c r="AS22" i="82"/>
  <c r="AS22" i="84"/>
  <c r="AS22" i="83"/>
  <c r="AS22" i="85"/>
  <c r="AS22" i="86"/>
  <c r="AS22" i="88"/>
  <c r="AS22" i="90"/>
  <c r="AS22" i="87"/>
  <c r="AS22" i="89"/>
  <c r="AS166" i="82"/>
  <c r="AS166" i="84"/>
  <c r="AS166" i="83"/>
  <c r="AS166" i="85"/>
  <c r="AS166" i="86"/>
  <c r="AS166" i="88"/>
  <c r="AS166" i="90"/>
  <c r="AS166" i="87"/>
  <c r="AS166" i="89"/>
  <c r="AS210" i="82"/>
  <c r="AS210" i="83"/>
  <c r="AS210" i="84"/>
  <c r="AS210" i="85"/>
  <c r="AS210" i="86"/>
  <c r="AS210" i="88"/>
  <c r="AS210" i="90"/>
  <c r="AS210" i="87"/>
  <c r="AS210" i="89"/>
  <c r="AS226" i="82"/>
  <c r="AS226" i="83"/>
  <c r="AS226" i="84"/>
  <c r="AS226" i="85"/>
  <c r="AS226" i="86"/>
  <c r="AS226" i="87"/>
  <c r="AS226" i="88"/>
  <c r="AS226" i="90"/>
  <c r="AS226" i="89"/>
  <c r="AS230" i="82"/>
  <c r="AS230" i="83"/>
  <c r="AS230" i="84"/>
  <c r="AS230" i="85"/>
  <c r="AS230" i="87"/>
  <c r="AS230" i="86"/>
  <c r="AS230" i="88"/>
  <c r="AS230" i="90"/>
  <c r="AS230" i="89"/>
  <c r="AS246" i="82"/>
  <c r="AS246" i="83"/>
  <c r="AS246" i="84"/>
  <c r="AS246" i="85"/>
  <c r="AS246" i="87"/>
  <c r="AS246" i="86"/>
  <c r="AS246" i="88"/>
  <c r="AS246" i="90"/>
  <c r="AS246" i="89"/>
  <c r="AS84" i="82"/>
  <c r="AS84" i="84"/>
  <c r="AS84" i="83"/>
  <c r="AS84" i="85"/>
  <c r="AS84" i="86"/>
  <c r="AS84" i="88"/>
  <c r="AS84" i="90"/>
  <c r="AS84" i="87"/>
  <c r="AS84" i="89"/>
  <c r="AS168" i="82"/>
  <c r="AS168" i="83"/>
  <c r="AS168" i="84"/>
  <c r="AS168" i="85"/>
  <c r="AS168" i="86"/>
  <c r="AS168" i="88"/>
  <c r="AS168" i="90"/>
  <c r="AS168" i="87"/>
  <c r="AS168" i="89"/>
  <c r="AS220" i="82"/>
  <c r="AS220" i="83"/>
  <c r="AS220" i="84"/>
  <c r="AS220" i="85"/>
  <c r="AS220" i="86"/>
  <c r="AS220" i="88"/>
  <c r="AS220" i="90"/>
  <c r="AS220" i="87"/>
  <c r="AS220" i="89"/>
  <c r="AS242" i="82"/>
  <c r="AS242" i="83"/>
  <c r="AS242" i="84"/>
  <c r="AS242" i="85"/>
  <c r="AS242" i="87"/>
  <c r="AS242" i="86"/>
  <c r="AS242" i="88"/>
  <c r="AS242" i="90"/>
  <c r="AS242" i="89"/>
  <c r="AS258" i="82"/>
  <c r="AS258" i="83"/>
  <c r="AS258" i="84"/>
  <c r="AS258" i="85"/>
  <c r="AS258" i="87"/>
  <c r="AS258" i="86"/>
  <c r="AS258" i="88"/>
  <c r="AS258" i="90"/>
  <c r="AS258" i="89"/>
  <c r="AS260" i="82"/>
  <c r="AS260" i="83"/>
  <c r="AS260" i="84"/>
  <c r="AS260" i="85"/>
  <c r="AS260" i="87"/>
  <c r="AS260" i="86"/>
  <c r="AS260" i="88"/>
  <c r="AS260" i="90"/>
  <c r="AS260" i="89"/>
  <c r="AS272" i="82"/>
  <c r="AS272" i="83"/>
  <c r="AS272" i="84"/>
  <c r="AS272" i="85"/>
  <c r="AS272" i="87"/>
  <c r="AS272" i="86"/>
  <c r="AS272" i="88"/>
  <c r="AS272" i="90"/>
  <c r="AS272" i="89"/>
  <c r="AS280" i="82"/>
  <c r="AS280" i="83"/>
  <c r="AS280" i="84"/>
  <c r="AS280" i="85"/>
  <c r="AS280" i="87"/>
  <c r="AS280" i="86"/>
  <c r="AS280" i="88"/>
  <c r="AS280" i="90"/>
  <c r="AS280" i="89"/>
  <c r="AS288" i="82"/>
  <c r="AS288" i="83"/>
  <c r="AS288" i="84"/>
  <c r="AS288" i="85"/>
  <c r="AS288" i="87"/>
  <c r="AS288" i="86"/>
  <c r="AS288" i="88"/>
  <c r="AS288" i="90"/>
  <c r="AS288" i="89"/>
  <c r="AS202" i="82"/>
  <c r="AS202" i="83"/>
  <c r="AS202" i="84"/>
  <c r="AS202" i="85"/>
  <c r="AS202" i="86"/>
  <c r="AS202" i="88"/>
  <c r="AS202" i="90"/>
  <c r="AS202" i="87"/>
  <c r="AS202" i="89"/>
  <c r="AS254" i="82"/>
  <c r="AS254" i="83"/>
  <c r="AS254" i="84"/>
  <c r="AS254" i="85"/>
  <c r="AS254" i="87"/>
  <c r="AS254" i="86"/>
  <c r="AS254" i="88"/>
  <c r="AS254" i="90"/>
  <c r="AS254" i="89"/>
  <c r="AS266" i="82"/>
  <c r="AS266" i="83"/>
  <c r="AS266" i="84"/>
  <c r="AS266" i="85"/>
  <c r="AS266" i="87"/>
  <c r="AS266" i="86"/>
  <c r="AS266" i="88"/>
  <c r="AS266" i="90"/>
  <c r="AS266" i="89"/>
  <c r="AS270" i="82"/>
  <c r="AS270" i="83"/>
  <c r="AS270" i="84"/>
  <c r="AS270" i="85"/>
  <c r="AS270" i="87"/>
  <c r="AS270" i="86"/>
  <c r="AS270" i="88"/>
  <c r="AS270" i="90"/>
  <c r="AS270" i="89"/>
  <c r="AS282" i="82"/>
  <c r="AS282" i="83"/>
  <c r="AS282" i="84"/>
  <c r="AS282" i="85"/>
  <c r="AS282" i="87"/>
  <c r="AS282" i="86"/>
  <c r="AS282" i="88"/>
  <c r="AS282" i="90"/>
  <c r="AS282" i="89"/>
  <c r="AS100" i="82"/>
  <c r="AS100" i="84"/>
  <c r="AS100" i="83"/>
  <c r="AS100" i="85"/>
  <c r="AS100" i="86"/>
  <c r="AS100" i="88"/>
  <c r="AS100" i="90"/>
  <c r="AS100" i="87"/>
  <c r="AS100" i="89"/>
  <c r="AS222" i="82"/>
  <c r="AS222" i="83"/>
  <c r="AS222" i="84"/>
  <c r="AS222" i="85"/>
  <c r="AS222" i="86"/>
  <c r="AS222" i="87"/>
  <c r="AS222" i="88"/>
  <c r="AS222" i="90"/>
  <c r="AS222" i="89"/>
  <c r="AS234" i="82"/>
  <c r="AS234" i="83"/>
  <c r="AS234" i="84"/>
  <c r="AS234" i="85"/>
  <c r="AS234" i="87"/>
  <c r="AS234" i="86"/>
  <c r="AS234" i="88"/>
  <c r="AS234" i="90"/>
  <c r="AS234" i="89"/>
  <c r="AS274" i="82"/>
  <c r="AS274" i="83"/>
  <c r="AS274" i="84"/>
  <c r="AS274" i="85"/>
  <c r="AS274" i="87"/>
  <c r="AS274" i="86"/>
  <c r="AS274" i="88"/>
  <c r="AS274" i="90"/>
  <c r="AS274" i="89"/>
  <c r="AS298" i="82"/>
  <c r="AS298" i="83"/>
  <c r="AS298" i="84"/>
  <c r="AS298" i="85"/>
  <c r="AS298" i="87"/>
  <c r="AS298" i="86"/>
  <c r="AS298" i="88"/>
  <c r="AS298" i="90"/>
  <c r="AS298" i="89"/>
  <c r="AS306" i="82"/>
  <c r="AS306" i="83"/>
  <c r="AS306" i="84"/>
  <c r="AS306" i="85"/>
  <c r="AS306" i="87"/>
  <c r="AS306" i="86"/>
  <c r="AS306" i="88"/>
  <c r="AS306" i="90"/>
  <c r="AS306" i="89"/>
  <c r="AS322" i="82"/>
  <c r="AS322" i="83"/>
  <c r="AS322" i="84"/>
  <c r="AS322" i="85"/>
  <c r="AS322" i="87"/>
  <c r="AS322" i="86"/>
  <c r="AS322" i="88"/>
  <c r="AS322" i="90"/>
  <c r="AS322" i="89"/>
  <c r="AS346" i="82"/>
  <c r="AS346" i="83"/>
  <c r="AS346" i="84"/>
  <c r="AS346" i="85"/>
  <c r="AS346" i="87"/>
  <c r="AS346" i="86"/>
  <c r="AS346" i="88"/>
  <c r="AS346" i="90"/>
  <c r="AS346" i="89"/>
  <c r="HI33" i="15"/>
  <c r="CA153" i="15"/>
  <c r="AV153" i="65" s="1"/>
  <c r="BQ153" i="15"/>
  <c r="CD153" i="15"/>
  <c r="AS153" i="65"/>
  <c r="AS30" i="91"/>
  <c r="AT36" i="91"/>
  <c r="AS24" i="91"/>
  <c r="AS35" i="91"/>
  <c r="AS89" i="91"/>
  <c r="AS90" i="91"/>
  <c r="AS50" i="91"/>
  <c r="AS107" i="91"/>
  <c r="AS117" i="91"/>
  <c r="AS101" i="91"/>
  <c r="AS102" i="91"/>
  <c r="AS108" i="91"/>
  <c r="AS126" i="91"/>
  <c r="AS118" i="91"/>
  <c r="AS106" i="91"/>
  <c r="AS95" i="91"/>
  <c r="AS52" i="91"/>
  <c r="AT78" i="91"/>
  <c r="AS114" i="91"/>
  <c r="AS76" i="91"/>
  <c r="AT44" i="91"/>
  <c r="AS62" i="91"/>
  <c r="AS47" i="91"/>
  <c r="AS310" i="91"/>
  <c r="AS316" i="91"/>
  <c r="AS342" i="91"/>
  <c r="AS308" i="91"/>
  <c r="AS324" i="91"/>
  <c r="AS340" i="91"/>
  <c r="AS25" i="91"/>
  <c r="AS36" i="91"/>
  <c r="AS169" i="91"/>
  <c r="AS261" i="91"/>
  <c r="AS277" i="91"/>
  <c r="AS285" i="91"/>
  <c r="AS165" i="91"/>
  <c r="AS237" i="91"/>
  <c r="AS265" i="91"/>
  <c r="AS273" i="91"/>
  <c r="AS309" i="91"/>
  <c r="AS287" i="91"/>
  <c r="AS185" i="91"/>
  <c r="AS217" i="91"/>
  <c r="AS249" i="91"/>
  <c r="AS305" i="91"/>
  <c r="AS325" i="91"/>
  <c r="AS337" i="91"/>
  <c r="AS229" i="91"/>
  <c r="AS341" i="91"/>
  <c r="AS235" i="91"/>
  <c r="AS251" i="91"/>
  <c r="AS319" i="91"/>
  <c r="AS103" i="91"/>
  <c r="AS40" i="91"/>
  <c r="AS129" i="91"/>
  <c r="AS223" i="91"/>
  <c r="AS255" i="91"/>
  <c r="AS45" i="91"/>
  <c r="AS110" i="91"/>
  <c r="AS112" i="91"/>
  <c r="AS29" i="91"/>
  <c r="AS142" i="91"/>
  <c r="AS158" i="91"/>
  <c r="AS128" i="91"/>
  <c r="AS240" i="91"/>
  <c r="AS304" i="91"/>
  <c r="AS134" i="91"/>
  <c r="AS136" i="91"/>
  <c r="AS228" i="91"/>
  <c r="AS250" i="91"/>
  <c r="AS262" i="91"/>
  <c r="AS286" i="91"/>
  <c r="AS336" i="91"/>
  <c r="AS236" i="91"/>
  <c r="AS252" i="91"/>
  <c r="AS268" i="91"/>
  <c r="AS284" i="91"/>
  <c r="AS330" i="91"/>
  <c r="AS156" i="91"/>
  <c r="AS212" i="91"/>
  <c r="AS218" i="91"/>
  <c r="AS238" i="91"/>
  <c r="AS276" i="91"/>
  <c r="AS290" i="91"/>
  <c r="AS314" i="91"/>
  <c r="AS338" i="91"/>
  <c r="AS339" i="91"/>
  <c r="AS94" i="91"/>
  <c r="AS27" i="91"/>
  <c r="AS33" i="91"/>
  <c r="AS31" i="91"/>
  <c r="AS54" i="91"/>
  <c r="AS74" i="91"/>
  <c r="AS73" i="91"/>
  <c r="AS91" i="91"/>
  <c r="AS75" i="91"/>
  <c r="AS115" i="91"/>
  <c r="AS99" i="91"/>
  <c r="AS120" i="91"/>
  <c r="AS64" i="91"/>
  <c r="AS56" i="91"/>
  <c r="AS60" i="91"/>
  <c r="AS28" i="91"/>
  <c r="AS92" i="91"/>
  <c r="AS72" i="91"/>
  <c r="AS61" i="91"/>
  <c r="AS294" i="91"/>
  <c r="AS300" i="91"/>
  <c r="AS326" i="91"/>
  <c r="AS332" i="91"/>
  <c r="AS348" i="91"/>
  <c r="AS292" i="91"/>
  <c r="AS302" i="91"/>
  <c r="AS318" i="91"/>
  <c r="AS334" i="91"/>
  <c r="AS177" i="91"/>
  <c r="AS293" i="91"/>
  <c r="AS313" i="91"/>
  <c r="AS333" i="91"/>
  <c r="AS345" i="91"/>
  <c r="AS137" i="91"/>
  <c r="AS145" i="91"/>
  <c r="AS157" i="91"/>
  <c r="AS161" i="91"/>
  <c r="AS181" i="91"/>
  <c r="AS221" i="91"/>
  <c r="AS253" i="91"/>
  <c r="AS349" i="91"/>
  <c r="AT67" i="91"/>
  <c r="AS271" i="91"/>
  <c r="AS69" i="91"/>
  <c r="AS201" i="91"/>
  <c r="AS233" i="91"/>
  <c r="AS269" i="91"/>
  <c r="AS301" i="91"/>
  <c r="AS141" i="91"/>
  <c r="AS153" i="91"/>
  <c r="AS245" i="91"/>
  <c r="AS281" i="91"/>
  <c r="AS289" i="91"/>
  <c r="AS297" i="91"/>
  <c r="AS317" i="91"/>
  <c r="AS321" i="91"/>
  <c r="AS329" i="91"/>
  <c r="AS66" i="91"/>
  <c r="AS295" i="91"/>
  <c r="AS239" i="91"/>
  <c r="AS311" i="91"/>
  <c r="AS53" i="91"/>
  <c r="AS67" i="91"/>
  <c r="AS122" i="91"/>
  <c r="AS82" i="91"/>
  <c r="AS243" i="91"/>
  <c r="AS315" i="91"/>
  <c r="AS163" i="91"/>
  <c r="AS22" i="91"/>
  <c r="AS166" i="91"/>
  <c r="AS210" i="91"/>
  <c r="AS226" i="91"/>
  <c r="AS230" i="91"/>
  <c r="AS246" i="91"/>
  <c r="AS84" i="91"/>
  <c r="AS168" i="91"/>
  <c r="AS220" i="91"/>
  <c r="AS242" i="91"/>
  <c r="AS258" i="91"/>
  <c r="AS260" i="91"/>
  <c r="AS272" i="91"/>
  <c r="AS280" i="91"/>
  <c r="AS288" i="91"/>
  <c r="AS202" i="91"/>
  <c r="AS254" i="91"/>
  <c r="AS266" i="91"/>
  <c r="AS270" i="91"/>
  <c r="AS282" i="91"/>
  <c r="AS100" i="91"/>
  <c r="AS222" i="91"/>
  <c r="AS234" i="91"/>
  <c r="AS274" i="91"/>
  <c r="AS298" i="91"/>
  <c r="AS306" i="91"/>
  <c r="AS322" i="91"/>
  <c r="AS346" i="91"/>
  <c r="BY84" i="15"/>
  <c r="AT84" i="65" s="1"/>
  <c r="N84" i="5" s="1"/>
  <c r="AU84" i="73" s="1"/>
  <c r="BO84" i="15"/>
  <c r="BO323" i="15"/>
  <c r="BY241" i="15"/>
  <c r="CE241" i="15" s="1"/>
  <c r="FT241" i="15"/>
  <c r="BV241" i="15"/>
  <c r="CB241" i="15"/>
  <c r="AQ241" i="65"/>
  <c r="BO241" i="15"/>
  <c r="DB152" i="15"/>
  <c r="AT152" i="65"/>
  <c r="AQ143" i="65"/>
  <c r="BO143" i="15"/>
  <c r="BV143" i="15"/>
  <c r="BY143" i="15"/>
  <c r="CB143" i="15"/>
  <c r="FT143" i="15"/>
  <c r="BV140" i="15"/>
  <c r="AQ140" i="65"/>
  <c r="BY140" i="15"/>
  <c r="CB140" i="15"/>
  <c r="BO140" i="15"/>
  <c r="BR140" i="15" s="1"/>
  <c r="FT140" i="15"/>
  <c r="FT311" i="15"/>
  <c r="AQ311" i="65"/>
  <c r="CB311" i="15"/>
  <c r="BV311" i="15"/>
  <c r="BY311" i="15"/>
  <c r="BO311" i="15"/>
  <c r="AQ130" i="65"/>
  <c r="BO130" i="15"/>
  <c r="BY130" i="15"/>
  <c r="FT130" i="15"/>
  <c r="BV130" i="15"/>
  <c r="CB130" i="15"/>
  <c r="BY319" i="15"/>
  <c r="AQ319" i="65"/>
  <c r="BV319" i="15"/>
  <c r="CB319" i="15"/>
  <c r="FT319" i="15"/>
  <c r="BO319" i="15"/>
  <c r="CB135" i="15"/>
  <c r="BY135" i="15"/>
  <c r="BO135" i="15"/>
  <c r="BV135" i="15"/>
  <c r="AQ135" i="65"/>
  <c r="FT135" i="15"/>
  <c r="BO132" i="15"/>
  <c r="CB132" i="15"/>
  <c r="BY132" i="15"/>
  <c r="AQ132" i="65"/>
  <c r="BV132" i="15"/>
  <c r="FT132" i="15"/>
  <c r="BO295" i="15"/>
  <c r="BV295" i="15"/>
  <c r="AQ295" i="65"/>
  <c r="BY295" i="15"/>
  <c r="FT295" i="15"/>
  <c r="CB295" i="15"/>
  <c r="BY343" i="15"/>
  <c r="BO343" i="15"/>
  <c r="BV343" i="15"/>
  <c r="FT343" i="15"/>
  <c r="AQ343" i="65"/>
  <c r="CB343" i="15"/>
  <c r="CB303" i="15"/>
  <c r="BO303" i="15"/>
  <c r="AQ303" i="65"/>
  <c r="FT303" i="15"/>
  <c r="BV303" i="15"/>
  <c r="BY303" i="15"/>
  <c r="BO335" i="15"/>
  <c r="BY335" i="15"/>
  <c r="AQ335" i="65"/>
  <c r="CB335" i="15"/>
  <c r="BV335" i="15"/>
  <c r="FT335" i="15"/>
  <c r="BQ308" i="15"/>
  <c r="CD308" i="15"/>
  <c r="CA308" i="15"/>
  <c r="AV308" i="65" s="1"/>
  <c r="AS308" i="65"/>
  <c r="CA246" i="15"/>
  <c r="AV246" i="65" s="1"/>
  <c r="AS246" i="65"/>
  <c r="BQ246" i="15"/>
  <c r="CD246" i="15"/>
  <c r="CD207" i="15"/>
  <c r="CA207" i="15"/>
  <c r="AS310" i="65"/>
  <c r="BQ310" i="15"/>
  <c r="CD310" i="15"/>
  <c r="CA310" i="15"/>
  <c r="AV310" i="65" s="1"/>
  <c r="BQ215" i="15"/>
  <c r="CA215" i="15"/>
  <c r="AV215" i="65" s="1"/>
  <c r="AS215" i="65"/>
  <c r="CD215" i="15"/>
  <c r="CA294" i="15"/>
  <c r="AV294" i="65" s="1"/>
  <c r="BQ294" i="15"/>
  <c r="CD294" i="15"/>
  <c r="AS294" i="65"/>
  <c r="CD290" i="15"/>
  <c r="BQ290" i="15"/>
  <c r="CA290" i="15"/>
  <c r="AV290" i="65" s="1"/>
  <c r="AS290" i="65"/>
  <c r="CA303" i="15"/>
  <c r="AV303" i="65" s="1"/>
  <c r="CD303" i="15"/>
  <c r="BQ303" i="15"/>
  <c r="AS303" i="65"/>
  <c r="BQ165" i="15"/>
  <c r="AS165" i="65"/>
  <c r="CA165" i="15"/>
  <c r="AV165" i="65" s="1"/>
  <c r="CD165" i="15"/>
  <c r="BQ179" i="15"/>
  <c r="CD179" i="15"/>
  <c r="CA179" i="15"/>
  <c r="AV179" i="65" s="1"/>
  <c r="AS179" i="65"/>
  <c r="BQ164" i="15"/>
  <c r="CD164" i="15"/>
  <c r="CA164" i="15"/>
  <c r="AV164" i="65" s="1"/>
  <c r="AS164" i="65"/>
  <c r="AS172" i="65"/>
  <c r="BQ172" i="15"/>
  <c r="CD172" i="15"/>
  <c r="CA172" i="15"/>
  <c r="AV172" i="65" s="1"/>
  <c r="CD180" i="15"/>
  <c r="BQ180" i="15"/>
  <c r="AS180" i="65"/>
  <c r="CA180" i="15"/>
  <c r="AV180" i="65" s="1"/>
  <c r="CD98" i="15"/>
  <c r="BQ98" i="15"/>
  <c r="AS163" i="65"/>
  <c r="CA163" i="15"/>
  <c r="CD163" i="15"/>
  <c r="BQ163" i="15"/>
  <c r="BQ156" i="15"/>
  <c r="AS156" i="65"/>
  <c r="AS155" i="65"/>
  <c r="CA155" i="15"/>
  <c r="AV155" i="65" s="1"/>
  <c r="AS159" i="65"/>
  <c r="CD159" i="15"/>
  <c r="BQ159" i="15"/>
  <c r="CA159" i="15"/>
  <c r="AV159" i="65" s="1"/>
  <c r="CD277" i="15"/>
  <c r="AS277" i="65"/>
  <c r="CA291" i="15"/>
  <c r="AV291" i="65" s="1"/>
  <c r="BQ291" i="15"/>
  <c r="AS291" i="65"/>
  <c r="CD291" i="15"/>
  <c r="CD167" i="15"/>
  <c r="BQ167" i="15"/>
  <c r="CA167" i="15"/>
  <c r="AS167" i="65"/>
  <c r="CA173" i="15"/>
  <c r="AV173" i="65" s="1"/>
  <c r="CD173" i="15"/>
  <c r="AS173" i="65"/>
  <c r="BQ173" i="15"/>
  <c r="AS177" i="65"/>
  <c r="CA177" i="15"/>
  <c r="AV177" i="65" s="1"/>
  <c r="BQ177" i="15"/>
  <c r="CD177" i="15"/>
  <c r="CD168" i="15"/>
  <c r="AS168" i="65"/>
  <c r="CA168" i="15"/>
  <c r="AV168" i="65" s="1"/>
  <c r="BQ168" i="15"/>
  <c r="CA176" i="15"/>
  <c r="AV176" i="65" s="1"/>
  <c r="BQ176" i="15"/>
  <c r="CD176" i="15"/>
  <c r="AS176" i="65"/>
  <c r="CA184" i="15"/>
  <c r="AV184" i="65" s="1"/>
  <c r="CD184" i="15"/>
  <c r="BQ184" i="15"/>
  <c r="AS184" i="65"/>
  <c r="CD94" i="15"/>
  <c r="BQ94" i="15"/>
  <c r="CD146" i="15"/>
  <c r="CA146" i="15"/>
  <c r="AV146" i="65" s="1"/>
  <c r="CD150" i="15"/>
  <c r="CA150" i="15"/>
  <c r="AV150" i="65" s="1"/>
  <c r="CA160" i="15"/>
  <c r="AV160" i="65" s="1"/>
  <c r="CD160" i="15"/>
  <c r="BQ160" i="15"/>
  <c r="CD149" i="15"/>
  <c r="BQ149" i="15"/>
  <c r="BQ292" i="15"/>
  <c r="CA292" i="15"/>
  <c r="AV292" i="65" s="1"/>
  <c r="AS292" i="65"/>
  <c r="CD292" i="15"/>
  <c r="BQ274" i="15"/>
  <c r="CD274" i="15"/>
  <c r="AS189" i="65"/>
  <c r="CA189" i="15"/>
  <c r="AV189" i="65" s="1"/>
  <c r="AS298" i="65"/>
  <c r="BQ298" i="15"/>
  <c r="CD298" i="15"/>
  <c r="CA298" i="15"/>
  <c r="AV298" i="65" s="1"/>
  <c r="BQ200" i="15"/>
  <c r="CA200" i="15"/>
  <c r="AV200" i="65" s="1"/>
  <c r="CD200" i="15"/>
  <c r="AS200" i="65"/>
  <c r="AS295" i="65"/>
  <c r="CD295" i="15"/>
  <c r="BQ295" i="15"/>
  <c r="CA295" i="15"/>
  <c r="AV295" i="65" s="1"/>
  <c r="AS124" i="65"/>
  <c r="M124" i="5" s="1"/>
  <c r="CD124" i="15"/>
  <c r="CA124" i="15"/>
  <c r="AV124" i="65" s="1"/>
  <c r="P124" i="5" s="1"/>
  <c r="BQ124" i="15"/>
  <c r="BQ118" i="15"/>
  <c r="AS118" i="65"/>
  <c r="M118" i="5" s="1"/>
  <c r="CA118" i="15"/>
  <c r="AV118" i="65" s="1"/>
  <c r="P118" i="5" s="1"/>
  <c r="CD118" i="15"/>
  <c r="BQ300" i="15"/>
  <c r="AS300" i="65"/>
  <c r="CD300" i="15"/>
  <c r="CA300" i="15"/>
  <c r="AV300" i="65" s="1"/>
  <c r="CD302" i="15"/>
  <c r="CA302" i="15"/>
  <c r="AV302" i="65" s="1"/>
  <c r="AS302" i="65"/>
  <c r="BQ302" i="15"/>
  <c r="CD169" i="15"/>
  <c r="CA169" i="15"/>
  <c r="AV169" i="65" s="1"/>
  <c r="AS169" i="65"/>
  <c r="BQ169" i="15"/>
  <c r="CA181" i="15"/>
  <c r="AV181" i="65" s="1"/>
  <c r="CD181" i="15"/>
  <c r="AS181" i="65"/>
  <c r="BQ181" i="15"/>
  <c r="AS166" i="65"/>
  <c r="CD166" i="15"/>
  <c r="BQ166" i="15"/>
  <c r="CA166" i="15"/>
  <c r="AV166" i="65" s="1"/>
  <c r="AS174" i="65"/>
  <c r="CD174" i="15"/>
  <c r="CA174" i="15"/>
  <c r="AV174" i="65" s="1"/>
  <c r="BQ174" i="15"/>
  <c r="CA182" i="15"/>
  <c r="AV182" i="65" s="1"/>
  <c r="CD182" i="15"/>
  <c r="AS182" i="65"/>
  <c r="BQ182" i="15"/>
  <c r="AS102" i="65"/>
  <c r="M102" i="5" s="1"/>
  <c r="CD102" i="15"/>
  <c r="BQ102" i="15"/>
  <c r="CA102" i="15"/>
  <c r="AV102" i="65" s="1"/>
  <c r="CA154" i="15"/>
  <c r="AV154" i="65" s="1"/>
  <c r="AS154" i="65"/>
  <c r="BQ154" i="15"/>
  <c r="CD158" i="15"/>
  <c r="CA158" i="15"/>
  <c r="AV158" i="65" s="1"/>
  <c r="BQ158" i="15"/>
  <c r="AS157" i="65"/>
  <c r="CA157" i="15"/>
  <c r="CD161" i="15"/>
  <c r="BQ161" i="15"/>
  <c r="AS161" i="65"/>
  <c r="CA161" i="15"/>
  <c r="AV161" i="65" s="1"/>
  <c r="CD287" i="15"/>
  <c r="CA297" i="15"/>
  <c r="AV297" i="65" s="1"/>
  <c r="CD297" i="15"/>
  <c r="AS297" i="65"/>
  <c r="BQ297" i="15"/>
  <c r="CD171" i="15"/>
  <c r="AS171" i="65"/>
  <c r="CA171" i="15"/>
  <c r="AV171" i="65" s="1"/>
  <c r="BQ171" i="15"/>
  <c r="CA175" i="15"/>
  <c r="AS175" i="65"/>
  <c r="BQ175" i="15"/>
  <c r="CD175" i="15"/>
  <c r="CD183" i="15"/>
  <c r="AS183" i="65"/>
  <c r="BQ183" i="15"/>
  <c r="CA183" i="15"/>
  <c r="BQ170" i="15"/>
  <c r="BR170" i="15" s="1"/>
  <c r="AS170" i="65"/>
  <c r="CA170" i="15"/>
  <c r="AV170" i="65" s="1"/>
  <c r="CD170" i="15"/>
  <c r="CD178" i="15"/>
  <c r="BQ178" i="15"/>
  <c r="AS178" i="65"/>
  <c r="CA178" i="15"/>
  <c r="AV178" i="65" s="1"/>
  <c r="CD120" i="15"/>
  <c r="CA120" i="15"/>
  <c r="AV120" i="65" s="1"/>
  <c r="P120" i="5" s="1"/>
  <c r="CA162" i="15"/>
  <c r="AV162" i="65" s="1"/>
  <c r="AS162" i="65"/>
  <c r="CD162" i="15"/>
  <c r="BQ162" i="15"/>
  <c r="AS148" i="65"/>
  <c r="CA148" i="15"/>
  <c r="AV148" i="65" s="1"/>
  <c r="AS152" i="65"/>
  <c r="CD152" i="15"/>
  <c r="BQ152" i="15"/>
  <c r="BQ147" i="15"/>
  <c r="CD147" i="15"/>
  <c r="AS151" i="65"/>
  <c r="BQ151" i="15"/>
  <c r="CA151" i="15"/>
  <c r="AV151" i="65" s="1"/>
  <c r="CD151" i="15"/>
  <c r="AQ216" i="65"/>
  <c r="CB216" i="15"/>
  <c r="BO216" i="15"/>
  <c r="FT216" i="15"/>
  <c r="BY216" i="15"/>
  <c r="BV216" i="15"/>
  <c r="CA192" i="15"/>
  <c r="AV192" i="65" s="1"/>
  <c r="CD192" i="15"/>
  <c r="AS192" i="65"/>
  <c r="BQ192" i="15"/>
  <c r="AQ322" i="65"/>
  <c r="CB322" i="15"/>
  <c r="BO322" i="15"/>
  <c r="BV322" i="15"/>
  <c r="FT322" i="15"/>
  <c r="BY322" i="15"/>
  <c r="AQ268" i="65"/>
  <c r="BO268" i="15"/>
  <c r="BY268" i="15"/>
  <c r="FT268" i="15"/>
  <c r="BV268" i="15"/>
  <c r="CB268" i="15"/>
  <c r="AQ148" i="65"/>
  <c r="BO148" i="15"/>
  <c r="BY148" i="15"/>
  <c r="FT148" i="15"/>
  <c r="BV148" i="15"/>
  <c r="CB148" i="15"/>
  <c r="BQ199" i="15"/>
  <c r="CA199" i="15"/>
  <c r="AV199" i="65" s="1"/>
  <c r="AS199" i="65"/>
  <c r="CD199" i="15"/>
  <c r="AQ163" i="65"/>
  <c r="BY163" i="15"/>
  <c r="CE163" i="15" s="1"/>
  <c r="BV163" i="15"/>
  <c r="FT163" i="15"/>
  <c r="BO163" i="15"/>
  <c r="CB163" i="15"/>
  <c r="FT191" i="15"/>
  <c r="BO191" i="15"/>
  <c r="BY191" i="15"/>
  <c r="BV191" i="15"/>
  <c r="AQ191" i="65"/>
  <c r="CB191" i="15"/>
  <c r="AQ223" i="65"/>
  <c r="BY223" i="15"/>
  <c r="FT223" i="15"/>
  <c r="BV223" i="15"/>
  <c r="BO223" i="15"/>
  <c r="CB223" i="15"/>
  <c r="AS212" i="65"/>
  <c r="BQ212" i="15"/>
  <c r="CA212" i="15"/>
  <c r="AV212" i="65" s="1"/>
  <c r="CD212" i="15"/>
  <c r="BQ232" i="15"/>
  <c r="AS232" i="65"/>
  <c r="CA232" i="15"/>
  <c r="AV232" i="65" s="1"/>
  <c r="CD232" i="15"/>
  <c r="AS80" i="65"/>
  <c r="M80" i="5" s="1"/>
  <c r="CD80" i="15"/>
  <c r="BQ80" i="15"/>
  <c r="CA80" i="15"/>
  <c r="AV80" i="65" s="1"/>
  <c r="P80" i="5" s="1"/>
  <c r="AS190" i="65"/>
  <c r="BQ190" i="15"/>
  <c r="CA190" i="15"/>
  <c r="AV190" i="65" s="1"/>
  <c r="CD190" i="15"/>
  <c r="BQ206" i="15"/>
  <c r="AS206" i="65"/>
  <c r="CA206" i="15"/>
  <c r="AV206" i="65" s="1"/>
  <c r="CD206" i="15"/>
  <c r="CD218" i="15"/>
  <c r="AS218" i="65"/>
  <c r="BQ218" i="15"/>
  <c r="CA218" i="15"/>
  <c r="AV218" i="65" s="1"/>
  <c r="CA322" i="15"/>
  <c r="AV322" i="65" s="1"/>
  <c r="BQ322" i="15"/>
  <c r="CD322" i="15"/>
  <c r="AS322" i="65"/>
  <c r="FT288" i="15"/>
  <c r="FB288" i="15" s="1"/>
  <c r="CB288" i="15"/>
  <c r="BY288" i="15"/>
  <c r="AQ288" i="65"/>
  <c r="BO288" i="15"/>
  <c r="BV288" i="15"/>
  <c r="CA208" i="15"/>
  <c r="AV208" i="65" s="1"/>
  <c r="CD208" i="15"/>
  <c r="BQ208" i="15"/>
  <c r="AS208" i="65"/>
  <c r="BQ127" i="15"/>
  <c r="CD127" i="15"/>
  <c r="CA127" i="15"/>
  <c r="AV127" i="65" s="1"/>
  <c r="P127" i="5" s="1"/>
  <c r="AS127" i="65"/>
  <c r="M127" i="5" s="1"/>
  <c r="CB338" i="15"/>
  <c r="AQ338" i="65"/>
  <c r="FT338" i="15"/>
  <c r="BV338" i="15"/>
  <c r="BY338" i="15"/>
  <c r="BO338" i="15"/>
  <c r="BV266" i="15"/>
  <c r="AQ266" i="65"/>
  <c r="CB266" i="15"/>
  <c r="BO266" i="15"/>
  <c r="FT266" i="15"/>
  <c r="BY266" i="15"/>
  <c r="FT222" i="15"/>
  <c r="BY222" i="15"/>
  <c r="BV222" i="15"/>
  <c r="CB222" i="15"/>
  <c r="AQ222" i="65"/>
  <c r="BO222" i="15"/>
  <c r="BV212" i="15"/>
  <c r="AQ212" i="65"/>
  <c r="FT212" i="15"/>
  <c r="CB212" i="15"/>
  <c r="BO212" i="15"/>
  <c r="BY212" i="15"/>
  <c r="BV172" i="15"/>
  <c r="CB172" i="15"/>
  <c r="AQ172" i="65"/>
  <c r="BO172" i="15"/>
  <c r="BY172" i="15"/>
  <c r="FT172" i="15"/>
  <c r="AS334" i="65"/>
  <c r="CA334" i="15"/>
  <c r="AV334" i="65" s="1"/>
  <c r="CD334" i="15"/>
  <c r="BQ334" i="15"/>
  <c r="CD229" i="15"/>
  <c r="CA229" i="15"/>
  <c r="AV229" i="65" s="1"/>
  <c r="AS229" i="65"/>
  <c r="BQ229" i="15"/>
  <c r="BQ188" i="15"/>
  <c r="CD188" i="15"/>
  <c r="CA188" i="15"/>
  <c r="AV188" i="65" s="1"/>
  <c r="AS188" i="65"/>
  <c r="BQ224" i="15"/>
  <c r="CA224" i="15"/>
  <c r="AV224" i="65" s="1"/>
  <c r="AS224" i="65"/>
  <c r="CD224" i="15"/>
  <c r="BY136" i="15"/>
  <c r="CB136" i="15"/>
  <c r="FT136" i="15"/>
  <c r="BV136" i="15"/>
  <c r="AQ136" i="65"/>
  <c r="BO136" i="15"/>
  <c r="FT271" i="15"/>
  <c r="CB271" i="15"/>
  <c r="BY271" i="15"/>
  <c r="BV271" i="15"/>
  <c r="AQ271" i="65"/>
  <c r="BO271" i="15"/>
  <c r="AS194" i="65"/>
  <c r="BQ194" i="15"/>
  <c r="CD194" i="15"/>
  <c r="CA194" i="15"/>
  <c r="AV194" i="65" s="1"/>
  <c r="CA222" i="15"/>
  <c r="AV222" i="65" s="1"/>
  <c r="CD222" i="15"/>
  <c r="BQ222" i="15"/>
  <c r="AS222" i="65"/>
  <c r="BY196" i="15"/>
  <c r="CB196" i="15"/>
  <c r="BO196" i="15"/>
  <c r="AQ196" i="65"/>
  <c r="FT196" i="15"/>
  <c r="BV196" i="15"/>
  <c r="CD316" i="15"/>
  <c r="CA316" i="15"/>
  <c r="AV316" i="65" s="1"/>
  <c r="BQ316" i="15"/>
  <c r="AS316" i="65"/>
  <c r="BV259" i="15"/>
  <c r="CB259" i="15"/>
  <c r="AQ259" i="65"/>
  <c r="BY259" i="15"/>
  <c r="FT259" i="15"/>
  <c r="BO259" i="15"/>
  <c r="AQ155" i="65"/>
  <c r="BO155" i="15"/>
  <c r="CB155" i="15"/>
  <c r="BV155" i="15"/>
  <c r="BY155" i="15"/>
  <c r="FT155" i="15"/>
  <c r="CA346" i="15"/>
  <c r="AV346" i="65" s="1"/>
  <c r="AS346" i="65"/>
  <c r="BQ346" i="15"/>
  <c r="CD346" i="15"/>
  <c r="BO100" i="15"/>
  <c r="CB100" i="15"/>
  <c r="FT100" i="15"/>
  <c r="AQ100" i="65"/>
  <c r="K100" i="5" s="1"/>
  <c r="BV100" i="15"/>
  <c r="BY100" i="15"/>
  <c r="AT100" i="65" s="1"/>
  <c r="N100" i="5" s="1"/>
  <c r="AU100" i="73" s="1"/>
  <c r="AS262" i="65"/>
  <c r="CD262" i="15"/>
  <c r="BQ262" i="15"/>
  <c r="CA262" i="15"/>
  <c r="AV262" i="65" s="1"/>
  <c r="BV224" i="15"/>
  <c r="FT224" i="15"/>
  <c r="CB224" i="15"/>
  <c r="BY224" i="15"/>
  <c r="BO224" i="15"/>
  <c r="AQ224" i="65"/>
  <c r="CB264" i="15"/>
  <c r="BV264" i="15"/>
  <c r="AQ264" i="65"/>
  <c r="FT264" i="15"/>
  <c r="BY264" i="15"/>
  <c r="BO264" i="15"/>
  <c r="CA197" i="15"/>
  <c r="AV197" i="65" s="1"/>
  <c r="CD197" i="15"/>
  <c r="BQ197" i="15"/>
  <c r="AS197" i="65"/>
  <c r="BO251" i="15"/>
  <c r="AQ251" i="65"/>
  <c r="CB251" i="15"/>
  <c r="FT251" i="15"/>
  <c r="BY251" i="15"/>
  <c r="BV251" i="15"/>
  <c r="CA205" i="15"/>
  <c r="AV205" i="65" s="1"/>
  <c r="BQ205" i="15"/>
  <c r="CD205" i="15"/>
  <c r="AS205" i="65"/>
  <c r="CD313" i="15"/>
  <c r="CA313" i="15"/>
  <c r="AV313" i="65" s="1"/>
  <c r="AS313" i="65"/>
  <c r="BQ313" i="15"/>
  <c r="BQ301" i="15"/>
  <c r="AS301" i="65"/>
  <c r="CA301" i="15"/>
  <c r="AV301" i="65" s="1"/>
  <c r="CD301" i="15"/>
  <c r="BQ225" i="15"/>
  <c r="CD225" i="15"/>
  <c r="AS225" i="65"/>
  <c r="CA225" i="15"/>
  <c r="BQ100" i="15"/>
  <c r="CA100" i="15"/>
  <c r="AV100" i="65" s="1"/>
  <c r="P100" i="5" s="1"/>
  <c r="AW100" i="73" s="1"/>
  <c r="AS100" i="65"/>
  <c r="M100" i="5" s="1"/>
  <c r="CD100" i="15"/>
  <c r="CB139" i="15"/>
  <c r="BY139" i="15"/>
  <c r="CE139" i="15" s="1"/>
  <c r="FT139" i="15"/>
  <c r="BV139" i="15"/>
  <c r="BO139" i="15"/>
  <c r="AQ139" i="65"/>
  <c r="BQ216" i="15"/>
  <c r="CA216" i="15"/>
  <c r="AV216" i="65" s="1"/>
  <c r="CD216" i="15"/>
  <c r="AS216" i="65"/>
  <c r="BO80" i="15"/>
  <c r="BV80" i="15"/>
  <c r="CB80" i="15"/>
  <c r="FT80" i="15"/>
  <c r="BY80" i="15"/>
  <c r="AT80" i="65" s="1"/>
  <c r="N80" i="5" s="1"/>
  <c r="AU80" i="73" s="1"/>
  <c r="AQ80" i="65"/>
  <c r="K80" i="5" s="1"/>
  <c r="AR80" i="73" s="1"/>
  <c r="BO238" i="15"/>
  <c r="FT238" i="15"/>
  <c r="BY238" i="15"/>
  <c r="BV238" i="15"/>
  <c r="CB238" i="15"/>
  <c r="AQ238" i="65"/>
  <c r="BO188" i="15"/>
  <c r="AQ188" i="65"/>
  <c r="CB188" i="15"/>
  <c r="FT188" i="15"/>
  <c r="BY188" i="15"/>
  <c r="BV188" i="15"/>
  <c r="BQ195" i="15"/>
  <c r="CD195" i="15"/>
  <c r="CA195" i="15"/>
  <c r="AV195" i="65" s="1"/>
  <c r="AS195" i="65"/>
  <c r="AS211" i="65"/>
  <c r="CD211" i="15"/>
  <c r="BQ211" i="15"/>
  <c r="CA211" i="15"/>
  <c r="AV211" i="65" s="1"/>
  <c r="BO179" i="15"/>
  <c r="BY179" i="15"/>
  <c r="AQ179" i="65"/>
  <c r="CB179" i="15"/>
  <c r="BV179" i="15"/>
  <c r="FT179" i="15"/>
  <c r="BO203" i="15"/>
  <c r="FT203" i="15"/>
  <c r="BV203" i="15"/>
  <c r="BY203" i="15"/>
  <c r="AQ203" i="65"/>
  <c r="CB203" i="15"/>
  <c r="BY235" i="15"/>
  <c r="BV235" i="15"/>
  <c r="CB235" i="15"/>
  <c r="BO235" i="15"/>
  <c r="FT235" i="15"/>
  <c r="AQ235" i="65"/>
  <c r="BQ228" i="15"/>
  <c r="CA228" i="15"/>
  <c r="AV228" i="65" s="1"/>
  <c r="CD228" i="15"/>
  <c r="AS228" i="65"/>
  <c r="BQ236" i="15"/>
  <c r="AS236" i="65"/>
  <c r="CA236" i="15"/>
  <c r="AV236" i="65" s="1"/>
  <c r="CD236" i="15"/>
  <c r="BQ186" i="15"/>
  <c r="CA186" i="15"/>
  <c r="AV186" i="65" s="1"/>
  <c r="CD186" i="15"/>
  <c r="AS186" i="65"/>
  <c r="AS198" i="65"/>
  <c r="BQ198" i="15"/>
  <c r="CD198" i="15"/>
  <c r="CA198" i="15"/>
  <c r="AV198" i="65" s="1"/>
  <c r="CA214" i="15"/>
  <c r="AV214" i="65" s="1"/>
  <c r="AS214" i="65"/>
  <c r="BQ214" i="15"/>
  <c r="CD214" i="15"/>
  <c r="AS320" i="65"/>
  <c r="CA320" i="15"/>
  <c r="AV320" i="65" s="1"/>
  <c r="BQ320" i="15"/>
  <c r="BR320" i="15" s="1"/>
  <c r="CD320" i="15"/>
  <c r="CA324" i="15"/>
  <c r="AV324" i="65" s="1"/>
  <c r="AS324" i="65"/>
  <c r="CD324" i="15"/>
  <c r="BQ324" i="15"/>
  <c r="AQ208" i="65"/>
  <c r="BO208" i="15"/>
  <c r="FT208" i="15"/>
  <c r="BY208" i="15"/>
  <c r="BV208" i="15"/>
  <c r="CB208" i="15"/>
  <c r="CA296" i="15"/>
  <c r="AV296" i="65" s="1"/>
  <c r="BQ296" i="15"/>
  <c r="AS296" i="65"/>
  <c r="CD296" i="15"/>
  <c r="CA226" i="15"/>
  <c r="AV226" i="65" s="1"/>
  <c r="AS226" i="65"/>
  <c r="BQ226" i="15"/>
  <c r="CD226" i="15"/>
  <c r="CB346" i="15"/>
  <c r="FT346" i="15"/>
  <c r="AQ346" i="65"/>
  <c r="BV346" i="15"/>
  <c r="BY346" i="15"/>
  <c r="BO346" i="15"/>
  <c r="FT274" i="15"/>
  <c r="BO274" i="15"/>
  <c r="CB274" i="15"/>
  <c r="BY274" i="15"/>
  <c r="AQ274" i="65"/>
  <c r="BV274" i="15"/>
  <c r="BY254" i="15"/>
  <c r="BV254" i="15"/>
  <c r="CB254" i="15"/>
  <c r="AQ254" i="65"/>
  <c r="BO254" i="15"/>
  <c r="FT254" i="15"/>
  <c r="CB202" i="15"/>
  <c r="AQ202" i="65"/>
  <c r="FT202" i="15"/>
  <c r="BY202" i="15"/>
  <c r="BV202" i="15"/>
  <c r="BO202" i="15"/>
  <c r="AQ236" i="65"/>
  <c r="BO236" i="15"/>
  <c r="FT236" i="15"/>
  <c r="BY236" i="15"/>
  <c r="BV236" i="15"/>
  <c r="CB236" i="15"/>
  <c r="FT164" i="15"/>
  <c r="BY164" i="15"/>
  <c r="BO164" i="15"/>
  <c r="BV164" i="15"/>
  <c r="CB164" i="15"/>
  <c r="AQ164" i="65"/>
  <c r="CA201" i="15"/>
  <c r="CF201" i="15" s="1"/>
  <c r="BQ201" i="15"/>
  <c r="CD201" i="15"/>
  <c r="AS201" i="65"/>
  <c r="BQ233" i="15"/>
  <c r="CD233" i="15"/>
  <c r="AS233" i="65"/>
  <c r="CA233" i="15"/>
  <c r="AV233" i="65" s="1"/>
  <c r="BQ204" i="15"/>
  <c r="CA204" i="15"/>
  <c r="AV204" i="65" s="1"/>
  <c r="CD204" i="15"/>
  <c r="AS204" i="65"/>
  <c r="BO142" i="15"/>
  <c r="AQ142" i="65"/>
  <c r="BY142" i="15"/>
  <c r="FT142" i="15"/>
  <c r="BV142" i="15"/>
  <c r="CB142" i="15"/>
  <c r="FT151" i="15"/>
  <c r="BY151" i="15"/>
  <c r="BO151" i="15"/>
  <c r="CB151" i="15"/>
  <c r="AQ151" i="65"/>
  <c r="BV151" i="15"/>
  <c r="BY283" i="15"/>
  <c r="CB283" i="15"/>
  <c r="BO283" i="15"/>
  <c r="AQ283" i="65"/>
  <c r="FT283" i="15"/>
  <c r="BV283" i="15"/>
  <c r="BQ210" i="15"/>
  <c r="CA210" i="15"/>
  <c r="AV210" i="65" s="1"/>
  <c r="CD210" i="15"/>
  <c r="AS210" i="65"/>
  <c r="BQ230" i="15"/>
  <c r="CA230" i="15"/>
  <c r="AV230" i="65" s="1"/>
  <c r="CD230" i="15"/>
  <c r="AS230" i="65"/>
  <c r="AS187" i="65"/>
  <c r="CA187" i="15"/>
  <c r="AV187" i="65" s="1"/>
  <c r="BQ187" i="15"/>
  <c r="CD187" i="15"/>
  <c r="AS191" i="65"/>
  <c r="CD191" i="15"/>
  <c r="CA191" i="15"/>
  <c r="AV191" i="65" s="1"/>
  <c r="BQ191" i="15"/>
  <c r="BV147" i="15"/>
  <c r="BO147" i="15"/>
  <c r="FT147" i="15"/>
  <c r="AQ147" i="65"/>
  <c r="CB147" i="15"/>
  <c r="BY147" i="15"/>
  <c r="CD306" i="15"/>
  <c r="CA306" i="15"/>
  <c r="AV306" i="65" s="1"/>
  <c r="AS306" i="65"/>
  <c r="BQ306" i="15"/>
  <c r="BQ312" i="15"/>
  <c r="CD312" i="15"/>
  <c r="CA312" i="15"/>
  <c r="AV312" i="65" s="1"/>
  <c r="AS312" i="65"/>
  <c r="CA342" i="15"/>
  <c r="AV342" i="65" s="1"/>
  <c r="CD342" i="15"/>
  <c r="BQ342" i="15"/>
  <c r="AS342" i="65"/>
  <c r="BO176" i="15"/>
  <c r="BV176" i="15"/>
  <c r="AQ176" i="65"/>
  <c r="CB176" i="15"/>
  <c r="BY176" i="15"/>
  <c r="FT176" i="15"/>
  <c r="FT184" i="15"/>
  <c r="BV184" i="15"/>
  <c r="AQ184" i="65"/>
  <c r="CB184" i="15"/>
  <c r="BY184" i="15"/>
  <c r="BO184" i="15"/>
  <c r="BY248" i="15"/>
  <c r="BO248" i="15"/>
  <c r="CB248" i="15"/>
  <c r="FT248" i="15"/>
  <c r="AQ248" i="65"/>
  <c r="BV248" i="15"/>
  <c r="AQ219" i="65"/>
  <c r="BV219" i="15"/>
  <c r="CB219" i="15"/>
  <c r="BY219" i="15"/>
  <c r="FT219" i="15"/>
  <c r="BO219" i="15"/>
  <c r="BQ221" i="15"/>
  <c r="AS221" i="65"/>
  <c r="CD221" i="15"/>
  <c r="CA221" i="15"/>
  <c r="AV221" i="65" s="1"/>
  <c r="CA82" i="15"/>
  <c r="AV82" i="65" s="1"/>
  <c r="BQ82" i="15"/>
  <c r="CD82" i="15"/>
  <c r="AS82" i="65"/>
  <c r="AS299" i="65"/>
  <c r="CA299" i="15"/>
  <c r="AV299" i="65" s="1"/>
  <c r="CD299" i="15"/>
  <c r="BQ299" i="15"/>
  <c r="CD318" i="15"/>
  <c r="CA318" i="15"/>
  <c r="AV318" i="65" s="1"/>
  <c r="BQ318" i="15"/>
  <c r="AS318" i="65"/>
  <c r="AS284" i="65"/>
  <c r="CA284" i="15"/>
  <c r="AV284" i="65" s="1"/>
  <c r="BQ284" i="15"/>
  <c r="BR284" i="15" s="1"/>
  <c r="CD284" i="15"/>
  <c r="CB131" i="15"/>
  <c r="FT131" i="15"/>
  <c r="AQ131" i="65"/>
  <c r="BO131" i="15"/>
  <c r="BV131" i="15"/>
  <c r="BY131" i="15"/>
  <c r="BV138" i="15"/>
  <c r="CB138" i="15"/>
  <c r="AQ138" i="65"/>
  <c r="BO138" i="15"/>
  <c r="BR138" i="15" s="1"/>
  <c r="BY138" i="15"/>
  <c r="FT138" i="15"/>
  <c r="BL108" i="15"/>
  <c r="BL122" i="15"/>
  <c r="BN86" i="15"/>
  <c r="BN101" i="15"/>
  <c r="BN116" i="15"/>
  <c r="BL116" i="15"/>
  <c r="BN96" i="15"/>
  <c r="BN108" i="15"/>
  <c r="BN106" i="15"/>
  <c r="BN126" i="15"/>
  <c r="BL104" i="15"/>
  <c r="BN104" i="15"/>
  <c r="BN92" i="15"/>
  <c r="BL88" i="15"/>
  <c r="BN95" i="15"/>
  <c r="BN38" i="15"/>
  <c r="BN117" i="15"/>
  <c r="BL292" i="15"/>
  <c r="BL302" i="15"/>
  <c r="BL308" i="15"/>
  <c r="BL310" i="15"/>
  <c r="BL318" i="15"/>
  <c r="BL334" i="15"/>
  <c r="BL294" i="15"/>
  <c r="BL332" i="15"/>
  <c r="BL342" i="15"/>
  <c r="BL348" i="15"/>
  <c r="BN103" i="15"/>
  <c r="BL209" i="15"/>
  <c r="BL201" i="15"/>
  <c r="BN243" i="15"/>
  <c r="BN263" i="15"/>
  <c r="BL305" i="15"/>
  <c r="BN315" i="15"/>
  <c r="BL337" i="15"/>
  <c r="BN339" i="15"/>
  <c r="BL345" i="15"/>
  <c r="BN85" i="15"/>
  <c r="BL197" i="15"/>
  <c r="BL229" i="15"/>
  <c r="BL245" i="15"/>
  <c r="BN247" i="15"/>
  <c r="BN257" i="15"/>
  <c r="BL265" i="15"/>
  <c r="BL281" i="15"/>
  <c r="BN281" i="15"/>
  <c r="BL297" i="15"/>
  <c r="BL317" i="15"/>
  <c r="BL321" i="15"/>
  <c r="BL329" i="15"/>
  <c r="BN329" i="15"/>
  <c r="BN331" i="15"/>
  <c r="BN335" i="15"/>
  <c r="BL341" i="15"/>
  <c r="BL217" i="15"/>
  <c r="BL199" i="15"/>
  <c r="BL247" i="15"/>
  <c r="BN319" i="15"/>
  <c r="BL225" i="15"/>
  <c r="BL83" i="15"/>
  <c r="BN131" i="15"/>
  <c r="BN135" i="15"/>
  <c r="BL169" i="15"/>
  <c r="BN271" i="15"/>
  <c r="BN279" i="15"/>
  <c r="BL285" i="15"/>
  <c r="BN285" i="15"/>
  <c r="BL301" i="15"/>
  <c r="BN307" i="15"/>
  <c r="BN327" i="15"/>
  <c r="BN129" i="15"/>
  <c r="BL133" i="15"/>
  <c r="BN133" i="15"/>
  <c r="BN141" i="15"/>
  <c r="BL145" i="15"/>
  <c r="BN145" i="15"/>
  <c r="BL161" i="15"/>
  <c r="BL165" i="15"/>
  <c r="BL181" i="15"/>
  <c r="BL205" i="15"/>
  <c r="BL221" i="15"/>
  <c r="BL237" i="15"/>
  <c r="BN237" i="15"/>
  <c r="BL253" i="15"/>
  <c r="BN259" i="15"/>
  <c r="BN273" i="15"/>
  <c r="BN283" i="15"/>
  <c r="BN289" i="15"/>
  <c r="BL309" i="15"/>
  <c r="BL349" i="15"/>
  <c r="BN349" i="15"/>
  <c r="BL167" i="15"/>
  <c r="BL195" i="15"/>
  <c r="BL227" i="15"/>
  <c r="BL279" i="15"/>
  <c r="BN317" i="15"/>
  <c r="BL159" i="15"/>
  <c r="BL287" i="15"/>
  <c r="BN219" i="15"/>
  <c r="BN113" i="15"/>
  <c r="BN185" i="15"/>
  <c r="BN217" i="15"/>
  <c r="BL134" i="15"/>
  <c r="BL272" i="15"/>
  <c r="BN304" i="15"/>
  <c r="BL98" i="15"/>
  <c r="BL124" i="15"/>
  <c r="BL128" i="15"/>
  <c r="BL206" i="15"/>
  <c r="BL210" i="15"/>
  <c r="BL246" i="15"/>
  <c r="BL286" i="15"/>
  <c r="BL304" i="15"/>
  <c r="BL327" i="15"/>
  <c r="BY256" i="15"/>
  <c r="CB256" i="15"/>
  <c r="BV256" i="15"/>
  <c r="FT256" i="15"/>
  <c r="BO256" i="15"/>
  <c r="AQ256" i="65"/>
  <c r="AQ84" i="65"/>
  <c r="K84" i="5" s="1"/>
  <c r="FT84" i="15"/>
  <c r="BV84" i="15"/>
  <c r="CB84" i="15"/>
  <c r="BV323" i="15"/>
  <c r="FT323" i="15"/>
  <c r="BY323" i="15"/>
  <c r="AQ323" i="65"/>
  <c r="CB323" i="15"/>
  <c r="CA274" i="15"/>
  <c r="AV274" i="65" s="1"/>
  <c r="AS274" i="65"/>
  <c r="CB207" i="15"/>
  <c r="BO207" i="15"/>
  <c r="FT207" i="15"/>
  <c r="BV207" i="15"/>
  <c r="AQ207" i="65"/>
  <c r="BY207" i="15"/>
  <c r="CE207" i="15" s="1"/>
  <c r="BQ213" i="15"/>
  <c r="CD213" i="15"/>
  <c r="AS213" i="65"/>
  <c r="CD189" i="15"/>
  <c r="BQ189" i="15"/>
  <c r="BQ207" i="15"/>
  <c r="AS207" i="65"/>
  <c r="CA84" i="15"/>
  <c r="AV84" i="65" s="1"/>
  <c r="P84" i="5" s="1"/>
  <c r="AW84" i="73" s="1"/>
  <c r="CD84" i="15"/>
  <c r="AS84" i="65"/>
  <c r="M84" i="5" s="1"/>
  <c r="CA98" i="15"/>
  <c r="AV98" i="65" s="1"/>
  <c r="P98" i="5" s="1"/>
  <c r="AS98" i="65"/>
  <c r="M98" i="5" s="1"/>
  <c r="DB232" i="15"/>
  <c r="AT232" i="65"/>
  <c r="BR163" i="15"/>
  <c r="BR179" i="15"/>
  <c r="BR172" i="15"/>
  <c r="BR136" i="15"/>
  <c r="BR288" i="15"/>
  <c r="BL127" i="15"/>
  <c r="BN97" i="15"/>
  <c r="BL86" i="15"/>
  <c r="BN119" i="15"/>
  <c r="BL119" i="15"/>
  <c r="BN99" i="15"/>
  <c r="BN111" i="15"/>
  <c r="BN122" i="15"/>
  <c r="BN114" i="15"/>
  <c r="BN88" i="15"/>
  <c r="BN115" i="15"/>
  <c r="CD115" i="15" s="1"/>
  <c r="BL38" i="15"/>
  <c r="BN110" i="15"/>
  <c r="BL324" i="15"/>
  <c r="BL340" i="15"/>
  <c r="BL300" i="15"/>
  <c r="BL316" i="15"/>
  <c r="BL326" i="15"/>
  <c r="BL175" i="15"/>
  <c r="BL185" i="15"/>
  <c r="BN249" i="15"/>
  <c r="BL249" i="15"/>
  <c r="BN261" i="15"/>
  <c r="BL269" i="15"/>
  <c r="BN269" i="15"/>
  <c r="BL313" i="15"/>
  <c r="BL325" i="15"/>
  <c r="BN345" i="15"/>
  <c r="BL68" i="15"/>
  <c r="CB68" i="15" s="1"/>
  <c r="BL129" i="15"/>
  <c r="BL141" i="15"/>
  <c r="BL153" i="15"/>
  <c r="BL173" i="15"/>
  <c r="BN245" i="15"/>
  <c r="BN255" i="15"/>
  <c r="BN267" i="15"/>
  <c r="BN275" i="15"/>
  <c r="BL289" i="15"/>
  <c r="BL307" i="15"/>
  <c r="BL299" i="15"/>
  <c r="BL171" i="15"/>
  <c r="BL183" i="15"/>
  <c r="BL215" i="15"/>
  <c r="BL231" i="15"/>
  <c r="BL315" i="15"/>
  <c r="BN305" i="15"/>
  <c r="BL87" i="15"/>
  <c r="BL85" i="15"/>
  <c r="BV85" i="15" s="1"/>
  <c r="BN139" i="15"/>
  <c r="BN143" i="15"/>
  <c r="BN241" i="15"/>
  <c r="BN251" i="15"/>
  <c r="BN83" i="15"/>
  <c r="BL257" i="15"/>
  <c r="BL177" i="15"/>
  <c r="BL193" i="15"/>
  <c r="BL233" i="15"/>
  <c r="BL261" i="15"/>
  <c r="BL277" i="15"/>
  <c r="BL293" i="15"/>
  <c r="BN293" i="15"/>
  <c r="BN325" i="15"/>
  <c r="BL333" i="15"/>
  <c r="BN333" i="15"/>
  <c r="BN337" i="15"/>
  <c r="BN347" i="15"/>
  <c r="BN81" i="15"/>
  <c r="BL137" i="15"/>
  <c r="BN137" i="15"/>
  <c r="BL149" i="15"/>
  <c r="BL157" i="15"/>
  <c r="BL189" i="15"/>
  <c r="BN239" i="15"/>
  <c r="BN253" i="15"/>
  <c r="BN265" i="15"/>
  <c r="BL273" i="15"/>
  <c r="BN323" i="15"/>
  <c r="BN341" i="15"/>
  <c r="BN343" i="15"/>
  <c r="BL339" i="15"/>
  <c r="BN87" i="15"/>
  <c r="BL187" i="15"/>
  <c r="BL211" i="15"/>
  <c r="BL243" i="15"/>
  <c r="BL263" i="15"/>
  <c r="BL347" i="15"/>
  <c r="BN321" i="15"/>
  <c r="BL331" i="15"/>
  <c r="BL112" i="15"/>
  <c r="BL239" i="15"/>
  <c r="BL267" i="15"/>
  <c r="BN203" i="15"/>
  <c r="BN223" i="15"/>
  <c r="BN235" i="15"/>
  <c r="BL81" i="15"/>
  <c r="BL213" i="15"/>
  <c r="BN193" i="15"/>
  <c r="BN209" i="15"/>
  <c r="BL82" i="15"/>
  <c r="BL255" i="15"/>
  <c r="BN227" i="15"/>
  <c r="BN231" i="15"/>
  <c r="BL190" i="15"/>
  <c r="BL214" i="15"/>
  <c r="BL242" i="15"/>
  <c r="BN276" i="15"/>
  <c r="BL280" i="15"/>
  <c r="BL328" i="15"/>
  <c r="BL336" i="15"/>
  <c r="BL278" i="15"/>
  <c r="BL275" i="15"/>
  <c r="BL103" i="15"/>
  <c r="DB252" i="15"/>
  <c r="AT252" i="65"/>
  <c r="DB194" i="15"/>
  <c r="AT194" i="65"/>
  <c r="BQ120" i="15"/>
  <c r="AS120" i="65"/>
  <c r="M120" i="5" s="1"/>
  <c r="CA94" i="15"/>
  <c r="AV94" i="65" s="1"/>
  <c r="P94" i="5" s="1"/>
  <c r="AS94" i="65"/>
  <c r="M94" i="5" s="1"/>
  <c r="DB180" i="15"/>
  <c r="AT180" i="65"/>
  <c r="DB320" i="15"/>
  <c r="AT320" i="65"/>
  <c r="FC80" i="15"/>
  <c r="FB80" i="15" s="1"/>
  <c r="FA80" i="15" s="1"/>
  <c r="BG80" i="65" s="1"/>
  <c r="AG80" i="5" s="1"/>
  <c r="AM28" i="65"/>
  <c r="BR154" i="15"/>
  <c r="BR152" i="15"/>
  <c r="CF181" i="15"/>
  <c r="CC313" i="15"/>
  <c r="FU313" i="15"/>
  <c r="FA313" i="15" s="1"/>
  <c r="BG313" i="65" s="1"/>
  <c r="AR313" i="65"/>
  <c r="BP313" i="15"/>
  <c r="BZ313" i="15"/>
  <c r="HJ79" i="15"/>
  <c r="FU261" i="15"/>
  <c r="FA261" i="15" s="1"/>
  <c r="BG261" i="65" s="1"/>
  <c r="AR261" i="65"/>
  <c r="CC261" i="15"/>
  <c r="BZ261" i="15"/>
  <c r="BP261" i="15"/>
  <c r="AU80" i="65"/>
  <c r="O80" i="5" s="1"/>
  <c r="AV80" i="73" s="1"/>
  <c r="CE80" i="15"/>
  <c r="ER80" i="15" s="1"/>
  <c r="CF80" i="15"/>
  <c r="CF197" i="15"/>
  <c r="AU197" i="65"/>
  <c r="BM86" i="15"/>
  <c r="BM99" i="15"/>
  <c r="BM111" i="15"/>
  <c r="BM96" i="15"/>
  <c r="BM106" i="15"/>
  <c r="BM126" i="15"/>
  <c r="BM104" i="15"/>
  <c r="BM92" i="15"/>
  <c r="BM88" i="15"/>
  <c r="BM298" i="15"/>
  <c r="BM142" i="15"/>
  <c r="BP187" i="15"/>
  <c r="AR187" i="65"/>
  <c r="FU187" i="15"/>
  <c r="FA187" i="15" s="1"/>
  <c r="BG187" i="65" s="1"/>
  <c r="CC187" i="15"/>
  <c r="BZ187" i="15"/>
  <c r="BP169" i="15"/>
  <c r="FU169" i="15"/>
  <c r="FA169" i="15" s="1"/>
  <c r="BG169" i="65" s="1"/>
  <c r="AR169" i="65"/>
  <c r="BZ169" i="15"/>
  <c r="CC169" i="15"/>
  <c r="CC335" i="15"/>
  <c r="AR335" i="65"/>
  <c r="BZ335" i="15"/>
  <c r="FU335" i="15"/>
  <c r="FA335" i="15" s="1"/>
  <c r="BG335" i="65" s="1"/>
  <c r="BP335" i="15"/>
  <c r="BP231" i="15"/>
  <c r="AR231" i="65"/>
  <c r="CC231" i="15"/>
  <c r="FU231" i="15"/>
  <c r="FA231" i="15" s="1"/>
  <c r="BG231" i="65" s="1"/>
  <c r="BZ231" i="15"/>
  <c r="BP223" i="15"/>
  <c r="AR223" i="65"/>
  <c r="CC223" i="15"/>
  <c r="FU223" i="15"/>
  <c r="FA223" i="15" s="1"/>
  <c r="BG223" i="65" s="1"/>
  <c r="BZ223" i="15"/>
  <c r="AR337" i="65"/>
  <c r="FU337" i="15"/>
  <c r="FA337" i="15" s="1"/>
  <c r="BG337" i="65" s="1"/>
  <c r="BP337" i="15"/>
  <c r="CC337" i="15"/>
  <c r="BZ337" i="15"/>
  <c r="BZ321" i="15"/>
  <c r="BP321" i="15"/>
  <c r="CC321" i="15"/>
  <c r="FU321" i="15"/>
  <c r="FA321" i="15" s="1"/>
  <c r="BG321" i="65" s="1"/>
  <c r="AR321" i="65"/>
  <c r="CC331" i="15"/>
  <c r="AR331" i="65"/>
  <c r="FU331" i="15"/>
  <c r="BP331" i="15"/>
  <c r="BZ331" i="15"/>
  <c r="FU307" i="15"/>
  <c r="FA307" i="15" s="1"/>
  <c r="BG307" i="65" s="1"/>
  <c r="BP307" i="15"/>
  <c r="AR307" i="65"/>
  <c r="BZ307" i="15"/>
  <c r="CC307" i="15"/>
  <c r="BP291" i="15"/>
  <c r="BZ291" i="15"/>
  <c r="FU291" i="15"/>
  <c r="AR291" i="65"/>
  <c r="CC291" i="15"/>
  <c r="AR227" i="65"/>
  <c r="BP227" i="15"/>
  <c r="BZ227" i="15"/>
  <c r="FU227" i="15"/>
  <c r="FA227" i="15" s="1"/>
  <c r="BG227" i="65" s="1"/>
  <c r="CC227" i="15"/>
  <c r="BZ164" i="15"/>
  <c r="FU164" i="15"/>
  <c r="BP164" i="15"/>
  <c r="BR164" i="15" s="1"/>
  <c r="CC164" i="15"/>
  <c r="AR164" i="65"/>
  <c r="CC124" i="15"/>
  <c r="FU124" i="15"/>
  <c r="BP124" i="15"/>
  <c r="BZ124" i="15"/>
  <c r="AR98" i="65"/>
  <c r="L98" i="5" s="1"/>
  <c r="BP98" i="15"/>
  <c r="CC98" i="15"/>
  <c r="FU98" i="15"/>
  <c r="CC87" i="15"/>
  <c r="BP87" i="15"/>
  <c r="BZ87" i="15"/>
  <c r="FU87" i="15"/>
  <c r="AR87" i="65"/>
  <c r="L87" i="5" s="1"/>
  <c r="AR211" i="65"/>
  <c r="FU211" i="15"/>
  <c r="FA211" i="15" s="1"/>
  <c r="BG211" i="65" s="1"/>
  <c r="BZ211" i="15"/>
  <c r="CC211" i="15"/>
  <c r="BP211" i="15"/>
  <c r="BZ233" i="15"/>
  <c r="AR233" i="65"/>
  <c r="BP233" i="15"/>
  <c r="FU233" i="15"/>
  <c r="FA233" i="15" s="1"/>
  <c r="BG233" i="65" s="1"/>
  <c r="CC233" i="15"/>
  <c r="AR343" i="65"/>
  <c r="FU343" i="15"/>
  <c r="FA343" i="15" s="1"/>
  <c r="BG343" i="65" s="1"/>
  <c r="CC343" i="15"/>
  <c r="BP343" i="15"/>
  <c r="BZ343" i="15"/>
  <c r="FU345" i="15"/>
  <c r="FA345" i="15" s="1"/>
  <c r="BG345" i="65" s="1"/>
  <c r="AR345" i="65"/>
  <c r="CC345" i="15"/>
  <c r="BZ345" i="15"/>
  <c r="BP345" i="15"/>
  <c r="FU215" i="15"/>
  <c r="FA215" i="15" s="1"/>
  <c r="BG215" i="65" s="1"/>
  <c r="AR215" i="65"/>
  <c r="CC215" i="15"/>
  <c r="BZ215" i="15"/>
  <c r="BP215" i="15"/>
  <c r="BZ150" i="15"/>
  <c r="AR150" i="65"/>
  <c r="BP150" i="15"/>
  <c r="BR150" i="15" s="1"/>
  <c r="FU255" i="15"/>
  <c r="FA255" i="15" s="1"/>
  <c r="BG255" i="65" s="1"/>
  <c r="BP255" i="15"/>
  <c r="AR255" i="65"/>
  <c r="CC255" i="15"/>
  <c r="BZ255" i="15"/>
  <c r="BP118" i="15"/>
  <c r="CC118" i="15"/>
  <c r="FU118" i="15"/>
  <c r="AR118" i="65"/>
  <c r="L118" i="5" s="1"/>
  <c r="BZ118" i="15"/>
  <c r="AU118" i="65" s="1"/>
  <c r="O118" i="5" s="1"/>
  <c r="CC127" i="15"/>
  <c r="BZ127" i="15"/>
  <c r="FU127" i="15"/>
  <c r="BP127" i="15"/>
  <c r="AR127" i="65"/>
  <c r="L127" i="5" s="1"/>
  <c r="BM97" i="15"/>
  <c r="BM101" i="15"/>
  <c r="BM116" i="15"/>
  <c r="BM108" i="15"/>
  <c r="BM122" i="15"/>
  <c r="BM95" i="15"/>
  <c r="BM119" i="15"/>
  <c r="BM158" i="15"/>
  <c r="FU347" i="15"/>
  <c r="FA347" i="15" s="1"/>
  <c r="BG347" i="65" s="1"/>
  <c r="BZ347" i="15"/>
  <c r="AU347" i="65" s="1"/>
  <c r="BP347" i="15"/>
  <c r="CC347" i="15"/>
  <c r="AR347" i="65"/>
  <c r="CC137" i="15"/>
  <c r="BZ137" i="15"/>
  <c r="BP137" i="15"/>
  <c r="FU137" i="15"/>
  <c r="FA137" i="15" s="1"/>
  <c r="BG137" i="65" s="1"/>
  <c r="AR137" i="65"/>
  <c r="BZ143" i="15"/>
  <c r="CC143" i="15"/>
  <c r="FU143" i="15"/>
  <c r="FA143" i="15" s="1"/>
  <c r="BG143" i="65" s="1"/>
  <c r="BZ247" i="15"/>
  <c r="CC247" i="15"/>
  <c r="FU247" i="15"/>
  <c r="FA247" i="15" s="1"/>
  <c r="BG247" i="65" s="1"/>
  <c r="BP247" i="15"/>
  <c r="AR247" i="65"/>
  <c r="BP239" i="15"/>
  <c r="AR239" i="65"/>
  <c r="FU239" i="15"/>
  <c r="FA239" i="15" s="1"/>
  <c r="BG239" i="65" s="1"/>
  <c r="CC239" i="15"/>
  <c r="BZ239" i="15"/>
  <c r="AR341" i="65"/>
  <c r="FU341" i="15"/>
  <c r="FA341" i="15" s="1"/>
  <c r="BG341" i="65" s="1"/>
  <c r="CC341" i="15"/>
  <c r="BP341" i="15"/>
  <c r="BZ341" i="15"/>
  <c r="AR333" i="65"/>
  <c r="FU333" i="15"/>
  <c r="FA333" i="15" s="1"/>
  <c r="BG333" i="65" s="1"/>
  <c r="CC333" i="15"/>
  <c r="BP333" i="15"/>
  <c r="BZ333" i="15"/>
  <c r="BP305" i="15"/>
  <c r="BZ305" i="15"/>
  <c r="FU305" i="15"/>
  <c r="FA305" i="15" s="1"/>
  <c r="BG305" i="65" s="1"/>
  <c r="CC305" i="15"/>
  <c r="AR305" i="65"/>
  <c r="AR323" i="65"/>
  <c r="BZ323" i="15"/>
  <c r="BP323" i="15"/>
  <c r="FU323" i="15"/>
  <c r="CC323" i="15"/>
  <c r="CC299" i="15"/>
  <c r="BZ299" i="15"/>
  <c r="FU299" i="15"/>
  <c r="FA299" i="15" s="1"/>
  <c r="BG299" i="65" s="1"/>
  <c r="AR299" i="65"/>
  <c r="BP299" i="15"/>
  <c r="CC235" i="15"/>
  <c r="BZ235" i="15"/>
  <c r="AR235" i="65"/>
  <c r="BP235" i="15"/>
  <c r="FU235" i="15"/>
  <c r="FB235" i="15" s="1"/>
  <c r="BZ203" i="15"/>
  <c r="AU203" i="65" s="1"/>
  <c r="BP203" i="15"/>
  <c r="CC203" i="15"/>
  <c r="AR203" i="65"/>
  <c r="FU203" i="15"/>
  <c r="AR263" i="65"/>
  <c r="BP263" i="15"/>
  <c r="BZ263" i="15"/>
  <c r="FU153" i="15"/>
  <c r="FA153" i="15" s="1"/>
  <c r="BG153" i="65" s="1"/>
  <c r="BZ153" i="15"/>
  <c r="BP153" i="15"/>
  <c r="CC153" i="15"/>
  <c r="FU115" i="15"/>
  <c r="BP115" i="15"/>
  <c r="AR115" i="65"/>
  <c r="L115" i="5" s="1"/>
  <c r="BP100" i="15"/>
  <c r="BR100" i="15" s="1"/>
  <c r="FU100" i="15"/>
  <c r="AR100" i="65"/>
  <c r="L100" i="5" s="1"/>
  <c r="BZ100" i="15"/>
  <c r="CC100" i="15"/>
  <c r="BP81" i="15"/>
  <c r="BZ81" i="15"/>
  <c r="AR81" i="65"/>
  <c r="CC81" i="15"/>
  <c r="FU81" i="15"/>
  <c r="FA81" i="15" s="1"/>
  <c r="BG81" i="65" s="1"/>
  <c r="BZ349" i="15"/>
  <c r="CC349" i="15"/>
  <c r="FU349" i="15"/>
  <c r="FA349" i="15" s="1"/>
  <c r="BG349" i="65" s="1"/>
  <c r="AR349" i="65"/>
  <c r="BP349" i="15"/>
  <c r="BZ259" i="15"/>
  <c r="AR259" i="65"/>
  <c r="BP259" i="15"/>
  <c r="CC259" i="15"/>
  <c r="FU259" i="15"/>
  <c r="FC259" i="15" s="1"/>
  <c r="BP249" i="15"/>
  <c r="FU249" i="15"/>
  <c r="FA249" i="15" s="1"/>
  <c r="BG249" i="65" s="1"/>
  <c r="AR249" i="65"/>
  <c r="CC249" i="15"/>
  <c r="BZ249" i="15"/>
  <c r="CC327" i="15"/>
  <c r="AR327" i="65"/>
  <c r="BZ327" i="15"/>
  <c r="AU327" i="65" s="1"/>
  <c r="FU327" i="15"/>
  <c r="FA327" i="15" s="1"/>
  <c r="BG327" i="65" s="1"/>
  <c r="BP327" i="15"/>
  <c r="AR329" i="65"/>
  <c r="FU329" i="15"/>
  <c r="FA329" i="15" s="1"/>
  <c r="BG329" i="65" s="1"/>
  <c r="BP329" i="15"/>
  <c r="CC329" i="15"/>
  <c r="BZ329" i="15"/>
  <c r="FU191" i="15"/>
  <c r="CC191" i="15"/>
  <c r="BZ191" i="15"/>
  <c r="BP191" i="15"/>
  <c r="AR191" i="65"/>
  <c r="AR120" i="65"/>
  <c r="L120" i="5" s="1"/>
  <c r="CC120" i="15"/>
  <c r="BZ120" i="15"/>
  <c r="BP120" i="15"/>
  <c r="FU120" i="15"/>
  <c r="FU117" i="15"/>
  <c r="BZ117" i="15"/>
  <c r="AU117" i="65" s="1"/>
  <c r="O117" i="5" s="1"/>
  <c r="AR117" i="65"/>
  <c r="L117" i="5" s="1"/>
  <c r="CC117" i="15"/>
  <c r="FU110" i="15"/>
  <c r="CC110" i="15"/>
  <c r="BZ110" i="15"/>
  <c r="AU110" i="65" s="1"/>
  <c r="O110" i="5" s="1"/>
  <c r="BM114" i="15"/>
  <c r="BM216" i="15"/>
  <c r="BM224" i="15"/>
  <c r="BM234" i="15"/>
  <c r="BM260" i="15"/>
  <c r="CC260" i="15" s="1"/>
  <c r="BM268" i="15"/>
  <c r="CC268" i="15" s="1"/>
  <c r="BM270" i="15"/>
  <c r="BM294" i="15"/>
  <c r="CC294" i="15" s="1"/>
  <c r="BM302" i="15"/>
  <c r="BM334" i="15"/>
  <c r="BM336" i="15"/>
  <c r="BM346" i="15"/>
  <c r="BZ346" i="15" s="1"/>
  <c r="BM188" i="15"/>
  <c r="BM204" i="15"/>
  <c r="BM206" i="15"/>
  <c r="BM238" i="15"/>
  <c r="BM244" i="15"/>
  <c r="BM266" i="15"/>
  <c r="AR266" i="65" s="1"/>
  <c r="BM316" i="15"/>
  <c r="BM322" i="15"/>
  <c r="BZ322" i="15" s="1"/>
  <c r="BM328" i="15"/>
  <c r="BM340" i="15"/>
  <c r="BM144" i="15"/>
  <c r="BM148" i="15"/>
  <c r="BM160" i="15"/>
  <c r="BM94" i="15"/>
  <c r="BM184" i="15"/>
  <c r="BM208" i="15"/>
  <c r="BM218" i="15"/>
  <c r="BM250" i="15"/>
  <c r="BM200" i="15"/>
  <c r="BM226" i="15"/>
  <c r="CC226" i="15" s="1"/>
  <c r="BM248" i="15"/>
  <c r="BM256" i="15"/>
  <c r="BP256" i="15" s="1"/>
  <c r="BR256" i="15" s="1"/>
  <c r="BM262" i="15"/>
  <c r="BM314" i="15"/>
  <c r="CC314" i="15" s="1"/>
  <c r="BM338" i="15"/>
  <c r="AR338" i="65" s="1"/>
  <c r="BM196" i="15"/>
  <c r="BM220" i="15"/>
  <c r="BM228" i="15"/>
  <c r="BM246" i="15"/>
  <c r="CC246" i="15" s="1"/>
  <c r="BM264" i="15"/>
  <c r="BM308" i="15"/>
  <c r="BM310" i="15"/>
  <c r="BM348" i="15"/>
  <c r="BM134" i="15"/>
  <c r="BZ134" i="15" s="1"/>
  <c r="BM146" i="15"/>
  <c r="BM82" i="15"/>
  <c r="BM84" i="15"/>
  <c r="BM278" i="15"/>
  <c r="BM286" i="15"/>
  <c r="BM296" i="15"/>
  <c r="AU165" i="65"/>
  <c r="CF165" i="15"/>
  <c r="AU113" i="65"/>
  <c r="O113" i="5" s="1"/>
  <c r="CF189" i="15"/>
  <c r="AU189" i="65"/>
  <c r="CE179" i="15"/>
  <c r="AU179" i="65"/>
  <c r="ER179" i="15"/>
  <c r="CF179" i="15"/>
  <c r="AU217" i="65"/>
  <c r="AU315" i="65"/>
  <c r="BM38" i="15"/>
  <c r="BM102" i="15"/>
  <c r="BM202" i="15"/>
  <c r="BM192" i="15"/>
  <c r="BM194" i="15"/>
  <c r="BM232" i="15"/>
  <c r="BM306" i="15"/>
  <c r="BM326" i="15"/>
  <c r="BM332" i="15"/>
  <c r="BM190" i="15"/>
  <c r="BM214" i="15"/>
  <c r="BM230" i="15"/>
  <c r="BM254" i="15"/>
  <c r="BM318" i="15"/>
  <c r="BM342" i="15"/>
  <c r="BM128" i="15"/>
  <c r="BM132" i="15"/>
  <c r="BM168" i="15"/>
  <c r="BM178" i="15"/>
  <c r="BM210" i="15"/>
  <c r="BM242" i="15"/>
  <c r="BM176" i="15"/>
  <c r="FU176" i="15" s="1"/>
  <c r="BM186" i="15"/>
  <c r="CC186" i="15" s="1"/>
  <c r="BM240" i="15"/>
  <c r="BZ240" i="15" s="1"/>
  <c r="BM324" i="15"/>
  <c r="BM344" i="15"/>
  <c r="BM180" i="15"/>
  <c r="BM182" i="15"/>
  <c r="BM198" i="15"/>
  <c r="CC198" i="15" s="1"/>
  <c r="BM212" i="15"/>
  <c r="BM222" i="15"/>
  <c r="BM236" i="15"/>
  <c r="BM252" i="15"/>
  <c r="BM258" i="15"/>
  <c r="BM330" i="15"/>
  <c r="FU330" i="15" s="1"/>
  <c r="BM130" i="15"/>
  <c r="BM162" i="15"/>
  <c r="BM174" i="15"/>
  <c r="FU174" i="15" s="1"/>
  <c r="BM312" i="15"/>
  <c r="BM274" i="15"/>
  <c r="BM282" i="15"/>
  <c r="BM290" i="15"/>
  <c r="BM300" i="15"/>
  <c r="AU205" i="65"/>
  <c r="CF205" i="15"/>
  <c r="AU339" i="65"/>
  <c r="AU103" i="65"/>
  <c r="AU177" i="65"/>
  <c r="CF177" i="15"/>
  <c r="CF195" i="15"/>
  <c r="AU195" i="65"/>
  <c r="DB338" i="15"/>
  <c r="AT338" i="65"/>
  <c r="AT202" i="65"/>
  <c r="DB202" i="15"/>
  <c r="AT191" i="65"/>
  <c r="DB191" i="15"/>
  <c r="DB203" i="15"/>
  <c r="AT203" i="65"/>
  <c r="DB136" i="15"/>
  <c r="AT136" i="65"/>
  <c r="AT196" i="65"/>
  <c r="DB196" i="15"/>
  <c r="FB179" i="15"/>
  <c r="FC179" i="15"/>
  <c r="BR295" i="15"/>
  <c r="BR166" i="15"/>
  <c r="DB84" i="15"/>
  <c r="AU233" i="65"/>
  <c r="DC262" i="15"/>
  <c r="AY262" i="65" s="1"/>
  <c r="AX262" i="65"/>
  <c r="FC166" i="15"/>
  <c r="BR155" i="15"/>
  <c r="FC288" i="15"/>
  <c r="BR311" i="15"/>
  <c r="FC150" i="15"/>
  <c r="AU124" i="65"/>
  <c r="O124" i="5" s="1"/>
  <c r="HI62" i="15"/>
  <c r="AP62" i="65"/>
  <c r="HJ62" i="15"/>
  <c r="AX77" i="5"/>
  <c r="AZ77" i="5" s="1"/>
  <c r="AS77" i="73" s="1"/>
  <c r="AN38" i="65"/>
  <c r="J38" i="5"/>
  <c r="AT38" i="73" s="1"/>
  <c r="AT147" i="65"/>
  <c r="DB147" i="15"/>
  <c r="DB155" i="15"/>
  <c r="AT155" i="65"/>
  <c r="AU223" i="65"/>
  <c r="CE223" i="15"/>
  <c r="AU341" i="65"/>
  <c r="DC150" i="15"/>
  <c r="AY150" i="65" s="1"/>
  <c r="AX150" i="65"/>
  <c r="AM55" i="65"/>
  <c r="I55" i="5"/>
  <c r="BO85" i="15"/>
  <c r="I67" i="5"/>
  <c r="AM67" i="65"/>
  <c r="I79" i="5"/>
  <c r="AM79" i="65"/>
  <c r="CA139" i="15"/>
  <c r="CF139" i="15" s="1"/>
  <c r="BQ139" i="15"/>
  <c r="BR139" i="15" s="1"/>
  <c r="CD139" i="15"/>
  <c r="AS139" i="65"/>
  <c r="CD143" i="15"/>
  <c r="AU335" i="65"/>
  <c r="AU247" i="65"/>
  <c r="CD241" i="15"/>
  <c r="CA241" i="15"/>
  <c r="AV241" i="65" s="1"/>
  <c r="AS241" i="65"/>
  <c r="BQ241" i="15"/>
  <c r="BR241" i="15" s="1"/>
  <c r="BQ83" i="15"/>
  <c r="CA83" i="15"/>
  <c r="CD83" i="15"/>
  <c r="AS83" i="65"/>
  <c r="M83" i="5" s="1"/>
  <c r="CB257" i="15"/>
  <c r="AQ257" i="65"/>
  <c r="BZ176" i="15"/>
  <c r="BP176" i="15"/>
  <c r="BR176" i="15" s="1"/>
  <c r="AQ177" i="65"/>
  <c r="BV177" i="15"/>
  <c r="BY177" i="15"/>
  <c r="CE177" i="15" s="1"/>
  <c r="ER177" i="15" s="1"/>
  <c r="FT177" i="15"/>
  <c r="CB177" i="15"/>
  <c r="BO177" i="15"/>
  <c r="AQ193" i="65"/>
  <c r="FT233" i="15"/>
  <c r="CB233" i="15"/>
  <c r="BY233" i="15"/>
  <c r="BV233" i="15"/>
  <c r="AQ233" i="65"/>
  <c r="BO233" i="15"/>
  <c r="BR233" i="15" s="1"/>
  <c r="AR240" i="65"/>
  <c r="BP240" i="15"/>
  <c r="BR240" i="15" s="1"/>
  <c r="BZ262" i="15"/>
  <c r="CC262" i="15"/>
  <c r="BP262" i="15"/>
  <c r="BR262" i="15" s="1"/>
  <c r="FU262" i="15"/>
  <c r="AR262" i="65"/>
  <c r="AS271" i="65"/>
  <c r="CA279" i="15"/>
  <c r="AV279" i="65" s="1"/>
  <c r="CD279" i="15"/>
  <c r="BQ279" i="15"/>
  <c r="AS279" i="65"/>
  <c r="AQ285" i="65"/>
  <c r="BO285" i="15"/>
  <c r="CB285" i="15"/>
  <c r="BQ285" i="15"/>
  <c r="AS285" i="65"/>
  <c r="CD285" i="15"/>
  <c r="CA285" i="15"/>
  <c r="AV285" i="65" s="1"/>
  <c r="FT301" i="15"/>
  <c r="BY301" i="15"/>
  <c r="BV301" i="15"/>
  <c r="BQ307" i="15"/>
  <c r="CD307" i="15"/>
  <c r="AS307" i="65"/>
  <c r="CA307" i="15"/>
  <c r="AV307" i="65" s="1"/>
  <c r="CD327" i="15"/>
  <c r="CC338" i="15"/>
  <c r="FU338" i="15"/>
  <c r="BZ338" i="15"/>
  <c r="BP338" i="15"/>
  <c r="BR338" i="15" s="1"/>
  <c r="AP42" i="65"/>
  <c r="HJ42" i="15"/>
  <c r="HX42" i="15" s="1"/>
  <c r="BJ42" i="15" s="1"/>
  <c r="HK42" i="15"/>
  <c r="HY42" i="15" s="1"/>
  <c r="BK42" i="15" s="1"/>
  <c r="AU329" i="65"/>
  <c r="I63" i="5"/>
  <c r="AM63" i="65"/>
  <c r="CA129" i="15"/>
  <c r="AV129" i="65" s="1"/>
  <c r="BQ129" i="15"/>
  <c r="CD129" i="15"/>
  <c r="AS129" i="65"/>
  <c r="BY133" i="15"/>
  <c r="AQ133" i="65"/>
  <c r="BV133" i="15"/>
  <c r="CA133" i="15"/>
  <c r="AV133" i="65" s="1"/>
  <c r="AS133" i="65"/>
  <c r="CD133" i="15"/>
  <c r="BQ133" i="15"/>
  <c r="CB149" i="15"/>
  <c r="CB157" i="15"/>
  <c r="BV157" i="15"/>
  <c r="BY157" i="15"/>
  <c r="CE157" i="15" s="1"/>
  <c r="FT157" i="15"/>
  <c r="AQ157" i="65"/>
  <c r="BO157" i="15"/>
  <c r="FT181" i="15"/>
  <c r="BO181" i="15"/>
  <c r="BR181" i="15" s="1"/>
  <c r="BY181" i="15"/>
  <c r="CE181" i="15" s="1"/>
  <c r="CB181" i="15"/>
  <c r="AQ181" i="65"/>
  <c r="BV181" i="15"/>
  <c r="CB205" i="15"/>
  <c r="FT205" i="15"/>
  <c r="BY205" i="15"/>
  <c r="CE205" i="15" s="1"/>
  <c r="ER205" i="15" s="1"/>
  <c r="AR220" i="65"/>
  <c r="BZ220" i="15"/>
  <c r="FU220" i="15"/>
  <c r="CC220" i="15"/>
  <c r="BP220" i="15"/>
  <c r="BR220" i="15" s="1"/>
  <c r="FT221" i="15"/>
  <c r="BY221" i="15"/>
  <c r="CE221" i="15" s="1"/>
  <c r="BV221" i="15"/>
  <c r="AQ221" i="65"/>
  <c r="CB221" i="15"/>
  <c r="BO221" i="15"/>
  <c r="BR221" i="15" s="1"/>
  <c r="FU228" i="15"/>
  <c r="CB237" i="15"/>
  <c r="BO237" i="15"/>
  <c r="AQ237" i="65"/>
  <c r="BQ237" i="15"/>
  <c r="CA237" i="15"/>
  <c r="AV237" i="65" s="1"/>
  <c r="CD237" i="15"/>
  <c r="AS237" i="65"/>
  <c r="BZ246" i="15"/>
  <c r="FU246" i="15"/>
  <c r="AR246" i="65"/>
  <c r="BP246" i="15"/>
  <c r="BY253" i="15"/>
  <c r="AQ253" i="65"/>
  <c r="CA259" i="15"/>
  <c r="AV259" i="65" s="1"/>
  <c r="CD259" i="15"/>
  <c r="AS259" i="65"/>
  <c r="BQ259" i="15"/>
  <c r="BR259" i="15" s="1"/>
  <c r="CD273" i="15"/>
  <c r="CD283" i="15"/>
  <c r="BQ283" i="15"/>
  <c r="BR283" i="15" s="1"/>
  <c r="CA283" i="15"/>
  <c r="AV283" i="65" s="1"/>
  <c r="AS283" i="65"/>
  <c r="BQ289" i="15"/>
  <c r="BQ323" i="15"/>
  <c r="CA323" i="15"/>
  <c r="AV323" i="65" s="1"/>
  <c r="CD323" i="15"/>
  <c r="AS323" i="65"/>
  <c r="AS341" i="65"/>
  <c r="CA343" i="15"/>
  <c r="AV343" i="65" s="1"/>
  <c r="CD343" i="15"/>
  <c r="BQ343" i="15"/>
  <c r="AS343" i="65"/>
  <c r="CF299" i="15"/>
  <c r="CE291" i="15"/>
  <c r="ER291" i="15" s="1"/>
  <c r="AU291" i="65"/>
  <c r="CF291" i="15"/>
  <c r="CE203" i="15"/>
  <c r="CC130" i="15"/>
  <c r="BP130" i="15"/>
  <c r="BR130" i="15" s="1"/>
  <c r="BZ130" i="15"/>
  <c r="AR130" i="65"/>
  <c r="FU130" i="15"/>
  <c r="FA130" i="15" s="1"/>
  <c r="BG130" i="65" s="1"/>
  <c r="CC162" i="15"/>
  <c r="CC174" i="15"/>
  <c r="AR174" i="65"/>
  <c r="BZ174" i="15"/>
  <c r="FT339" i="15"/>
  <c r="AQ339" i="65"/>
  <c r="CD87" i="15"/>
  <c r="CA87" i="15"/>
  <c r="AV87" i="65" s="1"/>
  <c r="AS87" i="65"/>
  <c r="M87" i="5" s="1"/>
  <c r="BQ87" i="15"/>
  <c r="FT167" i="15"/>
  <c r="AQ167" i="65"/>
  <c r="CB167" i="15"/>
  <c r="CB195" i="15"/>
  <c r="BY195" i="15"/>
  <c r="CE195" i="15" s="1"/>
  <c r="ER195" i="15" s="1"/>
  <c r="AQ195" i="65"/>
  <c r="BV195" i="15"/>
  <c r="BO195" i="15"/>
  <c r="BR195" i="15" s="1"/>
  <c r="FT195" i="15"/>
  <c r="BO227" i="15"/>
  <c r="CB227" i="15"/>
  <c r="BO279" i="15"/>
  <c r="BV279" i="15"/>
  <c r="AQ279" i="65"/>
  <c r="FT279" i="15"/>
  <c r="FC279" i="15" s="1"/>
  <c r="CB279" i="15"/>
  <c r="BY279" i="15"/>
  <c r="CD317" i="15"/>
  <c r="FU38" i="15"/>
  <c r="AS103" i="65"/>
  <c r="CD103" i="15"/>
  <c r="AU343" i="65"/>
  <c r="CE343" i="15"/>
  <c r="FT185" i="15"/>
  <c r="FU202" i="15"/>
  <c r="CA249" i="15"/>
  <c r="AV249" i="65" s="1"/>
  <c r="CD249" i="15"/>
  <c r="AS249" i="65"/>
  <c r="BQ249" i="15"/>
  <c r="BY201" i="15"/>
  <c r="CE201" i="15" s="1"/>
  <c r="AQ201" i="65"/>
  <c r="BO201" i="15"/>
  <c r="BR201" i="15" s="1"/>
  <c r="CA243" i="15"/>
  <c r="CD243" i="15"/>
  <c r="BQ243" i="15"/>
  <c r="AS243" i="65"/>
  <c r="BZ260" i="15"/>
  <c r="AR260" i="65"/>
  <c r="BP260" i="15"/>
  <c r="BR260" i="15" s="1"/>
  <c r="FU260" i="15"/>
  <c r="CA263" i="15"/>
  <c r="AV263" i="65" s="1"/>
  <c r="BQ263" i="15"/>
  <c r="CC270" i="15"/>
  <c r="FU270" i="15"/>
  <c r="AR270" i="65"/>
  <c r="BZ270" i="15"/>
  <c r="BP270" i="15"/>
  <c r="BR270" i="15" s="1"/>
  <c r="BZ302" i="15"/>
  <c r="BP302" i="15"/>
  <c r="AR302" i="65"/>
  <c r="FU302" i="15"/>
  <c r="FA302" i="15" s="1"/>
  <c r="BG302" i="65" s="1"/>
  <c r="CC302" i="15"/>
  <c r="BO305" i="15"/>
  <c r="BV305" i="15"/>
  <c r="BY305" i="15"/>
  <c r="CB305" i="15"/>
  <c r="AQ305" i="65"/>
  <c r="FT305" i="15"/>
  <c r="AS315" i="65"/>
  <c r="FU334" i="15"/>
  <c r="FA334" i="15" s="1"/>
  <c r="BG334" i="65" s="1"/>
  <c r="BP336" i="15"/>
  <c r="AR336" i="65"/>
  <c r="BZ336" i="15"/>
  <c r="CC336" i="15"/>
  <c r="FU336" i="15"/>
  <c r="AQ337" i="65"/>
  <c r="BV337" i="15"/>
  <c r="FT337" i="15"/>
  <c r="BY337" i="15"/>
  <c r="CB337" i="15"/>
  <c r="BO337" i="15"/>
  <c r="CD339" i="15"/>
  <c r="BQ339" i="15"/>
  <c r="AS339" i="65"/>
  <c r="FT345" i="15"/>
  <c r="CB345" i="15"/>
  <c r="BO345" i="15"/>
  <c r="AQ345" i="65"/>
  <c r="BY345" i="15"/>
  <c r="BV345" i="15"/>
  <c r="AP68" i="65"/>
  <c r="HJ68" i="15"/>
  <c r="HX68" i="15" s="1"/>
  <c r="HK68" i="15"/>
  <c r="HY68" i="15" s="1"/>
  <c r="BV129" i="15"/>
  <c r="CB129" i="15"/>
  <c r="BO141" i="15"/>
  <c r="BV141" i="15"/>
  <c r="BY141" i="15"/>
  <c r="CE141" i="15" s="1"/>
  <c r="FT141" i="15"/>
  <c r="AQ141" i="65"/>
  <c r="CB141" i="15"/>
  <c r="BZ188" i="15"/>
  <c r="AR188" i="65"/>
  <c r="FU188" i="15"/>
  <c r="BP188" i="15"/>
  <c r="BR188" i="15" s="1"/>
  <c r="CC188" i="15"/>
  <c r="BO197" i="15"/>
  <c r="BR197" i="15" s="1"/>
  <c r="BY197" i="15"/>
  <c r="CE197" i="15" s="1"/>
  <c r="ER197" i="15" s="1"/>
  <c r="FT197" i="15"/>
  <c r="CB197" i="15"/>
  <c r="BV197" i="15"/>
  <c r="AQ197" i="65"/>
  <c r="BZ204" i="15"/>
  <c r="FU206" i="15"/>
  <c r="CC206" i="15"/>
  <c r="BZ206" i="15"/>
  <c r="BP206" i="15"/>
  <c r="AR206" i="65"/>
  <c r="CB229" i="15"/>
  <c r="BO229" i="15"/>
  <c r="BR229" i="15" s="1"/>
  <c r="FT229" i="15"/>
  <c r="BY229" i="15"/>
  <c r="BP244" i="15"/>
  <c r="BR244" i="15" s="1"/>
  <c r="CC244" i="15"/>
  <c r="BZ244" i="15"/>
  <c r="FU244" i="15"/>
  <c r="AR244" i="65"/>
  <c r="BV245" i="15"/>
  <c r="FT245" i="15"/>
  <c r="AQ245" i="65"/>
  <c r="BO245" i="15"/>
  <c r="BY245" i="15"/>
  <c r="CB245" i="15"/>
  <c r="CA247" i="15"/>
  <c r="AV247" i="65" s="1"/>
  <c r="BQ247" i="15"/>
  <c r="CD257" i="15"/>
  <c r="AS257" i="65"/>
  <c r="CA257" i="15"/>
  <c r="AV257" i="65" s="1"/>
  <c r="BQ257" i="15"/>
  <c r="BY265" i="15"/>
  <c r="CE265" i="15" s="1"/>
  <c r="BV265" i="15"/>
  <c r="CB281" i="15"/>
  <c r="BO281" i="15"/>
  <c r="AQ281" i="65"/>
  <c r="BY281" i="15"/>
  <c r="FT281" i="15"/>
  <c r="FC281" i="15" s="1"/>
  <c r="BV281" i="15"/>
  <c r="AS281" i="65"/>
  <c r="CB297" i="15"/>
  <c r="AQ297" i="65"/>
  <c r="BV297" i="15"/>
  <c r="BY297" i="15"/>
  <c r="BO297" i="15"/>
  <c r="BR297" i="15" s="1"/>
  <c r="FT297" i="15"/>
  <c r="BZ316" i="15"/>
  <c r="BP316" i="15"/>
  <c r="AR316" i="65"/>
  <c r="CC316" i="15"/>
  <c r="FU316" i="15"/>
  <c r="FA316" i="15" s="1"/>
  <c r="BG316" i="65" s="1"/>
  <c r="AQ317" i="65"/>
  <c r="CB317" i="15"/>
  <c r="FT321" i="15"/>
  <c r="BV321" i="15"/>
  <c r="CB321" i="15"/>
  <c r="AQ321" i="65"/>
  <c r="BO321" i="15"/>
  <c r="BY321" i="15"/>
  <c r="BP322" i="15"/>
  <c r="BR322" i="15" s="1"/>
  <c r="CC328" i="15"/>
  <c r="FU328" i="15"/>
  <c r="AR328" i="65"/>
  <c r="BP328" i="15"/>
  <c r="BZ328" i="15"/>
  <c r="AQ329" i="65"/>
  <c r="BO329" i="15"/>
  <c r="CD329" i="15"/>
  <c r="CA329" i="15"/>
  <c r="AV329" i="65" s="1"/>
  <c r="BQ329" i="15"/>
  <c r="AS329" i="65"/>
  <c r="AS331" i="65"/>
  <c r="BQ331" i="15"/>
  <c r="CD335" i="15"/>
  <c r="AS335" i="65"/>
  <c r="CA335" i="15"/>
  <c r="AV335" i="65" s="1"/>
  <c r="BQ335" i="15"/>
  <c r="BR335" i="15" s="1"/>
  <c r="BP340" i="15"/>
  <c r="CC340" i="15"/>
  <c r="CB341" i="15"/>
  <c r="BY341" i="15"/>
  <c r="AX57" i="5"/>
  <c r="AZ57" i="5" s="1"/>
  <c r="AS57" i="73" s="1"/>
  <c r="AY57" i="5"/>
  <c r="CC144" i="15"/>
  <c r="BZ144" i="15"/>
  <c r="BP144" i="15"/>
  <c r="BR144" i="15" s="1"/>
  <c r="FU144" i="15"/>
  <c r="AR144" i="65"/>
  <c r="FU148" i="15"/>
  <c r="FU160" i="15"/>
  <c r="BZ160" i="15"/>
  <c r="CC160" i="15"/>
  <c r="AR160" i="65"/>
  <c r="BP160" i="15"/>
  <c r="BR160" i="15" s="1"/>
  <c r="BP94" i="15"/>
  <c r="AP48" i="65"/>
  <c r="HK48" i="15"/>
  <c r="HJ48" i="15"/>
  <c r="HI66" i="15"/>
  <c r="AP66" i="65"/>
  <c r="HJ66" i="15"/>
  <c r="HK66" i="15"/>
  <c r="BY217" i="15"/>
  <c r="CE217" i="15" s="1"/>
  <c r="AQ217" i="65"/>
  <c r="BO217" i="15"/>
  <c r="BV217" i="15"/>
  <c r="FT217" i="15"/>
  <c r="CB217" i="15"/>
  <c r="BO199" i="15"/>
  <c r="BR199" i="15" s="1"/>
  <c r="AQ199" i="65"/>
  <c r="BY199" i="15"/>
  <c r="CE199" i="15" s="1"/>
  <c r="BY247" i="15"/>
  <c r="CE247" i="15" s="1"/>
  <c r="AQ247" i="65"/>
  <c r="CB247" i="15"/>
  <c r="BV247" i="15"/>
  <c r="FT247" i="15"/>
  <c r="BO247" i="15"/>
  <c r="AU255" i="65"/>
  <c r="AS319" i="65"/>
  <c r="AT259" i="65"/>
  <c r="DB259" i="15"/>
  <c r="AU231" i="65"/>
  <c r="AR184" i="65"/>
  <c r="FU184" i="15"/>
  <c r="BZ184" i="15"/>
  <c r="CC184" i="15"/>
  <c r="BP184" i="15"/>
  <c r="BR184" i="15" s="1"/>
  <c r="AR208" i="65"/>
  <c r="AR218" i="65"/>
  <c r="BZ218" i="15"/>
  <c r="CC218" i="15"/>
  <c r="FU218" i="15"/>
  <c r="BP218" i="15"/>
  <c r="BR218" i="15" s="1"/>
  <c r="AQ225" i="65"/>
  <c r="BY225" i="15"/>
  <c r="CE225" i="15" s="1"/>
  <c r="CB225" i="15"/>
  <c r="BO225" i="15"/>
  <c r="BV225" i="15"/>
  <c r="FT225" i="15"/>
  <c r="BZ250" i="15"/>
  <c r="AR250" i="65"/>
  <c r="AQ83" i="65"/>
  <c r="K83" i="5" s="1"/>
  <c r="AR83" i="73" s="1"/>
  <c r="FT83" i="15"/>
  <c r="FC83" i="15" s="1"/>
  <c r="FB83" i="15" s="1"/>
  <c r="FA83" i="15" s="1"/>
  <c r="BG83" i="65" s="1"/>
  <c r="AG83" i="5" s="1"/>
  <c r="BY83" i="15"/>
  <c r="CE83" i="15" s="1"/>
  <c r="CA131" i="15"/>
  <c r="AV131" i="65" s="1"/>
  <c r="AS131" i="65"/>
  <c r="CD131" i="15"/>
  <c r="BQ131" i="15"/>
  <c r="BR131" i="15" s="1"/>
  <c r="CA135" i="15"/>
  <c r="AV135" i="65" s="1"/>
  <c r="CD135" i="15"/>
  <c r="CB169" i="15"/>
  <c r="FT169" i="15"/>
  <c r="BV169" i="15"/>
  <c r="BO169" i="15"/>
  <c r="BY169" i="15"/>
  <c r="AQ169" i="65"/>
  <c r="BZ200" i="15"/>
  <c r="BP200" i="15"/>
  <c r="BR200" i="15" s="1"/>
  <c r="CC200" i="15"/>
  <c r="FU200" i="15"/>
  <c r="AR200" i="65"/>
  <c r="BP226" i="15"/>
  <c r="BR226" i="15" s="1"/>
  <c r="BZ248" i="15"/>
  <c r="CC248" i="15"/>
  <c r="AR248" i="65"/>
  <c r="BP248" i="15"/>
  <c r="BR248" i="15" s="1"/>
  <c r="FU248" i="15"/>
  <c r="BV261" i="15"/>
  <c r="BY261" i="15"/>
  <c r="FT277" i="15"/>
  <c r="FB277" i="15" s="1"/>
  <c r="BV277" i="15"/>
  <c r="AQ277" i="65"/>
  <c r="CB277" i="15"/>
  <c r="BY277" i="15"/>
  <c r="BO277" i="15"/>
  <c r="BR277" i="15" s="1"/>
  <c r="BV293" i="15"/>
  <c r="AQ293" i="65"/>
  <c r="BO293" i="15"/>
  <c r="BQ293" i="15"/>
  <c r="AS293" i="65"/>
  <c r="CA293" i="15"/>
  <c r="AV293" i="65" s="1"/>
  <c r="CD293" i="15"/>
  <c r="AS325" i="65"/>
  <c r="FT333" i="15"/>
  <c r="BV333" i="15"/>
  <c r="BO333" i="15"/>
  <c r="BY333" i="15"/>
  <c r="CE333" i="15" s="1"/>
  <c r="AQ333" i="65"/>
  <c r="CB333" i="15"/>
  <c r="BQ333" i="15"/>
  <c r="BQ337" i="15"/>
  <c r="CD337" i="15"/>
  <c r="CA337" i="15"/>
  <c r="AV337" i="65" s="1"/>
  <c r="AS337" i="65"/>
  <c r="FU344" i="15"/>
  <c r="CC344" i="15"/>
  <c r="BZ344" i="15"/>
  <c r="AR344" i="65"/>
  <c r="BP344" i="15"/>
  <c r="BR344" i="15" s="1"/>
  <c r="BQ347" i="15"/>
  <c r="BQ81" i="15"/>
  <c r="CD81" i="15"/>
  <c r="CA81" i="15"/>
  <c r="AV81" i="65" s="1"/>
  <c r="AS81" i="65"/>
  <c r="FT137" i="15"/>
  <c r="CB137" i="15"/>
  <c r="AQ137" i="65"/>
  <c r="BO137" i="15"/>
  <c r="CD137" i="15"/>
  <c r="BQ137" i="15"/>
  <c r="CA137" i="15"/>
  <c r="AV137" i="65" s="1"/>
  <c r="AS137" i="65"/>
  <c r="AS141" i="65"/>
  <c r="BQ141" i="15"/>
  <c r="AQ145" i="65"/>
  <c r="FT145" i="15"/>
  <c r="FC145" i="15" s="1"/>
  <c r="BV145" i="15"/>
  <c r="BY145" i="15"/>
  <c r="CB145" i="15"/>
  <c r="BO145" i="15"/>
  <c r="CA145" i="15"/>
  <c r="AV145" i="65" s="1"/>
  <c r="AS145" i="65"/>
  <c r="FT161" i="15"/>
  <c r="FC161" i="15" s="1"/>
  <c r="BO161" i="15"/>
  <c r="BR161" i="15" s="1"/>
  <c r="AQ161" i="65"/>
  <c r="CB161" i="15"/>
  <c r="BV161" i="15"/>
  <c r="BY161" i="15"/>
  <c r="BO165" i="15"/>
  <c r="BR165" i="15" s="1"/>
  <c r="FT165" i="15"/>
  <c r="BY165" i="15"/>
  <c r="CE165" i="15" s="1"/>
  <c r="ER165" i="15" s="1"/>
  <c r="BZ180" i="15"/>
  <c r="CC180" i="15"/>
  <c r="AR182" i="65"/>
  <c r="BZ182" i="15"/>
  <c r="BP182" i="15"/>
  <c r="BR182" i="15" s="1"/>
  <c r="FU182" i="15"/>
  <c r="CC182" i="15"/>
  <c r="CB189" i="15"/>
  <c r="BO189" i="15"/>
  <c r="BR189" i="15" s="1"/>
  <c r="BV189" i="15"/>
  <c r="AR212" i="65"/>
  <c r="CC212" i="15"/>
  <c r="FU212" i="15"/>
  <c r="BP212" i="15"/>
  <c r="BR212" i="15" s="1"/>
  <c r="BZ212" i="15"/>
  <c r="BP222" i="15"/>
  <c r="BR222" i="15" s="1"/>
  <c r="FU222" i="15"/>
  <c r="FU236" i="15"/>
  <c r="BP236" i="15"/>
  <c r="BR236" i="15" s="1"/>
  <c r="AR236" i="65"/>
  <c r="BZ236" i="15"/>
  <c r="CC236" i="15"/>
  <c r="CD239" i="15"/>
  <c r="CA239" i="15"/>
  <c r="AV239" i="65" s="1"/>
  <c r="BQ239" i="15"/>
  <c r="AS239" i="65"/>
  <c r="AR252" i="65"/>
  <c r="BZ252" i="15"/>
  <c r="CD253" i="15"/>
  <c r="BQ253" i="15"/>
  <c r="BZ258" i="15"/>
  <c r="CC258" i="15"/>
  <c r="AR258" i="65"/>
  <c r="FU258" i="15"/>
  <c r="BP258" i="15"/>
  <c r="BR258" i="15" s="1"/>
  <c r="CA265" i="15"/>
  <c r="CD265" i="15"/>
  <c r="BQ265" i="15"/>
  <c r="AS265" i="65"/>
  <c r="CB273" i="15"/>
  <c r="AQ273" i="65"/>
  <c r="BV273" i="15"/>
  <c r="FU308" i="15"/>
  <c r="FA308" i="15" s="1"/>
  <c r="BG308" i="65" s="1"/>
  <c r="BP308" i="15"/>
  <c r="AR308" i="65"/>
  <c r="BZ308" i="15"/>
  <c r="CC308" i="15"/>
  <c r="BO309" i="15"/>
  <c r="BR309" i="15" s="1"/>
  <c r="FT309" i="15"/>
  <c r="FC309" i="15" s="1"/>
  <c r="BV309" i="15"/>
  <c r="AQ309" i="65"/>
  <c r="BY309" i="15"/>
  <c r="CB309" i="15"/>
  <c r="BZ310" i="15"/>
  <c r="CC310" i="15"/>
  <c r="AR348" i="65"/>
  <c r="BZ348" i="15"/>
  <c r="BP348" i="15"/>
  <c r="FU348" i="15"/>
  <c r="FA348" i="15" s="1"/>
  <c r="BG348" i="65" s="1"/>
  <c r="CC348" i="15"/>
  <c r="BV349" i="15"/>
  <c r="CB349" i="15"/>
  <c r="AQ349" i="65"/>
  <c r="BQ349" i="15"/>
  <c r="CA349" i="15"/>
  <c r="AV349" i="65" s="1"/>
  <c r="AS349" i="65"/>
  <c r="CD349" i="15"/>
  <c r="AU331" i="65"/>
  <c r="FA331" i="15"/>
  <c r="BG331" i="65" s="1"/>
  <c r="FA323" i="15"/>
  <c r="BG323" i="65" s="1"/>
  <c r="FB323" i="15"/>
  <c r="FA235" i="15"/>
  <c r="BG235" i="65" s="1"/>
  <c r="AU227" i="65"/>
  <c r="FB203" i="15"/>
  <c r="FA203" i="15"/>
  <c r="BG203" i="65" s="1"/>
  <c r="FC203" i="15"/>
  <c r="AR134" i="65"/>
  <c r="BP134" i="15"/>
  <c r="FU146" i="15"/>
  <c r="AR146" i="65"/>
  <c r="CC146" i="15"/>
  <c r="BZ146" i="15"/>
  <c r="BP146" i="15"/>
  <c r="FU82" i="15"/>
  <c r="BZ82" i="15"/>
  <c r="AR82" i="65"/>
  <c r="BO187" i="15"/>
  <c r="BR187" i="15" s="1"/>
  <c r="FT187" i="15"/>
  <c r="BV187" i="15"/>
  <c r="AQ187" i="65"/>
  <c r="BY187" i="15"/>
  <c r="CB187" i="15"/>
  <c r="FT211" i="15"/>
  <c r="BY211" i="15"/>
  <c r="BV211" i="15"/>
  <c r="CB211" i="15"/>
  <c r="BO211" i="15"/>
  <c r="BR211" i="15" s="1"/>
  <c r="AQ211" i="65"/>
  <c r="FT243" i="15"/>
  <c r="BY243" i="15"/>
  <c r="CE243" i="15" s="1"/>
  <c r="BV243" i="15"/>
  <c r="CB243" i="15"/>
  <c r="BO243" i="15"/>
  <c r="AQ243" i="65"/>
  <c r="AQ263" i="65"/>
  <c r="FT263" i="15"/>
  <c r="CB263" i="15"/>
  <c r="BO263" i="15"/>
  <c r="BY263" i="15"/>
  <c r="BV263" i="15"/>
  <c r="BY347" i="15"/>
  <c r="CE347" i="15" s="1"/>
  <c r="FT347" i="15"/>
  <c r="AQ347" i="65"/>
  <c r="CB347" i="15"/>
  <c r="BV347" i="15"/>
  <c r="BO347" i="15"/>
  <c r="CA321" i="15"/>
  <c r="AV321" i="65" s="1"/>
  <c r="CD321" i="15"/>
  <c r="AS321" i="65"/>
  <c r="BQ321" i="15"/>
  <c r="FU84" i="15"/>
  <c r="FC84" i="15" s="1"/>
  <c r="FB84" i="15" s="1"/>
  <c r="FA84" i="15" s="1"/>
  <c r="BG84" i="65" s="1"/>
  <c r="AG84" i="5" s="1"/>
  <c r="BZ84" i="15"/>
  <c r="BP84" i="15"/>
  <c r="BR84" i="15" s="1"/>
  <c r="CC84" i="15"/>
  <c r="AR84" i="65"/>
  <c r="L84" i="5" s="1"/>
  <c r="BR157" i="15"/>
  <c r="BR146" i="15"/>
  <c r="BR225" i="15"/>
  <c r="FC223" i="15"/>
  <c r="CB38" i="15"/>
  <c r="FT38" i="15"/>
  <c r="HI25" i="15"/>
  <c r="BQ115" i="15"/>
  <c r="CA110" i="15"/>
  <c r="AV110" i="65" s="1"/>
  <c r="P110" i="5" s="1"/>
  <c r="CD117" i="15"/>
  <c r="CF98" i="15"/>
  <c r="BR156" i="15"/>
  <c r="BR151" i="15"/>
  <c r="HR57" i="15"/>
  <c r="HJ57" i="15" s="1"/>
  <c r="IE57" i="15"/>
  <c r="ID57" i="15"/>
  <c r="IF57" i="15"/>
  <c r="BG59" i="15"/>
  <c r="BR177" i="15"/>
  <c r="BR291" i="15"/>
  <c r="AR142" i="65"/>
  <c r="CC298" i="15"/>
  <c r="HI42" i="15"/>
  <c r="HW42" i="15" s="1"/>
  <c r="BH42" i="15" s="1"/>
  <c r="FB223" i="15"/>
  <c r="FC323" i="15"/>
  <c r="CF272" i="15"/>
  <c r="AU272" i="65"/>
  <c r="FC276" i="15"/>
  <c r="FA276" i="15"/>
  <c r="BG276" i="65" s="1"/>
  <c r="FB276" i="15"/>
  <c r="AU280" i="65"/>
  <c r="CF280" i="15"/>
  <c r="FA284" i="15"/>
  <c r="BG284" i="65" s="1"/>
  <c r="FB284" i="15"/>
  <c r="FC284" i="15"/>
  <c r="CF288" i="15"/>
  <c r="CE288" i="15"/>
  <c r="ER288" i="15" s="1"/>
  <c r="AU288" i="65"/>
  <c r="AU320" i="65"/>
  <c r="CF320" i="15"/>
  <c r="CE320" i="15"/>
  <c r="ER320" i="15" s="1"/>
  <c r="FA271" i="15"/>
  <c r="BG271" i="65" s="1"/>
  <c r="FB271" i="15"/>
  <c r="FC271" i="15"/>
  <c r="AU273" i="65"/>
  <c r="AU275" i="65"/>
  <c r="CF277" i="15"/>
  <c r="AU277" i="65"/>
  <c r="CE277" i="15"/>
  <c r="ER277" i="15" s="1"/>
  <c r="FA281" i="15"/>
  <c r="BG281" i="65" s="1"/>
  <c r="FA283" i="15"/>
  <c r="BG283" i="65" s="1"/>
  <c r="FB283" i="15"/>
  <c r="FC283" i="15"/>
  <c r="CF283" i="15"/>
  <c r="CE283" i="15"/>
  <c r="ER283" i="15"/>
  <c r="AU283" i="65"/>
  <c r="AU285" i="65"/>
  <c r="CF285" i="15"/>
  <c r="FA287" i="15"/>
  <c r="BG287" i="65" s="1"/>
  <c r="AU289" i="65"/>
  <c r="FA293" i="15"/>
  <c r="BG293" i="65" s="1"/>
  <c r="FA301" i="15"/>
  <c r="BG301" i="65" s="1"/>
  <c r="FC301" i="15"/>
  <c r="FB301" i="15"/>
  <c r="CF303" i="15"/>
  <c r="CE303" i="15"/>
  <c r="ER303" i="15" s="1"/>
  <c r="AU303" i="65"/>
  <c r="CE309" i="15"/>
  <c r="ER309" i="15" s="1"/>
  <c r="AU309" i="65"/>
  <c r="CF309" i="15"/>
  <c r="CE311" i="15"/>
  <c r="ER311" i="15" s="1"/>
  <c r="AU311" i="65"/>
  <c r="CF311" i="15"/>
  <c r="AU317" i="65"/>
  <c r="CE319" i="15"/>
  <c r="AU319" i="65"/>
  <c r="AU325" i="65"/>
  <c r="EV265" i="15"/>
  <c r="BU265" i="15"/>
  <c r="BT265" i="15"/>
  <c r="FA272" i="15"/>
  <c r="BG272" i="65" s="1"/>
  <c r="AU276" i="65"/>
  <c r="CE276" i="15"/>
  <c r="FA280" i="15"/>
  <c r="BG280" i="65" s="1"/>
  <c r="AU284" i="65"/>
  <c r="CE284" i="15"/>
  <c r="ER284" i="15" s="1"/>
  <c r="CF284" i="15"/>
  <c r="CF292" i="15"/>
  <c r="AU292" i="65"/>
  <c r="AU304" i="65"/>
  <c r="FB320" i="15"/>
  <c r="FA320" i="15"/>
  <c r="BG320" i="65" s="1"/>
  <c r="FC320" i="15"/>
  <c r="CE271" i="15"/>
  <c r="AU271" i="65"/>
  <c r="FA273" i="15"/>
  <c r="BG273" i="65" s="1"/>
  <c r="FA275" i="15"/>
  <c r="BG275" i="65" s="1"/>
  <c r="FA277" i="15"/>
  <c r="BG277" i="65" s="1"/>
  <c r="FB279" i="15"/>
  <c r="FA279" i="15"/>
  <c r="BG279" i="65" s="1"/>
  <c r="CE279" i="15"/>
  <c r="ER279" i="15" s="1"/>
  <c r="AU279" i="65"/>
  <c r="CF279" i="15"/>
  <c r="CE281" i="15"/>
  <c r="AU281" i="65"/>
  <c r="AU287" i="65"/>
  <c r="CF287" i="15"/>
  <c r="CF293" i="15"/>
  <c r="AU293" i="65"/>
  <c r="CF295" i="15"/>
  <c r="CE295" i="15"/>
  <c r="ER295" i="15" s="1"/>
  <c r="AU295" i="65"/>
  <c r="CE301" i="15"/>
  <c r="ER301" i="15" s="1"/>
  <c r="AU301" i="65"/>
  <c r="CF301" i="15"/>
  <c r="FA309" i="15"/>
  <c r="BG309" i="65" s="1"/>
  <c r="FA317" i="15"/>
  <c r="BG317" i="65" s="1"/>
  <c r="FA325" i="15"/>
  <c r="BG325" i="65" s="1"/>
  <c r="AU297" i="65"/>
  <c r="CF297" i="15"/>
  <c r="CE297" i="15"/>
  <c r="ER297" i="15" s="1"/>
  <c r="HJ32" i="15"/>
  <c r="AQ68" i="65"/>
  <c r="K68" i="5" s="1"/>
  <c r="BV324" i="15"/>
  <c r="AQ324" i="65"/>
  <c r="BO324" i="15"/>
  <c r="BY324" i="15"/>
  <c r="FT324" i="15"/>
  <c r="CB324" i="15"/>
  <c r="AQ340" i="65"/>
  <c r="BO340" i="15"/>
  <c r="BR340" i="15" s="1"/>
  <c r="FT340" i="15"/>
  <c r="BV340" i="15"/>
  <c r="BY340" i="15"/>
  <c r="CB340" i="15"/>
  <c r="FT300" i="15"/>
  <c r="CB300" i="15"/>
  <c r="AQ300" i="65"/>
  <c r="BV300" i="15"/>
  <c r="BY300" i="15"/>
  <c r="BO300" i="15"/>
  <c r="BO316" i="15"/>
  <c r="FT316" i="15"/>
  <c r="BV316" i="15"/>
  <c r="BY316" i="15"/>
  <c r="CB316" i="15"/>
  <c r="AQ316" i="65"/>
  <c r="BY326" i="15"/>
  <c r="BO326" i="15"/>
  <c r="CB326" i="15"/>
  <c r="FT326" i="15"/>
  <c r="AQ326" i="65"/>
  <c r="BV326" i="15"/>
  <c r="FT292" i="15"/>
  <c r="BO292" i="15"/>
  <c r="BR292" i="15" s="1"/>
  <c r="CB292" i="15"/>
  <c r="AQ292" i="65"/>
  <c r="BV292" i="15"/>
  <c r="BY292" i="15"/>
  <c r="CE292" i="15" s="1"/>
  <c r="ER292" i="15" s="1"/>
  <c r="CB302" i="15"/>
  <c r="FT302" i="15"/>
  <c r="AQ302" i="65"/>
  <c r="BV302" i="15"/>
  <c r="BY302" i="15"/>
  <c r="BO302" i="15"/>
  <c r="AQ308" i="65"/>
  <c r="BO308" i="15"/>
  <c r="BV308" i="15"/>
  <c r="FT308" i="15"/>
  <c r="BY308" i="15"/>
  <c r="CB308" i="15"/>
  <c r="BY310" i="15"/>
  <c r="AQ310" i="65"/>
  <c r="CB310" i="15"/>
  <c r="BO310" i="15"/>
  <c r="FT310" i="15"/>
  <c r="BV310" i="15"/>
  <c r="BO318" i="15"/>
  <c r="AQ318" i="65"/>
  <c r="CB318" i="15"/>
  <c r="FT318" i="15"/>
  <c r="BY318" i="15"/>
  <c r="BV318" i="15"/>
  <c r="AQ334" i="65"/>
  <c r="BV334" i="15"/>
  <c r="BY334" i="15"/>
  <c r="BO334" i="15"/>
  <c r="CB334" i="15"/>
  <c r="FT334" i="15"/>
  <c r="AQ294" i="65"/>
  <c r="BV294" i="15"/>
  <c r="FT294" i="15"/>
  <c r="BO294" i="15"/>
  <c r="BY294" i="15"/>
  <c r="CB294" i="15"/>
  <c r="BY332" i="15"/>
  <c r="BO332" i="15"/>
  <c r="CB332" i="15"/>
  <c r="FT332" i="15"/>
  <c r="AQ332" i="65"/>
  <c r="BV332" i="15"/>
  <c r="CB342" i="15"/>
  <c r="AQ342" i="65"/>
  <c r="FT342" i="15"/>
  <c r="BV342" i="15"/>
  <c r="BO342" i="15"/>
  <c r="BY342" i="15"/>
  <c r="BY348" i="15"/>
  <c r="BO348" i="15"/>
  <c r="BR348" i="15" s="1"/>
  <c r="AQ348" i="65"/>
  <c r="FT348" i="15"/>
  <c r="BV348" i="15"/>
  <c r="CB348" i="15"/>
  <c r="FB241" i="15"/>
  <c r="FC241" i="15"/>
  <c r="DB241" i="15"/>
  <c r="AT241" i="65"/>
  <c r="DC192" i="15"/>
  <c r="AY192" i="65" s="1"/>
  <c r="AX192" i="65"/>
  <c r="DC158" i="15"/>
  <c r="AY158" i="65" s="1"/>
  <c r="AX158" i="65"/>
  <c r="CA115" i="15"/>
  <c r="AV115" i="65" s="1"/>
  <c r="P115" i="5" s="1"/>
  <c r="BO68" i="15"/>
  <c r="BV68" i="15"/>
  <c r="HR49" i="15"/>
  <c r="BG49" i="15"/>
  <c r="AX49" i="5"/>
  <c r="AZ49" i="5" s="1"/>
  <c r="AS49" i="73" s="1"/>
  <c r="AY49" i="5"/>
  <c r="HQ49" i="15"/>
  <c r="ID49" i="15"/>
  <c r="IC49" i="15"/>
  <c r="IB49" i="15"/>
  <c r="IF49" i="15"/>
  <c r="IE49" i="15"/>
  <c r="AO49" i="65"/>
  <c r="IA49" i="15"/>
  <c r="AS115" i="65"/>
  <c r="M115" i="5" s="1"/>
  <c r="BY68" i="15"/>
  <c r="FT68" i="15"/>
  <c r="HK61" i="15"/>
  <c r="HJ61" i="15"/>
  <c r="AP61" i="65"/>
  <c r="HI61" i="15"/>
  <c r="AM61" i="65"/>
  <c r="I61" i="5"/>
  <c r="HW101" i="15"/>
  <c r="HW120" i="15"/>
  <c r="HW126" i="15"/>
  <c r="HW99" i="15"/>
  <c r="J65" i="5"/>
  <c r="AT65" i="73" s="1"/>
  <c r="AN65" i="65"/>
  <c r="GK79" i="15"/>
  <c r="AL79" i="65"/>
  <c r="GK66" i="15"/>
  <c r="H66" i="5"/>
  <c r="AL66" i="65" s="1"/>
  <c r="HV55" i="15"/>
  <c r="HY55" i="15" s="1"/>
  <c r="HT55" i="15"/>
  <c r="HW55" i="15" s="1"/>
  <c r="HU55" i="15"/>
  <c r="HX55" i="15" s="1"/>
  <c r="GK62" i="15"/>
  <c r="H62" i="5"/>
  <c r="AL62" i="65" s="1"/>
  <c r="HV48" i="15"/>
  <c r="HT48" i="15"/>
  <c r="HW48" i="15" s="1"/>
  <c r="BH48" i="15" s="1"/>
  <c r="HU48" i="15"/>
  <c r="HX48" i="15" s="1"/>
  <c r="BJ48" i="15" s="1"/>
  <c r="HT61" i="15"/>
  <c r="HV61" i="15"/>
  <c r="HU61" i="15"/>
  <c r="HT67" i="15"/>
  <c r="HW67" i="15" s="1"/>
  <c r="HU67" i="15"/>
  <c r="HX67" i="15" s="1"/>
  <c r="HV67" i="15"/>
  <c r="HY67" i="15" s="1"/>
  <c r="CF140" i="15"/>
  <c r="CE140" i="15"/>
  <c r="ER140" i="15" s="1"/>
  <c r="AU140" i="65"/>
  <c r="AU129" i="65"/>
  <c r="CF129" i="15"/>
  <c r="FA129" i="15"/>
  <c r="BG129" i="65" s="1"/>
  <c r="CF133" i="15"/>
  <c r="AU133" i="65"/>
  <c r="CE133" i="15"/>
  <c r="ER133" i="15" s="1"/>
  <c r="CF145" i="15"/>
  <c r="CE145" i="15"/>
  <c r="AU145" i="65"/>
  <c r="FA151" i="15"/>
  <c r="BG151" i="65" s="1"/>
  <c r="FB151" i="15"/>
  <c r="FC151" i="15"/>
  <c r="AU155" i="65"/>
  <c r="CF155" i="15"/>
  <c r="CE155" i="15"/>
  <c r="ER155" i="15" s="1"/>
  <c r="FA159" i="15"/>
  <c r="BG159" i="65" s="1"/>
  <c r="AU159" i="65"/>
  <c r="CF159" i="15"/>
  <c r="FA171" i="15"/>
  <c r="BG171" i="65" s="1"/>
  <c r="FA136" i="15"/>
  <c r="BG136" i="65" s="1"/>
  <c r="FB136" i="15"/>
  <c r="FC136" i="15"/>
  <c r="FA152" i="15"/>
  <c r="BG152" i="65" s="1"/>
  <c r="FC152" i="15"/>
  <c r="FB152" i="15"/>
  <c r="FB154" i="15"/>
  <c r="FA154" i="15"/>
  <c r="BG154" i="65" s="1"/>
  <c r="FC154" i="15"/>
  <c r="AU154" i="65"/>
  <c r="CE154" i="15"/>
  <c r="ER154" i="15" s="1"/>
  <c r="CF154" i="15"/>
  <c r="CF166" i="15"/>
  <c r="AU166" i="65"/>
  <c r="CE166" i="15"/>
  <c r="ER166" i="15" s="1"/>
  <c r="FB170" i="15"/>
  <c r="FC170" i="15"/>
  <c r="FA170" i="15"/>
  <c r="BG170" i="65" s="1"/>
  <c r="FA172" i="15"/>
  <c r="BG172" i="65" s="1"/>
  <c r="FC172" i="15"/>
  <c r="FB172" i="15"/>
  <c r="FA147" i="15"/>
  <c r="BG147" i="65" s="1"/>
  <c r="FB147" i="15"/>
  <c r="FC147" i="15"/>
  <c r="AU149" i="65"/>
  <c r="CF149" i="15"/>
  <c r="FA173" i="15"/>
  <c r="BG173" i="65" s="1"/>
  <c r="CF156" i="15"/>
  <c r="AU156" i="65"/>
  <c r="CE156" i="15"/>
  <c r="ER156" i="15" s="1"/>
  <c r="FA156" i="15"/>
  <c r="BG156" i="65" s="1"/>
  <c r="FB156" i="15"/>
  <c r="FC156" i="15"/>
  <c r="FA112" i="15"/>
  <c r="BG112" i="65" s="1"/>
  <c r="AU112" i="65"/>
  <c r="CF112" i="15"/>
  <c r="FA133" i="15"/>
  <c r="BG133" i="65" s="1"/>
  <c r="FA145" i="15"/>
  <c r="BG145" i="65" s="1"/>
  <c r="AU151" i="65"/>
  <c r="CF151" i="15"/>
  <c r="CE151" i="15"/>
  <c r="ER151" i="15" s="1"/>
  <c r="FA155" i="15"/>
  <c r="BG155" i="65" s="1"/>
  <c r="FC155" i="15"/>
  <c r="FB155" i="15"/>
  <c r="AU171" i="65"/>
  <c r="CF171" i="15"/>
  <c r="CF136" i="15"/>
  <c r="AU136" i="65"/>
  <c r="CE136" i="15"/>
  <c r="ER136" i="15" s="1"/>
  <c r="CE138" i="15"/>
  <c r="ER138" i="15" s="1"/>
  <c r="AU138" i="65"/>
  <c r="CF138" i="15"/>
  <c r="AU152" i="65"/>
  <c r="CE152" i="15"/>
  <c r="CF152" i="15"/>
  <c r="ER152" i="15"/>
  <c r="CF170" i="15"/>
  <c r="AU170" i="65"/>
  <c r="CE170" i="15"/>
  <c r="ER170" i="15" s="1"/>
  <c r="AU172" i="65"/>
  <c r="CF172" i="15"/>
  <c r="CE172" i="15"/>
  <c r="ER172" i="15" s="1"/>
  <c r="CF131" i="15"/>
  <c r="AU131" i="65"/>
  <c r="CE131" i="15"/>
  <c r="ER131" i="15" s="1"/>
  <c r="CE147" i="15"/>
  <c r="ER147" i="15" s="1"/>
  <c r="CF147" i="15"/>
  <c r="AU147" i="65"/>
  <c r="AU161" i="65"/>
  <c r="CF161" i="15"/>
  <c r="CE161" i="15"/>
  <c r="ER161" i="15" s="1"/>
  <c r="FA161" i="15"/>
  <c r="BG161" i="65" s="1"/>
  <c r="FB161" i="15"/>
  <c r="AU173" i="65"/>
  <c r="CF173" i="15"/>
  <c r="DC178" i="15"/>
  <c r="AY178" i="65" s="1"/>
  <c r="AX178" i="65"/>
  <c r="DC162" i="15"/>
  <c r="AY162" i="65" s="1"/>
  <c r="AX162" i="65"/>
  <c r="DC146" i="15"/>
  <c r="AY146" i="65" s="1"/>
  <c r="AX146" i="65"/>
  <c r="DC186" i="15"/>
  <c r="AY186" i="65" s="1"/>
  <c r="AX186" i="65"/>
  <c r="AX170" i="65"/>
  <c r="DC170" i="15"/>
  <c r="AY170" i="65" s="1"/>
  <c r="DC154" i="15"/>
  <c r="AY154" i="65" s="1"/>
  <c r="AX154" i="65"/>
  <c r="AX204" i="65"/>
  <c r="DC204" i="15"/>
  <c r="AY204" i="65" s="1"/>
  <c r="FB135" i="15"/>
  <c r="FC135" i="15"/>
  <c r="FB143" i="15"/>
  <c r="FC143" i="15"/>
  <c r="DB143" i="15"/>
  <c r="AT143" i="65"/>
  <c r="FB140" i="15"/>
  <c r="FC140" i="15"/>
  <c r="DB131" i="15"/>
  <c r="AT131" i="65"/>
  <c r="FB138" i="15"/>
  <c r="FC138" i="15"/>
  <c r="DB138" i="15"/>
  <c r="AT138" i="65"/>
  <c r="DB135" i="15"/>
  <c r="AT135" i="65"/>
  <c r="DB132" i="15"/>
  <c r="AT132" i="65"/>
  <c r="AT140" i="65"/>
  <c r="DB140" i="15"/>
  <c r="FC131" i="15"/>
  <c r="FB131" i="15"/>
  <c r="FB139" i="15"/>
  <c r="FC139" i="15"/>
  <c r="DB139" i="15"/>
  <c r="AT139" i="65"/>
  <c r="BU163" i="15"/>
  <c r="BT163" i="15"/>
  <c r="EV163" i="15"/>
  <c r="DB319" i="15"/>
  <c r="AT319" i="65"/>
  <c r="AT335" i="65"/>
  <c r="DB335" i="15"/>
  <c r="FC311" i="15"/>
  <c r="FB311" i="15"/>
  <c r="FB343" i="15"/>
  <c r="FC343" i="15"/>
  <c r="DB303" i="15"/>
  <c r="AT303" i="65"/>
  <c r="FB319" i="15"/>
  <c r="FC319" i="15"/>
  <c r="FC335" i="15"/>
  <c r="FB335" i="15"/>
  <c r="BU141" i="15"/>
  <c r="BT141" i="15"/>
  <c r="EV141" i="15"/>
  <c r="FC295" i="15"/>
  <c r="FB295" i="15"/>
  <c r="AT295" i="65"/>
  <c r="DB295" i="15"/>
  <c r="DB311" i="15"/>
  <c r="AT311" i="65"/>
  <c r="AT343" i="65"/>
  <c r="DB343" i="15"/>
  <c r="BT157" i="15"/>
  <c r="EV157" i="15"/>
  <c r="BU157" i="15"/>
  <c r="FB303" i="15"/>
  <c r="FC303" i="15"/>
  <c r="BR303" i="15"/>
  <c r="HJ45" i="15"/>
  <c r="DB130" i="15"/>
  <c r="AT130" i="65"/>
  <c r="FC130" i="15"/>
  <c r="HW115" i="15"/>
  <c r="HW102" i="15"/>
  <c r="HV63" i="15"/>
  <c r="HY63" i="15" s="1"/>
  <c r="HU63" i="15"/>
  <c r="HX63" i="15" s="1"/>
  <c r="HT63" i="15"/>
  <c r="HW63" i="15" s="1"/>
  <c r="GK47" i="15"/>
  <c r="H47" i="5"/>
  <c r="AL47" i="65" s="1"/>
  <c r="AY59" i="5"/>
  <c r="AX59" i="5"/>
  <c r="AZ59" i="5" s="1"/>
  <c r="AS59" i="73" s="1"/>
  <c r="AX291" i="65"/>
  <c r="DC291" i="15"/>
  <c r="AY291" i="65" s="1"/>
  <c r="HS59" i="15"/>
  <c r="IC59" i="15"/>
  <c r="DC284" i="15"/>
  <c r="AY284" i="65" s="1"/>
  <c r="AX284" i="65"/>
  <c r="HQ59" i="15"/>
  <c r="HI59" i="15" s="1"/>
  <c r="IA59" i="15"/>
  <c r="IF59" i="15"/>
  <c r="AO59" i="65"/>
  <c r="ID59" i="15"/>
  <c r="IE59" i="15"/>
  <c r="HK71" i="15"/>
  <c r="IB59" i="15"/>
  <c r="AM57" i="65"/>
  <c r="I57" i="5"/>
  <c r="HS39" i="15"/>
  <c r="IC39" i="15"/>
  <c r="AY39" i="5"/>
  <c r="AX39" i="5"/>
  <c r="AZ39" i="5" s="1"/>
  <c r="AS39" i="73" s="1"/>
  <c r="AM40" i="65"/>
  <c r="I40" i="5"/>
  <c r="HQ37" i="15"/>
  <c r="IF37" i="15"/>
  <c r="AO37" i="65"/>
  <c r="ID37" i="15"/>
  <c r="IA37" i="15"/>
  <c r="IE37" i="15"/>
  <c r="HR37" i="15"/>
  <c r="BG37" i="15"/>
  <c r="IB37" i="15"/>
  <c r="HQ34" i="15"/>
  <c r="IC34" i="15"/>
  <c r="IA34" i="15"/>
  <c r="ID34" i="15"/>
  <c r="IF34" i="15"/>
  <c r="AO34" i="65"/>
  <c r="IE34" i="15"/>
  <c r="HQ43" i="15"/>
  <c r="ID43" i="15"/>
  <c r="IA43" i="15"/>
  <c r="IF43" i="15"/>
  <c r="IE43" i="15"/>
  <c r="AO43" i="65"/>
  <c r="ID41" i="15"/>
  <c r="IA41" i="15"/>
  <c r="IF41" i="15"/>
  <c r="IE41" i="15"/>
  <c r="HQ41" i="15"/>
  <c r="AO41" i="65"/>
  <c r="BG41" i="15"/>
  <c r="HR41" i="15"/>
  <c r="IB41" i="15"/>
  <c r="HK76" i="15"/>
  <c r="AP76" i="65"/>
  <c r="HJ76" i="15"/>
  <c r="HI76" i="15"/>
  <c r="AM47" i="65"/>
  <c r="I47" i="5"/>
  <c r="AP45" i="65"/>
  <c r="HK45" i="15"/>
  <c r="AN40" i="65"/>
  <c r="J40" i="5"/>
  <c r="AT40" i="73" s="1"/>
  <c r="IB51" i="15"/>
  <c r="HR51" i="15"/>
  <c r="BG51" i="15"/>
  <c r="IF51" i="15"/>
  <c r="HQ51" i="15"/>
  <c r="ID51" i="15"/>
  <c r="IA51" i="15"/>
  <c r="AO51" i="65"/>
  <c r="IE51" i="15"/>
  <c r="HR43" i="15"/>
  <c r="BG43" i="15"/>
  <c r="IB43" i="15"/>
  <c r="HQ39" i="15"/>
  <c r="IA39" i="15"/>
  <c r="ID39" i="15"/>
  <c r="IE39" i="15"/>
  <c r="IF39" i="15"/>
  <c r="AO39" i="65"/>
  <c r="IC51" i="15"/>
  <c r="HS51" i="15"/>
  <c r="AX37" i="5"/>
  <c r="AZ37" i="5" s="1"/>
  <c r="AS37" i="73" s="1"/>
  <c r="AY37" i="5"/>
  <c r="AX34" i="5"/>
  <c r="AZ34" i="5" s="1"/>
  <c r="AS34" i="73" s="1"/>
  <c r="AY34" i="5"/>
  <c r="AX43" i="5"/>
  <c r="AZ43" i="5" s="1"/>
  <c r="AS43" i="73" s="1"/>
  <c r="AY43" i="5"/>
  <c r="AX41" i="5"/>
  <c r="AZ41" i="5" s="1"/>
  <c r="AS41" i="73" s="1"/>
  <c r="AY41" i="5"/>
  <c r="AM62" i="65"/>
  <c r="I62" i="5"/>
  <c r="HJ71" i="15"/>
  <c r="AP71" i="65"/>
  <c r="AP57" i="65"/>
  <c r="HK57" i="15"/>
  <c r="HI57" i="15"/>
  <c r="AM76" i="65"/>
  <c r="I76" i="5"/>
  <c r="HR39" i="15"/>
  <c r="BG39" i="15"/>
  <c r="IB39" i="15"/>
  <c r="AX51" i="5"/>
  <c r="AZ51" i="5" s="1"/>
  <c r="AS51" i="73" s="1"/>
  <c r="AY51" i="5"/>
  <c r="IC37" i="15"/>
  <c r="HS37" i="15"/>
  <c r="BG34" i="15"/>
  <c r="IB34" i="15"/>
  <c r="HR34" i="15"/>
  <c r="AN53" i="65"/>
  <c r="J53" i="5"/>
  <c r="AT53" i="73" s="1"/>
  <c r="HS43" i="15"/>
  <c r="IC43" i="15"/>
  <c r="HS41" i="15"/>
  <c r="IC41" i="15"/>
  <c r="EV199" i="15"/>
  <c r="BT199" i="15"/>
  <c r="BU199" i="15"/>
  <c r="HW95" i="15"/>
  <c r="J24" i="5"/>
  <c r="AT24" i="73" s="1"/>
  <c r="AN24" i="65"/>
  <c r="BZ114" i="15"/>
  <c r="AU114" i="65" s="1"/>
  <c r="O114" i="5" s="1"/>
  <c r="BP114" i="15"/>
  <c r="AR114" i="65"/>
  <c r="L114" i="5" s="1"/>
  <c r="CC114" i="15"/>
  <c r="FU114" i="15"/>
  <c r="BZ92" i="15"/>
  <c r="FU92" i="15"/>
  <c r="AR92" i="65"/>
  <c r="L92" i="5" s="1"/>
  <c r="BP92" i="15"/>
  <c r="CC92" i="15"/>
  <c r="FU88" i="15"/>
  <c r="CC88" i="15"/>
  <c r="BP88" i="15"/>
  <c r="BZ88" i="15"/>
  <c r="AU88" i="65" s="1"/>
  <c r="O88" i="5" s="1"/>
  <c r="AR88" i="65"/>
  <c r="L88" i="5" s="1"/>
  <c r="BO119" i="15"/>
  <c r="CB119" i="15"/>
  <c r="BV119" i="15"/>
  <c r="FT119" i="15"/>
  <c r="BY119" i="15"/>
  <c r="AT119" i="65" s="1"/>
  <c r="N119" i="5" s="1"/>
  <c r="AU119" i="73" s="1"/>
  <c r="AQ119" i="65"/>
  <c r="K119" i="5" s="1"/>
  <c r="BO116" i="15"/>
  <c r="BY116" i="15"/>
  <c r="AT116" i="65" s="1"/>
  <c r="N116" i="5" s="1"/>
  <c r="AU116" i="73" s="1"/>
  <c r="FT116" i="15"/>
  <c r="BV116" i="15"/>
  <c r="CB116" i="15"/>
  <c r="AQ116" i="65"/>
  <c r="K116" i="5" s="1"/>
  <c r="BZ104" i="15"/>
  <c r="BP104" i="15"/>
  <c r="AR104" i="65"/>
  <c r="L104" i="5" s="1"/>
  <c r="FU104" i="15"/>
  <c r="CC104" i="15"/>
  <c r="AS95" i="65"/>
  <c r="M95" i="5" s="1"/>
  <c r="BQ95" i="15"/>
  <c r="CA95" i="15"/>
  <c r="AV95" i="65" s="1"/>
  <c r="P95" i="5" s="1"/>
  <c r="CD95" i="15"/>
  <c r="BQ97" i="15"/>
  <c r="AS97" i="65"/>
  <c r="M97" i="5" s="1"/>
  <c r="CD97" i="15"/>
  <c r="CA97" i="15"/>
  <c r="AV97" i="65" s="1"/>
  <c r="P97" i="5" s="1"/>
  <c r="AQ86" i="65"/>
  <c r="K86" i="5" s="1"/>
  <c r="BV86" i="15"/>
  <c r="BY86" i="15"/>
  <c r="AT86" i="65" s="1"/>
  <c r="N86" i="5" s="1"/>
  <c r="AU86" i="73" s="1"/>
  <c r="BO86" i="15"/>
  <c r="CB86" i="15"/>
  <c r="FT86" i="15"/>
  <c r="AS119" i="65"/>
  <c r="M119" i="5" s="1"/>
  <c r="CA119" i="15"/>
  <c r="AV119" i="65" s="1"/>
  <c r="P119" i="5" s="1"/>
  <c r="AW119" i="73" s="1"/>
  <c r="BQ119" i="15"/>
  <c r="CD119" i="15"/>
  <c r="BQ122" i="15"/>
  <c r="CD122" i="15"/>
  <c r="CA122" i="15"/>
  <c r="AV122" i="65" s="1"/>
  <c r="P122" i="5" s="1"/>
  <c r="AS122" i="65"/>
  <c r="M122" i="5" s="1"/>
  <c r="AS126" i="65"/>
  <c r="M126" i="5" s="1"/>
  <c r="CD126" i="15"/>
  <c r="BQ126" i="15"/>
  <c r="CA126" i="15"/>
  <c r="AV126" i="65" s="1"/>
  <c r="P126" i="5" s="1"/>
  <c r="FT104" i="15"/>
  <c r="BV104" i="15"/>
  <c r="CB104" i="15"/>
  <c r="BY104" i="15"/>
  <c r="AT104" i="65" s="1"/>
  <c r="N104" i="5" s="1"/>
  <c r="AU104" i="73" s="1"/>
  <c r="AQ104" i="65"/>
  <c r="K104" i="5" s="1"/>
  <c r="BO104" i="15"/>
  <c r="CD104" i="15"/>
  <c r="BQ104" i="15"/>
  <c r="AS104" i="65"/>
  <c r="M104" i="5" s="1"/>
  <c r="CA104" i="15"/>
  <c r="AV104" i="65" s="1"/>
  <c r="P104" i="5" s="1"/>
  <c r="AW104" i="73" s="1"/>
  <c r="CD88" i="15"/>
  <c r="BQ88" i="15"/>
  <c r="AS88" i="65"/>
  <c r="M88" i="5" s="1"/>
  <c r="CA88" i="15"/>
  <c r="AV88" i="65" s="1"/>
  <c r="P88" i="5" s="1"/>
  <c r="BU83" i="15"/>
  <c r="EV83" i="15"/>
  <c r="BT83" i="15"/>
  <c r="HW117" i="15"/>
  <c r="HW118" i="15"/>
  <c r="HW94" i="15"/>
  <c r="HW97" i="15"/>
  <c r="HW113" i="15"/>
  <c r="HW110" i="15"/>
  <c r="HW96" i="15"/>
  <c r="HW114" i="15"/>
  <c r="CA86" i="15"/>
  <c r="AV86" i="65" s="1"/>
  <c r="P86" i="5" s="1"/>
  <c r="BQ86" i="15"/>
  <c r="CD86" i="15"/>
  <c r="AS86" i="65"/>
  <c r="M86" i="5" s="1"/>
  <c r="CA101" i="15"/>
  <c r="AV101" i="65" s="1"/>
  <c r="P101" i="5" s="1"/>
  <c r="CD101" i="15"/>
  <c r="BQ101" i="15"/>
  <c r="AS101" i="65"/>
  <c r="M101" i="5" s="1"/>
  <c r="BQ99" i="15"/>
  <c r="AS99" i="65"/>
  <c r="M99" i="5" s="1"/>
  <c r="CD99" i="15"/>
  <c r="CA99" i="15"/>
  <c r="AV99" i="65" s="1"/>
  <c r="P99" i="5" s="1"/>
  <c r="CD111" i="15"/>
  <c r="CA111" i="15"/>
  <c r="AV111" i="65" s="1"/>
  <c r="P111" i="5" s="1"/>
  <c r="AS111" i="65"/>
  <c r="M111" i="5" s="1"/>
  <c r="BQ111" i="15"/>
  <c r="AS116" i="65"/>
  <c r="M116" i="5" s="1"/>
  <c r="CD116" i="15"/>
  <c r="BQ116" i="15"/>
  <c r="CA116" i="15"/>
  <c r="AV116" i="65" s="1"/>
  <c r="P116" i="5" s="1"/>
  <c r="AW116" i="73" s="1"/>
  <c r="AS96" i="65"/>
  <c r="M96" i="5" s="1"/>
  <c r="BQ96" i="15"/>
  <c r="CD96" i="15"/>
  <c r="CA96" i="15"/>
  <c r="AV96" i="65" s="1"/>
  <c r="P96" i="5" s="1"/>
  <c r="BQ108" i="15"/>
  <c r="CA108" i="15"/>
  <c r="AV108" i="65" s="1"/>
  <c r="P108" i="5" s="1"/>
  <c r="AS108" i="65"/>
  <c r="M108" i="5" s="1"/>
  <c r="CD108" i="15"/>
  <c r="AS106" i="65"/>
  <c r="M106" i="5" s="1"/>
  <c r="BQ106" i="15"/>
  <c r="CD106" i="15"/>
  <c r="CA106" i="15"/>
  <c r="AV106" i="65" s="1"/>
  <c r="P106" i="5" s="1"/>
  <c r="CA114" i="15"/>
  <c r="AV114" i="65" s="1"/>
  <c r="P114" i="5" s="1"/>
  <c r="AS114" i="65"/>
  <c r="M114" i="5" s="1"/>
  <c r="CD114" i="15"/>
  <c r="BQ114" i="15"/>
  <c r="AS92" i="65"/>
  <c r="M92" i="5" s="1"/>
  <c r="CA92" i="15"/>
  <c r="AV92" i="65" s="1"/>
  <c r="P92" i="5" s="1"/>
  <c r="CD92" i="15"/>
  <c r="BQ92" i="15"/>
  <c r="BY88" i="15"/>
  <c r="AT88" i="65" s="1"/>
  <c r="N88" i="5" s="1"/>
  <c r="AU88" i="73" s="1"/>
  <c r="BO88" i="15"/>
  <c r="CB88" i="15"/>
  <c r="AQ88" i="65"/>
  <c r="K88" i="5" s="1"/>
  <c r="AR88" i="73" s="1"/>
  <c r="FT88" i="15"/>
  <c r="BV88" i="15"/>
  <c r="EW98" i="15"/>
  <c r="HW106" i="15"/>
  <c r="HW111" i="15"/>
  <c r="HW92" i="15"/>
  <c r="AX168" i="65"/>
  <c r="DC168" i="15"/>
  <c r="AY168" i="65" s="1"/>
  <c r="AM113" i="65"/>
  <c r="I113" i="5"/>
  <c r="HQ23" i="15"/>
  <c r="HI23" i="15" s="1"/>
  <c r="IF23" i="15"/>
  <c r="AO23" i="65"/>
  <c r="ID23" i="15"/>
  <c r="IE23" i="15"/>
  <c r="IB23" i="15"/>
  <c r="IC23" i="15"/>
  <c r="IA23" i="15"/>
  <c r="AY23" i="5"/>
  <c r="AX23" i="5"/>
  <c r="AZ23" i="5" s="1"/>
  <c r="AS23" i="73" s="1"/>
  <c r="HS23" i="15"/>
  <c r="HK23" i="15" s="1"/>
  <c r="AP23" i="65"/>
  <c r="HJ23" i="15"/>
  <c r="AX174" i="65"/>
  <c r="DC174" i="15"/>
  <c r="AY174" i="65" s="1"/>
  <c r="J72" i="5"/>
  <c r="AT72" i="73" s="1"/>
  <c r="AN72" i="65"/>
  <c r="DC290" i="15"/>
  <c r="AY290" i="65" s="1"/>
  <c r="AX290" i="65"/>
  <c r="J119" i="5"/>
  <c r="AT119" i="73" s="1"/>
  <c r="AN119" i="65"/>
  <c r="CF115" i="15"/>
  <c r="AN108" i="65"/>
  <c r="J108" i="5"/>
  <c r="AT108" i="73" s="1"/>
  <c r="AN122" i="65"/>
  <c r="J122" i="5"/>
  <c r="AT122" i="73" s="1"/>
  <c r="J114" i="5"/>
  <c r="AT114" i="73" s="1"/>
  <c r="AN114" i="65"/>
  <c r="J126" i="5"/>
  <c r="AT126" i="73" s="1"/>
  <c r="AN126" i="65"/>
  <c r="CF110" i="15"/>
  <c r="AN104" i="65"/>
  <c r="J104" i="5"/>
  <c r="AT104" i="73" s="1"/>
  <c r="J92" i="5"/>
  <c r="AT92" i="73" s="1"/>
  <c r="AN92" i="65"/>
  <c r="J88" i="5"/>
  <c r="AT88" i="73" s="1"/>
  <c r="AN88" i="65"/>
  <c r="J99" i="5"/>
  <c r="AT99" i="73" s="1"/>
  <c r="AN99" i="65"/>
  <c r="J111" i="5"/>
  <c r="AT111" i="73" s="1"/>
  <c r="AN111" i="65"/>
  <c r="J116" i="5"/>
  <c r="AT116" i="73" s="1"/>
  <c r="AN116" i="65"/>
  <c r="J96" i="5"/>
  <c r="AT96" i="73" s="1"/>
  <c r="AN96" i="65"/>
  <c r="CE88" i="15"/>
  <c r="J106" i="5"/>
  <c r="AT106" i="73" s="1"/>
  <c r="AN106" i="65"/>
  <c r="AN69" i="65"/>
  <c r="J69" i="5"/>
  <c r="AT69" i="73" s="1"/>
  <c r="J95" i="5"/>
  <c r="AT95" i="73" s="1"/>
  <c r="AN95" i="65"/>
  <c r="IE58" i="15"/>
  <c r="AO58" i="65"/>
  <c r="HQ58" i="15"/>
  <c r="IF58" i="15"/>
  <c r="IB58" i="15"/>
  <c r="IC58" i="15"/>
  <c r="ID58" i="15"/>
  <c r="IA58" i="15"/>
  <c r="HS58" i="15"/>
  <c r="AX166" i="65"/>
  <c r="DC166" i="15"/>
  <c r="AY166" i="65" s="1"/>
  <c r="AX182" i="65"/>
  <c r="DC182" i="15"/>
  <c r="AY182" i="65" s="1"/>
  <c r="HR58" i="15"/>
  <c r="BG58" i="15"/>
  <c r="AY58" i="5"/>
  <c r="AX58" i="5"/>
  <c r="AZ58" i="5" s="1"/>
  <c r="AS58" i="73" s="1"/>
  <c r="HI22" i="15"/>
  <c r="AP22" i="65"/>
  <c r="HJ22" i="15"/>
  <c r="DA80" i="15"/>
  <c r="IE93" i="15"/>
  <c r="AO107" i="65"/>
  <c r="AM107" i="65" s="1"/>
  <c r="AO125" i="65"/>
  <c r="AM125" i="65" s="1"/>
  <c r="AX109" i="5"/>
  <c r="AZ109" i="5" s="1"/>
  <c r="AS109" i="73" s="1"/>
  <c r="DA124" i="15"/>
  <c r="DC240" i="15"/>
  <c r="AY240" i="65" s="1"/>
  <c r="AX240" i="65"/>
  <c r="DC220" i="15"/>
  <c r="AY220" i="65" s="1"/>
  <c r="AX220" i="65"/>
  <c r="AX228" i="65"/>
  <c r="DC228" i="15"/>
  <c r="AY228" i="65" s="1"/>
  <c r="AX226" i="65"/>
  <c r="DC226" i="15"/>
  <c r="AY226" i="65" s="1"/>
  <c r="DC258" i="15"/>
  <c r="AY258" i="65" s="1"/>
  <c r="AX258" i="65"/>
  <c r="HJ64" i="15"/>
  <c r="HI64" i="15"/>
  <c r="AP64" i="65"/>
  <c r="I56" i="5"/>
  <c r="AM56" i="65"/>
  <c r="HJ60" i="15"/>
  <c r="HI60" i="15"/>
  <c r="HK60" i="15"/>
  <c r="AP60" i="65"/>
  <c r="AN70" i="65"/>
  <c r="J70" i="5"/>
  <c r="AT70" i="73" s="1"/>
  <c r="AP56" i="65"/>
  <c r="HJ56" i="15"/>
  <c r="HI56" i="15"/>
  <c r="HK56" i="15"/>
  <c r="AN101" i="65"/>
  <c r="J101" i="5"/>
  <c r="AT101" i="73" s="1"/>
  <c r="AM64" i="65"/>
  <c r="I64" i="5"/>
  <c r="AM60" i="65"/>
  <c r="I60" i="5"/>
  <c r="CY124" i="15"/>
  <c r="AN97" i="65"/>
  <c r="J97" i="5"/>
  <c r="AT97" i="73" s="1"/>
  <c r="AN86" i="65"/>
  <c r="J86" i="5"/>
  <c r="AT86" i="73" s="1"/>
  <c r="HK64" i="15"/>
  <c r="AM95" i="65"/>
  <c r="I95" i="5"/>
  <c r="CZ85" i="15"/>
  <c r="DA85" i="15"/>
  <c r="I94" i="5"/>
  <c r="AM94" i="65"/>
  <c r="I97" i="5"/>
  <c r="AM97" i="65"/>
  <c r="BV127" i="15"/>
  <c r="BY127" i="15"/>
  <c r="BO127" i="15"/>
  <c r="BR127" i="15" s="1"/>
  <c r="CB127" i="15"/>
  <c r="FT127" i="15"/>
  <c r="AQ127" i="65"/>
  <c r="K127" i="5" s="1"/>
  <c r="AR127" i="73" s="1"/>
  <c r="I127" i="5"/>
  <c r="AM127" i="65"/>
  <c r="CY85" i="15"/>
  <c r="BU243" i="15"/>
  <c r="BT243" i="15"/>
  <c r="EV243" i="15"/>
  <c r="CZ116" i="15"/>
  <c r="DA116" i="15"/>
  <c r="I106" i="5"/>
  <c r="AM106" i="65"/>
  <c r="CY116" i="15"/>
  <c r="I122" i="5"/>
  <c r="AM122" i="65"/>
  <c r="I120" i="5"/>
  <c r="AM120" i="65"/>
  <c r="I126" i="5"/>
  <c r="AM126" i="65"/>
  <c r="CY100" i="15"/>
  <c r="ID93" i="15"/>
  <c r="BV122" i="15"/>
  <c r="BO122" i="15"/>
  <c r="CB122" i="15"/>
  <c r="AQ122" i="65"/>
  <c r="K122" i="5" s="1"/>
  <c r="FT122" i="15"/>
  <c r="BY122" i="15"/>
  <c r="I118" i="5"/>
  <c r="AM118" i="65"/>
  <c r="HK25" i="15"/>
  <c r="AX93" i="5"/>
  <c r="AZ93" i="5" s="1"/>
  <c r="AS93" i="73" s="1"/>
  <c r="HJ25" i="15"/>
  <c r="I107" i="5"/>
  <c r="I125" i="5"/>
  <c r="AY123" i="5"/>
  <c r="AX123" i="5"/>
  <c r="AZ123" i="5" s="1"/>
  <c r="AS123" i="73" s="1"/>
  <c r="AM115" i="65"/>
  <c r="I115" i="5"/>
  <c r="HS105" i="15"/>
  <c r="IC105" i="15"/>
  <c r="HV105" i="15"/>
  <c r="IA109" i="15"/>
  <c r="IE109" i="15"/>
  <c r="ID109" i="15"/>
  <c r="HT109" i="15"/>
  <c r="AO109" i="65"/>
  <c r="HQ109" i="15"/>
  <c r="IF109" i="15"/>
  <c r="HR109" i="15"/>
  <c r="HU109" i="15"/>
  <c r="BG109" i="15"/>
  <c r="IB109" i="15"/>
  <c r="HU123" i="15"/>
  <c r="IB123" i="15"/>
  <c r="BG123" i="15"/>
  <c r="HR123" i="15"/>
  <c r="AN46" i="65"/>
  <c r="J46" i="5"/>
  <c r="AT46" i="73" s="1"/>
  <c r="J52" i="5"/>
  <c r="AT52" i="73" s="1"/>
  <c r="AN52" i="65"/>
  <c r="BG93" i="15"/>
  <c r="HU93" i="15"/>
  <c r="IB93" i="15"/>
  <c r="HR93" i="15"/>
  <c r="IC107" i="15"/>
  <c r="HV107" i="15"/>
  <c r="HS107" i="15"/>
  <c r="HS121" i="15"/>
  <c r="HV121" i="15"/>
  <c r="IC121" i="15"/>
  <c r="AY121" i="5"/>
  <c r="AX121" i="5"/>
  <c r="AZ121" i="5" s="1"/>
  <c r="AS121" i="73" s="1"/>
  <c r="IC125" i="15"/>
  <c r="HV125" i="15"/>
  <c r="HS125" i="15"/>
  <c r="J25" i="5"/>
  <c r="AT25" i="73" s="1"/>
  <c r="AN25" i="65"/>
  <c r="AM101" i="65"/>
  <c r="I101" i="5"/>
  <c r="AX105" i="5"/>
  <c r="AZ105" i="5" s="1"/>
  <c r="AS105" i="73" s="1"/>
  <c r="AY105" i="5"/>
  <c r="HV109" i="15"/>
  <c r="HS109" i="15"/>
  <c r="IC109" i="15"/>
  <c r="AM108" i="65"/>
  <c r="I108" i="5"/>
  <c r="IA125" i="15"/>
  <c r="AY93" i="5"/>
  <c r="AY107" i="5"/>
  <c r="IA107" i="15"/>
  <c r="AO123" i="65"/>
  <c r="IE123" i="15"/>
  <c r="HT123" i="15"/>
  <c r="ID123" i="15"/>
  <c r="IA123" i="15"/>
  <c r="HQ123" i="15"/>
  <c r="IF123" i="15"/>
  <c r="HS93" i="15"/>
  <c r="HV93" i="15"/>
  <c r="IC93" i="15"/>
  <c r="BG107" i="15"/>
  <c r="HU107" i="15"/>
  <c r="HR107" i="15"/>
  <c r="IB107" i="15"/>
  <c r="HU121" i="15"/>
  <c r="HR121" i="15"/>
  <c r="BG121" i="15"/>
  <c r="IB121" i="15"/>
  <c r="BG125" i="15"/>
  <c r="HU125" i="15"/>
  <c r="HR125" i="15"/>
  <c r="IB125" i="15"/>
  <c r="AM102" i="65"/>
  <c r="I102" i="5"/>
  <c r="AM117" i="65"/>
  <c r="I117" i="5"/>
  <c r="HQ121" i="15"/>
  <c r="ID121" i="15"/>
  <c r="IA121" i="15"/>
  <c r="HT121" i="15"/>
  <c r="IE121" i="15"/>
  <c r="IF121" i="15"/>
  <c r="AO121" i="65"/>
  <c r="HT105" i="15"/>
  <c r="HQ105" i="15"/>
  <c r="IE105" i="15"/>
  <c r="AO105" i="65"/>
  <c r="IA105" i="15"/>
  <c r="IF105" i="15"/>
  <c r="ID105" i="15"/>
  <c r="BG105" i="15"/>
  <c r="HR105" i="15"/>
  <c r="HU105" i="15"/>
  <c r="IB105" i="15"/>
  <c r="IC123" i="15"/>
  <c r="HV123" i="15"/>
  <c r="HS123" i="15"/>
  <c r="I99" i="5"/>
  <c r="AM99" i="65"/>
  <c r="CB108" i="15"/>
  <c r="BY108" i="15"/>
  <c r="BV108" i="15"/>
  <c r="AQ108" i="65"/>
  <c r="K108" i="5" s="1"/>
  <c r="BO108" i="15"/>
  <c r="FT108" i="15"/>
  <c r="CY80" i="15"/>
  <c r="IF93" i="15"/>
  <c r="AO93" i="65"/>
  <c r="IA93" i="15"/>
  <c r="AY109" i="5"/>
  <c r="ID125" i="15"/>
  <c r="IE125" i="15"/>
  <c r="IF125" i="15"/>
  <c r="AX125" i="5"/>
  <c r="AZ125" i="5" s="1"/>
  <c r="AS125" i="73" s="1"/>
  <c r="ID107" i="15"/>
  <c r="IF107" i="15"/>
  <c r="IE107" i="15"/>
  <c r="AN26" i="65"/>
  <c r="J26" i="5"/>
  <c r="AT26" i="73" s="1"/>
  <c r="CZ86" i="15"/>
  <c r="DA86" i="15"/>
  <c r="I89" i="5"/>
  <c r="AM89" i="65"/>
  <c r="AM73" i="65"/>
  <c r="I73" i="5"/>
  <c r="AP77" i="65"/>
  <c r="HK77" i="15"/>
  <c r="HI77" i="15"/>
  <c r="HJ77" i="15"/>
  <c r="AM91" i="65"/>
  <c r="I91" i="5"/>
  <c r="I75" i="5"/>
  <c r="AM75" i="65"/>
  <c r="I90" i="5"/>
  <c r="AM90" i="65"/>
  <c r="CZ98" i="15"/>
  <c r="DA98" i="15"/>
  <c r="AP32" i="65"/>
  <c r="HI32" i="15"/>
  <c r="HK54" i="15"/>
  <c r="HI54" i="15"/>
  <c r="AP54" i="65"/>
  <c r="HJ54" i="15"/>
  <c r="AM54" i="65"/>
  <c r="I54" i="5"/>
  <c r="HI91" i="15"/>
  <c r="HW91" i="15" s="1"/>
  <c r="AP91" i="65"/>
  <c r="HJ91" i="15"/>
  <c r="HX91" i="15" s="1"/>
  <c r="HK91" i="15"/>
  <c r="HY91" i="15" s="1"/>
  <c r="AP89" i="65"/>
  <c r="HI89" i="15"/>
  <c r="HW89" i="15" s="1"/>
  <c r="HJ89" i="15"/>
  <c r="HX89" i="15" s="1"/>
  <c r="HK89" i="15"/>
  <c r="HY89" i="15" s="1"/>
  <c r="AP75" i="65"/>
  <c r="HJ75" i="15"/>
  <c r="HK75" i="15"/>
  <c r="HI75" i="15"/>
  <c r="AP73" i="65"/>
  <c r="HK73" i="15"/>
  <c r="HI73" i="15"/>
  <c r="HJ73" i="15"/>
  <c r="AM77" i="65"/>
  <c r="I77" i="5"/>
  <c r="HJ50" i="15"/>
  <c r="HI50" i="15"/>
  <c r="AP50" i="65"/>
  <c r="HK50" i="15"/>
  <c r="I50" i="5"/>
  <c r="AM50" i="65"/>
  <c r="AP90" i="65"/>
  <c r="HK90" i="15"/>
  <c r="HY90" i="15" s="1"/>
  <c r="HI90" i="15"/>
  <c r="HW90" i="15" s="1"/>
  <c r="HJ90" i="15"/>
  <c r="HX90" i="15" s="1"/>
  <c r="HK74" i="15"/>
  <c r="HJ74" i="15"/>
  <c r="HI74" i="15"/>
  <c r="AP74" i="65"/>
  <c r="I74" i="5"/>
  <c r="AM74" i="65"/>
  <c r="CY98" i="15"/>
  <c r="HK32" i="15"/>
  <c r="AM24" i="65"/>
  <c r="I24" i="5"/>
  <c r="AN31" i="65"/>
  <c r="J31" i="5"/>
  <c r="AT31" i="73" s="1"/>
  <c r="AN35" i="65"/>
  <c r="J35" i="5"/>
  <c r="AT35" i="73" s="1"/>
  <c r="AN33" i="65"/>
  <c r="J33" i="5"/>
  <c r="AT33" i="73" s="1"/>
  <c r="J29" i="5"/>
  <c r="AT29" i="73" s="1"/>
  <c r="AN29" i="65"/>
  <c r="J28" i="5"/>
  <c r="AT28" i="73" s="1"/>
  <c r="AN28" i="65"/>
  <c r="I30" i="5"/>
  <c r="AM30" i="65"/>
  <c r="HJ30" i="15"/>
  <c r="AP30" i="65"/>
  <c r="HK30" i="15"/>
  <c r="HI30" i="15"/>
  <c r="AM27" i="65"/>
  <c r="AM10" i="65" s="1"/>
  <c r="I27" i="5"/>
  <c r="AP27" i="65"/>
  <c r="HJ27" i="15"/>
  <c r="HK27" i="15"/>
  <c r="HI27" i="15"/>
  <c r="DB86" i="15" l="1"/>
  <c r="ER145" i="15"/>
  <c r="BP174" i="15"/>
  <c r="BR174" i="15" s="1"/>
  <c r="AW86" i="73"/>
  <c r="AR104" i="73"/>
  <c r="AR100" i="73"/>
  <c r="AW80" i="73"/>
  <c r="AW88" i="73"/>
  <c r="AV88" i="73"/>
  <c r="HX61" i="15"/>
  <c r="HW61" i="15"/>
  <c r="AR84" i="73"/>
  <c r="ER343" i="15"/>
  <c r="AT47" i="82"/>
  <c r="AT47" i="83"/>
  <c r="AT47" i="86"/>
  <c r="AT47" i="90"/>
  <c r="AT47" i="89"/>
  <c r="AT47" i="91"/>
  <c r="AT47" i="84"/>
  <c r="AT47" i="85"/>
  <c r="AT47" i="88"/>
  <c r="AT47" i="87"/>
  <c r="BU181" i="15"/>
  <c r="BT181" i="15"/>
  <c r="EV181" i="15"/>
  <c r="CH181" i="15" s="1"/>
  <c r="BT207" i="15"/>
  <c r="EV207" i="15"/>
  <c r="BU207" i="15"/>
  <c r="EV225" i="15"/>
  <c r="BU225" i="15"/>
  <c r="BT225" i="15"/>
  <c r="BU201" i="15"/>
  <c r="BT201" i="15"/>
  <c r="EV201" i="15"/>
  <c r="CH201" i="15" s="1"/>
  <c r="BU221" i="15"/>
  <c r="EV221" i="15"/>
  <c r="BT221" i="15"/>
  <c r="BT139" i="15"/>
  <c r="BS139" i="15" s="1"/>
  <c r="BU139" i="15"/>
  <c r="EV139" i="15"/>
  <c r="CH139" i="15" s="1"/>
  <c r="BU241" i="15"/>
  <c r="BT241" i="15"/>
  <c r="EV241" i="15"/>
  <c r="AM33" i="65"/>
  <c r="I33" i="5"/>
  <c r="ER207" i="15"/>
  <c r="ET207" i="15" s="1"/>
  <c r="EW139" i="15"/>
  <c r="BS201" i="15"/>
  <c r="EW201" i="15"/>
  <c r="AV265" i="65"/>
  <c r="CF265" i="15"/>
  <c r="AV243" i="65"/>
  <c r="CF243" i="15"/>
  <c r="AV183" i="65"/>
  <c r="CF183" i="15"/>
  <c r="CF104" i="15"/>
  <c r="CF92" i="15"/>
  <c r="CF343" i="15"/>
  <c r="CF247" i="15"/>
  <c r="ER265" i="15"/>
  <c r="ER221" i="15"/>
  <c r="ER181" i="15"/>
  <c r="ER199" i="15"/>
  <c r="AV83" i="65"/>
  <c r="CF83" i="15"/>
  <c r="BS83" i="15" s="1"/>
  <c r="ER83" i="15"/>
  <c r="AV139" i="65"/>
  <c r="ER139" i="15"/>
  <c r="AV201" i="65"/>
  <c r="ER201" i="15"/>
  <c r="AV225" i="65"/>
  <c r="CF225" i="15"/>
  <c r="ER225" i="15"/>
  <c r="AV175" i="65"/>
  <c r="CF175" i="15"/>
  <c r="AV157" i="65"/>
  <c r="ER157" i="15"/>
  <c r="CF157" i="15"/>
  <c r="AV167" i="65"/>
  <c r="AV163" i="65"/>
  <c r="CF163" i="15"/>
  <c r="ER163" i="15"/>
  <c r="AV207" i="65"/>
  <c r="CF207" i="15"/>
  <c r="CF114" i="15"/>
  <c r="CF321" i="15"/>
  <c r="CF137" i="15"/>
  <c r="CF329" i="15"/>
  <c r="ER247" i="15"/>
  <c r="CF349" i="15"/>
  <c r="ER241" i="15"/>
  <c r="CF221" i="15"/>
  <c r="CF257" i="15"/>
  <c r="CF167" i="15"/>
  <c r="ER243" i="15"/>
  <c r="CF199" i="15"/>
  <c r="CF241" i="15"/>
  <c r="HJ59" i="15"/>
  <c r="AM22" i="65"/>
  <c r="I22" i="5"/>
  <c r="DB276" i="15"/>
  <c r="AT276" i="65"/>
  <c r="DB198" i="15"/>
  <c r="AT198" i="65"/>
  <c r="DB296" i="15"/>
  <c r="AT296" i="65"/>
  <c r="AT270" i="65"/>
  <c r="DB270" i="15"/>
  <c r="DB260" i="15"/>
  <c r="AT260" i="65"/>
  <c r="DB312" i="15"/>
  <c r="AT312" i="65"/>
  <c r="DB234" i="15"/>
  <c r="AT234" i="65"/>
  <c r="AT244" i="65"/>
  <c r="DB244" i="15"/>
  <c r="GK26" i="15"/>
  <c r="H26" i="5"/>
  <c r="AL26" i="65" s="1"/>
  <c r="AT282" i="65"/>
  <c r="DB282" i="15"/>
  <c r="AT330" i="65"/>
  <c r="DB330" i="15"/>
  <c r="AT156" i="65"/>
  <c r="DB156" i="15"/>
  <c r="CE253" i="15"/>
  <c r="AU253" i="65"/>
  <c r="AU219" i="65"/>
  <c r="CE219" i="15"/>
  <c r="AT314" i="65"/>
  <c r="DB314" i="15"/>
  <c r="AT160" i="65"/>
  <c r="DB160" i="15"/>
  <c r="DB250" i="15"/>
  <c r="AT250" i="65"/>
  <c r="BR343" i="15"/>
  <c r="AT200" i="65"/>
  <c r="DB200" i="15"/>
  <c r="AT230" i="65"/>
  <c r="DB230" i="15"/>
  <c r="AT298" i="65"/>
  <c r="DB298" i="15"/>
  <c r="CF237" i="15"/>
  <c r="AU237" i="65"/>
  <c r="CF135" i="15"/>
  <c r="AU135" i="65"/>
  <c r="CE135" i="15"/>
  <c r="ER135" i="15" s="1"/>
  <c r="CE251" i="15"/>
  <c r="AU251" i="65"/>
  <c r="AU193" i="65"/>
  <c r="AT144" i="65"/>
  <c r="DB144" i="15"/>
  <c r="AT218" i="65"/>
  <c r="DB218" i="15"/>
  <c r="AU269" i="65"/>
  <c r="AU245" i="65"/>
  <c r="CE245" i="15"/>
  <c r="AU213" i="65"/>
  <c r="CF213" i="15"/>
  <c r="FU162" i="15"/>
  <c r="FB162" i="15" s="1"/>
  <c r="AR162" i="65"/>
  <c r="BP330" i="15"/>
  <c r="BR330" i="15" s="1"/>
  <c r="CC252" i="15"/>
  <c r="BP252" i="15"/>
  <c r="BR252" i="15" s="1"/>
  <c r="CC222" i="15"/>
  <c r="BZ222" i="15"/>
  <c r="BP198" i="15"/>
  <c r="BR198" i="15" s="1"/>
  <c r="BZ198" i="15"/>
  <c r="AR180" i="65"/>
  <c r="BP180" i="15"/>
  <c r="BR180" i="15" s="1"/>
  <c r="BZ324" i="15"/>
  <c r="AR324" i="65"/>
  <c r="CC324" i="15"/>
  <c r="BZ186" i="15"/>
  <c r="BP186" i="15"/>
  <c r="BR186" i="15" s="1"/>
  <c r="CC202" i="15"/>
  <c r="AR202" i="65"/>
  <c r="AR38" i="65"/>
  <c r="L38" i="5" s="1"/>
  <c r="CC38" i="15"/>
  <c r="BZ38" i="15"/>
  <c r="BP310" i="15"/>
  <c r="FU310" i="15"/>
  <c r="FA310" i="15" s="1"/>
  <c r="BG310" i="65" s="1"/>
  <c r="BP264" i="15"/>
  <c r="BR264" i="15" s="1"/>
  <c r="CC264" i="15"/>
  <c r="BZ228" i="15"/>
  <c r="CF228" i="15" s="1"/>
  <c r="BP228" i="15"/>
  <c r="BR228" i="15" s="1"/>
  <c r="CC196" i="15"/>
  <c r="AR196" i="65"/>
  <c r="BP314" i="15"/>
  <c r="BR314" i="15" s="1"/>
  <c r="AR256" i="65"/>
  <c r="FU226" i="15"/>
  <c r="FA226" i="15" s="1"/>
  <c r="BG226" i="65" s="1"/>
  <c r="AR226" i="65"/>
  <c r="CC250" i="15"/>
  <c r="BP250" i="15"/>
  <c r="BR250" i="15" s="1"/>
  <c r="CC208" i="15"/>
  <c r="BZ208" i="15"/>
  <c r="AU208" i="65" s="1"/>
  <c r="BP208" i="15"/>
  <c r="BR208" i="15" s="1"/>
  <c r="FU94" i="15"/>
  <c r="BZ94" i="15"/>
  <c r="CC148" i="15"/>
  <c r="AR148" i="65"/>
  <c r="BZ148" i="15"/>
  <c r="CF148" i="15" s="1"/>
  <c r="BZ340" i="15"/>
  <c r="AR340" i="65"/>
  <c r="CC322" i="15"/>
  <c r="AR322" i="65"/>
  <c r="CC266" i="15"/>
  <c r="BP266" i="15"/>
  <c r="BR266" i="15" s="1"/>
  <c r="FU238" i="15"/>
  <c r="FB238" i="15" s="1"/>
  <c r="BZ238" i="15"/>
  <c r="AR238" i="65"/>
  <c r="FU204" i="15"/>
  <c r="CC204" i="15"/>
  <c r="AR204" i="65"/>
  <c r="AR346" i="65"/>
  <c r="BP346" i="15"/>
  <c r="BR346" i="15" s="1"/>
  <c r="BZ334" i="15"/>
  <c r="BZ294" i="15"/>
  <c r="AR294" i="65"/>
  <c r="FU268" i="15"/>
  <c r="FA268" i="15" s="1"/>
  <c r="BG268" i="65" s="1"/>
  <c r="BZ234" i="15"/>
  <c r="CC234" i="15"/>
  <c r="BP234" i="15"/>
  <c r="BR234" i="15" s="1"/>
  <c r="AU249" i="65"/>
  <c r="FA259" i="15"/>
  <c r="BG259" i="65" s="1"/>
  <c r="FB259" i="15"/>
  <c r="CE235" i="15"/>
  <c r="CF323" i="15"/>
  <c r="CE323" i="15"/>
  <c r="ER323" i="15" s="1"/>
  <c r="CE305" i="15"/>
  <c r="AU305" i="65"/>
  <c r="AU333" i="65"/>
  <c r="CE341" i="15"/>
  <c r="AU137" i="65"/>
  <c r="AU345" i="65"/>
  <c r="CE233" i="15"/>
  <c r="CF233" i="15"/>
  <c r="FB291" i="15"/>
  <c r="FC291" i="15"/>
  <c r="AU307" i="65"/>
  <c r="CE321" i="15"/>
  <c r="ER321" i="15" s="1"/>
  <c r="AU321" i="65"/>
  <c r="AU337" i="65"/>
  <c r="CE337" i="15"/>
  <c r="ER337" i="15" s="1"/>
  <c r="CF335" i="15"/>
  <c r="EW181" i="15"/>
  <c r="EX181" i="15" s="1"/>
  <c r="CB339" i="15"/>
  <c r="BV339" i="15"/>
  <c r="BO339" i="15"/>
  <c r="BY339" i="15"/>
  <c r="CE339" i="15" s="1"/>
  <c r="CD341" i="15"/>
  <c r="BQ341" i="15"/>
  <c r="BO273" i="15"/>
  <c r="FT273" i="15"/>
  <c r="FB273" i="15" s="1"/>
  <c r="BY273" i="15"/>
  <c r="AS253" i="65"/>
  <c r="CA253" i="15"/>
  <c r="AV253" i="65" s="1"/>
  <c r="AQ189" i="65"/>
  <c r="FT189" i="15"/>
  <c r="FC189" i="15" s="1"/>
  <c r="BY189" i="15"/>
  <c r="CE189" i="15" s="1"/>
  <c r="ER189" i="15" s="1"/>
  <c r="FT149" i="15"/>
  <c r="FB149" i="15" s="1"/>
  <c r="AQ149" i="65"/>
  <c r="BO149" i="15"/>
  <c r="BR149" i="15" s="1"/>
  <c r="BY149" i="15"/>
  <c r="CE149" i="15" s="1"/>
  <c r="ER149" i="15" s="1"/>
  <c r="BY137" i="15"/>
  <c r="CE137" i="15" s="1"/>
  <c r="BV137" i="15"/>
  <c r="AS347" i="65"/>
  <c r="CA347" i="15"/>
  <c r="CD347" i="15"/>
  <c r="CD333" i="15"/>
  <c r="CA333" i="15"/>
  <c r="AV333" i="65" s="1"/>
  <c r="AS333" i="65"/>
  <c r="CD325" i="15"/>
  <c r="CA325" i="15"/>
  <c r="BQ325" i="15"/>
  <c r="CB293" i="15"/>
  <c r="BY293" i="15"/>
  <c r="FT293" i="15"/>
  <c r="CB261" i="15"/>
  <c r="BO261" i="15"/>
  <c r="FT261" i="15"/>
  <c r="FB261" i="15" s="1"/>
  <c r="AQ261" i="65"/>
  <c r="CB193" i="15"/>
  <c r="BO193" i="15"/>
  <c r="BY193" i="15"/>
  <c r="CE193" i="15" s="1"/>
  <c r="BV257" i="15"/>
  <c r="FT257" i="15"/>
  <c r="FC257" i="15" s="1"/>
  <c r="AS251" i="65"/>
  <c r="CA251" i="15"/>
  <c r="AV251" i="65" s="1"/>
  <c r="CA143" i="15"/>
  <c r="AV143" i="65" s="1"/>
  <c r="AS143" i="65"/>
  <c r="AQ129" i="65"/>
  <c r="BY129" i="15"/>
  <c r="CB185" i="15"/>
  <c r="BY185" i="15"/>
  <c r="CE185" i="15" s="1"/>
  <c r="BO185" i="15"/>
  <c r="BV185" i="15"/>
  <c r="AS317" i="65"/>
  <c r="CA317" i="15"/>
  <c r="BV227" i="15"/>
  <c r="FT227" i="15"/>
  <c r="BY227" i="15"/>
  <c r="AQ227" i="65"/>
  <c r="BO167" i="15"/>
  <c r="BR167" i="15" s="1"/>
  <c r="BV167" i="15"/>
  <c r="BY167" i="15"/>
  <c r="FT349" i="15"/>
  <c r="FC349" i="15" s="1"/>
  <c r="BO349" i="15"/>
  <c r="BY349" i="15"/>
  <c r="AT349" i="65" s="1"/>
  <c r="AS289" i="65"/>
  <c r="CA289" i="15"/>
  <c r="BQ273" i="15"/>
  <c r="BO253" i="15"/>
  <c r="FT253" i="15"/>
  <c r="FB253" i="15" s="1"/>
  <c r="BV253" i="15"/>
  <c r="CB253" i="15"/>
  <c r="BY237" i="15"/>
  <c r="CE237" i="15" s="1"/>
  <c r="ER237" i="15" s="1"/>
  <c r="BV237" i="15"/>
  <c r="FT237" i="15"/>
  <c r="FB237" i="15" s="1"/>
  <c r="BV205" i="15"/>
  <c r="BO205" i="15"/>
  <c r="BR205" i="15" s="1"/>
  <c r="AQ205" i="65"/>
  <c r="AQ165" i="65"/>
  <c r="BV165" i="15"/>
  <c r="CB165" i="15"/>
  <c r="BQ145" i="15"/>
  <c r="CD145" i="15"/>
  <c r="CD141" i="15"/>
  <c r="CA141" i="15"/>
  <c r="FT133" i="15"/>
  <c r="FC133" i="15" s="1"/>
  <c r="BO133" i="15"/>
  <c r="CB133" i="15"/>
  <c r="AS327" i="65"/>
  <c r="BQ327" i="15"/>
  <c r="CB301" i="15"/>
  <c r="BO301" i="15"/>
  <c r="BR301" i="15" s="1"/>
  <c r="AQ301" i="65"/>
  <c r="BY285" i="15"/>
  <c r="BV285" i="15"/>
  <c r="FT285" i="15"/>
  <c r="FB285" i="15" s="1"/>
  <c r="CD271" i="15"/>
  <c r="BQ271" i="15"/>
  <c r="BR271" i="15" s="1"/>
  <c r="AS135" i="65"/>
  <c r="BQ135" i="15"/>
  <c r="BR135" i="15" s="1"/>
  <c r="BV83" i="15"/>
  <c r="CB83" i="15"/>
  <c r="BO83" i="15"/>
  <c r="BR83" i="15" s="1"/>
  <c r="CD319" i="15"/>
  <c r="BQ319" i="15"/>
  <c r="BR319" i="15" s="1"/>
  <c r="CA319" i="15"/>
  <c r="CB199" i="15"/>
  <c r="BV199" i="15"/>
  <c r="FT199" i="15"/>
  <c r="FB199" i="15" s="1"/>
  <c r="BO341" i="15"/>
  <c r="BV341" i="15"/>
  <c r="AQ341" i="65"/>
  <c r="FT341" i="15"/>
  <c r="FC341" i="15" s="1"/>
  <c r="CD331" i="15"/>
  <c r="CA331" i="15"/>
  <c r="FT329" i="15"/>
  <c r="FB329" i="15" s="1"/>
  <c r="BV329" i="15"/>
  <c r="BY329" i="15"/>
  <c r="CB329" i="15"/>
  <c r="BO317" i="15"/>
  <c r="BV317" i="15"/>
  <c r="FT317" i="15"/>
  <c r="FC317" i="15" s="1"/>
  <c r="BY317" i="15"/>
  <c r="CE317" i="15" s="1"/>
  <c r="BQ281" i="15"/>
  <c r="BR281" i="15" s="1"/>
  <c r="CA281" i="15"/>
  <c r="CD281" i="15"/>
  <c r="CB265" i="15"/>
  <c r="AQ265" i="65"/>
  <c r="BO265" i="15"/>
  <c r="FT265" i="15"/>
  <c r="FB265" i="15" s="1"/>
  <c r="AS247" i="65"/>
  <c r="CD247" i="15"/>
  <c r="BV229" i="15"/>
  <c r="AQ229" i="65"/>
  <c r="CA339" i="15"/>
  <c r="CD315" i="15"/>
  <c r="CA315" i="15"/>
  <c r="BQ315" i="15"/>
  <c r="CD263" i="15"/>
  <c r="AS263" i="65"/>
  <c r="FT201" i="15"/>
  <c r="BV201" i="15"/>
  <c r="CB201" i="15"/>
  <c r="CA103" i="15"/>
  <c r="BQ103" i="15"/>
  <c r="AP59" i="65"/>
  <c r="BP82" i="15"/>
  <c r="CC82" i="15"/>
  <c r="FU134" i="15"/>
  <c r="CC134" i="15"/>
  <c r="FC235" i="15"/>
  <c r="CF307" i="15"/>
  <c r="AR310" i="65"/>
  <c r="FU252" i="15"/>
  <c r="AR222" i="65"/>
  <c r="FU198" i="15"/>
  <c r="AR198" i="65"/>
  <c r="FU180" i="15"/>
  <c r="BS181" i="15"/>
  <c r="FU324" i="15"/>
  <c r="FA324" i="15" s="1"/>
  <c r="BG324" i="65" s="1"/>
  <c r="BP324" i="15"/>
  <c r="BR324" i="15" s="1"/>
  <c r="BZ226" i="15"/>
  <c r="FU250" i="15"/>
  <c r="FB250" i="15" s="1"/>
  <c r="FU208" i="15"/>
  <c r="CC94" i="15"/>
  <c r="AR94" i="65"/>
  <c r="L94" i="5" s="1"/>
  <c r="BP148" i="15"/>
  <c r="BR148" i="15" s="1"/>
  <c r="FU340" i="15"/>
  <c r="FA340" i="15" s="1"/>
  <c r="BG340" i="65" s="1"/>
  <c r="FU322" i="15"/>
  <c r="FB322" i="15" s="1"/>
  <c r="FU266" i="15"/>
  <c r="BZ266" i="15"/>
  <c r="CF266" i="15" s="1"/>
  <c r="BO129" i="15"/>
  <c r="BR129" i="15" s="1"/>
  <c r="FT129" i="15"/>
  <c r="CC346" i="15"/>
  <c r="BP334" i="15"/>
  <c r="BP268" i="15"/>
  <c r="BR268" i="15" s="1"/>
  <c r="BP202" i="15"/>
  <c r="BR202" i="15" s="1"/>
  <c r="AQ185" i="65"/>
  <c r="FA291" i="15"/>
  <c r="BG291" i="65" s="1"/>
  <c r="AU323" i="65"/>
  <c r="AR330" i="65"/>
  <c r="BZ264" i="15"/>
  <c r="CC228" i="15"/>
  <c r="BP196" i="15"/>
  <c r="BR196" i="15" s="1"/>
  <c r="BV149" i="15"/>
  <c r="CE345" i="15"/>
  <c r="AR314" i="65"/>
  <c r="BR285" i="15"/>
  <c r="CC256" i="15"/>
  <c r="FT193" i="15"/>
  <c r="FC193" i="15" s="1"/>
  <c r="BV193" i="15"/>
  <c r="AR186" i="65"/>
  <c r="BY257" i="15"/>
  <c r="CE257" i="15" s="1"/>
  <c r="ER257" i="15" s="1"/>
  <c r="BO257" i="15"/>
  <c r="BR257" i="15" s="1"/>
  <c r="CD251" i="15"/>
  <c r="CE335" i="15"/>
  <c r="ER335" i="15" s="1"/>
  <c r="CF337" i="15"/>
  <c r="AU239" i="65"/>
  <c r="CF118" i="15"/>
  <c r="CF249" i="15"/>
  <c r="ER233" i="15"/>
  <c r="ES233" i="15" s="1"/>
  <c r="BR169" i="15"/>
  <c r="BR323" i="15"/>
  <c r="FB309" i="15"/>
  <c r="CC238" i="15"/>
  <c r="BP238" i="15"/>
  <c r="BR238" i="15" s="1"/>
  <c r="BP204" i="15"/>
  <c r="BR204" i="15" s="1"/>
  <c r="FU346" i="15"/>
  <c r="AR334" i="65"/>
  <c r="CC334" i="15"/>
  <c r="BP294" i="15"/>
  <c r="BR294" i="15" s="1"/>
  <c r="FU294" i="15"/>
  <c r="FA294" i="15" s="1"/>
  <c r="BG294" i="65" s="1"/>
  <c r="AR268" i="65"/>
  <c r="BZ268" i="15"/>
  <c r="AU268" i="65" s="1"/>
  <c r="FU234" i="15"/>
  <c r="AR234" i="65"/>
  <c r="BZ202" i="15"/>
  <c r="BP38" i="15"/>
  <c r="BZ162" i="15"/>
  <c r="CE162" i="15" s="1"/>
  <c r="BP162" i="15"/>
  <c r="BR162" i="15" s="1"/>
  <c r="AU235" i="65"/>
  <c r="AU299" i="65"/>
  <c r="BZ330" i="15"/>
  <c r="CC330" i="15"/>
  <c r="AR264" i="65"/>
  <c r="FU264" i="15"/>
  <c r="FC264" i="15" s="1"/>
  <c r="AR228" i="65"/>
  <c r="BZ196" i="15"/>
  <c r="FU196" i="15"/>
  <c r="FA196" i="15" s="1"/>
  <c r="BG196" i="65" s="1"/>
  <c r="BZ314" i="15"/>
  <c r="AU314" i="65" s="1"/>
  <c r="FU314" i="15"/>
  <c r="FU256" i="15"/>
  <c r="FB256" i="15" s="1"/>
  <c r="BZ256" i="15"/>
  <c r="FU186" i="15"/>
  <c r="ER333" i="15"/>
  <c r="ET333" i="15" s="1"/>
  <c r="CF239" i="15"/>
  <c r="BR147" i="15"/>
  <c r="BQ317" i="15"/>
  <c r="CA341" i="15"/>
  <c r="AV341" i="65" s="1"/>
  <c r="CD289" i="15"/>
  <c r="CA273" i="15"/>
  <c r="AS273" i="65"/>
  <c r="CA327" i="15"/>
  <c r="CA271" i="15"/>
  <c r="BQ251" i="15"/>
  <c r="BR251" i="15" s="1"/>
  <c r="BQ143" i="15"/>
  <c r="BR143" i="15" s="1"/>
  <c r="BR191" i="15"/>
  <c r="BR263" i="15"/>
  <c r="BR279" i="15"/>
  <c r="AT344" i="65"/>
  <c r="DB344" i="15"/>
  <c r="AU229" i="65"/>
  <c r="CE229" i="15"/>
  <c r="ER229" i="15" s="1"/>
  <c r="CF229" i="15"/>
  <c r="DB306" i="15"/>
  <c r="AT306" i="65"/>
  <c r="FU240" i="15"/>
  <c r="FA240" i="15" s="1"/>
  <c r="BG240" i="65" s="1"/>
  <c r="CC240" i="15"/>
  <c r="CC176" i="15"/>
  <c r="AR176" i="65"/>
  <c r="AU349" i="65"/>
  <c r="AT26" i="82"/>
  <c r="AT26" i="83"/>
  <c r="AT26" i="84"/>
  <c r="AT26" i="86"/>
  <c r="AT26" i="85"/>
  <c r="AT26" i="87"/>
  <c r="AT26" i="89"/>
  <c r="AT26" i="88"/>
  <c r="AT26" i="90"/>
  <c r="AS105" i="82"/>
  <c r="AS105" i="83"/>
  <c r="AS105" i="84"/>
  <c r="AS105" i="86"/>
  <c r="AS105" i="85"/>
  <c r="AS105" i="87"/>
  <c r="AS105" i="89"/>
  <c r="AS105" i="88"/>
  <c r="AS105" i="90"/>
  <c r="AT25" i="82"/>
  <c r="AT25" i="84"/>
  <c r="AT25" i="83"/>
  <c r="AT25" i="85"/>
  <c r="AT25" i="86"/>
  <c r="AT25" i="88"/>
  <c r="AT25" i="90"/>
  <c r="AT25" i="87"/>
  <c r="AT25" i="89"/>
  <c r="AS121" i="82"/>
  <c r="AS121" i="83"/>
  <c r="AS121" i="84"/>
  <c r="AS121" i="86"/>
  <c r="AS121" i="85"/>
  <c r="AS121" i="87"/>
  <c r="AS121" i="89"/>
  <c r="AS121" i="88"/>
  <c r="AS121" i="90"/>
  <c r="AT46" i="82"/>
  <c r="AT46" i="83"/>
  <c r="AT46" i="84"/>
  <c r="AT46" i="86"/>
  <c r="AT46" i="85"/>
  <c r="AT46" i="87"/>
  <c r="AT46" i="89"/>
  <c r="AT46" i="88"/>
  <c r="AT46" i="90"/>
  <c r="AS123" i="82"/>
  <c r="AS123" i="83"/>
  <c r="AS123" i="84"/>
  <c r="AS123" i="86"/>
  <c r="AS123" i="85"/>
  <c r="AS123" i="87"/>
  <c r="AS123" i="89"/>
  <c r="AS123" i="88"/>
  <c r="AS123" i="90"/>
  <c r="AR127" i="82"/>
  <c r="AR127" i="84"/>
  <c r="AR127" i="83"/>
  <c r="AR127" i="85"/>
  <c r="AR127" i="86"/>
  <c r="AR127" i="88"/>
  <c r="AR127" i="90"/>
  <c r="AR127" i="87"/>
  <c r="AR127" i="89"/>
  <c r="AT101" i="82"/>
  <c r="AT101" i="84"/>
  <c r="AT101" i="83"/>
  <c r="AT101" i="85"/>
  <c r="AT101" i="86"/>
  <c r="AT101" i="88"/>
  <c r="AT101" i="90"/>
  <c r="AT101" i="87"/>
  <c r="AT101" i="89"/>
  <c r="AT70" i="82"/>
  <c r="AT70" i="83"/>
  <c r="AT70" i="84"/>
  <c r="AT70" i="86"/>
  <c r="AT70" i="85"/>
  <c r="AT70" i="87"/>
  <c r="AT70" i="89"/>
  <c r="AT70" i="88"/>
  <c r="AT70" i="90"/>
  <c r="AS109" i="82"/>
  <c r="AS109" i="83"/>
  <c r="AS109" i="84"/>
  <c r="AS109" i="86"/>
  <c r="AS109" i="85"/>
  <c r="AS109" i="87"/>
  <c r="AS109" i="89"/>
  <c r="AS109" i="88"/>
  <c r="AS109" i="90"/>
  <c r="AS58" i="82"/>
  <c r="AS58" i="84"/>
  <c r="AS58" i="83"/>
  <c r="AS58" i="85"/>
  <c r="AS58" i="86"/>
  <c r="AS58" i="88"/>
  <c r="AS58" i="90"/>
  <c r="AS58" i="87"/>
  <c r="AS58" i="89"/>
  <c r="AT95" i="82"/>
  <c r="AT95" i="84"/>
  <c r="AT95" i="83"/>
  <c r="AT95" i="85"/>
  <c r="AT95" i="86"/>
  <c r="AT95" i="88"/>
  <c r="AT95" i="90"/>
  <c r="AT95" i="87"/>
  <c r="AT95" i="89"/>
  <c r="AT106" i="82"/>
  <c r="AT106" i="83"/>
  <c r="AT106" i="84"/>
  <c r="AT106" i="86"/>
  <c r="AT106" i="85"/>
  <c r="AT106" i="87"/>
  <c r="AT106" i="89"/>
  <c r="AT106" i="88"/>
  <c r="AT106" i="90"/>
  <c r="AT104" i="82"/>
  <c r="AT104" i="83"/>
  <c r="AT104" i="84"/>
  <c r="AT104" i="86"/>
  <c r="AT104" i="85"/>
  <c r="AT104" i="87"/>
  <c r="AT104" i="89"/>
  <c r="AT104" i="88"/>
  <c r="AT104" i="90"/>
  <c r="AT114" i="82"/>
  <c r="AT114" i="83"/>
  <c r="AT114" i="84"/>
  <c r="AT114" i="86"/>
  <c r="AT114" i="85"/>
  <c r="AT114" i="87"/>
  <c r="AT114" i="89"/>
  <c r="AT114" i="88"/>
  <c r="AT114" i="90"/>
  <c r="AR88" i="82"/>
  <c r="AR88" i="83"/>
  <c r="AR88" i="84"/>
  <c r="AR88" i="86"/>
  <c r="AR88" i="85"/>
  <c r="AR88" i="87"/>
  <c r="AR88" i="89"/>
  <c r="AR88" i="88"/>
  <c r="AR88" i="90"/>
  <c r="AW116" i="82"/>
  <c r="AW116" i="84"/>
  <c r="AW116" i="83"/>
  <c r="AW116" i="85"/>
  <c r="AW116" i="86"/>
  <c r="AW116" i="88"/>
  <c r="AW116" i="90"/>
  <c r="AW116" i="87"/>
  <c r="AW116" i="89"/>
  <c r="AW88" i="82"/>
  <c r="AW88" i="84"/>
  <c r="AW88" i="83"/>
  <c r="AW88" i="85"/>
  <c r="AW88" i="86"/>
  <c r="AW88" i="88"/>
  <c r="AW88" i="90"/>
  <c r="AW88" i="87"/>
  <c r="AW88" i="89"/>
  <c r="AW104" i="82"/>
  <c r="AW104" i="84"/>
  <c r="AW104" i="83"/>
  <c r="AW104" i="85"/>
  <c r="AW104" i="86"/>
  <c r="AW104" i="88"/>
  <c r="AW104" i="90"/>
  <c r="AW104" i="87"/>
  <c r="AW104" i="89"/>
  <c r="AU104" i="82"/>
  <c r="AU104" i="84"/>
  <c r="AU104" i="83"/>
  <c r="AU104" i="85"/>
  <c r="AU104" i="86"/>
  <c r="AU104" i="88"/>
  <c r="AU104" i="90"/>
  <c r="AU104" i="87"/>
  <c r="AU104" i="89"/>
  <c r="AW119" i="82"/>
  <c r="AW119" i="83"/>
  <c r="AW119" i="84"/>
  <c r="AW119" i="86"/>
  <c r="AW119" i="85"/>
  <c r="AW119" i="87"/>
  <c r="AW119" i="89"/>
  <c r="AW119" i="88"/>
  <c r="AW119" i="90"/>
  <c r="AU119" i="82"/>
  <c r="AU119" i="83"/>
  <c r="AU119" i="84"/>
  <c r="AU119" i="86"/>
  <c r="AU119" i="85"/>
  <c r="AU119" i="87"/>
  <c r="AU119" i="89"/>
  <c r="AU119" i="88"/>
  <c r="AU119" i="90"/>
  <c r="AV88" i="82"/>
  <c r="AV88" i="83"/>
  <c r="AV88" i="84"/>
  <c r="AV88" i="86"/>
  <c r="AV88" i="85"/>
  <c r="AV88" i="87"/>
  <c r="AV88" i="89"/>
  <c r="AV88" i="88"/>
  <c r="AV88" i="90"/>
  <c r="AT53" i="82"/>
  <c r="AT53" i="84"/>
  <c r="AT53" i="83"/>
  <c r="AT53" i="85"/>
  <c r="AT53" i="86"/>
  <c r="AT53" i="88"/>
  <c r="AT53" i="90"/>
  <c r="AT53" i="87"/>
  <c r="AT53" i="89"/>
  <c r="AS51" i="82"/>
  <c r="AS51" i="83"/>
  <c r="AS51" i="84"/>
  <c r="AS51" i="86"/>
  <c r="AS51" i="85"/>
  <c r="AS51" i="87"/>
  <c r="AS51" i="89"/>
  <c r="AS51" i="88"/>
  <c r="AS51" i="90"/>
  <c r="AS41" i="82"/>
  <c r="AS41" i="83"/>
  <c r="AS41" i="84"/>
  <c r="AS41" i="86"/>
  <c r="AS41" i="85"/>
  <c r="AS41" i="87"/>
  <c r="AS41" i="89"/>
  <c r="AS41" i="88"/>
  <c r="AS41" i="90"/>
  <c r="AS43" i="82"/>
  <c r="AS43" i="83"/>
  <c r="AS43" i="84"/>
  <c r="AS43" i="86"/>
  <c r="AS43" i="85"/>
  <c r="AS43" i="87"/>
  <c r="AS43" i="89"/>
  <c r="AS43" i="88"/>
  <c r="AS43" i="90"/>
  <c r="AS34" i="82"/>
  <c r="AS34" i="84"/>
  <c r="AS34" i="83"/>
  <c r="AS34" i="85"/>
  <c r="AS34" i="86"/>
  <c r="AS34" i="88"/>
  <c r="AS34" i="90"/>
  <c r="AS34" i="87"/>
  <c r="AS34" i="89"/>
  <c r="AS37" i="82"/>
  <c r="AS37" i="83"/>
  <c r="AS37" i="84"/>
  <c r="AS37" i="86"/>
  <c r="AS37" i="85"/>
  <c r="AS37" i="87"/>
  <c r="AS37" i="89"/>
  <c r="AS37" i="88"/>
  <c r="AS37" i="90"/>
  <c r="AS39" i="82"/>
  <c r="AS39" i="83"/>
  <c r="AS39" i="84"/>
  <c r="AS39" i="86"/>
  <c r="AS39" i="85"/>
  <c r="AS39" i="87"/>
  <c r="AS39" i="89"/>
  <c r="AS39" i="88"/>
  <c r="AS39" i="90"/>
  <c r="AS59" i="82"/>
  <c r="AS59" i="83"/>
  <c r="AS59" i="84"/>
  <c r="AS59" i="86"/>
  <c r="AS59" i="85"/>
  <c r="AS59" i="87"/>
  <c r="AS59" i="89"/>
  <c r="AS59" i="88"/>
  <c r="AS59" i="90"/>
  <c r="AT65" i="82"/>
  <c r="AT65" i="84"/>
  <c r="AT65" i="83"/>
  <c r="AT65" i="85"/>
  <c r="AT65" i="86"/>
  <c r="AT65" i="88"/>
  <c r="AT65" i="90"/>
  <c r="AT65" i="87"/>
  <c r="AT65" i="89"/>
  <c r="AR83" i="82"/>
  <c r="AR83" i="84"/>
  <c r="AR83" i="83"/>
  <c r="AR83" i="85"/>
  <c r="AR83" i="86"/>
  <c r="AR83" i="88"/>
  <c r="AR83" i="90"/>
  <c r="AR83" i="87"/>
  <c r="AR83" i="89"/>
  <c r="AS57" i="82"/>
  <c r="AS57" i="83"/>
  <c r="AS57" i="84"/>
  <c r="AS57" i="86"/>
  <c r="AS57" i="85"/>
  <c r="AS57" i="87"/>
  <c r="AS57" i="89"/>
  <c r="AS57" i="88"/>
  <c r="AS57" i="90"/>
  <c r="AS77" i="82"/>
  <c r="AS77" i="83"/>
  <c r="AS77" i="84"/>
  <c r="AS77" i="86"/>
  <c r="AS77" i="85"/>
  <c r="AS77" i="87"/>
  <c r="AS77" i="89"/>
  <c r="AS77" i="88"/>
  <c r="AS77" i="90"/>
  <c r="AV80" i="82"/>
  <c r="AV80" i="83"/>
  <c r="AV80" i="84"/>
  <c r="AV80" i="86"/>
  <c r="AV80" i="85"/>
  <c r="AV80" i="87"/>
  <c r="AV80" i="89"/>
  <c r="AV80" i="88"/>
  <c r="AV80" i="90"/>
  <c r="AR80" i="82"/>
  <c r="AR80" i="83"/>
  <c r="AR80" i="84"/>
  <c r="AR80" i="86"/>
  <c r="AR80" i="85"/>
  <c r="AR80" i="87"/>
  <c r="AR80" i="89"/>
  <c r="AR80" i="88"/>
  <c r="AR80" i="90"/>
  <c r="AW100" i="82"/>
  <c r="AW100" i="84"/>
  <c r="AW100" i="83"/>
  <c r="AW100" i="85"/>
  <c r="AW100" i="86"/>
  <c r="AW100" i="88"/>
  <c r="AW100" i="90"/>
  <c r="AW100" i="87"/>
  <c r="AW100" i="89"/>
  <c r="AT28" i="82"/>
  <c r="AT28" i="83"/>
  <c r="AT28" i="84"/>
  <c r="AT28" i="86"/>
  <c r="AT28" i="85"/>
  <c r="AT28" i="87"/>
  <c r="AT28" i="89"/>
  <c r="AT28" i="88"/>
  <c r="AT28" i="90"/>
  <c r="AT29" i="82"/>
  <c r="AT29" i="84"/>
  <c r="AT29" i="83"/>
  <c r="AT29" i="85"/>
  <c r="AT29" i="86"/>
  <c r="AT29" i="88"/>
  <c r="AT29" i="90"/>
  <c r="AT29" i="87"/>
  <c r="AT29" i="89"/>
  <c r="AT33" i="82"/>
  <c r="AT33" i="84"/>
  <c r="AT33" i="83"/>
  <c r="AT33" i="85"/>
  <c r="AT33" i="86"/>
  <c r="AT33" i="88"/>
  <c r="AT33" i="90"/>
  <c r="AT33" i="87"/>
  <c r="AT33" i="89"/>
  <c r="AT35" i="82"/>
  <c r="AT35" i="84"/>
  <c r="AT35" i="83"/>
  <c r="AT35" i="85"/>
  <c r="AT35" i="86"/>
  <c r="AT35" i="88"/>
  <c r="AT35" i="90"/>
  <c r="AT35" i="87"/>
  <c r="AT35" i="89"/>
  <c r="AT31" i="82"/>
  <c r="AT31" i="84"/>
  <c r="AT31" i="83"/>
  <c r="AT31" i="85"/>
  <c r="AT31" i="86"/>
  <c r="AT31" i="88"/>
  <c r="AT31" i="90"/>
  <c r="AT31" i="87"/>
  <c r="AT31" i="89"/>
  <c r="AS125" i="82"/>
  <c r="AS125" i="83"/>
  <c r="AS125" i="84"/>
  <c r="AS125" i="86"/>
  <c r="AS125" i="85"/>
  <c r="AS125" i="87"/>
  <c r="AS125" i="89"/>
  <c r="AS125" i="88"/>
  <c r="AS125" i="90"/>
  <c r="AT52" i="82"/>
  <c r="AT52" i="83"/>
  <c r="AT52" i="84"/>
  <c r="AT52" i="86"/>
  <c r="AT52" i="85"/>
  <c r="AT52" i="87"/>
  <c r="AT52" i="89"/>
  <c r="AT52" i="88"/>
  <c r="AT52" i="90"/>
  <c r="AS93" i="82"/>
  <c r="AS93" i="83"/>
  <c r="AS93" i="84"/>
  <c r="AS93" i="86"/>
  <c r="AS93" i="85"/>
  <c r="AS93" i="87"/>
  <c r="AS93" i="89"/>
  <c r="AS93" i="88"/>
  <c r="AS93" i="90"/>
  <c r="AT86" i="82"/>
  <c r="AT86" i="83"/>
  <c r="AT86" i="84"/>
  <c r="AT86" i="86"/>
  <c r="AT86" i="85"/>
  <c r="AT86" i="87"/>
  <c r="AT86" i="89"/>
  <c r="AT86" i="88"/>
  <c r="AT86" i="90"/>
  <c r="AT97" i="82"/>
  <c r="AT97" i="84"/>
  <c r="AT97" i="83"/>
  <c r="AT97" i="85"/>
  <c r="AT97" i="86"/>
  <c r="AT97" i="88"/>
  <c r="AT97" i="90"/>
  <c r="AT97" i="87"/>
  <c r="AT97" i="89"/>
  <c r="AT69" i="82"/>
  <c r="AT69" i="84"/>
  <c r="AT69" i="83"/>
  <c r="AT69" i="85"/>
  <c r="AT69" i="86"/>
  <c r="AT69" i="88"/>
  <c r="AT69" i="90"/>
  <c r="AT69" i="87"/>
  <c r="AT69" i="89"/>
  <c r="AT96" i="82"/>
  <c r="AT96" i="83"/>
  <c r="AT96" i="84"/>
  <c r="AT96" i="86"/>
  <c r="AT96" i="85"/>
  <c r="AT96" i="87"/>
  <c r="AT96" i="89"/>
  <c r="AT96" i="88"/>
  <c r="AT96" i="90"/>
  <c r="AT116" i="82"/>
  <c r="AT116" i="83"/>
  <c r="AT116" i="84"/>
  <c r="AT116" i="86"/>
  <c r="AT116" i="85"/>
  <c r="AT116" i="87"/>
  <c r="AT116" i="89"/>
  <c r="AT116" i="88"/>
  <c r="AT116" i="90"/>
  <c r="AT111" i="82"/>
  <c r="AT111" i="84"/>
  <c r="AT111" i="83"/>
  <c r="AT111" i="85"/>
  <c r="AT111" i="86"/>
  <c r="AT111" i="88"/>
  <c r="AT111" i="90"/>
  <c r="AT111" i="87"/>
  <c r="AT111" i="89"/>
  <c r="AT99" i="82"/>
  <c r="AT99" i="84"/>
  <c r="AT99" i="83"/>
  <c r="AT99" i="85"/>
  <c r="AT99" i="86"/>
  <c r="AT99" i="88"/>
  <c r="AT99" i="90"/>
  <c r="AT99" i="87"/>
  <c r="AT99" i="89"/>
  <c r="AT88" i="82"/>
  <c r="AT88" i="83"/>
  <c r="AT88" i="84"/>
  <c r="AT88" i="86"/>
  <c r="AT88" i="85"/>
  <c r="AT88" i="87"/>
  <c r="AT88" i="89"/>
  <c r="AT88" i="88"/>
  <c r="AT88" i="90"/>
  <c r="AT92" i="82"/>
  <c r="AT92" i="83"/>
  <c r="AT92" i="84"/>
  <c r="AT92" i="86"/>
  <c r="AT92" i="85"/>
  <c r="AT92" i="87"/>
  <c r="AT92" i="89"/>
  <c r="AT92" i="88"/>
  <c r="AT92" i="90"/>
  <c r="AT126" i="82"/>
  <c r="AT126" i="83"/>
  <c r="AT126" i="84"/>
  <c r="AT126" i="86"/>
  <c r="AT126" i="85"/>
  <c r="AT126" i="87"/>
  <c r="AT126" i="89"/>
  <c r="AT126" i="88"/>
  <c r="AT126" i="90"/>
  <c r="AT122" i="82"/>
  <c r="AT122" i="83"/>
  <c r="AT122" i="84"/>
  <c r="AT122" i="86"/>
  <c r="AT122" i="85"/>
  <c r="AT122" i="87"/>
  <c r="AT122" i="89"/>
  <c r="AT122" i="88"/>
  <c r="AT122" i="90"/>
  <c r="AT108" i="82"/>
  <c r="AT108" i="83"/>
  <c r="AT108" i="84"/>
  <c r="AT108" i="86"/>
  <c r="AT108" i="85"/>
  <c r="AT108" i="87"/>
  <c r="AT108" i="89"/>
  <c r="AT108" i="88"/>
  <c r="AT108" i="90"/>
  <c r="AT119" i="82"/>
  <c r="AT119" i="84"/>
  <c r="AT119" i="83"/>
  <c r="AT119" i="85"/>
  <c r="AT119" i="86"/>
  <c r="AT119" i="88"/>
  <c r="AT119" i="90"/>
  <c r="AT119" i="87"/>
  <c r="AT119" i="89"/>
  <c r="AT72" i="82"/>
  <c r="AT72" i="83"/>
  <c r="AT72" i="84"/>
  <c r="AT72" i="86"/>
  <c r="AT72" i="85"/>
  <c r="AT72" i="87"/>
  <c r="AT72" i="89"/>
  <c r="AT72" i="88"/>
  <c r="AT72" i="90"/>
  <c r="AS23" i="82"/>
  <c r="AS23" i="83"/>
  <c r="AS23" i="84"/>
  <c r="AS23" i="86"/>
  <c r="AS23" i="85"/>
  <c r="AS23" i="87"/>
  <c r="AS23" i="89"/>
  <c r="AS23" i="88"/>
  <c r="AS23" i="90"/>
  <c r="AU88" i="82"/>
  <c r="AU88" i="84"/>
  <c r="AU88" i="83"/>
  <c r="AU88" i="85"/>
  <c r="AU88" i="86"/>
  <c r="AU88" i="88"/>
  <c r="AU88" i="90"/>
  <c r="AU88" i="87"/>
  <c r="AU88" i="89"/>
  <c r="AW86" i="82"/>
  <c r="AW86" i="84"/>
  <c r="AW86" i="83"/>
  <c r="AW86" i="85"/>
  <c r="AW86" i="86"/>
  <c r="AW86" i="88"/>
  <c r="AW86" i="90"/>
  <c r="AW86" i="87"/>
  <c r="AW86" i="89"/>
  <c r="AR104" i="82"/>
  <c r="AR104" i="83"/>
  <c r="AR104" i="84"/>
  <c r="AR104" i="86"/>
  <c r="AR104" i="85"/>
  <c r="AR104" i="87"/>
  <c r="AR104" i="89"/>
  <c r="AR104" i="88"/>
  <c r="AR104" i="90"/>
  <c r="AU86" i="82"/>
  <c r="AU86" i="84"/>
  <c r="AU86" i="83"/>
  <c r="AU86" i="85"/>
  <c r="AU86" i="86"/>
  <c r="AU86" i="88"/>
  <c r="AU86" i="90"/>
  <c r="AU86" i="87"/>
  <c r="AU86" i="89"/>
  <c r="AU116" i="82"/>
  <c r="AU116" i="84"/>
  <c r="AU116" i="83"/>
  <c r="AU116" i="85"/>
  <c r="AU116" i="86"/>
  <c r="AU116" i="88"/>
  <c r="AU116" i="90"/>
  <c r="AU116" i="87"/>
  <c r="AU116" i="89"/>
  <c r="AT24" i="82"/>
  <c r="AT24" i="83"/>
  <c r="AT24" i="84"/>
  <c r="AT24" i="86"/>
  <c r="AT24" i="85"/>
  <c r="AT24" i="87"/>
  <c r="AT24" i="89"/>
  <c r="AT24" i="88"/>
  <c r="AT24" i="90"/>
  <c r="AT40" i="82"/>
  <c r="AT40" i="83"/>
  <c r="AT40" i="84"/>
  <c r="AT40" i="86"/>
  <c r="AT40" i="85"/>
  <c r="AT40" i="87"/>
  <c r="AT40" i="89"/>
  <c r="AT40" i="88"/>
  <c r="AT40" i="90"/>
  <c r="AS49" i="82"/>
  <c r="AS49" i="83"/>
  <c r="AS49" i="84"/>
  <c r="AS49" i="86"/>
  <c r="AS49" i="85"/>
  <c r="AS49" i="87"/>
  <c r="AS49" i="89"/>
  <c r="AS49" i="88"/>
  <c r="AS49" i="90"/>
  <c r="AT38" i="82"/>
  <c r="AT38" i="83"/>
  <c r="AT38" i="84"/>
  <c r="AT38" i="86"/>
  <c r="AT38" i="85"/>
  <c r="AT38" i="87"/>
  <c r="AT38" i="89"/>
  <c r="AT38" i="88"/>
  <c r="AT38" i="90"/>
  <c r="AW84" i="82"/>
  <c r="AW84" i="84"/>
  <c r="AW84" i="83"/>
  <c r="AW84" i="85"/>
  <c r="AW84" i="86"/>
  <c r="AW84" i="88"/>
  <c r="AW84" i="90"/>
  <c r="AW84" i="87"/>
  <c r="AW84" i="89"/>
  <c r="AR84" i="82"/>
  <c r="AR84" i="83"/>
  <c r="AR84" i="84"/>
  <c r="AR84" i="86"/>
  <c r="AR84" i="85"/>
  <c r="AR84" i="87"/>
  <c r="AR84" i="89"/>
  <c r="AR84" i="88"/>
  <c r="AR84" i="90"/>
  <c r="AU80" i="82"/>
  <c r="AU80" i="84"/>
  <c r="AU80" i="83"/>
  <c r="AU80" i="85"/>
  <c r="AU80" i="86"/>
  <c r="AU80" i="88"/>
  <c r="AU80" i="90"/>
  <c r="AU80" i="87"/>
  <c r="AU80" i="89"/>
  <c r="AU100" i="82"/>
  <c r="AU100" i="84"/>
  <c r="AU100" i="83"/>
  <c r="AU100" i="85"/>
  <c r="AU100" i="86"/>
  <c r="AU100" i="88"/>
  <c r="AU100" i="90"/>
  <c r="AU100" i="87"/>
  <c r="AU100" i="89"/>
  <c r="AR100" i="82"/>
  <c r="AR100" i="83"/>
  <c r="AR100" i="84"/>
  <c r="AR100" i="86"/>
  <c r="AR100" i="85"/>
  <c r="AR100" i="87"/>
  <c r="AR100" i="89"/>
  <c r="AR100" i="88"/>
  <c r="AR100" i="90"/>
  <c r="AW80" i="82"/>
  <c r="AW80" i="84"/>
  <c r="AW80" i="83"/>
  <c r="AW80" i="85"/>
  <c r="AW80" i="86"/>
  <c r="AW80" i="88"/>
  <c r="AW80" i="90"/>
  <c r="AW80" i="87"/>
  <c r="AW80" i="89"/>
  <c r="AU84" i="82"/>
  <c r="AU84" i="84"/>
  <c r="AU84" i="83"/>
  <c r="AU84" i="85"/>
  <c r="AU84" i="86"/>
  <c r="AU84" i="88"/>
  <c r="AU84" i="90"/>
  <c r="AU84" i="87"/>
  <c r="AU84" i="89"/>
  <c r="AT26" i="91"/>
  <c r="AS105" i="91"/>
  <c r="AT25" i="91"/>
  <c r="AS121" i="91"/>
  <c r="AT46" i="91"/>
  <c r="AS123" i="91"/>
  <c r="AR127" i="91"/>
  <c r="AT101" i="91"/>
  <c r="AT70" i="91"/>
  <c r="AS109" i="91"/>
  <c r="AS58" i="91"/>
  <c r="AT95" i="91"/>
  <c r="AT106" i="91"/>
  <c r="AT104" i="91"/>
  <c r="AT114" i="91"/>
  <c r="AR88" i="91"/>
  <c r="AW116" i="91"/>
  <c r="AW88" i="91"/>
  <c r="AW104" i="91"/>
  <c r="AU104" i="91"/>
  <c r="AW119" i="91"/>
  <c r="AU119" i="91"/>
  <c r="AV88" i="91"/>
  <c r="AT53" i="91"/>
  <c r="AS51" i="91"/>
  <c r="AS41" i="91"/>
  <c r="AS43" i="91"/>
  <c r="AS34" i="91"/>
  <c r="AS37" i="91"/>
  <c r="AS39" i="91"/>
  <c r="AS59" i="91"/>
  <c r="AT65" i="91"/>
  <c r="AR83" i="91"/>
  <c r="AS57" i="91"/>
  <c r="AS77" i="91"/>
  <c r="AR80" i="91"/>
  <c r="AW100" i="91"/>
  <c r="BR293" i="15"/>
  <c r="AT28" i="91"/>
  <c r="AT29" i="91"/>
  <c r="AT33" i="91"/>
  <c r="AT35" i="91"/>
  <c r="AT31" i="91"/>
  <c r="AS125" i="91"/>
  <c r="AT52" i="91"/>
  <c r="AS93" i="91"/>
  <c r="AT86" i="91"/>
  <c r="AT97" i="91"/>
  <c r="AT69" i="91"/>
  <c r="AT96" i="91"/>
  <c r="AT116" i="91"/>
  <c r="AT111" i="91"/>
  <c r="AT99" i="91"/>
  <c r="AT88" i="91"/>
  <c r="AT92" i="91"/>
  <c r="AT126" i="91"/>
  <c r="AT122" i="91"/>
  <c r="AT108" i="91"/>
  <c r="AT119" i="91"/>
  <c r="AT72" i="91"/>
  <c r="AS23" i="91"/>
  <c r="AU88" i="91"/>
  <c r="AW86" i="91"/>
  <c r="AR104" i="91"/>
  <c r="AU86" i="91"/>
  <c r="AU116" i="91"/>
  <c r="AT24" i="91"/>
  <c r="AT40" i="91"/>
  <c r="AS49" i="91"/>
  <c r="AT38" i="91"/>
  <c r="AV80" i="91"/>
  <c r="AW84" i="91"/>
  <c r="AR84" i="91"/>
  <c r="AU80" i="91"/>
  <c r="AU100" i="91"/>
  <c r="AR100" i="91"/>
  <c r="AW80" i="91"/>
  <c r="AU84" i="91"/>
  <c r="EX98" i="15"/>
  <c r="EZ98" i="15"/>
  <c r="EY98" i="15"/>
  <c r="ET161" i="15"/>
  <c r="ES161" i="15"/>
  <c r="EU161" i="15"/>
  <c r="ET147" i="15"/>
  <c r="ES147" i="15"/>
  <c r="EU147" i="15"/>
  <c r="ES172" i="15"/>
  <c r="EU172" i="15"/>
  <c r="ET172" i="15"/>
  <c r="ES152" i="15"/>
  <c r="EU152" i="15"/>
  <c r="ET152" i="15"/>
  <c r="ES156" i="15"/>
  <c r="EU156" i="15"/>
  <c r="ET156" i="15"/>
  <c r="EY139" i="15"/>
  <c r="EX139" i="15"/>
  <c r="EZ139" i="15"/>
  <c r="ES166" i="15"/>
  <c r="EU166" i="15"/>
  <c r="ET166" i="15"/>
  <c r="ET155" i="15"/>
  <c r="ES155" i="15"/>
  <c r="EU155" i="15"/>
  <c r="ET145" i="15"/>
  <c r="ES145" i="15"/>
  <c r="EU145" i="15"/>
  <c r="ET133" i="15"/>
  <c r="ES133" i="15"/>
  <c r="EU133" i="15"/>
  <c r="ES140" i="15"/>
  <c r="EU140" i="15"/>
  <c r="ET140" i="15"/>
  <c r="ET301" i="15"/>
  <c r="ES301" i="15"/>
  <c r="EU301" i="15"/>
  <c r="ET295" i="15"/>
  <c r="ES295" i="15"/>
  <c r="EU295" i="15"/>
  <c r="ET279" i="15"/>
  <c r="ES279" i="15"/>
  <c r="EU279" i="15"/>
  <c r="ES292" i="15"/>
  <c r="EU292" i="15"/>
  <c r="ET292" i="15"/>
  <c r="ES284" i="15"/>
  <c r="EU284" i="15"/>
  <c r="ET284" i="15"/>
  <c r="ET309" i="15"/>
  <c r="ES309" i="15"/>
  <c r="EU309" i="15"/>
  <c r="ET283" i="15"/>
  <c r="ES283" i="15"/>
  <c r="EU283" i="15"/>
  <c r="ET277" i="15"/>
  <c r="ES277" i="15"/>
  <c r="EU277" i="15"/>
  <c r="ES288" i="15"/>
  <c r="EU288" i="15"/>
  <c r="ET288" i="15"/>
  <c r="EY181" i="15"/>
  <c r="EZ181" i="15"/>
  <c r="ET343" i="15"/>
  <c r="ES343" i="15"/>
  <c r="EU343" i="15"/>
  <c r="ET247" i="15"/>
  <c r="ES247" i="15"/>
  <c r="EU247" i="15"/>
  <c r="ET177" i="15"/>
  <c r="ES177" i="15"/>
  <c r="EU177" i="15"/>
  <c r="ET179" i="15"/>
  <c r="ES179" i="15"/>
  <c r="EU179" i="15"/>
  <c r="ET189" i="15"/>
  <c r="ES189" i="15"/>
  <c r="EU189" i="15"/>
  <c r="ET165" i="15"/>
  <c r="ES165" i="15"/>
  <c r="EU165" i="15"/>
  <c r="ES80" i="15"/>
  <c r="EU80" i="15"/>
  <c r="ET80" i="15"/>
  <c r="AU104" i="65"/>
  <c r="O104" i="5" s="1"/>
  <c r="AV104" i="73" s="1"/>
  <c r="FB145" i="15"/>
  <c r="HY48" i="15"/>
  <c r="BR316" i="15"/>
  <c r="BR273" i="15"/>
  <c r="BR247" i="15"/>
  <c r="EY201" i="15"/>
  <c r="EX201" i="15"/>
  <c r="EZ201" i="15"/>
  <c r="ET131" i="15"/>
  <c r="ES131" i="15"/>
  <c r="EU131" i="15"/>
  <c r="ES170" i="15"/>
  <c r="EU170" i="15"/>
  <c r="ET170" i="15"/>
  <c r="ES138" i="15"/>
  <c r="EU138" i="15"/>
  <c r="ET138" i="15"/>
  <c r="ES136" i="15"/>
  <c r="EU136" i="15"/>
  <c r="ET136" i="15"/>
  <c r="ET151" i="15"/>
  <c r="ES151" i="15"/>
  <c r="EU151" i="15"/>
  <c r="ET149" i="15"/>
  <c r="ES149" i="15"/>
  <c r="EU149" i="15"/>
  <c r="ES154" i="15"/>
  <c r="EU154" i="15"/>
  <c r="ET154" i="15"/>
  <c r="ET297" i="15"/>
  <c r="ES297" i="15"/>
  <c r="EU297" i="15"/>
  <c r="ET311" i="15"/>
  <c r="ES311" i="15"/>
  <c r="EU311" i="15"/>
  <c r="ET303" i="15"/>
  <c r="ES303" i="15"/>
  <c r="EU303" i="15"/>
  <c r="ES320" i="15"/>
  <c r="EU320" i="15"/>
  <c r="ET320" i="15"/>
  <c r="ET291" i="15"/>
  <c r="ES291" i="15"/>
  <c r="EU291" i="15"/>
  <c r="ET233" i="15"/>
  <c r="EU233" i="15"/>
  <c r="ET195" i="15"/>
  <c r="ES195" i="15"/>
  <c r="EU195" i="15"/>
  <c r="ET205" i="15"/>
  <c r="ES205" i="15"/>
  <c r="EU205" i="15"/>
  <c r="ET197" i="15"/>
  <c r="ES197" i="15"/>
  <c r="EU197" i="15"/>
  <c r="DC152" i="15"/>
  <c r="AY152" i="65" s="1"/>
  <c r="AX152" i="65"/>
  <c r="BL90" i="15"/>
  <c r="BL91" i="15"/>
  <c r="BL92" i="15"/>
  <c r="BL106" i="15"/>
  <c r="BL96" i="15"/>
  <c r="BL113" i="15"/>
  <c r="BL94" i="15"/>
  <c r="BL117" i="15"/>
  <c r="BL95" i="15"/>
  <c r="BL63" i="15"/>
  <c r="BN63" i="15"/>
  <c r="BL115" i="15"/>
  <c r="BN67" i="15"/>
  <c r="BL67" i="15"/>
  <c r="BL48" i="15"/>
  <c r="BN55" i="15"/>
  <c r="BL126" i="15"/>
  <c r="BL101" i="15"/>
  <c r="BL42" i="15"/>
  <c r="BV275" i="15"/>
  <c r="CB275" i="15"/>
  <c r="AQ275" i="65"/>
  <c r="FT275" i="15"/>
  <c r="BY275" i="15"/>
  <c r="BO275" i="15"/>
  <c r="BY336" i="15"/>
  <c r="DB336" i="15" s="1"/>
  <c r="CB336" i="15"/>
  <c r="BO336" i="15"/>
  <c r="BR336" i="15" s="1"/>
  <c r="BV336" i="15"/>
  <c r="FT336" i="15"/>
  <c r="AQ336" i="65"/>
  <c r="BO280" i="15"/>
  <c r="BR280" i="15" s="1"/>
  <c r="BV280" i="15"/>
  <c r="AQ280" i="65"/>
  <c r="FT280" i="15"/>
  <c r="CB280" i="15"/>
  <c r="BY280" i="15"/>
  <c r="AQ242" i="65"/>
  <c r="BO242" i="15"/>
  <c r="BY242" i="15"/>
  <c r="DB242" i="15" s="1"/>
  <c r="CB242" i="15"/>
  <c r="FT242" i="15"/>
  <c r="BV242" i="15"/>
  <c r="AQ190" i="65"/>
  <c r="BO190" i="15"/>
  <c r="BV190" i="15"/>
  <c r="BY190" i="15"/>
  <c r="DB190" i="15" s="1"/>
  <c r="CB190" i="15"/>
  <c r="FT190" i="15"/>
  <c r="CD227" i="15"/>
  <c r="AS227" i="65"/>
  <c r="CA227" i="15"/>
  <c r="BQ227" i="15"/>
  <c r="BR227" i="15" s="1"/>
  <c r="CB82" i="15"/>
  <c r="BY82" i="15"/>
  <c r="AT82" i="65" s="1"/>
  <c r="BO82" i="15"/>
  <c r="BR82" i="15" s="1"/>
  <c r="FT82" i="15"/>
  <c r="AQ82" i="65"/>
  <c r="BV82" i="15"/>
  <c r="CA193" i="15"/>
  <c r="AV193" i="65" s="1"/>
  <c r="BQ193" i="15"/>
  <c r="BR193" i="15" s="1"/>
  <c r="CD193" i="15"/>
  <c r="AS193" i="65"/>
  <c r="FT81" i="15"/>
  <c r="FB81" i="15" s="1"/>
  <c r="CB81" i="15"/>
  <c r="BO81" i="15"/>
  <c r="BR81" i="15" s="1"/>
  <c r="BY81" i="15"/>
  <c r="AQ81" i="65"/>
  <c r="BV81" i="15"/>
  <c r="BQ223" i="15"/>
  <c r="BR223" i="15" s="1"/>
  <c r="AS223" i="65"/>
  <c r="CD223" i="15"/>
  <c r="CA223" i="15"/>
  <c r="AV223" i="65" s="1"/>
  <c r="BV267" i="15"/>
  <c r="BO267" i="15"/>
  <c r="AQ267" i="65"/>
  <c r="BY267" i="15"/>
  <c r="DB267" i="15" s="1"/>
  <c r="CB267" i="15"/>
  <c r="FT267" i="15"/>
  <c r="BY112" i="15"/>
  <c r="CB112" i="15"/>
  <c r="AQ112" i="65"/>
  <c r="BO112" i="15"/>
  <c r="BR112" i="15" s="1"/>
  <c r="FT112" i="15"/>
  <c r="BV112" i="15"/>
  <c r="AQ87" i="65"/>
  <c r="K87" i="5" s="1"/>
  <c r="AR87" i="73" s="1"/>
  <c r="BO87" i="15"/>
  <c r="BV87" i="15"/>
  <c r="CB87" i="15"/>
  <c r="FT87" i="15"/>
  <c r="FC87" i="15" s="1"/>
  <c r="FB87" i="15" s="1"/>
  <c r="FA87" i="15" s="1"/>
  <c r="BG87" i="65" s="1"/>
  <c r="AG87" i="5" s="1"/>
  <c r="BY87" i="15"/>
  <c r="AQ315" i="65"/>
  <c r="BV315" i="15"/>
  <c r="BY315" i="15"/>
  <c r="BO315" i="15"/>
  <c r="FT315" i="15"/>
  <c r="FC315" i="15" s="1"/>
  <c r="CB315" i="15"/>
  <c r="AQ215" i="65"/>
  <c r="CB215" i="15"/>
  <c r="FT215" i="15"/>
  <c r="FB215" i="15" s="1"/>
  <c r="BO215" i="15"/>
  <c r="BR215" i="15" s="1"/>
  <c r="BY215" i="15"/>
  <c r="AT215" i="65" s="1"/>
  <c r="BV215" i="15"/>
  <c r="BO171" i="15"/>
  <c r="BR171" i="15" s="1"/>
  <c r="BV171" i="15"/>
  <c r="AQ171" i="65"/>
  <c r="CB171" i="15"/>
  <c r="FT171" i="15"/>
  <c r="BY171" i="15"/>
  <c r="CE171" i="15" s="1"/>
  <c r="ER171" i="15" s="1"/>
  <c r="ES171" i="15" s="1"/>
  <c r="CB307" i="15"/>
  <c r="BO307" i="15"/>
  <c r="BR307" i="15" s="1"/>
  <c r="BV307" i="15"/>
  <c r="AQ307" i="65"/>
  <c r="FT307" i="15"/>
  <c r="FB307" i="15" s="1"/>
  <c r="BY307" i="15"/>
  <c r="CE307" i="15" s="1"/>
  <c r="CD275" i="15"/>
  <c r="AS275" i="65"/>
  <c r="CA275" i="15"/>
  <c r="BQ275" i="15"/>
  <c r="AS255" i="65"/>
  <c r="BQ255" i="15"/>
  <c r="CA255" i="15"/>
  <c r="CD255" i="15"/>
  <c r="BY173" i="15"/>
  <c r="CE173" i="15" s="1"/>
  <c r="ER173" i="15" s="1"/>
  <c r="ET173" i="15" s="1"/>
  <c r="BV173" i="15"/>
  <c r="AQ173" i="65"/>
  <c r="FT173" i="15"/>
  <c r="CB173" i="15"/>
  <c r="BO173" i="15"/>
  <c r="BR173" i="15" s="1"/>
  <c r="BV325" i="15"/>
  <c r="BY325" i="15"/>
  <c r="BO325" i="15"/>
  <c r="BR325" i="15" s="1"/>
  <c r="FT325" i="15"/>
  <c r="AQ325" i="65"/>
  <c r="CB325" i="15"/>
  <c r="BQ269" i="15"/>
  <c r="AS269" i="65"/>
  <c r="CD269" i="15"/>
  <c r="CA269" i="15"/>
  <c r="AV269" i="65" s="1"/>
  <c r="BQ261" i="15"/>
  <c r="AS261" i="65"/>
  <c r="CD261" i="15"/>
  <c r="CA261" i="15"/>
  <c r="AV261" i="65" s="1"/>
  <c r="AQ175" i="65"/>
  <c r="CB175" i="15"/>
  <c r="FT175" i="15"/>
  <c r="BO175" i="15"/>
  <c r="BR175" i="15" s="1"/>
  <c r="BV175" i="15"/>
  <c r="BY175" i="15"/>
  <c r="CE175" i="15" s="1"/>
  <c r="AS110" i="65"/>
  <c r="M110" i="5" s="1"/>
  <c r="CD110" i="15"/>
  <c r="BQ110" i="15"/>
  <c r="FT327" i="15"/>
  <c r="BV327" i="15"/>
  <c r="BO327" i="15"/>
  <c r="AQ327" i="65"/>
  <c r="CB327" i="15"/>
  <c r="BY327" i="15"/>
  <c r="CE327" i="15" s="1"/>
  <c r="BO286" i="15"/>
  <c r="FT286" i="15"/>
  <c r="AQ286" i="65"/>
  <c r="CB286" i="15"/>
  <c r="BV286" i="15"/>
  <c r="BY286" i="15"/>
  <c r="AT286" i="65" s="1"/>
  <c r="FT210" i="15"/>
  <c r="CB210" i="15"/>
  <c r="AQ210" i="65"/>
  <c r="BV210" i="15"/>
  <c r="BO210" i="15"/>
  <c r="BY210" i="15"/>
  <c r="DB210" i="15" s="1"/>
  <c r="AQ128" i="65"/>
  <c r="BV128" i="15"/>
  <c r="BO128" i="15"/>
  <c r="FT128" i="15"/>
  <c r="BY128" i="15"/>
  <c r="DB128" i="15" s="1"/>
  <c r="CB128" i="15"/>
  <c r="BY98" i="15"/>
  <c r="AQ98" i="65"/>
  <c r="K98" i="5" s="1"/>
  <c r="AR98" i="73" s="1"/>
  <c r="BO98" i="15"/>
  <c r="BR98" i="15" s="1"/>
  <c r="CB98" i="15"/>
  <c r="BV98" i="15"/>
  <c r="FT98" i="15"/>
  <c r="AQ272" i="65"/>
  <c r="BV272" i="15"/>
  <c r="CB272" i="15"/>
  <c r="BO272" i="15"/>
  <c r="BR272" i="15" s="1"/>
  <c r="FT272" i="15"/>
  <c r="BY272" i="15"/>
  <c r="DB272" i="15" s="1"/>
  <c r="BQ217" i="15"/>
  <c r="BR217" i="15" s="1"/>
  <c r="CD217" i="15"/>
  <c r="AS217" i="65"/>
  <c r="CA217" i="15"/>
  <c r="BQ113" i="15"/>
  <c r="CA113" i="15"/>
  <c r="CD113" i="15"/>
  <c r="AS113" i="65"/>
  <c r="M113" i="5" s="1"/>
  <c r="AQ287" i="65"/>
  <c r="FT287" i="15"/>
  <c r="CB287" i="15"/>
  <c r="BY287" i="15"/>
  <c r="CE287" i="15" s="1"/>
  <c r="ER287" i="15" s="1"/>
  <c r="ET287" i="15" s="1"/>
  <c r="BO287" i="15"/>
  <c r="BR287" i="15" s="1"/>
  <c r="BV287" i="15"/>
  <c r="CD85" i="15"/>
  <c r="BQ85" i="15"/>
  <c r="CA85" i="15"/>
  <c r="AS85" i="65"/>
  <c r="M85" i="5" s="1"/>
  <c r="CA38" i="15"/>
  <c r="AV38" i="65" s="1"/>
  <c r="P38" i="5" s="1"/>
  <c r="BQ38" i="15"/>
  <c r="AS38" i="65"/>
  <c r="M38" i="5" s="1"/>
  <c r="CD38" i="15"/>
  <c r="BN90" i="15"/>
  <c r="BN89" i="15"/>
  <c r="BL89" i="15"/>
  <c r="BN91" i="15"/>
  <c r="BL111" i="15"/>
  <c r="BL114" i="15"/>
  <c r="BL110" i="15"/>
  <c r="BL97" i="15"/>
  <c r="BL118" i="15"/>
  <c r="BL102" i="15"/>
  <c r="BL61" i="15"/>
  <c r="BL55" i="15"/>
  <c r="BL99" i="15"/>
  <c r="BL120" i="15"/>
  <c r="BN68" i="15"/>
  <c r="BN42" i="15"/>
  <c r="AQ103" i="65"/>
  <c r="BY103" i="15"/>
  <c r="CE103" i="15" s="1"/>
  <c r="CB103" i="15"/>
  <c r="BO103" i="15"/>
  <c r="BR103" i="15" s="1"/>
  <c r="FT103" i="15"/>
  <c r="BV103" i="15"/>
  <c r="CB278" i="15"/>
  <c r="FT278" i="15"/>
  <c r="AQ278" i="65"/>
  <c r="BO278" i="15"/>
  <c r="BV278" i="15"/>
  <c r="BY278" i="15"/>
  <c r="AT278" i="65" s="1"/>
  <c r="CB328" i="15"/>
  <c r="BV328" i="15"/>
  <c r="AQ328" i="65"/>
  <c r="BO328" i="15"/>
  <c r="BR328" i="15" s="1"/>
  <c r="FT328" i="15"/>
  <c r="FC328" i="15" s="1"/>
  <c r="BY328" i="15"/>
  <c r="DB328" i="15" s="1"/>
  <c r="AS276" i="65"/>
  <c r="CA276" i="15"/>
  <c r="BQ276" i="15"/>
  <c r="BR276" i="15" s="1"/>
  <c r="CD276" i="15"/>
  <c r="BO214" i="15"/>
  <c r="BY214" i="15"/>
  <c r="DB214" i="15" s="1"/>
  <c r="BV214" i="15"/>
  <c r="AQ214" i="65"/>
  <c r="FT214" i="15"/>
  <c r="CB214" i="15"/>
  <c r="CA231" i="15"/>
  <c r="CD231" i="15"/>
  <c r="AS231" i="65"/>
  <c r="BQ231" i="15"/>
  <c r="CB255" i="15"/>
  <c r="BV255" i="15"/>
  <c r="FT255" i="15"/>
  <c r="FB255" i="15" s="1"/>
  <c r="BO255" i="15"/>
  <c r="AQ255" i="65"/>
  <c r="BY255" i="15"/>
  <c r="CA209" i="15"/>
  <c r="BQ209" i="15"/>
  <c r="CD209" i="15"/>
  <c r="AS209" i="65"/>
  <c r="FT213" i="15"/>
  <c r="FC213" i="15" s="1"/>
  <c r="AQ213" i="65"/>
  <c r="BY213" i="15"/>
  <c r="AT213" i="65" s="1"/>
  <c r="BO213" i="15"/>
  <c r="BR213" i="15" s="1"/>
  <c r="BV213" i="15"/>
  <c r="CB213" i="15"/>
  <c r="CA235" i="15"/>
  <c r="AV235" i="65" s="1"/>
  <c r="AS235" i="65"/>
  <c r="BQ235" i="15"/>
  <c r="BR235" i="15" s="1"/>
  <c r="CD235" i="15"/>
  <c r="BQ203" i="15"/>
  <c r="BR203" i="15" s="1"/>
  <c r="CD203" i="15"/>
  <c r="CA203" i="15"/>
  <c r="AS203" i="65"/>
  <c r="CB239" i="15"/>
  <c r="FT239" i="15"/>
  <c r="AQ239" i="65"/>
  <c r="BO239" i="15"/>
  <c r="BR239" i="15" s="1"/>
  <c r="BV239" i="15"/>
  <c r="BY239" i="15"/>
  <c r="DB239" i="15" s="1"/>
  <c r="BV331" i="15"/>
  <c r="BY331" i="15"/>
  <c r="CB331" i="15"/>
  <c r="BO331" i="15"/>
  <c r="BR331" i="15" s="1"/>
  <c r="AQ331" i="65"/>
  <c r="FT331" i="15"/>
  <c r="FT85" i="15"/>
  <c r="FC85" i="15" s="1"/>
  <c r="FB85" i="15" s="1"/>
  <c r="FA85" i="15" s="1"/>
  <c r="BG85" i="65" s="1"/>
  <c r="AG85" i="5" s="1"/>
  <c r="AQ85" i="65"/>
  <c r="K85" i="5" s="1"/>
  <c r="AR85" i="73" s="1"/>
  <c r="BY85" i="15"/>
  <c r="CB85" i="15"/>
  <c r="AS305" i="65"/>
  <c r="CD305" i="15"/>
  <c r="CA305" i="15"/>
  <c r="BQ305" i="15"/>
  <c r="BR305" i="15" s="1"/>
  <c r="BY231" i="15"/>
  <c r="CE231" i="15" s="1"/>
  <c r="AQ231" i="65"/>
  <c r="BV231" i="15"/>
  <c r="CB231" i="15"/>
  <c r="BO231" i="15"/>
  <c r="FT231" i="15"/>
  <c r="BO183" i="15"/>
  <c r="BR183" i="15" s="1"/>
  <c r="FT183" i="15"/>
  <c r="CB183" i="15"/>
  <c r="AQ183" i="65"/>
  <c r="BY183" i="15"/>
  <c r="BV183" i="15"/>
  <c r="BO299" i="15"/>
  <c r="BR299" i="15" s="1"/>
  <c r="BY299" i="15"/>
  <c r="AT299" i="65" s="1"/>
  <c r="FT299" i="15"/>
  <c r="AQ299" i="65"/>
  <c r="BV299" i="15"/>
  <c r="CB299" i="15"/>
  <c r="FT289" i="15"/>
  <c r="FC289" i="15" s="1"/>
  <c r="AQ289" i="65"/>
  <c r="BO289" i="15"/>
  <c r="BY289" i="15"/>
  <c r="BV289" i="15"/>
  <c r="CB289" i="15"/>
  <c r="CA267" i="15"/>
  <c r="BQ267" i="15"/>
  <c r="AS267" i="65"/>
  <c r="CD267" i="15"/>
  <c r="BQ245" i="15"/>
  <c r="BR245" i="15" s="1"/>
  <c r="CD245" i="15"/>
  <c r="CA245" i="15"/>
  <c r="AV245" i="65" s="1"/>
  <c r="AS245" i="65"/>
  <c r="AQ153" i="65"/>
  <c r="FT153" i="15"/>
  <c r="FB153" i="15" s="1"/>
  <c r="CB153" i="15"/>
  <c r="BY153" i="15"/>
  <c r="AT153" i="65" s="1"/>
  <c r="BV153" i="15"/>
  <c r="BO153" i="15"/>
  <c r="BR153" i="15" s="1"/>
  <c r="AS345" i="65"/>
  <c r="CA345" i="15"/>
  <c r="CD345" i="15"/>
  <c r="BQ345" i="15"/>
  <c r="BR345" i="15" s="1"/>
  <c r="BO313" i="15"/>
  <c r="BR313" i="15" s="1"/>
  <c r="FT313" i="15"/>
  <c r="FB313" i="15" s="1"/>
  <c r="AQ313" i="65"/>
  <c r="BY313" i="15"/>
  <c r="DB313" i="15" s="1"/>
  <c r="CB313" i="15"/>
  <c r="BV313" i="15"/>
  <c r="BV269" i="15"/>
  <c r="AQ269" i="65"/>
  <c r="BO269" i="15"/>
  <c r="BY269" i="15"/>
  <c r="CE269" i="15" s="1"/>
  <c r="CB269" i="15"/>
  <c r="FT269" i="15"/>
  <c r="FC269" i="15" s="1"/>
  <c r="FT249" i="15"/>
  <c r="BY249" i="15"/>
  <c r="DB249" i="15" s="1"/>
  <c r="AQ249" i="65"/>
  <c r="CB249" i="15"/>
  <c r="BO249" i="15"/>
  <c r="BV249" i="15"/>
  <c r="BO38" i="15"/>
  <c r="AQ38" i="65"/>
  <c r="K38" i="5" s="1"/>
  <c r="AR38" i="73" s="1"/>
  <c r="BV38" i="15"/>
  <c r="BY38" i="15" s="1"/>
  <c r="AT38" i="65" s="1"/>
  <c r="N38" i="5" s="1"/>
  <c r="AU38" i="73" s="1"/>
  <c r="FT304" i="15"/>
  <c r="AQ304" i="65"/>
  <c r="BV304" i="15"/>
  <c r="BO304" i="15"/>
  <c r="BY304" i="15"/>
  <c r="CB304" i="15"/>
  <c r="CB246" i="15"/>
  <c r="BO246" i="15"/>
  <c r="BR246" i="15" s="1"/>
  <c r="BY246" i="15"/>
  <c r="DB246" i="15" s="1"/>
  <c r="BV246" i="15"/>
  <c r="AQ246" i="65"/>
  <c r="FT246" i="15"/>
  <c r="FB246" i="15" s="1"/>
  <c r="CB206" i="15"/>
  <c r="AQ206" i="65"/>
  <c r="FT206" i="15"/>
  <c r="FB206" i="15" s="1"/>
  <c r="BO206" i="15"/>
  <c r="BR206" i="15" s="1"/>
  <c r="BV206" i="15"/>
  <c r="BY206" i="15"/>
  <c r="DB206" i="15" s="1"/>
  <c r="BY124" i="15"/>
  <c r="AT124" i="65" s="1"/>
  <c r="N124" i="5" s="1"/>
  <c r="AU124" i="73" s="1"/>
  <c r="FT124" i="15"/>
  <c r="BO124" i="15"/>
  <c r="BR124" i="15" s="1"/>
  <c r="AQ124" i="65"/>
  <c r="K124" i="5" s="1"/>
  <c r="AR124" i="73" s="1"/>
  <c r="CB124" i="15"/>
  <c r="BV124" i="15"/>
  <c r="CA304" i="15"/>
  <c r="AS304" i="65"/>
  <c r="BQ304" i="15"/>
  <c r="CD304" i="15"/>
  <c r="BO134" i="15"/>
  <c r="BR134" i="15" s="1"/>
  <c r="FT134" i="15"/>
  <c r="BV134" i="15"/>
  <c r="AQ134" i="65"/>
  <c r="BY134" i="15"/>
  <c r="AT134" i="65" s="1"/>
  <c r="CB134" i="15"/>
  <c r="CD185" i="15"/>
  <c r="BQ185" i="15"/>
  <c r="BR185" i="15" s="1"/>
  <c r="CA185" i="15"/>
  <c r="AS185" i="65"/>
  <c r="BQ219" i="15"/>
  <c r="BR219" i="15" s="1"/>
  <c r="AS219" i="65"/>
  <c r="CD219" i="15"/>
  <c r="CA219" i="15"/>
  <c r="AV219" i="65" s="1"/>
  <c r="BO159" i="15"/>
  <c r="BR159" i="15" s="1"/>
  <c r="CB159" i="15"/>
  <c r="BV159" i="15"/>
  <c r="AQ159" i="65"/>
  <c r="FT159" i="15"/>
  <c r="BY159" i="15"/>
  <c r="AT159" i="65" s="1"/>
  <c r="BV209" i="15"/>
  <c r="FT209" i="15"/>
  <c r="FB209" i="15" s="1"/>
  <c r="AQ209" i="65"/>
  <c r="BY209" i="15"/>
  <c r="BO209" i="15"/>
  <c r="BR209" i="15" s="1"/>
  <c r="CB209" i="15"/>
  <c r="CA117" i="15"/>
  <c r="BQ117" i="15"/>
  <c r="AS117" i="65"/>
  <c r="M117" i="5" s="1"/>
  <c r="BR327" i="15"/>
  <c r="AX320" i="65"/>
  <c r="DC320" i="15"/>
  <c r="AY320" i="65" s="1"/>
  <c r="DC180" i="15"/>
  <c r="AY180" i="65" s="1"/>
  <c r="AX180" i="65"/>
  <c r="DC194" i="15"/>
  <c r="AY194" i="65" s="1"/>
  <c r="AX194" i="65"/>
  <c r="AX252" i="65"/>
  <c r="DC252" i="15"/>
  <c r="AY252" i="65" s="1"/>
  <c r="DC232" i="15"/>
  <c r="AY232" i="65" s="1"/>
  <c r="AX232" i="65"/>
  <c r="DB207" i="15"/>
  <c r="AT207" i="65"/>
  <c r="AT256" i="65"/>
  <c r="DB256" i="15"/>
  <c r="FC219" i="15"/>
  <c r="FB219" i="15"/>
  <c r="DB184" i="15"/>
  <c r="AT184" i="65"/>
  <c r="AT283" i="65"/>
  <c r="DB283" i="15"/>
  <c r="DB151" i="15"/>
  <c r="AT151" i="65"/>
  <c r="DB142" i="15"/>
  <c r="AT142" i="65"/>
  <c r="AT236" i="65"/>
  <c r="DB236" i="15"/>
  <c r="DB274" i="15"/>
  <c r="AT274" i="65"/>
  <c r="AT346" i="65"/>
  <c r="DB346" i="15"/>
  <c r="AT235" i="65"/>
  <c r="DB235" i="15"/>
  <c r="DB238" i="15"/>
  <c r="AT238" i="65"/>
  <c r="AT251" i="65"/>
  <c r="DB251" i="15"/>
  <c r="AT264" i="65"/>
  <c r="DB264" i="15"/>
  <c r="AT212" i="65"/>
  <c r="DB212" i="15"/>
  <c r="DB222" i="15"/>
  <c r="AT222" i="65"/>
  <c r="AT266" i="65"/>
  <c r="DB266" i="15"/>
  <c r="DB148" i="15"/>
  <c r="AT148" i="65"/>
  <c r="AT322" i="65"/>
  <c r="DB322" i="15"/>
  <c r="BR207" i="15"/>
  <c r="FC207" i="15"/>
  <c r="FB207" i="15"/>
  <c r="AT323" i="65"/>
  <c r="DB323" i="15"/>
  <c r="AT219" i="65"/>
  <c r="DB219" i="15"/>
  <c r="DB248" i="15"/>
  <c r="AT248" i="65"/>
  <c r="AT176" i="65"/>
  <c r="DB176" i="15"/>
  <c r="AT164" i="65"/>
  <c r="DB164" i="15"/>
  <c r="DB254" i="15"/>
  <c r="AT254" i="65"/>
  <c r="AT208" i="65"/>
  <c r="DB208" i="15"/>
  <c r="AT179" i="65"/>
  <c r="DB179" i="15"/>
  <c r="AT188" i="65"/>
  <c r="DB188" i="15"/>
  <c r="FB251" i="15"/>
  <c r="FC251" i="15"/>
  <c r="DB224" i="15"/>
  <c r="AT224" i="65"/>
  <c r="DB271" i="15"/>
  <c r="AT271" i="65"/>
  <c r="AT172" i="65"/>
  <c r="DB172" i="15"/>
  <c r="DB288" i="15"/>
  <c r="AT288" i="65"/>
  <c r="DB223" i="15"/>
  <c r="AT223" i="65"/>
  <c r="FC163" i="15"/>
  <c r="FB163" i="15"/>
  <c r="AT163" i="65"/>
  <c r="DB163" i="15"/>
  <c r="AT268" i="65"/>
  <c r="DB268" i="15"/>
  <c r="DB216" i="15"/>
  <c r="AT216" i="65"/>
  <c r="BR80" i="15"/>
  <c r="AT275" i="65"/>
  <c r="FC277" i="15"/>
  <c r="FB281" i="15"/>
  <c r="BZ116" i="15"/>
  <c r="CE116" i="15" s="1"/>
  <c r="BP116" i="15"/>
  <c r="CC116" i="15"/>
  <c r="FU116" i="15"/>
  <c r="AR116" i="65"/>
  <c r="L116" i="5" s="1"/>
  <c r="AR116" i="91" s="1"/>
  <c r="AR97" i="65"/>
  <c r="L97" i="5" s="1"/>
  <c r="CC97" i="15"/>
  <c r="BP97" i="15"/>
  <c r="BZ97" i="15"/>
  <c r="CF97" i="15" s="1"/>
  <c r="EW97" i="15" s="1"/>
  <c r="FU97" i="15"/>
  <c r="AR108" i="65"/>
  <c r="L108" i="5" s="1"/>
  <c r="AR108" i="73" s="1"/>
  <c r="BZ108" i="15"/>
  <c r="CF108" i="15" s="1"/>
  <c r="FU108" i="15"/>
  <c r="BP108" i="15"/>
  <c r="CC108" i="15"/>
  <c r="FU101" i="15"/>
  <c r="AR101" i="65"/>
  <c r="L101" i="5" s="1"/>
  <c r="CC101" i="15"/>
  <c r="BZ101" i="15"/>
  <c r="AU101" i="65" s="1"/>
  <c r="O101" i="5" s="1"/>
  <c r="BP101" i="15"/>
  <c r="BZ95" i="15"/>
  <c r="CF95" i="15" s="1"/>
  <c r="AR95" i="65"/>
  <c r="L95" i="5" s="1"/>
  <c r="FU95" i="15"/>
  <c r="BP95" i="15"/>
  <c r="CC95" i="15"/>
  <c r="FU86" i="15"/>
  <c r="BP86" i="15"/>
  <c r="AR86" i="65"/>
  <c r="L86" i="5" s="1"/>
  <c r="AR86" i="91" s="1"/>
  <c r="BZ86" i="15"/>
  <c r="CF86" i="15" s="1"/>
  <c r="CC86" i="15"/>
  <c r="FU122" i="15"/>
  <c r="BP122" i="15"/>
  <c r="AR122" i="65"/>
  <c r="L122" i="5" s="1"/>
  <c r="AR122" i="82" s="1"/>
  <c r="BZ122" i="15"/>
  <c r="CE122" i="15" s="1"/>
  <c r="CC122" i="15"/>
  <c r="CC119" i="15"/>
  <c r="BP119" i="15"/>
  <c r="AR119" i="65"/>
  <c r="L119" i="5" s="1"/>
  <c r="AR119" i="91" s="1"/>
  <c r="BZ119" i="15"/>
  <c r="FU119" i="15"/>
  <c r="FC119" i="15" s="1"/>
  <c r="FB119" i="15" s="1"/>
  <c r="FA119" i="15" s="1"/>
  <c r="BG119" i="65" s="1"/>
  <c r="AG119" i="5" s="1"/>
  <c r="DB286" i="15"/>
  <c r="CF261" i="15"/>
  <c r="AU261" i="65"/>
  <c r="CE261" i="15"/>
  <c r="ER261" i="15" s="1"/>
  <c r="AT328" i="65"/>
  <c r="DB280" i="15"/>
  <c r="CF313" i="15"/>
  <c r="AU313" i="65"/>
  <c r="CE313" i="15"/>
  <c r="ER313" i="15" s="1"/>
  <c r="AT190" i="65"/>
  <c r="AT336" i="65"/>
  <c r="AT242" i="65"/>
  <c r="AR99" i="65"/>
  <c r="L99" i="5" s="1"/>
  <c r="CC99" i="15"/>
  <c r="FU99" i="15"/>
  <c r="FC100" i="15" s="1"/>
  <c r="FB100" i="15" s="1"/>
  <c r="FA100" i="15" s="1"/>
  <c r="BG100" i="65" s="1"/>
  <c r="AG100" i="5" s="1"/>
  <c r="BP99" i="15"/>
  <c r="BZ99" i="15"/>
  <c r="AR158" i="65"/>
  <c r="FU158" i="15"/>
  <c r="BP106" i="15"/>
  <c r="BZ106" i="15"/>
  <c r="AR106" i="65"/>
  <c r="L106" i="5" s="1"/>
  <c r="FU106" i="15"/>
  <c r="CC106" i="15"/>
  <c r="FU111" i="15"/>
  <c r="BZ111" i="15"/>
  <c r="CF111" i="15" s="1"/>
  <c r="AR111" i="65"/>
  <c r="L111" i="5" s="1"/>
  <c r="BP111" i="15"/>
  <c r="CC111" i="15"/>
  <c r="FU126" i="15"/>
  <c r="BP126" i="15"/>
  <c r="CC126" i="15"/>
  <c r="BZ126" i="15"/>
  <c r="AR126" i="65"/>
  <c r="L126" i="5" s="1"/>
  <c r="FU96" i="15"/>
  <c r="BZ96" i="15"/>
  <c r="AU96" i="65" s="1"/>
  <c r="O96" i="5" s="1"/>
  <c r="AR96" i="65"/>
  <c r="L96" i="5" s="1"/>
  <c r="CC96" i="15"/>
  <c r="BP96" i="15"/>
  <c r="BU197" i="15"/>
  <c r="EV197" i="15"/>
  <c r="BT197" i="15"/>
  <c r="BS197" i="15" s="1"/>
  <c r="EW197" i="15"/>
  <c r="CH197" i="15"/>
  <c r="EW80" i="15"/>
  <c r="BU80" i="15"/>
  <c r="EV80" i="15"/>
  <c r="CH80" i="15" s="1"/>
  <c r="BT80" i="15"/>
  <c r="BM67" i="15"/>
  <c r="BM61" i="15"/>
  <c r="BM48" i="15"/>
  <c r="BM68" i="15"/>
  <c r="BM42" i="15"/>
  <c r="BP290" i="15"/>
  <c r="BR290" i="15" s="1"/>
  <c r="AR290" i="65"/>
  <c r="BZ290" i="15"/>
  <c r="CC290" i="15"/>
  <c r="FU290" i="15"/>
  <c r="FU274" i="15"/>
  <c r="CC274" i="15"/>
  <c r="BZ274" i="15"/>
  <c r="BP274" i="15"/>
  <c r="BR274" i="15" s="1"/>
  <c r="AR274" i="65"/>
  <c r="CC210" i="15"/>
  <c r="BZ210" i="15"/>
  <c r="BP210" i="15"/>
  <c r="AR210" i="65"/>
  <c r="FU210" i="15"/>
  <c r="FA210" i="15" s="1"/>
  <c r="BG210" i="65" s="1"/>
  <c r="CC168" i="15"/>
  <c r="BP168" i="15"/>
  <c r="BR168" i="15" s="1"/>
  <c r="FU168" i="15"/>
  <c r="BZ168" i="15"/>
  <c r="AR168" i="65"/>
  <c r="CC128" i="15"/>
  <c r="AR128" i="65"/>
  <c r="BZ128" i="15"/>
  <c r="BP128" i="15"/>
  <c r="FU128" i="15"/>
  <c r="CC318" i="15"/>
  <c r="AR318" i="65"/>
  <c r="FU318" i="15"/>
  <c r="FA318" i="15" s="1"/>
  <c r="BG318" i="65" s="1"/>
  <c r="BZ318" i="15"/>
  <c r="CE318" i="15" s="1"/>
  <c r="BP318" i="15"/>
  <c r="BR318" i="15" s="1"/>
  <c r="AR230" i="65"/>
  <c r="BZ230" i="15"/>
  <c r="CF230" i="15" s="1"/>
  <c r="FU230" i="15"/>
  <c r="CC230" i="15"/>
  <c r="BP230" i="15"/>
  <c r="BR230" i="15" s="1"/>
  <c r="BZ190" i="15"/>
  <c r="AU190" i="65" s="1"/>
  <c r="BP190" i="15"/>
  <c r="BR190" i="15" s="1"/>
  <c r="CC190" i="15"/>
  <c r="FU190" i="15"/>
  <c r="FA190" i="15" s="1"/>
  <c r="BG190" i="65" s="1"/>
  <c r="AR190" i="65"/>
  <c r="FU326" i="15"/>
  <c r="FA326" i="15" s="1"/>
  <c r="BG326" i="65" s="1"/>
  <c r="BZ326" i="15"/>
  <c r="BP326" i="15"/>
  <c r="CC326" i="15"/>
  <c r="AR326" i="65"/>
  <c r="BP232" i="15"/>
  <c r="BR232" i="15" s="1"/>
  <c r="CC232" i="15"/>
  <c r="BZ232" i="15"/>
  <c r="CE232" i="15" s="1"/>
  <c r="FU232" i="15"/>
  <c r="FA232" i="15" s="1"/>
  <c r="BG232" i="65" s="1"/>
  <c r="AR232" i="65"/>
  <c r="CC192" i="15"/>
  <c r="BZ192" i="15"/>
  <c r="FU192" i="15"/>
  <c r="FA192" i="15" s="1"/>
  <c r="BG192" i="65" s="1"/>
  <c r="BP192" i="15"/>
  <c r="BR192" i="15" s="1"/>
  <c r="AR192" i="65"/>
  <c r="CC102" i="15"/>
  <c r="BP102" i="15"/>
  <c r="FU102" i="15"/>
  <c r="AR102" i="65"/>
  <c r="L102" i="5" s="1"/>
  <c r="BZ102" i="15"/>
  <c r="BZ286" i="15"/>
  <c r="FU286" i="15"/>
  <c r="CC286" i="15"/>
  <c r="BP286" i="15"/>
  <c r="BR286" i="15" s="1"/>
  <c r="AR286" i="65"/>
  <c r="BZ224" i="15"/>
  <c r="CE224" i="15" s="1"/>
  <c r="AR224" i="65"/>
  <c r="FU224" i="15"/>
  <c r="FA224" i="15" s="1"/>
  <c r="BG224" i="65" s="1"/>
  <c r="CC224" i="15"/>
  <c r="BP224" i="15"/>
  <c r="BR224" i="15" s="1"/>
  <c r="BZ142" i="15"/>
  <c r="BP142" i="15"/>
  <c r="BR142" i="15" s="1"/>
  <c r="FU142" i="15"/>
  <c r="CC142" i="15"/>
  <c r="BR326" i="15"/>
  <c r="BM90" i="15"/>
  <c r="BM89" i="15"/>
  <c r="BM91" i="15"/>
  <c r="BM63" i="15"/>
  <c r="BM55" i="15"/>
  <c r="BP300" i="15"/>
  <c r="BR300" i="15" s="1"/>
  <c r="FU300" i="15"/>
  <c r="FA300" i="15" s="1"/>
  <c r="BG300" i="65" s="1"/>
  <c r="BZ300" i="15"/>
  <c r="AR300" i="65"/>
  <c r="CC300" i="15"/>
  <c r="AR282" i="65"/>
  <c r="BP282" i="15"/>
  <c r="BR282" i="15" s="1"/>
  <c r="CC282" i="15"/>
  <c r="BZ282" i="15"/>
  <c r="FU282" i="15"/>
  <c r="FU312" i="15"/>
  <c r="AR312" i="65"/>
  <c r="BZ312" i="15"/>
  <c r="BP312" i="15"/>
  <c r="BR312" i="15" s="1"/>
  <c r="CC312" i="15"/>
  <c r="BZ242" i="15"/>
  <c r="CE242" i="15" s="1"/>
  <c r="AR242" i="65"/>
  <c r="CC242" i="15"/>
  <c r="BP242" i="15"/>
  <c r="BR242" i="15" s="1"/>
  <c r="FU242" i="15"/>
  <c r="FB242" i="15" s="1"/>
  <c r="BP178" i="15"/>
  <c r="BR178" i="15" s="1"/>
  <c r="FU178" i="15"/>
  <c r="FC178" i="15" s="1"/>
  <c r="BZ178" i="15"/>
  <c r="CE178" i="15" s="1"/>
  <c r="AR178" i="65"/>
  <c r="CC178" i="15"/>
  <c r="FU132" i="15"/>
  <c r="FB132" i="15" s="1"/>
  <c r="AR132" i="65"/>
  <c r="BP132" i="15"/>
  <c r="BR132" i="15" s="1"/>
  <c r="BZ132" i="15"/>
  <c r="CE132" i="15" s="1"/>
  <c r="CC132" i="15"/>
  <c r="BZ342" i="15"/>
  <c r="AU342" i="65" s="1"/>
  <c r="BP342" i="15"/>
  <c r="BR342" i="15" s="1"/>
  <c r="CC342" i="15"/>
  <c r="FU342" i="15"/>
  <c r="FA342" i="15" s="1"/>
  <c r="BG342" i="65" s="1"/>
  <c r="AR342" i="65"/>
  <c r="AR254" i="65"/>
  <c r="FU254" i="15"/>
  <c r="CC254" i="15"/>
  <c r="BZ254" i="15"/>
  <c r="CF254" i="15" s="1"/>
  <c r="BP254" i="15"/>
  <c r="BR254" i="15" s="1"/>
  <c r="BP214" i="15"/>
  <c r="CC214" i="15"/>
  <c r="BZ214" i="15"/>
  <c r="AU214" i="65" s="1"/>
  <c r="FU214" i="15"/>
  <c r="AR214" i="65"/>
  <c r="BP332" i="15"/>
  <c r="BR332" i="15" s="1"/>
  <c r="FU332" i="15"/>
  <c r="FA332" i="15" s="1"/>
  <c r="BG332" i="65" s="1"/>
  <c r="CC332" i="15"/>
  <c r="BZ332" i="15"/>
  <c r="AR332" i="65"/>
  <c r="BP306" i="15"/>
  <c r="BR306" i="15" s="1"/>
  <c r="FU306" i="15"/>
  <c r="FA306" i="15" s="1"/>
  <c r="BG306" i="65" s="1"/>
  <c r="BZ306" i="15"/>
  <c r="AR306" i="65"/>
  <c r="CC306" i="15"/>
  <c r="AR194" i="65"/>
  <c r="BZ194" i="15"/>
  <c r="CF194" i="15" s="1"/>
  <c r="CC194" i="15"/>
  <c r="FU194" i="15"/>
  <c r="FC194" i="15" s="1"/>
  <c r="BP194" i="15"/>
  <c r="BR194" i="15" s="1"/>
  <c r="BP296" i="15"/>
  <c r="BR296" i="15" s="1"/>
  <c r="CC296" i="15"/>
  <c r="BZ296" i="15"/>
  <c r="AR296" i="65"/>
  <c r="FU296" i="15"/>
  <c r="FU278" i="15"/>
  <c r="BZ278" i="15"/>
  <c r="CC278" i="15"/>
  <c r="BP278" i="15"/>
  <c r="BR278" i="15" s="1"/>
  <c r="AR278" i="65"/>
  <c r="BZ216" i="15"/>
  <c r="CE216" i="15" s="1"/>
  <c r="FU216" i="15"/>
  <c r="BP216" i="15"/>
  <c r="BR216" i="15" s="1"/>
  <c r="CC216" i="15"/>
  <c r="AR216" i="65"/>
  <c r="FU298" i="15"/>
  <c r="AR298" i="65"/>
  <c r="BP298" i="15"/>
  <c r="BR298" i="15" s="1"/>
  <c r="BZ298" i="15"/>
  <c r="CF298" i="15" s="1"/>
  <c r="EW298" i="15" s="1"/>
  <c r="BT177" i="15"/>
  <c r="BS177" i="15" s="1"/>
  <c r="BU177" i="15"/>
  <c r="EV177" i="15"/>
  <c r="CH177" i="15" s="1"/>
  <c r="BU339" i="15"/>
  <c r="EV339" i="15"/>
  <c r="BT339" i="15"/>
  <c r="EW205" i="15"/>
  <c r="BU205" i="15"/>
  <c r="EV205" i="15"/>
  <c r="CH205" i="15" s="1"/>
  <c r="BT205" i="15"/>
  <c r="BS205" i="15" s="1"/>
  <c r="EV217" i="15"/>
  <c r="BU217" i="15"/>
  <c r="BT217" i="15"/>
  <c r="BU179" i="15"/>
  <c r="EV179" i="15"/>
  <c r="CH179" i="15" s="1"/>
  <c r="BT179" i="15"/>
  <c r="BS179" i="15" s="1"/>
  <c r="BT189" i="15"/>
  <c r="BS189" i="15" s="1"/>
  <c r="BU189" i="15"/>
  <c r="EV189" i="15"/>
  <c r="CH189" i="15" s="1"/>
  <c r="EW165" i="15"/>
  <c r="CE191" i="15"/>
  <c r="ER191" i="15" s="1"/>
  <c r="AU191" i="65"/>
  <c r="CF191" i="15"/>
  <c r="FA191" i="15"/>
  <c r="BG191" i="65" s="1"/>
  <c r="FC191" i="15"/>
  <c r="FB191" i="15"/>
  <c r="CE81" i="15"/>
  <c r="ER81" i="15" s="1"/>
  <c r="CF81" i="15"/>
  <c r="AU81" i="65"/>
  <c r="CE153" i="15"/>
  <c r="ER153" i="15" s="1"/>
  <c r="AU153" i="65"/>
  <c r="CF153" i="15"/>
  <c r="AU263" i="65"/>
  <c r="CF263" i="15"/>
  <c r="CE263" i="15"/>
  <c r="ER263" i="15" s="1"/>
  <c r="AU127" i="65"/>
  <c r="O127" i="5" s="1"/>
  <c r="CF127" i="15"/>
  <c r="EW127" i="15" s="1"/>
  <c r="AU211" i="65"/>
  <c r="CE211" i="15"/>
  <c r="ER211" i="15" s="1"/>
  <c r="CF211" i="15"/>
  <c r="AU87" i="65"/>
  <c r="CF87" i="15"/>
  <c r="CE87" i="15"/>
  <c r="ER87" i="15" s="1"/>
  <c r="FA164" i="15"/>
  <c r="BG164" i="65" s="1"/>
  <c r="FB164" i="15"/>
  <c r="FC164" i="15"/>
  <c r="BU195" i="15"/>
  <c r="EV195" i="15"/>
  <c r="CH195" i="15" s="1"/>
  <c r="BT195" i="15"/>
  <c r="BS195" i="15" s="1"/>
  <c r="EW195" i="15"/>
  <c r="EW177" i="15"/>
  <c r="BT103" i="15"/>
  <c r="BU103" i="15"/>
  <c r="EV103" i="15"/>
  <c r="EW179" i="15"/>
  <c r="EW189" i="15"/>
  <c r="BU165" i="15"/>
  <c r="EV165" i="15"/>
  <c r="CH165" i="15" s="1"/>
  <c r="BT165" i="15"/>
  <c r="BS165" i="15" s="1"/>
  <c r="AU120" i="65"/>
  <c r="O120" i="5" s="1"/>
  <c r="CF120" i="15"/>
  <c r="EW120" i="15" s="1"/>
  <c r="CF259" i="15"/>
  <c r="CE259" i="15"/>
  <c r="ER259" i="15" s="1"/>
  <c r="AU259" i="65"/>
  <c r="AU100" i="65"/>
  <c r="O100" i="5" s="1"/>
  <c r="AV100" i="73" s="1"/>
  <c r="CE100" i="15"/>
  <c r="CF100" i="15"/>
  <c r="ER100" i="15"/>
  <c r="CF143" i="15"/>
  <c r="CE143" i="15"/>
  <c r="ER143" i="15" s="1"/>
  <c r="AU143" i="65"/>
  <c r="CC158" i="15"/>
  <c r="BP158" i="15"/>
  <c r="BR158" i="15" s="1"/>
  <c r="BZ158" i="15"/>
  <c r="CE150" i="15"/>
  <c r="ER150" i="15" s="1"/>
  <c r="CF150" i="15"/>
  <c r="AU150" i="65"/>
  <c r="AU215" i="65"/>
  <c r="CE215" i="15"/>
  <c r="ER215" i="15" s="1"/>
  <c r="CF215" i="15"/>
  <c r="CE124" i="15"/>
  <c r="ER124" i="15" s="1"/>
  <c r="CF124" i="15"/>
  <c r="AU164" i="65"/>
  <c r="CE164" i="15"/>
  <c r="CF164" i="15"/>
  <c r="ER164" i="15"/>
  <c r="CF169" i="15"/>
  <c r="CE169" i="15"/>
  <c r="ER169" i="15" s="1"/>
  <c r="AU169" i="65"/>
  <c r="CF187" i="15"/>
  <c r="AU187" i="65"/>
  <c r="CE187" i="15"/>
  <c r="ER187" i="15" s="1"/>
  <c r="BR133" i="15"/>
  <c r="DB255" i="15"/>
  <c r="DC338" i="15"/>
  <c r="AY338" i="65" s="1"/>
  <c r="AX338" i="65"/>
  <c r="EW349" i="15"/>
  <c r="BT347" i="15"/>
  <c r="EV347" i="15"/>
  <c r="BU347" i="15"/>
  <c r="FC255" i="15"/>
  <c r="AX202" i="65"/>
  <c r="DC202" i="15"/>
  <c r="AY202" i="65" s="1"/>
  <c r="DB287" i="15"/>
  <c r="AT287" i="65"/>
  <c r="DB213" i="15"/>
  <c r="DB81" i="15"/>
  <c r="AT81" i="65"/>
  <c r="FC267" i="15"/>
  <c r="FB267" i="15"/>
  <c r="AT239" i="65"/>
  <c r="AX136" i="65"/>
  <c r="DC136" i="15"/>
  <c r="AY136" i="65" s="1"/>
  <c r="DC203" i="15"/>
  <c r="AY203" i="65" s="1"/>
  <c r="AX203" i="65"/>
  <c r="DB82" i="15"/>
  <c r="FB213" i="15"/>
  <c r="FC81" i="15"/>
  <c r="AT267" i="65"/>
  <c r="AT112" i="65"/>
  <c r="DB331" i="15"/>
  <c r="AX196" i="65"/>
  <c r="DC196" i="15"/>
  <c r="AY196" i="65" s="1"/>
  <c r="AX191" i="65"/>
  <c r="DC191" i="15"/>
  <c r="AY191" i="65" s="1"/>
  <c r="BR145" i="15"/>
  <c r="DC84" i="15"/>
  <c r="AY84" i="65" s="1"/>
  <c r="S84" i="5" s="1"/>
  <c r="AX84" i="65"/>
  <c r="R84" i="5" s="1"/>
  <c r="FB130" i="15"/>
  <c r="FB133" i="15"/>
  <c r="HY61" i="15"/>
  <c r="BR310" i="15"/>
  <c r="FB317" i="15"/>
  <c r="FC273" i="15"/>
  <c r="BR347" i="15"/>
  <c r="BR243" i="15"/>
  <c r="BR141" i="15"/>
  <c r="EW249" i="15"/>
  <c r="EW233" i="15"/>
  <c r="BT233" i="15"/>
  <c r="EV233" i="15"/>
  <c r="CH233" i="15" s="1"/>
  <c r="AN62" i="65"/>
  <c r="J62" i="5"/>
  <c r="AT62" i="73" s="1"/>
  <c r="EW118" i="15"/>
  <c r="BR137" i="15"/>
  <c r="BR321" i="15"/>
  <c r="BR337" i="15"/>
  <c r="BR87" i="15"/>
  <c r="BR289" i="15"/>
  <c r="Z103" i="5"/>
  <c r="AT68" i="65"/>
  <c r="N68" i="5" s="1"/>
  <c r="AU68" i="73" s="1"/>
  <c r="FB347" i="15"/>
  <c r="FC347" i="15"/>
  <c r="DB347" i="15"/>
  <c r="AT347" i="65"/>
  <c r="AT263" i="65"/>
  <c r="DB263" i="15"/>
  <c r="FB263" i="15"/>
  <c r="FC263" i="15"/>
  <c r="FB243" i="15"/>
  <c r="FC243" i="15"/>
  <c r="DB211" i="15"/>
  <c r="AT211" i="65"/>
  <c r="FA146" i="15"/>
  <c r="BG146" i="65" s="1"/>
  <c r="FB146" i="15"/>
  <c r="FC146" i="15"/>
  <c r="FB134" i="15"/>
  <c r="FA134" i="15"/>
  <c r="BG134" i="65" s="1"/>
  <c r="FC134" i="15"/>
  <c r="CE134" i="15"/>
  <c r="ER134" i="15" s="1"/>
  <c r="AU134" i="65"/>
  <c r="CF134" i="15"/>
  <c r="EW307" i="15"/>
  <c r="DB349" i="15"/>
  <c r="FB349" i="15"/>
  <c r="CF348" i="15"/>
  <c r="AU348" i="65"/>
  <c r="CE348" i="15"/>
  <c r="ER348" i="15" s="1"/>
  <c r="CE308" i="15"/>
  <c r="ER308" i="15" s="1"/>
  <c r="CF308" i="15"/>
  <c r="AU308" i="65"/>
  <c r="DB273" i="15"/>
  <c r="FA258" i="15"/>
  <c r="BG258" i="65" s="1"/>
  <c r="FC258" i="15"/>
  <c r="FB258" i="15"/>
  <c r="CF258" i="15"/>
  <c r="CE258" i="15"/>
  <c r="AU258" i="65"/>
  <c r="ER258" i="15"/>
  <c r="FA236" i="15"/>
  <c r="BG236" i="65" s="1"/>
  <c r="FC236" i="15"/>
  <c r="FB236" i="15"/>
  <c r="AU222" i="65"/>
  <c r="CE222" i="15"/>
  <c r="ER222" i="15" s="1"/>
  <c r="CF222" i="15"/>
  <c r="CE212" i="15"/>
  <c r="ER212" i="15" s="1"/>
  <c r="AU212" i="65"/>
  <c r="CF212" i="15"/>
  <c r="FA212" i="15"/>
  <c r="BG212" i="65" s="1"/>
  <c r="FC212" i="15"/>
  <c r="FB212" i="15"/>
  <c r="CE198" i="15"/>
  <c r="ER198" i="15" s="1"/>
  <c r="CF198" i="15"/>
  <c r="AU198" i="65"/>
  <c r="AT189" i="65"/>
  <c r="DB189" i="15"/>
  <c r="FB189" i="15"/>
  <c r="FA182" i="15"/>
  <c r="BG182" i="65" s="1"/>
  <c r="FB182" i="15"/>
  <c r="FC182" i="15"/>
  <c r="CE182" i="15"/>
  <c r="ER182" i="15" s="1"/>
  <c r="AU182" i="65"/>
  <c r="CF182" i="15"/>
  <c r="DB165" i="15"/>
  <c r="AT165" i="65"/>
  <c r="FB165" i="15"/>
  <c r="FC165" i="15"/>
  <c r="DB145" i="15"/>
  <c r="AT145" i="65"/>
  <c r="FC137" i="15"/>
  <c r="FB137" i="15"/>
  <c r="FA344" i="15"/>
  <c r="BG344" i="65" s="1"/>
  <c r="FC344" i="15"/>
  <c r="FB344" i="15"/>
  <c r="AT333" i="65"/>
  <c r="DB333" i="15"/>
  <c r="CE324" i="15"/>
  <c r="AU324" i="65"/>
  <c r="DB293" i="15"/>
  <c r="DB277" i="15"/>
  <c r="AT277" i="65"/>
  <c r="FC261" i="15"/>
  <c r="FA248" i="15"/>
  <c r="BG248" i="65" s="1"/>
  <c r="FC248" i="15"/>
  <c r="FB248" i="15"/>
  <c r="CE248" i="15"/>
  <c r="ER248" i="15" s="1"/>
  <c r="CF248" i="15"/>
  <c r="AU248" i="65"/>
  <c r="FB226" i="15"/>
  <c r="FA200" i="15"/>
  <c r="BG200" i="65" s="1"/>
  <c r="FB200" i="15"/>
  <c r="FC200" i="15"/>
  <c r="CE200" i="15"/>
  <c r="CF200" i="15"/>
  <c r="ER200" i="15"/>
  <c r="AU200" i="65"/>
  <c r="FB169" i="15"/>
  <c r="FC169" i="15"/>
  <c r="AT225" i="65"/>
  <c r="DB225" i="15"/>
  <c r="FA218" i="15"/>
  <c r="BG218" i="65" s="1"/>
  <c r="FC218" i="15"/>
  <c r="FB218" i="15"/>
  <c r="CE218" i="15"/>
  <c r="AU218" i="65"/>
  <c r="ER218" i="15"/>
  <c r="CF218" i="15"/>
  <c r="CE208" i="15"/>
  <c r="ER208" i="15" s="1"/>
  <c r="FA184" i="15"/>
  <c r="BG184" i="65" s="1"/>
  <c r="FB184" i="15"/>
  <c r="FC184" i="15"/>
  <c r="FC199" i="15"/>
  <c r="FB217" i="15"/>
  <c r="FC217" i="15"/>
  <c r="AN66" i="65"/>
  <c r="J66" i="5"/>
  <c r="AT66" i="73" s="1"/>
  <c r="AN48" i="65"/>
  <c r="J48" i="5"/>
  <c r="AT48" i="73" s="1"/>
  <c r="AU94" i="65"/>
  <c r="O94" i="5" s="1"/>
  <c r="CF94" i="15"/>
  <c r="HK43" i="15"/>
  <c r="HK37" i="15"/>
  <c r="BR349" i="15"/>
  <c r="CE148" i="15"/>
  <c r="ER148" i="15" s="1"/>
  <c r="FB341" i="15"/>
  <c r="CE340" i="15"/>
  <c r="ER340" i="15" s="1"/>
  <c r="AU340" i="65"/>
  <c r="CF340" i="15"/>
  <c r="AT329" i="65"/>
  <c r="FC329" i="15"/>
  <c r="FA328" i="15"/>
  <c r="BG328" i="65" s="1"/>
  <c r="FB328" i="15"/>
  <c r="AT317" i="65"/>
  <c r="DB317" i="15"/>
  <c r="CE316" i="15"/>
  <c r="ER316" i="15" s="1"/>
  <c r="AU316" i="65"/>
  <c r="CF316" i="15"/>
  <c r="FC265" i="15"/>
  <c r="FB245" i="15"/>
  <c r="FC245" i="15"/>
  <c r="FA244" i="15"/>
  <c r="BG244" i="65" s="1"/>
  <c r="FC244" i="15"/>
  <c r="FB244" i="15"/>
  <c r="AU238" i="65"/>
  <c r="CF238" i="15"/>
  <c r="CE238" i="15"/>
  <c r="ER238" i="15" s="1"/>
  <c r="AT229" i="65"/>
  <c r="DB229" i="15"/>
  <c r="FB229" i="15"/>
  <c r="FC229" i="15"/>
  <c r="CF204" i="15"/>
  <c r="AU204" i="65"/>
  <c r="CE204" i="15"/>
  <c r="ER204" i="15" s="1"/>
  <c r="AT197" i="65"/>
  <c r="DB197" i="15"/>
  <c r="DB141" i="15"/>
  <c r="AT141" i="65"/>
  <c r="DB129" i="15"/>
  <c r="J68" i="5"/>
  <c r="AT68" i="73" s="1"/>
  <c r="AN68" i="65"/>
  <c r="EW321" i="15"/>
  <c r="AU346" i="65"/>
  <c r="CF346" i="15"/>
  <c r="CE346" i="15"/>
  <c r="ER346" i="15" s="1"/>
  <c r="AT345" i="65"/>
  <c r="DB345" i="15"/>
  <c r="DB337" i="15"/>
  <c r="AT337" i="65"/>
  <c r="FC336" i="15"/>
  <c r="FA336" i="15"/>
  <c r="BG336" i="65" s="1"/>
  <c r="FB336" i="15"/>
  <c r="CF334" i="15"/>
  <c r="CE334" i="15"/>
  <c r="ER334" i="15" s="1"/>
  <c r="AU334" i="65"/>
  <c r="FC305" i="15"/>
  <c r="FB305" i="15"/>
  <c r="CF294" i="15"/>
  <c r="CE294" i="15"/>
  <c r="ER294" i="15" s="1"/>
  <c r="AU294" i="65"/>
  <c r="FB268" i="15"/>
  <c r="CF260" i="15"/>
  <c r="CE260" i="15"/>
  <c r="ER260" i="15" s="1"/>
  <c r="AU260" i="65"/>
  <c r="DB201" i="15"/>
  <c r="AT201" i="65"/>
  <c r="FA202" i="15"/>
  <c r="BG202" i="65" s="1"/>
  <c r="FC202" i="15"/>
  <c r="FB202" i="15"/>
  <c r="AT185" i="65"/>
  <c r="DB185" i="15"/>
  <c r="EW343" i="15"/>
  <c r="AT227" i="65"/>
  <c r="FC227" i="15"/>
  <c r="FB227" i="15"/>
  <c r="DB195" i="15"/>
  <c r="AT195" i="65"/>
  <c r="DB167" i="15"/>
  <c r="DB339" i="15"/>
  <c r="AT339" i="65"/>
  <c r="CF174" i="15"/>
  <c r="AU174" i="65"/>
  <c r="CE174" i="15"/>
  <c r="ER174" i="15" s="1"/>
  <c r="FA174" i="15"/>
  <c r="BG174" i="65" s="1"/>
  <c r="FC174" i="15"/>
  <c r="FB174" i="15"/>
  <c r="EV203" i="15"/>
  <c r="BT203" i="15"/>
  <c r="BU203" i="15"/>
  <c r="BU291" i="15"/>
  <c r="BT291" i="15"/>
  <c r="EV291" i="15"/>
  <c r="AU330" i="65"/>
  <c r="CF330" i="15"/>
  <c r="CE330" i="15"/>
  <c r="ER330" i="15" s="1"/>
  <c r="FA264" i="15"/>
  <c r="BG264" i="65" s="1"/>
  <c r="FB264" i="15"/>
  <c r="FC253" i="15"/>
  <c r="CE246" i="15"/>
  <c r="ER246" i="15" s="1"/>
  <c r="CF246" i="15"/>
  <c r="AU246" i="65"/>
  <c r="FC237" i="15"/>
  <c r="AT237" i="65"/>
  <c r="DB237" i="15"/>
  <c r="CE228" i="15"/>
  <c r="ER228" i="15" s="1"/>
  <c r="AT221" i="65"/>
  <c r="DB221" i="15"/>
  <c r="CF220" i="15"/>
  <c r="AU220" i="65"/>
  <c r="CE220" i="15"/>
  <c r="ER220" i="15" s="1"/>
  <c r="AT205" i="65"/>
  <c r="DB205" i="15"/>
  <c r="FB205" i="15"/>
  <c r="FC205" i="15"/>
  <c r="AU196" i="65"/>
  <c r="CE196" i="15"/>
  <c r="CF196" i="15"/>
  <c r="ER196" i="15"/>
  <c r="FB196" i="15"/>
  <c r="AT157" i="65"/>
  <c r="DB157" i="15"/>
  <c r="DB149" i="15"/>
  <c r="AT149" i="65"/>
  <c r="FC149" i="15"/>
  <c r="AN42" i="65"/>
  <c r="J42" i="5"/>
  <c r="AT42" i="73" s="1"/>
  <c r="CE338" i="15"/>
  <c r="ER338" i="15" s="1"/>
  <c r="AU338" i="65"/>
  <c r="CF338" i="15"/>
  <c r="CF314" i="15"/>
  <c r="FA314" i="15"/>
  <c r="BG314" i="65" s="1"/>
  <c r="FB314" i="15"/>
  <c r="FC314" i="15"/>
  <c r="FC285" i="15"/>
  <c r="DB285" i="15"/>
  <c r="AT233" i="65"/>
  <c r="DB233" i="15"/>
  <c r="FC233" i="15"/>
  <c r="FB233" i="15"/>
  <c r="FB193" i="15"/>
  <c r="FA186" i="15"/>
  <c r="BG186" i="65" s="1"/>
  <c r="FC186" i="15"/>
  <c r="FB186" i="15"/>
  <c r="CE186" i="15"/>
  <c r="CF186" i="15"/>
  <c r="ER186" i="15"/>
  <c r="AU186" i="65"/>
  <c r="DB177" i="15"/>
  <c r="AT177" i="65"/>
  <c r="AU176" i="65"/>
  <c r="CE176" i="15"/>
  <c r="ER176" i="15" s="1"/>
  <c r="CF176" i="15"/>
  <c r="FA176" i="15"/>
  <c r="BG176" i="65" s="1"/>
  <c r="FB176" i="15"/>
  <c r="EV327" i="15"/>
  <c r="BT327" i="15"/>
  <c r="BU327" i="15"/>
  <c r="FB257" i="15"/>
  <c r="FA242" i="15"/>
  <c r="BG242" i="65" s="1"/>
  <c r="FC242" i="15"/>
  <c r="FC210" i="15"/>
  <c r="CF178" i="15"/>
  <c r="AU178" i="65"/>
  <c r="EW247" i="15"/>
  <c r="EW335" i="15"/>
  <c r="BT335" i="15"/>
  <c r="EV335" i="15"/>
  <c r="CH335" i="15" s="1"/>
  <c r="DB315" i="15"/>
  <c r="AT231" i="65"/>
  <c r="DB231" i="15"/>
  <c r="FC183" i="15"/>
  <c r="FB183" i="15"/>
  <c r="FC299" i="15"/>
  <c r="FB299" i="15"/>
  <c r="DB299" i="15"/>
  <c r="CE168" i="15"/>
  <c r="CF168" i="15"/>
  <c r="FA168" i="15"/>
  <c r="BG168" i="65" s="1"/>
  <c r="FC168" i="15"/>
  <c r="FB168" i="15"/>
  <c r="CF132" i="15"/>
  <c r="ER132" i="15"/>
  <c r="FB128" i="15"/>
  <c r="FA128" i="15"/>
  <c r="BG128" i="65" s="1"/>
  <c r="FC128" i="15"/>
  <c r="CE128" i="15"/>
  <c r="ER128" i="15" s="1"/>
  <c r="AU128" i="65"/>
  <c r="CF128" i="15"/>
  <c r="ER318" i="15"/>
  <c r="CF318" i="15"/>
  <c r="FB289" i="15"/>
  <c r="AU254" i="65"/>
  <c r="CE254" i="15"/>
  <c r="FB230" i="15"/>
  <c r="FA230" i="15"/>
  <c r="BG230" i="65" s="1"/>
  <c r="FC230" i="15"/>
  <c r="FA214" i="15"/>
  <c r="BG214" i="65" s="1"/>
  <c r="FB214" i="15"/>
  <c r="FB190" i="15"/>
  <c r="AT173" i="65"/>
  <c r="DB173" i="15"/>
  <c r="DB153" i="15"/>
  <c r="FC153" i="15"/>
  <c r="BU333" i="15"/>
  <c r="EV333" i="15"/>
  <c r="BT333" i="15"/>
  <c r="BT337" i="15"/>
  <c r="BU337" i="15"/>
  <c r="EV337" i="15"/>
  <c r="BT341" i="15"/>
  <c r="BU341" i="15"/>
  <c r="EV341" i="15"/>
  <c r="CE332" i="15"/>
  <c r="ER332" i="15" s="1"/>
  <c r="AU332" i="65"/>
  <c r="CF332" i="15"/>
  <c r="AT313" i="65"/>
  <c r="CE306" i="15"/>
  <c r="ER306" i="15" s="1"/>
  <c r="AU306" i="65"/>
  <c r="CF306" i="15"/>
  <c r="FB269" i="15"/>
  <c r="DB269" i="15"/>
  <c r="AT269" i="65"/>
  <c r="FC232" i="15"/>
  <c r="FA194" i="15"/>
  <c r="BG194" i="65" s="1"/>
  <c r="BU223" i="15"/>
  <c r="EV223" i="15"/>
  <c r="BT223" i="15"/>
  <c r="EW239" i="15"/>
  <c r="DB209" i="15"/>
  <c r="AU102" i="65"/>
  <c r="CF102" i="15"/>
  <c r="DC147" i="15"/>
  <c r="AY147" i="65" s="1"/>
  <c r="AX147" i="65"/>
  <c r="CE84" i="15"/>
  <c r="ER84" i="15" s="1"/>
  <c r="CF84" i="15"/>
  <c r="AU84" i="65"/>
  <c r="O84" i="5" s="1"/>
  <c r="AV84" i="73" s="1"/>
  <c r="AT243" i="65"/>
  <c r="DB243" i="15"/>
  <c r="FB211" i="15"/>
  <c r="FC211" i="15"/>
  <c r="DB187" i="15"/>
  <c r="AT187" i="65"/>
  <c r="FC187" i="15"/>
  <c r="FB187" i="15"/>
  <c r="CE82" i="15"/>
  <c r="ER82" i="15" s="1"/>
  <c r="CF82" i="15"/>
  <c r="AU82" i="65"/>
  <c r="FA82" i="15"/>
  <c r="BG82" i="65" s="1"/>
  <c r="FC82" i="15"/>
  <c r="FB82" i="15"/>
  <c r="CF146" i="15"/>
  <c r="AU146" i="65"/>
  <c r="CE146" i="15"/>
  <c r="ER146" i="15" s="1"/>
  <c r="AU310" i="65"/>
  <c r="CF310" i="15"/>
  <c r="CE310" i="15"/>
  <c r="ER310" i="15" s="1"/>
  <c r="DB309" i="15"/>
  <c r="AT309" i="65"/>
  <c r="CE252" i="15"/>
  <c r="AU252" i="65"/>
  <c r="ER252" i="15"/>
  <c r="CF252" i="15"/>
  <c r="FA252" i="15"/>
  <c r="BG252" i="65" s="1"/>
  <c r="FB252" i="15"/>
  <c r="FC252" i="15"/>
  <c r="AU236" i="65"/>
  <c r="CF236" i="15"/>
  <c r="CE236" i="15"/>
  <c r="ER236" i="15" s="1"/>
  <c r="FA222" i="15"/>
  <c r="BG222" i="65" s="1"/>
  <c r="FC222" i="15"/>
  <c r="FB222" i="15"/>
  <c r="FA198" i="15"/>
  <c r="BG198" i="65" s="1"/>
  <c r="FB198" i="15"/>
  <c r="FC198" i="15"/>
  <c r="FA180" i="15"/>
  <c r="BG180" i="65" s="1"/>
  <c r="FB180" i="15"/>
  <c r="FC180" i="15"/>
  <c r="CF180" i="15"/>
  <c r="AU180" i="65"/>
  <c r="CE180" i="15"/>
  <c r="ER180" i="15" s="1"/>
  <c r="AT161" i="65"/>
  <c r="DB161" i="15"/>
  <c r="AT137" i="65"/>
  <c r="DB137" i="15"/>
  <c r="AU344" i="65"/>
  <c r="CE344" i="15"/>
  <c r="ER344" i="15" s="1"/>
  <c r="CF344" i="15"/>
  <c r="FB333" i="15"/>
  <c r="FC333" i="15"/>
  <c r="DB261" i="15"/>
  <c r="AT261" i="65"/>
  <c r="CE226" i="15"/>
  <c r="CF226" i="15"/>
  <c r="ER226" i="15"/>
  <c r="AU226" i="65"/>
  <c r="AT169" i="65"/>
  <c r="DB169" i="15"/>
  <c r="DB83" i="15"/>
  <c r="AT83" i="65"/>
  <c r="FA250" i="15"/>
  <c r="BG250" i="65" s="1"/>
  <c r="CF250" i="15"/>
  <c r="CE250" i="15"/>
  <c r="ER250" i="15" s="1"/>
  <c r="AU250" i="65"/>
  <c r="FB225" i="15"/>
  <c r="FC225" i="15"/>
  <c r="FA208" i="15"/>
  <c r="BG208" i="65" s="1"/>
  <c r="FB208" i="15"/>
  <c r="FC208" i="15"/>
  <c r="CE184" i="15"/>
  <c r="ER184" i="15" s="1"/>
  <c r="AU184" i="65"/>
  <c r="CF184" i="15"/>
  <c r="BU231" i="15"/>
  <c r="BT231" i="15"/>
  <c r="EV231" i="15"/>
  <c r="AX259" i="65"/>
  <c r="DC259" i="15"/>
  <c r="AY259" i="65" s="1"/>
  <c r="FC247" i="15"/>
  <c r="FB247" i="15"/>
  <c r="AT247" i="65"/>
  <c r="DB247" i="15"/>
  <c r="DB199" i="15"/>
  <c r="AT199" i="65"/>
  <c r="DB217" i="15"/>
  <c r="AT217" i="65"/>
  <c r="CF160" i="15"/>
  <c r="CE160" i="15"/>
  <c r="ER160" i="15" s="1"/>
  <c r="AU160" i="65"/>
  <c r="FB160" i="15"/>
  <c r="FA160" i="15"/>
  <c r="BG160" i="65" s="1"/>
  <c r="FC160" i="15"/>
  <c r="FB148" i="15"/>
  <c r="FA148" i="15"/>
  <c r="BG148" i="65" s="1"/>
  <c r="FC148" i="15"/>
  <c r="FA144" i="15"/>
  <c r="BG144" i="65" s="1"/>
  <c r="FC144" i="15"/>
  <c r="FB144" i="15"/>
  <c r="CE144" i="15"/>
  <c r="ER144" i="15" s="1"/>
  <c r="AU144" i="65"/>
  <c r="CF144" i="15"/>
  <c r="AT341" i="65"/>
  <c r="DB341" i="15"/>
  <c r="AU328" i="65"/>
  <c r="CF328" i="15"/>
  <c r="CE328" i="15"/>
  <c r="ER328" i="15" s="1"/>
  <c r="AU322" i="65"/>
  <c r="CF322" i="15"/>
  <c r="CE322" i="15"/>
  <c r="ER322" i="15" s="1"/>
  <c r="FA322" i="15"/>
  <c r="BG322" i="65" s="1"/>
  <c r="FC322" i="15"/>
  <c r="AT321" i="65"/>
  <c r="DB321" i="15"/>
  <c r="FC321" i="15"/>
  <c r="FB321" i="15"/>
  <c r="FC297" i="15"/>
  <c r="FB297" i="15"/>
  <c r="AT297" i="65"/>
  <c r="DB297" i="15"/>
  <c r="DB281" i="15"/>
  <c r="AT281" i="65"/>
  <c r="FA266" i="15"/>
  <c r="BG266" i="65" s="1"/>
  <c r="FB266" i="15"/>
  <c r="FC266" i="15"/>
  <c r="AU266" i="65"/>
  <c r="AT265" i="65"/>
  <c r="DB265" i="15"/>
  <c r="DB245" i="15"/>
  <c r="AT245" i="65"/>
  <c r="CE244" i="15"/>
  <c r="ER244" i="15" s="1"/>
  <c r="AU244" i="65"/>
  <c r="CF244" i="15"/>
  <c r="FA238" i="15"/>
  <c r="BG238" i="65" s="1"/>
  <c r="FC238" i="15"/>
  <c r="CF206" i="15"/>
  <c r="AU206" i="65"/>
  <c r="CE206" i="15"/>
  <c r="ER206" i="15" s="1"/>
  <c r="FA206" i="15"/>
  <c r="BG206" i="65" s="1"/>
  <c r="FC206" i="15"/>
  <c r="FA204" i="15"/>
  <c r="BG204" i="65" s="1"/>
  <c r="FC204" i="15"/>
  <c r="FB204" i="15"/>
  <c r="FB197" i="15"/>
  <c r="FC197" i="15"/>
  <c r="FA188" i="15"/>
  <c r="BG188" i="65" s="1"/>
  <c r="FB188" i="15"/>
  <c r="FC188" i="15"/>
  <c r="CF188" i="15"/>
  <c r="AU188" i="65"/>
  <c r="CE188" i="15"/>
  <c r="ER188" i="15" s="1"/>
  <c r="FB141" i="15"/>
  <c r="FC141" i="15"/>
  <c r="BT305" i="15"/>
  <c r="EV305" i="15"/>
  <c r="BT321" i="15"/>
  <c r="FA346" i="15"/>
  <c r="BG346" i="65" s="1"/>
  <c r="FC346" i="15"/>
  <c r="FB346" i="15"/>
  <c r="FC345" i="15"/>
  <c r="FB345" i="15"/>
  <c r="FB337" i="15"/>
  <c r="FC337" i="15"/>
  <c r="CE336" i="15"/>
  <c r="ER336" i="15" s="1"/>
  <c r="AU336" i="65"/>
  <c r="CF336" i="15"/>
  <c r="DB305" i="15"/>
  <c r="AT305" i="65"/>
  <c r="CF302" i="15"/>
  <c r="CE302" i="15"/>
  <c r="ER302" i="15" s="1"/>
  <c r="AU302" i="65"/>
  <c r="AU270" i="65"/>
  <c r="CF270" i="15"/>
  <c r="CE270" i="15"/>
  <c r="ER270" i="15" s="1"/>
  <c r="FA270" i="15"/>
  <c r="BG270" i="65" s="1"/>
  <c r="FC270" i="15"/>
  <c r="FB270" i="15"/>
  <c r="CE268" i="15"/>
  <c r="ER268" i="15" s="1"/>
  <c r="FA260" i="15"/>
  <c r="BG260" i="65" s="1"/>
  <c r="FC260" i="15"/>
  <c r="FB260" i="15"/>
  <c r="FA234" i="15"/>
  <c r="BG234" i="65" s="1"/>
  <c r="FB234" i="15"/>
  <c r="FC234" i="15"/>
  <c r="AU234" i="65"/>
  <c r="CE234" i="15"/>
  <c r="ER234" i="15" s="1"/>
  <c r="CF234" i="15"/>
  <c r="FC201" i="15"/>
  <c r="FB201" i="15"/>
  <c r="CE202" i="15"/>
  <c r="AU202" i="65"/>
  <c r="ER202" i="15"/>
  <c r="CF202" i="15"/>
  <c r="FC185" i="15"/>
  <c r="FB185" i="15"/>
  <c r="BU343" i="15"/>
  <c r="BT343" i="15"/>
  <c r="BS343" i="15" s="1"/>
  <c r="EV343" i="15"/>
  <c r="CH343" i="15" s="1"/>
  <c r="EW137" i="15"/>
  <c r="AT279" i="65"/>
  <c r="DB279" i="15"/>
  <c r="FB195" i="15"/>
  <c r="FC195" i="15"/>
  <c r="FC167" i="15"/>
  <c r="FB167" i="15"/>
  <c r="FC339" i="15"/>
  <c r="FB339" i="15"/>
  <c r="CF162" i="15"/>
  <c r="AU162" i="65"/>
  <c r="FC162" i="15"/>
  <c r="CF130" i="15"/>
  <c r="AU130" i="65"/>
  <c r="CE130" i="15"/>
  <c r="ER130" i="15" s="1"/>
  <c r="EV235" i="15"/>
  <c r="BT235" i="15"/>
  <c r="BU235" i="15"/>
  <c r="BS291" i="15"/>
  <c r="CH291" i="15"/>
  <c r="EW291" i="15"/>
  <c r="EW299" i="15"/>
  <c r="EV323" i="15"/>
  <c r="CH323" i="15" s="1"/>
  <c r="BT323" i="15"/>
  <c r="BU323" i="15"/>
  <c r="FA330" i="15"/>
  <c r="BG330" i="65" s="1"/>
  <c r="FB330" i="15"/>
  <c r="FC330" i="15"/>
  <c r="CE264" i="15"/>
  <c r="ER264" i="15" s="1"/>
  <c r="CF264" i="15"/>
  <c r="AU264" i="65"/>
  <c r="DB253" i="15"/>
  <c r="AT253" i="65"/>
  <c r="FA246" i="15"/>
  <c r="BG246" i="65" s="1"/>
  <c r="FC246" i="15"/>
  <c r="FA228" i="15"/>
  <c r="BG228" i="65" s="1"/>
  <c r="FC228" i="15"/>
  <c r="FB228" i="15"/>
  <c r="FC221" i="15"/>
  <c r="FB221" i="15"/>
  <c r="FA220" i="15"/>
  <c r="BG220" i="65" s="1"/>
  <c r="FB220" i="15"/>
  <c r="FC220" i="15"/>
  <c r="AT181" i="65"/>
  <c r="DB181" i="15"/>
  <c r="FC181" i="15"/>
  <c r="FB181" i="15"/>
  <c r="FB157" i="15"/>
  <c r="FC157" i="15"/>
  <c r="DB133" i="15"/>
  <c r="AT133" i="65"/>
  <c r="EW329" i="15"/>
  <c r="BT345" i="15"/>
  <c r="FA338" i="15"/>
  <c r="BG338" i="65" s="1"/>
  <c r="FB338" i="15"/>
  <c r="FC338" i="15"/>
  <c r="AT301" i="65"/>
  <c r="DB301" i="15"/>
  <c r="FA262" i="15"/>
  <c r="BG262" i="65" s="1"/>
  <c r="FC262" i="15"/>
  <c r="FB262" i="15"/>
  <c r="CF262" i="15"/>
  <c r="CE262" i="15"/>
  <c r="ER262" i="15" s="1"/>
  <c r="AU262" i="65"/>
  <c r="FA256" i="15"/>
  <c r="BG256" i="65" s="1"/>
  <c r="FC256" i="15"/>
  <c r="CE256" i="15"/>
  <c r="ER256" i="15" s="1"/>
  <c r="CF256" i="15"/>
  <c r="AU256" i="65"/>
  <c r="FC240" i="15"/>
  <c r="CE240" i="15"/>
  <c r="ER240" i="15" s="1"/>
  <c r="CF240" i="15"/>
  <c r="AU240" i="65"/>
  <c r="AT193" i="65"/>
  <c r="DB193" i="15"/>
  <c r="FB177" i="15"/>
  <c r="FC177" i="15"/>
  <c r="AT257" i="65"/>
  <c r="DB257" i="15"/>
  <c r="ER242" i="15"/>
  <c r="AU242" i="65"/>
  <c r="AU210" i="65"/>
  <c r="CE210" i="15"/>
  <c r="ER210" i="15" s="1"/>
  <c r="CF210" i="15"/>
  <c r="FA178" i="15"/>
  <c r="BG178" i="65" s="1"/>
  <c r="FB178" i="15"/>
  <c r="BT247" i="15"/>
  <c r="BS247" i="15" s="1"/>
  <c r="BU247" i="15"/>
  <c r="EV247" i="15"/>
  <c r="CH247" i="15" s="1"/>
  <c r="DB87" i="15"/>
  <c r="AT87" i="65"/>
  <c r="FB315" i="15"/>
  <c r="FC231" i="15"/>
  <c r="FB231" i="15"/>
  <c r="DB215" i="15"/>
  <c r="FC215" i="15"/>
  <c r="DB183" i="15"/>
  <c r="AT171" i="65"/>
  <c r="DB171" i="15"/>
  <c r="DB307" i="15"/>
  <c r="AT307" i="65"/>
  <c r="FC307" i="15"/>
  <c r="CF342" i="15"/>
  <c r="DB289" i="15"/>
  <c r="FA254" i="15"/>
  <c r="BG254" i="65" s="1"/>
  <c r="FB254" i="15"/>
  <c r="FC254" i="15"/>
  <c r="AU230" i="65"/>
  <c r="CE230" i="15"/>
  <c r="CF214" i="15"/>
  <c r="CE214" i="15"/>
  <c r="CE190" i="15"/>
  <c r="ER190" i="15" s="1"/>
  <c r="CH337" i="15"/>
  <c r="BS337" i="15"/>
  <c r="EW337" i="15"/>
  <c r="CF326" i="15"/>
  <c r="CE326" i="15"/>
  <c r="ER326" i="15" s="1"/>
  <c r="AU326" i="65"/>
  <c r="DB325" i="15"/>
  <c r="FC313" i="15"/>
  <c r="FC306" i="15"/>
  <c r="AT249" i="65"/>
  <c r="FC249" i="15"/>
  <c r="FB249" i="15"/>
  <c r="ER232" i="15"/>
  <c r="CF232" i="15"/>
  <c r="CE194" i="15"/>
  <c r="ER194" i="15" s="1"/>
  <c r="FC192" i="15"/>
  <c r="FB192" i="15"/>
  <c r="CF192" i="15"/>
  <c r="AU192" i="65"/>
  <c r="CE192" i="15"/>
  <c r="ER192" i="15" s="1"/>
  <c r="FC224" i="15"/>
  <c r="CF224" i="15"/>
  <c r="AU224" i="65"/>
  <c r="FA216" i="15"/>
  <c r="BG216" i="65" s="1"/>
  <c r="FB216" i="15"/>
  <c r="FC216" i="15"/>
  <c r="CF216" i="15"/>
  <c r="ER216" i="15"/>
  <c r="FC209" i="15"/>
  <c r="DC155" i="15"/>
  <c r="AY155" i="65" s="1"/>
  <c r="AX155" i="65"/>
  <c r="BR265" i="15"/>
  <c r="BR339" i="15"/>
  <c r="FC176" i="15"/>
  <c r="DB116" i="15"/>
  <c r="HK59" i="15"/>
  <c r="BR334" i="15"/>
  <c r="BR308" i="15"/>
  <c r="BR302" i="15"/>
  <c r="BR253" i="15"/>
  <c r="BR333" i="15"/>
  <c r="BR329" i="15"/>
  <c r="BR249" i="15"/>
  <c r="BR341" i="15"/>
  <c r="BR237" i="15"/>
  <c r="BR85" i="15"/>
  <c r="BR315" i="15"/>
  <c r="BR261" i="15"/>
  <c r="EW297" i="15"/>
  <c r="EV301" i="15"/>
  <c r="BU301" i="15"/>
  <c r="BT301" i="15"/>
  <c r="BS301" i="15" s="1"/>
  <c r="EW293" i="15"/>
  <c r="BU287" i="15"/>
  <c r="EV287" i="15"/>
  <c r="CH287" i="15" s="1"/>
  <c r="BT287" i="15"/>
  <c r="EW287" i="15"/>
  <c r="BS287" i="15"/>
  <c r="EW279" i="15"/>
  <c r="BT292" i="15"/>
  <c r="BS292" i="15" s="1"/>
  <c r="BU292" i="15"/>
  <c r="EV292" i="15"/>
  <c r="CH292" i="15" s="1"/>
  <c r="EW292" i="15"/>
  <c r="EW284" i="15"/>
  <c r="EV284" i="15"/>
  <c r="CH284" i="15" s="1"/>
  <c r="BU284" i="15"/>
  <c r="BT284" i="15"/>
  <c r="BS284" i="15" s="1"/>
  <c r="EV276" i="15"/>
  <c r="BU276" i="15"/>
  <c r="BT276" i="15"/>
  <c r="EW311" i="15"/>
  <c r="EV309" i="15"/>
  <c r="CH309" i="15" s="1"/>
  <c r="BT309" i="15"/>
  <c r="BU309" i="15"/>
  <c r="EW285" i="15"/>
  <c r="BU277" i="15"/>
  <c r="BT277" i="15"/>
  <c r="BS277" i="15" s="1"/>
  <c r="EV277" i="15"/>
  <c r="CH277" i="15" s="1"/>
  <c r="EV297" i="15"/>
  <c r="CH297" i="15" s="1"/>
  <c r="BU297" i="15"/>
  <c r="BT297" i="15"/>
  <c r="BS297" i="15" s="1"/>
  <c r="CH301" i="15"/>
  <c r="EW301" i="15"/>
  <c r="BU295" i="15"/>
  <c r="BT295" i="15"/>
  <c r="EV295" i="15"/>
  <c r="CH295" i="15" s="1"/>
  <c r="EW295" i="15"/>
  <c r="BS295" i="15"/>
  <c r="EV281" i="15"/>
  <c r="BU281" i="15"/>
  <c r="BT281" i="15"/>
  <c r="BT279" i="15"/>
  <c r="BS279" i="15" s="1"/>
  <c r="EV279" i="15"/>
  <c r="CH279" i="15" s="1"/>
  <c r="BU279" i="15"/>
  <c r="BT271" i="15"/>
  <c r="EV271" i="15"/>
  <c r="BU271" i="15"/>
  <c r="EV319" i="15"/>
  <c r="BU319" i="15"/>
  <c r="BT319" i="15"/>
  <c r="EV317" i="15"/>
  <c r="BU317" i="15"/>
  <c r="BT317" i="15"/>
  <c r="BT311" i="15"/>
  <c r="BS311" i="15" s="1"/>
  <c r="EV311" i="15"/>
  <c r="CH311" i="15" s="1"/>
  <c r="BU311" i="15"/>
  <c r="EW309" i="15"/>
  <c r="BS309" i="15"/>
  <c r="BU303" i="15"/>
  <c r="BT303" i="15"/>
  <c r="EV303" i="15"/>
  <c r="EW303" i="15"/>
  <c r="CH303" i="15"/>
  <c r="BS303" i="15"/>
  <c r="BU283" i="15"/>
  <c r="BT283" i="15"/>
  <c r="BS283" i="15" s="1"/>
  <c r="EV283" i="15"/>
  <c r="CH283" i="15" s="1"/>
  <c r="EW283" i="15"/>
  <c r="EW277" i="15"/>
  <c r="BT320" i="15"/>
  <c r="BS320" i="15" s="1"/>
  <c r="EV320" i="15"/>
  <c r="CH320" i="15" s="1"/>
  <c r="BU320" i="15"/>
  <c r="EW320" i="15"/>
  <c r="BT288" i="15"/>
  <c r="BS288" i="15" s="1"/>
  <c r="BU288" i="15"/>
  <c r="EV288" i="15"/>
  <c r="CH288" i="15" s="1"/>
  <c r="EW288" i="15"/>
  <c r="EW280" i="15"/>
  <c r="EW272" i="15"/>
  <c r="ER88" i="15"/>
  <c r="AU126" i="65"/>
  <c r="O126" i="5" s="1"/>
  <c r="AU108" i="65"/>
  <c r="O108" i="5" s="1"/>
  <c r="AU92" i="65"/>
  <c r="O92" i="5" s="1"/>
  <c r="CE104" i="15"/>
  <c r="BT104" i="15" s="1"/>
  <c r="BS104" i="15" s="1"/>
  <c r="BR119" i="15"/>
  <c r="AT348" i="65"/>
  <c r="DB348" i="15"/>
  <c r="AT342" i="65"/>
  <c r="DB342" i="15"/>
  <c r="FB342" i="15"/>
  <c r="FC332" i="15"/>
  <c r="FB332" i="15"/>
  <c r="DB334" i="15"/>
  <c r="AT334" i="65"/>
  <c r="FB318" i="15"/>
  <c r="FC318" i="15"/>
  <c r="FB310" i="15"/>
  <c r="AT302" i="65"/>
  <c r="DB302" i="15"/>
  <c r="FC302" i="15"/>
  <c r="FB302" i="15"/>
  <c r="AT292" i="65"/>
  <c r="DB292" i="15"/>
  <c r="FC292" i="15"/>
  <c r="FB292" i="15"/>
  <c r="FC326" i="15"/>
  <c r="AT316" i="65"/>
  <c r="DB316" i="15"/>
  <c r="FC316" i="15"/>
  <c r="FB316" i="15"/>
  <c r="FC300" i="15"/>
  <c r="DB324" i="15"/>
  <c r="AT324" i="65"/>
  <c r="FC348" i="15"/>
  <c r="FB348" i="15"/>
  <c r="DB332" i="15"/>
  <c r="AT332" i="65"/>
  <c r="DB294" i="15"/>
  <c r="AT294" i="65"/>
  <c r="FB294" i="15"/>
  <c r="FB334" i="15"/>
  <c r="FC334" i="15"/>
  <c r="AT318" i="65"/>
  <c r="DB318" i="15"/>
  <c r="AT310" i="65"/>
  <c r="DB310" i="15"/>
  <c r="AT308" i="65"/>
  <c r="DB308" i="15"/>
  <c r="FB308" i="15"/>
  <c r="FC308" i="15"/>
  <c r="AT326" i="65"/>
  <c r="DB326" i="15"/>
  <c r="DB300" i="15"/>
  <c r="AT300" i="65"/>
  <c r="DB340" i="15"/>
  <c r="AT340" i="65"/>
  <c r="FB340" i="15"/>
  <c r="FC340" i="15"/>
  <c r="FB324" i="15"/>
  <c r="FC324" i="15"/>
  <c r="BR108" i="15"/>
  <c r="BR122" i="15"/>
  <c r="CE86" i="15"/>
  <c r="EV86" i="15" s="1"/>
  <c r="AU86" i="65"/>
  <c r="O86" i="5" s="1"/>
  <c r="AV86" i="73" s="1"/>
  <c r="CF88" i="15"/>
  <c r="EW88" i="15" s="1"/>
  <c r="CF126" i="15"/>
  <c r="AX241" i="65"/>
  <c r="DC241" i="15"/>
  <c r="AY241" i="65" s="1"/>
  <c r="I49" i="5"/>
  <c r="AM49" i="65"/>
  <c r="HK49" i="15"/>
  <c r="HJ49" i="15"/>
  <c r="AP49" i="65"/>
  <c r="HI49" i="15"/>
  <c r="CF96" i="15"/>
  <c r="AU111" i="65"/>
  <c r="O111" i="5" s="1"/>
  <c r="AU95" i="65"/>
  <c r="O95" i="5" s="1"/>
  <c r="AN61" i="65"/>
  <c r="J61" i="5"/>
  <c r="AT61" i="73" s="1"/>
  <c r="HU79" i="15"/>
  <c r="HX79" i="15" s="1"/>
  <c r="HV79" i="15"/>
  <c r="HT79" i="15"/>
  <c r="HW79" i="15" s="1"/>
  <c r="HY79" i="15"/>
  <c r="HT62" i="15"/>
  <c r="HW62" i="15" s="1"/>
  <c r="HU62" i="15"/>
  <c r="HX62" i="15" s="1"/>
  <c r="HV62" i="15"/>
  <c r="HY62" i="15" s="1"/>
  <c r="HU66" i="15"/>
  <c r="HX66" i="15" s="1"/>
  <c r="HT66" i="15"/>
  <c r="HW66" i="15" s="1"/>
  <c r="HV66" i="15"/>
  <c r="HY66" i="15" s="1"/>
  <c r="EW173" i="15"/>
  <c r="BT161" i="15"/>
  <c r="EV161" i="15"/>
  <c r="BU161" i="15"/>
  <c r="BT131" i="15"/>
  <c r="BS131" i="15" s="1"/>
  <c r="EV131" i="15"/>
  <c r="CH131" i="15" s="1"/>
  <c r="BU131" i="15"/>
  <c r="EW131" i="15"/>
  <c r="EW172" i="15"/>
  <c r="EW152" i="15"/>
  <c r="EW138" i="15"/>
  <c r="BT138" i="15"/>
  <c r="BS138" i="15" s="1"/>
  <c r="BU138" i="15"/>
  <c r="EV138" i="15"/>
  <c r="CH138" i="15" s="1"/>
  <c r="EW171" i="15"/>
  <c r="BU171" i="15"/>
  <c r="BT171" i="15"/>
  <c r="BS171" i="15" s="1"/>
  <c r="EV171" i="15"/>
  <c r="CH171" i="15" s="1"/>
  <c r="EW151" i="15"/>
  <c r="EW112" i="15"/>
  <c r="EW149" i="15"/>
  <c r="BU166" i="15"/>
  <c r="EV166" i="15"/>
  <c r="BT166" i="15"/>
  <c r="BS166" i="15" s="1"/>
  <c r="CH166" i="15"/>
  <c r="EW166" i="15"/>
  <c r="EV154" i="15"/>
  <c r="BT154" i="15"/>
  <c r="BU154" i="15"/>
  <c r="EV155" i="15"/>
  <c r="CH155" i="15" s="1"/>
  <c r="BT155" i="15"/>
  <c r="BS155" i="15" s="1"/>
  <c r="BU155" i="15"/>
  <c r="EV133" i="15"/>
  <c r="CH133" i="15" s="1"/>
  <c r="BT133" i="15"/>
  <c r="BS133" i="15" s="1"/>
  <c r="BU133" i="15"/>
  <c r="EW133" i="15"/>
  <c r="EW129" i="15"/>
  <c r="EW140" i="15"/>
  <c r="EV173" i="15"/>
  <c r="CH173" i="15" s="1"/>
  <c r="BU173" i="15"/>
  <c r="BT173" i="15"/>
  <c r="BS173" i="15" s="1"/>
  <c r="BS161" i="15"/>
  <c r="CH161" i="15"/>
  <c r="EW161" i="15"/>
  <c r="EW147" i="15"/>
  <c r="BT147" i="15"/>
  <c r="BS147" i="15" s="1"/>
  <c r="EV147" i="15"/>
  <c r="CH147" i="15" s="1"/>
  <c r="BU147" i="15"/>
  <c r="BU172" i="15"/>
  <c r="BT172" i="15"/>
  <c r="BS172" i="15" s="1"/>
  <c r="EV172" i="15"/>
  <c r="CH172" i="15" s="1"/>
  <c r="EV170" i="15"/>
  <c r="CH170" i="15" s="1"/>
  <c r="BT170" i="15"/>
  <c r="BS170" i="15" s="1"/>
  <c r="BU170" i="15"/>
  <c r="EW170" i="15"/>
  <c r="BT152" i="15"/>
  <c r="BS152" i="15" s="1"/>
  <c r="BU152" i="15"/>
  <c r="EV152" i="15"/>
  <c r="CH152" i="15" s="1"/>
  <c r="BT136" i="15"/>
  <c r="BU136" i="15"/>
  <c r="EV136" i="15"/>
  <c r="CH136" i="15" s="1"/>
  <c r="EW136" i="15"/>
  <c r="BS136" i="15"/>
  <c r="BU151" i="15"/>
  <c r="EV151" i="15"/>
  <c r="CH151" i="15" s="1"/>
  <c r="BT151" i="15"/>
  <c r="BS151" i="15" s="1"/>
  <c r="BU156" i="15"/>
  <c r="BT156" i="15"/>
  <c r="BS156" i="15" s="1"/>
  <c r="EV156" i="15"/>
  <c r="CH156" i="15" s="1"/>
  <c r="EW156" i="15"/>
  <c r="BU149" i="15"/>
  <c r="EV149" i="15"/>
  <c r="CH149" i="15" s="1"/>
  <c r="BT149" i="15"/>
  <c r="BS149" i="15" s="1"/>
  <c r="EW154" i="15"/>
  <c r="BS154" i="15"/>
  <c r="CH154" i="15"/>
  <c r="EW159" i="15"/>
  <c r="EW155" i="15"/>
  <c r="BT145" i="15"/>
  <c r="EV145" i="15"/>
  <c r="BU145" i="15"/>
  <c r="EW145" i="15"/>
  <c r="BS145" i="15"/>
  <c r="CH145" i="15"/>
  <c r="BU140" i="15"/>
  <c r="BT140" i="15"/>
  <c r="BS140" i="15" s="1"/>
  <c r="EV140" i="15"/>
  <c r="CH140" i="15" s="1"/>
  <c r="AX139" i="65"/>
  <c r="DC139" i="15"/>
  <c r="AY139" i="65" s="1"/>
  <c r="DC135" i="15"/>
  <c r="AY135" i="65" s="1"/>
  <c r="AX135" i="65"/>
  <c r="AX140" i="65"/>
  <c r="DC140" i="15"/>
  <c r="AY140" i="65" s="1"/>
  <c r="DC132" i="15"/>
  <c r="AY132" i="65" s="1"/>
  <c r="AX132" i="65"/>
  <c r="AX138" i="65"/>
  <c r="DC138" i="15"/>
  <c r="AY138" i="65" s="1"/>
  <c r="AX131" i="65"/>
  <c r="DC131" i="15"/>
  <c r="AY131" i="65" s="1"/>
  <c r="DC143" i="15"/>
  <c r="AY143" i="65" s="1"/>
  <c r="AX143" i="65"/>
  <c r="DC311" i="15"/>
  <c r="AY311" i="65" s="1"/>
  <c r="AX311" i="65"/>
  <c r="AX303" i="65"/>
  <c r="DC303" i="15"/>
  <c r="AY303" i="65" s="1"/>
  <c r="DC319" i="15"/>
  <c r="AY319" i="65" s="1"/>
  <c r="AX319" i="65"/>
  <c r="DC343" i="15"/>
  <c r="AY343" i="65" s="1"/>
  <c r="AX343" i="65"/>
  <c r="DC295" i="15"/>
  <c r="AY295" i="65" s="1"/>
  <c r="AX295" i="65"/>
  <c r="DC335" i="15"/>
  <c r="AY335" i="65" s="1"/>
  <c r="AX335" i="65"/>
  <c r="DC130" i="15"/>
  <c r="AY130" i="65" s="1"/>
  <c r="AX130" i="65"/>
  <c r="Z183" i="5"/>
  <c r="Z175" i="5"/>
  <c r="HU47" i="15"/>
  <c r="HV47" i="15"/>
  <c r="HX47" i="15"/>
  <c r="BJ47" i="15" s="1"/>
  <c r="HY47" i="15"/>
  <c r="BK47" i="15" s="1"/>
  <c r="HT47" i="15"/>
  <c r="HW47" i="15" s="1"/>
  <c r="BH47" i="15" s="1"/>
  <c r="H36" i="5"/>
  <c r="AL36" i="65" s="1"/>
  <c r="GK36" i="15"/>
  <c r="GK49" i="15"/>
  <c r="H49" i="5"/>
  <c r="AL49" i="65" s="1"/>
  <c r="GK44" i="15"/>
  <c r="H44" i="5"/>
  <c r="AL44" i="65" s="1"/>
  <c r="AM59" i="65"/>
  <c r="I59" i="5"/>
  <c r="AN59" i="65"/>
  <c r="J59" i="5"/>
  <c r="AT59" i="73" s="1"/>
  <c r="H78" i="5"/>
  <c r="AL78" i="65" s="1"/>
  <c r="GK78" i="15"/>
  <c r="AN71" i="65"/>
  <c r="J71" i="5"/>
  <c r="AT71" i="73" s="1"/>
  <c r="AP43" i="65"/>
  <c r="HJ43" i="15"/>
  <c r="AN45" i="65"/>
  <c r="J45" i="5"/>
  <c r="AT45" i="73" s="1"/>
  <c r="AN76" i="65"/>
  <c r="J76" i="5"/>
  <c r="AT76" i="73" s="1"/>
  <c r="AM41" i="65"/>
  <c r="I41" i="5"/>
  <c r="HJ41" i="15"/>
  <c r="HI43" i="15"/>
  <c r="HI37" i="15"/>
  <c r="HK34" i="15"/>
  <c r="AP34" i="65"/>
  <c r="HJ34" i="15"/>
  <c r="HI39" i="15"/>
  <c r="AP39" i="65"/>
  <c r="HK39" i="15"/>
  <c r="HJ39" i="15"/>
  <c r="AN57" i="65"/>
  <c r="J57" i="5"/>
  <c r="AT57" i="73" s="1"/>
  <c r="I39" i="5"/>
  <c r="AM39" i="65"/>
  <c r="AM51" i="65"/>
  <c r="I51" i="5"/>
  <c r="HK51" i="15"/>
  <c r="AP51" i="65"/>
  <c r="HI51" i="15"/>
  <c r="HJ51" i="15"/>
  <c r="AP41" i="65"/>
  <c r="HK41" i="15"/>
  <c r="AM43" i="65"/>
  <c r="I43" i="5"/>
  <c r="I34" i="5"/>
  <c r="AM34" i="65"/>
  <c r="AP37" i="65"/>
  <c r="HJ37" i="15"/>
  <c r="AM37" i="65"/>
  <c r="I37" i="5"/>
  <c r="HI41" i="15"/>
  <c r="HI34" i="15"/>
  <c r="Z165" i="5"/>
  <c r="HK93" i="15"/>
  <c r="HY93" i="15" s="1"/>
  <c r="Z177" i="5"/>
  <c r="Z153" i="5"/>
  <c r="BR104" i="15"/>
  <c r="Z195" i="5"/>
  <c r="FC86" i="15"/>
  <c r="FB86" i="15" s="1"/>
  <c r="FA86" i="15" s="1"/>
  <c r="BG86" i="65" s="1"/>
  <c r="AG86" i="5" s="1"/>
  <c r="BR88" i="15"/>
  <c r="FC88" i="15"/>
  <c r="FB88" i="15" s="1"/>
  <c r="FA88" i="15" s="1"/>
  <c r="BG88" i="65" s="1"/>
  <c r="AG88" i="5" s="1"/>
  <c r="BR116" i="15"/>
  <c r="FC104" i="15"/>
  <c r="FB104" i="15" s="1"/>
  <c r="FA104" i="15" s="1"/>
  <c r="BG104" i="65" s="1"/>
  <c r="AG104" i="5" s="1"/>
  <c r="BR86" i="15"/>
  <c r="FC116" i="15"/>
  <c r="FB116" i="15" s="1"/>
  <c r="FA116" i="15" s="1"/>
  <c r="BG116" i="65" s="1"/>
  <c r="AG116" i="5" s="1"/>
  <c r="AM23" i="65"/>
  <c r="I23" i="5"/>
  <c r="AN23" i="65"/>
  <c r="J23" i="5"/>
  <c r="AT23" i="73" s="1"/>
  <c r="CZ111" i="15"/>
  <c r="CY111" i="15"/>
  <c r="DA111" i="15"/>
  <c r="EW111" i="15"/>
  <c r="EW92" i="15"/>
  <c r="ER104" i="15"/>
  <c r="EW110" i="15"/>
  <c r="EW114" i="15"/>
  <c r="EV88" i="15"/>
  <c r="BT88" i="15"/>
  <c r="BU88" i="15"/>
  <c r="CZ104" i="15"/>
  <c r="DB104" i="15" s="1"/>
  <c r="DA104" i="15"/>
  <c r="EW108" i="15"/>
  <c r="EW104" i="15"/>
  <c r="EW95" i="15"/>
  <c r="EW115" i="15"/>
  <c r="HJ58" i="15"/>
  <c r="HK58" i="15"/>
  <c r="HI58" i="15"/>
  <c r="AP58" i="65"/>
  <c r="AN22" i="65"/>
  <c r="J22" i="5"/>
  <c r="AT22" i="73" s="1"/>
  <c r="I58" i="5"/>
  <c r="AM58" i="65"/>
  <c r="Z189" i="5"/>
  <c r="Z205" i="5"/>
  <c r="EW86" i="15"/>
  <c r="AN56" i="65"/>
  <c r="J56" i="5"/>
  <c r="AT56" i="73" s="1"/>
  <c r="J60" i="5"/>
  <c r="AT60" i="73" s="1"/>
  <c r="AN60" i="65"/>
  <c r="AN64" i="65"/>
  <c r="J64" i="5"/>
  <c r="AT64" i="73" s="1"/>
  <c r="AT127" i="65"/>
  <c r="N127" i="5" s="1"/>
  <c r="AU127" i="73" s="1"/>
  <c r="CE127" i="15"/>
  <c r="Z81" i="5"/>
  <c r="FC127" i="15"/>
  <c r="FB127" i="15" s="1"/>
  <c r="FA127" i="15" s="1"/>
  <c r="BG127" i="65" s="1"/>
  <c r="AG127" i="5" s="1"/>
  <c r="Z197" i="5"/>
  <c r="CZ113" i="15"/>
  <c r="CY113" i="15"/>
  <c r="DA113" i="15"/>
  <c r="Z349" i="5"/>
  <c r="Z339" i="5"/>
  <c r="Z347" i="5"/>
  <c r="AT122" i="65"/>
  <c r="N122" i="5" s="1"/>
  <c r="AU122" i="73" s="1"/>
  <c r="Z179" i="5"/>
  <c r="Z313" i="5"/>
  <c r="I93" i="5"/>
  <c r="AM93" i="65"/>
  <c r="Z181" i="5"/>
  <c r="AM121" i="65"/>
  <c r="I121" i="5"/>
  <c r="I109" i="5"/>
  <c r="AM109" i="65"/>
  <c r="HK125" i="15"/>
  <c r="HY125" i="15" s="1"/>
  <c r="CE108" i="15"/>
  <c r="AT108" i="65"/>
  <c r="N108" i="5" s="1"/>
  <c r="AU108" i="73" s="1"/>
  <c r="AP105" i="65"/>
  <c r="HI105" i="15"/>
  <c r="HW105" i="15" s="1"/>
  <c r="HJ105" i="15"/>
  <c r="HX105" i="15" s="1"/>
  <c r="AM105" i="65"/>
  <c r="I105" i="5"/>
  <c r="AP125" i="65"/>
  <c r="HI125" i="15"/>
  <c r="HW125" i="15" s="1"/>
  <c r="HJ125" i="15"/>
  <c r="HX125" i="15" s="1"/>
  <c r="AP121" i="65"/>
  <c r="HI121" i="15"/>
  <c r="HW121" i="15" s="1"/>
  <c r="HJ121" i="15"/>
  <c r="HX121" i="15" s="1"/>
  <c r="HK121" i="15"/>
  <c r="HY121" i="15" s="1"/>
  <c r="AP107" i="65"/>
  <c r="HJ107" i="15"/>
  <c r="HX107" i="15" s="1"/>
  <c r="HI107" i="15"/>
  <c r="HW107" i="15" s="1"/>
  <c r="AM123" i="65"/>
  <c r="I123" i="5"/>
  <c r="AP93" i="65"/>
  <c r="HJ93" i="15"/>
  <c r="HX93" i="15" s="1"/>
  <c r="HI93" i="15"/>
  <c r="HW93" i="15" s="1"/>
  <c r="AP123" i="65"/>
  <c r="HJ123" i="15"/>
  <c r="HX123" i="15" s="1"/>
  <c r="HK123" i="15"/>
  <c r="HY123" i="15" s="1"/>
  <c r="HI123" i="15"/>
  <c r="HW123" i="15" s="1"/>
  <c r="AP109" i="65"/>
  <c r="HJ109" i="15"/>
  <c r="HX109" i="15" s="1"/>
  <c r="HI109" i="15"/>
  <c r="HW109" i="15" s="1"/>
  <c r="HK109" i="15"/>
  <c r="HY109" i="15" s="1"/>
  <c r="FC108" i="15"/>
  <c r="FB108" i="15" s="1"/>
  <c r="FA108" i="15" s="1"/>
  <c r="BG108" i="65" s="1"/>
  <c r="AG108" i="5" s="1"/>
  <c r="HK107" i="15"/>
  <c r="HY107" i="15" s="1"/>
  <c r="HK105" i="15"/>
  <c r="HY105" i="15" s="1"/>
  <c r="AN90" i="65"/>
  <c r="J90" i="5"/>
  <c r="AT90" i="73" s="1"/>
  <c r="J50" i="5"/>
  <c r="AT50" i="73" s="1"/>
  <c r="AN50" i="65"/>
  <c r="J73" i="5"/>
  <c r="AT73" i="73" s="1"/>
  <c r="AN73" i="65"/>
  <c r="AN75" i="65"/>
  <c r="J75" i="5"/>
  <c r="AT75" i="73" s="1"/>
  <c r="AN89" i="65"/>
  <c r="J89" i="5"/>
  <c r="AT89" i="73" s="1"/>
  <c r="J32" i="5"/>
  <c r="AT32" i="73" s="1"/>
  <c r="AN32" i="65"/>
  <c r="AN77" i="65"/>
  <c r="J77" i="5"/>
  <c r="AT77" i="73" s="1"/>
  <c r="Z315" i="5"/>
  <c r="AN74" i="65"/>
  <c r="J74" i="5"/>
  <c r="AT74" i="73" s="1"/>
  <c r="J91" i="5"/>
  <c r="AT91" i="73" s="1"/>
  <c r="AN91" i="65"/>
  <c r="J54" i="5"/>
  <c r="AT54" i="73" s="1"/>
  <c r="AN54" i="65"/>
  <c r="Z217" i="5"/>
  <c r="AX86" i="65"/>
  <c r="R86" i="5" s="1"/>
  <c r="DC86" i="15"/>
  <c r="AY86" i="65" s="1"/>
  <c r="S86" i="5" s="1"/>
  <c r="AO10" i="65"/>
  <c r="J27" i="5"/>
  <c r="AT27" i="73" s="1"/>
  <c r="AN27" i="65"/>
  <c r="J30" i="5"/>
  <c r="AT30" i="73" s="1"/>
  <c r="AN30" i="65"/>
  <c r="AV127" i="73" l="1"/>
  <c r="AW38" i="73"/>
  <c r="AW124" i="73"/>
  <c r="AR119" i="73"/>
  <c r="AW122" i="73"/>
  <c r="AV108" i="73"/>
  <c r="AW127" i="73"/>
  <c r="AV124" i="73"/>
  <c r="AR122" i="73"/>
  <c r="AR116" i="73"/>
  <c r="AR86" i="73"/>
  <c r="AW108" i="73"/>
  <c r="AT128" i="65"/>
  <c r="ES333" i="15"/>
  <c r="BK48" i="15"/>
  <c r="BN48" i="15" s="1"/>
  <c r="ES321" i="15"/>
  <c r="ET321" i="15"/>
  <c r="EU321" i="15"/>
  <c r="ET323" i="15"/>
  <c r="ES323" i="15"/>
  <c r="EU207" i="15"/>
  <c r="CK201" i="15"/>
  <c r="DF201" i="15" s="1"/>
  <c r="CJ201" i="15"/>
  <c r="CS201" i="15" s="1"/>
  <c r="CR201" i="15"/>
  <c r="CW201" i="15"/>
  <c r="CT201" i="15"/>
  <c r="CV201" i="15"/>
  <c r="CI201" i="15"/>
  <c r="CU201" i="15"/>
  <c r="CX201" i="15" s="1"/>
  <c r="AW201" i="65"/>
  <c r="CI181" i="15"/>
  <c r="CR181" i="15"/>
  <c r="AW181" i="65"/>
  <c r="BR231" i="15"/>
  <c r="CI139" i="15"/>
  <c r="CV139" i="15"/>
  <c r="CT139" i="15"/>
  <c r="CK139" i="15"/>
  <c r="DF139" i="15" s="1"/>
  <c r="CJ139" i="15"/>
  <c r="DE139" i="15" s="1"/>
  <c r="DH139" i="15" s="1"/>
  <c r="CW139" i="15"/>
  <c r="AW139" i="65"/>
  <c r="CR139" i="15"/>
  <c r="ES207" i="15"/>
  <c r="ET335" i="15"/>
  <c r="ES335" i="15"/>
  <c r="BT137" i="15"/>
  <c r="ER137" i="15"/>
  <c r="EV137" i="15"/>
  <c r="CH137" i="15" s="1"/>
  <c r="ES337" i="15"/>
  <c r="ET337" i="15"/>
  <c r="EU337" i="15"/>
  <c r="EU124" i="15"/>
  <c r="ES124" i="15"/>
  <c r="ET124" i="15"/>
  <c r="ER307" i="15"/>
  <c r="EV307" i="15"/>
  <c r="BT307" i="15"/>
  <c r="BS307" i="15" s="1"/>
  <c r="BU307" i="15"/>
  <c r="CH307" i="15"/>
  <c r="AT304" i="65"/>
  <c r="CE304" i="15"/>
  <c r="ER304" i="15" s="1"/>
  <c r="AT289" i="65"/>
  <c r="CE289" i="15"/>
  <c r="AT331" i="65"/>
  <c r="CE331" i="15"/>
  <c r="ER331" i="15" s="1"/>
  <c r="AT255" i="65"/>
  <c r="CE255" i="15"/>
  <c r="AT98" i="65"/>
  <c r="N98" i="5" s="1"/>
  <c r="CE98" i="15"/>
  <c r="BU175" i="15"/>
  <c r="EV175" i="15"/>
  <c r="BT175" i="15"/>
  <c r="AT325" i="65"/>
  <c r="CE325" i="15"/>
  <c r="ER325" i="15" s="1"/>
  <c r="AT280" i="65"/>
  <c r="CE280" i="15"/>
  <c r="DB329" i="15"/>
  <c r="CE329" i="15"/>
  <c r="AT285" i="65"/>
  <c r="CE285" i="15"/>
  <c r="AT167" i="65"/>
  <c r="CE167" i="15"/>
  <c r="DB227" i="15"/>
  <c r="CE227" i="15"/>
  <c r="ER86" i="15"/>
  <c r="EU171" i="15"/>
  <c r="ET171" i="15"/>
  <c r="ES173" i="15"/>
  <c r="ES287" i="15"/>
  <c r="CE249" i="15"/>
  <c r="CE299" i="15"/>
  <c r="ER324" i="15"/>
  <c r="CE349" i="15"/>
  <c r="AT209" i="65"/>
  <c r="CE209" i="15"/>
  <c r="ER209" i="15" s="1"/>
  <c r="DB159" i="15"/>
  <c r="CE159" i="15"/>
  <c r="AT183" i="65"/>
  <c r="CE183" i="15"/>
  <c r="AT85" i="65"/>
  <c r="N85" i="5" s="1"/>
  <c r="CE85" i="15"/>
  <c r="AT272" i="65"/>
  <c r="CE272" i="15"/>
  <c r="AT315" i="65"/>
  <c r="CE315" i="15"/>
  <c r="ER315" i="15" s="1"/>
  <c r="DB112" i="15"/>
  <c r="CE112" i="15"/>
  <c r="DB275" i="15"/>
  <c r="CE275" i="15"/>
  <c r="BU257" i="15"/>
  <c r="BT257" i="15"/>
  <c r="EV257" i="15"/>
  <c r="CH257" i="15" s="1"/>
  <c r="BU185" i="15"/>
  <c r="BT185" i="15"/>
  <c r="EV185" i="15"/>
  <c r="AT129" i="65"/>
  <c r="CE129" i="15"/>
  <c r="AT293" i="65"/>
  <c r="CE293" i="15"/>
  <c r="AT273" i="65"/>
  <c r="CE273" i="15"/>
  <c r="ER273" i="15" s="1"/>
  <c r="ER127" i="15"/>
  <c r="ER168" i="15"/>
  <c r="BS80" i="15"/>
  <c r="EU173" i="15"/>
  <c r="EU287" i="15"/>
  <c r="BS321" i="15"/>
  <c r="CE239" i="15"/>
  <c r="CE213" i="15"/>
  <c r="ER213" i="15" s="1"/>
  <c r="CE267" i="15"/>
  <c r="ER267" i="15" s="1"/>
  <c r="ER175" i="15"/>
  <c r="AV304" i="65"/>
  <c r="CF304" i="15"/>
  <c r="AV267" i="65"/>
  <c r="CF267" i="15"/>
  <c r="AV305" i="65"/>
  <c r="CF305" i="15"/>
  <c r="BS305" i="15" s="1"/>
  <c r="AV203" i="65"/>
  <c r="CF203" i="15"/>
  <c r="ER203" i="15"/>
  <c r="AV209" i="65"/>
  <c r="CF209" i="15"/>
  <c r="AV113" i="65"/>
  <c r="P113" i="5" s="1"/>
  <c r="CF113" i="15"/>
  <c r="EW113" i="15" s="1"/>
  <c r="AV217" i="65"/>
  <c r="CF217" i="15"/>
  <c r="ER217" i="15"/>
  <c r="AV271" i="65"/>
  <c r="ER271" i="15"/>
  <c r="CF271" i="15"/>
  <c r="AV327" i="65"/>
  <c r="ER327" i="15"/>
  <c r="CF327" i="15"/>
  <c r="AV103" i="65"/>
  <c r="ER103" i="15"/>
  <c r="CF103" i="15"/>
  <c r="AV315" i="65"/>
  <c r="CF315" i="15"/>
  <c r="AV281" i="65"/>
  <c r="CF281" i="15"/>
  <c r="ER281" i="15"/>
  <c r="AV141" i="65"/>
  <c r="ER141" i="15"/>
  <c r="CF141" i="15"/>
  <c r="AV317" i="65"/>
  <c r="ER317" i="15"/>
  <c r="CF317" i="15"/>
  <c r="AV325" i="65"/>
  <c r="CF325" i="15"/>
  <c r="AV347" i="65"/>
  <c r="ER347" i="15"/>
  <c r="CF347" i="15"/>
  <c r="CH199" i="15"/>
  <c r="BS199" i="15"/>
  <c r="EW199" i="15"/>
  <c r="EW167" i="15"/>
  <c r="CH221" i="15"/>
  <c r="EW221" i="15"/>
  <c r="BS221" i="15"/>
  <c r="BS163" i="15"/>
  <c r="EW163" i="15"/>
  <c r="CH163" i="15"/>
  <c r="EW157" i="15"/>
  <c r="CH157" i="15"/>
  <c r="BS157" i="15"/>
  <c r="BS225" i="15"/>
  <c r="EW225" i="15"/>
  <c r="CH225" i="15"/>
  <c r="ES201" i="15"/>
  <c r="ET201" i="15"/>
  <c r="EU201" i="15"/>
  <c r="ET139" i="15"/>
  <c r="EU139" i="15"/>
  <c r="ES139" i="15"/>
  <c r="ES83" i="15"/>
  <c r="ET83" i="15"/>
  <c r="EU83" i="15"/>
  <c r="ET257" i="15"/>
  <c r="EU257" i="15"/>
  <c r="ES257" i="15"/>
  <c r="ES181" i="15"/>
  <c r="ET181" i="15"/>
  <c r="EU181" i="15"/>
  <c r="ET265" i="15"/>
  <c r="EU265" i="15"/>
  <c r="ES265" i="15"/>
  <c r="CF223" i="15"/>
  <c r="BS223" i="15" s="1"/>
  <c r="ER235" i="15"/>
  <c r="ER305" i="15"/>
  <c r="EU305" i="15" s="1"/>
  <c r="CF341" i="15"/>
  <c r="CF333" i="15"/>
  <c r="CF235" i="15"/>
  <c r="BS235" i="15" s="1"/>
  <c r="CF245" i="15"/>
  <c r="CF269" i="15"/>
  <c r="EW269" i="15" s="1"/>
  <c r="ER193" i="15"/>
  <c r="ER251" i="15"/>
  <c r="ES251" i="15" s="1"/>
  <c r="ER223" i="15"/>
  <c r="DI201" i="15"/>
  <c r="BB201" i="65" s="1"/>
  <c r="AV117" i="65"/>
  <c r="P117" i="5" s="1"/>
  <c r="CF117" i="15"/>
  <c r="EW117" i="15" s="1"/>
  <c r="AV185" i="65"/>
  <c r="ER185" i="15"/>
  <c r="CF185" i="15"/>
  <c r="AV345" i="65"/>
  <c r="ER345" i="15"/>
  <c r="AV231" i="65"/>
  <c r="ER231" i="15"/>
  <c r="CF231" i="15"/>
  <c r="AV276" i="65"/>
  <c r="ER276" i="15"/>
  <c r="CF276" i="15"/>
  <c r="AV85" i="65"/>
  <c r="P85" i="5" s="1"/>
  <c r="AW85" i="73" s="1"/>
  <c r="CF85" i="15"/>
  <c r="ER85" i="15"/>
  <c r="AV255" i="65"/>
  <c r="ER255" i="15"/>
  <c r="CF255" i="15"/>
  <c r="AV275" i="65"/>
  <c r="CF275" i="15"/>
  <c r="ER275" i="15"/>
  <c r="AV227" i="65"/>
  <c r="ER227" i="15"/>
  <c r="CF227" i="15"/>
  <c r="AV273" i="65"/>
  <c r="CF273" i="15"/>
  <c r="AV339" i="65"/>
  <c r="CF339" i="15"/>
  <c r="ER339" i="15"/>
  <c r="AV331" i="65"/>
  <c r="CF331" i="15"/>
  <c r="AV319" i="65"/>
  <c r="CF319" i="15"/>
  <c r="ER319" i="15"/>
  <c r="AV289" i="65"/>
  <c r="CF289" i="15"/>
  <c r="ER289" i="15"/>
  <c r="BS241" i="15"/>
  <c r="EW241" i="15"/>
  <c r="CH241" i="15"/>
  <c r="ET243" i="15"/>
  <c r="EU243" i="15"/>
  <c r="ES243" i="15"/>
  <c r="EW257" i="15"/>
  <c r="BS257" i="15"/>
  <c r="ES241" i="15"/>
  <c r="ET241" i="15"/>
  <c r="EU241" i="15"/>
  <c r="CH207" i="15"/>
  <c r="BS207" i="15"/>
  <c r="EW207" i="15"/>
  <c r="ET163" i="15"/>
  <c r="EU163" i="15"/>
  <c r="ES163" i="15"/>
  <c r="ES157" i="15"/>
  <c r="ET157" i="15"/>
  <c r="EU157" i="15"/>
  <c r="BS175" i="15"/>
  <c r="CH175" i="15"/>
  <c r="EW175" i="15"/>
  <c r="ET225" i="15"/>
  <c r="EU225" i="15"/>
  <c r="ES225" i="15"/>
  <c r="EW83" i="15"/>
  <c r="CH83" i="15"/>
  <c r="ES199" i="15"/>
  <c r="ET199" i="15"/>
  <c r="EU199" i="15"/>
  <c r="ET221" i="15"/>
  <c r="EU221" i="15"/>
  <c r="ES221" i="15"/>
  <c r="EW183" i="15"/>
  <c r="CH243" i="15"/>
  <c r="EW243" i="15"/>
  <c r="BS243" i="15"/>
  <c r="BS265" i="15"/>
  <c r="CH265" i="15"/>
  <c r="EW265" i="15"/>
  <c r="ER341" i="15"/>
  <c r="CF345" i="15"/>
  <c r="ER245" i="15"/>
  <c r="ES245" i="15" s="1"/>
  <c r="ER269" i="15"/>
  <c r="ET269" i="15" s="1"/>
  <c r="CF193" i="15"/>
  <c r="CF251" i="15"/>
  <c r="ER219" i="15"/>
  <c r="EU219" i="15" s="1"/>
  <c r="CF219" i="15"/>
  <c r="ER253" i="15"/>
  <c r="ET253" i="15" s="1"/>
  <c r="CF253" i="15"/>
  <c r="DI139" i="15"/>
  <c r="BB139" i="65" s="1"/>
  <c r="DR139" i="15"/>
  <c r="EN139" i="15"/>
  <c r="BA139" i="65"/>
  <c r="CK181" i="15"/>
  <c r="BT86" i="15"/>
  <c r="BU104" i="15"/>
  <c r="CF101" i="15"/>
  <c r="EW101" i="15" s="1"/>
  <c r="AU97" i="65"/>
  <c r="O97" i="5" s="1"/>
  <c r="FC214" i="15"/>
  <c r="BR214" i="15"/>
  <c r="BR128" i="15"/>
  <c r="BR210" i="15"/>
  <c r="AT210" i="65"/>
  <c r="DB304" i="15"/>
  <c r="DC116" i="15"/>
  <c r="AY116" i="65" s="1"/>
  <c r="S116" i="5" s="1"/>
  <c r="AX244" i="65"/>
  <c r="DC244" i="15"/>
  <c r="AY244" i="65" s="1"/>
  <c r="DC270" i="15"/>
  <c r="AY270" i="65" s="1"/>
  <c r="AX270" i="65"/>
  <c r="AX234" i="65"/>
  <c r="DC234" i="15"/>
  <c r="AY234" i="65" s="1"/>
  <c r="AX312" i="65"/>
  <c r="DC312" i="15"/>
  <c r="AY312" i="65" s="1"/>
  <c r="DC260" i="15"/>
  <c r="AY260" i="65" s="1"/>
  <c r="AX260" i="65"/>
  <c r="AX296" i="65"/>
  <c r="DC296" i="15"/>
  <c r="AY296" i="65" s="1"/>
  <c r="AX198" i="65"/>
  <c r="DC198" i="15"/>
  <c r="AY198" i="65" s="1"/>
  <c r="DC276" i="15"/>
  <c r="AY276" i="65" s="1"/>
  <c r="AX276" i="65"/>
  <c r="AT214" i="65"/>
  <c r="DB278" i="15"/>
  <c r="FC98" i="15"/>
  <c r="FB98" i="15" s="1"/>
  <c r="FA98" i="15" s="1"/>
  <c r="BG98" i="65" s="1"/>
  <c r="AG98" i="5" s="1"/>
  <c r="BR275" i="15"/>
  <c r="EU333" i="15"/>
  <c r="BS335" i="15"/>
  <c r="BS233" i="15"/>
  <c r="BS323" i="15"/>
  <c r="FB210" i="15"/>
  <c r="DE201" i="15"/>
  <c r="DH201" i="15" s="1"/>
  <c r="EN201" i="15" s="1"/>
  <c r="EV116" i="15"/>
  <c r="BU116" i="15"/>
  <c r="BT116" i="15"/>
  <c r="EV104" i="15"/>
  <c r="CH104" i="15" s="1"/>
  <c r="ER116" i="15"/>
  <c r="CF106" i="15"/>
  <c r="EW106" i="15" s="1"/>
  <c r="FC294" i="15"/>
  <c r="FB300" i="15"/>
  <c r="FB326" i="15"/>
  <c r="FC310" i="15"/>
  <c r="FC342" i="15"/>
  <c r="AU216" i="65"/>
  <c r="ER224" i="15"/>
  <c r="FB224" i="15"/>
  <c r="AU194" i="65"/>
  <c r="AU232" i="65"/>
  <c r="FB306" i="15"/>
  <c r="CF190" i="15"/>
  <c r="ER214" i="15"/>
  <c r="ER230" i="15"/>
  <c r="CE342" i="15"/>
  <c r="ER342" i="15" s="1"/>
  <c r="CF242" i="15"/>
  <c r="FB240" i="15"/>
  <c r="BU345" i="15"/>
  <c r="EV345" i="15"/>
  <c r="CH345" i="15" s="1"/>
  <c r="FA162" i="15"/>
  <c r="BG162" i="65" s="1"/>
  <c r="ER162" i="15"/>
  <c r="BU137" i="15"/>
  <c r="BS137" i="15"/>
  <c r="CF268" i="15"/>
  <c r="EV321" i="15"/>
  <c r="BU321" i="15"/>
  <c r="BU305" i="15"/>
  <c r="CE266" i="15"/>
  <c r="ER266" i="15" s="1"/>
  <c r="FC250" i="15"/>
  <c r="FB194" i="15"/>
  <c r="FB232" i="15"/>
  <c r="FC190" i="15"/>
  <c r="ER254" i="15"/>
  <c r="AU318" i="65"/>
  <c r="AU132" i="65"/>
  <c r="AU168" i="65"/>
  <c r="BU335" i="15"/>
  <c r="CE314" i="15"/>
  <c r="ER314" i="15" s="1"/>
  <c r="FC196" i="15"/>
  <c r="AU228" i="65"/>
  <c r="EW323" i="15"/>
  <c r="FC268" i="15"/>
  <c r="CH321" i="15"/>
  <c r="AU148" i="65"/>
  <c r="CF208" i="15"/>
  <c r="FC226" i="15"/>
  <c r="CF324" i="15"/>
  <c r="CW181" i="15"/>
  <c r="CT181" i="15"/>
  <c r="CV181" i="15"/>
  <c r="BU233" i="15"/>
  <c r="BR267" i="15"/>
  <c r="EU323" i="15"/>
  <c r="EU335" i="15"/>
  <c r="CJ181" i="15"/>
  <c r="CS181" i="15" s="1"/>
  <c r="BR317" i="15"/>
  <c r="I14" i="5"/>
  <c r="DB134" i="15"/>
  <c r="AT206" i="65"/>
  <c r="AT246" i="65"/>
  <c r="HT26" i="15"/>
  <c r="HW26" i="15" s="1"/>
  <c r="HU26" i="15"/>
  <c r="HV26" i="15"/>
  <c r="HY26" i="15" s="1"/>
  <c r="HX26" i="15"/>
  <c r="ET213" i="15"/>
  <c r="EU213" i="15"/>
  <c r="ES213" i="15"/>
  <c r="EV213" i="15"/>
  <c r="BT213" i="15"/>
  <c r="BS213" i="15" s="1"/>
  <c r="BU213" i="15"/>
  <c r="EW245" i="15"/>
  <c r="EV269" i="15"/>
  <c r="BT269" i="15"/>
  <c r="BU269" i="15"/>
  <c r="ET193" i="15"/>
  <c r="EU193" i="15"/>
  <c r="ES193" i="15"/>
  <c r="ET251" i="15"/>
  <c r="BU251" i="15"/>
  <c r="BT251" i="15"/>
  <c r="BS251" i="15" s="1"/>
  <c r="EV251" i="15"/>
  <c r="EW135" i="15"/>
  <c r="BU237" i="15"/>
  <c r="BT237" i="15"/>
  <c r="EV237" i="15"/>
  <c r="EW237" i="15"/>
  <c r="CH237" i="15"/>
  <c r="BS237" i="15"/>
  <c r="DC160" i="15"/>
  <c r="AY160" i="65" s="1"/>
  <c r="AX160" i="65"/>
  <c r="DC314" i="15"/>
  <c r="AY314" i="65" s="1"/>
  <c r="AX314" i="65"/>
  <c r="BU219" i="15"/>
  <c r="EV219" i="15"/>
  <c r="BT219" i="15"/>
  <c r="BS219" i="15" s="1"/>
  <c r="ES253" i="15"/>
  <c r="EU253" i="15"/>
  <c r="EW253" i="15"/>
  <c r="EW213" i="15"/>
  <c r="CH213" i="15"/>
  <c r="BU245" i="15"/>
  <c r="EV245" i="15"/>
  <c r="CH245" i="15" s="1"/>
  <c r="BT245" i="15"/>
  <c r="BS245" i="15" s="1"/>
  <c r="ET245" i="15"/>
  <c r="EU269" i="15"/>
  <c r="AX218" i="65"/>
  <c r="DC218" i="15"/>
  <c r="AY218" i="65" s="1"/>
  <c r="AX144" i="65"/>
  <c r="DC144" i="15"/>
  <c r="AY144" i="65" s="1"/>
  <c r="EV193" i="15"/>
  <c r="BU193" i="15"/>
  <c r="BT193" i="15"/>
  <c r="EW193" i="15"/>
  <c r="EW251" i="15"/>
  <c r="EV135" i="15"/>
  <c r="CH135" i="15" s="1"/>
  <c r="BU135" i="15"/>
  <c r="BT135" i="15"/>
  <c r="BS135" i="15" s="1"/>
  <c r="ET135" i="15"/>
  <c r="EU135" i="15"/>
  <c r="ES135" i="15"/>
  <c r="ET237" i="15"/>
  <c r="EU237" i="15"/>
  <c r="ES237" i="15"/>
  <c r="AX298" i="65"/>
  <c r="DC298" i="15"/>
  <c r="AY298" i="65" s="1"/>
  <c r="AX230" i="65"/>
  <c r="DC230" i="15"/>
  <c r="AY230" i="65" s="1"/>
  <c r="DC200" i="15"/>
  <c r="AY200" i="65" s="1"/>
  <c r="AX200" i="65"/>
  <c r="AX250" i="65"/>
  <c r="DC250" i="15"/>
  <c r="AY250" i="65" s="1"/>
  <c r="ET219" i="15"/>
  <c r="ES219" i="15"/>
  <c r="EV253" i="15"/>
  <c r="CH253" i="15" s="1"/>
  <c r="BU253" i="15"/>
  <c r="BT253" i="15"/>
  <c r="BS253" i="15" s="1"/>
  <c r="DC156" i="15"/>
  <c r="AY156" i="65" s="1"/>
  <c r="AX156" i="65"/>
  <c r="AX330" i="65"/>
  <c r="DC330" i="15"/>
  <c r="AY330" i="65" s="1"/>
  <c r="AX282" i="65"/>
  <c r="DC282" i="15"/>
  <c r="AY282" i="65" s="1"/>
  <c r="FB129" i="15"/>
  <c r="FC129" i="15"/>
  <c r="FB293" i="15"/>
  <c r="FC293" i="15"/>
  <c r="AU38" i="65"/>
  <c r="O38" i="5" s="1"/>
  <c r="AV38" i="73" s="1"/>
  <c r="CF38" i="15"/>
  <c r="EW38" i="15" s="1"/>
  <c r="CE38" i="15"/>
  <c r="ER38" i="15" s="1"/>
  <c r="BS88" i="15"/>
  <c r="CH88" i="15"/>
  <c r="BR38" i="15"/>
  <c r="BU229" i="15"/>
  <c r="EV229" i="15"/>
  <c r="CH229" i="15" s="1"/>
  <c r="BT229" i="15"/>
  <c r="BS229" i="15" s="1"/>
  <c r="DC306" i="15"/>
  <c r="AY306" i="65" s="1"/>
  <c r="AX306" i="65"/>
  <c r="EW229" i="15"/>
  <c r="ET229" i="15"/>
  <c r="EU229" i="15"/>
  <c r="ES229" i="15"/>
  <c r="DC344" i="15"/>
  <c r="AY344" i="65" s="1"/>
  <c r="AX344" i="65"/>
  <c r="AW127" i="82"/>
  <c r="AW124" i="82"/>
  <c r="AT91" i="82"/>
  <c r="AT91" i="84"/>
  <c r="AT91" i="83"/>
  <c r="AT91" i="85"/>
  <c r="AT91" i="86"/>
  <c r="AT91" i="88"/>
  <c r="AT91" i="90"/>
  <c r="AT91" i="87"/>
  <c r="AT91" i="89"/>
  <c r="AT77" i="82"/>
  <c r="AT77" i="84"/>
  <c r="AT77" i="83"/>
  <c r="AT77" i="85"/>
  <c r="AT77" i="86"/>
  <c r="AT77" i="88"/>
  <c r="AT77" i="90"/>
  <c r="AT77" i="87"/>
  <c r="AT77" i="89"/>
  <c r="AT89" i="82"/>
  <c r="AT89" i="84"/>
  <c r="AT89" i="83"/>
  <c r="AT89" i="85"/>
  <c r="AT89" i="86"/>
  <c r="AT89" i="88"/>
  <c r="AT89" i="90"/>
  <c r="AT89" i="87"/>
  <c r="AT89" i="89"/>
  <c r="AT75" i="82"/>
  <c r="AT75" i="84"/>
  <c r="AT75" i="83"/>
  <c r="AT75" i="85"/>
  <c r="AT75" i="86"/>
  <c r="AT75" i="88"/>
  <c r="AT75" i="90"/>
  <c r="AT75" i="87"/>
  <c r="AT75" i="89"/>
  <c r="AT90" i="82"/>
  <c r="AT90" i="83"/>
  <c r="AT90" i="84"/>
  <c r="AT90" i="86"/>
  <c r="AT90" i="85"/>
  <c r="AT90" i="87"/>
  <c r="AT90" i="89"/>
  <c r="AT90" i="88"/>
  <c r="AT90" i="90"/>
  <c r="AU108" i="82"/>
  <c r="AU108" i="84"/>
  <c r="AU108" i="83"/>
  <c r="AU108" i="85"/>
  <c r="AU108" i="86"/>
  <c r="AU108" i="88"/>
  <c r="AU108" i="90"/>
  <c r="AU108" i="87"/>
  <c r="AU108" i="89"/>
  <c r="AU122" i="82"/>
  <c r="AU122" i="84"/>
  <c r="AU122" i="83"/>
  <c r="AU122" i="85"/>
  <c r="AU122" i="86"/>
  <c r="AU122" i="88"/>
  <c r="AU122" i="90"/>
  <c r="AU122" i="87"/>
  <c r="AU122" i="89"/>
  <c r="AT64" i="82"/>
  <c r="AT64" i="83"/>
  <c r="AT64" i="84"/>
  <c r="AT64" i="86"/>
  <c r="AT64" i="85"/>
  <c r="AT64" i="87"/>
  <c r="AT64" i="89"/>
  <c r="AT64" i="88"/>
  <c r="AT64" i="90"/>
  <c r="AT56" i="82"/>
  <c r="AT56" i="83"/>
  <c r="AT56" i="84"/>
  <c r="AT56" i="86"/>
  <c r="AT56" i="85"/>
  <c r="AT56" i="87"/>
  <c r="AT56" i="89"/>
  <c r="AT56" i="88"/>
  <c r="AT56" i="90"/>
  <c r="AT22" i="82"/>
  <c r="AT22" i="83"/>
  <c r="AT22" i="84"/>
  <c r="AT22" i="86"/>
  <c r="AT22" i="85"/>
  <c r="AT22" i="87"/>
  <c r="AT22" i="89"/>
  <c r="AT22" i="88"/>
  <c r="AT22" i="90"/>
  <c r="AT23" i="82"/>
  <c r="AT23" i="84"/>
  <c r="AT23" i="83"/>
  <c r="AT23" i="85"/>
  <c r="AT23" i="86"/>
  <c r="AT23" i="88"/>
  <c r="AT23" i="90"/>
  <c r="AT23" i="87"/>
  <c r="AT23" i="89"/>
  <c r="AT48" i="82"/>
  <c r="AT48" i="83"/>
  <c r="AT48" i="84"/>
  <c r="AT48" i="86"/>
  <c r="AT48" i="85"/>
  <c r="AT48" i="87"/>
  <c r="AT48" i="89"/>
  <c r="AT48" i="88"/>
  <c r="AT48" i="90"/>
  <c r="AT66" i="82"/>
  <c r="AT66" i="83"/>
  <c r="AT66" i="84"/>
  <c r="AT66" i="86"/>
  <c r="AT66" i="85"/>
  <c r="AT66" i="87"/>
  <c r="AT66" i="89"/>
  <c r="AT66" i="88"/>
  <c r="AT66" i="90"/>
  <c r="AU68" i="82"/>
  <c r="AU68" i="84"/>
  <c r="AU68" i="83"/>
  <c r="AU68" i="85"/>
  <c r="AU68" i="86"/>
  <c r="AU68" i="88"/>
  <c r="AU68" i="90"/>
  <c r="AU68" i="87"/>
  <c r="AU68" i="89"/>
  <c r="AV100" i="82"/>
  <c r="AV100" i="83"/>
  <c r="AV100" i="84"/>
  <c r="AV100" i="86"/>
  <c r="AV100" i="85"/>
  <c r="AV100" i="87"/>
  <c r="AV100" i="89"/>
  <c r="AV100" i="88"/>
  <c r="AV100" i="90"/>
  <c r="AR124" i="82"/>
  <c r="AR124" i="83"/>
  <c r="AR124" i="84"/>
  <c r="AR124" i="86"/>
  <c r="AR124" i="85"/>
  <c r="AR124" i="87"/>
  <c r="AR124" i="89"/>
  <c r="AR124" i="88"/>
  <c r="AR124" i="90"/>
  <c r="AR38" i="82"/>
  <c r="AR38" i="83"/>
  <c r="AR38" i="84"/>
  <c r="AR38" i="86"/>
  <c r="AR38" i="85"/>
  <c r="AR38" i="87"/>
  <c r="AR38" i="89"/>
  <c r="AR38" i="88"/>
  <c r="AR38" i="90"/>
  <c r="AR85" i="82"/>
  <c r="AR85" i="84"/>
  <c r="AR85" i="83"/>
  <c r="AR85" i="85"/>
  <c r="AR85" i="86"/>
  <c r="AR85" i="88"/>
  <c r="AR85" i="90"/>
  <c r="AR85" i="87"/>
  <c r="AR85" i="89"/>
  <c r="AW38" i="82"/>
  <c r="AW38" i="84"/>
  <c r="AW38" i="83"/>
  <c r="AW38" i="85"/>
  <c r="AW38" i="86"/>
  <c r="AW38" i="88"/>
  <c r="AW38" i="90"/>
  <c r="AW38" i="87"/>
  <c r="AW38" i="89"/>
  <c r="AW85" i="82"/>
  <c r="AW85" i="83"/>
  <c r="AW85" i="84"/>
  <c r="AW85" i="86"/>
  <c r="AW85" i="85"/>
  <c r="AW85" i="87"/>
  <c r="AW85" i="89"/>
  <c r="AW85" i="88"/>
  <c r="AW85" i="90"/>
  <c r="AR98" i="82"/>
  <c r="AR98" i="83"/>
  <c r="AR98" i="84"/>
  <c r="AR98" i="86"/>
  <c r="AR98" i="85"/>
  <c r="AR98" i="87"/>
  <c r="AR98" i="89"/>
  <c r="AR98" i="88"/>
  <c r="AR98" i="90"/>
  <c r="AR87" i="82"/>
  <c r="AR87" i="84"/>
  <c r="AR87" i="83"/>
  <c r="AR87" i="85"/>
  <c r="AR87" i="86"/>
  <c r="AR87" i="88"/>
  <c r="AR87" i="90"/>
  <c r="AR87" i="87"/>
  <c r="AR87" i="89"/>
  <c r="AV104" i="82"/>
  <c r="AV104" i="83"/>
  <c r="AV104" i="84"/>
  <c r="AV104" i="86"/>
  <c r="AV104" i="85"/>
  <c r="AV104" i="87"/>
  <c r="AV104" i="89"/>
  <c r="AV104" i="88"/>
  <c r="AV104" i="90"/>
  <c r="AV124" i="88"/>
  <c r="AV124" i="87"/>
  <c r="AV124" i="86"/>
  <c r="AV124" i="83"/>
  <c r="AV124" i="82"/>
  <c r="AR119" i="89"/>
  <c r="AR119" i="90"/>
  <c r="AR119" i="86"/>
  <c r="AR119" i="83"/>
  <c r="AR116" i="90"/>
  <c r="AR116" i="89"/>
  <c r="AR116" i="85"/>
  <c r="AR116" i="84"/>
  <c r="AR86" i="90"/>
  <c r="AR86" i="89"/>
  <c r="AR86" i="85"/>
  <c r="AR86" i="84"/>
  <c r="AW122" i="89"/>
  <c r="AW122" i="90"/>
  <c r="AW122" i="86"/>
  <c r="AW122" i="83"/>
  <c r="AR122" i="90"/>
  <c r="AR122" i="89"/>
  <c r="AR122" i="85"/>
  <c r="AR122" i="84"/>
  <c r="AW124" i="87"/>
  <c r="AW124" i="88"/>
  <c r="AW124" i="85"/>
  <c r="AW124" i="84"/>
  <c r="AW127" i="88"/>
  <c r="AW127" i="87"/>
  <c r="AW127" i="86"/>
  <c r="AW127" i="83"/>
  <c r="AW98" i="89"/>
  <c r="AW98" i="90"/>
  <c r="AW98" i="86"/>
  <c r="AW98" i="83"/>
  <c r="AV38" i="90"/>
  <c r="AV38" i="89"/>
  <c r="AV38" i="85"/>
  <c r="AV38" i="84"/>
  <c r="AW108" i="89"/>
  <c r="AW108" i="90"/>
  <c r="AW108" i="86"/>
  <c r="AW108" i="83"/>
  <c r="AR108" i="88"/>
  <c r="AR108" i="87"/>
  <c r="AR108" i="86"/>
  <c r="AR108" i="83"/>
  <c r="AR108" i="82"/>
  <c r="AT54" i="82"/>
  <c r="AT54" i="83"/>
  <c r="AT54" i="84"/>
  <c r="AT54" i="86"/>
  <c r="AT54" i="85"/>
  <c r="AT54" i="87"/>
  <c r="AT54" i="89"/>
  <c r="AT54" i="88"/>
  <c r="AT54" i="90"/>
  <c r="AT30" i="82"/>
  <c r="AT30" i="83"/>
  <c r="AT30" i="84"/>
  <c r="AT30" i="86"/>
  <c r="AT30" i="85"/>
  <c r="AT30" i="87"/>
  <c r="AT30" i="89"/>
  <c r="AT30" i="88"/>
  <c r="AT30" i="90"/>
  <c r="AT27" i="82"/>
  <c r="AT27" i="84"/>
  <c r="AT27" i="83"/>
  <c r="AT27" i="85"/>
  <c r="AT27" i="86"/>
  <c r="AT27" i="88"/>
  <c r="AT27" i="90"/>
  <c r="AT27" i="87"/>
  <c r="AT27" i="89"/>
  <c r="AT74" i="82"/>
  <c r="AT74" i="83"/>
  <c r="AT74" i="84"/>
  <c r="AT74" i="86"/>
  <c r="AT74" i="85"/>
  <c r="AT74" i="87"/>
  <c r="AT74" i="89"/>
  <c r="AT74" i="88"/>
  <c r="AT74" i="90"/>
  <c r="AT32" i="82"/>
  <c r="AT32" i="83"/>
  <c r="AT32" i="84"/>
  <c r="AT32" i="86"/>
  <c r="AT32" i="85"/>
  <c r="AT32" i="87"/>
  <c r="AT32" i="89"/>
  <c r="AT32" i="88"/>
  <c r="AT32" i="90"/>
  <c r="AT73" i="82"/>
  <c r="AT73" i="84"/>
  <c r="AT73" i="83"/>
  <c r="AT73" i="85"/>
  <c r="AT73" i="86"/>
  <c r="AT73" i="88"/>
  <c r="AT73" i="90"/>
  <c r="AT73" i="87"/>
  <c r="AT73" i="89"/>
  <c r="AT50" i="82"/>
  <c r="AT50" i="83"/>
  <c r="AT50" i="84"/>
  <c r="AT50" i="86"/>
  <c r="AT50" i="85"/>
  <c r="AT50" i="87"/>
  <c r="AT50" i="89"/>
  <c r="AT50" i="88"/>
  <c r="AT50" i="90"/>
  <c r="AU127" i="82"/>
  <c r="AU127" i="83"/>
  <c r="AU127" i="84"/>
  <c r="AU127" i="86"/>
  <c r="AU127" i="85"/>
  <c r="AU127" i="87"/>
  <c r="AU127" i="89"/>
  <c r="AU127" i="88"/>
  <c r="AU127" i="90"/>
  <c r="AT60" i="82"/>
  <c r="AT60" i="83"/>
  <c r="AT60" i="84"/>
  <c r="AT60" i="86"/>
  <c r="AT60" i="85"/>
  <c r="AT60" i="87"/>
  <c r="AT60" i="89"/>
  <c r="AT60" i="88"/>
  <c r="AT60" i="90"/>
  <c r="AT57" i="82"/>
  <c r="AT57" i="84"/>
  <c r="AT57" i="83"/>
  <c r="AT57" i="85"/>
  <c r="AT57" i="86"/>
  <c r="AT57" i="88"/>
  <c r="AT57" i="90"/>
  <c r="AT57" i="87"/>
  <c r="AT57" i="89"/>
  <c r="AT76" i="82"/>
  <c r="AT76" i="83"/>
  <c r="AT76" i="84"/>
  <c r="AT76" i="86"/>
  <c r="AT76" i="85"/>
  <c r="AT76" i="87"/>
  <c r="AT76" i="89"/>
  <c r="AT76" i="88"/>
  <c r="AT76" i="90"/>
  <c r="AT45" i="82"/>
  <c r="AT45" i="84"/>
  <c r="AT45" i="83"/>
  <c r="AT45" i="85"/>
  <c r="AT45" i="86"/>
  <c r="AT45" i="88"/>
  <c r="AT45" i="90"/>
  <c r="AT45" i="87"/>
  <c r="AT45" i="89"/>
  <c r="AT71" i="82"/>
  <c r="AT71" i="84"/>
  <c r="AT71" i="83"/>
  <c r="AT71" i="85"/>
  <c r="AT71" i="86"/>
  <c r="AT71" i="88"/>
  <c r="AT71" i="90"/>
  <c r="AT71" i="87"/>
  <c r="AT71" i="89"/>
  <c r="AT59" i="82"/>
  <c r="AT59" i="84"/>
  <c r="AT59" i="83"/>
  <c r="AT59" i="85"/>
  <c r="AT59" i="86"/>
  <c r="AT59" i="88"/>
  <c r="AT59" i="90"/>
  <c r="AT59" i="87"/>
  <c r="AT59" i="89"/>
  <c r="AT61" i="82"/>
  <c r="AT61" i="84"/>
  <c r="AT61" i="83"/>
  <c r="AT61" i="85"/>
  <c r="AT61" i="86"/>
  <c r="AT61" i="88"/>
  <c r="AT61" i="90"/>
  <c r="AT61" i="87"/>
  <c r="AT61" i="89"/>
  <c r="AV86" i="82"/>
  <c r="AV86" i="83"/>
  <c r="AV86" i="84"/>
  <c r="AV86" i="86"/>
  <c r="AV86" i="85"/>
  <c r="AV86" i="87"/>
  <c r="AV86" i="89"/>
  <c r="AV86" i="88"/>
  <c r="AV86" i="90"/>
  <c r="AV108" i="82"/>
  <c r="AV108" i="83"/>
  <c r="AV108" i="84"/>
  <c r="AV108" i="86"/>
  <c r="AV108" i="85"/>
  <c r="AV108" i="87"/>
  <c r="AV108" i="89"/>
  <c r="AV108" i="88"/>
  <c r="AV108" i="90"/>
  <c r="AV84" i="82"/>
  <c r="AV84" i="83"/>
  <c r="AV84" i="84"/>
  <c r="AV84" i="86"/>
  <c r="AV84" i="85"/>
  <c r="AV84" i="87"/>
  <c r="AV84" i="89"/>
  <c r="AV84" i="88"/>
  <c r="AV84" i="90"/>
  <c r="AT42" i="82"/>
  <c r="AT42" i="83"/>
  <c r="AT42" i="84"/>
  <c r="AT42" i="86"/>
  <c r="AT42" i="85"/>
  <c r="AT42" i="87"/>
  <c r="AT42" i="89"/>
  <c r="AT42" i="88"/>
  <c r="AT42" i="90"/>
  <c r="AT68" i="82"/>
  <c r="AT68" i="83"/>
  <c r="AT68" i="84"/>
  <c r="AT68" i="86"/>
  <c r="AT68" i="85"/>
  <c r="AT68" i="87"/>
  <c r="AT68" i="89"/>
  <c r="AT68" i="88"/>
  <c r="AT68" i="90"/>
  <c r="AT62" i="82"/>
  <c r="AT62" i="83"/>
  <c r="AT62" i="84"/>
  <c r="AT62" i="86"/>
  <c r="AT62" i="85"/>
  <c r="AT62" i="87"/>
  <c r="AT62" i="89"/>
  <c r="AT62" i="88"/>
  <c r="AT62" i="90"/>
  <c r="AV127" i="82"/>
  <c r="AV127" i="84"/>
  <c r="AV127" i="83"/>
  <c r="AV127" i="85"/>
  <c r="AV127" i="86"/>
  <c r="AV127" i="88"/>
  <c r="AV127" i="90"/>
  <c r="AV127" i="87"/>
  <c r="AV127" i="89"/>
  <c r="AU124" i="82"/>
  <c r="AU124" i="84"/>
  <c r="AU124" i="83"/>
  <c r="AU124" i="85"/>
  <c r="AU124" i="86"/>
  <c r="AU124" i="88"/>
  <c r="AU124" i="90"/>
  <c r="AU124" i="87"/>
  <c r="AU124" i="89"/>
  <c r="AU38" i="82"/>
  <c r="AU38" i="84"/>
  <c r="AU38" i="83"/>
  <c r="AU38" i="85"/>
  <c r="AU38" i="86"/>
  <c r="AU38" i="88"/>
  <c r="AU38" i="90"/>
  <c r="AU38" i="87"/>
  <c r="AU38" i="89"/>
  <c r="AU85" i="82"/>
  <c r="AU85" i="83"/>
  <c r="AU85" i="84"/>
  <c r="AU85" i="86"/>
  <c r="AU85" i="85"/>
  <c r="AU85" i="87"/>
  <c r="AU85" i="89"/>
  <c r="AU85" i="88"/>
  <c r="AU85" i="90"/>
  <c r="AV85" i="83"/>
  <c r="AV85" i="86"/>
  <c r="AV85" i="90"/>
  <c r="AV85" i="89"/>
  <c r="AV85" i="82"/>
  <c r="AV85" i="84"/>
  <c r="AV85" i="85"/>
  <c r="AV85" i="88"/>
  <c r="AV85" i="87"/>
  <c r="AU98" i="82"/>
  <c r="AU98" i="84"/>
  <c r="AU98" i="83"/>
  <c r="AU98" i="85"/>
  <c r="AU98" i="86"/>
  <c r="AU98" i="88"/>
  <c r="AU98" i="90"/>
  <c r="AU98" i="87"/>
  <c r="AU98" i="89"/>
  <c r="AV98" i="82"/>
  <c r="AV98" i="83"/>
  <c r="AV98" i="86"/>
  <c r="AV98" i="87"/>
  <c r="AV98" i="88"/>
  <c r="AV98" i="84"/>
  <c r="AV98" i="85"/>
  <c r="AV98" i="89"/>
  <c r="AV98" i="90"/>
  <c r="AV124" i="90"/>
  <c r="AV124" i="89"/>
  <c r="AV124" i="85"/>
  <c r="AV124" i="84"/>
  <c r="AR119" i="87"/>
  <c r="AR119" i="88"/>
  <c r="AR119" i="85"/>
  <c r="AR119" i="84"/>
  <c r="AR119" i="82"/>
  <c r="AR116" i="88"/>
  <c r="AR116" i="87"/>
  <c r="AR116" i="86"/>
  <c r="AR116" i="83"/>
  <c r="AR116" i="82"/>
  <c r="AR86" i="88"/>
  <c r="AR86" i="87"/>
  <c r="AR86" i="86"/>
  <c r="AR86" i="83"/>
  <c r="AR86" i="82"/>
  <c r="AW122" i="87"/>
  <c r="AW122" i="88"/>
  <c r="AW122" i="85"/>
  <c r="AW122" i="84"/>
  <c r="AW122" i="82"/>
  <c r="AR122" i="88"/>
  <c r="AR122" i="87"/>
  <c r="AR122" i="86"/>
  <c r="AR122" i="83"/>
  <c r="AW124" i="89"/>
  <c r="AW124" i="90"/>
  <c r="AW124" i="86"/>
  <c r="AW124" i="83"/>
  <c r="AW127" i="90"/>
  <c r="AW127" i="89"/>
  <c r="AW127" i="85"/>
  <c r="AW127" i="84"/>
  <c r="AW98" i="87"/>
  <c r="AW98" i="88"/>
  <c r="AW98" i="85"/>
  <c r="AW98" i="84"/>
  <c r="AW98" i="82"/>
  <c r="AV38" i="88"/>
  <c r="AV38" i="87"/>
  <c r="AV38" i="86"/>
  <c r="AV38" i="83"/>
  <c r="AV38" i="82"/>
  <c r="AW108" i="87"/>
  <c r="AW108" i="88"/>
  <c r="AW108" i="85"/>
  <c r="AW108" i="84"/>
  <c r="AW108" i="82"/>
  <c r="AR108" i="90"/>
  <c r="AR108" i="89"/>
  <c r="AR108" i="85"/>
  <c r="AR108" i="84"/>
  <c r="BV90" i="15"/>
  <c r="CB90" i="15"/>
  <c r="AQ90" i="65"/>
  <c r="K90" i="5" s="1"/>
  <c r="BO90" i="15"/>
  <c r="FT90" i="15"/>
  <c r="BY90" i="15"/>
  <c r="AT90" i="65" s="1"/>
  <c r="AT91" i="91"/>
  <c r="AT30" i="91"/>
  <c r="AT27" i="91"/>
  <c r="AT77" i="91"/>
  <c r="AT32" i="91"/>
  <c r="AT73" i="91"/>
  <c r="AT50" i="91"/>
  <c r="AU127" i="91"/>
  <c r="AT60" i="91"/>
  <c r="CJ88" i="15"/>
  <c r="CK88" i="15"/>
  <c r="CI88" i="15"/>
  <c r="CK145" i="15"/>
  <c r="CI145" i="15"/>
  <c r="CJ145" i="15"/>
  <c r="CJ170" i="15"/>
  <c r="CK170" i="15"/>
  <c r="CI170" i="15"/>
  <c r="CK161" i="15"/>
  <c r="CI161" i="15"/>
  <c r="CJ161" i="15"/>
  <c r="CK171" i="15"/>
  <c r="CI171" i="15"/>
  <c r="CJ171" i="15"/>
  <c r="CJ152" i="15"/>
  <c r="CK152" i="15"/>
  <c r="CI152" i="15"/>
  <c r="CJ172" i="15"/>
  <c r="CK172" i="15"/>
  <c r="CI172" i="15"/>
  <c r="CK173" i="15"/>
  <c r="CI173" i="15"/>
  <c r="CJ173" i="15"/>
  <c r="CJ288" i="15"/>
  <c r="CK288" i="15"/>
  <c r="CI288" i="15"/>
  <c r="CJ320" i="15"/>
  <c r="CK320" i="15"/>
  <c r="CI320" i="15"/>
  <c r="CK283" i="15"/>
  <c r="CI283" i="15"/>
  <c r="CJ283" i="15"/>
  <c r="CK303" i="15"/>
  <c r="CI303" i="15"/>
  <c r="CJ303" i="15"/>
  <c r="CK309" i="15"/>
  <c r="CI309" i="15"/>
  <c r="CJ309" i="15"/>
  <c r="CK295" i="15"/>
  <c r="CI295" i="15"/>
  <c r="CJ295" i="15"/>
  <c r="CK311" i="15"/>
  <c r="CI311" i="15"/>
  <c r="CJ311" i="15"/>
  <c r="CK279" i="15"/>
  <c r="CI279" i="15"/>
  <c r="CJ279" i="15"/>
  <c r="CK287" i="15"/>
  <c r="CI287" i="15"/>
  <c r="CJ287" i="15"/>
  <c r="CK297" i="15"/>
  <c r="CI297" i="15"/>
  <c r="CJ297" i="15"/>
  <c r="AV84" i="91"/>
  <c r="AT42" i="91"/>
  <c r="CK321" i="15"/>
  <c r="CI321" i="15"/>
  <c r="CJ321" i="15"/>
  <c r="AT68" i="91"/>
  <c r="CK307" i="15"/>
  <c r="CI307" i="15"/>
  <c r="CJ307" i="15"/>
  <c r="AT62" i="91"/>
  <c r="CK233" i="15"/>
  <c r="CI233" i="15"/>
  <c r="CJ233" i="15"/>
  <c r="AV100" i="91"/>
  <c r="CK189" i="15"/>
  <c r="CI189" i="15"/>
  <c r="CJ189" i="15"/>
  <c r="CK179" i="15"/>
  <c r="CI179" i="15"/>
  <c r="CJ179" i="15"/>
  <c r="CK177" i="15"/>
  <c r="CI177" i="15"/>
  <c r="CJ177" i="15"/>
  <c r="CK165" i="15"/>
  <c r="CI165" i="15"/>
  <c r="AG165" i="65" s="1"/>
  <c r="CJ165" i="15"/>
  <c r="AR124" i="91"/>
  <c r="AR38" i="91"/>
  <c r="AR85" i="91"/>
  <c r="AW38" i="91"/>
  <c r="AW85" i="91"/>
  <c r="AR98" i="91"/>
  <c r="AR87" i="91"/>
  <c r="AV124" i="91"/>
  <c r="AR122" i="91"/>
  <c r="AR108" i="91"/>
  <c r="AT54" i="91"/>
  <c r="AT74" i="91"/>
  <c r="AT89" i="91"/>
  <c r="AT75" i="91"/>
  <c r="AT90" i="91"/>
  <c r="AU108" i="91"/>
  <c r="AU122" i="91"/>
  <c r="AT64" i="91"/>
  <c r="AT56" i="91"/>
  <c r="AT22" i="91"/>
  <c r="AT23" i="91"/>
  <c r="AT57" i="91"/>
  <c r="AT76" i="91"/>
  <c r="AT45" i="91"/>
  <c r="AT71" i="91"/>
  <c r="AT59" i="91"/>
  <c r="CK155" i="15"/>
  <c r="CI155" i="15"/>
  <c r="CJ155" i="15"/>
  <c r="CJ154" i="15"/>
  <c r="CK154" i="15"/>
  <c r="CI154" i="15"/>
  <c r="CJ156" i="15"/>
  <c r="CK156" i="15"/>
  <c r="CI156" i="15"/>
  <c r="CJ136" i="15"/>
  <c r="CK136" i="15"/>
  <c r="CI136" i="15"/>
  <c r="CK147" i="15"/>
  <c r="CI147" i="15"/>
  <c r="CJ147" i="15"/>
  <c r="CJ140" i="15"/>
  <c r="CK140" i="15"/>
  <c r="CI140" i="15"/>
  <c r="CK133" i="15"/>
  <c r="CI133" i="15"/>
  <c r="CJ133" i="15"/>
  <c r="CJ166" i="15"/>
  <c r="CK166" i="15"/>
  <c r="CI166" i="15"/>
  <c r="CK149" i="15"/>
  <c r="CI149" i="15"/>
  <c r="CJ149" i="15"/>
  <c r="CK151" i="15"/>
  <c r="CI151" i="15"/>
  <c r="CJ151" i="15"/>
  <c r="CJ138" i="15"/>
  <c r="CK138" i="15"/>
  <c r="CI138" i="15"/>
  <c r="CK131" i="15"/>
  <c r="CI131" i="15"/>
  <c r="CJ131" i="15"/>
  <c r="AT61" i="91"/>
  <c r="AV86" i="91"/>
  <c r="AV108" i="91"/>
  <c r="CK277" i="15"/>
  <c r="CI277" i="15"/>
  <c r="CJ277" i="15"/>
  <c r="CK301" i="15"/>
  <c r="CI301" i="15"/>
  <c r="CJ301" i="15"/>
  <c r="CJ284" i="15"/>
  <c r="CK284" i="15"/>
  <c r="CI284" i="15"/>
  <c r="CJ292" i="15"/>
  <c r="CK292" i="15"/>
  <c r="CI292" i="15"/>
  <c r="CK337" i="15"/>
  <c r="CI337" i="15"/>
  <c r="CJ337" i="15"/>
  <c r="CK291" i="15"/>
  <c r="CI291" i="15"/>
  <c r="CJ291" i="15"/>
  <c r="CK335" i="15"/>
  <c r="CI335" i="15"/>
  <c r="CJ335" i="15"/>
  <c r="CK247" i="15"/>
  <c r="CI247" i="15"/>
  <c r="CJ247" i="15"/>
  <c r="CK323" i="15"/>
  <c r="CI323" i="15"/>
  <c r="CJ323" i="15"/>
  <c r="CK343" i="15"/>
  <c r="CI343" i="15"/>
  <c r="CJ343" i="15"/>
  <c r="AT48" i="91"/>
  <c r="AT66" i="91"/>
  <c r="AU68" i="91"/>
  <c r="CK195" i="15"/>
  <c r="CI195" i="15"/>
  <c r="CJ195" i="15"/>
  <c r="AV127" i="91"/>
  <c r="CK205" i="15"/>
  <c r="CI205" i="15"/>
  <c r="CJ205" i="15"/>
  <c r="CJ80" i="15"/>
  <c r="CK80" i="15"/>
  <c r="CI80" i="15"/>
  <c r="CK197" i="15"/>
  <c r="CI197" i="15"/>
  <c r="CJ197" i="15"/>
  <c r="AU124" i="91"/>
  <c r="AU38" i="91"/>
  <c r="AU85" i="91"/>
  <c r="AV85" i="91"/>
  <c r="AU98" i="91"/>
  <c r="AV98" i="91"/>
  <c r="AV104" i="91"/>
  <c r="AW122" i="91"/>
  <c r="AW124" i="91"/>
  <c r="AW127" i="91"/>
  <c r="AW98" i="91"/>
  <c r="AV38" i="91"/>
  <c r="AW108" i="91"/>
  <c r="EX38" i="15"/>
  <c r="EZ38" i="15"/>
  <c r="EY38" i="15"/>
  <c r="EY101" i="15"/>
  <c r="EX101" i="15"/>
  <c r="EZ101" i="15"/>
  <c r="EY95" i="15"/>
  <c r="EX95" i="15"/>
  <c r="EZ95" i="15"/>
  <c r="EX114" i="15"/>
  <c r="EZ114" i="15"/>
  <c r="EY114" i="15"/>
  <c r="EY117" i="15"/>
  <c r="EX117" i="15"/>
  <c r="EZ117" i="15"/>
  <c r="ES104" i="15"/>
  <c r="EU104" i="15"/>
  <c r="ET104" i="15"/>
  <c r="EY111" i="15"/>
  <c r="EX111" i="15"/>
  <c r="EZ111" i="15"/>
  <c r="BV91" i="15"/>
  <c r="BY91" i="15"/>
  <c r="AT91" i="65" s="1"/>
  <c r="N91" i="5" s="1"/>
  <c r="AU91" i="73" s="1"/>
  <c r="AQ91" i="65"/>
  <c r="K91" i="5" s="1"/>
  <c r="CB91" i="15"/>
  <c r="BO91" i="15"/>
  <c r="FT91" i="15"/>
  <c r="ES38" i="15"/>
  <c r="EU38" i="15"/>
  <c r="ET38" i="15"/>
  <c r="EX86" i="15"/>
  <c r="EZ86" i="15"/>
  <c r="EY86" i="15"/>
  <c r="EY97" i="15"/>
  <c r="EX97" i="15"/>
  <c r="EZ97" i="15"/>
  <c r="EY115" i="15"/>
  <c r="EX115" i="15"/>
  <c r="EZ115" i="15"/>
  <c r="EX104" i="15"/>
  <c r="EZ104" i="15"/>
  <c r="EY104" i="15"/>
  <c r="EX108" i="15"/>
  <c r="EZ108" i="15"/>
  <c r="EY108" i="15"/>
  <c r="EX110" i="15"/>
  <c r="EZ110" i="15"/>
  <c r="EY110" i="15"/>
  <c r="BO92" i="15"/>
  <c r="BR92" i="15" s="1"/>
  <c r="BY92" i="15"/>
  <c r="FT92" i="15"/>
  <c r="FC92" i="15" s="1"/>
  <c r="FB92" i="15" s="1"/>
  <c r="FA92" i="15" s="1"/>
  <c r="BG92" i="65" s="1"/>
  <c r="AG92" i="5" s="1"/>
  <c r="AQ92" i="65"/>
  <c r="K92" i="5" s="1"/>
  <c r="AR92" i="73" s="1"/>
  <c r="CB92" i="15"/>
  <c r="BV92" i="15"/>
  <c r="EY145" i="15"/>
  <c r="EX145" i="15"/>
  <c r="EZ145" i="15"/>
  <c r="EY159" i="15"/>
  <c r="EX159" i="15"/>
  <c r="EZ159" i="15"/>
  <c r="EX156" i="15"/>
  <c r="EZ156" i="15"/>
  <c r="EY156" i="15"/>
  <c r="EY147" i="15"/>
  <c r="EX147" i="15"/>
  <c r="EZ147" i="15"/>
  <c r="EX140" i="15"/>
  <c r="EZ140" i="15"/>
  <c r="EY140" i="15"/>
  <c r="EY129" i="15"/>
  <c r="EX129" i="15"/>
  <c r="EZ129" i="15"/>
  <c r="EY133" i="15"/>
  <c r="EX133" i="15"/>
  <c r="EZ133" i="15"/>
  <c r="EX166" i="15"/>
  <c r="EZ166" i="15"/>
  <c r="EY166" i="15"/>
  <c r="EY149" i="15"/>
  <c r="EX149" i="15"/>
  <c r="EZ149" i="15"/>
  <c r="EX112" i="15"/>
  <c r="EZ112" i="15"/>
  <c r="EY112" i="15"/>
  <c r="EY151" i="15"/>
  <c r="EX151" i="15"/>
  <c r="EZ151" i="15"/>
  <c r="EY131" i="15"/>
  <c r="EX131" i="15"/>
  <c r="EZ131" i="15"/>
  <c r="EX272" i="15"/>
  <c r="EZ272" i="15"/>
  <c r="EY272" i="15"/>
  <c r="EX280" i="15"/>
  <c r="EZ280" i="15"/>
  <c r="EY280" i="15"/>
  <c r="EY277" i="15"/>
  <c r="EX277" i="15"/>
  <c r="EZ277" i="15"/>
  <c r="EX284" i="15"/>
  <c r="EZ284" i="15"/>
  <c r="EY284" i="15"/>
  <c r="EX292" i="15"/>
  <c r="EZ292" i="15"/>
  <c r="EY292" i="15"/>
  <c r="EY279" i="15"/>
  <c r="EX279" i="15"/>
  <c r="EZ279" i="15"/>
  <c r="ES216" i="15"/>
  <c r="EU216" i="15"/>
  <c r="ET216" i="15"/>
  <c r="ES192" i="15"/>
  <c r="EU192" i="15"/>
  <c r="ET192" i="15"/>
  <c r="ES194" i="15"/>
  <c r="EU194" i="15"/>
  <c r="ET194" i="15"/>
  <c r="ES232" i="15"/>
  <c r="EU232" i="15"/>
  <c r="ET232" i="15"/>
  <c r="ES190" i="15"/>
  <c r="EU190" i="15"/>
  <c r="ET190" i="15"/>
  <c r="ES264" i="15"/>
  <c r="EU264" i="15"/>
  <c r="ET264" i="15"/>
  <c r="EY291" i="15"/>
  <c r="EX291" i="15"/>
  <c r="EZ291" i="15"/>
  <c r="EY137" i="15"/>
  <c r="EX137" i="15"/>
  <c r="EZ137" i="15"/>
  <c r="ES202" i="15"/>
  <c r="EU202" i="15"/>
  <c r="ET202" i="15"/>
  <c r="ES270" i="15"/>
  <c r="EU270" i="15"/>
  <c r="ET270" i="15"/>
  <c r="ES302" i="15"/>
  <c r="EU302" i="15"/>
  <c r="ET302" i="15"/>
  <c r="ES244" i="15"/>
  <c r="EU244" i="15"/>
  <c r="ET244" i="15"/>
  <c r="ES266" i="15"/>
  <c r="EU266" i="15"/>
  <c r="ET266" i="15"/>
  <c r="ES144" i="15"/>
  <c r="EU144" i="15"/>
  <c r="ET144" i="15"/>
  <c r="ES160" i="15"/>
  <c r="EU160" i="15"/>
  <c r="ET160" i="15"/>
  <c r="ES236" i="15"/>
  <c r="EU236" i="15"/>
  <c r="ET236" i="15"/>
  <c r="ES146" i="15"/>
  <c r="EU146" i="15"/>
  <c r="ET146" i="15"/>
  <c r="ES306" i="15"/>
  <c r="EU306" i="15"/>
  <c r="ET306" i="15"/>
  <c r="ES254" i="15"/>
  <c r="EU254" i="15"/>
  <c r="ET254" i="15"/>
  <c r="ES168" i="15"/>
  <c r="EU168" i="15"/>
  <c r="ET168" i="15"/>
  <c r="EY335" i="15"/>
  <c r="EX335" i="15"/>
  <c r="EZ335" i="15"/>
  <c r="EY247" i="15"/>
  <c r="EX247" i="15"/>
  <c r="EZ247" i="15"/>
  <c r="ES176" i="15"/>
  <c r="EU176" i="15"/>
  <c r="ET176" i="15"/>
  <c r="ES338" i="15"/>
  <c r="EU338" i="15"/>
  <c r="ET338" i="15"/>
  <c r="ES220" i="15"/>
  <c r="EU220" i="15"/>
  <c r="ET220" i="15"/>
  <c r="ES246" i="15"/>
  <c r="EU246" i="15"/>
  <c r="ET246" i="15"/>
  <c r="EY323" i="15"/>
  <c r="EX323" i="15"/>
  <c r="EZ323" i="15"/>
  <c r="EY343" i="15"/>
  <c r="EX343" i="15"/>
  <c r="EZ343" i="15"/>
  <c r="ES260" i="15"/>
  <c r="EU260" i="15"/>
  <c r="ET260" i="15"/>
  <c r="ES346" i="15"/>
  <c r="EU346" i="15"/>
  <c r="ET346" i="15"/>
  <c r="ES204" i="15"/>
  <c r="EU204" i="15"/>
  <c r="ET204" i="15"/>
  <c r="ES238" i="15"/>
  <c r="EU238" i="15"/>
  <c r="ET238" i="15"/>
  <c r="ES316" i="15"/>
  <c r="EU316" i="15"/>
  <c r="ET316" i="15"/>
  <c r="ES340" i="15"/>
  <c r="EU340" i="15"/>
  <c r="ET340" i="15"/>
  <c r="ES324" i="15"/>
  <c r="EU324" i="15"/>
  <c r="ET324" i="15"/>
  <c r="ES182" i="15"/>
  <c r="EU182" i="15"/>
  <c r="ET182" i="15"/>
  <c r="ES198" i="15"/>
  <c r="EU198" i="15"/>
  <c r="ET198" i="15"/>
  <c r="ES212" i="15"/>
  <c r="EU212" i="15"/>
  <c r="ET212" i="15"/>
  <c r="ES258" i="15"/>
  <c r="EU258" i="15"/>
  <c r="ET258" i="15"/>
  <c r="ES308" i="15"/>
  <c r="EU308" i="15"/>
  <c r="ET308" i="15"/>
  <c r="EY249" i="15"/>
  <c r="EX249" i="15"/>
  <c r="EZ249" i="15"/>
  <c r="ET187" i="15"/>
  <c r="ES187" i="15"/>
  <c r="EU187" i="15"/>
  <c r="ET169" i="15"/>
  <c r="ES169" i="15"/>
  <c r="EU169" i="15"/>
  <c r="ES164" i="15"/>
  <c r="EU164" i="15"/>
  <c r="ET164" i="15"/>
  <c r="ET215" i="15"/>
  <c r="ES215" i="15"/>
  <c r="EU215" i="15"/>
  <c r="ES150" i="15"/>
  <c r="EU150" i="15"/>
  <c r="ET150" i="15"/>
  <c r="ET143" i="15"/>
  <c r="ES143" i="15"/>
  <c r="EU143" i="15"/>
  <c r="EY195" i="15"/>
  <c r="EX195" i="15"/>
  <c r="EZ195" i="15"/>
  <c r="ET87" i="15"/>
  <c r="ES87" i="15"/>
  <c r="EU87" i="15"/>
  <c r="EY127" i="15"/>
  <c r="EX127" i="15"/>
  <c r="EZ127" i="15"/>
  <c r="EX298" i="15"/>
  <c r="EZ298" i="15"/>
  <c r="EY298" i="15"/>
  <c r="EX80" i="15"/>
  <c r="EZ80" i="15"/>
  <c r="EY80" i="15"/>
  <c r="ET313" i="15"/>
  <c r="ES313" i="15"/>
  <c r="EU313" i="15"/>
  <c r="EX92" i="15"/>
  <c r="EZ92" i="15"/>
  <c r="EY92" i="15"/>
  <c r="ES116" i="15"/>
  <c r="EU116" i="15"/>
  <c r="ET116" i="15"/>
  <c r="EX106" i="15"/>
  <c r="EZ106" i="15"/>
  <c r="EY106" i="15"/>
  <c r="EY155" i="15"/>
  <c r="EX155" i="15"/>
  <c r="EZ155" i="15"/>
  <c r="EX154" i="15"/>
  <c r="EZ154" i="15"/>
  <c r="EY154" i="15"/>
  <c r="EX136" i="15"/>
  <c r="EZ136" i="15"/>
  <c r="EY136" i="15"/>
  <c r="EX170" i="15"/>
  <c r="EZ170" i="15"/>
  <c r="EY170" i="15"/>
  <c r="EY161" i="15"/>
  <c r="EX161" i="15"/>
  <c r="EZ161" i="15"/>
  <c r="EY171" i="15"/>
  <c r="EX171" i="15"/>
  <c r="EZ171" i="15"/>
  <c r="EX138" i="15"/>
  <c r="EZ138" i="15"/>
  <c r="EY138" i="15"/>
  <c r="EX152" i="15"/>
  <c r="EZ152" i="15"/>
  <c r="EY152" i="15"/>
  <c r="EX172" i="15"/>
  <c r="EZ172" i="15"/>
  <c r="EY172" i="15"/>
  <c r="EY173" i="15"/>
  <c r="EX173" i="15"/>
  <c r="EZ173" i="15"/>
  <c r="EX88" i="15"/>
  <c r="EZ88" i="15"/>
  <c r="EY88" i="15"/>
  <c r="ES86" i="15"/>
  <c r="EU86" i="15"/>
  <c r="ET86" i="15"/>
  <c r="ES88" i="15"/>
  <c r="EU88" i="15"/>
  <c r="ET88" i="15"/>
  <c r="EX288" i="15"/>
  <c r="EZ288" i="15"/>
  <c r="EY288" i="15"/>
  <c r="EX320" i="15"/>
  <c r="EZ320" i="15"/>
  <c r="EY320" i="15"/>
  <c r="EY283" i="15"/>
  <c r="EX283" i="15"/>
  <c r="EZ283" i="15"/>
  <c r="EY303" i="15"/>
  <c r="EX303" i="15"/>
  <c r="EZ303" i="15"/>
  <c r="EY309" i="15"/>
  <c r="EX309" i="15"/>
  <c r="EZ309" i="15"/>
  <c r="EY295" i="15"/>
  <c r="EX295" i="15"/>
  <c r="EZ295" i="15"/>
  <c r="EY301" i="15"/>
  <c r="EX301" i="15"/>
  <c r="EZ301" i="15"/>
  <c r="EY285" i="15"/>
  <c r="EX285" i="15"/>
  <c r="EZ285" i="15"/>
  <c r="EY311" i="15"/>
  <c r="EX311" i="15"/>
  <c r="EZ311" i="15"/>
  <c r="EY287" i="15"/>
  <c r="EX287" i="15"/>
  <c r="EZ287" i="15"/>
  <c r="EY293" i="15"/>
  <c r="EX293" i="15"/>
  <c r="EZ293" i="15"/>
  <c r="EY297" i="15"/>
  <c r="EX297" i="15"/>
  <c r="EZ297" i="15"/>
  <c r="ES224" i="15"/>
  <c r="EU224" i="15"/>
  <c r="ET224" i="15"/>
  <c r="ES326" i="15"/>
  <c r="EU326" i="15"/>
  <c r="ET326" i="15"/>
  <c r="EY337" i="15"/>
  <c r="EX337" i="15"/>
  <c r="EZ337" i="15"/>
  <c r="ES214" i="15"/>
  <c r="EU214" i="15"/>
  <c r="ET214" i="15"/>
  <c r="ES230" i="15"/>
  <c r="EU230" i="15"/>
  <c r="ET230" i="15"/>
  <c r="ES342" i="15"/>
  <c r="EU342" i="15"/>
  <c r="ET342" i="15"/>
  <c r="ES210" i="15"/>
  <c r="EU210" i="15"/>
  <c r="ET210" i="15"/>
  <c r="ES242" i="15"/>
  <c r="EU242" i="15"/>
  <c r="ET242" i="15"/>
  <c r="ES240" i="15"/>
  <c r="EU240" i="15"/>
  <c r="ET240" i="15"/>
  <c r="ES256" i="15"/>
  <c r="EU256" i="15"/>
  <c r="ET256" i="15"/>
  <c r="ES262" i="15"/>
  <c r="EU262" i="15"/>
  <c r="ET262" i="15"/>
  <c r="EY329" i="15"/>
  <c r="EX329" i="15"/>
  <c r="EZ329" i="15"/>
  <c r="EY299" i="15"/>
  <c r="EX299" i="15"/>
  <c r="EZ299" i="15"/>
  <c r="ES130" i="15"/>
  <c r="EU130" i="15"/>
  <c r="ET130" i="15"/>
  <c r="ES162" i="15"/>
  <c r="EU162" i="15"/>
  <c r="ET162" i="15"/>
  <c r="ES234" i="15"/>
  <c r="EU234" i="15"/>
  <c r="ET234" i="15"/>
  <c r="ES268" i="15"/>
  <c r="EU268" i="15"/>
  <c r="ET268" i="15"/>
  <c r="ES336" i="15"/>
  <c r="EU336" i="15"/>
  <c r="ET336" i="15"/>
  <c r="ES188" i="15"/>
  <c r="EU188" i="15"/>
  <c r="ET188" i="15"/>
  <c r="ES206" i="15"/>
  <c r="EU206" i="15"/>
  <c r="ET206" i="15"/>
  <c r="ES322" i="15"/>
  <c r="EU322" i="15"/>
  <c r="ET322" i="15"/>
  <c r="ES328" i="15"/>
  <c r="EU328" i="15"/>
  <c r="ET328" i="15"/>
  <c r="ES184" i="15"/>
  <c r="EU184" i="15"/>
  <c r="ET184" i="15"/>
  <c r="ES250" i="15"/>
  <c r="EU250" i="15"/>
  <c r="ET250" i="15"/>
  <c r="ES226" i="15"/>
  <c r="EU226" i="15"/>
  <c r="ET226" i="15"/>
  <c r="ES344" i="15"/>
  <c r="EU344" i="15"/>
  <c r="ET344" i="15"/>
  <c r="ES180" i="15"/>
  <c r="EU180" i="15"/>
  <c r="ET180" i="15"/>
  <c r="ES252" i="15"/>
  <c r="EU252" i="15"/>
  <c r="ET252" i="15"/>
  <c r="ES310" i="15"/>
  <c r="EU310" i="15"/>
  <c r="ET310" i="15"/>
  <c r="ES82" i="15"/>
  <c r="EU82" i="15"/>
  <c r="ET82" i="15"/>
  <c r="ES84" i="15"/>
  <c r="EU84" i="15"/>
  <c r="ET84" i="15"/>
  <c r="EY239" i="15"/>
  <c r="EX239" i="15"/>
  <c r="EZ239" i="15"/>
  <c r="ES332" i="15"/>
  <c r="EU332" i="15"/>
  <c r="ET332" i="15"/>
  <c r="ES318" i="15"/>
  <c r="EU318" i="15"/>
  <c r="ET318" i="15"/>
  <c r="ES128" i="15"/>
  <c r="EU128" i="15"/>
  <c r="ET128" i="15"/>
  <c r="ES132" i="15"/>
  <c r="EU132" i="15"/>
  <c r="ET132" i="15"/>
  <c r="ES186" i="15"/>
  <c r="EU186" i="15"/>
  <c r="ET186" i="15"/>
  <c r="ES314" i="15"/>
  <c r="EU314" i="15"/>
  <c r="ET314" i="15"/>
  <c r="ES196" i="15"/>
  <c r="EU196" i="15"/>
  <c r="ET196" i="15"/>
  <c r="ES228" i="15"/>
  <c r="EU228" i="15"/>
  <c r="ET228" i="15"/>
  <c r="ES330" i="15"/>
  <c r="EU330" i="15"/>
  <c r="ET330" i="15"/>
  <c r="ES174" i="15"/>
  <c r="EU174" i="15"/>
  <c r="ET174" i="15"/>
  <c r="ES294" i="15"/>
  <c r="EU294" i="15"/>
  <c r="ET294" i="15"/>
  <c r="ES334" i="15"/>
  <c r="EU334" i="15"/>
  <c r="ET334" i="15"/>
  <c r="EY321" i="15"/>
  <c r="EX321" i="15"/>
  <c r="EZ321" i="15"/>
  <c r="ES148" i="15"/>
  <c r="EU148" i="15"/>
  <c r="ET148" i="15"/>
  <c r="ES208" i="15"/>
  <c r="EU208" i="15"/>
  <c r="ET208" i="15"/>
  <c r="ES218" i="15"/>
  <c r="EU218" i="15"/>
  <c r="ET218" i="15"/>
  <c r="ES200" i="15"/>
  <c r="EU200" i="15"/>
  <c r="ET200" i="15"/>
  <c r="ES248" i="15"/>
  <c r="EU248" i="15"/>
  <c r="ET248" i="15"/>
  <c r="ES222" i="15"/>
  <c r="EU222" i="15"/>
  <c r="ET222" i="15"/>
  <c r="ES348" i="15"/>
  <c r="EU348" i="15"/>
  <c r="ET348" i="15"/>
  <c r="EY307" i="15"/>
  <c r="EX307" i="15"/>
  <c r="EZ307" i="15"/>
  <c r="ES134" i="15"/>
  <c r="EU134" i="15"/>
  <c r="ET134" i="15"/>
  <c r="EX118" i="15"/>
  <c r="EZ118" i="15"/>
  <c r="EY118" i="15"/>
  <c r="EY233" i="15"/>
  <c r="EX233" i="15"/>
  <c r="EZ233" i="15"/>
  <c r="EY349" i="15"/>
  <c r="EX349" i="15"/>
  <c r="EZ349" i="15"/>
  <c r="ES100" i="15"/>
  <c r="EU100" i="15"/>
  <c r="ET100" i="15"/>
  <c r="ET259" i="15"/>
  <c r="ES259" i="15"/>
  <c r="EU259" i="15"/>
  <c r="EX120" i="15"/>
  <c r="EZ120" i="15"/>
  <c r="EY120" i="15"/>
  <c r="EY189" i="15"/>
  <c r="EX189" i="15"/>
  <c r="EZ189" i="15"/>
  <c r="EY179" i="15"/>
  <c r="EX179" i="15"/>
  <c r="EZ179" i="15"/>
  <c r="EY177" i="15"/>
  <c r="EX177" i="15"/>
  <c r="EZ177" i="15"/>
  <c r="ET211" i="15"/>
  <c r="ES211" i="15"/>
  <c r="EU211" i="15"/>
  <c r="ET127" i="15"/>
  <c r="ES127" i="15"/>
  <c r="EU127" i="15"/>
  <c r="ET263" i="15"/>
  <c r="ES263" i="15"/>
  <c r="EU263" i="15"/>
  <c r="ET153" i="15"/>
  <c r="ES153" i="15"/>
  <c r="EU153" i="15"/>
  <c r="ET81" i="15"/>
  <c r="ES81" i="15"/>
  <c r="EU81" i="15"/>
  <c r="ET191" i="15"/>
  <c r="ES191" i="15"/>
  <c r="EU191" i="15"/>
  <c r="EY165" i="15"/>
  <c r="EX165" i="15"/>
  <c r="EZ165" i="15"/>
  <c r="EY205" i="15"/>
  <c r="EX205" i="15"/>
  <c r="EZ205" i="15"/>
  <c r="EY197" i="15"/>
  <c r="EX197" i="15"/>
  <c r="EZ197" i="15"/>
  <c r="ET261" i="15"/>
  <c r="ES261" i="15"/>
  <c r="EU261" i="15"/>
  <c r="BO106" i="15"/>
  <c r="BR106" i="15" s="1"/>
  <c r="AQ106" i="65"/>
  <c r="K106" i="5" s="1"/>
  <c r="AR106" i="73" s="1"/>
  <c r="FT106" i="15"/>
  <c r="BV106" i="15"/>
  <c r="BY106" i="15"/>
  <c r="AT106" i="65" s="1"/>
  <c r="N106" i="5" s="1"/>
  <c r="CB106" i="15"/>
  <c r="CB96" i="15"/>
  <c r="AQ96" i="65"/>
  <c r="K96" i="5" s="1"/>
  <c r="AR96" i="73" s="1"/>
  <c r="FT96" i="15"/>
  <c r="FC96" i="15" s="1"/>
  <c r="FB96" i="15" s="1"/>
  <c r="FA96" i="15" s="1"/>
  <c r="BG96" i="65" s="1"/>
  <c r="AG96" i="5" s="1"/>
  <c r="BO96" i="15"/>
  <c r="BR96" i="15" s="1"/>
  <c r="BY96" i="15"/>
  <c r="BV96" i="15"/>
  <c r="BO113" i="15"/>
  <c r="BR113" i="15" s="1"/>
  <c r="AQ113" i="65"/>
  <c r="K113" i="5" s="1"/>
  <c r="AR113" i="73" s="1"/>
  <c r="CB113" i="15"/>
  <c r="BV113" i="15"/>
  <c r="FT113" i="15"/>
  <c r="FC113" i="15" s="1"/>
  <c r="FB113" i="15" s="1"/>
  <c r="FA113" i="15" s="1"/>
  <c r="BG113" i="65" s="1"/>
  <c r="AG113" i="5" s="1"/>
  <c r="BY113" i="15"/>
  <c r="BR304" i="15"/>
  <c r="CA42" i="15"/>
  <c r="AV42" i="65" s="1"/>
  <c r="P42" i="5" s="1"/>
  <c r="CD42" i="15"/>
  <c r="AS42" i="65"/>
  <c r="M42" i="5" s="1"/>
  <c r="BQ42" i="15"/>
  <c r="BV120" i="15"/>
  <c r="FT120" i="15"/>
  <c r="FC120" i="15" s="1"/>
  <c r="FB120" i="15" s="1"/>
  <c r="FA120" i="15" s="1"/>
  <c r="BG120" i="65" s="1"/>
  <c r="AG120" i="5" s="1"/>
  <c r="BY120" i="15"/>
  <c r="CB120" i="15"/>
  <c r="BO120" i="15"/>
  <c r="BR120" i="15" s="1"/>
  <c r="AQ120" i="65"/>
  <c r="K120" i="5" s="1"/>
  <c r="AR120" i="73" s="1"/>
  <c r="BY55" i="15"/>
  <c r="AT55" i="65" s="1"/>
  <c r="N55" i="5" s="1"/>
  <c r="AU55" i="73" s="1"/>
  <c r="CB55" i="15"/>
  <c r="BV55" i="15"/>
  <c r="BO55" i="15"/>
  <c r="AQ55" i="65"/>
  <c r="K55" i="5" s="1"/>
  <c r="FT55" i="15"/>
  <c r="BY61" i="15"/>
  <c r="AT61" i="65" s="1"/>
  <c r="N61" i="5" s="1"/>
  <c r="AU61" i="73" s="1"/>
  <c r="FT61" i="15"/>
  <c r="BO61" i="15"/>
  <c r="AQ61" i="65"/>
  <c r="K61" i="5" s="1"/>
  <c r="BV61" i="15"/>
  <c r="CB61" i="15"/>
  <c r="BY118" i="15"/>
  <c r="BV118" i="15"/>
  <c r="AQ118" i="65"/>
  <c r="K118" i="5" s="1"/>
  <c r="AR118" i="73" s="1"/>
  <c r="CB118" i="15"/>
  <c r="FT118" i="15"/>
  <c r="FC118" i="15" s="1"/>
  <c r="FB118" i="15" s="1"/>
  <c r="FA118" i="15" s="1"/>
  <c r="BG118" i="65" s="1"/>
  <c r="AG118" i="5" s="1"/>
  <c r="BO118" i="15"/>
  <c r="BR118" i="15" s="1"/>
  <c r="BO110" i="15"/>
  <c r="BR110" i="15" s="1"/>
  <c r="BY110" i="15"/>
  <c r="FT110" i="15"/>
  <c r="AQ110" i="65"/>
  <c r="K110" i="5" s="1"/>
  <c r="AR110" i="73" s="1"/>
  <c r="CB110" i="15"/>
  <c r="BV110" i="15"/>
  <c r="AQ111" i="65"/>
  <c r="K111" i="5" s="1"/>
  <c r="AR111" i="73" s="1"/>
  <c r="BY111" i="15"/>
  <c r="FT111" i="15"/>
  <c r="FC111" i="15" s="1"/>
  <c r="FB111" i="15" s="1"/>
  <c r="FA111" i="15" s="1"/>
  <c r="BG111" i="65" s="1"/>
  <c r="AG111" i="5" s="1"/>
  <c r="BO111" i="15"/>
  <c r="BR111" i="15" s="1"/>
  <c r="BV111" i="15"/>
  <c r="CB111" i="15"/>
  <c r="AQ89" i="65"/>
  <c r="K89" i="5" s="1"/>
  <c r="BV89" i="15"/>
  <c r="CB89" i="15"/>
  <c r="FT89" i="15"/>
  <c r="BY89" i="15"/>
  <c r="AT89" i="65" s="1"/>
  <c r="N89" i="5" s="1"/>
  <c r="AU89" i="73" s="1"/>
  <c r="BO89" i="15"/>
  <c r="CA90" i="15"/>
  <c r="AV90" i="65" s="1"/>
  <c r="BQ90" i="15"/>
  <c r="AS90" i="65"/>
  <c r="M90" i="5" s="1"/>
  <c r="CD90" i="15"/>
  <c r="FT42" i="15"/>
  <c r="BO42" i="15"/>
  <c r="AQ42" i="65"/>
  <c r="K42" i="5" s="1"/>
  <c r="BY42" i="15"/>
  <c r="CB42" i="15"/>
  <c r="BV42" i="15"/>
  <c r="CB126" i="15"/>
  <c r="FT126" i="15"/>
  <c r="BO126" i="15"/>
  <c r="BR126" i="15" s="1"/>
  <c r="BV126" i="15"/>
  <c r="AQ126" i="65"/>
  <c r="K126" i="5" s="1"/>
  <c r="AR126" i="73" s="1"/>
  <c r="BY126" i="15"/>
  <c r="BY48" i="15"/>
  <c r="AT48" i="65" s="1"/>
  <c r="N48" i="5" s="1"/>
  <c r="AU48" i="73" s="1"/>
  <c r="BV48" i="15"/>
  <c r="FT48" i="15"/>
  <c r="AQ48" i="65"/>
  <c r="K48" i="5" s="1"/>
  <c r="BO48" i="15"/>
  <c r="CB48" i="15"/>
  <c r="CD67" i="15"/>
  <c r="BQ67" i="15"/>
  <c r="CA67" i="15"/>
  <c r="AV67" i="65" s="1"/>
  <c r="P67" i="5" s="1"/>
  <c r="AS67" i="65"/>
  <c r="M67" i="5" s="1"/>
  <c r="CD63" i="15"/>
  <c r="CA63" i="15"/>
  <c r="AV63" i="65" s="1"/>
  <c r="P63" i="5" s="1"/>
  <c r="AS63" i="65"/>
  <c r="M63" i="5" s="1"/>
  <c r="BQ63" i="15"/>
  <c r="BV95" i="15"/>
  <c r="FT95" i="15"/>
  <c r="FC95" i="15" s="1"/>
  <c r="FB95" i="15" s="1"/>
  <c r="FA95" i="15" s="1"/>
  <c r="BG95" i="65" s="1"/>
  <c r="AG95" i="5" s="1"/>
  <c r="BO95" i="15"/>
  <c r="BR95" i="15" s="1"/>
  <c r="AQ95" i="65"/>
  <c r="K95" i="5" s="1"/>
  <c r="AR95" i="73" s="1"/>
  <c r="BY95" i="15"/>
  <c r="CB95" i="15"/>
  <c r="BO94" i="15"/>
  <c r="BR94" i="15" s="1"/>
  <c r="BY94" i="15"/>
  <c r="AQ94" i="65"/>
  <c r="K94" i="5" s="1"/>
  <c r="AR94" i="73" s="1"/>
  <c r="BV94" i="15"/>
  <c r="FT94" i="15"/>
  <c r="CB94" i="15"/>
  <c r="AS68" i="65"/>
  <c r="M68" i="5" s="1"/>
  <c r="CD68" i="15"/>
  <c r="BQ68" i="15"/>
  <c r="CA68" i="15"/>
  <c r="AV68" i="65" s="1"/>
  <c r="P68" i="5" s="1"/>
  <c r="AW68" i="73" s="1"/>
  <c r="CB99" i="15"/>
  <c r="BY99" i="15"/>
  <c r="BV99" i="15"/>
  <c r="FT99" i="15"/>
  <c r="FC99" i="15" s="1"/>
  <c r="FB99" i="15" s="1"/>
  <c r="FA99" i="15" s="1"/>
  <c r="BG99" i="65" s="1"/>
  <c r="AG99" i="5" s="1"/>
  <c r="BO99" i="15"/>
  <c r="BR99" i="15" s="1"/>
  <c r="AQ99" i="65"/>
  <c r="K99" i="5" s="1"/>
  <c r="AR99" i="73" s="1"/>
  <c r="BV102" i="15"/>
  <c r="BY102" i="15" s="1"/>
  <c r="CE102" i="15" s="1"/>
  <c r="BO102" i="15"/>
  <c r="BR102" i="15" s="1"/>
  <c r="CB102" i="15"/>
  <c r="FT102" i="15"/>
  <c r="FC102" i="15" s="1"/>
  <c r="FB102" i="15" s="1"/>
  <c r="FA102" i="15" s="1"/>
  <c r="BG102" i="65" s="1"/>
  <c r="AG102" i="5" s="1"/>
  <c r="AQ102" i="65"/>
  <c r="K102" i="5" s="1"/>
  <c r="AR102" i="73" s="1"/>
  <c r="CB97" i="15"/>
  <c r="BV97" i="15"/>
  <c r="AQ97" i="65"/>
  <c r="K97" i="5" s="1"/>
  <c r="AR97" i="73" s="1"/>
  <c r="BY97" i="15"/>
  <c r="AT97" i="65" s="1"/>
  <c r="N97" i="5" s="1"/>
  <c r="BO97" i="15"/>
  <c r="BR97" i="15" s="1"/>
  <c r="FT97" i="15"/>
  <c r="FC97" i="15" s="1"/>
  <c r="FB97" i="15" s="1"/>
  <c r="FA97" i="15" s="1"/>
  <c r="BG97" i="65" s="1"/>
  <c r="AG97" i="5" s="1"/>
  <c r="BY114" i="15"/>
  <c r="AQ114" i="65"/>
  <c r="K114" i="5" s="1"/>
  <c r="AR114" i="73" s="1"/>
  <c r="FT114" i="15"/>
  <c r="FC114" i="15" s="1"/>
  <c r="FB114" i="15" s="1"/>
  <c r="FA114" i="15" s="1"/>
  <c r="BG114" i="65" s="1"/>
  <c r="AG114" i="5" s="1"/>
  <c r="BV114" i="15"/>
  <c r="BO114" i="15"/>
  <c r="BR114" i="15" s="1"/>
  <c r="CB114" i="15"/>
  <c r="CA91" i="15"/>
  <c r="AV91" i="65" s="1"/>
  <c r="P91" i="5" s="1"/>
  <c r="AW91" i="73" s="1"/>
  <c r="CD91" i="15"/>
  <c r="AS91" i="65"/>
  <c r="M91" i="5" s="1"/>
  <c r="BQ91" i="15"/>
  <c r="CA89" i="15"/>
  <c r="AV89" i="65" s="1"/>
  <c r="P89" i="5" s="1"/>
  <c r="AW89" i="73" s="1"/>
  <c r="BQ89" i="15"/>
  <c r="AS89" i="65"/>
  <c r="M89" i="5" s="1"/>
  <c r="CD89" i="15"/>
  <c r="BY101" i="15"/>
  <c r="AT101" i="65" s="1"/>
  <c r="N101" i="5" s="1"/>
  <c r="CB101" i="15"/>
  <c r="AQ101" i="65"/>
  <c r="K101" i="5" s="1"/>
  <c r="AR101" i="73" s="1"/>
  <c r="FT101" i="15"/>
  <c r="FC101" i="15" s="1"/>
  <c r="FB101" i="15" s="1"/>
  <c r="FA101" i="15" s="1"/>
  <c r="BG101" i="65" s="1"/>
  <c r="AG101" i="5" s="1"/>
  <c r="BO101" i="15"/>
  <c r="BR101" i="15" s="1"/>
  <c r="BV101" i="15"/>
  <c r="BQ55" i="15"/>
  <c r="CA55" i="15"/>
  <c r="AV55" i="65" s="1"/>
  <c r="P55" i="5" s="1"/>
  <c r="AW55" i="73" s="1"/>
  <c r="AS55" i="65"/>
  <c r="M55" i="5" s="1"/>
  <c r="CD55" i="15"/>
  <c r="FT67" i="15"/>
  <c r="AQ67" i="65"/>
  <c r="K67" i="5" s="1"/>
  <c r="CB67" i="15"/>
  <c r="BY67" i="15"/>
  <c r="AT67" i="65" s="1"/>
  <c r="N67" i="5" s="1"/>
  <c r="AU67" i="73" s="1"/>
  <c r="BO67" i="15"/>
  <c r="BV67" i="15"/>
  <c r="BV115" i="15"/>
  <c r="FT115" i="15"/>
  <c r="FC115" i="15" s="1"/>
  <c r="FB115" i="15" s="1"/>
  <c r="FA115" i="15" s="1"/>
  <c r="BG115" i="65" s="1"/>
  <c r="AG115" i="5" s="1"/>
  <c r="BY115" i="15"/>
  <c r="BO115" i="15"/>
  <c r="BR115" i="15" s="1"/>
  <c r="AQ115" i="65"/>
  <c r="K115" i="5" s="1"/>
  <c r="AR115" i="73" s="1"/>
  <c r="CB115" i="15"/>
  <c r="BO63" i="15"/>
  <c r="CB63" i="15"/>
  <c r="BV63" i="15"/>
  <c r="BY63" i="15"/>
  <c r="AT63" i="65" s="1"/>
  <c r="N63" i="5" s="1"/>
  <c r="AU63" i="73" s="1"/>
  <c r="AQ63" i="65"/>
  <c r="K63" i="5" s="1"/>
  <c r="FT63" i="15"/>
  <c r="BY117" i="15"/>
  <c r="CB117" i="15"/>
  <c r="BO117" i="15"/>
  <c r="BR117" i="15" s="1"/>
  <c r="BV117" i="15"/>
  <c r="AQ117" i="65"/>
  <c r="K117" i="5" s="1"/>
  <c r="AR117" i="73" s="1"/>
  <c r="FT117" i="15"/>
  <c r="FC117" i="15" s="1"/>
  <c r="FB117" i="15" s="1"/>
  <c r="FA117" i="15" s="1"/>
  <c r="BG117" i="65" s="1"/>
  <c r="AG117" i="5" s="1"/>
  <c r="BN105" i="15"/>
  <c r="BN109" i="15"/>
  <c r="BL123" i="15"/>
  <c r="BL93" i="15"/>
  <c r="BN121" i="15"/>
  <c r="BL121" i="15"/>
  <c r="BL105" i="15"/>
  <c r="BN125" i="15"/>
  <c r="BN93" i="15"/>
  <c r="BL47" i="15"/>
  <c r="BL66" i="15"/>
  <c r="BN79" i="15"/>
  <c r="BN61" i="15"/>
  <c r="DC268" i="15"/>
  <c r="AY268" i="65" s="1"/>
  <c r="AX268" i="65"/>
  <c r="AX163" i="65"/>
  <c r="DC163" i="15"/>
  <c r="AY163" i="65" s="1"/>
  <c r="AX172" i="65"/>
  <c r="DC172" i="15"/>
  <c r="AY172" i="65" s="1"/>
  <c r="DC188" i="15"/>
  <c r="AY188" i="65" s="1"/>
  <c r="AX188" i="65"/>
  <c r="AX179" i="65"/>
  <c r="DC179" i="15"/>
  <c r="AY179" i="65" s="1"/>
  <c r="DC208" i="15"/>
  <c r="AY208" i="65" s="1"/>
  <c r="AX208" i="65"/>
  <c r="DC164" i="15"/>
  <c r="AY164" i="65" s="1"/>
  <c r="AX164" i="65"/>
  <c r="AX176" i="65"/>
  <c r="DC176" i="15"/>
  <c r="AY176" i="65" s="1"/>
  <c r="AX219" i="65"/>
  <c r="DC219" i="15"/>
  <c r="AY219" i="65" s="1"/>
  <c r="AX323" i="65"/>
  <c r="DC323" i="15"/>
  <c r="AY323" i="65" s="1"/>
  <c r="AX322" i="65"/>
  <c r="DC322" i="15"/>
  <c r="AY322" i="65" s="1"/>
  <c r="AX266" i="65"/>
  <c r="DC266" i="15"/>
  <c r="AY266" i="65" s="1"/>
  <c r="AX212" i="65"/>
  <c r="DC212" i="15"/>
  <c r="AY212" i="65" s="1"/>
  <c r="DC264" i="15"/>
  <c r="AY264" i="65" s="1"/>
  <c r="AX264" i="65"/>
  <c r="AX251" i="65"/>
  <c r="DC251" i="15"/>
  <c r="AY251" i="65" s="1"/>
  <c r="AX235" i="65"/>
  <c r="DC235" i="15"/>
  <c r="AY235" i="65" s="1"/>
  <c r="DC346" i="15"/>
  <c r="AY346" i="65" s="1"/>
  <c r="AX346" i="65"/>
  <c r="DC236" i="15"/>
  <c r="AY236" i="65" s="1"/>
  <c r="AX236" i="65"/>
  <c r="AX283" i="65"/>
  <c r="DC283" i="15"/>
  <c r="AY283" i="65" s="1"/>
  <c r="DC256" i="15"/>
  <c r="AY256" i="65" s="1"/>
  <c r="AX256" i="65"/>
  <c r="FC159" i="15"/>
  <c r="FB159" i="15"/>
  <c r="FB304" i="15"/>
  <c r="FC304" i="15"/>
  <c r="FB239" i="15"/>
  <c r="FC239" i="15"/>
  <c r="FB287" i="15"/>
  <c r="FC287" i="15"/>
  <c r="FC272" i="15"/>
  <c r="FB272" i="15"/>
  <c r="AT327" i="65"/>
  <c r="DB327" i="15"/>
  <c r="FB325" i="15"/>
  <c r="FC325" i="15"/>
  <c r="FB112" i="15"/>
  <c r="FC112" i="15"/>
  <c r="FB280" i="15"/>
  <c r="FC280" i="15"/>
  <c r="FB275" i="15"/>
  <c r="FC275" i="15"/>
  <c r="DB98" i="15"/>
  <c r="BN107" i="15"/>
  <c r="BL109" i="15"/>
  <c r="BN123" i="15"/>
  <c r="BL107" i="15"/>
  <c r="BL125" i="15"/>
  <c r="BN47" i="15"/>
  <c r="BN66" i="15"/>
  <c r="BN62" i="15"/>
  <c r="BL62" i="15"/>
  <c r="BL79" i="15"/>
  <c r="AX216" i="65"/>
  <c r="DC216" i="15"/>
  <c r="AY216" i="65" s="1"/>
  <c r="AX223" i="65"/>
  <c r="DC223" i="15"/>
  <c r="AY223" i="65" s="1"/>
  <c r="DC288" i="15"/>
  <c r="AY288" i="65" s="1"/>
  <c r="AX288" i="65"/>
  <c r="AX271" i="65"/>
  <c r="DC271" i="15"/>
  <c r="AY271" i="65" s="1"/>
  <c r="AX224" i="65"/>
  <c r="DC224" i="15"/>
  <c r="AY224" i="65" s="1"/>
  <c r="AX254" i="65"/>
  <c r="DC254" i="15"/>
  <c r="AY254" i="65" s="1"/>
  <c r="AX248" i="65"/>
  <c r="DC248" i="15"/>
  <c r="AY248" i="65" s="1"/>
  <c r="DC148" i="15"/>
  <c r="AY148" i="65" s="1"/>
  <c r="AX148" i="65"/>
  <c r="AX222" i="65"/>
  <c r="DC222" i="15"/>
  <c r="AY222" i="65" s="1"/>
  <c r="DC238" i="15"/>
  <c r="AY238" i="65" s="1"/>
  <c r="AX238" i="65"/>
  <c r="AX274" i="65"/>
  <c r="DC274" i="15"/>
  <c r="AY274" i="65" s="1"/>
  <c r="AX142" i="65"/>
  <c r="DC142" i="15"/>
  <c r="AY142" i="65" s="1"/>
  <c r="DC151" i="15"/>
  <c r="AY151" i="65" s="1"/>
  <c r="AX151" i="65"/>
  <c r="DC184" i="15"/>
  <c r="AY184" i="65" s="1"/>
  <c r="AX184" i="65"/>
  <c r="AX207" i="65"/>
  <c r="DC207" i="15"/>
  <c r="AY207" i="65" s="1"/>
  <c r="FB331" i="15"/>
  <c r="FC331" i="15"/>
  <c r="FC103" i="15"/>
  <c r="FB103" i="15"/>
  <c r="DB103" i="15"/>
  <c r="AT103" i="65"/>
  <c r="FC327" i="15"/>
  <c r="FB327" i="15"/>
  <c r="DB175" i="15"/>
  <c r="AT175" i="65"/>
  <c r="FC175" i="15"/>
  <c r="FB175" i="15"/>
  <c r="FC173" i="15"/>
  <c r="FB173" i="15"/>
  <c r="FC171" i="15"/>
  <c r="FB171" i="15"/>
  <c r="DB111" i="15"/>
  <c r="DB85" i="15"/>
  <c r="BR269" i="15"/>
  <c r="BR255" i="15"/>
  <c r="AX275" i="65"/>
  <c r="DC275" i="15"/>
  <c r="AY275" i="65" s="1"/>
  <c r="CF116" i="15"/>
  <c r="BS116" i="15" s="1"/>
  <c r="AU116" i="65"/>
  <c r="O116" i="5" s="1"/>
  <c r="AV116" i="73" s="1"/>
  <c r="AX336" i="65"/>
  <c r="DC336" i="15"/>
  <c r="AY336" i="65" s="1"/>
  <c r="AX190" i="65"/>
  <c r="DC190" i="15"/>
  <c r="AY190" i="65" s="1"/>
  <c r="BT313" i="15"/>
  <c r="BS313" i="15" s="1"/>
  <c r="EV313" i="15"/>
  <c r="CH313" i="15" s="1"/>
  <c r="BU313" i="15"/>
  <c r="EW313" i="15"/>
  <c r="DC278" i="15"/>
  <c r="AY278" i="65" s="1"/>
  <c r="AX278" i="65"/>
  <c r="DC272" i="15"/>
  <c r="AY272" i="65" s="1"/>
  <c r="AX272" i="65"/>
  <c r="EW261" i="15"/>
  <c r="AX128" i="65"/>
  <c r="DC128" i="15"/>
  <c r="AY128" i="65" s="1"/>
  <c r="AX246" i="65"/>
  <c r="DC246" i="15"/>
  <c r="AY246" i="65" s="1"/>
  <c r="DC286" i="15"/>
  <c r="AY286" i="65" s="1"/>
  <c r="AX286" i="65"/>
  <c r="AU119" i="65"/>
  <c r="O119" i="5" s="1"/>
  <c r="AV119" i="73" s="1"/>
  <c r="CE119" i="15"/>
  <c r="ER119" i="15" s="1"/>
  <c r="CF119" i="15"/>
  <c r="DC214" i="15"/>
  <c r="AY214" i="65" s="1"/>
  <c r="AX214" i="65"/>
  <c r="DC242" i="15"/>
  <c r="AY242" i="65" s="1"/>
  <c r="AX242" i="65"/>
  <c r="DC280" i="15"/>
  <c r="AY280" i="65" s="1"/>
  <c r="AX280" i="65"/>
  <c r="DC328" i="15"/>
  <c r="AY328" i="65" s="1"/>
  <c r="AX328" i="65"/>
  <c r="DC134" i="15"/>
  <c r="AY134" i="65" s="1"/>
  <c r="AX134" i="65"/>
  <c r="EV261" i="15"/>
  <c r="CH261" i="15" s="1"/>
  <c r="BT261" i="15"/>
  <c r="BS261" i="15" s="1"/>
  <c r="BU261" i="15"/>
  <c r="DC206" i="15"/>
  <c r="AY206" i="65" s="1"/>
  <c r="AX206" i="65"/>
  <c r="AX210" i="65"/>
  <c r="DC210" i="15"/>
  <c r="AY210" i="65" s="1"/>
  <c r="DC304" i="15"/>
  <c r="AY304" i="65" s="1"/>
  <c r="AX304" i="65"/>
  <c r="CF122" i="15"/>
  <c r="EW122" i="15" s="1"/>
  <c r="AU122" i="65"/>
  <c r="O122" i="5" s="1"/>
  <c r="AV122" i="73" s="1"/>
  <c r="FA158" i="15"/>
  <c r="BG158" i="65" s="1"/>
  <c r="FC158" i="15"/>
  <c r="FB158" i="15"/>
  <c r="CF99" i="15"/>
  <c r="EW99" i="15" s="1"/>
  <c r="AU99" i="65"/>
  <c r="O99" i="5" s="1"/>
  <c r="AX116" i="65"/>
  <c r="R116" i="5" s="1"/>
  <c r="EW96" i="15"/>
  <c r="ER178" i="15"/>
  <c r="AU106" i="65"/>
  <c r="O106" i="5" s="1"/>
  <c r="AV106" i="73" s="1"/>
  <c r="CC68" i="15"/>
  <c r="FU68" i="15"/>
  <c r="FC68" i="15" s="1"/>
  <c r="FB68" i="15" s="1"/>
  <c r="FA68" i="15" s="1"/>
  <c r="BG68" i="65" s="1"/>
  <c r="AG68" i="5" s="1"/>
  <c r="BP68" i="15"/>
  <c r="AR68" i="65"/>
  <c r="L68" i="5" s="1"/>
  <c r="AR68" i="73" s="1"/>
  <c r="BZ68" i="15"/>
  <c r="BZ61" i="15"/>
  <c r="CE61" i="15" s="1"/>
  <c r="CC61" i="15"/>
  <c r="AR61" i="65"/>
  <c r="L61" i="5" s="1"/>
  <c r="FU61" i="15"/>
  <c r="BP61" i="15"/>
  <c r="AR48" i="65"/>
  <c r="L48" i="5" s="1"/>
  <c r="BZ48" i="15"/>
  <c r="AU48" i="65" s="1"/>
  <c r="O48" i="5" s="1"/>
  <c r="AV48" i="73" s="1"/>
  <c r="FU48" i="15"/>
  <c r="CC48" i="15"/>
  <c r="BP48" i="15"/>
  <c r="FU67" i="15"/>
  <c r="CC67" i="15"/>
  <c r="BZ67" i="15"/>
  <c r="CE67" i="15" s="1"/>
  <c r="AR67" i="65"/>
  <c r="L67" i="5" s="1"/>
  <c r="BP67" i="15"/>
  <c r="CU80" i="15"/>
  <c r="CS80" i="15"/>
  <c r="CV80" i="15"/>
  <c r="AW80" i="65"/>
  <c r="Q80" i="5" s="1"/>
  <c r="BA80" i="73" s="1"/>
  <c r="CT80" i="15"/>
  <c r="CR80" i="15"/>
  <c r="CW80" i="15"/>
  <c r="DF197" i="15"/>
  <c r="DI197" i="15" s="1"/>
  <c r="BB197" i="65" s="1"/>
  <c r="AW197" i="65"/>
  <c r="CU197" i="15"/>
  <c r="CS197" i="15"/>
  <c r="DD197" i="15"/>
  <c r="DG197" i="15" s="1"/>
  <c r="CT197" i="15"/>
  <c r="CR197" i="15"/>
  <c r="CV197" i="15"/>
  <c r="CW197" i="15"/>
  <c r="BP55" i="15"/>
  <c r="CC55" i="15"/>
  <c r="AR55" i="65"/>
  <c r="L55" i="5" s="1"/>
  <c r="BZ55" i="15"/>
  <c r="AU55" i="65" s="1"/>
  <c r="O55" i="5" s="1"/>
  <c r="AV55" i="73" s="1"/>
  <c r="FU55" i="15"/>
  <c r="AR91" i="65"/>
  <c r="L91" i="5" s="1"/>
  <c r="CC91" i="15"/>
  <c r="BZ91" i="15"/>
  <c r="FU91" i="15"/>
  <c r="FC91" i="15" s="1"/>
  <c r="FB91" i="15" s="1"/>
  <c r="FA91" i="15" s="1"/>
  <c r="BG91" i="65" s="1"/>
  <c r="AG91" i="5" s="1"/>
  <c r="BP91" i="15"/>
  <c r="FU90" i="15"/>
  <c r="FC90" i="15" s="1"/>
  <c r="FB90" i="15" s="1"/>
  <c r="FA90" i="15" s="1"/>
  <c r="BG90" i="65" s="1"/>
  <c r="AG90" i="5" s="1"/>
  <c r="CC90" i="15"/>
  <c r="BP90" i="15"/>
  <c r="AR90" i="65"/>
  <c r="L90" i="5" s="1"/>
  <c r="BZ90" i="15"/>
  <c r="BP42" i="15"/>
  <c r="AR42" i="65"/>
  <c r="L42" i="5" s="1"/>
  <c r="BZ42" i="15"/>
  <c r="FU42" i="15"/>
  <c r="CC42" i="15"/>
  <c r="FU63" i="15"/>
  <c r="BP63" i="15"/>
  <c r="CC63" i="15"/>
  <c r="BZ63" i="15"/>
  <c r="AR63" i="65"/>
  <c r="L63" i="5" s="1"/>
  <c r="AR89" i="65"/>
  <c r="L89" i="5" s="1"/>
  <c r="CC89" i="15"/>
  <c r="FU89" i="15"/>
  <c r="BZ89" i="15"/>
  <c r="BP89" i="15"/>
  <c r="BM93" i="15"/>
  <c r="BM121" i="15"/>
  <c r="BM105" i="15"/>
  <c r="BM109" i="15"/>
  <c r="BM123" i="15"/>
  <c r="BM107" i="15"/>
  <c r="BM125" i="15"/>
  <c r="BM47" i="15"/>
  <c r="BM66" i="15"/>
  <c r="BM79" i="15"/>
  <c r="BU187" i="15"/>
  <c r="EV187" i="15"/>
  <c r="CH187" i="15" s="1"/>
  <c r="BT187" i="15"/>
  <c r="EV164" i="15"/>
  <c r="CH164" i="15" s="1"/>
  <c r="BT164" i="15"/>
  <c r="BS164" i="15" s="1"/>
  <c r="BU164" i="15"/>
  <c r="EW124" i="15"/>
  <c r="EV215" i="15"/>
  <c r="BT215" i="15"/>
  <c r="BS215" i="15" s="1"/>
  <c r="BU215" i="15"/>
  <c r="CE158" i="15"/>
  <c r="ER158" i="15" s="1"/>
  <c r="AU158" i="65"/>
  <c r="CF158" i="15"/>
  <c r="BT100" i="15"/>
  <c r="BS100" i="15" s="1"/>
  <c r="EV100" i="15"/>
  <c r="CH100" i="15" s="1"/>
  <c r="BU100" i="15"/>
  <c r="DF189" i="15"/>
  <c r="DI189" i="15" s="1"/>
  <c r="BB189" i="65" s="1"/>
  <c r="DD189" i="15"/>
  <c r="DG189" i="15" s="1"/>
  <c r="DE189" i="15"/>
  <c r="DH189" i="15" s="1"/>
  <c r="AW189" i="65"/>
  <c r="CU189" i="15"/>
  <c r="CR189" i="15"/>
  <c r="CS189" i="15"/>
  <c r="CT189" i="15"/>
  <c r="CW189" i="15"/>
  <c r="CV189" i="15"/>
  <c r="DF179" i="15"/>
  <c r="DI179" i="15" s="1"/>
  <c r="BB179" i="65" s="1"/>
  <c r="DD179" i="15"/>
  <c r="DG179" i="15" s="1"/>
  <c r="DE179" i="15"/>
  <c r="DH179" i="15" s="1"/>
  <c r="CV179" i="15"/>
  <c r="CW179" i="15"/>
  <c r="CU179" i="15"/>
  <c r="CR179" i="15"/>
  <c r="AW179" i="65"/>
  <c r="CT179" i="15"/>
  <c r="CS179" i="15"/>
  <c r="BU87" i="15"/>
  <c r="BT87" i="15"/>
  <c r="EV87" i="15"/>
  <c r="CH87" i="15" s="1"/>
  <c r="EW263" i="15"/>
  <c r="EW81" i="15"/>
  <c r="EW191" i="15"/>
  <c r="BT191" i="15"/>
  <c r="BS191" i="15" s="1"/>
  <c r="BU191" i="15"/>
  <c r="EV191" i="15"/>
  <c r="CH191" i="15" s="1"/>
  <c r="DD165" i="15"/>
  <c r="DG165" i="15" s="1"/>
  <c r="DE165" i="15"/>
  <c r="DH165" i="15" s="1"/>
  <c r="DF165" i="15"/>
  <c r="DI165" i="15" s="1"/>
  <c r="BB165" i="65" s="1"/>
  <c r="CT165" i="15"/>
  <c r="CW165" i="15"/>
  <c r="AW165" i="65"/>
  <c r="CU165" i="15"/>
  <c r="CS165" i="15"/>
  <c r="CV165" i="15"/>
  <c r="CR165" i="15"/>
  <c r="CE298" i="15"/>
  <c r="ER298" i="15" s="1"/>
  <c r="AU298" i="65"/>
  <c r="FA278" i="15"/>
  <c r="BG278" i="65" s="1"/>
  <c r="FC278" i="15"/>
  <c r="FB278" i="15"/>
  <c r="FA296" i="15"/>
  <c r="BG296" i="65" s="1"/>
  <c r="FC296" i="15"/>
  <c r="FB296" i="15"/>
  <c r="CE312" i="15"/>
  <c r="ER312" i="15" s="1"/>
  <c r="AU312" i="65"/>
  <c r="CF312" i="15"/>
  <c r="FA312" i="15"/>
  <c r="BG312" i="65" s="1"/>
  <c r="FB312" i="15"/>
  <c r="FC312" i="15"/>
  <c r="CF282" i="15"/>
  <c r="CE282" i="15"/>
  <c r="ER282" i="15" s="1"/>
  <c r="AU282" i="65"/>
  <c r="CF300" i="15"/>
  <c r="CE300" i="15"/>
  <c r="ER300" i="15" s="1"/>
  <c r="AU300" i="65"/>
  <c r="FA142" i="15"/>
  <c r="BG142" i="65" s="1"/>
  <c r="FB142" i="15"/>
  <c r="FC142" i="15"/>
  <c r="CF142" i="15"/>
  <c r="AU142" i="65"/>
  <c r="CE142" i="15"/>
  <c r="ER142" i="15" s="1"/>
  <c r="CF286" i="15"/>
  <c r="CE286" i="15"/>
  <c r="ER286" i="15" s="1"/>
  <c r="AU286" i="65"/>
  <c r="AU290" i="65"/>
  <c r="CE290" i="15"/>
  <c r="ER290" i="15" s="1"/>
  <c r="CF290" i="15"/>
  <c r="DB90" i="15"/>
  <c r="BM62" i="15"/>
  <c r="EW187" i="15"/>
  <c r="BS187" i="15"/>
  <c r="EV169" i="15"/>
  <c r="BT169" i="15"/>
  <c r="BU169" i="15"/>
  <c r="EW169" i="15"/>
  <c r="CH169" i="15"/>
  <c r="BS169" i="15"/>
  <c r="EW164" i="15"/>
  <c r="BT124" i="15"/>
  <c r="BS124" i="15" s="1"/>
  <c r="EV124" i="15"/>
  <c r="CH124" i="15" s="1"/>
  <c r="BU124" i="15"/>
  <c r="CH215" i="15"/>
  <c r="EW215" i="15"/>
  <c r="EW150" i="15"/>
  <c r="BT150" i="15"/>
  <c r="BS150" i="15" s="1"/>
  <c r="EV150" i="15"/>
  <c r="CH150" i="15" s="1"/>
  <c r="BU150" i="15"/>
  <c r="BU143" i="15"/>
  <c r="BT143" i="15"/>
  <c r="BS143" i="15" s="1"/>
  <c r="EV143" i="15"/>
  <c r="CH143" i="15"/>
  <c r="EW143" i="15"/>
  <c r="EW100" i="15"/>
  <c r="BT259" i="15"/>
  <c r="BS259" i="15" s="1"/>
  <c r="BU259" i="15"/>
  <c r="EV259" i="15"/>
  <c r="CH259" i="15" s="1"/>
  <c r="EW259" i="15"/>
  <c r="DF177" i="15"/>
  <c r="DI177" i="15" s="1"/>
  <c r="BB177" i="65" s="1"/>
  <c r="DD177" i="15"/>
  <c r="DG177" i="15" s="1"/>
  <c r="CW177" i="15"/>
  <c r="CT177" i="15"/>
  <c r="CS177" i="15"/>
  <c r="CR177" i="15"/>
  <c r="CU177" i="15"/>
  <c r="AW177" i="65"/>
  <c r="CV177" i="15"/>
  <c r="DD195" i="15"/>
  <c r="DG195" i="15" s="1"/>
  <c r="DE195" i="15"/>
  <c r="DH195" i="15" s="1"/>
  <c r="CS195" i="15"/>
  <c r="AW195" i="65"/>
  <c r="CR195" i="15"/>
  <c r="CW195" i="15"/>
  <c r="CV195" i="15"/>
  <c r="CT195" i="15"/>
  <c r="CU195" i="15"/>
  <c r="EW87" i="15"/>
  <c r="EW211" i="15"/>
  <c r="EV211" i="15"/>
  <c r="CH211" i="15" s="1"/>
  <c r="BT211" i="15"/>
  <c r="BS211" i="15" s="1"/>
  <c r="BU211" i="15"/>
  <c r="BU263" i="15"/>
  <c r="EV263" i="15"/>
  <c r="CH263" i="15" s="1"/>
  <c r="BT263" i="15"/>
  <c r="BS263" i="15" s="1"/>
  <c r="EW153" i="15"/>
  <c r="BU153" i="15"/>
  <c r="EV153" i="15"/>
  <c r="CH153" i="15" s="1"/>
  <c r="BT153" i="15"/>
  <c r="BS153" i="15" s="1"/>
  <c r="BT81" i="15"/>
  <c r="BS81" i="15" s="1"/>
  <c r="BU81" i="15"/>
  <c r="EV81" i="15"/>
  <c r="CH81" i="15" s="1"/>
  <c r="DD205" i="15"/>
  <c r="DG205" i="15" s="1"/>
  <c r="DE205" i="15"/>
  <c r="DH205" i="15" s="1"/>
  <c r="DF205" i="15"/>
  <c r="DI205" i="15" s="1"/>
  <c r="BB205" i="65" s="1"/>
  <c r="CT205" i="15"/>
  <c r="CU205" i="15"/>
  <c r="CR205" i="15"/>
  <c r="CS205" i="15"/>
  <c r="CW205" i="15"/>
  <c r="AW205" i="65"/>
  <c r="CV205" i="15"/>
  <c r="FA298" i="15"/>
  <c r="BG298" i="65" s="1"/>
  <c r="FB298" i="15"/>
  <c r="FC298" i="15"/>
  <c r="AU278" i="65"/>
  <c r="CF278" i="15"/>
  <c r="CE278" i="15"/>
  <c r="ER278" i="15" s="1"/>
  <c r="CF296" i="15"/>
  <c r="AU296" i="65"/>
  <c r="CE296" i="15"/>
  <c r="ER296" i="15" s="1"/>
  <c r="FA132" i="15"/>
  <c r="BG132" i="65" s="1"/>
  <c r="FC132" i="15"/>
  <c r="FA282" i="15"/>
  <c r="BG282" i="65" s="1"/>
  <c r="FC282" i="15"/>
  <c r="FB282" i="15"/>
  <c r="FA286" i="15"/>
  <c r="BG286" i="65" s="1"/>
  <c r="FC286" i="15"/>
  <c r="FB286" i="15"/>
  <c r="CF274" i="15"/>
  <c r="AU274" i="65"/>
  <c r="CE274" i="15"/>
  <c r="ER274" i="15" s="1"/>
  <c r="FA274" i="15"/>
  <c r="BG274" i="65" s="1"/>
  <c r="FB274" i="15"/>
  <c r="FC274" i="15"/>
  <c r="FA290" i="15"/>
  <c r="BG290" i="65" s="1"/>
  <c r="FB290" i="15"/>
  <c r="FC290" i="15"/>
  <c r="AX255" i="65"/>
  <c r="DC255" i="15"/>
  <c r="AY255" i="65" s="1"/>
  <c r="AX112" i="65"/>
  <c r="DC112" i="15"/>
  <c r="AY112" i="65" s="1"/>
  <c r="DC82" i="15"/>
  <c r="AY82" i="65" s="1"/>
  <c r="AX82" i="65"/>
  <c r="AX81" i="65"/>
  <c r="DC81" i="15"/>
  <c r="AY81" i="65" s="1"/>
  <c r="AX287" i="65"/>
  <c r="DC287" i="15"/>
  <c r="AY287" i="65" s="1"/>
  <c r="AX331" i="65"/>
  <c r="DC331" i="15"/>
  <c r="AY331" i="65" s="1"/>
  <c r="DC267" i="15"/>
  <c r="AY267" i="65" s="1"/>
  <c r="AX267" i="65"/>
  <c r="DC239" i="15"/>
  <c r="AY239" i="65" s="1"/>
  <c r="AX239" i="65"/>
  <c r="DC213" i="15"/>
  <c r="AY213" i="65" s="1"/>
  <c r="AX213" i="65"/>
  <c r="AX159" i="65"/>
  <c r="DC159" i="15"/>
  <c r="AY159" i="65" s="1"/>
  <c r="CS233" i="15"/>
  <c r="CV233" i="15"/>
  <c r="CU233" i="15"/>
  <c r="CR233" i="15"/>
  <c r="CT233" i="15"/>
  <c r="AW233" i="65"/>
  <c r="CW233" i="15"/>
  <c r="DF156" i="15"/>
  <c r="DI156" i="15" s="1"/>
  <c r="BB156" i="65" s="1"/>
  <c r="DE131" i="15"/>
  <c r="DH131" i="15" s="1"/>
  <c r="DF277" i="15"/>
  <c r="DI277" i="15" s="1"/>
  <c r="BB277" i="65" s="1"/>
  <c r="DE283" i="15"/>
  <c r="DH283" i="15" s="1"/>
  <c r="DE284" i="15"/>
  <c r="DH284" i="15" s="1"/>
  <c r="DF284" i="15"/>
  <c r="DI284" i="15" s="1"/>
  <c r="BB284" i="65" s="1"/>
  <c r="DF297" i="15"/>
  <c r="DI297" i="15" s="1"/>
  <c r="BB297" i="65" s="1"/>
  <c r="DF337" i="15"/>
  <c r="DI337" i="15" s="1"/>
  <c r="BB337" i="65" s="1"/>
  <c r="DD343" i="15"/>
  <c r="DG343" i="15" s="1"/>
  <c r="DE343" i="15"/>
  <c r="DH343" i="15" s="1"/>
  <c r="CV88" i="15"/>
  <c r="DF155" i="15"/>
  <c r="DI155" i="15" s="1"/>
  <c r="BB155" i="65" s="1"/>
  <c r="DE170" i="15"/>
  <c r="DH170" i="15" s="1"/>
  <c r="DE149" i="15"/>
  <c r="DH149" i="15" s="1"/>
  <c r="DE151" i="15"/>
  <c r="DH151" i="15" s="1"/>
  <c r="DF171" i="15"/>
  <c r="DI171" i="15" s="1"/>
  <c r="BB171" i="65" s="1"/>
  <c r="DE138" i="15"/>
  <c r="DH138" i="15" s="1"/>
  <c r="DF138" i="15"/>
  <c r="DI138" i="15" s="1"/>
  <c r="BB138" i="65" s="1"/>
  <c r="DD152" i="15"/>
  <c r="DG152" i="15" s="1"/>
  <c r="DE173" i="15"/>
  <c r="DH173" i="15" s="1"/>
  <c r="DD303" i="15"/>
  <c r="DG303" i="15" s="1"/>
  <c r="DE303" i="15"/>
  <c r="DH303" i="15" s="1"/>
  <c r="DF309" i="15"/>
  <c r="DI309" i="15" s="1"/>
  <c r="BB309" i="65" s="1"/>
  <c r="DF295" i="15"/>
  <c r="DI295" i="15" s="1"/>
  <c r="BB295" i="65" s="1"/>
  <c r="DE292" i="15"/>
  <c r="DH292" i="15" s="1"/>
  <c r="DF287" i="15"/>
  <c r="DI287" i="15" s="1"/>
  <c r="BB287" i="65" s="1"/>
  <c r="DF335" i="15"/>
  <c r="DI335" i="15" s="1"/>
  <c r="BB335" i="65" s="1"/>
  <c r="DD307" i="15"/>
  <c r="DG307" i="15" s="1"/>
  <c r="Z150" i="5"/>
  <c r="Z167" i="5"/>
  <c r="Z163" i="5"/>
  <c r="Z253" i="5"/>
  <c r="BU216" i="15"/>
  <c r="BT216" i="15"/>
  <c r="EV216" i="15"/>
  <c r="BU192" i="15"/>
  <c r="BT192" i="15"/>
  <c r="BS192" i="15" s="1"/>
  <c r="EV192" i="15"/>
  <c r="CH192" i="15" s="1"/>
  <c r="EW192" i="15"/>
  <c r="BT232" i="15"/>
  <c r="BS232" i="15" s="1"/>
  <c r="BU232" i="15"/>
  <c r="EV232" i="15"/>
  <c r="CH232" i="15" s="1"/>
  <c r="DC249" i="15"/>
  <c r="AY249" i="65" s="1"/>
  <c r="AX249" i="65"/>
  <c r="DC325" i="15"/>
  <c r="AY325" i="65" s="1"/>
  <c r="AX325" i="65"/>
  <c r="EV326" i="15"/>
  <c r="BU326" i="15"/>
  <c r="BT326" i="15"/>
  <c r="BS326" i="15" s="1"/>
  <c r="EW326" i="15"/>
  <c r="CH326" i="15"/>
  <c r="AW337" i="65"/>
  <c r="CS337" i="15"/>
  <c r="CR337" i="15"/>
  <c r="DE337" i="15"/>
  <c r="DH337" i="15" s="1"/>
  <c r="CV337" i="15"/>
  <c r="CW337" i="15"/>
  <c r="CU337" i="15"/>
  <c r="CT337" i="15"/>
  <c r="DD337" i="15"/>
  <c r="DG337" i="15" s="1"/>
  <c r="BT190" i="15"/>
  <c r="BS190" i="15" s="1"/>
  <c r="BU190" i="15"/>
  <c r="EV190" i="15"/>
  <c r="CH190" i="15" s="1"/>
  <c r="BU230" i="15"/>
  <c r="BT230" i="15"/>
  <c r="BS230" i="15" s="1"/>
  <c r="EV230" i="15"/>
  <c r="CH230" i="15" s="1"/>
  <c r="Z245" i="5"/>
  <c r="AX289" i="65"/>
  <c r="DC289" i="15"/>
  <c r="AY289" i="65" s="1"/>
  <c r="EV342" i="15"/>
  <c r="CH342" i="15" s="1"/>
  <c r="BT342" i="15"/>
  <c r="BS342" i="15" s="1"/>
  <c r="BU342" i="15"/>
  <c r="DC171" i="15"/>
  <c r="AY171" i="65" s="1"/>
  <c r="AX171" i="65"/>
  <c r="EW210" i="15"/>
  <c r="BT210" i="15"/>
  <c r="BS210" i="15" s="1"/>
  <c r="BU210" i="15"/>
  <c r="EV210" i="15"/>
  <c r="CH210" i="15" s="1"/>
  <c r="BU242" i="15"/>
  <c r="BT242" i="15"/>
  <c r="BS242" i="15" s="1"/>
  <c r="EV242" i="15"/>
  <c r="CH242" i="15" s="1"/>
  <c r="AX257" i="65"/>
  <c r="DC257" i="15"/>
  <c r="AY257" i="65" s="1"/>
  <c r="Z237" i="5"/>
  <c r="AX193" i="65"/>
  <c r="DC193" i="15"/>
  <c r="AY193" i="65" s="1"/>
  <c r="EW256" i="15"/>
  <c r="DC133" i="15"/>
  <c r="AY133" i="65" s="1"/>
  <c r="AX133" i="65"/>
  <c r="AX253" i="65"/>
  <c r="DC253" i="15"/>
  <c r="AY253" i="65" s="1"/>
  <c r="EW264" i="15"/>
  <c r="EW162" i="15"/>
  <c r="DC279" i="15"/>
  <c r="AY279" i="65" s="1"/>
  <c r="AX279" i="65"/>
  <c r="BU202" i="15"/>
  <c r="EV202" i="15"/>
  <c r="CH202" i="15" s="1"/>
  <c r="BT202" i="15"/>
  <c r="BS202" i="15" s="1"/>
  <c r="BU234" i="15"/>
  <c r="BT234" i="15"/>
  <c r="EV234" i="15"/>
  <c r="CH234" i="15" s="1"/>
  <c r="BU268" i="15"/>
  <c r="EV268" i="15"/>
  <c r="BT268" i="15"/>
  <c r="BS268" i="15" s="1"/>
  <c r="CH268" i="15"/>
  <c r="EW268" i="15"/>
  <c r="BT336" i="15"/>
  <c r="BS336" i="15" s="1"/>
  <c r="EV336" i="15"/>
  <c r="BU336" i="15"/>
  <c r="EW188" i="15"/>
  <c r="BT206" i="15"/>
  <c r="BS206" i="15" s="1"/>
  <c r="BU206" i="15"/>
  <c r="EV206" i="15"/>
  <c r="CH206" i="15" s="1"/>
  <c r="EW206" i="15"/>
  <c r="EV244" i="15"/>
  <c r="CH244" i="15" s="1"/>
  <c r="BU244" i="15"/>
  <c r="BT244" i="15"/>
  <c r="BS244" i="15" s="1"/>
  <c r="EV266" i="15"/>
  <c r="CH266" i="15" s="1"/>
  <c r="BT266" i="15"/>
  <c r="BS266" i="15" s="1"/>
  <c r="BU266" i="15"/>
  <c r="DC281" i="15"/>
  <c r="AY281" i="65" s="1"/>
  <c r="AX281" i="65"/>
  <c r="EV322" i="15"/>
  <c r="CH322" i="15" s="1"/>
  <c r="BU322" i="15"/>
  <c r="BT322" i="15"/>
  <c r="BS322" i="15" s="1"/>
  <c r="EW322" i="15"/>
  <c r="AX341" i="65"/>
  <c r="DC341" i="15"/>
  <c r="AY341" i="65" s="1"/>
  <c r="BT144" i="15"/>
  <c r="BS144" i="15" s="1"/>
  <c r="EV144" i="15"/>
  <c r="BU144" i="15"/>
  <c r="BU160" i="15"/>
  <c r="EV160" i="15"/>
  <c r="BT160" i="15"/>
  <c r="BS160" i="15" s="1"/>
  <c r="DC217" i="15"/>
  <c r="AY217" i="65" s="1"/>
  <c r="AX217" i="65"/>
  <c r="AX199" i="65"/>
  <c r="DC199" i="15"/>
  <c r="AY199" i="65" s="1"/>
  <c r="EW184" i="15"/>
  <c r="BT250" i="15"/>
  <c r="BS250" i="15" s="1"/>
  <c r="EV250" i="15"/>
  <c r="CH250" i="15" s="1"/>
  <c r="BU250" i="15"/>
  <c r="AX83" i="65"/>
  <c r="R83" i="5" s="1"/>
  <c r="DC83" i="15"/>
  <c r="AY83" i="65" s="1"/>
  <c r="S83" i="5" s="1"/>
  <c r="EV226" i="15"/>
  <c r="CH226" i="15" s="1"/>
  <c r="BU226" i="15"/>
  <c r="BT226" i="15"/>
  <c r="BS226" i="15" s="1"/>
  <c r="DC261" i="15"/>
  <c r="AY261" i="65" s="1"/>
  <c r="AX261" i="65"/>
  <c r="BT344" i="15"/>
  <c r="EV344" i="15"/>
  <c r="CH344" i="15" s="1"/>
  <c r="BU344" i="15"/>
  <c r="AX137" i="65"/>
  <c r="DC137" i="15"/>
  <c r="AY137" i="65" s="1"/>
  <c r="AX161" i="65"/>
  <c r="DC161" i="15"/>
  <c r="AY161" i="65" s="1"/>
  <c r="BT180" i="15"/>
  <c r="BS180" i="15" s="1"/>
  <c r="BU180" i="15"/>
  <c r="EV180" i="15"/>
  <c r="CH180" i="15" s="1"/>
  <c r="EW180" i="15"/>
  <c r="BT236" i="15"/>
  <c r="BS236" i="15" s="1"/>
  <c r="BU236" i="15"/>
  <c r="EV236" i="15"/>
  <c r="CH236" i="15" s="1"/>
  <c r="EW236" i="15"/>
  <c r="EW252" i="15"/>
  <c r="DC309" i="15"/>
  <c r="AY309" i="65" s="1"/>
  <c r="AX309" i="65"/>
  <c r="EW82" i="15"/>
  <c r="AX243" i="65"/>
  <c r="DC243" i="15"/>
  <c r="AY243" i="65" s="1"/>
  <c r="EW84" i="15"/>
  <c r="AT42" i="65"/>
  <c r="N42" i="5" s="1"/>
  <c r="AU42" i="73" s="1"/>
  <c r="EW102" i="15"/>
  <c r="DC209" i="15"/>
  <c r="AY209" i="65" s="1"/>
  <c r="AX209" i="65"/>
  <c r="DC269" i="15"/>
  <c r="AY269" i="65" s="1"/>
  <c r="AX269" i="65"/>
  <c r="EW306" i="15"/>
  <c r="AX313" i="65"/>
  <c r="DC313" i="15"/>
  <c r="AY313" i="65" s="1"/>
  <c r="BU332" i="15"/>
  <c r="BT332" i="15"/>
  <c r="BS332" i="15" s="1"/>
  <c r="EV332" i="15"/>
  <c r="CH332" i="15" s="1"/>
  <c r="AX153" i="65"/>
  <c r="DC153" i="15"/>
  <c r="AY153" i="65" s="1"/>
  <c r="AX173" i="65"/>
  <c r="DC173" i="15"/>
  <c r="AY173" i="65" s="1"/>
  <c r="EW254" i="15"/>
  <c r="EW318" i="15"/>
  <c r="EW128" i="15"/>
  <c r="BU132" i="15"/>
  <c r="BT132" i="15"/>
  <c r="BS132" i="15" s="1"/>
  <c r="EV132" i="15"/>
  <c r="CH132" i="15" s="1"/>
  <c r="EW132" i="15"/>
  <c r="EW168" i="15"/>
  <c r="BU168" i="15"/>
  <c r="BT168" i="15"/>
  <c r="BS168" i="15" s="1"/>
  <c r="EV168" i="15"/>
  <c r="CH168" i="15" s="1"/>
  <c r="AX299" i="65"/>
  <c r="DC299" i="15"/>
  <c r="AY299" i="65" s="1"/>
  <c r="AX231" i="65"/>
  <c r="DC231" i="15"/>
  <c r="AY231" i="65" s="1"/>
  <c r="CR335" i="15"/>
  <c r="AW335" i="65"/>
  <c r="CS335" i="15"/>
  <c r="DD335" i="15"/>
  <c r="DG335" i="15" s="1"/>
  <c r="CT335" i="15"/>
  <c r="CW335" i="15"/>
  <c r="CU335" i="15"/>
  <c r="CV335" i="15"/>
  <c r="DE335" i="15"/>
  <c r="DH335" i="15" s="1"/>
  <c r="EW178" i="15"/>
  <c r="Z241" i="5"/>
  <c r="EW176" i="15"/>
  <c r="EV186" i="15"/>
  <c r="CH186" i="15" s="1"/>
  <c r="BT186" i="15"/>
  <c r="BS186" i="15" s="1"/>
  <c r="BU186" i="15"/>
  <c r="AX233" i="65"/>
  <c r="DE233" i="15"/>
  <c r="DH233" i="15" s="1"/>
  <c r="DC233" i="15"/>
  <c r="AY233" i="65" s="1"/>
  <c r="DD233" i="15"/>
  <c r="DG233" i="15" s="1"/>
  <c r="DF233" i="15"/>
  <c r="DI233" i="15" s="1"/>
  <c r="BB233" i="65" s="1"/>
  <c r="DC285" i="15"/>
  <c r="AY285" i="65" s="1"/>
  <c r="AX285" i="65"/>
  <c r="EW338" i="15"/>
  <c r="BT338" i="15"/>
  <c r="BS338" i="15" s="1"/>
  <c r="BU338" i="15"/>
  <c r="EV338" i="15"/>
  <c r="CH338" i="15" s="1"/>
  <c r="AX149" i="65"/>
  <c r="DC149" i="15"/>
  <c r="AY149" i="65" s="1"/>
  <c r="EW196" i="15"/>
  <c r="BT220" i="15"/>
  <c r="BS220" i="15" s="1"/>
  <c r="BU220" i="15"/>
  <c r="EV220" i="15"/>
  <c r="CH220" i="15" s="1"/>
  <c r="DC221" i="15"/>
  <c r="AY221" i="65" s="1"/>
  <c r="AX221" i="65"/>
  <c r="EW228" i="15"/>
  <c r="DC237" i="15"/>
  <c r="AY237" i="65" s="1"/>
  <c r="AX237" i="65"/>
  <c r="EW246" i="15"/>
  <c r="AW323" i="65"/>
  <c r="CS323" i="15"/>
  <c r="CR323" i="15"/>
  <c r="CW323" i="15"/>
  <c r="DD323" i="15"/>
  <c r="DG323" i="15" s="1"/>
  <c r="CV323" i="15"/>
  <c r="CU323" i="15"/>
  <c r="DE323" i="15"/>
  <c r="DH323" i="15" s="1"/>
  <c r="CT323" i="15"/>
  <c r="DF323" i="15"/>
  <c r="DI323" i="15" s="1"/>
  <c r="BB323" i="65" s="1"/>
  <c r="EV174" i="15"/>
  <c r="BU174" i="15"/>
  <c r="BT174" i="15"/>
  <c r="BS174" i="15" s="1"/>
  <c r="EW174" i="15"/>
  <c r="CH174" i="15"/>
  <c r="DC339" i="15"/>
  <c r="AY339" i="65" s="1"/>
  <c r="AX339" i="65"/>
  <c r="DC195" i="15"/>
  <c r="AY195" i="65" s="1"/>
  <c r="AX195" i="65"/>
  <c r="DC227" i="15"/>
  <c r="AY227" i="65" s="1"/>
  <c r="AX227" i="65"/>
  <c r="Z221" i="5"/>
  <c r="EV260" i="15"/>
  <c r="CH260" i="15" s="1"/>
  <c r="BU260" i="15"/>
  <c r="BT260" i="15"/>
  <c r="BS260" i="15" s="1"/>
  <c r="EW260" i="15"/>
  <c r="BU294" i="15"/>
  <c r="BT294" i="15"/>
  <c r="BS294" i="15" s="1"/>
  <c r="EV294" i="15"/>
  <c r="CH294" i="15" s="1"/>
  <c r="EW294" i="15"/>
  <c r="AX337" i="65"/>
  <c r="DC337" i="15"/>
  <c r="AY337" i="65" s="1"/>
  <c r="BT346" i="15"/>
  <c r="BS346" i="15" s="1"/>
  <c r="EV346" i="15"/>
  <c r="BU346" i="15"/>
  <c r="DC129" i="15"/>
  <c r="AY129" i="65" s="1"/>
  <c r="AX129" i="65"/>
  <c r="DC197" i="15"/>
  <c r="AY197" i="65" s="1"/>
  <c r="AX197" i="65"/>
  <c r="EW204" i="15"/>
  <c r="EW316" i="15"/>
  <c r="AX317" i="65"/>
  <c r="DC317" i="15"/>
  <c r="AY317" i="65" s="1"/>
  <c r="EW340" i="15"/>
  <c r="BU148" i="15"/>
  <c r="BT148" i="15"/>
  <c r="BS148" i="15" s="1"/>
  <c r="EV148" i="15"/>
  <c r="CH148" i="15" s="1"/>
  <c r="EW208" i="15"/>
  <c r="EW218" i="15"/>
  <c r="Z213" i="5"/>
  <c r="EV200" i="15"/>
  <c r="CH200" i="15" s="1"/>
  <c r="BT200" i="15"/>
  <c r="BS200" i="15" s="1"/>
  <c r="BU200" i="15"/>
  <c r="AX277" i="65"/>
  <c r="DC277" i="15"/>
  <c r="AY277" i="65" s="1"/>
  <c r="AX293" i="65"/>
  <c r="DC293" i="15"/>
  <c r="AY293" i="65" s="1"/>
  <c r="EW324" i="15"/>
  <c r="DC333" i="15"/>
  <c r="AY333" i="65" s="1"/>
  <c r="AX333" i="65"/>
  <c r="EW182" i="15"/>
  <c r="BT182" i="15"/>
  <c r="BS182" i="15" s="1"/>
  <c r="EV182" i="15"/>
  <c r="CH182" i="15" s="1"/>
  <c r="BU182" i="15"/>
  <c r="AX189" i="65"/>
  <c r="DC189" i="15"/>
  <c r="AY189" i="65" s="1"/>
  <c r="BU198" i="15"/>
  <c r="EV198" i="15"/>
  <c r="BT198" i="15"/>
  <c r="BS198" i="15" s="1"/>
  <c r="BU212" i="15"/>
  <c r="EV212" i="15"/>
  <c r="CH212" i="15" s="1"/>
  <c r="BT212" i="15"/>
  <c r="EW222" i="15"/>
  <c r="BU258" i="15"/>
  <c r="BT258" i="15"/>
  <c r="BS258" i="15" s="1"/>
  <c r="EV258" i="15"/>
  <c r="EW308" i="15"/>
  <c r="EW348" i="15"/>
  <c r="AX349" i="65"/>
  <c r="DC349" i="15"/>
  <c r="AY349" i="65" s="1"/>
  <c r="CW307" i="15"/>
  <c r="AW307" i="65"/>
  <c r="CU307" i="15"/>
  <c r="CS307" i="15"/>
  <c r="CV307" i="15"/>
  <c r="DE307" i="15"/>
  <c r="DH307" i="15" s="1"/>
  <c r="CT307" i="15"/>
  <c r="DF307" i="15"/>
  <c r="DI307" i="15" s="1"/>
  <c r="BB307" i="65" s="1"/>
  <c r="CR307" i="15"/>
  <c r="EV134" i="15"/>
  <c r="CH134" i="15" s="1"/>
  <c r="BT134" i="15"/>
  <c r="BS134" i="15" s="1"/>
  <c r="BU134" i="15"/>
  <c r="DC263" i="15"/>
  <c r="AY263" i="65" s="1"/>
  <c r="AX263" i="65"/>
  <c r="EW216" i="15"/>
  <c r="BS216" i="15"/>
  <c r="CH216" i="15"/>
  <c r="BU224" i="15"/>
  <c r="BT224" i="15"/>
  <c r="EV224" i="15"/>
  <c r="CH224" i="15" s="1"/>
  <c r="EW224" i="15"/>
  <c r="BS224" i="15"/>
  <c r="BU194" i="15"/>
  <c r="EV194" i="15"/>
  <c r="BT194" i="15"/>
  <c r="BS194" i="15" s="1"/>
  <c r="CH194" i="15"/>
  <c r="EW194" i="15"/>
  <c r="EW232" i="15"/>
  <c r="EW190" i="15"/>
  <c r="BT214" i="15"/>
  <c r="EV214" i="15"/>
  <c r="CH214" i="15" s="1"/>
  <c r="BU214" i="15"/>
  <c r="BS214" i="15"/>
  <c r="EW214" i="15"/>
  <c r="EW230" i="15"/>
  <c r="EW342" i="15"/>
  <c r="AX307" i="65"/>
  <c r="DC307" i="15"/>
  <c r="AY307" i="65" s="1"/>
  <c r="AX183" i="65"/>
  <c r="DC183" i="15"/>
  <c r="AY183" i="65" s="1"/>
  <c r="DC215" i="15"/>
  <c r="AY215" i="65" s="1"/>
  <c r="AX215" i="65"/>
  <c r="DC87" i="15"/>
  <c r="AY87" i="65" s="1"/>
  <c r="S87" i="5" s="1"/>
  <c r="AX87" i="65"/>
  <c r="R87" i="5" s="1"/>
  <c r="EW242" i="15"/>
  <c r="EW240" i="15"/>
  <c r="BU240" i="15"/>
  <c r="EV240" i="15"/>
  <c r="CH240" i="15" s="1"/>
  <c r="BT240" i="15"/>
  <c r="BS240" i="15" s="1"/>
  <c r="EV256" i="15"/>
  <c r="CH256" i="15" s="1"/>
  <c r="BU256" i="15"/>
  <c r="BT256" i="15"/>
  <c r="BS256" i="15" s="1"/>
  <c r="BT262" i="15"/>
  <c r="BS262" i="15" s="1"/>
  <c r="EV262" i="15"/>
  <c r="CH262" i="15" s="1"/>
  <c r="BU262" i="15"/>
  <c r="EW262" i="15"/>
  <c r="DC301" i="15"/>
  <c r="AY301" i="65" s="1"/>
  <c r="AX301" i="65"/>
  <c r="DE181" i="15"/>
  <c r="DH181" i="15" s="1"/>
  <c r="AX181" i="65"/>
  <c r="DD181" i="15"/>
  <c r="DG181" i="15" s="1"/>
  <c r="DC181" i="15"/>
  <c r="AY181" i="65" s="1"/>
  <c r="DF181" i="15"/>
  <c r="DI181" i="15" s="1"/>
  <c r="BB181" i="65" s="1"/>
  <c r="BT264" i="15"/>
  <c r="BS264" i="15" s="1"/>
  <c r="BU264" i="15"/>
  <c r="EV264" i="15"/>
  <c r="CH264" i="15" s="1"/>
  <c r="CR291" i="15"/>
  <c r="CT291" i="15"/>
  <c r="DD291" i="15"/>
  <c r="DG291" i="15" s="1"/>
  <c r="CU291" i="15"/>
  <c r="CV291" i="15"/>
  <c r="DE291" i="15"/>
  <c r="DH291" i="15" s="1"/>
  <c r="CW291" i="15"/>
  <c r="AW291" i="65"/>
  <c r="CS291" i="15"/>
  <c r="DF291" i="15"/>
  <c r="DI291" i="15" s="1"/>
  <c r="BB291" i="65" s="1"/>
  <c r="BU130" i="15"/>
  <c r="EV130" i="15"/>
  <c r="BT130" i="15"/>
  <c r="BS130" i="15" s="1"/>
  <c r="CH130" i="15"/>
  <c r="EW130" i="15"/>
  <c r="EV162" i="15"/>
  <c r="CH162" i="15" s="1"/>
  <c r="BT162" i="15"/>
  <c r="BS162" i="15" s="1"/>
  <c r="BU162" i="15"/>
  <c r="EW202" i="15"/>
  <c r="EW234" i="15"/>
  <c r="BS234" i="15"/>
  <c r="BT270" i="15"/>
  <c r="BS270" i="15" s="1"/>
  <c r="EV270" i="15"/>
  <c r="CH270" i="15" s="1"/>
  <c r="BU270" i="15"/>
  <c r="EW270" i="15"/>
  <c r="BT302" i="15"/>
  <c r="BS302" i="15" s="1"/>
  <c r="EV302" i="15"/>
  <c r="CH302" i="15" s="1"/>
  <c r="BU302" i="15"/>
  <c r="EW302" i="15"/>
  <c r="DC305" i="15"/>
  <c r="AY305" i="65" s="1"/>
  <c r="AX305" i="65"/>
  <c r="CH336" i="15"/>
  <c r="EW336" i="15"/>
  <c r="CF68" i="15"/>
  <c r="AU68" i="65"/>
  <c r="O68" i="5" s="1"/>
  <c r="AV68" i="73" s="1"/>
  <c r="BT188" i="15"/>
  <c r="BS188" i="15" s="1"/>
  <c r="EV188" i="15"/>
  <c r="CH188" i="15" s="1"/>
  <c r="BU188" i="15"/>
  <c r="EW244" i="15"/>
  <c r="AX245" i="65"/>
  <c r="DC245" i="15"/>
  <c r="AY245" i="65" s="1"/>
  <c r="Z257" i="5"/>
  <c r="AX265" i="65"/>
  <c r="DC265" i="15"/>
  <c r="AY265" i="65" s="1"/>
  <c r="EW266" i="15"/>
  <c r="DC297" i="15"/>
  <c r="AY297" i="65" s="1"/>
  <c r="AX297" i="65"/>
  <c r="AX321" i="65"/>
  <c r="DC321" i="15"/>
  <c r="AY321" i="65" s="1"/>
  <c r="EV328" i="15"/>
  <c r="CH328" i="15" s="1"/>
  <c r="BU328" i="15"/>
  <c r="BT328" i="15"/>
  <c r="EW328" i="15"/>
  <c r="BS328" i="15"/>
  <c r="EW144" i="15"/>
  <c r="CH144" i="15"/>
  <c r="EW160" i="15"/>
  <c r="CH160" i="15"/>
  <c r="DC247" i="15"/>
  <c r="AY247" i="65" s="1"/>
  <c r="AX247" i="65"/>
  <c r="Z229" i="5"/>
  <c r="BU184" i="15"/>
  <c r="EV184" i="15"/>
  <c r="CH184" i="15" s="1"/>
  <c r="BT184" i="15"/>
  <c r="BS184" i="15" s="1"/>
  <c r="EW250" i="15"/>
  <c r="AX169" i="65"/>
  <c r="DC169" i="15"/>
  <c r="AY169" i="65" s="1"/>
  <c r="EW226" i="15"/>
  <c r="EW344" i="15"/>
  <c r="BS344" i="15"/>
  <c r="EV252" i="15"/>
  <c r="CH252" i="15" s="1"/>
  <c r="BT252" i="15"/>
  <c r="BS252" i="15" s="1"/>
  <c r="BU252" i="15"/>
  <c r="BT310" i="15"/>
  <c r="BS310" i="15" s="1"/>
  <c r="EV310" i="15"/>
  <c r="BU310" i="15"/>
  <c r="CH310" i="15"/>
  <c r="EW310" i="15"/>
  <c r="EV146" i="15"/>
  <c r="CH146" i="15" s="1"/>
  <c r="BU146" i="15"/>
  <c r="BT146" i="15"/>
  <c r="BS146" i="15" s="1"/>
  <c r="EW146" i="15"/>
  <c r="EV82" i="15"/>
  <c r="CH82" i="15" s="1"/>
  <c r="BT82" i="15"/>
  <c r="BS82" i="15" s="1"/>
  <c r="BU82" i="15"/>
  <c r="AX187" i="65"/>
  <c r="DC187" i="15"/>
  <c r="AY187" i="65" s="1"/>
  <c r="BT84" i="15"/>
  <c r="EV84" i="15"/>
  <c r="CH84" i="15" s="1"/>
  <c r="CW84" i="15" s="1"/>
  <c r="BU84" i="15"/>
  <c r="BS84" i="15" s="1"/>
  <c r="Z261" i="5"/>
  <c r="BT306" i="15"/>
  <c r="BS306" i="15" s="1"/>
  <c r="EV306" i="15"/>
  <c r="CH306" i="15" s="1"/>
  <c r="BU306" i="15"/>
  <c r="EW332" i="15"/>
  <c r="BT254" i="15"/>
  <c r="BS254" i="15" s="1"/>
  <c r="EV254" i="15"/>
  <c r="CH254" i="15" s="1"/>
  <c r="BU254" i="15"/>
  <c r="BU318" i="15"/>
  <c r="BT318" i="15"/>
  <c r="BS318" i="15" s="1"/>
  <c r="EV318" i="15"/>
  <c r="CH318" i="15" s="1"/>
  <c r="BU128" i="15"/>
  <c r="EV128" i="15"/>
  <c r="CH128" i="15" s="1"/>
  <c r="BT128" i="15"/>
  <c r="BS128" i="15" s="1"/>
  <c r="DC315" i="15"/>
  <c r="AY315" i="65" s="1"/>
  <c r="AX315" i="65"/>
  <c r="AW247" i="65"/>
  <c r="CS247" i="15"/>
  <c r="CV247" i="15"/>
  <c r="DE247" i="15"/>
  <c r="DH247" i="15" s="1"/>
  <c r="DD247" i="15"/>
  <c r="DG247" i="15" s="1"/>
  <c r="CU247" i="15"/>
  <c r="CR247" i="15"/>
  <c r="CT247" i="15"/>
  <c r="CW247" i="15"/>
  <c r="DF247" i="15"/>
  <c r="DI247" i="15" s="1"/>
  <c r="BB247" i="65" s="1"/>
  <c r="EV178" i="15"/>
  <c r="CH178" i="15" s="1"/>
  <c r="BT178" i="15"/>
  <c r="BS178" i="15" s="1"/>
  <c r="BU178" i="15"/>
  <c r="BU176" i="15"/>
  <c r="EV176" i="15"/>
  <c r="CH176" i="15" s="1"/>
  <c r="BT176" i="15"/>
  <c r="BS176" i="15" s="1"/>
  <c r="DC177" i="15"/>
  <c r="AY177" i="65" s="1"/>
  <c r="DE177" i="15"/>
  <c r="DH177" i="15" s="1"/>
  <c r="AX177" i="65"/>
  <c r="EW186" i="15"/>
  <c r="BU314" i="15"/>
  <c r="BT314" i="15"/>
  <c r="BS314" i="15" s="1"/>
  <c r="EV314" i="15"/>
  <c r="CH314" i="15" s="1"/>
  <c r="EW314" i="15"/>
  <c r="DC157" i="15"/>
  <c r="AY157" i="65" s="1"/>
  <c r="AX157" i="65"/>
  <c r="EV196" i="15"/>
  <c r="CH196" i="15" s="1"/>
  <c r="BT196" i="15"/>
  <c r="BS196" i="15" s="1"/>
  <c r="BU196" i="15"/>
  <c r="DC205" i="15"/>
  <c r="AY205" i="65" s="1"/>
  <c r="AX205" i="65"/>
  <c r="EW220" i="15"/>
  <c r="EV228" i="15"/>
  <c r="CH228" i="15" s="1"/>
  <c r="BT228" i="15"/>
  <c r="BS228" i="15" s="1"/>
  <c r="BU228" i="15"/>
  <c r="BU246" i="15"/>
  <c r="BT246" i="15"/>
  <c r="BS246" i="15" s="1"/>
  <c r="EV246" i="15"/>
  <c r="CH246" i="15" s="1"/>
  <c r="BU330" i="15"/>
  <c r="BT330" i="15"/>
  <c r="EV330" i="15"/>
  <c r="CH330" i="15" s="1"/>
  <c r="BS330" i="15"/>
  <c r="EW330" i="15"/>
  <c r="AX167" i="65"/>
  <c r="DC167" i="15"/>
  <c r="AY167" i="65" s="1"/>
  <c r="CT343" i="15"/>
  <c r="CU343" i="15"/>
  <c r="AW343" i="65"/>
  <c r="DF343" i="15"/>
  <c r="DI343" i="15" s="1"/>
  <c r="BB343" i="65" s="1"/>
  <c r="CR343" i="15"/>
  <c r="CS343" i="15"/>
  <c r="CV343" i="15"/>
  <c r="CW343" i="15"/>
  <c r="AX185" i="65"/>
  <c r="DC185" i="15"/>
  <c r="AY185" i="65" s="1"/>
  <c r="Z249" i="5"/>
  <c r="DC201" i="15"/>
  <c r="AY201" i="65" s="1"/>
  <c r="AX201" i="65"/>
  <c r="BU334" i="15"/>
  <c r="BT334" i="15"/>
  <c r="BS334" i="15" s="1"/>
  <c r="EV334" i="15"/>
  <c r="CH334" i="15" s="1"/>
  <c r="EW334" i="15"/>
  <c r="DC345" i="15"/>
  <c r="AY345" i="65" s="1"/>
  <c r="AX345" i="65"/>
  <c r="EW346" i="15"/>
  <c r="CH346" i="15"/>
  <c r="CS321" i="15"/>
  <c r="CV321" i="15"/>
  <c r="CW321" i="15"/>
  <c r="AW321" i="65"/>
  <c r="DF321" i="15"/>
  <c r="CT321" i="15"/>
  <c r="CU321" i="15"/>
  <c r="CR321" i="15"/>
  <c r="DD321" i="15"/>
  <c r="DE321" i="15"/>
  <c r="AX141" i="65"/>
  <c r="DC141" i="15"/>
  <c r="AY141" i="65" s="1"/>
  <c r="BU204" i="15"/>
  <c r="BT204" i="15"/>
  <c r="BS204" i="15" s="1"/>
  <c r="EV204" i="15"/>
  <c r="CH204" i="15" s="1"/>
  <c r="AX229" i="65"/>
  <c r="DC229" i="15"/>
  <c r="AY229" i="65" s="1"/>
  <c r="EV238" i="15"/>
  <c r="BT238" i="15"/>
  <c r="BU238" i="15"/>
  <c r="EW238" i="15"/>
  <c r="CH238" i="15"/>
  <c r="BS238" i="15"/>
  <c r="EV316" i="15"/>
  <c r="CH316" i="15" s="1"/>
  <c r="BU316" i="15"/>
  <c r="BT316" i="15"/>
  <c r="BS316" i="15" s="1"/>
  <c r="DC329" i="15"/>
  <c r="AY329" i="65" s="1"/>
  <c r="AX329" i="65"/>
  <c r="EV340" i="15"/>
  <c r="CH340" i="15" s="1"/>
  <c r="BU340" i="15"/>
  <c r="BT340" i="15"/>
  <c r="BS340" i="15" s="1"/>
  <c r="EW148" i="15"/>
  <c r="EW94" i="15"/>
  <c r="Z209" i="5"/>
  <c r="BU208" i="15"/>
  <c r="EV208" i="15"/>
  <c r="CH208" i="15" s="1"/>
  <c r="BT208" i="15"/>
  <c r="BS208" i="15" s="1"/>
  <c r="BT218" i="15"/>
  <c r="BS218" i="15" s="1"/>
  <c r="EV218" i="15"/>
  <c r="CH218" i="15" s="1"/>
  <c r="BU218" i="15"/>
  <c r="DC225" i="15"/>
  <c r="AY225" i="65" s="1"/>
  <c r="AX225" i="65"/>
  <c r="EW200" i="15"/>
  <c r="EW248" i="15"/>
  <c r="BU248" i="15"/>
  <c r="BT248" i="15"/>
  <c r="BS248" i="15" s="1"/>
  <c r="EV248" i="15"/>
  <c r="CH248" i="15" s="1"/>
  <c r="BT324" i="15"/>
  <c r="BS324" i="15" s="1"/>
  <c r="EV324" i="15"/>
  <c r="CH324" i="15" s="1"/>
  <c r="BU324" i="15"/>
  <c r="AX145" i="65"/>
  <c r="DC145" i="15"/>
  <c r="AY145" i="65" s="1"/>
  <c r="AX165" i="65"/>
  <c r="DC165" i="15"/>
  <c r="AY165" i="65" s="1"/>
  <c r="EW198" i="15"/>
  <c r="CH198" i="15"/>
  <c r="EW212" i="15"/>
  <c r="BS212" i="15"/>
  <c r="BU222" i="15"/>
  <c r="BT222" i="15"/>
  <c r="BS222" i="15" s="1"/>
  <c r="EV222" i="15"/>
  <c r="CH222" i="15" s="1"/>
  <c r="CH258" i="15"/>
  <c r="EW258" i="15"/>
  <c r="AX273" i="65"/>
  <c r="DC273" i="15"/>
  <c r="AY273" i="65" s="1"/>
  <c r="EV308" i="15"/>
  <c r="CH308" i="15" s="1"/>
  <c r="BU308" i="15"/>
  <c r="BT308" i="15"/>
  <c r="BS308" i="15" s="1"/>
  <c r="BU348" i="15"/>
  <c r="EV348" i="15"/>
  <c r="CH348" i="15" s="1"/>
  <c r="BT348" i="15"/>
  <c r="BS348" i="15" s="1"/>
  <c r="EW134" i="15"/>
  <c r="AX211" i="65"/>
  <c r="DC211" i="15"/>
  <c r="AY211" i="65" s="1"/>
  <c r="DC347" i="15"/>
  <c r="AY347" i="65" s="1"/>
  <c r="AX347" i="65"/>
  <c r="DE197" i="15"/>
  <c r="DH197" i="15" s="1"/>
  <c r="EW126" i="15"/>
  <c r="DF195" i="15"/>
  <c r="DI195" i="15" s="1"/>
  <c r="BB195" i="65" s="1"/>
  <c r="CE68" i="15"/>
  <c r="DB113" i="15"/>
  <c r="BU86" i="15"/>
  <c r="BS86" i="15" s="1"/>
  <c r="CH86" i="15"/>
  <c r="CT86" i="15" s="1"/>
  <c r="Z157" i="5"/>
  <c r="CS277" i="15"/>
  <c r="CU277" i="15"/>
  <c r="CR277" i="15"/>
  <c r="CV277" i="15"/>
  <c r="AW277" i="65"/>
  <c r="CW277" i="15"/>
  <c r="CT277" i="15"/>
  <c r="DE277" i="15"/>
  <c r="DH277" i="15" s="1"/>
  <c r="CS283" i="15"/>
  <c r="CR283" i="15"/>
  <c r="CW283" i="15"/>
  <c r="CV283" i="15"/>
  <c r="DF283" i="15"/>
  <c r="DI283" i="15" s="1"/>
  <c r="BB283" i="65" s="1"/>
  <c r="CU283" i="15"/>
  <c r="CT283" i="15"/>
  <c r="AW283" i="65"/>
  <c r="DD283" i="15"/>
  <c r="DG283" i="15" s="1"/>
  <c r="CW311" i="15"/>
  <c r="CU311" i="15"/>
  <c r="AW311" i="65"/>
  <c r="CV311" i="15"/>
  <c r="CS311" i="15"/>
  <c r="DD311" i="15"/>
  <c r="DG311" i="15" s="1"/>
  <c r="CR311" i="15"/>
  <c r="CT311" i="15"/>
  <c r="DF311" i="15"/>
  <c r="DI311" i="15" s="1"/>
  <c r="BB311" i="65" s="1"/>
  <c r="DE311" i="15"/>
  <c r="DH311" i="15" s="1"/>
  <c r="CT284" i="15"/>
  <c r="CS284" i="15"/>
  <c r="CW284" i="15"/>
  <c r="AW284" i="65"/>
  <c r="CV284" i="15"/>
  <c r="CR284" i="15"/>
  <c r="CU284" i="15"/>
  <c r="CX284" i="15" s="1"/>
  <c r="CW279" i="15"/>
  <c r="AW279" i="65"/>
  <c r="CU279" i="15"/>
  <c r="CS279" i="15"/>
  <c r="CV279" i="15"/>
  <c r="DE279" i="15"/>
  <c r="DH279" i="15" s="1"/>
  <c r="DD279" i="15"/>
  <c r="DG279" i="15" s="1"/>
  <c r="CR279" i="15"/>
  <c r="CT279" i="15"/>
  <c r="DF279" i="15"/>
  <c r="DI279" i="15" s="1"/>
  <c r="BB279" i="65" s="1"/>
  <c r="CS288" i="15"/>
  <c r="CR288" i="15"/>
  <c r="CU288" i="15"/>
  <c r="CV288" i="15"/>
  <c r="DE288" i="15"/>
  <c r="DH288" i="15" s="1"/>
  <c r="AW288" i="65"/>
  <c r="CT288" i="15"/>
  <c r="DF288" i="15"/>
  <c r="DI288" i="15" s="1"/>
  <c r="BB288" i="65" s="1"/>
  <c r="CW288" i="15"/>
  <c r="CT320" i="15"/>
  <c r="CS320" i="15"/>
  <c r="CV320" i="15"/>
  <c r="CR320" i="15"/>
  <c r="DD320" i="15"/>
  <c r="DG320" i="15" s="1"/>
  <c r="AW320" i="65"/>
  <c r="DE320" i="15"/>
  <c r="DH320" i="15" s="1"/>
  <c r="CW320" i="15"/>
  <c r="CU320" i="15"/>
  <c r="DF320" i="15"/>
  <c r="DI320" i="15" s="1"/>
  <c r="BB320" i="65" s="1"/>
  <c r="CR303" i="15"/>
  <c r="CT303" i="15"/>
  <c r="CW303" i="15"/>
  <c r="AW303" i="65"/>
  <c r="CU303" i="15"/>
  <c r="CS303" i="15"/>
  <c r="CV303" i="15"/>
  <c r="DF303" i="15"/>
  <c r="DI303" i="15" s="1"/>
  <c r="BB303" i="65" s="1"/>
  <c r="CW309" i="15"/>
  <c r="CU309" i="15"/>
  <c r="AW309" i="65"/>
  <c r="CV309" i="15"/>
  <c r="CS309" i="15"/>
  <c r="CR309" i="15"/>
  <c r="CT309" i="15"/>
  <c r="DE309" i="15"/>
  <c r="DH309" i="15" s="1"/>
  <c r="CR295" i="15"/>
  <c r="CT295" i="15"/>
  <c r="DD295" i="15"/>
  <c r="DG295" i="15" s="1"/>
  <c r="CW295" i="15"/>
  <c r="AW295" i="65"/>
  <c r="CU295" i="15"/>
  <c r="CS295" i="15"/>
  <c r="CV295" i="15"/>
  <c r="DE295" i="15"/>
  <c r="DH295" i="15" s="1"/>
  <c r="CW301" i="15"/>
  <c r="CV301" i="15"/>
  <c r="CR301" i="15"/>
  <c r="DF301" i="15"/>
  <c r="DI301" i="15" s="1"/>
  <c r="BB301" i="65" s="1"/>
  <c r="DE301" i="15"/>
  <c r="DH301" i="15" s="1"/>
  <c r="CU301" i="15"/>
  <c r="AW301" i="65"/>
  <c r="CS301" i="15"/>
  <c r="CT301" i="15"/>
  <c r="CU292" i="15"/>
  <c r="AW292" i="65"/>
  <c r="CW292" i="15"/>
  <c r="CV292" i="15"/>
  <c r="CS292" i="15"/>
  <c r="CR292" i="15"/>
  <c r="CT292" i="15"/>
  <c r="Z265" i="5"/>
  <c r="AW287" i="65"/>
  <c r="CS287" i="15"/>
  <c r="CT287" i="15"/>
  <c r="CW287" i="15"/>
  <c r="CV287" i="15"/>
  <c r="CU287" i="15"/>
  <c r="CR287" i="15"/>
  <c r="DE287" i="15"/>
  <c r="DH287" i="15" s="1"/>
  <c r="DD287" i="15"/>
  <c r="DG287" i="15" s="1"/>
  <c r="CS297" i="15"/>
  <c r="CR297" i="15"/>
  <c r="CT297" i="15"/>
  <c r="CW297" i="15"/>
  <c r="CU297" i="15"/>
  <c r="DE297" i="15"/>
  <c r="DH297" i="15" s="1"/>
  <c r="AW297" i="65"/>
  <c r="CV297" i="15"/>
  <c r="Z251" i="5"/>
  <c r="Z255" i="5"/>
  <c r="Z269" i="5"/>
  <c r="Z259" i="5"/>
  <c r="AX340" i="65"/>
  <c r="DC340" i="15"/>
  <c r="AY340" i="65" s="1"/>
  <c r="DC300" i="15"/>
  <c r="AY300" i="65" s="1"/>
  <c r="AX300" i="65"/>
  <c r="AX294" i="65"/>
  <c r="DC294" i="15"/>
  <c r="AY294" i="65" s="1"/>
  <c r="AX332" i="65"/>
  <c r="DC332" i="15"/>
  <c r="AY332" i="65" s="1"/>
  <c r="DC324" i="15"/>
  <c r="AY324" i="65" s="1"/>
  <c r="AX324" i="65"/>
  <c r="AX316" i="65"/>
  <c r="DC316" i="15"/>
  <c r="AY316" i="65" s="1"/>
  <c r="DC292" i="15"/>
  <c r="AY292" i="65" s="1"/>
  <c r="AX292" i="65"/>
  <c r="DF292" i="15"/>
  <c r="DI292" i="15" s="1"/>
  <c r="BB292" i="65" s="1"/>
  <c r="DD292" i="15"/>
  <c r="DG292" i="15" s="1"/>
  <c r="DC302" i="15"/>
  <c r="AY302" i="65" s="1"/>
  <c r="AX302" i="65"/>
  <c r="AX334" i="65"/>
  <c r="DC334" i="15"/>
  <c r="AY334" i="65" s="1"/>
  <c r="DC326" i="15"/>
  <c r="AY326" i="65" s="1"/>
  <c r="AX326" i="65"/>
  <c r="AX308" i="65"/>
  <c r="DC308" i="15"/>
  <c r="AY308" i="65" s="1"/>
  <c r="AX310" i="65"/>
  <c r="DC310" i="15"/>
  <c r="AY310" i="65" s="1"/>
  <c r="DC318" i="15"/>
  <c r="AY318" i="65" s="1"/>
  <c r="AX318" i="65"/>
  <c r="DC342" i="15"/>
  <c r="AY342" i="65" s="1"/>
  <c r="AX342" i="65"/>
  <c r="AX348" i="65"/>
  <c r="DC348" i="15"/>
  <c r="AY348" i="65" s="1"/>
  <c r="AN49" i="65"/>
  <c r="J49" i="5"/>
  <c r="AT49" i="73" s="1"/>
  <c r="BR55" i="15"/>
  <c r="AM14" i="65"/>
  <c r="AO14" i="65" s="1"/>
  <c r="GK65" i="15"/>
  <c r="H65" i="5"/>
  <c r="AL65" i="65" s="1"/>
  <c r="CE55" i="15"/>
  <c r="Z193" i="5"/>
  <c r="Z263" i="5"/>
  <c r="AU61" i="65"/>
  <c r="O61" i="5" s="1"/>
  <c r="AV61" i="73" s="1"/>
  <c r="Z267" i="5"/>
  <c r="Z187" i="5"/>
  <c r="Z139" i="5"/>
  <c r="AW156" i="65"/>
  <c r="CW156" i="15"/>
  <c r="DD156" i="15"/>
  <c r="DG156" i="15" s="1"/>
  <c r="CR156" i="15"/>
  <c r="CU156" i="15"/>
  <c r="CT156" i="15"/>
  <c r="CV156" i="15"/>
  <c r="CS156" i="15"/>
  <c r="DE156" i="15"/>
  <c r="DH156" i="15" s="1"/>
  <c r="AW136" i="65"/>
  <c r="CW136" i="15"/>
  <c r="CV136" i="15"/>
  <c r="CU136" i="15"/>
  <c r="CT136" i="15"/>
  <c r="DE136" i="15"/>
  <c r="DH136" i="15" s="1"/>
  <c r="CR136" i="15"/>
  <c r="CS136" i="15"/>
  <c r="DF136" i="15"/>
  <c r="DI136" i="15" s="1"/>
  <c r="BB136" i="65" s="1"/>
  <c r="Z143" i="5"/>
  <c r="DF147" i="15"/>
  <c r="DI147" i="15" s="1"/>
  <c r="BB147" i="65" s="1"/>
  <c r="CW147" i="15"/>
  <c r="CT147" i="15"/>
  <c r="DE147" i="15"/>
  <c r="DH147" i="15" s="1"/>
  <c r="AW147" i="65"/>
  <c r="CU147" i="15"/>
  <c r="CS147" i="15"/>
  <c r="CR147" i="15"/>
  <c r="CV147" i="15"/>
  <c r="DF166" i="15"/>
  <c r="DI166" i="15" s="1"/>
  <c r="BB166" i="65" s="1"/>
  <c r="CW166" i="15"/>
  <c r="CV166" i="15"/>
  <c r="CR166" i="15"/>
  <c r="CS166" i="15"/>
  <c r="CU166" i="15"/>
  <c r="AW166" i="65"/>
  <c r="DD166" i="15"/>
  <c r="DG166" i="15" s="1"/>
  <c r="DE166" i="15"/>
  <c r="DH166" i="15" s="1"/>
  <c r="CT166" i="15"/>
  <c r="CU149" i="15"/>
  <c r="AW149" i="65"/>
  <c r="CT149" i="15"/>
  <c r="CS149" i="15"/>
  <c r="CV149" i="15"/>
  <c r="DF149" i="15"/>
  <c r="DI149" i="15" s="1"/>
  <c r="BB149" i="65" s="1"/>
  <c r="CW149" i="15"/>
  <c r="CR149" i="15"/>
  <c r="DD149" i="15"/>
  <c r="DG149" i="15" s="1"/>
  <c r="CU171" i="15"/>
  <c r="CW171" i="15"/>
  <c r="CR171" i="15"/>
  <c r="AW171" i="65"/>
  <c r="CS171" i="15"/>
  <c r="CT171" i="15"/>
  <c r="CV171" i="15"/>
  <c r="DE171" i="15"/>
  <c r="DH171" i="15" s="1"/>
  <c r="DD171" i="15"/>
  <c r="DG171" i="15" s="1"/>
  <c r="CW138" i="15"/>
  <c r="AW138" i="65"/>
  <c r="CU138" i="15"/>
  <c r="CV138" i="15"/>
  <c r="CT138" i="15"/>
  <c r="CS138" i="15"/>
  <c r="CR138" i="15"/>
  <c r="DD138" i="15"/>
  <c r="DG138" i="15" s="1"/>
  <c r="DE152" i="15"/>
  <c r="DH152" i="15" s="1"/>
  <c r="AW152" i="65"/>
  <c r="CR152" i="15"/>
  <c r="CW152" i="15"/>
  <c r="CT152" i="15"/>
  <c r="CV152" i="15"/>
  <c r="CS152" i="15"/>
  <c r="CU152" i="15"/>
  <c r="DF152" i="15"/>
  <c r="DI152" i="15" s="1"/>
  <c r="BB152" i="65" s="1"/>
  <c r="CW173" i="15"/>
  <c r="CV173" i="15"/>
  <c r="AW173" i="65"/>
  <c r="CR173" i="15"/>
  <c r="CU173" i="15"/>
  <c r="CT173" i="15"/>
  <c r="CS173" i="15"/>
  <c r="DF173" i="15"/>
  <c r="DI173" i="15" s="1"/>
  <c r="BB173" i="65" s="1"/>
  <c r="Z135" i="5"/>
  <c r="CW145" i="15"/>
  <c r="CT145" i="15"/>
  <c r="CV145" i="15"/>
  <c r="DE145" i="15"/>
  <c r="DH145" i="15" s="1"/>
  <c r="CR145" i="15"/>
  <c r="DF145" i="15"/>
  <c r="DI145" i="15" s="1"/>
  <c r="BB145" i="65" s="1"/>
  <c r="AW145" i="65"/>
  <c r="CS145" i="15"/>
  <c r="CU145" i="15"/>
  <c r="CX145" i="15" s="1"/>
  <c r="CU155" i="15"/>
  <c r="CT155" i="15"/>
  <c r="CS155" i="15"/>
  <c r="CW155" i="15"/>
  <c r="CV155" i="15"/>
  <c r="AW155" i="65"/>
  <c r="CR155" i="15"/>
  <c r="DE155" i="15"/>
  <c r="DH155" i="15" s="1"/>
  <c r="CR154" i="15"/>
  <c r="CS154" i="15"/>
  <c r="CU154" i="15"/>
  <c r="CV154" i="15"/>
  <c r="DF154" i="15"/>
  <c r="DI154" i="15" s="1"/>
  <c r="BB154" i="65" s="1"/>
  <c r="DD154" i="15"/>
  <c r="DG154" i="15" s="1"/>
  <c r="CT154" i="15"/>
  <c r="CW154" i="15"/>
  <c r="AW154" i="65"/>
  <c r="DE154" i="15"/>
  <c r="DH154" i="15" s="1"/>
  <c r="CR170" i="15"/>
  <c r="DF170" i="15"/>
  <c r="DI170" i="15" s="1"/>
  <c r="BB170" i="65" s="1"/>
  <c r="CS170" i="15"/>
  <c r="AW170" i="65"/>
  <c r="CW170" i="15"/>
  <c r="CT170" i="15"/>
  <c r="CU170" i="15"/>
  <c r="CV170" i="15"/>
  <c r="CW161" i="15"/>
  <c r="CS161" i="15"/>
  <c r="CT161" i="15"/>
  <c r="CV161" i="15"/>
  <c r="DF161" i="15"/>
  <c r="DI161" i="15" s="1"/>
  <c r="BB161" i="65" s="1"/>
  <c r="DD161" i="15"/>
  <c r="DG161" i="15" s="1"/>
  <c r="CR161" i="15"/>
  <c r="AW161" i="65"/>
  <c r="CU161" i="15"/>
  <c r="DE161" i="15"/>
  <c r="DH161" i="15" s="1"/>
  <c r="CS140" i="15"/>
  <c r="CR140" i="15"/>
  <c r="CW140" i="15"/>
  <c r="DF140" i="15"/>
  <c r="DI140" i="15" s="1"/>
  <c r="BB140" i="65" s="1"/>
  <c r="AW140" i="65"/>
  <c r="CU140" i="15"/>
  <c r="CV140" i="15"/>
  <c r="CT140" i="15"/>
  <c r="DE140" i="15"/>
  <c r="DH140" i="15" s="1"/>
  <c r="DD140" i="15"/>
  <c r="DG140" i="15" s="1"/>
  <c r="CU133" i="15"/>
  <c r="CT133" i="15"/>
  <c r="DE133" i="15"/>
  <c r="DH133" i="15" s="1"/>
  <c r="CW133" i="15"/>
  <c r="AW133" i="65"/>
  <c r="CR133" i="15"/>
  <c r="CS133" i="15"/>
  <c r="CV133" i="15"/>
  <c r="DF133" i="15"/>
  <c r="DI133" i="15" s="1"/>
  <c r="BB133" i="65" s="1"/>
  <c r="CS151" i="15"/>
  <c r="CW151" i="15"/>
  <c r="CU151" i="15"/>
  <c r="AW151" i="65"/>
  <c r="DF151" i="15"/>
  <c r="DI151" i="15" s="1"/>
  <c r="BB151" i="65" s="1"/>
  <c r="CR151" i="15"/>
  <c r="CT151" i="15"/>
  <c r="CV151" i="15"/>
  <c r="DD151" i="15"/>
  <c r="DG151" i="15" s="1"/>
  <c r="CU172" i="15"/>
  <c r="CW172" i="15"/>
  <c r="CS172" i="15"/>
  <c r="DF172" i="15"/>
  <c r="DI172" i="15" s="1"/>
  <c r="BB172" i="65" s="1"/>
  <c r="DD172" i="15"/>
  <c r="DG172" i="15" s="1"/>
  <c r="CT172" i="15"/>
  <c r="CV172" i="15"/>
  <c r="CR172" i="15"/>
  <c r="AW172" i="65"/>
  <c r="DE172" i="15"/>
  <c r="DH172" i="15" s="1"/>
  <c r="CR131" i="15"/>
  <c r="CV131" i="15"/>
  <c r="CS131" i="15"/>
  <c r="CT131" i="15"/>
  <c r="CU131" i="15"/>
  <c r="CW131" i="15"/>
  <c r="AW131" i="65"/>
  <c r="DF131" i="15"/>
  <c r="DI131" i="15" s="1"/>
  <c r="BB131" i="65" s="1"/>
  <c r="Z185" i="5"/>
  <c r="Z191" i="5"/>
  <c r="Z141" i="5"/>
  <c r="Z207" i="5"/>
  <c r="DD201" i="15"/>
  <c r="DG201" i="15" s="1"/>
  <c r="Z201" i="5"/>
  <c r="BR91" i="15"/>
  <c r="BR90" i="15"/>
  <c r="AU63" i="65"/>
  <c r="O63" i="5" s="1"/>
  <c r="AV63" i="73" s="1"/>
  <c r="GK52" i="15"/>
  <c r="H52" i="5"/>
  <c r="AL52" i="65" s="1"/>
  <c r="GK70" i="15"/>
  <c r="H70" i="5"/>
  <c r="AL70" i="65" s="1"/>
  <c r="GK35" i="15"/>
  <c r="H35" i="5"/>
  <c r="AL35" i="65" s="1"/>
  <c r="GK25" i="15"/>
  <c r="H25" i="5"/>
  <c r="AL25" i="65" s="1"/>
  <c r="GK69" i="15"/>
  <c r="H69" i="5"/>
  <c r="AL69" i="65" s="1"/>
  <c r="GK29" i="15"/>
  <c r="H29" i="5"/>
  <c r="AL29" i="65" s="1"/>
  <c r="GK28" i="15"/>
  <c r="H28" i="5"/>
  <c r="AL28" i="65" s="1"/>
  <c r="GK33" i="15"/>
  <c r="H33" i="5"/>
  <c r="AL33" i="65" s="1"/>
  <c r="GK31" i="15"/>
  <c r="H31" i="5"/>
  <c r="AL31" i="65" s="1"/>
  <c r="GK46" i="15"/>
  <c r="H46" i="5"/>
  <c r="AL46" i="65" s="1"/>
  <c r="GK40" i="15"/>
  <c r="H40" i="5"/>
  <c r="AL40" i="65" s="1"/>
  <c r="HV36" i="15"/>
  <c r="HY36" i="15" s="1"/>
  <c r="BK36" i="15" s="1"/>
  <c r="HU36" i="15"/>
  <c r="HT36" i="15"/>
  <c r="HW36" i="15" s="1"/>
  <c r="BH36" i="15" s="1"/>
  <c r="HX36" i="15"/>
  <c r="BJ36" i="15" s="1"/>
  <c r="H24" i="5"/>
  <c r="AL24" i="65" s="1"/>
  <c r="GK24" i="15"/>
  <c r="H53" i="5"/>
  <c r="AL53" i="65" s="1"/>
  <c r="GK53" i="15"/>
  <c r="HV44" i="15"/>
  <c r="HY44" i="15" s="1"/>
  <c r="BK44" i="15" s="1"/>
  <c r="HU44" i="15"/>
  <c r="HX44" i="15" s="1"/>
  <c r="BJ44" i="15" s="1"/>
  <c r="HT44" i="15"/>
  <c r="HW44" i="15" s="1"/>
  <c r="BH44" i="15" s="1"/>
  <c r="HT49" i="15"/>
  <c r="HW49" i="15" s="1"/>
  <c r="BH49" i="15" s="1"/>
  <c r="HU49" i="15"/>
  <c r="HV49" i="15"/>
  <c r="HY49" i="15" s="1"/>
  <c r="BK49" i="15" s="1"/>
  <c r="HX49" i="15"/>
  <c r="BJ49" i="15" s="1"/>
  <c r="HT78" i="15"/>
  <c r="HW78" i="15" s="1"/>
  <c r="HV78" i="15"/>
  <c r="HY78" i="15" s="1"/>
  <c r="HU78" i="15"/>
  <c r="HX78" i="15" s="1"/>
  <c r="GK72" i="15"/>
  <c r="H72" i="5"/>
  <c r="AL72" i="65" s="1"/>
  <c r="J51" i="5"/>
  <c r="AT51" i="73" s="1"/>
  <c r="AN51" i="65"/>
  <c r="J39" i="5"/>
  <c r="AT39" i="73" s="1"/>
  <c r="AN39" i="65"/>
  <c r="J37" i="5"/>
  <c r="AT37" i="73" s="1"/>
  <c r="AN37" i="65"/>
  <c r="AN41" i="65"/>
  <c r="J41" i="5"/>
  <c r="AT41" i="73" s="1"/>
  <c r="AN34" i="65"/>
  <c r="J34" i="5"/>
  <c r="AT34" i="73" s="1"/>
  <c r="AN43" i="65"/>
  <c r="J43" i="5"/>
  <c r="AT43" i="73" s="1"/>
  <c r="Z199" i="5"/>
  <c r="Z164" i="5"/>
  <c r="AX111" i="65"/>
  <c r="R111" i="5" s="1"/>
  <c r="AM12" i="65"/>
  <c r="AO12" i="65" s="1"/>
  <c r="Z215" i="5"/>
  <c r="Z219" i="5"/>
  <c r="Z225" i="5"/>
  <c r="Z211" i="5"/>
  <c r="Z83" i="5"/>
  <c r="AW88" i="65"/>
  <c r="Q88" i="5" s="1"/>
  <c r="BA88" i="73" s="1"/>
  <c r="CW88" i="15"/>
  <c r="CR88" i="15"/>
  <c r="CU88" i="15"/>
  <c r="CT88" i="15"/>
  <c r="CS88" i="15"/>
  <c r="Z87" i="5"/>
  <c r="CY114" i="15"/>
  <c r="DA114" i="15"/>
  <c r="CZ110" i="15"/>
  <c r="DB110" i="15" s="1"/>
  <c r="CY110" i="15"/>
  <c r="CY119" i="15"/>
  <c r="DA119" i="15"/>
  <c r="DA92" i="15"/>
  <c r="CY92" i="15"/>
  <c r="DC104" i="15"/>
  <c r="AY104" i="65" s="1"/>
  <c r="S104" i="5" s="1"/>
  <c r="AX104" i="65"/>
  <c r="R104" i="5" s="1"/>
  <c r="CY96" i="15"/>
  <c r="DA96" i="15"/>
  <c r="CY88" i="15"/>
  <c r="DA88" i="15"/>
  <c r="CZ114" i="15"/>
  <c r="DB114" i="15" s="1"/>
  <c r="DA110" i="15"/>
  <c r="CZ119" i="15"/>
  <c r="DB119" i="15" s="1"/>
  <c r="CZ92" i="15"/>
  <c r="DB92" i="15" s="1"/>
  <c r="CZ96" i="15"/>
  <c r="DB96" i="15" s="1"/>
  <c r="J58" i="5"/>
  <c r="AT58" i="73" s="1"/>
  <c r="AN58" i="65"/>
  <c r="AN12" i="65" s="1"/>
  <c r="AP12" i="65" s="1"/>
  <c r="BU127" i="15"/>
  <c r="EV127" i="15"/>
  <c r="CH127" i="15" s="1"/>
  <c r="BT127" i="15"/>
  <c r="CY95" i="15"/>
  <c r="DA95" i="15"/>
  <c r="CZ95" i="15"/>
  <c r="DB95" i="15" s="1"/>
  <c r="Z243" i="5"/>
  <c r="BU122" i="15"/>
  <c r="EV122" i="15"/>
  <c r="BT122" i="15"/>
  <c r="BS122" i="15" s="1"/>
  <c r="ER122" i="15"/>
  <c r="J93" i="5"/>
  <c r="AT93" i="73" s="1"/>
  <c r="AN93" i="65"/>
  <c r="AN107" i="65"/>
  <c r="J107" i="5"/>
  <c r="AT107" i="73" s="1"/>
  <c r="AN125" i="65"/>
  <c r="J125" i="5"/>
  <c r="AT125" i="73" s="1"/>
  <c r="J105" i="5"/>
  <c r="AT105" i="73" s="1"/>
  <c r="AN105" i="65"/>
  <c r="BT108" i="15"/>
  <c r="BU108" i="15"/>
  <c r="EV108" i="15"/>
  <c r="CH108" i="15" s="1"/>
  <c r="ER108" i="15"/>
  <c r="BS108" i="15"/>
  <c r="J109" i="5"/>
  <c r="AT109" i="73" s="1"/>
  <c r="AN109" i="65"/>
  <c r="AN123" i="65"/>
  <c r="J123" i="5"/>
  <c r="AT123" i="73" s="1"/>
  <c r="J121" i="5"/>
  <c r="AT121" i="73" s="1"/>
  <c r="AN121" i="65"/>
  <c r="BU102" i="15"/>
  <c r="ER102" i="15"/>
  <c r="EV102" i="15"/>
  <c r="BT102" i="15"/>
  <c r="FC94" i="15"/>
  <c r="FB94" i="15" s="1"/>
  <c r="FA94" i="15" s="1"/>
  <c r="BG94" i="65" s="1"/>
  <c r="AG94" i="5" s="1"/>
  <c r="CY101" i="15"/>
  <c r="DA101" i="15"/>
  <c r="CZ101" i="15"/>
  <c r="DB101" i="15" s="1"/>
  <c r="DC90" i="15"/>
  <c r="AY90" i="65" s="1"/>
  <c r="S90" i="5" s="1"/>
  <c r="DA91" i="15"/>
  <c r="AN10" i="65"/>
  <c r="CX88" i="15" l="1"/>
  <c r="CZ88" i="15" s="1"/>
  <c r="DB88" i="15" s="1"/>
  <c r="AG179" i="65"/>
  <c r="CX152" i="15"/>
  <c r="AG284" i="65"/>
  <c r="AG320" i="65"/>
  <c r="AG152" i="65"/>
  <c r="DK139" i="15"/>
  <c r="AU97" i="73"/>
  <c r="AW97" i="73"/>
  <c r="AR67" i="73"/>
  <c r="AW67" i="73"/>
  <c r="AR42" i="73"/>
  <c r="AR89" i="73"/>
  <c r="AR55" i="73"/>
  <c r="AW42" i="73"/>
  <c r="AR91" i="73"/>
  <c r="AR90" i="73"/>
  <c r="AU101" i="73"/>
  <c r="AW101" i="73"/>
  <c r="AU106" i="73"/>
  <c r="AW106" i="73"/>
  <c r="AU85" i="73"/>
  <c r="AV85" i="73"/>
  <c r="AU98" i="73"/>
  <c r="AW98" i="73"/>
  <c r="AV98" i="73"/>
  <c r="AR63" i="73"/>
  <c r="AW63" i="73"/>
  <c r="AV97" i="73"/>
  <c r="AV101" i="73"/>
  <c r="AG301" i="65"/>
  <c r="AG343" i="65"/>
  <c r="AG247" i="65"/>
  <c r="AG291" i="65"/>
  <c r="AG166" i="65"/>
  <c r="AG80" i="65"/>
  <c r="AG149" i="65"/>
  <c r="AG140" i="65"/>
  <c r="AG136" i="65"/>
  <c r="AG154" i="65"/>
  <c r="AG287" i="65"/>
  <c r="AG309" i="65"/>
  <c r="AG201" i="65"/>
  <c r="AG195" i="65"/>
  <c r="AG133" i="65"/>
  <c r="AG321" i="65"/>
  <c r="AG311" i="65"/>
  <c r="AG283" i="65"/>
  <c r="AG197" i="65"/>
  <c r="AG205" i="65"/>
  <c r="AG147" i="65"/>
  <c r="AG171" i="65"/>
  <c r="AX113" i="65"/>
  <c r="R113" i="5" s="1"/>
  <c r="AX90" i="65"/>
  <c r="R90" i="5" s="1"/>
  <c r="DD139" i="15"/>
  <c r="DG139" i="15" s="1"/>
  <c r="AG139" i="65"/>
  <c r="CU181" i="15"/>
  <c r="AG181" i="65"/>
  <c r="AG155" i="65"/>
  <c r="AG177" i="65"/>
  <c r="AG189" i="65"/>
  <c r="AG233" i="65"/>
  <c r="AG307" i="65"/>
  <c r="AG323" i="65"/>
  <c r="AG335" i="65"/>
  <c r="AG337" i="65"/>
  <c r="AG292" i="65"/>
  <c r="AG277" i="65"/>
  <c r="AG131" i="65"/>
  <c r="AG138" i="65"/>
  <c r="AG151" i="65"/>
  <c r="AG156" i="65"/>
  <c r="AG297" i="65"/>
  <c r="AG279" i="65"/>
  <c r="AG295" i="65"/>
  <c r="AG303" i="65"/>
  <c r="AG288" i="65"/>
  <c r="AG173" i="65"/>
  <c r="AG172" i="65"/>
  <c r="AG161" i="65"/>
  <c r="AG170" i="65"/>
  <c r="AG145" i="65"/>
  <c r="AG88" i="65"/>
  <c r="CA48" i="15"/>
  <c r="CD48" i="15"/>
  <c r="BQ48" i="15"/>
  <c r="BR48" i="15" s="1"/>
  <c r="AS48" i="65"/>
  <c r="M48" i="5" s="1"/>
  <c r="AR48" i="73" s="1"/>
  <c r="BR67" i="15"/>
  <c r="FC67" i="15"/>
  <c r="FB67" i="15" s="1"/>
  <c r="FA67" i="15" s="1"/>
  <c r="BG67" i="65" s="1"/>
  <c r="AG67" i="5" s="1"/>
  <c r="CF67" i="15"/>
  <c r="CF55" i="15"/>
  <c r="BS193" i="15"/>
  <c r="CH193" i="15"/>
  <c r="EU245" i="15"/>
  <c r="BS269" i="15"/>
  <c r="CX181" i="15"/>
  <c r="CF63" i="15"/>
  <c r="CE42" i="15"/>
  <c r="BR42" i="15"/>
  <c r="CX247" i="15"/>
  <c r="CU139" i="15"/>
  <c r="CX139" i="15" s="1"/>
  <c r="CI137" i="15"/>
  <c r="CW137" i="15"/>
  <c r="CR137" i="15"/>
  <c r="CK137" i="15"/>
  <c r="DF137" i="15" s="1"/>
  <c r="DI137" i="15" s="1"/>
  <c r="BB137" i="65" s="1"/>
  <c r="CJ137" i="15"/>
  <c r="DE137" i="15" s="1"/>
  <c r="DH137" i="15" s="1"/>
  <c r="CT137" i="15"/>
  <c r="CV137" i="15"/>
  <c r="AW137" i="65"/>
  <c r="CH219" i="15"/>
  <c r="CH251" i="15"/>
  <c r="CS139" i="15"/>
  <c r="CX323" i="15"/>
  <c r="EW219" i="15"/>
  <c r="ES269" i="15"/>
  <c r="EU251" i="15"/>
  <c r="CH269" i="15"/>
  <c r="CX205" i="15"/>
  <c r="BS87" i="15"/>
  <c r="CX138" i="15"/>
  <c r="CX147" i="15"/>
  <c r="CX136" i="15"/>
  <c r="BS102" i="15"/>
  <c r="CX161" i="15"/>
  <c r="CX170" i="15"/>
  <c r="CX335" i="15"/>
  <c r="CX337" i="15"/>
  <c r="CX154" i="15"/>
  <c r="CX151" i="15"/>
  <c r="CI127" i="15"/>
  <c r="CW127" i="15"/>
  <c r="CK127" i="15"/>
  <c r="CJ127" i="15"/>
  <c r="CS127" i="15" s="1"/>
  <c r="CV127" i="15" s="1"/>
  <c r="AW127" i="65"/>
  <c r="Q127" i="5" s="1"/>
  <c r="BA127" i="73" s="1"/>
  <c r="CT127" i="15"/>
  <c r="CR127" i="15"/>
  <c r="CJ108" i="15"/>
  <c r="CS108" i="15" s="1"/>
  <c r="CV108" i="15" s="1"/>
  <c r="CI108" i="15"/>
  <c r="CT108" i="15"/>
  <c r="CK108" i="15"/>
  <c r="AW108" i="65"/>
  <c r="Q108" i="5" s="1"/>
  <c r="BA108" i="73" s="1"/>
  <c r="CW108" i="15"/>
  <c r="CR108" i="15"/>
  <c r="CK345" i="15"/>
  <c r="DF345" i="15" s="1"/>
  <c r="CJ345" i="15"/>
  <c r="DE345" i="15" s="1"/>
  <c r="AW345" i="65"/>
  <c r="CR345" i="15"/>
  <c r="CW345" i="15"/>
  <c r="CI345" i="15"/>
  <c r="CU345" i="15" s="1"/>
  <c r="CX345" i="15" s="1"/>
  <c r="CV345" i="15"/>
  <c r="CT345" i="15"/>
  <c r="CJ104" i="15"/>
  <c r="CS104" i="15" s="1"/>
  <c r="CV104" i="15" s="1"/>
  <c r="CI104" i="15"/>
  <c r="CU104" i="15" s="1"/>
  <c r="CW104" i="15"/>
  <c r="AW104" i="65"/>
  <c r="Q104" i="5" s="1"/>
  <c r="BA104" i="73" s="1"/>
  <c r="CK104" i="15"/>
  <c r="CR104" i="15"/>
  <c r="CT104" i="15"/>
  <c r="AT117" i="65"/>
  <c r="N117" i="5" s="1"/>
  <c r="CE117" i="15"/>
  <c r="AT115" i="65"/>
  <c r="N115" i="5" s="1"/>
  <c r="CE115" i="15"/>
  <c r="AT114" i="65"/>
  <c r="N114" i="5" s="1"/>
  <c r="CE114" i="15"/>
  <c r="AT99" i="65"/>
  <c r="N99" i="5" s="1"/>
  <c r="CE99" i="15"/>
  <c r="AT94" i="65"/>
  <c r="N94" i="5" s="1"/>
  <c r="CE94" i="15"/>
  <c r="AT126" i="65"/>
  <c r="N126" i="5" s="1"/>
  <c r="CE126" i="15"/>
  <c r="AT111" i="65"/>
  <c r="N111" i="5" s="1"/>
  <c r="CE111" i="15"/>
  <c r="AT110" i="65"/>
  <c r="N110" i="5" s="1"/>
  <c r="CE110" i="15"/>
  <c r="AT96" i="65"/>
  <c r="N96" i="5" s="1"/>
  <c r="CE96" i="15"/>
  <c r="ET175" i="15"/>
  <c r="ES175" i="15"/>
  <c r="EU175" i="15"/>
  <c r="EV273" i="15"/>
  <c r="BU273" i="15"/>
  <c r="BT273" i="15"/>
  <c r="ER293" i="15"/>
  <c r="BU293" i="15"/>
  <c r="BT293" i="15"/>
  <c r="BS293" i="15" s="1"/>
  <c r="EV293" i="15"/>
  <c r="CH293" i="15" s="1"/>
  <c r="ER129" i="15"/>
  <c r="EV129" i="15"/>
  <c r="CH129" i="15" s="1"/>
  <c r="BT129" i="15"/>
  <c r="BS129" i="15" s="1"/>
  <c r="BU129" i="15"/>
  <c r="BT275" i="15"/>
  <c r="BU275" i="15"/>
  <c r="EV275" i="15"/>
  <c r="ER112" i="15"/>
  <c r="BT112" i="15"/>
  <c r="BS112" i="15" s="1"/>
  <c r="BU112" i="15"/>
  <c r="EV112" i="15"/>
  <c r="CH112" i="15" s="1"/>
  <c r="BT315" i="15"/>
  <c r="BU315" i="15"/>
  <c r="EV315" i="15"/>
  <c r="ER272" i="15"/>
  <c r="EV272" i="15"/>
  <c r="BT272" i="15"/>
  <c r="BS272" i="15" s="1"/>
  <c r="BU272" i="15"/>
  <c r="CH272" i="15"/>
  <c r="EV85" i="15"/>
  <c r="BU85" i="15"/>
  <c r="BT85" i="15"/>
  <c r="EV183" i="15"/>
  <c r="CH183" i="15" s="1"/>
  <c r="BU183" i="15"/>
  <c r="BT183" i="15"/>
  <c r="BS183" i="15" s="1"/>
  <c r="ER183" i="15"/>
  <c r="ER159" i="15"/>
  <c r="BT159" i="15"/>
  <c r="BS159" i="15" s="1"/>
  <c r="BU159" i="15"/>
  <c r="EV159" i="15"/>
  <c r="CH159" i="15" s="1"/>
  <c r="BT209" i="15"/>
  <c r="EV209" i="15"/>
  <c r="BU209" i="15"/>
  <c r="ER349" i="15"/>
  <c r="BT349" i="15"/>
  <c r="BS349" i="15" s="1"/>
  <c r="BU349" i="15"/>
  <c r="EV349" i="15"/>
  <c r="CH349" i="15" s="1"/>
  <c r="ER249" i="15"/>
  <c r="BU249" i="15"/>
  <c r="EV249" i="15"/>
  <c r="CH249" i="15" s="1"/>
  <c r="BT249" i="15"/>
  <c r="BS249" i="15" s="1"/>
  <c r="BU227" i="15"/>
  <c r="BT227" i="15"/>
  <c r="EV227" i="15"/>
  <c r="EV167" i="15"/>
  <c r="CH167" i="15" s="1"/>
  <c r="BT167" i="15"/>
  <c r="BS167" i="15" s="1"/>
  <c r="BU167" i="15"/>
  <c r="ER167" i="15"/>
  <c r="ER285" i="15"/>
  <c r="EV285" i="15"/>
  <c r="BU285" i="15"/>
  <c r="CH285" i="15"/>
  <c r="BT285" i="15"/>
  <c r="BS285" i="15" s="1"/>
  <c r="ER329" i="15"/>
  <c r="BT329" i="15"/>
  <c r="BS329" i="15" s="1"/>
  <c r="EV329" i="15"/>
  <c r="CH329" i="15" s="1"/>
  <c r="BU329" i="15"/>
  <c r="ER280" i="15"/>
  <c r="EV280" i="15"/>
  <c r="CH280" i="15" s="1"/>
  <c r="BT280" i="15"/>
  <c r="BS280" i="15" s="1"/>
  <c r="BU280" i="15"/>
  <c r="BU325" i="15"/>
  <c r="BT325" i="15"/>
  <c r="EV325" i="15"/>
  <c r="ES307" i="15"/>
  <c r="ET307" i="15"/>
  <c r="EU307" i="15"/>
  <c r="ES137" i="15"/>
  <c r="EU137" i="15"/>
  <c r="ET137" i="15"/>
  <c r="BS127" i="15"/>
  <c r="CE106" i="15"/>
  <c r="AT95" i="65"/>
  <c r="N95" i="5" s="1"/>
  <c r="CE95" i="15"/>
  <c r="AT118" i="65"/>
  <c r="N118" i="5" s="1"/>
  <c r="CE118" i="15"/>
  <c r="AT120" i="65"/>
  <c r="N120" i="5" s="1"/>
  <c r="CE120" i="15"/>
  <c r="AT113" i="65"/>
  <c r="N113" i="5" s="1"/>
  <c r="CE113" i="15"/>
  <c r="AT92" i="65"/>
  <c r="N92" i="5" s="1"/>
  <c r="CE92" i="15"/>
  <c r="BU267" i="15"/>
  <c r="EV267" i="15"/>
  <c r="BT267" i="15"/>
  <c r="BU239" i="15"/>
  <c r="ER239" i="15"/>
  <c r="BT239" i="15"/>
  <c r="BS239" i="15" s="1"/>
  <c r="EV239" i="15"/>
  <c r="CH239" i="15" s="1"/>
  <c r="BT299" i="15"/>
  <c r="BS299" i="15" s="1"/>
  <c r="ER299" i="15"/>
  <c r="BU299" i="15"/>
  <c r="EV299" i="15"/>
  <c r="CH299" i="15" s="1"/>
  <c r="BU98" i="15"/>
  <c r="EV98" i="15"/>
  <c r="BT98" i="15"/>
  <c r="BS98" i="15" s="1"/>
  <c r="CH98" i="15"/>
  <c r="ER98" i="15"/>
  <c r="EV255" i="15"/>
  <c r="BT255" i="15"/>
  <c r="BU255" i="15"/>
  <c r="BU331" i="15"/>
  <c r="BT331" i="15"/>
  <c r="EV331" i="15"/>
  <c r="BU289" i="15"/>
  <c r="EV289" i="15"/>
  <c r="BT289" i="15"/>
  <c r="BT304" i="15"/>
  <c r="BU304" i="15"/>
  <c r="EV304" i="15"/>
  <c r="CX297" i="15"/>
  <c r="CX287" i="15"/>
  <c r="CH102" i="15"/>
  <c r="CE97" i="15"/>
  <c r="CE101" i="15"/>
  <c r="BK26" i="15"/>
  <c r="BN26" i="15" s="1"/>
  <c r="BH26" i="15"/>
  <c r="BL26" i="15" s="1"/>
  <c r="BJ26" i="15"/>
  <c r="BM26" i="15" s="1"/>
  <c r="DJ172" i="15"/>
  <c r="EJ172" i="15" s="1"/>
  <c r="AZ172" i="65"/>
  <c r="DJ140" i="15"/>
  <c r="EJ140" i="15" s="1"/>
  <c r="AZ140" i="65"/>
  <c r="AZ161" i="65"/>
  <c r="DJ161" i="15"/>
  <c r="EJ161" i="15" s="1"/>
  <c r="AZ154" i="65"/>
  <c r="DJ154" i="15"/>
  <c r="EJ154" i="15" s="1"/>
  <c r="DJ138" i="15"/>
  <c r="EJ138" i="15" s="1"/>
  <c r="AZ138" i="65"/>
  <c r="AZ171" i="65"/>
  <c r="DJ171" i="15"/>
  <c r="EJ171" i="15" s="1"/>
  <c r="DJ166" i="15"/>
  <c r="EJ166" i="15" s="1"/>
  <c r="AZ166" i="65"/>
  <c r="AZ287" i="65"/>
  <c r="DJ287" i="15"/>
  <c r="EJ287" i="15" s="1"/>
  <c r="DJ295" i="15"/>
  <c r="EJ295" i="15" s="1"/>
  <c r="AZ295" i="65"/>
  <c r="AZ320" i="65"/>
  <c r="DJ320" i="15"/>
  <c r="EJ320" i="15" s="1"/>
  <c r="EN137" i="15"/>
  <c r="BA137" i="65"/>
  <c r="DK137" i="15"/>
  <c r="DR137" i="15"/>
  <c r="AZ337" i="65"/>
  <c r="DJ337" i="15"/>
  <c r="EJ337" i="15" s="1"/>
  <c r="AZ307" i="65"/>
  <c r="DJ307" i="15"/>
  <c r="EJ307" i="15" s="1"/>
  <c r="CX131" i="15"/>
  <c r="CX172" i="15"/>
  <c r="CX133" i="15"/>
  <c r="CX140" i="15"/>
  <c r="CX155" i="15"/>
  <c r="CX173" i="15"/>
  <c r="CX171" i="15"/>
  <c r="CX166" i="15"/>
  <c r="CX292" i="15"/>
  <c r="CX301" i="15"/>
  <c r="CX303" i="15"/>
  <c r="CX320" i="15"/>
  <c r="CX283" i="15"/>
  <c r="CX277" i="15"/>
  <c r="CX321" i="15"/>
  <c r="CX291" i="15"/>
  <c r="CX307" i="15"/>
  <c r="CX177" i="15"/>
  <c r="CX189" i="15"/>
  <c r="CX197" i="15"/>
  <c r="AZ201" i="65"/>
  <c r="DJ201" i="15"/>
  <c r="EJ201" i="15" s="1"/>
  <c r="DJ151" i="15"/>
  <c r="EJ151" i="15" s="1"/>
  <c r="AZ151" i="65"/>
  <c r="AZ149" i="65"/>
  <c r="DJ149" i="15"/>
  <c r="EJ149" i="15" s="1"/>
  <c r="DJ156" i="15"/>
  <c r="EJ156" i="15" s="1"/>
  <c r="AZ156" i="65"/>
  <c r="DJ279" i="15"/>
  <c r="EJ279" i="15" s="1"/>
  <c r="AZ279" i="65"/>
  <c r="AZ311" i="65"/>
  <c r="DJ311" i="15"/>
  <c r="EJ311" i="15" s="1"/>
  <c r="DJ283" i="15"/>
  <c r="EJ283" i="15" s="1"/>
  <c r="AZ283" i="65"/>
  <c r="DJ291" i="15"/>
  <c r="EJ291" i="15" s="1"/>
  <c r="AZ291" i="65"/>
  <c r="DK181" i="15"/>
  <c r="BA181" i="65"/>
  <c r="DR181" i="15"/>
  <c r="EN181" i="15"/>
  <c r="AZ323" i="65"/>
  <c r="DJ323" i="15"/>
  <c r="EJ323" i="15" s="1"/>
  <c r="AZ335" i="65"/>
  <c r="DJ335" i="15"/>
  <c r="EJ335" i="15" s="1"/>
  <c r="DJ303" i="15"/>
  <c r="EJ303" i="15" s="1"/>
  <c r="AZ303" i="65"/>
  <c r="DJ152" i="15"/>
  <c r="EJ152" i="15" s="1"/>
  <c r="AZ152" i="65"/>
  <c r="AZ343" i="65"/>
  <c r="DJ343" i="15"/>
  <c r="EJ343" i="15" s="1"/>
  <c r="AZ179" i="65"/>
  <c r="DJ179" i="15"/>
  <c r="EJ179" i="15" s="1"/>
  <c r="CX149" i="15"/>
  <c r="CX156" i="15"/>
  <c r="CX295" i="15"/>
  <c r="CX309" i="15"/>
  <c r="CX288" i="15"/>
  <c r="CX279" i="15"/>
  <c r="CX311" i="15"/>
  <c r="CX343" i="15"/>
  <c r="CX233" i="15"/>
  <c r="CX195" i="15"/>
  <c r="CX165" i="15"/>
  <c r="CX179" i="15"/>
  <c r="CX80" i="15"/>
  <c r="CZ80" i="15" s="1"/>
  <c r="DB80" i="15" s="1"/>
  <c r="ES341" i="15"/>
  <c r="ET341" i="15"/>
  <c r="EU341" i="15"/>
  <c r="EX265" i="15"/>
  <c r="EY265" i="15"/>
  <c r="EZ265" i="15"/>
  <c r="EY243" i="15"/>
  <c r="EZ243" i="15"/>
  <c r="EX243" i="15"/>
  <c r="CK183" i="15"/>
  <c r="DF183" i="15" s="1"/>
  <c r="DI183" i="15" s="1"/>
  <c r="BB183" i="65" s="1"/>
  <c r="CJ183" i="15"/>
  <c r="DE183" i="15" s="1"/>
  <c r="DH183" i="15" s="1"/>
  <c r="CV183" i="15"/>
  <c r="AW183" i="65"/>
  <c r="CI183" i="15"/>
  <c r="CT183" i="15"/>
  <c r="CR183" i="15"/>
  <c r="CW183" i="15"/>
  <c r="CK83" i="15"/>
  <c r="DF83" i="15" s="1"/>
  <c r="DI83" i="15" s="1"/>
  <c r="BB83" i="65" s="1"/>
  <c r="V83" i="5" s="1"/>
  <c r="CJ83" i="15"/>
  <c r="DE83" i="15" s="1"/>
  <c r="DH83" i="15" s="1"/>
  <c r="CI83" i="15"/>
  <c r="CR83" i="15"/>
  <c r="CV83" i="15"/>
  <c r="CT83" i="15"/>
  <c r="CW83" i="15"/>
  <c r="AW83" i="65"/>
  <c r="Q83" i="5" s="1"/>
  <c r="BA83" i="73" s="1"/>
  <c r="CI175" i="15"/>
  <c r="CU175" i="15" s="1"/>
  <c r="CT175" i="15"/>
  <c r="CW175" i="15"/>
  <c r="CK175" i="15"/>
  <c r="CJ175" i="15"/>
  <c r="CS175" i="15" s="1"/>
  <c r="CR175" i="15"/>
  <c r="AW175" i="65"/>
  <c r="CV175" i="15"/>
  <c r="EX207" i="15"/>
  <c r="EY207" i="15"/>
  <c r="EZ207" i="15"/>
  <c r="CI207" i="15"/>
  <c r="CK207" i="15"/>
  <c r="DF207" i="15" s="1"/>
  <c r="DI207" i="15" s="1"/>
  <c r="BB207" i="65" s="1"/>
  <c r="CJ207" i="15"/>
  <c r="DE207" i="15" s="1"/>
  <c r="DH207" i="15" s="1"/>
  <c r="CV207" i="15"/>
  <c r="CT207" i="15"/>
  <c r="CW207" i="15"/>
  <c r="AW207" i="65"/>
  <c r="CR207" i="15"/>
  <c r="CI257" i="15"/>
  <c r="AW257" i="65"/>
  <c r="CT257" i="15"/>
  <c r="CK257" i="15"/>
  <c r="DF257" i="15" s="1"/>
  <c r="DI257" i="15" s="1"/>
  <c r="BB257" i="65" s="1"/>
  <c r="CJ257" i="15"/>
  <c r="DE257" i="15" s="1"/>
  <c r="DH257" i="15" s="1"/>
  <c r="CR257" i="15"/>
  <c r="CW257" i="15"/>
  <c r="CV257" i="15"/>
  <c r="EY257" i="15"/>
  <c r="EZ257" i="15"/>
  <c r="EX257" i="15"/>
  <c r="CK241" i="15"/>
  <c r="DF241" i="15" s="1"/>
  <c r="DI241" i="15" s="1"/>
  <c r="BB241" i="65" s="1"/>
  <c r="CJ241" i="15"/>
  <c r="DE241" i="15" s="1"/>
  <c r="DH241" i="15" s="1"/>
  <c r="AW241" i="65"/>
  <c r="CV241" i="15"/>
  <c r="CI241" i="15"/>
  <c r="CU241" i="15" s="1"/>
  <c r="CT241" i="15"/>
  <c r="CR241" i="15"/>
  <c r="CW241" i="15"/>
  <c r="CH289" i="15"/>
  <c r="EW289" i="15"/>
  <c r="BS289" i="15"/>
  <c r="ES319" i="15"/>
  <c r="ET319" i="15"/>
  <c r="EU319" i="15"/>
  <c r="ES331" i="15"/>
  <c r="ET331" i="15"/>
  <c r="EU331" i="15"/>
  <c r="ES339" i="15"/>
  <c r="ET339" i="15"/>
  <c r="EU339" i="15"/>
  <c r="ET273" i="15"/>
  <c r="EU273" i="15"/>
  <c r="ES273" i="15"/>
  <c r="CH227" i="15"/>
  <c r="EW227" i="15"/>
  <c r="BS227" i="15"/>
  <c r="BS275" i="15"/>
  <c r="EW275" i="15"/>
  <c r="CH275" i="15"/>
  <c r="BS255" i="15"/>
  <c r="CH255" i="15"/>
  <c r="EW255" i="15"/>
  <c r="BS85" i="15"/>
  <c r="EW85" i="15"/>
  <c r="CH85" i="15"/>
  <c r="EW276" i="15"/>
  <c r="BS276" i="15"/>
  <c r="CH276" i="15"/>
  <c r="ET231" i="15"/>
  <c r="EU231" i="15"/>
  <c r="ES231" i="15"/>
  <c r="ET345" i="15"/>
  <c r="EU345" i="15"/>
  <c r="ES345" i="15"/>
  <c r="EW185" i="15"/>
  <c r="BS185" i="15"/>
  <c r="CH185" i="15"/>
  <c r="ES223" i="15"/>
  <c r="ET223" i="15"/>
  <c r="EU223" i="15"/>
  <c r="EW341" i="15"/>
  <c r="BS341" i="15"/>
  <c r="CH341" i="15"/>
  <c r="ES235" i="15"/>
  <c r="EU235" i="15"/>
  <c r="ET235" i="15"/>
  <c r="CK225" i="15"/>
  <c r="DF225" i="15" s="1"/>
  <c r="DI225" i="15" s="1"/>
  <c r="BB225" i="65" s="1"/>
  <c r="CJ225" i="15"/>
  <c r="DE225" i="15" s="1"/>
  <c r="DH225" i="15" s="1"/>
  <c r="CI225" i="15"/>
  <c r="CS225" i="15"/>
  <c r="CU225" i="15"/>
  <c r="CW225" i="15"/>
  <c r="CT225" i="15"/>
  <c r="AW225" i="65"/>
  <c r="CV225" i="15"/>
  <c r="CR225" i="15"/>
  <c r="CI157" i="15"/>
  <c r="CK157" i="15"/>
  <c r="DF157" i="15" s="1"/>
  <c r="DI157" i="15" s="1"/>
  <c r="BB157" i="65" s="1"/>
  <c r="CJ157" i="15"/>
  <c r="DE157" i="15" s="1"/>
  <c r="DH157" i="15" s="1"/>
  <c r="CT157" i="15"/>
  <c r="CR157" i="15"/>
  <c r="AW157" i="65"/>
  <c r="CW157" i="15"/>
  <c r="CV157" i="15"/>
  <c r="EY163" i="15"/>
  <c r="EZ163" i="15"/>
  <c r="EX163" i="15"/>
  <c r="CI221" i="15"/>
  <c r="CU221" i="15" s="1"/>
  <c r="AW221" i="65"/>
  <c r="CR221" i="15"/>
  <c r="CV221" i="15"/>
  <c r="CK221" i="15"/>
  <c r="DF221" i="15" s="1"/>
  <c r="DI221" i="15" s="1"/>
  <c r="BB221" i="65" s="1"/>
  <c r="CJ221" i="15"/>
  <c r="DE221" i="15" s="1"/>
  <c r="DH221" i="15" s="1"/>
  <c r="CW221" i="15"/>
  <c r="CT221" i="15"/>
  <c r="EX199" i="15"/>
  <c r="EY199" i="15"/>
  <c r="EZ199" i="15"/>
  <c r="CI199" i="15"/>
  <c r="CK199" i="15"/>
  <c r="DF199" i="15" s="1"/>
  <c r="DI199" i="15" s="1"/>
  <c r="BB199" i="65" s="1"/>
  <c r="CJ199" i="15"/>
  <c r="DE199" i="15" s="1"/>
  <c r="DH199" i="15" s="1"/>
  <c r="CW199" i="15"/>
  <c r="AW199" i="65"/>
  <c r="CT199" i="15"/>
  <c r="CV199" i="15"/>
  <c r="CR199" i="15"/>
  <c r="ES347" i="15"/>
  <c r="ET347" i="15"/>
  <c r="EU347" i="15"/>
  <c r="EW325" i="15"/>
  <c r="CH325" i="15"/>
  <c r="BS325" i="15"/>
  <c r="ES317" i="15"/>
  <c r="ET317" i="15"/>
  <c r="EU317" i="15"/>
  <c r="BS141" i="15"/>
  <c r="EW141" i="15"/>
  <c r="CH141" i="15"/>
  <c r="EW281" i="15"/>
  <c r="CH281" i="15"/>
  <c r="BS281" i="15"/>
  <c r="CH315" i="15"/>
  <c r="BS315" i="15"/>
  <c r="EW315" i="15"/>
  <c r="ET103" i="15"/>
  <c r="EU103" i="15"/>
  <c r="ES103" i="15"/>
  <c r="EW327" i="15"/>
  <c r="CH327" i="15"/>
  <c r="BS327" i="15"/>
  <c r="ES271" i="15"/>
  <c r="ET271" i="15"/>
  <c r="EU271" i="15"/>
  <c r="ES217" i="15"/>
  <c r="ET217" i="15"/>
  <c r="EU217" i="15"/>
  <c r="ET209" i="15"/>
  <c r="EU209" i="15"/>
  <c r="ES209" i="15"/>
  <c r="ES203" i="15"/>
  <c r="ET203" i="15"/>
  <c r="EU203" i="15"/>
  <c r="ES267" i="15"/>
  <c r="ET267" i="15"/>
  <c r="EU267" i="15"/>
  <c r="CH304" i="15"/>
  <c r="BS304" i="15"/>
  <c r="EW304" i="15"/>
  <c r="DI321" i="15"/>
  <c r="BB321" i="65" s="1"/>
  <c r="DI345" i="15"/>
  <c r="BB345" i="65" s="1"/>
  <c r="DR201" i="15"/>
  <c r="BA201" i="65"/>
  <c r="EW345" i="15"/>
  <c r="BS345" i="15"/>
  <c r="CK265" i="15"/>
  <c r="DF265" i="15" s="1"/>
  <c r="DI265" i="15" s="1"/>
  <c r="BB265" i="65" s="1"/>
  <c r="CJ265" i="15"/>
  <c r="DE265" i="15" s="1"/>
  <c r="DH265" i="15" s="1"/>
  <c r="CI265" i="15"/>
  <c r="AW265" i="65"/>
  <c r="CT265" i="15"/>
  <c r="CR265" i="15"/>
  <c r="CV265" i="15"/>
  <c r="CW265" i="15"/>
  <c r="CK243" i="15"/>
  <c r="DF243" i="15" s="1"/>
  <c r="DI243" i="15" s="1"/>
  <c r="BB243" i="65" s="1"/>
  <c r="CJ243" i="15"/>
  <c r="DE243" i="15" s="1"/>
  <c r="DH243" i="15" s="1"/>
  <c r="CI243" i="15"/>
  <c r="CT243" i="15"/>
  <c r="CW243" i="15"/>
  <c r="CV243" i="15"/>
  <c r="AW243" i="65"/>
  <c r="CS243" i="15"/>
  <c r="CR243" i="15"/>
  <c r="EY183" i="15"/>
  <c r="EZ183" i="15"/>
  <c r="EX183" i="15"/>
  <c r="EX83" i="15"/>
  <c r="EY83" i="15"/>
  <c r="EZ83" i="15"/>
  <c r="EY175" i="15"/>
  <c r="EZ175" i="15"/>
  <c r="EX175" i="15"/>
  <c r="EX241" i="15"/>
  <c r="EY241" i="15"/>
  <c r="EZ241" i="15"/>
  <c r="ES289" i="15"/>
  <c r="ET289" i="15"/>
  <c r="EU289" i="15"/>
  <c r="CH319" i="15"/>
  <c r="BS319" i="15"/>
  <c r="EW319" i="15"/>
  <c r="CH331" i="15"/>
  <c r="BS331" i="15"/>
  <c r="EW331" i="15"/>
  <c r="BS339" i="15"/>
  <c r="CH339" i="15"/>
  <c r="EW339" i="15"/>
  <c r="CH273" i="15"/>
  <c r="BS273" i="15"/>
  <c r="EW273" i="15"/>
  <c r="ET227" i="15"/>
  <c r="EU227" i="15"/>
  <c r="ES227" i="15"/>
  <c r="ES275" i="15"/>
  <c r="ET275" i="15"/>
  <c r="EU275" i="15"/>
  <c r="ES255" i="15"/>
  <c r="ET255" i="15"/>
  <c r="EU255" i="15"/>
  <c r="ET85" i="15"/>
  <c r="EU85" i="15"/>
  <c r="ES85" i="15"/>
  <c r="ES276" i="15"/>
  <c r="ET276" i="15"/>
  <c r="EU276" i="15"/>
  <c r="EW231" i="15"/>
  <c r="BS231" i="15"/>
  <c r="CH231" i="15"/>
  <c r="ET185" i="15"/>
  <c r="EU185" i="15"/>
  <c r="ES185" i="15"/>
  <c r="CH235" i="15"/>
  <c r="EW235" i="15"/>
  <c r="EW333" i="15"/>
  <c r="CH333" i="15"/>
  <c r="BS333" i="15"/>
  <c r="ET305" i="15"/>
  <c r="ES305" i="15"/>
  <c r="CH223" i="15"/>
  <c r="EW223" i="15"/>
  <c r="EX225" i="15"/>
  <c r="EY225" i="15"/>
  <c r="EZ225" i="15"/>
  <c r="EX157" i="15"/>
  <c r="EY157" i="15"/>
  <c r="EZ157" i="15"/>
  <c r="CK163" i="15"/>
  <c r="DF163" i="15" s="1"/>
  <c r="DI163" i="15" s="1"/>
  <c r="BB163" i="65" s="1"/>
  <c r="CJ163" i="15"/>
  <c r="DE163" i="15" s="1"/>
  <c r="DH163" i="15" s="1"/>
  <c r="CI163" i="15"/>
  <c r="CW163" i="15"/>
  <c r="AW163" i="65"/>
  <c r="CV163" i="15"/>
  <c r="CR163" i="15"/>
  <c r="CT163" i="15"/>
  <c r="EX221" i="15"/>
  <c r="EY221" i="15"/>
  <c r="EZ221" i="15"/>
  <c r="CK167" i="15"/>
  <c r="DF167" i="15" s="1"/>
  <c r="DI167" i="15" s="1"/>
  <c r="BB167" i="65" s="1"/>
  <c r="CJ167" i="15"/>
  <c r="DE167" i="15" s="1"/>
  <c r="DH167" i="15" s="1"/>
  <c r="CI167" i="15"/>
  <c r="CV167" i="15"/>
  <c r="CR167" i="15"/>
  <c r="CW167" i="15"/>
  <c r="CT167" i="15"/>
  <c r="AW167" i="65"/>
  <c r="EY167" i="15"/>
  <c r="EZ167" i="15"/>
  <c r="EX167" i="15"/>
  <c r="BS347" i="15"/>
  <c r="EW347" i="15"/>
  <c r="CH347" i="15"/>
  <c r="ET325" i="15"/>
  <c r="EU325" i="15"/>
  <c r="ES325" i="15"/>
  <c r="CH317" i="15"/>
  <c r="BS317" i="15"/>
  <c r="EW317" i="15"/>
  <c r="ES141" i="15"/>
  <c r="ET141" i="15"/>
  <c r="EU141" i="15"/>
  <c r="ET281" i="15"/>
  <c r="EU281" i="15"/>
  <c r="ES281" i="15"/>
  <c r="ET315" i="15"/>
  <c r="EU315" i="15"/>
  <c r="ES315" i="15"/>
  <c r="BS103" i="15"/>
  <c r="EW103" i="15"/>
  <c r="CH103" i="15"/>
  <c r="ES327" i="15"/>
  <c r="ET327" i="15"/>
  <c r="EU327" i="15"/>
  <c r="BS271" i="15"/>
  <c r="EW271" i="15"/>
  <c r="CH271" i="15"/>
  <c r="EW217" i="15"/>
  <c r="CH217" i="15"/>
  <c r="BS217" i="15"/>
  <c r="EY113" i="15"/>
  <c r="EZ113" i="15"/>
  <c r="EX113" i="15"/>
  <c r="EW209" i="15"/>
  <c r="BS209" i="15"/>
  <c r="CH209" i="15"/>
  <c r="CH203" i="15"/>
  <c r="BS203" i="15"/>
  <c r="EW203" i="15"/>
  <c r="EW305" i="15"/>
  <c r="CH305" i="15"/>
  <c r="EW267" i="15"/>
  <c r="CH267" i="15"/>
  <c r="BS267" i="15"/>
  <c r="ES304" i="15"/>
  <c r="ET304" i="15"/>
  <c r="EU304" i="15"/>
  <c r="DK201" i="15"/>
  <c r="DG321" i="15"/>
  <c r="AZ321" i="65" s="1"/>
  <c r="DH321" i="15"/>
  <c r="DH345" i="15"/>
  <c r="EO201" i="15"/>
  <c r="EP201" i="15"/>
  <c r="EQ201" i="15"/>
  <c r="DJ197" i="15"/>
  <c r="EJ197" i="15" s="1"/>
  <c r="AZ197" i="65"/>
  <c r="AZ205" i="65"/>
  <c r="DJ205" i="15"/>
  <c r="EJ205" i="15" s="1"/>
  <c r="DJ195" i="15"/>
  <c r="EJ195" i="15" s="1"/>
  <c r="AZ195" i="65"/>
  <c r="DJ165" i="15"/>
  <c r="EJ165" i="15" s="1"/>
  <c r="AZ165" i="65"/>
  <c r="AZ177" i="65"/>
  <c r="DJ177" i="15"/>
  <c r="EJ177" i="15" s="1"/>
  <c r="DJ189" i="15"/>
  <c r="EJ189" i="15" s="1"/>
  <c r="AZ189" i="65"/>
  <c r="DJ233" i="15"/>
  <c r="EJ233" i="15" s="1"/>
  <c r="AZ233" i="65"/>
  <c r="AZ247" i="65"/>
  <c r="DJ247" i="15"/>
  <c r="EJ247" i="15" s="1"/>
  <c r="DJ292" i="15"/>
  <c r="EJ292" i="15" s="1"/>
  <c r="AZ292" i="65"/>
  <c r="DS201" i="15"/>
  <c r="DT201" i="15"/>
  <c r="DU201" i="15"/>
  <c r="BC201" i="65"/>
  <c r="EO139" i="15"/>
  <c r="EP139" i="15"/>
  <c r="EQ139" i="15"/>
  <c r="DT139" i="15"/>
  <c r="DU139" i="15"/>
  <c r="DS139" i="15"/>
  <c r="BC139" i="65"/>
  <c r="EP181" i="15"/>
  <c r="EQ181" i="15"/>
  <c r="EO181" i="15"/>
  <c r="DT181" i="15"/>
  <c r="DU181" i="15"/>
  <c r="DS181" i="15"/>
  <c r="BC181" i="65"/>
  <c r="DR197" i="15"/>
  <c r="EN197" i="15"/>
  <c r="DK197" i="15"/>
  <c r="BA197" i="65"/>
  <c r="DR205" i="15"/>
  <c r="DK205" i="15"/>
  <c r="EN205" i="15"/>
  <c r="BA205" i="65"/>
  <c r="DR195" i="15"/>
  <c r="DK195" i="15"/>
  <c r="EN195" i="15"/>
  <c r="BA195" i="65"/>
  <c r="DR323" i="15"/>
  <c r="EN323" i="15"/>
  <c r="BA323" i="65"/>
  <c r="DK323" i="15"/>
  <c r="DK335" i="15"/>
  <c r="DR335" i="15"/>
  <c r="EN335" i="15"/>
  <c r="BA335" i="65"/>
  <c r="DR291" i="15"/>
  <c r="BA291" i="65"/>
  <c r="DK291" i="15"/>
  <c r="EN291" i="15"/>
  <c r="DR297" i="15"/>
  <c r="BA297" i="65"/>
  <c r="DK297" i="15"/>
  <c r="EN297" i="15"/>
  <c r="DR287" i="15"/>
  <c r="EN287" i="15"/>
  <c r="BA287" i="65"/>
  <c r="DK287" i="15"/>
  <c r="DR279" i="15"/>
  <c r="BA279" i="65"/>
  <c r="EN279" i="15"/>
  <c r="DK279" i="15"/>
  <c r="DR311" i="15"/>
  <c r="EN311" i="15"/>
  <c r="BA311" i="65"/>
  <c r="DK311" i="15"/>
  <c r="DR295" i="15"/>
  <c r="EN295" i="15"/>
  <c r="DK295" i="15"/>
  <c r="BA295" i="65"/>
  <c r="DR277" i="15"/>
  <c r="EN277" i="15"/>
  <c r="DK277" i="15"/>
  <c r="BA277" i="65"/>
  <c r="DR173" i="15"/>
  <c r="BA173" i="65"/>
  <c r="DK173" i="15"/>
  <c r="EN173" i="15"/>
  <c r="DR172" i="15"/>
  <c r="DK172" i="15"/>
  <c r="BA172" i="65"/>
  <c r="EN172" i="15"/>
  <c r="DR152" i="15"/>
  <c r="DK152" i="15"/>
  <c r="EN152" i="15"/>
  <c r="BA152" i="65"/>
  <c r="DR171" i="15"/>
  <c r="EN171" i="15"/>
  <c r="BA171" i="65"/>
  <c r="DK171" i="15"/>
  <c r="DR161" i="15"/>
  <c r="DK161" i="15"/>
  <c r="EN161" i="15"/>
  <c r="BA161" i="65"/>
  <c r="DR170" i="15"/>
  <c r="BA170" i="65"/>
  <c r="DK170" i="15"/>
  <c r="EN170" i="15"/>
  <c r="DR145" i="15"/>
  <c r="BA145" i="65"/>
  <c r="DK145" i="15"/>
  <c r="EN145" i="15"/>
  <c r="DR165" i="15"/>
  <c r="BA165" i="65"/>
  <c r="EN165" i="15"/>
  <c r="DK165" i="15"/>
  <c r="DR177" i="15"/>
  <c r="DK177" i="15"/>
  <c r="BA177" i="65"/>
  <c r="EN177" i="15"/>
  <c r="DR179" i="15"/>
  <c r="DK179" i="15"/>
  <c r="EN179" i="15"/>
  <c r="BA179" i="65"/>
  <c r="DR189" i="15"/>
  <c r="DK189" i="15"/>
  <c r="EN189" i="15"/>
  <c r="BA189" i="65"/>
  <c r="DK233" i="15"/>
  <c r="DR233" i="15"/>
  <c r="BA233" i="65"/>
  <c r="EN233" i="15"/>
  <c r="DR307" i="15"/>
  <c r="EN307" i="15"/>
  <c r="BA307" i="65"/>
  <c r="DK307" i="15"/>
  <c r="DK343" i="15"/>
  <c r="DR343" i="15"/>
  <c r="BA343" i="65"/>
  <c r="EN343" i="15"/>
  <c r="DR247" i="15"/>
  <c r="DK247" i="15"/>
  <c r="BA247" i="65"/>
  <c r="EN247" i="15"/>
  <c r="DR337" i="15"/>
  <c r="BA337" i="65"/>
  <c r="EN337" i="15"/>
  <c r="DK337" i="15"/>
  <c r="DR292" i="15"/>
  <c r="EN292" i="15"/>
  <c r="BA292" i="65"/>
  <c r="DK292" i="15"/>
  <c r="DR284" i="15"/>
  <c r="DK284" i="15"/>
  <c r="BA284" i="65"/>
  <c r="EN284" i="15"/>
  <c r="DR301" i="15"/>
  <c r="DK301" i="15"/>
  <c r="BA301" i="65"/>
  <c r="EN301" i="15"/>
  <c r="DR309" i="15"/>
  <c r="DK309" i="15"/>
  <c r="BA309" i="65"/>
  <c r="EN309" i="15"/>
  <c r="DR303" i="15"/>
  <c r="EN303" i="15"/>
  <c r="DK303" i="15"/>
  <c r="BA303" i="65"/>
  <c r="DR283" i="15"/>
  <c r="BA283" i="65"/>
  <c r="DK283" i="15"/>
  <c r="EN283" i="15"/>
  <c r="DR320" i="15"/>
  <c r="BA320" i="65"/>
  <c r="DK320" i="15"/>
  <c r="EN320" i="15"/>
  <c r="DR288" i="15"/>
  <c r="EN288" i="15"/>
  <c r="BA288" i="65"/>
  <c r="DK288" i="15"/>
  <c r="DR131" i="15"/>
  <c r="EN131" i="15"/>
  <c r="DK131" i="15"/>
  <c r="BA131" i="65"/>
  <c r="DR138" i="15"/>
  <c r="BA138" i="65"/>
  <c r="EN138" i="15"/>
  <c r="DK138" i="15"/>
  <c r="DR151" i="15"/>
  <c r="EN151" i="15"/>
  <c r="DK151" i="15"/>
  <c r="BA151" i="65"/>
  <c r="DR149" i="15"/>
  <c r="EN149" i="15"/>
  <c r="BA149" i="65"/>
  <c r="DK149" i="15"/>
  <c r="DR166" i="15"/>
  <c r="BA166" i="65"/>
  <c r="EN166" i="15"/>
  <c r="DK166" i="15"/>
  <c r="DR133" i="15"/>
  <c r="EN133" i="15"/>
  <c r="DK133" i="15"/>
  <c r="BA133" i="65"/>
  <c r="DR140" i="15"/>
  <c r="EN140" i="15"/>
  <c r="BA140" i="65"/>
  <c r="DK140" i="15"/>
  <c r="DR147" i="15"/>
  <c r="EN147" i="15"/>
  <c r="BA147" i="65"/>
  <c r="DK147" i="15"/>
  <c r="DR136" i="15"/>
  <c r="BA136" i="65"/>
  <c r="EN136" i="15"/>
  <c r="DK136" i="15"/>
  <c r="DR156" i="15"/>
  <c r="DK156" i="15"/>
  <c r="BA156" i="65"/>
  <c r="EN156" i="15"/>
  <c r="DR154" i="15"/>
  <c r="EN154" i="15"/>
  <c r="DK154" i="15"/>
  <c r="BA154" i="65"/>
  <c r="DR155" i="15"/>
  <c r="DK155" i="15"/>
  <c r="BA155" i="65"/>
  <c r="EN155" i="15"/>
  <c r="EK179" i="15"/>
  <c r="EL179" i="15"/>
  <c r="EM179" i="15"/>
  <c r="EL323" i="15"/>
  <c r="EM323" i="15"/>
  <c r="EK323" i="15"/>
  <c r="EK335" i="15"/>
  <c r="EL335" i="15"/>
  <c r="EM335" i="15"/>
  <c r="EL311" i="15"/>
  <c r="EM311" i="15"/>
  <c r="EK311" i="15"/>
  <c r="EK303" i="15"/>
  <c r="EL303" i="15"/>
  <c r="EM303" i="15"/>
  <c r="EM138" i="15"/>
  <c r="EK138" i="15"/>
  <c r="EL138" i="15"/>
  <c r="EL151" i="15"/>
  <c r="EM151" i="15"/>
  <c r="EK151" i="15"/>
  <c r="EM166" i="15"/>
  <c r="EK166" i="15"/>
  <c r="EL166" i="15"/>
  <c r="EM140" i="15"/>
  <c r="EK140" i="15"/>
  <c r="EL140" i="15"/>
  <c r="EK291" i="15"/>
  <c r="EL291" i="15"/>
  <c r="EM291" i="15"/>
  <c r="EL295" i="15"/>
  <c r="EM295" i="15"/>
  <c r="EK295" i="15"/>
  <c r="EK152" i="15"/>
  <c r="EL152" i="15"/>
  <c r="EM152" i="15"/>
  <c r="AZ181" i="65"/>
  <c r="DJ181" i="15"/>
  <c r="EJ181" i="15" s="1"/>
  <c r="EK343" i="15"/>
  <c r="EL343" i="15"/>
  <c r="EM343" i="15"/>
  <c r="EK320" i="15"/>
  <c r="EL320" i="15"/>
  <c r="EM320" i="15"/>
  <c r="EK154" i="15"/>
  <c r="EL154" i="15"/>
  <c r="EM154" i="15"/>
  <c r="DC111" i="15"/>
  <c r="AY111" i="65" s="1"/>
  <c r="S111" i="5" s="1"/>
  <c r="DC113" i="15"/>
  <c r="AY113" i="65" s="1"/>
  <c r="S113" i="5" s="1"/>
  <c r="J15" i="5"/>
  <c r="I16" i="5"/>
  <c r="I15" i="5"/>
  <c r="EY251" i="15"/>
  <c r="EZ251" i="15"/>
  <c r="EX251" i="15"/>
  <c r="EX193" i="15"/>
  <c r="EY193" i="15"/>
  <c r="EZ193" i="15"/>
  <c r="CI253" i="15"/>
  <c r="CT253" i="15"/>
  <c r="CV253" i="15"/>
  <c r="AW253" i="65"/>
  <c r="CK253" i="15"/>
  <c r="CJ253" i="15"/>
  <c r="DE253" i="15" s="1"/>
  <c r="DH253" i="15" s="1"/>
  <c r="CU253" i="15"/>
  <c r="CR253" i="15"/>
  <c r="CW253" i="15"/>
  <c r="CI237" i="15"/>
  <c r="CU237" i="15" s="1"/>
  <c r="CW237" i="15"/>
  <c r="CV237" i="15"/>
  <c r="CK237" i="15"/>
  <c r="CJ237" i="15"/>
  <c r="DE237" i="15" s="1"/>
  <c r="DH237" i="15" s="1"/>
  <c r="CR237" i="15"/>
  <c r="CT237" i="15"/>
  <c r="AW237" i="65"/>
  <c r="EX269" i="15"/>
  <c r="EY269" i="15"/>
  <c r="EZ269" i="15"/>
  <c r="CK245" i="15"/>
  <c r="CJ245" i="15"/>
  <c r="DE245" i="15" s="1"/>
  <c r="DH245" i="15" s="1"/>
  <c r="CV245" i="15"/>
  <c r="CR245" i="15"/>
  <c r="CI245" i="15"/>
  <c r="AW245" i="65"/>
  <c r="CT245" i="15"/>
  <c r="CW245" i="15"/>
  <c r="EY245" i="15"/>
  <c r="EZ245" i="15"/>
  <c r="EX245" i="15"/>
  <c r="EX219" i="15"/>
  <c r="EY219" i="15"/>
  <c r="EZ219" i="15"/>
  <c r="CK219" i="15"/>
  <c r="CJ219" i="15"/>
  <c r="DE219" i="15" s="1"/>
  <c r="DH219" i="15" s="1"/>
  <c r="CV219" i="15"/>
  <c r="AW219" i="65"/>
  <c r="CR219" i="15"/>
  <c r="CI219" i="15"/>
  <c r="CT219" i="15"/>
  <c r="CS219" i="15"/>
  <c r="CW219" i="15"/>
  <c r="CI251" i="15"/>
  <c r="AW251" i="65"/>
  <c r="CV251" i="15"/>
  <c r="CT251" i="15"/>
  <c r="CK251" i="15"/>
  <c r="CJ251" i="15"/>
  <c r="DE251" i="15" s="1"/>
  <c r="DH251" i="15" s="1"/>
  <c r="CR251" i="15"/>
  <c r="CW251" i="15"/>
  <c r="CK193" i="15"/>
  <c r="CJ193" i="15"/>
  <c r="DE193" i="15" s="1"/>
  <c r="DH193" i="15" s="1"/>
  <c r="AW193" i="65"/>
  <c r="CT193" i="15"/>
  <c r="CI193" i="15"/>
  <c r="CR193" i="15"/>
  <c r="CW193" i="15"/>
  <c r="CV193" i="15"/>
  <c r="CK213" i="15"/>
  <c r="CJ213" i="15"/>
  <c r="DE213" i="15" s="1"/>
  <c r="DH213" i="15" s="1"/>
  <c r="CW213" i="15"/>
  <c r="CS213" i="15"/>
  <c r="AW213" i="65"/>
  <c r="CI213" i="15"/>
  <c r="CR213" i="15"/>
  <c r="CV213" i="15"/>
  <c r="CT213" i="15"/>
  <c r="CU213" i="15"/>
  <c r="EX213" i="15"/>
  <c r="EY213" i="15"/>
  <c r="EZ213" i="15"/>
  <c r="EX253" i="15"/>
  <c r="EY253" i="15"/>
  <c r="EZ253" i="15"/>
  <c r="EX237" i="15"/>
  <c r="EY237" i="15"/>
  <c r="EZ237" i="15"/>
  <c r="EY135" i="15"/>
  <c r="EZ135" i="15"/>
  <c r="EX135" i="15"/>
  <c r="CK135" i="15"/>
  <c r="CJ135" i="15"/>
  <c r="DE135" i="15" s="1"/>
  <c r="DH135" i="15" s="1"/>
  <c r="CV135" i="15"/>
  <c r="CW135" i="15"/>
  <c r="CR135" i="15"/>
  <c r="CI135" i="15"/>
  <c r="CT135" i="15"/>
  <c r="AW135" i="65"/>
  <c r="CK269" i="15"/>
  <c r="CJ269" i="15"/>
  <c r="DE269" i="15" s="1"/>
  <c r="DH269" i="15" s="1"/>
  <c r="CT269" i="15"/>
  <c r="CV269" i="15"/>
  <c r="CR269" i="15"/>
  <c r="CI269" i="15"/>
  <c r="CU269" i="15" s="1"/>
  <c r="AW269" i="65"/>
  <c r="CW269" i="15"/>
  <c r="BU38" i="15"/>
  <c r="EV38" i="15"/>
  <c r="CH38" i="15" s="1"/>
  <c r="BT38" i="15"/>
  <c r="BS38" i="15" s="1"/>
  <c r="BR89" i="15"/>
  <c r="FC89" i="15"/>
  <c r="FB89" i="15" s="1"/>
  <c r="FA89" i="15" s="1"/>
  <c r="BG89" i="65" s="1"/>
  <c r="AG89" i="5" s="1"/>
  <c r="BR63" i="15"/>
  <c r="BR68" i="15"/>
  <c r="CI229" i="15"/>
  <c r="AW229" i="65"/>
  <c r="CT229" i="15"/>
  <c r="CK229" i="15"/>
  <c r="CJ229" i="15"/>
  <c r="DE229" i="15" s="1"/>
  <c r="DH229" i="15" s="1"/>
  <c r="CV229" i="15"/>
  <c r="CW229" i="15"/>
  <c r="CR229" i="15"/>
  <c r="CU229" i="15"/>
  <c r="EX229" i="15"/>
  <c r="EY229" i="15"/>
  <c r="EZ229" i="15"/>
  <c r="AV126" i="82"/>
  <c r="AV120" i="82"/>
  <c r="AW113" i="82"/>
  <c r="AT121" i="82"/>
  <c r="AT121" i="84"/>
  <c r="AT121" i="83"/>
  <c r="AT121" i="85"/>
  <c r="AT121" i="86"/>
  <c r="AT121" i="88"/>
  <c r="AT121" i="90"/>
  <c r="AT121" i="87"/>
  <c r="AT121" i="89"/>
  <c r="AT109" i="82"/>
  <c r="AT109" i="84"/>
  <c r="AT109" i="83"/>
  <c r="AT109" i="85"/>
  <c r="AT109" i="86"/>
  <c r="AT109" i="88"/>
  <c r="AT109" i="90"/>
  <c r="AT109" i="87"/>
  <c r="AT109" i="89"/>
  <c r="AT125" i="82"/>
  <c r="AT125" i="84"/>
  <c r="AT125" i="83"/>
  <c r="AT125" i="85"/>
  <c r="AT125" i="86"/>
  <c r="AT125" i="88"/>
  <c r="AT125" i="90"/>
  <c r="AT125" i="87"/>
  <c r="AT125" i="89"/>
  <c r="AT107" i="82"/>
  <c r="AT107" i="84"/>
  <c r="AT107" i="83"/>
  <c r="AT107" i="85"/>
  <c r="AT107" i="86"/>
  <c r="AT107" i="88"/>
  <c r="AT107" i="90"/>
  <c r="AT107" i="87"/>
  <c r="AT107" i="89"/>
  <c r="AT58" i="82"/>
  <c r="AT58" i="83"/>
  <c r="AT58" i="84"/>
  <c r="AT58" i="86"/>
  <c r="AT58" i="85"/>
  <c r="AT58" i="87"/>
  <c r="AT58" i="89"/>
  <c r="AT58" i="88"/>
  <c r="AT58" i="90"/>
  <c r="BA127" i="82"/>
  <c r="BA127" i="83"/>
  <c r="BA127" i="84"/>
  <c r="BA127" i="86"/>
  <c r="BA127" i="85"/>
  <c r="BA127" i="87"/>
  <c r="BA127" i="89"/>
  <c r="BA127" i="88"/>
  <c r="BA127" i="90"/>
  <c r="BA108" i="82"/>
  <c r="BA108" i="84"/>
  <c r="BA108" i="83"/>
  <c r="BA108" i="85"/>
  <c r="BA108" i="86"/>
  <c r="BA108" i="88"/>
  <c r="BA108" i="90"/>
  <c r="BA108" i="87"/>
  <c r="BA108" i="89"/>
  <c r="AT43" i="82"/>
  <c r="AT43" i="84"/>
  <c r="AT43" i="83"/>
  <c r="AT43" i="85"/>
  <c r="AT43" i="86"/>
  <c r="AT43" i="88"/>
  <c r="AT43" i="90"/>
  <c r="AT43" i="87"/>
  <c r="AT43" i="89"/>
  <c r="AT34" i="82"/>
  <c r="AT34" i="83"/>
  <c r="AT34" i="84"/>
  <c r="AT34" i="86"/>
  <c r="AT34" i="85"/>
  <c r="AT34" i="87"/>
  <c r="AT34" i="89"/>
  <c r="AT34" i="88"/>
  <c r="AT34" i="90"/>
  <c r="AT41" i="82"/>
  <c r="AT41" i="84"/>
  <c r="AT41" i="83"/>
  <c r="AT41" i="85"/>
  <c r="AT41" i="86"/>
  <c r="AT41" i="88"/>
  <c r="AT41" i="90"/>
  <c r="AT41" i="87"/>
  <c r="AT41" i="89"/>
  <c r="AV63" i="82"/>
  <c r="AV63" i="84"/>
  <c r="AV63" i="83"/>
  <c r="AV63" i="85"/>
  <c r="AV63" i="86"/>
  <c r="AV63" i="88"/>
  <c r="AV63" i="90"/>
  <c r="AV63" i="87"/>
  <c r="AV63" i="89"/>
  <c r="AV61" i="82"/>
  <c r="AV61" i="84"/>
  <c r="AV61" i="83"/>
  <c r="AV61" i="85"/>
  <c r="AV61" i="86"/>
  <c r="AV61" i="88"/>
  <c r="AV61" i="90"/>
  <c r="AV61" i="87"/>
  <c r="AV61" i="89"/>
  <c r="BA104" i="82"/>
  <c r="BA104" i="84"/>
  <c r="BA104" i="83"/>
  <c r="BA104" i="85"/>
  <c r="BA104" i="86"/>
  <c r="BA104" i="88"/>
  <c r="BA104" i="90"/>
  <c r="BA104" i="87"/>
  <c r="BA104" i="89"/>
  <c r="AV68" i="82"/>
  <c r="AV68" i="83"/>
  <c r="AV68" i="84"/>
  <c r="AV68" i="86"/>
  <c r="AV68" i="85"/>
  <c r="AV68" i="87"/>
  <c r="AV68" i="89"/>
  <c r="AV68" i="88"/>
  <c r="AV68" i="90"/>
  <c r="BA80" i="82"/>
  <c r="BA80" i="84"/>
  <c r="BA80" i="83"/>
  <c r="BA80" i="85"/>
  <c r="BA80" i="86"/>
  <c r="BA80" i="88"/>
  <c r="BA80" i="90"/>
  <c r="BA80" i="87"/>
  <c r="BA80" i="89"/>
  <c r="AV48" i="82"/>
  <c r="AV48" i="83"/>
  <c r="AV48" i="84"/>
  <c r="AV48" i="86"/>
  <c r="AV48" i="85"/>
  <c r="AV48" i="87"/>
  <c r="AV48" i="89"/>
  <c r="AV48" i="88"/>
  <c r="AV48" i="90"/>
  <c r="AR68" i="82"/>
  <c r="AR68" i="83"/>
  <c r="AR68" i="86"/>
  <c r="AR68" i="87"/>
  <c r="AR68" i="88"/>
  <c r="AR68" i="84"/>
  <c r="AR68" i="85"/>
  <c r="AR68" i="89"/>
  <c r="AR68" i="90"/>
  <c r="AV106" i="82"/>
  <c r="AV106" i="83"/>
  <c r="AV106" i="84"/>
  <c r="AV106" i="86"/>
  <c r="AV106" i="85"/>
  <c r="AV106" i="87"/>
  <c r="AV106" i="89"/>
  <c r="AV106" i="88"/>
  <c r="AV106" i="90"/>
  <c r="AV122" i="82"/>
  <c r="AV122" i="83"/>
  <c r="AV122" i="84"/>
  <c r="AV122" i="86"/>
  <c r="AV122" i="85"/>
  <c r="AV122" i="87"/>
  <c r="AV122" i="89"/>
  <c r="AV122" i="88"/>
  <c r="AV122" i="90"/>
  <c r="AV119" i="82"/>
  <c r="AV119" i="84"/>
  <c r="AV119" i="83"/>
  <c r="AV119" i="85"/>
  <c r="AV119" i="86"/>
  <c r="AV119" i="88"/>
  <c r="AV119" i="90"/>
  <c r="AV119" i="87"/>
  <c r="AV119" i="89"/>
  <c r="AR117" i="82"/>
  <c r="AR117" i="84"/>
  <c r="AR117" i="83"/>
  <c r="AR117" i="85"/>
  <c r="AR117" i="86"/>
  <c r="AR117" i="88"/>
  <c r="AR117" i="90"/>
  <c r="AR117" i="87"/>
  <c r="AR117" i="89"/>
  <c r="AU117" i="82"/>
  <c r="AU117" i="83"/>
  <c r="AU117" i="84"/>
  <c r="AU117" i="86"/>
  <c r="AU117" i="85"/>
  <c r="AU117" i="87"/>
  <c r="AU117" i="89"/>
  <c r="AU117" i="88"/>
  <c r="AU117" i="90"/>
  <c r="AV117" i="82"/>
  <c r="AV117" i="84"/>
  <c r="AV117" i="85"/>
  <c r="AV117" i="88"/>
  <c r="AV117" i="87"/>
  <c r="AV117" i="83"/>
  <c r="AV117" i="86"/>
  <c r="AV117" i="90"/>
  <c r="AV117" i="89"/>
  <c r="AR63" i="82"/>
  <c r="AR63" i="84"/>
  <c r="AR63" i="83"/>
  <c r="AR63" i="85"/>
  <c r="AR63" i="86"/>
  <c r="AR63" i="88"/>
  <c r="AR63" i="90"/>
  <c r="AR63" i="87"/>
  <c r="AR63" i="89"/>
  <c r="AR115" i="82"/>
  <c r="AR115" i="84"/>
  <c r="AR115" i="83"/>
  <c r="AR115" i="85"/>
  <c r="AR115" i="86"/>
  <c r="AR115" i="88"/>
  <c r="AR115" i="90"/>
  <c r="AR115" i="87"/>
  <c r="AR115" i="89"/>
  <c r="AU115" i="82"/>
  <c r="AU115" i="83"/>
  <c r="AU115" i="84"/>
  <c r="AU115" i="86"/>
  <c r="AU115" i="85"/>
  <c r="AU115" i="87"/>
  <c r="AU115" i="89"/>
  <c r="AU115" i="88"/>
  <c r="AU115" i="90"/>
  <c r="AV115" i="83"/>
  <c r="AV115" i="86"/>
  <c r="AV115" i="90"/>
  <c r="AV115" i="89"/>
  <c r="AV115" i="82"/>
  <c r="AV115" i="84"/>
  <c r="AV115" i="85"/>
  <c r="AV115" i="88"/>
  <c r="AV115" i="87"/>
  <c r="AW115" i="84"/>
  <c r="AW115" i="85"/>
  <c r="AW115" i="89"/>
  <c r="AW115" i="90"/>
  <c r="AW115" i="82"/>
  <c r="AW115" i="83"/>
  <c r="AW115" i="86"/>
  <c r="AW115" i="87"/>
  <c r="AW115" i="88"/>
  <c r="AR101" i="82"/>
  <c r="AR101" i="84"/>
  <c r="AR101" i="83"/>
  <c r="AR101" i="85"/>
  <c r="AR101" i="86"/>
  <c r="AR101" i="88"/>
  <c r="AR101" i="90"/>
  <c r="AR101" i="87"/>
  <c r="AR101" i="89"/>
  <c r="AU101" i="82"/>
  <c r="AU101" i="83"/>
  <c r="AU101" i="84"/>
  <c r="AU101" i="86"/>
  <c r="AU101" i="85"/>
  <c r="AU101" i="87"/>
  <c r="AU101" i="89"/>
  <c r="AU101" i="88"/>
  <c r="AU101" i="90"/>
  <c r="AW101" i="82"/>
  <c r="AW101" i="83"/>
  <c r="AW101" i="86"/>
  <c r="AW101" i="87"/>
  <c r="AW101" i="88"/>
  <c r="AW101" i="84"/>
  <c r="AW101" i="85"/>
  <c r="AW101" i="89"/>
  <c r="AW101" i="90"/>
  <c r="AW89" i="82"/>
  <c r="AW89" i="83"/>
  <c r="AW89" i="84"/>
  <c r="AW89" i="86"/>
  <c r="AW89" i="85"/>
  <c r="AW89" i="87"/>
  <c r="AW89" i="89"/>
  <c r="AW89" i="88"/>
  <c r="AW89" i="90"/>
  <c r="AW91" i="82"/>
  <c r="AW91" i="83"/>
  <c r="AW91" i="84"/>
  <c r="AW91" i="86"/>
  <c r="AW91" i="85"/>
  <c r="AW91" i="87"/>
  <c r="AW91" i="89"/>
  <c r="AW91" i="88"/>
  <c r="AW91" i="90"/>
  <c r="AU114" i="82"/>
  <c r="AU114" i="84"/>
  <c r="AU114" i="83"/>
  <c r="AU114" i="85"/>
  <c r="AU114" i="86"/>
  <c r="AU114" i="88"/>
  <c r="AU114" i="90"/>
  <c r="AU114" i="87"/>
  <c r="AU114" i="89"/>
  <c r="AV114" i="84"/>
  <c r="AV114" i="85"/>
  <c r="AV114" i="89"/>
  <c r="AV114" i="90"/>
  <c r="AW114" i="83"/>
  <c r="AW114" i="86"/>
  <c r="AW114" i="90"/>
  <c r="AW114" i="89"/>
  <c r="AV114" i="82"/>
  <c r="AV114" i="83"/>
  <c r="AV114" i="86"/>
  <c r="AV114" i="87"/>
  <c r="AV114" i="88"/>
  <c r="AW114" i="82"/>
  <c r="AW114" i="84"/>
  <c r="AW114" i="85"/>
  <c r="AW114" i="88"/>
  <c r="AW114" i="87"/>
  <c r="AR97" i="82"/>
  <c r="AR97" i="84"/>
  <c r="AR97" i="83"/>
  <c r="AR97" i="85"/>
  <c r="AR97" i="86"/>
  <c r="AR97" i="88"/>
  <c r="AR97" i="90"/>
  <c r="AR97" i="87"/>
  <c r="AR97" i="89"/>
  <c r="AR94" i="82"/>
  <c r="AR94" i="83"/>
  <c r="AR94" i="84"/>
  <c r="AR94" i="86"/>
  <c r="AR94" i="85"/>
  <c r="AR94" i="87"/>
  <c r="AR94" i="89"/>
  <c r="AR94" i="88"/>
  <c r="AR94" i="90"/>
  <c r="AU95" i="82"/>
  <c r="AU95" i="83"/>
  <c r="AU95" i="84"/>
  <c r="AU95" i="86"/>
  <c r="AU95" i="85"/>
  <c r="AU95" i="87"/>
  <c r="AU95" i="89"/>
  <c r="AU95" i="88"/>
  <c r="AU95" i="90"/>
  <c r="AW95" i="84"/>
  <c r="AW95" i="85"/>
  <c r="AW95" i="89"/>
  <c r="AW95" i="90"/>
  <c r="AW95" i="82"/>
  <c r="AW95" i="83"/>
  <c r="AW95" i="86"/>
  <c r="AW95" i="87"/>
  <c r="AW95" i="88"/>
  <c r="AW67" i="82"/>
  <c r="AW67" i="83"/>
  <c r="AW67" i="84"/>
  <c r="AW67" i="86"/>
  <c r="AW67" i="85"/>
  <c r="AW67" i="87"/>
  <c r="AW67" i="89"/>
  <c r="AW67" i="88"/>
  <c r="AW67" i="90"/>
  <c r="AU48" i="82"/>
  <c r="AU48" i="84"/>
  <c r="AU48" i="83"/>
  <c r="AU48" i="85"/>
  <c r="AU48" i="86"/>
  <c r="AU48" i="88"/>
  <c r="AU48" i="90"/>
  <c r="AU48" i="87"/>
  <c r="AU48" i="89"/>
  <c r="AR126" i="82"/>
  <c r="AR126" i="83"/>
  <c r="AR126" i="84"/>
  <c r="AR126" i="86"/>
  <c r="AR126" i="85"/>
  <c r="AR126" i="87"/>
  <c r="AR126" i="89"/>
  <c r="AR126" i="88"/>
  <c r="AR126" i="90"/>
  <c r="AR42" i="82"/>
  <c r="AR42" i="83"/>
  <c r="AR42" i="84"/>
  <c r="AR42" i="86"/>
  <c r="AR42" i="85"/>
  <c r="AR42" i="87"/>
  <c r="AR42" i="89"/>
  <c r="AR42" i="88"/>
  <c r="AR42" i="90"/>
  <c r="AU111" i="82"/>
  <c r="AU111" i="83"/>
  <c r="AU111" i="84"/>
  <c r="AU111" i="86"/>
  <c r="AU111" i="85"/>
  <c r="AU111" i="87"/>
  <c r="AU111" i="89"/>
  <c r="AU111" i="88"/>
  <c r="AU111" i="90"/>
  <c r="AW111" i="84"/>
  <c r="AW111" i="85"/>
  <c r="AW111" i="89"/>
  <c r="AW111" i="90"/>
  <c r="AW111" i="82"/>
  <c r="AW111" i="83"/>
  <c r="AW111" i="86"/>
  <c r="AW111" i="87"/>
  <c r="AW111" i="88"/>
  <c r="AR110" i="82"/>
  <c r="AR110" i="83"/>
  <c r="AR110" i="84"/>
  <c r="AR110" i="86"/>
  <c r="AR110" i="85"/>
  <c r="AR110" i="87"/>
  <c r="AR110" i="89"/>
  <c r="AR110" i="88"/>
  <c r="AR110" i="90"/>
  <c r="AU110" i="82"/>
  <c r="AU110" i="84"/>
  <c r="AU110" i="83"/>
  <c r="AU110" i="85"/>
  <c r="AU110" i="86"/>
  <c r="AU110" i="88"/>
  <c r="AU110" i="90"/>
  <c r="AU110" i="87"/>
  <c r="AU110" i="89"/>
  <c r="AW110" i="83"/>
  <c r="AW110" i="86"/>
  <c r="AW110" i="90"/>
  <c r="AW110" i="89"/>
  <c r="AV110" i="84"/>
  <c r="AV110" i="85"/>
  <c r="AV110" i="89"/>
  <c r="AV110" i="90"/>
  <c r="AW110" i="82"/>
  <c r="AW110" i="84"/>
  <c r="AW110" i="85"/>
  <c r="AW110" i="88"/>
  <c r="AW110" i="87"/>
  <c r="AV110" i="82"/>
  <c r="AV110" i="83"/>
  <c r="AV110" i="86"/>
  <c r="AV110" i="87"/>
  <c r="AV110" i="88"/>
  <c r="AR120" i="82"/>
  <c r="AR120" i="83"/>
  <c r="AR120" i="84"/>
  <c r="AR120" i="86"/>
  <c r="AR120" i="85"/>
  <c r="AR120" i="87"/>
  <c r="AR120" i="89"/>
  <c r="AR120" i="88"/>
  <c r="AR120" i="90"/>
  <c r="AU96" i="82"/>
  <c r="AU96" i="84"/>
  <c r="AU96" i="83"/>
  <c r="AU96" i="85"/>
  <c r="AU96" i="86"/>
  <c r="AU96" i="88"/>
  <c r="AU96" i="90"/>
  <c r="AU96" i="87"/>
  <c r="AU96" i="89"/>
  <c r="AW96" i="83"/>
  <c r="AW96" i="86"/>
  <c r="AW96" i="90"/>
  <c r="AW96" i="89"/>
  <c r="AW96" i="82"/>
  <c r="AW96" i="84"/>
  <c r="AW96" i="85"/>
  <c r="AW96" i="88"/>
  <c r="AW96" i="87"/>
  <c r="AU106" i="82"/>
  <c r="AU106" i="84"/>
  <c r="AU106" i="83"/>
  <c r="AU106" i="85"/>
  <c r="AU106" i="86"/>
  <c r="AU106" i="88"/>
  <c r="AU106" i="90"/>
  <c r="AU106" i="87"/>
  <c r="AU106" i="89"/>
  <c r="AW106" i="83"/>
  <c r="AW106" i="86"/>
  <c r="AW106" i="90"/>
  <c r="AW106" i="89"/>
  <c r="AW106" i="82"/>
  <c r="AW106" i="84"/>
  <c r="AW106" i="85"/>
  <c r="AW106" i="88"/>
  <c r="AW106" i="87"/>
  <c r="AR92" i="82"/>
  <c r="AR92" i="83"/>
  <c r="AR92" i="84"/>
  <c r="AR92" i="86"/>
  <c r="AR92" i="85"/>
  <c r="AR92" i="87"/>
  <c r="AR92" i="89"/>
  <c r="AR92" i="88"/>
  <c r="AR92" i="90"/>
  <c r="AU92" i="82"/>
  <c r="AU92" i="84"/>
  <c r="AU92" i="83"/>
  <c r="AU92" i="85"/>
  <c r="AU92" i="86"/>
  <c r="AU92" i="88"/>
  <c r="AU92" i="90"/>
  <c r="AU92" i="87"/>
  <c r="AU92" i="89"/>
  <c r="AW92" i="82"/>
  <c r="AW92" i="84"/>
  <c r="AW92" i="85"/>
  <c r="AW92" i="88"/>
  <c r="AW92" i="87"/>
  <c r="AW92" i="83"/>
  <c r="AW92" i="86"/>
  <c r="AW92" i="90"/>
  <c r="AW92" i="89"/>
  <c r="AU91" i="82"/>
  <c r="AU91" i="83"/>
  <c r="AU91" i="84"/>
  <c r="AU91" i="86"/>
  <c r="AU91" i="85"/>
  <c r="AU91" i="87"/>
  <c r="AU91" i="89"/>
  <c r="AU91" i="88"/>
  <c r="AU91" i="90"/>
  <c r="AR90" i="82"/>
  <c r="AR90" i="83"/>
  <c r="AR90" i="84"/>
  <c r="AR90" i="86"/>
  <c r="AR90" i="85"/>
  <c r="AR90" i="87"/>
  <c r="AR90" i="89"/>
  <c r="AR90" i="88"/>
  <c r="AR90" i="90"/>
  <c r="AW117" i="88"/>
  <c r="AW117" i="87"/>
  <c r="AW117" i="86"/>
  <c r="AW117" i="83"/>
  <c r="AW117" i="82"/>
  <c r="AV101" i="89"/>
  <c r="AV101" i="90"/>
  <c r="AV101" i="86"/>
  <c r="AV101" i="83"/>
  <c r="AV96" i="88"/>
  <c r="AV96" i="87"/>
  <c r="AV96" i="86"/>
  <c r="AV96" i="83"/>
  <c r="AV96" i="82"/>
  <c r="AV94" i="90"/>
  <c r="AV94" i="89"/>
  <c r="AV94" i="85"/>
  <c r="AV94" i="84"/>
  <c r="AV92" i="90"/>
  <c r="AV92" i="89"/>
  <c r="AV92" i="85"/>
  <c r="AV92" i="84"/>
  <c r="AV95" i="89"/>
  <c r="AV95" i="90"/>
  <c r="AV95" i="86"/>
  <c r="AV95" i="83"/>
  <c r="AW113" i="88"/>
  <c r="AW113" i="87"/>
  <c r="AW113" i="86"/>
  <c r="AW113" i="83"/>
  <c r="AV120" i="88"/>
  <c r="AV120" i="87"/>
  <c r="AV120" i="86"/>
  <c r="AV120" i="83"/>
  <c r="AV97" i="89"/>
  <c r="AV97" i="90"/>
  <c r="AV97" i="86"/>
  <c r="AV97" i="83"/>
  <c r="AV126" i="88"/>
  <c r="AV126" i="87"/>
  <c r="AV126" i="86"/>
  <c r="AV126" i="83"/>
  <c r="AV111" i="89"/>
  <c r="AV111" i="90"/>
  <c r="AV111" i="86"/>
  <c r="AV111" i="83"/>
  <c r="AT123" i="82"/>
  <c r="AT123" i="84"/>
  <c r="AT123" i="83"/>
  <c r="AT123" i="85"/>
  <c r="AT123" i="86"/>
  <c r="AT123" i="88"/>
  <c r="AT123" i="90"/>
  <c r="AT123" i="87"/>
  <c r="AT123" i="89"/>
  <c r="AT105" i="82"/>
  <c r="AT105" i="84"/>
  <c r="AT105" i="83"/>
  <c r="AT105" i="85"/>
  <c r="AT105" i="86"/>
  <c r="AT105" i="88"/>
  <c r="AT105" i="90"/>
  <c r="AT105" i="87"/>
  <c r="AT105" i="89"/>
  <c r="AT93" i="82"/>
  <c r="AT93" i="84"/>
  <c r="AT93" i="83"/>
  <c r="AT93" i="85"/>
  <c r="AT93" i="86"/>
  <c r="AT93" i="88"/>
  <c r="AT93" i="90"/>
  <c r="AT93" i="87"/>
  <c r="AT93" i="89"/>
  <c r="BA88" i="82"/>
  <c r="BA88" i="84"/>
  <c r="BA88" i="83"/>
  <c r="BA88" i="85"/>
  <c r="BA88" i="86"/>
  <c r="BA88" i="88"/>
  <c r="BA88" i="90"/>
  <c r="BA88" i="87"/>
  <c r="BA88" i="89"/>
  <c r="AT37" i="82"/>
  <c r="AT37" i="84"/>
  <c r="AT37" i="83"/>
  <c r="AT37" i="85"/>
  <c r="AT37" i="86"/>
  <c r="AT37" i="88"/>
  <c r="AT37" i="90"/>
  <c r="AT37" i="87"/>
  <c r="AT37" i="89"/>
  <c r="AT39" i="82"/>
  <c r="AT39" i="84"/>
  <c r="AT39" i="83"/>
  <c r="AT39" i="85"/>
  <c r="AT39" i="86"/>
  <c r="AT39" i="88"/>
  <c r="AT39" i="90"/>
  <c r="AT39" i="87"/>
  <c r="AT39" i="89"/>
  <c r="AT51" i="82"/>
  <c r="AT51" i="84"/>
  <c r="AT51" i="83"/>
  <c r="AT51" i="85"/>
  <c r="AT51" i="86"/>
  <c r="AT51" i="88"/>
  <c r="AT51" i="90"/>
  <c r="AT51" i="87"/>
  <c r="AT51" i="89"/>
  <c r="AV55" i="82"/>
  <c r="AV55" i="84"/>
  <c r="AV55" i="83"/>
  <c r="AV55" i="85"/>
  <c r="AV55" i="86"/>
  <c r="AV55" i="88"/>
  <c r="AV55" i="90"/>
  <c r="AV55" i="87"/>
  <c r="AV55" i="89"/>
  <c r="AT49" i="82"/>
  <c r="AT49" i="84"/>
  <c r="AT49" i="83"/>
  <c r="AT49" i="85"/>
  <c r="AT49" i="86"/>
  <c r="AT49" i="88"/>
  <c r="AT49" i="90"/>
  <c r="AT49" i="87"/>
  <c r="AT49" i="89"/>
  <c r="AU42" i="82"/>
  <c r="AU42" i="84"/>
  <c r="AU42" i="83"/>
  <c r="AU42" i="85"/>
  <c r="AU42" i="86"/>
  <c r="AU42" i="88"/>
  <c r="AU42" i="90"/>
  <c r="AU42" i="87"/>
  <c r="AU42" i="89"/>
  <c r="AV99" i="82"/>
  <c r="AV99" i="84"/>
  <c r="AV99" i="83"/>
  <c r="AV99" i="85"/>
  <c r="AV99" i="86"/>
  <c r="AV99" i="88"/>
  <c r="AV99" i="90"/>
  <c r="AV99" i="87"/>
  <c r="AV99" i="89"/>
  <c r="AV116" i="82"/>
  <c r="AV116" i="83"/>
  <c r="AV116" i="84"/>
  <c r="AV116" i="86"/>
  <c r="AV116" i="85"/>
  <c r="AV116" i="87"/>
  <c r="AV116" i="89"/>
  <c r="AV116" i="88"/>
  <c r="AV116" i="90"/>
  <c r="AU63" i="82"/>
  <c r="AU63" i="83"/>
  <c r="AU63" i="84"/>
  <c r="AU63" i="86"/>
  <c r="AU63" i="85"/>
  <c r="AU63" i="87"/>
  <c r="AU63" i="89"/>
  <c r="AU63" i="88"/>
  <c r="AU63" i="90"/>
  <c r="AU67" i="82"/>
  <c r="AU67" i="83"/>
  <c r="AU67" i="84"/>
  <c r="AU67" i="86"/>
  <c r="AU67" i="85"/>
  <c r="AU67" i="87"/>
  <c r="AU67" i="89"/>
  <c r="AU67" i="88"/>
  <c r="AU67" i="90"/>
  <c r="AR67" i="82"/>
  <c r="AR67" i="84"/>
  <c r="AR67" i="83"/>
  <c r="AR67" i="85"/>
  <c r="AR67" i="86"/>
  <c r="AR67" i="88"/>
  <c r="AR67" i="90"/>
  <c r="AR67" i="87"/>
  <c r="AR67" i="89"/>
  <c r="AW55" i="82"/>
  <c r="AW55" i="83"/>
  <c r="AW55" i="84"/>
  <c r="AW55" i="86"/>
  <c r="AW55" i="85"/>
  <c r="AW55" i="87"/>
  <c r="AW55" i="89"/>
  <c r="AW55" i="88"/>
  <c r="AW55" i="90"/>
  <c r="AR114" i="82"/>
  <c r="AR114" i="83"/>
  <c r="AR114" i="84"/>
  <c r="AR114" i="86"/>
  <c r="AR114" i="85"/>
  <c r="AR114" i="87"/>
  <c r="AR114" i="89"/>
  <c r="AR114" i="88"/>
  <c r="AR114" i="90"/>
  <c r="AV97" i="91"/>
  <c r="AU97" i="82"/>
  <c r="AU97" i="83"/>
  <c r="AU97" i="84"/>
  <c r="AU97" i="86"/>
  <c r="AU97" i="85"/>
  <c r="AU97" i="87"/>
  <c r="AU97" i="89"/>
  <c r="AU97" i="88"/>
  <c r="AU97" i="90"/>
  <c r="AW97" i="82"/>
  <c r="AW97" i="83"/>
  <c r="AW97" i="86"/>
  <c r="AW97" i="87"/>
  <c r="AW97" i="88"/>
  <c r="AW97" i="84"/>
  <c r="AW97" i="85"/>
  <c r="AW97" i="89"/>
  <c r="AW97" i="90"/>
  <c r="AR102" i="82"/>
  <c r="AR102" i="83"/>
  <c r="AR102" i="84"/>
  <c r="AR102" i="86"/>
  <c r="AR102" i="85"/>
  <c r="AR102" i="87"/>
  <c r="AR102" i="89"/>
  <c r="AR102" i="88"/>
  <c r="AR102" i="90"/>
  <c r="AR99" i="82"/>
  <c r="AR99" i="84"/>
  <c r="AR99" i="83"/>
  <c r="AR99" i="85"/>
  <c r="AR99" i="86"/>
  <c r="AR99" i="88"/>
  <c r="AR99" i="90"/>
  <c r="AR99" i="87"/>
  <c r="AR99" i="89"/>
  <c r="AU99" i="82"/>
  <c r="AU99" i="83"/>
  <c r="AU99" i="84"/>
  <c r="AU99" i="86"/>
  <c r="AU99" i="85"/>
  <c r="AU99" i="87"/>
  <c r="AU99" i="89"/>
  <c r="AU99" i="88"/>
  <c r="AU99" i="90"/>
  <c r="AW99" i="82"/>
  <c r="AW99" i="83"/>
  <c r="AW99" i="86"/>
  <c r="AW99" i="87"/>
  <c r="AW99" i="88"/>
  <c r="AW99" i="84"/>
  <c r="AW99" i="85"/>
  <c r="AW99" i="89"/>
  <c r="AW99" i="90"/>
  <c r="AW68" i="82"/>
  <c r="AW68" i="84"/>
  <c r="AW68" i="83"/>
  <c r="AW68" i="85"/>
  <c r="AW68" i="86"/>
  <c r="AW68" i="88"/>
  <c r="AW68" i="90"/>
  <c r="AW68" i="87"/>
  <c r="AW68" i="89"/>
  <c r="AU94" i="82"/>
  <c r="AU94" i="84"/>
  <c r="AU94" i="83"/>
  <c r="AU94" i="85"/>
  <c r="AU94" i="86"/>
  <c r="AU94" i="88"/>
  <c r="AU94" i="90"/>
  <c r="AU94" i="87"/>
  <c r="AU94" i="89"/>
  <c r="AW94" i="83"/>
  <c r="AW94" i="86"/>
  <c r="AW94" i="90"/>
  <c r="AW94" i="89"/>
  <c r="AW94" i="82"/>
  <c r="AW94" i="84"/>
  <c r="AW94" i="85"/>
  <c r="AW94" i="88"/>
  <c r="AW94" i="87"/>
  <c r="AR95" i="82"/>
  <c r="AR95" i="84"/>
  <c r="AR95" i="83"/>
  <c r="AR95" i="85"/>
  <c r="AR95" i="86"/>
  <c r="AR95" i="88"/>
  <c r="AR95" i="90"/>
  <c r="AR95" i="87"/>
  <c r="AR95" i="89"/>
  <c r="AW63" i="82"/>
  <c r="AW63" i="83"/>
  <c r="AW63" i="84"/>
  <c r="AW63" i="86"/>
  <c r="AW63" i="85"/>
  <c r="AW63" i="87"/>
  <c r="AW63" i="89"/>
  <c r="AW63" i="88"/>
  <c r="AW63" i="90"/>
  <c r="AR48" i="82"/>
  <c r="AR48" i="83"/>
  <c r="AR48" i="84"/>
  <c r="AR48" i="86"/>
  <c r="AR48" i="85"/>
  <c r="AR48" i="87"/>
  <c r="AR48" i="89"/>
  <c r="AR48" i="88"/>
  <c r="AR48" i="90"/>
  <c r="AU126" i="82"/>
  <c r="AU126" i="84"/>
  <c r="AU126" i="83"/>
  <c r="AU126" i="85"/>
  <c r="AU126" i="86"/>
  <c r="AU126" i="88"/>
  <c r="AU126" i="90"/>
  <c r="AU126" i="87"/>
  <c r="AU126" i="89"/>
  <c r="AW126" i="82"/>
  <c r="AW126" i="84"/>
  <c r="AW126" i="85"/>
  <c r="AW126" i="88"/>
  <c r="AW126" i="87"/>
  <c r="AW126" i="83"/>
  <c r="AW126" i="86"/>
  <c r="AW126" i="90"/>
  <c r="AW126" i="89"/>
  <c r="AU89" i="82"/>
  <c r="AU89" i="83"/>
  <c r="AU89" i="84"/>
  <c r="AU89" i="86"/>
  <c r="AU89" i="85"/>
  <c r="AU89" i="87"/>
  <c r="AU89" i="89"/>
  <c r="AU89" i="88"/>
  <c r="AU89" i="90"/>
  <c r="AR89" i="82"/>
  <c r="AR89" i="84"/>
  <c r="AR89" i="83"/>
  <c r="AR89" i="85"/>
  <c r="AR89" i="86"/>
  <c r="AR89" i="88"/>
  <c r="AR89" i="90"/>
  <c r="AR89" i="87"/>
  <c r="AR89" i="89"/>
  <c r="AR111" i="82"/>
  <c r="AR111" i="84"/>
  <c r="AR111" i="83"/>
  <c r="AR111" i="85"/>
  <c r="AR111" i="86"/>
  <c r="AR111" i="88"/>
  <c r="AR111" i="90"/>
  <c r="AR111" i="87"/>
  <c r="AR111" i="89"/>
  <c r="AR118" i="82"/>
  <c r="AR118" i="83"/>
  <c r="AR118" i="84"/>
  <c r="AR118" i="86"/>
  <c r="AR118" i="85"/>
  <c r="AR118" i="87"/>
  <c r="AR118" i="89"/>
  <c r="AR118" i="88"/>
  <c r="AR118" i="90"/>
  <c r="AU118" i="82"/>
  <c r="AU118" i="84"/>
  <c r="AU118" i="83"/>
  <c r="AU118" i="85"/>
  <c r="AU118" i="86"/>
  <c r="AU118" i="88"/>
  <c r="AU118" i="90"/>
  <c r="AU118" i="87"/>
  <c r="AU118" i="89"/>
  <c r="AV118" i="84"/>
  <c r="AV118" i="85"/>
  <c r="AV118" i="89"/>
  <c r="AV118" i="90"/>
  <c r="AW118" i="82"/>
  <c r="AW118" i="84"/>
  <c r="AW118" i="85"/>
  <c r="AW118" i="88"/>
  <c r="AW118" i="87"/>
  <c r="AV118" i="82"/>
  <c r="AV118" i="83"/>
  <c r="AV118" i="86"/>
  <c r="AV118" i="87"/>
  <c r="AV118" i="88"/>
  <c r="AW118" i="83"/>
  <c r="AW118" i="86"/>
  <c r="AW118" i="90"/>
  <c r="AW118" i="89"/>
  <c r="AU61" i="82"/>
  <c r="AU61" i="83"/>
  <c r="AU61" i="84"/>
  <c r="AU61" i="86"/>
  <c r="AU61" i="85"/>
  <c r="AU61" i="87"/>
  <c r="AU61" i="89"/>
  <c r="AU61" i="88"/>
  <c r="AU61" i="90"/>
  <c r="AR55" i="82"/>
  <c r="AR55" i="84"/>
  <c r="AR55" i="83"/>
  <c r="AR55" i="85"/>
  <c r="AR55" i="86"/>
  <c r="AR55" i="88"/>
  <c r="AR55" i="90"/>
  <c r="AR55" i="87"/>
  <c r="AR55" i="89"/>
  <c r="AU55" i="82"/>
  <c r="AU55" i="83"/>
  <c r="AU55" i="84"/>
  <c r="AU55" i="86"/>
  <c r="AU55" i="85"/>
  <c r="AU55" i="87"/>
  <c r="AU55" i="89"/>
  <c r="AU55" i="88"/>
  <c r="AU55" i="90"/>
  <c r="AV120" i="91"/>
  <c r="AU120" i="82"/>
  <c r="AU120" i="84"/>
  <c r="AU120" i="83"/>
  <c r="AU120" i="85"/>
  <c r="AU120" i="86"/>
  <c r="AU120" i="88"/>
  <c r="AU120" i="90"/>
  <c r="AU120" i="87"/>
  <c r="AU120" i="89"/>
  <c r="AW120" i="82"/>
  <c r="AW120" i="84"/>
  <c r="AW120" i="85"/>
  <c r="AW120" i="88"/>
  <c r="AW120" i="87"/>
  <c r="AW120" i="83"/>
  <c r="AW120" i="86"/>
  <c r="AW120" i="90"/>
  <c r="AW120" i="89"/>
  <c r="AW42" i="82"/>
  <c r="AW42" i="84"/>
  <c r="AW42" i="83"/>
  <c r="AW42" i="85"/>
  <c r="AW42" i="86"/>
  <c r="AW42" i="88"/>
  <c r="AW42" i="90"/>
  <c r="AW42" i="87"/>
  <c r="AW42" i="89"/>
  <c r="AU113" i="82"/>
  <c r="AU113" i="83"/>
  <c r="AU113" i="84"/>
  <c r="AU113" i="86"/>
  <c r="AU113" i="85"/>
  <c r="AU113" i="87"/>
  <c r="AU113" i="89"/>
  <c r="AU113" i="88"/>
  <c r="AU113" i="90"/>
  <c r="AV113" i="82"/>
  <c r="AV113" i="84"/>
  <c r="AV113" i="85"/>
  <c r="AV113" i="88"/>
  <c r="AV113" i="87"/>
  <c r="AV113" i="83"/>
  <c r="AV113" i="86"/>
  <c r="AV113" i="90"/>
  <c r="AV113" i="89"/>
  <c r="AR113" i="82"/>
  <c r="AR113" i="84"/>
  <c r="AR113" i="83"/>
  <c r="AR113" i="85"/>
  <c r="AR113" i="86"/>
  <c r="AR113" i="88"/>
  <c r="AR113" i="90"/>
  <c r="AR113" i="87"/>
  <c r="AR113" i="89"/>
  <c r="AR96" i="82"/>
  <c r="AR96" i="83"/>
  <c r="AR96" i="84"/>
  <c r="AR96" i="86"/>
  <c r="AR96" i="85"/>
  <c r="AR96" i="87"/>
  <c r="AR96" i="89"/>
  <c r="AR96" i="88"/>
  <c r="AR96" i="90"/>
  <c r="AR106" i="82"/>
  <c r="AR106" i="83"/>
  <c r="AR106" i="84"/>
  <c r="AR106" i="86"/>
  <c r="AR106" i="85"/>
  <c r="AR106" i="87"/>
  <c r="AR106" i="89"/>
  <c r="AR106" i="88"/>
  <c r="AR106" i="90"/>
  <c r="AR91" i="82"/>
  <c r="AR91" i="84"/>
  <c r="AR91" i="83"/>
  <c r="AR91" i="85"/>
  <c r="AR91" i="86"/>
  <c r="AR91" i="88"/>
  <c r="AR91" i="90"/>
  <c r="AR91" i="87"/>
  <c r="AR91" i="89"/>
  <c r="AW117" i="90"/>
  <c r="AW117" i="89"/>
  <c r="AW117" i="85"/>
  <c r="AW117" i="84"/>
  <c r="AV101" i="87"/>
  <c r="AV101" i="88"/>
  <c r="AV101" i="85"/>
  <c r="AV101" i="84"/>
  <c r="AV101" i="82"/>
  <c r="AV96" i="90"/>
  <c r="AV96" i="89"/>
  <c r="AV96" i="85"/>
  <c r="AV96" i="84"/>
  <c r="AV94" i="88"/>
  <c r="AV94" i="87"/>
  <c r="AV94" i="86"/>
  <c r="AV94" i="83"/>
  <c r="AV94" i="82"/>
  <c r="AV92" i="88"/>
  <c r="AV92" i="87"/>
  <c r="AV92" i="86"/>
  <c r="AV92" i="83"/>
  <c r="AV92" i="82"/>
  <c r="AV95" i="87"/>
  <c r="AV95" i="88"/>
  <c r="AV95" i="85"/>
  <c r="AV95" i="84"/>
  <c r="AV95" i="82"/>
  <c r="AW113" i="90"/>
  <c r="AW113" i="89"/>
  <c r="AW113" i="85"/>
  <c r="AW113" i="84"/>
  <c r="AV120" i="90"/>
  <c r="AV120" i="89"/>
  <c r="AV120" i="85"/>
  <c r="AV120" i="84"/>
  <c r="AV97" i="87"/>
  <c r="AV97" i="88"/>
  <c r="AV97" i="85"/>
  <c r="AV97" i="84"/>
  <c r="AV97" i="82"/>
  <c r="AV126" i="90"/>
  <c r="AV126" i="89"/>
  <c r="AV126" i="85"/>
  <c r="AV126" i="84"/>
  <c r="AV111" i="87"/>
  <c r="AV111" i="88"/>
  <c r="AV111" i="85"/>
  <c r="AV111" i="84"/>
  <c r="AV111" i="82"/>
  <c r="AT121" i="91"/>
  <c r="AT109" i="91"/>
  <c r="AT125" i="91"/>
  <c r="AT107" i="91"/>
  <c r="AT58" i="91"/>
  <c r="BA127" i="91"/>
  <c r="BA108" i="91"/>
  <c r="AT37" i="91"/>
  <c r="AT39" i="91"/>
  <c r="AT51" i="91"/>
  <c r="AV63" i="91"/>
  <c r="AV61" i="91"/>
  <c r="BA104" i="91"/>
  <c r="CJ134" i="15"/>
  <c r="CK134" i="15"/>
  <c r="CI134" i="15"/>
  <c r="AG134" i="65" s="1"/>
  <c r="CJ258" i="15"/>
  <c r="CK258" i="15"/>
  <c r="CI258" i="15"/>
  <c r="AG258" i="65" s="1"/>
  <c r="CJ212" i="15"/>
  <c r="CK212" i="15"/>
  <c r="CI212" i="15"/>
  <c r="CJ198" i="15"/>
  <c r="CK198" i="15"/>
  <c r="CI198" i="15"/>
  <c r="CJ248" i="15"/>
  <c r="CK248" i="15"/>
  <c r="CI248" i="15"/>
  <c r="CJ148" i="15"/>
  <c r="CK148" i="15"/>
  <c r="CI148" i="15"/>
  <c r="AG148" i="65" s="1"/>
  <c r="CJ238" i="15"/>
  <c r="CK238" i="15"/>
  <c r="CI238" i="15"/>
  <c r="CJ346" i="15"/>
  <c r="CK346" i="15"/>
  <c r="CI346" i="15"/>
  <c r="CJ334" i="15"/>
  <c r="CK334" i="15"/>
  <c r="CI334" i="15"/>
  <c r="CJ330" i="15"/>
  <c r="CK330" i="15"/>
  <c r="CI330" i="15"/>
  <c r="AG330" i="65" s="1"/>
  <c r="CJ220" i="15"/>
  <c r="CK220" i="15"/>
  <c r="CI220" i="15"/>
  <c r="CJ314" i="15"/>
  <c r="CK314" i="15"/>
  <c r="CI314" i="15"/>
  <c r="CJ332" i="15"/>
  <c r="CK332" i="15"/>
  <c r="CI332" i="15"/>
  <c r="CJ146" i="15"/>
  <c r="CK146" i="15"/>
  <c r="CI146" i="15"/>
  <c r="AG146" i="65" s="1"/>
  <c r="CJ226" i="15"/>
  <c r="CK226" i="15"/>
  <c r="CI226" i="15"/>
  <c r="CJ250" i="15"/>
  <c r="CK250" i="15"/>
  <c r="CI250" i="15"/>
  <c r="CJ144" i="15"/>
  <c r="CK144" i="15"/>
  <c r="CI144" i="15"/>
  <c r="CJ328" i="15"/>
  <c r="CK328" i="15"/>
  <c r="CI328" i="15"/>
  <c r="AG328" i="65" s="1"/>
  <c r="CJ266" i="15"/>
  <c r="CK266" i="15"/>
  <c r="CI266" i="15"/>
  <c r="CJ244" i="15"/>
  <c r="CK244" i="15"/>
  <c r="CI244" i="15"/>
  <c r="AV68" i="91"/>
  <c r="CJ202" i="15"/>
  <c r="CK202" i="15"/>
  <c r="CI202" i="15"/>
  <c r="CJ240" i="15"/>
  <c r="CK240" i="15"/>
  <c r="CI240" i="15"/>
  <c r="CJ242" i="15"/>
  <c r="CK242" i="15"/>
  <c r="CI242" i="15"/>
  <c r="AG242" i="65" s="1"/>
  <c r="CJ230" i="15"/>
  <c r="CK230" i="15"/>
  <c r="CI230" i="15"/>
  <c r="CJ194" i="15"/>
  <c r="CK194" i="15"/>
  <c r="CI194" i="15"/>
  <c r="CJ216" i="15"/>
  <c r="CK216" i="15"/>
  <c r="CI216" i="15"/>
  <c r="CJ308" i="15"/>
  <c r="CK308" i="15"/>
  <c r="CI308" i="15"/>
  <c r="AG308" i="65" s="1"/>
  <c r="CJ182" i="15"/>
  <c r="CK182" i="15"/>
  <c r="CI182" i="15"/>
  <c r="CJ324" i="15"/>
  <c r="CK324" i="15"/>
  <c r="CI324" i="15"/>
  <c r="CJ218" i="15"/>
  <c r="CK218" i="15"/>
  <c r="CI218" i="15"/>
  <c r="CJ208" i="15"/>
  <c r="CK208" i="15"/>
  <c r="CI208" i="15"/>
  <c r="AG208" i="65" s="1"/>
  <c r="CJ204" i="15"/>
  <c r="CK204" i="15"/>
  <c r="CI204" i="15"/>
  <c r="CJ260" i="15"/>
  <c r="CK260" i="15"/>
  <c r="CI260" i="15"/>
  <c r="CJ338" i="15"/>
  <c r="CK338" i="15"/>
  <c r="CI338" i="15"/>
  <c r="CJ178" i="15"/>
  <c r="CK178" i="15"/>
  <c r="CI178" i="15"/>
  <c r="CJ132" i="15"/>
  <c r="CK132" i="15"/>
  <c r="CI132" i="15"/>
  <c r="CJ128" i="15"/>
  <c r="CK128" i="15"/>
  <c r="CI128" i="15"/>
  <c r="CJ318" i="15"/>
  <c r="CK318" i="15"/>
  <c r="CI318" i="15"/>
  <c r="CJ306" i="15"/>
  <c r="CK306" i="15"/>
  <c r="CI306" i="15"/>
  <c r="CJ82" i="15"/>
  <c r="CK82" i="15"/>
  <c r="CI82" i="15"/>
  <c r="CJ206" i="15"/>
  <c r="CK206" i="15"/>
  <c r="CI206" i="15"/>
  <c r="CJ268" i="15"/>
  <c r="CK268" i="15"/>
  <c r="CI268" i="15"/>
  <c r="CJ264" i="15"/>
  <c r="CK264" i="15"/>
  <c r="CI264" i="15"/>
  <c r="CJ256" i="15"/>
  <c r="CK256" i="15"/>
  <c r="CI256" i="15"/>
  <c r="CK153" i="15"/>
  <c r="CI153" i="15"/>
  <c r="CJ153" i="15"/>
  <c r="CK87" i="15"/>
  <c r="CI87" i="15"/>
  <c r="CJ87" i="15"/>
  <c r="CK259" i="15"/>
  <c r="CI259" i="15"/>
  <c r="CJ259" i="15"/>
  <c r="CJ100" i="15"/>
  <c r="CK100" i="15"/>
  <c r="CI100" i="15"/>
  <c r="CK169" i="15"/>
  <c r="CI169" i="15"/>
  <c r="CJ169" i="15"/>
  <c r="CK263" i="15"/>
  <c r="CI263" i="15"/>
  <c r="CJ263" i="15"/>
  <c r="BA80" i="91"/>
  <c r="AV48" i="91"/>
  <c r="AR68" i="91"/>
  <c r="AV99" i="91"/>
  <c r="CK261" i="15"/>
  <c r="CI261" i="15"/>
  <c r="CJ261" i="15"/>
  <c r="AV116" i="91"/>
  <c r="AR117" i="91"/>
  <c r="AU117" i="91"/>
  <c r="AV117" i="91"/>
  <c r="AR63" i="91"/>
  <c r="AR115" i="91"/>
  <c r="AU115" i="91"/>
  <c r="AV115" i="91"/>
  <c r="AW115" i="91"/>
  <c r="AR101" i="91"/>
  <c r="AU101" i="91"/>
  <c r="AW101" i="91"/>
  <c r="AW89" i="91"/>
  <c r="AW91" i="91"/>
  <c r="AU114" i="91"/>
  <c r="AV114" i="91"/>
  <c r="AW114" i="91"/>
  <c r="AR97" i="91"/>
  <c r="AR94" i="91"/>
  <c r="AU95" i="91"/>
  <c r="AW95" i="91"/>
  <c r="AW67" i="91"/>
  <c r="AU48" i="91"/>
  <c r="AR126" i="91"/>
  <c r="AR42" i="91"/>
  <c r="AU111" i="91"/>
  <c r="AW111" i="91"/>
  <c r="AR110" i="91"/>
  <c r="AU110" i="91"/>
  <c r="AV110" i="91"/>
  <c r="AW110" i="91"/>
  <c r="AR120" i="91"/>
  <c r="AU96" i="91"/>
  <c r="AW96" i="91"/>
  <c r="AU106" i="91"/>
  <c r="AW106" i="91"/>
  <c r="AR91" i="91"/>
  <c r="AV95" i="91"/>
  <c r="AV111" i="91"/>
  <c r="AT123" i="91"/>
  <c r="AT105" i="91"/>
  <c r="AT93" i="91"/>
  <c r="BA88" i="91"/>
  <c r="AT43" i="91"/>
  <c r="AT34" i="91"/>
  <c r="AT41" i="91"/>
  <c r="AV55" i="91"/>
  <c r="AT49" i="91"/>
  <c r="CJ86" i="15"/>
  <c r="CK86" i="15"/>
  <c r="CI86" i="15"/>
  <c r="CJ200" i="15"/>
  <c r="CK200" i="15"/>
  <c r="CI200" i="15"/>
  <c r="CJ186" i="15"/>
  <c r="CK186" i="15"/>
  <c r="CI186" i="15"/>
  <c r="CJ310" i="15"/>
  <c r="CK310" i="15"/>
  <c r="CI310" i="15"/>
  <c r="AG310" i="65" s="1"/>
  <c r="CJ344" i="15"/>
  <c r="CK344" i="15"/>
  <c r="CI344" i="15"/>
  <c r="CJ160" i="15"/>
  <c r="CK160" i="15"/>
  <c r="CI160" i="15"/>
  <c r="CJ336" i="15"/>
  <c r="CK336" i="15"/>
  <c r="CI336" i="15"/>
  <c r="CJ302" i="15"/>
  <c r="CK302" i="15"/>
  <c r="CI302" i="15"/>
  <c r="CJ270" i="15"/>
  <c r="CK270" i="15"/>
  <c r="CI270" i="15"/>
  <c r="CJ234" i="15"/>
  <c r="CK234" i="15"/>
  <c r="CI234" i="15"/>
  <c r="CJ130" i="15"/>
  <c r="CK130" i="15"/>
  <c r="CI130" i="15"/>
  <c r="CJ262" i="15"/>
  <c r="CK262" i="15"/>
  <c r="CI262" i="15"/>
  <c r="CJ342" i="15"/>
  <c r="CK342" i="15"/>
  <c r="CI342" i="15"/>
  <c r="CJ214" i="15"/>
  <c r="CK214" i="15"/>
  <c r="CI214" i="15"/>
  <c r="CJ190" i="15"/>
  <c r="CK190" i="15"/>
  <c r="CI190" i="15"/>
  <c r="CJ224" i="15"/>
  <c r="CK224" i="15"/>
  <c r="CI224" i="15"/>
  <c r="CJ348" i="15"/>
  <c r="CK348" i="15"/>
  <c r="CI348" i="15"/>
  <c r="CJ222" i="15"/>
  <c r="CK222" i="15"/>
  <c r="CI222" i="15"/>
  <c r="CJ340" i="15"/>
  <c r="CK340" i="15"/>
  <c r="CI340" i="15"/>
  <c r="CJ316" i="15"/>
  <c r="CK316" i="15"/>
  <c r="CI316" i="15"/>
  <c r="CJ294" i="15"/>
  <c r="CK294" i="15"/>
  <c r="CI294" i="15"/>
  <c r="CJ174" i="15"/>
  <c r="CK174" i="15"/>
  <c r="CI174" i="15"/>
  <c r="CJ246" i="15"/>
  <c r="CK246" i="15"/>
  <c r="CI246" i="15"/>
  <c r="CJ228" i="15"/>
  <c r="CK228" i="15"/>
  <c r="CI228" i="15"/>
  <c r="CJ196" i="15"/>
  <c r="CK196" i="15"/>
  <c r="CI196" i="15"/>
  <c r="CJ176" i="15"/>
  <c r="CK176" i="15"/>
  <c r="CI176" i="15"/>
  <c r="CJ168" i="15"/>
  <c r="CK168" i="15"/>
  <c r="CI168" i="15"/>
  <c r="CJ254" i="15"/>
  <c r="CK254" i="15"/>
  <c r="CI254" i="15"/>
  <c r="AU42" i="91"/>
  <c r="CJ84" i="15"/>
  <c r="CK84" i="15"/>
  <c r="CI84" i="15"/>
  <c r="CJ252" i="15"/>
  <c r="CK252" i="15"/>
  <c r="CI252" i="15"/>
  <c r="CJ236" i="15"/>
  <c r="CK236" i="15"/>
  <c r="CI236" i="15"/>
  <c r="CJ180" i="15"/>
  <c r="CK180" i="15"/>
  <c r="CI180" i="15"/>
  <c r="CJ184" i="15"/>
  <c r="CK184" i="15"/>
  <c r="CI184" i="15"/>
  <c r="AG184" i="65" s="1"/>
  <c r="CJ322" i="15"/>
  <c r="CK322" i="15"/>
  <c r="CI322" i="15"/>
  <c r="CJ188" i="15"/>
  <c r="CK188" i="15"/>
  <c r="CI188" i="15"/>
  <c r="CJ162" i="15"/>
  <c r="CK162" i="15"/>
  <c r="CI162" i="15"/>
  <c r="CJ210" i="15"/>
  <c r="CK210" i="15"/>
  <c r="CI210" i="15"/>
  <c r="AG210" i="65" s="1"/>
  <c r="CJ326" i="15"/>
  <c r="CK326" i="15"/>
  <c r="CI326" i="15"/>
  <c r="CJ232" i="15"/>
  <c r="CK232" i="15"/>
  <c r="CI232" i="15"/>
  <c r="CJ192" i="15"/>
  <c r="CK192" i="15"/>
  <c r="CI192" i="15"/>
  <c r="CK211" i="15"/>
  <c r="CI211" i="15"/>
  <c r="CJ211" i="15"/>
  <c r="CK143" i="15"/>
  <c r="CI143" i="15"/>
  <c r="CJ143" i="15"/>
  <c r="CJ150" i="15"/>
  <c r="CK150" i="15"/>
  <c r="CI150" i="15"/>
  <c r="CK215" i="15"/>
  <c r="CI215" i="15"/>
  <c r="AG215" i="65" s="1"/>
  <c r="CJ215" i="15"/>
  <c r="CJ164" i="15"/>
  <c r="CK164" i="15"/>
  <c r="CI164" i="15"/>
  <c r="AG164" i="65" s="1"/>
  <c r="CK187" i="15"/>
  <c r="CI187" i="15"/>
  <c r="AG187" i="65" s="1"/>
  <c r="CJ187" i="15"/>
  <c r="CK191" i="15"/>
  <c r="CI191" i="15"/>
  <c r="CJ191" i="15"/>
  <c r="CK81" i="15"/>
  <c r="CI81" i="15"/>
  <c r="CJ81" i="15"/>
  <c r="CJ124" i="15"/>
  <c r="CK124" i="15"/>
  <c r="CI124" i="15"/>
  <c r="AG124" i="65" s="1"/>
  <c r="AV106" i="91"/>
  <c r="AV122" i="91"/>
  <c r="AV119" i="91"/>
  <c r="CK313" i="15"/>
  <c r="CI313" i="15"/>
  <c r="CJ313" i="15"/>
  <c r="AU63" i="91"/>
  <c r="AU67" i="91"/>
  <c r="AR67" i="91"/>
  <c r="AW55" i="91"/>
  <c r="AR114" i="91"/>
  <c r="AU97" i="91"/>
  <c r="AW97" i="91"/>
  <c r="AR102" i="91"/>
  <c r="AR99" i="91"/>
  <c r="AU99" i="91"/>
  <c r="AW99" i="91"/>
  <c r="AW68" i="91"/>
  <c r="AU94" i="91"/>
  <c r="AW94" i="91"/>
  <c r="AR95" i="91"/>
  <c r="AW63" i="91"/>
  <c r="AR48" i="91"/>
  <c r="AU126" i="91"/>
  <c r="AW126" i="91"/>
  <c r="AU89" i="91"/>
  <c r="AR89" i="91"/>
  <c r="AR111" i="91"/>
  <c r="AR118" i="91"/>
  <c r="AU118" i="91"/>
  <c r="AV118" i="91"/>
  <c r="AW118" i="91"/>
  <c r="AU61" i="91"/>
  <c r="AR55" i="91"/>
  <c r="AU55" i="91"/>
  <c r="AU120" i="91"/>
  <c r="AW120" i="91"/>
  <c r="AW42" i="91"/>
  <c r="AU113" i="91"/>
  <c r="AV113" i="91"/>
  <c r="AR113" i="91"/>
  <c r="AR96" i="91"/>
  <c r="AR106" i="91"/>
  <c r="AR92" i="91"/>
  <c r="AU92" i="91"/>
  <c r="AW92" i="91"/>
  <c r="AU91" i="91"/>
  <c r="AW117" i="91"/>
  <c r="AV101" i="91"/>
  <c r="AV92" i="91"/>
  <c r="AW113" i="91"/>
  <c r="AV96" i="91"/>
  <c r="AV94" i="91"/>
  <c r="AV126" i="91"/>
  <c r="AR90" i="91"/>
  <c r="ES122" i="15"/>
  <c r="EU122" i="15"/>
  <c r="ET122" i="15"/>
  <c r="EX126" i="15"/>
  <c r="EZ126" i="15"/>
  <c r="EY126" i="15"/>
  <c r="EX200" i="15"/>
  <c r="EZ200" i="15"/>
  <c r="EY200" i="15"/>
  <c r="EX346" i="15"/>
  <c r="EZ346" i="15"/>
  <c r="EY346" i="15"/>
  <c r="EX220" i="15"/>
  <c r="EZ220" i="15"/>
  <c r="EY220" i="15"/>
  <c r="EX314" i="15"/>
  <c r="EZ314" i="15"/>
  <c r="EY314" i="15"/>
  <c r="EX310" i="15"/>
  <c r="EZ310" i="15"/>
  <c r="EY310" i="15"/>
  <c r="EX344" i="15"/>
  <c r="EZ344" i="15"/>
  <c r="EY344" i="15"/>
  <c r="EX250" i="15"/>
  <c r="EZ250" i="15"/>
  <c r="EY250" i="15"/>
  <c r="EX160" i="15"/>
  <c r="EZ160" i="15"/>
  <c r="EY160" i="15"/>
  <c r="EX328" i="15"/>
  <c r="EZ328" i="15"/>
  <c r="EY328" i="15"/>
  <c r="EX266" i="15"/>
  <c r="EZ266" i="15"/>
  <c r="EY266" i="15"/>
  <c r="EX302" i="15"/>
  <c r="EZ302" i="15"/>
  <c r="EY302" i="15"/>
  <c r="EX270" i="15"/>
  <c r="EZ270" i="15"/>
  <c r="EY270" i="15"/>
  <c r="EX234" i="15"/>
  <c r="EZ234" i="15"/>
  <c r="EY234" i="15"/>
  <c r="EX130" i="15"/>
  <c r="EZ130" i="15"/>
  <c r="EY130" i="15"/>
  <c r="EX262" i="15"/>
  <c r="EZ262" i="15"/>
  <c r="EY262" i="15"/>
  <c r="EX242" i="15"/>
  <c r="EZ242" i="15"/>
  <c r="EY242" i="15"/>
  <c r="EX342" i="15"/>
  <c r="EZ342" i="15"/>
  <c r="EY342" i="15"/>
  <c r="EX232" i="15"/>
  <c r="EZ232" i="15"/>
  <c r="EY232" i="15"/>
  <c r="EX224" i="15"/>
  <c r="EZ224" i="15"/>
  <c r="EY224" i="15"/>
  <c r="EX216" i="15"/>
  <c r="EZ216" i="15"/>
  <c r="EY216" i="15"/>
  <c r="EX222" i="15"/>
  <c r="EZ222" i="15"/>
  <c r="EY222" i="15"/>
  <c r="EX182" i="15"/>
  <c r="EZ182" i="15"/>
  <c r="EY182" i="15"/>
  <c r="EX208" i="15"/>
  <c r="EZ208" i="15"/>
  <c r="EY208" i="15"/>
  <c r="EX340" i="15"/>
  <c r="EZ340" i="15"/>
  <c r="EY340" i="15"/>
  <c r="EX316" i="15"/>
  <c r="EZ316" i="15"/>
  <c r="EY316" i="15"/>
  <c r="EX294" i="15"/>
  <c r="EZ294" i="15"/>
  <c r="EY294" i="15"/>
  <c r="EX260" i="15"/>
  <c r="EZ260" i="15"/>
  <c r="EY260" i="15"/>
  <c r="EX174" i="15"/>
  <c r="EZ174" i="15"/>
  <c r="EY174" i="15"/>
  <c r="EX196" i="15"/>
  <c r="EZ196" i="15"/>
  <c r="EY196" i="15"/>
  <c r="EX338" i="15"/>
  <c r="EZ338" i="15"/>
  <c r="EY338" i="15"/>
  <c r="EX176" i="15"/>
  <c r="EZ176" i="15"/>
  <c r="EY176" i="15"/>
  <c r="EX178" i="15"/>
  <c r="EZ178" i="15"/>
  <c r="EY178" i="15"/>
  <c r="EX168" i="15"/>
  <c r="EZ168" i="15"/>
  <c r="EY168" i="15"/>
  <c r="EX132" i="15"/>
  <c r="EZ132" i="15"/>
  <c r="EY132" i="15"/>
  <c r="EX84" i="15"/>
  <c r="EZ84" i="15"/>
  <c r="EY84" i="15"/>
  <c r="EX236" i="15"/>
  <c r="EZ236" i="15"/>
  <c r="EY236" i="15"/>
  <c r="EX180" i="15"/>
  <c r="EZ180" i="15"/>
  <c r="EY180" i="15"/>
  <c r="EX188" i="15"/>
  <c r="EZ188" i="15"/>
  <c r="EY188" i="15"/>
  <c r="EX264" i="15"/>
  <c r="EZ264" i="15"/>
  <c r="EY264" i="15"/>
  <c r="EX210" i="15"/>
  <c r="EZ210" i="15"/>
  <c r="EY210" i="15"/>
  <c r="EX326" i="15"/>
  <c r="EZ326" i="15"/>
  <c r="EY326" i="15"/>
  <c r="ES274" i="15"/>
  <c r="EU274" i="15"/>
  <c r="ET274" i="15"/>
  <c r="ES278" i="15"/>
  <c r="EU278" i="15"/>
  <c r="ET278" i="15"/>
  <c r="EY211" i="15"/>
  <c r="EX211" i="15"/>
  <c r="EZ211" i="15"/>
  <c r="EY87" i="15"/>
  <c r="EX87" i="15"/>
  <c r="EZ87" i="15"/>
  <c r="EY259" i="15"/>
  <c r="EX259" i="15"/>
  <c r="EZ259" i="15"/>
  <c r="EX100" i="15"/>
  <c r="EZ100" i="15"/>
  <c r="EY100" i="15"/>
  <c r="EY169" i="15"/>
  <c r="EX169" i="15"/>
  <c r="EZ169" i="15"/>
  <c r="ES290" i="15"/>
  <c r="EU290" i="15"/>
  <c r="ET290" i="15"/>
  <c r="ES286" i="15"/>
  <c r="EU286" i="15"/>
  <c r="ET286" i="15"/>
  <c r="ES142" i="15"/>
  <c r="EU142" i="15"/>
  <c r="ET142" i="15"/>
  <c r="ES300" i="15"/>
  <c r="EU300" i="15"/>
  <c r="ET300" i="15"/>
  <c r="ES282" i="15"/>
  <c r="EU282" i="15"/>
  <c r="ET282" i="15"/>
  <c r="ES312" i="15"/>
  <c r="EU312" i="15"/>
  <c r="ET312" i="15"/>
  <c r="EY81" i="15"/>
  <c r="EX81" i="15"/>
  <c r="EZ81" i="15"/>
  <c r="EY263" i="15"/>
  <c r="EX263" i="15"/>
  <c r="EZ263" i="15"/>
  <c r="EX96" i="15"/>
  <c r="EZ96" i="15"/>
  <c r="EY96" i="15"/>
  <c r="EX122" i="15"/>
  <c r="EZ122" i="15"/>
  <c r="EY122" i="15"/>
  <c r="ET119" i="15"/>
  <c r="ES119" i="15"/>
  <c r="EU119" i="15"/>
  <c r="EY261" i="15"/>
  <c r="EX261" i="15"/>
  <c r="EZ261" i="15"/>
  <c r="EY313" i="15"/>
  <c r="EX313" i="15"/>
  <c r="EZ313" i="15"/>
  <c r="ES102" i="15"/>
  <c r="EU102" i="15"/>
  <c r="ET102" i="15"/>
  <c r="ES108" i="15"/>
  <c r="EU108" i="15"/>
  <c r="ET108" i="15"/>
  <c r="EX134" i="15"/>
  <c r="EZ134" i="15"/>
  <c r="EY134" i="15"/>
  <c r="EX258" i="15"/>
  <c r="EZ258" i="15"/>
  <c r="EY258" i="15"/>
  <c r="EX212" i="15"/>
  <c r="EZ212" i="15"/>
  <c r="EY212" i="15"/>
  <c r="EX198" i="15"/>
  <c r="EZ198" i="15"/>
  <c r="EY198" i="15"/>
  <c r="EX248" i="15"/>
  <c r="EZ248" i="15"/>
  <c r="EY248" i="15"/>
  <c r="EX94" i="15"/>
  <c r="EZ94" i="15"/>
  <c r="EY94" i="15"/>
  <c r="EX148" i="15"/>
  <c r="EZ148" i="15"/>
  <c r="EY148" i="15"/>
  <c r="EX238" i="15"/>
  <c r="EZ238" i="15"/>
  <c r="EY238" i="15"/>
  <c r="EX334" i="15"/>
  <c r="EZ334" i="15"/>
  <c r="EY334" i="15"/>
  <c r="EX330" i="15"/>
  <c r="EZ330" i="15"/>
  <c r="EY330" i="15"/>
  <c r="EX186" i="15"/>
  <c r="EZ186" i="15"/>
  <c r="EY186" i="15"/>
  <c r="EX332" i="15"/>
  <c r="EZ332" i="15"/>
  <c r="EY332" i="15"/>
  <c r="EX146" i="15"/>
  <c r="EZ146" i="15"/>
  <c r="EY146" i="15"/>
  <c r="EX226" i="15"/>
  <c r="EZ226" i="15"/>
  <c r="EY226" i="15"/>
  <c r="EX144" i="15"/>
  <c r="EZ144" i="15"/>
  <c r="EY144" i="15"/>
  <c r="EX244" i="15"/>
  <c r="EZ244" i="15"/>
  <c r="EY244" i="15"/>
  <c r="EX336" i="15"/>
  <c r="EZ336" i="15"/>
  <c r="EY336" i="15"/>
  <c r="EX202" i="15"/>
  <c r="EZ202" i="15"/>
  <c r="EY202" i="15"/>
  <c r="EX240" i="15"/>
  <c r="EZ240" i="15"/>
  <c r="EY240" i="15"/>
  <c r="EX230" i="15"/>
  <c r="EZ230" i="15"/>
  <c r="EY230" i="15"/>
  <c r="EX214" i="15"/>
  <c r="EZ214" i="15"/>
  <c r="EY214" i="15"/>
  <c r="EX190" i="15"/>
  <c r="EZ190" i="15"/>
  <c r="EY190" i="15"/>
  <c r="EX194" i="15"/>
  <c r="EZ194" i="15"/>
  <c r="EY194" i="15"/>
  <c r="EX348" i="15"/>
  <c r="EZ348" i="15"/>
  <c r="EY348" i="15"/>
  <c r="EX308" i="15"/>
  <c r="EZ308" i="15"/>
  <c r="EY308" i="15"/>
  <c r="EX324" i="15"/>
  <c r="EZ324" i="15"/>
  <c r="EY324" i="15"/>
  <c r="EX218" i="15"/>
  <c r="EZ218" i="15"/>
  <c r="EY218" i="15"/>
  <c r="EX204" i="15"/>
  <c r="EZ204" i="15"/>
  <c r="EY204" i="15"/>
  <c r="EX246" i="15"/>
  <c r="EZ246" i="15"/>
  <c r="EY246" i="15"/>
  <c r="EX228" i="15"/>
  <c r="EZ228" i="15"/>
  <c r="EY228" i="15"/>
  <c r="EX128" i="15"/>
  <c r="EZ128" i="15"/>
  <c r="EY128" i="15"/>
  <c r="EX318" i="15"/>
  <c r="EZ318" i="15"/>
  <c r="EY318" i="15"/>
  <c r="EX254" i="15"/>
  <c r="EZ254" i="15"/>
  <c r="EY254" i="15"/>
  <c r="EX306" i="15"/>
  <c r="EZ306" i="15"/>
  <c r="EY306" i="15"/>
  <c r="EX102" i="15"/>
  <c r="EZ102" i="15"/>
  <c r="EY102" i="15"/>
  <c r="EX82" i="15"/>
  <c r="EZ82" i="15"/>
  <c r="EY82" i="15"/>
  <c r="EX252" i="15"/>
  <c r="EZ252" i="15"/>
  <c r="EY252" i="15"/>
  <c r="EX184" i="15"/>
  <c r="EZ184" i="15"/>
  <c r="EY184" i="15"/>
  <c r="EX322" i="15"/>
  <c r="EZ322" i="15"/>
  <c r="EY322" i="15"/>
  <c r="EX206" i="15"/>
  <c r="EZ206" i="15"/>
  <c r="EY206" i="15"/>
  <c r="EX268" i="15"/>
  <c r="EZ268" i="15"/>
  <c r="EY268" i="15"/>
  <c r="EX162" i="15"/>
  <c r="EZ162" i="15"/>
  <c r="EY162" i="15"/>
  <c r="EX256" i="15"/>
  <c r="EZ256" i="15"/>
  <c r="EY256" i="15"/>
  <c r="EX192" i="15"/>
  <c r="EZ192" i="15"/>
  <c r="EY192" i="15"/>
  <c r="ES296" i="15"/>
  <c r="EU296" i="15"/>
  <c r="ET296" i="15"/>
  <c r="EY153" i="15"/>
  <c r="EX153" i="15"/>
  <c r="EZ153" i="15"/>
  <c r="EY143" i="15"/>
  <c r="EX143" i="15"/>
  <c r="EZ143" i="15"/>
  <c r="EX150" i="15"/>
  <c r="EZ150" i="15"/>
  <c r="EY150" i="15"/>
  <c r="EY215" i="15"/>
  <c r="EX215" i="15"/>
  <c r="EZ215" i="15"/>
  <c r="EX164" i="15"/>
  <c r="EZ164" i="15"/>
  <c r="EY164" i="15"/>
  <c r="EY187" i="15"/>
  <c r="EX187" i="15"/>
  <c r="EZ187" i="15"/>
  <c r="ES298" i="15"/>
  <c r="EU298" i="15"/>
  <c r="ET298" i="15"/>
  <c r="EY191" i="15"/>
  <c r="EX191" i="15"/>
  <c r="EZ191" i="15"/>
  <c r="ES158" i="15"/>
  <c r="EU158" i="15"/>
  <c r="ET158" i="15"/>
  <c r="EX124" i="15"/>
  <c r="EZ124" i="15"/>
  <c r="EY124" i="15"/>
  <c r="ES178" i="15"/>
  <c r="EU178" i="15"/>
  <c r="ET178" i="15"/>
  <c r="EY99" i="15"/>
  <c r="EX99" i="15"/>
  <c r="EZ99" i="15"/>
  <c r="BY62" i="15"/>
  <c r="AT62" i="65" s="1"/>
  <c r="N62" i="5" s="1"/>
  <c r="AU62" i="73" s="1"/>
  <c r="BV62" i="15"/>
  <c r="FT62" i="15"/>
  <c r="CB62" i="15"/>
  <c r="AQ62" i="65"/>
  <c r="K62" i="5" s="1"/>
  <c r="BO62" i="15"/>
  <c r="BQ66" i="15"/>
  <c r="AS66" i="65"/>
  <c r="M66" i="5" s="1"/>
  <c r="CA66" i="15"/>
  <c r="AV66" i="65" s="1"/>
  <c r="P66" i="5" s="1"/>
  <c r="CD66" i="15"/>
  <c r="BY125" i="15"/>
  <c r="AT125" i="65" s="1"/>
  <c r="N125" i="5" s="1"/>
  <c r="AU125" i="73" s="1"/>
  <c r="BO125" i="15"/>
  <c r="CB125" i="15"/>
  <c r="AQ125" i="65"/>
  <c r="K125" i="5" s="1"/>
  <c r="BV125" i="15"/>
  <c r="FT125" i="15"/>
  <c r="CA123" i="15"/>
  <c r="AV123" i="65" s="1"/>
  <c r="P123" i="5" s="1"/>
  <c r="AS123" i="65"/>
  <c r="M123" i="5" s="1"/>
  <c r="BQ123" i="15"/>
  <c r="CD123" i="15"/>
  <c r="AS107" i="65"/>
  <c r="M107" i="5" s="1"/>
  <c r="BQ107" i="15"/>
  <c r="CD107" i="15"/>
  <c r="CA107" i="15"/>
  <c r="AV107" i="65" s="1"/>
  <c r="P107" i="5" s="1"/>
  <c r="AS79" i="65"/>
  <c r="M79" i="5" s="1"/>
  <c r="BQ79" i="15"/>
  <c r="CA79" i="15"/>
  <c r="CD79" i="15"/>
  <c r="BY47" i="15"/>
  <c r="AT47" i="65" s="1"/>
  <c r="N47" i="5" s="1"/>
  <c r="AU47" i="73" s="1"/>
  <c r="BO47" i="15"/>
  <c r="AQ47" i="65"/>
  <c r="K47" i="5" s="1"/>
  <c r="CB47" i="15"/>
  <c r="FT47" i="15"/>
  <c r="BV47" i="15"/>
  <c r="BQ125" i="15"/>
  <c r="CD125" i="15"/>
  <c r="AS125" i="65"/>
  <c r="M125" i="5" s="1"/>
  <c r="CA125" i="15"/>
  <c r="AV125" i="65" s="1"/>
  <c r="P125" i="5" s="1"/>
  <c r="BV121" i="15"/>
  <c r="FT121" i="15"/>
  <c r="AQ121" i="65"/>
  <c r="K121" i="5" s="1"/>
  <c r="BO121" i="15"/>
  <c r="CB121" i="15"/>
  <c r="BY121" i="15"/>
  <c r="AT121" i="65" s="1"/>
  <c r="N121" i="5" s="1"/>
  <c r="AU121" i="73" s="1"/>
  <c r="BV93" i="15"/>
  <c r="BO93" i="15"/>
  <c r="BY93" i="15"/>
  <c r="AT93" i="65" s="1"/>
  <c r="N93" i="5" s="1"/>
  <c r="AU93" i="73" s="1"/>
  <c r="CB93" i="15"/>
  <c r="AQ93" i="65"/>
  <c r="K93" i="5" s="1"/>
  <c r="FT93" i="15"/>
  <c r="CA109" i="15"/>
  <c r="AV109" i="65" s="1"/>
  <c r="P109" i="5" s="1"/>
  <c r="CD109" i="15"/>
  <c r="AS109" i="65"/>
  <c r="M109" i="5" s="1"/>
  <c r="BQ109" i="15"/>
  <c r="BV79" i="15"/>
  <c r="CB79" i="15"/>
  <c r="AQ79" i="65"/>
  <c r="K79" i="5" s="1"/>
  <c r="BY79" i="15"/>
  <c r="AT79" i="65" s="1"/>
  <c r="N79" i="5" s="1"/>
  <c r="AU79" i="73" s="1"/>
  <c r="FT79" i="15"/>
  <c r="BO79" i="15"/>
  <c r="CD62" i="15"/>
  <c r="AS62" i="65"/>
  <c r="M62" i="5" s="1"/>
  <c r="BQ62" i="15"/>
  <c r="CA62" i="15"/>
  <c r="AV62" i="65" s="1"/>
  <c r="P62" i="5" s="1"/>
  <c r="AW62" i="73" s="1"/>
  <c r="CD47" i="15"/>
  <c r="BQ47" i="15"/>
  <c r="CA47" i="15"/>
  <c r="AV47" i="65" s="1"/>
  <c r="P47" i="5" s="1"/>
  <c r="AW47" i="73" s="1"/>
  <c r="AS47" i="65"/>
  <c r="M47" i="5" s="1"/>
  <c r="AQ107" i="65"/>
  <c r="K107" i="5" s="1"/>
  <c r="BO107" i="15"/>
  <c r="CB107" i="15"/>
  <c r="BV107" i="15"/>
  <c r="BY107" i="15"/>
  <c r="AT107" i="65" s="1"/>
  <c r="N107" i="5" s="1"/>
  <c r="AU107" i="73" s="1"/>
  <c r="FT107" i="15"/>
  <c r="CB109" i="15"/>
  <c r="FT109" i="15"/>
  <c r="BY109" i="15"/>
  <c r="AT109" i="65" s="1"/>
  <c r="N109" i="5" s="1"/>
  <c r="AU109" i="73" s="1"/>
  <c r="BO109" i="15"/>
  <c r="AQ109" i="65"/>
  <c r="K109" i="5" s="1"/>
  <c r="BV109" i="15"/>
  <c r="AS61" i="65"/>
  <c r="M61" i="5" s="1"/>
  <c r="AR61" i="91" s="1"/>
  <c r="BQ61" i="15"/>
  <c r="CD61" i="15"/>
  <c r="CA61" i="15"/>
  <c r="ER61" i="15" s="1"/>
  <c r="CB66" i="15"/>
  <c r="BY66" i="15"/>
  <c r="AT66" i="65" s="1"/>
  <c r="N66" i="5" s="1"/>
  <c r="AU66" i="73" s="1"/>
  <c r="BV66" i="15"/>
  <c r="FT66" i="15"/>
  <c r="BO66" i="15"/>
  <c r="AQ66" i="65"/>
  <c r="K66" i="5" s="1"/>
  <c r="CA93" i="15"/>
  <c r="AV93" i="65" s="1"/>
  <c r="P93" i="5" s="1"/>
  <c r="AW93" i="73" s="1"/>
  <c r="BQ93" i="15"/>
  <c r="CD93" i="15"/>
  <c r="AS93" i="65"/>
  <c r="M93" i="5" s="1"/>
  <c r="BV105" i="15"/>
  <c r="BO105" i="15"/>
  <c r="AQ105" i="65"/>
  <c r="K105" i="5" s="1"/>
  <c r="CB105" i="15"/>
  <c r="FT105" i="15"/>
  <c r="BY105" i="15"/>
  <c r="AT105" i="65" s="1"/>
  <c r="N105" i="5" s="1"/>
  <c r="AU105" i="73" s="1"/>
  <c r="CA121" i="15"/>
  <c r="AV121" i="65" s="1"/>
  <c r="P121" i="5" s="1"/>
  <c r="AW121" i="73" s="1"/>
  <c r="BQ121" i="15"/>
  <c r="AS121" i="65"/>
  <c r="M121" i="5" s="1"/>
  <c r="CD121" i="15"/>
  <c r="CB123" i="15"/>
  <c r="FT123" i="15"/>
  <c r="BV123" i="15"/>
  <c r="BY123" i="15"/>
  <c r="AT123" i="65" s="1"/>
  <c r="N123" i="5" s="1"/>
  <c r="AU123" i="73" s="1"/>
  <c r="BO123" i="15"/>
  <c r="AQ123" i="65"/>
  <c r="K123" i="5" s="1"/>
  <c r="CA105" i="15"/>
  <c r="AV105" i="65" s="1"/>
  <c r="P105" i="5" s="1"/>
  <c r="AW105" i="73" s="1"/>
  <c r="CD105" i="15"/>
  <c r="AS105" i="65"/>
  <c r="M105" i="5" s="1"/>
  <c r="BQ105" i="15"/>
  <c r="BL78" i="15"/>
  <c r="BN49" i="15"/>
  <c r="BL49" i="15"/>
  <c r="BL36" i="15"/>
  <c r="BN36" i="15"/>
  <c r="DC85" i="15"/>
  <c r="AY85" i="65" s="1"/>
  <c r="S85" i="5" s="1"/>
  <c r="AX85" i="65"/>
  <c r="R85" i="5" s="1"/>
  <c r="DD175" i="15"/>
  <c r="DG175" i="15" s="1"/>
  <c r="DC175" i="15"/>
  <c r="AY175" i="65" s="1"/>
  <c r="DE175" i="15"/>
  <c r="DH175" i="15" s="1"/>
  <c r="DF175" i="15"/>
  <c r="DI175" i="15" s="1"/>
  <c r="BB175" i="65" s="1"/>
  <c r="AX175" i="65"/>
  <c r="DC103" i="15"/>
  <c r="AY103" i="65" s="1"/>
  <c r="AX103" i="65"/>
  <c r="AX98" i="65"/>
  <c r="R98" i="5" s="1"/>
  <c r="DC98" i="15"/>
  <c r="AY98" i="65" s="1"/>
  <c r="S98" i="5" s="1"/>
  <c r="BN78" i="15"/>
  <c r="BL44" i="15"/>
  <c r="BN44" i="15"/>
  <c r="AX327" i="65"/>
  <c r="DC327" i="15"/>
  <c r="AY327" i="65" s="1"/>
  <c r="AT102" i="65"/>
  <c r="DB102" i="15"/>
  <c r="BR61" i="15"/>
  <c r="CS86" i="15"/>
  <c r="CV86" i="15" s="1"/>
  <c r="CR86" i="15"/>
  <c r="CW86" i="15"/>
  <c r="AW86" i="65"/>
  <c r="Q86" i="5" s="1"/>
  <c r="BA86" i="73" s="1"/>
  <c r="CE63" i="15"/>
  <c r="BT63" i="15" s="1"/>
  <c r="AU67" i="65"/>
  <c r="O67" i="5" s="1"/>
  <c r="AV67" i="73" s="1"/>
  <c r="CE48" i="15"/>
  <c r="BU48" i="15" s="1"/>
  <c r="EW116" i="15"/>
  <c r="CH116" i="15"/>
  <c r="EV119" i="15"/>
  <c r="BT119" i="15"/>
  <c r="BU119" i="15"/>
  <c r="DF261" i="15"/>
  <c r="DI261" i="15" s="1"/>
  <c r="BB261" i="65" s="1"/>
  <c r="AW261" i="65"/>
  <c r="CW261" i="15"/>
  <c r="CV261" i="15"/>
  <c r="DD261" i="15"/>
  <c r="DG261" i="15" s="1"/>
  <c r="DE261" i="15"/>
  <c r="DH261" i="15" s="1"/>
  <c r="CR261" i="15"/>
  <c r="CU261" i="15"/>
  <c r="CS261" i="15"/>
  <c r="CT261" i="15"/>
  <c r="DD313" i="15"/>
  <c r="DG313" i="15" s="1"/>
  <c r="DE313" i="15"/>
  <c r="DH313" i="15" s="1"/>
  <c r="CW313" i="15"/>
  <c r="AW313" i="65"/>
  <c r="CT313" i="15"/>
  <c r="DF313" i="15"/>
  <c r="DI313" i="15" s="1"/>
  <c r="BB313" i="65" s="1"/>
  <c r="CU313" i="15"/>
  <c r="CR313" i="15"/>
  <c r="CS313" i="15"/>
  <c r="CV313" i="15"/>
  <c r="CH122" i="15"/>
  <c r="CH119" i="15"/>
  <c r="BS119" i="15"/>
  <c r="EW119" i="15"/>
  <c r="BP62" i="15"/>
  <c r="FU62" i="15"/>
  <c r="FC63" i="15" s="1"/>
  <c r="FB63" i="15" s="1"/>
  <c r="FA63" i="15" s="1"/>
  <c r="BG63" i="65" s="1"/>
  <c r="AG63" i="5" s="1"/>
  <c r="AR62" i="65"/>
  <c r="L62" i="5" s="1"/>
  <c r="BZ62" i="15"/>
  <c r="CF62" i="15" s="1"/>
  <c r="CC62" i="15"/>
  <c r="AX80" i="65"/>
  <c r="R80" i="5" s="1"/>
  <c r="DC80" i="15"/>
  <c r="AY80" i="65" s="1"/>
  <c r="S80" i="5" s="1"/>
  <c r="BP79" i="15"/>
  <c r="CC79" i="15"/>
  <c r="BZ79" i="15"/>
  <c r="CF79" i="15" s="1"/>
  <c r="AR79" i="65"/>
  <c r="L79" i="5" s="1"/>
  <c r="FU79" i="15"/>
  <c r="CC47" i="15"/>
  <c r="BP47" i="15"/>
  <c r="AR47" i="65"/>
  <c r="L47" i="5" s="1"/>
  <c r="FU47" i="15"/>
  <c r="FC48" i="15" s="1"/>
  <c r="FB48" i="15" s="1"/>
  <c r="FA48" i="15" s="1"/>
  <c r="BG48" i="65" s="1"/>
  <c r="AG48" i="5" s="1"/>
  <c r="BZ47" i="15"/>
  <c r="CF47" i="15" s="1"/>
  <c r="AR107" i="65"/>
  <c r="L107" i="5" s="1"/>
  <c r="FU107" i="15"/>
  <c r="BP107" i="15"/>
  <c r="CC107" i="15"/>
  <c r="BZ107" i="15"/>
  <c r="CF107" i="15" s="1"/>
  <c r="FU109" i="15"/>
  <c r="FC110" i="15" s="1"/>
  <c r="FB110" i="15" s="1"/>
  <c r="FA110" i="15" s="1"/>
  <c r="BG110" i="65" s="1"/>
  <c r="AG110" i="5" s="1"/>
  <c r="AR109" i="65"/>
  <c r="L109" i="5" s="1"/>
  <c r="BP109" i="15"/>
  <c r="CC109" i="15"/>
  <c r="BZ109" i="15"/>
  <c r="AU109" i="65" s="1"/>
  <c r="O109" i="5" s="1"/>
  <c r="AV109" i="73" s="1"/>
  <c r="CC121" i="15"/>
  <c r="FU121" i="15"/>
  <c r="FC122" i="15" s="1"/>
  <c r="FB122" i="15" s="1"/>
  <c r="FA122" i="15" s="1"/>
  <c r="BG122" i="65" s="1"/>
  <c r="AG122" i="5" s="1"/>
  <c r="AR121" i="65"/>
  <c r="L121" i="5" s="1"/>
  <c r="BP121" i="15"/>
  <c r="BZ121" i="15"/>
  <c r="AU121" i="65" s="1"/>
  <c r="O121" i="5" s="1"/>
  <c r="AV121" i="73" s="1"/>
  <c r="FU66" i="15"/>
  <c r="BZ66" i="15"/>
  <c r="CE66" i="15" s="1"/>
  <c r="AR66" i="65"/>
  <c r="L66" i="5" s="1"/>
  <c r="BP66" i="15"/>
  <c r="CC66" i="15"/>
  <c r="BZ125" i="15"/>
  <c r="AU125" i="65" s="1"/>
  <c r="O125" i="5" s="1"/>
  <c r="AV125" i="73" s="1"/>
  <c r="FU125" i="15"/>
  <c r="FC126" i="15" s="1"/>
  <c r="FB126" i="15" s="1"/>
  <c r="FA126" i="15" s="1"/>
  <c r="BG126" i="65" s="1"/>
  <c r="AG126" i="5" s="1"/>
  <c r="CC125" i="15"/>
  <c r="BP125" i="15"/>
  <c r="AR125" i="65"/>
  <c r="L125" i="5" s="1"/>
  <c r="CC123" i="15"/>
  <c r="AR123" i="65"/>
  <c r="L123" i="5" s="1"/>
  <c r="BZ123" i="15"/>
  <c r="BP123" i="15"/>
  <c r="FU123" i="15"/>
  <c r="FC124" i="15" s="1"/>
  <c r="FB124" i="15" s="1"/>
  <c r="FA124" i="15" s="1"/>
  <c r="BG124" i="65" s="1"/>
  <c r="AG124" i="5" s="1"/>
  <c r="BP105" i="15"/>
  <c r="FU105" i="15"/>
  <c r="FC106" i="15" s="1"/>
  <c r="FB106" i="15" s="1"/>
  <c r="FA106" i="15" s="1"/>
  <c r="BG106" i="65" s="1"/>
  <c r="AG106" i="5" s="1"/>
  <c r="AR105" i="65"/>
  <c r="L105" i="5" s="1"/>
  <c r="CC105" i="15"/>
  <c r="BZ105" i="15"/>
  <c r="AU105" i="65" s="1"/>
  <c r="O105" i="5" s="1"/>
  <c r="AV105" i="73" s="1"/>
  <c r="FU93" i="15"/>
  <c r="FA93" i="15" s="1"/>
  <c r="BG93" i="65" s="1"/>
  <c r="AG93" i="5" s="1"/>
  <c r="BZ93" i="15"/>
  <c r="AU93" i="65" s="1"/>
  <c r="O93" i="5" s="1"/>
  <c r="AV93" i="73" s="1"/>
  <c r="AR93" i="65"/>
  <c r="L93" i="5" s="1"/>
  <c r="CC93" i="15"/>
  <c r="BP93" i="15"/>
  <c r="BM78" i="15"/>
  <c r="BM44" i="15"/>
  <c r="BM36" i="15"/>
  <c r="EW296" i="15"/>
  <c r="EW278" i="15"/>
  <c r="DF153" i="15"/>
  <c r="DI153" i="15" s="1"/>
  <c r="BB153" i="65" s="1"/>
  <c r="AW153" i="65"/>
  <c r="CT153" i="15"/>
  <c r="CU153" i="15"/>
  <c r="DD153" i="15"/>
  <c r="DG153" i="15" s="1"/>
  <c r="DE153" i="15"/>
  <c r="DH153" i="15" s="1"/>
  <c r="CR153" i="15"/>
  <c r="CS153" i="15"/>
  <c r="CV153" i="15"/>
  <c r="CW153" i="15"/>
  <c r="DF211" i="15"/>
  <c r="DI211" i="15" s="1"/>
  <c r="BB211" i="65" s="1"/>
  <c r="DD211" i="15"/>
  <c r="DG211" i="15" s="1"/>
  <c r="DE211" i="15"/>
  <c r="DH211" i="15" s="1"/>
  <c r="CW211" i="15"/>
  <c r="CU211" i="15"/>
  <c r="CS211" i="15"/>
  <c r="CV211" i="15"/>
  <c r="CT211" i="15"/>
  <c r="CR211" i="15"/>
  <c r="AW211" i="65"/>
  <c r="DD259" i="15"/>
  <c r="DG259" i="15" s="1"/>
  <c r="DE259" i="15"/>
  <c r="DH259" i="15" s="1"/>
  <c r="CR259" i="15"/>
  <c r="CV259" i="15"/>
  <c r="CU259" i="15"/>
  <c r="CT259" i="15"/>
  <c r="DF259" i="15"/>
  <c r="DI259" i="15" s="1"/>
  <c r="BB259" i="65" s="1"/>
  <c r="AW259" i="65"/>
  <c r="CS259" i="15"/>
  <c r="CW259" i="15"/>
  <c r="CU100" i="15"/>
  <c r="CW100" i="15"/>
  <c r="CR100" i="15"/>
  <c r="AW100" i="65"/>
  <c r="Q100" i="5" s="1"/>
  <c r="BA100" i="73" s="1"/>
  <c r="CS100" i="15"/>
  <c r="CV100" i="15"/>
  <c r="CT100" i="15"/>
  <c r="DF143" i="15"/>
  <c r="DI143" i="15" s="1"/>
  <c r="BB143" i="65" s="1"/>
  <c r="CU143" i="15"/>
  <c r="CR143" i="15"/>
  <c r="AW143" i="65"/>
  <c r="CT143" i="15"/>
  <c r="DD143" i="15"/>
  <c r="DG143" i="15" s="1"/>
  <c r="DE143" i="15"/>
  <c r="DH143" i="15" s="1"/>
  <c r="CS143" i="15"/>
  <c r="CW143" i="15"/>
  <c r="CV143" i="15"/>
  <c r="DE164" i="15"/>
  <c r="DH164" i="15" s="1"/>
  <c r="DF164" i="15"/>
  <c r="DI164" i="15" s="1"/>
  <c r="BB164" i="65" s="1"/>
  <c r="CR164" i="15"/>
  <c r="CS164" i="15"/>
  <c r="CV164" i="15"/>
  <c r="DD164" i="15"/>
  <c r="DG164" i="15" s="1"/>
  <c r="CU164" i="15"/>
  <c r="AW164" i="65"/>
  <c r="CT164" i="15"/>
  <c r="CW164" i="15"/>
  <c r="DD187" i="15"/>
  <c r="DG187" i="15" s="1"/>
  <c r="DE187" i="15"/>
  <c r="DH187" i="15" s="1"/>
  <c r="CR187" i="15"/>
  <c r="AW187" i="65"/>
  <c r="CS187" i="15"/>
  <c r="DF187" i="15"/>
  <c r="DI187" i="15" s="1"/>
  <c r="BB187" i="65" s="1"/>
  <c r="CT187" i="15"/>
  <c r="CV187" i="15"/>
  <c r="CU187" i="15"/>
  <c r="CW187" i="15"/>
  <c r="EW290" i="15"/>
  <c r="BU290" i="15"/>
  <c r="EV290" i="15"/>
  <c r="CH290" i="15" s="1"/>
  <c r="BT290" i="15"/>
  <c r="BS290" i="15" s="1"/>
  <c r="EW286" i="15"/>
  <c r="BT142" i="15"/>
  <c r="BS142" i="15" s="1"/>
  <c r="EV142" i="15"/>
  <c r="CH142" i="15" s="1"/>
  <c r="BU142" i="15"/>
  <c r="BT300" i="15"/>
  <c r="BS300" i="15" s="1"/>
  <c r="EV300" i="15"/>
  <c r="CH300" i="15" s="1"/>
  <c r="BU300" i="15"/>
  <c r="EW300" i="15"/>
  <c r="BU282" i="15"/>
  <c r="EV282" i="15"/>
  <c r="CH282" i="15" s="1"/>
  <c r="BT282" i="15"/>
  <c r="BS282" i="15" s="1"/>
  <c r="EW282" i="15"/>
  <c r="DD191" i="15"/>
  <c r="DG191" i="15" s="1"/>
  <c r="DE191" i="15"/>
  <c r="DH191" i="15" s="1"/>
  <c r="CT191" i="15"/>
  <c r="AW191" i="65"/>
  <c r="CV191" i="15"/>
  <c r="CU191" i="15"/>
  <c r="DF191" i="15"/>
  <c r="DI191" i="15" s="1"/>
  <c r="BB191" i="65" s="1"/>
  <c r="CW191" i="15"/>
  <c r="CR191" i="15"/>
  <c r="CS191" i="15"/>
  <c r="DF263" i="15"/>
  <c r="DI263" i="15" s="1"/>
  <c r="BB263" i="65" s="1"/>
  <c r="CW263" i="15"/>
  <c r="CS263" i="15"/>
  <c r="AW263" i="65"/>
  <c r="CT263" i="15"/>
  <c r="DD263" i="15"/>
  <c r="DG263" i="15" s="1"/>
  <c r="DE263" i="15"/>
  <c r="DH263" i="15" s="1"/>
  <c r="CR263" i="15"/>
  <c r="CU263" i="15"/>
  <c r="CV263" i="15"/>
  <c r="EW158" i="15"/>
  <c r="EV158" i="15"/>
  <c r="CH158" i="15" s="1"/>
  <c r="BT158" i="15"/>
  <c r="BS158" i="15" s="1"/>
  <c r="BU158" i="15"/>
  <c r="AU42" i="65"/>
  <c r="O42" i="5" s="1"/>
  <c r="AV42" i="73" s="1"/>
  <c r="CF42" i="15"/>
  <c r="EW42" i="15" s="1"/>
  <c r="BM49" i="15"/>
  <c r="EV274" i="15"/>
  <c r="CH274" i="15" s="1"/>
  <c r="BT274" i="15"/>
  <c r="BS274" i="15" s="1"/>
  <c r="BU274" i="15"/>
  <c r="EW274" i="15"/>
  <c r="EV296" i="15"/>
  <c r="CH296" i="15" s="1"/>
  <c r="BU296" i="15"/>
  <c r="BT296" i="15"/>
  <c r="BS296" i="15" s="1"/>
  <c r="BT278" i="15"/>
  <c r="BS278" i="15" s="1"/>
  <c r="EV278" i="15"/>
  <c r="CH278" i="15" s="1"/>
  <c r="BU278" i="15"/>
  <c r="DD87" i="15"/>
  <c r="DG87" i="15" s="1"/>
  <c r="DE87" i="15"/>
  <c r="DH87" i="15" s="1"/>
  <c r="DF87" i="15"/>
  <c r="DI87" i="15" s="1"/>
  <c r="BB87" i="65" s="1"/>
  <c r="V87" i="5" s="1"/>
  <c r="CR87" i="15"/>
  <c r="CV87" i="15"/>
  <c r="AW87" i="65"/>
  <c r="Q87" i="5" s="1"/>
  <c r="BA87" i="73" s="1"/>
  <c r="CW87" i="15"/>
  <c r="CU87" i="15"/>
  <c r="CT87" i="15"/>
  <c r="CS87" i="15"/>
  <c r="DE150" i="15"/>
  <c r="DH150" i="15" s="1"/>
  <c r="DF150" i="15"/>
  <c r="DI150" i="15" s="1"/>
  <c r="BB150" i="65" s="1"/>
  <c r="CV150" i="15"/>
  <c r="AW150" i="65"/>
  <c r="CS150" i="15"/>
  <c r="CU150" i="15"/>
  <c r="CW150" i="15"/>
  <c r="CT150" i="15"/>
  <c r="CR150" i="15"/>
  <c r="DF215" i="15"/>
  <c r="DI215" i="15" s="1"/>
  <c r="BB215" i="65" s="1"/>
  <c r="DD215" i="15"/>
  <c r="DG215" i="15" s="1"/>
  <c r="DE215" i="15"/>
  <c r="DH215" i="15" s="1"/>
  <c r="AW215" i="65"/>
  <c r="CR215" i="15"/>
  <c r="CW215" i="15"/>
  <c r="CV215" i="15"/>
  <c r="CT215" i="15"/>
  <c r="CU215" i="15"/>
  <c r="CS215" i="15"/>
  <c r="DD169" i="15"/>
  <c r="DG169" i="15" s="1"/>
  <c r="DE169" i="15"/>
  <c r="DH169" i="15" s="1"/>
  <c r="CS169" i="15"/>
  <c r="CU169" i="15"/>
  <c r="CT169" i="15"/>
  <c r="CR169" i="15"/>
  <c r="CV169" i="15"/>
  <c r="DF169" i="15"/>
  <c r="DI169" i="15" s="1"/>
  <c r="BB169" i="65" s="1"/>
  <c r="CW169" i="15"/>
  <c r="AW169" i="65"/>
  <c r="EV286" i="15"/>
  <c r="CH286" i="15" s="1"/>
  <c r="BT286" i="15"/>
  <c r="BS286" i="15" s="1"/>
  <c r="BU286" i="15"/>
  <c r="EW142" i="15"/>
  <c r="EW312" i="15"/>
  <c r="BU312" i="15"/>
  <c r="BT312" i="15"/>
  <c r="BS312" i="15" s="1"/>
  <c r="EV312" i="15"/>
  <c r="CH312" i="15" s="1"/>
  <c r="BT298" i="15"/>
  <c r="BS298" i="15" s="1"/>
  <c r="BU298" i="15"/>
  <c r="EV298" i="15"/>
  <c r="CH298" i="15" s="1"/>
  <c r="DF81" i="15"/>
  <c r="DI81" i="15" s="1"/>
  <c r="BB81" i="65" s="1"/>
  <c r="DE81" i="15"/>
  <c r="DH81" i="15" s="1"/>
  <c r="CS81" i="15"/>
  <c r="AW81" i="65"/>
  <c r="CT81" i="15"/>
  <c r="CU81" i="15"/>
  <c r="CW81" i="15"/>
  <c r="CV81" i="15"/>
  <c r="CR81" i="15"/>
  <c r="CR124" i="15"/>
  <c r="CT124" i="15"/>
  <c r="AW124" i="65"/>
  <c r="Q124" i="5" s="1"/>
  <c r="BA124" i="73" s="1"/>
  <c r="CU124" i="15"/>
  <c r="CS124" i="15"/>
  <c r="CV124" i="15" s="1"/>
  <c r="CW124" i="15"/>
  <c r="CE89" i="15"/>
  <c r="CF89" i="15"/>
  <c r="ER89" i="15"/>
  <c r="AU89" i="65"/>
  <c r="O89" i="5" s="1"/>
  <c r="AV89" i="73" s="1"/>
  <c r="CE90" i="15"/>
  <c r="ER90" i="15" s="1"/>
  <c r="ES90" i="15" s="1"/>
  <c r="AU90" i="65"/>
  <c r="CF90" i="15"/>
  <c r="CF91" i="15"/>
  <c r="CE91" i="15"/>
  <c r="ER91" i="15" s="1"/>
  <c r="ET91" i="15" s="1"/>
  <c r="AU91" i="65"/>
  <c r="O91" i="5" s="1"/>
  <c r="AV91" i="73" s="1"/>
  <c r="DD134" i="15"/>
  <c r="DG134" i="15" s="1"/>
  <c r="DE258" i="15"/>
  <c r="DH258" i="15" s="1"/>
  <c r="DF258" i="15"/>
  <c r="DI258" i="15" s="1"/>
  <c r="BB258" i="65" s="1"/>
  <c r="DE212" i="15"/>
  <c r="DH212" i="15" s="1"/>
  <c r="DF212" i="15"/>
  <c r="DI212" i="15" s="1"/>
  <c r="BB212" i="65" s="1"/>
  <c r="DD200" i="15"/>
  <c r="DG200" i="15" s="1"/>
  <c r="DF200" i="15"/>
  <c r="DI200" i="15" s="1"/>
  <c r="BB200" i="65" s="1"/>
  <c r="DE148" i="15"/>
  <c r="DH148" i="15" s="1"/>
  <c r="DD148" i="15"/>
  <c r="DG148" i="15" s="1"/>
  <c r="DF148" i="15"/>
  <c r="DI148" i="15" s="1"/>
  <c r="BB148" i="65" s="1"/>
  <c r="DE346" i="15"/>
  <c r="DH346" i="15" s="1"/>
  <c r="DF346" i="15"/>
  <c r="DI346" i="15" s="1"/>
  <c r="BB346" i="65" s="1"/>
  <c r="DE330" i="15"/>
  <c r="DH330" i="15" s="1"/>
  <c r="DD330" i="15"/>
  <c r="DG330" i="15" s="1"/>
  <c r="DF330" i="15"/>
  <c r="DI330" i="15" s="1"/>
  <c r="BB330" i="65" s="1"/>
  <c r="DE220" i="15"/>
  <c r="DH220" i="15" s="1"/>
  <c r="DE332" i="15"/>
  <c r="DH332" i="15" s="1"/>
  <c r="DF332" i="15"/>
  <c r="DI332" i="15" s="1"/>
  <c r="BB332" i="65" s="1"/>
  <c r="DE310" i="15"/>
  <c r="DH310" i="15" s="1"/>
  <c r="DD310" i="15"/>
  <c r="DG310" i="15" s="1"/>
  <c r="DF310" i="15"/>
  <c r="DI310" i="15" s="1"/>
  <c r="BB310" i="65" s="1"/>
  <c r="DE250" i="15"/>
  <c r="DH250" i="15" s="1"/>
  <c r="DF250" i="15"/>
  <c r="DI250" i="15" s="1"/>
  <c r="BB250" i="65" s="1"/>
  <c r="DE328" i="15"/>
  <c r="DH328" i="15" s="1"/>
  <c r="DE266" i="15"/>
  <c r="DH266" i="15" s="1"/>
  <c r="DF266" i="15"/>
  <c r="DI266" i="15" s="1"/>
  <c r="BB266" i="65" s="1"/>
  <c r="DE302" i="15"/>
  <c r="DH302" i="15" s="1"/>
  <c r="DD302" i="15"/>
  <c r="DG302" i="15" s="1"/>
  <c r="DF302" i="15"/>
  <c r="DI302" i="15" s="1"/>
  <c r="BB302" i="65" s="1"/>
  <c r="DE270" i="15"/>
  <c r="DH270" i="15" s="1"/>
  <c r="DD270" i="15"/>
  <c r="DG270" i="15" s="1"/>
  <c r="DF270" i="15"/>
  <c r="DI270" i="15" s="1"/>
  <c r="BB270" i="65" s="1"/>
  <c r="DE130" i="15"/>
  <c r="DH130" i="15" s="1"/>
  <c r="DF130" i="15"/>
  <c r="DI130" i="15" s="1"/>
  <c r="BB130" i="65" s="1"/>
  <c r="DE240" i="15"/>
  <c r="DH240" i="15" s="1"/>
  <c r="DD240" i="15"/>
  <c r="DG240" i="15" s="1"/>
  <c r="DF240" i="15"/>
  <c r="DI240" i="15" s="1"/>
  <c r="BB240" i="65" s="1"/>
  <c r="DE324" i="15"/>
  <c r="DH324" i="15" s="1"/>
  <c r="DF324" i="15"/>
  <c r="DI324" i="15" s="1"/>
  <c r="BB324" i="65" s="1"/>
  <c r="DE218" i="15"/>
  <c r="DH218" i="15" s="1"/>
  <c r="DE174" i="15"/>
  <c r="DH174" i="15" s="1"/>
  <c r="DE246" i="15"/>
  <c r="DH246" i="15" s="1"/>
  <c r="DF246" i="15"/>
  <c r="DI246" i="15" s="1"/>
  <c r="BB246" i="65" s="1"/>
  <c r="DE196" i="15"/>
  <c r="DH196" i="15" s="1"/>
  <c r="DF196" i="15"/>
  <c r="DI196" i="15" s="1"/>
  <c r="BB196" i="65" s="1"/>
  <c r="DE338" i="15"/>
  <c r="DH338" i="15" s="1"/>
  <c r="DF338" i="15"/>
  <c r="DI338" i="15" s="1"/>
  <c r="BB338" i="65" s="1"/>
  <c r="DD168" i="15"/>
  <c r="DG168" i="15" s="1"/>
  <c r="DE128" i="15"/>
  <c r="DH128" i="15" s="1"/>
  <c r="DF128" i="15"/>
  <c r="DI128" i="15" s="1"/>
  <c r="BB128" i="65" s="1"/>
  <c r="DE306" i="15"/>
  <c r="DH306" i="15" s="1"/>
  <c r="DF306" i="15"/>
  <c r="DI306" i="15" s="1"/>
  <c r="BB306" i="65" s="1"/>
  <c r="DE236" i="15"/>
  <c r="DH236" i="15" s="1"/>
  <c r="DE162" i="15"/>
  <c r="DH162" i="15" s="1"/>
  <c r="DF162" i="15"/>
  <c r="DI162" i="15" s="1"/>
  <c r="BB162" i="65" s="1"/>
  <c r="DE264" i="15"/>
  <c r="DH264" i="15" s="1"/>
  <c r="DF264" i="15"/>
  <c r="DI264" i="15" s="1"/>
  <c r="BB264" i="65" s="1"/>
  <c r="DE326" i="15"/>
  <c r="DH326" i="15" s="1"/>
  <c r="DF326" i="15"/>
  <c r="DI326" i="15" s="1"/>
  <c r="BB326" i="65" s="1"/>
  <c r="DE232" i="15"/>
  <c r="DH232" i="15" s="1"/>
  <c r="DE238" i="15"/>
  <c r="DH238" i="15" s="1"/>
  <c r="DF238" i="15"/>
  <c r="DI238" i="15" s="1"/>
  <c r="BB238" i="65" s="1"/>
  <c r="DD334" i="15"/>
  <c r="DG334" i="15" s="1"/>
  <c r="DE314" i="15"/>
  <c r="DH314" i="15" s="1"/>
  <c r="DF314" i="15"/>
  <c r="DI314" i="15" s="1"/>
  <c r="BB314" i="65" s="1"/>
  <c r="DD186" i="15"/>
  <c r="DG186" i="15" s="1"/>
  <c r="DE344" i="15"/>
  <c r="DH344" i="15" s="1"/>
  <c r="DF344" i="15"/>
  <c r="DI344" i="15" s="1"/>
  <c r="BB344" i="65" s="1"/>
  <c r="DE160" i="15"/>
  <c r="DH160" i="15" s="1"/>
  <c r="DF160" i="15"/>
  <c r="DI160" i="15" s="1"/>
  <c r="BB160" i="65" s="1"/>
  <c r="DD144" i="15"/>
  <c r="DG144" i="15" s="1"/>
  <c r="DE244" i="15"/>
  <c r="DH244" i="15" s="1"/>
  <c r="DF244" i="15"/>
  <c r="DI244" i="15" s="1"/>
  <c r="BB244" i="65" s="1"/>
  <c r="DE234" i="15"/>
  <c r="DH234" i="15" s="1"/>
  <c r="DF234" i="15"/>
  <c r="DI234" i="15" s="1"/>
  <c r="BB234" i="65" s="1"/>
  <c r="DE262" i="15"/>
  <c r="DH262" i="15" s="1"/>
  <c r="DF262" i="15"/>
  <c r="DI262" i="15" s="1"/>
  <c r="BB262" i="65" s="1"/>
  <c r="DE342" i="15"/>
  <c r="DH342" i="15" s="1"/>
  <c r="DF342" i="15"/>
  <c r="DI342" i="15" s="1"/>
  <c r="BB342" i="65" s="1"/>
  <c r="DE214" i="15"/>
  <c r="DH214" i="15" s="1"/>
  <c r="DF214" i="15"/>
  <c r="DI214" i="15" s="1"/>
  <c r="BB214" i="65" s="1"/>
  <c r="DE224" i="15"/>
  <c r="DH224" i="15" s="1"/>
  <c r="DF224" i="15"/>
  <c r="DI224" i="15" s="1"/>
  <c r="BB224" i="65" s="1"/>
  <c r="DE348" i="15"/>
  <c r="DH348" i="15" s="1"/>
  <c r="DF348" i="15"/>
  <c r="DI348" i="15" s="1"/>
  <c r="BB348" i="65" s="1"/>
  <c r="DD308" i="15"/>
  <c r="DG308" i="15" s="1"/>
  <c r="DE222" i="15"/>
  <c r="DH222" i="15" s="1"/>
  <c r="DF222" i="15"/>
  <c r="DI222" i="15" s="1"/>
  <c r="BB222" i="65" s="1"/>
  <c r="DE294" i="15"/>
  <c r="DH294" i="15" s="1"/>
  <c r="DF294" i="15"/>
  <c r="DI294" i="15" s="1"/>
  <c r="BB294" i="65" s="1"/>
  <c r="DE228" i="15"/>
  <c r="DH228" i="15" s="1"/>
  <c r="DF228" i="15"/>
  <c r="DI228" i="15" s="1"/>
  <c r="BB228" i="65" s="1"/>
  <c r="DE178" i="15"/>
  <c r="DH178" i="15" s="1"/>
  <c r="DF178" i="15"/>
  <c r="DI178" i="15" s="1"/>
  <c r="BB178" i="65" s="1"/>
  <c r="DE318" i="15"/>
  <c r="DH318" i="15" s="1"/>
  <c r="DF252" i="15"/>
  <c r="DI252" i="15" s="1"/>
  <c r="BB252" i="65" s="1"/>
  <c r="DE184" i="15"/>
  <c r="DH184" i="15" s="1"/>
  <c r="DF184" i="15"/>
  <c r="DI184" i="15" s="1"/>
  <c r="BB184" i="65" s="1"/>
  <c r="DE188" i="15"/>
  <c r="DH188" i="15" s="1"/>
  <c r="DF188" i="15"/>
  <c r="DI188" i="15" s="1"/>
  <c r="BB188" i="65" s="1"/>
  <c r="DF210" i="15"/>
  <c r="DI210" i="15" s="1"/>
  <c r="BB210" i="65" s="1"/>
  <c r="DE134" i="15"/>
  <c r="DH134" i="15" s="1"/>
  <c r="AW134" i="65"/>
  <c r="CV134" i="15"/>
  <c r="CT134" i="15"/>
  <c r="CR134" i="15"/>
  <c r="CS134" i="15"/>
  <c r="CW134" i="15"/>
  <c r="CU134" i="15"/>
  <c r="DF134" i="15"/>
  <c r="DI134" i="15" s="1"/>
  <c r="BB134" i="65" s="1"/>
  <c r="CW258" i="15"/>
  <c r="CV258" i="15"/>
  <c r="CR258" i="15"/>
  <c r="CT258" i="15"/>
  <c r="CU258" i="15"/>
  <c r="AW258" i="65"/>
  <c r="CS258" i="15"/>
  <c r="AW212" i="65"/>
  <c r="CR212" i="15"/>
  <c r="CS212" i="15"/>
  <c r="CU212" i="15"/>
  <c r="CT212" i="15"/>
  <c r="CV212" i="15"/>
  <c r="CW212" i="15"/>
  <c r="CU198" i="15"/>
  <c r="CR198" i="15"/>
  <c r="DD198" i="15"/>
  <c r="DG198" i="15" s="1"/>
  <c r="CT198" i="15"/>
  <c r="DE198" i="15"/>
  <c r="DH198" i="15" s="1"/>
  <c r="CW198" i="15"/>
  <c r="DF198" i="15"/>
  <c r="DI198" i="15" s="1"/>
  <c r="BB198" i="65" s="1"/>
  <c r="CV198" i="15"/>
  <c r="CS198" i="15"/>
  <c r="AW198" i="65"/>
  <c r="AW200" i="65"/>
  <c r="CW200" i="15"/>
  <c r="DE200" i="15"/>
  <c r="DH200" i="15" s="1"/>
  <c r="CS200" i="15"/>
  <c r="CU200" i="15"/>
  <c r="CR200" i="15"/>
  <c r="CT200" i="15"/>
  <c r="CV200" i="15"/>
  <c r="CU238" i="15"/>
  <c r="CS238" i="15"/>
  <c r="CV238" i="15"/>
  <c r="CR238" i="15"/>
  <c r="AW238" i="65"/>
  <c r="CW238" i="15"/>
  <c r="CT238" i="15"/>
  <c r="AW346" i="65"/>
  <c r="CU346" i="15"/>
  <c r="CR346" i="15"/>
  <c r="CW346" i="15"/>
  <c r="CV346" i="15"/>
  <c r="CS346" i="15"/>
  <c r="CT346" i="15"/>
  <c r="CU334" i="15"/>
  <c r="CS334" i="15"/>
  <c r="CR334" i="15"/>
  <c r="CT334" i="15"/>
  <c r="CW334" i="15"/>
  <c r="CV334" i="15"/>
  <c r="DE334" i="15"/>
  <c r="DH334" i="15" s="1"/>
  <c r="AW334" i="65"/>
  <c r="DF334" i="15"/>
  <c r="DI334" i="15" s="1"/>
  <c r="BB334" i="65" s="1"/>
  <c r="CU330" i="15"/>
  <c r="CS330" i="15"/>
  <c r="CR330" i="15"/>
  <c r="CT330" i="15"/>
  <c r="CW330" i="15"/>
  <c r="CV330" i="15"/>
  <c r="AW330" i="65"/>
  <c r="CR220" i="15"/>
  <c r="CS220" i="15"/>
  <c r="CW220" i="15"/>
  <c r="CV220" i="15"/>
  <c r="CU220" i="15"/>
  <c r="AW220" i="65"/>
  <c r="CT220" i="15"/>
  <c r="DF220" i="15"/>
  <c r="DI220" i="15" s="1"/>
  <c r="BB220" i="65" s="1"/>
  <c r="CW186" i="15"/>
  <c r="DF186" i="15"/>
  <c r="DI186" i="15" s="1"/>
  <c r="BB186" i="65" s="1"/>
  <c r="CR186" i="15"/>
  <c r="AW186" i="65"/>
  <c r="DE186" i="15"/>
  <c r="DH186" i="15" s="1"/>
  <c r="CS186" i="15"/>
  <c r="CT186" i="15"/>
  <c r="CV186" i="15"/>
  <c r="CU186" i="15"/>
  <c r="Z337" i="5"/>
  <c r="AW146" i="65"/>
  <c r="CR146" i="15"/>
  <c r="CT146" i="15"/>
  <c r="DE146" i="15"/>
  <c r="DH146" i="15" s="1"/>
  <c r="DF146" i="15"/>
  <c r="DI146" i="15" s="1"/>
  <c r="BB146" i="65" s="1"/>
  <c r="CU146" i="15"/>
  <c r="CW146" i="15"/>
  <c r="CS146" i="15"/>
  <c r="CV146" i="15"/>
  <c r="CR310" i="15"/>
  <c r="AW310" i="65"/>
  <c r="CV310" i="15"/>
  <c r="CU310" i="15"/>
  <c r="CW310" i="15"/>
  <c r="CS310" i="15"/>
  <c r="CT310" i="15"/>
  <c r="CW250" i="15"/>
  <c r="CR250" i="15"/>
  <c r="CT250" i="15"/>
  <c r="CS250" i="15"/>
  <c r="CV250" i="15"/>
  <c r="CU250" i="15"/>
  <c r="AW250" i="65"/>
  <c r="Z335" i="5"/>
  <c r="CT160" i="15"/>
  <c r="CU160" i="15"/>
  <c r="CW160" i="15"/>
  <c r="CR160" i="15"/>
  <c r="DD160" i="15"/>
  <c r="DG160" i="15" s="1"/>
  <c r="AW160" i="65"/>
  <c r="CS160" i="15"/>
  <c r="CV160" i="15"/>
  <c r="AW328" i="65"/>
  <c r="CV328" i="15"/>
  <c r="CW328" i="15"/>
  <c r="DF328" i="15"/>
  <c r="DI328" i="15" s="1"/>
  <c r="BB328" i="65" s="1"/>
  <c r="CS328" i="15"/>
  <c r="CU328" i="15"/>
  <c r="CT328" i="15"/>
  <c r="CR328" i="15"/>
  <c r="CV266" i="15"/>
  <c r="CU266" i="15"/>
  <c r="AW266" i="65"/>
  <c r="CT266" i="15"/>
  <c r="CW266" i="15"/>
  <c r="CS266" i="15"/>
  <c r="CR266" i="15"/>
  <c r="CR244" i="15"/>
  <c r="CS244" i="15"/>
  <c r="CU244" i="15"/>
  <c r="CV244" i="15"/>
  <c r="CW244" i="15"/>
  <c r="CT244" i="15"/>
  <c r="AW244" i="65"/>
  <c r="EW68" i="15"/>
  <c r="Z341" i="5"/>
  <c r="CV202" i="15"/>
  <c r="AW202" i="65"/>
  <c r="CT202" i="15"/>
  <c r="DF202" i="15"/>
  <c r="DI202" i="15" s="1"/>
  <c r="BB202" i="65" s="1"/>
  <c r="DE202" i="15"/>
  <c r="DH202" i="15" s="1"/>
  <c r="CR202" i="15"/>
  <c r="CU202" i="15"/>
  <c r="CS202" i="15"/>
  <c r="CW202" i="15"/>
  <c r="CR240" i="15"/>
  <c r="CT240" i="15"/>
  <c r="AW240" i="65"/>
  <c r="CS240" i="15"/>
  <c r="CU240" i="15"/>
  <c r="CV240" i="15"/>
  <c r="CW240" i="15"/>
  <c r="CW230" i="15"/>
  <c r="CU230" i="15"/>
  <c r="CR230" i="15"/>
  <c r="CT230" i="15"/>
  <c r="DF230" i="15"/>
  <c r="DI230" i="15" s="1"/>
  <c r="BB230" i="65" s="1"/>
  <c r="CS230" i="15"/>
  <c r="CV230" i="15"/>
  <c r="DE230" i="15"/>
  <c r="DH230" i="15" s="1"/>
  <c r="AW230" i="65"/>
  <c r="CW190" i="15"/>
  <c r="DF190" i="15"/>
  <c r="DI190" i="15" s="1"/>
  <c r="BB190" i="65" s="1"/>
  <c r="CR190" i="15"/>
  <c r="AW190" i="65"/>
  <c r="DE190" i="15"/>
  <c r="DH190" i="15" s="1"/>
  <c r="CS190" i="15"/>
  <c r="CT190" i="15"/>
  <c r="CV190" i="15"/>
  <c r="CU190" i="15"/>
  <c r="Z307" i="5"/>
  <c r="CT348" i="15"/>
  <c r="AW348" i="65"/>
  <c r="CU348" i="15"/>
  <c r="CW348" i="15"/>
  <c r="CR348" i="15"/>
  <c r="CV348" i="15"/>
  <c r="DD348" i="15"/>
  <c r="DG348" i="15" s="1"/>
  <c r="CS348" i="15"/>
  <c r="CU308" i="15"/>
  <c r="DF308" i="15"/>
  <c r="DI308" i="15" s="1"/>
  <c r="BB308" i="65" s="1"/>
  <c r="CR308" i="15"/>
  <c r="CW308" i="15"/>
  <c r="CS308" i="15"/>
  <c r="CV308" i="15"/>
  <c r="AW308" i="65"/>
  <c r="CT308" i="15"/>
  <c r="DE308" i="15"/>
  <c r="DH308" i="15" s="1"/>
  <c r="CW222" i="15"/>
  <c r="CU222" i="15"/>
  <c r="CT222" i="15"/>
  <c r="CS222" i="15"/>
  <c r="AW222" i="65"/>
  <c r="CR222" i="15"/>
  <c r="CV222" i="15"/>
  <c r="CW324" i="15"/>
  <c r="CT324" i="15"/>
  <c r="CS324" i="15"/>
  <c r="AW324" i="65"/>
  <c r="CR324" i="15"/>
  <c r="CU324" i="15"/>
  <c r="CV324" i="15"/>
  <c r="CW204" i="15"/>
  <c r="DF204" i="15"/>
  <c r="DI204" i="15" s="1"/>
  <c r="BB204" i="65" s="1"/>
  <c r="CR204" i="15"/>
  <c r="DE204" i="15"/>
  <c r="DH204" i="15" s="1"/>
  <c r="AW204" i="65"/>
  <c r="CV204" i="15"/>
  <c r="CS204" i="15"/>
  <c r="CU204" i="15"/>
  <c r="CT204" i="15"/>
  <c r="CR260" i="15"/>
  <c r="CV260" i="15"/>
  <c r="CS260" i="15"/>
  <c r="AW260" i="65"/>
  <c r="CT260" i="15"/>
  <c r="DE260" i="15"/>
  <c r="DH260" i="15" s="1"/>
  <c r="CU260" i="15"/>
  <c r="CW260" i="15"/>
  <c r="DF260" i="15"/>
  <c r="DI260" i="15" s="1"/>
  <c r="BB260" i="65" s="1"/>
  <c r="CR196" i="15"/>
  <c r="CS196" i="15"/>
  <c r="CV196" i="15"/>
  <c r="CW196" i="15"/>
  <c r="CT196" i="15"/>
  <c r="AW196" i="65"/>
  <c r="CU196" i="15"/>
  <c r="Z329" i="5"/>
  <c r="CU338" i="15"/>
  <c r="CV338" i="15"/>
  <c r="CT338" i="15"/>
  <c r="AW338" i="65"/>
  <c r="CR338" i="15"/>
  <c r="CS338" i="15"/>
  <c r="CW338" i="15"/>
  <c r="CR176" i="15"/>
  <c r="DE176" i="15"/>
  <c r="DH176" i="15" s="1"/>
  <c r="CW176" i="15"/>
  <c r="CU176" i="15"/>
  <c r="AW176" i="65"/>
  <c r="CV176" i="15"/>
  <c r="DF176" i="15"/>
  <c r="DI176" i="15" s="1"/>
  <c r="BB176" i="65" s="1"/>
  <c r="CS176" i="15"/>
  <c r="CT176" i="15"/>
  <c r="CR168" i="15"/>
  <c r="CU168" i="15"/>
  <c r="AW168" i="65"/>
  <c r="CT168" i="15"/>
  <c r="CS168" i="15"/>
  <c r="CV168" i="15"/>
  <c r="DE168" i="15"/>
  <c r="DH168" i="15" s="1"/>
  <c r="CW168" i="15"/>
  <c r="DF168" i="15"/>
  <c r="DI168" i="15" s="1"/>
  <c r="BB168" i="65" s="1"/>
  <c r="CR128" i="15"/>
  <c r="CT128" i="15"/>
  <c r="CV128" i="15"/>
  <c r="CS128" i="15"/>
  <c r="CU128" i="15"/>
  <c r="CW128" i="15"/>
  <c r="AW128" i="65"/>
  <c r="DD128" i="15"/>
  <c r="DG128" i="15" s="1"/>
  <c r="CS318" i="15"/>
  <c r="CR318" i="15"/>
  <c r="CT318" i="15"/>
  <c r="CW318" i="15"/>
  <c r="CU318" i="15"/>
  <c r="DD318" i="15"/>
  <c r="DG318" i="15" s="1"/>
  <c r="CV318" i="15"/>
  <c r="DF318" i="15"/>
  <c r="DI318" i="15" s="1"/>
  <c r="BB318" i="65" s="1"/>
  <c r="AW318" i="65"/>
  <c r="DF254" i="15"/>
  <c r="DI254" i="15" s="1"/>
  <c r="BB254" i="65" s="1"/>
  <c r="CT254" i="15"/>
  <c r="CV254" i="15"/>
  <c r="DE254" i="15"/>
  <c r="DH254" i="15" s="1"/>
  <c r="CW254" i="15"/>
  <c r="CS254" i="15"/>
  <c r="CU254" i="15"/>
  <c r="CX254" i="15" s="1"/>
  <c r="CR254" i="15"/>
  <c r="AW254" i="65"/>
  <c r="AW306" i="65"/>
  <c r="CV306" i="15"/>
  <c r="DD306" i="15"/>
  <c r="DG306" i="15" s="1"/>
  <c r="CS306" i="15"/>
  <c r="CU306" i="15"/>
  <c r="CT306" i="15"/>
  <c r="CW306" i="15"/>
  <c r="CR306" i="15"/>
  <c r="Z203" i="5"/>
  <c r="CR236" i="15"/>
  <c r="CU236" i="15"/>
  <c r="CW236" i="15"/>
  <c r="CS236" i="15"/>
  <c r="DF236" i="15"/>
  <c r="DI236" i="15" s="1"/>
  <c r="BB236" i="65" s="1"/>
  <c r="CV236" i="15"/>
  <c r="CT236" i="15"/>
  <c r="AW236" i="65"/>
  <c r="CR184" i="15"/>
  <c r="AW184" i="65"/>
  <c r="CW184" i="15"/>
  <c r="CU184" i="15"/>
  <c r="CS184" i="15"/>
  <c r="CT184" i="15"/>
  <c r="CV184" i="15"/>
  <c r="CV188" i="15"/>
  <c r="CR188" i="15"/>
  <c r="CU188" i="15"/>
  <c r="CS188" i="15"/>
  <c r="CT188" i="15"/>
  <c r="CW188" i="15"/>
  <c r="AW188" i="65"/>
  <c r="Z321" i="5"/>
  <c r="Z333" i="5"/>
  <c r="Z169" i="5"/>
  <c r="CW162" i="15"/>
  <c r="CR162" i="15"/>
  <c r="AW162" i="65"/>
  <c r="CS162" i="15"/>
  <c r="CV162" i="15"/>
  <c r="CT162" i="15"/>
  <c r="CU162" i="15"/>
  <c r="Z235" i="5"/>
  <c r="AW264" i="65"/>
  <c r="CS264" i="15"/>
  <c r="CW264" i="15"/>
  <c r="CV264" i="15"/>
  <c r="CR264" i="15"/>
  <c r="CU264" i="15"/>
  <c r="CT264" i="15"/>
  <c r="CU256" i="15"/>
  <c r="CV256" i="15"/>
  <c r="CW256" i="15"/>
  <c r="CT256" i="15"/>
  <c r="CS256" i="15"/>
  <c r="AW256" i="65"/>
  <c r="DF256" i="15"/>
  <c r="DI256" i="15" s="1"/>
  <c r="BB256" i="65" s="1"/>
  <c r="CR256" i="15"/>
  <c r="DE256" i="15"/>
  <c r="DH256" i="15" s="1"/>
  <c r="AW210" i="65"/>
  <c r="CS210" i="15"/>
  <c r="CV210" i="15"/>
  <c r="CR210" i="15"/>
  <c r="DE210" i="15"/>
  <c r="DH210" i="15" s="1"/>
  <c r="CU210" i="15"/>
  <c r="CW210" i="15"/>
  <c r="CT210" i="15"/>
  <c r="Z231" i="5"/>
  <c r="CU232" i="15"/>
  <c r="DF232" i="15"/>
  <c r="DI232" i="15" s="1"/>
  <c r="BB232" i="65" s="1"/>
  <c r="CV232" i="15"/>
  <c r="CW232" i="15"/>
  <c r="AW232" i="65"/>
  <c r="CR232" i="15"/>
  <c r="CT232" i="15"/>
  <c r="CS232" i="15"/>
  <c r="EV68" i="15"/>
  <c r="CH68" i="15" s="1"/>
  <c r="BT68" i="15"/>
  <c r="ER68" i="15"/>
  <c r="BU68" i="15"/>
  <c r="BS68" i="15" s="1"/>
  <c r="CV248" i="15"/>
  <c r="CS248" i="15"/>
  <c r="CU248" i="15"/>
  <c r="CR248" i="15"/>
  <c r="CW248" i="15"/>
  <c r="CT248" i="15"/>
  <c r="AW248" i="65"/>
  <c r="DF248" i="15"/>
  <c r="DI248" i="15" s="1"/>
  <c r="BB248" i="65" s="1"/>
  <c r="DE248" i="15"/>
  <c r="DH248" i="15" s="1"/>
  <c r="CS148" i="15"/>
  <c r="CR148" i="15"/>
  <c r="CT148" i="15"/>
  <c r="CV148" i="15"/>
  <c r="CU148" i="15"/>
  <c r="AW148" i="65"/>
  <c r="CW148" i="15"/>
  <c r="Z227" i="5"/>
  <c r="AW314" i="65"/>
  <c r="CV314" i="15"/>
  <c r="DD314" i="15"/>
  <c r="DG314" i="15" s="1"/>
  <c r="CS314" i="15"/>
  <c r="CU314" i="15"/>
  <c r="CT314" i="15"/>
  <c r="CW314" i="15"/>
  <c r="CR314" i="15"/>
  <c r="Z305" i="5"/>
  <c r="AW332" i="65"/>
  <c r="CV332" i="15"/>
  <c r="CR332" i="15"/>
  <c r="CU332" i="15"/>
  <c r="CT332" i="15"/>
  <c r="CW332" i="15"/>
  <c r="CS332" i="15"/>
  <c r="Z223" i="5"/>
  <c r="Z291" i="5"/>
  <c r="AW344" i="65"/>
  <c r="CR344" i="15"/>
  <c r="CV344" i="15"/>
  <c r="CW344" i="15"/>
  <c r="CS344" i="15"/>
  <c r="CU344" i="15"/>
  <c r="CT344" i="15"/>
  <c r="CW226" i="15"/>
  <c r="CS226" i="15"/>
  <c r="CR226" i="15"/>
  <c r="CT226" i="15"/>
  <c r="AW226" i="65"/>
  <c r="DE226" i="15"/>
  <c r="DH226" i="15" s="1"/>
  <c r="DF226" i="15"/>
  <c r="DI226" i="15" s="1"/>
  <c r="BB226" i="65" s="1"/>
  <c r="CU226" i="15"/>
  <c r="CV226" i="15"/>
  <c r="CR144" i="15"/>
  <c r="CW144" i="15"/>
  <c r="CV144" i="15"/>
  <c r="CU144" i="15"/>
  <c r="DF144" i="15"/>
  <c r="DI144" i="15" s="1"/>
  <c r="BB144" i="65" s="1"/>
  <c r="CT144" i="15"/>
  <c r="CS144" i="15"/>
  <c r="AW144" i="65"/>
  <c r="DE144" i="15"/>
  <c r="DH144" i="15" s="1"/>
  <c r="CW336" i="15"/>
  <c r="CT336" i="15"/>
  <c r="CS336" i="15"/>
  <c r="CU336" i="15"/>
  <c r="AW336" i="65"/>
  <c r="CR336" i="15"/>
  <c r="DF336" i="15"/>
  <c r="DI336" i="15" s="1"/>
  <c r="BB336" i="65" s="1"/>
  <c r="CV336" i="15"/>
  <c r="DE336" i="15"/>
  <c r="DH336" i="15" s="1"/>
  <c r="AW302" i="65"/>
  <c r="CV302" i="15"/>
  <c r="CS302" i="15"/>
  <c r="CU302" i="15"/>
  <c r="CT302" i="15"/>
  <c r="CR302" i="15"/>
  <c r="CW302" i="15"/>
  <c r="CR270" i="15"/>
  <c r="CW270" i="15"/>
  <c r="AW270" i="65"/>
  <c r="CT270" i="15"/>
  <c r="CS270" i="15"/>
  <c r="CV270" i="15"/>
  <c r="CU270" i="15"/>
  <c r="CV234" i="15"/>
  <c r="CR234" i="15"/>
  <c r="AW234" i="65"/>
  <c r="CS234" i="15"/>
  <c r="CW234" i="15"/>
  <c r="CT234" i="15"/>
  <c r="CU234" i="15"/>
  <c r="Z239" i="5"/>
  <c r="CU130" i="15"/>
  <c r="CV130" i="15"/>
  <c r="CT130" i="15"/>
  <c r="AW130" i="65"/>
  <c r="CS130" i="15"/>
  <c r="CR130" i="15"/>
  <c r="CW130" i="15"/>
  <c r="CS262" i="15"/>
  <c r="CU262" i="15"/>
  <c r="CW262" i="15"/>
  <c r="AW262" i="65"/>
  <c r="CR262" i="15"/>
  <c r="CV262" i="15"/>
  <c r="CT262" i="15"/>
  <c r="CS242" i="15"/>
  <c r="CU242" i="15"/>
  <c r="DE242" i="15"/>
  <c r="DH242" i="15" s="1"/>
  <c r="CW242" i="15"/>
  <c r="CT242" i="15"/>
  <c r="AW242" i="65"/>
  <c r="CV242" i="15"/>
  <c r="CR242" i="15"/>
  <c r="DF242" i="15"/>
  <c r="DI242" i="15" s="1"/>
  <c r="BB242" i="65" s="1"/>
  <c r="CT342" i="15"/>
  <c r="CS342" i="15"/>
  <c r="AW342" i="65"/>
  <c r="CW342" i="15"/>
  <c r="CV342" i="15"/>
  <c r="CR342" i="15"/>
  <c r="CU342" i="15"/>
  <c r="CV214" i="15"/>
  <c r="AW214" i="65"/>
  <c r="CR214" i="15"/>
  <c r="CU214" i="15"/>
  <c r="CS214" i="15"/>
  <c r="CW214" i="15"/>
  <c r="CT214" i="15"/>
  <c r="CS194" i="15"/>
  <c r="CT194" i="15"/>
  <c r="CV194" i="15"/>
  <c r="DE194" i="15"/>
  <c r="DH194" i="15" s="1"/>
  <c r="CU194" i="15"/>
  <c r="DF194" i="15"/>
  <c r="DI194" i="15" s="1"/>
  <c r="BB194" i="65" s="1"/>
  <c r="AW194" i="65"/>
  <c r="CW194" i="15"/>
  <c r="CR194" i="15"/>
  <c r="AW224" i="65"/>
  <c r="CW224" i="15"/>
  <c r="CU224" i="15"/>
  <c r="CT224" i="15"/>
  <c r="CR224" i="15"/>
  <c r="CS224" i="15"/>
  <c r="CV224" i="15"/>
  <c r="CV216" i="15"/>
  <c r="CW216" i="15"/>
  <c r="DE216" i="15"/>
  <c r="DH216" i="15" s="1"/>
  <c r="CT216" i="15"/>
  <c r="CS216" i="15"/>
  <c r="AW216" i="65"/>
  <c r="CR216" i="15"/>
  <c r="CU216" i="15"/>
  <c r="DF216" i="15"/>
  <c r="DI216" i="15" s="1"/>
  <c r="BB216" i="65" s="1"/>
  <c r="Z137" i="5"/>
  <c r="Z299" i="5"/>
  <c r="CW182" i="15"/>
  <c r="DD182" i="15"/>
  <c r="DG182" i="15" s="1"/>
  <c r="AW182" i="65"/>
  <c r="CT182" i="15"/>
  <c r="DF182" i="15"/>
  <c r="DI182" i="15" s="1"/>
  <c r="BB182" i="65" s="1"/>
  <c r="CU182" i="15"/>
  <c r="DE182" i="15"/>
  <c r="DH182" i="15" s="1"/>
  <c r="CR182" i="15"/>
  <c r="CS182" i="15"/>
  <c r="CV182" i="15"/>
  <c r="Z345" i="5"/>
  <c r="Z327" i="5"/>
  <c r="CU218" i="15"/>
  <c r="CR218" i="15"/>
  <c r="AW218" i="65"/>
  <c r="DF218" i="15"/>
  <c r="DI218" i="15" s="1"/>
  <c r="BB218" i="65" s="1"/>
  <c r="CS218" i="15"/>
  <c r="CV218" i="15"/>
  <c r="CW218" i="15"/>
  <c r="CT218" i="15"/>
  <c r="AW208" i="65"/>
  <c r="CW208" i="15"/>
  <c r="CU208" i="15"/>
  <c r="DE208" i="15"/>
  <c r="DH208" i="15" s="1"/>
  <c r="CT208" i="15"/>
  <c r="CV208" i="15"/>
  <c r="CS208" i="15"/>
  <c r="CR208" i="15"/>
  <c r="DF208" i="15"/>
  <c r="DI208" i="15" s="1"/>
  <c r="BB208" i="65" s="1"/>
  <c r="Z247" i="5"/>
  <c r="CW340" i="15"/>
  <c r="CU340" i="15"/>
  <c r="AW340" i="65"/>
  <c r="DF340" i="15"/>
  <c r="DI340" i="15" s="1"/>
  <c r="BB340" i="65" s="1"/>
  <c r="DE340" i="15"/>
  <c r="DH340" i="15" s="1"/>
  <c r="CR340" i="15"/>
  <c r="CV340" i="15"/>
  <c r="CT340" i="15"/>
  <c r="CS340" i="15"/>
  <c r="CW316" i="15"/>
  <c r="AW316" i="65"/>
  <c r="CV316" i="15"/>
  <c r="DF316" i="15"/>
  <c r="DI316" i="15" s="1"/>
  <c r="BB316" i="65" s="1"/>
  <c r="CU316" i="15"/>
  <c r="CX316" i="15" s="1"/>
  <c r="CT316" i="15"/>
  <c r="CR316" i="15"/>
  <c r="DE316" i="15"/>
  <c r="DH316" i="15" s="1"/>
  <c r="CS316" i="15"/>
  <c r="CT294" i="15"/>
  <c r="CS294" i="15"/>
  <c r="CW294" i="15"/>
  <c r="CR294" i="15"/>
  <c r="CU294" i="15"/>
  <c r="DD294" i="15"/>
  <c r="DG294" i="15" s="1"/>
  <c r="AW294" i="65"/>
  <c r="CV294" i="15"/>
  <c r="CR174" i="15"/>
  <c r="CS174" i="15"/>
  <c r="CT174" i="15"/>
  <c r="CU174" i="15"/>
  <c r="DF174" i="15"/>
  <c r="DI174" i="15" s="1"/>
  <c r="BB174" i="65" s="1"/>
  <c r="AW174" i="65"/>
  <c r="CV174" i="15"/>
  <c r="CW174" i="15"/>
  <c r="Z331" i="5"/>
  <c r="AW246" i="65"/>
  <c r="CV246" i="15"/>
  <c r="CW246" i="15"/>
  <c r="CU246" i="15"/>
  <c r="CR246" i="15"/>
  <c r="CS246" i="15"/>
  <c r="CT246" i="15"/>
  <c r="CT228" i="15"/>
  <c r="AW228" i="65"/>
  <c r="CU228" i="15"/>
  <c r="CR228" i="15"/>
  <c r="CV228" i="15"/>
  <c r="CW228" i="15"/>
  <c r="CS228" i="15"/>
  <c r="CS178" i="15"/>
  <c r="CR178" i="15"/>
  <c r="CW178" i="15"/>
  <c r="CV178" i="15"/>
  <c r="AW178" i="65"/>
  <c r="CU178" i="15"/>
  <c r="CT178" i="15"/>
  <c r="CW132" i="15"/>
  <c r="CV132" i="15"/>
  <c r="CR132" i="15"/>
  <c r="AW132" i="65"/>
  <c r="DD132" i="15"/>
  <c r="DG132" i="15" s="1"/>
  <c r="CT132" i="15"/>
  <c r="CS132" i="15"/>
  <c r="DE132" i="15"/>
  <c r="DH132" i="15" s="1"/>
  <c r="CU132" i="15"/>
  <c r="DF132" i="15"/>
  <c r="DI132" i="15" s="1"/>
  <c r="BB132" i="65" s="1"/>
  <c r="BT42" i="15"/>
  <c r="BU42" i="15"/>
  <c r="ER42" i="15"/>
  <c r="EV42" i="15"/>
  <c r="CS84" i="15"/>
  <c r="CT84" i="15"/>
  <c r="CU84" i="15"/>
  <c r="AW84" i="65"/>
  <c r="Q84" i="5" s="1"/>
  <c r="BA84" i="73" s="1"/>
  <c r="CR84" i="15"/>
  <c r="CV84" i="15"/>
  <c r="DE82" i="15"/>
  <c r="DH82" i="15" s="1"/>
  <c r="CV82" i="15"/>
  <c r="CW82" i="15"/>
  <c r="DF82" i="15"/>
  <c r="DI82" i="15" s="1"/>
  <c r="BB82" i="65" s="1"/>
  <c r="CU82" i="15"/>
  <c r="CS82" i="15"/>
  <c r="CT82" i="15"/>
  <c r="AW82" i="65"/>
  <c r="CR82" i="15"/>
  <c r="DE252" i="15"/>
  <c r="DH252" i="15" s="1"/>
  <c r="CT252" i="15"/>
  <c r="CW252" i="15"/>
  <c r="CR252" i="15"/>
  <c r="CS252" i="15"/>
  <c r="CU252" i="15"/>
  <c r="AW252" i="65"/>
  <c r="CV252" i="15"/>
  <c r="AW180" i="65"/>
  <c r="CV180" i="15"/>
  <c r="CU180" i="15"/>
  <c r="CR180" i="15"/>
  <c r="CT180" i="15"/>
  <c r="DF180" i="15"/>
  <c r="DI180" i="15" s="1"/>
  <c r="BB180" i="65" s="1"/>
  <c r="DE180" i="15"/>
  <c r="DH180" i="15" s="1"/>
  <c r="CS180" i="15"/>
  <c r="CW180" i="15"/>
  <c r="CV322" i="15"/>
  <c r="CW322" i="15"/>
  <c r="AW322" i="65"/>
  <c r="CU322" i="15"/>
  <c r="CS322" i="15"/>
  <c r="DD322" i="15"/>
  <c r="DG322" i="15" s="1"/>
  <c r="CR322" i="15"/>
  <c r="DE322" i="15"/>
  <c r="DH322" i="15" s="1"/>
  <c r="CT322" i="15"/>
  <c r="DF322" i="15"/>
  <c r="DI322" i="15" s="1"/>
  <c r="BB322" i="65" s="1"/>
  <c r="CU206" i="15"/>
  <c r="CV206" i="15"/>
  <c r="CS206" i="15"/>
  <c r="CR206" i="15"/>
  <c r="DD206" i="15"/>
  <c r="DG206" i="15" s="1"/>
  <c r="AW206" i="65"/>
  <c r="CW206" i="15"/>
  <c r="DE206" i="15"/>
  <c r="DH206" i="15" s="1"/>
  <c r="CT206" i="15"/>
  <c r="DF206" i="15"/>
  <c r="DI206" i="15" s="1"/>
  <c r="BB206" i="65" s="1"/>
  <c r="DF268" i="15"/>
  <c r="DI268" i="15" s="1"/>
  <c r="BB268" i="65" s="1"/>
  <c r="CU268" i="15"/>
  <c r="CV268" i="15"/>
  <c r="AW268" i="65"/>
  <c r="CS268" i="15"/>
  <c r="CT268" i="15"/>
  <c r="CW268" i="15"/>
  <c r="CR268" i="15"/>
  <c r="DE268" i="15"/>
  <c r="DH268" i="15" s="1"/>
  <c r="Z323" i="5"/>
  <c r="CU326" i="15"/>
  <c r="CS326" i="15"/>
  <c r="CR326" i="15"/>
  <c r="CT326" i="15"/>
  <c r="CW326" i="15"/>
  <c r="CV326" i="15"/>
  <c r="DD326" i="15"/>
  <c r="DG326" i="15" s="1"/>
  <c r="AW326" i="65"/>
  <c r="CT192" i="15"/>
  <c r="CW192" i="15"/>
  <c r="DD192" i="15"/>
  <c r="DG192" i="15" s="1"/>
  <c r="CU192" i="15"/>
  <c r="CV192" i="15"/>
  <c r="AW192" i="65"/>
  <c r="CR192" i="15"/>
  <c r="CS192" i="15"/>
  <c r="DE192" i="15"/>
  <c r="DH192" i="15" s="1"/>
  <c r="DF192" i="15"/>
  <c r="DI192" i="15" s="1"/>
  <c r="BB192" i="65" s="1"/>
  <c r="Z343" i="5"/>
  <c r="CE105" i="15"/>
  <c r="BU105" i="15" s="1"/>
  <c r="DD297" i="15"/>
  <c r="DG297" i="15" s="1"/>
  <c r="Z300" i="5"/>
  <c r="Z296" i="5"/>
  <c r="Z284" i="5"/>
  <c r="Z303" i="5"/>
  <c r="Z274" i="5"/>
  <c r="Z317" i="5"/>
  <c r="Z289" i="5"/>
  <c r="Z287" i="5"/>
  <c r="Z281" i="5"/>
  <c r="Z271" i="5"/>
  <c r="Z273" i="5"/>
  <c r="Z298" i="5"/>
  <c r="Z311" i="5"/>
  <c r="Z293" i="5"/>
  <c r="Z288" i="5"/>
  <c r="Z304" i="5"/>
  <c r="Z319" i="5"/>
  <c r="Z290" i="5"/>
  <c r="Z286" i="5"/>
  <c r="Z280" i="5"/>
  <c r="Z325" i="5"/>
  <c r="Z301" i="5"/>
  <c r="Z295" i="5"/>
  <c r="Z285" i="5"/>
  <c r="Z292" i="5"/>
  <c r="Z278" i="5"/>
  <c r="Z279" i="5"/>
  <c r="Z282" i="5"/>
  <c r="DD301" i="15"/>
  <c r="DG301" i="15" s="1"/>
  <c r="Z312" i="5"/>
  <c r="Z309" i="5"/>
  <c r="DD309" i="15"/>
  <c r="DG309" i="15" s="1"/>
  <c r="Z320" i="5"/>
  <c r="DD288" i="15"/>
  <c r="DG288" i="15" s="1"/>
  <c r="DD284" i="15"/>
  <c r="DG284" i="15" s="1"/>
  <c r="Z297" i="5"/>
  <c r="Z275" i="5"/>
  <c r="Z277" i="5"/>
  <c r="Z276" i="5"/>
  <c r="Z283" i="5"/>
  <c r="DD277" i="15"/>
  <c r="DG277" i="15" s="1"/>
  <c r="Z272" i="5"/>
  <c r="CE121" i="15"/>
  <c r="BT121" i="15" s="1"/>
  <c r="CF105" i="15"/>
  <c r="EW105" i="15" s="1"/>
  <c r="ER55" i="15"/>
  <c r="HT65" i="15"/>
  <c r="HW65" i="15" s="1"/>
  <c r="HU65" i="15"/>
  <c r="HX65" i="15" s="1"/>
  <c r="HV65" i="15"/>
  <c r="HY65" i="15" s="1"/>
  <c r="CE79" i="15"/>
  <c r="AV79" i="65"/>
  <c r="P79" i="5" s="1"/>
  <c r="AW79" i="73" s="1"/>
  <c r="ER48" i="15"/>
  <c r="EW55" i="15"/>
  <c r="AU62" i="65"/>
  <c r="O62" i="5" s="1"/>
  <c r="AV62" i="73" s="1"/>
  <c r="AU66" i="65"/>
  <c r="O66" i="5" s="1"/>
  <c r="AV66" i="73" s="1"/>
  <c r="CF66" i="15"/>
  <c r="BT55" i="15"/>
  <c r="BS55" i="15" s="1"/>
  <c r="BU55" i="15"/>
  <c r="EV55" i="15"/>
  <c r="CH55" i="15" s="1"/>
  <c r="BR66" i="15"/>
  <c r="CZ67" i="15"/>
  <c r="DB67" i="15" s="1"/>
  <c r="CY67" i="15"/>
  <c r="DA67" i="15"/>
  <c r="ER67" i="15"/>
  <c r="EV67" i="15"/>
  <c r="CH67" i="15" s="1"/>
  <c r="BU67" i="15"/>
  <c r="BT67" i="15"/>
  <c r="EV61" i="15"/>
  <c r="BU61" i="15"/>
  <c r="BT61" i="15"/>
  <c r="ER63" i="15"/>
  <c r="EW67" i="15"/>
  <c r="DD131" i="15"/>
  <c r="DG131" i="15" s="1"/>
  <c r="Z171" i="5"/>
  <c r="DD133" i="15"/>
  <c r="DG133" i="15" s="1"/>
  <c r="DD170" i="15"/>
  <c r="DG170" i="15" s="1"/>
  <c r="Z138" i="5"/>
  <c r="Z158" i="5"/>
  <c r="DD145" i="15"/>
  <c r="DG145" i="15" s="1"/>
  <c r="Z170" i="5"/>
  <c r="Z155" i="5"/>
  <c r="Z133" i="5"/>
  <c r="Z131" i="5"/>
  <c r="Z129" i="5"/>
  <c r="Z159" i="5"/>
  <c r="Z149" i="5"/>
  <c r="Z112" i="5"/>
  <c r="Z161" i="5"/>
  <c r="Z154" i="5"/>
  <c r="Z147" i="5"/>
  <c r="Z166" i="5"/>
  <c r="DD155" i="15"/>
  <c r="DG155" i="15" s="1"/>
  <c r="DD173" i="15"/>
  <c r="DG173" i="15" s="1"/>
  <c r="Z152" i="5"/>
  <c r="Z145" i="5"/>
  <c r="Z140" i="5"/>
  <c r="Z136" i="5"/>
  <c r="DD147" i="15"/>
  <c r="DG147" i="15" s="1"/>
  <c r="DD136" i="15"/>
  <c r="DG136" i="15" s="1"/>
  <c r="Z142" i="5"/>
  <c r="Z173" i="5"/>
  <c r="Z172" i="5"/>
  <c r="Z151" i="5"/>
  <c r="Z156" i="5"/>
  <c r="EW63" i="15"/>
  <c r="EV63" i="15"/>
  <c r="CH63" i="15" s="1"/>
  <c r="CW63" i="15" s="1"/>
  <c r="BR47" i="15"/>
  <c r="GK30" i="15"/>
  <c r="H30" i="5"/>
  <c r="AL30" i="65" s="1"/>
  <c r="GK27" i="15"/>
  <c r="H27" i="5"/>
  <c r="AL27" i="65" s="1"/>
  <c r="GK56" i="15"/>
  <c r="H56" i="5"/>
  <c r="AL56" i="65" s="1"/>
  <c r="GK64" i="15"/>
  <c r="H64" i="5"/>
  <c r="AL64" i="65" s="1"/>
  <c r="GK60" i="15"/>
  <c r="H60" i="5"/>
  <c r="AL60" i="65" s="1"/>
  <c r="GK23" i="15"/>
  <c r="H23" i="5"/>
  <c r="AL23" i="65" s="1"/>
  <c r="GK45" i="15"/>
  <c r="H45" i="5"/>
  <c r="AL45" i="65" s="1"/>
  <c r="AU47" i="65"/>
  <c r="O47" i="5" s="1"/>
  <c r="AV47" i="73" s="1"/>
  <c r="GK59" i="15"/>
  <c r="H59" i="5"/>
  <c r="AL59" i="65" s="1"/>
  <c r="GK50" i="15"/>
  <c r="H50" i="5"/>
  <c r="AL50" i="65" s="1"/>
  <c r="GK32" i="15"/>
  <c r="H32" i="5"/>
  <c r="AL32" i="65" s="1"/>
  <c r="GK54" i="15"/>
  <c r="H54" i="5"/>
  <c r="AL54" i="65" s="1"/>
  <c r="GK71" i="15"/>
  <c r="H71" i="5"/>
  <c r="AL71" i="65" s="1"/>
  <c r="GK57" i="15"/>
  <c r="H57" i="5"/>
  <c r="AL57" i="65" s="1"/>
  <c r="HV53" i="15"/>
  <c r="HU53" i="15"/>
  <c r="HT53" i="15"/>
  <c r="HW53" i="15"/>
  <c r="HY53" i="15"/>
  <c r="HX53" i="15"/>
  <c r="HU24" i="15"/>
  <c r="HX24" i="15" s="1"/>
  <c r="BJ24" i="15" s="1"/>
  <c r="HT24" i="15"/>
  <c r="HW24" i="15" s="1"/>
  <c r="BH24" i="15" s="1"/>
  <c r="HV24" i="15"/>
  <c r="HY24" i="15" s="1"/>
  <c r="BK24" i="15" s="1"/>
  <c r="HU40" i="15"/>
  <c r="HT40" i="15"/>
  <c r="HW40" i="15" s="1"/>
  <c r="BH40" i="15" s="1"/>
  <c r="HV40" i="15"/>
  <c r="HX40" i="15"/>
  <c r="BJ40" i="15" s="1"/>
  <c r="HY40" i="15"/>
  <c r="BK40" i="15" s="1"/>
  <c r="HV46" i="15"/>
  <c r="HY46" i="15" s="1"/>
  <c r="BK46" i="15" s="1"/>
  <c r="HT46" i="15"/>
  <c r="HW46" i="15" s="1"/>
  <c r="BH46" i="15" s="1"/>
  <c r="HU46" i="15"/>
  <c r="HX46" i="15" s="1"/>
  <c r="BJ46" i="15" s="1"/>
  <c r="HT31" i="15"/>
  <c r="HW31" i="15" s="1"/>
  <c r="BH31" i="15" s="1"/>
  <c r="HU31" i="15"/>
  <c r="HV31" i="15"/>
  <c r="HY31" i="15" s="1"/>
  <c r="BK31" i="15" s="1"/>
  <c r="HX31" i="15"/>
  <c r="BJ31" i="15" s="1"/>
  <c r="HU33" i="15"/>
  <c r="HT33" i="15"/>
  <c r="HV33" i="15"/>
  <c r="HY33" i="15" s="1"/>
  <c r="BK33" i="15" s="1"/>
  <c r="HW33" i="15"/>
  <c r="BH33" i="15" s="1"/>
  <c r="HX33" i="15"/>
  <c r="BJ33" i="15" s="1"/>
  <c r="HU28" i="15"/>
  <c r="HX28" i="15" s="1"/>
  <c r="BJ28" i="15" s="1"/>
  <c r="HT28" i="15"/>
  <c r="HV28" i="15"/>
  <c r="HY28" i="15" s="1"/>
  <c r="BK28" i="15" s="1"/>
  <c r="HW28" i="15"/>
  <c r="BH28" i="15" s="1"/>
  <c r="HU29" i="15"/>
  <c r="HX29" i="15" s="1"/>
  <c r="BJ29" i="15" s="1"/>
  <c r="HT29" i="15"/>
  <c r="HV29" i="15"/>
  <c r="HY29" i="15" s="1"/>
  <c r="BK29" i="15" s="1"/>
  <c r="HW29" i="15"/>
  <c r="BH29" i="15" s="1"/>
  <c r="HV69" i="15"/>
  <c r="HY69" i="15" s="1"/>
  <c r="HT69" i="15"/>
  <c r="HU69" i="15"/>
  <c r="HX69" i="15" s="1"/>
  <c r="HW69" i="15"/>
  <c r="HV25" i="15"/>
  <c r="HY25" i="15" s="1"/>
  <c r="BK25" i="15" s="1"/>
  <c r="HT25" i="15"/>
  <c r="HU25" i="15"/>
  <c r="HW25" i="15"/>
  <c r="BH25" i="15" s="1"/>
  <c r="HX25" i="15"/>
  <c r="BJ25" i="15" s="1"/>
  <c r="HV35" i="15"/>
  <c r="HU35" i="15"/>
  <c r="HT35" i="15"/>
  <c r="HW35" i="15" s="1"/>
  <c r="BH35" i="15" s="1"/>
  <c r="HX35" i="15"/>
  <c r="BJ35" i="15" s="1"/>
  <c r="HY35" i="15"/>
  <c r="BK35" i="15" s="1"/>
  <c r="HT70" i="15"/>
  <c r="HW70" i="15" s="1"/>
  <c r="HV70" i="15"/>
  <c r="HU70" i="15"/>
  <c r="HX70" i="15" s="1"/>
  <c r="HY70" i="15"/>
  <c r="HU52" i="15"/>
  <c r="HT52" i="15"/>
  <c r="HV52" i="15"/>
  <c r="HY52" i="15" s="1"/>
  <c r="HW52" i="15"/>
  <c r="HX52" i="15"/>
  <c r="H22" i="5"/>
  <c r="AL22" i="65" s="1"/>
  <c r="AL12" i="65" s="1"/>
  <c r="GK22" i="15"/>
  <c r="H77" i="5"/>
  <c r="AL77" i="65" s="1"/>
  <c r="GK77" i="15"/>
  <c r="GK76" i="15"/>
  <c r="H76" i="5"/>
  <c r="AL76" i="65" s="1"/>
  <c r="H75" i="5"/>
  <c r="AL75" i="65" s="1"/>
  <c r="GK75" i="15"/>
  <c r="GK74" i="15"/>
  <c r="H74" i="5"/>
  <c r="AL74" i="65" s="1"/>
  <c r="H73" i="5"/>
  <c r="AL73" i="65" s="1"/>
  <c r="GK73" i="15"/>
  <c r="HV72" i="15"/>
  <c r="HY72" i="15" s="1"/>
  <c r="HU72" i="15"/>
  <c r="HX72" i="15" s="1"/>
  <c r="HT72" i="15"/>
  <c r="HW72" i="15" s="1"/>
  <c r="DA61" i="15"/>
  <c r="AM16" i="65"/>
  <c r="AO16" i="65" s="1"/>
  <c r="DC88" i="15"/>
  <c r="AY88" i="65" s="1"/>
  <c r="S88" i="5" s="1"/>
  <c r="AX88" i="65"/>
  <c r="R88" i="5" s="1"/>
  <c r="AX92" i="65"/>
  <c r="R92" i="5" s="1"/>
  <c r="DC92" i="15"/>
  <c r="AY92" i="65" s="1"/>
  <c r="S92" i="5" s="1"/>
  <c r="DC110" i="15"/>
  <c r="AY110" i="65" s="1"/>
  <c r="S110" i="5" s="1"/>
  <c r="AX110" i="65"/>
  <c r="R110" i="5" s="1"/>
  <c r="DC96" i="15"/>
  <c r="AY96" i="65" s="1"/>
  <c r="S96" i="5" s="1"/>
  <c r="AX96" i="65"/>
  <c r="R96" i="5" s="1"/>
  <c r="DC119" i="15"/>
  <c r="AY119" i="65" s="1"/>
  <c r="S119" i="5" s="1"/>
  <c r="AX119" i="65"/>
  <c r="R119" i="5" s="1"/>
  <c r="AX114" i="65"/>
  <c r="R114" i="5" s="1"/>
  <c r="DC114" i="15"/>
  <c r="AY114" i="65" s="1"/>
  <c r="S114" i="5" s="1"/>
  <c r="AX95" i="65"/>
  <c r="R95" i="5" s="1"/>
  <c r="DC95" i="15"/>
  <c r="AY95" i="65" s="1"/>
  <c r="S95" i="5" s="1"/>
  <c r="CZ97" i="15"/>
  <c r="DB97" i="15" s="1"/>
  <c r="DA97" i="15"/>
  <c r="CZ127" i="15"/>
  <c r="DB127" i="15" s="1"/>
  <c r="DA127" i="15"/>
  <c r="CZ94" i="15"/>
  <c r="DB94" i="15" s="1"/>
  <c r="DA94" i="15"/>
  <c r="CY97" i="15"/>
  <c r="DA106" i="15"/>
  <c r="CZ106" i="15"/>
  <c r="DB106" i="15" s="1"/>
  <c r="CY106" i="15"/>
  <c r="CZ126" i="15"/>
  <c r="DB126" i="15" s="1"/>
  <c r="DA126" i="15"/>
  <c r="CZ120" i="15"/>
  <c r="DB120" i="15" s="1"/>
  <c r="DA120" i="15"/>
  <c r="CZ122" i="15"/>
  <c r="DB122" i="15" s="1"/>
  <c r="DA122" i="15"/>
  <c r="DA118" i="15"/>
  <c r="CZ118" i="15"/>
  <c r="DB118" i="15" s="1"/>
  <c r="AN14" i="65"/>
  <c r="AP14" i="65" s="1"/>
  <c r="CZ115" i="15"/>
  <c r="DB115" i="15" s="1"/>
  <c r="DA115" i="15"/>
  <c r="AX101" i="65"/>
  <c r="R101" i="5" s="1"/>
  <c r="DC101" i="15"/>
  <c r="AY101" i="65" s="1"/>
  <c r="S101" i="5" s="1"/>
  <c r="CZ117" i="15"/>
  <c r="DB117" i="15" s="1"/>
  <c r="DA117" i="15"/>
  <c r="DA108" i="15"/>
  <c r="CZ108" i="15"/>
  <c r="DB108" i="15" s="1"/>
  <c r="DA99" i="15"/>
  <c r="CZ99" i="15"/>
  <c r="DB99" i="15" s="1"/>
  <c r="CY115" i="15"/>
  <c r="CY91" i="15"/>
  <c r="Z90" i="5"/>
  <c r="AP10" i="65"/>
  <c r="AW125" i="73" l="1"/>
  <c r="CS193" i="15"/>
  <c r="CX234" i="15"/>
  <c r="CX162" i="15"/>
  <c r="AG150" i="65"/>
  <c r="AG232" i="65"/>
  <c r="AG188" i="65"/>
  <c r="AG260" i="65"/>
  <c r="AG324" i="65"/>
  <c r="AG194" i="65"/>
  <c r="AG202" i="65"/>
  <c r="AG244" i="65"/>
  <c r="AG250" i="65"/>
  <c r="AG314" i="65"/>
  <c r="AG346" i="65"/>
  <c r="AG198" i="65"/>
  <c r="CS251" i="15"/>
  <c r="CS241" i="15"/>
  <c r="AU96" i="73"/>
  <c r="AW96" i="73"/>
  <c r="AV96" i="73"/>
  <c r="AU110" i="73"/>
  <c r="AV110" i="73"/>
  <c r="AW110" i="73"/>
  <c r="AU111" i="73"/>
  <c r="AW111" i="73"/>
  <c r="AV111" i="73"/>
  <c r="AU126" i="73"/>
  <c r="AW126" i="73"/>
  <c r="AV126" i="73"/>
  <c r="AU94" i="73"/>
  <c r="AW94" i="73"/>
  <c r="AV94" i="73"/>
  <c r="AU99" i="73"/>
  <c r="AW99" i="73"/>
  <c r="AU114" i="73"/>
  <c r="AW114" i="73"/>
  <c r="AV114" i="73"/>
  <c r="AU115" i="73"/>
  <c r="AV115" i="73"/>
  <c r="AW115" i="73"/>
  <c r="AU117" i="73"/>
  <c r="AV117" i="73"/>
  <c r="AR105" i="73"/>
  <c r="AR109" i="73"/>
  <c r="AR107" i="73"/>
  <c r="AR79" i="73"/>
  <c r="AW109" i="73"/>
  <c r="AR93" i="73"/>
  <c r="AR121" i="73"/>
  <c r="AR47" i="73"/>
  <c r="AW123" i="73"/>
  <c r="AW66" i="73"/>
  <c r="AR62" i="73"/>
  <c r="AW117" i="73"/>
  <c r="AR61" i="73"/>
  <c r="AV99" i="73"/>
  <c r="AU92" i="73"/>
  <c r="AW92" i="73"/>
  <c r="AV92" i="73"/>
  <c r="AU113" i="73"/>
  <c r="AV113" i="73"/>
  <c r="AU120" i="73"/>
  <c r="AW120" i="73"/>
  <c r="AV120" i="73"/>
  <c r="AU118" i="73"/>
  <c r="AW118" i="73"/>
  <c r="AV118" i="73"/>
  <c r="AU95" i="73"/>
  <c r="AW95" i="73"/>
  <c r="AV95" i="73"/>
  <c r="AR123" i="73"/>
  <c r="AR66" i="73"/>
  <c r="AW107" i="73"/>
  <c r="AR125" i="73"/>
  <c r="AW113" i="73"/>
  <c r="AG200" i="65"/>
  <c r="AG264" i="65"/>
  <c r="AG206" i="65"/>
  <c r="AG306" i="65"/>
  <c r="AG128" i="65"/>
  <c r="AG178" i="65"/>
  <c r="AG220" i="65"/>
  <c r="AG334" i="65"/>
  <c r="AG238" i="65"/>
  <c r="AG248" i="65"/>
  <c r="AG212" i="65"/>
  <c r="AG143" i="65"/>
  <c r="AG236" i="65"/>
  <c r="AG84" i="65"/>
  <c r="AG254" i="65"/>
  <c r="AG176" i="65"/>
  <c r="AG228" i="65"/>
  <c r="AG174" i="65"/>
  <c r="AG316" i="65"/>
  <c r="AG222" i="65"/>
  <c r="AG224" i="65"/>
  <c r="AG214" i="65"/>
  <c r="AG262" i="65"/>
  <c r="AG234" i="65"/>
  <c r="AG302" i="65"/>
  <c r="AG160" i="65"/>
  <c r="CX104" i="15"/>
  <c r="CY104" i="15" s="1"/>
  <c r="AG87" i="65"/>
  <c r="BR105" i="15"/>
  <c r="BR79" i="15"/>
  <c r="BR125" i="15"/>
  <c r="AU79" i="65"/>
  <c r="O79" i="5" s="1"/>
  <c r="AV79" i="73" s="1"/>
  <c r="CF121" i="15"/>
  <c r="EW121" i="15" s="1"/>
  <c r="AG81" i="65"/>
  <c r="AG263" i="65"/>
  <c r="AH139" i="65"/>
  <c r="CU86" i="15"/>
  <c r="AG86" i="65"/>
  <c r="DD229" i="15"/>
  <c r="DG229" i="15" s="1"/>
  <c r="AG229" i="65"/>
  <c r="DD251" i="15"/>
  <c r="DG251" i="15" s="1"/>
  <c r="AG251" i="65"/>
  <c r="DD219" i="15"/>
  <c r="DG219" i="15" s="1"/>
  <c r="AG219" i="65"/>
  <c r="DD253" i="15"/>
  <c r="DG253" i="15" s="1"/>
  <c r="AG253" i="65"/>
  <c r="DD167" i="15"/>
  <c r="DG167" i="15" s="1"/>
  <c r="AG167" i="65"/>
  <c r="DD199" i="15"/>
  <c r="DG199" i="15" s="1"/>
  <c r="AG199" i="65"/>
  <c r="DD157" i="15"/>
  <c r="DG157" i="15" s="1"/>
  <c r="AG157" i="65"/>
  <c r="DD225" i="15"/>
  <c r="DG225" i="15" s="1"/>
  <c r="AG225" i="65"/>
  <c r="DD345" i="15"/>
  <c r="DG345" i="15" s="1"/>
  <c r="AZ345" i="65" s="1"/>
  <c r="AG345" i="65"/>
  <c r="CU108" i="15"/>
  <c r="AG108" i="65"/>
  <c r="CU127" i="15"/>
  <c r="AG127" i="65"/>
  <c r="DD137" i="15"/>
  <c r="DG137" i="15" s="1"/>
  <c r="AG137" i="65"/>
  <c r="AG313" i="65"/>
  <c r="AG191" i="65"/>
  <c r="AG211" i="65"/>
  <c r="AG192" i="65"/>
  <c r="AG326" i="65"/>
  <c r="AG162" i="65"/>
  <c r="AG322" i="65"/>
  <c r="AG180" i="65"/>
  <c r="AG252" i="65"/>
  <c r="AG168" i="65"/>
  <c r="AG196" i="65"/>
  <c r="AG246" i="65"/>
  <c r="AG294" i="65"/>
  <c r="AG340" i="65"/>
  <c r="AG348" i="65"/>
  <c r="AG190" i="65"/>
  <c r="AG342" i="65"/>
  <c r="AG130" i="65"/>
  <c r="AG270" i="65"/>
  <c r="AG336" i="65"/>
  <c r="AG344" i="65"/>
  <c r="AG186" i="65"/>
  <c r="AG261" i="65"/>
  <c r="AG169" i="65"/>
  <c r="AG100" i="65"/>
  <c r="AG259" i="65"/>
  <c r="AG153" i="65"/>
  <c r="AG256" i="65"/>
  <c r="AG268" i="65"/>
  <c r="AG82" i="65"/>
  <c r="AG318" i="65"/>
  <c r="AG132" i="65"/>
  <c r="AG338" i="65"/>
  <c r="AG204" i="65"/>
  <c r="AG218" i="65"/>
  <c r="AG182" i="65"/>
  <c r="AG216" i="65"/>
  <c r="AG230" i="65"/>
  <c r="AG240" i="65"/>
  <c r="AG266" i="65"/>
  <c r="AG144" i="65"/>
  <c r="AG226" i="65"/>
  <c r="AG332" i="65"/>
  <c r="AH181" i="65"/>
  <c r="AH201" i="65"/>
  <c r="DD269" i="15"/>
  <c r="DG269" i="15" s="1"/>
  <c r="AG269" i="65"/>
  <c r="DD135" i="15"/>
  <c r="DG135" i="15" s="1"/>
  <c r="AG135" i="65"/>
  <c r="DD213" i="15"/>
  <c r="DG213" i="15" s="1"/>
  <c r="AG213" i="65"/>
  <c r="DD193" i="15"/>
  <c r="DG193" i="15" s="1"/>
  <c r="AG193" i="65"/>
  <c r="DD245" i="15"/>
  <c r="DG245" i="15" s="1"/>
  <c r="AG245" i="65"/>
  <c r="DD237" i="15"/>
  <c r="DG237" i="15" s="1"/>
  <c r="AG237" i="65"/>
  <c r="DD163" i="15"/>
  <c r="DG163" i="15" s="1"/>
  <c r="AG163" i="65"/>
  <c r="DD243" i="15"/>
  <c r="DG243" i="15" s="1"/>
  <c r="AG243" i="65"/>
  <c r="DD265" i="15"/>
  <c r="DG265" i="15" s="1"/>
  <c r="AG265" i="65"/>
  <c r="DD221" i="15"/>
  <c r="DG221" i="15" s="1"/>
  <c r="AG221" i="65"/>
  <c r="DD241" i="15"/>
  <c r="DG241" i="15" s="1"/>
  <c r="AG241" i="65"/>
  <c r="DD257" i="15"/>
  <c r="DG257" i="15" s="1"/>
  <c r="AG257" i="65"/>
  <c r="DD207" i="15"/>
  <c r="DG207" i="15" s="1"/>
  <c r="AG207" i="65"/>
  <c r="DD83" i="15"/>
  <c r="DG83" i="15" s="1"/>
  <c r="AG83" i="65"/>
  <c r="DD183" i="15"/>
  <c r="DG183" i="15" s="1"/>
  <c r="AG183" i="65"/>
  <c r="AZ139" i="65"/>
  <c r="DJ139" i="15"/>
  <c r="EJ139" i="15" s="1"/>
  <c r="AG175" i="65"/>
  <c r="AG104" i="65"/>
  <c r="AV48" i="65"/>
  <c r="P48" i="5" s="1"/>
  <c r="AW48" i="73" s="1"/>
  <c r="CF48" i="15"/>
  <c r="EW48" i="15" s="1"/>
  <c r="BR62" i="15"/>
  <c r="BR123" i="15"/>
  <c r="ER79" i="15"/>
  <c r="FC93" i="15"/>
  <c r="FB93" i="15" s="1"/>
  <c r="EV48" i="15"/>
  <c r="ER66" i="15"/>
  <c r="FC123" i="15"/>
  <c r="FB123" i="15" s="1"/>
  <c r="FA123" i="15" s="1"/>
  <c r="BG123" i="65" s="1"/>
  <c r="AG123" i="5" s="1"/>
  <c r="CF93" i="15"/>
  <c r="EW93" i="15" s="1"/>
  <c r="CE93" i="15"/>
  <c r="EV93" i="15" s="1"/>
  <c r="FC121" i="15"/>
  <c r="FB121" i="15" s="1"/>
  <c r="FA121" i="15" s="1"/>
  <c r="BG121" i="65" s="1"/>
  <c r="AG121" i="5" s="1"/>
  <c r="CX237" i="15"/>
  <c r="DJ345" i="15"/>
  <c r="EJ345" i="15" s="1"/>
  <c r="BR107" i="15"/>
  <c r="CE123" i="15"/>
  <c r="BR121" i="15"/>
  <c r="BR109" i="15"/>
  <c r="FC107" i="15"/>
  <c r="FB107" i="15" s="1"/>
  <c r="FA107" i="15" s="1"/>
  <c r="BG107" i="65" s="1"/>
  <c r="AG107" i="5" s="1"/>
  <c r="BV26" i="15"/>
  <c r="BY26" i="15"/>
  <c r="AT26" i="65" s="1"/>
  <c r="N26" i="5" s="1"/>
  <c r="AU26" i="73" s="1"/>
  <c r="AQ26" i="65"/>
  <c r="K26" i="5" s="1"/>
  <c r="BO26" i="15"/>
  <c r="FT26" i="15"/>
  <c r="CB26" i="15"/>
  <c r="AR26" i="65"/>
  <c r="L26" i="5" s="1"/>
  <c r="CC26" i="15"/>
  <c r="BZ26" i="15" s="1"/>
  <c r="AU26" i="65" s="1"/>
  <c r="O26" i="5" s="1"/>
  <c r="AV26" i="73" s="1"/>
  <c r="BP26" i="15"/>
  <c r="FU26" i="15"/>
  <c r="CA26" i="15"/>
  <c r="AV26" i="65" s="1"/>
  <c r="P26" i="5" s="1"/>
  <c r="AS26" i="65"/>
  <c r="M26" i="5" s="1"/>
  <c r="CD26" i="15"/>
  <c r="BQ26" i="15"/>
  <c r="BT105" i="15"/>
  <c r="CE125" i="15"/>
  <c r="CE62" i="15"/>
  <c r="BR93" i="15"/>
  <c r="CU83" i="15"/>
  <c r="CS137" i="15"/>
  <c r="CX82" i="15"/>
  <c r="CF125" i="15"/>
  <c r="EW125" i="15" s="1"/>
  <c r="EY125" i="15" s="1"/>
  <c r="CX127" i="15"/>
  <c r="CY127" i="15" s="1"/>
  <c r="CU137" i="15"/>
  <c r="CX137" i="15" s="1"/>
  <c r="DJ321" i="15"/>
  <c r="EJ321" i="15" s="1"/>
  <c r="EM321" i="15" s="1"/>
  <c r="CS157" i="15"/>
  <c r="CU157" i="15"/>
  <c r="CX157" i="15" s="1"/>
  <c r="CS83" i="15"/>
  <c r="CX310" i="15"/>
  <c r="CX186" i="15"/>
  <c r="CX200" i="15"/>
  <c r="CX198" i="15"/>
  <c r="CX258" i="15"/>
  <c r="CX134" i="15"/>
  <c r="CS183" i="15"/>
  <c r="CX216" i="15"/>
  <c r="CX108" i="15"/>
  <c r="CY108" i="15" s="1"/>
  <c r="CS345" i="15"/>
  <c r="CI349" i="15"/>
  <c r="CU349" i="15" s="1"/>
  <c r="CV349" i="15"/>
  <c r="AW349" i="65"/>
  <c r="CR349" i="15"/>
  <c r="CK349" i="15"/>
  <c r="DF349" i="15" s="1"/>
  <c r="DI349" i="15" s="1"/>
  <c r="BB349" i="65" s="1"/>
  <c r="CJ349" i="15"/>
  <c r="DE349" i="15" s="1"/>
  <c r="DH349" i="15" s="1"/>
  <c r="CW349" i="15"/>
  <c r="CT349" i="15"/>
  <c r="CK159" i="15"/>
  <c r="DF159" i="15" s="1"/>
  <c r="DI159" i="15" s="1"/>
  <c r="BB159" i="65" s="1"/>
  <c r="CJ159" i="15"/>
  <c r="DE159" i="15" s="1"/>
  <c r="DH159" i="15" s="1"/>
  <c r="CV159" i="15"/>
  <c r="AW159" i="65"/>
  <c r="CW159" i="15"/>
  <c r="CI159" i="15"/>
  <c r="CT159" i="15"/>
  <c r="CU159" i="15"/>
  <c r="CR159" i="15"/>
  <c r="AW55" i="65"/>
  <c r="Q55" i="5" s="1"/>
  <c r="BA55" i="73" s="1"/>
  <c r="CV55" i="15"/>
  <c r="CW55" i="15"/>
  <c r="BU97" i="15"/>
  <c r="BT97" i="15"/>
  <c r="ER97" i="15"/>
  <c r="EV97" i="15"/>
  <c r="CH97" i="15" s="1"/>
  <c r="CK98" i="15"/>
  <c r="CV98" i="15"/>
  <c r="CJ98" i="15"/>
  <c r="CS98" i="15" s="1"/>
  <c r="CI98" i="15"/>
  <c r="AW98" i="65"/>
  <c r="Q98" i="5" s="1"/>
  <c r="BA98" i="73" s="1"/>
  <c r="CT98" i="15"/>
  <c r="CW98" i="15" s="1"/>
  <c r="CR98" i="15"/>
  <c r="CK299" i="15"/>
  <c r="DF299" i="15" s="1"/>
  <c r="DI299" i="15" s="1"/>
  <c r="BB299" i="65" s="1"/>
  <c r="CJ299" i="15"/>
  <c r="DE299" i="15" s="1"/>
  <c r="DH299" i="15" s="1"/>
  <c r="AW299" i="65"/>
  <c r="CR299" i="15"/>
  <c r="CI299" i="15"/>
  <c r="CU299" i="15" s="1"/>
  <c r="CW299" i="15"/>
  <c r="CV299" i="15"/>
  <c r="CT299" i="15"/>
  <c r="ET239" i="15"/>
  <c r="ES239" i="15"/>
  <c r="EU239" i="15"/>
  <c r="CK239" i="15"/>
  <c r="DF239" i="15" s="1"/>
  <c r="DI239" i="15" s="1"/>
  <c r="BB239" i="65" s="1"/>
  <c r="CJ239" i="15"/>
  <c r="DE239" i="15" s="1"/>
  <c r="DH239" i="15" s="1"/>
  <c r="AW239" i="65"/>
  <c r="CR239" i="15"/>
  <c r="CW239" i="15"/>
  <c r="CI239" i="15"/>
  <c r="CT239" i="15"/>
  <c r="CV239" i="15"/>
  <c r="BU92" i="15"/>
  <c r="BT92" i="15"/>
  <c r="ER92" i="15"/>
  <c r="EV92" i="15"/>
  <c r="CH92" i="15" s="1"/>
  <c r="ER113" i="15"/>
  <c r="EV113" i="15"/>
  <c r="CH113" i="15" s="1"/>
  <c r="CW113" i="15" s="1"/>
  <c r="BT113" i="15"/>
  <c r="BU113" i="15"/>
  <c r="BU120" i="15"/>
  <c r="ER120" i="15"/>
  <c r="BT120" i="15"/>
  <c r="BS120" i="15" s="1"/>
  <c r="EV120" i="15"/>
  <c r="CH120" i="15" s="1"/>
  <c r="BT118" i="15"/>
  <c r="ER118" i="15"/>
  <c r="BU118" i="15"/>
  <c r="EV118" i="15"/>
  <c r="CH118" i="15" s="1"/>
  <c r="BS118" i="15"/>
  <c r="EV95" i="15"/>
  <c r="CH95" i="15" s="1"/>
  <c r="BT95" i="15"/>
  <c r="BS95" i="15" s="1"/>
  <c r="BU95" i="15"/>
  <c r="ER95" i="15"/>
  <c r="ER106" i="15"/>
  <c r="BU106" i="15"/>
  <c r="EV106" i="15"/>
  <c r="CH106" i="15" s="1"/>
  <c r="BT106" i="15"/>
  <c r="CJ280" i="15"/>
  <c r="DE280" i="15" s="1"/>
  <c r="DH280" i="15" s="1"/>
  <c r="CI280" i="15"/>
  <c r="CV280" i="15"/>
  <c r="AW280" i="65"/>
  <c r="CW280" i="15"/>
  <c r="CK280" i="15"/>
  <c r="DF280" i="15" s="1"/>
  <c r="DI280" i="15" s="1"/>
  <c r="BB280" i="65" s="1"/>
  <c r="CT280" i="15"/>
  <c r="CU280" i="15"/>
  <c r="CS280" i="15"/>
  <c r="CR280" i="15"/>
  <c r="ES280" i="15"/>
  <c r="ET280" i="15"/>
  <c r="EU280" i="15"/>
  <c r="ET329" i="15"/>
  <c r="EU329" i="15"/>
  <c r="ES329" i="15"/>
  <c r="ET285" i="15"/>
  <c r="EU285" i="15"/>
  <c r="ES285" i="15"/>
  <c r="ES159" i="15"/>
  <c r="ET159" i="15"/>
  <c r="EU159" i="15"/>
  <c r="CK272" i="15"/>
  <c r="DF272" i="15" s="1"/>
  <c r="DI272" i="15" s="1"/>
  <c r="BB272" i="65" s="1"/>
  <c r="CT272" i="15"/>
  <c r="AW272" i="65"/>
  <c r="CR272" i="15"/>
  <c r="CJ272" i="15"/>
  <c r="DE272" i="15" s="1"/>
  <c r="DH272" i="15" s="1"/>
  <c r="CI272" i="15"/>
  <c r="CW272" i="15"/>
  <c r="CV272" i="15"/>
  <c r="CJ112" i="15"/>
  <c r="DE112" i="15" s="1"/>
  <c r="DH112" i="15" s="1"/>
  <c r="CI112" i="15"/>
  <c r="CR112" i="15"/>
  <c r="CT112" i="15"/>
  <c r="CV112" i="15"/>
  <c r="CK112" i="15"/>
  <c r="DF112" i="15" s="1"/>
  <c r="DI112" i="15" s="1"/>
  <c r="BB112" i="65" s="1"/>
  <c r="CW112" i="15"/>
  <c r="AW112" i="65"/>
  <c r="CU112" i="15"/>
  <c r="EU112" i="15"/>
  <c r="ES112" i="15"/>
  <c r="ET112" i="15"/>
  <c r="CK129" i="15"/>
  <c r="DF129" i="15" s="1"/>
  <c r="DI129" i="15" s="1"/>
  <c r="BB129" i="65" s="1"/>
  <c r="CJ129" i="15"/>
  <c r="DE129" i="15" s="1"/>
  <c r="DH129" i="15" s="1"/>
  <c r="CR129" i="15"/>
  <c r="CW129" i="15"/>
  <c r="CI129" i="15"/>
  <c r="CV129" i="15"/>
  <c r="AW129" i="65"/>
  <c r="CT129" i="15"/>
  <c r="CK293" i="15"/>
  <c r="DF293" i="15" s="1"/>
  <c r="DI293" i="15" s="1"/>
  <c r="BB293" i="65" s="1"/>
  <c r="CJ293" i="15"/>
  <c r="DE293" i="15" s="1"/>
  <c r="DH293" i="15" s="1"/>
  <c r="CR293" i="15"/>
  <c r="CT293" i="15"/>
  <c r="CI293" i="15"/>
  <c r="CV293" i="15"/>
  <c r="CW293" i="15"/>
  <c r="AW293" i="65"/>
  <c r="BU96" i="15"/>
  <c r="ER96" i="15"/>
  <c r="BT96" i="15"/>
  <c r="BS96" i="15" s="1"/>
  <c r="EV96" i="15"/>
  <c r="CH96" i="15" s="1"/>
  <c r="BT110" i="15"/>
  <c r="EV110" i="15"/>
  <c r="CH110" i="15" s="1"/>
  <c r="BU110" i="15"/>
  <c r="ER110" i="15"/>
  <c r="ER111" i="15"/>
  <c r="EV111" i="15"/>
  <c r="CH111" i="15" s="1"/>
  <c r="BU111" i="15"/>
  <c r="BT111" i="15"/>
  <c r="BU126" i="15"/>
  <c r="EV126" i="15"/>
  <c r="CH126" i="15" s="1"/>
  <c r="ER126" i="15"/>
  <c r="BT126" i="15"/>
  <c r="EV94" i="15"/>
  <c r="CH94" i="15" s="1"/>
  <c r="BU94" i="15"/>
  <c r="BT94" i="15"/>
  <c r="BS94" i="15" s="1"/>
  <c r="ER94" i="15"/>
  <c r="EV99" i="15"/>
  <c r="CH99" i="15" s="1"/>
  <c r="ER99" i="15"/>
  <c r="BU99" i="15"/>
  <c r="BT99" i="15"/>
  <c r="BS99" i="15" s="1"/>
  <c r="ER114" i="15"/>
  <c r="EV114" i="15"/>
  <c r="CH114" i="15" s="1"/>
  <c r="BU114" i="15"/>
  <c r="BT114" i="15"/>
  <c r="EV115" i="15"/>
  <c r="CH115" i="15" s="1"/>
  <c r="BU115" i="15"/>
  <c r="BT115" i="15"/>
  <c r="ER115" i="15"/>
  <c r="EV117" i="15"/>
  <c r="CH117" i="15" s="1"/>
  <c r="CI117" i="15" s="1"/>
  <c r="BT117" i="15"/>
  <c r="BS117" i="15" s="1"/>
  <c r="ER117" i="15"/>
  <c r="BU117" i="15"/>
  <c r="ER121" i="15"/>
  <c r="ES91" i="15"/>
  <c r="EU90" i="15"/>
  <c r="CX269" i="15"/>
  <c r="CS269" i="15"/>
  <c r="CU167" i="15"/>
  <c r="CX167" i="15" s="1"/>
  <c r="CU265" i="15"/>
  <c r="CX265" i="15" s="1"/>
  <c r="CS265" i="15"/>
  <c r="ER101" i="15"/>
  <c r="BU101" i="15"/>
  <c r="EV101" i="15"/>
  <c r="CH101" i="15" s="1"/>
  <c r="BT101" i="15"/>
  <c r="CK102" i="15"/>
  <c r="DF102" i="15" s="1"/>
  <c r="DI102" i="15" s="1"/>
  <c r="BB102" i="65" s="1"/>
  <c r="V102" i="5" s="1"/>
  <c r="CW102" i="15"/>
  <c r="CR102" i="15"/>
  <c r="CT102" i="15"/>
  <c r="CJ102" i="15"/>
  <c r="CS102" i="15" s="1"/>
  <c r="CI102" i="15"/>
  <c r="CV102" i="15"/>
  <c r="AW102" i="65"/>
  <c r="Q102" i="5" s="1"/>
  <c r="BA102" i="73" s="1"/>
  <c r="ES98" i="15"/>
  <c r="ET98" i="15"/>
  <c r="EU98" i="15"/>
  <c r="ET299" i="15"/>
  <c r="ES299" i="15"/>
  <c r="EU299" i="15"/>
  <c r="CI329" i="15"/>
  <c r="CV329" i="15"/>
  <c r="CT329" i="15"/>
  <c r="CW329" i="15"/>
  <c r="CK329" i="15"/>
  <c r="DF329" i="15" s="1"/>
  <c r="DI329" i="15" s="1"/>
  <c r="BB329" i="65" s="1"/>
  <c r="CJ329" i="15"/>
  <c r="DE329" i="15" s="1"/>
  <c r="DH329" i="15" s="1"/>
  <c r="CR329" i="15"/>
  <c r="AW329" i="65"/>
  <c r="CK285" i="15"/>
  <c r="DF285" i="15" s="1"/>
  <c r="DI285" i="15" s="1"/>
  <c r="BB285" i="65" s="1"/>
  <c r="CJ285" i="15"/>
  <c r="DE285" i="15" s="1"/>
  <c r="DH285" i="15" s="1"/>
  <c r="CV285" i="15"/>
  <c r="CR285" i="15"/>
  <c r="CI285" i="15"/>
  <c r="CT285" i="15"/>
  <c r="AW285" i="65"/>
  <c r="CW285" i="15"/>
  <c r="ET167" i="15"/>
  <c r="ES167" i="15"/>
  <c r="EU167" i="15"/>
  <c r="CK249" i="15"/>
  <c r="DF249" i="15" s="1"/>
  <c r="DI249" i="15" s="1"/>
  <c r="BB249" i="65" s="1"/>
  <c r="CJ249" i="15"/>
  <c r="DE249" i="15" s="1"/>
  <c r="DH249" i="15" s="1"/>
  <c r="DR249" i="15" s="1"/>
  <c r="CV249" i="15"/>
  <c r="CW249" i="15"/>
  <c r="CI249" i="15"/>
  <c r="AW249" i="65"/>
  <c r="CT249" i="15"/>
  <c r="CR249" i="15"/>
  <c r="ES249" i="15"/>
  <c r="EU249" i="15"/>
  <c r="ET249" i="15"/>
  <c r="ES349" i="15"/>
  <c r="ET349" i="15"/>
  <c r="EU349" i="15"/>
  <c r="ES183" i="15"/>
  <c r="EU183" i="15"/>
  <c r="ET183" i="15"/>
  <c r="EU272" i="15"/>
  <c r="ES272" i="15"/>
  <c r="ET272" i="15"/>
  <c r="ES129" i="15"/>
  <c r="ET129" i="15"/>
  <c r="EU129" i="15"/>
  <c r="ES293" i="15"/>
  <c r="ET293" i="15"/>
  <c r="EU293" i="15"/>
  <c r="CX226" i="15"/>
  <c r="CX188" i="15"/>
  <c r="CX184" i="15"/>
  <c r="CX128" i="15"/>
  <c r="CX260" i="15"/>
  <c r="CX204" i="15"/>
  <c r="CX222" i="15"/>
  <c r="CX308" i="15"/>
  <c r="ER105" i="15"/>
  <c r="CX215" i="15"/>
  <c r="CX150" i="15"/>
  <c r="CX87" i="15"/>
  <c r="CY87" i="15" s="1"/>
  <c r="CX261" i="15"/>
  <c r="EU91" i="15"/>
  <c r="ET90" i="15"/>
  <c r="CX221" i="15"/>
  <c r="CX348" i="15"/>
  <c r="CX190" i="15"/>
  <c r="CX230" i="15"/>
  <c r="CX266" i="15"/>
  <c r="CX328" i="15"/>
  <c r="CX250" i="15"/>
  <c r="CX187" i="15"/>
  <c r="CX164" i="15"/>
  <c r="CX86" i="15"/>
  <c r="CY86" i="15" s="1"/>
  <c r="CX229" i="15"/>
  <c r="CS135" i="15"/>
  <c r="CS245" i="15"/>
  <c r="CS207" i="15"/>
  <c r="CU207" i="15"/>
  <c r="CX207" i="15" s="1"/>
  <c r="CX84" i="15"/>
  <c r="DA84" i="15" s="1"/>
  <c r="CX340" i="15"/>
  <c r="AZ147" i="65"/>
  <c r="DJ147" i="15"/>
  <c r="EJ147" i="15" s="1"/>
  <c r="AZ155" i="65"/>
  <c r="DJ155" i="15"/>
  <c r="EJ155" i="15" s="1"/>
  <c r="AZ170" i="65"/>
  <c r="DJ170" i="15"/>
  <c r="EJ170" i="15" s="1"/>
  <c r="DJ133" i="15"/>
  <c r="EJ133" i="15" s="1"/>
  <c r="AZ133" i="65"/>
  <c r="DJ131" i="15"/>
  <c r="EJ131" i="15" s="1"/>
  <c r="AZ131" i="65"/>
  <c r="DJ288" i="15"/>
  <c r="EJ288" i="15" s="1"/>
  <c r="AZ288" i="65"/>
  <c r="AZ301" i="65"/>
  <c r="DJ301" i="15"/>
  <c r="EJ301" i="15" s="1"/>
  <c r="DJ297" i="15"/>
  <c r="EJ297" i="15" s="1"/>
  <c r="AZ297" i="65"/>
  <c r="AZ322" i="65"/>
  <c r="DJ322" i="15"/>
  <c r="EJ322" i="15" s="1"/>
  <c r="EM322" i="15" s="1"/>
  <c r="DJ132" i="15"/>
  <c r="EJ132" i="15" s="1"/>
  <c r="EK132" i="15" s="1"/>
  <c r="AZ132" i="65"/>
  <c r="DJ314" i="15"/>
  <c r="EJ314" i="15" s="1"/>
  <c r="EK314" i="15" s="1"/>
  <c r="AZ314" i="65"/>
  <c r="DJ306" i="15"/>
  <c r="EJ306" i="15" s="1"/>
  <c r="EL306" i="15" s="1"/>
  <c r="AZ306" i="65"/>
  <c r="DJ348" i="15"/>
  <c r="EJ348" i="15" s="1"/>
  <c r="EM348" i="15" s="1"/>
  <c r="AZ348" i="65"/>
  <c r="AZ144" i="65"/>
  <c r="DJ144" i="15"/>
  <c r="EJ144" i="15" s="1"/>
  <c r="EL144" i="15" s="1"/>
  <c r="AZ334" i="65"/>
  <c r="DJ334" i="15"/>
  <c r="EJ334" i="15" s="1"/>
  <c r="EK334" i="15" s="1"/>
  <c r="DJ270" i="15"/>
  <c r="EJ270" i="15" s="1"/>
  <c r="EK270" i="15" s="1"/>
  <c r="AZ270" i="65"/>
  <c r="AZ148" i="65"/>
  <c r="DJ148" i="15"/>
  <c r="EJ148" i="15" s="1"/>
  <c r="EK148" i="15" s="1"/>
  <c r="DJ134" i="15"/>
  <c r="EJ134" i="15" s="1"/>
  <c r="AZ134" i="65"/>
  <c r="DJ169" i="15"/>
  <c r="EJ169" i="15" s="1"/>
  <c r="EL169" i="15" s="1"/>
  <c r="AZ169" i="65"/>
  <c r="DJ191" i="15"/>
  <c r="EJ191" i="15" s="1"/>
  <c r="EL191" i="15" s="1"/>
  <c r="AZ191" i="65"/>
  <c r="DJ187" i="15"/>
  <c r="EJ187" i="15" s="1"/>
  <c r="EL187" i="15" s="1"/>
  <c r="AZ187" i="65"/>
  <c r="DJ211" i="15"/>
  <c r="EJ211" i="15" s="1"/>
  <c r="EL211" i="15" s="1"/>
  <c r="AZ211" i="65"/>
  <c r="DJ229" i="15"/>
  <c r="EJ229" i="15" s="1"/>
  <c r="EM229" i="15" s="1"/>
  <c r="AZ229" i="65"/>
  <c r="AZ135" i="65"/>
  <c r="DJ135" i="15"/>
  <c r="EJ135" i="15" s="1"/>
  <c r="EK135" i="15" s="1"/>
  <c r="DJ251" i="15"/>
  <c r="EJ251" i="15" s="1"/>
  <c r="EL251" i="15" s="1"/>
  <c r="AZ251" i="65"/>
  <c r="AZ219" i="65"/>
  <c r="DJ219" i="15"/>
  <c r="EJ219" i="15" s="1"/>
  <c r="EL219" i="15" s="1"/>
  <c r="AZ237" i="65"/>
  <c r="DJ237" i="15"/>
  <c r="EJ237" i="15" s="1"/>
  <c r="EM237" i="15" s="1"/>
  <c r="DJ167" i="15"/>
  <c r="EJ167" i="15" s="1"/>
  <c r="AZ167" i="65"/>
  <c r="AZ163" i="65"/>
  <c r="DJ163" i="15"/>
  <c r="EJ163" i="15" s="1"/>
  <c r="DJ243" i="15"/>
  <c r="EJ243" i="15" s="1"/>
  <c r="AZ243" i="65"/>
  <c r="DK265" i="15"/>
  <c r="BA265" i="65"/>
  <c r="EN265" i="15"/>
  <c r="DR265" i="15"/>
  <c r="BA157" i="65"/>
  <c r="EN157" i="15"/>
  <c r="DK157" i="15"/>
  <c r="DR157" i="15"/>
  <c r="DJ157" i="15"/>
  <c r="EJ157" i="15" s="1"/>
  <c r="AZ157" i="65"/>
  <c r="DK225" i="15"/>
  <c r="DR225" i="15"/>
  <c r="BA225" i="65"/>
  <c r="EN225" i="15"/>
  <c r="DK83" i="15"/>
  <c r="BA83" i="65"/>
  <c r="U83" i="5" s="1"/>
  <c r="DR83" i="15"/>
  <c r="EN83" i="15"/>
  <c r="DJ136" i="15"/>
  <c r="EJ136" i="15" s="1"/>
  <c r="AZ136" i="65"/>
  <c r="AZ173" i="65"/>
  <c r="DJ173" i="15"/>
  <c r="EJ173" i="15" s="1"/>
  <c r="AZ145" i="65"/>
  <c r="DJ145" i="15"/>
  <c r="EJ145" i="15" s="1"/>
  <c r="DJ277" i="15"/>
  <c r="EJ277" i="15" s="1"/>
  <c r="AZ277" i="65"/>
  <c r="DJ284" i="15"/>
  <c r="EJ284" i="15" s="1"/>
  <c r="AZ284" i="65"/>
  <c r="AZ309" i="65"/>
  <c r="DJ309" i="15"/>
  <c r="EJ309" i="15" s="1"/>
  <c r="DJ192" i="15"/>
  <c r="EJ192" i="15" s="1"/>
  <c r="AZ192" i="65"/>
  <c r="AZ326" i="65"/>
  <c r="DJ326" i="15"/>
  <c r="EJ326" i="15" s="1"/>
  <c r="EM326" i="15" s="1"/>
  <c r="DJ206" i="15"/>
  <c r="EJ206" i="15" s="1"/>
  <c r="AZ206" i="65"/>
  <c r="AZ294" i="65"/>
  <c r="DJ294" i="15"/>
  <c r="EJ294" i="15" s="1"/>
  <c r="EL294" i="15" s="1"/>
  <c r="DJ182" i="15"/>
  <c r="EJ182" i="15" s="1"/>
  <c r="AZ182" i="65"/>
  <c r="DJ318" i="15"/>
  <c r="EJ318" i="15" s="1"/>
  <c r="AZ318" i="65"/>
  <c r="DJ128" i="15"/>
  <c r="EJ128" i="15" s="1"/>
  <c r="AZ128" i="65"/>
  <c r="AZ160" i="65"/>
  <c r="DJ160" i="15"/>
  <c r="EJ160" i="15" s="1"/>
  <c r="EM160" i="15" s="1"/>
  <c r="DJ198" i="15"/>
  <c r="EJ198" i="15" s="1"/>
  <c r="AZ198" i="65"/>
  <c r="AZ308" i="65"/>
  <c r="DJ308" i="15"/>
  <c r="EJ308" i="15" s="1"/>
  <c r="EK308" i="15" s="1"/>
  <c r="DJ186" i="15"/>
  <c r="EJ186" i="15" s="1"/>
  <c r="AZ186" i="65"/>
  <c r="AZ168" i="65"/>
  <c r="DJ168" i="15"/>
  <c r="EJ168" i="15" s="1"/>
  <c r="EM168" i="15" s="1"/>
  <c r="AZ240" i="65"/>
  <c r="DJ240" i="15"/>
  <c r="EJ240" i="15" s="1"/>
  <c r="EL240" i="15" s="1"/>
  <c r="DJ302" i="15"/>
  <c r="EJ302" i="15" s="1"/>
  <c r="AZ302" i="65"/>
  <c r="DJ310" i="15"/>
  <c r="EJ310" i="15" s="1"/>
  <c r="AZ310" i="65"/>
  <c r="AZ330" i="65"/>
  <c r="DJ330" i="15"/>
  <c r="EJ330" i="15" s="1"/>
  <c r="EK330" i="15" s="1"/>
  <c r="AZ200" i="65"/>
  <c r="DJ200" i="15"/>
  <c r="EJ200" i="15" s="1"/>
  <c r="EM200" i="15" s="1"/>
  <c r="AZ215" i="65"/>
  <c r="DJ215" i="15"/>
  <c r="EJ215" i="15" s="1"/>
  <c r="EK215" i="15" s="1"/>
  <c r="AZ87" i="65"/>
  <c r="T87" i="5" s="1"/>
  <c r="AX87" i="73" s="1"/>
  <c r="DJ87" i="15"/>
  <c r="EJ87" i="15" s="1"/>
  <c r="EK87" i="15" s="1"/>
  <c r="AZ263" i="65"/>
  <c r="DJ263" i="15"/>
  <c r="EJ263" i="15" s="1"/>
  <c r="EL263" i="15" s="1"/>
  <c r="AZ164" i="65"/>
  <c r="DJ164" i="15"/>
  <c r="EJ164" i="15" s="1"/>
  <c r="EK164" i="15" s="1"/>
  <c r="AZ143" i="65"/>
  <c r="DJ143" i="15"/>
  <c r="EJ143" i="15" s="1"/>
  <c r="EM143" i="15" s="1"/>
  <c r="AZ259" i="65"/>
  <c r="DJ259" i="15"/>
  <c r="EJ259" i="15" s="1"/>
  <c r="EL259" i="15" s="1"/>
  <c r="AZ153" i="65"/>
  <c r="DJ153" i="15"/>
  <c r="EJ153" i="15" s="1"/>
  <c r="EL153" i="15" s="1"/>
  <c r="AZ313" i="65"/>
  <c r="DJ313" i="15"/>
  <c r="EJ313" i="15" s="1"/>
  <c r="EL313" i="15" s="1"/>
  <c r="AZ261" i="65"/>
  <c r="DJ261" i="15"/>
  <c r="EJ261" i="15" s="1"/>
  <c r="EL261" i="15" s="1"/>
  <c r="DK175" i="15"/>
  <c r="DR175" i="15"/>
  <c r="BA175" i="65"/>
  <c r="EN175" i="15"/>
  <c r="DJ175" i="15"/>
  <c r="EJ175" i="15" s="1"/>
  <c r="AZ175" i="65"/>
  <c r="AZ269" i="65"/>
  <c r="DJ269" i="15"/>
  <c r="EJ269" i="15" s="1"/>
  <c r="EL269" i="15" s="1"/>
  <c r="AZ213" i="65"/>
  <c r="DJ213" i="15"/>
  <c r="EJ213" i="15" s="1"/>
  <c r="EL213" i="15" s="1"/>
  <c r="DJ193" i="15"/>
  <c r="EJ193" i="15" s="1"/>
  <c r="AZ193" i="65"/>
  <c r="AZ245" i="65"/>
  <c r="DJ245" i="15"/>
  <c r="EJ245" i="15" s="1"/>
  <c r="EL245" i="15" s="1"/>
  <c r="DJ253" i="15"/>
  <c r="EJ253" i="15" s="1"/>
  <c r="AZ253" i="65"/>
  <c r="EN167" i="15"/>
  <c r="DR167" i="15"/>
  <c r="BA167" i="65"/>
  <c r="DK167" i="15"/>
  <c r="BA163" i="65"/>
  <c r="DR163" i="15"/>
  <c r="EN163" i="15"/>
  <c r="DK163" i="15"/>
  <c r="DK243" i="15"/>
  <c r="BA243" i="65"/>
  <c r="DR243" i="15"/>
  <c r="EN243" i="15"/>
  <c r="DK199" i="15"/>
  <c r="BA199" i="65"/>
  <c r="EN199" i="15"/>
  <c r="DR199" i="15"/>
  <c r="AZ199" i="65"/>
  <c r="DJ199" i="15"/>
  <c r="EJ199" i="15" s="1"/>
  <c r="DK221" i="15"/>
  <c r="DR221" i="15"/>
  <c r="EN221" i="15"/>
  <c r="BA221" i="65"/>
  <c r="DR241" i="15"/>
  <c r="EN241" i="15"/>
  <c r="BA241" i="65"/>
  <c r="DK241" i="15"/>
  <c r="EN257" i="15"/>
  <c r="DK257" i="15"/>
  <c r="DR257" i="15"/>
  <c r="BA257" i="65"/>
  <c r="DJ257" i="15"/>
  <c r="EJ257" i="15" s="1"/>
  <c r="AZ257" i="65"/>
  <c r="DK207" i="15"/>
  <c r="DR207" i="15"/>
  <c r="EN207" i="15"/>
  <c r="BA207" i="65"/>
  <c r="DJ207" i="15"/>
  <c r="EJ207" i="15" s="1"/>
  <c r="AZ207" i="65"/>
  <c r="DJ83" i="15"/>
  <c r="EJ83" i="15" s="1"/>
  <c r="AZ83" i="65"/>
  <c r="T83" i="5" s="1"/>
  <c r="AX83" i="73" s="1"/>
  <c r="DJ183" i="15"/>
  <c r="EJ183" i="15" s="1"/>
  <c r="AZ183" i="65"/>
  <c r="EN183" i="15"/>
  <c r="DR183" i="15"/>
  <c r="DK183" i="15"/>
  <c r="BA183" i="65"/>
  <c r="CX326" i="15"/>
  <c r="CK267" i="15"/>
  <c r="DF267" i="15" s="1"/>
  <c r="CJ267" i="15"/>
  <c r="DE267" i="15" s="1"/>
  <c r="DH267" i="15" s="1"/>
  <c r="DI267" i="15"/>
  <c r="BB267" i="65" s="1"/>
  <c r="CI267" i="15"/>
  <c r="CV267" i="15"/>
  <c r="AW267" i="65"/>
  <c r="CT267" i="15"/>
  <c r="CR267" i="15"/>
  <c r="CW267" i="15"/>
  <c r="CI305" i="15"/>
  <c r="CT305" i="15"/>
  <c r="CV305" i="15"/>
  <c r="CK305" i="15"/>
  <c r="DF305" i="15" s="1"/>
  <c r="DI305" i="15" s="1"/>
  <c r="BB305" i="65" s="1"/>
  <c r="CJ305" i="15"/>
  <c r="DE305" i="15" s="1"/>
  <c r="DH305" i="15" s="1"/>
  <c r="CR305" i="15"/>
  <c r="AW305" i="65"/>
  <c r="CW305" i="15"/>
  <c r="EX203" i="15"/>
  <c r="EY203" i="15"/>
  <c r="EZ203" i="15"/>
  <c r="CI203" i="15"/>
  <c r="CV203" i="15"/>
  <c r="CK203" i="15"/>
  <c r="DF203" i="15" s="1"/>
  <c r="DI203" i="15" s="1"/>
  <c r="BB203" i="65" s="1"/>
  <c r="CJ203" i="15"/>
  <c r="DE203" i="15" s="1"/>
  <c r="DH203" i="15" s="1"/>
  <c r="CW203" i="15"/>
  <c r="CT203" i="15"/>
  <c r="CR203" i="15"/>
  <c r="AW203" i="65"/>
  <c r="CI217" i="15"/>
  <c r="AW217" i="65"/>
  <c r="CR217" i="15"/>
  <c r="CK217" i="15"/>
  <c r="DF217" i="15" s="1"/>
  <c r="DI217" i="15" s="1"/>
  <c r="BB217" i="65" s="1"/>
  <c r="CJ217" i="15"/>
  <c r="DE217" i="15" s="1"/>
  <c r="DH217" i="15" s="1"/>
  <c r="CT217" i="15"/>
  <c r="CV217" i="15"/>
  <c r="CW217" i="15"/>
  <c r="CI271" i="15"/>
  <c r="CV271" i="15"/>
  <c r="AW271" i="65"/>
  <c r="CK271" i="15"/>
  <c r="DF271" i="15" s="1"/>
  <c r="DI271" i="15" s="1"/>
  <c r="BB271" i="65" s="1"/>
  <c r="CJ271" i="15"/>
  <c r="DE271" i="15" s="1"/>
  <c r="DH271" i="15" s="1"/>
  <c r="CT271" i="15"/>
  <c r="CR271" i="15"/>
  <c r="CW271" i="15"/>
  <c r="CK103" i="15"/>
  <c r="DF103" i="15" s="1"/>
  <c r="DI103" i="15" s="1"/>
  <c r="BB103" i="65" s="1"/>
  <c r="CJ103" i="15"/>
  <c r="DE103" i="15" s="1"/>
  <c r="DH103" i="15" s="1"/>
  <c r="CR103" i="15"/>
  <c r="CS103" i="15"/>
  <c r="CT103" i="15"/>
  <c r="CI103" i="15"/>
  <c r="AW103" i="65"/>
  <c r="CV103" i="15"/>
  <c r="CW103" i="15"/>
  <c r="EY317" i="15"/>
  <c r="EZ317" i="15"/>
  <c r="EX317" i="15"/>
  <c r="CI317" i="15"/>
  <c r="CR317" i="15"/>
  <c r="AW317" i="65"/>
  <c r="CK317" i="15"/>
  <c r="DF317" i="15" s="1"/>
  <c r="DI317" i="15" s="1"/>
  <c r="BB317" i="65" s="1"/>
  <c r="CJ317" i="15"/>
  <c r="DE317" i="15" s="1"/>
  <c r="DH317" i="15" s="1"/>
  <c r="CT317" i="15"/>
  <c r="CW317" i="15"/>
  <c r="CV317" i="15"/>
  <c r="CI347" i="15"/>
  <c r="CR347" i="15"/>
  <c r="CT347" i="15"/>
  <c r="CV347" i="15"/>
  <c r="AW347" i="65"/>
  <c r="CK347" i="15"/>
  <c r="DF347" i="15" s="1"/>
  <c r="DI347" i="15" s="1"/>
  <c r="BB347" i="65" s="1"/>
  <c r="CJ347" i="15"/>
  <c r="DE347" i="15" s="1"/>
  <c r="DH347" i="15" s="1"/>
  <c r="CW347" i="15"/>
  <c r="CI223" i="15"/>
  <c r="CU223" i="15" s="1"/>
  <c r="AW223" i="65"/>
  <c r="CT223" i="15"/>
  <c r="CK223" i="15"/>
  <c r="DF223" i="15" s="1"/>
  <c r="DI223" i="15" s="1"/>
  <c r="BB223" i="65" s="1"/>
  <c r="CJ223" i="15"/>
  <c r="DE223" i="15" s="1"/>
  <c r="DH223" i="15" s="1"/>
  <c r="CR223" i="15"/>
  <c r="CV223" i="15"/>
  <c r="CW223" i="15"/>
  <c r="CI333" i="15"/>
  <c r="CU333" i="15" s="1"/>
  <c r="CR333" i="15"/>
  <c r="AW333" i="65"/>
  <c r="CW333" i="15"/>
  <c r="CK333" i="15"/>
  <c r="DF333" i="15" s="1"/>
  <c r="DI333" i="15" s="1"/>
  <c r="BB333" i="65" s="1"/>
  <c r="CJ333" i="15"/>
  <c r="DE333" i="15" s="1"/>
  <c r="DH333" i="15" s="1"/>
  <c r="CV333" i="15"/>
  <c r="CT333" i="15"/>
  <c r="EX235" i="15"/>
  <c r="EY235" i="15"/>
  <c r="EZ235" i="15"/>
  <c r="EX339" i="15"/>
  <c r="EY339" i="15"/>
  <c r="EZ339" i="15"/>
  <c r="EX319" i="15"/>
  <c r="EY319" i="15"/>
  <c r="EZ319" i="15"/>
  <c r="CK319" i="15"/>
  <c r="DF319" i="15" s="1"/>
  <c r="DI319" i="15" s="1"/>
  <c r="BB319" i="65" s="1"/>
  <c r="CJ319" i="15"/>
  <c r="DE319" i="15" s="1"/>
  <c r="DH319" i="15" s="1"/>
  <c r="CV319" i="15"/>
  <c r="CT319" i="15"/>
  <c r="CI319" i="15"/>
  <c r="CW319" i="15"/>
  <c r="AW319" i="65"/>
  <c r="CR319" i="15"/>
  <c r="CK117" i="15"/>
  <c r="CT117" i="15"/>
  <c r="EX304" i="15"/>
  <c r="EY304" i="15"/>
  <c r="EZ304" i="15"/>
  <c r="CK304" i="15"/>
  <c r="DF304" i="15" s="1"/>
  <c r="DI304" i="15" s="1"/>
  <c r="BB304" i="65" s="1"/>
  <c r="AW304" i="65"/>
  <c r="CW304" i="15"/>
  <c r="CT304" i="15"/>
  <c r="CJ304" i="15"/>
  <c r="DE304" i="15" s="1"/>
  <c r="DH304" i="15" s="1"/>
  <c r="CI304" i="15"/>
  <c r="CV304" i="15"/>
  <c r="CR304" i="15"/>
  <c r="EX327" i="15"/>
  <c r="EY327" i="15"/>
  <c r="EZ327" i="15"/>
  <c r="EY315" i="15"/>
  <c r="EZ315" i="15"/>
  <c r="EX315" i="15"/>
  <c r="CK315" i="15"/>
  <c r="DF315" i="15" s="1"/>
  <c r="DI315" i="15" s="1"/>
  <c r="BB315" i="65" s="1"/>
  <c r="CJ315" i="15"/>
  <c r="DE315" i="15" s="1"/>
  <c r="DH315" i="15" s="1"/>
  <c r="CW315" i="15"/>
  <c r="AW315" i="65"/>
  <c r="CT315" i="15"/>
  <c r="CI315" i="15"/>
  <c r="CV315" i="15"/>
  <c r="CR315" i="15"/>
  <c r="CK281" i="15"/>
  <c r="DF281" i="15" s="1"/>
  <c r="DI281" i="15" s="1"/>
  <c r="BB281" i="65" s="1"/>
  <c r="CJ281" i="15"/>
  <c r="DE281" i="15" s="1"/>
  <c r="DH281" i="15" s="1"/>
  <c r="CV281" i="15"/>
  <c r="CR281" i="15"/>
  <c r="CI281" i="15"/>
  <c r="AW281" i="65"/>
  <c r="CU281" i="15"/>
  <c r="CW281" i="15"/>
  <c r="CT281" i="15"/>
  <c r="CI141" i="15"/>
  <c r="CK141" i="15"/>
  <c r="DF141" i="15" s="1"/>
  <c r="DI141" i="15" s="1"/>
  <c r="BB141" i="65" s="1"/>
  <c r="CJ141" i="15"/>
  <c r="DE141" i="15" s="1"/>
  <c r="DH141" i="15" s="1"/>
  <c r="CW141" i="15"/>
  <c r="CS141" i="15"/>
  <c r="CV141" i="15"/>
  <c r="CR141" i="15"/>
  <c r="CT141" i="15"/>
  <c r="AW141" i="65"/>
  <c r="EX325" i="15"/>
  <c r="EY325" i="15"/>
  <c r="EZ325" i="15"/>
  <c r="CJ276" i="15"/>
  <c r="DE276" i="15" s="1"/>
  <c r="DH276" i="15" s="1"/>
  <c r="CI276" i="15"/>
  <c r="CT276" i="15"/>
  <c r="CW276" i="15"/>
  <c r="CK276" i="15"/>
  <c r="DF276" i="15" s="1"/>
  <c r="DI276" i="15" s="1"/>
  <c r="BB276" i="65" s="1"/>
  <c r="CR276" i="15"/>
  <c r="CV276" i="15"/>
  <c r="AW276" i="65"/>
  <c r="EZ276" i="15"/>
  <c r="EX276" i="15"/>
  <c r="EY276" i="15"/>
  <c r="EY85" i="15"/>
  <c r="EZ85" i="15"/>
  <c r="EX85" i="15"/>
  <c r="EY255" i="15"/>
  <c r="EZ255" i="15"/>
  <c r="EX255" i="15"/>
  <c r="EY275" i="15"/>
  <c r="EZ275" i="15"/>
  <c r="EX275" i="15"/>
  <c r="CK227" i="15"/>
  <c r="DF227" i="15" s="1"/>
  <c r="DI227" i="15" s="1"/>
  <c r="BB227" i="65" s="1"/>
  <c r="CJ227" i="15"/>
  <c r="DE227" i="15" s="1"/>
  <c r="DH227" i="15" s="1"/>
  <c r="CV227" i="15"/>
  <c r="CT227" i="15"/>
  <c r="CR227" i="15"/>
  <c r="CI227" i="15"/>
  <c r="CW227" i="15"/>
  <c r="AW227" i="65"/>
  <c r="EY289" i="15"/>
  <c r="EZ289" i="15"/>
  <c r="EX289" i="15"/>
  <c r="BA83" i="83"/>
  <c r="BA83" i="86"/>
  <c r="BA83" i="87"/>
  <c r="BA83" i="88"/>
  <c r="BA83" i="82"/>
  <c r="BA83" i="85"/>
  <c r="BA83" i="90"/>
  <c r="BA83" i="91"/>
  <c r="BA83" i="84"/>
  <c r="BA83" i="89"/>
  <c r="EK149" i="15"/>
  <c r="EL149" i="15"/>
  <c r="EM149" i="15"/>
  <c r="EK201" i="15"/>
  <c r="EL201" i="15"/>
  <c r="EM201" i="15"/>
  <c r="EO137" i="15"/>
  <c r="EP137" i="15"/>
  <c r="EQ137" i="15"/>
  <c r="EM172" i="15"/>
  <c r="EK172" i="15"/>
  <c r="EL172" i="15"/>
  <c r="CX206" i="15"/>
  <c r="CX252" i="15"/>
  <c r="CX174" i="15"/>
  <c r="CX182" i="15"/>
  <c r="CX224" i="15"/>
  <c r="CX262" i="15"/>
  <c r="CX130" i="15"/>
  <c r="CX336" i="15"/>
  <c r="CX332" i="15"/>
  <c r="CX314" i="15"/>
  <c r="CX248" i="15"/>
  <c r="CX236" i="15"/>
  <c r="CX306" i="15"/>
  <c r="CX318" i="15"/>
  <c r="CX168" i="15"/>
  <c r="CX240" i="15"/>
  <c r="CX244" i="15"/>
  <c r="CX160" i="15"/>
  <c r="CX146" i="15"/>
  <c r="CX330" i="15"/>
  <c r="CX212" i="15"/>
  <c r="CX81" i="15"/>
  <c r="CX263" i="15"/>
  <c r="CX153" i="15"/>
  <c r="CU135" i="15"/>
  <c r="CX135" i="15" s="1"/>
  <c r="CX213" i="15"/>
  <c r="CU193" i="15"/>
  <c r="CX193" i="15" s="1"/>
  <c r="CU251" i="15"/>
  <c r="CX251" i="15" s="1"/>
  <c r="CU245" i="15"/>
  <c r="CX245" i="15" s="1"/>
  <c r="CS253" i="15"/>
  <c r="CS167" i="15"/>
  <c r="CU163" i="15"/>
  <c r="CX163" i="15" s="1"/>
  <c r="CS163" i="15"/>
  <c r="CU243" i="15"/>
  <c r="CX243" i="15" s="1"/>
  <c r="CU199" i="15"/>
  <c r="CX199" i="15" s="1"/>
  <c r="CS199" i="15"/>
  <c r="CX225" i="15"/>
  <c r="CX241" i="15"/>
  <c r="CU257" i="15"/>
  <c r="CX257" i="15" s="1"/>
  <c r="CS257" i="15"/>
  <c r="CU183" i="15"/>
  <c r="CX183" i="15" s="1"/>
  <c r="AV61" i="65"/>
  <c r="P61" i="5" s="1"/>
  <c r="AW61" i="73" s="1"/>
  <c r="CF61" i="15"/>
  <c r="CI113" i="15"/>
  <c r="CK113" i="15"/>
  <c r="CR113" i="15"/>
  <c r="CT113" i="15"/>
  <c r="EY267" i="15"/>
  <c r="EZ267" i="15"/>
  <c r="EX267" i="15"/>
  <c r="EX305" i="15"/>
  <c r="EY305" i="15"/>
  <c r="EZ305" i="15"/>
  <c r="CI209" i="15"/>
  <c r="CV209" i="15"/>
  <c r="CR209" i="15"/>
  <c r="CK209" i="15"/>
  <c r="DF209" i="15" s="1"/>
  <c r="DI209" i="15" s="1"/>
  <c r="BB209" i="65" s="1"/>
  <c r="CJ209" i="15"/>
  <c r="DE209" i="15" s="1"/>
  <c r="DH209" i="15" s="1"/>
  <c r="CW209" i="15"/>
  <c r="AW209" i="65"/>
  <c r="CT209" i="15"/>
  <c r="EX209" i="15"/>
  <c r="EY209" i="15"/>
  <c r="EZ209" i="15"/>
  <c r="EX217" i="15"/>
  <c r="EY217" i="15"/>
  <c r="EZ217" i="15"/>
  <c r="EX271" i="15"/>
  <c r="EY271" i="15"/>
  <c r="EZ271" i="15"/>
  <c r="EX103" i="15"/>
  <c r="EY103" i="15"/>
  <c r="EZ103" i="15"/>
  <c r="EY347" i="15"/>
  <c r="EZ347" i="15"/>
  <c r="EX347" i="15"/>
  <c r="EY223" i="15"/>
  <c r="EZ223" i="15"/>
  <c r="EX223" i="15"/>
  <c r="EY333" i="15"/>
  <c r="EZ333" i="15"/>
  <c r="EX333" i="15"/>
  <c r="CK235" i="15"/>
  <c r="DF235" i="15" s="1"/>
  <c r="DI235" i="15" s="1"/>
  <c r="BB235" i="65" s="1"/>
  <c r="CJ235" i="15"/>
  <c r="DE235" i="15" s="1"/>
  <c r="DH235" i="15" s="1"/>
  <c r="CW235" i="15"/>
  <c r="CR235" i="15"/>
  <c r="CV235" i="15"/>
  <c r="AW235" i="65"/>
  <c r="CI235" i="15"/>
  <c r="CT235" i="15"/>
  <c r="CK231" i="15"/>
  <c r="DF231" i="15" s="1"/>
  <c r="DI231" i="15" s="1"/>
  <c r="BB231" i="65" s="1"/>
  <c r="CJ231" i="15"/>
  <c r="DE231" i="15" s="1"/>
  <c r="DH231" i="15" s="1"/>
  <c r="AW231" i="65"/>
  <c r="CW231" i="15"/>
  <c r="CT231" i="15"/>
  <c r="CR231" i="15"/>
  <c r="CI231" i="15"/>
  <c r="CU231" i="15"/>
  <c r="CV231" i="15"/>
  <c r="EX231" i="15"/>
  <c r="EY231" i="15"/>
  <c r="EZ231" i="15"/>
  <c r="EY273" i="15"/>
  <c r="EZ273" i="15"/>
  <c r="EX273" i="15"/>
  <c r="CI273" i="15"/>
  <c r="AW273" i="65"/>
  <c r="CR273" i="15"/>
  <c r="CK273" i="15"/>
  <c r="DF273" i="15" s="1"/>
  <c r="DI273" i="15" s="1"/>
  <c r="BB273" i="65" s="1"/>
  <c r="CJ273" i="15"/>
  <c r="DE273" i="15" s="1"/>
  <c r="DH273" i="15" s="1"/>
  <c r="CV273" i="15"/>
  <c r="CT273" i="15"/>
  <c r="CW273" i="15"/>
  <c r="CK339" i="15"/>
  <c r="DF339" i="15" s="1"/>
  <c r="DI339" i="15" s="1"/>
  <c r="BB339" i="65" s="1"/>
  <c r="CJ339" i="15"/>
  <c r="DE339" i="15" s="1"/>
  <c r="DH339" i="15" s="1"/>
  <c r="CT339" i="15"/>
  <c r="CW339" i="15"/>
  <c r="CI339" i="15"/>
  <c r="CV339" i="15"/>
  <c r="CR339" i="15"/>
  <c r="AW339" i="65"/>
  <c r="EY331" i="15"/>
  <c r="EZ331" i="15"/>
  <c r="EX331" i="15"/>
  <c r="CK331" i="15"/>
  <c r="DF331" i="15" s="1"/>
  <c r="DI331" i="15" s="1"/>
  <c r="BB331" i="65" s="1"/>
  <c r="CJ331" i="15"/>
  <c r="DE331" i="15" s="1"/>
  <c r="DH331" i="15" s="1"/>
  <c r="CT331" i="15"/>
  <c r="CW331" i="15"/>
  <c r="AW331" i="65"/>
  <c r="CI331" i="15"/>
  <c r="CV331" i="15"/>
  <c r="CR331" i="15"/>
  <c r="AZ265" i="65"/>
  <c r="DJ265" i="15"/>
  <c r="EJ265" i="15" s="1"/>
  <c r="EY345" i="15"/>
  <c r="EZ345" i="15"/>
  <c r="EX345" i="15"/>
  <c r="CK327" i="15"/>
  <c r="DF327" i="15" s="1"/>
  <c r="DI327" i="15" s="1"/>
  <c r="BB327" i="65" s="1"/>
  <c r="CJ327" i="15"/>
  <c r="DE327" i="15" s="1"/>
  <c r="DH327" i="15" s="1"/>
  <c r="CV327" i="15"/>
  <c r="CW327" i="15"/>
  <c r="CR327" i="15"/>
  <c r="AW327" i="65"/>
  <c r="CI327" i="15"/>
  <c r="CT327" i="15"/>
  <c r="EY281" i="15"/>
  <c r="EZ281" i="15"/>
  <c r="EX281" i="15"/>
  <c r="EX141" i="15"/>
  <c r="EY141" i="15"/>
  <c r="EZ141" i="15"/>
  <c r="CK325" i="15"/>
  <c r="DF325" i="15" s="1"/>
  <c r="DI325" i="15" s="1"/>
  <c r="BB325" i="65" s="1"/>
  <c r="CJ325" i="15"/>
  <c r="DE325" i="15" s="1"/>
  <c r="DH325" i="15" s="1"/>
  <c r="AW325" i="65"/>
  <c r="CR325" i="15"/>
  <c r="CI325" i="15"/>
  <c r="CV325" i="15"/>
  <c r="CT325" i="15"/>
  <c r="CW325" i="15"/>
  <c r="DJ221" i="15"/>
  <c r="EJ221" i="15" s="1"/>
  <c r="AZ221" i="65"/>
  <c r="DJ225" i="15"/>
  <c r="EJ225" i="15" s="1"/>
  <c r="AZ225" i="65"/>
  <c r="CK341" i="15"/>
  <c r="DF341" i="15" s="1"/>
  <c r="DI341" i="15" s="1"/>
  <c r="BB341" i="65" s="1"/>
  <c r="CJ341" i="15"/>
  <c r="DE341" i="15" s="1"/>
  <c r="DH341" i="15" s="1"/>
  <c r="CT341" i="15"/>
  <c r="CR341" i="15"/>
  <c r="AW341" i="65"/>
  <c r="CI341" i="15"/>
  <c r="CV341" i="15"/>
  <c r="CW341" i="15"/>
  <c r="EY341" i="15"/>
  <c r="EZ341" i="15"/>
  <c r="EX341" i="15"/>
  <c r="CK185" i="15"/>
  <c r="DF185" i="15" s="1"/>
  <c r="DI185" i="15" s="1"/>
  <c r="BB185" i="65" s="1"/>
  <c r="CJ185" i="15"/>
  <c r="DE185" i="15" s="1"/>
  <c r="DH185" i="15" s="1"/>
  <c r="CI185" i="15"/>
  <c r="CW185" i="15"/>
  <c r="AW185" i="65"/>
  <c r="CT185" i="15"/>
  <c r="CU185" i="15"/>
  <c r="CR185" i="15"/>
  <c r="CV185" i="15"/>
  <c r="EY185" i="15"/>
  <c r="EZ185" i="15"/>
  <c r="EX185" i="15"/>
  <c r="CI85" i="15"/>
  <c r="CK85" i="15"/>
  <c r="CJ85" i="15"/>
  <c r="CS85" i="15" s="1"/>
  <c r="AW85" i="65"/>
  <c r="Q85" i="5" s="1"/>
  <c r="BA85" i="73" s="1"/>
  <c r="CT85" i="15"/>
  <c r="CV85" i="15"/>
  <c r="CU85" i="15"/>
  <c r="CW85" i="15"/>
  <c r="CR85" i="15"/>
  <c r="CI255" i="15"/>
  <c r="CR255" i="15"/>
  <c r="CU255" i="15"/>
  <c r="CV255" i="15"/>
  <c r="CW255" i="15"/>
  <c r="CK255" i="15"/>
  <c r="DF255" i="15" s="1"/>
  <c r="DI255" i="15" s="1"/>
  <c r="BB255" i="65" s="1"/>
  <c r="CJ255" i="15"/>
  <c r="DE255" i="15" s="1"/>
  <c r="DH255" i="15" s="1"/>
  <c r="CT255" i="15"/>
  <c r="AW255" i="65"/>
  <c r="CK275" i="15"/>
  <c r="DF275" i="15" s="1"/>
  <c r="DI275" i="15" s="1"/>
  <c r="BB275" i="65" s="1"/>
  <c r="CJ275" i="15"/>
  <c r="DE275" i="15" s="1"/>
  <c r="DH275" i="15" s="1"/>
  <c r="CV275" i="15"/>
  <c r="CR275" i="15"/>
  <c r="CW275" i="15"/>
  <c r="CI275" i="15"/>
  <c r="AW275" i="65"/>
  <c r="CT275" i="15"/>
  <c r="CU275" i="15"/>
  <c r="EY227" i="15"/>
  <c r="EZ227" i="15"/>
  <c r="EX227" i="15"/>
  <c r="CI289" i="15"/>
  <c r="CT289" i="15"/>
  <c r="CV289" i="15"/>
  <c r="CW289" i="15"/>
  <c r="CK289" i="15"/>
  <c r="DF289" i="15" s="1"/>
  <c r="DI289" i="15" s="1"/>
  <c r="BB289" i="65" s="1"/>
  <c r="CJ289" i="15"/>
  <c r="DE289" i="15" s="1"/>
  <c r="DH289" i="15" s="1"/>
  <c r="CR289" i="15"/>
  <c r="AW289" i="65"/>
  <c r="DJ241" i="15"/>
  <c r="EJ241" i="15" s="1"/>
  <c r="AZ241" i="65"/>
  <c r="EL283" i="15"/>
  <c r="EM283" i="15"/>
  <c r="EK283" i="15"/>
  <c r="EK279" i="15"/>
  <c r="EL279" i="15"/>
  <c r="EM279" i="15"/>
  <c r="EK156" i="15"/>
  <c r="EM156" i="15"/>
  <c r="EL156" i="15"/>
  <c r="EL307" i="15"/>
  <c r="EM307" i="15"/>
  <c r="EK307" i="15"/>
  <c r="EL337" i="15"/>
  <c r="EM337" i="15"/>
  <c r="EK337" i="15"/>
  <c r="BC137" i="65"/>
  <c r="DT137" i="15"/>
  <c r="DU137" i="15"/>
  <c r="DS137" i="15"/>
  <c r="EL287" i="15"/>
  <c r="EM287" i="15"/>
  <c r="EK287" i="15"/>
  <c r="EK171" i="15"/>
  <c r="EL171" i="15"/>
  <c r="EM171" i="15"/>
  <c r="EL161" i="15"/>
  <c r="EM161" i="15"/>
  <c r="EK161" i="15"/>
  <c r="CX192" i="15"/>
  <c r="CX268" i="15"/>
  <c r="CX322" i="15"/>
  <c r="CX180" i="15"/>
  <c r="CX132" i="15"/>
  <c r="CX178" i="15"/>
  <c r="CX228" i="15"/>
  <c r="CX246" i="15"/>
  <c r="CX294" i="15"/>
  <c r="CX208" i="15"/>
  <c r="CX218" i="15"/>
  <c r="CX194" i="15"/>
  <c r="CX214" i="15"/>
  <c r="CX342" i="15"/>
  <c r="CX242" i="15"/>
  <c r="CX270" i="15"/>
  <c r="CX302" i="15"/>
  <c r="CX144" i="15"/>
  <c r="CX344" i="15"/>
  <c r="CX148" i="15"/>
  <c r="CX232" i="15"/>
  <c r="CX210" i="15"/>
  <c r="CX256" i="15"/>
  <c r="CX264" i="15"/>
  <c r="CX176" i="15"/>
  <c r="CX338" i="15"/>
  <c r="CX196" i="15"/>
  <c r="CX324" i="15"/>
  <c r="CX202" i="15"/>
  <c r="CX220" i="15"/>
  <c r="CX334" i="15"/>
  <c r="CX346" i="15"/>
  <c r="CX238" i="15"/>
  <c r="CX124" i="15"/>
  <c r="CZ124" i="15" s="1"/>
  <c r="DB124" i="15" s="1"/>
  <c r="CX169" i="15"/>
  <c r="CX191" i="15"/>
  <c r="CX143" i="15"/>
  <c r="CX100" i="15"/>
  <c r="CZ100" i="15" s="1"/>
  <c r="DB100" i="15" s="1"/>
  <c r="CX259" i="15"/>
  <c r="CX211" i="15"/>
  <c r="CX313" i="15"/>
  <c r="CS229" i="15"/>
  <c r="CU219" i="15"/>
  <c r="CX219" i="15" s="1"/>
  <c r="CS237" i="15"/>
  <c r="CX253" i="15"/>
  <c r="CS221" i="15"/>
  <c r="CX175" i="15"/>
  <c r="CX83" i="15"/>
  <c r="DS155" i="15"/>
  <c r="DT155" i="15"/>
  <c r="DU155" i="15"/>
  <c r="BC155" i="65"/>
  <c r="DU154" i="15"/>
  <c r="DS154" i="15"/>
  <c r="DT154" i="15"/>
  <c r="BC154" i="65"/>
  <c r="DU156" i="15"/>
  <c r="DS156" i="15"/>
  <c r="DT156" i="15"/>
  <c r="BC156" i="65"/>
  <c r="EO136" i="15"/>
  <c r="EP136" i="15"/>
  <c r="EQ136" i="15"/>
  <c r="DU136" i="15"/>
  <c r="DS136" i="15"/>
  <c r="DT136" i="15"/>
  <c r="BC136" i="65"/>
  <c r="DT147" i="15"/>
  <c r="DU147" i="15"/>
  <c r="DS147" i="15"/>
  <c r="BC147" i="65"/>
  <c r="DS140" i="15"/>
  <c r="DT140" i="15"/>
  <c r="DU140" i="15"/>
  <c r="BC140" i="65"/>
  <c r="DS133" i="15"/>
  <c r="DT133" i="15"/>
  <c r="DU133" i="15"/>
  <c r="BC133" i="65"/>
  <c r="EO166" i="15"/>
  <c r="EP166" i="15"/>
  <c r="EQ166" i="15"/>
  <c r="DS166" i="15"/>
  <c r="DT166" i="15"/>
  <c r="DU166" i="15"/>
  <c r="BC166" i="65"/>
  <c r="DS149" i="15"/>
  <c r="DT149" i="15"/>
  <c r="DU149" i="15"/>
  <c r="BC149" i="65"/>
  <c r="DS151" i="15"/>
  <c r="DT151" i="15"/>
  <c r="DU151" i="15"/>
  <c r="BC151" i="65"/>
  <c r="EO138" i="15"/>
  <c r="EP138" i="15"/>
  <c r="EQ138" i="15"/>
  <c r="DU138" i="15"/>
  <c r="DS138" i="15"/>
  <c r="DT138" i="15"/>
  <c r="BC138" i="65"/>
  <c r="DS131" i="15"/>
  <c r="DT131" i="15"/>
  <c r="DU131" i="15"/>
  <c r="BC131" i="65"/>
  <c r="DU288" i="15"/>
  <c r="DS288" i="15"/>
  <c r="DT288" i="15"/>
  <c r="BC288" i="65"/>
  <c r="DS320" i="15"/>
  <c r="DT320" i="15"/>
  <c r="DU320" i="15"/>
  <c r="BC320" i="65"/>
  <c r="DS283" i="15"/>
  <c r="DT283" i="15"/>
  <c r="DU283" i="15"/>
  <c r="BC283" i="65"/>
  <c r="DT303" i="15"/>
  <c r="DU303" i="15"/>
  <c r="DS303" i="15"/>
  <c r="BC303" i="65"/>
  <c r="DS309" i="15"/>
  <c r="DT309" i="15"/>
  <c r="DU309" i="15"/>
  <c r="BC309" i="65"/>
  <c r="DS301" i="15"/>
  <c r="DT301" i="15"/>
  <c r="DU301" i="15"/>
  <c r="BC301" i="65"/>
  <c r="DS284" i="15"/>
  <c r="DT284" i="15"/>
  <c r="DU284" i="15"/>
  <c r="BC284" i="65"/>
  <c r="DU292" i="15"/>
  <c r="DS292" i="15"/>
  <c r="DT292" i="15"/>
  <c r="BC292" i="65"/>
  <c r="EP337" i="15"/>
  <c r="EO337" i="15"/>
  <c r="EQ337" i="15"/>
  <c r="DT337" i="15"/>
  <c r="DU337" i="15"/>
  <c r="DS337" i="15"/>
  <c r="AH337" i="65" s="1"/>
  <c r="BC337" i="65"/>
  <c r="DS247" i="15"/>
  <c r="DU247" i="15"/>
  <c r="DT247" i="15"/>
  <c r="BC247" i="65"/>
  <c r="DT307" i="15"/>
  <c r="DU307" i="15"/>
  <c r="DS307" i="15"/>
  <c r="AH307" i="65" s="1"/>
  <c r="BC307" i="65"/>
  <c r="EP189" i="15"/>
  <c r="EQ189" i="15"/>
  <c r="EO189" i="15"/>
  <c r="DS189" i="15"/>
  <c r="DT189" i="15"/>
  <c r="DU189" i="15"/>
  <c r="BC189" i="65"/>
  <c r="EO179" i="15"/>
  <c r="EP179" i="15"/>
  <c r="EQ179" i="15"/>
  <c r="DS179" i="15"/>
  <c r="DT179" i="15"/>
  <c r="DU179" i="15"/>
  <c r="BC179" i="65"/>
  <c r="DT177" i="15"/>
  <c r="DU177" i="15"/>
  <c r="DS177" i="15"/>
  <c r="BC177" i="65"/>
  <c r="EP165" i="15"/>
  <c r="EQ165" i="15"/>
  <c r="EO165" i="15"/>
  <c r="DT165" i="15"/>
  <c r="DU165" i="15"/>
  <c r="DS165" i="15"/>
  <c r="BC165" i="65"/>
  <c r="DT145" i="15"/>
  <c r="DU145" i="15"/>
  <c r="DS145" i="15"/>
  <c r="BC145" i="65"/>
  <c r="DS170" i="15"/>
  <c r="DT170" i="15"/>
  <c r="DU170" i="15"/>
  <c r="BC170" i="65"/>
  <c r="EP161" i="15"/>
  <c r="EQ161" i="15"/>
  <c r="EO161" i="15"/>
  <c r="DT161" i="15"/>
  <c r="DU161" i="15"/>
  <c r="DS161" i="15"/>
  <c r="BC161" i="65"/>
  <c r="DT171" i="15"/>
  <c r="DU171" i="15"/>
  <c r="DS171" i="15"/>
  <c r="BC171" i="65"/>
  <c r="EO152" i="15"/>
  <c r="EP152" i="15"/>
  <c r="EQ152" i="15"/>
  <c r="DS152" i="15"/>
  <c r="DT152" i="15"/>
  <c r="DU152" i="15"/>
  <c r="BC152" i="65"/>
  <c r="DU172" i="15"/>
  <c r="DS172" i="15"/>
  <c r="DT172" i="15"/>
  <c r="BC172" i="65"/>
  <c r="DS173" i="15"/>
  <c r="DT173" i="15"/>
  <c r="DU173" i="15"/>
  <c r="BC173" i="65"/>
  <c r="DT277" i="15"/>
  <c r="DU277" i="15"/>
  <c r="DS277" i="15"/>
  <c r="BC277" i="65"/>
  <c r="DT295" i="15"/>
  <c r="DU295" i="15"/>
  <c r="DS295" i="15"/>
  <c r="BC295" i="65"/>
  <c r="DT311" i="15"/>
  <c r="DU311" i="15"/>
  <c r="DS311" i="15"/>
  <c r="BC311" i="65"/>
  <c r="EP279" i="15"/>
  <c r="EQ279" i="15"/>
  <c r="EO279" i="15"/>
  <c r="DS279" i="15"/>
  <c r="DT279" i="15"/>
  <c r="DU279" i="15"/>
  <c r="BC279" i="65"/>
  <c r="DT287" i="15"/>
  <c r="DU287" i="15"/>
  <c r="DS287" i="15"/>
  <c r="BC287" i="65"/>
  <c r="DT297" i="15"/>
  <c r="DU297" i="15"/>
  <c r="DS297" i="15"/>
  <c r="BC297" i="65"/>
  <c r="DS291" i="15"/>
  <c r="DT291" i="15"/>
  <c r="DU291" i="15"/>
  <c r="BC291" i="65"/>
  <c r="EP335" i="15"/>
  <c r="EQ335" i="15"/>
  <c r="EO335" i="15"/>
  <c r="DS323" i="15"/>
  <c r="DT323" i="15"/>
  <c r="DU323" i="15"/>
  <c r="BC323" i="65"/>
  <c r="EO195" i="15"/>
  <c r="EP195" i="15"/>
  <c r="EQ195" i="15"/>
  <c r="DS195" i="15"/>
  <c r="DT195" i="15"/>
  <c r="DU195" i="15"/>
  <c r="BC195" i="65"/>
  <c r="EP205" i="15"/>
  <c r="EQ205" i="15"/>
  <c r="EO205" i="15"/>
  <c r="DS205" i="15"/>
  <c r="DT205" i="15"/>
  <c r="DU205" i="15"/>
  <c r="BC205" i="65"/>
  <c r="DS197" i="15"/>
  <c r="DT197" i="15"/>
  <c r="DU197" i="15"/>
  <c r="BC197" i="65"/>
  <c r="EC181" i="15"/>
  <c r="EG181" i="15" s="1"/>
  <c r="DL181" i="15" s="1"/>
  <c r="W181" i="5" s="1"/>
  <c r="DY181" i="15"/>
  <c r="DZ181" i="15"/>
  <c r="EB181" i="15" s="1"/>
  <c r="ED181" i="15"/>
  <c r="EA139" i="15"/>
  <c r="EE139" i="15"/>
  <c r="EH139" i="15" s="1"/>
  <c r="EE201" i="15"/>
  <c r="EH201" i="15" s="1"/>
  <c r="EA201" i="15"/>
  <c r="DY201" i="15"/>
  <c r="EC201" i="15"/>
  <c r="EG201" i="15" s="1"/>
  <c r="DL201" i="15" s="1"/>
  <c r="EK292" i="15"/>
  <c r="EL292" i="15"/>
  <c r="EM292" i="15"/>
  <c r="EL233" i="15"/>
  <c r="EM233" i="15"/>
  <c r="EK233" i="15"/>
  <c r="EL189" i="15"/>
  <c r="EM189" i="15"/>
  <c r="EK189" i="15"/>
  <c r="EL165" i="15"/>
  <c r="EM165" i="15"/>
  <c r="EK165" i="15"/>
  <c r="EL195" i="15"/>
  <c r="EM195" i="15"/>
  <c r="EK195" i="15"/>
  <c r="EK197" i="15"/>
  <c r="EL197" i="15"/>
  <c r="EM197" i="15"/>
  <c r="EP155" i="15"/>
  <c r="EQ155" i="15"/>
  <c r="EO155" i="15"/>
  <c r="EO154" i="15"/>
  <c r="EP154" i="15"/>
  <c r="EQ154" i="15"/>
  <c r="EO156" i="15"/>
  <c r="EP156" i="15"/>
  <c r="EQ156" i="15"/>
  <c r="EP147" i="15"/>
  <c r="EQ147" i="15"/>
  <c r="EO147" i="15"/>
  <c r="EQ140" i="15"/>
  <c r="EO140" i="15"/>
  <c r="EP140" i="15"/>
  <c r="EO133" i="15"/>
  <c r="EP133" i="15"/>
  <c r="EQ133" i="15"/>
  <c r="EO149" i="15"/>
  <c r="EP149" i="15"/>
  <c r="EQ149" i="15"/>
  <c r="EO151" i="15"/>
  <c r="EP151" i="15"/>
  <c r="EQ151" i="15"/>
  <c r="EP131" i="15"/>
  <c r="EQ131" i="15"/>
  <c r="EO131" i="15"/>
  <c r="EQ288" i="15"/>
  <c r="EO288" i="15"/>
  <c r="EP288" i="15"/>
  <c r="EQ320" i="15"/>
  <c r="EO320" i="15"/>
  <c r="EP320" i="15"/>
  <c r="EP283" i="15"/>
  <c r="EQ283" i="15"/>
  <c r="EO283" i="15"/>
  <c r="EO303" i="15"/>
  <c r="EP303" i="15"/>
  <c r="EQ303" i="15"/>
  <c r="EP309" i="15"/>
  <c r="EQ309" i="15"/>
  <c r="EO309" i="15"/>
  <c r="EO301" i="15"/>
  <c r="EP301" i="15"/>
  <c r="EQ301" i="15"/>
  <c r="EQ284" i="15"/>
  <c r="EO284" i="15"/>
  <c r="EP284" i="15"/>
  <c r="EO292" i="15"/>
  <c r="EP292" i="15"/>
  <c r="EQ292" i="15"/>
  <c r="EO247" i="15"/>
  <c r="EP247" i="15"/>
  <c r="EQ247" i="15"/>
  <c r="EP343" i="15"/>
  <c r="EQ343" i="15"/>
  <c r="EO343" i="15"/>
  <c r="BC343" i="65"/>
  <c r="DS343" i="15"/>
  <c r="DT343" i="15"/>
  <c r="DU343" i="15"/>
  <c r="EP307" i="15"/>
  <c r="EQ307" i="15"/>
  <c r="EO307" i="15"/>
  <c r="EO233" i="15"/>
  <c r="EP233" i="15"/>
  <c r="EQ233" i="15"/>
  <c r="BC233" i="65"/>
  <c r="DT233" i="15"/>
  <c r="DU233" i="15"/>
  <c r="DS233" i="15"/>
  <c r="EP177" i="15"/>
  <c r="EQ177" i="15"/>
  <c r="EO177" i="15"/>
  <c r="EP145" i="15"/>
  <c r="EQ145" i="15"/>
  <c r="EO145" i="15"/>
  <c r="EQ170" i="15"/>
  <c r="EO170" i="15"/>
  <c r="EP170" i="15"/>
  <c r="EO171" i="15"/>
  <c r="EP171" i="15"/>
  <c r="EQ171" i="15"/>
  <c r="EQ172" i="15"/>
  <c r="EO172" i="15"/>
  <c r="EP172" i="15"/>
  <c r="EP173" i="15"/>
  <c r="EQ173" i="15"/>
  <c r="EO173" i="15"/>
  <c r="EP277" i="15"/>
  <c r="EQ277" i="15"/>
  <c r="EO277" i="15"/>
  <c r="EP295" i="15"/>
  <c r="EQ295" i="15"/>
  <c r="EO295" i="15"/>
  <c r="EO311" i="15"/>
  <c r="EQ311" i="15"/>
  <c r="EP311" i="15"/>
  <c r="EO287" i="15"/>
  <c r="EP287" i="15"/>
  <c r="EQ287" i="15"/>
  <c r="EO297" i="15"/>
  <c r="EP297" i="15"/>
  <c r="EQ297" i="15"/>
  <c r="EO291" i="15"/>
  <c r="EP291" i="15"/>
  <c r="EQ291" i="15"/>
  <c r="BC335" i="65"/>
  <c r="DS335" i="15"/>
  <c r="DT335" i="15"/>
  <c r="DU335" i="15"/>
  <c r="EO323" i="15"/>
  <c r="EP323" i="15"/>
  <c r="EQ323" i="15"/>
  <c r="EO197" i="15"/>
  <c r="EP197" i="15"/>
  <c r="EQ197" i="15"/>
  <c r="EE181" i="15"/>
  <c r="EH181" i="15" s="1"/>
  <c r="EA181" i="15"/>
  <c r="DY139" i="15"/>
  <c r="EC139" i="15"/>
  <c r="EG139" i="15" s="1"/>
  <c r="DL139" i="15" s="1"/>
  <c r="DZ139" i="15"/>
  <c r="EB139" i="15" s="1"/>
  <c r="ED139" i="15"/>
  <c r="DZ201" i="15"/>
  <c r="EB201" i="15" s="1"/>
  <c r="ED201" i="15"/>
  <c r="EN245" i="15"/>
  <c r="DR245" i="15"/>
  <c r="BA245" i="65"/>
  <c r="EN135" i="15"/>
  <c r="DR135" i="15"/>
  <c r="BA135" i="65"/>
  <c r="DR253" i="15"/>
  <c r="EN253" i="15"/>
  <c r="BA253" i="65"/>
  <c r="BA213" i="65"/>
  <c r="DR213" i="15"/>
  <c r="EN213" i="15"/>
  <c r="DR193" i="15"/>
  <c r="BA193" i="65"/>
  <c r="EN193" i="15"/>
  <c r="EN251" i="15"/>
  <c r="DR251" i="15"/>
  <c r="BA251" i="65"/>
  <c r="DR219" i="15"/>
  <c r="EN219" i="15"/>
  <c r="BA219" i="65"/>
  <c r="DR261" i="15"/>
  <c r="DK261" i="15"/>
  <c r="EN261" i="15"/>
  <c r="BA261" i="65"/>
  <c r="DR263" i="15"/>
  <c r="EN263" i="15"/>
  <c r="BA263" i="65"/>
  <c r="DK263" i="15"/>
  <c r="DR169" i="15"/>
  <c r="BA169" i="65"/>
  <c r="EN169" i="15"/>
  <c r="DK169" i="15"/>
  <c r="DR259" i="15"/>
  <c r="BA259" i="65"/>
  <c r="DK259" i="15"/>
  <c r="EN259" i="15"/>
  <c r="DR87" i="15"/>
  <c r="DK87" i="15"/>
  <c r="BA87" i="65"/>
  <c r="U87" i="5" s="1"/>
  <c r="AY87" i="73" s="1"/>
  <c r="EN87" i="15"/>
  <c r="DR153" i="15"/>
  <c r="BA153" i="65"/>
  <c r="EN153" i="15"/>
  <c r="DK153" i="15"/>
  <c r="EN210" i="15"/>
  <c r="DK210" i="15"/>
  <c r="DR210" i="15"/>
  <c r="BA210" i="65"/>
  <c r="DR256" i="15"/>
  <c r="DK256" i="15"/>
  <c r="EN256" i="15"/>
  <c r="BA256" i="65"/>
  <c r="DR264" i="15"/>
  <c r="EN264" i="15"/>
  <c r="DK264" i="15"/>
  <c r="BA264" i="65"/>
  <c r="DR268" i="15"/>
  <c r="DK268" i="15"/>
  <c r="BA268" i="65"/>
  <c r="EN268" i="15"/>
  <c r="DR206" i="15"/>
  <c r="BA206" i="65"/>
  <c r="EN206" i="15"/>
  <c r="DK206" i="15"/>
  <c r="DR82" i="15"/>
  <c r="EN82" i="15"/>
  <c r="BA82" i="65"/>
  <c r="DK82" i="15"/>
  <c r="DR306" i="15"/>
  <c r="BA306" i="65"/>
  <c r="EN306" i="15"/>
  <c r="DK306" i="15"/>
  <c r="DR254" i="15"/>
  <c r="BA254" i="65"/>
  <c r="EN254" i="15"/>
  <c r="DK254" i="15"/>
  <c r="DR168" i="15"/>
  <c r="DK168" i="15"/>
  <c r="EN168" i="15"/>
  <c r="BA168" i="65"/>
  <c r="DR176" i="15"/>
  <c r="DK176" i="15"/>
  <c r="EN176" i="15"/>
  <c r="BA176" i="65"/>
  <c r="DR196" i="15"/>
  <c r="BA196" i="65"/>
  <c r="DK196" i="15"/>
  <c r="EN196" i="15"/>
  <c r="DR228" i="15"/>
  <c r="DK228" i="15"/>
  <c r="BA228" i="65"/>
  <c r="EN228" i="15"/>
  <c r="DR246" i="15"/>
  <c r="BA246" i="65"/>
  <c r="DK246" i="15"/>
  <c r="EN246" i="15"/>
  <c r="DR174" i="15"/>
  <c r="EN174" i="15"/>
  <c r="BA174" i="65"/>
  <c r="DK174" i="15"/>
  <c r="DR294" i="15"/>
  <c r="BA294" i="65"/>
  <c r="DK294" i="15"/>
  <c r="EN294" i="15"/>
  <c r="DR316" i="15"/>
  <c r="DK316" i="15"/>
  <c r="BA316" i="65"/>
  <c r="EN316" i="15"/>
  <c r="DR340" i="15"/>
  <c r="EN340" i="15"/>
  <c r="DK340" i="15"/>
  <c r="BA340" i="65"/>
  <c r="DR222" i="15"/>
  <c r="BA222" i="65"/>
  <c r="DK222" i="15"/>
  <c r="EN222" i="15"/>
  <c r="DR348" i="15"/>
  <c r="BA348" i="65"/>
  <c r="EN348" i="15"/>
  <c r="DK348" i="15"/>
  <c r="DR216" i="15"/>
  <c r="BA216" i="65"/>
  <c r="EN216" i="15"/>
  <c r="DK216" i="15"/>
  <c r="DR194" i="15"/>
  <c r="BA194" i="65"/>
  <c r="DK194" i="15"/>
  <c r="EN194" i="15"/>
  <c r="DR230" i="15"/>
  <c r="BA230" i="65"/>
  <c r="DK230" i="15"/>
  <c r="EN230" i="15"/>
  <c r="DR242" i="15"/>
  <c r="DK242" i="15"/>
  <c r="BA242" i="65"/>
  <c r="EN242" i="15"/>
  <c r="DR240" i="15"/>
  <c r="EN240" i="15"/>
  <c r="BA240" i="65"/>
  <c r="DK240" i="15"/>
  <c r="DR202" i="15"/>
  <c r="DK202" i="15"/>
  <c r="EN202" i="15"/>
  <c r="BA202" i="65"/>
  <c r="DR234" i="15"/>
  <c r="EN234" i="15"/>
  <c r="DK234" i="15"/>
  <c r="BA234" i="65"/>
  <c r="DR270" i="15"/>
  <c r="DK270" i="15"/>
  <c r="BA270" i="65"/>
  <c r="EN270" i="15"/>
  <c r="DR302" i="15"/>
  <c r="BA302" i="65"/>
  <c r="DK302" i="15"/>
  <c r="EN302" i="15"/>
  <c r="DR336" i="15"/>
  <c r="BA336" i="65"/>
  <c r="EN336" i="15"/>
  <c r="DK336" i="15"/>
  <c r="DR266" i="15"/>
  <c r="EN266" i="15"/>
  <c r="BA266" i="65"/>
  <c r="DK266" i="15"/>
  <c r="DR328" i="15"/>
  <c r="EN328" i="15"/>
  <c r="DK328" i="15"/>
  <c r="BA328" i="65"/>
  <c r="DR144" i="15"/>
  <c r="DK144" i="15"/>
  <c r="EN144" i="15"/>
  <c r="BA144" i="65"/>
  <c r="DR250" i="15"/>
  <c r="EN250" i="15"/>
  <c r="BA250" i="65"/>
  <c r="DK250" i="15"/>
  <c r="DR226" i="15"/>
  <c r="BA226" i="65"/>
  <c r="EN226" i="15"/>
  <c r="DK226" i="15"/>
  <c r="DR146" i="15"/>
  <c r="DK146" i="15"/>
  <c r="BA146" i="65"/>
  <c r="EN146" i="15"/>
  <c r="DR332" i="15"/>
  <c r="BA332" i="65"/>
  <c r="EN332" i="15"/>
  <c r="DK332" i="15"/>
  <c r="DR314" i="15"/>
  <c r="EN314" i="15"/>
  <c r="DK314" i="15"/>
  <c r="BA314" i="65"/>
  <c r="DR220" i="15"/>
  <c r="DK220" i="15"/>
  <c r="BA220" i="65"/>
  <c r="EN220" i="15"/>
  <c r="DR330" i="15"/>
  <c r="BA330" i="65"/>
  <c r="DK330" i="15"/>
  <c r="EN330" i="15"/>
  <c r="DR334" i="15"/>
  <c r="BA334" i="65"/>
  <c r="DK334" i="15"/>
  <c r="EN334" i="15"/>
  <c r="DR346" i="15"/>
  <c r="EN346" i="15"/>
  <c r="BA346" i="65"/>
  <c r="DK346" i="15"/>
  <c r="DR200" i="15"/>
  <c r="EN200" i="15"/>
  <c r="BA200" i="65"/>
  <c r="DK200" i="15"/>
  <c r="EK247" i="15"/>
  <c r="EL247" i="15"/>
  <c r="EM247" i="15"/>
  <c r="EK177" i="15"/>
  <c r="EL177" i="15"/>
  <c r="EM177" i="15"/>
  <c r="EK205" i="15"/>
  <c r="EL205" i="15"/>
  <c r="EM205" i="15"/>
  <c r="DR345" i="15"/>
  <c r="DK345" i="15"/>
  <c r="BA345" i="65"/>
  <c r="EN345" i="15"/>
  <c r="DR321" i="15"/>
  <c r="BA321" i="65"/>
  <c r="DK321" i="15"/>
  <c r="EN321" i="15"/>
  <c r="DK249" i="15"/>
  <c r="BA249" i="65"/>
  <c r="BA269" i="65"/>
  <c r="DR269" i="15"/>
  <c r="EN269" i="15"/>
  <c r="DR237" i="15"/>
  <c r="BA237" i="65"/>
  <c r="EN237" i="15"/>
  <c r="BA229" i="65"/>
  <c r="DR229" i="15"/>
  <c r="EN229" i="15"/>
  <c r="DR313" i="15"/>
  <c r="DK313" i="15"/>
  <c r="EN313" i="15"/>
  <c r="BA313" i="65"/>
  <c r="DR81" i="15"/>
  <c r="EN81" i="15"/>
  <c r="BA81" i="65"/>
  <c r="DK81" i="15"/>
  <c r="DR191" i="15"/>
  <c r="BA191" i="65"/>
  <c r="DK191" i="15"/>
  <c r="EN191" i="15"/>
  <c r="DR187" i="15"/>
  <c r="EN187" i="15"/>
  <c r="DK187" i="15"/>
  <c r="BA187" i="65"/>
  <c r="DR164" i="15"/>
  <c r="DK164" i="15"/>
  <c r="EN164" i="15"/>
  <c r="BA164" i="65"/>
  <c r="DR215" i="15"/>
  <c r="BA215" i="65"/>
  <c r="DK215" i="15"/>
  <c r="EN215" i="15"/>
  <c r="DR150" i="15"/>
  <c r="DK150" i="15"/>
  <c r="BA150" i="65"/>
  <c r="EN150" i="15"/>
  <c r="DR143" i="15"/>
  <c r="BA143" i="65"/>
  <c r="EN143" i="15"/>
  <c r="DK143" i="15"/>
  <c r="DR211" i="15"/>
  <c r="BA211" i="65"/>
  <c r="EN211" i="15"/>
  <c r="DK211" i="15"/>
  <c r="DR192" i="15"/>
  <c r="BA192" i="65"/>
  <c r="EN192" i="15"/>
  <c r="DK192" i="15"/>
  <c r="DR232" i="15"/>
  <c r="BA232" i="65"/>
  <c r="EN232" i="15"/>
  <c r="DK232" i="15"/>
  <c r="DR326" i="15"/>
  <c r="EN326" i="15"/>
  <c r="DK326" i="15"/>
  <c r="BA326" i="65"/>
  <c r="DR162" i="15"/>
  <c r="BA162" i="65"/>
  <c r="DK162" i="15"/>
  <c r="EN162" i="15"/>
  <c r="DR188" i="15"/>
  <c r="DK188" i="15"/>
  <c r="EN188" i="15"/>
  <c r="BA188" i="65"/>
  <c r="DR322" i="15"/>
  <c r="BA322" i="65"/>
  <c r="EN322" i="15"/>
  <c r="DK322" i="15"/>
  <c r="DR184" i="15"/>
  <c r="BA184" i="65"/>
  <c r="DK184" i="15"/>
  <c r="EN184" i="15"/>
  <c r="DR180" i="15"/>
  <c r="BA180" i="65"/>
  <c r="EN180" i="15"/>
  <c r="DK180" i="15"/>
  <c r="DR236" i="15"/>
  <c r="DK236" i="15"/>
  <c r="EN236" i="15"/>
  <c r="BA236" i="65"/>
  <c r="DR252" i="15"/>
  <c r="DK252" i="15"/>
  <c r="EN252" i="15"/>
  <c r="BA252" i="65"/>
  <c r="DR318" i="15"/>
  <c r="EN318" i="15"/>
  <c r="BA318" i="65"/>
  <c r="DK318" i="15"/>
  <c r="DR128" i="15"/>
  <c r="BA128" i="65"/>
  <c r="DK128" i="15"/>
  <c r="EN128" i="15"/>
  <c r="DR132" i="15"/>
  <c r="EN132" i="15"/>
  <c r="BA132" i="65"/>
  <c r="DK132" i="15"/>
  <c r="DR178" i="15"/>
  <c r="BA178" i="65"/>
  <c r="EN178" i="15"/>
  <c r="DK178" i="15"/>
  <c r="DR338" i="15"/>
  <c r="EN338" i="15"/>
  <c r="DK338" i="15"/>
  <c r="BA338" i="65"/>
  <c r="DR260" i="15"/>
  <c r="BA260" i="65"/>
  <c r="DK260" i="15"/>
  <c r="EN260" i="15"/>
  <c r="DR204" i="15"/>
  <c r="BA204" i="65"/>
  <c r="EN204" i="15"/>
  <c r="DK204" i="15"/>
  <c r="DR208" i="15"/>
  <c r="EN208" i="15"/>
  <c r="BA208" i="65"/>
  <c r="DK208" i="15"/>
  <c r="DR218" i="15"/>
  <c r="DK218" i="15"/>
  <c r="EN218" i="15"/>
  <c r="BA218" i="65"/>
  <c r="DR324" i="15"/>
  <c r="DK324" i="15"/>
  <c r="BA324" i="65"/>
  <c r="EN324" i="15"/>
  <c r="DR182" i="15"/>
  <c r="EN182" i="15"/>
  <c r="BA182" i="65"/>
  <c r="DK182" i="15"/>
  <c r="DR308" i="15"/>
  <c r="DK308" i="15"/>
  <c r="BA308" i="65"/>
  <c r="EN308" i="15"/>
  <c r="DR224" i="15"/>
  <c r="EN224" i="15"/>
  <c r="DK224" i="15"/>
  <c r="BA224" i="65"/>
  <c r="DR190" i="15"/>
  <c r="DK190" i="15"/>
  <c r="EN190" i="15"/>
  <c r="BA190" i="65"/>
  <c r="DK214" i="15"/>
  <c r="BA214" i="65"/>
  <c r="EN214" i="15"/>
  <c r="DR214" i="15"/>
  <c r="DR342" i="15"/>
  <c r="EN342" i="15"/>
  <c r="BA342" i="65"/>
  <c r="DK342" i="15"/>
  <c r="DR262" i="15"/>
  <c r="EN262" i="15"/>
  <c r="DK262" i="15"/>
  <c r="BA262" i="65"/>
  <c r="DR130" i="15"/>
  <c r="DK130" i="15"/>
  <c r="EN130" i="15"/>
  <c r="BA130" i="65"/>
  <c r="DR244" i="15"/>
  <c r="EN244" i="15"/>
  <c r="DK244" i="15"/>
  <c r="BA244" i="65"/>
  <c r="DR160" i="15"/>
  <c r="DK160" i="15"/>
  <c r="EN160" i="15"/>
  <c r="BA160" i="65"/>
  <c r="DR344" i="15"/>
  <c r="DK344" i="15"/>
  <c r="EN344" i="15"/>
  <c r="BA344" i="65"/>
  <c r="DR310" i="15"/>
  <c r="EN310" i="15"/>
  <c r="DK310" i="15"/>
  <c r="BA310" i="65"/>
  <c r="DR186" i="15"/>
  <c r="EN186" i="15"/>
  <c r="BA186" i="65"/>
  <c r="DK186" i="15"/>
  <c r="DR238" i="15"/>
  <c r="BA238" i="65"/>
  <c r="DK238" i="15"/>
  <c r="EN238" i="15"/>
  <c r="DR148" i="15"/>
  <c r="EN148" i="15"/>
  <c r="BA148" i="65"/>
  <c r="DK148" i="15"/>
  <c r="DR248" i="15"/>
  <c r="EN248" i="15"/>
  <c r="DK248" i="15"/>
  <c r="BA248" i="65"/>
  <c r="DR198" i="15"/>
  <c r="BA198" i="65"/>
  <c r="EN198" i="15"/>
  <c r="DK198" i="15"/>
  <c r="DR212" i="15"/>
  <c r="EN212" i="15"/>
  <c r="DK212" i="15"/>
  <c r="BA212" i="65"/>
  <c r="DR258" i="15"/>
  <c r="EN258" i="15"/>
  <c r="DK258" i="15"/>
  <c r="BA258" i="65"/>
  <c r="DR134" i="15"/>
  <c r="EN134" i="15"/>
  <c r="DK134" i="15"/>
  <c r="BA134" i="65"/>
  <c r="EK181" i="15"/>
  <c r="EL181" i="15"/>
  <c r="EM181" i="15"/>
  <c r="EL237" i="15"/>
  <c r="EK237" i="15"/>
  <c r="EM219" i="15"/>
  <c r="EK261" i="15"/>
  <c r="EM263" i="15"/>
  <c r="EM259" i="15"/>
  <c r="EK153" i="15"/>
  <c r="EK326" i="15"/>
  <c r="EK322" i="15"/>
  <c r="EL308" i="15"/>
  <c r="EL160" i="15"/>
  <c r="EL148" i="15"/>
  <c r="EK213" i="15"/>
  <c r="EM269" i="15"/>
  <c r="EL135" i="15"/>
  <c r="EM313" i="15"/>
  <c r="EL164" i="15"/>
  <c r="EL143" i="15"/>
  <c r="EL168" i="15"/>
  <c r="EM294" i="15"/>
  <c r="EK144" i="15"/>
  <c r="EM144" i="15"/>
  <c r="EM334" i="15"/>
  <c r="EL334" i="15"/>
  <c r="EL321" i="15"/>
  <c r="EK321" i="15"/>
  <c r="EL253" i="15"/>
  <c r="EM253" i="15"/>
  <c r="EK253" i="15"/>
  <c r="EK193" i="15"/>
  <c r="EL193" i="15"/>
  <c r="EM193" i="15"/>
  <c r="EM251" i="15"/>
  <c r="EL229" i="15"/>
  <c r="EK229" i="15"/>
  <c r="EM169" i="15"/>
  <c r="AZ87" i="88"/>
  <c r="AZ87" i="84"/>
  <c r="AX87" i="82"/>
  <c r="AX87" i="83"/>
  <c r="AX87" i="86"/>
  <c r="AX87" i="90"/>
  <c r="AX87" i="89"/>
  <c r="AZ87" i="89"/>
  <c r="AZ87" i="86"/>
  <c r="AZ87" i="82"/>
  <c r="AZ87" i="87"/>
  <c r="AZ87" i="85"/>
  <c r="AX87" i="84"/>
  <c r="AX87" i="85"/>
  <c r="AX87" i="88"/>
  <c r="AX87" i="87"/>
  <c r="AZ87" i="90"/>
  <c r="AZ87" i="83"/>
  <c r="AX87" i="91"/>
  <c r="AZ87" i="91"/>
  <c r="EK192" i="15"/>
  <c r="EL192" i="15"/>
  <c r="EM192" i="15"/>
  <c r="EK318" i="15"/>
  <c r="EL318" i="15"/>
  <c r="EM318" i="15"/>
  <c r="EM132" i="15"/>
  <c r="EL132" i="15"/>
  <c r="EK182" i="15"/>
  <c r="EL182" i="15"/>
  <c r="EM182" i="15"/>
  <c r="EM310" i="15"/>
  <c r="EK310" i="15"/>
  <c r="EL310" i="15"/>
  <c r="EK186" i="15"/>
  <c r="EL186" i="15"/>
  <c r="EM186" i="15"/>
  <c r="EM198" i="15"/>
  <c r="EL198" i="15"/>
  <c r="EK198" i="15"/>
  <c r="EK345" i="15"/>
  <c r="EL345" i="15"/>
  <c r="EM345" i="15"/>
  <c r="EK191" i="15"/>
  <c r="EM191" i="15"/>
  <c r="EM187" i="15"/>
  <c r="EK211" i="15"/>
  <c r="EM211" i="15"/>
  <c r="EK206" i="15"/>
  <c r="EL206" i="15"/>
  <c r="EM206" i="15"/>
  <c r="EK306" i="15"/>
  <c r="EM306" i="15"/>
  <c r="EK348" i="15"/>
  <c r="EL270" i="15"/>
  <c r="EM270" i="15"/>
  <c r="EK302" i="15"/>
  <c r="EL302" i="15"/>
  <c r="EM302" i="15"/>
  <c r="EM314" i="15"/>
  <c r="EL314" i="15"/>
  <c r="FC62" i="15"/>
  <c r="FB62" i="15" s="1"/>
  <c r="FA62" i="15" s="1"/>
  <c r="BG62" i="65" s="1"/>
  <c r="AG62" i="5" s="1"/>
  <c r="AX67" i="65"/>
  <c r="R67" i="5" s="1"/>
  <c r="DF269" i="15"/>
  <c r="DI269" i="15" s="1"/>
  <c r="BB269" i="65" s="1"/>
  <c r="DF135" i="15"/>
  <c r="DI135" i="15" s="1"/>
  <c r="BB135" i="65" s="1"/>
  <c r="DF213" i="15"/>
  <c r="DI213" i="15" s="1"/>
  <c r="BB213" i="65" s="1"/>
  <c r="DF193" i="15"/>
  <c r="DI193" i="15" s="1"/>
  <c r="BB193" i="65" s="1"/>
  <c r="DF251" i="15"/>
  <c r="DI251" i="15" s="1"/>
  <c r="BB251" i="65" s="1"/>
  <c r="DF219" i="15"/>
  <c r="DI219" i="15" s="1"/>
  <c r="BB219" i="65" s="1"/>
  <c r="DF245" i="15"/>
  <c r="DI245" i="15" s="1"/>
  <c r="BB245" i="65" s="1"/>
  <c r="DF229" i="15"/>
  <c r="DI229" i="15" s="1"/>
  <c r="BB229" i="65" s="1"/>
  <c r="DF237" i="15"/>
  <c r="DI237" i="15" s="1"/>
  <c r="BB237" i="65" s="1"/>
  <c r="DF253" i="15"/>
  <c r="DI253" i="15" s="1"/>
  <c r="BB253" i="65" s="1"/>
  <c r="J14" i="5"/>
  <c r="H15" i="5"/>
  <c r="J16" i="5"/>
  <c r="I17" i="5"/>
  <c r="AR26" i="87"/>
  <c r="AR26" i="89"/>
  <c r="AR26" i="88"/>
  <c r="AR26" i="82"/>
  <c r="AR26" i="85"/>
  <c r="AU26" i="86"/>
  <c r="AU26" i="89"/>
  <c r="AU26" i="82"/>
  <c r="AU26" i="85"/>
  <c r="AU26" i="87"/>
  <c r="CF26" i="15"/>
  <c r="EW26" i="15" s="1"/>
  <c r="AW26" i="87"/>
  <c r="AW26" i="82"/>
  <c r="AW26" i="86"/>
  <c r="AW26" i="88"/>
  <c r="AW26" i="90"/>
  <c r="AR26" i="91"/>
  <c r="CK38" i="15"/>
  <c r="CT38" i="15" s="1"/>
  <c r="AW38" i="65"/>
  <c r="Q38" i="5" s="1"/>
  <c r="BA38" i="73" s="1"/>
  <c r="CJ38" i="15"/>
  <c r="CI38" i="15"/>
  <c r="AG38" i="65" s="1"/>
  <c r="CS38" i="15"/>
  <c r="FC105" i="15"/>
  <c r="FB105" i="15" s="1"/>
  <c r="FA105" i="15" s="1"/>
  <c r="BG105" i="65" s="1"/>
  <c r="AG105" i="5" s="1"/>
  <c r="DC67" i="15"/>
  <c r="AY67" i="65" s="1"/>
  <c r="S67" i="5" s="1"/>
  <c r="AV47" i="82"/>
  <c r="AV47" i="84"/>
  <c r="AV47" i="83"/>
  <c r="AV47" i="85"/>
  <c r="AV47" i="86"/>
  <c r="AV47" i="88"/>
  <c r="AV47" i="90"/>
  <c r="AV47" i="87"/>
  <c r="AV47" i="89"/>
  <c r="AV66" i="82"/>
  <c r="AV66" i="83"/>
  <c r="AV66" i="84"/>
  <c r="AV66" i="86"/>
  <c r="AV66" i="85"/>
  <c r="AV66" i="87"/>
  <c r="AV66" i="89"/>
  <c r="AV66" i="88"/>
  <c r="AV66" i="90"/>
  <c r="AV62" i="82"/>
  <c r="AV62" i="83"/>
  <c r="AV62" i="84"/>
  <c r="AV62" i="86"/>
  <c r="AV62" i="85"/>
  <c r="AV62" i="87"/>
  <c r="AV62" i="89"/>
  <c r="AV62" i="88"/>
  <c r="AV62" i="90"/>
  <c r="AW79" i="82"/>
  <c r="AW79" i="83"/>
  <c r="AW79" i="84"/>
  <c r="AW79" i="86"/>
  <c r="AW79" i="85"/>
  <c r="AW79" i="87"/>
  <c r="AW79" i="89"/>
  <c r="AW79" i="88"/>
  <c r="AW79" i="90"/>
  <c r="AV79" i="82"/>
  <c r="AV79" i="84"/>
  <c r="AV79" i="83"/>
  <c r="AV79" i="85"/>
  <c r="AV79" i="86"/>
  <c r="AV79" i="88"/>
  <c r="AV79" i="90"/>
  <c r="AV79" i="87"/>
  <c r="AV79" i="89"/>
  <c r="BA124" i="82"/>
  <c r="BA124" i="84"/>
  <c r="BA124" i="83"/>
  <c r="BA124" i="85"/>
  <c r="BA124" i="86"/>
  <c r="BA124" i="88"/>
  <c r="BA124" i="90"/>
  <c r="BA124" i="87"/>
  <c r="BA124" i="89"/>
  <c r="AV42" i="82"/>
  <c r="AV42" i="83"/>
  <c r="AV42" i="84"/>
  <c r="AV42" i="86"/>
  <c r="AV42" i="85"/>
  <c r="AV42" i="87"/>
  <c r="AV42" i="89"/>
  <c r="AV42" i="88"/>
  <c r="AV42" i="90"/>
  <c r="BA100" i="82"/>
  <c r="BA100" i="84"/>
  <c r="BA100" i="83"/>
  <c r="BA100" i="85"/>
  <c r="BA100" i="86"/>
  <c r="BA100" i="88"/>
  <c r="BA100" i="90"/>
  <c r="BA100" i="87"/>
  <c r="BA100" i="89"/>
  <c r="AV109" i="82"/>
  <c r="AV109" i="84"/>
  <c r="AV109" i="83"/>
  <c r="AV109" i="85"/>
  <c r="AV109" i="86"/>
  <c r="AV109" i="88"/>
  <c r="AV109" i="90"/>
  <c r="AV109" i="87"/>
  <c r="AV109" i="89"/>
  <c r="AV67" i="82"/>
  <c r="AV67" i="84"/>
  <c r="AV67" i="83"/>
  <c r="AV67" i="85"/>
  <c r="AV67" i="86"/>
  <c r="AV67" i="88"/>
  <c r="AV67" i="90"/>
  <c r="AV67" i="87"/>
  <c r="AV67" i="89"/>
  <c r="AR123" i="82"/>
  <c r="AR123" i="84"/>
  <c r="AR123" i="83"/>
  <c r="AR123" i="85"/>
  <c r="AR123" i="86"/>
  <c r="AR123" i="88"/>
  <c r="AR123" i="90"/>
  <c r="AR123" i="87"/>
  <c r="AR123" i="89"/>
  <c r="AU123" i="82"/>
  <c r="AU123" i="83"/>
  <c r="AU123" i="84"/>
  <c r="AU123" i="86"/>
  <c r="AU123" i="85"/>
  <c r="AU123" i="87"/>
  <c r="AU123" i="89"/>
  <c r="AU123" i="88"/>
  <c r="AU123" i="90"/>
  <c r="AU105" i="82"/>
  <c r="AU105" i="83"/>
  <c r="AU105" i="84"/>
  <c r="AU105" i="86"/>
  <c r="AU105" i="85"/>
  <c r="AU105" i="87"/>
  <c r="AU105" i="89"/>
  <c r="AU105" i="88"/>
  <c r="AU105" i="90"/>
  <c r="AR66" i="82"/>
  <c r="AR66" i="83"/>
  <c r="AR66" i="84"/>
  <c r="AR66" i="86"/>
  <c r="AR66" i="85"/>
  <c r="AR66" i="87"/>
  <c r="AR66" i="89"/>
  <c r="AR66" i="88"/>
  <c r="AR66" i="90"/>
  <c r="AU66" i="82"/>
  <c r="AU66" i="84"/>
  <c r="AU66" i="83"/>
  <c r="AU66" i="85"/>
  <c r="AU66" i="86"/>
  <c r="AU66" i="88"/>
  <c r="AU66" i="90"/>
  <c r="AU66" i="87"/>
  <c r="AU66" i="89"/>
  <c r="AW61" i="83"/>
  <c r="AW61" i="87"/>
  <c r="AW62" i="82"/>
  <c r="AW62" i="84"/>
  <c r="AW62" i="83"/>
  <c r="AW62" i="85"/>
  <c r="AW62" i="86"/>
  <c r="AW62" i="88"/>
  <c r="AW62" i="90"/>
  <c r="AW62" i="87"/>
  <c r="AW62" i="89"/>
  <c r="AU79" i="82"/>
  <c r="AU79" i="83"/>
  <c r="AU79" i="84"/>
  <c r="AU79" i="86"/>
  <c r="AU79" i="85"/>
  <c r="AU79" i="87"/>
  <c r="AU79" i="89"/>
  <c r="AU79" i="88"/>
  <c r="AU79" i="90"/>
  <c r="AU121" i="82"/>
  <c r="AU121" i="83"/>
  <c r="AU121" i="84"/>
  <c r="AU121" i="86"/>
  <c r="AU121" i="85"/>
  <c r="AU121" i="87"/>
  <c r="AU121" i="89"/>
  <c r="AU121" i="88"/>
  <c r="AU121" i="90"/>
  <c r="AW125" i="82"/>
  <c r="AW125" i="83"/>
  <c r="AW125" i="84"/>
  <c r="AW125" i="86"/>
  <c r="AW125" i="85"/>
  <c r="AW125" i="87"/>
  <c r="AW125" i="89"/>
  <c r="AW125" i="88"/>
  <c r="AW125" i="90"/>
  <c r="AW107" i="82"/>
  <c r="AW107" i="83"/>
  <c r="AW107" i="84"/>
  <c r="AW107" i="86"/>
  <c r="AW107" i="85"/>
  <c r="AW107" i="87"/>
  <c r="AW107" i="89"/>
  <c r="AW107" i="88"/>
  <c r="AW107" i="90"/>
  <c r="AR125" i="82"/>
  <c r="AR125" i="84"/>
  <c r="AR125" i="83"/>
  <c r="AR125" i="85"/>
  <c r="AR125" i="86"/>
  <c r="AR125" i="88"/>
  <c r="AR125" i="90"/>
  <c r="AR125" i="87"/>
  <c r="AR125" i="89"/>
  <c r="AR61" i="89"/>
  <c r="AR61" i="90"/>
  <c r="AR61" i="86"/>
  <c r="AR61" i="83"/>
  <c r="AU47" i="82"/>
  <c r="AU47" i="83"/>
  <c r="AU47" i="84"/>
  <c r="AU47" i="86"/>
  <c r="AU47" i="85"/>
  <c r="AU47" i="87"/>
  <c r="AU47" i="89"/>
  <c r="AU47" i="88"/>
  <c r="AU47" i="90"/>
  <c r="BA84" i="82"/>
  <c r="BA84" i="84"/>
  <c r="BA84" i="83"/>
  <c r="BA84" i="85"/>
  <c r="BA84" i="86"/>
  <c r="BA84" i="88"/>
  <c r="BA84" i="90"/>
  <c r="BA84" i="87"/>
  <c r="BA84" i="89"/>
  <c r="AV125" i="82"/>
  <c r="AV125" i="84"/>
  <c r="AV125" i="83"/>
  <c r="AV125" i="85"/>
  <c r="AV125" i="86"/>
  <c r="AV125" i="88"/>
  <c r="AV125" i="90"/>
  <c r="AV125" i="87"/>
  <c r="AV125" i="89"/>
  <c r="AV121" i="82"/>
  <c r="AV121" i="84"/>
  <c r="AV121" i="83"/>
  <c r="AV121" i="85"/>
  <c r="AV121" i="86"/>
  <c r="AV121" i="88"/>
  <c r="AV121" i="90"/>
  <c r="AV121" i="87"/>
  <c r="AV121" i="89"/>
  <c r="BA55" i="82"/>
  <c r="BA55" i="83"/>
  <c r="BA55" i="84"/>
  <c r="BA55" i="86"/>
  <c r="BA55" i="85"/>
  <c r="BA55" i="87"/>
  <c r="BA55" i="89"/>
  <c r="BA55" i="88"/>
  <c r="BA55" i="90"/>
  <c r="AV91" i="82"/>
  <c r="AV91" i="84"/>
  <c r="AV91" i="83"/>
  <c r="AV91" i="85"/>
  <c r="AV91" i="86"/>
  <c r="AV91" i="88"/>
  <c r="AV91" i="90"/>
  <c r="AV91" i="87"/>
  <c r="AV91" i="89"/>
  <c r="AV89" i="82"/>
  <c r="AV89" i="84"/>
  <c r="AV89" i="83"/>
  <c r="AV89" i="85"/>
  <c r="AV89" i="86"/>
  <c r="AV89" i="88"/>
  <c r="AV89" i="90"/>
  <c r="AV89" i="87"/>
  <c r="AV89" i="89"/>
  <c r="BA87" i="82"/>
  <c r="BA87" i="83"/>
  <c r="BA87" i="84"/>
  <c r="BA87" i="86"/>
  <c r="BA87" i="85"/>
  <c r="BA87" i="87"/>
  <c r="BA87" i="89"/>
  <c r="BA87" i="88"/>
  <c r="BA87" i="90"/>
  <c r="AV93" i="82"/>
  <c r="AV93" i="84"/>
  <c r="AV93" i="83"/>
  <c r="AV93" i="85"/>
  <c r="AV93" i="86"/>
  <c r="AV93" i="88"/>
  <c r="AV93" i="90"/>
  <c r="AV93" i="87"/>
  <c r="AV93" i="89"/>
  <c r="AV105" i="82"/>
  <c r="AV105" i="84"/>
  <c r="AV105" i="83"/>
  <c r="AV105" i="85"/>
  <c r="AV105" i="86"/>
  <c r="AV105" i="88"/>
  <c r="AV105" i="90"/>
  <c r="AV105" i="87"/>
  <c r="AV105" i="89"/>
  <c r="BA86" i="82"/>
  <c r="BA86" i="84"/>
  <c r="BA86" i="83"/>
  <c r="BA86" i="85"/>
  <c r="BA86" i="86"/>
  <c r="BA86" i="88"/>
  <c r="BA86" i="90"/>
  <c r="BA86" i="87"/>
  <c r="BA86" i="89"/>
  <c r="AW105" i="82"/>
  <c r="AW105" i="83"/>
  <c r="AW105" i="84"/>
  <c r="AW105" i="86"/>
  <c r="AW105" i="85"/>
  <c r="AW105" i="87"/>
  <c r="AW105" i="89"/>
  <c r="AW105" i="88"/>
  <c r="AW105" i="90"/>
  <c r="AW121" i="82"/>
  <c r="AW121" i="83"/>
  <c r="AW121" i="84"/>
  <c r="AW121" i="86"/>
  <c r="AW121" i="85"/>
  <c r="AW121" i="87"/>
  <c r="AW121" i="89"/>
  <c r="AW121" i="88"/>
  <c r="AW121" i="90"/>
  <c r="AR105" i="82"/>
  <c r="AR105" i="84"/>
  <c r="AR105" i="83"/>
  <c r="AR105" i="85"/>
  <c r="AR105" i="86"/>
  <c r="AR105" i="88"/>
  <c r="AR105" i="90"/>
  <c r="AR105" i="87"/>
  <c r="AR105" i="89"/>
  <c r="AW93" i="82"/>
  <c r="AW93" i="83"/>
  <c r="AW93" i="84"/>
  <c r="AW93" i="86"/>
  <c r="AW93" i="85"/>
  <c r="AW93" i="87"/>
  <c r="AW93" i="89"/>
  <c r="AW93" i="88"/>
  <c r="AW93" i="90"/>
  <c r="AR109" i="82"/>
  <c r="AR109" i="84"/>
  <c r="AR109" i="83"/>
  <c r="AR109" i="85"/>
  <c r="AR109" i="86"/>
  <c r="AR109" i="88"/>
  <c r="AR109" i="90"/>
  <c r="AR109" i="87"/>
  <c r="AR109" i="89"/>
  <c r="AU109" i="82"/>
  <c r="AU109" i="83"/>
  <c r="AU109" i="84"/>
  <c r="AU109" i="86"/>
  <c r="AU109" i="85"/>
  <c r="AU109" i="87"/>
  <c r="AU109" i="89"/>
  <c r="AU109" i="88"/>
  <c r="AU109" i="90"/>
  <c r="AU107" i="82"/>
  <c r="AU107" i="83"/>
  <c r="AU107" i="84"/>
  <c r="AU107" i="86"/>
  <c r="AU107" i="85"/>
  <c r="AU107" i="87"/>
  <c r="AU107" i="89"/>
  <c r="AU107" i="88"/>
  <c r="AU107" i="90"/>
  <c r="AR107" i="82"/>
  <c r="AR107" i="84"/>
  <c r="AR107" i="83"/>
  <c r="AR107" i="85"/>
  <c r="AR107" i="86"/>
  <c r="AR107" i="88"/>
  <c r="AR107" i="90"/>
  <c r="AR107" i="87"/>
  <c r="AR107" i="89"/>
  <c r="AW47" i="82"/>
  <c r="AW47" i="83"/>
  <c r="AW47" i="84"/>
  <c r="AW47" i="86"/>
  <c r="AW47" i="85"/>
  <c r="AW47" i="87"/>
  <c r="AW47" i="89"/>
  <c r="AW47" i="88"/>
  <c r="AW47" i="90"/>
  <c r="AR79" i="82"/>
  <c r="AR79" i="84"/>
  <c r="AR79" i="83"/>
  <c r="AR79" i="85"/>
  <c r="AR79" i="86"/>
  <c r="AR79" i="88"/>
  <c r="AR79" i="90"/>
  <c r="AR79" i="87"/>
  <c r="AR79" i="89"/>
  <c r="AW109" i="82"/>
  <c r="AW109" i="83"/>
  <c r="AW109" i="84"/>
  <c r="AW109" i="86"/>
  <c r="AW109" i="85"/>
  <c r="AW109" i="87"/>
  <c r="AW109" i="89"/>
  <c r="AW109" i="88"/>
  <c r="AW109" i="90"/>
  <c r="AR93" i="82"/>
  <c r="AR93" i="84"/>
  <c r="AR93" i="83"/>
  <c r="AR93" i="85"/>
  <c r="AR93" i="86"/>
  <c r="AR93" i="88"/>
  <c r="AR93" i="90"/>
  <c r="AR93" i="87"/>
  <c r="AR93" i="89"/>
  <c r="AU93" i="82"/>
  <c r="AU93" i="83"/>
  <c r="AU93" i="84"/>
  <c r="AU93" i="86"/>
  <c r="AU93" i="85"/>
  <c r="AU93" i="87"/>
  <c r="AU93" i="89"/>
  <c r="AU93" i="88"/>
  <c r="AU93" i="90"/>
  <c r="AR121" i="82"/>
  <c r="AR121" i="84"/>
  <c r="AR121" i="83"/>
  <c r="AR121" i="85"/>
  <c r="AR121" i="86"/>
  <c r="AR121" i="88"/>
  <c r="AR121" i="90"/>
  <c r="AR121" i="87"/>
  <c r="AR121" i="89"/>
  <c r="AR47" i="82"/>
  <c r="AR47" i="84"/>
  <c r="AR47" i="83"/>
  <c r="AR47" i="85"/>
  <c r="AR47" i="86"/>
  <c r="AR47" i="88"/>
  <c r="AR47" i="90"/>
  <c r="AR47" i="87"/>
  <c r="AR47" i="89"/>
  <c r="AW123" i="82"/>
  <c r="AW123" i="83"/>
  <c r="AW123" i="84"/>
  <c r="AW123" i="86"/>
  <c r="AW123" i="85"/>
  <c r="AW123" i="87"/>
  <c r="AW123" i="89"/>
  <c r="AW123" i="88"/>
  <c r="AW123" i="90"/>
  <c r="AU125" i="82"/>
  <c r="AU125" i="83"/>
  <c r="AU125" i="84"/>
  <c r="AU125" i="86"/>
  <c r="AU125" i="85"/>
  <c r="AU125" i="87"/>
  <c r="AU125" i="89"/>
  <c r="AU125" i="88"/>
  <c r="AU125" i="90"/>
  <c r="AW66" i="82"/>
  <c r="AW66" i="84"/>
  <c r="AW66" i="83"/>
  <c r="AW66" i="85"/>
  <c r="AW66" i="86"/>
  <c r="AW66" i="88"/>
  <c r="AW66" i="90"/>
  <c r="AW66" i="87"/>
  <c r="AW66" i="89"/>
  <c r="AR62" i="82"/>
  <c r="AR62" i="83"/>
  <c r="AR62" i="84"/>
  <c r="AR62" i="86"/>
  <c r="AR62" i="85"/>
  <c r="AR62" i="87"/>
  <c r="AR62" i="89"/>
  <c r="AR62" i="88"/>
  <c r="AR62" i="90"/>
  <c r="AU62" i="82"/>
  <c r="AU62" i="84"/>
  <c r="AU62" i="83"/>
  <c r="AU62" i="85"/>
  <c r="AU62" i="86"/>
  <c r="AU62" i="88"/>
  <c r="AU62" i="90"/>
  <c r="AU62" i="87"/>
  <c r="AU62" i="89"/>
  <c r="AR61" i="87"/>
  <c r="AR61" i="88"/>
  <c r="AR61" i="85"/>
  <c r="AR61" i="84"/>
  <c r="AR61" i="82"/>
  <c r="AU47" i="91"/>
  <c r="BA84" i="91"/>
  <c r="AV125" i="91"/>
  <c r="CK67" i="15"/>
  <c r="CI67" i="15"/>
  <c r="CJ67" i="15"/>
  <c r="CS67" i="15" s="1"/>
  <c r="CV67" i="15" s="1"/>
  <c r="AV121" i="91"/>
  <c r="BA55" i="91"/>
  <c r="CK55" i="15"/>
  <c r="CI55" i="15"/>
  <c r="CJ55" i="15"/>
  <c r="CS55" i="15" s="1"/>
  <c r="AV91" i="91"/>
  <c r="AV89" i="91"/>
  <c r="BA87" i="91"/>
  <c r="CJ290" i="15"/>
  <c r="DE290" i="15" s="1"/>
  <c r="DH290" i="15" s="1"/>
  <c r="CK290" i="15"/>
  <c r="DF290" i="15" s="1"/>
  <c r="DI290" i="15" s="1"/>
  <c r="BB290" i="65" s="1"/>
  <c r="CI290" i="15"/>
  <c r="CJ278" i="15"/>
  <c r="CS278" i="15" s="1"/>
  <c r="CK278" i="15"/>
  <c r="DF278" i="15" s="1"/>
  <c r="DI278" i="15" s="1"/>
  <c r="BB278" i="65" s="1"/>
  <c r="CI278" i="15"/>
  <c r="AV93" i="91"/>
  <c r="AV105" i="91"/>
  <c r="CK119" i="15"/>
  <c r="CI119" i="15"/>
  <c r="CJ119" i="15"/>
  <c r="CS119" i="15" s="1"/>
  <c r="AV67" i="91"/>
  <c r="AR123" i="91"/>
  <c r="AU123" i="91"/>
  <c r="AU105" i="91"/>
  <c r="AR66" i="91"/>
  <c r="AU66" i="91"/>
  <c r="AW62" i="91"/>
  <c r="AU79" i="91"/>
  <c r="AU121" i="91"/>
  <c r="AW125" i="91"/>
  <c r="AW107" i="91"/>
  <c r="AR125" i="91"/>
  <c r="AV47" i="91"/>
  <c r="AV66" i="91"/>
  <c r="AV62" i="91"/>
  <c r="AW79" i="91"/>
  <c r="AV79" i="91"/>
  <c r="CJ68" i="15"/>
  <c r="CK68" i="15"/>
  <c r="CI68" i="15"/>
  <c r="CK63" i="15"/>
  <c r="CI63" i="15"/>
  <c r="CJ63" i="15"/>
  <c r="CS63" i="15" s="1"/>
  <c r="CV63" i="15" s="1"/>
  <c r="BA124" i="91"/>
  <c r="CJ298" i="15"/>
  <c r="DE298" i="15" s="1"/>
  <c r="DH298" i="15" s="1"/>
  <c r="CK298" i="15"/>
  <c r="DF298" i="15" s="1"/>
  <c r="DI298" i="15" s="1"/>
  <c r="BB298" i="65" s="1"/>
  <c r="CI298" i="15"/>
  <c r="CJ312" i="15"/>
  <c r="DE312" i="15" s="1"/>
  <c r="DH312" i="15" s="1"/>
  <c r="CK312" i="15"/>
  <c r="DF312" i="15" s="1"/>
  <c r="DI312" i="15" s="1"/>
  <c r="BB312" i="65" s="1"/>
  <c r="CI312" i="15"/>
  <c r="CJ142" i="15"/>
  <c r="CS142" i="15" s="1"/>
  <c r="CK142" i="15"/>
  <c r="DF142" i="15" s="1"/>
  <c r="DI142" i="15" s="1"/>
  <c r="BB142" i="65" s="1"/>
  <c r="CI142" i="15"/>
  <c r="DD142" i="15" s="1"/>
  <c r="DG142" i="15" s="1"/>
  <c r="CJ274" i="15"/>
  <c r="DE274" i="15" s="1"/>
  <c r="DH274" i="15" s="1"/>
  <c r="CK274" i="15"/>
  <c r="DF274" i="15" s="1"/>
  <c r="DI274" i="15" s="1"/>
  <c r="BB274" i="65" s="1"/>
  <c r="CI274" i="15"/>
  <c r="AV42" i="91"/>
  <c r="CJ158" i="15"/>
  <c r="CS158" i="15" s="1"/>
  <c r="CK158" i="15"/>
  <c r="DF158" i="15" s="1"/>
  <c r="DI158" i="15" s="1"/>
  <c r="BB158" i="65" s="1"/>
  <c r="CI158" i="15"/>
  <c r="CJ282" i="15"/>
  <c r="CS282" i="15" s="1"/>
  <c r="CK282" i="15"/>
  <c r="DF282" i="15" s="1"/>
  <c r="DI282" i="15" s="1"/>
  <c r="BB282" i="65" s="1"/>
  <c r="CI282" i="15"/>
  <c r="CJ300" i="15"/>
  <c r="CS300" i="15" s="1"/>
  <c r="CK300" i="15"/>
  <c r="DF300" i="15" s="1"/>
  <c r="DI300" i="15" s="1"/>
  <c r="BB300" i="65" s="1"/>
  <c r="CI300" i="15"/>
  <c r="CJ286" i="15"/>
  <c r="DE286" i="15" s="1"/>
  <c r="DH286" i="15" s="1"/>
  <c r="CK286" i="15"/>
  <c r="DF286" i="15" s="1"/>
  <c r="DI286" i="15" s="1"/>
  <c r="BB286" i="65" s="1"/>
  <c r="CI286" i="15"/>
  <c r="BA100" i="91"/>
  <c r="CJ296" i="15"/>
  <c r="DE296" i="15" s="1"/>
  <c r="DH296" i="15" s="1"/>
  <c r="CK296" i="15"/>
  <c r="CI296" i="15"/>
  <c r="AV109" i="91"/>
  <c r="CJ122" i="15"/>
  <c r="CK122" i="15"/>
  <c r="CI122" i="15"/>
  <c r="CJ116" i="15"/>
  <c r="CS116" i="15" s="1"/>
  <c r="CV116" i="15" s="1"/>
  <c r="CK116" i="15"/>
  <c r="CI116" i="15"/>
  <c r="BA86" i="91"/>
  <c r="AW105" i="91"/>
  <c r="AW121" i="91"/>
  <c r="AR105" i="91"/>
  <c r="AW93" i="91"/>
  <c r="AR109" i="91"/>
  <c r="AU109" i="91"/>
  <c r="AU107" i="91"/>
  <c r="AR107" i="91"/>
  <c r="AW47" i="91"/>
  <c r="AR79" i="91"/>
  <c r="AW109" i="91"/>
  <c r="AR93" i="91"/>
  <c r="AU93" i="91"/>
  <c r="AR121" i="91"/>
  <c r="AR47" i="91"/>
  <c r="AW123" i="91"/>
  <c r="AU125" i="91"/>
  <c r="AW66" i="91"/>
  <c r="AR62" i="91"/>
  <c r="AU62" i="91"/>
  <c r="EY93" i="15"/>
  <c r="EX93" i="15"/>
  <c r="EZ93" i="15"/>
  <c r="EX125" i="15"/>
  <c r="EY63" i="15"/>
  <c r="EX63" i="15"/>
  <c r="EZ63" i="15"/>
  <c r="ET63" i="15"/>
  <c r="ES63" i="15"/>
  <c r="EU63" i="15"/>
  <c r="ET67" i="15"/>
  <c r="ES67" i="15"/>
  <c r="EU67" i="15"/>
  <c r="ES48" i="15"/>
  <c r="EU48" i="15"/>
  <c r="ET48" i="15"/>
  <c r="ET55" i="15"/>
  <c r="ES55" i="15"/>
  <c r="EU55" i="15"/>
  <c r="EY105" i="15"/>
  <c r="EX105" i="15"/>
  <c r="EZ105" i="15"/>
  <c r="EY121" i="15"/>
  <c r="EX121" i="15"/>
  <c r="EZ121" i="15"/>
  <c r="ES42" i="15"/>
  <c r="EU42" i="15"/>
  <c r="ET42" i="15"/>
  <c r="ES68" i="15"/>
  <c r="EU68" i="15"/>
  <c r="ET68" i="15"/>
  <c r="ET105" i="15"/>
  <c r="ES105" i="15"/>
  <c r="EU105" i="15"/>
  <c r="EX290" i="15"/>
  <c r="EZ290" i="15"/>
  <c r="EY290" i="15"/>
  <c r="EX296" i="15"/>
  <c r="EZ296" i="15"/>
  <c r="EY296" i="15"/>
  <c r="ET61" i="15"/>
  <c r="ES61" i="15"/>
  <c r="EU61" i="15"/>
  <c r="EY67" i="15"/>
  <c r="EX67" i="15"/>
  <c r="EZ67" i="15"/>
  <c r="EX48" i="15"/>
  <c r="EZ48" i="15"/>
  <c r="EY48" i="15"/>
  <c r="ES66" i="15"/>
  <c r="EU66" i="15"/>
  <c r="ET66" i="15"/>
  <c r="EY55" i="15"/>
  <c r="EX55" i="15"/>
  <c r="EZ55" i="15"/>
  <c r="ET79" i="15"/>
  <c r="ES79" i="15"/>
  <c r="EU79" i="15"/>
  <c r="ET121" i="15"/>
  <c r="ES121" i="15"/>
  <c r="EU121" i="15"/>
  <c r="EX68" i="15"/>
  <c r="EZ68" i="15"/>
  <c r="EY68" i="15"/>
  <c r="ET89" i="15"/>
  <c r="ES89" i="15"/>
  <c r="EU89" i="15"/>
  <c r="EX312" i="15"/>
  <c r="EZ312" i="15"/>
  <c r="EY312" i="15"/>
  <c r="EX142" i="15"/>
  <c r="EZ142" i="15"/>
  <c r="EY142" i="15"/>
  <c r="EX274" i="15"/>
  <c r="EZ274" i="15"/>
  <c r="EY274" i="15"/>
  <c r="EX42" i="15"/>
  <c r="EZ42" i="15"/>
  <c r="EY42" i="15"/>
  <c r="EX158" i="15"/>
  <c r="EZ158" i="15"/>
  <c r="EY158" i="15"/>
  <c r="EX282" i="15"/>
  <c r="EZ282" i="15"/>
  <c r="EY282" i="15"/>
  <c r="EX300" i="15"/>
  <c r="EZ300" i="15"/>
  <c r="EY300" i="15"/>
  <c r="EX286" i="15"/>
  <c r="EZ286" i="15"/>
  <c r="EY286" i="15"/>
  <c r="EX278" i="15"/>
  <c r="EZ278" i="15"/>
  <c r="EY278" i="15"/>
  <c r="EY119" i="15"/>
  <c r="EX119" i="15"/>
  <c r="EZ119" i="15"/>
  <c r="EX116" i="15"/>
  <c r="EZ116" i="15"/>
  <c r="EY116" i="15"/>
  <c r="AQ44" i="65"/>
  <c r="K44" i="5" s="1"/>
  <c r="CB44" i="15"/>
  <c r="BO44" i="15"/>
  <c r="BV44" i="15"/>
  <c r="FT44" i="15"/>
  <c r="BY44" i="15"/>
  <c r="AT44" i="65" s="1"/>
  <c r="N44" i="5" s="1"/>
  <c r="AU44" i="73" s="1"/>
  <c r="CA36" i="15"/>
  <c r="AV36" i="65" s="1"/>
  <c r="P36" i="5" s="1"/>
  <c r="BQ36" i="15"/>
  <c r="AS36" i="65"/>
  <c r="M36" i="5" s="1"/>
  <c r="CD36" i="15"/>
  <c r="BY49" i="15"/>
  <c r="AT49" i="65" s="1"/>
  <c r="N49" i="5" s="1"/>
  <c r="AU49" i="73" s="1"/>
  <c r="BV49" i="15"/>
  <c r="CB49" i="15"/>
  <c r="BO49" i="15"/>
  <c r="AQ49" i="65"/>
  <c r="K49" i="5" s="1"/>
  <c r="FT49" i="15"/>
  <c r="BO78" i="15"/>
  <c r="FT78" i="15"/>
  <c r="BV78" i="15"/>
  <c r="CB78" i="15"/>
  <c r="AQ78" i="65"/>
  <c r="K78" i="5" s="1"/>
  <c r="BY78" i="15"/>
  <c r="AT78" i="65" s="1"/>
  <c r="N78" i="5" s="1"/>
  <c r="AU78" i="73" s="1"/>
  <c r="BQ44" i="15"/>
  <c r="CA44" i="15"/>
  <c r="AV44" i="65" s="1"/>
  <c r="P44" i="5" s="1"/>
  <c r="CD44" i="15"/>
  <c r="AS44" i="65"/>
  <c r="M44" i="5" s="1"/>
  <c r="BQ78" i="15"/>
  <c r="AS78" i="65"/>
  <c r="M78" i="5" s="1"/>
  <c r="CD78" i="15"/>
  <c r="CA78" i="15"/>
  <c r="AV78" i="65" s="1"/>
  <c r="P78" i="5" s="1"/>
  <c r="AW78" i="73" s="1"/>
  <c r="FT36" i="15"/>
  <c r="BV36" i="15"/>
  <c r="BO36" i="15"/>
  <c r="AQ36" i="65"/>
  <c r="K36" i="5" s="1"/>
  <c r="CB36" i="15"/>
  <c r="CD49" i="15"/>
  <c r="CA49" i="15"/>
  <c r="AV49" i="65" s="1"/>
  <c r="P49" i="5" s="1"/>
  <c r="AW49" i="73" s="1"/>
  <c r="AS49" i="65"/>
  <c r="M49" i="5" s="1"/>
  <c r="BQ49" i="15"/>
  <c r="BN52" i="15"/>
  <c r="BL70" i="15"/>
  <c r="BN25" i="15"/>
  <c r="BN69" i="15"/>
  <c r="BN29" i="15"/>
  <c r="BN28" i="15"/>
  <c r="BL33" i="15"/>
  <c r="BN46" i="15"/>
  <c r="BL40" i="15"/>
  <c r="BL24" i="15"/>
  <c r="BL53" i="15"/>
  <c r="DD102" i="15"/>
  <c r="DG102" i="15" s="1"/>
  <c r="DC102" i="15"/>
  <c r="AY102" i="65" s="1"/>
  <c r="S102" i="5" s="1"/>
  <c r="DE102" i="15"/>
  <c r="DH102" i="15" s="1"/>
  <c r="AX102" i="65"/>
  <c r="R102" i="5" s="1"/>
  <c r="BL72" i="15"/>
  <c r="BN72" i="15"/>
  <c r="BL52" i="15"/>
  <c r="BN70" i="15"/>
  <c r="BN35" i="15"/>
  <c r="BL35" i="15"/>
  <c r="BL25" i="15"/>
  <c r="BL69" i="15"/>
  <c r="BL29" i="15"/>
  <c r="BL28" i="15"/>
  <c r="BN33" i="15"/>
  <c r="BN31" i="15"/>
  <c r="BL31" i="15"/>
  <c r="BL46" i="15"/>
  <c r="BN40" i="15"/>
  <c r="BN24" i="15"/>
  <c r="BN53" i="15"/>
  <c r="BN65" i="15"/>
  <c r="BL65" i="15"/>
  <c r="BS105" i="15"/>
  <c r="EV105" i="15"/>
  <c r="CH105" i="15" s="1"/>
  <c r="BT93" i="15"/>
  <c r="BS93" i="15" s="1"/>
  <c r="FC125" i="15"/>
  <c r="FB125" i="15" s="1"/>
  <c r="FA125" i="15" s="1"/>
  <c r="BG125" i="65" s="1"/>
  <c r="AG125" i="5" s="1"/>
  <c r="CE47" i="15"/>
  <c r="ER47" i="15" s="1"/>
  <c r="BU63" i="15"/>
  <c r="BT48" i="15"/>
  <c r="BS48" i="15" s="1"/>
  <c r="ER62" i="15"/>
  <c r="CF123" i="15"/>
  <c r="CF109" i="15"/>
  <c r="EW109" i="15" s="1"/>
  <c r="AU123" i="65"/>
  <c r="O123" i="5" s="1"/>
  <c r="AV123" i="73" s="1"/>
  <c r="CE109" i="15"/>
  <c r="EV109" i="15" s="1"/>
  <c r="CH42" i="15"/>
  <c r="AW42" i="65" s="1"/>
  <c r="Q42" i="5" s="1"/>
  <c r="BA42" i="73" s="1"/>
  <c r="BS42" i="15"/>
  <c r="FC109" i="15"/>
  <c r="FB109" i="15" s="1"/>
  <c r="FA109" i="15" s="1"/>
  <c r="BG109" i="65" s="1"/>
  <c r="AG109" i="5" s="1"/>
  <c r="EV121" i="15"/>
  <c r="CH121" i="15" s="1"/>
  <c r="CT121" i="15" s="1"/>
  <c r="CT116" i="15"/>
  <c r="CW116" i="15" s="1"/>
  <c r="CR116" i="15"/>
  <c r="AW116" i="65"/>
  <c r="Q116" i="5" s="1"/>
  <c r="BA116" i="73" s="1"/>
  <c r="BU121" i="15"/>
  <c r="BS121" i="15" s="1"/>
  <c r="CS122" i="15"/>
  <c r="CV122" i="15" s="1"/>
  <c r="CW122" i="15"/>
  <c r="AW122" i="65"/>
  <c r="Q122" i="5" s="1"/>
  <c r="BA122" i="73" s="1"/>
  <c r="CT122" i="15"/>
  <c r="CR122" i="15"/>
  <c r="CR119" i="15"/>
  <c r="CT119" i="15"/>
  <c r="AW119" i="65"/>
  <c r="Q119" i="5" s="1"/>
  <c r="BA119" i="73" s="1"/>
  <c r="CW119" i="15"/>
  <c r="CU119" i="15"/>
  <c r="CV119" i="15"/>
  <c r="AR49" i="65"/>
  <c r="L49" i="5" s="1"/>
  <c r="BP49" i="15"/>
  <c r="CC49" i="15"/>
  <c r="BZ49" i="15"/>
  <c r="AU49" i="65" s="1"/>
  <c r="O49" i="5" s="1"/>
  <c r="AV49" i="73" s="1"/>
  <c r="FU49" i="15"/>
  <c r="AR36" i="65"/>
  <c r="L36" i="5" s="1"/>
  <c r="FU36" i="15"/>
  <c r="CC36" i="15"/>
  <c r="BZ36" i="15"/>
  <c r="AU36" i="65" s="1"/>
  <c r="O36" i="5" s="1"/>
  <c r="BP36" i="15"/>
  <c r="AR78" i="65"/>
  <c r="L78" i="5" s="1"/>
  <c r="BZ78" i="15"/>
  <c r="AU78" i="65" s="1"/>
  <c r="O78" i="5" s="1"/>
  <c r="AV78" i="73" s="1"/>
  <c r="CC78" i="15"/>
  <c r="FU78" i="15"/>
  <c r="FC79" i="15" s="1"/>
  <c r="FB79" i="15" s="1"/>
  <c r="FA79" i="15" s="1"/>
  <c r="BG79" i="65" s="1"/>
  <c r="AG79" i="5" s="1"/>
  <c r="BP78" i="15"/>
  <c r="BP44" i="15"/>
  <c r="BZ44" i="15"/>
  <c r="AR44" i="65"/>
  <c r="L44" i="5" s="1"/>
  <c r="FU44" i="15"/>
  <c r="CC44" i="15"/>
  <c r="BM33" i="15"/>
  <c r="BM24" i="15"/>
  <c r="EW91" i="15"/>
  <c r="EW89" i="15"/>
  <c r="DD81" i="15"/>
  <c r="DG81" i="15" s="1"/>
  <c r="CT282" i="15"/>
  <c r="CV282" i="15"/>
  <c r="AW282" i="65"/>
  <c r="CR282" i="15"/>
  <c r="CW282" i="15"/>
  <c r="CT300" i="15"/>
  <c r="CR300" i="15"/>
  <c r="CV300" i="15"/>
  <c r="CW300" i="15"/>
  <c r="AW300" i="65"/>
  <c r="AW286" i="65"/>
  <c r="CR286" i="15"/>
  <c r="CW286" i="15"/>
  <c r="CT286" i="15"/>
  <c r="CV286" i="15"/>
  <c r="CT290" i="15"/>
  <c r="CR290" i="15"/>
  <c r="CW290" i="15"/>
  <c r="AW290" i="65"/>
  <c r="CV290" i="15"/>
  <c r="DD296" i="15"/>
  <c r="DG296" i="15" s="1"/>
  <c r="CW296" i="15"/>
  <c r="CS296" i="15"/>
  <c r="CR296" i="15"/>
  <c r="CU296" i="15"/>
  <c r="DF296" i="15"/>
  <c r="DI296" i="15" s="1"/>
  <c r="BB296" i="65" s="1"/>
  <c r="AW296" i="65"/>
  <c r="CV296" i="15"/>
  <c r="CT296" i="15"/>
  <c r="AU107" i="65"/>
  <c r="O107" i="5" s="1"/>
  <c r="AV107" i="73" s="1"/>
  <c r="CE107" i="15"/>
  <c r="BM72" i="15"/>
  <c r="BM52" i="15"/>
  <c r="BM70" i="15"/>
  <c r="BM35" i="15"/>
  <c r="BM25" i="15"/>
  <c r="BM69" i="15"/>
  <c r="BM29" i="15"/>
  <c r="BM28" i="15"/>
  <c r="BM31" i="15"/>
  <c r="BM46" i="15"/>
  <c r="BM40" i="15"/>
  <c r="BM53" i="15"/>
  <c r="BM65" i="15"/>
  <c r="EV91" i="15"/>
  <c r="CH91" i="15" s="1"/>
  <c r="BU91" i="15"/>
  <c r="BT91" i="15"/>
  <c r="EW90" i="15"/>
  <c r="BU90" i="15"/>
  <c r="EV90" i="15"/>
  <c r="CH90" i="15" s="1"/>
  <c r="BT90" i="15"/>
  <c r="BS90" i="15" s="1"/>
  <c r="EV89" i="15"/>
  <c r="CH89" i="15" s="1"/>
  <c r="BU89" i="15"/>
  <c r="BT89" i="15"/>
  <c r="CT298" i="15"/>
  <c r="CR298" i="15"/>
  <c r="AW298" i="65"/>
  <c r="CW298" i="15"/>
  <c r="CV298" i="15"/>
  <c r="CT312" i="15"/>
  <c r="CR312" i="15"/>
  <c r="CS312" i="15"/>
  <c r="CW312" i="15"/>
  <c r="CV312" i="15"/>
  <c r="AW312" i="65"/>
  <c r="CR142" i="15"/>
  <c r="CW142" i="15"/>
  <c r="AW142" i="65"/>
  <c r="CV142" i="15"/>
  <c r="CT142" i="15"/>
  <c r="DD150" i="15"/>
  <c r="DG150" i="15" s="1"/>
  <c r="AW274" i="65"/>
  <c r="CT274" i="15"/>
  <c r="CW274" i="15"/>
  <c r="CR274" i="15"/>
  <c r="DD274" i="15"/>
  <c r="DG274" i="15" s="1"/>
  <c r="CV274" i="15"/>
  <c r="CS274" i="15"/>
  <c r="CW158" i="15"/>
  <c r="CV158" i="15"/>
  <c r="AW158" i="65"/>
  <c r="CT158" i="15"/>
  <c r="CR158" i="15"/>
  <c r="AX100" i="65"/>
  <c r="R100" i="5" s="1"/>
  <c r="CV278" i="15"/>
  <c r="CR278" i="15"/>
  <c r="AW278" i="65"/>
  <c r="CW278" i="15"/>
  <c r="CU278" i="15"/>
  <c r="CT278" i="15"/>
  <c r="CT55" i="15"/>
  <c r="CR55" i="15"/>
  <c r="CT63" i="15"/>
  <c r="CR63" i="15"/>
  <c r="AW63" i="65"/>
  <c r="Q63" i="5" s="1"/>
  <c r="BA63" i="73" s="1"/>
  <c r="AW67" i="65"/>
  <c r="Q67" i="5" s="1"/>
  <c r="BA67" i="73" s="1"/>
  <c r="CT67" i="15"/>
  <c r="CW67" i="15" s="1"/>
  <c r="CR67" i="15"/>
  <c r="Z306" i="5"/>
  <c r="Z318" i="5"/>
  <c r="Z128" i="5"/>
  <c r="Z268" i="5"/>
  <c r="Z294" i="5"/>
  <c r="DD252" i="15"/>
  <c r="DG252" i="15" s="1"/>
  <c r="Z232" i="5"/>
  <c r="Z332" i="5"/>
  <c r="Z342" i="5"/>
  <c r="Z186" i="5"/>
  <c r="Z234" i="5"/>
  <c r="Z188" i="5"/>
  <c r="DD340" i="15"/>
  <c r="DG340" i="15" s="1"/>
  <c r="Z144" i="5"/>
  <c r="Z218" i="5"/>
  <c r="DD224" i="15"/>
  <c r="DG224" i="15" s="1"/>
  <c r="Z254" i="5"/>
  <c r="Z242" i="5"/>
  <c r="Z246" i="5"/>
  <c r="DD130" i="15"/>
  <c r="DG130" i="15" s="1"/>
  <c r="DD234" i="15"/>
  <c r="DG234" i="15" s="1"/>
  <c r="DD336" i="15"/>
  <c r="DG336" i="15" s="1"/>
  <c r="Z212" i="5"/>
  <c r="Z216" i="5"/>
  <c r="Z192" i="5"/>
  <c r="Z262" i="5"/>
  <c r="Z264" i="5"/>
  <c r="Z162" i="5"/>
  <c r="Z174" i="5"/>
  <c r="Z238" i="5"/>
  <c r="DD248" i="15"/>
  <c r="DG248" i="15" s="1"/>
  <c r="Z348" i="5"/>
  <c r="DD232" i="15"/>
  <c r="DG232" i="15" s="1"/>
  <c r="Z178" i="5"/>
  <c r="DD210" i="15"/>
  <c r="DG210" i="15" s="1"/>
  <c r="Z196" i="5"/>
  <c r="DD264" i="15"/>
  <c r="DG264" i="15" s="1"/>
  <c r="DD162" i="15"/>
  <c r="DG162" i="15" s="1"/>
  <c r="Z302" i="5"/>
  <c r="DD188" i="15"/>
  <c r="DG188" i="15" s="1"/>
  <c r="DD184" i="15"/>
  <c r="DG184" i="15" s="1"/>
  <c r="DD236" i="15"/>
  <c r="DG236" i="15" s="1"/>
  <c r="Z258" i="5"/>
  <c r="DD254" i="15"/>
  <c r="DG254" i="15" s="1"/>
  <c r="DD176" i="15"/>
  <c r="DG176" i="15" s="1"/>
  <c r="DD338" i="15"/>
  <c r="DG338" i="15" s="1"/>
  <c r="DD196" i="15"/>
  <c r="DG196" i="15" s="1"/>
  <c r="DD260" i="15"/>
  <c r="DG260" i="15" s="1"/>
  <c r="DD222" i="15"/>
  <c r="DG222" i="15" s="1"/>
  <c r="Z252" i="5"/>
  <c r="Z308" i="5"/>
  <c r="Z176" i="5"/>
  <c r="Z220" i="5"/>
  <c r="Z130" i="5"/>
  <c r="Z260" i="5"/>
  <c r="Z334" i="5"/>
  <c r="DD244" i="15"/>
  <c r="DG244" i="15" s="1"/>
  <c r="DD328" i="15"/>
  <c r="DG328" i="15" s="1"/>
  <c r="DD250" i="15"/>
  <c r="DG250" i="15" s="1"/>
  <c r="Z134" i="5"/>
  <c r="DD146" i="15"/>
  <c r="DG146" i="15" s="1"/>
  <c r="Z326" i="5"/>
  <c r="Z256" i="5"/>
  <c r="DD220" i="15"/>
  <c r="DG220" i="15" s="1"/>
  <c r="DD346" i="15"/>
  <c r="DG346" i="15" s="1"/>
  <c r="DD238" i="15"/>
  <c r="DG238" i="15" s="1"/>
  <c r="Z340" i="5"/>
  <c r="Z344" i="5"/>
  <c r="Z182" i="5"/>
  <c r="Z82" i="5"/>
  <c r="Z168" i="5"/>
  <c r="Z338" i="5"/>
  <c r="DD268" i="15"/>
  <c r="DG268" i="15" s="1"/>
  <c r="Z316" i="5"/>
  <c r="Z184" i="5"/>
  <c r="Z248" i="5"/>
  <c r="Z324" i="5"/>
  <c r="DD180" i="15"/>
  <c r="DG180" i="15" s="1"/>
  <c r="DD82" i="15"/>
  <c r="DG82" i="15" s="1"/>
  <c r="Z190" i="5"/>
  <c r="DD178" i="15"/>
  <c r="DG178" i="15" s="1"/>
  <c r="Z210" i="5"/>
  <c r="DD228" i="15"/>
  <c r="DG228" i="15" s="1"/>
  <c r="Z228" i="5"/>
  <c r="DD246" i="15"/>
  <c r="DG246" i="15" s="1"/>
  <c r="DD174" i="15"/>
  <c r="DG174" i="15" s="1"/>
  <c r="DD316" i="15"/>
  <c r="DG316" i="15" s="1"/>
  <c r="DD208" i="15"/>
  <c r="DG208" i="15" s="1"/>
  <c r="DD218" i="15"/>
  <c r="DG218" i="15" s="1"/>
  <c r="DD216" i="15"/>
  <c r="DG216" i="15" s="1"/>
  <c r="DD194" i="15"/>
  <c r="DG194" i="15" s="1"/>
  <c r="DD214" i="15"/>
  <c r="DG214" i="15" s="1"/>
  <c r="Z230" i="5"/>
  <c r="DD342" i="15"/>
  <c r="DG342" i="15" s="1"/>
  <c r="DD242" i="15"/>
  <c r="DG242" i="15" s="1"/>
  <c r="DD262" i="15"/>
  <c r="DG262" i="15" s="1"/>
  <c r="Z208" i="5"/>
  <c r="DD226" i="15"/>
  <c r="DG226" i="15" s="1"/>
  <c r="DD344" i="15"/>
  <c r="DG344" i="15" s="1"/>
  <c r="DD332" i="15"/>
  <c r="DG332" i="15" s="1"/>
  <c r="AW68" i="65"/>
  <c r="Q68" i="5" s="1"/>
  <c r="BA68" i="73" s="1"/>
  <c r="CS68" i="15"/>
  <c r="CR68" i="15"/>
  <c r="Z194" i="5"/>
  <c r="Z132" i="5"/>
  <c r="DD256" i="15"/>
  <c r="DG256" i="15" s="1"/>
  <c r="Z314" i="5"/>
  <c r="Z202" i="5"/>
  <c r="Z328" i="5"/>
  <c r="Z200" i="5"/>
  <c r="Z214" i="5"/>
  <c r="Z270" i="5"/>
  <c r="DD204" i="15"/>
  <c r="DG204" i="15" s="1"/>
  <c r="Z160" i="5"/>
  <c r="Z250" i="5"/>
  <c r="Z226" i="5"/>
  <c r="DD324" i="15"/>
  <c r="DG324" i="15" s="1"/>
  <c r="Z180" i="5"/>
  <c r="Z198" i="5"/>
  <c r="Z222" i="5"/>
  <c r="Z102" i="5"/>
  <c r="DD190" i="15"/>
  <c r="DG190" i="15" s="1"/>
  <c r="DD230" i="15"/>
  <c r="DG230" i="15" s="1"/>
  <c r="DD202" i="15"/>
  <c r="DG202" i="15" s="1"/>
  <c r="Z346" i="5"/>
  <c r="Z204" i="5"/>
  <c r="Z244" i="5"/>
  <c r="DD266" i="15"/>
  <c r="DG266" i="15" s="1"/>
  <c r="Z148" i="5"/>
  <c r="Z236" i="5"/>
  <c r="Z146" i="5"/>
  <c r="Z224" i="5"/>
  <c r="Z240" i="5"/>
  <c r="Z330" i="5"/>
  <c r="Z336" i="5"/>
  <c r="Z206" i="5"/>
  <c r="Z266" i="5"/>
  <c r="Z322" i="5"/>
  <c r="DD212" i="15"/>
  <c r="DG212" i="15" s="1"/>
  <c r="DD258" i="15"/>
  <c r="DG258" i="15" s="1"/>
  <c r="Z310" i="5"/>
  <c r="CH93" i="15"/>
  <c r="EW107" i="15"/>
  <c r="BS63" i="15"/>
  <c r="EW79" i="15"/>
  <c r="EV79" i="15"/>
  <c r="CH79" i="15" s="1"/>
  <c r="BT79" i="15"/>
  <c r="BS79" i="15" s="1"/>
  <c r="BU79" i="15"/>
  <c r="EW66" i="15"/>
  <c r="BU66" i="15"/>
  <c r="BT66" i="15"/>
  <c r="BS66" i="15" s="1"/>
  <c r="EV66" i="15"/>
  <c r="CH66" i="15" s="1"/>
  <c r="EW62" i="15"/>
  <c r="BU62" i="15"/>
  <c r="EV62" i="15"/>
  <c r="CH62" i="15" s="1"/>
  <c r="BT62" i="15"/>
  <c r="BS62" i="15" s="1"/>
  <c r="BS67" i="15"/>
  <c r="DA55" i="15"/>
  <c r="CY55" i="15"/>
  <c r="CZ55" i="15"/>
  <c r="DB55" i="15" s="1"/>
  <c r="H37" i="5"/>
  <c r="AL37" i="65" s="1"/>
  <c r="GK37" i="15"/>
  <c r="GK41" i="15"/>
  <c r="H41" i="5"/>
  <c r="AL41" i="65" s="1"/>
  <c r="HT57" i="15"/>
  <c r="HW57" i="15" s="1"/>
  <c r="HV57" i="15"/>
  <c r="HU57" i="15"/>
  <c r="HY57" i="15"/>
  <c r="HX57" i="15"/>
  <c r="HT71" i="15"/>
  <c r="HW71" i="15" s="1"/>
  <c r="HU71" i="15"/>
  <c r="HX71" i="15" s="1"/>
  <c r="HV71" i="15"/>
  <c r="HY71" i="15" s="1"/>
  <c r="HT54" i="15"/>
  <c r="HW54" i="15" s="1"/>
  <c r="HV54" i="15"/>
  <c r="HU54" i="15"/>
  <c r="HY54" i="15"/>
  <c r="HX54" i="15"/>
  <c r="HT32" i="15"/>
  <c r="HW32" i="15" s="1"/>
  <c r="BH32" i="15" s="1"/>
  <c r="HV32" i="15"/>
  <c r="HY32" i="15" s="1"/>
  <c r="BK32" i="15" s="1"/>
  <c r="HU32" i="15"/>
  <c r="HX32" i="15" s="1"/>
  <c r="BJ32" i="15" s="1"/>
  <c r="HT50" i="15"/>
  <c r="HV50" i="15"/>
  <c r="HU50" i="15"/>
  <c r="HX50" i="15" s="1"/>
  <c r="HY50" i="15"/>
  <c r="HW50" i="15"/>
  <c r="HT59" i="15"/>
  <c r="HW59" i="15" s="1"/>
  <c r="HU59" i="15"/>
  <c r="HX59" i="15" s="1"/>
  <c r="HV59" i="15"/>
  <c r="HY59" i="15" s="1"/>
  <c r="HT45" i="15"/>
  <c r="HW45" i="15" s="1"/>
  <c r="BH45" i="15" s="1"/>
  <c r="HV45" i="15"/>
  <c r="HY45" i="15" s="1"/>
  <c r="BK45" i="15" s="1"/>
  <c r="HU45" i="15"/>
  <c r="HX45" i="15" s="1"/>
  <c r="BJ45" i="15" s="1"/>
  <c r="HU23" i="15"/>
  <c r="HX23" i="15" s="1"/>
  <c r="BJ23" i="15" s="1"/>
  <c r="HV23" i="15"/>
  <c r="HT23" i="15"/>
  <c r="HW23" i="15" s="1"/>
  <c r="BH23" i="15" s="1"/>
  <c r="HY23" i="15"/>
  <c r="BK23" i="15" s="1"/>
  <c r="HT60" i="15"/>
  <c r="HW60" i="15" s="1"/>
  <c r="HU60" i="15"/>
  <c r="HX60" i="15" s="1"/>
  <c r="HV60" i="15"/>
  <c r="HY60" i="15" s="1"/>
  <c r="GK58" i="15"/>
  <c r="H58" i="5"/>
  <c r="AL58" i="65" s="1"/>
  <c r="GK34" i="15"/>
  <c r="H34" i="5"/>
  <c r="AL34" i="65" s="1"/>
  <c r="GK51" i="15"/>
  <c r="H51" i="5"/>
  <c r="AL51" i="65" s="1"/>
  <c r="H39" i="5"/>
  <c r="AL39" i="65" s="1"/>
  <c r="GK39" i="15"/>
  <c r="H43" i="5"/>
  <c r="AL43" i="65" s="1"/>
  <c r="GK43" i="15"/>
  <c r="EW47" i="15"/>
  <c r="HT64" i="15"/>
  <c r="HW64" i="15" s="1"/>
  <c r="HU64" i="15"/>
  <c r="HV64" i="15"/>
  <c r="HY64" i="15" s="1"/>
  <c r="HX64" i="15"/>
  <c r="HT56" i="15"/>
  <c r="HW56" i="15" s="1"/>
  <c r="HV56" i="15"/>
  <c r="HU56" i="15"/>
  <c r="HY56" i="15"/>
  <c r="HX56" i="15"/>
  <c r="HV27" i="15"/>
  <c r="HY27" i="15" s="1"/>
  <c r="BK27" i="15" s="1"/>
  <c r="HT27" i="15"/>
  <c r="HU27" i="15"/>
  <c r="HX27" i="15" s="1"/>
  <c r="BJ27" i="15" s="1"/>
  <c r="HW27" i="15"/>
  <c r="BH27" i="15" s="1"/>
  <c r="HV30" i="15"/>
  <c r="HY30" i="15" s="1"/>
  <c r="BK30" i="15" s="1"/>
  <c r="HU30" i="15"/>
  <c r="HX30" i="15" s="1"/>
  <c r="BJ30" i="15" s="1"/>
  <c r="HT30" i="15"/>
  <c r="HW30" i="15" s="1"/>
  <c r="BH30" i="15" s="1"/>
  <c r="CZ61" i="15"/>
  <c r="DB61" i="15" s="1"/>
  <c r="HT22" i="15"/>
  <c r="HV22" i="15"/>
  <c r="HU22" i="15"/>
  <c r="HX22" i="15" s="1"/>
  <c r="BJ22" i="15" s="1"/>
  <c r="HY22" i="15"/>
  <c r="BK22" i="15" s="1"/>
  <c r="HW22" i="15"/>
  <c r="BH22" i="15" s="1"/>
  <c r="HV77" i="15"/>
  <c r="HY77" i="15" s="1"/>
  <c r="HT77" i="15"/>
  <c r="HW77" i="15" s="1"/>
  <c r="HU77" i="15"/>
  <c r="HX77" i="15" s="1"/>
  <c r="HT76" i="15"/>
  <c r="HW76" i="15" s="1"/>
  <c r="HU76" i="15"/>
  <c r="HX76" i="15" s="1"/>
  <c r="HV76" i="15"/>
  <c r="HY76" i="15" s="1"/>
  <c r="HT75" i="15"/>
  <c r="HW75" i="15" s="1"/>
  <c r="HU75" i="15"/>
  <c r="HX75" i="15" s="1"/>
  <c r="HV75" i="15"/>
  <c r="HY75" i="15" s="1"/>
  <c r="HT74" i="15"/>
  <c r="HW74" i="15" s="1"/>
  <c r="HU74" i="15"/>
  <c r="HX74" i="15" s="1"/>
  <c r="HV74" i="15"/>
  <c r="HY74" i="15" s="1"/>
  <c r="HU73" i="15"/>
  <c r="HX73" i="15" s="1"/>
  <c r="HT73" i="15"/>
  <c r="HV73" i="15"/>
  <c r="HY73" i="15" s="1"/>
  <c r="HW73" i="15"/>
  <c r="CZ63" i="15"/>
  <c r="DB63" i="15" s="1"/>
  <c r="CY63" i="15"/>
  <c r="DA63" i="15"/>
  <c r="CY79" i="15"/>
  <c r="CZ79" i="15"/>
  <c r="DB79" i="15" s="1"/>
  <c r="DA79" i="15"/>
  <c r="AN16" i="65"/>
  <c r="AP16" i="65" s="1"/>
  <c r="DA125" i="15"/>
  <c r="DC94" i="15"/>
  <c r="AY94" i="65" s="1"/>
  <c r="S94" i="5" s="1"/>
  <c r="AX94" i="65"/>
  <c r="R94" i="5" s="1"/>
  <c r="DC127" i="15"/>
  <c r="AY127" i="65" s="1"/>
  <c r="S127" i="5" s="1"/>
  <c r="AX127" i="65"/>
  <c r="R127" i="5" s="1"/>
  <c r="DC97" i="15"/>
  <c r="AY97" i="65" s="1"/>
  <c r="S97" i="5" s="1"/>
  <c r="AX97" i="65"/>
  <c r="R97" i="5" s="1"/>
  <c r="DC106" i="15"/>
  <c r="AY106" i="65" s="1"/>
  <c r="S106" i="5" s="1"/>
  <c r="AX106" i="65"/>
  <c r="R106" i="5" s="1"/>
  <c r="AX118" i="65"/>
  <c r="R118" i="5" s="1"/>
  <c r="DC118" i="15"/>
  <c r="AY118" i="65" s="1"/>
  <c r="S118" i="5" s="1"/>
  <c r="AX120" i="65"/>
  <c r="R120" i="5" s="1"/>
  <c r="DC120" i="15"/>
  <c r="AY120" i="65" s="1"/>
  <c r="S120" i="5" s="1"/>
  <c r="AX122" i="65"/>
  <c r="R122" i="5" s="1"/>
  <c r="DC122" i="15"/>
  <c r="AY122" i="65" s="1"/>
  <c r="S122" i="5" s="1"/>
  <c r="AX126" i="65"/>
  <c r="R126" i="5" s="1"/>
  <c r="DC126" i="15"/>
  <c r="AY126" i="65" s="1"/>
  <c r="S126" i="5" s="1"/>
  <c r="AX99" i="65"/>
  <c r="R99" i="5" s="1"/>
  <c r="DC99" i="15"/>
  <c r="AY99" i="65" s="1"/>
  <c r="S99" i="5" s="1"/>
  <c r="DC108" i="15"/>
  <c r="AY108" i="65" s="1"/>
  <c r="S108" i="5" s="1"/>
  <c r="AX108" i="65"/>
  <c r="R108" i="5" s="1"/>
  <c r="CZ123" i="15"/>
  <c r="DB123" i="15" s="1"/>
  <c r="CZ105" i="15"/>
  <c r="DB105" i="15" s="1"/>
  <c r="CZ125" i="15"/>
  <c r="DB125" i="15" s="1"/>
  <c r="DC117" i="15"/>
  <c r="AY117" i="65" s="1"/>
  <c r="S117" i="5" s="1"/>
  <c r="AX117" i="65"/>
  <c r="R117" i="5" s="1"/>
  <c r="DC115" i="15"/>
  <c r="AY115" i="65" s="1"/>
  <c r="S115" i="5" s="1"/>
  <c r="AX115" i="65"/>
  <c r="R115" i="5" s="1"/>
  <c r="DA93" i="15"/>
  <c r="CZ93" i="15"/>
  <c r="DB93" i="15" s="1"/>
  <c r="CY105" i="15"/>
  <c r="DA123" i="15"/>
  <c r="CZ89" i="15"/>
  <c r="DB89" i="15" s="1"/>
  <c r="DA89" i="15"/>
  <c r="CY89" i="15"/>
  <c r="Z100" i="5"/>
  <c r="Z80" i="5"/>
  <c r="CH48" i="15" l="1"/>
  <c r="AW44" i="73"/>
  <c r="AG296" i="65"/>
  <c r="AH297" i="65"/>
  <c r="AH177" i="65"/>
  <c r="AH136" i="65"/>
  <c r="CS275" i="15"/>
  <c r="CS231" i="15"/>
  <c r="BS110" i="15"/>
  <c r="CS299" i="15"/>
  <c r="CS112" i="15"/>
  <c r="AR36" i="73"/>
  <c r="AY83" i="73"/>
  <c r="AW26" i="73"/>
  <c r="AR26" i="73"/>
  <c r="AR78" i="73"/>
  <c r="AR49" i="73"/>
  <c r="AR44" i="73"/>
  <c r="AZ83" i="73"/>
  <c r="AZ87" i="73"/>
  <c r="AG68" i="65"/>
  <c r="AG119" i="65"/>
  <c r="AH233" i="65"/>
  <c r="AH311" i="65"/>
  <c r="AH295" i="65"/>
  <c r="AH277" i="65"/>
  <c r="AH145" i="65"/>
  <c r="AH165" i="65"/>
  <c r="AW117" i="65"/>
  <c r="Q117" i="5" s="1"/>
  <c r="BA117" i="73" s="1"/>
  <c r="CV117" i="15"/>
  <c r="AH288" i="65"/>
  <c r="AH138" i="65"/>
  <c r="CU122" i="15"/>
  <c r="AG122" i="65"/>
  <c r="DD286" i="15"/>
  <c r="DG286" i="15" s="1"/>
  <c r="AZ286" i="65" s="1"/>
  <c r="AG286" i="65"/>
  <c r="CU282" i="15"/>
  <c r="AG282" i="65"/>
  <c r="CU142" i="15"/>
  <c r="AG142" i="65"/>
  <c r="CU298" i="15"/>
  <c r="AG298" i="65"/>
  <c r="CU290" i="15"/>
  <c r="AG290" i="65"/>
  <c r="DD185" i="15"/>
  <c r="DG185" i="15" s="1"/>
  <c r="AG185" i="65"/>
  <c r="DD325" i="15"/>
  <c r="DG325" i="15" s="1"/>
  <c r="AG325" i="65"/>
  <c r="DD327" i="15"/>
  <c r="DG327" i="15" s="1"/>
  <c r="DJ327" i="15" s="1"/>
  <c r="EJ327" i="15" s="1"/>
  <c r="AG327" i="65"/>
  <c r="DD331" i="15"/>
  <c r="DG331" i="15" s="1"/>
  <c r="DJ331" i="15" s="1"/>
  <c r="EJ331" i="15" s="1"/>
  <c r="AG331" i="65"/>
  <c r="DD339" i="15"/>
  <c r="DG339" i="15" s="1"/>
  <c r="DJ339" i="15" s="1"/>
  <c r="EJ339" i="15" s="1"/>
  <c r="AG339" i="65"/>
  <c r="DD273" i="15"/>
  <c r="DG273" i="15" s="1"/>
  <c r="AZ273" i="65" s="1"/>
  <c r="AG273" i="65"/>
  <c r="DD231" i="15"/>
  <c r="DG231" i="15" s="1"/>
  <c r="AZ231" i="65" s="1"/>
  <c r="AG231" i="65"/>
  <c r="DD235" i="15"/>
  <c r="DG235" i="15" s="1"/>
  <c r="DJ235" i="15" s="1"/>
  <c r="EJ235" i="15" s="1"/>
  <c r="AG235" i="65"/>
  <c r="DD209" i="15"/>
  <c r="DG209" i="15" s="1"/>
  <c r="DJ209" i="15" s="1"/>
  <c r="EJ209" i="15" s="1"/>
  <c r="AG209" i="65"/>
  <c r="DD227" i="15"/>
  <c r="DG227" i="15" s="1"/>
  <c r="DJ227" i="15" s="1"/>
  <c r="EJ227" i="15" s="1"/>
  <c r="AG227" i="65"/>
  <c r="DD276" i="15"/>
  <c r="DG276" i="15" s="1"/>
  <c r="AG276" i="65"/>
  <c r="DD281" i="15"/>
  <c r="DG281" i="15" s="1"/>
  <c r="AZ281" i="65" s="1"/>
  <c r="AG281" i="65"/>
  <c r="DD223" i="15"/>
  <c r="DG223" i="15" s="1"/>
  <c r="DJ223" i="15" s="1"/>
  <c r="EJ223" i="15" s="1"/>
  <c r="AG223" i="65"/>
  <c r="DD347" i="15"/>
  <c r="DG347" i="15" s="1"/>
  <c r="AZ347" i="65" s="1"/>
  <c r="AG347" i="65"/>
  <c r="DD317" i="15"/>
  <c r="DG317" i="15" s="1"/>
  <c r="AZ317" i="65" s="1"/>
  <c r="AG317" i="65"/>
  <c r="DD271" i="15"/>
  <c r="DG271" i="15" s="1"/>
  <c r="DJ271" i="15" s="1"/>
  <c r="EJ271" i="15" s="1"/>
  <c r="AG271" i="65"/>
  <c r="DD217" i="15"/>
  <c r="DG217" i="15" s="1"/>
  <c r="AZ217" i="65" s="1"/>
  <c r="AG217" i="65"/>
  <c r="DD203" i="15"/>
  <c r="DG203" i="15" s="1"/>
  <c r="DJ203" i="15" s="1"/>
  <c r="EJ203" i="15" s="1"/>
  <c r="AG203" i="65"/>
  <c r="DD249" i="15"/>
  <c r="DG249" i="15" s="1"/>
  <c r="AZ249" i="65" s="1"/>
  <c r="AG249" i="65"/>
  <c r="CU102" i="15"/>
  <c r="CX102" i="15" s="1"/>
  <c r="AG102" i="65"/>
  <c r="DD293" i="15"/>
  <c r="DG293" i="15" s="1"/>
  <c r="AZ293" i="65" s="1"/>
  <c r="AG293" i="65"/>
  <c r="DD129" i="15"/>
  <c r="DG129" i="15" s="1"/>
  <c r="AZ129" i="65" s="1"/>
  <c r="AG129" i="65"/>
  <c r="DD112" i="15"/>
  <c r="DG112" i="15" s="1"/>
  <c r="DJ112" i="15" s="1"/>
  <c r="EJ112" i="15" s="1"/>
  <c r="AG112" i="65"/>
  <c r="DD272" i="15"/>
  <c r="DG272" i="15" s="1"/>
  <c r="DJ272" i="15" s="1"/>
  <c r="EJ272" i="15" s="1"/>
  <c r="AG272" i="65"/>
  <c r="DD280" i="15"/>
  <c r="DG280" i="15" s="1"/>
  <c r="DJ280" i="15" s="1"/>
  <c r="EJ280" i="15" s="1"/>
  <c r="AG280" i="65"/>
  <c r="DD299" i="15"/>
  <c r="DG299" i="15" s="1"/>
  <c r="AZ299" i="65" s="1"/>
  <c r="AG299" i="65"/>
  <c r="EM139" i="15"/>
  <c r="EL139" i="15"/>
  <c r="EK139" i="15"/>
  <c r="DJ137" i="15"/>
  <c r="EJ137" i="15" s="1"/>
  <c r="AZ137" i="65"/>
  <c r="AG67" i="65"/>
  <c r="AH195" i="65"/>
  <c r="AH291" i="65"/>
  <c r="AH287" i="65"/>
  <c r="AH279" i="65"/>
  <c r="AH172" i="65"/>
  <c r="AH171" i="65"/>
  <c r="AH161" i="65"/>
  <c r="AH179" i="65"/>
  <c r="AH247" i="65"/>
  <c r="AH292" i="65"/>
  <c r="AH151" i="65"/>
  <c r="AH149" i="65"/>
  <c r="AH166" i="65"/>
  <c r="AH155" i="65"/>
  <c r="AG85" i="65"/>
  <c r="CU116" i="15"/>
  <c r="AG116" i="65"/>
  <c r="CU300" i="15"/>
  <c r="AG300" i="65"/>
  <c r="DD158" i="15"/>
  <c r="DG158" i="15" s="1"/>
  <c r="AZ158" i="65" s="1"/>
  <c r="AG158" i="65"/>
  <c r="CU274" i="15"/>
  <c r="CX274" i="15" s="1"/>
  <c r="AG274" i="65"/>
  <c r="DD312" i="15"/>
  <c r="DG312" i="15" s="1"/>
  <c r="AZ312" i="65" s="1"/>
  <c r="AG312" i="65"/>
  <c r="CU63" i="15"/>
  <c r="AG63" i="65"/>
  <c r="DD278" i="15"/>
  <c r="DG278" i="15" s="1"/>
  <c r="AG278" i="65"/>
  <c r="CU55" i="15"/>
  <c r="CX55" i="15" s="1"/>
  <c r="AG55" i="65"/>
  <c r="DC100" i="15"/>
  <c r="AY100" i="65" s="1"/>
  <c r="S100" i="5" s="1"/>
  <c r="AX124" i="65"/>
  <c r="R124" i="5" s="1"/>
  <c r="DD289" i="15"/>
  <c r="DG289" i="15" s="1"/>
  <c r="AZ289" i="65" s="1"/>
  <c r="AG289" i="65"/>
  <c r="DD275" i="15"/>
  <c r="DG275" i="15" s="1"/>
  <c r="AG275" i="65"/>
  <c r="DD255" i="15"/>
  <c r="DG255" i="15" s="1"/>
  <c r="DJ255" i="15" s="1"/>
  <c r="EJ255" i="15" s="1"/>
  <c r="AG255" i="65"/>
  <c r="DD341" i="15"/>
  <c r="DG341" i="15" s="1"/>
  <c r="AZ341" i="65" s="1"/>
  <c r="AG341" i="65"/>
  <c r="DD141" i="15"/>
  <c r="DG141" i="15" s="1"/>
  <c r="AG141" i="65"/>
  <c r="DD315" i="15"/>
  <c r="DG315" i="15" s="1"/>
  <c r="DJ315" i="15" s="1"/>
  <c r="EJ315" i="15" s="1"/>
  <c r="AG315" i="65"/>
  <c r="DD304" i="15"/>
  <c r="DG304" i="15" s="1"/>
  <c r="AZ304" i="65" s="1"/>
  <c r="AG304" i="65"/>
  <c r="DD319" i="15"/>
  <c r="DG319" i="15" s="1"/>
  <c r="DJ319" i="15" s="1"/>
  <c r="EJ319" i="15" s="1"/>
  <c r="AG319" i="65"/>
  <c r="DD333" i="15"/>
  <c r="DG333" i="15" s="1"/>
  <c r="DJ333" i="15" s="1"/>
  <c r="EJ333" i="15" s="1"/>
  <c r="AG333" i="65"/>
  <c r="DD103" i="15"/>
  <c r="DG103" i="15" s="1"/>
  <c r="AG103" i="65"/>
  <c r="DD305" i="15"/>
  <c r="DG305" i="15" s="1"/>
  <c r="AZ305" i="65" s="1"/>
  <c r="AG305" i="65"/>
  <c r="DD267" i="15"/>
  <c r="DG267" i="15" s="1"/>
  <c r="AG267" i="65"/>
  <c r="DD285" i="15"/>
  <c r="DG285" i="15" s="1"/>
  <c r="AZ285" i="65" s="1"/>
  <c r="AG285" i="65"/>
  <c r="DD329" i="15"/>
  <c r="DG329" i="15" s="1"/>
  <c r="DJ329" i="15" s="1"/>
  <c r="EJ329" i="15" s="1"/>
  <c r="AG329" i="65"/>
  <c r="DD239" i="15"/>
  <c r="DG239" i="15" s="1"/>
  <c r="AG239" i="65"/>
  <c r="CU98" i="15"/>
  <c r="CX98" i="15" s="1"/>
  <c r="AG98" i="65"/>
  <c r="DD159" i="15"/>
  <c r="DG159" i="15" s="1"/>
  <c r="DJ159" i="15" s="1"/>
  <c r="EJ159" i="15" s="1"/>
  <c r="AG159" i="65"/>
  <c r="DD349" i="15"/>
  <c r="DG349" i="15" s="1"/>
  <c r="AZ349" i="65" s="1"/>
  <c r="AG349" i="65"/>
  <c r="AH335" i="65"/>
  <c r="AH343" i="65"/>
  <c r="AH197" i="65"/>
  <c r="AH205" i="65"/>
  <c r="AH323" i="65"/>
  <c r="AH173" i="65"/>
  <c r="AH152" i="65"/>
  <c r="AH170" i="65"/>
  <c r="AH189" i="65"/>
  <c r="AH284" i="65"/>
  <c r="AH301" i="65"/>
  <c r="AH309" i="65"/>
  <c r="AH303" i="65"/>
  <c r="AH283" i="65"/>
  <c r="AH320" i="65"/>
  <c r="AH131" i="65"/>
  <c r="AH133" i="65"/>
  <c r="AH140" i="65"/>
  <c r="AH147" i="65"/>
  <c r="AH156" i="65"/>
  <c r="AH154" i="65"/>
  <c r="AH137" i="65"/>
  <c r="DE278" i="15"/>
  <c r="DH278" i="15" s="1"/>
  <c r="DE158" i="15"/>
  <c r="DH158" i="15" s="1"/>
  <c r="CU158" i="15"/>
  <c r="CX158" i="15" s="1"/>
  <c r="DE300" i="15"/>
  <c r="DH300" i="15" s="1"/>
  <c r="DQ201" i="15"/>
  <c r="AA201" i="5" s="1"/>
  <c r="AB201" i="5" s="1"/>
  <c r="AW48" i="82"/>
  <c r="AW48" i="83"/>
  <c r="AW48" i="86"/>
  <c r="AW48" i="90"/>
  <c r="AW48" i="89"/>
  <c r="AW48" i="84"/>
  <c r="AW48" i="85"/>
  <c r="AW48" i="88"/>
  <c r="AW48" i="87"/>
  <c r="AW48" i="91"/>
  <c r="DQ181" i="15"/>
  <c r="AA181" i="5" s="1"/>
  <c r="AB181" i="5" s="1"/>
  <c r="AA139" i="5"/>
  <c r="AB139" i="5" s="1"/>
  <c r="DQ139" i="15"/>
  <c r="CV38" i="15"/>
  <c r="CR38" i="15"/>
  <c r="CU38" i="15" s="1"/>
  <c r="CW38" i="15"/>
  <c r="DE142" i="15"/>
  <c r="DH142" i="15" s="1"/>
  <c r="CU286" i="15"/>
  <c r="DE282" i="15"/>
  <c r="DH282" i="15" s="1"/>
  <c r="DC124" i="15"/>
  <c r="AY124" i="65" s="1"/>
  <c r="S124" i="5" s="1"/>
  <c r="AW61" i="88"/>
  <c r="AW61" i="86"/>
  <c r="AY87" i="83"/>
  <c r="AW113" i="65"/>
  <c r="Q113" i="5" s="1"/>
  <c r="BA113" i="73" s="1"/>
  <c r="CJ113" i="15"/>
  <c r="CS113" i="15" s="1"/>
  <c r="CV113" i="15" s="1"/>
  <c r="CU117" i="15"/>
  <c r="CW117" i="15"/>
  <c r="CJ117" i="15"/>
  <c r="CS117" i="15" s="1"/>
  <c r="CR117" i="15"/>
  <c r="ER93" i="15"/>
  <c r="AR26" i="83"/>
  <c r="BU93" i="15"/>
  <c r="CV105" i="15"/>
  <c r="CT105" i="15"/>
  <c r="CW105" i="15" s="1"/>
  <c r="CU68" i="15"/>
  <c r="CU67" i="15"/>
  <c r="CU312" i="15"/>
  <c r="CS290" i="15"/>
  <c r="EZ125" i="15"/>
  <c r="AW61" i="91"/>
  <c r="AW61" i="90"/>
  <c r="AW61" i="89"/>
  <c r="AW61" i="85"/>
  <c r="AW61" i="84"/>
  <c r="AW61" i="82"/>
  <c r="AW26" i="83"/>
  <c r="AW26" i="84"/>
  <c r="AW26" i="91"/>
  <c r="AW26" i="89"/>
  <c r="AW26" i="85"/>
  <c r="CE26" i="15"/>
  <c r="AU26" i="88"/>
  <c r="AU26" i="84"/>
  <c r="AU26" i="91"/>
  <c r="AU26" i="90"/>
  <c r="AU26" i="83"/>
  <c r="AR26" i="90"/>
  <c r="AR26" i="86"/>
  <c r="AR26" i="84"/>
  <c r="EL200" i="15"/>
  <c r="EM330" i="15"/>
  <c r="EK240" i="15"/>
  <c r="EK294" i="15"/>
  <c r="EK143" i="15"/>
  <c r="EL215" i="15"/>
  <c r="EM164" i="15"/>
  <c r="EM135" i="15"/>
  <c r="EM213" i="15"/>
  <c r="EM148" i="15"/>
  <c r="EK160" i="15"/>
  <c r="EL322" i="15"/>
  <c r="EM153" i="15"/>
  <c r="EL87" i="15"/>
  <c r="EK259" i="15"/>
  <c r="EM261" i="15"/>
  <c r="EK219" i="15"/>
  <c r="EM245" i="15"/>
  <c r="EN249" i="15"/>
  <c r="EO249" i="15" s="1"/>
  <c r="CE78" i="15"/>
  <c r="ER78" i="15" s="1"/>
  <c r="EU78" i="15" s="1"/>
  <c r="FC49" i="15"/>
  <c r="FB49" i="15" s="1"/>
  <c r="FA49" i="15" s="1"/>
  <c r="BG49" i="65" s="1"/>
  <c r="AG49" i="5" s="1"/>
  <c r="AY87" i="85"/>
  <c r="AW105" i="65"/>
  <c r="Q105" i="5" s="1"/>
  <c r="BA105" i="73" s="1"/>
  <c r="CF44" i="15"/>
  <c r="CE44" i="15"/>
  <c r="AY87" i="91"/>
  <c r="AY87" i="90"/>
  <c r="AY87" i="82"/>
  <c r="BU123" i="15"/>
  <c r="ER123" i="15"/>
  <c r="BT123" i="15"/>
  <c r="EV123" i="15"/>
  <c r="CH123" i="15" s="1"/>
  <c r="ER125" i="15"/>
  <c r="EV125" i="15"/>
  <c r="CH125" i="15" s="1"/>
  <c r="BU125" i="15"/>
  <c r="BT125" i="15"/>
  <c r="BS125" i="15" s="1"/>
  <c r="BR26" i="15"/>
  <c r="BR44" i="15"/>
  <c r="BR49" i="15"/>
  <c r="BT47" i="15"/>
  <c r="CS298" i="15"/>
  <c r="CS286" i="15"/>
  <c r="EL348" i="15"/>
  <c r="EK187" i="15"/>
  <c r="AY87" i="89"/>
  <c r="AY87" i="84"/>
  <c r="AY87" i="87"/>
  <c r="EK169" i="15"/>
  <c r="EK251" i="15"/>
  <c r="EK200" i="15"/>
  <c r="EL330" i="15"/>
  <c r="EM240" i="15"/>
  <c r="EK168" i="15"/>
  <c r="EM215" i="15"/>
  <c r="EK313" i="15"/>
  <c r="EK269" i="15"/>
  <c r="EM308" i="15"/>
  <c r="EL326" i="15"/>
  <c r="EM87" i="15"/>
  <c r="EK263" i="15"/>
  <c r="EK245" i="15"/>
  <c r="BS113" i="15"/>
  <c r="CF49" i="15"/>
  <c r="BR78" i="15"/>
  <c r="AY87" i="88"/>
  <c r="AY87" i="86"/>
  <c r="CS327" i="15"/>
  <c r="AZ83" i="86"/>
  <c r="CR105" i="15"/>
  <c r="AU44" i="65"/>
  <c r="O44" i="5" s="1"/>
  <c r="AV44" i="73" s="1"/>
  <c r="BS91" i="15"/>
  <c r="CS227" i="15"/>
  <c r="CU141" i="15"/>
  <c r="CX141" i="15" s="1"/>
  <c r="CS272" i="15"/>
  <c r="CX280" i="15"/>
  <c r="CS255" i="15"/>
  <c r="AZ83" i="82"/>
  <c r="CS285" i="15"/>
  <c r="BS126" i="15"/>
  <c r="CS239" i="15"/>
  <c r="CX299" i="15"/>
  <c r="BS97" i="15"/>
  <c r="CS325" i="15"/>
  <c r="CU325" i="15"/>
  <c r="CX281" i="15"/>
  <c r="CU285" i="15"/>
  <c r="CS293" i="15"/>
  <c r="CU129" i="15"/>
  <c r="CX129" i="15" s="1"/>
  <c r="CS129" i="15"/>
  <c r="CX112" i="15"/>
  <c r="CX159" i="15"/>
  <c r="CS159" i="15"/>
  <c r="CK101" i="15"/>
  <c r="CJ101" i="15"/>
  <c r="CT101" i="15"/>
  <c r="CW101" i="15"/>
  <c r="CR101" i="15"/>
  <c r="CI101" i="15"/>
  <c r="AW101" i="65"/>
  <c r="Q101" i="5" s="1"/>
  <c r="BA101" i="73" s="1"/>
  <c r="CS101" i="15"/>
  <c r="CV101" i="15" s="1"/>
  <c r="CI115" i="15"/>
  <c r="AW115" i="65"/>
  <c r="Q115" i="5" s="1"/>
  <c r="BA115" i="73" s="1"/>
  <c r="CT115" i="15"/>
  <c r="CW115" i="15" s="1"/>
  <c r="CK115" i="15"/>
  <c r="CJ115" i="15"/>
  <c r="CS115" i="15" s="1"/>
  <c r="CV115" i="15" s="1"/>
  <c r="CR115" i="15"/>
  <c r="CU115" i="15"/>
  <c r="CT99" i="15"/>
  <c r="AW99" i="65"/>
  <c r="Q99" i="5" s="1"/>
  <c r="BA99" i="73" s="1"/>
  <c r="CR99" i="15"/>
  <c r="CI99" i="15"/>
  <c r="CK99" i="15"/>
  <c r="CJ99" i="15"/>
  <c r="CS99" i="15" s="1"/>
  <c r="CV99" i="15" s="1"/>
  <c r="CW99" i="15"/>
  <c r="CK126" i="15"/>
  <c r="AW126" i="65"/>
  <c r="Q126" i="5" s="1"/>
  <c r="BA126" i="73" s="1"/>
  <c r="CW126" i="15"/>
  <c r="CR126" i="15"/>
  <c r="CJ126" i="15"/>
  <c r="CS126" i="15" s="1"/>
  <c r="CV126" i="15" s="1"/>
  <c r="CI126" i="15"/>
  <c r="CU126" i="15" s="1"/>
  <c r="CT126" i="15"/>
  <c r="CK111" i="15"/>
  <c r="CJ111" i="15"/>
  <c r="CS111" i="15" s="1"/>
  <c r="CV111" i="15" s="1"/>
  <c r="CR111" i="15"/>
  <c r="AW111" i="65"/>
  <c r="Q111" i="5" s="1"/>
  <c r="BA111" i="73" s="1"/>
  <c r="CI111" i="15"/>
  <c r="CT111" i="15"/>
  <c r="CW111" i="15" s="1"/>
  <c r="CJ110" i="15"/>
  <c r="CI110" i="15"/>
  <c r="CS110" i="15"/>
  <c r="CT110" i="15"/>
  <c r="CW110" i="15"/>
  <c r="CK110" i="15"/>
  <c r="AW110" i="65"/>
  <c r="CV110" i="15"/>
  <c r="CR110" i="15"/>
  <c r="CJ92" i="15"/>
  <c r="CI92" i="15"/>
  <c r="CR92" i="15"/>
  <c r="CW92" i="15"/>
  <c r="AW92" i="65"/>
  <c r="Q92" i="5" s="1"/>
  <c r="BA92" i="73" s="1"/>
  <c r="CK92" i="15"/>
  <c r="CV92" i="15"/>
  <c r="CT92" i="15"/>
  <c r="CS92" i="15"/>
  <c r="CK114" i="15"/>
  <c r="CT114" i="15"/>
  <c r="CW114" i="15"/>
  <c r="CJ114" i="15"/>
  <c r="CI114" i="15"/>
  <c r="CS114" i="15"/>
  <c r="CR114" i="15"/>
  <c r="AW114" i="65"/>
  <c r="Q114" i="5" s="1"/>
  <c r="BA114" i="73" s="1"/>
  <c r="CV114" i="15"/>
  <c r="CK106" i="15"/>
  <c r="CT106" i="15"/>
  <c r="CJ106" i="15"/>
  <c r="CS106" i="15" s="1"/>
  <c r="CV106" i="15" s="1"/>
  <c r="CI106" i="15"/>
  <c r="AW106" i="65"/>
  <c r="Q106" i="5" s="1"/>
  <c r="BA106" i="73" s="1"/>
  <c r="CW106" i="15"/>
  <c r="CR106" i="15"/>
  <c r="CU106" i="15"/>
  <c r="CK95" i="15"/>
  <c r="CJ95" i="15"/>
  <c r="AW95" i="65"/>
  <c r="Q95" i="5" s="1"/>
  <c r="BA95" i="73" s="1"/>
  <c r="CS95" i="15"/>
  <c r="CV95" i="15" s="1"/>
  <c r="CR95" i="15"/>
  <c r="CI95" i="15"/>
  <c r="CW95" i="15"/>
  <c r="CT95" i="15"/>
  <c r="CJ118" i="15"/>
  <c r="CS118" i="15" s="1"/>
  <c r="CV118" i="15" s="1"/>
  <c r="CI118" i="15"/>
  <c r="CR118" i="15"/>
  <c r="AW118" i="65"/>
  <c r="Q118" i="5" s="1"/>
  <c r="BA118" i="73" s="1"/>
  <c r="CW118" i="15"/>
  <c r="CK118" i="15"/>
  <c r="CT118" i="15"/>
  <c r="CJ120" i="15"/>
  <c r="CS120" i="15" s="1"/>
  <c r="CI120" i="15"/>
  <c r="CR120" i="15"/>
  <c r="CW120" i="15"/>
  <c r="CT120" i="15"/>
  <c r="AW120" i="65"/>
  <c r="Q120" i="5" s="1"/>
  <c r="BA120" i="73" s="1"/>
  <c r="CK120" i="15"/>
  <c r="CV120" i="15"/>
  <c r="CK97" i="15"/>
  <c r="CJ97" i="15"/>
  <c r="AW97" i="65"/>
  <c r="Q97" i="5" s="1"/>
  <c r="BA97" i="73" s="1"/>
  <c r="CT97" i="15"/>
  <c r="CR97" i="15"/>
  <c r="CI97" i="15"/>
  <c r="CW97" i="15"/>
  <c r="CS97" i="15"/>
  <c r="CV97" i="15" s="1"/>
  <c r="BT109" i="15"/>
  <c r="BS109" i="15" s="1"/>
  <c r="ER109" i="15"/>
  <c r="DJ249" i="15"/>
  <c r="EJ249" i="15" s="1"/>
  <c r="DK329" i="15"/>
  <c r="EN329" i="15"/>
  <c r="DR329" i="15"/>
  <c r="BA329" i="65"/>
  <c r="AZ329" i="65"/>
  <c r="ES101" i="15"/>
  <c r="ET101" i="15"/>
  <c r="EU101" i="15"/>
  <c r="ES117" i="15"/>
  <c r="ET117" i="15"/>
  <c r="EU117" i="15"/>
  <c r="EU94" i="15"/>
  <c r="ES94" i="15"/>
  <c r="ET94" i="15"/>
  <c r="CK94" i="15"/>
  <c r="CT94" i="15"/>
  <c r="CJ94" i="15"/>
  <c r="CS94" i="15" s="1"/>
  <c r="CV94" i="15" s="1"/>
  <c r="CI94" i="15"/>
  <c r="CR94" i="15"/>
  <c r="AW94" i="65"/>
  <c r="Q94" i="5" s="1"/>
  <c r="BA94" i="73" s="1"/>
  <c r="CW94" i="15"/>
  <c r="ES126" i="15"/>
  <c r="ET126" i="15"/>
  <c r="EU126" i="15"/>
  <c r="CJ96" i="15"/>
  <c r="CS96" i="15" s="1"/>
  <c r="CI96" i="15"/>
  <c r="CR96" i="15"/>
  <c r="CW96" i="15"/>
  <c r="CK96" i="15"/>
  <c r="CV96" i="15"/>
  <c r="CT96" i="15"/>
  <c r="AW96" i="65"/>
  <c r="DJ293" i="15"/>
  <c r="EJ293" i="15" s="1"/>
  <c r="AZ112" i="65"/>
  <c r="AZ272" i="65"/>
  <c r="AZ280" i="65"/>
  <c r="EU106" i="15"/>
  <c r="ES106" i="15"/>
  <c r="ET106" i="15"/>
  <c r="DJ299" i="15"/>
  <c r="EJ299" i="15" s="1"/>
  <c r="DR299" i="15"/>
  <c r="DK299" i="15"/>
  <c r="EN299" i="15"/>
  <c r="BA299" i="65"/>
  <c r="BA98" i="82"/>
  <c r="BA98" i="83"/>
  <c r="BA98" i="86"/>
  <c r="BA98" i="90"/>
  <c r="BA98" i="89"/>
  <c r="BA98" i="84"/>
  <c r="BA98" i="85"/>
  <c r="BA98" i="88"/>
  <c r="BA98" i="87"/>
  <c r="BA98" i="91"/>
  <c r="ES97" i="15"/>
  <c r="ET97" i="15"/>
  <c r="EU97" i="15"/>
  <c r="AZ159" i="65"/>
  <c r="DR349" i="15"/>
  <c r="EN349" i="15"/>
  <c r="BA349" i="65"/>
  <c r="DK349" i="15"/>
  <c r="DJ349" i="15"/>
  <c r="EJ349" i="15" s="1"/>
  <c r="CU327" i="15"/>
  <c r="CX327" i="15" s="1"/>
  <c r="CU331" i="15"/>
  <c r="CX331" i="15" s="1"/>
  <c r="CU273" i="15"/>
  <c r="CX273" i="15" s="1"/>
  <c r="CX285" i="15"/>
  <c r="CX349" i="15"/>
  <c r="ER107" i="15"/>
  <c r="EN285" i="15"/>
  <c r="BA285" i="65"/>
  <c r="DR285" i="15"/>
  <c r="DK285" i="15"/>
  <c r="BA102" i="82"/>
  <c r="BA102" i="83"/>
  <c r="BA102" i="86"/>
  <c r="BA102" i="90"/>
  <c r="BA102" i="89"/>
  <c r="BA102" i="84"/>
  <c r="BA102" i="85"/>
  <c r="BA102" i="88"/>
  <c r="BA102" i="87"/>
  <c r="BA102" i="91"/>
  <c r="ET115" i="15"/>
  <c r="EU115" i="15"/>
  <c r="ES115" i="15"/>
  <c r="ES114" i="15"/>
  <c r="ET114" i="15"/>
  <c r="EU114" i="15"/>
  <c r="ES99" i="15"/>
  <c r="ET99" i="15"/>
  <c r="EU99" i="15"/>
  <c r="ES111" i="15"/>
  <c r="ET111" i="15"/>
  <c r="EU111" i="15"/>
  <c r="ES110" i="15"/>
  <c r="ET110" i="15"/>
  <c r="EU110" i="15"/>
  <c r="EU96" i="15"/>
  <c r="ES96" i="15"/>
  <c r="ET96" i="15"/>
  <c r="EN293" i="15"/>
  <c r="DK293" i="15"/>
  <c r="DR293" i="15"/>
  <c r="BA293" i="65"/>
  <c r="BA129" i="65"/>
  <c r="DK129" i="15"/>
  <c r="DR129" i="15"/>
  <c r="EN129" i="15"/>
  <c r="DK112" i="15"/>
  <c r="BA112" i="65"/>
  <c r="DR112" i="15"/>
  <c r="EN112" i="15"/>
  <c r="BA272" i="65"/>
  <c r="EN272" i="15"/>
  <c r="DR272" i="15"/>
  <c r="DK272" i="15"/>
  <c r="BA280" i="65"/>
  <c r="DK280" i="15"/>
  <c r="DR280" i="15"/>
  <c r="EN280" i="15"/>
  <c r="ET95" i="15"/>
  <c r="EU95" i="15"/>
  <c r="ES95" i="15"/>
  <c r="EU118" i="15"/>
  <c r="ES118" i="15"/>
  <c r="ET118" i="15"/>
  <c r="ES120" i="15"/>
  <c r="ET120" i="15"/>
  <c r="EU120" i="15"/>
  <c r="ET113" i="15"/>
  <c r="EU113" i="15"/>
  <c r="ES113" i="15"/>
  <c r="EU92" i="15"/>
  <c r="ES92" i="15"/>
  <c r="ET92" i="15"/>
  <c r="DR239" i="15"/>
  <c r="BA239" i="65"/>
  <c r="EN239" i="15"/>
  <c r="DK239" i="15"/>
  <c r="EN159" i="15"/>
  <c r="DK159" i="15"/>
  <c r="DR159" i="15"/>
  <c r="BA159" i="65"/>
  <c r="BS89" i="15"/>
  <c r="CU276" i="15"/>
  <c r="CX276" i="15" s="1"/>
  <c r="CS315" i="15"/>
  <c r="CU271" i="15"/>
  <c r="CX271" i="15" s="1"/>
  <c r="CU305" i="15"/>
  <c r="CS249" i="15"/>
  <c r="CU249" i="15"/>
  <c r="CX249" i="15" s="1"/>
  <c r="CU329" i="15"/>
  <c r="CX329" i="15" s="1"/>
  <c r="CS329" i="15"/>
  <c r="BS101" i="15"/>
  <c r="BS115" i="15"/>
  <c r="BS114" i="15"/>
  <c r="BS111" i="15"/>
  <c r="CU293" i="15"/>
  <c r="CX293" i="15" s="1"/>
  <c r="CU272" i="15"/>
  <c r="CX272" i="15" s="1"/>
  <c r="BS106" i="15"/>
  <c r="BS92" i="15"/>
  <c r="CU239" i="15"/>
  <c r="CX239" i="15" s="1"/>
  <c r="CS349" i="15"/>
  <c r="DN139" i="15"/>
  <c r="DM139" i="15"/>
  <c r="DN201" i="15"/>
  <c r="DM201" i="15"/>
  <c r="CS341" i="15"/>
  <c r="CS235" i="15"/>
  <c r="CS209" i="15"/>
  <c r="CU113" i="15"/>
  <c r="CX113" i="15" s="1"/>
  <c r="CU304" i="15"/>
  <c r="CX304" i="15" s="1"/>
  <c r="CS333" i="15"/>
  <c r="CS223" i="15"/>
  <c r="CX223" i="15"/>
  <c r="CS347" i="15"/>
  <c r="CU347" i="15"/>
  <c r="CX347" i="15" s="1"/>
  <c r="CU317" i="15"/>
  <c r="CX317" i="15" s="1"/>
  <c r="CU103" i="15"/>
  <c r="CS271" i="15"/>
  <c r="CU203" i="15"/>
  <c r="CX203" i="15" s="1"/>
  <c r="CS305" i="15"/>
  <c r="CS267" i="15"/>
  <c r="CU267" i="15"/>
  <c r="CX267" i="15" s="1"/>
  <c r="AZ83" i="90"/>
  <c r="AZ83" i="88"/>
  <c r="AZ83" i="87"/>
  <c r="DN181" i="15"/>
  <c r="DM181" i="15"/>
  <c r="CX63" i="15"/>
  <c r="CU339" i="15"/>
  <c r="CX339" i="15" s="1"/>
  <c r="AZ278" i="65"/>
  <c r="DJ158" i="15"/>
  <c r="EJ158" i="15" s="1"/>
  <c r="AZ274" i="65"/>
  <c r="DJ274" i="15"/>
  <c r="EJ274" i="15" s="1"/>
  <c r="EK274" i="15" s="1"/>
  <c r="DJ286" i="15"/>
  <c r="EJ286" i="15" s="1"/>
  <c r="DJ289" i="15"/>
  <c r="EJ289" i="15" s="1"/>
  <c r="EN275" i="15"/>
  <c r="BA275" i="65"/>
  <c r="DR275" i="15"/>
  <c r="DK275" i="15"/>
  <c r="AZ255" i="65"/>
  <c r="DK325" i="15"/>
  <c r="BA325" i="65"/>
  <c r="DR325" i="15"/>
  <c r="EN325" i="15"/>
  <c r="AZ327" i="65"/>
  <c r="AZ331" i="65"/>
  <c r="DR331" i="15"/>
  <c r="BA331" i="65"/>
  <c r="DK331" i="15"/>
  <c r="EN331" i="15"/>
  <c r="DK273" i="15"/>
  <c r="BA273" i="65"/>
  <c r="DR273" i="15"/>
  <c r="EN273" i="15"/>
  <c r="DJ273" i="15"/>
  <c r="EJ273" i="15" s="1"/>
  <c r="DJ231" i="15"/>
  <c r="EJ231" i="15" s="1"/>
  <c r="AZ235" i="65"/>
  <c r="AZ227" i="65"/>
  <c r="DR227" i="15"/>
  <c r="BA227" i="65"/>
  <c r="DK227" i="15"/>
  <c r="EN227" i="15"/>
  <c r="DK281" i="15"/>
  <c r="EN281" i="15"/>
  <c r="DR281" i="15"/>
  <c r="BA281" i="65"/>
  <c r="BA315" i="65"/>
  <c r="EN315" i="15"/>
  <c r="DR315" i="15"/>
  <c r="DK315" i="15"/>
  <c r="BA304" i="65"/>
  <c r="EN304" i="15"/>
  <c r="DR304" i="15"/>
  <c r="DK304" i="15"/>
  <c r="BA319" i="65"/>
  <c r="EN319" i="15"/>
  <c r="DR319" i="15"/>
  <c r="DK319" i="15"/>
  <c r="AZ223" i="65"/>
  <c r="DK217" i="15"/>
  <c r="BA217" i="65"/>
  <c r="DR217" i="15"/>
  <c r="EN217" i="15"/>
  <c r="DJ217" i="15"/>
  <c r="EJ217" i="15" s="1"/>
  <c r="DJ142" i="15"/>
  <c r="EJ142" i="15" s="1"/>
  <c r="AZ142" i="65"/>
  <c r="DJ312" i="15"/>
  <c r="EJ312" i="15" s="1"/>
  <c r="AZ296" i="65"/>
  <c r="DJ296" i="15"/>
  <c r="EJ296" i="15" s="1"/>
  <c r="EK296" i="15" s="1"/>
  <c r="BA289" i="65"/>
  <c r="DK289" i="15"/>
  <c r="DR289" i="15"/>
  <c r="EN289" i="15"/>
  <c r="BA185" i="65"/>
  <c r="EN185" i="15"/>
  <c r="DK185" i="15"/>
  <c r="DR185" i="15"/>
  <c r="DJ341" i="15"/>
  <c r="EJ341" i="15" s="1"/>
  <c r="EN341" i="15"/>
  <c r="DK341" i="15"/>
  <c r="DR341" i="15"/>
  <c r="BA341" i="65"/>
  <c r="DR327" i="15"/>
  <c r="BA327" i="65"/>
  <c r="DK327" i="15"/>
  <c r="EN327" i="15"/>
  <c r="AZ339" i="65"/>
  <c r="DK339" i="15"/>
  <c r="BA339" i="65"/>
  <c r="DR339" i="15"/>
  <c r="EN339" i="15"/>
  <c r="DK231" i="15"/>
  <c r="EN231" i="15"/>
  <c r="DR231" i="15"/>
  <c r="BA231" i="65"/>
  <c r="DR235" i="15"/>
  <c r="EN235" i="15"/>
  <c r="DK235" i="15"/>
  <c r="BA235" i="65"/>
  <c r="DR209" i="15"/>
  <c r="BA209" i="65"/>
  <c r="EN209" i="15"/>
  <c r="DK209" i="15"/>
  <c r="AZ209" i="65"/>
  <c r="EN276" i="15"/>
  <c r="BA276" i="65"/>
  <c r="DR276" i="15"/>
  <c r="DK276" i="15"/>
  <c r="EN141" i="15"/>
  <c r="DK141" i="15"/>
  <c r="DR141" i="15"/>
  <c r="BA141" i="65"/>
  <c r="DJ281" i="15"/>
  <c r="EJ281" i="15" s="1"/>
  <c r="AZ315" i="65"/>
  <c r="DJ304" i="15"/>
  <c r="EJ304" i="15" s="1"/>
  <c r="AZ319" i="65"/>
  <c r="AZ333" i="65"/>
  <c r="DJ347" i="15"/>
  <c r="EJ347" i="15" s="1"/>
  <c r="EN317" i="15"/>
  <c r="BA317" i="65"/>
  <c r="DR317" i="15"/>
  <c r="DK317" i="15"/>
  <c r="DJ317" i="15"/>
  <c r="EJ317" i="15" s="1"/>
  <c r="DK103" i="15"/>
  <c r="EN103" i="15"/>
  <c r="DR103" i="15"/>
  <c r="BA103" i="65"/>
  <c r="AZ271" i="65"/>
  <c r="DR203" i="15"/>
  <c r="EN203" i="15"/>
  <c r="BA203" i="65"/>
  <c r="DK203" i="15"/>
  <c r="AZ203" i="65"/>
  <c r="DJ305" i="15"/>
  <c r="EJ305" i="15" s="1"/>
  <c r="EN267" i="15"/>
  <c r="DK267" i="15"/>
  <c r="BA267" i="65"/>
  <c r="DR267" i="15"/>
  <c r="AZ258" i="65"/>
  <c r="DJ258" i="15"/>
  <c r="EJ258" i="15" s="1"/>
  <c r="AZ266" i="65"/>
  <c r="DJ266" i="15"/>
  <c r="EJ266" i="15" s="1"/>
  <c r="AZ202" i="65"/>
  <c r="DJ202" i="15"/>
  <c r="EJ202" i="15" s="1"/>
  <c r="AZ190" i="65"/>
  <c r="DJ190" i="15"/>
  <c r="EJ190" i="15" s="1"/>
  <c r="DJ324" i="15"/>
  <c r="EJ324" i="15" s="1"/>
  <c r="AZ324" i="65"/>
  <c r="AZ204" i="65"/>
  <c r="DJ204" i="15"/>
  <c r="EJ204" i="15" s="1"/>
  <c r="DJ344" i="15"/>
  <c r="EJ344" i="15" s="1"/>
  <c r="AZ344" i="65"/>
  <c r="DJ242" i="15"/>
  <c r="EJ242" i="15" s="1"/>
  <c r="AZ242" i="65"/>
  <c r="DJ194" i="15"/>
  <c r="EJ194" i="15" s="1"/>
  <c r="AZ194" i="65"/>
  <c r="AZ218" i="65"/>
  <c r="DJ218" i="15"/>
  <c r="EJ218" i="15" s="1"/>
  <c r="DJ316" i="15"/>
  <c r="EJ316" i="15" s="1"/>
  <c r="AZ316" i="65"/>
  <c r="AZ246" i="65"/>
  <c r="DJ246" i="15"/>
  <c r="EJ246" i="15" s="1"/>
  <c r="DJ228" i="15"/>
  <c r="EJ228" i="15" s="1"/>
  <c r="AZ228" i="65"/>
  <c r="DJ178" i="15"/>
  <c r="EJ178" i="15" s="1"/>
  <c r="AZ178" i="65"/>
  <c r="DJ82" i="15"/>
  <c r="EJ82" i="15" s="1"/>
  <c r="AZ82" i="65"/>
  <c r="DJ268" i="15"/>
  <c r="EJ268" i="15" s="1"/>
  <c r="AZ268" i="65"/>
  <c r="DJ346" i="15"/>
  <c r="EJ346" i="15" s="1"/>
  <c r="AZ346" i="65"/>
  <c r="DJ146" i="15"/>
  <c r="EJ146" i="15" s="1"/>
  <c r="AZ146" i="65"/>
  <c r="DJ250" i="15"/>
  <c r="EJ250" i="15" s="1"/>
  <c r="AZ250" i="65"/>
  <c r="AZ244" i="65"/>
  <c r="DJ244" i="15"/>
  <c r="EJ244" i="15" s="1"/>
  <c r="AZ222" i="65"/>
  <c r="DJ222" i="15"/>
  <c r="EJ222" i="15" s="1"/>
  <c r="AZ196" i="65"/>
  <c r="DJ196" i="15"/>
  <c r="EJ196" i="15" s="1"/>
  <c r="AZ176" i="65"/>
  <c r="DJ176" i="15"/>
  <c r="EJ176" i="15" s="1"/>
  <c r="DJ184" i="15"/>
  <c r="EJ184" i="15" s="1"/>
  <c r="AZ184" i="65"/>
  <c r="DJ264" i="15"/>
  <c r="EJ264" i="15" s="1"/>
  <c r="AZ264" i="65"/>
  <c r="DJ210" i="15"/>
  <c r="EJ210" i="15" s="1"/>
  <c r="AZ210" i="65"/>
  <c r="DJ232" i="15"/>
  <c r="EJ232" i="15" s="1"/>
  <c r="AZ232" i="65"/>
  <c r="AZ248" i="65"/>
  <c r="DJ248" i="15"/>
  <c r="EJ248" i="15" s="1"/>
  <c r="AZ234" i="65"/>
  <c r="DJ234" i="15"/>
  <c r="EJ234" i="15" s="1"/>
  <c r="AZ340" i="65"/>
  <c r="DJ340" i="15"/>
  <c r="EJ340" i="15" s="1"/>
  <c r="AZ150" i="65"/>
  <c r="DJ150" i="15"/>
  <c r="EJ150" i="15" s="1"/>
  <c r="DJ81" i="15"/>
  <c r="EJ81" i="15" s="1"/>
  <c r="AZ81" i="65"/>
  <c r="AZ102" i="65"/>
  <c r="T102" i="5" s="1"/>
  <c r="AX102" i="73" s="1"/>
  <c r="DJ102" i="15"/>
  <c r="EJ102" i="15" s="1"/>
  <c r="EA137" i="15"/>
  <c r="EE137" i="15"/>
  <c r="EH137" i="15" s="1"/>
  <c r="BA85" i="83"/>
  <c r="BA85" i="86"/>
  <c r="BA85" i="87"/>
  <c r="BA85" i="88"/>
  <c r="BA85" i="82"/>
  <c r="BA85" i="84"/>
  <c r="BA85" i="85"/>
  <c r="BA85" i="89"/>
  <c r="BA85" i="90"/>
  <c r="BA85" i="91"/>
  <c r="BA113" i="86"/>
  <c r="BA113" i="82"/>
  <c r="BA113" i="90"/>
  <c r="BA117" i="82"/>
  <c r="BA117" i="84"/>
  <c r="BA117" i="85"/>
  <c r="BA117" i="89"/>
  <c r="BA117" i="90"/>
  <c r="BA117" i="83"/>
  <c r="BA117" i="86"/>
  <c r="BA117" i="87"/>
  <c r="BA117" i="88"/>
  <c r="BA117" i="91"/>
  <c r="DU183" i="15"/>
  <c r="BC183" i="65"/>
  <c r="DT183" i="15"/>
  <c r="DS183" i="15"/>
  <c r="EL83" i="15"/>
  <c r="EM83" i="15"/>
  <c r="EK83" i="15"/>
  <c r="EK207" i="15"/>
  <c r="EL207" i="15"/>
  <c r="EM207" i="15"/>
  <c r="EP207" i="15"/>
  <c r="EO207" i="15"/>
  <c r="EQ207" i="15"/>
  <c r="EL257" i="15"/>
  <c r="EM257" i="15"/>
  <c r="EK257" i="15"/>
  <c r="BC257" i="65"/>
  <c r="DS257" i="15"/>
  <c r="DT257" i="15"/>
  <c r="DU257" i="15"/>
  <c r="EP257" i="15"/>
  <c r="EO257" i="15"/>
  <c r="EQ257" i="15"/>
  <c r="DT241" i="15"/>
  <c r="BC241" i="65"/>
  <c r="DU241" i="15"/>
  <c r="DS241" i="15"/>
  <c r="EP221" i="15"/>
  <c r="EO221" i="15"/>
  <c r="EQ221" i="15"/>
  <c r="EQ199" i="15"/>
  <c r="EP199" i="15"/>
  <c r="EO199" i="15"/>
  <c r="DU243" i="15"/>
  <c r="BC243" i="65"/>
  <c r="DT243" i="15"/>
  <c r="DS243" i="15"/>
  <c r="EO163" i="15"/>
  <c r="EQ163" i="15"/>
  <c r="EP163" i="15"/>
  <c r="EO167" i="15"/>
  <c r="EP167" i="15"/>
  <c r="EQ167" i="15"/>
  <c r="EL175" i="15"/>
  <c r="EM175" i="15"/>
  <c r="EK175" i="15"/>
  <c r="EM128" i="15"/>
  <c r="EL128" i="15"/>
  <c r="EK128" i="15"/>
  <c r="EL284" i="15"/>
  <c r="EK284" i="15"/>
  <c r="EM284" i="15"/>
  <c r="EK277" i="15"/>
  <c r="EL277" i="15"/>
  <c r="EM277" i="15"/>
  <c r="EK136" i="15"/>
  <c r="EM136" i="15"/>
  <c r="EL136" i="15"/>
  <c r="DU83" i="15"/>
  <c r="BC83" i="65"/>
  <c r="AC83" i="5" s="1"/>
  <c r="BB83" i="73" s="1"/>
  <c r="DT83" i="15"/>
  <c r="DS83" i="15"/>
  <c r="EK157" i="15"/>
  <c r="EL157" i="15"/>
  <c r="EM157" i="15"/>
  <c r="EP265" i="15"/>
  <c r="EO265" i="15"/>
  <c r="EQ265" i="15"/>
  <c r="EL243" i="15"/>
  <c r="EM243" i="15"/>
  <c r="EK243" i="15"/>
  <c r="EL167" i="15"/>
  <c r="EM167" i="15"/>
  <c r="EK167" i="15"/>
  <c r="EK134" i="15"/>
  <c r="EL134" i="15"/>
  <c r="EM134" i="15"/>
  <c r="EL297" i="15"/>
  <c r="EM297" i="15"/>
  <c r="EK297" i="15"/>
  <c r="EK288" i="15"/>
  <c r="EL288" i="15"/>
  <c r="EM288" i="15"/>
  <c r="EM131" i="15"/>
  <c r="EL131" i="15"/>
  <c r="EK131" i="15"/>
  <c r="EL133" i="15"/>
  <c r="EM133" i="15"/>
  <c r="EK133" i="15"/>
  <c r="CX278" i="15"/>
  <c r="CX142" i="15"/>
  <c r="CX312" i="15"/>
  <c r="CX296" i="15"/>
  <c r="CX290" i="15"/>
  <c r="CX300" i="15"/>
  <c r="CX122" i="15"/>
  <c r="CY122" i="15" s="1"/>
  <c r="CX116" i="15"/>
  <c r="DK229" i="15"/>
  <c r="DK237" i="15"/>
  <c r="DK219" i="15"/>
  <c r="DK251" i="15"/>
  <c r="DK193" i="15"/>
  <c r="DK253" i="15"/>
  <c r="DK135" i="15"/>
  <c r="CS289" i="15"/>
  <c r="CU289" i="15"/>
  <c r="CX289" i="15" s="1"/>
  <c r="CX275" i="15"/>
  <c r="CX255" i="15"/>
  <c r="CS185" i="15"/>
  <c r="CX185" i="15"/>
  <c r="CU341" i="15"/>
  <c r="CX341" i="15" s="1"/>
  <c r="CS331" i="15"/>
  <c r="CS339" i="15"/>
  <c r="CS273" i="15"/>
  <c r="CX231" i="15"/>
  <c r="CU235" i="15"/>
  <c r="CX235" i="15" s="1"/>
  <c r="CU209" i="15"/>
  <c r="CX209" i="15" s="1"/>
  <c r="CU227" i="15"/>
  <c r="CX227" i="15" s="1"/>
  <c r="CS276" i="15"/>
  <c r="CS281" i="15"/>
  <c r="CU315" i="15"/>
  <c r="CX315" i="15" s="1"/>
  <c r="CS319" i="15"/>
  <c r="CU319" i="15"/>
  <c r="CX319" i="15" s="1"/>
  <c r="CX333" i="15"/>
  <c r="CS317" i="15"/>
  <c r="CU217" i="15"/>
  <c r="CX217" i="15" s="1"/>
  <c r="CS217" i="15"/>
  <c r="CS203" i="15"/>
  <c r="CX305" i="15"/>
  <c r="AZ83" i="83"/>
  <c r="AZ83" i="84"/>
  <c r="AZ83" i="89"/>
  <c r="AZ83" i="91"/>
  <c r="AZ83" i="85"/>
  <c r="DJ212" i="15"/>
  <c r="EJ212" i="15" s="1"/>
  <c r="AZ212" i="65"/>
  <c r="DJ230" i="15"/>
  <c r="EJ230" i="15" s="1"/>
  <c r="AZ230" i="65"/>
  <c r="DJ256" i="15"/>
  <c r="EJ256" i="15" s="1"/>
  <c r="AZ256" i="65"/>
  <c r="AZ332" i="65"/>
  <c r="DJ332" i="15"/>
  <c r="EJ332" i="15" s="1"/>
  <c r="AZ226" i="65"/>
  <c r="DJ226" i="15"/>
  <c r="EJ226" i="15" s="1"/>
  <c r="DJ262" i="15"/>
  <c r="EJ262" i="15" s="1"/>
  <c r="AZ262" i="65"/>
  <c r="DJ342" i="15"/>
  <c r="EJ342" i="15" s="1"/>
  <c r="AZ342" i="65"/>
  <c r="AZ214" i="65"/>
  <c r="DJ214" i="15"/>
  <c r="EJ214" i="15" s="1"/>
  <c r="DJ216" i="15"/>
  <c r="EJ216" i="15" s="1"/>
  <c r="AZ216" i="65"/>
  <c r="DJ208" i="15"/>
  <c r="EJ208" i="15" s="1"/>
  <c r="AZ208" i="65"/>
  <c r="DJ174" i="15"/>
  <c r="EJ174" i="15" s="1"/>
  <c r="AZ174" i="65"/>
  <c r="AZ180" i="65"/>
  <c r="DJ180" i="15"/>
  <c r="EJ180" i="15" s="1"/>
  <c r="DJ238" i="15"/>
  <c r="EJ238" i="15" s="1"/>
  <c r="AZ238" i="65"/>
  <c r="DJ220" i="15"/>
  <c r="EJ220" i="15" s="1"/>
  <c r="AZ220" i="65"/>
  <c r="DJ328" i="15"/>
  <c r="EJ328" i="15" s="1"/>
  <c r="AZ328" i="65"/>
  <c r="DJ260" i="15"/>
  <c r="EJ260" i="15" s="1"/>
  <c r="AZ260" i="65"/>
  <c r="AZ338" i="65"/>
  <c r="DJ338" i="15"/>
  <c r="EJ338" i="15" s="1"/>
  <c r="DJ254" i="15"/>
  <c r="EJ254" i="15" s="1"/>
  <c r="AZ254" i="65"/>
  <c r="DJ236" i="15"/>
  <c r="EJ236" i="15" s="1"/>
  <c r="AZ236" i="65"/>
  <c r="AZ188" i="65"/>
  <c r="DJ188" i="15"/>
  <c r="EJ188" i="15" s="1"/>
  <c r="AZ162" i="65"/>
  <c r="DJ162" i="15"/>
  <c r="EJ162" i="15" s="1"/>
  <c r="DJ336" i="15"/>
  <c r="EJ336" i="15" s="1"/>
  <c r="AZ336" i="65"/>
  <c r="AZ130" i="65"/>
  <c r="DJ130" i="15"/>
  <c r="EJ130" i="15" s="1"/>
  <c r="AZ224" i="65"/>
  <c r="DJ224" i="15"/>
  <c r="EJ224" i="15" s="1"/>
  <c r="AZ252" i="65"/>
  <c r="DJ252" i="15"/>
  <c r="EJ252" i="15" s="1"/>
  <c r="DR102" i="15"/>
  <c r="BA102" i="65"/>
  <c r="U102" i="5" s="1"/>
  <c r="AY102" i="73" s="1"/>
  <c r="DK102" i="15"/>
  <c r="EN102" i="15"/>
  <c r="DY137" i="15"/>
  <c r="EC137" i="15"/>
  <c r="EG137" i="15" s="1"/>
  <c r="DL137" i="15" s="1"/>
  <c r="DZ137" i="15"/>
  <c r="EB137" i="15" s="1"/>
  <c r="ED137" i="15"/>
  <c r="EK241" i="15"/>
  <c r="EL241" i="15"/>
  <c r="EM241" i="15"/>
  <c r="DJ275" i="15"/>
  <c r="EJ275" i="15" s="1"/>
  <c r="AZ275" i="65"/>
  <c r="DK255" i="15"/>
  <c r="EN255" i="15"/>
  <c r="DR255" i="15"/>
  <c r="BA255" i="65"/>
  <c r="AZ185" i="65"/>
  <c r="DJ185" i="15"/>
  <c r="EJ185" i="15" s="1"/>
  <c r="EL225" i="15"/>
  <c r="EM225" i="15"/>
  <c r="EK225" i="15"/>
  <c r="EL221" i="15"/>
  <c r="EM221" i="15"/>
  <c r="EK221" i="15"/>
  <c r="AZ325" i="65"/>
  <c r="DJ325" i="15"/>
  <c r="EJ325" i="15" s="1"/>
  <c r="EK265" i="15"/>
  <c r="EL265" i="15"/>
  <c r="EM265" i="15"/>
  <c r="CH61" i="15"/>
  <c r="EW61" i="15"/>
  <c r="BS61" i="15"/>
  <c r="DJ276" i="15"/>
  <c r="EJ276" i="15" s="1"/>
  <c r="AZ276" i="65"/>
  <c r="DJ141" i="15"/>
  <c r="EJ141" i="15" s="1"/>
  <c r="AZ141" i="65"/>
  <c r="EN333" i="15"/>
  <c r="DK333" i="15"/>
  <c r="DR333" i="15"/>
  <c r="BA333" i="65"/>
  <c r="EN223" i="15"/>
  <c r="DK223" i="15"/>
  <c r="DR223" i="15"/>
  <c r="BA223" i="65"/>
  <c r="EN347" i="15"/>
  <c r="DK347" i="15"/>
  <c r="DR347" i="15"/>
  <c r="BA347" i="65"/>
  <c r="DJ103" i="15"/>
  <c r="EJ103" i="15" s="1"/>
  <c r="AZ103" i="65"/>
  <c r="BA271" i="65"/>
  <c r="DK271" i="15"/>
  <c r="DR271" i="15"/>
  <c r="EN271" i="15"/>
  <c r="DR305" i="15"/>
  <c r="DK305" i="15"/>
  <c r="EN305" i="15"/>
  <c r="BA305" i="65"/>
  <c r="DJ267" i="15"/>
  <c r="EJ267" i="15" s="1"/>
  <c r="AZ267" i="65"/>
  <c r="EP183" i="15"/>
  <c r="EO183" i="15"/>
  <c r="EQ183" i="15"/>
  <c r="EK183" i="15"/>
  <c r="EL183" i="15"/>
  <c r="EM183" i="15"/>
  <c r="AX83" i="82"/>
  <c r="AX83" i="83"/>
  <c r="AX83" i="86"/>
  <c r="AX83" i="90"/>
  <c r="AX83" i="89"/>
  <c r="AX83" i="84"/>
  <c r="AX83" i="85"/>
  <c r="AX83" i="88"/>
  <c r="AX83" i="87"/>
  <c r="AX83" i="91"/>
  <c r="DT207" i="15"/>
  <c r="BC207" i="65"/>
  <c r="DS207" i="15"/>
  <c r="DU207" i="15"/>
  <c r="EP241" i="15"/>
  <c r="EO241" i="15"/>
  <c r="EQ241" i="15"/>
  <c r="DT221" i="15"/>
  <c r="DS221" i="15"/>
  <c r="BC221" i="65"/>
  <c r="DU221" i="15"/>
  <c r="EL199" i="15"/>
  <c r="EM199" i="15"/>
  <c r="EK199" i="15"/>
  <c r="BC199" i="65"/>
  <c r="DS199" i="15"/>
  <c r="DT199" i="15"/>
  <c r="DU199" i="15"/>
  <c r="EO243" i="15"/>
  <c r="EQ243" i="15"/>
  <c r="EP243" i="15"/>
  <c r="BC163" i="65"/>
  <c r="DT163" i="15"/>
  <c r="DS163" i="15"/>
  <c r="DU163" i="15"/>
  <c r="BC167" i="65"/>
  <c r="DT167" i="15"/>
  <c r="DU167" i="15"/>
  <c r="DS167" i="15"/>
  <c r="EQ175" i="15"/>
  <c r="EP175" i="15"/>
  <c r="EO175" i="15"/>
  <c r="DS175" i="15"/>
  <c r="DU175" i="15"/>
  <c r="DT175" i="15"/>
  <c r="BC175" i="65"/>
  <c r="EL309" i="15"/>
  <c r="EM309" i="15"/>
  <c r="EK309" i="15"/>
  <c r="EL145" i="15"/>
  <c r="EM145" i="15"/>
  <c r="EK145" i="15"/>
  <c r="EL173" i="15"/>
  <c r="EM173" i="15"/>
  <c r="EK173" i="15"/>
  <c r="EO83" i="15"/>
  <c r="EQ83" i="15"/>
  <c r="EP83" i="15"/>
  <c r="AY83" i="89"/>
  <c r="AY83" i="84"/>
  <c r="AY83" i="90"/>
  <c r="AY83" i="87"/>
  <c r="AY83" i="83"/>
  <c r="AY83" i="85"/>
  <c r="AY83" i="88"/>
  <c r="AY83" i="86"/>
  <c r="AY83" i="82"/>
  <c r="AY83" i="91"/>
  <c r="EQ225" i="15"/>
  <c r="EP225" i="15"/>
  <c r="EO225" i="15"/>
  <c r="DT225" i="15"/>
  <c r="DS225" i="15"/>
  <c r="BC225" i="65"/>
  <c r="DU225" i="15"/>
  <c r="DS157" i="15"/>
  <c r="DU157" i="15"/>
  <c r="DT157" i="15"/>
  <c r="BC157" i="65"/>
  <c r="EP157" i="15"/>
  <c r="EO157" i="15"/>
  <c r="EQ157" i="15"/>
  <c r="BC265" i="65"/>
  <c r="DT265" i="15"/>
  <c r="DS265" i="15"/>
  <c r="DU265" i="15"/>
  <c r="EL163" i="15"/>
  <c r="EM163" i="15"/>
  <c r="EK163" i="15"/>
  <c r="EK301" i="15"/>
  <c r="EL301" i="15"/>
  <c r="EM301" i="15"/>
  <c r="EK170" i="15"/>
  <c r="EM170" i="15"/>
  <c r="EL170" i="15"/>
  <c r="EL155" i="15"/>
  <c r="EK155" i="15"/>
  <c r="EM155" i="15"/>
  <c r="EL147" i="15"/>
  <c r="EK147" i="15"/>
  <c r="EM147" i="15"/>
  <c r="CX298" i="15"/>
  <c r="CX286" i="15"/>
  <c r="CX282" i="15"/>
  <c r="CX119" i="15"/>
  <c r="DK269" i="15"/>
  <c r="DK213" i="15"/>
  <c r="DK245" i="15"/>
  <c r="CX85" i="15"/>
  <c r="CX325" i="15"/>
  <c r="CS304" i="15"/>
  <c r="CX103" i="15"/>
  <c r="DU134" i="15"/>
  <c r="DS134" i="15"/>
  <c r="DT134" i="15"/>
  <c r="BC134" i="65"/>
  <c r="DS258" i="15"/>
  <c r="DT258" i="15"/>
  <c r="DU258" i="15"/>
  <c r="BC258" i="65"/>
  <c r="DS212" i="15"/>
  <c r="DT212" i="15"/>
  <c r="DU212" i="15"/>
  <c r="BC212" i="65"/>
  <c r="EQ198" i="15"/>
  <c r="EO198" i="15"/>
  <c r="EP198" i="15"/>
  <c r="DS198" i="15"/>
  <c r="DU198" i="15"/>
  <c r="DT198" i="15"/>
  <c r="BC198" i="65"/>
  <c r="EQ134" i="15"/>
  <c r="EO134" i="15"/>
  <c r="EP134" i="15"/>
  <c r="EO258" i="15"/>
  <c r="EP258" i="15"/>
  <c r="EQ258" i="15"/>
  <c r="EQ212" i="15"/>
  <c r="EO212" i="15"/>
  <c r="EP212" i="15"/>
  <c r="EO248" i="15"/>
  <c r="EP248" i="15"/>
  <c r="EQ248" i="15"/>
  <c r="EQ148" i="15"/>
  <c r="EO148" i="15"/>
  <c r="EP148" i="15"/>
  <c r="EQ238" i="15"/>
  <c r="EO238" i="15"/>
  <c r="EP238" i="15"/>
  <c r="EQ186" i="15"/>
  <c r="EO186" i="15"/>
  <c r="EP186" i="15"/>
  <c r="EQ310" i="15"/>
  <c r="EO310" i="15"/>
  <c r="EP310" i="15"/>
  <c r="EQ244" i="15"/>
  <c r="EO244" i="15"/>
  <c r="EP244" i="15"/>
  <c r="EO262" i="15"/>
  <c r="EP262" i="15"/>
  <c r="EQ262" i="15"/>
  <c r="EO342" i="15"/>
  <c r="EP342" i="15"/>
  <c r="EQ342" i="15"/>
  <c r="BC214" i="65"/>
  <c r="DU214" i="15"/>
  <c r="DS214" i="15"/>
  <c r="DT214" i="15"/>
  <c r="EQ224" i="15"/>
  <c r="EO224" i="15"/>
  <c r="EP224" i="15"/>
  <c r="EO308" i="15"/>
  <c r="EP308" i="15"/>
  <c r="EQ308" i="15"/>
  <c r="EQ182" i="15"/>
  <c r="EO182" i="15"/>
  <c r="EP182" i="15"/>
  <c r="EO324" i="15"/>
  <c r="EP324" i="15"/>
  <c r="EQ324" i="15"/>
  <c r="EQ208" i="15"/>
  <c r="EO208" i="15"/>
  <c r="EP208" i="15"/>
  <c r="EQ260" i="15"/>
  <c r="EO260" i="15"/>
  <c r="EP260" i="15"/>
  <c r="EQ338" i="15"/>
  <c r="EO338" i="15"/>
  <c r="EP338" i="15"/>
  <c r="EO132" i="15"/>
  <c r="EP132" i="15"/>
  <c r="EQ132" i="15"/>
  <c r="EQ128" i="15"/>
  <c r="EO128" i="15"/>
  <c r="EP128" i="15"/>
  <c r="EO318" i="15"/>
  <c r="EP318" i="15"/>
  <c r="EQ318" i="15"/>
  <c r="EQ184" i="15"/>
  <c r="EO184" i="15"/>
  <c r="EP184" i="15"/>
  <c r="EQ162" i="15"/>
  <c r="EO162" i="15"/>
  <c r="EP162" i="15"/>
  <c r="EQ326" i="15"/>
  <c r="EO326" i="15"/>
  <c r="EP326" i="15"/>
  <c r="EO150" i="15"/>
  <c r="EP150" i="15"/>
  <c r="EQ150" i="15"/>
  <c r="EO215" i="15"/>
  <c r="EP215" i="15"/>
  <c r="EQ215" i="15"/>
  <c r="EO187" i="15"/>
  <c r="EP187" i="15"/>
  <c r="EQ187" i="15"/>
  <c r="EP191" i="15"/>
  <c r="EQ191" i="15"/>
  <c r="EO191" i="15"/>
  <c r="EO81" i="15"/>
  <c r="EP81" i="15"/>
  <c r="EQ81" i="15"/>
  <c r="EP229" i="15"/>
  <c r="EQ229" i="15"/>
  <c r="EO229" i="15"/>
  <c r="EO237" i="15"/>
  <c r="EP237" i="15"/>
  <c r="EQ237" i="15"/>
  <c r="EP269" i="15"/>
  <c r="EQ269" i="15"/>
  <c r="EO269" i="15"/>
  <c r="EO321" i="15"/>
  <c r="EP321" i="15"/>
  <c r="EQ321" i="15"/>
  <c r="EP345" i="15"/>
  <c r="EQ345" i="15"/>
  <c r="EO345" i="15"/>
  <c r="DU200" i="15"/>
  <c r="DS200" i="15"/>
  <c r="DT200" i="15"/>
  <c r="BC200" i="65"/>
  <c r="DU346" i="15"/>
  <c r="DT346" i="15"/>
  <c r="DS346" i="15"/>
  <c r="BC346" i="65"/>
  <c r="DS334" i="15"/>
  <c r="DU334" i="15"/>
  <c r="DT334" i="15"/>
  <c r="BC334" i="65"/>
  <c r="DS330" i="15"/>
  <c r="DU330" i="15"/>
  <c r="BC330" i="65"/>
  <c r="DT330" i="15"/>
  <c r="DU220" i="15"/>
  <c r="DS220" i="15"/>
  <c r="DT220" i="15"/>
  <c r="BC220" i="65"/>
  <c r="DS314" i="15"/>
  <c r="DU314" i="15"/>
  <c r="DT314" i="15"/>
  <c r="BC314" i="65"/>
  <c r="EO332" i="15"/>
  <c r="EP332" i="15"/>
  <c r="EQ332" i="15"/>
  <c r="DU332" i="15"/>
  <c r="BC332" i="65"/>
  <c r="DS332" i="15"/>
  <c r="DT332" i="15"/>
  <c r="DS146" i="15"/>
  <c r="DT146" i="15"/>
  <c r="DU146" i="15"/>
  <c r="BC146" i="65"/>
  <c r="EQ226" i="15"/>
  <c r="EO226" i="15"/>
  <c r="EP226" i="15"/>
  <c r="DS226" i="15"/>
  <c r="DU226" i="15"/>
  <c r="BC226" i="65"/>
  <c r="DT226" i="15"/>
  <c r="DU250" i="15"/>
  <c r="DS250" i="15"/>
  <c r="DT250" i="15"/>
  <c r="BC250" i="65"/>
  <c r="EO144" i="15"/>
  <c r="EP144" i="15"/>
  <c r="EQ144" i="15"/>
  <c r="DS144" i="15"/>
  <c r="DT144" i="15"/>
  <c r="DU144" i="15"/>
  <c r="BC144" i="65"/>
  <c r="DU328" i="15"/>
  <c r="DS328" i="15"/>
  <c r="DT328" i="15"/>
  <c r="BC328" i="65"/>
  <c r="DU266" i="15"/>
  <c r="DS266" i="15"/>
  <c r="DT266" i="15"/>
  <c r="BC266" i="65"/>
  <c r="EQ336" i="15"/>
  <c r="EO336" i="15"/>
  <c r="EP336" i="15"/>
  <c r="DS336" i="15"/>
  <c r="DT336" i="15"/>
  <c r="DU336" i="15"/>
  <c r="BC336" i="65"/>
  <c r="DS302" i="15"/>
  <c r="DT302" i="15"/>
  <c r="DU302" i="15"/>
  <c r="BC302" i="65"/>
  <c r="DU270" i="15"/>
  <c r="DS270" i="15"/>
  <c r="DT270" i="15"/>
  <c r="BC270" i="65"/>
  <c r="DS234" i="15"/>
  <c r="DT234" i="15"/>
  <c r="DU234" i="15"/>
  <c r="BC234" i="65"/>
  <c r="EQ202" i="15"/>
  <c r="EO202" i="15"/>
  <c r="EP202" i="15"/>
  <c r="DU202" i="15"/>
  <c r="DS202" i="15"/>
  <c r="DT202" i="15"/>
  <c r="BC202" i="65"/>
  <c r="DU240" i="15"/>
  <c r="DS240" i="15"/>
  <c r="DT240" i="15"/>
  <c r="BC240" i="65"/>
  <c r="DS242" i="15"/>
  <c r="DT242" i="15"/>
  <c r="DU242" i="15"/>
  <c r="BC242" i="65"/>
  <c r="DU230" i="15"/>
  <c r="BC230" i="65"/>
  <c r="DS230" i="15"/>
  <c r="DT230" i="15"/>
  <c r="DS194" i="15"/>
  <c r="DT194" i="15"/>
  <c r="BC194" i="65"/>
  <c r="DU194" i="15"/>
  <c r="EQ216" i="15"/>
  <c r="EO216" i="15"/>
  <c r="EP216" i="15"/>
  <c r="DS216" i="15"/>
  <c r="DT216" i="15"/>
  <c r="BC216" i="65"/>
  <c r="DU216" i="15"/>
  <c r="EQ348" i="15"/>
  <c r="EO348" i="15"/>
  <c r="EP348" i="15"/>
  <c r="DS348" i="15"/>
  <c r="DT348" i="15"/>
  <c r="DU348" i="15"/>
  <c r="BC348" i="65"/>
  <c r="DU222" i="15"/>
  <c r="DT222" i="15"/>
  <c r="DS222" i="15"/>
  <c r="BC222" i="65"/>
  <c r="DU340" i="15"/>
  <c r="DT340" i="15"/>
  <c r="DS340" i="15"/>
  <c r="BC340" i="65"/>
  <c r="DS316" i="15"/>
  <c r="DT316" i="15"/>
  <c r="DU316" i="15"/>
  <c r="BC316" i="65"/>
  <c r="DS294" i="15"/>
  <c r="DU294" i="15"/>
  <c r="DT294" i="15"/>
  <c r="BC294" i="65"/>
  <c r="DS174" i="15"/>
  <c r="DT174" i="15"/>
  <c r="DU174" i="15"/>
  <c r="BC174" i="65"/>
  <c r="DS246" i="15"/>
  <c r="DT246" i="15"/>
  <c r="DU246" i="15"/>
  <c r="BC246" i="65"/>
  <c r="DU228" i="15"/>
  <c r="DT228" i="15"/>
  <c r="DS228" i="15"/>
  <c r="BC228" i="65"/>
  <c r="DS196" i="15"/>
  <c r="DU196" i="15"/>
  <c r="DT196" i="15"/>
  <c r="BC196" i="65"/>
  <c r="EQ176" i="15"/>
  <c r="EO176" i="15"/>
  <c r="EP176" i="15"/>
  <c r="DU176" i="15"/>
  <c r="DT176" i="15"/>
  <c r="DS176" i="15"/>
  <c r="BC176" i="65"/>
  <c r="EQ168" i="15"/>
  <c r="EO168" i="15"/>
  <c r="EP168" i="15"/>
  <c r="DU168" i="15"/>
  <c r="BC168" i="65"/>
  <c r="DS168" i="15"/>
  <c r="DT168" i="15"/>
  <c r="EQ254" i="15"/>
  <c r="EO254" i="15"/>
  <c r="EP254" i="15"/>
  <c r="DU254" i="15"/>
  <c r="BC254" i="65"/>
  <c r="DS254" i="15"/>
  <c r="DT254" i="15"/>
  <c r="EQ306" i="15"/>
  <c r="EO306" i="15"/>
  <c r="EP306" i="15"/>
  <c r="DS306" i="15"/>
  <c r="DT306" i="15"/>
  <c r="DU306" i="15"/>
  <c r="BC306" i="65"/>
  <c r="DU82" i="15"/>
  <c r="DS82" i="15"/>
  <c r="DT82" i="15"/>
  <c r="BC82" i="65"/>
  <c r="EQ206" i="15"/>
  <c r="EO206" i="15"/>
  <c r="EP206" i="15"/>
  <c r="DU206" i="15"/>
  <c r="DS206" i="15"/>
  <c r="DT206" i="15"/>
  <c r="BC206" i="65"/>
  <c r="DS268" i="15"/>
  <c r="DU268" i="15"/>
  <c r="DT268" i="15"/>
  <c r="BC268" i="65"/>
  <c r="DS264" i="15"/>
  <c r="DU264" i="15"/>
  <c r="DT264" i="15"/>
  <c r="BC264" i="65"/>
  <c r="EQ256" i="15"/>
  <c r="EO256" i="15"/>
  <c r="EP256" i="15"/>
  <c r="DS256" i="15"/>
  <c r="DU256" i="15"/>
  <c r="DT256" i="15"/>
  <c r="BC256" i="65"/>
  <c r="BC210" i="65"/>
  <c r="DS210" i="15"/>
  <c r="DT210" i="15"/>
  <c r="DU210" i="15"/>
  <c r="EO210" i="15"/>
  <c r="EP210" i="15"/>
  <c r="EQ210" i="15"/>
  <c r="EP153" i="15"/>
  <c r="EQ153" i="15"/>
  <c r="EO153" i="15"/>
  <c r="BC153" i="65"/>
  <c r="DS153" i="15"/>
  <c r="DT153" i="15"/>
  <c r="DU153" i="15"/>
  <c r="DT87" i="15"/>
  <c r="DU87" i="15"/>
  <c r="DS87" i="15"/>
  <c r="BC87" i="65"/>
  <c r="AC87" i="5" s="1"/>
  <c r="BB87" i="73" s="1"/>
  <c r="DS259" i="15"/>
  <c r="DT259" i="15"/>
  <c r="DU259" i="15"/>
  <c r="BC259" i="65"/>
  <c r="EP169" i="15"/>
  <c r="EO169" i="15"/>
  <c r="EQ169" i="15"/>
  <c r="DT169" i="15"/>
  <c r="DS169" i="15"/>
  <c r="BC169" i="65"/>
  <c r="DU169" i="15"/>
  <c r="DT263" i="15"/>
  <c r="DU263" i="15"/>
  <c r="DS263" i="15"/>
  <c r="BC263" i="65"/>
  <c r="EO261" i="15"/>
  <c r="EP261" i="15"/>
  <c r="EQ261" i="15"/>
  <c r="DT261" i="15"/>
  <c r="DU261" i="15"/>
  <c r="DS261" i="15"/>
  <c r="BC261" i="65"/>
  <c r="DS219" i="15"/>
  <c r="DT219" i="15"/>
  <c r="BC219" i="65"/>
  <c r="DU219" i="15"/>
  <c r="DT251" i="15"/>
  <c r="BC251" i="65"/>
  <c r="DS251" i="15"/>
  <c r="DU251" i="15"/>
  <c r="EP251" i="15"/>
  <c r="EO251" i="15"/>
  <c r="EQ251" i="15"/>
  <c r="EQ193" i="15"/>
  <c r="EP193" i="15"/>
  <c r="EO193" i="15"/>
  <c r="DS193" i="15"/>
  <c r="DT193" i="15"/>
  <c r="BC193" i="65"/>
  <c r="DU193" i="15"/>
  <c r="DT253" i="15"/>
  <c r="BC253" i="65"/>
  <c r="DS253" i="15"/>
  <c r="DU253" i="15"/>
  <c r="EO135" i="15"/>
  <c r="EP135" i="15"/>
  <c r="EQ135" i="15"/>
  <c r="EQ245" i="15"/>
  <c r="EP245" i="15"/>
  <c r="EO245" i="15"/>
  <c r="BD201" i="65"/>
  <c r="EF201" i="15"/>
  <c r="BE201" i="65" s="1"/>
  <c r="BD139" i="65"/>
  <c r="EF139" i="15"/>
  <c r="BE139" i="65" s="1"/>
  <c r="EA335" i="15"/>
  <c r="EE335" i="15"/>
  <c r="EH335" i="15" s="1"/>
  <c r="EC335" i="15"/>
  <c r="EG335" i="15" s="1"/>
  <c r="DL335" i="15" s="1"/>
  <c r="DY335" i="15"/>
  <c r="EE233" i="15"/>
  <c r="EH233" i="15" s="1"/>
  <c r="EA233" i="15"/>
  <c r="EA343" i="15"/>
  <c r="EE343" i="15"/>
  <c r="EH343" i="15" s="1"/>
  <c r="EC343" i="15"/>
  <c r="EG343" i="15" s="1"/>
  <c r="DL343" i="15" s="1"/>
  <c r="DY343" i="15"/>
  <c r="EF181" i="15"/>
  <c r="BE181" i="65" s="1"/>
  <c r="BD181" i="65"/>
  <c r="EE197" i="15"/>
  <c r="EH197" i="15" s="1"/>
  <c r="EA197" i="15"/>
  <c r="DY197" i="15"/>
  <c r="EC197" i="15"/>
  <c r="EG197" i="15" s="1"/>
  <c r="DL197" i="15" s="1"/>
  <c r="EE205" i="15"/>
  <c r="EH205" i="15" s="1"/>
  <c r="EA205" i="15"/>
  <c r="EC205" i="15"/>
  <c r="EG205" i="15" s="1"/>
  <c r="DL205" i="15" s="1"/>
  <c r="DY205" i="15"/>
  <c r="DZ195" i="15"/>
  <c r="EB195" i="15" s="1"/>
  <c r="ED195" i="15"/>
  <c r="EA323" i="15"/>
  <c r="EE323" i="15"/>
  <c r="EH323" i="15" s="1"/>
  <c r="DY323" i="15"/>
  <c r="EC323" i="15"/>
  <c r="EG323" i="15" s="1"/>
  <c r="DL323" i="15" s="1"/>
  <c r="EE291" i="15"/>
  <c r="EH291" i="15" s="1"/>
  <c r="EA291" i="15"/>
  <c r="DY291" i="15"/>
  <c r="EC291" i="15"/>
  <c r="EG291" i="15" s="1"/>
  <c r="DL291" i="15" s="1"/>
  <c r="EE297" i="15"/>
  <c r="EH297" i="15" s="1"/>
  <c r="EA297" i="15"/>
  <c r="EA287" i="15"/>
  <c r="EE287" i="15"/>
  <c r="EH287" i="15" s="1"/>
  <c r="ED279" i="15"/>
  <c r="DZ279" i="15"/>
  <c r="EB279" i="15" s="1"/>
  <c r="EA311" i="15"/>
  <c r="EE311" i="15"/>
  <c r="EH311" i="15" s="1"/>
  <c r="EE295" i="15"/>
  <c r="EH295" i="15" s="1"/>
  <c r="EA295" i="15"/>
  <c r="DY277" i="15"/>
  <c r="EC277" i="15"/>
  <c r="EG277" i="15" s="1"/>
  <c r="DL277" i="15" s="1"/>
  <c r="ED277" i="15"/>
  <c r="DZ277" i="15"/>
  <c r="EB277" i="15" s="1"/>
  <c r="EE173" i="15"/>
  <c r="EH173" i="15" s="1"/>
  <c r="EA173" i="15"/>
  <c r="DY173" i="15"/>
  <c r="EC173" i="15"/>
  <c r="EG173" i="15" s="1"/>
  <c r="DL173" i="15" s="1"/>
  <c r="ED172" i="15"/>
  <c r="DZ172" i="15"/>
  <c r="EB172" i="15" s="1"/>
  <c r="EE172" i="15"/>
  <c r="EH172" i="15" s="1"/>
  <c r="EA172" i="15"/>
  <c r="EE152" i="15"/>
  <c r="EH152" i="15" s="1"/>
  <c r="EA152" i="15"/>
  <c r="EC152" i="15"/>
  <c r="EG152" i="15" s="1"/>
  <c r="DL152" i="15" s="1"/>
  <c r="DY152" i="15"/>
  <c r="EE171" i="15"/>
  <c r="EH171" i="15" s="1"/>
  <c r="EA171" i="15"/>
  <c r="EA161" i="15"/>
  <c r="EE161" i="15"/>
  <c r="EH161" i="15" s="1"/>
  <c r="EA170" i="15"/>
  <c r="EE170" i="15"/>
  <c r="EH170" i="15" s="1"/>
  <c r="DY170" i="15"/>
  <c r="EC170" i="15"/>
  <c r="EG170" i="15" s="1"/>
  <c r="DL170" i="15" s="1"/>
  <c r="DY145" i="15"/>
  <c r="EC145" i="15"/>
  <c r="EG145" i="15" s="1"/>
  <c r="DL145" i="15" s="1"/>
  <c r="DZ145" i="15"/>
  <c r="EB145" i="15" s="1"/>
  <c r="ED145" i="15"/>
  <c r="EA165" i="15"/>
  <c r="EE165" i="15"/>
  <c r="EH165" i="15" s="1"/>
  <c r="EC177" i="15"/>
  <c r="EG177" i="15" s="1"/>
  <c r="DL177" i="15" s="1"/>
  <c r="DY177" i="15"/>
  <c r="ED177" i="15"/>
  <c r="DZ177" i="15"/>
  <c r="EB177" i="15" s="1"/>
  <c r="DZ179" i="15"/>
  <c r="EB179" i="15" s="1"/>
  <c r="ED179" i="15"/>
  <c r="EE189" i="15"/>
  <c r="EH189" i="15" s="1"/>
  <c r="EA189" i="15"/>
  <c r="EC189" i="15"/>
  <c r="EG189" i="15" s="1"/>
  <c r="DL189" i="15" s="1"/>
  <c r="DY189" i="15"/>
  <c r="EA307" i="15"/>
  <c r="EE307" i="15"/>
  <c r="EH307" i="15" s="1"/>
  <c r="EE247" i="15"/>
  <c r="EH247" i="15" s="1"/>
  <c r="EA247" i="15"/>
  <c r="EE337" i="15"/>
  <c r="EH337" i="15" s="1"/>
  <c r="EA337" i="15"/>
  <c r="ED292" i="15"/>
  <c r="DZ292" i="15"/>
  <c r="EB292" i="15" s="1"/>
  <c r="EA292" i="15"/>
  <c r="EE292" i="15"/>
  <c r="EH292" i="15" s="1"/>
  <c r="EA284" i="15"/>
  <c r="EE284" i="15"/>
  <c r="EH284" i="15" s="1"/>
  <c r="EC284" i="15"/>
  <c r="EG284" i="15" s="1"/>
  <c r="DL284" i="15" s="1"/>
  <c r="DY284" i="15"/>
  <c r="EE301" i="15"/>
  <c r="EH301" i="15" s="1"/>
  <c r="EA301" i="15"/>
  <c r="DY301" i="15"/>
  <c r="EC301" i="15"/>
  <c r="EG301" i="15" s="1"/>
  <c r="DL301" i="15" s="1"/>
  <c r="EE309" i="15"/>
  <c r="EH309" i="15" s="1"/>
  <c r="EA309" i="15"/>
  <c r="DY309" i="15"/>
  <c r="EC309" i="15"/>
  <c r="EG309" i="15" s="1"/>
  <c r="DL309" i="15" s="1"/>
  <c r="DY303" i="15"/>
  <c r="EC303" i="15"/>
  <c r="EG303" i="15" s="1"/>
  <c r="DL303" i="15" s="1"/>
  <c r="DZ303" i="15"/>
  <c r="EB303" i="15" s="1"/>
  <c r="ED303" i="15"/>
  <c r="ED283" i="15"/>
  <c r="DZ283" i="15"/>
  <c r="EB283" i="15" s="1"/>
  <c r="ED320" i="15"/>
  <c r="DZ320" i="15"/>
  <c r="EB320" i="15" s="1"/>
  <c r="DY288" i="15"/>
  <c r="EC288" i="15"/>
  <c r="EG288" i="15" s="1"/>
  <c r="DL288" i="15" s="1"/>
  <c r="DZ131" i="15"/>
  <c r="EB131" i="15" s="1"/>
  <c r="ED131" i="15"/>
  <c r="EC138" i="15"/>
  <c r="EG138" i="15" s="1"/>
  <c r="DL138" i="15" s="1"/>
  <c r="DY138" i="15"/>
  <c r="EE151" i="15"/>
  <c r="EH151" i="15" s="1"/>
  <c r="EA151" i="15"/>
  <c r="DY151" i="15"/>
  <c r="EC151" i="15"/>
  <c r="EG151" i="15" s="1"/>
  <c r="DL151" i="15" s="1"/>
  <c r="ED149" i="15"/>
  <c r="DZ149" i="15"/>
  <c r="EB149" i="15" s="1"/>
  <c r="ED166" i="15"/>
  <c r="DZ166" i="15"/>
  <c r="EB166" i="15" s="1"/>
  <c r="EA133" i="15"/>
  <c r="EE133" i="15"/>
  <c r="EH133" i="15" s="1"/>
  <c r="EC133" i="15"/>
  <c r="EG133" i="15" s="1"/>
  <c r="DL133" i="15" s="1"/>
  <c r="DY133" i="15"/>
  <c r="ED140" i="15"/>
  <c r="DZ140" i="15"/>
  <c r="EB140" i="15" s="1"/>
  <c r="EA147" i="15"/>
  <c r="EE147" i="15"/>
  <c r="EH147" i="15" s="1"/>
  <c r="EC136" i="15"/>
  <c r="EG136" i="15" s="1"/>
  <c r="DL136" i="15" s="1"/>
  <c r="DY136" i="15"/>
  <c r="DZ156" i="15"/>
  <c r="EB156" i="15" s="1"/>
  <c r="ED156" i="15"/>
  <c r="EA156" i="15"/>
  <c r="EE156" i="15"/>
  <c r="EH156" i="15" s="1"/>
  <c r="DZ154" i="15"/>
  <c r="EB154" i="15" s="1"/>
  <c r="ED154" i="15"/>
  <c r="EA154" i="15"/>
  <c r="EE154" i="15"/>
  <c r="EH154" i="15" s="1"/>
  <c r="EA155" i="15"/>
  <c r="EE155" i="15"/>
  <c r="EH155" i="15" s="1"/>
  <c r="EC155" i="15"/>
  <c r="EG155" i="15" s="1"/>
  <c r="DL155" i="15" s="1"/>
  <c r="DY155" i="15"/>
  <c r="DS248" i="15"/>
  <c r="DT248" i="15"/>
  <c r="DU248" i="15"/>
  <c r="BC248" i="65"/>
  <c r="DS148" i="15"/>
  <c r="DT148" i="15"/>
  <c r="DU148" i="15"/>
  <c r="BC148" i="65"/>
  <c r="DS238" i="15"/>
  <c r="DU238" i="15"/>
  <c r="DT238" i="15"/>
  <c r="BC238" i="65"/>
  <c r="DS186" i="15"/>
  <c r="DU186" i="15"/>
  <c r="DT186" i="15"/>
  <c r="BC186" i="65"/>
  <c r="DU310" i="15"/>
  <c r="DT310" i="15"/>
  <c r="DS310" i="15"/>
  <c r="BC310" i="65"/>
  <c r="EO344" i="15"/>
  <c r="EP344" i="15"/>
  <c r="EQ344" i="15"/>
  <c r="DS344" i="15"/>
  <c r="DT344" i="15"/>
  <c r="DU344" i="15"/>
  <c r="BC344" i="65"/>
  <c r="EQ160" i="15"/>
  <c r="EO160" i="15"/>
  <c r="EP160" i="15"/>
  <c r="DU160" i="15"/>
  <c r="DS160" i="15"/>
  <c r="DT160" i="15"/>
  <c r="BC160" i="65"/>
  <c r="DU244" i="15"/>
  <c r="DS244" i="15"/>
  <c r="DT244" i="15"/>
  <c r="BC244" i="65"/>
  <c r="EQ130" i="15"/>
  <c r="EO130" i="15"/>
  <c r="EP130" i="15"/>
  <c r="DU130" i="15"/>
  <c r="DS130" i="15"/>
  <c r="DT130" i="15"/>
  <c r="BC130" i="65"/>
  <c r="DU262" i="15"/>
  <c r="DS262" i="15"/>
  <c r="DT262" i="15"/>
  <c r="BC262" i="65"/>
  <c r="DS342" i="15"/>
  <c r="DT342" i="15"/>
  <c r="BC342" i="65"/>
  <c r="DU342" i="15"/>
  <c r="EQ214" i="15"/>
  <c r="EO214" i="15"/>
  <c r="EP214" i="15"/>
  <c r="EO190" i="15"/>
  <c r="EP190" i="15"/>
  <c r="EQ190" i="15"/>
  <c r="DS190" i="15"/>
  <c r="DT190" i="15"/>
  <c r="DU190" i="15"/>
  <c r="BC190" i="65"/>
  <c r="DU224" i="15"/>
  <c r="DS224" i="15"/>
  <c r="DT224" i="15"/>
  <c r="BC224" i="65"/>
  <c r="DU308" i="15"/>
  <c r="DS308" i="15"/>
  <c r="DT308" i="15"/>
  <c r="BC308" i="65"/>
  <c r="DS182" i="15"/>
  <c r="DT182" i="15"/>
  <c r="DU182" i="15"/>
  <c r="BC182" i="65"/>
  <c r="DU324" i="15"/>
  <c r="DS324" i="15"/>
  <c r="DT324" i="15"/>
  <c r="BC324" i="65"/>
  <c r="EQ218" i="15"/>
  <c r="EO218" i="15"/>
  <c r="EP218" i="15"/>
  <c r="DS218" i="15"/>
  <c r="DT218" i="15"/>
  <c r="DU218" i="15"/>
  <c r="BC218" i="65"/>
  <c r="DS208" i="15"/>
  <c r="DT208" i="15"/>
  <c r="DU208" i="15"/>
  <c r="BC208" i="65"/>
  <c r="EQ204" i="15"/>
  <c r="EO204" i="15"/>
  <c r="EP204" i="15"/>
  <c r="DU204" i="15"/>
  <c r="DS204" i="15"/>
  <c r="DT204" i="15"/>
  <c r="BC204" i="65"/>
  <c r="DU260" i="15"/>
  <c r="DS260" i="15"/>
  <c r="DT260" i="15"/>
  <c r="BC260" i="65"/>
  <c r="DU338" i="15"/>
  <c r="DS338" i="15"/>
  <c r="DT338" i="15"/>
  <c r="BC338" i="65"/>
  <c r="EQ178" i="15"/>
  <c r="EO178" i="15"/>
  <c r="EP178" i="15"/>
  <c r="DS178" i="15"/>
  <c r="DT178" i="15"/>
  <c r="DU178" i="15"/>
  <c r="BC178" i="65"/>
  <c r="DU132" i="15"/>
  <c r="DS132" i="15"/>
  <c r="DT132" i="15"/>
  <c r="BC132" i="65"/>
  <c r="DS128" i="15"/>
  <c r="DT128" i="15"/>
  <c r="BC128" i="65"/>
  <c r="DU128" i="15"/>
  <c r="DU318" i="15"/>
  <c r="BC318" i="65"/>
  <c r="DS318" i="15"/>
  <c r="DT318" i="15"/>
  <c r="EQ252" i="15"/>
  <c r="EO252" i="15"/>
  <c r="EP252" i="15"/>
  <c r="DS252" i="15"/>
  <c r="DU252" i="15"/>
  <c r="BC252" i="65"/>
  <c r="DT252" i="15"/>
  <c r="EQ236" i="15"/>
  <c r="EO236" i="15"/>
  <c r="EP236" i="15"/>
  <c r="DU236" i="15"/>
  <c r="DS236" i="15"/>
  <c r="DT236" i="15"/>
  <c r="BC236" i="65"/>
  <c r="EQ180" i="15"/>
  <c r="EO180" i="15"/>
  <c r="EP180" i="15"/>
  <c r="DS180" i="15"/>
  <c r="DU180" i="15"/>
  <c r="DT180" i="15"/>
  <c r="BC180" i="65"/>
  <c r="DU184" i="15"/>
  <c r="DS184" i="15"/>
  <c r="DT184" i="15"/>
  <c r="BC184" i="65"/>
  <c r="EO322" i="15"/>
  <c r="EP322" i="15"/>
  <c r="EQ322" i="15"/>
  <c r="DS322" i="15"/>
  <c r="DU322" i="15"/>
  <c r="DT322" i="15"/>
  <c r="BC322" i="65"/>
  <c r="EO188" i="15"/>
  <c r="EP188" i="15"/>
  <c r="EQ188" i="15"/>
  <c r="DS188" i="15"/>
  <c r="DT188" i="15"/>
  <c r="DU188" i="15"/>
  <c r="BC188" i="65"/>
  <c r="DU162" i="15"/>
  <c r="DT162" i="15"/>
  <c r="DS162" i="15"/>
  <c r="BC162" i="65"/>
  <c r="DU326" i="15"/>
  <c r="DS326" i="15"/>
  <c r="DT326" i="15"/>
  <c r="BC326" i="65"/>
  <c r="EO232" i="15"/>
  <c r="EP232" i="15"/>
  <c r="EQ232" i="15"/>
  <c r="DS232" i="15"/>
  <c r="DT232" i="15"/>
  <c r="DU232" i="15"/>
  <c r="BC232" i="65"/>
  <c r="EQ192" i="15"/>
  <c r="EO192" i="15"/>
  <c r="EP192" i="15"/>
  <c r="DU192" i="15"/>
  <c r="BC192" i="65"/>
  <c r="DS192" i="15"/>
  <c r="DT192" i="15"/>
  <c r="EO211" i="15"/>
  <c r="EP211" i="15"/>
  <c r="EQ211" i="15"/>
  <c r="DS211" i="15"/>
  <c r="DT211" i="15"/>
  <c r="DU211" i="15"/>
  <c r="BC211" i="65"/>
  <c r="EO143" i="15"/>
  <c r="EP143" i="15"/>
  <c r="EQ143" i="15"/>
  <c r="DS143" i="15"/>
  <c r="DT143" i="15"/>
  <c r="DU143" i="15"/>
  <c r="BC143" i="65"/>
  <c r="DS150" i="15"/>
  <c r="DT150" i="15"/>
  <c r="DU150" i="15"/>
  <c r="BC150" i="65"/>
  <c r="DS215" i="15"/>
  <c r="DT215" i="15"/>
  <c r="DU215" i="15"/>
  <c r="BC215" i="65"/>
  <c r="EQ164" i="15"/>
  <c r="EO164" i="15"/>
  <c r="EP164" i="15"/>
  <c r="DS164" i="15"/>
  <c r="DT164" i="15"/>
  <c r="DU164" i="15"/>
  <c r="BC164" i="65"/>
  <c r="DT187" i="15"/>
  <c r="DU187" i="15"/>
  <c r="DS187" i="15"/>
  <c r="BC187" i="65"/>
  <c r="DT191" i="15"/>
  <c r="DU191" i="15"/>
  <c r="DS191" i="15"/>
  <c r="BC191" i="65"/>
  <c r="DS81" i="15"/>
  <c r="DT81" i="15"/>
  <c r="DU81" i="15"/>
  <c r="BC81" i="65"/>
  <c r="EP313" i="15"/>
  <c r="EQ313" i="15"/>
  <c r="EO313" i="15"/>
  <c r="DS313" i="15"/>
  <c r="DT313" i="15"/>
  <c r="DU313" i="15"/>
  <c r="BC313" i="65"/>
  <c r="DS229" i="15"/>
  <c r="DT229" i="15"/>
  <c r="DU229" i="15"/>
  <c r="BC229" i="65"/>
  <c r="DT237" i="15"/>
  <c r="DU237" i="15"/>
  <c r="DS237" i="15"/>
  <c r="BC237" i="65"/>
  <c r="BC269" i="65"/>
  <c r="DS269" i="15"/>
  <c r="DT269" i="15"/>
  <c r="DU269" i="15"/>
  <c r="EP249" i="15"/>
  <c r="DT249" i="15"/>
  <c r="DU249" i="15"/>
  <c r="DS249" i="15"/>
  <c r="BC249" i="65"/>
  <c r="DS321" i="15"/>
  <c r="DT321" i="15"/>
  <c r="DU321" i="15"/>
  <c r="BC321" i="65"/>
  <c r="DT345" i="15"/>
  <c r="DU345" i="15"/>
  <c r="DS345" i="15"/>
  <c r="BC345" i="65"/>
  <c r="EO200" i="15"/>
  <c r="EP200" i="15"/>
  <c r="EQ200" i="15"/>
  <c r="EQ346" i="15"/>
  <c r="EO346" i="15"/>
  <c r="EP346" i="15"/>
  <c r="EO334" i="15"/>
  <c r="EP334" i="15"/>
  <c r="EQ334" i="15"/>
  <c r="EQ330" i="15"/>
  <c r="EO330" i="15"/>
  <c r="EP330" i="15"/>
  <c r="EQ220" i="15"/>
  <c r="EO220" i="15"/>
  <c r="EP220" i="15"/>
  <c r="EO314" i="15"/>
  <c r="EP314" i="15"/>
  <c r="EQ314" i="15"/>
  <c r="EQ146" i="15"/>
  <c r="EO146" i="15"/>
  <c r="EP146" i="15"/>
  <c r="EO250" i="15"/>
  <c r="EP250" i="15"/>
  <c r="EQ250" i="15"/>
  <c r="EQ328" i="15"/>
  <c r="EO328" i="15"/>
  <c r="EP328" i="15"/>
  <c r="EO266" i="15"/>
  <c r="EP266" i="15"/>
  <c r="EQ266" i="15"/>
  <c r="EO302" i="15"/>
  <c r="EP302" i="15"/>
  <c r="EQ302" i="15"/>
  <c r="EO270" i="15"/>
  <c r="EP270" i="15"/>
  <c r="EQ270" i="15"/>
  <c r="EO234" i="15"/>
  <c r="EP234" i="15"/>
  <c r="EQ234" i="15"/>
  <c r="EO240" i="15"/>
  <c r="EP240" i="15"/>
  <c r="EQ240" i="15"/>
  <c r="EO242" i="15"/>
  <c r="EP242" i="15"/>
  <c r="EQ242" i="15"/>
  <c r="EO230" i="15"/>
  <c r="EP230" i="15"/>
  <c r="EQ230" i="15"/>
  <c r="EO194" i="15"/>
  <c r="EP194" i="15"/>
  <c r="EQ194" i="15"/>
  <c r="EO222" i="15"/>
  <c r="EP222" i="15"/>
  <c r="EQ222" i="15"/>
  <c r="EO340" i="15"/>
  <c r="EP340" i="15"/>
  <c r="EQ340" i="15"/>
  <c r="EO316" i="15"/>
  <c r="EP316" i="15"/>
  <c r="EQ316" i="15"/>
  <c r="EO294" i="15"/>
  <c r="EP294" i="15"/>
  <c r="EQ294" i="15"/>
  <c r="EO174" i="15"/>
  <c r="EP174" i="15"/>
  <c r="EQ174" i="15"/>
  <c r="EO246" i="15"/>
  <c r="EP246" i="15"/>
  <c r="EQ246" i="15"/>
  <c r="EQ228" i="15"/>
  <c r="EO228" i="15"/>
  <c r="EP228" i="15"/>
  <c r="EO196" i="15"/>
  <c r="EP196" i="15"/>
  <c r="EQ196" i="15"/>
  <c r="EO82" i="15"/>
  <c r="EP82" i="15"/>
  <c r="EQ82" i="15"/>
  <c r="EO268" i="15"/>
  <c r="EP268" i="15"/>
  <c r="EQ268" i="15"/>
  <c r="EO264" i="15"/>
  <c r="EP264" i="15"/>
  <c r="EQ264" i="15"/>
  <c r="EO87" i="15"/>
  <c r="EP87" i="15"/>
  <c r="EQ87" i="15"/>
  <c r="EO259" i="15"/>
  <c r="EP259" i="15"/>
  <c r="EQ259" i="15"/>
  <c r="EP263" i="15"/>
  <c r="EQ263" i="15"/>
  <c r="EO263" i="15"/>
  <c r="EP219" i="15"/>
  <c r="EO219" i="15"/>
  <c r="EQ219" i="15"/>
  <c r="EP213" i="15"/>
  <c r="EO213" i="15"/>
  <c r="EQ213" i="15"/>
  <c r="BC213" i="65"/>
  <c r="DS213" i="15"/>
  <c r="DT213" i="15"/>
  <c r="DU213" i="15"/>
  <c r="EO253" i="15"/>
  <c r="EQ253" i="15"/>
  <c r="EP253" i="15"/>
  <c r="BC135" i="65"/>
  <c r="DT135" i="15"/>
  <c r="DU135" i="15"/>
  <c r="DS135" i="15"/>
  <c r="DS245" i="15"/>
  <c r="DU245" i="15"/>
  <c r="DT245" i="15"/>
  <c r="BC245" i="65"/>
  <c r="DZ335" i="15"/>
  <c r="EB335" i="15" s="1"/>
  <c r="ED335" i="15"/>
  <c r="EC233" i="15"/>
  <c r="EG233" i="15" s="1"/>
  <c r="DL233" i="15" s="1"/>
  <c r="DY233" i="15"/>
  <c r="DZ233" i="15"/>
  <c r="EB233" i="15" s="1"/>
  <c r="ED233" i="15"/>
  <c r="ED343" i="15"/>
  <c r="DZ343" i="15"/>
  <c r="EB343" i="15" s="1"/>
  <c r="DR278" i="15"/>
  <c r="BA278" i="65"/>
  <c r="EN278" i="15"/>
  <c r="DK278" i="15"/>
  <c r="DR290" i="15"/>
  <c r="EN290" i="15"/>
  <c r="DK290" i="15"/>
  <c r="BA290" i="65"/>
  <c r="ED197" i="15"/>
  <c r="DZ197" i="15"/>
  <c r="EB197" i="15" s="1"/>
  <c r="ED205" i="15"/>
  <c r="DZ205" i="15"/>
  <c r="EB205" i="15" s="1"/>
  <c r="EA195" i="15"/>
  <c r="EE195" i="15"/>
  <c r="EH195" i="15" s="1"/>
  <c r="EC195" i="15"/>
  <c r="EG195" i="15" s="1"/>
  <c r="DL195" i="15" s="1"/>
  <c r="DY195" i="15"/>
  <c r="DZ323" i="15"/>
  <c r="EB323" i="15" s="1"/>
  <c r="ED323" i="15"/>
  <c r="DZ291" i="15"/>
  <c r="EB291" i="15" s="1"/>
  <c r="ED291" i="15"/>
  <c r="DY297" i="15"/>
  <c r="EC297" i="15"/>
  <c r="EG297" i="15" s="1"/>
  <c r="DL297" i="15" s="1"/>
  <c r="ED297" i="15"/>
  <c r="DZ297" i="15"/>
  <c r="EB297" i="15" s="1"/>
  <c r="EC287" i="15"/>
  <c r="EG287" i="15" s="1"/>
  <c r="DL287" i="15" s="1"/>
  <c r="DY287" i="15"/>
  <c r="ED287" i="15"/>
  <c r="DZ287" i="15"/>
  <c r="EB287" i="15" s="1"/>
  <c r="EA279" i="15"/>
  <c r="EE279" i="15"/>
  <c r="EH279" i="15" s="1"/>
  <c r="DY279" i="15"/>
  <c r="EC279" i="15"/>
  <c r="EG279" i="15" s="1"/>
  <c r="DL279" i="15" s="1"/>
  <c r="DY311" i="15"/>
  <c r="EC311" i="15"/>
  <c r="EG311" i="15" s="1"/>
  <c r="DL311" i="15" s="1"/>
  <c r="DZ311" i="15"/>
  <c r="EB311" i="15" s="1"/>
  <c r="ED311" i="15"/>
  <c r="DY295" i="15"/>
  <c r="EC295" i="15"/>
  <c r="EG295" i="15" s="1"/>
  <c r="DL295" i="15" s="1"/>
  <c r="ED295" i="15"/>
  <c r="DZ295" i="15"/>
  <c r="EB295" i="15" s="1"/>
  <c r="EE277" i="15"/>
  <c r="EH277" i="15" s="1"/>
  <c r="EA277" i="15"/>
  <c r="ED173" i="15"/>
  <c r="DZ173" i="15"/>
  <c r="EB173" i="15" s="1"/>
  <c r="EC172" i="15"/>
  <c r="EG172" i="15" s="1"/>
  <c r="DL172" i="15" s="1"/>
  <c r="DY172" i="15"/>
  <c r="DZ152" i="15"/>
  <c r="EB152" i="15" s="1"/>
  <c r="ED152" i="15"/>
  <c r="EC171" i="15"/>
  <c r="EG171" i="15" s="1"/>
  <c r="DL171" i="15" s="1"/>
  <c r="DY171" i="15"/>
  <c r="ED171" i="15"/>
  <c r="DZ171" i="15"/>
  <c r="EB171" i="15" s="1"/>
  <c r="DY161" i="15"/>
  <c r="EC161" i="15"/>
  <c r="EG161" i="15" s="1"/>
  <c r="DL161" i="15" s="1"/>
  <c r="DZ161" i="15"/>
  <c r="EB161" i="15" s="1"/>
  <c r="ED161" i="15"/>
  <c r="DZ170" i="15"/>
  <c r="EB170" i="15" s="1"/>
  <c r="ED170" i="15"/>
  <c r="EE145" i="15"/>
  <c r="EH145" i="15" s="1"/>
  <c r="EA145" i="15"/>
  <c r="DY165" i="15"/>
  <c r="EC165" i="15"/>
  <c r="EG165" i="15" s="1"/>
  <c r="DL165" i="15" s="1"/>
  <c r="ED165" i="15"/>
  <c r="DZ165" i="15"/>
  <c r="EB165" i="15" s="1"/>
  <c r="EE177" i="15"/>
  <c r="EH177" i="15" s="1"/>
  <c r="EA177" i="15"/>
  <c r="EE179" i="15"/>
  <c r="EH179" i="15" s="1"/>
  <c r="EA179" i="15"/>
  <c r="EC179" i="15"/>
  <c r="EG179" i="15" s="1"/>
  <c r="DL179" i="15" s="1"/>
  <c r="DY179" i="15"/>
  <c r="ED189" i="15"/>
  <c r="DZ189" i="15"/>
  <c r="EB189" i="15" s="1"/>
  <c r="EC307" i="15"/>
  <c r="EG307" i="15" s="1"/>
  <c r="DL307" i="15" s="1"/>
  <c r="DY307" i="15"/>
  <c r="ED307" i="15"/>
  <c r="DZ307" i="15"/>
  <c r="EB307" i="15" s="1"/>
  <c r="DZ247" i="15"/>
  <c r="EB247" i="15" s="1"/>
  <c r="ED247" i="15"/>
  <c r="DY247" i="15"/>
  <c r="EC247" i="15"/>
  <c r="EG247" i="15" s="1"/>
  <c r="DL247" i="15" s="1"/>
  <c r="DY337" i="15"/>
  <c r="EC337" i="15"/>
  <c r="EG337" i="15" s="1"/>
  <c r="DL337" i="15" s="1"/>
  <c r="DZ337" i="15"/>
  <c r="EB337" i="15" s="1"/>
  <c r="ED337" i="15"/>
  <c r="EC292" i="15"/>
  <c r="EG292" i="15" s="1"/>
  <c r="DL292" i="15" s="1"/>
  <c r="DY292" i="15"/>
  <c r="DZ284" i="15"/>
  <c r="EB284" i="15" s="1"/>
  <c r="ED284" i="15"/>
  <c r="DZ301" i="15"/>
  <c r="EB301" i="15" s="1"/>
  <c r="ED301" i="15"/>
  <c r="ED309" i="15"/>
  <c r="DZ309" i="15"/>
  <c r="EB309" i="15" s="1"/>
  <c r="EA303" i="15"/>
  <c r="EE303" i="15"/>
  <c r="EH303" i="15" s="1"/>
  <c r="EA283" i="15"/>
  <c r="EE283" i="15"/>
  <c r="EH283" i="15" s="1"/>
  <c r="EC283" i="15"/>
  <c r="EG283" i="15" s="1"/>
  <c r="DL283" i="15" s="1"/>
  <c r="DY283" i="15"/>
  <c r="EE320" i="15"/>
  <c r="EH320" i="15" s="1"/>
  <c r="EA320" i="15"/>
  <c r="EC320" i="15"/>
  <c r="EG320" i="15" s="1"/>
  <c r="DL320" i="15" s="1"/>
  <c r="DY320" i="15"/>
  <c r="ED288" i="15"/>
  <c r="DZ288" i="15"/>
  <c r="EB288" i="15" s="1"/>
  <c r="EA288" i="15"/>
  <c r="EE288" i="15"/>
  <c r="EH288" i="15" s="1"/>
  <c r="EE131" i="15"/>
  <c r="EH131" i="15" s="1"/>
  <c r="EA131" i="15"/>
  <c r="EC131" i="15"/>
  <c r="EG131" i="15" s="1"/>
  <c r="DL131" i="15" s="1"/>
  <c r="DY131" i="15"/>
  <c r="ED138" i="15"/>
  <c r="DZ138" i="15"/>
  <c r="EB138" i="15" s="1"/>
  <c r="EE138" i="15"/>
  <c r="EH138" i="15" s="1"/>
  <c r="EA138" i="15"/>
  <c r="DZ151" i="15"/>
  <c r="EB151" i="15" s="1"/>
  <c r="ED151" i="15"/>
  <c r="EA149" i="15"/>
  <c r="EE149" i="15"/>
  <c r="EH149" i="15" s="1"/>
  <c r="EC149" i="15"/>
  <c r="EG149" i="15" s="1"/>
  <c r="DL149" i="15" s="1"/>
  <c r="DY149" i="15"/>
  <c r="EA166" i="15"/>
  <c r="EE166" i="15"/>
  <c r="EH166" i="15" s="1"/>
  <c r="EC166" i="15"/>
  <c r="EG166" i="15" s="1"/>
  <c r="DL166" i="15" s="1"/>
  <c r="DY166" i="15"/>
  <c r="DZ133" i="15"/>
  <c r="EB133" i="15" s="1"/>
  <c r="ED133" i="15"/>
  <c r="EE140" i="15"/>
  <c r="EH140" i="15" s="1"/>
  <c r="EA140" i="15"/>
  <c r="DY140" i="15"/>
  <c r="EC140" i="15"/>
  <c r="EG140" i="15" s="1"/>
  <c r="DL140" i="15" s="1"/>
  <c r="DY147" i="15"/>
  <c r="EC147" i="15"/>
  <c r="EG147" i="15" s="1"/>
  <c r="DL147" i="15" s="1"/>
  <c r="DZ147" i="15"/>
  <c r="EB147" i="15" s="1"/>
  <c r="ED147" i="15"/>
  <c r="ED136" i="15"/>
  <c r="DZ136" i="15"/>
  <c r="EB136" i="15" s="1"/>
  <c r="EA136" i="15"/>
  <c r="EE136" i="15"/>
  <c r="EH136" i="15" s="1"/>
  <c r="EC156" i="15"/>
  <c r="EG156" i="15" s="1"/>
  <c r="DL156" i="15" s="1"/>
  <c r="DY156" i="15"/>
  <c r="DY154" i="15"/>
  <c r="EC154" i="15"/>
  <c r="EG154" i="15" s="1"/>
  <c r="DL154" i="15" s="1"/>
  <c r="ED155" i="15"/>
  <c r="DZ155" i="15"/>
  <c r="EB155" i="15" s="1"/>
  <c r="DR296" i="15"/>
  <c r="DK296" i="15"/>
  <c r="BA296" i="65"/>
  <c r="EN296" i="15"/>
  <c r="DR286" i="15"/>
  <c r="BA286" i="65"/>
  <c r="DK286" i="15"/>
  <c r="EN286" i="15"/>
  <c r="DR300" i="15"/>
  <c r="DK300" i="15"/>
  <c r="EN300" i="15"/>
  <c r="BA300" i="65"/>
  <c r="DR282" i="15"/>
  <c r="DK282" i="15"/>
  <c r="BA282" i="65"/>
  <c r="EN282" i="15"/>
  <c r="DR158" i="15"/>
  <c r="DK158" i="15"/>
  <c r="EN158" i="15"/>
  <c r="BA158" i="65"/>
  <c r="DR274" i="15"/>
  <c r="BA274" i="65"/>
  <c r="DK274" i="15"/>
  <c r="EN274" i="15"/>
  <c r="EN142" i="15"/>
  <c r="BA142" i="65"/>
  <c r="DR142" i="15"/>
  <c r="DK142" i="15"/>
  <c r="DR312" i="15"/>
  <c r="BA312" i="65"/>
  <c r="EN312" i="15"/>
  <c r="DK312" i="15"/>
  <c r="DR298" i="15"/>
  <c r="DK298" i="15"/>
  <c r="BA298" i="65"/>
  <c r="EN298" i="15"/>
  <c r="EM296" i="15"/>
  <c r="EL296" i="15"/>
  <c r="EL274" i="15"/>
  <c r="EK286" i="15"/>
  <c r="EL286" i="15"/>
  <c r="EM286" i="15"/>
  <c r="EM158" i="15"/>
  <c r="EK158" i="15"/>
  <c r="EL158" i="15"/>
  <c r="EM142" i="15"/>
  <c r="EK142" i="15"/>
  <c r="EL142" i="15"/>
  <c r="EL312" i="15"/>
  <c r="EK312" i="15"/>
  <c r="EM312" i="15"/>
  <c r="J17" i="5"/>
  <c r="EX26" i="15"/>
  <c r="EY26" i="15"/>
  <c r="EZ26" i="15"/>
  <c r="ER26" i="15"/>
  <c r="BU26" i="15"/>
  <c r="BT26" i="15"/>
  <c r="EV26" i="15"/>
  <c r="AV26" i="91"/>
  <c r="AV26" i="84"/>
  <c r="AV26" i="85"/>
  <c r="AV26" i="89"/>
  <c r="AV26" i="90"/>
  <c r="AV26" i="82"/>
  <c r="AV26" i="83"/>
  <c r="AV26" i="86"/>
  <c r="AV26" i="87"/>
  <c r="AV26" i="88"/>
  <c r="BR36" i="15"/>
  <c r="BA38" i="83"/>
  <c r="BA38" i="86"/>
  <c r="BA38" i="90"/>
  <c r="BA38" i="89"/>
  <c r="BA38" i="82"/>
  <c r="BA38" i="84"/>
  <c r="BA38" i="85"/>
  <c r="BA38" i="88"/>
  <c r="BA38" i="87"/>
  <c r="BA38" i="91"/>
  <c r="CH109" i="15"/>
  <c r="AW109" i="65" s="1"/>
  <c r="Q109" i="5" s="1"/>
  <c r="BA109" i="73" s="1"/>
  <c r="CD52" i="15"/>
  <c r="BQ52" i="15"/>
  <c r="CA52" i="15"/>
  <c r="AV52" i="65" s="1"/>
  <c r="P52" i="5" s="1"/>
  <c r="AS52" i="65"/>
  <c r="M52" i="5" s="1"/>
  <c r="BA105" i="82"/>
  <c r="BA105" i="83"/>
  <c r="BA105" i="84"/>
  <c r="BA105" i="86"/>
  <c r="BA105" i="85"/>
  <c r="BA105" i="87"/>
  <c r="BA105" i="89"/>
  <c r="BA105" i="88"/>
  <c r="BA105" i="90"/>
  <c r="AV44" i="82"/>
  <c r="AV44" i="83"/>
  <c r="AV44" i="84"/>
  <c r="AV44" i="86"/>
  <c r="AV44" i="85"/>
  <c r="AV44" i="87"/>
  <c r="AV44" i="89"/>
  <c r="AV44" i="88"/>
  <c r="AV44" i="90"/>
  <c r="BA68" i="82"/>
  <c r="BA68" i="84"/>
  <c r="BA68" i="83"/>
  <c r="BA68" i="85"/>
  <c r="BA68" i="86"/>
  <c r="BA68" i="88"/>
  <c r="BA68" i="90"/>
  <c r="BA68" i="87"/>
  <c r="BA68" i="89"/>
  <c r="BA67" i="82"/>
  <c r="BA67" i="83"/>
  <c r="BA67" i="84"/>
  <c r="BA67" i="86"/>
  <c r="BA67" i="85"/>
  <c r="BA67" i="87"/>
  <c r="BA67" i="89"/>
  <c r="BA67" i="88"/>
  <c r="BA67" i="90"/>
  <c r="AV107" i="82"/>
  <c r="AV107" i="84"/>
  <c r="AV107" i="83"/>
  <c r="AV107" i="85"/>
  <c r="AV107" i="86"/>
  <c r="AV107" i="88"/>
  <c r="AV107" i="90"/>
  <c r="AV107" i="87"/>
  <c r="AV107" i="89"/>
  <c r="BA119" i="82"/>
  <c r="BA119" i="83"/>
  <c r="BA119" i="84"/>
  <c r="BA119" i="86"/>
  <c r="BA119" i="85"/>
  <c r="BA119" i="87"/>
  <c r="BA119" i="89"/>
  <c r="BA119" i="88"/>
  <c r="BA119" i="90"/>
  <c r="BA122" i="82"/>
  <c r="BA122" i="84"/>
  <c r="BA122" i="83"/>
  <c r="BA122" i="85"/>
  <c r="BA122" i="86"/>
  <c r="BA122" i="88"/>
  <c r="BA122" i="90"/>
  <c r="BA122" i="87"/>
  <c r="BA122" i="89"/>
  <c r="BA116" i="82"/>
  <c r="BA116" i="84"/>
  <c r="BA116" i="83"/>
  <c r="BA116" i="85"/>
  <c r="BA116" i="86"/>
  <c r="BA116" i="88"/>
  <c r="BA116" i="90"/>
  <c r="BA116" i="87"/>
  <c r="BA116" i="89"/>
  <c r="AR36" i="82"/>
  <c r="AR36" i="83"/>
  <c r="AR36" i="84"/>
  <c r="AR36" i="86"/>
  <c r="AR36" i="85"/>
  <c r="AR36" i="87"/>
  <c r="AR36" i="89"/>
  <c r="AR36" i="88"/>
  <c r="AR36" i="90"/>
  <c r="AW44" i="82"/>
  <c r="AW44" i="84"/>
  <c r="AW44" i="83"/>
  <c r="AW44" i="85"/>
  <c r="AW44" i="86"/>
  <c r="AW44" i="88"/>
  <c r="AW44" i="90"/>
  <c r="AW44" i="87"/>
  <c r="AW44" i="89"/>
  <c r="AU78" i="82"/>
  <c r="AU78" i="84"/>
  <c r="AU78" i="83"/>
  <c r="AU78" i="85"/>
  <c r="AU78" i="86"/>
  <c r="AU78" i="88"/>
  <c r="AU78" i="90"/>
  <c r="AU78" i="87"/>
  <c r="AU78" i="89"/>
  <c r="AU44" i="82"/>
  <c r="AU44" i="84"/>
  <c r="AU44" i="83"/>
  <c r="AU44" i="85"/>
  <c r="AU44" i="86"/>
  <c r="AU44" i="88"/>
  <c r="AU44" i="90"/>
  <c r="AU44" i="87"/>
  <c r="AU44" i="89"/>
  <c r="AW78" i="82"/>
  <c r="AW78" i="84"/>
  <c r="AW78" i="83"/>
  <c r="AW78" i="85"/>
  <c r="AW78" i="86"/>
  <c r="AW78" i="88"/>
  <c r="AW78" i="90"/>
  <c r="AW78" i="87"/>
  <c r="AW78" i="89"/>
  <c r="BA42" i="82"/>
  <c r="BA42" i="84"/>
  <c r="BA42" i="83"/>
  <c r="BA42" i="85"/>
  <c r="BA42" i="86"/>
  <c r="BA42" i="88"/>
  <c r="BA42" i="90"/>
  <c r="BA42" i="87"/>
  <c r="BA42" i="89"/>
  <c r="BA63" i="82"/>
  <c r="BA63" i="83"/>
  <c r="BA63" i="84"/>
  <c r="BA63" i="86"/>
  <c r="BA63" i="85"/>
  <c r="BA63" i="87"/>
  <c r="BA63" i="89"/>
  <c r="BA63" i="88"/>
  <c r="BA63" i="90"/>
  <c r="AV78" i="82"/>
  <c r="AV78" i="83"/>
  <c r="AV78" i="84"/>
  <c r="AV78" i="86"/>
  <c r="AV78" i="85"/>
  <c r="AV78" i="87"/>
  <c r="AV78" i="89"/>
  <c r="AV78" i="88"/>
  <c r="AV78" i="90"/>
  <c r="AV49" i="82"/>
  <c r="AV49" i="84"/>
  <c r="AV49" i="83"/>
  <c r="AV49" i="85"/>
  <c r="AV49" i="86"/>
  <c r="AV49" i="88"/>
  <c r="AV49" i="90"/>
  <c r="AV49" i="87"/>
  <c r="AV49" i="89"/>
  <c r="AV123" i="82"/>
  <c r="AV123" i="84"/>
  <c r="AV123" i="83"/>
  <c r="AV123" i="85"/>
  <c r="AV123" i="86"/>
  <c r="AV123" i="88"/>
  <c r="AV123" i="90"/>
  <c r="AV123" i="87"/>
  <c r="AV123" i="89"/>
  <c r="AW49" i="82"/>
  <c r="AW49" i="83"/>
  <c r="AW49" i="84"/>
  <c r="AW49" i="86"/>
  <c r="AW49" i="85"/>
  <c r="AW49" i="87"/>
  <c r="AW49" i="89"/>
  <c r="AW49" i="88"/>
  <c r="AW49" i="90"/>
  <c r="AR78" i="82"/>
  <c r="AR78" i="83"/>
  <c r="AR78" i="84"/>
  <c r="AR78" i="86"/>
  <c r="AR78" i="85"/>
  <c r="AR78" i="87"/>
  <c r="AR78" i="89"/>
  <c r="AR78" i="88"/>
  <c r="AR78" i="90"/>
  <c r="AR49" i="82"/>
  <c r="AR49" i="84"/>
  <c r="AR49" i="83"/>
  <c r="AR49" i="85"/>
  <c r="AR49" i="86"/>
  <c r="AR49" i="88"/>
  <c r="AR49" i="90"/>
  <c r="AR49" i="87"/>
  <c r="AR49" i="89"/>
  <c r="AU49" i="82"/>
  <c r="AU49" i="83"/>
  <c r="AU49" i="84"/>
  <c r="AU49" i="86"/>
  <c r="AU49" i="85"/>
  <c r="AU49" i="87"/>
  <c r="AU49" i="89"/>
  <c r="AU49" i="88"/>
  <c r="AU49" i="90"/>
  <c r="AR44" i="82"/>
  <c r="AR44" i="83"/>
  <c r="AR44" i="84"/>
  <c r="AR44" i="86"/>
  <c r="AR44" i="85"/>
  <c r="AR44" i="87"/>
  <c r="AR44" i="89"/>
  <c r="AR44" i="88"/>
  <c r="AR44" i="90"/>
  <c r="BY36" i="15"/>
  <c r="BA105" i="91"/>
  <c r="CJ66" i="15"/>
  <c r="CK66" i="15"/>
  <c r="CI66" i="15"/>
  <c r="BA42" i="91"/>
  <c r="CK79" i="15"/>
  <c r="CI79" i="15"/>
  <c r="CJ79" i="15"/>
  <c r="CS79" i="15" s="1"/>
  <c r="CV79" i="15" s="1"/>
  <c r="BA63" i="91"/>
  <c r="AV78" i="91"/>
  <c r="AV49" i="91"/>
  <c r="CK105" i="15"/>
  <c r="CI105" i="15"/>
  <c r="CJ105" i="15"/>
  <c r="CS105" i="15" s="1"/>
  <c r="AV123" i="91"/>
  <c r="AR36" i="91"/>
  <c r="AW44" i="91"/>
  <c r="AU78" i="91"/>
  <c r="AU44" i="91"/>
  <c r="AW78" i="91"/>
  <c r="AV44" i="91"/>
  <c r="CK93" i="15"/>
  <c r="CI93" i="15"/>
  <c r="CJ93" i="15"/>
  <c r="CS93" i="15" s="1"/>
  <c r="BA68" i="91"/>
  <c r="BA67" i="91"/>
  <c r="CV62" i="15"/>
  <c r="CJ62" i="15"/>
  <c r="CS62" i="15" s="1"/>
  <c r="CK62" i="15"/>
  <c r="CI62" i="15"/>
  <c r="CJ90" i="15"/>
  <c r="CK90" i="15"/>
  <c r="DF90" i="15" s="1"/>
  <c r="DI90" i="15" s="1"/>
  <c r="BB90" i="65" s="1"/>
  <c r="V90" i="5" s="1"/>
  <c r="CI90" i="15"/>
  <c r="AV107" i="91"/>
  <c r="CK89" i="15"/>
  <c r="CI89" i="15"/>
  <c r="CJ89" i="15"/>
  <c r="CS89" i="15" s="1"/>
  <c r="CK91" i="15"/>
  <c r="CI91" i="15"/>
  <c r="CJ91" i="15"/>
  <c r="BA119" i="91"/>
  <c r="BA122" i="91"/>
  <c r="CW121" i="15"/>
  <c r="CK121" i="15"/>
  <c r="CI121" i="15"/>
  <c r="CJ121" i="15"/>
  <c r="CS121" i="15" s="1"/>
  <c r="CJ109" i="15"/>
  <c r="BA116" i="91"/>
  <c r="CJ42" i="15"/>
  <c r="CS42" i="15" s="1"/>
  <c r="CV42" i="15" s="1"/>
  <c r="CK42" i="15"/>
  <c r="CT42" i="15" s="1"/>
  <c r="CI42" i="15"/>
  <c r="AW49" i="91"/>
  <c r="AR78" i="91"/>
  <c r="AR49" i="91"/>
  <c r="AU49" i="91"/>
  <c r="AR44" i="91"/>
  <c r="ES78" i="15"/>
  <c r="ET78" i="15"/>
  <c r="EY47" i="15"/>
  <c r="EX47" i="15"/>
  <c r="EZ47" i="15"/>
  <c r="EY89" i="15"/>
  <c r="EX89" i="15"/>
  <c r="EZ89" i="15"/>
  <c r="EY91" i="15"/>
  <c r="EX91" i="15"/>
  <c r="EZ91" i="15"/>
  <c r="ET47" i="15"/>
  <c r="ES47" i="15"/>
  <c r="EU47" i="15"/>
  <c r="EX62" i="15"/>
  <c r="EZ62" i="15"/>
  <c r="EY62" i="15"/>
  <c r="EX66" i="15"/>
  <c r="EZ66" i="15"/>
  <c r="EY66" i="15"/>
  <c r="EY79" i="15"/>
  <c r="EX79" i="15"/>
  <c r="EZ79" i="15"/>
  <c r="EY107" i="15"/>
  <c r="EX107" i="15"/>
  <c r="EZ107" i="15"/>
  <c r="EX90" i="15"/>
  <c r="EZ90" i="15"/>
  <c r="EY90" i="15"/>
  <c r="EY109" i="15"/>
  <c r="EX109" i="15"/>
  <c r="EZ109" i="15"/>
  <c r="ES62" i="15"/>
  <c r="EU62" i="15"/>
  <c r="ET62" i="15"/>
  <c r="FT70" i="15"/>
  <c r="CB70" i="15"/>
  <c r="BV70" i="15"/>
  <c r="BO70" i="15"/>
  <c r="AQ70" i="65"/>
  <c r="K70" i="5" s="1"/>
  <c r="BY70" i="15"/>
  <c r="AT70" i="65" s="1"/>
  <c r="N70" i="5" s="1"/>
  <c r="AU70" i="73" s="1"/>
  <c r="CA69" i="15"/>
  <c r="AV69" i="65" s="1"/>
  <c r="P69" i="5" s="1"/>
  <c r="BQ69" i="15"/>
  <c r="CD69" i="15"/>
  <c r="AS69" i="65"/>
  <c r="M69" i="5" s="1"/>
  <c r="BV52" i="15"/>
  <c r="BY52" i="15" s="1"/>
  <c r="AT52" i="65" s="1"/>
  <c r="N52" i="5" s="1"/>
  <c r="AU52" i="73" s="1"/>
  <c r="BO52" i="15"/>
  <c r="FT52" i="15"/>
  <c r="CB52" i="15"/>
  <c r="AQ52" i="65"/>
  <c r="K52" i="5" s="1"/>
  <c r="BY72" i="15"/>
  <c r="AT72" i="65" s="1"/>
  <c r="N72" i="5" s="1"/>
  <c r="AU72" i="73" s="1"/>
  <c r="AQ72" i="65"/>
  <c r="K72" i="5" s="1"/>
  <c r="FT72" i="15"/>
  <c r="BO72" i="15"/>
  <c r="BV72" i="15"/>
  <c r="CB72" i="15"/>
  <c r="BQ28" i="15"/>
  <c r="AS28" i="65"/>
  <c r="M28" i="5" s="1"/>
  <c r="CD28" i="15"/>
  <c r="CA28" i="15" s="1"/>
  <c r="BQ25" i="15"/>
  <c r="CD25" i="15"/>
  <c r="CA25" i="15" s="1"/>
  <c r="AV25" i="65" s="1"/>
  <c r="AS25" i="65"/>
  <c r="AS35" i="65"/>
  <c r="M35" i="5" s="1"/>
  <c r="CD35" i="15"/>
  <c r="BQ35" i="15"/>
  <c r="CA35" i="15"/>
  <c r="AV35" i="65" s="1"/>
  <c r="P35" i="5" s="1"/>
  <c r="CD72" i="15"/>
  <c r="AS72" i="65"/>
  <c r="M72" i="5" s="1"/>
  <c r="CA72" i="15"/>
  <c r="AV72" i="65" s="1"/>
  <c r="P72" i="5" s="1"/>
  <c r="AW72" i="73" s="1"/>
  <c r="BQ72" i="15"/>
  <c r="BQ70" i="15"/>
  <c r="AS70" i="65"/>
  <c r="M70" i="5" s="1"/>
  <c r="CD70" i="15"/>
  <c r="CA70" i="15"/>
  <c r="AV70" i="65" s="1"/>
  <c r="P70" i="5" s="1"/>
  <c r="CD29" i="15"/>
  <c r="BQ29" i="15"/>
  <c r="AS29" i="65"/>
  <c r="M29" i="5" s="1"/>
  <c r="CA29" i="15"/>
  <c r="AV29" i="65" s="1"/>
  <c r="P29" i="5" s="1"/>
  <c r="BV65" i="15"/>
  <c r="BO65" i="15"/>
  <c r="FT65" i="15"/>
  <c r="CB65" i="15"/>
  <c r="BY65" i="15"/>
  <c r="AT65" i="65" s="1"/>
  <c r="N65" i="5" s="1"/>
  <c r="AU65" i="73" s="1"/>
  <c r="AQ65" i="65"/>
  <c r="K65" i="5" s="1"/>
  <c r="BQ53" i="15"/>
  <c r="AS53" i="65"/>
  <c r="M53" i="5" s="1"/>
  <c r="CD53" i="15"/>
  <c r="CA53" i="15"/>
  <c r="AV53" i="65" s="1"/>
  <c r="P53" i="5" s="1"/>
  <c r="BQ40" i="15"/>
  <c r="CD40" i="15"/>
  <c r="CA40" i="15"/>
  <c r="AS40" i="65"/>
  <c r="M40" i="5" s="1"/>
  <c r="FT31" i="15"/>
  <c r="BO31" i="15"/>
  <c r="CB31" i="15"/>
  <c r="AQ31" i="65"/>
  <c r="K31" i="5" s="1"/>
  <c r="BV31" i="15"/>
  <c r="BY31" i="15" s="1"/>
  <c r="AT31" i="65" s="1"/>
  <c r="N31" i="5" s="1"/>
  <c r="AU31" i="73" s="1"/>
  <c r="BQ33" i="15"/>
  <c r="AS33" i="65"/>
  <c r="M33" i="5" s="1"/>
  <c r="CD33" i="15"/>
  <c r="CA33" i="15" s="1"/>
  <c r="FT29" i="15"/>
  <c r="CB29" i="15"/>
  <c r="BV29" i="15"/>
  <c r="AQ29" i="65"/>
  <c r="K29" i="5" s="1"/>
  <c r="BO29" i="15"/>
  <c r="BY29" i="15"/>
  <c r="AT29" i="65" s="1"/>
  <c r="N29" i="5" s="1"/>
  <c r="AU29" i="73" s="1"/>
  <c r="BV25" i="15"/>
  <c r="CB25" i="15"/>
  <c r="AQ25" i="65"/>
  <c r="BO25" i="15"/>
  <c r="BY25" i="15"/>
  <c r="AT25" i="65" s="1"/>
  <c r="FT25" i="15"/>
  <c r="BO24" i="15"/>
  <c r="AQ24" i="65"/>
  <c r="CB24" i="15"/>
  <c r="BV24" i="15"/>
  <c r="BY24" i="15" s="1"/>
  <c r="AT24" i="65" s="1"/>
  <c r="FT24" i="15"/>
  <c r="CA46" i="15"/>
  <c r="AV46" i="65" s="1"/>
  <c r="P46" i="5" s="1"/>
  <c r="AS46" i="65"/>
  <c r="M46" i="5" s="1"/>
  <c r="BQ46" i="15"/>
  <c r="CD46" i="15"/>
  <c r="AS65" i="65"/>
  <c r="M65" i="5" s="1"/>
  <c r="CD65" i="15"/>
  <c r="CA65" i="15"/>
  <c r="AV65" i="65" s="1"/>
  <c r="P65" i="5" s="1"/>
  <c r="BQ65" i="15"/>
  <c r="CD24" i="15"/>
  <c r="CA24" i="15" s="1"/>
  <c r="AV24" i="65" s="1"/>
  <c r="AS24" i="65"/>
  <c r="BQ24" i="15"/>
  <c r="BO46" i="15"/>
  <c r="FT46" i="15"/>
  <c r="BY46" i="15"/>
  <c r="AT46" i="65" s="1"/>
  <c r="N46" i="5" s="1"/>
  <c r="AU46" i="73" s="1"/>
  <c r="CB46" i="15"/>
  <c r="AQ46" i="65"/>
  <c r="K46" i="5" s="1"/>
  <c r="BV46" i="15"/>
  <c r="CD31" i="15"/>
  <c r="AS31" i="65"/>
  <c r="M31" i="5" s="1"/>
  <c r="BQ31" i="15"/>
  <c r="CA31" i="15"/>
  <c r="AV31" i="65" s="1"/>
  <c r="P31" i="5" s="1"/>
  <c r="BV28" i="15"/>
  <c r="AQ28" i="65"/>
  <c r="K28" i="5" s="1"/>
  <c r="FT28" i="15"/>
  <c r="BO28" i="15"/>
  <c r="CB28" i="15"/>
  <c r="BO69" i="15"/>
  <c r="AQ69" i="65"/>
  <c r="K69" i="5" s="1"/>
  <c r="CB69" i="15"/>
  <c r="FT69" i="15"/>
  <c r="BY69" i="15"/>
  <c r="AT69" i="65" s="1"/>
  <c r="N69" i="5" s="1"/>
  <c r="AU69" i="73" s="1"/>
  <c r="BV69" i="15"/>
  <c r="FT35" i="15"/>
  <c r="AQ35" i="65"/>
  <c r="K35" i="5" s="1"/>
  <c r="BV35" i="15"/>
  <c r="CB35" i="15"/>
  <c r="BY35" i="15"/>
  <c r="BO35" i="15"/>
  <c r="BO53" i="15"/>
  <c r="BY53" i="15"/>
  <c r="AT53" i="65" s="1"/>
  <c r="N53" i="5" s="1"/>
  <c r="AU53" i="73" s="1"/>
  <c r="AQ53" i="65"/>
  <c r="K53" i="5" s="1"/>
  <c r="FT53" i="15"/>
  <c r="BV53" i="15"/>
  <c r="CB53" i="15"/>
  <c r="BY40" i="15"/>
  <c r="AT40" i="65" s="1"/>
  <c r="N40" i="5" s="1"/>
  <c r="AU40" i="73" s="1"/>
  <c r="AQ40" i="65"/>
  <c r="K40" i="5" s="1"/>
  <c r="FT40" i="15"/>
  <c r="BV40" i="15"/>
  <c r="BO40" i="15"/>
  <c r="CB40" i="15"/>
  <c r="FT33" i="15"/>
  <c r="BO33" i="15"/>
  <c r="CB33" i="15"/>
  <c r="BV33" i="15"/>
  <c r="AQ33" i="65"/>
  <c r="K33" i="5" s="1"/>
  <c r="BL73" i="15"/>
  <c r="BN74" i="15"/>
  <c r="BL74" i="15"/>
  <c r="BN76" i="15"/>
  <c r="BL76" i="15"/>
  <c r="BL77" i="15"/>
  <c r="BL22" i="15"/>
  <c r="BL27" i="15"/>
  <c r="BL56" i="15"/>
  <c r="BN64" i="15"/>
  <c r="BL64" i="15"/>
  <c r="BN60" i="15"/>
  <c r="BL60" i="15"/>
  <c r="BL23" i="15"/>
  <c r="BN45" i="15"/>
  <c r="BL50" i="15"/>
  <c r="BN32" i="15"/>
  <c r="BL54" i="15"/>
  <c r="BL57" i="15"/>
  <c r="BN73" i="15"/>
  <c r="BN75" i="15"/>
  <c r="BL75" i="15"/>
  <c r="BN77" i="15"/>
  <c r="BN22" i="15"/>
  <c r="BL30" i="15"/>
  <c r="BN30" i="15"/>
  <c r="BN27" i="15"/>
  <c r="BN56" i="15"/>
  <c r="BN23" i="15"/>
  <c r="BL45" i="15"/>
  <c r="BN59" i="15"/>
  <c r="BL59" i="15"/>
  <c r="BN50" i="15"/>
  <c r="BL32" i="15"/>
  <c r="BN54" i="15"/>
  <c r="BN71" i="15"/>
  <c r="BL71" i="15"/>
  <c r="BN57" i="15"/>
  <c r="EW123" i="15"/>
  <c r="CF78" i="15"/>
  <c r="EW78" i="15" s="1"/>
  <c r="BU47" i="15"/>
  <c r="EV47" i="15"/>
  <c r="CH47" i="15" s="1"/>
  <c r="CE49" i="15"/>
  <c r="BU49" i="15" s="1"/>
  <c r="BU109" i="15"/>
  <c r="BS123" i="15"/>
  <c r="CR121" i="15"/>
  <c r="CV121" i="15"/>
  <c r="CU121" i="15"/>
  <c r="CW62" i="15"/>
  <c r="CF36" i="15"/>
  <c r="EW36" i="15" s="1"/>
  <c r="AW121" i="65"/>
  <c r="Q121" i="5" s="1"/>
  <c r="BA121" i="73" s="1"/>
  <c r="BZ53" i="15"/>
  <c r="FU53" i="15"/>
  <c r="FC53" i="15" s="1"/>
  <c r="FB53" i="15" s="1"/>
  <c r="FA53" i="15" s="1"/>
  <c r="BG53" i="65" s="1"/>
  <c r="AG53" i="5" s="1"/>
  <c r="CC53" i="15"/>
  <c r="BP53" i="15"/>
  <c r="AR53" i="65"/>
  <c r="L53" i="5" s="1"/>
  <c r="BZ46" i="15"/>
  <c r="CE46" i="15" s="1"/>
  <c r="FU46" i="15"/>
  <c r="FC47" i="15" s="1"/>
  <c r="FB47" i="15" s="1"/>
  <c r="FA47" i="15" s="1"/>
  <c r="BG47" i="65" s="1"/>
  <c r="AG47" i="5" s="1"/>
  <c r="AR46" i="65"/>
  <c r="L46" i="5" s="1"/>
  <c r="BP46" i="15"/>
  <c r="CC46" i="15"/>
  <c r="AR28" i="65"/>
  <c r="L28" i="5" s="1"/>
  <c r="BP28" i="15"/>
  <c r="FU28" i="15"/>
  <c r="CC28" i="15"/>
  <c r="BZ28" i="15" s="1"/>
  <c r="AU28" i="65" s="1"/>
  <c r="O28" i="5" s="1"/>
  <c r="CC69" i="15"/>
  <c r="BZ69" i="15"/>
  <c r="AU69" i="65" s="1"/>
  <c r="O69" i="5" s="1"/>
  <c r="AV69" i="73" s="1"/>
  <c r="BP69" i="15"/>
  <c r="FU69" i="15"/>
  <c r="FC69" i="15" s="1"/>
  <c r="FB69" i="15" s="1"/>
  <c r="FA69" i="15" s="1"/>
  <c r="BG69" i="65" s="1"/>
  <c r="AG69" i="5" s="1"/>
  <c r="AR69" i="65"/>
  <c r="L69" i="5" s="1"/>
  <c r="BP35" i="15"/>
  <c r="FU35" i="15"/>
  <c r="FC36" i="15" s="1"/>
  <c r="FB36" i="15" s="1"/>
  <c r="FA36" i="15" s="1"/>
  <c r="BG36" i="65" s="1"/>
  <c r="AG36" i="5" s="1"/>
  <c r="AR35" i="65"/>
  <c r="L35" i="5" s="1"/>
  <c r="CC35" i="15"/>
  <c r="BZ35" i="15" s="1"/>
  <c r="FU52" i="15"/>
  <c r="BP52" i="15"/>
  <c r="BZ52" i="15"/>
  <c r="CF52" i="15" s="1"/>
  <c r="AR52" i="65"/>
  <c r="L52" i="5" s="1"/>
  <c r="CC52" i="15"/>
  <c r="BP33" i="15"/>
  <c r="AR33" i="65"/>
  <c r="L33" i="5" s="1"/>
  <c r="BZ33" i="15"/>
  <c r="AU33" i="65" s="1"/>
  <c r="O33" i="5" s="1"/>
  <c r="CC33" i="15"/>
  <c r="FU33" i="15"/>
  <c r="BZ65" i="15"/>
  <c r="FU65" i="15"/>
  <c r="FC66" i="15" s="1"/>
  <c r="FB66" i="15" s="1"/>
  <c r="FA66" i="15" s="1"/>
  <c r="BG66" i="65" s="1"/>
  <c r="AG66" i="5" s="1"/>
  <c r="CC65" i="15"/>
  <c r="AR65" i="65"/>
  <c r="L65" i="5" s="1"/>
  <c r="BP65" i="15"/>
  <c r="FU40" i="15"/>
  <c r="BP40" i="15"/>
  <c r="BZ40" i="15"/>
  <c r="AU40" i="65" s="1"/>
  <c r="O40" i="5" s="1"/>
  <c r="AV40" i="73" s="1"/>
  <c r="AR40" i="65"/>
  <c r="L40" i="5" s="1"/>
  <c r="CC40" i="15"/>
  <c r="CC31" i="15"/>
  <c r="BZ31" i="15"/>
  <c r="FU31" i="15"/>
  <c r="BP31" i="15"/>
  <c r="AR31" i="65"/>
  <c r="L31" i="5" s="1"/>
  <c r="AR29" i="65"/>
  <c r="L29" i="5" s="1"/>
  <c r="BP29" i="15"/>
  <c r="CC29" i="15"/>
  <c r="BZ29" i="15" s="1"/>
  <c r="FU29" i="15"/>
  <c r="CC25" i="15"/>
  <c r="BP25" i="15"/>
  <c r="BZ25" i="15"/>
  <c r="AR25" i="65"/>
  <c r="FU25" i="15"/>
  <c r="FC26" i="15" s="1"/>
  <c r="FB26" i="15" s="1"/>
  <c r="FA26" i="15" s="1"/>
  <c r="BG26" i="65" s="1"/>
  <c r="AG26" i="5" s="1"/>
  <c r="CC70" i="15"/>
  <c r="BP70" i="15"/>
  <c r="BZ70" i="15"/>
  <c r="AU70" i="65" s="1"/>
  <c r="O70" i="5" s="1"/>
  <c r="AV70" i="73" s="1"/>
  <c r="AR70" i="65"/>
  <c r="L70" i="5" s="1"/>
  <c r="FU70" i="15"/>
  <c r="BP72" i="15"/>
  <c r="BZ72" i="15"/>
  <c r="CF72" i="15" s="1"/>
  <c r="AR72" i="65"/>
  <c r="L72" i="5" s="1"/>
  <c r="CC72" i="15"/>
  <c r="FU72" i="15"/>
  <c r="AR24" i="65"/>
  <c r="BP24" i="15"/>
  <c r="FU24" i="15"/>
  <c r="CC24" i="15"/>
  <c r="BZ24" i="15" s="1"/>
  <c r="AU24" i="65" s="1"/>
  <c r="BM75" i="15"/>
  <c r="BM27" i="15"/>
  <c r="BM64" i="15"/>
  <c r="BM23" i="15"/>
  <c r="BM59" i="15"/>
  <c r="BM50" i="15"/>
  <c r="BM54" i="15"/>
  <c r="BM71" i="15"/>
  <c r="BM57" i="15"/>
  <c r="DD290" i="15"/>
  <c r="DG290" i="15" s="1"/>
  <c r="CT89" i="15"/>
  <c r="CR89" i="15"/>
  <c r="CW89" i="15"/>
  <c r="AW89" i="65"/>
  <c r="Q89" i="5" s="1"/>
  <c r="BA89" i="73" s="1"/>
  <c r="CV89" i="15"/>
  <c r="CV91" i="15"/>
  <c r="AW91" i="65"/>
  <c r="Q91" i="5" s="1"/>
  <c r="BA91" i="73" s="1"/>
  <c r="CW91" i="15"/>
  <c r="CR91" i="15"/>
  <c r="CT91" i="15"/>
  <c r="CS91" i="15"/>
  <c r="BM73" i="15"/>
  <c r="BM74" i="15"/>
  <c r="BM76" i="15"/>
  <c r="BM77" i="15"/>
  <c r="BM22" i="15"/>
  <c r="BM30" i="15"/>
  <c r="BM56" i="15"/>
  <c r="BM60" i="15"/>
  <c r="BM45" i="15"/>
  <c r="BM32" i="15"/>
  <c r="DD298" i="15"/>
  <c r="DG298" i="15" s="1"/>
  <c r="CW90" i="15"/>
  <c r="CS90" i="15"/>
  <c r="CR90" i="15"/>
  <c r="DE90" i="15"/>
  <c r="DH90" i="15" s="1"/>
  <c r="CV90" i="15"/>
  <c r="CT90" i="15"/>
  <c r="AW90" i="65"/>
  <c r="Q90" i="5" s="1"/>
  <c r="BA90" i="73" s="1"/>
  <c r="BT107" i="15"/>
  <c r="BS107" i="15" s="1"/>
  <c r="BU107" i="15"/>
  <c r="EV107" i="15"/>
  <c r="CH107" i="15" s="1"/>
  <c r="CW107" i="15" s="1"/>
  <c r="X181" i="5"/>
  <c r="Y181" i="5" s="1"/>
  <c r="DD300" i="15"/>
  <c r="DG300" i="15" s="1"/>
  <c r="DD282" i="15"/>
  <c r="DG282" i="15" s="1"/>
  <c r="CX67" i="15"/>
  <c r="AW93" i="65"/>
  <c r="Q93" i="5" s="1"/>
  <c r="BA93" i="73" s="1"/>
  <c r="CT62" i="15"/>
  <c r="AW62" i="65"/>
  <c r="Q62" i="5" s="1"/>
  <c r="BA62" i="73" s="1"/>
  <c r="CR62" i="15"/>
  <c r="AW79" i="65"/>
  <c r="Q79" i="5" s="1"/>
  <c r="BA79" i="73" s="1"/>
  <c r="CR79" i="15"/>
  <c r="CT79" i="15"/>
  <c r="CW79" i="15" s="1"/>
  <c r="CT68" i="15"/>
  <c r="CW68" i="15" s="1"/>
  <c r="CV68" i="15"/>
  <c r="CR42" i="15"/>
  <c r="CT93" i="15"/>
  <c r="CV93" i="15"/>
  <c r="CR93" i="15"/>
  <c r="CU93" i="15"/>
  <c r="CW93" i="15"/>
  <c r="AX61" i="65"/>
  <c r="R61" i="5" s="1"/>
  <c r="DC61" i="15"/>
  <c r="AY61" i="65" s="1"/>
  <c r="S61" i="5" s="1"/>
  <c r="AW66" i="65"/>
  <c r="Q66" i="5" s="1"/>
  <c r="BA66" i="73" s="1"/>
  <c r="CT66" i="15"/>
  <c r="CS66" i="15"/>
  <c r="CR66" i="15"/>
  <c r="CU66" i="15"/>
  <c r="CW48" i="15"/>
  <c r="HU51" i="15"/>
  <c r="HX51" i="15" s="1"/>
  <c r="HT51" i="15"/>
  <c r="HV51" i="15"/>
  <c r="HW51" i="15"/>
  <c r="HY51" i="15"/>
  <c r="HV34" i="15"/>
  <c r="HY34" i="15" s="1"/>
  <c r="BK34" i="15" s="1"/>
  <c r="HU34" i="15"/>
  <c r="HX34" i="15" s="1"/>
  <c r="BJ34" i="15" s="1"/>
  <c r="HT34" i="15"/>
  <c r="HW34" i="15" s="1"/>
  <c r="BH34" i="15" s="1"/>
  <c r="HU58" i="15"/>
  <c r="HX58" i="15" s="1"/>
  <c r="HT58" i="15"/>
  <c r="HV58" i="15"/>
  <c r="HW58" i="15"/>
  <c r="HY58" i="15"/>
  <c r="EV49" i="15"/>
  <c r="EW44" i="15"/>
  <c r="AU52" i="65"/>
  <c r="O52" i="5" s="1"/>
  <c r="AV52" i="73" s="1"/>
  <c r="HT41" i="15"/>
  <c r="HV41" i="15"/>
  <c r="HU41" i="15"/>
  <c r="HX41" i="15" s="1"/>
  <c r="BJ41" i="15" s="1"/>
  <c r="HY41" i="15"/>
  <c r="BK41" i="15" s="1"/>
  <c r="HW41" i="15"/>
  <c r="BH41" i="15" s="1"/>
  <c r="AT35" i="65"/>
  <c r="N35" i="5" s="1"/>
  <c r="AU35" i="73" s="1"/>
  <c r="AV40" i="65"/>
  <c r="P40" i="5" s="1"/>
  <c r="AW40" i="73" s="1"/>
  <c r="HT43" i="15"/>
  <c r="HW43" i="15" s="1"/>
  <c r="BH43" i="15" s="1"/>
  <c r="HU43" i="15"/>
  <c r="HV43" i="15"/>
  <c r="HY43" i="15" s="1"/>
  <c r="BK43" i="15" s="1"/>
  <c r="HX43" i="15"/>
  <c r="BJ43" i="15" s="1"/>
  <c r="HV39" i="15"/>
  <c r="HY39" i="15" s="1"/>
  <c r="BK39" i="15" s="1"/>
  <c r="HT39" i="15"/>
  <c r="HU39" i="15"/>
  <c r="HX39" i="15" s="1"/>
  <c r="BJ39" i="15" s="1"/>
  <c r="HW39" i="15"/>
  <c r="BH39" i="15" s="1"/>
  <c r="EW49" i="15"/>
  <c r="BT44" i="15"/>
  <c r="EV44" i="15"/>
  <c r="BU44" i="15"/>
  <c r="HT37" i="15"/>
  <c r="HW37" i="15" s="1"/>
  <c r="BH37" i="15" s="1"/>
  <c r="HU37" i="15"/>
  <c r="HX37" i="15" s="1"/>
  <c r="BJ37" i="15" s="1"/>
  <c r="HV37" i="15"/>
  <c r="HY37" i="15" s="1"/>
  <c r="BK37" i="15" s="1"/>
  <c r="AX55" i="65"/>
  <c r="R55" i="5" s="1"/>
  <c r="DC55" i="15"/>
  <c r="AY55" i="65" s="1"/>
  <c r="S55" i="5" s="1"/>
  <c r="CE70" i="15"/>
  <c r="AL14" i="65"/>
  <c r="ER49" i="15"/>
  <c r="ER44" i="15"/>
  <c r="CZ78" i="15"/>
  <c r="DB78" i="15" s="1"/>
  <c r="BU78" i="15"/>
  <c r="BT78" i="15"/>
  <c r="CE72" i="15"/>
  <c r="ER72" i="15" s="1"/>
  <c r="DC63" i="15"/>
  <c r="AY63" i="65" s="1"/>
  <c r="S63" i="5" s="1"/>
  <c r="AX63" i="65"/>
  <c r="R63" i="5" s="1"/>
  <c r="DC79" i="15"/>
  <c r="AY79" i="65" s="1"/>
  <c r="S79" i="5" s="1"/>
  <c r="AX79" i="65"/>
  <c r="R79" i="5" s="1"/>
  <c r="Z67" i="5"/>
  <c r="Z85" i="5"/>
  <c r="Z111" i="5"/>
  <c r="Z116" i="5"/>
  <c r="CW109" i="15"/>
  <c r="DC93" i="15"/>
  <c r="AY93" i="65" s="1"/>
  <c r="S93" i="5" s="1"/>
  <c r="AX93" i="65"/>
  <c r="R93" i="5" s="1"/>
  <c r="DC125" i="15"/>
  <c r="AY125" i="65" s="1"/>
  <c r="S125" i="5" s="1"/>
  <c r="AX125" i="65"/>
  <c r="R125" i="5" s="1"/>
  <c r="AX123" i="65"/>
  <c r="R123" i="5" s="1"/>
  <c r="DC123" i="15"/>
  <c r="AY123" i="65" s="1"/>
  <c r="S123" i="5" s="1"/>
  <c r="CY107" i="15"/>
  <c r="CZ107" i="15"/>
  <c r="DB107" i="15" s="1"/>
  <c r="DA107" i="15"/>
  <c r="CZ121" i="15"/>
  <c r="DB121" i="15" s="1"/>
  <c r="CY121" i="15"/>
  <c r="DA121" i="15"/>
  <c r="AX105" i="65"/>
  <c r="R105" i="5" s="1"/>
  <c r="DC105" i="15"/>
  <c r="AY105" i="65" s="1"/>
  <c r="S105" i="5" s="1"/>
  <c r="AX89" i="65"/>
  <c r="R89" i="5" s="1"/>
  <c r="DC89" i="15"/>
  <c r="AY89" i="65" s="1"/>
  <c r="S89" i="5" s="1"/>
  <c r="Z86" i="5"/>
  <c r="Z98" i="5"/>
  <c r="AW31" i="73" l="1"/>
  <c r="AW70" i="73"/>
  <c r="CU114" i="15"/>
  <c r="AW65" i="73"/>
  <c r="AG42" i="65"/>
  <c r="BA109" i="89"/>
  <c r="CU96" i="15"/>
  <c r="CJ48" i="15"/>
  <c r="CS48" i="15" s="1"/>
  <c r="CV48" i="15" s="1"/>
  <c r="CK48" i="15"/>
  <c r="CT48" i="15" s="1"/>
  <c r="CI48" i="15"/>
  <c r="AW48" i="65"/>
  <c r="Q48" i="5" s="1"/>
  <c r="CR48" i="15"/>
  <c r="AR40" i="73"/>
  <c r="AR35" i="73"/>
  <c r="AR69" i="73"/>
  <c r="AR46" i="73"/>
  <c r="DJ278" i="15"/>
  <c r="EJ278" i="15" s="1"/>
  <c r="EL278" i="15" s="1"/>
  <c r="AZ102" i="73"/>
  <c r="AR33" i="73"/>
  <c r="AR53" i="73"/>
  <c r="AR28" i="73"/>
  <c r="AW46" i="73"/>
  <c r="AR29" i="73"/>
  <c r="AR31" i="73"/>
  <c r="AW53" i="73"/>
  <c r="AR65" i="73"/>
  <c r="AW29" i="73"/>
  <c r="AW35" i="73"/>
  <c r="AR72" i="73"/>
  <c r="AR52" i="73"/>
  <c r="AW69" i="73"/>
  <c r="AR70" i="73"/>
  <c r="AW52" i="73"/>
  <c r="CU79" i="15"/>
  <c r="BR72" i="15"/>
  <c r="BR46" i="15"/>
  <c r="CF53" i="15"/>
  <c r="AG93" i="65"/>
  <c r="AG66" i="65"/>
  <c r="AH345" i="65"/>
  <c r="AH249" i="65"/>
  <c r="AH191" i="65"/>
  <c r="AH187" i="65"/>
  <c r="AH318" i="65"/>
  <c r="AH130" i="65"/>
  <c r="AH310" i="65"/>
  <c r="AH253" i="65"/>
  <c r="AH251" i="65"/>
  <c r="AH261" i="65"/>
  <c r="AH87" i="65"/>
  <c r="AH168" i="65"/>
  <c r="AH228" i="65"/>
  <c r="AH340" i="65"/>
  <c r="AH222" i="65"/>
  <c r="AH265" i="65"/>
  <c r="AH167" i="65"/>
  <c r="AH207" i="65"/>
  <c r="AH243" i="65"/>
  <c r="BA113" i="85"/>
  <c r="BA113" i="88"/>
  <c r="EI201" i="15"/>
  <c r="EI139" i="15"/>
  <c r="AG126" i="65"/>
  <c r="AG101" i="65"/>
  <c r="DJ129" i="15"/>
  <c r="EJ129" i="15" s="1"/>
  <c r="DJ285" i="15"/>
  <c r="EJ285" i="15" s="1"/>
  <c r="AH308" i="65"/>
  <c r="AH262" i="65"/>
  <c r="AH193" i="65"/>
  <c r="AH214" i="65"/>
  <c r="AH326" i="65"/>
  <c r="AH184" i="65"/>
  <c r="AH128" i="65"/>
  <c r="AH338" i="65"/>
  <c r="AH260" i="65"/>
  <c r="AH204" i="65"/>
  <c r="AH324" i="65"/>
  <c r="AH224" i="65"/>
  <c r="AH219" i="65"/>
  <c r="AH206" i="65"/>
  <c r="AH240" i="65"/>
  <c r="AH202" i="65"/>
  <c r="AH266" i="65"/>
  <c r="AH328" i="65"/>
  <c r="AH226" i="65"/>
  <c r="AH330" i="65"/>
  <c r="AH346" i="65"/>
  <c r="AH83" i="65"/>
  <c r="AH183" i="65"/>
  <c r="EI181" i="15"/>
  <c r="AG95" i="65"/>
  <c r="CU91" i="15"/>
  <c r="AG91" i="65"/>
  <c r="DD90" i="15"/>
  <c r="DG90" i="15" s="1"/>
  <c r="AG90" i="65"/>
  <c r="CU97" i="15"/>
  <c r="AG97" i="65"/>
  <c r="CU120" i="15"/>
  <c r="AG120" i="65"/>
  <c r="CU118" i="15"/>
  <c r="AG118" i="65"/>
  <c r="CU99" i="15"/>
  <c r="AG99" i="65"/>
  <c r="AG121" i="65"/>
  <c r="AH245" i="65"/>
  <c r="AH213" i="65"/>
  <c r="AH321" i="65"/>
  <c r="AH269" i="65"/>
  <c r="AH81" i="65"/>
  <c r="AH164" i="65"/>
  <c r="AH211" i="65"/>
  <c r="AH232" i="65"/>
  <c r="AH322" i="65"/>
  <c r="AH178" i="65"/>
  <c r="AH208" i="65"/>
  <c r="AH218" i="65"/>
  <c r="AH186" i="65"/>
  <c r="AH238" i="65"/>
  <c r="AH148" i="65"/>
  <c r="AH248" i="65"/>
  <c r="AH169" i="65"/>
  <c r="AH259" i="65"/>
  <c r="AH256" i="65"/>
  <c r="AH306" i="65"/>
  <c r="AH196" i="65"/>
  <c r="AH246" i="65"/>
  <c r="AH174" i="65"/>
  <c r="AH294" i="65"/>
  <c r="AH316" i="65"/>
  <c r="AH348" i="65"/>
  <c r="AH194" i="65"/>
  <c r="AH230" i="65"/>
  <c r="AH242" i="65"/>
  <c r="AH270" i="65"/>
  <c r="AH144" i="65"/>
  <c r="AH250" i="65"/>
  <c r="AH146" i="65"/>
  <c r="AH332" i="65"/>
  <c r="AH220" i="65"/>
  <c r="AH200" i="65"/>
  <c r="AH212" i="65"/>
  <c r="AH258" i="65"/>
  <c r="AH225" i="65"/>
  <c r="AH175" i="65"/>
  <c r="AH221" i="65"/>
  <c r="AH257" i="65"/>
  <c r="AG106" i="65"/>
  <c r="AG114" i="65"/>
  <c r="AG92" i="65"/>
  <c r="AG111" i="65"/>
  <c r="AG115" i="65"/>
  <c r="AG117" i="65"/>
  <c r="CU89" i="15"/>
  <c r="AG89" i="65"/>
  <c r="CU62" i="15"/>
  <c r="AG62" i="65"/>
  <c r="CU105" i="15"/>
  <c r="AG105" i="65"/>
  <c r="CU94" i="15"/>
  <c r="AG94" i="65"/>
  <c r="DJ239" i="15"/>
  <c r="EJ239" i="15" s="1"/>
  <c r="AZ239" i="65"/>
  <c r="EL137" i="15"/>
  <c r="EK137" i="15"/>
  <c r="EM137" i="15"/>
  <c r="AG79" i="65"/>
  <c r="AH135" i="65"/>
  <c r="AH237" i="65"/>
  <c r="AH229" i="65"/>
  <c r="AH313" i="65"/>
  <c r="AH215" i="65"/>
  <c r="AH150" i="65"/>
  <c r="AH143" i="65"/>
  <c r="AH192" i="65"/>
  <c r="AH162" i="65"/>
  <c r="AH188" i="65"/>
  <c r="AH180" i="65"/>
  <c r="AH236" i="65"/>
  <c r="AH252" i="65"/>
  <c r="AH132" i="65"/>
  <c r="AH182" i="65"/>
  <c r="AH190" i="65"/>
  <c r="AH342" i="65"/>
  <c r="AH244" i="65"/>
  <c r="AH160" i="65"/>
  <c r="AH344" i="65"/>
  <c r="AH263" i="65"/>
  <c r="AH153" i="65"/>
  <c r="AH210" i="65"/>
  <c r="AH264" i="65"/>
  <c r="AH268" i="65"/>
  <c r="AH82" i="65"/>
  <c r="AH254" i="65"/>
  <c r="AH176" i="65"/>
  <c r="AH216" i="65"/>
  <c r="AH234" i="65"/>
  <c r="AH302" i="65"/>
  <c r="AH336" i="65"/>
  <c r="AH314" i="65"/>
  <c r="AH334" i="65"/>
  <c r="AH198" i="65"/>
  <c r="AH134" i="65"/>
  <c r="AH157" i="65"/>
  <c r="AH163" i="65"/>
  <c r="AH199" i="65"/>
  <c r="AH241" i="65"/>
  <c r="AG96" i="65"/>
  <c r="AG110" i="65"/>
  <c r="AG113" i="65"/>
  <c r="DQ136" i="15"/>
  <c r="AA136" i="5" s="1"/>
  <c r="AB136" i="5" s="1"/>
  <c r="DQ166" i="15"/>
  <c r="AA166" i="5" s="1"/>
  <c r="AB166" i="5" s="1"/>
  <c r="DQ149" i="15"/>
  <c r="AA149" i="5" s="1"/>
  <c r="AB149" i="5" s="1"/>
  <c r="DQ288" i="15"/>
  <c r="AA288" i="5" s="1"/>
  <c r="AB288" i="5" s="1"/>
  <c r="DQ283" i="15"/>
  <c r="AA283" i="5" s="1"/>
  <c r="AB283" i="5" s="1"/>
  <c r="DQ303" i="15"/>
  <c r="AA303" i="5" s="1"/>
  <c r="AB303" i="5" s="1"/>
  <c r="DQ279" i="15"/>
  <c r="AA279" i="5" s="1"/>
  <c r="AB279" i="5" s="1"/>
  <c r="DQ195" i="15"/>
  <c r="AA195" i="5" s="1"/>
  <c r="AB195" i="5" s="1"/>
  <c r="DQ155" i="15"/>
  <c r="AA155" i="5" s="1"/>
  <c r="AB155" i="5" s="1"/>
  <c r="DQ154" i="15"/>
  <c r="AA154" i="5" s="1"/>
  <c r="AB154" i="5" s="1"/>
  <c r="DQ156" i="15"/>
  <c r="AA156" i="5" s="1"/>
  <c r="AB156" i="5" s="1"/>
  <c r="DQ147" i="15"/>
  <c r="AA147" i="5" s="1"/>
  <c r="AB147" i="5" s="1"/>
  <c r="DQ133" i="15"/>
  <c r="AA133" i="5" s="1"/>
  <c r="AB133" i="5" s="1"/>
  <c r="DQ284" i="15"/>
  <c r="AA284" i="5" s="1"/>
  <c r="AB284" i="5" s="1"/>
  <c r="DQ292" i="15"/>
  <c r="AA292" i="5" s="1"/>
  <c r="AB292" i="5" s="1"/>
  <c r="DQ307" i="15"/>
  <c r="AA307" i="5" s="1"/>
  <c r="AB307" i="5" s="1"/>
  <c r="DQ165" i="15"/>
  <c r="AA165" i="5" s="1"/>
  <c r="AB165" i="5" s="1"/>
  <c r="DQ170" i="15"/>
  <c r="AA170" i="5" s="1"/>
  <c r="AB170" i="5" s="1"/>
  <c r="DQ161" i="15"/>
  <c r="AA161" i="5" s="1"/>
  <c r="AB161" i="5" s="1"/>
  <c r="DQ311" i="15"/>
  <c r="AA311" i="5" s="1"/>
  <c r="AB311" i="5" s="1"/>
  <c r="DQ287" i="15"/>
  <c r="AA287" i="5" s="1"/>
  <c r="AB287" i="5" s="1"/>
  <c r="DQ323" i="15"/>
  <c r="AA323" i="5" s="1"/>
  <c r="AB323" i="5" s="1"/>
  <c r="DQ343" i="15"/>
  <c r="AA343" i="5" s="1"/>
  <c r="AB343" i="5" s="1"/>
  <c r="DQ335" i="15"/>
  <c r="AA335" i="5" s="1"/>
  <c r="AB335" i="5" s="1"/>
  <c r="DQ140" i="15"/>
  <c r="AA140" i="5" s="1"/>
  <c r="AB140" i="5" s="1"/>
  <c r="DQ138" i="15"/>
  <c r="AA138" i="5" s="1"/>
  <c r="AB138" i="5" s="1"/>
  <c r="DQ131" i="15"/>
  <c r="AA131" i="5" s="1"/>
  <c r="AB131" i="5" s="1"/>
  <c r="DQ320" i="15"/>
  <c r="AA320" i="5" s="1"/>
  <c r="AB320" i="5" s="1"/>
  <c r="DQ179" i="15"/>
  <c r="AA179" i="5" s="1"/>
  <c r="AB179" i="5" s="1"/>
  <c r="DQ177" i="15"/>
  <c r="AA177" i="5" s="1"/>
  <c r="AB177" i="5" s="1"/>
  <c r="DQ145" i="15"/>
  <c r="AA145" i="5" s="1"/>
  <c r="AB145" i="5" s="1"/>
  <c r="DQ277" i="15"/>
  <c r="AA277" i="5" s="1"/>
  <c r="AB277" i="5" s="1"/>
  <c r="DQ151" i="15"/>
  <c r="AA151" i="5" s="1"/>
  <c r="AB151" i="5" s="1"/>
  <c r="DQ309" i="15"/>
  <c r="AA309" i="5" s="1"/>
  <c r="AB309" i="5" s="1"/>
  <c r="DQ301" i="15"/>
  <c r="AA301" i="5" s="1"/>
  <c r="AB301" i="5" s="1"/>
  <c r="DQ337" i="15"/>
  <c r="AA337" i="5" s="1"/>
  <c r="AB337" i="5" s="1"/>
  <c r="DQ247" i="15"/>
  <c r="AA247" i="5" s="1"/>
  <c r="AB247" i="5" s="1"/>
  <c r="DQ189" i="15"/>
  <c r="AA189" i="5" s="1"/>
  <c r="AB189" i="5" s="1"/>
  <c r="DQ171" i="15"/>
  <c r="AA171" i="5" s="1"/>
  <c r="AB171" i="5" s="1"/>
  <c r="DQ152" i="15"/>
  <c r="AA152" i="5" s="1"/>
  <c r="AB152" i="5" s="1"/>
  <c r="DQ172" i="15"/>
  <c r="AA172" i="5" s="1"/>
  <c r="AB172" i="5" s="1"/>
  <c r="DQ173" i="15"/>
  <c r="AA173" i="5" s="1"/>
  <c r="AB173" i="5" s="1"/>
  <c r="DQ295" i="15"/>
  <c r="AA295" i="5" s="1"/>
  <c r="AB295" i="5" s="1"/>
  <c r="DQ297" i="15"/>
  <c r="AA297" i="5" s="1"/>
  <c r="AB297" i="5" s="1"/>
  <c r="DQ291" i="15"/>
  <c r="AA291" i="5" s="1"/>
  <c r="AB291" i="5" s="1"/>
  <c r="DQ205" i="15"/>
  <c r="AA205" i="5" s="1"/>
  <c r="AB205" i="5" s="1"/>
  <c r="DQ197" i="15"/>
  <c r="AA197" i="5" s="1"/>
  <c r="AB197" i="5" s="1"/>
  <c r="DQ233" i="15"/>
  <c r="AA233" i="5" s="1"/>
  <c r="AB233" i="5" s="1"/>
  <c r="DQ137" i="15"/>
  <c r="AA137" i="5" s="1"/>
  <c r="AB137" i="5" s="1"/>
  <c r="BS47" i="15"/>
  <c r="CH44" i="15"/>
  <c r="CW42" i="15"/>
  <c r="CX38" i="15"/>
  <c r="CY38" i="15" s="1"/>
  <c r="CU42" i="15"/>
  <c r="BR28" i="15"/>
  <c r="CX62" i="15"/>
  <c r="CX117" i="15"/>
  <c r="CY117" i="15" s="1"/>
  <c r="ES93" i="15"/>
  <c r="EU93" i="15"/>
  <c r="ET93" i="15"/>
  <c r="CV109" i="15"/>
  <c r="EV78" i="15"/>
  <c r="CH78" i="15" s="1"/>
  <c r="CR78" i="15" s="1"/>
  <c r="AU53" i="65"/>
  <c r="O53" i="5" s="1"/>
  <c r="AV53" i="73" s="1"/>
  <c r="CH49" i="15"/>
  <c r="CU90" i="15"/>
  <c r="BR25" i="15"/>
  <c r="CF65" i="15"/>
  <c r="CE69" i="15"/>
  <c r="CF46" i="15"/>
  <c r="CR109" i="15"/>
  <c r="CX105" i="15"/>
  <c r="DA105" i="15" s="1"/>
  <c r="EM274" i="15"/>
  <c r="EQ249" i="15"/>
  <c r="BA113" i="89"/>
  <c r="BA113" i="84"/>
  <c r="BA113" i="91"/>
  <c r="BA113" i="87"/>
  <c r="BA113" i="83"/>
  <c r="CX118" i="15"/>
  <c r="CY118" i="15" s="1"/>
  <c r="AZ102" i="83"/>
  <c r="BR29" i="15"/>
  <c r="AU72" i="65"/>
  <c r="O72" i="5" s="1"/>
  <c r="AV72" i="73" s="1"/>
  <c r="ER70" i="15"/>
  <c r="CF69" i="15"/>
  <c r="CE52" i="15"/>
  <c r="AU46" i="65"/>
  <c r="O46" i="5" s="1"/>
  <c r="AV46" i="73" s="1"/>
  <c r="CE65" i="15"/>
  <c r="BR70" i="15"/>
  <c r="BR52" i="15"/>
  <c r="BR69" i="15"/>
  <c r="ET123" i="15"/>
  <c r="EU123" i="15"/>
  <c r="ES123" i="15"/>
  <c r="CX121" i="15"/>
  <c r="ET125" i="15"/>
  <c r="EU125" i="15"/>
  <c r="ES125" i="15"/>
  <c r="CW125" i="15"/>
  <c r="AW125" i="65"/>
  <c r="Q125" i="5" s="1"/>
  <c r="BA125" i="73" s="1"/>
  <c r="CI125" i="15"/>
  <c r="CT125" i="15"/>
  <c r="CV125" i="15"/>
  <c r="CK125" i="15"/>
  <c r="CJ125" i="15"/>
  <c r="CS125" i="15" s="1"/>
  <c r="CR125" i="15"/>
  <c r="AZ102" i="88"/>
  <c r="CU110" i="15"/>
  <c r="CX110" i="15" s="1"/>
  <c r="CX97" i="15"/>
  <c r="CX96" i="15"/>
  <c r="CX94" i="15"/>
  <c r="CY94" i="15" s="1"/>
  <c r="CX120" i="15"/>
  <c r="CY120" i="15" s="1"/>
  <c r="CU95" i="15"/>
  <c r="AZ102" i="85"/>
  <c r="DU159" i="15"/>
  <c r="BC159" i="65"/>
  <c r="DT159" i="15"/>
  <c r="DS159" i="15"/>
  <c r="EO159" i="15"/>
  <c r="EQ159" i="15"/>
  <c r="EP159" i="15"/>
  <c r="EP239" i="15"/>
  <c r="EO239" i="15"/>
  <c r="EQ239" i="15"/>
  <c r="DS239" i="15"/>
  <c r="DU239" i="15"/>
  <c r="BC239" i="65"/>
  <c r="DT239" i="15"/>
  <c r="EP280" i="15"/>
  <c r="EO280" i="15"/>
  <c r="EQ280" i="15"/>
  <c r="EO272" i="15"/>
  <c r="EQ272" i="15"/>
  <c r="EP272" i="15"/>
  <c r="EQ112" i="15"/>
  <c r="EP112" i="15"/>
  <c r="EO112" i="15"/>
  <c r="EO129" i="15"/>
  <c r="EQ129" i="15"/>
  <c r="EP129" i="15"/>
  <c r="DS285" i="15"/>
  <c r="DU285" i="15"/>
  <c r="DT285" i="15"/>
  <c r="BC285" i="65"/>
  <c r="EP285" i="15"/>
  <c r="EO285" i="15"/>
  <c r="EQ285" i="15"/>
  <c r="BC349" i="65"/>
  <c r="DU349" i="15"/>
  <c r="DT349" i="15"/>
  <c r="DS349" i="15"/>
  <c r="EK159" i="15"/>
  <c r="EM159" i="15"/>
  <c r="EL159" i="15"/>
  <c r="EP299" i="15"/>
  <c r="EO299" i="15"/>
  <c r="EQ299" i="15"/>
  <c r="BC299" i="65"/>
  <c r="DT299" i="15"/>
  <c r="DS299" i="15"/>
  <c r="DU299" i="15"/>
  <c r="EL299" i="15"/>
  <c r="EK299" i="15"/>
  <c r="EM299" i="15"/>
  <c r="EL293" i="15"/>
  <c r="EK293" i="15"/>
  <c r="EM293" i="15"/>
  <c r="EP329" i="15"/>
  <c r="EO329" i="15"/>
  <c r="EQ329" i="15"/>
  <c r="EL249" i="15"/>
  <c r="EK249" i="15"/>
  <c r="EM249" i="15"/>
  <c r="ES109" i="15"/>
  <c r="ET109" i="15"/>
  <c r="EU109" i="15"/>
  <c r="BA97" i="83"/>
  <c r="BA97" i="86"/>
  <c r="BA97" i="87"/>
  <c r="BA97" i="88"/>
  <c r="BA97" i="82"/>
  <c r="BA97" i="84"/>
  <c r="BA97" i="85"/>
  <c r="BA97" i="89"/>
  <c r="BA97" i="90"/>
  <c r="BA97" i="91"/>
  <c r="BA118" i="82"/>
  <c r="BA118" i="83"/>
  <c r="BA118" i="86"/>
  <c r="BA118" i="90"/>
  <c r="BA118" i="89"/>
  <c r="BA118" i="91"/>
  <c r="BA118" i="84"/>
  <c r="BA118" i="85"/>
  <c r="BA118" i="88"/>
  <c r="BA118" i="87"/>
  <c r="BA114" i="84"/>
  <c r="BA114" i="85"/>
  <c r="BA114" i="88"/>
  <c r="BA114" i="87"/>
  <c r="BA114" i="91"/>
  <c r="BA114" i="82"/>
  <c r="BA114" i="83"/>
  <c r="BA114" i="86"/>
  <c r="BA114" i="90"/>
  <c r="BA114" i="89"/>
  <c r="BA92" i="82"/>
  <c r="BA92" i="83"/>
  <c r="BA92" i="86"/>
  <c r="BA92" i="90"/>
  <c r="BA92" i="89"/>
  <c r="BA92" i="91"/>
  <c r="BA92" i="84"/>
  <c r="BA92" i="85"/>
  <c r="BA92" i="88"/>
  <c r="BA92" i="87"/>
  <c r="BA111" i="82"/>
  <c r="BA111" i="84"/>
  <c r="BA111" i="85"/>
  <c r="BA111" i="89"/>
  <c r="BA111" i="90"/>
  <c r="BA111" i="91"/>
  <c r="BA111" i="83"/>
  <c r="BA111" i="86"/>
  <c r="BA111" i="87"/>
  <c r="BA111" i="88"/>
  <c r="BA126" i="82"/>
  <c r="BA126" i="83"/>
  <c r="BA126" i="86"/>
  <c r="BA126" i="90"/>
  <c r="BA126" i="89"/>
  <c r="BA126" i="91"/>
  <c r="BA126" i="84"/>
  <c r="BA126" i="85"/>
  <c r="BA126" i="88"/>
  <c r="BA126" i="87"/>
  <c r="BA101" i="82"/>
  <c r="BA101" i="84"/>
  <c r="BA101" i="85"/>
  <c r="BA101" i="89"/>
  <c r="BA101" i="90"/>
  <c r="BA101" i="83"/>
  <c r="BA101" i="86"/>
  <c r="BA101" i="87"/>
  <c r="BA101" i="88"/>
  <c r="BA101" i="91"/>
  <c r="AZ102" i="84"/>
  <c r="CX106" i="15"/>
  <c r="CU92" i="15"/>
  <c r="CX92" i="15" s="1"/>
  <c r="CU101" i="15"/>
  <c r="CX101" i="15" s="1"/>
  <c r="DU280" i="15"/>
  <c r="DT280" i="15"/>
  <c r="DS280" i="15"/>
  <c r="BC280" i="65"/>
  <c r="DT272" i="15"/>
  <c r="BC272" i="65"/>
  <c r="DS272" i="15"/>
  <c r="DU272" i="15"/>
  <c r="DT112" i="15"/>
  <c r="BC112" i="65"/>
  <c r="DS112" i="15"/>
  <c r="DU112" i="15"/>
  <c r="DU129" i="15"/>
  <c r="BC129" i="65"/>
  <c r="DT129" i="15"/>
  <c r="DS129" i="15"/>
  <c r="DU293" i="15"/>
  <c r="BC293" i="65"/>
  <c r="DT293" i="15"/>
  <c r="DS293" i="15"/>
  <c r="EQ293" i="15"/>
  <c r="EP293" i="15"/>
  <c r="EO293" i="15"/>
  <c r="ET107" i="15"/>
  <c r="EU107" i="15"/>
  <c r="ES107" i="15"/>
  <c r="EM349" i="15"/>
  <c r="EL349" i="15"/>
  <c r="EK349" i="15"/>
  <c r="EQ349" i="15"/>
  <c r="EP349" i="15"/>
  <c r="EO349" i="15"/>
  <c r="EM280" i="15"/>
  <c r="EL280" i="15"/>
  <c r="EK280" i="15"/>
  <c r="EM272" i="15"/>
  <c r="EL272" i="15"/>
  <c r="EK272" i="15"/>
  <c r="EM112" i="15"/>
  <c r="EL112" i="15"/>
  <c r="EK112" i="15"/>
  <c r="BA94" i="84"/>
  <c r="BA94" i="85"/>
  <c r="BA94" i="88"/>
  <c r="BA94" i="87"/>
  <c r="BA94" i="91"/>
  <c r="BA94" i="82"/>
  <c r="BA94" i="83"/>
  <c r="BA94" i="86"/>
  <c r="BA94" i="90"/>
  <c r="BA94" i="89"/>
  <c r="EL329" i="15"/>
  <c r="EK329" i="15"/>
  <c r="EM329" i="15"/>
  <c r="DT329" i="15"/>
  <c r="BC329" i="65"/>
  <c r="DS329" i="15"/>
  <c r="DU329" i="15"/>
  <c r="BA120" i="84"/>
  <c r="BA120" i="85"/>
  <c r="BA120" i="88"/>
  <c r="BA120" i="87"/>
  <c r="BA120" i="82"/>
  <c r="BA120" i="83"/>
  <c r="BA120" i="86"/>
  <c r="BA120" i="90"/>
  <c r="BA120" i="89"/>
  <c r="BA120" i="91"/>
  <c r="BA95" i="83"/>
  <c r="BA95" i="86"/>
  <c r="BA95" i="87"/>
  <c r="BA95" i="88"/>
  <c r="BA95" i="82"/>
  <c r="BA95" i="84"/>
  <c r="BA95" i="85"/>
  <c r="BA95" i="89"/>
  <c r="BA95" i="90"/>
  <c r="BA95" i="91"/>
  <c r="BA106" i="84"/>
  <c r="BA106" i="85"/>
  <c r="BA106" i="88"/>
  <c r="BA106" i="87"/>
  <c r="BA106" i="91"/>
  <c r="BA106" i="82"/>
  <c r="BA106" i="83"/>
  <c r="BA106" i="86"/>
  <c r="BA106" i="90"/>
  <c r="BA106" i="89"/>
  <c r="BA99" i="83"/>
  <c r="BA99" i="86"/>
  <c r="BA99" i="87"/>
  <c r="BA99" i="88"/>
  <c r="BA99" i="91"/>
  <c r="BA99" i="82"/>
  <c r="BA99" i="84"/>
  <c r="BA99" i="85"/>
  <c r="BA99" i="89"/>
  <c r="BA99" i="90"/>
  <c r="BA115" i="82"/>
  <c r="BA115" i="84"/>
  <c r="BA115" i="85"/>
  <c r="BA115" i="89"/>
  <c r="BA115" i="90"/>
  <c r="BA115" i="91"/>
  <c r="BA115" i="83"/>
  <c r="BA115" i="86"/>
  <c r="BA115" i="87"/>
  <c r="BA115" i="88"/>
  <c r="CX95" i="15"/>
  <c r="CX114" i="15"/>
  <c r="CU111" i="15"/>
  <c r="CX111" i="15" s="1"/>
  <c r="CX126" i="15"/>
  <c r="CY126" i="15" s="1"/>
  <c r="CX99" i="15"/>
  <c r="CY99" i="15" s="1"/>
  <c r="CX115" i="15"/>
  <c r="DN156" i="15"/>
  <c r="DM156" i="15"/>
  <c r="DN166" i="15"/>
  <c r="DM166" i="15"/>
  <c r="DN149" i="15"/>
  <c r="DM149" i="15"/>
  <c r="DN131" i="15"/>
  <c r="DM131" i="15"/>
  <c r="DN320" i="15"/>
  <c r="DM320" i="15"/>
  <c r="DN283" i="15"/>
  <c r="DM283" i="15"/>
  <c r="DN292" i="15"/>
  <c r="DM292" i="15"/>
  <c r="DN307" i="15"/>
  <c r="DM307" i="15"/>
  <c r="DN179" i="15"/>
  <c r="DM179" i="15"/>
  <c r="DN171" i="15"/>
  <c r="DM171" i="15"/>
  <c r="DN172" i="15"/>
  <c r="DM172" i="15"/>
  <c r="DN287" i="15"/>
  <c r="DM287" i="15"/>
  <c r="DN195" i="15"/>
  <c r="DM195" i="15"/>
  <c r="DN233" i="15"/>
  <c r="DM233" i="15"/>
  <c r="DN155" i="15"/>
  <c r="DM155" i="15"/>
  <c r="DN136" i="15"/>
  <c r="DM136" i="15"/>
  <c r="DN133" i="15"/>
  <c r="DM133" i="15"/>
  <c r="DN138" i="15"/>
  <c r="DM138" i="15"/>
  <c r="DN284" i="15"/>
  <c r="DM284" i="15"/>
  <c r="DN189" i="15"/>
  <c r="DM189" i="15"/>
  <c r="DN177" i="15"/>
  <c r="DM177" i="15"/>
  <c r="DN152" i="15"/>
  <c r="DM152" i="15"/>
  <c r="DN205" i="15"/>
  <c r="DM205" i="15"/>
  <c r="DN343" i="15"/>
  <c r="DM343" i="15"/>
  <c r="DN335" i="15"/>
  <c r="DM335" i="15"/>
  <c r="DN137" i="15"/>
  <c r="DM137" i="15"/>
  <c r="CX93" i="15"/>
  <c r="CY93" i="15" s="1"/>
  <c r="AZ102" i="82"/>
  <c r="AZ102" i="91"/>
  <c r="DN154" i="15"/>
  <c r="DM154" i="15"/>
  <c r="DN147" i="15"/>
  <c r="DM147" i="15"/>
  <c r="DN140" i="15"/>
  <c r="DM140" i="15"/>
  <c r="DN337" i="15"/>
  <c r="DM337" i="15"/>
  <c r="DN247" i="15"/>
  <c r="DM247" i="15"/>
  <c r="DN165" i="15"/>
  <c r="DM165" i="15"/>
  <c r="DN161" i="15"/>
  <c r="DM161" i="15"/>
  <c r="DN295" i="15"/>
  <c r="DM295" i="15"/>
  <c r="DN311" i="15"/>
  <c r="DM311" i="15"/>
  <c r="DN279" i="15"/>
  <c r="DM279" i="15"/>
  <c r="DN297" i="15"/>
  <c r="DM297" i="15"/>
  <c r="DN151" i="15"/>
  <c r="DM151" i="15"/>
  <c r="DN288" i="15"/>
  <c r="DM288" i="15"/>
  <c r="DN303" i="15"/>
  <c r="DM303" i="15"/>
  <c r="DN309" i="15"/>
  <c r="DM309" i="15"/>
  <c r="DN301" i="15"/>
  <c r="DM301" i="15"/>
  <c r="DN145" i="15"/>
  <c r="DM145" i="15"/>
  <c r="DN170" i="15"/>
  <c r="DM170" i="15"/>
  <c r="DN173" i="15"/>
  <c r="DM173" i="15"/>
  <c r="DN277" i="15"/>
  <c r="DM277" i="15"/>
  <c r="DN291" i="15"/>
  <c r="DM291" i="15"/>
  <c r="DN323" i="15"/>
  <c r="DM323" i="15"/>
  <c r="DN197" i="15"/>
  <c r="DM197" i="15"/>
  <c r="BF181" i="65"/>
  <c r="DJ90" i="15"/>
  <c r="EJ90" i="15" s="1"/>
  <c r="AZ90" i="65"/>
  <c r="T90" i="5" s="1"/>
  <c r="AX90" i="73" s="1"/>
  <c r="DJ300" i="15"/>
  <c r="EJ300" i="15" s="1"/>
  <c r="AZ300" i="65"/>
  <c r="EC265" i="15"/>
  <c r="EG265" i="15" s="1"/>
  <c r="DL265" i="15" s="1"/>
  <c r="DY265" i="15"/>
  <c r="EA157" i="15"/>
  <c r="EE157" i="15"/>
  <c r="EH157" i="15" s="1"/>
  <c r="EE225" i="15"/>
  <c r="EH225" i="15" s="1"/>
  <c r="EA225" i="15"/>
  <c r="EC225" i="15"/>
  <c r="EG225" i="15" s="1"/>
  <c r="DL225" i="15" s="1"/>
  <c r="DY225" i="15"/>
  <c r="DZ175" i="15"/>
  <c r="EB175" i="15" s="1"/>
  <c r="ED175" i="15"/>
  <c r="EC175" i="15"/>
  <c r="EG175" i="15" s="1"/>
  <c r="DL175" i="15" s="1"/>
  <c r="DY175" i="15"/>
  <c r="EC167" i="15"/>
  <c r="EG167" i="15" s="1"/>
  <c r="DL167" i="15" s="1"/>
  <c r="DY167" i="15"/>
  <c r="DZ167" i="15"/>
  <c r="EB167" i="15" s="1"/>
  <c r="ED167" i="15"/>
  <c r="EE163" i="15"/>
  <c r="EH163" i="15" s="1"/>
  <c r="EA163" i="15"/>
  <c r="ED163" i="15"/>
  <c r="DZ163" i="15"/>
  <c r="EB163" i="15" s="1"/>
  <c r="DZ199" i="15"/>
  <c r="EB199" i="15" s="1"/>
  <c r="ED199" i="15"/>
  <c r="EE221" i="15"/>
  <c r="EH221" i="15" s="1"/>
  <c r="EA221" i="15"/>
  <c r="DY221" i="15"/>
  <c r="EC221" i="15"/>
  <c r="EG221" i="15" s="1"/>
  <c r="DL221" i="15" s="1"/>
  <c r="EC207" i="15"/>
  <c r="EG207" i="15" s="1"/>
  <c r="DL207" i="15" s="1"/>
  <c r="DY207" i="15"/>
  <c r="ED207" i="15"/>
  <c r="DZ207" i="15"/>
  <c r="EB207" i="15" s="1"/>
  <c r="EP271" i="15"/>
  <c r="EO271" i="15"/>
  <c r="EQ271" i="15"/>
  <c r="EX61" i="15"/>
  <c r="EY61" i="15"/>
  <c r="EZ61" i="15"/>
  <c r="DT255" i="15"/>
  <c r="BC255" i="65"/>
  <c r="DS255" i="15"/>
  <c r="DU255" i="15"/>
  <c r="EK275" i="15"/>
  <c r="EL275" i="15"/>
  <c r="EM275" i="15"/>
  <c r="EO102" i="15"/>
  <c r="EP102" i="15"/>
  <c r="EQ102" i="15"/>
  <c r="AY102" i="89"/>
  <c r="AY102" i="86"/>
  <c r="AY102" i="88"/>
  <c r="AY102" i="84"/>
  <c r="AY102" i="90"/>
  <c r="AY102" i="83"/>
  <c r="AY102" i="87"/>
  <c r="AY102" i="85"/>
  <c r="AY102" i="82"/>
  <c r="AY102" i="91"/>
  <c r="EK252" i="15"/>
  <c r="EM252" i="15"/>
  <c r="EL252" i="15"/>
  <c r="EM224" i="15"/>
  <c r="EL224" i="15"/>
  <c r="EK224" i="15"/>
  <c r="EK130" i="15"/>
  <c r="EM130" i="15"/>
  <c r="EL130" i="15"/>
  <c r="EL162" i="15"/>
  <c r="EK162" i="15"/>
  <c r="EM162" i="15"/>
  <c r="EK188" i="15"/>
  <c r="EM188" i="15"/>
  <c r="EL188" i="15"/>
  <c r="EM338" i="15"/>
  <c r="EL338" i="15"/>
  <c r="EK338" i="15"/>
  <c r="EM180" i="15"/>
  <c r="EL180" i="15"/>
  <c r="EK180" i="15"/>
  <c r="EL214" i="15"/>
  <c r="EK214" i="15"/>
  <c r="EM214" i="15"/>
  <c r="EL226" i="15"/>
  <c r="EM226" i="15"/>
  <c r="EK226" i="15"/>
  <c r="EM332" i="15"/>
  <c r="EL332" i="15"/>
  <c r="EK332" i="15"/>
  <c r="DY83" i="15"/>
  <c r="EC83" i="15"/>
  <c r="EG83" i="15" s="1"/>
  <c r="DL83" i="15" s="1"/>
  <c r="BB83" i="85"/>
  <c r="BB83" i="87"/>
  <c r="BB83" i="82"/>
  <c r="BB83" i="86"/>
  <c r="BB83" i="89"/>
  <c r="BB83" i="84"/>
  <c r="BB83" i="88"/>
  <c r="BB83" i="91"/>
  <c r="BB83" i="83"/>
  <c r="BB83" i="90"/>
  <c r="EC243" i="15"/>
  <c r="EG243" i="15" s="1"/>
  <c r="DL243" i="15" s="1"/>
  <c r="DY243" i="15"/>
  <c r="DY241" i="15"/>
  <c r="EC241" i="15"/>
  <c r="EG241" i="15" s="1"/>
  <c r="DL241" i="15" s="1"/>
  <c r="DZ257" i="15"/>
  <c r="EB257" i="15" s="1"/>
  <c r="ED257" i="15"/>
  <c r="ED183" i="15"/>
  <c r="DZ183" i="15"/>
  <c r="EB183" i="15" s="1"/>
  <c r="EE183" i="15"/>
  <c r="EH183" i="15" s="1"/>
  <c r="EA183" i="15"/>
  <c r="EK102" i="15"/>
  <c r="EL102" i="15"/>
  <c r="EM102" i="15"/>
  <c r="EM81" i="15"/>
  <c r="EL81" i="15"/>
  <c r="EK81" i="15"/>
  <c r="EL232" i="15"/>
  <c r="EK232" i="15"/>
  <c r="EM232" i="15"/>
  <c r="EK210" i="15"/>
  <c r="EL210" i="15"/>
  <c r="EM210" i="15"/>
  <c r="EM264" i="15"/>
  <c r="EL264" i="15"/>
  <c r="EK264" i="15"/>
  <c r="EK184" i="15"/>
  <c r="EM184" i="15"/>
  <c r="EL184" i="15"/>
  <c r="EL250" i="15"/>
  <c r="EM250" i="15"/>
  <c r="EK250" i="15"/>
  <c r="EL146" i="15"/>
  <c r="EK146" i="15"/>
  <c r="EM146" i="15"/>
  <c r="EM346" i="15"/>
  <c r="EL346" i="15"/>
  <c r="EK346" i="15"/>
  <c r="EL268" i="15"/>
  <c r="EK268" i="15"/>
  <c r="EM268" i="15"/>
  <c r="EK82" i="15"/>
  <c r="EM82" i="15"/>
  <c r="EL82" i="15"/>
  <c r="EM178" i="15"/>
  <c r="EL178" i="15"/>
  <c r="EK178" i="15"/>
  <c r="EL228" i="15"/>
  <c r="EM228" i="15"/>
  <c r="EK228" i="15"/>
  <c r="EM316" i="15"/>
  <c r="EL316" i="15"/>
  <c r="EK316" i="15"/>
  <c r="EK194" i="15"/>
  <c r="EM194" i="15"/>
  <c r="EL194" i="15"/>
  <c r="EM242" i="15"/>
  <c r="EL242" i="15"/>
  <c r="EK242" i="15"/>
  <c r="EK344" i="15"/>
  <c r="EM344" i="15"/>
  <c r="EL344" i="15"/>
  <c r="EL324" i="15"/>
  <c r="EK324" i="15"/>
  <c r="EM324" i="15"/>
  <c r="EP267" i="15"/>
  <c r="EO267" i="15"/>
  <c r="EQ267" i="15"/>
  <c r="EL305" i="15"/>
  <c r="EK305" i="15"/>
  <c r="EM305" i="15"/>
  <c r="DT203" i="15"/>
  <c r="DU203" i="15"/>
  <c r="DS203" i="15"/>
  <c r="BC203" i="65"/>
  <c r="DT103" i="15"/>
  <c r="BC103" i="65"/>
  <c r="DS103" i="15"/>
  <c r="DU103" i="15"/>
  <c r="EL317" i="15"/>
  <c r="EM317" i="15"/>
  <c r="EK317" i="15"/>
  <c r="DT317" i="15"/>
  <c r="BC317" i="65"/>
  <c r="DS317" i="15"/>
  <c r="DU317" i="15"/>
  <c r="EQ317" i="15"/>
  <c r="EP317" i="15"/>
  <c r="EO317" i="15"/>
  <c r="EL347" i="15"/>
  <c r="EK347" i="15"/>
  <c r="EM347" i="15"/>
  <c r="EK304" i="15"/>
  <c r="EL304" i="15"/>
  <c r="EM304" i="15"/>
  <c r="EK281" i="15"/>
  <c r="EL281" i="15"/>
  <c r="EM281" i="15"/>
  <c r="DU141" i="15"/>
  <c r="BC141" i="65"/>
  <c r="DT141" i="15"/>
  <c r="DS141" i="15"/>
  <c r="EP141" i="15"/>
  <c r="EO141" i="15"/>
  <c r="EQ141" i="15"/>
  <c r="DT276" i="15"/>
  <c r="BC276" i="65"/>
  <c r="DS276" i="15"/>
  <c r="DU276" i="15"/>
  <c r="EP276" i="15"/>
  <c r="EO276" i="15"/>
  <c r="EQ276" i="15"/>
  <c r="EO209" i="15"/>
  <c r="EQ209" i="15"/>
  <c r="EP209" i="15"/>
  <c r="DT209" i="15"/>
  <c r="DS209" i="15"/>
  <c r="DU209" i="15"/>
  <c r="BC209" i="65"/>
  <c r="BC235" i="65"/>
  <c r="DU235" i="15"/>
  <c r="DT235" i="15"/>
  <c r="DS235" i="15"/>
  <c r="DS231" i="15"/>
  <c r="DU231" i="15"/>
  <c r="DT231" i="15"/>
  <c r="BC231" i="65"/>
  <c r="DT339" i="15"/>
  <c r="BC339" i="65"/>
  <c r="DS339" i="15"/>
  <c r="DU339" i="15"/>
  <c r="BC327" i="65"/>
  <c r="DT327" i="15"/>
  <c r="DS327" i="15"/>
  <c r="DU327" i="15"/>
  <c r="DS341" i="15"/>
  <c r="DU341" i="15"/>
  <c r="DT341" i="15"/>
  <c r="BC341" i="65"/>
  <c r="EQ341" i="15"/>
  <c r="EP341" i="15"/>
  <c r="EO341" i="15"/>
  <c r="EL341" i="15"/>
  <c r="EM341" i="15"/>
  <c r="EK341" i="15"/>
  <c r="DT289" i="15"/>
  <c r="BC289" i="65"/>
  <c r="DS289" i="15"/>
  <c r="DU289" i="15"/>
  <c r="EL217" i="15"/>
  <c r="EK217" i="15"/>
  <c r="EM217" i="15"/>
  <c r="DT217" i="15"/>
  <c r="BC217" i="65"/>
  <c r="DS217" i="15"/>
  <c r="DU217" i="15"/>
  <c r="DU319" i="15"/>
  <c r="BC319" i="65"/>
  <c r="DT319" i="15"/>
  <c r="DS319" i="15"/>
  <c r="DT304" i="15"/>
  <c r="BC304" i="65"/>
  <c r="DS304" i="15"/>
  <c r="DU304" i="15"/>
  <c r="DT315" i="15"/>
  <c r="DS315" i="15"/>
  <c r="DU315" i="15"/>
  <c r="BC315" i="65"/>
  <c r="DU281" i="15"/>
  <c r="BC281" i="65"/>
  <c r="DT281" i="15"/>
  <c r="DS281" i="15"/>
  <c r="BC227" i="65"/>
  <c r="DT227" i="15"/>
  <c r="DS227" i="15"/>
  <c r="DU227" i="15"/>
  <c r="EL231" i="15"/>
  <c r="EM231" i="15"/>
  <c r="EK231" i="15"/>
  <c r="EK273" i="15"/>
  <c r="EL273" i="15"/>
  <c r="EM273" i="15"/>
  <c r="DT273" i="15"/>
  <c r="BC273" i="65"/>
  <c r="DS273" i="15"/>
  <c r="DU273" i="15"/>
  <c r="BC331" i="65"/>
  <c r="DU331" i="15"/>
  <c r="DT331" i="15"/>
  <c r="DS331" i="15"/>
  <c r="DS325" i="15"/>
  <c r="DU325" i="15"/>
  <c r="DT325" i="15"/>
  <c r="BC325" i="65"/>
  <c r="DT275" i="15"/>
  <c r="DS275" i="15"/>
  <c r="DU275" i="15"/>
  <c r="BC275" i="65"/>
  <c r="EQ275" i="15"/>
  <c r="EP275" i="15"/>
  <c r="EO275" i="15"/>
  <c r="EL289" i="15"/>
  <c r="EM289" i="15"/>
  <c r="EK289" i="15"/>
  <c r="CX79" i="15"/>
  <c r="CX90" i="15"/>
  <c r="DA90" i="15" s="1"/>
  <c r="CX91" i="15"/>
  <c r="CZ91" i="15" s="1"/>
  <c r="DB91" i="15" s="1"/>
  <c r="AZ282" i="65"/>
  <c r="DJ282" i="15"/>
  <c r="EJ282" i="15" s="1"/>
  <c r="DJ298" i="15"/>
  <c r="EJ298" i="15" s="1"/>
  <c r="AZ298" i="65"/>
  <c r="DJ290" i="15"/>
  <c r="EJ290" i="15" s="1"/>
  <c r="AZ290" i="65"/>
  <c r="EA265" i="15"/>
  <c r="EE265" i="15"/>
  <c r="EH265" i="15" s="1"/>
  <c r="DZ265" i="15"/>
  <c r="EB265" i="15" s="1"/>
  <c r="ED265" i="15"/>
  <c r="ED157" i="15"/>
  <c r="DZ157" i="15"/>
  <c r="EB157" i="15" s="1"/>
  <c r="DY157" i="15"/>
  <c r="EC157" i="15"/>
  <c r="EG157" i="15" s="1"/>
  <c r="DL157" i="15" s="1"/>
  <c r="ED225" i="15"/>
  <c r="DZ225" i="15"/>
  <c r="EB225" i="15" s="1"/>
  <c r="EE175" i="15"/>
  <c r="EH175" i="15" s="1"/>
  <c r="EA175" i="15"/>
  <c r="EE167" i="15"/>
  <c r="EH167" i="15" s="1"/>
  <c r="EA167" i="15"/>
  <c r="EC163" i="15"/>
  <c r="EG163" i="15" s="1"/>
  <c r="DL163" i="15" s="1"/>
  <c r="DY163" i="15"/>
  <c r="EA199" i="15"/>
  <c r="EE199" i="15"/>
  <c r="EH199" i="15" s="1"/>
  <c r="EC199" i="15"/>
  <c r="EG199" i="15" s="1"/>
  <c r="DL199" i="15" s="1"/>
  <c r="DY199" i="15"/>
  <c r="ED221" i="15"/>
  <c r="DZ221" i="15"/>
  <c r="EB221" i="15" s="1"/>
  <c r="EA207" i="15"/>
  <c r="EE207" i="15"/>
  <c r="EH207" i="15" s="1"/>
  <c r="EL267" i="15"/>
  <c r="EM267" i="15"/>
  <c r="EK267" i="15"/>
  <c r="EQ305" i="15"/>
  <c r="EP305" i="15"/>
  <c r="EO305" i="15"/>
  <c r="BC305" i="65"/>
  <c r="DU305" i="15"/>
  <c r="DT305" i="15"/>
  <c r="DS305" i="15"/>
  <c r="DT271" i="15"/>
  <c r="BC271" i="65"/>
  <c r="DS271" i="15"/>
  <c r="DU271" i="15"/>
  <c r="EK103" i="15"/>
  <c r="EL103" i="15"/>
  <c r="EM103" i="15"/>
  <c r="DU347" i="15"/>
  <c r="BC347" i="65"/>
  <c r="DT347" i="15"/>
  <c r="DS347" i="15"/>
  <c r="EQ347" i="15"/>
  <c r="EP347" i="15"/>
  <c r="EO347" i="15"/>
  <c r="DU223" i="15"/>
  <c r="BC223" i="65"/>
  <c r="DS223" i="15"/>
  <c r="DT223" i="15"/>
  <c r="EP223" i="15"/>
  <c r="EO223" i="15"/>
  <c r="EQ223" i="15"/>
  <c r="DT333" i="15"/>
  <c r="DS333" i="15"/>
  <c r="DU333" i="15"/>
  <c r="BC333" i="65"/>
  <c r="EO333" i="15"/>
  <c r="EQ333" i="15"/>
  <c r="EP333" i="15"/>
  <c r="EK141" i="15"/>
  <c r="EL141" i="15"/>
  <c r="EM141" i="15"/>
  <c r="EL276" i="15"/>
  <c r="EK276" i="15"/>
  <c r="EM276" i="15"/>
  <c r="AW61" i="65"/>
  <c r="Q61" i="5" s="1"/>
  <c r="BA61" i="73" s="1"/>
  <c r="CI61" i="15"/>
  <c r="CV61" i="15"/>
  <c r="CR61" i="15"/>
  <c r="CK61" i="15"/>
  <c r="CJ61" i="15"/>
  <c r="CS61" i="15" s="1"/>
  <c r="CT61" i="15"/>
  <c r="CW61" i="15" s="1"/>
  <c r="EL325" i="15"/>
  <c r="EM325" i="15"/>
  <c r="EK325" i="15"/>
  <c r="EL185" i="15"/>
  <c r="EM185" i="15"/>
  <c r="EK185" i="15"/>
  <c r="EO255" i="15"/>
  <c r="EQ255" i="15"/>
  <c r="EP255" i="15"/>
  <c r="BD137" i="65"/>
  <c r="EF137" i="15"/>
  <c r="BE137" i="65" s="1"/>
  <c r="DU102" i="15"/>
  <c r="DS102" i="15"/>
  <c r="DT102" i="15"/>
  <c r="BC102" i="65"/>
  <c r="EL336" i="15"/>
  <c r="EK336" i="15"/>
  <c r="EM336" i="15"/>
  <c r="EL236" i="15"/>
  <c r="EK236" i="15"/>
  <c r="EM236" i="15"/>
  <c r="EL254" i="15"/>
  <c r="EK254" i="15"/>
  <c r="EM254" i="15"/>
  <c r="EK260" i="15"/>
  <c r="EL260" i="15"/>
  <c r="EM260" i="15"/>
  <c r="EK328" i="15"/>
  <c r="EM328" i="15"/>
  <c r="EL328" i="15"/>
  <c r="EL220" i="15"/>
  <c r="EM220" i="15"/>
  <c r="EK220" i="15"/>
  <c r="EM238" i="15"/>
  <c r="EL238" i="15"/>
  <c r="EK238" i="15"/>
  <c r="EK174" i="15"/>
  <c r="EM174" i="15"/>
  <c r="EL174" i="15"/>
  <c r="EM208" i="15"/>
  <c r="EL208" i="15"/>
  <c r="EK208" i="15"/>
  <c r="EK216" i="15"/>
  <c r="EM216" i="15"/>
  <c r="EL216" i="15"/>
  <c r="EL342" i="15"/>
  <c r="EK342" i="15"/>
  <c r="EM342" i="15"/>
  <c r="EK262" i="15"/>
  <c r="EM262" i="15"/>
  <c r="EL262" i="15"/>
  <c r="EK256" i="15"/>
  <c r="EM256" i="15"/>
  <c r="EL256" i="15"/>
  <c r="EK230" i="15"/>
  <c r="EL230" i="15"/>
  <c r="EM230" i="15"/>
  <c r="EM212" i="15"/>
  <c r="EL212" i="15"/>
  <c r="EK212" i="15"/>
  <c r="DZ83" i="15"/>
  <c r="EB83" i="15" s="1"/>
  <c r="ED83" i="15"/>
  <c r="EA83" i="15"/>
  <c r="EE83" i="15"/>
  <c r="EH83" i="15" s="1"/>
  <c r="ED243" i="15"/>
  <c r="DZ243" i="15"/>
  <c r="EB243" i="15" s="1"/>
  <c r="EA243" i="15"/>
  <c r="EE243" i="15"/>
  <c r="EH243" i="15" s="1"/>
  <c r="EA241" i="15"/>
  <c r="EE241" i="15"/>
  <c r="EH241" i="15" s="1"/>
  <c r="DZ241" i="15"/>
  <c r="EB241" i="15" s="1"/>
  <c r="ED241" i="15"/>
  <c r="EE257" i="15"/>
  <c r="EH257" i="15" s="1"/>
  <c r="EA257" i="15"/>
  <c r="DY257" i="15"/>
  <c r="EC257" i="15"/>
  <c r="EG257" i="15" s="1"/>
  <c r="DL257" i="15" s="1"/>
  <c r="EC183" i="15"/>
  <c r="EG183" i="15" s="1"/>
  <c r="DL183" i="15" s="1"/>
  <c r="DY183" i="15"/>
  <c r="AX102" i="82"/>
  <c r="AX102" i="84"/>
  <c r="AX102" i="85"/>
  <c r="AX102" i="89"/>
  <c r="AX102" i="90"/>
  <c r="AX102" i="83"/>
  <c r="AX102" i="86"/>
  <c r="AX102" i="87"/>
  <c r="AX102" i="88"/>
  <c r="AX102" i="91"/>
  <c r="EM150" i="15"/>
  <c r="EL150" i="15"/>
  <c r="EK150" i="15"/>
  <c r="EK340" i="15"/>
  <c r="EM340" i="15"/>
  <c r="EL340" i="15"/>
  <c r="EK234" i="15"/>
  <c r="EM234" i="15"/>
  <c r="EL234" i="15"/>
  <c r="EK248" i="15"/>
  <c r="EM248" i="15"/>
  <c r="EL248" i="15"/>
  <c r="EK176" i="15"/>
  <c r="EM176" i="15"/>
  <c r="EL176" i="15"/>
  <c r="EM196" i="15"/>
  <c r="EL196" i="15"/>
  <c r="EK196" i="15"/>
  <c r="EL222" i="15"/>
  <c r="EK222" i="15"/>
  <c r="EM222" i="15"/>
  <c r="EK244" i="15"/>
  <c r="EL244" i="15"/>
  <c r="EM244" i="15"/>
  <c r="EK246" i="15"/>
  <c r="EM246" i="15"/>
  <c r="EL246" i="15"/>
  <c r="EL218" i="15"/>
  <c r="EM218" i="15"/>
  <c r="EK218" i="15"/>
  <c r="EK204" i="15"/>
  <c r="EM204" i="15"/>
  <c r="EL204" i="15"/>
  <c r="EM190" i="15"/>
  <c r="EL190" i="15"/>
  <c r="EK190" i="15"/>
  <c r="EL202" i="15"/>
  <c r="EK202" i="15"/>
  <c r="EM202" i="15"/>
  <c r="EK266" i="15"/>
  <c r="EM266" i="15"/>
  <c r="EL266" i="15"/>
  <c r="EK258" i="15"/>
  <c r="EM258" i="15"/>
  <c r="EL258" i="15"/>
  <c r="DT267" i="15"/>
  <c r="BC267" i="65"/>
  <c r="DS267" i="15"/>
  <c r="DU267" i="15"/>
  <c r="EK203" i="15"/>
  <c r="EM203" i="15"/>
  <c r="EL203" i="15"/>
  <c r="EP203" i="15"/>
  <c r="EO203" i="15"/>
  <c r="EQ203" i="15"/>
  <c r="EK271" i="15"/>
  <c r="EL271" i="15"/>
  <c r="EM271" i="15"/>
  <c r="EP103" i="15"/>
  <c r="EO103" i="15"/>
  <c r="EQ103" i="15"/>
  <c r="EK333" i="15"/>
  <c r="EL333" i="15"/>
  <c r="EM333" i="15"/>
  <c r="EM319" i="15"/>
  <c r="EL319" i="15"/>
  <c r="EK319" i="15"/>
  <c r="EL315" i="15"/>
  <c r="EM315" i="15"/>
  <c r="EK315" i="15"/>
  <c r="EK209" i="15"/>
  <c r="EL209" i="15"/>
  <c r="EM209" i="15"/>
  <c r="EP235" i="15"/>
  <c r="EO235" i="15"/>
  <c r="EQ235" i="15"/>
  <c r="EP231" i="15"/>
  <c r="EQ231" i="15"/>
  <c r="EO231" i="15"/>
  <c r="EP339" i="15"/>
  <c r="EO339" i="15"/>
  <c r="EQ339" i="15"/>
  <c r="EL339" i="15"/>
  <c r="EM339" i="15"/>
  <c r="EK339" i="15"/>
  <c r="EP327" i="15"/>
  <c r="EO327" i="15"/>
  <c r="EQ327" i="15"/>
  <c r="DU185" i="15"/>
  <c r="BC185" i="65"/>
  <c r="DT185" i="15"/>
  <c r="DS185" i="15"/>
  <c r="EO185" i="15"/>
  <c r="EQ185" i="15"/>
  <c r="EP185" i="15"/>
  <c r="EO289" i="15"/>
  <c r="EQ289" i="15"/>
  <c r="EP289" i="15"/>
  <c r="EO217" i="15"/>
  <c r="EQ217" i="15"/>
  <c r="EP217" i="15"/>
  <c r="EL223" i="15"/>
  <c r="EK223" i="15"/>
  <c r="EM223" i="15"/>
  <c r="EQ319" i="15"/>
  <c r="EP319" i="15"/>
  <c r="EO319" i="15"/>
  <c r="EQ304" i="15"/>
  <c r="EP304" i="15"/>
  <c r="EO304" i="15"/>
  <c r="EO315" i="15"/>
  <c r="EQ315" i="15"/>
  <c r="EP315" i="15"/>
  <c r="EP281" i="15"/>
  <c r="EO281" i="15"/>
  <c r="EQ281" i="15"/>
  <c r="EO227" i="15"/>
  <c r="EQ227" i="15"/>
  <c r="EP227" i="15"/>
  <c r="EK227" i="15"/>
  <c r="EM227" i="15"/>
  <c r="EL227" i="15"/>
  <c r="EL235" i="15"/>
  <c r="EM235" i="15"/>
  <c r="EK235" i="15"/>
  <c r="EP273" i="15"/>
  <c r="EO273" i="15"/>
  <c r="EQ273" i="15"/>
  <c r="EP331" i="15"/>
  <c r="EO331" i="15"/>
  <c r="EQ331" i="15"/>
  <c r="EL331" i="15"/>
  <c r="EM331" i="15"/>
  <c r="EK331" i="15"/>
  <c r="EL327" i="15"/>
  <c r="EM327" i="15"/>
  <c r="EK327" i="15"/>
  <c r="EQ325" i="15"/>
  <c r="EP325" i="15"/>
  <c r="EO325" i="15"/>
  <c r="EK255" i="15"/>
  <c r="EL255" i="15"/>
  <c r="EM255" i="15"/>
  <c r="CX89" i="15"/>
  <c r="AZ102" i="86"/>
  <c r="AZ102" i="89"/>
  <c r="AZ102" i="87"/>
  <c r="AZ102" i="90"/>
  <c r="DS298" i="15"/>
  <c r="DT298" i="15"/>
  <c r="DU298" i="15"/>
  <c r="BC298" i="65"/>
  <c r="EO312" i="15"/>
  <c r="EP312" i="15"/>
  <c r="EQ312" i="15"/>
  <c r="DU312" i="15"/>
  <c r="DS312" i="15"/>
  <c r="DT312" i="15"/>
  <c r="BC312" i="65"/>
  <c r="DS142" i="15"/>
  <c r="DT142" i="15"/>
  <c r="DU142" i="15"/>
  <c r="BC142" i="65"/>
  <c r="EO142" i="15"/>
  <c r="EP142" i="15"/>
  <c r="EQ142" i="15"/>
  <c r="DS274" i="15"/>
  <c r="DT274" i="15"/>
  <c r="DU274" i="15"/>
  <c r="BC274" i="65"/>
  <c r="EO158" i="15"/>
  <c r="EP158" i="15"/>
  <c r="EQ158" i="15"/>
  <c r="DS158" i="15"/>
  <c r="DT158" i="15"/>
  <c r="DU158" i="15"/>
  <c r="BC158" i="65"/>
  <c r="DU282" i="15"/>
  <c r="DS282" i="15"/>
  <c r="DT282" i="15"/>
  <c r="BC282" i="65"/>
  <c r="EQ300" i="15"/>
  <c r="EO300" i="15"/>
  <c r="EP300" i="15"/>
  <c r="DS300" i="15"/>
  <c r="DT300" i="15"/>
  <c r="DU300" i="15"/>
  <c r="BC300" i="65"/>
  <c r="DS286" i="15"/>
  <c r="DT286" i="15"/>
  <c r="DU286" i="15"/>
  <c r="BC286" i="65"/>
  <c r="DU296" i="15"/>
  <c r="DS296" i="15"/>
  <c r="DT296" i="15"/>
  <c r="BC296" i="65"/>
  <c r="BD147" i="65"/>
  <c r="EF147" i="15"/>
  <c r="BE147" i="65" s="1"/>
  <c r="BD133" i="65"/>
  <c r="EF133" i="15"/>
  <c r="BE133" i="65" s="1"/>
  <c r="BD151" i="65"/>
  <c r="EF151" i="15"/>
  <c r="BE151" i="65" s="1"/>
  <c r="EQ298" i="15"/>
  <c r="EO298" i="15"/>
  <c r="EP298" i="15"/>
  <c r="EQ274" i="15"/>
  <c r="EO274" i="15"/>
  <c r="EP274" i="15"/>
  <c r="EO282" i="15"/>
  <c r="EP282" i="15"/>
  <c r="EQ282" i="15"/>
  <c r="EO286" i="15"/>
  <c r="EP286" i="15"/>
  <c r="EQ286" i="15"/>
  <c r="EO296" i="15"/>
  <c r="EP296" i="15"/>
  <c r="EQ296" i="15"/>
  <c r="EF155" i="15"/>
  <c r="BE155" i="65" s="1"/>
  <c r="BD155" i="65"/>
  <c r="BD136" i="65"/>
  <c r="EF136" i="15"/>
  <c r="BE136" i="65" s="1"/>
  <c r="EF138" i="15"/>
  <c r="BE138" i="65" s="1"/>
  <c r="BD138" i="65"/>
  <c r="EF288" i="15"/>
  <c r="BE288" i="65" s="1"/>
  <c r="BD288" i="65"/>
  <c r="BD301" i="65"/>
  <c r="EF301" i="15"/>
  <c r="BE301" i="65" s="1"/>
  <c r="EF284" i="15"/>
  <c r="BE284" i="65" s="1"/>
  <c r="BD284" i="65"/>
  <c r="BD337" i="65"/>
  <c r="EF337" i="15"/>
  <c r="BE337" i="65" s="1"/>
  <c r="BD247" i="65"/>
  <c r="EF247" i="15"/>
  <c r="BE247" i="65" s="1"/>
  <c r="BD170" i="65"/>
  <c r="EF170" i="15"/>
  <c r="BE170" i="65" s="1"/>
  <c r="BD161" i="65"/>
  <c r="EF161" i="15"/>
  <c r="BE161" i="65" s="1"/>
  <c r="EF152" i="15"/>
  <c r="BE152" i="65" s="1"/>
  <c r="BD152" i="65"/>
  <c r="BD311" i="65"/>
  <c r="EF311" i="15"/>
  <c r="BE311" i="65" s="1"/>
  <c r="BD291" i="65"/>
  <c r="EF291" i="15"/>
  <c r="BE291" i="65" s="1"/>
  <c r="BD323" i="65"/>
  <c r="EF323" i="15"/>
  <c r="BE323" i="65" s="1"/>
  <c r="W243" i="5"/>
  <c r="W265" i="5"/>
  <c r="EQ290" i="15"/>
  <c r="EO290" i="15"/>
  <c r="EP290" i="15"/>
  <c r="BD343" i="65"/>
  <c r="EF343" i="15"/>
  <c r="BE343" i="65" s="1"/>
  <c r="EE245" i="15"/>
  <c r="EH245" i="15" s="1"/>
  <c r="EA245" i="15"/>
  <c r="EC135" i="15"/>
  <c r="EG135" i="15" s="1"/>
  <c r="DL135" i="15" s="1"/>
  <c r="DY135" i="15"/>
  <c r="ED135" i="15"/>
  <c r="DZ135" i="15"/>
  <c r="EB135" i="15" s="1"/>
  <c r="DZ213" i="15"/>
  <c r="EB213" i="15" s="1"/>
  <c r="ED213" i="15"/>
  <c r="DY345" i="15"/>
  <c r="EC345" i="15"/>
  <c r="EG345" i="15" s="1"/>
  <c r="DL345" i="15" s="1"/>
  <c r="ED345" i="15"/>
  <c r="DZ345" i="15"/>
  <c r="EB345" i="15" s="1"/>
  <c r="EE321" i="15"/>
  <c r="EH321" i="15" s="1"/>
  <c r="EA321" i="15"/>
  <c r="EC321" i="15"/>
  <c r="EG321" i="15" s="1"/>
  <c r="DL321" i="15" s="1"/>
  <c r="DY321" i="15"/>
  <c r="EC249" i="15"/>
  <c r="EG249" i="15" s="1"/>
  <c r="DL249" i="15" s="1"/>
  <c r="DY249" i="15"/>
  <c r="ED249" i="15"/>
  <c r="DZ249" i="15"/>
  <c r="EB249" i="15" s="1"/>
  <c r="EA269" i="15"/>
  <c r="EE269" i="15"/>
  <c r="EH269" i="15" s="1"/>
  <c r="DY269" i="15"/>
  <c r="EC269" i="15"/>
  <c r="EG269" i="15" s="1"/>
  <c r="DL269" i="15" s="1"/>
  <c r="EA237" i="15"/>
  <c r="EE237" i="15"/>
  <c r="EH237" i="15" s="1"/>
  <c r="ED229" i="15"/>
  <c r="DZ229" i="15"/>
  <c r="EB229" i="15" s="1"/>
  <c r="DZ313" i="15"/>
  <c r="EB313" i="15" s="1"/>
  <c r="ED313" i="15"/>
  <c r="EA81" i="15"/>
  <c r="EE81" i="15"/>
  <c r="EH81" i="15" s="1"/>
  <c r="EC81" i="15"/>
  <c r="EG81" i="15" s="1"/>
  <c r="DL81" i="15" s="1"/>
  <c r="DY81" i="15"/>
  <c r="EC191" i="15"/>
  <c r="EG191" i="15" s="1"/>
  <c r="DL191" i="15" s="1"/>
  <c r="DY191" i="15"/>
  <c r="DZ191" i="15"/>
  <c r="EB191" i="15" s="1"/>
  <c r="ED191" i="15"/>
  <c r="DY187" i="15"/>
  <c r="EC187" i="15"/>
  <c r="EG187" i="15" s="1"/>
  <c r="DL187" i="15" s="1"/>
  <c r="DZ187" i="15"/>
  <c r="EB187" i="15" s="1"/>
  <c r="ED187" i="15"/>
  <c r="EE164" i="15"/>
  <c r="EH164" i="15" s="1"/>
  <c r="EA164" i="15"/>
  <c r="DY164" i="15"/>
  <c r="EC164" i="15"/>
  <c r="EG164" i="15" s="1"/>
  <c r="DL164" i="15" s="1"/>
  <c r="DZ215" i="15"/>
  <c r="EB215" i="15" s="1"/>
  <c r="ED215" i="15"/>
  <c r="ED150" i="15"/>
  <c r="DZ150" i="15"/>
  <c r="EB150" i="15" s="1"/>
  <c r="ED143" i="15"/>
  <c r="DZ143" i="15"/>
  <c r="EB143" i="15" s="1"/>
  <c r="EE211" i="15"/>
  <c r="EH211" i="15" s="1"/>
  <c r="EA211" i="15"/>
  <c r="DY211" i="15"/>
  <c r="EC211" i="15"/>
  <c r="EG211" i="15" s="1"/>
  <c r="DL211" i="15" s="1"/>
  <c r="DZ192" i="15"/>
  <c r="EB192" i="15" s="1"/>
  <c r="ED192" i="15"/>
  <c r="EA232" i="15"/>
  <c r="EE232" i="15"/>
  <c r="EH232" i="15" s="1"/>
  <c r="DY232" i="15"/>
  <c r="EC232" i="15"/>
  <c r="EG232" i="15" s="1"/>
  <c r="DL232" i="15" s="1"/>
  <c r="EC326" i="15"/>
  <c r="EG326" i="15" s="1"/>
  <c r="DL326" i="15" s="1"/>
  <c r="DY326" i="15"/>
  <c r="DZ162" i="15"/>
  <c r="EB162" i="15" s="1"/>
  <c r="ED162" i="15"/>
  <c r="ED188" i="15"/>
  <c r="DZ188" i="15"/>
  <c r="EB188" i="15" s="1"/>
  <c r="ED322" i="15"/>
  <c r="DZ322" i="15"/>
  <c r="EB322" i="15" s="1"/>
  <c r="DY322" i="15"/>
  <c r="EC322" i="15"/>
  <c r="EG322" i="15" s="1"/>
  <c r="DL322" i="15" s="1"/>
  <c r="EC184" i="15"/>
  <c r="EG184" i="15" s="1"/>
  <c r="DL184" i="15" s="1"/>
  <c r="DY184" i="15"/>
  <c r="EE180" i="15"/>
  <c r="EH180" i="15" s="1"/>
  <c r="EA180" i="15"/>
  <c r="DZ236" i="15"/>
  <c r="EB236" i="15" s="1"/>
  <c r="ED236" i="15"/>
  <c r="EE236" i="15"/>
  <c r="EH236" i="15" s="1"/>
  <c r="EA236" i="15"/>
  <c r="ED252" i="15"/>
  <c r="DZ252" i="15"/>
  <c r="EB252" i="15" s="1"/>
  <c r="EE252" i="15"/>
  <c r="EH252" i="15" s="1"/>
  <c r="EA252" i="15"/>
  <c r="EC318" i="15"/>
  <c r="EG318" i="15" s="1"/>
  <c r="DL318" i="15" s="1"/>
  <c r="DY318" i="15"/>
  <c r="EE318" i="15"/>
  <c r="EH318" i="15" s="1"/>
  <c r="EA318" i="15"/>
  <c r="EC128" i="15"/>
  <c r="EG128" i="15" s="1"/>
  <c r="DL128" i="15" s="1"/>
  <c r="DY128" i="15"/>
  <c r="DZ132" i="15"/>
  <c r="EB132" i="15" s="1"/>
  <c r="ED132" i="15"/>
  <c r="EA132" i="15"/>
  <c r="EE132" i="15"/>
  <c r="EH132" i="15" s="1"/>
  <c r="EE178" i="15"/>
  <c r="EH178" i="15" s="1"/>
  <c r="EA178" i="15"/>
  <c r="EC178" i="15"/>
  <c r="EG178" i="15" s="1"/>
  <c r="DL178" i="15" s="1"/>
  <c r="DY178" i="15"/>
  <c r="DY338" i="15"/>
  <c r="EC338" i="15"/>
  <c r="EG338" i="15" s="1"/>
  <c r="DL338" i="15" s="1"/>
  <c r="EC260" i="15"/>
  <c r="EG260" i="15" s="1"/>
  <c r="DL260" i="15" s="1"/>
  <c r="DY260" i="15"/>
  <c r="DY204" i="15"/>
  <c r="EC204" i="15"/>
  <c r="EG204" i="15" s="1"/>
  <c r="DL204" i="15" s="1"/>
  <c r="EA208" i="15"/>
  <c r="EE208" i="15"/>
  <c r="EH208" i="15" s="1"/>
  <c r="DY208" i="15"/>
  <c r="EC208" i="15"/>
  <c r="EG208" i="15" s="1"/>
  <c r="DL208" i="15" s="1"/>
  <c r="EA218" i="15"/>
  <c r="EE218" i="15"/>
  <c r="EH218" i="15" s="1"/>
  <c r="DY218" i="15"/>
  <c r="EC218" i="15"/>
  <c r="EG218" i="15" s="1"/>
  <c r="DL218" i="15" s="1"/>
  <c r="DY324" i="15"/>
  <c r="EC324" i="15"/>
  <c r="EG324" i="15" s="1"/>
  <c r="DL324" i="15" s="1"/>
  <c r="DZ182" i="15"/>
  <c r="EB182" i="15" s="1"/>
  <c r="ED182" i="15"/>
  <c r="DY308" i="15"/>
  <c r="EC308" i="15"/>
  <c r="EG308" i="15" s="1"/>
  <c r="DL308" i="15" s="1"/>
  <c r="DY224" i="15"/>
  <c r="EC224" i="15"/>
  <c r="EG224" i="15" s="1"/>
  <c r="DL224" i="15" s="1"/>
  <c r="ED190" i="15"/>
  <c r="DZ190" i="15"/>
  <c r="EB190" i="15" s="1"/>
  <c r="EA342" i="15"/>
  <c r="EE342" i="15"/>
  <c r="EH342" i="15" s="1"/>
  <c r="DZ342" i="15"/>
  <c r="EB342" i="15" s="1"/>
  <c r="ED342" i="15"/>
  <c r="DY262" i="15"/>
  <c r="EC262" i="15"/>
  <c r="EG262" i="15" s="1"/>
  <c r="DL262" i="15" s="1"/>
  <c r="DY130" i="15"/>
  <c r="EC130" i="15"/>
  <c r="EG130" i="15" s="1"/>
  <c r="DL130" i="15" s="1"/>
  <c r="ED244" i="15"/>
  <c r="DZ244" i="15"/>
  <c r="EB244" i="15" s="1"/>
  <c r="EE244" i="15"/>
  <c r="EH244" i="15" s="1"/>
  <c r="EA244" i="15"/>
  <c r="DZ160" i="15"/>
  <c r="EB160" i="15" s="1"/>
  <c r="ED160" i="15"/>
  <c r="EA160" i="15"/>
  <c r="EE160" i="15"/>
  <c r="EH160" i="15" s="1"/>
  <c r="ED344" i="15"/>
  <c r="DZ344" i="15"/>
  <c r="EB344" i="15" s="1"/>
  <c r="DY310" i="15"/>
  <c r="EC310" i="15"/>
  <c r="EG310" i="15" s="1"/>
  <c r="DL310" i="15" s="1"/>
  <c r="EE310" i="15"/>
  <c r="EH310" i="15" s="1"/>
  <c r="EA310" i="15"/>
  <c r="DZ186" i="15"/>
  <c r="EB186" i="15" s="1"/>
  <c r="ED186" i="15"/>
  <c r="EC186" i="15"/>
  <c r="EG186" i="15" s="1"/>
  <c r="DL186" i="15" s="1"/>
  <c r="DY186" i="15"/>
  <c r="DZ238" i="15"/>
  <c r="EB238" i="15" s="1"/>
  <c r="ED238" i="15"/>
  <c r="DY238" i="15"/>
  <c r="EC238" i="15"/>
  <c r="EG238" i="15" s="1"/>
  <c r="DL238" i="15" s="1"/>
  <c r="EA148" i="15"/>
  <c r="EE148" i="15"/>
  <c r="EH148" i="15" s="1"/>
  <c r="DY148" i="15"/>
  <c r="EC148" i="15"/>
  <c r="EG148" i="15" s="1"/>
  <c r="DL148" i="15" s="1"/>
  <c r="EE248" i="15"/>
  <c r="EH248" i="15" s="1"/>
  <c r="EA248" i="15"/>
  <c r="EC248" i="15"/>
  <c r="EG248" i="15" s="1"/>
  <c r="DL248" i="15" s="1"/>
  <c r="DY248" i="15"/>
  <c r="EF140" i="15"/>
  <c r="BE140" i="65" s="1"/>
  <c r="BD140" i="65"/>
  <c r="EF166" i="15"/>
  <c r="BE166" i="65" s="1"/>
  <c r="BD166" i="65"/>
  <c r="BD149" i="65"/>
  <c r="EF149" i="15"/>
  <c r="BE149" i="65" s="1"/>
  <c r="EF320" i="15"/>
  <c r="BE320" i="65" s="1"/>
  <c r="BD320" i="65"/>
  <c r="EF283" i="15"/>
  <c r="BE283" i="65" s="1"/>
  <c r="BD283" i="65"/>
  <c r="BD292" i="65"/>
  <c r="EF292" i="15"/>
  <c r="BE292" i="65" s="1"/>
  <c r="BD177" i="65"/>
  <c r="EF177" i="15"/>
  <c r="BE177" i="65" s="1"/>
  <c r="EF145" i="15"/>
  <c r="BE145" i="65" s="1"/>
  <c r="BD145" i="65"/>
  <c r="BD195" i="65"/>
  <c r="EF195" i="15"/>
  <c r="BE195" i="65" s="1"/>
  <c r="W241" i="5"/>
  <c r="EC253" i="15"/>
  <c r="EG253" i="15" s="1"/>
  <c r="DL253" i="15" s="1"/>
  <c r="DY253" i="15"/>
  <c r="ED253" i="15"/>
  <c r="DZ253" i="15"/>
  <c r="EB253" i="15" s="1"/>
  <c r="DY193" i="15"/>
  <c r="EC193" i="15"/>
  <c r="EG193" i="15" s="1"/>
  <c r="DL193" i="15" s="1"/>
  <c r="DY251" i="15"/>
  <c r="EC251" i="15"/>
  <c r="EG251" i="15" s="1"/>
  <c r="DL251" i="15" s="1"/>
  <c r="ED251" i="15"/>
  <c r="DZ251" i="15"/>
  <c r="EB251" i="15" s="1"/>
  <c r="DY219" i="15"/>
  <c r="EC219" i="15"/>
  <c r="EG219" i="15" s="1"/>
  <c r="DL219" i="15" s="1"/>
  <c r="DY261" i="15"/>
  <c r="EC261" i="15"/>
  <c r="EG261" i="15" s="1"/>
  <c r="DL261" i="15" s="1"/>
  <c r="ED261" i="15"/>
  <c r="DZ261" i="15"/>
  <c r="EB261" i="15" s="1"/>
  <c r="EA263" i="15"/>
  <c r="EE263" i="15"/>
  <c r="EH263" i="15" s="1"/>
  <c r="EA169" i="15"/>
  <c r="EE169" i="15"/>
  <c r="EH169" i="15" s="1"/>
  <c r="EC169" i="15"/>
  <c r="EG169" i="15" s="1"/>
  <c r="DL169" i="15" s="1"/>
  <c r="DY169" i="15"/>
  <c r="EA259" i="15"/>
  <c r="EE259" i="15"/>
  <c r="EH259" i="15" s="1"/>
  <c r="DY259" i="15"/>
  <c r="EC259" i="15"/>
  <c r="EG259" i="15" s="1"/>
  <c r="DL259" i="15" s="1"/>
  <c r="EC87" i="15"/>
  <c r="EG87" i="15" s="1"/>
  <c r="DL87" i="15" s="1"/>
  <c r="DY87" i="15"/>
  <c r="DZ87" i="15"/>
  <c r="EB87" i="15" s="1"/>
  <c r="ED87" i="15"/>
  <c r="DZ153" i="15"/>
  <c r="EB153" i="15" s="1"/>
  <c r="ED153" i="15"/>
  <c r="ED210" i="15"/>
  <c r="DZ210" i="15"/>
  <c r="EB210" i="15" s="1"/>
  <c r="DZ256" i="15"/>
  <c r="EB256" i="15" s="1"/>
  <c r="ED256" i="15"/>
  <c r="DY256" i="15"/>
  <c r="EC256" i="15"/>
  <c r="EG256" i="15" s="1"/>
  <c r="DL256" i="15" s="1"/>
  <c r="EA264" i="15"/>
  <c r="EE264" i="15"/>
  <c r="EH264" i="15" s="1"/>
  <c r="EE268" i="15"/>
  <c r="EH268" i="15" s="1"/>
  <c r="EA268" i="15"/>
  <c r="DY206" i="15"/>
  <c r="EC206" i="15"/>
  <c r="EG206" i="15" s="1"/>
  <c r="DL206" i="15" s="1"/>
  <c r="ED82" i="15"/>
  <c r="DZ82" i="15"/>
  <c r="EB82" i="15" s="1"/>
  <c r="EE82" i="15"/>
  <c r="EH82" i="15" s="1"/>
  <c r="EA82" i="15"/>
  <c r="EE306" i="15"/>
  <c r="EH306" i="15" s="1"/>
  <c r="EA306" i="15"/>
  <c r="DY306" i="15"/>
  <c r="EC306" i="15"/>
  <c r="EG306" i="15" s="1"/>
  <c r="DL306" i="15" s="1"/>
  <c r="ED254" i="15"/>
  <c r="DZ254" i="15"/>
  <c r="EB254" i="15" s="1"/>
  <c r="EC168" i="15"/>
  <c r="EG168" i="15" s="1"/>
  <c r="DL168" i="15" s="1"/>
  <c r="DY168" i="15"/>
  <c r="EA168" i="15"/>
  <c r="EE168" i="15"/>
  <c r="EH168" i="15" s="1"/>
  <c r="ED176" i="15"/>
  <c r="DZ176" i="15"/>
  <c r="EB176" i="15" s="1"/>
  <c r="DZ196" i="15"/>
  <c r="EB196" i="15" s="1"/>
  <c r="ED196" i="15"/>
  <c r="EC196" i="15"/>
  <c r="EG196" i="15" s="1"/>
  <c r="DL196" i="15" s="1"/>
  <c r="DY196" i="15"/>
  <c r="EC228" i="15"/>
  <c r="EG228" i="15" s="1"/>
  <c r="DL228" i="15" s="1"/>
  <c r="DY228" i="15"/>
  <c r="EE228" i="15"/>
  <c r="EH228" i="15" s="1"/>
  <c r="EA228" i="15"/>
  <c r="EE246" i="15"/>
  <c r="EH246" i="15" s="1"/>
  <c r="EA246" i="15"/>
  <c r="DY246" i="15"/>
  <c r="EC246" i="15"/>
  <c r="EG246" i="15" s="1"/>
  <c r="DL246" i="15" s="1"/>
  <c r="EE174" i="15"/>
  <c r="EH174" i="15" s="1"/>
  <c r="EA174" i="15"/>
  <c r="DY174" i="15"/>
  <c r="EC174" i="15"/>
  <c r="EG174" i="15" s="1"/>
  <c r="DL174" i="15" s="1"/>
  <c r="DZ294" i="15"/>
  <c r="EB294" i="15" s="1"/>
  <c r="ED294" i="15"/>
  <c r="DY294" i="15"/>
  <c r="EC294" i="15"/>
  <c r="EG294" i="15" s="1"/>
  <c r="DL294" i="15" s="1"/>
  <c r="EE316" i="15"/>
  <c r="EH316" i="15" s="1"/>
  <c r="EA316" i="15"/>
  <c r="DY316" i="15"/>
  <c r="EC316" i="15"/>
  <c r="EG316" i="15" s="1"/>
  <c r="DL316" i="15" s="1"/>
  <c r="DY340" i="15"/>
  <c r="EC340" i="15"/>
  <c r="EG340" i="15" s="1"/>
  <c r="DL340" i="15" s="1"/>
  <c r="EE340" i="15"/>
  <c r="EH340" i="15" s="1"/>
  <c r="EA340" i="15"/>
  <c r="EC222" i="15"/>
  <c r="EG222" i="15" s="1"/>
  <c r="DL222" i="15" s="1"/>
  <c r="DY222" i="15"/>
  <c r="EE222" i="15"/>
  <c r="EH222" i="15" s="1"/>
  <c r="EA222" i="15"/>
  <c r="EE348" i="15"/>
  <c r="EH348" i="15" s="1"/>
  <c r="EA348" i="15"/>
  <c r="DY348" i="15"/>
  <c r="EC348" i="15"/>
  <c r="EG348" i="15" s="1"/>
  <c r="DL348" i="15" s="1"/>
  <c r="EE216" i="15"/>
  <c r="EH216" i="15" s="1"/>
  <c r="EA216" i="15"/>
  <c r="ED216" i="15"/>
  <c r="DZ216" i="15"/>
  <c r="EB216" i="15" s="1"/>
  <c r="DY194" i="15"/>
  <c r="EC194" i="15"/>
  <c r="EG194" i="15" s="1"/>
  <c r="DL194" i="15" s="1"/>
  <c r="DY230" i="15"/>
  <c r="EC230" i="15"/>
  <c r="EG230" i="15" s="1"/>
  <c r="DL230" i="15" s="1"/>
  <c r="EE230" i="15"/>
  <c r="EH230" i="15" s="1"/>
  <c r="EA230" i="15"/>
  <c r="EA242" i="15"/>
  <c r="EE242" i="15"/>
  <c r="EH242" i="15" s="1"/>
  <c r="EC242" i="15"/>
  <c r="EG242" i="15" s="1"/>
  <c r="DL242" i="15" s="1"/>
  <c r="DY242" i="15"/>
  <c r="DZ240" i="15"/>
  <c r="EB240" i="15" s="1"/>
  <c r="ED240" i="15"/>
  <c r="EA240" i="15"/>
  <c r="EE240" i="15"/>
  <c r="EH240" i="15" s="1"/>
  <c r="DZ202" i="15"/>
  <c r="EB202" i="15" s="1"/>
  <c r="ED202" i="15"/>
  <c r="EE202" i="15"/>
  <c r="EH202" i="15" s="1"/>
  <c r="EA202" i="15"/>
  <c r="DZ234" i="15"/>
  <c r="EB234" i="15" s="1"/>
  <c r="ED234" i="15"/>
  <c r="EC270" i="15"/>
  <c r="EG270" i="15" s="1"/>
  <c r="DL270" i="15" s="1"/>
  <c r="DY270" i="15"/>
  <c r="ED302" i="15"/>
  <c r="DZ302" i="15"/>
  <c r="EB302" i="15" s="1"/>
  <c r="ED336" i="15"/>
  <c r="DZ336" i="15"/>
  <c r="EB336" i="15" s="1"/>
  <c r="DZ266" i="15"/>
  <c r="EB266" i="15" s="1"/>
  <c r="ED266" i="15"/>
  <c r="EA266" i="15"/>
  <c r="EE266" i="15"/>
  <c r="EH266" i="15" s="1"/>
  <c r="ED328" i="15"/>
  <c r="DZ328" i="15"/>
  <c r="EB328" i="15" s="1"/>
  <c r="EA328" i="15"/>
  <c r="EE328" i="15"/>
  <c r="EH328" i="15" s="1"/>
  <c r="EE144" i="15"/>
  <c r="EH144" i="15" s="1"/>
  <c r="EA144" i="15"/>
  <c r="EC144" i="15"/>
  <c r="EG144" i="15" s="1"/>
  <c r="DL144" i="15" s="1"/>
  <c r="DY144" i="15"/>
  <c r="EC250" i="15"/>
  <c r="EG250" i="15" s="1"/>
  <c r="DL250" i="15" s="1"/>
  <c r="DY250" i="15"/>
  <c r="ED226" i="15"/>
  <c r="DZ226" i="15"/>
  <c r="EB226" i="15" s="1"/>
  <c r="EA226" i="15"/>
  <c r="EE226" i="15"/>
  <c r="EH226" i="15" s="1"/>
  <c r="EE146" i="15"/>
  <c r="EH146" i="15" s="1"/>
  <c r="EA146" i="15"/>
  <c r="EC146" i="15"/>
  <c r="EG146" i="15" s="1"/>
  <c r="DL146" i="15" s="1"/>
  <c r="DY146" i="15"/>
  <c r="EC332" i="15"/>
  <c r="EG332" i="15" s="1"/>
  <c r="DL332" i="15" s="1"/>
  <c r="DY332" i="15"/>
  <c r="EA332" i="15"/>
  <c r="EE332" i="15"/>
  <c r="EH332" i="15" s="1"/>
  <c r="EE314" i="15"/>
  <c r="EH314" i="15" s="1"/>
  <c r="EA314" i="15"/>
  <c r="DY220" i="15"/>
  <c r="EC220" i="15"/>
  <c r="EG220" i="15" s="1"/>
  <c r="DL220" i="15" s="1"/>
  <c r="DZ330" i="15"/>
  <c r="EB330" i="15" s="1"/>
  <c r="ED330" i="15"/>
  <c r="EA330" i="15"/>
  <c r="EE330" i="15"/>
  <c r="EH330" i="15" s="1"/>
  <c r="EA334" i="15"/>
  <c r="EE334" i="15"/>
  <c r="EH334" i="15" s="1"/>
  <c r="DZ346" i="15"/>
  <c r="EB346" i="15" s="1"/>
  <c r="ED346" i="15"/>
  <c r="DY200" i="15"/>
  <c r="EC200" i="15"/>
  <c r="EG200" i="15" s="1"/>
  <c r="DL200" i="15" s="1"/>
  <c r="DY214" i="15"/>
  <c r="EC214" i="15"/>
  <c r="EG214" i="15" s="1"/>
  <c r="DL214" i="15" s="1"/>
  <c r="EE198" i="15"/>
  <c r="EH198" i="15" s="1"/>
  <c r="EA198" i="15"/>
  <c r="EE212" i="15"/>
  <c r="EH212" i="15" s="1"/>
  <c r="EA212" i="15"/>
  <c r="EC212" i="15"/>
  <c r="EG212" i="15" s="1"/>
  <c r="DL212" i="15" s="1"/>
  <c r="DY212" i="15"/>
  <c r="EA258" i="15"/>
  <c r="EE258" i="15"/>
  <c r="EH258" i="15" s="1"/>
  <c r="EC258" i="15"/>
  <c r="EG258" i="15" s="1"/>
  <c r="DL258" i="15" s="1"/>
  <c r="DY258" i="15"/>
  <c r="ED134" i="15"/>
  <c r="DZ134" i="15"/>
  <c r="EB134" i="15" s="1"/>
  <c r="EE134" i="15"/>
  <c r="EH134" i="15" s="1"/>
  <c r="EA134" i="15"/>
  <c r="EF309" i="15"/>
  <c r="BE309" i="65" s="1"/>
  <c r="BD309" i="65"/>
  <c r="BD307" i="65"/>
  <c r="EF307" i="15"/>
  <c r="BE307" i="65" s="1"/>
  <c r="BD189" i="65"/>
  <c r="EF189" i="15"/>
  <c r="BE189" i="65" s="1"/>
  <c r="EF165" i="15"/>
  <c r="BE165" i="65" s="1"/>
  <c r="BD165" i="65"/>
  <c r="EF171" i="15"/>
  <c r="BE171" i="65" s="1"/>
  <c r="BD171" i="65"/>
  <c r="EF173" i="15"/>
  <c r="BE173" i="65" s="1"/>
  <c r="BD173" i="65"/>
  <c r="BD295" i="65"/>
  <c r="EF295" i="15"/>
  <c r="BE295" i="65" s="1"/>
  <c r="EF287" i="15"/>
  <c r="BE287" i="65" s="1"/>
  <c r="BD287" i="65"/>
  <c r="EF297" i="15"/>
  <c r="BE297" i="65" s="1"/>
  <c r="BD297" i="65"/>
  <c r="BD205" i="65"/>
  <c r="EF205" i="15"/>
  <c r="BE205" i="65" s="1"/>
  <c r="EF197" i="15"/>
  <c r="BE197" i="65" s="1"/>
  <c r="BD197" i="65"/>
  <c r="W201" i="5"/>
  <c r="W163" i="5"/>
  <c r="W207" i="5"/>
  <c r="DU290" i="15"/>
  <c r="DS290" i="15"/>
  <c r="DT290" i="15"/>
  <c r="BC290" i="65"/>
  <c r="EQ278" i="15"/>
  <c r="EO278" i="15"/>
  <c r="EP278" i="15"/>
  <c r="DU278" i="15"/>
  <c r="DS278" i="15"/>
  <c r="DT278" i="15"/>
  <c r="BC278" i="65"/>
  <c r="EF233" i="15"/>
  <c r="BE233" i="65" s="1"/>
  <c r="BD233" i="65"/>
  <c r="BD335" i="65"/>
  <c r="EF335" i="15"/>
  <c r="BE335" i="65" s="1"/>
  <c r="W139" i="5"/>
  <c r="DZ245" i="15"/>
  <c r="EB245" i="15" s="1"/>
  <c r="ED245" i="15"/>
  <c r="EC245" i="15"/>
  <c r="EG245" i="15" s="1"/>
  <c r="DL245" i="15" s="1"/>
  <c r="DY245" i="15"/>
  <c r="EA135" i="15"/>
  <c r="EE135" i="15"/>
  <c r="EH135" i="15" s="1"/>
  <c r="EA213" i="15"/>
  <c r="EE213" i="15"/>
  <c r="EH213" i="15" s="1"/>
  <c r="EC213" i="15"/>
  <c r="EG213" i="15" s="1"/>
  <c r="DL213" i="15" s="1"/>
  <c r="DY213" i="15"/>
  <c r="W221" i="5"/>
  <c r="EA345" i="15"/>
  <c r="EE345" i="15"/>
  <c r="EH345" i="15" s="1"/>
  <c r="DZ321" i="15"/>
  <c r="EB321" i="15" s="1"/>
  <c r="ED321" i="15"/>
  <c r="EE249" i="15"/>
  <c r="EH249" i="15" s="1"/>
  <c r="EA249" i="15"/>
  <c r="ED269" i="15"/>
  <c r="DZ269" i="15"/>
  <c r="EB269" i="15" s="1"/>
  <c r="DY237" i="15"/>
  <c r="EC237" i="15"/>
  <c r="EG237" i="15" s="1"/>
  <c r="DL237" i="15" s="1"/>
  <c r="DZ237" i="15"/>
  <c r="EB237" i="15" s="1"/>
  <c r="ED237" i="15"/>
  <c r="EE229" i="15"/>
  <c r="EH229" i="15" s="1"/>
  <c r="EA229" i="15"/>
  <c r="EC229" i="15"/>
  <c r="EG229" i="15" s="1"/>
  <c r="DL229" i="15" s="1"/>
  <c r="DY229" i="15"/>
  <c r="EE313" i="15"/>
  <c r="EH313" i="15" s="1"/>
  <c r="EA313" i="15"/>
  <c r="EC313" i="15"/>
  <c r="EG313" i="15" s="1"/>
  <c r="DL313" i="15" s="1"/>
  <c r="DY313" i="15"/>
  <c r="DZ81" i="15"/>
  <c r="EB81" i="15" s="1"/>
  <c r="ED81" i="15"/>
  <c r="EE191" i="15"/>
  <c r="EH191" i="15" s="1"/>
  <c r="EA191" i="15"/>
  <c r="EA187" i="15"/>
  <c r="EE187" i="15"/>
  <c r="EH187" i="15" s="1"/>
  <c r="DZ164" i="15"/>
  <c r="EB164" i="15" s="1"/>
  <c r="ED164" i="15"/>
  <c r="EA215" i="15"/>
  <c r="EE215" i="15"/>
  <c r="EH215" i="15" s="1"/>
  <c r="DY215" i="15"/>
  <c r="EC215" i="15"/>
  <c r="EG215" i="15" s="1"/>
  <c r="DL215" i="15" s="1"/>
  <c r="EE150" i="15"/>
  <c r="EH150" i="15" s="1"/>
  <c r="EA150" i="15"/>
  <c r="EC150" i="15"/>
  <c r="EG150" i="15" s="1"/>
  <c r="DL150" i="15" s="1"/>
  <c r="DY150" i="15"/>
  <c r="EE143" i="15"/>
  <c r="EH143" i="15" s="1"/>
  <c r="EA143" i="15"/>
  <c r="EC143" i="15"/>
  <c r="EG143" i="15" s="1"/>
  <c r="DL143" i="15" s="1"/>
  <c r="DY143" i="15"/>
  <c r="ED211" i="15"/>
  <c r="DZ211" i="15"/>
  <c r="EB211" i="15" s="1"/>
  <c r="DY192" i="15"/>
  <c r="EC192" i="15"/>
  <c r="EG192" i="15" s="1"/>
  <c r="DL192" i="15" s="1"/>
  <c r="EE192" i="15"/>
  <c r="EH192" i="15" s="1"/>
  <c r="EA192" i="15"/>
  <c r="DZ232" i="15"/>
  <c r="EB232" i="15" s="1"/>
  <c r="ED232" i="15"/>
  <c r="DZ326" i="15"/>
  <c r="EB326" i="15" s="1"/>
  <c r="ED326" i="15"/>
  <c r="EA326" i="15"/>
  <c r="EE326" i="15"/>
  <c r="EH326" i="15" s="1"/>
  <c r="DY162" i="15"/>
  <c r="EC162" i="15"/>
  <c r="EG162" i="15" s="1"/>
  <c r="DL162" i="15" s="1"/>
  <c r="EE162" i="15"/>
  <c r="EH162" i="15" s="1"/>
  <c r="EA162" i="15"/>
  <c r="EE188" i="15"/>
  <c r="EH188" i="15" s="1"/>
  <c r="EA188" i="15"/>
  <c r="DY188" i="15"/>
  <c r="EC188" i="15"/>
  <c r="EG188" i="15" s="1"/>
  <c r="DL188" i="15" s="1"/>
  <c r="EA322" i="15"/>
  <c r="EE322" i="15"/>
  <c r="EH322" i="15" s="1"/>
  <c r="ED184" i="15"/>
  <c r="DZ184" i="15"/>
  <c r="EB184" i="15" s="1"/>
  <c r="EE184" i="15"/>
  <c r="EH184" i="15" s="1"/>
  <c r="EA184" i="15"/>
  <c r="DZ180" i="15"/>
  <c r="EB180" i="15" s="1"/>
  <c r="ED180" i="15"/>
  <c r="EC180" i="15"/>
  <c r="EG180" i="15" s="1"/>
  <c r="DL180" i="15" s="1"/>
  <c r="DY180" i="15"/>
  <c r="DY236" i="15"/>
  <c r="EC236" i="15"/>
  <c r="EG236" i="15" s="1"/>
  <c r="DL236" i="15" s="1"/>
  <c r="EC252" i="15"/>
  <c r="EG252" i="15" s="1"/>
  <c r="DL252" i="15" s="1"/>
  <c r="DY252" i="15"/>
  <c r="DZ318" i="15"/>
  <c r="EB318" i="15" s="1"/>
  <c r="ED318" i="15"/>
  <c r="EE128" i="15"/>
  <c r="EH128" i="15" s="1"/>
  <c r="EA128" i="15"/>
  <c r="DZ128" i="15"/>
  <c r="EB128" i="15" s="1"/>
  <c r="ED128" i="15"/>
  <c r="EC132" i="15"/>
  <c r="EG132" i="15" s="1"/>
  <c r="DL132" i="15" s="1"/>
  <c r="DY132" i="15"/>
  <c r="ED178" i="15"/>
  <c r="DZ178" i="15"/>
  <c r="EB178" i="15" s="1"/>
  <c r="ED338" i="15"/>
  <c r="DZ338" i="15"/>
  <c r="EB338" i="15" s="1"/>
  <c r="EA338" i="15"/>
  <c r="EE338" i="15"/>
  <c r="EH338" i="15" s="1"/>
  <c r="DZ260" i="15"/>
  <c r="EB260" i="15" s="1"/>
  <c r="ED260" i="15"/>
  <c r="EA260" i="15"/>
  <c r="EE260" i="15"/>
  <c r="EH260" i="15" s="1"/>
  <c r="ED204" i="15"/>
  <c r="DZ204" i="15"/>
  <c r="EB204" i="15" s="1"/>
  <c r="EA204" i="15"/>
  <c r="EE204" i="15"/>
  <c r="EH204" i="15" s="1"/>
  <c r="DZ208" i="15"/>
  <c r="EB208" i="15" s="1"/>
  <c r="ED208" i="15"/>
  <c r="ED218" i="15"/>
  <c r="DZ218" i="15"/>
  <c r="EB218" i="15" s="1"/>
  <c r="DZ324" i="15"/>
  <c r="EB324" i="15" s="1"/>
  <c r="ED324" i="15"/>
  <c r="EE324" i="15"/>
  <c r="EH324" i="15" s="1"/>
  <c r="EA324" i="15"/>
  <c r="EA182" i="15"/>
  <c r="EE182" i="15"/>
  <c r="EH182" i="15" s="1"/>
  <c r="EC182" i="15"/>
  <c r="EG182" i="15" s="1"/>
  <c r="DL182" i="15" s="1"/>
  <c r="DY182" i="15"/>
  <c r="DZ308" i="15"/>
  <c r="EB308" i="15" s="1"/>
  <c r="ED308" i="15"/>
  <c r="EE308" i="15"/>
  <c r="EH308" i="15" s="1"/>
  <c r="EA308" i="15"/>
  <c r="DZ224" i="15"/>
  <c r="EB224" i="15" s="1"/>
  <c r="ED224" i="15"/>
  <c r="EE224" i="15"/>
  <c r="EH224" i="15" s="1"/>
  <c r="EA224" i="15"/>
  <c r="EE190" i="15"/>
  <c r="EH190" i="15" s="1"/>
  <c r="EA190" i="15"/>
  <c r="DY190" i="15"/>
  <c r="EC190" i="15"/>
  <c r="EG190" i="15" s="1"/>
  <c r="DL190" i="15" s="1"/>
  <c r="DY342" i="15"/>
  <c r="EC342" i="15"/>
  <c r="EG342" i="15" s="1"/>
  <c r="DL342" i="15" s="1"/>
  <c r="ED262" i="15"/>
  <c r="DZ262" i="15"/>
  <c r="EB262" i="15" s="1"/>
  <c r="EA262" i="15"/>
  <c r="EE262" i="15"/>
  <c r="EH262" i="15" s="1"/>
  <c r="ED130" i="15"/>
  <c r="DZ130" i="15"/>
  <c r="EB130" i="15" s="1"/>
  <c r="EE130" i="15"/>
  <c r="EH130" i="15" s="1"/>
  <c r="EA130" i="15"/>
  <c r="DY244" i="15"/>
  <c r="EC244" i="15"/>
  <c r="EG244" i="15" s="1"/>
  <c r="DL244" i="15" s="1"/>
  <c r="DY160" i="15"/>
  <c r="EC160" i="15"/>
  <c r="EG160" i="15" s="1"/>
  <c r="DL160" i="15" s="1"/>
  <c r="EA344" i="15"/>
  <c r="EE344" i="15"/>
  <c r="EH344" i="15" s="1"/>
  <c r="DY344" i="15"/>
  <c r="EC344" i="15"/>
  <c r="EG344" i="15" s="1"/>
  <c r="DL344" i="15" s="1"/>
  <c r="DZ310" i="15"/>
  <c r="EB310" i="15" s="1"/>
  <c r="ED310" i="15"/>
  <c r="EE186" i="15"/>
  <c r="EH186" i="15" s="1"/>
  <c r="EA186" i="15"/>
  <c r="EE238" i="15"/>
  <c r="EH238" i="15" s="1"/>
  <c r="EA238" i="15"/>
  <c r="DZ148" i="15"/>
  <c r="EB148" i="15" s="1"/>
  <c r="ED148" i="15"/>
  <c r="ED248" i="15"/>
  <c r="DZ248" i="15"/>
  <c r="EB248" i="15" s="1"/>
  <c r="BD154" i="65"/>
  <c r="EF154" i="15"/>
  <c r="BE154" i="65" s="1"/>
  <c r="BD156" i="65"/>
  <c r="EF156" i="15"/>
  <c r="BE156" i="65" s="1"/>
  <c r="EF131" i="15"/>
  <c r="BE131" i="65" s="1"/>
  <c r="BD131" i="65"/>
  <c r="EF303" i="15"/>
  <c r="BE303" i="65" s="1"/>
  <c r="BD303" i="65"/>
  <c r="BD179" i="65"/>
  <c r="EF179" i="15"/>
  <c r="BE179" i="65" s="1"/>
  <c r="EF172" i="15"/>
  <c r="BE172" i="65" s="1"/>
  <c r="BD172" i="65"/>
  <c r="BD277" i="65"/>
  <c r="EF277" i="15"/>
  <c r="BE277" i="65" s="1"/>
  <c r="EF279" i="15"/>
  <c r="BE279" i="65" s="1"/>
  <c r="BD279" i="65"/>
  <c r="W157" i="5"/>
  <c r="EA253" i="15"/>
  <c r="EE253" i="15"/>
  <c r="EH253" i="15" s="1"/>
  <c r="EE193" i="15"/>
  <c r="EH193" i="15" s="1"/>
  <c r="EA193" i="15"/>
  <c r="DZ193" i="15"/>
  <c r="EB193" i="15" s="1"/>
  <c r="ED193" i="15"/>
  <c r="EA251" i="15"/>
  <c r="EE251" i="15"/>
  <c r="EH251" i="15" s="1"/>
  <c r="EE219" i="15"/>
  <c r="EH219" i="15" s="1"/>
  <c r="EA219" i="15"/>
  <c r="DZ219" i="15"/>
  <c r="EB219" i="15" s="1"/>
  <c r="ED219" i="15"/>
  <c r="EA261" i="15"/>
  <c r="EE261" i="15"/>
  <c r="EH261" i="15" s="1"/>
  <c r="DY263" i="15"/>
  <c r="EC263" i="15"/>
  <c r="EG263" i="15" s="1"/>
  <c r="DL263" i="15" s="1"/>
  <c r="ED263" i="15"/>
  <c r="DZ263" i="15"/>
  <c r="EB263" i="15" s="1"/>
  <c r="ED169" i="15"/>
  <c r="DZ169" i="15"/>
  <c r="EB169" i="15" s="1"/>
  <c r="ED259" i="15"/>
  <c r="DZ259" i="15"/>
  <c r="EB259" i="15" s="1"/>
  <c r="BB87" i="84"/>
  <c r="BB87" i="85"/>
  <c r="BB87" i="88"/>
  <c r="BB87" i="87"/>
  <c r="BB87" i="82"/>
  <c r="BB87" i="83"/>
  <c r="BB87" i="86"/>
  <c r="BB87" i="90"/>
  <c r="BB87" i="89"/>
  <c r="BB87" i="91"/>
  <c r="EE87" i="15"/>
  <c r="EH87" i="15" s="1"/>
  <c r="EA87" i="15"/>
  <c r="EA153" i="15"/>
  <c r="EE153" i="15"/>
  <c r="EH153" i="15" s="1"/>
  <c r="DY153" i="15"/>
  <c r="EC153" i="15"/>
  <c r="EG153" i="15" s="1"/>
  <c r="DL153" i="15" s="1"/>
  <c r="EA210" i="15"/>
  <c r="EE210" i="15"/>
  <c r="EH210" i="15" s="1"/>
  <c r="EC210" i="15"/>
  <c r="EG210" i="15" s="1"/>
  <c r="DL210" i="15" s="1"/>
  <c r="DY210" i="15"/>
  <c r="EE256" i="15"/>
  <c r="EH256" i="15" s="1"/>
  <c r="EA256" i="15"/>
  <c r="DZ264" i="15"/>
  <c r="EB264" i="15" s="1"/>
  <c r="ED264" i="15"/>
  <c r="EC264" i="15"/>
  <c r="EG264" i="15" s="1"/>
  <c r="DL264" i="15" s="1"/>
  <c r="DY264" i="15"/>
  <c r="DZ268" i="15"/>
  <c r="EB268" i="15" s="1"/>
  <c r="ED268" i="15"/>
  <c r="DY268" i="15"/>
  <c r="EC268" i="15"/>
  <c r="EG268" i="15" s="1"/>
  <c r="DL268" i="15" s="1"/>
  <c r="DZ206" i="15"/>
  <c r="EB206" i="15" s="1"/>
  <c r="ED206" i="15"/>
  <c r="EE206" i="15"/>
  <c r="EH206" i="15" s="1"/>
  <c r="EA206" i="15"/>
  <c r="EC82" i="15"/>
  <c r="EG82" i="15" s="1"/>
  <c r="DL82" i="15" s="1"/>
  <c r="DY82" i="15"/>
  <c r="ED306" i="15"/>
  <c r="DZ306" i="15"/>
  <c r="EB306" i="15" s="1"/>
  <c r="DY254" i="15"/>
  <c r="EC254" i="15"/>
  <c r="EG254" i="15" s="1"/>
  <c r="DL254" i="15" s="1"/>
  <c r="EA254" i="15"/>
  <c r="EE254" i="15"/>
  <c r="EH254" i="15" s="1"/>
  <c r="DZ168" i="15"/>
  <c r="EB168" i="15" s="1"/>
  <c r="ED168" i="15"/>
  <c r="EC176" i="15"/>
  <c r="EG176" i="15" s="1"/>
  <c r="DL176" i="15" s="1"/>
  <c r="DY176" i="15"/>
  <c r="EA176" i="15"/>
  <c r="EE176" i="15"/>
  <c r="EH176" i="15" s="1"/>
  <c r="EA196" i="15"/>
  <c r="EE196" i="15"/>
  <c r="EH196" i="15" s="1"/>
  <c r="DZ228" i="15"/>
  <c r="EB228" i="15" s="1"/>
  <c r="ED228" i="15"/>
  <c r="DZ246" i="15"/>
  <c r="EB246" i="15" s="1"/>
  <c r="ED246" i="15"/>
  <c r="DZ174" i="15"/>
  <c r="EB174" i="15" s="1"/>
  <c r="ED174" i="15"/>
  <c r="EA294" i="15"/>
  <c r="EE294" i="15"/>
  <c r="EH294" i="15" s="1"/>
  <c r="DZ316" i="15"/>
  <c r="EB316" i="15" s="1"/>
  <c r="ED316" i="15"/>
  <c r="ED340" i="15"/>
  <c r="DZ340" i="15"/>
  <c r="EB340" i="15" s="1"/>
  <c r="DZ222" i="15"/>
  <c r="EB222" i="15" s="1"/>
  <c r="ED222" i="15"/>
  <c r="DZ348" i="15"/>
  <c r="EB348" i="15" s="1"/>
  <c r="ED348" i="15"/>
  <c r="DY216" i="15"/>
  <c r="EC216" i="15"/>
  <c r="EG216" i="15" s="1"/>
  <c r="DL216" i="15" s="1"/>
  <c r="EA194" i="15"/>
  <c r="EE194" i="15"/>
  <c r="EH194" i="15" s="1"/>
  <c r="ED194" i="15"/>
  <c r="DZ194" i="15"/>
  <c r="EB194" i="15" s="1"/>
  <c r="DZ230" i="15"/>
  <c r="EB230" i="15" s="1"/>
  <c r="ED230" i="15"/>
  <c r="ED242" i="15"/>
  <c r="DZ242" i="15"/>
  <c r="EB242" i="15" s="1"/>
  <c r="DY240" i="15"/>
  <c r="EC240" i="15"/>
  <c r="EG240" i="15" s="1"/>
  <c r="DL240" i="15" s="1"/>
  <c r="DY202" i="15"/>
  <c r="EC202" i="15"/>
  <c r="EG202" i="15" s="1"/>
  <c r="DL202" i="15" s="1"/>
  <c r="EE234" i="15"/>
  <c r="EH234" i="15" s="1"/>
  <c r="EA234" i="15"/>
  <c r="DY234" i="15"/>
  <c r="EC234" i="15"/>
  <c r="EG234" i="15" s="1"/>
  <c r="DL234" i="15" s="1"/>
  <c r="ED270" i="15"/>
  <c r="DZ270" i="15"/>
  <c r="EB270" i="15" s="1"/>
  <c r="EE270" i="15"/>
  <c r="EH270" i="15" s="1"/>
  <c r="EA270" i="15"/>
  <c r="EA302" i="15"/>
  <c r="EE302" i="15"/>
  <c r="EH302" i="15" s="1"/>
  <c r="DY302" i="15"/>
  <c r="EC302" i="15"/>
  <c r="EG302" i="15" s="1"/>
  <c r="DL302" i="15" s="1"/>
  <c r="EA336" i="15"/>
  <c r="EE336" i="15"/>
  <c r="EH336" i="15" s="1"/>
  <c r="EC336" i="15"/>
  <c r="EG336" i="15" s="1"/>
  <c r="DL336" i="15" s="1"/>
  <c r="DY336" i="15"/>
  <c r="EC266" i="15"/>
  <c r="EG266" i="15" s="1"/>
  <c r="DL266" i="15" s="1"/>
  <c r="DY266" i="15"/>
  <c r="DY328" i="15"/>
  <c r="EC328" i="15"/>
  <c r="EG328" i="15" s="1"/>
  <c r="DL328" i="15" s="1"/>
  <c r="ED144" i="15"/>
  <c r="DZ144" i="15"/>
  <c r="EB144" i="15" s="1"/>
  <c r="ED250" i="15"/>
  <c r="DZ250" i="15"/>
  <c r="EB250" i="15" s="1"/>
  <c r="EA250" i="15"/>
  <c r="EE250" i="15"/>
  <c r="EH250" i="15" s="1"/>
  <c r="EC226" i="15"/>
  <c r="EG226" i="15" s="1"/>
  <c r="DL226" i="15" s="1"/>
  <c r="DY226" i="15"/>
  <c r="ED146" i="15"/>
  <c r="DZ146" i="15"/>
  <c r="EB146" i="15" s="1"/>
  <c r="ED332" i="15"/>
  <c r="DZ332" i="15"/>
  <c r="EB332" i="15" s="1"/>
  <c r="ED314" i="15"/>
  <c r="DZ314" i="15"/>
  <c r="EB314" i="15" s="1"/>
  <c r="DY314" i="15"/>
  <c r="EC314" i="15"/>
  <c r="EG314" i="15" s="1"/>
  <c r="DL314" i="15" s="1"/>
  <c r="ED220" i="15"/>
  <c r="DZ220" i="15"/>
  <c r="EB220" i="15" s="1"/>
  <c r="EE220" i="15"/>
  <c r="EH220" i="15" s="1"/>
  <c r="EA220" i="15"/>
  <c r="EC330" i="15"/>
  <c r="EG330" i="15" s="1"/>
  <c r="DL330" i="15" s="1"/>
  <c r="DY330" i="15"/>
  <c r="DZ334" i="15"/>
  <c r="EB334" i="15" s="1"/>
  <c r="ED334" i="15"/>
  <c r="DY334" i="15"/>
  <c r="EC334" i="15"/>
  <c r="EG334" i="15" s="1"/>
  <c r="DL334" i="15" s="1"/>
  <c r="DY346" i="15"/>
  <c r="EC346" i="15"/>
  <c r="EG346" i="15" s="1"/>
  <c r="DL346" i="15" s="1"/>
  <c r="EE346" i="15"/>
  <c r="EH346" i="15" s="1"/>
  <c r="EA346" i="15"/>
  <c r="ED200" i="15"/>
  <c r="DZ200" i="15"/>
  <c r="EB200" i="15" s="1"/>
  <c r="EE200" i="15"/>
  <c r="EH200" i="15" s="1"/>
  <c r="EA200" i="15"/>
  <c r="W225" i="5"/>
  <c r="ED214" i="15"/>
  <c r="DZ214" i="15"/>
  <c r="EB214" i="15" s="1"/>
  <c r="EA214" i="15"/>
  <c r="EE214" i="15"/>
  <c r="EH214" i="15" s="1"/>
  <c r="DZ198" i="15"/>
  <c r="EB198" i="15" s="1"/>
  <c r="ED198" i="15"/>
  <c r="EC198" i="15"/>
  <c r="EG198" i="15" s="1"/>
  <c r="DL198" i="15" s="1"/>
  <c r="DY198" i="15"/>
  <c r="ED212" i="15"/>
  <c r="DZ212" i="15"/>
  <c r="EB212" i="15" s="1"/>
  <c r="DZ258" i="15"/>
  <c r="EB258" i="15" s="1"/>
  <c r="ED258" i="15"/>
  <c r="EC134" i="15"/>
  <c r="EG134" i="15" s="1"/>
  <c r="DL134" i="15" s="1"/>
  <c r="DY134" i="15"/>
  <c r="DK90" i="15"/>
  <c r="EN90" i="15"/>
  <c r="BA90" i="65"/>
  <c r="U90" i="5" s="1"/>
  <c r="AY90" i="73" s="1"/>
  <c r="DR90" i="15"/>
  <c r="EK90" i="15"/>
  <c r="EM90" i="15"/>
  <c r="EL90" i="15"/>
  <c r="AZ90" i="91"/>
  <c r="AZ90" i="89"/>
  <c r="AZ90" i="84"/>
  <c r="AY90" i="82"/>
  <c r="AX90" i="83"/>
  <c r="AX90" i="86"/>
  <c r="AX90" i="87"/>
  <c r="AX90" i="88"/>
  <c r="AZ90" i="88"/>
  <c r="AZ90" i="86"/>
  <c r="AZ90" i="82"/>
  <c r="AZ90" i="90"/>
  <c r="AZ90" i="85"/>
  <c r="AY90" i="87"/>
  <c r="AX90" i="82"/>
  <c r="AX90" i="84"/>
  <c r="AX90" i="85"/>
  <c r="AX90" i="89"/>
  <c r="AX90" i="90"/>
  <c r="AZ90" i="87"/>
  <c r="AZ90" i="83"/>
  <c r="AX90" i="91"/>
  <c r="CF40" i="15"/>
  <c r="BT49" i="15"/>
  <c r="CE40" i="15"/>
  <c r="ER40" i="15" s="1"/>
  <c r="BS26" i="15"/>
  <c r="CH26" i="15" s="1"/>
  <c r="AW26" i="65" s="1"/>
  <c r="Q26" i="5" s="1"/>
  <c r="BA26" i="73" s="1"/>
  <c r="L24" i="5"/>
  <c r="L25" i="5"/>
  <c r="M24" i="5"/>
  <c r="N25" i="5"/>
  <c r="AU25" i="73" s="1"/>
  <c r="K25" i="5"/>
  <c r="P25" i="5"/>
  <c r="O24" i="5"/>
  <c r="P24" i="5"/>
  <c r="N24" i="5"/>
  <c r="AU24" i="73" s="1"/>
  <c r="K24" i="5"/>
  <c r="M25" i="5"/>
  <c r="ES26" i="15"/>
  <c r="EU26" i="15"/>
  <c r="ET26" i="15"/>
  <c r="BR35" i="15"/>
  <c r="BR24" i="15"/>
  <c r="CE25" i="15"/>
  <c r="ER25" i="15" s="1"/>
  <c r="BR31" i="15"/>
  <c r="CE31" i="15"/>
  <c r="ER31" i="15" s="1"/>
  <c r="BR33" i="15"/>
  <c r="AU25" i="65"/>
  <c r="AU31" i="65"/>
  <c r="O31" i="5" s="1"/>
  <c r="AV31" i="73" s="1"/>
  <c r="CF31" i="15"/>
  <c r="EW31" i="15" s="1"/>
  <c r="FC29" i="15"/>
  <c r="FB29" i="15" s="1"/>
  <c r="FA29" i="15" s="1"/>
  <c r="BG29" i="65" s="1"/>
  <c r="AG29" i="5" s="1"/>
  <c r="FC70" i="15"/>
  <c r="FB70" i="15" s="1"/>
  <c r="FA70" i="15" s="1"/>
  <c r="BG70" i="65" s="1"/>
  <c r="AG70" i="5" s="1"/>
  <c r="BR40" i="15"/>
  <c r="BR65" i="15"/>
  <c r="CT109" i="15"/>
  <c r="CS109" i="15"/>
  <c r="CK109" i="15"/>
  <c r="BA109" i="91"/>
  <c r="BA109" i="84"/>
  <c r="BR53" i="15"/>
  <c r="CI109" i="15"/>
  <c r="BA109" i="90"/>
  <c r="BA109" i="85"/>
  <c r="BA109" i="88"/>
  <c r="BA109" i="87"/>
  <c r="BA109" i="86"/>
  <c r="BA109" i="83"/>
  <c r="BA109" i="82"/>
  <c r="AV72" i="82"/>
  <c r="AV72" i="83"/>
  <c r="AV72" i="84"/>
  <c r="AV72" i="86"/>
  <c r="AV72" i="85"/>
  <c r="AV72" i="87"/>
  <c r="AV72" i="89"/>
  <c r="AV72" i="88"/>
  <c r="AV72" i="90"/>
  <c r="AU40" i="82"/>
  <c r="AU40" i="84"/>
  <c r="AU40" i="83"/>
  <c r="AU40" i="85"/>
  <c r="AU40" i="86"/>
  <c r="AU40" i="88"/>
  <c r="AU40" i="90"/>
  <c r="AU40" i="87"/>
  <c r="AU40" i="89"/>
  <c r="AW53" i="82"/>
  <c r="AW53" i="83"/>
  <c r="AW53" i="84"/>
  <c r="AW53" i="86"/>
  <c r="AW53" i="85"/>
  <c r="AW53" i="87"/>
  <c r="AW53" i="89"/>
  <c r="AW53" i="88"/>
  <c r="AW53" i="90"/>
  <c r="AU35" i="82"/>
  <c r="AU35" i="83"/>
  <c r="AU35" i="84"/>
  <c r="AU35" i="86"/>
  <c r="AU35" i="85"/>
  <c r="AU35" i="87"/>
  <c r="AU35" i="89"/>
  <c r="AU35" i="88"/>
  <c r="AU35" i="90"/>
  <c r="AU29" i="82"/>
  <c r="AU29" i="83"/>
  <c r="AU29" i="84"/>
  <c r="AU29" i="86"/>
  <c r="AU29" i="85"/>
  <c r="AU29" i="87"/>
  <c r="AU29" i="89"/>
  <c r="AU29" i="88"/>
  <c r="AU29" i="90"/>
  <c r="AV53" i="82"/>
  <c r="AV53" i="84"/>
  <c r="AV53" i="83"/>
  <c r="AV53" i="85"/>
  <c r="AV53" i="86"/>
  <c r="AV53" i="88"/>
  <c r="AV53" i="90"/>
  <c r="AV53" i="87"/>
  <c r="AV53" i="89"/>
  <c r="BA62" i="82"/>
  <c r="BA62" i="84"/>
  <c r="BA62" i="83"/>
  <c r="BA62" i="85"/>
  <c r="BA62" i="86"/>
  <c r="BA62" i="88"/>
  <c r="BA62" i="90"/>
  <c r="BA62" i="87"/>
  <c r="BA62" i="89"/>
  <c r="BA90" i="82"/>
  <c r="BA90" i="84"/>
  <c r="BA90" i="83"/>
  <c r="BA90" i="85"/>
  <c r="BA90" i="86"/>
  <c r="BA90" i="88"/>
  <c r="BA90" i="90"/>
  <c r="BA90" i="87"/>
  <c r="BA90" i="89"/>
  <c r="BA89" i="82"/>
  <c r="BA89" i="83"/>
  <c r="BA89" i="84"/>
  <c r="BA89" i="86"/>
  <c r="BA89" i="85"/>
  <c r="BA89" i="87"/>
  <c r="BA89" i="89"/>
  <c r="BA89" i="88"/>
  <c r="BA89" i="90"/>
  <c r="AV24" i="82"/>
  <c r="AV24" i="84"/>
  <c r="AV24" i="85"/>
  <c r="AV24" i="89"/>
  <c r="AV24" i="90"/>
  <c r="AV40" i="82"/>
  <c r="AV40" i="83"/>
  <c r="AV40" i="84"/>
  <c r="AV40" i="86"/>
  <c r="AV40" i="85"/>
  <c r="AV40" i="87"/>
  <c r="AV40" i="89"/>
  <c r="AV40" i="88"/>
  <c r="AV40" i="90"/>
  <c r="AR33" i="82"/>
  <c r="AR33" i="84"/>
  <c r="AR33" i="83"/>
  <c r="AR33" i="85"/>
  <c r="AR33" i="86"/>
  <c r="AR33" i="88"/>
  <c r="AR33" i="90"/>
  <c r="AR33" i="87"/>
  <c r="AR33" i="89"/>
  <c r="AR53" i="82"/>
  <c r="AR53" i="84"/>
  <c r="AR53" i="83"/>
  <c r="AR53" i="85"/>
  <c r="AR53" i="86"/>
  <c r="AR53" i="88"/>
  <c r="AR53" i="90"/>
  <c r="AR53" i="87"/>
  <c r="AR53" i="89"/>
  <c r="AU69" i="82"/>
  <c r="AU69" i="83"/>
  <c r="AU69" i="84"/>
  <c r="AU69" i="86"/>
  <c r="AU69" i="85"/>
  <c r="AU69" i="87"/>
  <c r="AU69" i="89"/>
  <c r="AU69" i="88"/>
  <c r="AU69" i="90"/>
  <c r="AR28" i="82"/>
  <c r="AR28" i="83"/>
  <c r="AR28" i="84"/>
  <c r="AR28" i="86"/>
  <c r="AR28" i="85"/>
  <c r="AR28" i="87"/>
  <c r="AR28" i="89"/>
  <c r="AR28" i="88"/>
  <c r="AR28" i="90"/>
  <c r="AW31" i="82"/>
  <c r="AW31" i="83"/>
  <c r="AW31" i="84"/>
  <c r="AW31" i="86"/>
  <c r="AW31" i="85"/>
  <c r="AW31" i="87"/>
  <c r="AW31" i="89"/>
  <c r="AW31" i="88"/>
  <c r="AW31" i="90"/>
  <c r="AW24" i="84"/>
  <c r="AW24" i="85"/>
  <c r="AW24" i="88"/>
  <c r="AW24" i="87"/>
  <c r="AW65" i="82"/>
  <c r="AW65" i="83"/>
  <c r="AW65" i="84"/>
  <c r="AW65" i="86"/>
  <c r="AW65" i="85"/>
  <c r="AW65" i="87"/>
  <c r="AW65" i="89"/>
  <c r="AW65" i="88"/>
  <c r="AW65" i="90"/>
  <c r="AW46" i="82"/>
  <c r="AW46" i="84"/>
  <c r="AW46" i="83"/>
  <c r="AW46" i="85"/>
  <c r="AW46" i="86"/>
  <c r="AW46" i="88"/>
  <c r="AW46" i="90"/>
  <c r="AW46" i="87"/>
  <c r="AW46" i="89"/>
  <c r="AU24" i="82"/>
  <c r="AU24" i="83"/>
  <c r="AU24" i="86"/>
  <c r="AU24" i="90"/>
  <c r="AU24" i="89"/>
  <c r="AR24" i="83"/>
  <c r="AR24" i="86"/>
  <c r="AR24" i="87"/>
  <c r="AR24" i="88"/>
  <c r="AR29" i="82"/>
  <c r="AR29" i="84"/>
  <c r="AR29" i="83"/>
  <c r="AR29" i="85"/>
  <c r="AR29" i="86"/>
  <c r="AR29" i="88"/>
  <c r="AR29" i="90"/>
  <c r="AR29" i="87"/>
  <c r="AR29" i="89"/>
  <c r="AR31" i="82"/>
  <c r="AR31" i="84"/>
  <c r="AR31" i="83"/>
  <c r="AR31" i="85"/>
  <c r="AR31" i="86"/>
  <c r="AR31" i="88"/>
  <c r="AR31" i="90"/>
  <c r="AR31" i="87"/>
  <c r="AR31" i="89"/>
  <c r="AR65" i="82"/>
  <c r="AR65" i="84"/>
  <c r="AR65" i="83"/>
  <c r="AR65" i="85"/>
  <c r="AR65" i="86"/>
  <c r="AR65" i="88"/>
  <c r="AR65" i="90"/>
  <c r="AR65" i="87"/>
  <c r="AR65" i="89"/>
  <c r="AW70" i="82"/>
  <c r="AW70" i="84"/>
  <c r="AW70" i="83"/>
  <c r="AW70" i="85"/>
  <c r="AW70" i="86"/>
  <c r="AW70" i="88"/>
  <c r="AW70" i="90"/>
  <c r="AW70" i="87"/>
  <c r="AW70" i="89"/>
  <c r="AW35" i="82"/>
  <c r="AW35" i="83"/>
  <c r="AW35" i="84"/>
  <c r="AW35" i="86"/>
  <c r="AW35" i="85"/>
  <c r="AW35" i="87"/>
  <c r="AW35" i="89"/>
  <c r="AW35" i="88"/>
  <c r="AW35" i="90"/>
  <c r="AR72" i="82"/>
  <c r="AR72" i="83"/>
  <c r="AR72" i="84"/>
  <c r="AR72" i="86"/>
  <c r="AR72" i="85"/>
  <c r="AR72" i="87"/>
  <c r="AR72" i="89"/>
  <c r="AR72" i="88"/>
  <c r="AR72" i="90"/>
  <c r="AR52" i="82"/>
  <c r="AR52" i="83"/>
  <c r="AR52" i="84"/>
  <c r="AR52" i="86"/>
  <c r="AR52" i="85"/>
  <c r="AR52" i="87"/>
  <c r="AR52" i="89"/>
  <c r="AR52" i="88"/>
  <c r="AR52" i="90"/>
  <c r="AU52" i="82"/>
  <c r="AU52" i="84"/>
  <c r="AU52" i="83"/>
  <c r="AU52" i="85"/>
  <c r="AU52" i="86"/>
  <c r="AU52" i="88"/>
  <c r="AU52" i="90"/>
  <c r="AU52" i="87"/>
  <c r="AU52" i="89"/>
  <c r="AW69" i="82"/>
  <c r="AW69" i="83"/>
  <c r="AW69" i="84"/>
  <c r="AW69" i="86"/>
  <c r="AW69" i="85"/>
  <c r="AW69" i="87"/>
  <c r="AW69" i="89"/>
  <c r="AW69" i="88"/>
  <c r="AW69" i="90"/>
  <c r="AR70" i="82"/>
  <c r="AR70" i="83"/>
  <c r="AR70" i="84"/>
  <c r="AR70" i="86"/>
  <c r="AR70" i="85"/>
  <c r="AR70" i="87"/>
  <c r="AR70" i="89"/>
  <c r="AR70" i="88"/>
  <c r="AR70" i="90"/>
  <c r="AW52" i="82"/>
  <c r="AW52" i="84"/>
  <c r="AW52" i="83"/>
  <c r="AW52" i="85"/>
  <c r="AW52" i="86"/>
  <c r="AW52" i="88"/>
  <c r="AW52" i="90"/>
  <c r="AW52" i="87"/>
  <c r="AW52" i="89"/>
  <c r="AV69" i="82"/>
  <c r="AV69" i="84"/>
  <c r="AV69" i="83"/>
  <c r="AV69" i="85"/>
  <c r="AV69" i="86"/>
  <c r="AV69" i="88"/>
  <c r="AV69" i="90"/>
  <c r="AV69" i="87"/>
  <c r="AV69" i="89"/>
  <c r="AU53" i="82"/>
  <c r="AU53" i="83"/>
  <c r="AU53" i="84"/>
  <c r="AU53" i="86"/>
  <c r="AU53" i="85"/>
  <c r="AU53" i="87"/>
  <c r="AU53" i="89"/>
  <c r="AU53" i="88"/>
  <c r="AU53" i="90"/>
  <c r="AW40" i="82"/>
  <c r="AW40" i="84"/>
  <c r="AW40" i="83"/>
  <c r="AW40" i="85"/>
  <c r="AW40" i="86"/>
  <c r="AW40" i="88"/>
  <c r="AW40" i="90"/>
  <c r="AW40" i="87"/>
  <c r="AW40" i="89"/>
  <c r="AW29" i="82"/>
  <c r="AW29" i="83"/>
  <c r="AW29" i="84"/>
  <c r="AW29" i="86"/>
  <c r="AW29" i="85"/>
  <c r="AW29" i="87"/>
  <c r="AW29" i="89"/>
  <c r="AW29" i="88"/>
  <c r="AW29" i="90"/>
  <c r="AV52" i="82"/>
  <c r="AV52" i="83"/>
  <c r="AV52" i="84"/>
  <c r="AV52" i="86"/>
  <c r="AV52" i="85"/>
  <c r="AV52" i="87"/>
  <c r="AV52" i="89"/>
  <c r="AV52" i="88"/>
  <c r="AV52" i="90"/>
  <c r="AV31" i="82"/>
  <c r="AV31" i="84"/>
  <c r="AV31" i="85"/>
  <c r="AV31" i="88"/>
  <c r="AV31" i="87"/>
  <c r="AV46" i="82"/>
  <c r="AV46" i="83"/>
  <c r="AV46" i="84"/>
  <c r="AV46" i="86"/>
  <c r="AV46" i="85"/>
  <c r="AV46" i="87"/>
  <c r="AV46" i="89"/>
  <c r="AV46" i="88"/>
  <c r="AV46" i="90"/>
  <c r="BA66" i="82"/>
  <c r="BA66" i="84"/>
  <c r="BA66" i="83"/>
  <c r="BA66" i="85"/>
  <c r="BA66" i="86"/>
  <c r="BA66" i="88"/>
  <c r="BA66" i="90"/>
  <c r="BA66" i="87"/>
  <c r="BA66" i="89"/>
  <c r="BA79" i="82"/>
  <c r="BA79" i="83"/>
  <c r="BA79" i="84"/>
  <c r="BA79" i="86"/>
  <c r="BA79" i="85"/>
  <c r="BA79" i="87"/>
  <c r="BA79" i="89"/>
  <c r="BA79" i="88"/>
  <c r="BA79" i="90"/>
  <c r="BA93" i="82"/>
  <c r="BA93" i="83"/>
  <c r="BA93" i="84"/>
  <c r="BA93" i="86"/>
  <c r="BA93" i="85"/>
  <c r="BA93" i="87"/>
  <c r="BA93" i="89"/>
  <c r="BA93" i="88"/>
  <c r="BA93" i="90"/>
  <c r="BA91" i="82"/>
  <c r="BA91" i="83"/>
  <c r="BA91" i="84"/>
  <c r="BA91" i="86"/>
  <c r="BA91" i="85"/>
  <c r="BA91" i="87"/>
  <c r="BA91" i="89"/>
  <c r="BA91" i="88"/>
  <c r="BA91" i="90"/>
  <c r="AV70" i="82"/>
  <c r="AV70" i="83"/>
  <c r="AV70" i="84"/>
  <c r="AV70" i="86"/>
  <c r="AV70" i="85"/>
  <c r="AV70" i="87"/>
  <c r="AV70" i="89"/>
  <c r="AV70" i="88"/>
  <c r="AV70" i="90"/>
  <c r="BA121" i="82"/>
  <c r="BA121" i="83"/>
  <c r="BA121" i="84"/>
  <c r="BA121" i="86"/>
  <c r="BA121" i="85"/>
  <c r="BA121" i="87"/>
  <c r="BA121" i="89"/>
  <c r="BA121" i="88"/>
  <c r="BA121" i="90"/>
  <c r="AR40" i="82"/>
  <c r="AR40" i="83"/>
  <c r="AR40" i="84"/>
  <c r="AR40" i="86"/>
  <c r="AR40" i="85"/>
  <c r="AR40" i="87"/>
  <c r="AR40" i="89"/>
  <c r="AR40" i="88"/>
  <c r="AR40" i="90"/>
  <c r="AR35" i="82"/>
  <c r="AR35" i="84"/>
  <c r="AR35" i="83"/>
  <c r="AR35" i="85"/>
  <c r="AR35" i="86"/>
  <c r="AR35" i="88"/>
  <c r="AR35" i="90"/>
  <c r="AR35" i="87"/>
  <c r="AR35" i="89"/>
  <c r="AR69" i="82"/>
  <c r="AR69" i="84"/>
  <c r="AR69" i="83"/>
  <c r="AR69" i="85"/>
  <c r="AR69" i="86"/>
  <c r="AR69" i="88"/>
  <c r="AR69" i="90"/>
  <c r="AR69" i="87"/>
  <c r="AR69" i="89"/>
  <c r="AR46" i="82"/>
  <c r="AR46" i="83"/>
  <c r="AR46" i="84"/>
  <c r="AR46" i="86"/>
  <c r="AR46" i="85"/>
  <c r="AR46" i="87"/>
  <c r="AR46" i="89"/>
  <c r="AR46" i="88"/>
  <c r="AR46" i="90"/>
  <c r="AU46" i="82"/>
  <c r="AU46" i="84"/>
  <c r="AU46" i="83"/>
  <c r="AU46" i="85"/>
  <c r="AU46" i="86"/>
  <c r="AU46" i="88"/>
  <c r="AU46" i="90"/>
  <c r="AU46" i="87"/>
  <c r="AU46" i="89"/>
  <c r="AU25" i="82"/>
  <c r="AU25" i="83"/>
  <c r="AU25" i="84"/>
  <c r="AU25" i="86"/>
  <c r="AU25" i="85"/>
  <c r="AU25" i="87"/>
  <c r="AU25" i="89"/>
  <c r="AU25" i="88"/>
  <c r="AU25" i="90"/>
  <c r="AR25" i="82"/>
  <c r="AR25" i="83"/>
  <c r="AR25" i="86"/>
  <c r="AR25" i="90"/>
  <c r="AR25" i="89"/>
  <c r="AU31" i="82"/>
  <c r="AU31" i="83"/>
  <c r="AU31" i="84"/>
  <c r="AU31" i="86"/>
  <c r="AU31" i="85"/>
  <c r="AU31" i="87"/>
  <c r="AU31" i="89"/>
  <c r="AU31" i="88"/>
  <c r="AU31" i="90"/>
  <c r="AU65" i="82"/>
  <c r="AU65" i="83"/>
  <c r="AU65" i="84"/>
  <c r="AU65" i="86"/>
  <c r="AU65" i="85"/>
  <c r="AU65" i="87"/>
  <c r="AU65" i="89"/>
  <c r="AU65" i="88"/>
  <c r="AU65" i="90"/>
  <c r="AW72" i="82"/>
  <c r="AW72" i="84"/>
  <c r="AW72" i="83"/>
  <c r="AW72" i="85"/>
  <c r="AW72" i="86"/>
  <c r="AW72" i="88"/>
  <c r="AW72" i="90"/>
  <c r="AW72" i="87"/>
  <c r="AW72" i="89"/>
  <c r="AW25" i="82"/>
  <c r="AW25" i="83"/>
  <c r="AW25" i="84"/>
  <c r="AW25" i="86"/>
  <c r="AW25" i="85"/>
  <c r="AW25" i="87"/>
  <c r="AW25" i="89"/>
  <c r="AW25" i="88"/>
  <c r="AW25" i="90"/>
  <c r="AU72" i="82"/>
  <c r="AU72" i="84"/>
  <c r="AU72" i="83"/>
  <c r="AU72" i="85"/>
  <c r="AU72" i="86"/>
  <c r="AU72" i="88"/>
  <c r="AU72" i="90"/>
  <c r="AU72" i="87"/>
  <c r="AU72" i="89"/>
  <c r="AU70" i="82"/>
  <c r="AU70" i="84"/>
  <c r="AU70" i="83"/>
  <c r="AU70" i="85"/>
  <c r="AU70" i="86"/>
  <c r="AU70" i="88"/>
  <c r="AU70" i="90"/>
  <c r="AU70" i="87"/>
  <c r="AU70" i="89"/>
  <c r="BY33" i="15"/>
  <c r="AT33" i="65" s="1"/>
  <c r="N33" i="5" s="1"/>
  <c r="AU33" i="73" s="1"/>
  <c r="CF29" i="15"/>
  <c r="CE29" i="15"/>
  <c r="BT29" i="15" s="1"/>
  <c r="CF35" i="15"/>
  <c r="AU35" i="65"/>
  <c r="O35" i="5" s="1"/>
  <c r="AV35" i="73" s="1"/>
  <c r="AV28" i="65"/>
  <c r="P28" i="5" s="1"/>
  <c r="AV33" i="65"/>
  <c r="P33" i="5" s="1"/>
  <c r="AW33" i="73" s="1"/>
  <c r="CF33" i="15"/>
  <c r="EW33" i="15" s="1"/>
  <c r="AT36" i="65"/>
  <c r="N36" i="5" s="1"/>
  <c r="CE36" i="15"/>
  <c r="ER36" i="15" s="1"/>
  <c r="BY28" i="15"/>
  <c r="AT28" i="65" s="1"/>
  <c r="N28" i="5" s="1"/>
  <c r="AU28" i="73" s="1"/>
  <c r="AU29" i="65"/>
  <c r="O29" i="5" s="1"/>
  <c r="AV29" i="73" s="1"/>
  <c r="CF25" i="15"/>
  <c r="EW25" i="15" s="1"/>
  <c r="CF24" i="15"/>
  <c r="FC25" i="15"/>
  <c r="FB25" i="15" s="1"/>
  <c r="FA25" i="15" s="1"/>
  <c r="BG25" i="65" s="1"/>
  <c r="AV72" i="91"/>
  <c r="AV69" i="91"/>
  <c r="AU53" i="91"/>
  <c r="AW40" i="91"/>
  <c r="AW29" i="91"/>
  <c r="AV52" i="91"/>
  <c r="AV46" i="91"/>
  <c r="AV53" i="91"/>
  <c r="BA66" i="91"/>
  <c r="BA62" i="91"/>
  <c r="CJ78" i="15"/>
  <c r="CK78" i="15"/>
  <c r="CI78" i="15"/>
  <c r="BA93" i="91"/>
  <c r="BA91" i="91"/>
  <c r="BA121" i="91"/>
  <c r="CT107" i="15"/>
  <c r="CK107" i="15"/>
  <c r="CI107" i="15"/>
  <c r="CJ107" i="15"/>
  <c r="CK47" i="15"/>
  <c r="CI47" i="15"/>
  <c r="CJ47" i="15"/>
  <c r="CS47" i="15" s="1"/>
  <c r="CK123" i="15"/>
  <c r="CI123" i="15"/>
  <c r="CJ123" i="15"/>
  <c r="AR33" i="91"/>
  <c r="AR53" i="91"/>
  <c r="AU69" i="91"/>
  <c r="AR28" i="91"/>
  <c r="AW31" i="91"/>
  <c r="AW24" i="91"/>
  <c r="AU25" i="91"/>
  <c r="AR25" i="91"/>
  <c r="AR31" i="91"/>
  <c r="AR65" i="91"/>
  <c r="AW70" i="91"/>
  <c r="AW35" i="91"/>
  <c r="AR72" i="91"/>
  <c r="AR52" i="91"/>
  <c r="AU52" i="91"/>
  <c r="AW69" i="91"/>
  <c r="AR70" i="91"/>
  <c r="AV29" i="91"/>
  <c r="AU40" i="91"/>
  <c r="AW53" i="91"/>
  <c r="AU35" i="91"/>
  <c r="AU29" i="91"/>
  <c r="CK49" i="15"/>
  <c r="CI49" i="15"/>
  <c r="CJ49" i="15"/>
  <c r="BA79" i="91"/>
  <c r="CJ44" i="15"/>
  <c r="CK44" i="15"/>
  <c r="CI44" i="15"/>
  <c r="BA90" i="91"/>
  <c r="BA89" i="91"/>
  <c r="AV70" i="91"/>
  <c r="AV40" i="91"/>
  <c r="AR40" i="91"/>
  <c r="AR35" i="91"/>
  <c r="AR69" i="91"/>
  <c r="AR46" i="91"/>
  <c r="AU46" i="91"/>
  <c r="AW65" i="91"/>
  <c r="AW46" i="91"/>
  <c r="AR24" i="91"/>
  <c r="AR29" i="91"/>
  <c r="AU31" i="91"/>
  <c r="AU65" i="91"/>
  <c r="AW72" i="91"/>
  <c r="AW25" i="91"/>
  <c r="AU72" i="91"/>
  <c r="AU70" i="91"/>
  <c r="AW52" i="91"/>
  <c r="EX78" i="15"/>
  <c r="EZ78" i="15"/>
  <c r="EY78" i="15"/>
  <c r="ET49" i="15"/>
  <c r="ES49" i="15"/>
  <c r="EU49" i="15"/>
  <c r="EY49" i="15"/>
  <c r="EX49" i="15"/>
  <c r="EZ49" i="15"/>
  <c r="EX44" i="15"/>
  <c r="EZ44" i="15"/>
  <c r="EY44" i="15"/>
  <c r="ES72" i="15"/>
  <c r="EU72" i="15"/>
  <c r="ET72" i="15"/>
  <c r="ES44" i="15"/>
  <c r="EU44" i="15"/>
  <c r="ET44" i="15"/>
  <c r="ES70" i="15"/>
  <c r="EU70" i="15"/>
  <c r="ET70" i="15"/>
  <c r="ES40" i="15"/>
  <c r="EU40" i="15"/>
  <c r="ET40" i="15"/>
  <c r="EX36" i="15"/>
  <c r="EZ36" i="15"/>
  <c r="EY36" i="15"/>
  <c r="EY123" i="15"/>
  <c r="EX123" i="15"/>
  <c r="EZ123" i="15"/>
  <c r="BY57" i="15"/>
  <c r="AQ57" i="65"/>
  <c r="K57" i="5" s="1"/>
  <c r="FT57" i="15"/>
  <c r="CB57" i="15"/>
  <c r="BO57" i="15"/>
  <c r="BV57" i="15"/>
  <c r="AQ60" i="65"/>
  <c r="K60" i="5" s="1"/>
  <c r="CB60" i="15"/>
  <c r="BY60" i="15"/>
  <c r="AT60" i="65" s="1"/>
  <c r="N60" i="5" s="1"/>
  <c r="AU60" i="73" s="1"/>
  <c r="FT60" i="15"/>
  <c r="BV60" i="15"/>
  <c r="BO60" i="15"/>
  <c r="AQ56" i="65"/>
  <c r="K56" i="5" s="1"/>
  <c r="CB56" i="15"/>
  <c r="BO56" i="15"/>
  <c r="FT56" i="15"/>
  <c r="BV56" i="15"/>
  <c r="BY56" i="15"/>
  <c r="AT56" i="65" s="1"/>
  <c r="N56" i="5" s="1"/>
  <c r="AU56" i="73" s="1"/>
  <c r="CB22" i="15"/>
  <c r="AQ22" i="65"/>
  <c r="FT22" i="15"/>
  <c r="BV22" i="15"/>
  <c r="BY22" i="15" s="1"/>
  <c r="AT22" i="65" s="1"/>
  <c r="BO22" i="15"/>
  <c r="BY75" i="15"/>
  <c r="AT75" i="65" s="1"/>
  <c r="N75" i="5" s="1"/>
  <c r="AU75" i="73" s="1"/>
  <c r="CB75" i="15"/>
  <c r="AQ75" i="65"/>
  <c r="K75" i="5" s="1"/>
  <c r="BV75" i="15"/>
  <c r="BO75" i="15"/>
  <c r="FT75" i="15"/>
  <c r="CB54" i="15"/>
  <c r="FT54" i="15"/>
  <c r="AQ54" i="65"/>
  <c r="K54" i="5" s="1"/>
  <c r="BV54" i="15"/>
  <c r="BY54" i="15" s="1"/>
  <c r="BO54" i="15"/>
  <c r="FT23" i="15"/>
  <c r="AQ23" i="65"/>
  <c r="BO23" i="15"/>
  <c r="CB23" i="15"/>
  <c r="BV23" i="15"/>
  <c r="BY23" i="15" s="1"/>
  <c r="BV27" i="15"/>
  <c r="AQ27" i="65"/>
  <c r="K27" i="5" s="1"/>
  <c r="BO27" i="15"/>
  <c r="FT27" i="15"/>
  <c r="CB27" i="15"/>
  <c r="FT71" i="15"/>
  <c r="AQ71" i="65"/>
  <c r="K71" i="5" s="1"/>
  <c r="BV71" i="15"/>
  <c r="BY71" i="15"/>
  <c r="AT71" i="65" s="1"/>
  <c r="N71" i="5" s="1"/>
  <c r="AU71" i="73" s="1"/>
  <c r="CB71" i="15"/>
  <c r="BO71" i="15"/>
  <c r="CD54" i="15"/>
  <c r="BQ54" i="15"/>
  <c r="AS54" i="65"/>
  <c r="M54" i="5" s="1"/>
  <c r="CA54" i="15"/>
  <c r="CA50" i="15"/>
  <c r="AV50" i="65" s="1"/>
  <c r="P50" i="5" s="1"/>
  <c r="AS50" i="65"/>
  <c r="M50" i="5" s="1"/>
  <c r="BQ50" i="15"/>
  <c r="CD50" i="15"/>
  <c r="BQ59" i="15"/>
  <c r="AS59" i="65"/>
  <c r="M59" i="5" s="1"/>
  <c r="CA59" i="15"/>
  <c r="AV59" i="65" s="1"/>
  <c r="P59" i="5" s="1"/>
  <c r="CD59" i="15"/>
  <c r="AS23" i="65"/>
  <c r="BQ23" i="15"/>
  <c r="CD23" i="15"/>
  <c r="CA23" i="15" s="1"/>
  <c r="AV23" i="65" s="1"/>
  <c r="BQ27" i="15"/>
  <c r="AS27" i="65"/>
  <c r="M27" i="5" s="1"/>
  <c r="CA27" i="15"/>
  <c r="AV27" i="65" s="1"/>
  <c r="P27" i="5" s="1"/>
  <c r="CD27" i="15"/>
  <c r="CB30" i="15"/>
  <c r="AQ30" i="65"/>
  <c r="K30" i="5" s="1"/>
  <c r="BO30" i="15"/>
  <c r="BV30" i="15"/>
  <c r="FT30" i="15"/>
  <c r="BO50" i="15"/>
  <c r="CB50" i="15"/>
  <c r="BV50" i="15"/>
  <c r="FT50" i="15"/>
  <c r="AQ50" i="65"/>
  <c r="K50" i="5" s="1"/>
  <c r="BY50" i="15"/>
  <c r="AT50" i="65" s="1"/>
  <c r="N50" i="5" s="1"/>
  <c r="AU50" i="73" s="1"/>
  <c r="BQ71" i="15"/>
  <c r="AS71" i="65"/>
  <c r="M71" i="5" s="1"/>
  <c r="CD71" i="15"/>
  <c r="CA71" i="15"/>
  <c r="BV32" i="15"/>
  <c r="AQ32" i="65"/>
  <c r="K32" i="5" s="1"/>
  <c r="FT32" i="15"/>
  <c r="CB32" i="15"/>
  <c r="BO32" i="15"/>
  <c r="AQ59" i="65"/>
  <c r="K59" i="5" s="1"/>
  <c r="BY59" i="15"/>
  <c r="AT59" i="65" s="1"/>
  <c r="N59" i="5" s="1"/>
  <c r="AU59" i="73" s="1"/>
  <c r="BV59" i="15"/>
  <c r="CB59" i="15"/>
  <c r="BO59" i="15"/>
  <c r="FT59" i="15"/>
  <c r="CB45" i="15"/>
  <c r="AQ45" i="65"/>
  <c r="K45" i="5" s="1"/>
  <c r="BY45" i="15"/>
  <c r="AT45" i="65" s="1"/>
  <c r="N45" i="5" s="1"/>
  <c r="AU45" i="73" s="1"/>
  <c r="BV45" i="15"/>
  <c r="FT45" i="15"/>
  <c r="BO45" i="15"/>
  <c r="CD56" i="15"/>
  <c r="AS56" i="65"/>
  <c r="M56" i="5" s="1"/>
  <c r="BQ56" i="15"/>
  <c r="CA56" i="15"/>
  <c r="AV56" i="65" s="1"/>
  <c r="P56" i="5" s="1"/>
  <c r="AW56" i="73" s="1"/>
  <c r="BQ30" i="15"/>
  <c r="CD30" i="15"/>
  <c r="AS30" i="65"/>
  <c r="M30" i="5" s="1"/>
  <c r="CA30" i="15"/>
  <c r="AV30" i="65" s="1"/>
  <c r="P30" i="5" s="1"/>
  <c r="AS22" i="65"/>
  <c r="BQ22" i="15"/>
  <c r="CD22" i="15"/>
  <c r="CA22" i="15"/>
  <c r="AV22" i="65" s="1"/>
  <c r="BV64" i="15"/>
  <c r="BY64" i="15"/>
  <c r="AQ64" i="65"/>
  <c r="K64" i="5" s="1"/>
  <c r="CB64" i="15"/>
  <c r="BO64" i="15"/>
  <c r="FT64" i="15"/>
  <c r="CD57" i="15"/>
  <c r="CA57" i="15"/>
  <c r="AS57" i="65"/>
  <c r="M57" i="5" s="1"/>
  <c r="BQ57" i="15"/>
  <c r="BQ75" i="15"/>
  <c r="CD75" i="15"/>
  <c r="CA75" i="15"/>
  <c r="AV75" i="65" s="1"/>
  <c r="P75" i="5" s="1"/>
  <c r="AW75" i="73" s="1"/>
  <c r="AS75" i="65"/>
  <c r="M75" i="5" s="1"/>
  <c r="AS32" i="65"/>
  <c r="M32" i="5" s="1"/>
  <c r="BQ32" i="15"/>
  <c r="CD32" i="15"/>
  <c r="CA32" i="15" s="1"/>
  <c r="AV32" i="65" s="1"/>
  <c r="P32" i="5" s="1"/>
  <c r="AS60" i="65"/>
  <c r="M60" i="5" s="1"/>
  <c r="CD60" i="15"/>
  <c r="CA60" i="15"/>
  <c r="AV60" i="65" s="1"/>
  <c r="P60" i="5" s="1"/>
  <c r="AW60" i="73" s="1"/>
  <c r="BQ60" i="15"/>
  <c r="CA77" i="15"/>
  <c r="CD77" i="15"/>
  <c r="BQ77" i="15"/>
  <c r="AS77" i="65"/>
  <c r="M77" i="5" s="1"/>
  <c r="CA73" i="15"/>
  <c r="AV73" i="65" s="1"/>
  <c r="P73" i="5" s="1"/>
  <c r="CD73" i="15"/>
  <c r="AS73" i="65"/>
  <c r="M73" i="5" s="1"/>
  <c r="BQ73" i="15"/>
  <c r="CA45" i="15"/>
  <c r="AV45" i="65" s="1"/>
  <c r="P45" i="5" s="1"/>
  <c r="AW45" i="73" s="1"/>
  <c r="CD45" i="15"/>
  <c r="BQ45" i="15"/>
  <c r="AS45" i="65"/>
  <c r="M45" i="5" s="1"/>
  <c r="BQ64" i="15"/>
  <c r="AS64" i="65"/>
  <c r="M64" i="5" s="1"/>
  <c r="CD64" i="15"/>
  <c r="CA64" i="15"/>
  <c r="BO77" i="15"/>
  <c r="CB77" i="15"/>
  <c r="FT77" i="15"/>
  <c r="AQ77" i="65"/>
  <c r="K77" i="5" s="1"/>
  <c r="BV77" i="15"/>
  <c r="BY77" i="15"/>
  <c r="AT77" i="65" s="1"/>
  <c r="N77" i="5" s="1"/>
  <c r="AU77" i="73" s="1"/>
  <c r="AS76" i="65"/>
  <c r="M76" i="5" s="1"/>
  <c r="CD76" i="15"/>
  <c r="BQ76" i="15"/>
  <c r="CA76" i="15"/>
  <c r="AV76" i="65" s="1"/>
  <c r="P76" i="5" s="1"/>
  <c r="CD74" i="15"/>
  <c r="CA74" i="15"/>
  <c r="BQ74" i="15"/>
  <c r="AS74" i="65"/>
  <c r="M74" i="5" s="1"/>
  <c r="CB76" i="15"/>
  <c r="FT76" i="15"/>
  <c r="BO76" i="15"/>
  <c r="AQ76" i="65"/>
  <c r="K76" i="5" s="1"/>
  <c r="BV76" i="15"/>
  <c r="BY76" i="15"/>
  <c r="AT76" i="65" s="1"/>
  <c r="N76" i="5" s="1"/>
  <c r="AU76" i="73" s="1"/>
  <c r="BY74" i="15"/>
  <c r="BV74" i="15"/>
  <c r="FT74" i="15"/>
  <c r="BO74" i="15"/>
  <c r="CB74" i="15"/>
  <c r="AQ74" i="65"/>
  <c r="K74" i="5" s="1"/>
  <c r="CB73" i="15"/>
  <c r="AQ73" i="65"/>
  <c r="K73" i="5" s="1"/>
  <c r="BO73" i="15"/>
  <c r="BY73" i="15"/>
  <c r="AT73" i="65" s="1"/>
  <c r="N73" i="5" s="1"/>
  <c r="AU73" i="73" s="1"/>
  <c r="BV73" i="15"/>
  <c r="FT73" i="15"/>
  <c r="BL39" i="15"/>
  <c r="BL41" i="15"/>
  <c r="BL58" i="15"/>
  <c r="BL34" i="15"/>
  <c r="BN34" i="15"/>
  <c r="BL51" i="15"/>
  <c r="BN37" i="15"/>
  <c r="BL37" i="15"/>
  <c r="BN39" i="15"/>
  <c r="BN43" i="15"/>
  <c r="BL43" i="15"/>
  <c r="BN41" i="15"/>
  <c r="BN58" i="15"/>
  <c r="BN51" i="15"/>
  <c r="CS123" i="15"/>
  <c r="CT123" i="15"/>
  <c r="AW123" i="65"/>
  <c r="Q123" i="5" s="1"/>
  <c r="BA123" i="73" s="1"/>
  <c r="CV123" i="15"/>
  <c r="CW123" i="15"/>
  <c r="CR123" i="15"/>
  <c r="CU123" i="15" s="1"/>
  <c r="CF70" i="15"/>
  <c r="CE53" i="15"/>
  <c r="CE35" i="15"/>
  <c r="BT35" i="15" s="1"/>
  <c r="CF28" i="15"/>
  <c r="EW28" i="15" s="1"/>
  <c r="CT47" i="15"/>
  <c r="CR47" i="15"/>
  <c r="AW47" i="65"/>
  <c r="Q47" i="5" s="1"/>
  <c r="BA47" i="73" s="1"/>
  <c r="AW107" i="65"/>
  <c r="Q107" i="5" s="1"/>
  <c r="BA107" i="73" s="1"/>
  <c r="CR107" i="15"/>
  <c r="CU107" i="15"/>
  <c r="ER29" i="15"/>
  <c r="CE24" i="15"/>
  <c r="BT24" i="15" s="1"/>
  <c r="AU65" i="65"/>
  <c r="O65" i="5" s="1"/>
  <c r="AV65" i="73" s="1"/>
  <c r="CV107" i="15"/>
  <c r="CS107" i="15"/>
  <c r="FU45" i="15"/>
  <c r="FC46" i="15" s="1"/>
  <c r="FB46" i="15" s="1"/>
  <c r="FA46" i="15" s="1"/>
  <c r="BG46" i="65" s="1"/>
  <c r="AG46" i="5" s="1"/>
  <c r="BP45" i="15"/>
  <c r="CC45" i="15"/>
  <c r="BZ45" i="15"/>
  <c r="AU45" i="65" s="1"/>
  <c r="O45" i="5" s="1"/>
  <c r="AV45" i="73" s="1"/>
  <c r="AR45" i="65"/>
  <c r="L45" i="5" s="1"/>
  <c r="BP56" i="15"/>
  <c r="AR56" i="65"/>
  <c r="L56" i="5" s="1"/>
  <c r="FU56" i="15"/>
  <c r="BZ56" i="15"/>
  <c r="CF56" i="15" s="1"/>
  <c r="CC56" i="15"/>
  <c r="AR22" i="65"/>
  <c r="CC22" i="15"/>
  <c r="BP22" i="15"/>
  <c r="BZ22" i="15"/>
  <c r="AU22" i="65" s="1"/>
  <c r="FU22" i="15"/>
  <c r="FC22" i="15" s="1"/>
  <c r="FB22" i="15" s="1"/>
  <c r="FA22" i="15" s="1"/>
  <c r="BG22" i="65" s="1"/>
  <c r="AR76" i="65"/>
  <c r="L76" i="5" s="1"/>
  <c r="BZ76" i="15"/>
  <c r="CF76" i="15" s="1"/>
  <c r="FU76" i="15"/>
  <c r="BP76" i="15"/>
  <c r="BR76" i="15" s="1"/>
  <c r="CC76" i="15"/>
  <c r="FU73" i="15"/>
  <c r="BP73" i="15"/>
  <c r="BR73" i="15" s="1"/>
  <c r="AR73" i="65"/>
  <c r="L73" i="5" s="1"/>
  <c r="CC73" i="15"/>
  <c r="BZ73" i="15"/>
  <c r="CE73" i="15" s="1"/>
  <c r="CC32" i="15"/>
  <c r="FU32" i="15"/>
  <c r="FC33" i="15" s="1"/>
  <c r="FB33" i="15" s="1"/>
  <c r="FA33" i="15" s="1"/>
  <c r="BG33" i="65" s="1"/>
  <c r="AG33" i="5" s="1"/>
  <c r="BZ32" i="15"/>
  <c r="AU32" i="65" s="1"/>
  <c r="O32" i="5" s="1"/>
  <c r="AR32" i="65"/>
  <c r="L32" i="5" s="1"/>
  <c r="BP32" i="15"/>
  <c r="FU60" i="15"/>
  <c r="FC61" i="15" s="1"/>
  <c r="FB61" i="15" s="1"/>
  <c r="FA61" i="15" s="1"/>
  <c r="BG61" i="65" s="1"/>
  <c r="AG61" i="5" s="1"/>
  <c r="BZ60" i="15"/>
  <c r="CE60" i="15" s="1"/>
  <c r="AR60" i="65"/>
  <c r="L60" i="5" s="1"/>
  <c r="CC60" i="15"/>
  <c r="BP60" i="15"/>
  <c r="BP30" i="15"/>
  <c r="FU30" i="15"/>
  <c r="AR30" i="65"/>
  <c r="L30" i="5" s="1"/>
  <c r="CC30" i="15"/>
  <c r="BZ30" i="15" s="1"/>
  <c r="AR77" i="65"/>
  <c r="L77" i="5" s="1"/>
  <c r="CC77" i="15"/>
  <c r="FU77" i="15"/>
  <c r="FC78" i="15" s="1"/>
  <c r="FB78" i="15" s="1"/>
  <c r="FA78" i="15" s="1"/>
  <c r="BG78" i="65" s="1"/>
  <c r="AG78" i="5" s="1"/>
  <c r="BZ77" i="15"/>
  <c r="CE77" i="15" s="1"/>
  <c r="BP77" i="15"/>
  <c r="BR77" i="15" s="1"/>
  <c r="CC74" i="15"/>
  <c r="BP74" i="15"/>
  <c r="FU74" i="15"/>
  <c r="BZ74" i="15"/>
  <c r="CE74" i="15" s="1"/>
  <c r="AR74" i="65"/>
  <c r="L74" i="5" s="1"/>
  <c r="BP71" i="15"/>
  <c r="BR71" i="15" s="1"/>
  <c r="FU71" i="15"/>
  <c r="FC72" i="15" s="1"/>
  <c r="FB72" i="15" s="1"/>
  <c r="FA72" i="15" s="1"/>
  <c r="BG72" i="65" s="1"/>
  <c r="AG72" i="5" s="1"/>
  <c r="BZ71" i="15"/>
  <c r="AU71" i="65" s="1"/>
  <c r="O71" i="5" s="1"/>
  <c r="AV71" i="73" s="1"/>
  <c r="AR71" i="65"/>
  <c r="L71" i="5" s="1"/>
  <c r="CC71" i="15"/>
  <c r="BZ50" i="15"/>
  <c r="CF50" i="15" s="1"/>
  <c r="BP50" i="15"/>
  <c r="BR50" i="15" s="1"/>
  <c r="AR50" i="65"/>
  <c r="L50" i="5" s="1"/>
  <c r="FU50" i="15"/>
  <c r="FC50" i="15" s="1"/>
  <c r="FB50" i="15" s="1"/>
  <c r="FA50" i="15" s="1"/>
  <c r="BG50" i="65" s="1"/>
  <c r="AG50" i="5" s="1"/>
  <c r="CC50" i="15"/>
  <c r="FU23" i="15"/>
  <c r="AR23" i="65"/>
  <c r="BP23" i="15"/>
  <c r="CC23" i="15"/>
  <c r="BZ23" i="15" s="1"/>
  <c r="AR27" i="65"/>
  <c r="L27" i="5" s="1"/>
  <c r="FU27" i="15"/>
  <c r="BP27" i="15"/>
  <c r="CC27" i="15"/>
  <c r="BZ27" i="15" s="1"/>
  <c r="FU57" i="15"/>
  <c r="FC57" i="15" s="1"/>
  <c r="FB57" i="15" s="1"/>
  <c r="FA57" i="15" s="1"/>
  <c r="BG57" i="65" s="1"/>
  <c r="AG57" i="5" s="1"/>
  <c r="BP57" i="15"/>
  <c r="BR57" i="15" s="1"/>
  <c r="CC57" i="15"/>
  <c r="AR57" i="65"/>
  <c r="L57" i="5" s="1"/>
  <c r="BZ57" i="15"/>
  <c r="CE57" i="15" s="1"/>
  <c r="FU54" i="15"/>
  <c r="FC55" i="15" s="1"/>
  <c r="FB55" i="15" s="1"/>
  <c r="FA55" i="15" s="1"/>
  <c r="BG55" i="65" s="1"/>
  <c r="AG55" i="5" s="1"/>
  <c r="BP54" i="15"/>
  <c r="BR54" i="15" s="1"/>
  <c r="CC54" i="15"/>
  <c r="BZ54" i="15"/>
  <c r="AU54" i="65" s="1"/>
  <c r="O54" i="5" s="1"/>
  <c r="AR54" i="65"/>
  <c r="L54" i="5" s="1"/>
  <c r="AR59" i="65"/>
  <c r="L59" i="5" s="1"/>
  <c r="FU59" i="15"/>
  <c r="BP59" i="15"/>
  <c r="CC59" i="15"/>
  <c r="BZ59" i="15"/>
  <c r="CF59" i="15" s="1"/>
  <c r="FU64" i="15"/>
  <c r="FC65" i="15" s="1"/>
  <c r="FB65" i="15" s="1"/>
  <c r="FA65" i="15" s="1"/>
  <c r="BG65" i="65" s="1"/>
  <c r="AG65" i="5" s="1"/>
  <c r="BZ64" i="15"/>
  <c r="CE64" i="15" s="1"/>
  <c r="ER64" i="15" s="1"/>
  <c r="BP64" i="15"/>
  <c r="AR64" i="65"/>
  <c r="L64" i="5" s="1"/>
  <c r="CC64" i="15"/>
  <c r="AR75" i="65"/>
  <c r="L75" i="5" s="1"/>
  <c r="FU75" i="15"/>
  <c r="FC75" i="15" s="1"/>
  <c r="FB75" i="15" s="1"/>
  <c r="FA75" i="15" s="1"/>
  <c r="BG75" i="65" s="1"/>
  <c r="AG75" i="5" s="1"/>
  <c r="CC75" i="15"/>
  <c r="BZ75" i="15"/>
  <c r="AU75" i="65" s="1"/>
  <c r="O75" i="5" s="1"/>
  <c r="AV75" i="73" s="1"/>
  <c r="BP75" i="15"/>
  <c r="BR75" i="15" s="1"/>
  <c r="BM39" i="15"/>
  <c r="BM37" i="15"/>
  <c r="BM43" i="15"/>
  <c r="BM41" i="15"/>
  <c r="BM58" i="15"/>
  <c r="BM34" i="15"/>
  <c r="BM51" i="15"/>
  <c r="DC91" i="15"/>
  <c r="AY91" i="65" s="1"/>
  <c r="S91" i="5" s="1"/>
  <c r="AX91" i="65"/>
  <c r="R91" i="5" s="1"/>
  <c r="AW78" i="65"/>
  <c r="Q78" i="5" s="1"/>
  <c r="BA78" i="73" s="1"/>
  <c r="CR44" i="15"/>
  <c r="CU44" i="15" s="1"/>
  <c r="CS78" i="15"/>
  <c r="CV78" i="15" s="1"/>
  <c r="CT78" i="15"/>
  <c r="CW78" i="15" s="1"/>
  <c r="CT44" i="15"/>
  <c r="CW44" i="15" s="1"/>
  <c r="CS44" i="15"/>
  <c r="CV44" i="15" s="1"/>
  <c r="AW44" i="65"/>
  <c r="Q44" i="5" s="1"/>
  <c r="BA44" i="73" s="1"/>
  <c r="CW66" i="15"/>
  <c r="CX68" i="15"/>
  <c r="DA68" i="15" s="1"/>
  <c r="DC78" i="15"/>
  <c r="AY78" i="65" s="1"/>
  <c r="S78" i="5" s="1"/>
  <c r="CY68" i="15"/>
  <c r="CZ68" i="15"/>
  <c r="DB68" i="15" s="1"/>
  <c r="Z124" i="5"/>
  <c r="AX78" i="65"/>
  <c r="R78" i="5" s="1"/>
  <c r="DA78" i="15"/>
  <c r="EW65" i="15"/>
  <c r="ER65" i="15"/>
  <c r="BU65" i="15"/>
  <c r="BT65" i="15"/>
  <c r="EV65" i="15"/>
  <c r="CH65" i="15" s="1"/>
  <c r="BS44" i="15"/>
  <c r="CV66" i="15"/>
  <c r="CZ48" i="15"/>
  <c r="DB48" i="15" s="1"/>
  <c r="BS49" i="15"/>
  <c r="ER46" i="15"/>
  <c r="FC76" i="15"/>
  <c r="FB76" i="15" s="1"/>
  <c r="FA76" i="15" s="1"/>
  <c r="BG76" i="65" s="1"/>
  <c r="AG76" i="5" s="1"/>
  <c r="EW70" i="15"/>
  <c r="BU69" i="15"/>
  <c r="EV69" i="15"/>
  <c r="CH69" i="15" s="1"/>
  <c r="BT69" i="15"/>
  <c r="BS69" i="15" s="1"/>
  <c r="EV40" i="15"/>
  <c r="CH40" i="15" s="1"/>
  <c r="BT40" i="15"/>
  <c r="BU40" i="15"/>
  <c r="CF57" i="15"/>
  <c r="CF54" i="15"/>
  <c r="CF45" i="15"/>
  <c r="AT23" i="65"/>
  <c r="AT64" i="65"/>
  <c r="N64" i="5" s="1"/>
  <c r="AU64" i="73" s="1"/>
  <c r="EW52" i="15"/>
  <c r="EW46" i="15"/>
  <c r="EW53" i="15"/>
  <c r="AV57" i="65"/>
  <c r="P57" i="5" s="1"/>
  <c r="AT57" i="65"/>
  <c r="N57" i="5" s="1"/>
  <c r="AU57" i="73" s="1"/>
  <c r="CF71" i="15"/>
  <c r="AV54" i="65"/>
  <c r="P54" i="5" s="1"/>
  <c r="AW54" i="73" s="1"/>
  <c r="AT54" i="65"/>
  <c r="N54" i="5" s="1"/>
  <c r="AU54" i="73" s="1"/>
  <c r="AU60" i="65"/>
  <c r="O60" i="5" s="1"/>
  <c r="AV60" i="73" s="1"/>
  <c r="EW35" i="15"/>
  <c r="AV64" i="65"/>
  <c r="P64" i="5" s="1"/>
  <c r="AW64" i="73" s="1"/>
  <c r="H16" i="5"/>
  <c r="AL16" i="65"/>
  <c r="BT70" i="15"/>
  <c r="BU70" i="15"/>
  <c r="EV70" i="15"/>
  <c r="CH70" i="15" s="1"/>
  <c r="EW69" i="15"/>
  <c r="BT25" i="15"/>
  <c r="BU25" i="15"/>
  <c r="EW40" i="15"/>
  <c r="EW29" i="15"/>
  <c r="ER52" i="15"/>
  <c r="BT52" i="15"/>
  <c r="BS52" i="15" s="1"/>
  <c r="BU52" i="15"/>
  <c r="EV52" i="15"/>
  <c r="CH52" i="15" s="1"/>
  <c r="BT31" i="15"/>
  <c r="EV31" i="15"/>
  <c r="BU46" i="15"/>
  <c r="BT46" i="15"/>
  <c r="EV46" i="15"/>
  <c r="EW24" i="15"/>
  <c r="AV71" i="65"/>
  <c r="P71" i="5" s="1"/>
  <c r="AW71" i="73" s="1"/>
  <c r="CE59" i="15"/>
  <c r="CS49" i="15"/>
  <c r="AW49" i="65"/>
  <c r="Q49" i="5" s="1"/>
  <c r="BA49" i="73" s="1"/>
  <c r="CR49" i="15"/>
  <c r="CT49" i="15"/>
  <c r="AU64" i="65"/>
  <c r="O64" i="5" s="1"/>
  <c r="BR56" i="15"/>
  <c r="FC74" i="15"/>
  <c r="FB74" i="15" s="1"/>
  <c r="FA74" i="15" s="1"/>
  <c r="BG74" i="65" s="1"/>
  <c r="AG74" i="5" s="1"/>
  <c r="ER69" i="15"/>
  <c r="ER53" i="15"/>
  <c r="BR59" i="15"/>
  <c r="BS78" i="15"/>
  <c r="AV77" i="65"/>
  <c r="P77" i="5" s="1"/>
  <c r="AW77" i="73" s="1"/>
  <c r="AU74" i="65"/>
  <c r="O74" i="5" s="1"/>
  <c r="AV74" i="73" s="1"/>
  <c r="AT74" i="65"/>
  <c r="N74" i="5" s="1"/>
  <c r="AU74" i="73" s="1"/>
  <c r="AV74" i="65"/>
  <c r="P74" i="5" s="1"/>
  <c r="EV72" i="15"/>
  <c r="CH72" i="15" s="1"/>
  <c r="BT72" i="15"/>
  <c r="BS72" i="15" s="1"/>
  <c r="BU72" i="15"/>
  <c r="EW72" i="15"/>
  <c r="CY57" i="15"/>
  <c r="DA62" i="15"/>
  <c r="CZ62" i="15"/>
  <c r="DB62" i="15" s="1"/>
  <c r="CY62" i="15"/>
  <c r="Z84" i="5"/>
  <c r="Z104" i="5"/>
  <c r="Z88" i="5"/>
  <c r="Z113" i="5"/>
  <c r="AX121" i="65"/>
  <c r="R121" i="5" s="1"/>
  <c r="DC121" i="15"/>
  <c r="AY121" i="65" s="1"/>
  <c r="S121" i="5" s="1"/>
  <c r="AX107" i="65"/>
  <c r="R107" i="5" s="1"/>
  <c r="DC107" i="15"/>
  <c r="AY107" i="65" s="1"/>
  <c r="S107" i="5" s="1"/>
  <c r="AG49" i="65" l="1"/>
  <c r="AG47" i="65"/>
  <c r="AR24" i="73"/>
  <c r="AW25" i="73"/>
  <c r="AH281" i="65"/>
  <c r="AH319" i="65"/>
  <c r="AH289" i="65"/>
  <c r="AH276" i="65"/>
  <c r="EI137" i="15"/>
  <c r="EI343" i="15"/>
  <c r="EI152" i="15"/>
  <c r="EI189" i="15"/>
  <c r="EI138" i="15"/>
  <c r="EI136" i="15"/>
  <c r="AH349" i="65"/>
  <c r="CX42" i="15"/>
  <c r="BA48" i="73"/>
  <c r="BA48" i="85"/>
  <c r="BA48" i="87"/>
  <c r="BA48" i="82"/>
  <c r="BA48" i="86"/>
  <c r="BA48" i="89"/>
  <c r="BA48" i="84"/>
  <c r="BA48" i="88"/>
  <c r="BA48" i="91"/>
  <c r="BA48" i="83"/>
  <c r="BA48" i="90"/>
  <c r="AV64" i="73"/>
  <c r="AW24" i="73"/>
  <c r="AH331" i="65"/>
  <c r="AH339" i="65"/>
  <c r="EI335" i="15"/>
  <c r="EI205" i="15"/>
  <c r="EI177" i="15"/>
  <c r="EI284" i="15"/>
  <c r="EI133" i="15"/>
  <c r="EI155" i="15"/>
  <c r="EM278" i="15"/>
  <c r="AG48" i="65"/>
  <c r="CU48" i="15"/>
  <c r="CX48" i="15" s="1"/>
  <c r="DA48" i="15" s="1"/>
  <c r="AW74" i="73"/>
  <c r="AU36" i="73"/>
  <c r="AV36" i="73"/>
  <c r="AW36" i="73"/>
  <c r="AW57" i="73"/>
  <c r="AV54" i="73"/>
  <c r="AW73" i="73"/>
  <c r="AR45" i="73"/>
  <c r="AR50" i="73"/>
  <c r="AR30" i="73"/>
  <c r="AW59" i="73"/>
  <c r="AW50" i="73"/>
  <c r="AR27" i="73"/>
  <c r="AR56" i="73"/>
  <c r="AR60" i="73"/>
  <c r="EK278" i="15"/>
  <c r="AZ90" i="73"/>
  <c r="AV33" i="73"/>
  <c r="AR73" i="73"/>
  <c r="AR74" i="73"/>
  <c r="AR76" i="73"/>
  <c r="AW76" i="73"/>
  <c r="AR77" i="73"/>
  <c r="AR64" i="73"/>
  <c r="AR59" i="73"/>
  <c r="AR32" i="73"/>
  <c r="AR71" i="73"/>
  <c r="AR54" i="73"/>
  <c r="AR75" i="73"/>
  <c r="AR57" i="73"/>
  <c r="AW28" i="73"/>
  <c r="AV24" i="73"/>
  <c r="AR25" i="73"/>
  <c r="AH293" i="65"/>
  <c r="AH129" i="65"/>
  <c r="AV28" i="73"/>
  <c r="EM129" i="15"/>
  <c r="EK129" i="15"/>
  <c r="EL129" i="15"/>
  <c r="AH185" i="65"/>
  <c r="EL285" i="15"/>
  <c r="EK285" i="15"/>
  <c r="EM285" i="15"/>
  <c r="AH159" i="65"/>
  <c r="AH305" i="65"/>
  <c r="AH273" i="65"/>
  <c r="AH235" i="65"/>
  <c r="EI197" i="15"/>
  <c r="EI323" i="15"/>
  <c r="EI291" i="15"/>
  <c r="EI277" i="15"/>
  <c r="EI173" i="15"/>
  <c r="EI170" i="15"/>
  <c r="EI145" i="15"/>
  <c r="EI301" i="15"/>
  <c r="EI309" i="15"/>
  <c r="EI303" i="15"/>
  <c r="AH141" i="65"/>
  <c r="AH103" i="65"/>
  <c r="AH203" i="65"/>
  <c r="EI233" i="15"/>
  <c r="EI195" i="15"/>
  <c r="EI287" i="15"/>
  <c r="EI172" i="15"/>
  <c r="EI171" i="15"/>
  <c r="EI179" i="15"/>
  <c r="EI307" i="15"/>
  <c r="EI292" i="15"/>
  <c r="EI283" i="15"/>
  <c r="EI320" i="15"/>
  <c r="EI131" i="15"/>
  <c r="EI149" i="15"/>
  <c r="EI166" i="15"/>
  <c r="EI156" i="15"/>
  <c r="AH304" i="65"/>
  <c r="EI288" i="15"/>
  <c r="EI151" i="15"/>
  <c r="EI297" i="15"/>
  <c r="EI279" i="15"/>
  <c r="EI311" i="15"/>
  <c r="EI295" i="15"/>
  <c r="EI161" i="15"/>
  <c r="EI165" i="15"/>
  <c r="EI247" i="15"/>
  <c r="EI337" i="15"/>
  <c r="EI140" i="15"/>
  <c r="EI147" i="15"/>
  <c r="EI154" i="15"/>
  <c r="CU109" i="15"/>
  <c r="CX109" i="15" s="1"/>
  <c r="AG109" i="65"/>
  <c r="CU125" i="15"/>
  <c r="AG125" i="65"/>
  <c r="EK239" i="15"/>
  <c r="EM239" i="15"/>
  <c r="EL239" i="15"/>
  <c r="AH290" i="65"/>
  <c r="AH296" i="65"/>
  <c r="AH158" i="65"/>
  <c r="AH142" i="65"/>
  <c r="AH267" i="65"/>
  <c r="AH333" i="65"/>
  <c r="AH223" i="65"/>
  <c r="AH347" i="65"/>
  <c r="AH271" i="65"/>
  <c r="AH275" i="65"/>
  <c r="AH315" i="65"/>
  <c r="AH341" i="65"/>
  <c r="AH327" i="65"/>
  <c r="AH231" i="65"/>
  <c r="AH255" i="65"/>
  <c r="AH329" i="65"/>
  <c r="AH112" i="65"/>
  <c r="AH272" i="65"/>
  <c r="AH280" i="65"/>
  <c r="AH285" i="65"/>
  <c r="AH239" i="65"/>
  <c r="CU78" i="15"/>
  <c r="AG78" i="65"/>
  <c r="CU61" i="15"/>
  <c r="AG61" i="65"/>
  <c r="AG44" i="65"/>
  <c r="AG123" i="65"/>
  <c r="AG107" i="65"/>
  <c r="AH278" i="65"/>
  <c r="AH286" i="65"/>
  <c r="AH300" i="65"/>
  <c r="AH282" i="65"/>
  <c r="AH274" i="65"/>
  <c r="AH312" i="65"/>
  <c r="AH298" i="65"/>
  <c r="AH102" i="65"/>
  <c r="AH325" i="65"/>
  <c r="AH227" i="65"/>
  <c r="AH217" i="65"/>
  <c r="AH209" i="65"/>
  <c r="AH317" i="65"/>
  <c r="AH299" i="65"/>
  <c r="DQ250" i="15"/>
  <c r="AA250" i="5" s="1"/>
  <c r="AB250" i="5" s="1"/>
  <c r="DQ336" i="15"/>
  <c r="AA336" i="5" s="1"/>
  <c r="AB336" i="5" s="1"/>
  <c r="DQ302" i="15"/>
  <c r="AA302" i="5" s="1"/>
  <c r="AB302" i="5" s="1"/>
  <c r="DQ194" i="15"/>
  <c r="AA194" i="5" s="1"/>
  <c r="AB194" i="5" s="1"/>
  <c r="DQ294" i="15"/>
  <c r="AA294" i="5" s="1"/>
  <c r="AB294" i="5" s="1"/>
  <c r="DQ196" i="15"/>
  <c r="AA196" i="5" s="1"/>
  <c r="AB196" i="5" s="1"/>
  <c r="DQ176" i="15"/>
  <c r="AA176" i="5" s="1"/>
  <c r="AB176" i="5" s="1"/>
  <c r="DQ254" i="15"/>
  <c r="AA254" i="5" s="1"/>
  <c r="AB254" i="5" s="1"/>
  <c r="DQ210" i="15"/>
  <c r="AA210" i="5" s="1"/>
  <c r="AB210" i="5" s="1"/>
  <c r="DQ153" i="15"/>
  <c r="AA153" i="5" s="1"/>
  <c r="AB153" i="5" s="1"/>
  <c r="DQ261" i="15"/>
  <c r="AA261" i="5" s="1"/>
  <c r="AB261" i="5" s="1"/>
  <c r="DQ251" i="15"/>
  <c r="AA251" i="5" s="1"/>
  <c r="AB251" i="5" s="1"/>
  <c r="DQ253" i="15"/>
  <c r="AA253" i="5" s="1"/>
  <c r="AB253" i="5" s="1"/>
  <c r="DQ238" i="15"/>
  <c r="AA238" i="5" s="1"/>
  <c r="AB238" i="5" s="1"/>
  <c r="DQ186" i="15"/>
  <c r="AA186" i="5" s="1"/>
  <c r="AB186" i="5" s="1"/>
  <c r="DQ130" i="15"/>
  <c r="AA130" i="5" s="1"/>
  <c r="AB130" i="5" s="1"/>
  <c r="DQ190" i="15"/>
  <c r="AA190" i="5" s="1"/>
  <c r="AB190" i="5" s="1"/>
  <c r="DQ224" i="15"/>
  <c r="AA224" i="5" s="1"/>
  <c r="AB224" i="5" s="1"/>
  <c r="DQ308" i="15"/>
  <c r="AA308" i="5" s="1"/>
  <c r="AB308" i="5" s="1"/>
  <c r="DQ324" i="15"/>
  <c r="AA324" i="5" s="1"/>
  <c r="AB324" i="5" s="1"/>
  <c r="DQ128" i="15"/>
  <c r="AA128" i="5" s="1"/>
  <c r="AB128" i="5" s="1"/>
  <c r="DQ184" i="15"/>
  <c r="AA184" i="5" s="1"/>
  <c r="AB184" i="5" s="1"/>
  <c r="DQ188" i="15"/>
  <c r="AA188" i="5" s="1"/>
  <c r="AB188" i="5" s="1"/>
  <c r="DQ162" i="15"/>
  <c r="AA162" i="5" s="1"/>
  <c r="AB162" i="5" s="1"/>
  <c r="DQ192" i="15"/>
  <c r="AA192" i="5" s="1"/>
  <c r="AB192" i="5" s="1"/>
  <c r="DQ143" i="15"/>
  <c r="AA143" i="5" s="1"/>
  <c r="AB143" i="5" s="1"/>
  <c r="DQ150" i="15"/>
  <c r="AA150" i="5" s="1"/>
  <c r="AB150" i="5" s="1"/>
  <c r="DQ191" i="15"/>
  <c r="AA191" i="5" s="1"/>
  <c r="AB191" i="5" s="1"/>
  <c r="DQ313" i="15"/>
  <c r="AA313" i="5" s="1"/>
  <c r="AB313" i="5" s="1"/>
  <c r="DQ229" i="15"/>
  <c r="AA229" i="5" s="1"/>
  <c r="AB229" i="5" s="1"/>
  <c r="DQ249" i="15"/>
  <c r="AA249" i="5" s="1"/>
  <c r="AB249" i="5" s="1"/>
  <c r="DQ213" i="15"/>
  <c r="AA213" i="5" s="1"/>
  <c r="AB213" i="5" s="1"/>
  <c r="DQ135" i="15"/>
  <c r="AA135" i="5" s="1"/>
  <c r="AB135" i="5" s="1"/>
  <c r="DQ134" i="15"/>
  <c r="AA134" i="5" s="1"/>
  <c r="AB134" i="5" s="1"/>
  <c r="DQ212" i="15"/>
  <c r="AA212" i="5" s="1"/>
  <c r="AB212" i="5" s="1"/>
  <c r="DQ198" i="15"/>
  <c r="AA198" i="5" s="1"/>
  <c r="AB198" i="5" s="1"/>
  <c r="DQ314" i="15"/>
  <c r="AA314" i="5" s="1"/>
  <c r="AB314" i="5" s="1"/>
  <c r="DQ146" i="15"/>
  <c r="AA146" i="5" s="1"/>
  <c r="AB146" i="5" s="1"/>
  <c r="DQ144" i="15"/>
  <c r="AA144" i="5" s="1"/>
  <c r="AB144" i="5" s="1"/>
  <c r="DQ202" i="15"/>
  <c r="AA202" i="5" s="1"/>
  <c r="AB202" i="5" s="1"/>
  <c r="DQ230" i="15"/>
  <c r="AA230" i="5" s="1"/>
  <c r="AB230" i="5" s="1"/>
  <c r="DQ216" i="15"/>
  <c r="AA216" i="5" s="1"/>
  <c r="AB216" i="5" s="1"/>
  <c r="DQ348" i="15"/>
  <c r="AA348" i="5" s="1"/>
  <c r="AB348" i="5" s="1"/>
  <c r="DQ222" i="15"/>
  <c r="AA222" i="5" s="1"/>
  <c r="AB222" i="5" s="1"/>
  <c r="DQ340" i="15"/>
  <c r="AA340" i="5" s="1"/>
  <c r="AB340" i="5" s="1"/>
  <c r="DQ316" i="15"/>
  <c r="AA316" i="5" s="1"/>
  <c r="AB316" i="5" s="1"/>
  <c r="DQ174" i="15"/>
  <c r="AA174" i="5" s="1"/>
  <c r="AB174" i="5" s="1"/>
  <c r="DQ246" i="15"/>
  <c r="AA246" i="5" s="1"/>
  <c r="AB246" i="5" s="1"/>
  <c r="DQ228" i="15"/>
  <c r="AA228" i="5" s="1"/>
  <c r="AB228" i="5" s="1"/>
  <c r="DQ306" i="15"/>
  <c r="AA306" i="5" s="1"/>
  <c r="AB306" i="5" s="1"/>
  <c r="DQ82" i="15"/>
  <c r="AA82" i="5" s="1"/>
  <c r="AB82" i="5" s="1"/>
  <c r="DQ268" i="15"/>
  <c r="AA268" i="5" s="1"/>
  <c r="AB268" i="5" s="1"/>
  <c r="DQ148" i="15"/>
  <c r="AA148" i="5" s="1"/>
  <c r="AB148" i="5" s="1"/>
  <c r="DQ160" i="15"/>
  <c r="AA160" i="5" s="1"/>
  <c r="AB160" i="5" s="1"/>
  <c r="DQ342" i="15"/>
  <c r="AA342" i="5" s="1"/>
  <c r="AB342" i="5" s="1"/>
  <c r="DQ218" i="15"/>
  <c r="AA218" i="5" s="1"/>
  <c r="AB218" i="5" s="1"/>
  <c r="DQ208" i="15"/>
  <c r="AA208" i="5" s="1"/>
  <c r="AB208" i="5" s="1"/>
  <c r="DQ132" i="15"/>
  <c r="AA132" i="5" s="1"/>
  <c r="AB132" i="5" s="1"/>
  <c r="DQ232" i="15"/>
  <c r="AA232" i="5" s="1"/>
  <c r="AB232" i="5" s="1"/>
  <c r="DQ81" i="15"/>
  <c r="AA81" i="5" s="1"/>
  <c r="AB81" i="5" s="1"/>
  <c r="DQ237" i="15"/>
  <c r="AA237" i="5" s="1"/>
  <c r="AB237" i="5" s="1"/>
  <c r="DQ269" i="15"/>
  <c r="AA269" i="5" s="1"/>
  <c r="AB269" i="5" s="1"/>
  <c r="DQ241" i="15"/>
  <c r="AA241" i="5" s="1"/>
  <c r="AB241" i="5" s="1"/>
  <c r="DQ243" i="15"/>
  <c r="AA243" i="5" s="1"/>
  <c r="AB243" i="5" s="1"/>
  <c r="DQ83" i="15"/>
  <c r="AA83" i="5" s="1"/>
  <c r="AB83" i="5" s="1"/>
  <c r="DQ167" i="15"/>
  <c r="AA167" i="5" s="1"/>
  <c r="AB167" i="5" s="1"/>
  <c r="DQ175" i="15"/>
  <c r="AA175" i="5" s="1"/>
  <c r="AB175" i="5" s="1"/>
  <c r="DQ183" i="15"/>
  <c r="AA183" i="5" s="1"/>
  <c r="AB183" i="5" s="1"/>
  <c r="DQ221" i="15"/>
  <c r="AA221" i="5" s="1"/>
  <c r="AB221" i="5" s="1"/>
  <c r="DQ163" i="15"/>
  <c r="AA163" i="5" s="1"/>
  <c r="AB163" i="5" s="1"/>
  <c r="DQ225" i="15"/>
  <c r="AA225" i="5" s="1"/>
  <c r="AB225" i="5" s="1"/>
  <c r="DQ214" i="15"/>
  <c r="AA214" i="5" s="1"/>
  <c r="AB214" i="5" s="1"/>
  <c r="DQ200" i="15"/>
  <c r="AA200" i="5" s="1"/>
  <c r="AB200" i="5" s="1"/>
  <c r="DQ346" i="15"/>
  <c r="AA346" i="5" s="1"/>
  <c r="AB346" i="5" s="1"/>
  <c r="DQ220" i="15"/>
  <c r="AA220" i="5" s="1"/>
  <c r="AB220" i="5" s="1"/>
  <c r="DQ270" i="15"/>
  <c r="AA270" i="5" s="1"/>
  <c r="AB270" i="5" s="1"/>
  <c r="DQ234" i="15"/>
  <c r="AA234" i="5" s="1"/>
  <c r="AB234" i="5" s="1"/>
  <c r="DQ206" i="15"/>
  <c r="AA206" i="5" s="1"/>
  <c r="AB206" i="5" s="1"/>
  <c r="DQ256" i="15"/>
  <c r="AA256" i="5" s="1"/>
  <c r="AB256" i="5" s="1"/>
  <c r="DQ87" i="15"/>
  <c r="AA87" i="5" s="1"/>
  <c r="AB87" i="5" s="1"/>
  <c r="DQ219" i="15"/>
  <c r="AA219" i="5" s="1"/>
  <c r="AB219" i="5" s="1"/>
  <c r="DQ193" i="15"/>
  <c r="AA193" i="5" s="1"/>
  <c r="AB193" i="5" s="1"/>
  <c r="DQ344" i="15"/>
  <c r="AA344" i="5" s="1"/>
  <c r="AB344" i="5" s="1"/>
  <c r="DQ262" i="15"/>
  <c r="AA262" i="5" s="1"/>
  <c r="AB262" i="5" s="1"/>
  <c r="DQ182" i="15"/>
  <c r="AA182" i="5" s="1"/>
  <c r="AB182" i="5" s="1"/>
  <c r="DQ204" i="15"/>
  <c r="AA204" i="5" s="1"/>
  <c r="AB204" i="5" s="1"/>
  <c r="DQ260" i="15"/>
  <c r="AA260" i="5" s="1"/>
  <c r="AB260" i="5" s="1"/>
  <c r="DQ338" i="15"/>
  <c r="AA338" i="5" s="1"/>
  <c r="AB338" i="5" s="1"/>
  <c r="DQ322" i="15"/>
  <c r="AA322" i="5" s="1"/>
  <c r="AB322" i="5" s="1"/>
  <c r="DQ326" i="15"/>
  <c r="AA326" i="5" s="1"/>
  <c r="AB326" i="5" s="1"/>
  <c r="DQ215" i="15"/>
  <c r="AA215" i="5" s="1"/>
  <c r="AB215" i="5" s="1"/>
  <c r="DQ187" i="15"/>
  <c r="AA187" i="5" s="1"/>
  <c r="AB187" i="5" s="1"/>
  <c r="DQ345" i="15"/>
  <c r="AA345" i="5" s="1"/>
  <c r="AB345" i="5" s="1"/>
  <c r="DQ258" i="15"/>
  <c r="AA258" i="5" s="1"/>
  <c r="AB258" i="5" s="1"/>
  <c r="DQ334" i="15"/>
  <c r="AA334" i="5" s="1"/>
  <c r="AB334" i="5" s="1"/>
  <c r="DQ330" i="15"/>
  <c r="AA330" i="5" s="1"/>
  <c r="AB330" i="5" s="1"/>
  <c r="DQ332" i="15"/>
  <c r="AA332" i="5" s="1"/>
  <c r="AB332" i="5" s="1"/>
  <c r="DQ226" i="15"/>
  <c r="AA226" i="5" s="1"/>
  <c r="AB226" i="5" s="1"/>
  <c r="DQ328" i="15"/>
  <c r="AA328" i="5" s="1"/>
  <c r="AB328" i="5" s="1"/>
  <c r="DQ266" i="15"/>
  <c r="AA266" i="5" s="1"/>
  <c r="AB266" i="5" s="1"/>
  <c r="DQ240" i="15"/>
  <c r="AA240" i="5" s="1"/>
  <c r="AB240" i="5" s="1"/>
  <c r="DQ242" i="15"/>
  <c r="AA242" i="5" s="1"/>
  <c r="AB242" i="5" s="1"/>
  <c r="DQ168" i="15"/>
  <c r="AA168" i="5" s="1"/>
  <c r="AB168" i="5" s="1"/>
  <c r="DQ264" i="15"/>
  <c r="AA264" i="5" s="1"/>
  <c r="AB264" i="5" s="1"/>
  <c r="DQ259" i="15"/>
  <c r="AA259" i="5" s="1"/>
  <c r="AB259" i="5" s="1"/>
  <c r="DQ169" i="15"/>
  <c r="AA169" i="5" s="1"/>
  <c r="AB169" i="5" s="1"/>
  <c r="DQ263" i="15"/>
  <c r="AA263" i="5" s="1"/>
  <c r="AB263" i="5" s="1"/>
  <c r="DQ248" i="15"/>
  <c r="AA248" i="5" s="1"/>
  <c r="AB248" i="5" s="1"/>
  <c r="DQ310" i="15"/>
  <c r="AA310" i="5" s="1"/>
  <c r="AB310" i="5" s="1"/>
  <c r="DQ244" i="15"/>
  <c r="AA244" i="5" s="1"/>
  <c r="AB244" i="5" s="1"/>
  <c r="DQ178" i="15"/>
  <c r="AA178" i="5" s="1"/>
  <c r="AB178" i="5" s="1"/>
  <c r="DQ318" i="15"/>
  <c r="AA318" i="5" s="1"/>
  <c r="AB318" i="5" s="1"/>
  <c r="DQ252" i="15"/>
  <c r="AA252" i="5" s="1"/>
  <c r="AB252" i="5" s="1"/>
  <c r="DQ236" i="15"/>
  <c r="AA236" i="5" s="1"/>
  <c r="AB236" i="5" s="1"/>
  <c r="DQ180" i="15"/>
  <c r="AA180" i="5" s="1"/>
  <c r="AB180" i="5" s="1"/>
  <c r="DQ211" i="15"/>
  <c r="AA211" i="5" s="1"/>
  <c r="AB211" i="5" s="1"/>
  <c r="DQ164" i="15"/>
  <c r="AA164" i="5" s="1"/>
  <c r="AB164" i="5" s="1"/>
  <c r="DQ321" i="15"/>
  <c r="AA321" i="5" s="1"/>
  <c r="AB321" i="5" s="1"/>
  <c r="DQ245" i="15"/>
  <c r="AA245" i="5" s="1"/>
  <c r="AB245" i="5" s="1"/>
  <c r="DQ257" i="15"/>
  <c r="AA257" i="5" s="1"/>
  <c r="AB257" i="5" s="1"/>
  <c r="DQ207" i="15"/>
  <c r="AA207" i="5" s="1"/>
  <c r="AB207" i="5" s="1"/>
  <c r="DQ199" i="15"/>
  <c r="AA199" i="5" s="1"/>
  <c r="AB199" i="5" s="1"/>
  <c r="DQ265" i="15"/>
  <c r="AA265" i="5" s="1"/>
  <c r="AB265" i="5" s="1"/>
  <c r="DQ157" i="15"/>
  <c r="AA157" i="5" s="1"/>
  <c r="AB157" i="5" s="1"/>
  <c r="CZ38" i="15"/>
  <c r="DB38" i="15" s="1"/>
  <c r="AX38" i="65" s="1"/>
  <c r="R38" i="5" s="1"/>
  <c r="CY48" i="15"/>
  <c r="DA38" i="15"/>
  <c r="CW47" i="15"/>
  <c r="CU47" i="15"/>
  <c r="CV47" i="15"/>
  <c r="CY42" i="15"/>
  <c r="CZ42" i="15"/>
  <c r="DB42" i="15" s="1"/>
  <c r="DA42" i="15"/>
  <c r="BR22" i="15"/>
  <c r="FC27" i="15"/>
  <c r="FB27" i="15" s="1"/>
  <c r="FA27" i="15" s="1"/>
  <c r="BG27" i="65" s="1"/>
  <c r="AG27" i="5" s="1"/>
  <c r="BA125" i="83"/>
  <c r="BA125" i="86"/>
  <c r="BA125" i="87"/>
  <c r="BA125" i="88"/>
  <c r="BA125" i="91"/>
  <c r="BA125" i="82"/>
  <c r="BA125" i="84"/>
  <c r="BA125" i="85"/>
  <c r="BA125" i="89"/>
  <c r="BA125" i="90"/>
  <c r="CX125" i="15"/>
  <c r="CY125" i="15" s="1"/>
  <c r="AV24" i="83"/>
  <c r="AR25" i="84"/>
  <c r="AR24" i="82"/>
  <c r="BU31" i="15"/>
  <c r="EV25" i="15"/>
  <c r="CH25" i="15" s="1"/>
  <c r="BR27" i="15"/>
  <c r="BR23" i="15"/>
  <c r="BR30" i="15"/>
  <c r="AU24" i="91"/>
  <c r="AV24" i="91"/>
  <c r="AR25" i="87"/>
  <c r="AR25" i="88"/>
  <c r="AR25" i="85"/>
  <c r="AR24" i="90"/>
  <c r="AR24" i="89"/>
  <c r="AR24" i="85"/>
  <c r="AR24" i="84"/>
  <c r="AU24" i="87"/>
  <c r="AU24" i="88"/>
  <c r="AU24" i="85"/>
  <c r="AU24" i="84"/>
  <c r="AW24" i="89"/>
  <c r="AW24" i="90"/>
  <c r="AW24" i="86"/>
  <c r="AW24" i="83"/>
  <c r="AW24" i="82"/>
  <c r="AV24" i="88"/>
  <c r="AV24" i="87"/>
  <c r="AV24" i="86"/>
  <c r="BS70" i="15"/>
  <c r="BS40" i="15"/>
  <c r="AY90" i="91"/>
  <c r="AY90" i="89"/>
  <c r="AY90" i="85"/>
  <c r="AY90" i="86"/>
  <c r="CK40" i="15"/>
  <c r="CT40" i="15"/>
  <c r="AW40" i="65"/>
  <c r="Q40" i="5" s="1"/>
  <c r="BA40" i="73" s="1"/>
  <c r="CJ40" i="15"/>
  <c r="CS40" i="15" s="1"/>
  <c r="CI40" i="15"/>
  <c r="DY329" i="15"/>
  <c r="EC329" i="15"/>
  <c r="EG329" i="15" s="1"/>
  <c r="DL329" i="15" s="1"/>
  <c r="ED329" i="15"/>
  <c r="DZ329" i="15"/>
  <c r="EB329" i="15" s="1"/>
  <c r="DY293" i="15"/>
  <c r="EC293" i="15"/>
  <c r="EG293" i="15" s="1"/>
  <c r="DL293" i="15" s="1"/>
  <c r="DY129" i="15"/>
  <c r="EC129" i="15"/>
  <c r="EG129" i="15" s="1"/>
  <c r="DL129" i="15" s="1"/>
  <c r="EA112" i="15"/>
  <c r="EE112" i="15"/>
  <c r="EH112" i="15" s="1"/>
  <c r="EE272" i="15"/>
  <c r="EH272" i="15" s="1"/>
  <c r="EA272" i="15"/>
  <c r="DZ280" i="15"/>
  <c r="EB280" i="15" s="1"/>
  <c r="ED280" i="15"/>
  <c r="EE299" i="15"/>
  <c r="EH299" i="15" s="1"/>
  <c r="EA299" i="15"/>
  <c r="ED299" i="15"/>
  <c r="DZ299" i="15"/>
  <c r="EB299" i="15" s="1"/>
  <c r="EC349" i="15"/>
  <c r="EG349" i="15" s="1"/>
  <c r="DL349" i="15" s="1"/>
  <c r="W349" i="5" s="1"/>
  <c r="DY349" i="15"/>
  <c r="EE349" i="15"/>
  <c r="EH349" i="15" s="1"/>
  <c r="EA349" i="15"/>
  <c r="DZ285" i="15"/>
  <c r="EB285" i="15" s="1"/>
  <c r="ED285" i="15"/>
  <c r="EC285" i="15"/>
  <c r="EG285" i="15" s="1"/>
  <c r="DL285" i="15" s="1"/>
  <c r="W285" i="5" s="1"/>
  <c r="DY285" i="15"/>
  <c r="EC239" i="15"/>
  <c r="EG239" i="15" s="1"/>
  <c r="DL239" i="15" s="1"/>
  <c r="W239" i="5" s="1"/>
  <c r="DY239" i="15"/>
  <c r="DZ159" i="15"/>
  <c r="EB159" i="15" s="1"/>
  <c r="ED159" i="15"/>
  <c r="EA159" i="15"/>
  <c r="EE159" i="15"/>
  <c r="EH159" i="15" s="1"/>
  <c r="AY90" i="88"/>
  <c r="AY90" i="84"/>
  <c r="AY90" i="90"/>
  <c r="AY90" i="83"/>
  <c r="EA329" i="15"/>
  <c r="EE329" i="15"/>
  <c r="EH329" i="15" s="1"/>
  <c r="DZ293" i="15"/>
  <c r="EB293" i="15" s="1"/>
  <c r="ED293" i="15"/>
  <c r="EA293" i="15"/>
  <c r="EE293" i="15"/>
  <c r="EH293" i="15" s="1"/>
  <c r="DZ129" i="15"/>
  <c r="EB129" i="15" s="1"/>
  <c r="ED129" i="15"/>
  <c r="EA129" i="15"/>
  <c r="EE129" i="15"/>
  <c r="EH129" i="15" s="1"/>
  <c r="EC112" i="15"/>
  <c r="EG112" i="15" s="1"/>
  <c r="DL112" i="15" s="1"/>
  <c r="DY112" i="15"/>
  <c r="ED112" i="15"/>
  <c r="DZ112" i="15"/>
  <c r="EB112" i="15" s="1"/>
  <c r="DY272" i="15"/>
  <c r="EC272" i="15"/>
  <c r="EG272" i="15" s="1"/>
  <c r="DL272" i="15" s="1"/>
  <c r="ED272" i="15"/>
  <c r="DZ272" i="15"/>
  <c r="EB272" i="15" s="1"/>
  <c r="EC280" i="15"/>
  <c r="EG280" i="15" s="1"/>
  <c r="DL280" i="15" s="1"/>
  <c r="DY280" i="15"/>
  <c r="EE280" i="15"/>
  <c r="EH280" i="15" s="1"/>
  <c r="EA280" i="15"/>
  <c r="EC299" i="15"/>
  <c r="EG299" i="15" s="1"/>
  <c r="DL299" i="15" s="1"/>
  <c r="DY299" i="15"/>
  <c r="DZ349" i="15"/>
  <c r="EB349" i="15" s="1"/>
  <c r="ED349" i="15"/>
  <c r="EA285" i="15"/>
  <c r="EE285" i="15"/>
  <c r="EH285" i="15" s="1"/>
  <c r="ED239" i="15"/>
  <c r="DZ239" i="15"/>
  <c r="EB239" i="15" s="1"/>
  <c r="EA239" i="15"/>
  <c r="EE239" i="15"/>
  <c r="EH239" i="15" s="1"/>
  <c r="EC159" i="15"/>
  <c r="EG159" i="15" s="1"/>
  <c r="DL159" i="15" s="1"/>
  <c r="DY159" i="15"/>
  <c r="CX66" i="15"/>
  <c r="CZ66" i="15" s="1"/>
  <c r="DB66" i="15" s="1"/>
  <c r="CX107" i="15"/>
  <c r="DN330" i="15"/>
  <c r="DM330" i="15"/>
  <c r="DN226" i="15"/>
  <c r="EI226" i="15" s="1"/>
  <c r="DM226" i="15"/>
  <c r="DN266" i="15"/>
  <c r="DM266" i="15"/>
  <c r="DN336" i="15"/>
  <c r="EI336" i="15" s="1"/>
  <c r="DM336" i="15"/>
  <c r="DN176" i="15"/>
  <c r="DM176" i="15"/>
  <c r="DN82" i="15"/>
  <c r="EI82" i="15" s="1"/>
  <c r="DM82" i="15"/>
  <c r="DN264" i="15"/>
  <c r="DM264" i="15"/>
  <c r="DN210" i="15"/>
  <c r="EI210" i="15" s="1"/>
  <c r="DM210" i="15"/>
  <c r="DN263" i="15"/>
  <c r="DM263" i="15"/>
  <c r="DN182" i="15"/>
  <c r="EI182" i="15" s="1"/>
  <c r="DM182" i="15"/>
  <c r="DN132" i="15"/>
  <c r="DM132" i="15"/>
  <c r="DN252" i="15"/>
  <c r="EI252" i="15" s="1"/>
  <c r="DM252" i="15"/>
  <c r="DN180" i="15"/>
  <c r="DM180" i="15"/>
  <c r="DN143" i="15"/>
  <c r="EI143" i="15" s="1"/>
  <c r="DM143" i="15"/>
  <c r="DN150" i="15"/>
  <c r="DM150" i="15"/>
  <c r="DN313" i="15"/>
  <c r="EI313" i="15" s="1"/>
  <c r="DM313" i="15"/>
  <c r="DN229" i="15"/>
  <c r="DM229" i="15"/>
  <c r="DN258" i="15"/>
  <c r="EI258" i="15" s="1"/>
  <c r="DM258" i="15"/>
  <c r="DN212" i="15"/>
  <c r="DM212" i="15"/>
  <c r="DN332" i="15"/>
  <c r="EI332" i="15" s="1"/>
  <c r="DM332" i="15"/>
  <c r="DN146" i="15"/>
  <c r="DM146" i="15"/>
  <c r="DN250" i="15"/>
  <c r="EI250" i="15" s="1"/>
  <c r="DM250" i="15"/>
  <c r="DN144" i="15"/>
  <c r="DM144" i="15"/>
  <c r="DN270" i="15"/>
  <c r="EI270" i="15" s="1"/>
  <c r="DM270" i="15"/>
  <c r="DN242" i="15"/>
  <c r="DM242" i="15"/>
  <c r="DN222" i="15"/>
  <c r="EI222" i="15" s="1"/>
  <c r="DM222" i="15"/>
  <c r="DN228" i="15"/>
  <c r="DM228" i="15"/>
  <c r="DN196" i="15"/>
  <c r="EI196" i="15" s="1"/>
  <c r="DM196" i="15"/>
  <c r="DN168" i="15"/>
  <c r="DM168" i="15"/>
  <c r="DN87" i="15"/>
  <c r="EI87" i="15" s="1"/>
  <c r="DM87" i="15"/>
  <c r="DN169" i="15"/>
  <c r="DM169" i="15"/>
  <c r="DN253" i="15"/>
  <c r="EI253" i="15" s="1"/>
  <c r="DM253" i="15"/>
  <c r="DN148" i="15"/>
  <c r="DM148" i="15"/>
  <c r="DN238" i="15"/>
  <c r="EI238" i="15" s="1"/>
  <c r="DM238" i="15"/>
  <c r="DN310" i="15"/>
  <c r="DM310" i="15"/>
  <c r="DN130" i="15"/>
  <c r="EI130" i="15" s="1"/>
  <c r="DM130" i="15"/>
  <c r="DN262" i="15"/>
  <c r="DM262" i="15"/>
  <c r="DN224" i="15"/>
  <c r="EI224" i="15" s="1"/>
  <c r="DM224" i="15"/>
  <c r="DN308" i="15"/>
  <c r="DM308" i="15"/>
  <c r="DN324" i="15"/>
  <c r="EI324" i="15" s="1"/>
  <c r="DM324" i="15"/>
  <c r="DN218" i="15"/>
  <c r="DM218" i="15"/>
  <c r="DN208" i="15"/>
  <c r="EI208" i="15" s="1"/>
  <c r="DM208" i="15"/>
  <c r="DN204" i="15"/>
  <c r="DM204" i="15"/>
  <c r="DN338" i="15"/>
  <c r="EI338" i="15" s="1"/>
  <c r="DM338" i="15"/>
  <c r="DN322" i="15"/>
  <c r="DM322" i="15"/>
  <c r="DN232" i="15"/>
  <c r="EI232" i="15" s="1"/>
  <c r="DM232" i="15"/>
  <c r="DN211" i="15"/>
  <c r="DM211" i="15"/>
  <c r="DN164" i="15"/>
  <c r="EI164" i="15" s="1"/>
  <c r="DM164" i="15"/>
  <c r="DN187" i="15"/>
  <c r="DM187" i="15"/>
  <c r="DN269" i="15"/>
  <c r="EI269" i="15" s="1"/>
  <c r="DM269" i="15"/>
  <c r="DN345" i="15"/>
  <c r="DM345" i="15"/>
  <c r="DN257" i="15"/>
  <c r="EI257" i="15" s="1"/>
  <c r="DM257" i="15"/>
  <c r="DN199" i="15"/>
  <c r="DM199" i="15"/>
  <c r="DN163" i="15"/>
  <c r="EI163" i="15" s="1"/>
  <c r="DM163" i="15"/>
  <c r="DN243" i="15"/>
  <c r="DM243" i="15"/>
  <c r="DN83" i="15"/>
  <c r="EI83" i="15" s="1"/>
  <c r="DM83" i="15"/>
  <c r="DN207" i="15"/>
  <c r="DM207" i="15"/>
  <c r="DN167" i="15"/>
  <c r="EI167" i="15" s="1"/>
  <c r="DM167" i="15"/>
  <c r="DN175" i="15"/>
  <c r="EI175" i="15" s="1"/>
  <c r="DM175" i="15"/>
  <c r="DN225" i="15"/>
  <c r="EI225" i="15" s="1"/>
  <c r="DM225" i="15"/>
  <c r="DN265" i="15"/>
  <c r="X265" i="5" s="1"/>
  <c r="Y265" i="5" s="1"/>
  <c r="DM265" i="15"/>
  <c r="CX78" i="15"/>
  <c r="CY78" i="15" s="1"/>
  <c r="DN134" i="15"/>
  <c r="DM134" i="15"/>
  <c r="DN198" i="15"/>
  <c r="DM198" i="15"/>
  <c r="DN346" i="15"/>
  <c r="DM346" i="15"/>
  <c r="DN334" i="15"/>
  <c r="DM334" i="15"/>
  <c r="DN314" i="15"/>
  <c r="DM314" i="15"/>
  <c r="DN328" i="15"/>
  <c r="DM328" i="15"/>
  <c r="DN302" i="15"/>
  <c r="DM302" i="15"/>
  <c r="DN234" i="15"/>
  <c r="DM234" i="15"/>
  <c r="DN202" i="15"/>
  <c r="DM202" i="15"/>
  <c r="DN240" i="15"/>
  <c r="DM240" i="15"/>
  <c r="DN216" i="15"/>
  <c r="DM216" i="15"/>
  <c r="DN254" i="15"/>
  <c r="DM254" i="15"/>
  <c r="DN268" i="15"/>
  <c r="DM268" i="15"/>
  <c r="DN153" i="15"/>
  <c r="DM153" i="15"/>
  <c r="DN344" i="15"/>
  <c r="DM344" i="15"/>
  <c r="DN160" i="15"/>
  <c r="DM160" i="15"/>
  <c r="DN244" i="15"/>
  <c r="DM244" i="15"/>
  <c r="DN342" i="15"/>
  <c r="DM342" i="15"/>
  <c r="DN190" i="15"/>
  <c r="DM190" i="15"/>
  <c r="DN236" i="15"/>
  <c r="DM236" i="15"/>
  <c r="DN188" i="15"/>
  <c r="DM188" i="15"/>
  <c r="DN162" i="15"/>
  <c r="DM162" i="15"/>
  <c r="DN192" i="15"/>
  <c r="DM192" i="15"/>
  <c r="DN215" i="15"/>
  <c r="DM215" i="15"/>
  <c r="DN237" i="15"/>
  <c r="DM237" i="15"/>
  <c r="DN213" i="15"/>
  <c r="DM213" i="15"/>
  <c r="DN245" i="15"/>
  <c r="DM245" i="15"/>
  <c r="DN214" i="15"/>
  <c r="DM214" i="15"/>
  <c r="DN200" i="15"/>
  <c r="DM200" i="15"/>
  <c r="DN220" i="15"/>
  <c r="DM220" i="15"/>
  <c r="DN230" i="15"/>
  <c r="DM230" i="15"/>
  <c r="DN194" i="15"/>
  <c r="DM194" i="15"/>
  <c r="DN348" i="15"/>
  <c r="DM348" i="15"/>
  <c r="DN340" i="15"/>
  <c r="DM340" i="15"/>
  <c r="DN316" i="15"/>
  <c r="DM316" i="15"/>
  <c r="DN294" i="15"/>
  <c r="DM294" i="15"/>
  <c r="DN174" i="15"/>
  <c r="DM174" i="15"/>
  <c r="DN246" i="15"/>
  <c r="DM246" i="15"/>
  <c r="DN306" i="15"/>
  <c r="DM306" i="15"/>
  <c r="DN206" i="15"/>
  <c r="DM206" i="15"/>
  <c r="DN256" i="15"/>
  <c r="DM256" i="15"/>
  <c r="DN259" i="15"/>
  <c r="DM259" i="15"/>
  <c r="DN261" i="15"/>
  <c r="DM261" i="15"/>
  <c r="DN219" i="15"/>
  <c r="DM219" i="15"/>
  <c r="DN251" i="15"/>
  <c r="DM251" i="15"/>
  <c r="DN193" i="15"/>
  <c r="DM193" i="15"/>
  <c r="DN248" i="15"/>
  <c r="DM248" i="15"/>
  <c r="DN186" i="15"/>
  <c r="DM186" i="15"/>
  <c r="DN260" i="15"/>
  <c r="DM260" i="15"/>
  <c r="DN178" i="15"/>
  <c r="DM178" i="15"/>
  <c r="DN128" i="15"/>
  <c r="DM128" i="15"/>
  <c r="DN318" i="15"/>
  <c r="DM318" i="15"/>
  <c r="DN184" i="15"/>
  <c r="DM184" i="15"/>
  <c r="DN326" i="15"/>
  <c r="DM326" i="15"/>
  <c r="DN191" i="15"/>
  <c r="DM191" i="15"/>
  <c r="DN81" i="15"/>
  <c r="DM81" i="15"/>
  <c r="DN249" i="15"/>
  <c r="DM249" i="15"/>
  <c r="DN321" i="15"/>
  <c r="DM321" i="15"/>
  <c r="DN135" i="15"/>
  <c r="DM135" i="15"/>
  <c r="DN183" i="15"/>
  <c r="DM183" i="15"/>
  <c r="DN157" i="15"/>
  <c r="DM157" i="15"/>
  <c r="DN241" i="15"/>
  <c r="DM241" i="15"/>
  <c r="DN221" i="15"/>
  <c r="DM221" i="15"/>
  <c r="CX61" i="15"/>
  <c r="CY61" i="15" s="1"/>
  <c r="DZ185" i="15"/>
  <c r="EB185" i="15" s="1"/>
  <c r="ED185" i="15"/>
  <c r="EA185" i="15"/>
  <c r="EE185" i="15"/>
  <c r="EH185" i="15" s="1"/>
  <c r="EA267" i="15"/>
  <c r="EE267" i="15"/>
  <c r="EH267" i="15" s="1"/>
  <c r="BD241" i="65"/>
  <c r="EF241" i="15"/>
  <c r="BE241" i="65" s="1"/>
  <c r="BD83" i="65"/>
  <c r="AD83" i="5" s="1"/>
  <c r="EF83" i="15"/>
  <c r="BE83" i="65" s="1"/>
  <c r="AE83" i="5" s="1"/>
  <c r="EC102" i="15"/>
  <c r="EG102" i="15" s="1"/>
  <c r="DL102" i="15" s="1"/>
  <c r="DY102" i="15"/>
  <c r="EE333" i="15"/>
  <c r="EH333" i="15" s="1"/>
  <c r="EA333" i="15"/>
  <c r="DZ333" i="15"/>
  <c r="EB333" i="15" s="1"/>
  <c r="ED333" i="15"/>
  <c r="ED223" i="15"/>
  <c r="DZ223" i="15"/>
  <c r="EB223" i="15" s="1"/>
  <c r="DZ347" i="15"/>
  <c r="EB347" i="15" s="1"/>
  <c r="ED347" i="15"/>
  <c r="EE347" i="15"/>
  <c r="EH347" i="15" s="1"/>
  <c r="EA347" i="15"/>
  <c r="EA271" i="15"/>
  <c r="EE271" i="15"/>
  <c r="EH271" i="15" s="1"/>
  <c r="EC305" i="15"/>
  <c r="EG305" i="15" s="1"/>
  <c r="DL305" i="15" s="1"/>
  <c r="W305" i="5" s="1"/>
  <c r="DY305" i="15"/>
  <c r="EA305" i="15"/>
  <c r="EE305" i="15"/>
  <c r="EH305" i="15" s="1"/>
  <c r="BD221" i="65"/>
  <c r="EF221" i="15"/>
  <c r="BE221" i="65" s="1"/>
  <c r="BD265" i="65"/>
  <c r="EF265" i="15"/>
  <c r="BE265" i="65" s="1"/>
  <c r="EL290" i="15"/>
  <c r="EK290" i="15"/>
  <c r="EM290" i="15"/>
  <c r="EM298" i="15"/>
  <c r="EL298" i="15"/>
  <c r="EK298" i="15"/>
  <c r="EE275" i="15"/>
  <c r="EH275" i="15" s="1"/>
  <c r="EA275" i="15"/>
  <c r="DZ275" i="15"/>
  <c r="EB275" i="15" s="1"/>
  <c r="ED275" i="15"/>
  <c r="DZ325" i="15"/>
  <c r="EB325" i="15" s="1"/>
  <c r="ED325" i="15"/>
  <c r="DY325" i="15"/>
  <c r="EC325" i="15"/>
  <c r="EG325" i="15" s="1"/>
  <c r="DL325" i="15" s="1"/>
  <c r="ED331" i="15"/>
  <c r="DZ331" i="15"/>
  <c r="EB331" i="15" s="1"/>
  <c r="EC273" i="15"/>
  <c r="EG273" i="15" s="1"/>
  <c r="DL273" i="15" s="1"/>
  <c r="W273" i="5" s="1"/>
  <c r="DY273" i="15"/>
  <c r="DZ273" i="15"/>
  <c r="EB273" i="15" s="1"/>
  <c r="ED273" i="15"/>
  <c r="EC227" i="15"/>
  <c r="EG227" i="15" s="1"/>
  <c r="DL227" i="15" s="1"/>
  <c r="W227" i="5" s="1"/>
  <c r="DY227" i="15"/>
  <c r="DZ281" i="15"/>
  <c r="EB281" i="15" s="1"/>
  <c r="ED281" i="15"/>
  <c r="EE281" i="15"/>
  <c r="EH281" i="15" s="1"/>
  <c r="EA281" i="15"/>
  <c r="EE315" i="15"/>
  <c r="EH315" i="15" s="1"/>
  <c r="EA315" i="15"/>
  <c r="ED315" i="15"/>
  <c r="DZ315" i="15"/>
  <c r="EB315" i="15" s="1"/>
  <c r="DY304" i="15"/>
  <c r="EC304" i="15"/>
  <c r="EG304" i="15" s="1"/>
  <c r="DL304" i="15" s="1"/>
  <c r="ED304" i="15"/>
  <c r="DZ304" i="15"/>
  <c r="EB304" i="15" s="1"/>
  <c r="DZ319" i="15"/>
  <c r="EB319" i="15" s="1"/>
  <c r="ED319" i="15"/>
  <c r="EE319" i="15"/>
  <c r="EH319" i="15" s="1"/>
  <c r="EA319" i="15"/>
  <c r="EC217" i="15"/>
  <c r="EG217" i="15" s="1"/>
  <c r="DL217" i="15" s="1"/>
  <c r="W217" i="5" s="1"/>
  <c r="DY217" i="15"/>
  <c r="ED217" i="15"/>
  <c r="DZ217" i="15"/>
  <c r="EB217" i="15" s="1"/>
  <c r="EA289" i="15"/>
  <c r="EE289" i="15"/>
  <c r="EH289" i="15" s="1"/>
  <c r="EA341" i="15"/>
  <c r="EE341" i="15"/>
  <c r="EH341" i="15" s="1"/>
  <c r="EA327" i="15"/>
  <c r="EE327" i="15"/>
  <c r="EH327" i="15" s="1"/>
  <c r="DZ327" i="15"/>
  <c r="EB327" i="15" s="1"/>
  <c r="ED327" i="15"/>
  <c r="EA339" i="15"/>
  <c r="EE339" i="15"/>
  <c r="EH339" i="15" s="1"/>
  <c r="EE231" i="15"/>
  <c r="EH231" i="15" s="1"/>
  <c r="EA231" i="15"/>
  <c r="EC235" i="15"/>
  <c r="EG235" i="15" s="1"/>
  <c r="DL235" i="15" s="1"/>
  <c r="W235" i="5" s="1"/>
  <c r="DY235" i="15"/>
  <c r="EE235" i="15"/>
  <c r="EH235" i="15" s="1"/>
  <c r="EA235" i="15"/>
  <c r="EC209" i="15"/>
  <c r="EG209" i="15" s="1"/>
  <c r="DL209" i="15" s="1"/>
  <c r="DY209" i="15"/>
  <c r="EE276" i="15"/>
  <c r="EH276" i="15" s="1"/>
  <c r="EA276" i="15"/>
  <c r="ED141" i="15"/>
  <c r="DZ141" i="15"/>
  <c r="EB141" i="15" s="1"/>
  <c r="EA141" i="15"/>
  <c r="EE141" i="15"/>
  <c r="EH141" i="15" s="1"/>
  <c r="EC317" i="15"/>
  <c r="EG317" i="15" s="1"/>
  <c r="DL317" i="15" s="1"/>
  <c r="W317" i="5" s="1"/>
  <c r="DY317" i="15"/>
  <c r="DZ317" i="15"/>
  <c r="EB317" i="15" s="1"/>
  <c r="ED317" i="15"/>
  <c r="EE103" i="15"/>
  <c r="EH103" i="15" s="1"/>
  <c r="EA103" i="15"/>
  <c r="EA203" i="15"/>
  <c r="EE203" i="15"/>
  <c r="EH203" i="15" s="1"/>
  <c r="EF183" i="15"/>
  <c r="BE183" i="65" s="1"/>
  <c r="BD183" i="65"/>
  <c r="W137" i="5"/>
  <c r="EE255" i="15"/>
  <c r="EH255" i="15" s="1"/>
  <c r="EA255" i="15"/>
  <c r="BD207" i="65"/>
  <c r="EF207" i="15"/>
  <c r="BE207" i="65" s="1"/>
  <c r="BD163" i="65"/>
  <c r="EF163" i="15"/>
  <c r="BE163" i="65" s="1"/>
  <c r="W175" i="5"/>
  <c r="BD175" i="65"/>
  <c r="EF175" i="15"/>
  <c r="BE175" i="65" s="1"/>
  <c r="EK300" i="15"/>
  <c r="EM300" i="15"/>
  <c r="EL300" i="15"/>
  <c r="EC185" i="15"/>
  <c r="EG185" i="15" s="1"/>
  <c r="DL185" i="15" s="1"/>
  <c r="DY185" i="15"/>
  <c r="DY267" i="15"/>
  <c r="EC267" i="15"/>
  <c r="EG267" i="15" s="1"/>
  <c r="DL267" i="15" s="1"/>
  <c r="ED267" i="15"/>
  <c r="DZ267" i="15"/>
  <c r="EB267" i="15" s="1"/>
  <c r="W183" i="5"/>
  <c r="BD243" i="65"/>
  <c r="EF243" i="15"/>
  <c r="BE243" i="65" s="1"/>
  <c r="ED102" i="15"/>
  <c r="DZ102" i="15"/>
  <c r="EB102" i="15" s="1"/>
  <c r="EE102" i="15"/>
  <c r="EH102" i="15" s="1"/>
  <c r="EA102" i="15"/>
  <c r="BA61" i="82"/>
  <c r="BA61" i="84"/>
  <c r="BA61" i="85"/>
  <c r="BA61" i="89"/>
  <c r="BA61" i="90"/>
  <c r="BA61" i="91"/>
  <c r="BA61" i="83"/>
  <c r="BA61" i="86"/>
  <c r="BA61" i="87"/>
  <c r="BA61" i="88"/>
  <c r="DY333" i="15"/>
  <c r="EC333" i="15"/>
  <c r="EG333" i="15" s="1"/>
  <c r="DL333" i="15" s="1"/>
  <c r="DY223" i="15"/>
  <c r="EC223" i="15"/>
  <c r="EG223" i="15" s="1"/>
  <c r="DL223" i="15" s="1"/>
  <c r="EA223" i="15"/>
  <c r="EE223" i="15"/>
  <c r="EH223" i="15" s="1"/>
  <c r="DY347" i="15"/>
  <c r="EC347" i="15"/>
  <c r="EG347" i="15" s="1"/>
  <c r="DL347" i="15" s="1"/>
  <c r="DY271" i="15"/>
  <c r="EC271" i="15"/>
  <c r="EG271" i="15" s="1"/>
  <c r="DL271" i="15" s="1"/>
  <c r="DZ271" i="15"/>
  <c r="EB271" i="15" s="1"/>
  <c r="ED271" i="15"/>
  <c r="DZ305" i="15"/>
  <c r="EB305" i="15" s="1"/>
  <c r="ED305" i="15"/>
  <c r="BD225" i="65"/>
  <c r="EF225" i="15"/>
  <c r="BE225" i="65" s="1"/>
  <c r="BD157" i="65"/>
  <c r="EF157" i="15"/>
  <c r="BE157" i="65" s="1"/>
  <c r="EL282" i="15"/>
  <c r="EM282" i="15"/>
  <c r="EK282" i="15"/>
  <c r="DY275" i="15"/>
  <c r="EC275" i="15"/>
  <c r="EG275" i="15" s="1"/>
  <c r="DL275" i="15" s="1"/>
  <c r="W275" i="5" s="1"/>
  <c r="EA325" i="15"/>
  <c r="EE325" i="15"/>
  <c r="EH325" i="15" s="1"/>
  <c r="EC331" i="15"/>
  <c r="EG331" i="15" s="1"/>
  <c r="DL331" i="15" s="1"/>
  <c r="W331" i="5" s="1"/>
  <c r="DY331" i="15"/>
  <c r="EA331" i="15"/>
  <c r="EE331" i="15"/>
  <c r="EH331" i="15" s="1"/>
  <c r="EE273" i="15"/>
  <c r="EH273" i="15" s="1"/>
  <c r="EA273" i="15"/>
  <c r="EE227" i="15"/>
  <c r="EH227" i="15" s="1"/>
  <c r="EA227" i="15"/>
  <c r="DZ227" i="15"/>
  <c r="EB227" i="15" s="1"/>
  <c r="ED227" i="15"/>
  <c r="EC281" i="15"/>
  <c r="EG281" i="15" s="1"/>
  <c r="DL281" i="15" s="1"/>
  <c r="DY281" i="15"/>
  <c r="DY315" i="15"/>
  <c r="EC315" i="15"/>
  <c r="EG315" i="15" s="1"/>
  <c r="DL315" i="15" s="1"/>
  <c r="W315" i="5" s="1"/>
  <c r="EA304" i="15"/>
  <c r="EE304" i="15"/>
  <c r="EH304" i="15" s="1"/>
  <c r="DY319" i="15"/>
  <c r="EC319" i="15"/>
  <c r="EG319" i="15" s="1"/>
  <c r="DL319" i="15" s="1"/>
  <c r="W319" i="5" s="1"/>
  <c r="EA217" i="15"/>
  <c r="EE217" i="15"/>
  <c r="EH217" i="15" s="1"/>
  <c r="DY289" i="15"/>
  <c r="EC289" i="15"/>
  <c r="EG289" i="15" s="1"/>
  <c r="DL289" i="15" s="1"/>
  <c r="W289" i="5" s="1"/>
  <c r="ED289" i="15"/>
  <c r="DZ289" i="15"/>
  <c r="EB289" i="15" s="1"/>
  <c r="ED341" i="15"/>
  <c r="DZ341" i="15"/>
  <c r="EB341" i="15" s="1"/>
  <c r="DY341" i="15"/>
  <c r="EC341" i="15"/>
  <c r="EG341" i="15" s="1"/>
  <c r="DL341" i="15" s="1"/>
  <c r="W341" i="5" s="1"/>
  <c r="DY327" i="15"/>
  <c r="EC327" i="15"/>
  <c r="EG327" i="15" s="1"/>
  <c r="DL327" i="15" s="1"/>
  <c r="W327" i="5" s="1"/>
  <c r="EC339" i="15"/>
  <c r="EG339" i="15" s="1"/>
  <c r="DL339" i="15" s="1"/>
  <c r="DY339" i="15"/>
  <c r="DZ339" i="15"/>
  <c r="EB339" i="15" s="1"/>
  <c r="ED339" i="15"/>
  <c r="ED231" i="15"/>
  <c r="DZ231" i="15"/>
  <c r="EB231" i="15" s="1"/>
  <c r="DY231" i="15"/>
  <c r="EC231" i="15"/>
  <c r="EG231" i="15" s="1"/>
  <c r="DL231" i="15" s="1"/>
  <c r="W231" i="5" s="1"/>
  <c r="ED235" i="15"/>
  <c r="DZ235" i="15"/>
  <c r="EB235" i="15" s="1"/>
  <c r="EA209" i="15"/>
  <c r="EE209" i="15"/>
  <c r="EH209" i="15" s="1"/>
  <c r="ED209" i="15"/>
  <c r="DZ209" i="15"/>
  <c r="EB209" i="15" s="1"/>
  <c r="DY276" i="15"/>
  <c r="EC276" i="15"/>
  <c r="EG276" i="15" s="1"/>
  <c r="DL276" i="15" s="1"/>
  <c r="W276" i="5" s="1"/>
  <c r="DZ276" i="15"/>
  <c r="EB276" i="15" s="1"/>
  <c r="ED276" i="15"/>
  <c r="EC141" i="15"/>
  <c r="EG141" i="15" s="1"/>
  <c r="DL141" i="15" s="1"/>
  <c r="DY141" i="15"/>
  <c r="EA317" i="15"/>
  <c r="EE317" i="15"/>
  <c r="EH317" i="15" s="1"/>
  <c r="EC103" i="15"/>
  <c r="EG103" i="15" s="1"/>
  <c r="DL103" i="15" s="1"/>
  <c r="W103" i="5" s="1"/>
  <c r="DY103" i="15"/>
  <c r="DZ103" i="15"/>
  <c r="EB103" i="15" s="1"/>
  <c r="ED103" i="15"/>
  <c r="DY203" i="15"/>
  <c r="EC203" i="15"/>
  <c r="EG203" i="15" s="1"/>
  <c r="DL203" i="15" s="1"/>
  <c r="W203" i="5" s="1"/>
  <c r="ED203" i="15"/>
  <c r="DZ203" i="15"/>
  <c r="EB203" i="15" s="1"/>
  <c r="EF257" i="15"/>
  <c r="BE257" i="65" s="1"/>
  <c r="BD257" i="65"/>
  <c r="W83" i="5"/>
  <c r="EC255" i="15"/>
  <c r="EG255" i="15" s="1"/>
  <c r="DL255" i="15" s="1"/>
  <c r="DY255" i="15"/>
  <c r="DZ255" i="15"/>
  <c r="EB255" i="15" s="1"/>
  <c r="ED255" i="15"/>
  <c r="BD199" i="65"/>
  <c r="EF199" i="15"/>
  <c r="BE199" i="65" s="1"/>
  <c r="EF167" i="15"/>
  <c r="BE167" i="65" s="1"/>
  <c r="BD167" i="65"/>
  <c r="CX44" i="15"/>
  <c r="CX123" i="15"/>
  <c r="CY123" i="15" s="1"/>
  <c r="BD258" i="65"/>
  <c r="EF258" i="15"/>
  <c r="BE258" i="65" s="1"/>
  <c r="BD198" i="65"/>
  <c r="EF198" i="15"/>
  <c r="BE198" i="65" s="1"/>
  <c r="EF334" i="15"/>
  <c r="BE334" i="65" s="1"/>
  <c r="BD334" i="65"/>
  <c r="EF230" i="15"/>
  <c r="BE230" i="65" s="1"/>
  <c r="BD230" i="65"/>
  <c r="BD348" i="65"/>
  <c r="EF348" i="15"/>
  <c r="BE348" i="65" s="1"/>
  <c r="EF222" i="15"/>
  <c r="BE222" i="65" s="1"/>
  <c r="BD222" i="65"/>
  <c r="EF316" i="15"/>
  <c r="BE316" i="65" s="1"/>
  <c r="BD316" i="65"/>
  <c r="BD174" i="65"/>
  <c r="EF174" i="15"/>
  <c r="BE174" i="65" s="1"/>
  <c r="EF246" i="15"/>
  <c r="BE246" i="65" s="1"/>
  <c r="BD246" i="65"/>
  <c r="EF228" i="15"/>
  <c r="BE228" i="65" s="1"/>
  <c r="BD228" i="65"/>
  <c r="BD168" i="65"/>
  <c r="EF168" i="15"/>
  <c r="BE168" i="65" s="1"/>
  <c r="EF206" i="15"/>
  <c r="BE206" i="65" s="1"/>
  <c r="BD206" i="65"/>
  <c r="BD268" i="65"/>
  <c r="EF268" i="15"/>
  <c r="BE268" i="65" s="1"/>
  <c r="EF264" i="15"/>
  <c r="BE264" i="65" s="1"/>
  <c r="BD264" i="65"/>
  <c r="W153" i="5"/>
  <c r="EF219" i="15"/>
  <c r="BE219" i="65" s="1"/>
  <c r="BD219" i="65"/>
  <c r="EF193" i="15"/>
  <c r="BE193" i="65" s="1"/>
  <c r="BD193" i="65"/>
  <c r="X157" i="5"/>
  <c r="Y157" i="5" s="1"/>
  <c r="W272" i="5"/>
  <c r="W173" i="5"/>
  <c r="W170" i="5"/>
  <c r="W145" i="5"/>
  <c r="W339" i="5"/>
  <c r="W189" i="5"/>
  <c r="W281" i="5"/>
  <c r="W138" i="5"/>
  <c r="W112" i="5"/>
  <c r="W133" i="5"/>
  <c r="BD248" i="65"/>
  <c r="EF248" i="15"/>
  <c r="BE248" i="65" s="1"/>
  <c r="BD130" i="65"/>
  <c r="EF130" i="15"/>
  <c r="BE130" i="65" s="1"/>
  <c r="EF262" i="15"/>
  <c r="BE262" i="65" s="1"/>
  <c r="BD262" i="65"/>
  <c r="EF218" i="15"/>
  <c r="BE218" i="65" s="1"/>
  <c r="BD218" i="65"/>
  <c r="EF204" i="15"/>
  <c r="BE204" i="65" s="1"/>
  <c r="BD204" i="65"/>
  <c r="EF338" i="15"/>
  <c r="BE338" i="65" s="1"/>
  <c r="BD338" i="65"/>
  <c r="EF178" i="15"/>
  <c r="BE178" i="65" s="1"/>
  <c r="BD178" i="65"/>
  <c r="EF184" i="15"/>
  <c r="BE184" i="65" s="1"/>
  <c r="BD184" i="65"/>
  <c r="BD211" i="65"/>
  <c r="EF211" i="15"/>
  <c r="BE211" i="65" s="1"/>
  <c r="BD321" i="65"/>
  <c r="EF321" i="15"/>
  <c r="BE321" i="65" s="1"/>
  <c r="X221" i="5"/>
  <c r="Y221" i="5" s="1"/>
  <c r="W213" i="5"/>
  <c r="W245" i="5"/>
  <c r="EF245" i="15"/>
  <c r="BE245" i="65" s="1"/>
  <c r="BD245" i="65"/>
  <c r="X139" i="5"/>
  <c r="Y139" i="5" s="1"/>
  <c r="BF139" i="65"/>
  <c r="ED278" i="15"/>
  <c r="DZ278" i="15"/>
  <c r="EB278" i="15" s="1"/>
  <c r="EA278" i="15"/>
  <c r="EE278" i="15"/>
  <c r="EH278" i="15" s="1"/>
  <c r="EC290" i="15"/>
  <c r="EG290" i="15" s="1"/>
  <c r="DL290" i="15" s="1"/>
  <c r="DY290" i="15"/>
  <c r="W329" i="5"/>
  <c r="W297" i="5"/>
  <c r="BD134" i="65"/>
  <c r="EF134" i="15"/>
  <c r="BE134" i="65" s="1"/>
  <c r="BD226" i="65"/>
  <c r="EF226" i="15"/>
  <c r="BE226" i="65" s="1"/>
  <c r="BD328" i="65"/>
  <c r="EF328" i="15"/>
  <c r="BE328" i="65" s="1"/>
  <c r="EF336" i="15"/>
  <c r="BE336" i="65" s="1"/>
  <c r="BD336" i="65"/>
  <c r="BD302" i="65"/>
  <c r="EF302" i="15"/>
  <c r="BE302" i="65" s="1"/>
  <c r="EF216" i="15"/>
  <c r="BE216" i="65" s="1"/>
  <c r="BD216" i="65"/>
  <c r="EF176" i="15"/>
  <c r="BE176" i="65" s="1"/>
  <c r="BD176" i="65"/>
  <c r="EF254" i="15"/>
  <c r="BE254" i="65" s="1"/>
  <c r="BD254" i="65"/>
  <c r="EF82" i="15"/>
  <c r="BE82" i="65" s="1"/>
  <c r="BD82" i="65"/>
  <c r="BD210" i="65"/>
  <c r="EF210" i="15"/>
  <c r="BE210" i="65" s="1"/>
  <c r="W253" i="5"/>
  <c r="X241" i="5"/>
  <c r="Y241" i="5" s="1"/>
  <c r="W205" i="5"/>
  <c r="W177" i="5"/>
  <c r="BD344" i="65"/>
  <c r="EF344" i="15"/>
  <c r="BE344" i="65" s="1"/>
  <c r="EF244" i="15"/>
  <c r="BE244" i="65" s="1"/>
  <c r="BD244" i="65"/>
  <c r="BD190" i="65"/>
  <c r="EF190" i="15"/>
  <c r="BE190" i="65" s="1"/>
  <c r="BD252" i="65"/>
  <c r="EF252" i="15"/>
  <c r="BE252" i="65" s="1"/>
  <c r="BD322" i="65"/>
  <c r="EF322" i="15"/>
  <c r="BE322" i="65" s="1"/>
  <c r="BD188" i="65"/>
  <c r="EF188" i="15"/>
  <c r="BE188" i="65" s="1"/>
  <c r="EF143" i="15"/>
  <c r="BE143" i="65" s="1"/>
  <c r="BD143" i="65"/>
  <c r="BD150" i="65"/>
  <c r="EF150" i="15"/>
  <c r="BE150" i="65" s="1"/>
  <c r="BD229" i="65"/>
  <c r="EF229" i="15"/>
  <c r="BE229" i="65" s="1"/>
  <c r="W269" i="5"/>
  <c r="EF249" i="15"/>
  <c r="BE249" i="65" s="1"/>
  <c r="BD249" i="65"/>
  <c r="EF213" i="15"/>
  <c r="BE213" i="65" s="1"/>
  <c r="BD213" i="65"/>
  <c r="W135" i="5"/>
  <c r="X243" i="5"/>
  <c r="Y243" i="5" s="1"/>
  <c r="W287" i="5"/>
  <c r="W325" i="5"/>
  <c r="W172" i="5"/>
  <c r="W171" i="5"/>
  <c r="W179" i="5"/>
  <c r="W307" i="5"/>
  <c r="W333" i="5"/>
  <c r="W292" i="5"/>
  <c r="W283" i="5"/>
  <c r="W154" i="5"/>
  <c r="W320" i="5"/>
  <c r="W131" i="5"/>
  <c r="W149" i="5"/>
  <c r="W166" i="5"/>
  <c r="W156" i="5"/>
  <c r="ED296" i="15"/>
  <c r="DZ296" i="15"/>
  <c r="EB296" i="15" s="1"/>
  <c r="EE296" i="15"/>
  <c r="EH296" i="15" s="1"/>
  <c r="EA296" i="15"/>
  <c r="EA286" i="15"/>
  <c r="EE286" i="15"/>
  <c r="EH286" i="15" s="1"/>
  <c r="DY286" i="15"/>
  <c r="EC286" i="15"/>
  <c r="EG286" i="15" s="1"/>
  <c r="DL286" i="15" s="1"/>
  <c r="EA300" i="15"/>
  <c r="EE300" i="15"/>
  <c r="EH300" i="15" s="1"/>
  <c r="EC300" i="15"/>
  <c r="EG300" i="15" s="1"/>
  <c r="DL300" i="15" s="1"/>
  <c r="DY300" i="15"/>
  <c r="DY282" i="15"/>
  <c r="EC282" i="15"/>
  <c r="EG282" i="15" s="1"/>
  <c r="DL282" i="15" s="1"/>
  <c r="ED158" i="15"/>
  <c r="DZ158" i="15"/>
  <c r="EB158" i="15" s="1"/>
  <c r="EE274" i="15"/>
  <c r="EH274" i="15" s="1"/>
  <c r="EA274" i="15"/>
  <c r="EC274" i="15"/>
  <c r="EG274" i="15" s="1"/>
  <c r="DL274" i="15" s="1"/>
  <c r="DY274" i="15"/>
  <c r="DZ142" i="15"/>
  <c r="EB142" i="15" s="1"/>
  <c r="ED142" i="15"/>
  <c r="EC312" i="15"/>
  <c r="EG312" i="15" s="1"/>
  <c r="DL312" i="15" s="1"/>
  <c r="DY312" i="15"/>
  <c r="EA298" i="15"/>
  <c r="EE298" i="15"/>
  <c r="EH298" i="15" s="1"/>
  <c r="EC298" i="15"/>
  <c r="EG298" i="15" s="1"/>
  <c r="DL298" i="15" s="1"/>
  <c r="DY298" i="15"/>
  <c r="BC90" i="65"/>
  <c r="AC90" i="5" s="1"/>
  <c r="BB90" i="73" s="1"/>
  <c r="DU90" i="15"/>
  <c r="DS90" i="15"/>
  <c r="DT90" i="15"/>
  <c r="EQ90" i="15"/>
  <c r="EO90" i="15"/>
  <c r="EP90" i="15"/>
  <c r="BD212" i="65"/>
  <c r="EF212" i="15"/>
  <c r="BE212" i="65" s="1"/>
  <c r="BD214" i="65"/>
  <c r="EF214" i="15"/>
  <c r="BE214" i="65" s="1"/>
  <c r="BD200" i="65"/>
  <c r="EF200" i="15"/>
  <c r="BE200" i="65" s="1"/>
  <c r="EF220" i="15"/>
  <c r="BE220" i="65" s="1"/>
  <c r="BD220" i="65"/>
  <c r="BD314" i="65"/>
  <c r="EF314" i="15"/>
  <c r="BE314" i="65" s="1"/>
  <c r="BD332" i="65"/>
  <c r="EF332" i="15"/>
  <c r="BE332" i="65" s="1"/>
  <c r="BD146" i="65"/>
  <c r="EF146" i="15"/>
  <c r="BE146" i="65" s="1"/>
  <c r="BD250" i="65"/>
  <c r="EF250" i="15"/>
  <c r="BE250" i="65" s="1"/>
  <c r="BD144" i="65"/>
  <c r="EF144" i="15"/>
  <c r="BE144" i="65" s="1"/>
  <c r="EF270" i="15"/>
  <c r="BE270" i="65" s="1"/>
  <c r="BD270" i="65"/>
  <c r="BD242" i="65"/>
  <c r="EF242" i="15"/>
  <c r="BE242" i="65" s="1"/>
  <c r="EF194" i="15"/>
  <c r="BE194" i="65" s="1"/>
  <c r="BD194" i="65"/>
  <c r="EF340" i="15"/>
  <c r="BE340" i="65" s="1"/>
  <c r="BD340" i="65"/>
  <c r="BD306" i="65"/>
  <c r="EF306" i="15"/>
  <c r="BE306" i="65" s="1"/>
  <c r="BD259" i="65"/>
  <c r="EF259" i="15"/>
  <c r="BE259" i="65" s="1"/>
  <c r="BD169" i="65"/>
  <c r="EF169" i="15"/>
  <c r="BE169" i="65" s="1"/>
  <c r="EF263" i="15"/>
  <c r="BE263" i="65" s="1"/>
  <c r="BD263" i="65"/>
  <c r="W223" i="5"/>
  <c r="W197" i="5"/>
  <c r="W347" i="5"/>
  <c r="W323" i="5"/>
  <c r="W291" i="5"/>
  <c r="W271" i="5"/>
  <c r="W277" i="5"/>
  <c r="W284" i="5"/>
  <c r="W136" i="5"/>
  <c r="W155" i="5"/>
  <c r="BD148" i="65"/>
  <c r="EF148" i="15"/>
  <c r="BE148" i="65" s="1"/>
  <c r="EF310" i="15"/>
  <c r="BE310" i="65" s="1"/>
  <c r="BD310" i="65"/>
  <c r="EF224" i="15"/>
  <c r="BE224" i="65" s="1"/>
  <c r="BD224" i="65"/>
  <c r="EF308" i="15"/>
  <c r="BE308" i="65" s="1"/>
  <c r="BD308" i="65"/>
  <c r="EF324" i="15"/>
  <c r="BE324" i="65" s="1"/>
  <c r="BD324" i="65"/>
  <c r="BD208" i="65"/>
  <c r="EF208" i="15"/>
  <c r="BE208" i="65" s="1"/>
  <c r="EF260" i="15"/>
  <c r="BE260" i="65" s="1"/>
  <c r="BD260" i="65"/>
  <c r="EF128" i="15"/>
  <c r="BE128" i="65" s="1"/>
  <c r="BD128" i="65"/>
  <c r="BD318" i="65"/>
  <c r="EF318" i="15"/>
  <c r="BE318" i="65" s="1"/>
  <c r="EF180" i="15"/>
  <c r="BE180" i="65" s="1"/>
  <c r="BD180" i="65"/>
  <c r="BD326" i="65"/>
  <c r="EF326" i="15"/>
  <c r="BE326" i="65" s="1"/>
  <c r="EF232" i="15"/>
  <c r="BE232" i="65" s="1"/>
  <c r="BD232" i="65"/>
  <c r="BD164" i="65"/>
  <c r="EF164" i="15"/>
  <c r="BE164" i="65" s="1"/>
  <c r="BD81" i="65"/>
  <c r="EF81" i="15"/>
  <c r="BE81" i="65" s="1"/>
  <c r="W229" i="5"/>
  <c r="BD237" i="65"/>
  <c r="EF237" i="15"/>
  <c r="BE237" i="65" s="1"/>
  <c r="W237" i="5"/>
  <c r="X237" i="5"/>
  <c r="Y237" i="5" s="1"/>
  <c r="EF269" i="15"/>
  <c r="BE269" i="65" s="1"/>
  <c r="BD269" i="65"/>
  <c r="W299" i="5"/>
  <c r="W233" i="5"/>
  <c r="DY278" i="15"/>
  <c r="EC278" i="15"/>
  <c r="EG278" i="15" s="1"/>
  <c r="DL278" i="15" s="1"/>
  <c r="ED290" i="15"/>
  <c r="DZ290" i="15"/>
  <c r="EB290" i="15" s="1"/>
  <c r="EE290" i="15"/>
  <c r="EH290" i="15" s="1"/>
  <c r="EA290" i="15"/>
  <c r="X207" i="5"/>
  <c r="Y207" i="5" s="1"/>
  <c r="X163" i="5"/>
  <c r="Y163" i="5" s="1"/>
  <c r="X201" i="5"/>
  <c r="Y201" i="5" s="1"/>
  <c r="BF201" i="65"/>
  <c r="W293" i="5"/>
  <c r="W279" i="5"/>
  <c r="W311" i="5"/>
  <c r="W295" i="5"/>
  <c r="W161" i="5"/>
  <c r="W165" i="5"/>
  <c r="W247" i="5"/>
  <c r="W337" i="5"/>
  <c r="BD346" i="65"/>
  <c r="EF346" i="15"/>
  <c r="BE346" i="65" s="1"/>
  <c r="EF330" i="15"/>
  <c r="BE330" i="65" s="1"/>
  <c r="BD330" i="65"/>
  <c r="BD266" i="65"/>
  <c r="EF266" i="15"/>
  <c r="BE266" i="65" s="1"/>
  <c r="EF234" i="15"/>
  <c r="BE234" i="65" s="1"/>
  <c r="BD234" i="65"/>
  <c r="EF202" i="15"/>
  <c r="BE202" i="65" s="1"/>
  <c r="BD202" i="65"/>
  <c r="EF240" i="15"/>
  <c r="BE240" i="65" s="1"/>
  <c r="BD240" i="65"/>
  <c r="BD294" i="65"/>
  <c r="EF294" i="15"/>
  <c r="BE294" i="65" s="1"/>
  <c r="BD196" i="65"/>
  <c r="EF196" i="15"/>
  <c r="BE196" i="65" s="1"/>
  <c r="BD256" i="65"/>
  <c r="EF256" i="15"/>
  <c r="BE256" i="65" s="1"/>
  <c r="BD153" i="65"/>
  <c r="EF153" i="15"/>
  <c r="BE153" i="65" s="1"/>
  <c r="EF87" i="15"/>
  <c r="BE87" i="65" s="1"/>
  <c r="AE87" i="5" s="1"/>
  <c r="BD87" i="65"/>
  <c r="AD87" i="5" s="1"/>
  <c r="BD261" i="65"/>
  <c r="EF261" i="15"/>
  <c r="BE261" i="65" s="1"/>
  <c r="W219" i="5"/>
  <c r="EF251" i="15"/>
  <c r="BE251" i="65" s="1"/>
  <c r="BD251" i="65"/>
  <c r="W251" i="5"/>
  <c r="W193" i="5"/>
  <c r="BD253" i="65"/>
  <c r="EF253" i="15"/>
  <c r="BE253" i="65" s="1"/>
  <c r="W335" i="5"/>
  <c r="W343" i="5"/>
  <c r="W280" i="5"/>
  <c r="W152" i="5"/>
  <c r="W159" i="5"/>
  <c r="W304" i="5"/>
  <c r="W301" i="5"/>
  <c r="W309" i="5"/>
  <c r="W303" i="5"/>
  <c r="W288" i="5"/>
  <c r="W151" i="5"/>
  <c r="W129" i="5"/>
  <c r="BD238" i="65"/>
  <c r="EF238" i="15"/>
  <c r="BE238" i="65" s="1"/>
  <c r="EF186" i="15"/>
  <c r="BE186" i="65" s="1"/>
  <c r="BD186" i="65"/>
  <c r="EF160" i="15"/>
  <c r="BE160" i="65" s="1"/>
  <c r="BD160" i="65"/>
  <c r="EF342" i="15"/>
  <c r="BE342" i="65" s="1"/>
  <c r="BD342" i="65"/>
  <c r="EF182" i="15"/>
  <c r="BE182" i="65" s="1"/>
  <c r="BD182" i="65"/>
  <c r="BD132" i="65"/>
  <c r="EF132" i="15"/>
  <c r="BE132" i="65" s="1"/>
  <c r="BD236" i="65"/>
  <c r="EF236" i="15"/>
  <c r="BE236" i="65" s="1"/>
  <c r="EF162" i="15"/>
  <c r="BE162" i="65" s="1"/>
  <c r="BD162" i="65"/>
  <c r="BD192" i="65"/>
  <c r="EF192" i="15"/>
  <c r="BE192" i="65" s="1"/>
  <c r="EF215" i="15"/>
  <c r="BE215" i="65" s="1"/>
  <c r="BD215" i="65"/>
  <c r="BD187" i="65"/>
  <c r="EF187" i="15"/>
  <c r="BE187" i="65" s="1"/>
  <c r="EF191" i="15"/>
  <c r="BE191" i="65" s="1"/>
  <c r="BD191" i="65"/>
  <c r="EF313" i="15"/>
  <c r="BE313" i="65" s="1"/>
  <c r="BD313" i="65"/>
  <c r="BD345" i="65"/>
  <c r="EF345" i="15"/>
  <c r="BE345" i="65" s="1"/>
  <c r="EF135" i="15"/>
  <c r="BE135" i="65" s="1"/>
  <c r="BD135" i="65"/>
  <c r="W195" i="5"/>
  <c r="W140" i="5"/>
  <c r="W147" i="5"/>
  <c r="DY296" i="15"/>
  <c r="EC296" i="15"/>
  <c r="EG296" i="15" s="1"/>
  <c r="DL296" i="15" s="1"/>
  <c r="DZ286" i="15"/>
  <c r="EB286" i="15" s="1"/>
  <c r="ED286" i="15"/>
  <c r="DZ300" i="15"/>
  <c r="EB300" i="15" s="1"/>
  <c r="ED300" i="15"/>
  <c r="ED282" i="15"/>
  <c r="DZ282" i="15"/>
  <c r="EB282" i="15" s="1"/>
  <c r="EE282" i="15"/>
  <c r="EH282" i="15" s="1"/>
  <c r="EA282" i="15"/>
  <c r="EE158" i="15"/>
  <c r="EH158" i="15" s="1"/>
  <c r="EA158" i="15"/>
  <c r="EC158" i="15"/>
  <c r="EG158" i="15" s="1"/>
  <c r="DL158" i="15" s="1"/>
  <c r="DY158" i="15"/>
  <c r="ED274" i="15"/>
  <c r="DZ274" i="15"/>
  <c r="EB274" i="15" s="1"/>
  <c r="EA142" i="15"/>
  <c r="EE142" i="15"/>
  <c r="EH142" i="15" s="1"/>
  <c r="DY142" i="15"/>
  <c r="EC142" i="15"/>
  <c r="EG142" i="15" s="1"/>
  <c r="DL142" i="15" s="1"/>
  <c r="DZ312" i="15"/>
  <c r="EB312" i="15" s="1"/>
  <c r="ED312" i="15"/>
  <c r="EE312" i="15"/>
  <c r="EH312" i="15" s="1"/>
  <c r="EA312" i="15"/>
  <c r="ED298" i="15"/>
  <c r="DZ298" i="15"/>
  <c r="EB298" i="15" s="1"/>
  <c r="BR74" i="15"/>
  <c r="FC56" i="15"/>
  <c r="FB56" i="15" s="1"/>
  <c r="FA56" i="15" s="1"/>
  <c r="BG56" i="65" s="1"/>
  <c r="AG56" i="5" s="1"/>
  <c r="CF64" i="15"/>
  <c r="AU59" i="65"/>
  <c r="O59" i="5" s="1"/>
  <c r="AV59" i="73" s="1"/>
  <c r="BU29" i="15"/>
  <c r="BS29" i="15" s="1"/>
  <c r="CE71" i="15"/>
  <c r="CE45" i="15"/>
  <c r="ER45" i="15" s="1"/>
  <c r="AU57" i="65"/>
  <c r="O57" i="5" s="1"/>
  <c r="AV57" i="73" s="1"/>
  <c r="BT53" i="15"/>
  <c r="BR64" i="15"/>
  <c r="BR60" i="15"/>
  <c r="FC73" i="15"/>
  <c r="FB73" i="15" s="1"/>
  <c r="FA73" i="15" s="1"/>
  <c r="BG73" i="65" s="1"/>
  <c r="AG73" i="5" s="1"/>
  <c r="BA26" i="85"/>
  <c r="BA26" i="86"/>
  <c r="BA26" i="82"/>
  <c r="BA26" i="87"/>
  <c r="BA26" i="89"/>
  <c r="BA26" i="91"/>
  <c r="BA26" i="90"/>
  <c r="BA26" i="83"/>
  <c r="BA26" i="88"/>
  <c r="BA26" i="84"/>
  <c r="CK26" i="15"/>
  <c r="CI26" i="15"/>
  <c r="CJ26" i="15"/>
  <c r="H17" i="5"/>
  <c r="L23" i="5"/>
  <c r="N22" i="5"/>
  <c r="AU22" i="73" s="1"/>
  <c r="N23" i="5"/>
  <c r="AU23" i="73" s="1"/>
  <c r="O22" i="5"/>
  <c r="M22" i="5"/>
  <c r="K23" i="5"/>
  <c r="K22" i="5"/>
  <c r="AG25" i="5"/>
  <c r="CF73" i="15"/>
  <c r="CE76" i="15"/>
  <c r="AG22" i="5"/>
  <c r="L22" i="5"/>
  <c r="P22" i="5"/>
  <c r="P23" i="5"/>
  <c r="M23" i="5"/>
  <c r="O25" i="5"/>
  <c r="AV25" i="73" s="1"/>
  <c r="AW33" i="91"/>
  <c r="AU28" i="91"/>
  <c r="AV35" i="91"/>
  <c r="AV33" i="91"/>
  <c r="CF22" i="15"/>
  <c r="EV29" i="15"/>
  <c r="BS25" i="15"/>
  <c r="AV31" i="91"/>
  <c r="AV31" i="89"/>
  <c r="AV31" i="90"/>
  <c r="AV31" i="86"/>
  <c r="AV31" i="83"/>
  <c r="EV35" i="15"/>
  <c r="ER35" i="15"/>
  <c r="ET35" i="15" s="1"/>
  <c r="BR32" i="15"/>
  <c r="FC30" i="15"/>
  <c r="FB30" i="15" s="1"/>
  <c r="FA30" i="15" s="1"/>
  <c r="BG30" i="65" s="1"/>
  <c r="AG30" i="5" s="1"/>
  <c r="AW28" i="91"/>
  <c r="AU33" i="91"/>
  <c r="EV24" i="15"/>
  <c r="ER24" i="15"/>
  <c r="EU24" i="15" s="1"/>
  <c r="AV28" i="91"/>
  <c r="ES36" i="15"/>
  <c r="ET36" i="15"/>
  <c r="EU36" i="15"/>
  <c r="CF77" i="15"/>
  <c r="BR45" i="15"/>
  <c r="AW74" i="82"/>
  <c r="AW74" i="84"/>
  <c r="AW74" i="83"/>
  <c r="AW74" i="85"/>
  <c r="AW74" i="86"/>
  <c r="AW74" i="88"/>
  <c r="AW74" i="90"/>
  <c r="AW74" i="87"/>
  <c r="AW74" i="89"/>
  <c r="AV74" i="82"/>
  <c r="AV74" i="83"/>
  <c r="AV74" i="84"/>
  <c r="AV74" i="86"/>
  <c r="AV74" i="85"/>
  <c r="AV74" i="87"/>
  <c r="AV74" i="89"/>
  <c r="AV74" i="88"/>
  <c r="AV74" i="90"/>
  <c r="AU77" i="82"/>
  <c r="AU77" i="83"/>
  <c r="AU77" i="84"/>
  <c r="AU77" i="86"/>
  <c r="AU77" i="85"/>
  <c r="AU77" i="87"/>
  <c r="AU77" i="89"/>
  <c r="AU77" i="88"/>
  <c r="AU77" i="90"/>
  <c r="AU22" i="82"/>
  <c r="AV59" i="85"/>
  <c r="AV59" i="87"/>
  <c r="AW64" i="82"/>
  <c r="AW64" i="84"/>
  <c r="AW64" i="83"/>
  <c r="AW64" i="85"/>
  <c r="AW64" i="86"/>
  <c r="AW64" i="88"/>
  <c r="AW64" i="90"/>
  <c r="AW64" i="87"/>
  <c r="AW64" i="89"/>
  <c r="AU54" i="82"/>
  <c r="AU54" i="84"/>
  <c r="AU54" i="83"/>
  <c r="AU54" i="85"/>
  <c r="AU54" i="86"/>
  <c r="AU54" i="88"/>
  <c r="AU54" i="90"/>
  <c r="AU54" i="87"/>
  <c r="AU54" i="89"/>
  <c r="AU57" i="82"/>
  <c r="AU57" i="83"/>
  <c r="AU57" i="84"/>
  <c r="AU57" i="86"/>
  <c r="AU57" i="85"/>
  <c r="AU57" i="87"/>
  <c r="AU57" i="89"/>
  <c r="AU57" i="88"/>
  <c r="AU57" i="90"/>
  <c r="AU64" i="82"/>
  <c r="AU64" i="84"/>
  <c r="AU64" i="83"/>
  <c r="AU64" i="85"/>
  <c r="AU64" i="86"/>
  <c r="AU64" i="88"/>
  <c r="AU64" i="90"/>
  <c r="AU64" i="87"/>
  <c r="AU64" i="89"/>
  <c r="BA40" i="82"/>
  <c r="BA40" i="84"/>
  <c r="BA40" i="83"/>
  <c r="BA40" i="85"/>
  <c r="BA40" i="86"/>
  <c r="BA40" i="88"/>
  <c r="BA40" i="90"/>
  <c r="BA40" i="87"/>
  <c r="BA40" i="89"/>
  <c r="BA44" i="82"/>
  <c r="BA44" i="84"/>
  <c r="BA44" i="83"/>
  <c r="BA44" i="85"/>
  <c r="BA44" i="86"/>
  <c r="BA44" i="88"/>
  <c r="BA44" i="90"/>
  <c r="BA44" i="87"/>
  <c r="BA44" i="89"/>
  <c r="AV54" i="82"/>
  <c r="AV54" i="83"/>
  <c r="AV54" i="84"/>
  <c r="AV54" i="86"/>
  <c r="AV54" i="85"/>
  <c r="AV54" i="87"/>
  <c r="AV54" i="89"/>
  <c r="AV54" i="88"/>
  <c r="AV54" i="90"/>
  <c r="AV71" i="82"/>
  <c r="AV71" i="84"/>
  <c r="AV71" i="83"/>
  <c r="AV71" i="85"/>
  <c r="AV71" i="86"/>
  <c r="AV71" i="88"/>
  <c r="AV71" i="90"/>
  <c r="AV71" i="87"/>
  <c r="AV71" i="89"/>
  <c r="AV65" i="82"/>
  <c r="AV65" i="84"/>
  <c r="AV65" i="83"/>
  <c r="AV65" i="85"/>
  <c r="AV65" i="86"/>
  <c r="AV65" i="88"/>
  <c r="AV65" i="90"/>
  <c r="AV65" i="87"/>
  <c r="AV65" i="89"/>
  <c r="BA107" i="82"/>
  <c r="BA107" i="83"/>
  <c r="BA107" i="84"/>
  <c r="BA107" i="86"/>
  <c r="BA107" i="85"/>
  <c r="BA107" i="87"/>
  <c r="BA107" i="89"/>
  <c r="BA107" i="88"/>
  <c r="BA107" i="90"/>
  <c r="BA123" i="82"/>
  <c r="BA123" i="83"/>
  <c r="BA123" i="84"/>
  <c r="BA123" i="86"/>
  <c r="BA123" i="85"/>
  <c r="BA123" i="87"/>
  <c r="BA123" i="89"/>
  <c r="BA123" i="88"/>
  <c r="BA123" i="90"/>
  <c r="AW45" i="82"/>
  <c r="AW45" i="83"/>
  <c r="AW45" i="84"/>
  <c r="AW45" i="86"/>
  <c r="AW45" i="85"/>
  <c r="AW45" i="87"/>
  <c r="AW45" i="89"/>
  <c r="AW45" i="88"/>
  <c r="AW45" i="90"/>
  <c r="AW73" i="82"/>
  <c r="AW73" i="83"/>
  <c r="AW73" i="84"/>
  <c r="AW73" i="86"/>
  <c r="AW73" i="85"/>
  <c r="AW73" i="87"/>
  <c r="AW73" i="89"/>
  <c r="AW73" i="88"/>
  <c r="AW73" i="90"/>
  <c r="AW60" i="82"/>
  <c r="AW60" i="84"/>
  <c r="AW60" i="83"/>
  <c r="AW60" i="85"/>
  <c r="AW60" i="86"/>
  <c r="AW60" i="88"/>
  <c r="AW60" i="90"/>
  <c r="AW60" i="87"/>
  <c r="AW60" i="89"/>
  <c r="AW56" i="82"/>
  <c r="AW56" i="84"/>
  <c r="AW56" i="83"/>
  <c r="AW56" i="85"/>
  <c r="AW56" i="86"/>
  <c r="AW56" i="88"/>
  <c r="AW56" i="90"/>
  <c r="AW56" i="87"/>
  <c r="AW56" i="89"/>
  <c r="AR45" i="82"/>
  <c r="AR45" i="84"/>
  <c r="AR45" i="83"/>
  <c r="AR45" i="85"/>
  <c r="AR45" i="86"/>
  <c r="AR45" i="88"/>
  <c r="AR45" i="90"/>
  <c r="AR45" i="87"/>
  <c r="AR45" i="89"/>
  <c r="AU59" i="82"/>
  <c r="AU59" i="83"/>
  <c r="AU59" i="84"/>
  <c r="AU59" i="86"/>
  <c r="AU59" i="85"/>
  <c r="AU59" i="87"/>
  <c r="AU59" i="89"/>
  <c r="AU59" i="88"/>
  <c r="AU59" i="90"/>
  <c r="AR50" i="82"/>
  <c r="AR50" i="83"/>
  <c r="AR50" i="84"/>
  <c r="AR50" i="86"/>
  <c r="AR50" i="85"/>
  <c r="AR50" i="87"/>
  <c r="AR50" i="89"/>
  <c r="AR50" i="88"/>
  <c r="AR50" i="90"/>
  <c r="AR30" i="82"/>
  <c r="AR30" i="83"/>
  <c r="AR30" i="84"/>
  <c r="AR30" i="86"/>
  <c r="AR30" i="85"/>
  <c r="AR30" i="87"/>
  <c r="AR30" i="89"/>
  <c r="AR30" i="88"/>
  <c r="AR30" i="90"/>
  <c r="AW23" i="84"/>
  <c r="AW59" i="82"/>
  <c r="AW59" i="83"/>
  <c r="AW59" i="84"/>
  <c r="AW59" i="86"/>
  <c r="AW59" i="85"/>
  <c r="AW59" i="87"/>
  <c r="AW59" i="89"/>
  <c r="AW59" i="88"/>
  <c r="AW59" i="90"/>
  <c r="AW50" i="82"/>
  <c r="AW50" i="84"/>
  <c r="AW50" i="83"/>
  <c r="AW50" i="85"/>
  <c r="AW50" i="86"/>
  <c r="AW50" i="88"/>
  <c r="AW50" i="90"/>
  <c r="AW50" i="87"/>
  <c r="AW50" i="89"/>
  <c r="AR27" i="82"/>
  <c r="AR27" i="84"/>
  <c r="AR27" i="83"/>
  <c r="AR27" i="85"/>
  <c r="AR27" i="86"/>
  <c r="AR27" i="88"/>
  <c r="AR27" i="90"/>
  <c r="AR27" i="87"/>
  <c r="AR27" i="89"/>
  <c r="AR56" i="82"/>
  <c r="AR56" i="83"/>
  <c r="AR56" i="84"/>
  <c r="AR56" i="86"/>
  <c r="AR56" i="85"/>
  <c r="AR56" i="87"/>
  <c r="AR56" i="89"/>
  <c r="AR56" i="88"/>
  <c r="AR56" i="90"/>
  <c r="AU60" i="82"/>
  <c r="AU60" i="84"/>
  <c r="AU60" i="83"/>
  <c r="AU60" i="85"/>
  <c r="AU60" i="86"/>
  <c r="AU60" i="88"/>
  <c r="AU60" i="90"/>
  <c r="AU60" i="87"/>
  <c r="AU60" i="89"/>
  <c r="AR60" i="82"/>
  <c r="AR60" i="83"/>
  <c r="AR60" i="84"/>
  <c r="AR60" i="86"/>
  <c r="AR60" i="85"/>
  <c r="AR60" i="87"/>
  <c r="AR60" i="89"/>
  <c r="AR60" i="88"/>
  <c r="AR60" i="90"/>
  <c r="AU28" i="82"/>
  <c r="AU28" i="84"/>
  <c r="AU28" i="83"/>
  <c r="AU28" i="85"/>
  <c r="AU28" i="86"/>
  <c r="AU28" i="88"/>
  <c r="AU28" i="90"/>
  <c r="AU28" i="87"/>
  <c r="AU28" i="89"/>
  <c r="AV35" i="82"/>
  <c r="AV35" i="84"/>
  <c r="AV35" i="83"/>
  <c r="AV35" i="85"/>
  <c r="AV35" i="86"/>
  <c r="AV35" i="88"/>
  <c r="AV35" i="90"/>
  <c r="AV35" i="87"/>
  <c r="AV35" i="89"/>
  <c r="AU33" i="82"/>
  <c r="AU33" i="83"/>
  <c r="AU33" i="84"/>
  <c r="AU33" i="86"/>
  <c r="AU33" i="85"/>
  <c r="AU33" i="87"/>
  <c r="AU33" i="89"/>
  <c r="AU33" i="88"/>
  <c r="AU33" i="90"/>
  <c r="AV28" i="88"/>
  <c r="AV28" i="87"/>
  <c r="AV28" i="86"/>
  <c r="AV28" i="83"/>
  <c r="AV28" i="82"/>
  <c r="AV33" i="87"/>
  <c r="AV33" i="88"/>
  <c r="AV33" i="85"/>
  <c r="AV33" i="84"/>
  <c r="AV33" i="82"/>
  <c r="AU74" i="82"/>
  <c r="AU74" i="84"/>
  <c r="AU74" i="83"/>
  <c r="AU74" i="85"/>
  <c r="AU74" i="86"/>
  <c r="AU74" i="88"/>
  <c r="AU74" i="90"/>
  <c r="AU74" i="87"/>
  <c r="AU74" i="89"/>
  <c r="AW77" i="82"/>
  <c r="AW77" i="83"/>
  <c r="AW77" i="84"/>
  <c r="AW77" i="86"/>
  <c r="AW77" i="85"/>
  <c r="AW77" i="87"/>
  <c r="AW77" i="89"/>
  <c r="AW77" i="88"/>
  <c r="AW77" i="90"/>
  <c r="AV64" i="82"/>
  <c r="AV64" i="83"/>
  <c r="AV64" i="84"/>
  <c r="AV64" i="86"/>
  <c r="AV64" i="85"/>
  <c r="AV64" i="87"/>
  <c r="AV64" i="89"/>
  <c r="AV64" i="88"/>
  <c r="AV64" i="90"/>
  <c r="BA49" i="82"/>
  <c r="BA49" i="83"/>
  <c r="BA49" i="84"/>
  <c r="BA49" i="86"/>
  <c r="BA49" i="85"/>
  <c r="BA49" i="87"/>
  <c r="BA49" i="89"/>
  <c r="BA49" i="88"/>
  <c r="BA49" i="90"/>
  <c r="AW71" i="82"/>
  <c r="AW71" i="83"/>
  <c r="AW71" i="84"/>
  <c r="AW71" i="86"/>
  <c r="AW71" i="85"/>
  <c r="AW71" i="87"/>
  <c r="AW71" i="89"/>
  <c r="AW71" i="88"/>
  <c r="AW71" i="90"/>
  <c r="AU71" i="82"/>
  <c r="AU71" i="83"/>
  <c r="AU71" i="84"/>
  <c r="AU71" i="86"/>
  <c r="AU71" i="85"/>
  <c r="AU71" i="87"/>
  <c r="AU71" i="89"/>
  <c r="AU71" i="88"/>
  <c r="AU71" i="90"/>
  <c r="AV60" i="82"/>
  <c r="AV60" i="83"/>
  <c r="AV60" i="84"/>
  <c r="AV60" i="86"/>
  <c r="AV60" i="85"/>
  <c r="AV60" i="87"/>
  <c r="AV60" i="89"/>
  <c r="AV60" i="88"/>
  <c r="AV60" i="90"/>
  <c r="AW54" i="82"/>
  <c r="AW54" i="84"/>
  <c r="AW54" i="83"/>
  <c r="AW54" i="85"/>
  <c r="AW54" i="86"/>
  <c r="AW54" i="88"/>
  <c r="AW54" i="90"/>
  <c r="AW54" i="87"/>
  <c r="AW54" i="89"/>
  <c r="AW57" i="82"/>
  <c r="AW57" i="83"/>
  <c r="AW57" i="84"/>
  <c r="AW57" i="86"/>
  <c r="AW57" i="85"/>
  <c r="AW57" i="87"/>
  <c r="AW57" i="89"/>
  <c r="AW57" i="88"/>
  <c r="AW57" i="90"/>
  <c r="AU23" i="83"/>
  <c r="AU23" i="86"/>
  <c r="AU23" i="87"/>
  <c r="AU23" i="88"/>
  <c r="AV57" i="82"/>
  <c r="AV57" i="86"/>
  <c r="AV57" i="89"/>
  <c r="BA78" i="82"/>
  <c r="BA78" i="84"/>
  <c r="BA78" i="83"/>
  <c r="BA78" i="85"/>
  <c r="BA78" i="86"/>
  <c r="BA78" i="88"/>
  <c r="BA78" i="90"/>
  <c r="BA78" i="87"/>
  <c r="BA78" i="89"/>
  <c r="AV75" i="82"/>
  <c r="AV75" i="84"/>
  <c r="AV75" i="83"/>
  <c r="AV75" i="85"/>
  <c r="AV75" i="86"/>
  <c r="AV75" i="88"/>
  <c r="AV75" i="90"/>
  <c r="AV75" i="87"/>
  <c r="AV75" i="89"/>
  <c r="AV22" i="89"/>
  <c r="AV45" i="82"/>
  <c r="AV45" i="84"/>
  <c r="AV45" i="83"/>
  <c r="AV45" i="85"/>
  <c r="AV45" i="86"/>
  <c r="AV45" i="88"/>
  <c r="AV45" i="90"/>
  <c r="AV45" i="87"/>
  <c r="AV45" i="89"/>
  <c r="BA47" i="82"/>
  <c r="BA47" i="83"/>
  <c r="BA47" i="84"/>
  <c r="BA47" i="86"/>
  <c r="BA47" i="85"/>
  <c r="BA47" i="87"/>
  <c r="BA47" i="89"/>
  <c r="BA47" i="88"/>
  <c r="BA47" i="90"/>
  <c r="AU73" i="82"/>
  <c r="AU73" i="83"/>
  <c r="AU73" i="84"/>
  <c r="AU73" i="86"/>
  <c r="AU73" i="85"/>
  <c r="AU73" i="87"/>
  <c r="AU73" i="89"/>
  <c r="AU73" i="88"/>
  <c r="AU73" i="90"/>
  <c r="AR73" i="82"/>
  <c r="AR73" i="84"/>
  <c r="AR73" i="83"/>
  <c r="AR73" i="85"/>
  <c r="AR73" i="86"/>
  <c r="AR73" i="88"/>
  <c r="AR73" i="90"/>
  <c r="AR73" i="87"/>
  <c r="AR73" i="89"/>
  <c r="AR74" i="82"/>
  <c r="AR74" i="83"/>
  <c r="AR74" i="84"/>
  <c r="AR74" i="86"/>
  <c r="AR74" i="85"/>
  <c r="AR74" i="87"/>
  <c r="AR74" i="89"/>
  <c r="AR74" i="88"/>
  <c r="AR74" i="90"/>
  <c r="AU76" i="82"/>
  <c r="AU76" i="84"/>
  <c r="AU76" i="83"/>
  <c r="AU76" i="85"/>
  <c r="AU76" i="86"/>
  <c r="AU76" i="88"/>
  <c r="AU76" i="90"/>
  <c r="AU76" i="87"/>
  <c r="AU76" i="89"/>
  <c r="AR76" i="82"/>
  <c r="AR76" i="83"/>
  <c r="AR76" i="84"/>
  <c r="AR76" i="86"/>
  <c r="AR76" i="85"/>
  <c r="AR76" i="87"/>
  <c r="AR76" i="89"/>
  <c r="AR76" i="88"/>
  <c r="AR76" i="90"/>
  <c r="AW76" i="82"/>
  <c r="AW76" i="84"/>
  <c r="AW76" i="83"/>
  <c r="AW76" i="85"/>
  <c r="AW76" i="86"/>
  <c r="AW76" i="88"/>
  <c r="AW76" i="90"/>
  <c r="AW76" i="87"/>
  <c r="AW76" i="89"/>
  <c r="AR77" i="82"/>
  <c r="AR77" i="84"/>
  <c r="AR77" i="83"/>
  <c r="AR77" i="85"/>
  <c r="AR77" i="86"/>
  <c r="AR77" i="88"/>
  <c r="AR77" i="90"/>
  <c r="AR77" i="87"/>
  <c r="AR77" i="89"/>
  <c r="AW75" i="82"/>
  <c r="AW75" i="83"/>
  <c r="AW75" i="84"/>
  <c r="AW75" i="86"/>
  <c r="AW75" i="85"/>
  <c r="AW75" i="87"/>
  <c r="AW75" i="89"/>
  <c r="AW75" i="88"/>
  <c r="AW75" i="90"/>
  <c r="AR64" i="82"/>
  <c r="AR64" i="83"/>
  <c r="AR64" i="84"/>
  <c r="AR64" i="86"/>
  <c r="AR64" i="85"/>
  <c r="AR64" i="87"/>
  <c r="AR64" i="89"/>
  <c r="AR64" i="88"/>
  <c r="AR64" i="90"/>
  <c r="AU45" i="82"/>
  <c r="AU45" i="83"/>
  <c r="AU45" i="84"/>
  <c r="AU45" i="86"/>
  <c r="AU45" i="85"/>
  <c r="AU45" i="87"/>
  <c r="AU45" i="89"/>
  <c r="AU45" i="88"/>
  <c r="AU45" i="90"/>
  <c r="AR59" i="82"/>
  <c r="AR59" i="84"/>
  <c r="AR59" i="83"/>
  <c r="AR59" i="85"/>
  <c r="AR59" i="86"/>
  <c r="AR59" i="88"/>
  <c r="AR59" i="90"/>
  <c r="AR59" i="87"/>
  <c r="AR59" i="89"/>
  <c r="AR32" i="82"/>
  <c r="AR32" i="83"/>
  <c r="AR32" i="84"/>
  <c r="AR32" i="86"/>
  <c r="AR32" i="85"/>
  <c r="AR32" i="87"/>
  <c r="AR32" i="89"/>
  <c r="AR32" i="88"/>
  <c r="AR32" i="90"/>
  <c r="AU50" i="82"/>
  <c r="AU50" i="84"/>
  <c r="AU50" i="83"/>
  <c r="AU50" i="85"/>
  <c r="AU50" i="86"/>
  <c r="AU50" i="88"/>
  <c r="AU50" i="90"/>
  <c r="AU50" i="87"/>
  <c r="AU50" i="89"/>
  <c r="AR71" i="82"/>
  <c r="AR71" i="84"/>
  <c r="AR71" i="83"/>
  <c r="AR71" i="85"/>
  <c r="AR71" i="86"/>
  <c r="AR71" i="88"/>
  <c r="AR71" i="90"/>
  <c r="AR71" i="87"/>
  <c r="AR71" i="89"/>
  <c r="AR23" i="86"/>
  <c r="AR54" i="82"/>
  <c r="AR54" i="83"/>
  <c r="AR54" i="84"/>
  <c r="AR54" i="86"/>
  <c r="AR54" i="85"/>
  <c r="AR54" i="87"/>
  <c r="AR54" i="89"/>
  <c r="AR54" i="88"/>
  <c r="AR54" i="90"/>
  <c r="AR75" i="82"/>
  <c r="AR75" i="84"/>
  <c r="AR75" i="83"/>
  <c r="AR75" i="85"/>
  <c r="AR75" i="86"/>
  <c r="AR75" i="88"/>
  <c r="AR75" i="90"/>
  <c r="AR75" i="87"/>
  <c r="AR75" i="89"/>
  <c r="AU75" i="82"/>
  <c r="AU75" i="83"/>
  <c r="AU75" i="84"/>
  <c r="AU75" i="86"/>
  <c r="AU75" i="85"/>
  <c r="AU75" i="87"/>
  <c r="AU75" i="89"/>
  <c r="AU75" i="88"/>
  <c r="AU75" i="90"/>
  <c r="AU56" i="82"/>
  <c r="AU56" i="84"/>
  <c r="AU56" i="83"/>
  <c r="AU56" i="85"/>
  <c r="AU56" i="86"/>
  <c r="AU56" i="88"/>
  <c r="AU56" i="90"/>
  <c r="AU56" i="87"/>
  <c r="AU56" i="89"/>
  <c r="AR57" i="82"/>
  <c r="AR57" i="84"/>
  <c r="AR57" i="83"/>
  <c r="AR57" i="85"/>
  <c r="AR57" i="86"/>
  <c r="AR57" i="88"/>
  <c r="AR57" i="90"/>
  <c r="AR57" i="87"/>
  <c r="AR57" i="89"/>
  <c r="AV29" i="82"/>
  <c r="AV29" i="84"/>
  <c r="AV29" i="83"/>
  <c r="AV29" i="85"/>
  <c r="AV29" i="86"/>
  <c r="AV29" i="88"/>
  <c r="AV29" i="90"/>
  <c r="AV29" i="87"/>
  <c r="AV29" i="89"/>
  <c r="AU36" i="82"/>
  <c r="AU36" i="84"/>
  <c r="AU36" i="83"/>
  <c r="AU36" i="85"/>
  <c r="AU36" i="86"/>
  <c r="AU36" i="88"/>
  <c r="AU36" i="90"/>
  <c r="AU36" i="87"/>
  <c r="AU36" i="89"/>
  <c r="AV36" i="82"/>
  <c r="AV36" i="83"/>
  <c r="AV36" i="86"/>
  <c r="AV36" i="87"/>
  <c r="AV36" i="88"/>
  <c r="AW36" i="83"/>
  <c r="AW36" i="86"/>
  <c r="AW36" i="90"/>
  <c r="AW36" i="89"/>
  <c r="AV36" i="84"/>
  <c r="AV36" i="85"/>
  <c r="AV36" i="89"/>
  <c r="AV36" i="90"/>
  <c r="AW36" i="82"/>
  <c r="AW36" i="84"/>
  <c r="AW36" i="85"/>
  <c r="AW36" i="88"/>
  <c r="AW36" i="87"/>
  <c r="AW33" i="82"/>
  <c r="AW33" i="83"/>
  <c r="AW33" i="84"/>
  <c r="AW33" i="86"/>
  <c r="AW33" i="85"/>
  <c r="AW33" i="87"/>
  <c r="AW33" i="89"/>
  <c r="AW33" i="88"/>
  <c r="AW33" i="90"/>
  <c r="AW28" i="82"/>
  <c r="AW28" i="84"/>
  <c r="AW28" i="83"/>
  <c r="AW28" i="85"/>
  <c r="AW28" i="86"/>
  <c r="AW28" i="88"/>
  <c r="AW28" i="90"/>
  <c r="AW28" i="87"/>
  <c r="AW28" i="89"/>
  <c r="FC60" i="15"/>
  <c r="FB60" i="15" s="1"/>
  <c r="FA60" i="15" s="1"/>
  <c r="BG60" i="65" s="1"/>
  <c r="AG60" i="5" s="1"/>
  <c r="AV28" i="90"/>
  <c r="AV28" i="89"/>
  <c r="AV28" i="85"/>
  <c r="AV28" i="84"/>
  <c r="AV33" i="89"/>
  <c r="AV33" i="90"/>
  <c r="AV33" i="86"/>
  <c r="AV33" i="83"/>
  <c r="BS31" i="15"/>
  <c r="CH31" i="15" s="1"/>
  <c r="CI31" i="15" s="1"/>
  <c r="BY32" i="15"/>
  <c r="BY30" i="15"/>
  <c r="AT30" i="65" s="1"/>
  <c r="N30" i="5" s="1"/>
  <c r="AU30" i="73" s="1"/>
  <c r="CE33" i="15"/>
  <c r="ER33" i="15" s="1"/>
  <c r="CF27" i="15"/>
  <c r="EW27" i="15" s="1"/>
  <c r="CE23" i="15"/>
  <c r="BT23" i="15" s="1"/>
  <c r="CF23" i="15"/>
  <c r="EW23" i="15" s="1"/>
  <c r="AU30" i="65"/>
  <c r="O30" i="5" s="1"/>
  <c r="AV30" i="73" s="1"/>
  <c r="CF30" i="15"/>
  <c r="EW30" i="15" s="1"/>
  <c r="FC23" i="15"/>
  <c r="FB23" i="15" s="1"/>
  <c r="FA23" i="15" s="1"/>
  <c r="BG23" i="65" s="1"/>
  <c r="FC24" i="15"/>
  <c r="FB24" i="15" s="1"/>
  <c r="FA24" i="15" s="1"/>
  <c r="BG24" i="65" s="1"/>
  <c r="AU36" i="91"/>
  <c r="AV36" i="91"/>
  <c r="AW36" i="91"/>
  <c r="FC31" i="15"/>
  <c r="FB31" i="15" s="1"/>
  <c r="FA31" i="15" s="1"/>
  <c r="BG31" i="65" s="1"/>
  <c r="AG31" i="5" s="1"/>
  <c r="FC28" i="15"/>
  <c r="FB28" i="15" s="1"/>
  <c r="FA28" i="15" s="1"/>
  <c r="BG28" i="65" s="1"/>
  <c r="AG28" i="5" s="1"/>
  <c r="BT36" i="15"/>
  <c r="EV36" i="15"/>
  <c r="CH36" i="15" s="1"/>
  <c r="BU36" i="15"/>
  <c r="BY27" i="15"/>
  <c r="AT27" i="65" s="1"/>
  <c r="N27" i="5" s="1"/>
  <c r="AU27" i="73" s="1"/>
  <c r="CE28" i="15"/>
  <c r="ER28" i="15" s="1"/>
  <c r="AV64" i="91"/>
  <c r="AW64" i="91"/>
  <c r="AV60" i="91"/>
  <c r="AW54" i="91"/>
  <c r="AW57" i="91"/>
  <c r="AU64" i="91"/>
  <c r="CJ70" i="15"/>
  <c r="CK70" i="15"/>
  <c r="CI70" i="15"/>
  <c r="CK65" i="15"/>
  <c r="CI65" i="15"/>
  <c r="CJ65" i="15"/>
  <c r="CS65" i="15" s="1"/>
  <c r="AV65" i="91"/>
  <c r="BA107" i="91"/>
  <c r="BA47" i="91"/>
  <c r="AW45" i="91"/>
  <c r="AW73" i="91"/>
  <c r="AW60" i="91"/>
  <c r="AW75" i="91"/>
  <c r="AR64" i="91"/>
  <c r="AU45" i="91"/>
  <c r="AR59" i="91"/>
  <c r="AR32" i="91"/>
  <c r="AU50" i="91"/>
  <c r="AW59" i="91"/>
  <c r="AW50" i="91"/>
  <c r="AR27" i="91"/>
  <c r="AR56" i="91"/>
  <c r="AU60" i="91"/>
  <c r="AR60" i="91"/>
  <c r="CJ72" i="15"/>
  <c r="CK72" i="15"/>
  <c r="CI72" i="15"/>
  <c r="AW74" i="91"/>
  <c r="AV74" i="91"/>
  <c r="AW77" i="91"/>
  <c r="AW23" i="91"/>
  <c r="BA49" i="91"/>
  <c r="AW71" i="91"/>
  <c r="BA44" i="91"/>
  <c r="AV75" i="91"/>
  <c r="AU74" i="91"/>
  <c r="AU77" i="91"/>
  <c r="AU22" i="91"/>
  <c r="AV59" i="91"/>
  <c r="CJ52" i="15"/>
  <c r="CK52" i="15"/>
  <c r="CI52" i="15"/>
  <c r="AU71" i="91"/>
  <c r="AU54" i="91"/>
  <c r="AU57" i="91"/>
  <c r="AU23" i="91"/>
  <c r="AV57" i="91"/>
  <c r="CK69" i="15"/>
  <c r="CI69" i="15"/>
  <c r="CJ69" i="15"/>
  <c r="CS69" i="15" s="1"/>
  <c r="BA40" i="91"/>
  <c r="CK25" i="15"/>
  <c r="CT25" i="15" s="1"/>
  <c r="CI25" i="15"/>
  <c r="CJ25" i="15"/>
  <c r="CS25" i="15" s="1"/>
  <c r="BA78" i="91"/>
  <c r="AV54" i="91"/>
  <c r="AV71" i="91"/>
  <c r="AV22" i="91"/>
  <c r="AV45" i="91"/>
  <c r="BA123" i="91"/>
  <c r="AU73" i="91"/>
  <c r="AR73" i="91"/>
  <c r="AR74" i="91"/>
  <c r="AU76" i="91"/>
  <c r="AR76" i="91"/>
  <c r="AW76" i="91"/>
  <c r="AR77" i="91"/>
  <c r="AW56" i="91"/>
  <c r="AR45" i="91"/>
  <c r="AU59" i="91"/>
  <c r="AR50" i="91"/>
  <c r="AR30" i="91"/>
  <c r="AR71" i="91"/>
  <c r="AR23" i="91"/>
  <c r="AR54" i="91"/>
  <c r="AR75" i="91"/>
  <c r="AU75" i="91"/>
  <c r="AR22" i="91"/>
  <c r="AU56" i="91"/>
  <c r="AR57" i="91"/>
  <c r="CF75" i="15"/>
  <c r="AU50" i="65"/>
  <c r="O50" i="5" s="1"/>
  <c r="AV50" i="73" s="1"/>
  <c r="ET69" i="15"/>
  <c r="ES69" i="15"/>
  <c r="EU69" i="15"/>
  <c r="EX24" i="15"/>
  <c r="EZ24" i="15"/>
  <c r="EY24" i="15"/>
  <c r="EY33" i="15"/>
  <c r="EX33" i="15"/>
  <c r="EZ33" i="15"/>
  <c r="EX40" i="15"/>
  <c r="EZ40" i="15"/>
  <c r="EY40" i="15"/>
  <c r="EY69" i="15"/>
  <c r="EX69" i="15"/>
  <c r="EZ69" i="15"/>
  <c r="EY53" i="15"/>
  <c r="EX53" i="15"/>
  <c r="EZ53" i="15"/>
  <c r="EX46" i="15"/>
  <c r="EZ46" i="15"/>
  <c r="EY46" i="15"/>
  <c r="EX52" i="15"/>
  <c r="EZ52" i="15"/>
  <c r="EY52" i="15"/>
  <c r="ET45" i="15"/>
  <c r="ES45" i="15"/>
  <c r="EU45" i="15"/>
  <c r="EY25" i="15"/>
  <c r="EX25" i="15"/>
  <c r="EZ25" i="15"/>
  <c r="EX70" i="15"/>
  <c r="EZ70" i="15"/>
  <c r="EY70" i="15"/>
  <c r="ES46" i="15"/>
  <c r="EU46" i="15"/>
  <c r="ET46" i="15"/>
  <c r="EY65" i="15"/>
  <c r="EX65" i="15"/>
  <c r="EZ65" i="15"/>
  <c r="ES24" i="15"/>
  <c r="ET24" i="15"/>
  <c r="ET25" i="15"/>
  <c r="ES25" i="15"/>
  <c r="EU25" i="15"/>
  <c r="ET53" i="15"/>
  <c r="ES53" i="15"/>
  <c r="EU53" i="15"/>
  <c r="EX72" i="15"/>
  <c r="EZ72" i="15"/>
  <c r="EY72" i="15"/>
  <c r="ES52" i="15"/>
  <c r="EU52" i="15"/>
  <c r="ET52" i="15"/>
  <c r="EY29" i="15"/>
  <c r="EX29" i="15"/>
  <c r="EZ29" i="15"/>
  <c r="EY35" i="15"/>
  <c r="EX35" i="15"/>
  <c r="EZ35" i="15"/>
  <c r="EY31" i="15"/>
  <c r="EX31" i="15"/>
  <c r="EZ31" i="15"/>
  <c r="EX28" i="15"/>
  <c r="EZ28" i="15"/>
  <c r="EY28" i="15"/>
  <c r="ES35" i="15"/>
  <c r="ET65" i="15"/>
  <c r="ES65" i="15"/>
  <c r="EU65" i="15"/>
  <c r="ES64" i="15"/>
  <c r="EU64" i="15"/>
  <c r="ET64" i="15"/>
  <c r="ET29" i="15"/>
  <c r="ES29" i="15"/>
  <c r="EU29" i="15"/>
  <c r="ET31" i="15"/>
  <c r="ES31" i="15"/>
  <c r="EU31" i="15"/>
  <c r="BQ58" i="15"/>
  <c r="AS58" i="65"/>
  <c r="M58" i="5" s="1"/>
  <c r="CA58" i="15"/>
  <c r="AV58" i="65" s="1"/>
  <c r="P58" i="5" s="1"/>
  <c r="CD58" i="15"/>
  <c r="CB43" i="15"/>
  <c r="BV43" i="15"/>
  <c r="BY43" i="15"/>
  <c r="AT43" i="65" s="1"/>
  <c r="N43" i="5" s="1"/>
  <c r="AU43" i="73" s="1"/>
  <c r="BO43" i="15"/>
  <c r="AQ43" i="65"/>
  <c r="K43" i="5" s="1"/>
  <c r="FT43" i="15"/>
  <c r="BQ39" i="15"/>
  <c r="CA39" i="15"/>
  <c r="AV39" i="65" s="1"/>
  <c r="P39" i="5" s="1"/>
  <c r="AS39" i="65"/>
  <c r="M39" i="5" s="1"/>
  <c r="CD39" i="15"/>
  <c r="BQ37" i="15"/>
  <c r="AS37" i="65"/>
  <c r="M37" i="5" s="1"/>
  <c r="CD37" i="15"/>
  <c r="CA37" i="15" s="1"/>
  <c r="AV37" i="65" s="1"/>
  <c r="P37" i="5" s="1"/>
  <c r="BQ34" i="15"/>
  <c r="AS34" i="65"/>
  <c r="M34" i="5" s="1"/>
  <c r="CD34" i="15"/>
  <c r="CA34" i="15" s="1"/>
  <c r="AV34" i="65" s="1"/>
  <c r="P34" i="5" s="1"/>
  <c r="AQ58" i="65"/>
  <c r="K58" i="5" s="1"/>
  <c r="BO58" i="15"/>
  <c r="CB58" i="15"/>
  <c r="BV58" i="15"/>
  <c r="BY58" i="15" s="1"/>
  <c r="AT58" i="65" s="1"/>
  <c r="N58" i="5" s="1"/>
  <c r="AU58" i="73" s="1"/>
  <c r="FT58" i="15"/>
  <c r="FT39" i="15"/>
  <c r="CB39" i="15"/>
  <c r="AQ39" i="65"/>
  <c r="K39" i="5" s="1"/>
  <c r="BV39" i="15"/>
  <c r="BY39" i="15"/>
  <c r="BO39" i="15"/>
  <c r="CD51" i="15"/>
  <c r="CA51" i="15"/>
  <c r="AV51" i="65" s="1"/>
  <c r="P51" i="5" s="1"/>
  <c r="BQ51" i="15"/>
  <c r="AS51" i="65"/>
  <c r="M51" i="5" s="1"/>
  <c r="BQ41" i="15"/>
  <c r="CD41" i="15"/>
  <c r="AS41" i="65"/>
  <c r="M41" i="5" s="1"/>
  <c r="CA41" i="15"/>
  <c r="AV41" i="65" s="1"/>
  <c r="P41" i="5" s="1"/>
  <c r="AS43" i="65"/>
  <c r="M43" i="5" s="1"/>
  <c r="CD43" i="15"/>
  <c r="CA43" i="15"/>
  <c r="BQ43" i="15"/>
  <c r="AQ37" i="65"/>
  <c r="K37" i="5" s="1"/>
  <c r="CB37" i="15"/>
  <c r="FT37" i="15"/>
  <c r="BY37" i="15"/>
  <c r="AT37" i="65" s="1"/>
  <c r="N37" i="5" s="1"/>
  <c r="AU37" i="73" s="1"/>
  <c r="BV37" i="15"/>
  <c r="BO37" i="15"/>
  <c r="CB51" i="15"/>
  <c r="BO51" i="15"/>
  <c r="AQ51" i="65"/>
  <c r="K51" i="5" s="1"/>
  <c r="BV51" i="15"/>
  <c r="FT51" i="15"/>
  <c r="BY51" i="15"/>
  <c r="AT51" i="65" s="1"/>
  <c r="N51" i="5" s="1"/>
  <c r="AU51" i="73" s="1"/>
  <c r="BO34" i="15"/>
  <c r="AQ34" i="65"/>
  <c r="K34" i="5" s="1"/>
  <c r="CB34" i="15"/>
  <c r="BY34" i="15" s="1"/>
  <c r="AT34" i="65" s="1"/>
  <c r="N34" i="5" s="1"/>
  <c r="AU34" i="73" s="1"/>
  <c r="BV34" i="15"/>
  <c r="FT34" i="15"/>
  <c r="CB41" i="15"/>
  <c r="FT41" i="15"/>
  <c r="BY41" i="15"/>
  <c r="AT41" i="65" s="1"/>
  <c r="N41" i="5" s="1"/>
  <c r="AU41" i="73" s="1"/>
  <c r="BO41" i="15"/>
  <c r="BV41" i="15"/>
  <c r="AQ41" i="65"/>
  <c r="K41" i="5" s="1"/>
  <c r="AU73" i="65"/>
  <c r="O73" i="5" s="1"/>
  <c r="AV73" i="73" s="1"/>
  <c r="CE75" i="15"/>
  <c r="EV75" i="15" s="1"/>
  <c r="CH75" i="15" s="1"/>
  <c r="ER76" i="15"/>
  <c r="FC77" i="15"/>
  <c r="FB77" i="15" s="1"/>
  <c r="FA77" i="15" s="1"/>
  <c r="BG77" i="65" s="1"/>
  <c r="AG77" i="5" s="1"/>
  <c r="BU35" i="15"/>
  <c r="BS35" i="15" s="1"/>
  <c r="CE56" i="15"/>
  <c r="BT56" i="15" s="1"/>
  <c r="BU24" i="15"/>
  <c r="BS24" i="15" s="1"/>
  <c r="EV53" i="15"/>
  <c r="CH53" i="15" s="1"/>
  <c r="BU53" i="15"/>
  <c r="CF74" i="15"/>
  <c r="EW74" i="15" s="1"/>
  <c r="AU76" i="65"/>
  <c r="O76" i="5" s="1"/>
  <c r="AV76" i="73" s="1"/>
  <c r="FC45" i="15"/>
  <c r="FB45" i="15" s="1"/>
  <c r="FA45" i="15" s="1"/>
  <c r="BG45" i="65" s="1"/>
  <c r="AG45" i="5" s="1"/>
  <c r="FC32" i="15"/>
  <c r="FB32" i="15" s="1"/>
  <c r="FA32" i="15" s="1"/>
  <c r="BG32" i="65" s="1"/>
  <c r="AG32" i="5" s="1"/>
  <c r="FC54" i="15"/>
  <c r="FB54" i="15" s="1"/>
  <c r="FA54" i="15" s="1"/>
  <c r="BG54" i="65" s="1"/>
  <c r="AG54" i="5" s="1"/>
  <c r="AU56" i="65"/>
  <c r="O56" i="5" s="1"/>
  <c r="AV56" i="73" s="1"/>
  <c r="CE50" i="15"/>
  <c r="BT50" i="15" s="1"/>
  <c r="FC71" i="15"/>
  <c r="FB71" i="15" s="1"/>
  <c r="FA71" i="15" s="1"/>
  <c r="BG71" i="65" s="1"/>
  <c r="AG71" i="5" s="1"/>
  <c r="FC64" i="15"/>
  <c r="FB64" i="15" s="1"/>
  <c r="FA64" i="15" s="1"/>
  <c r="BG64" i="65" s="1"/>
  <c r="AG64" i="5" s="1"/>
  <c r="BP39" i="15"/>
  <c r="BR39" i="15" s="1"/>
  <c r="CC39" i="15"/>
  <c r="FU39" i="15"/>
  <c r="FC40" i="15" s="1"/>
  <c r="FB40" i="15" s="1"/>
  <c r="FA40" i="15" s="1"/>
  <c r="BG40" i="65" s="1"/>
  <c r="AG40" i="5" s="1"/>
  <c r="BZ39" i="15"/>
  <c r="AU39" i="65" s="1"/>
  <c r="O39" i="5" s="1"/>
  <c r="AR39" i="65"/>
  <c r="L39" i="5" s="1"/>
  <c r="AU77" i="65"/>
  <c r="O77" i="5" s="1"/>
  <c r="AV77" i="73" s="1"/>
  <c r="CE22" i="15"/>
  <c r="BT22" i="15" s="1"/>
  <c r="CE30" i="15"/>
  <c r="ER30" i="15" s="1"/>
  <c r="AU23" i="65"/>
  <c r="ER59" i="15"/>
  <c r="CF60" i="15"/>
  <c r="EW60" i="15" s="1"/>
  <c r="CF32" i="15"/>
  <c r="EW32" i="15" s="1"/>
  <c r="AU27" i="65"/>
  <c r="O27" i="5" s="1"/>
  <c r="AV27" i="73" s="1"/>
  <c r="CE54" i="15"/>
  <c r="ER54" i="15" s="1"/>
  <c r="BP34" i="15"/>
  <c r="CC34" i="15"/>
  <c r="BZ34" i="15" s="1"/>
  <c r="AR34" i="65"/>
  <c r="L34" i="5" s="1"/>
  <c r="FU34" i="15"/>
  <c r="FC35" i="15" s="1"/>
  <c r="FB35" i="15" s="1"/>
  <c r="FA35" i="15" s="1"/>
  <c r="BG35" i="65" s="1"/>
  <c r="AG35" i="5" s="1"/>
  <c r="AR41" i="65"/>
  <c r="L41" i="5" s="1"/>
  <c r="BZ41" i="15"/>
  <c r="AU41" i="65" s="1"/>
  <c r="O41" i="5" s="1"/>
  <c r="AV41" i="73" s="1"/>
  <c r="FU41" i="15"/>
  <c r="FC42" i="15" s="1"/>
  <c r="FB42" i="15" s="1"/>
  <c r="FA42" i="15" s="1"/>
  <c r="BG42" i="65" s="1"/>
  <c r="AG42" i="5" s="1"/>
  <c r="CC41" i="15"/>
  <c r="BP41" i="15"/>
  <c r="BP37" i="15"/>
  <c r="AR37" i="65"/>
  <c r="L37" i="5" s="1"/>
  <c r="FU37" i="15"/>
  <c r="FC38" i="15" s="1"/>
  <c r="FB38" i="15" s="1"/>
  <c r="FA38" i="15" s="1"/>
  <c r="BG38" i="65" s="1"/>
  <c r="AG38" i="5" s="1"/>
  <c r="CC37" i="15"/>
  <c r="BZ37" i="15" s="1"/>
  <c r="AU37" i="65" s="1"/>
  <c r="O37" i="5" s="1"/>
  <c r="AV37" i="73" s="1"/>
  <c r="BZ51" i="15"/>
  <c r="BP51" i="15"/>
  <c r="FU51" i="15"/>
  <c r="FC52" i="15" s="1"/>
  <c r="FB52" i="15" s="1"/>
  <c r="FA52" i="15" s="1"/>
  <c r="BG52" i="65" s="1"/>
  <c r="AG52" i="5" s="1"/>
  <c r="AR51" i="65"/>
  <c r="L51" i="5" s="1"/>
  <c r="CC51" i="15"/>
  <c r="BZ58" i="15"/>
  <c r="AU58" i="65" s="1"/>
  <c r="O58" i="5" s="1"/>
  <c r="AV58" i="73" s="1"/>
  <c r="AR58" i="65"/>
  <c r="L58" i="5" s="1"/>
  <c r="CC58" i="15"/>
  <c r="FU58" i="15"/>
  <c r="FC59" i="15" s="1"/>
  <c r="FB59" i="15" s="1"/>
  <c r="FA59" i="15" s="1"/>
  <c r="BG59" i="65" s="1"/>
  <c r="AG59" i="5" s="1"/>
  <c r="BP58" i="15"/>
  <c r="CC43" i="15"/>
  <c r="BZ43" i="15"/>
  <c r="AU43" i="65" s="1"/>
  <c r="O43" i="5" s="1"/>
  <c r="AV43" i="73" s="1"/>
  <c r="BP43" i="15"/>
  <c r="FU43" i="15"/>
  <c r="AR43" i="65"/>
  <c r="L43" i="5" s="1"/>
  <c r="CH46" i="15"/>
  <c r="CH24" i="15"/>
  <c r="AW25" i="65"/>
  <c r="CV25" i="15"/>
  <c r="AX68" i="65"/>
  <c r="R68" i="5" s="1"/>
  <c r="DC68" i="15"/>
  <c r="AY68" i="65" s="1"/>
  <c r="S68" i="5" s="1"/>
  <c r="CZ57" i="15"/>
  <c r="DB57" i="15" s="1"/>
  <c r="BS53" i="15"/>
  <c r="BS65" i="15"/>
  <c r="CY53" i="15"/>
  <c r="CZ53" i="15"/>
  <c r="DB53" i="15" s="1"/>
  <c r="CT65" i="15"/>
  <c r="AW65" i="65"/>
  <c r="Q65" i="5" s="1"/>
  <c r="BA65" i="73" s="1"/>
  <c r="CR65" i="15"/>
  <c r="DA66" i="15"/>
  <c r="CY66" i="15"/>
  <c r="AX66" i="65"/>
  <c r="R66" i="5" s="1"/>
  <c r="DC66" i="15"/>
  <c r="AY66" i="65" s="1"/>
  <c r="S66" i="5" s="1"/>
  <c r="AX48" i="65"/>
  <c r="R48" i="5" s="1"/>
  <c r="DC48" i="15"/>
  <c r="AY48" i="65" s="1"/>
  <c r="S48" i="5" s="1"/>
  <c r="CT31" i="15"/>
  <c r="EV64" i="15"/>
  <c r="CH64" i="15" s="1"/>
  <c r="BT64" i="15"/>
  <c r="BS64" i="15" s="1"/>
  <c r="BU64" i="15"/>
  <c r="BU59" i="15"/>
  <c r="BT59" i="15"/>
  <c r="EV59" i="15"/>
  <c r="CH59" i="15" s="1"/>
  <c r="BU60" i="15"/>
  <c r="EV60" i="15"/>
  <c r="BT60" i="15"/>
  <c r="BS60" i="15" s="1"/>
  <c r="EW50" i="15"/>
  <c r="BT71" i="15"/>
  <c r="BU71" i="15"/>
  <c r="EV71" i="15"/>
  <c r="CH71" i="15" s="1"/>
  <c r="CW71" i="15" s="1"/>
  <c r="EW71" i="15"/>
  <c r="FC44" i="15"/>
  <c r="FB44" i="15" s="1"/>
  <c r="FA44" i="15" s="1"/>
  <c r="BG44" i="65" s="1"/>
  <c r="AG44" i="5" s="1"/>
  <c r="EV45" i="15"/>
  <c r="CH45" i="15" s="1"/>
  <c r="BU45" i="15"/>
  <c r="BT45" i="15"/>
  <c r="EW54" i="15"/>
  <c r="ER57" i="15"/>
  <c r="BT57" i="15"/>
  <c r="BS57" i="15" s="1"/>
  <c r="BU57" i="15"/>
  <c r="EV57" i="15"/>
  <c r="CH57" i="15" s="1"/>
  <c r="AW69" i="65"/>
  <c r="Q69" i="5" s="1"/>
  <c r="BA69" i="73" s="1"/>
  <c r="CR69" i="15"/>
  <c r="AV43" i="65"/>
  <c r="P43" i="5" s="1"/>
  <c r="AW43" i="73" s="1"/>
  <c r="EW64" i="15"/>
  <c r="CU49" i="15"/>
  <c r="EW59" i="15"/>
  <c r="CT52" i="15"/>
  <c r="CS52" i="15"/>
  <c r="AW52" i="65"/>
  <c r="Q52" i="5" s="1"/>
  <c r="BA52" i="73" s="1"/>
  <c r="CR52" i="15"/>
  <c r="BU56" i="15"/>
  <c r="EW56" i="15"/>
  <c r="AT39" i="65"/>
  <c r="N39" i="5" s="1"/>
  <c r="AU39" i="73" s="1"/>
  <c r="CE43" i="15"/>
  <c r="EW45" i="15"/>
  <c r="EW57" i="15"/>
  <c r="AW70" i="65"/>
  <c r="Q70" i="5" s="1"/>
  <c r="BA70" i="73" s="1"/>
  <c r="CS70" i="15"/>
  <c r="CT70" i="15"/>
  <c r="CV70" i="15"/>
  <c r="CR70" i="15"/>
  <c r="CW49" i="15"/>
  <c r="CV49" i="15"/>
  <c r="BS46" i="15"/>
  <c r="ER60" i="15"/>
  <c r="ER71" i="15"/>
  <c r="EW22" i="15"/>
  <c r="EW77" i="15"/>
  <c r="ER77" i="15"/>
  <c r="BU77" i="15"/>
  <c r="BT77" i="15"/>
  <c r="EV77" i="15"/>
  <c r="CH77" i="15" s="1"/>
  <c r="EW76" i="15"/>
  <c r="BU76" i="15"/>
  <c r="EV76" i="15"/>
  <c r="CH76" i="15" s="1"/>
  <c r="BT76" i="15"/>
  <c r="BS76" i="15" s="1"/>
  <c r="EW75" i="15"/>
  <c r="ER74" i="15"/>
  <c r="EV74" i="15"/>
  <c r="BU74" i="15"/>
  <c r="BT74" i="15"/>
  <c r="ER73" i="15"/>
  <c r="EV73" i="15"/>
  <c r="CH73" i="15" s="1"/>
  <c r="BT73" i="15"/>
  <c r="BU73" i="15"/>
  <c r="EW73" i="15"/>
  <c r="CR72" i="15"/>
  <c r="AW72" i="65"/>
  <c r="Q72" i="5" s="1"/>
  <c r="BA72" i="73" s="1"/>
  <c r="CT72" i="15"/>
  <c r="CS72" i="15"/>
  <c r="AX62" i="65"/>
  <c r="R62" i="5" s="1"/>
  <c r="DC62" i="15"/>
  <c r="AY62" i="65" s="1"/>
  <c r="S62" i="5" s="1"/>
  <c r="Z55" i="5"/>
  <c r="Z63" i="5"/>
  <c r="Z96" i="5"/>
  <c r="Z92" i="5"/>
  <c r="Z110" i="5"/>
  <c r="Z114" i="5"/>
  <c r="Z119" i="5"/>
  <c r="Z95" i="5"/>
  <c r="Z108" i="5"/>
  <c r="Z101" i="5"/>
  <c r="CY109" i="15"/>
  <c r="DA109" i="15"/>
  <c r="CZ109" i="15"/>
  <c r="DB109" i="15" s="1"/>
  <c r="Z91" i="5"/>
  <c r="AU22" i="89" l="1"/>
  <c r="AW22" i="73"/>
  <c r="CK31" i="15"/>
  <c r="BS36" i="15"/>
  <c r="AR22" i="73"/>
  <c r="X225" i="5"/>
  <c r="Y225" i="5" s="1"/>
  <c r="EI207" i="15"/>
  <c r="EI243" i="15"/>
  <c r="EI199" i="15"/>
  <c r="EI345" i="15"/>
  <c r="EI187" i="15"/>
  <c r="EI211" i="15"/>
  <c r="EI322" i="15"/>
  <c r="EI204" i="15"/>
  <c r="EI218" i="15"/>
  <c r="EI308" i="15"/>
  <c r="EI262" i="15"/>
  <c r="EI310" i="15"/>
  <c r="EI148" i="15"/>
  <c r="EI169" i="15"/>
  <c r="EI168" i="15"/>
  <c r="EI228" i="15"/>
  <c r="EI242" i="15"/>
  <c r="EI144" i="15"/>
  <c r="EI146" i="15"/>
  <c r="EI212" i="15"/>
  <c r="EI229" i="15"/>
  <c r="EI150" i="15"/>
  <c r="EI180" i="15"/>
  <c r="EI132" i="15"/>
  <c r="EI263" i="15"/>
  <c r="EI264" i="15"/>
  <c r="EI176" i="15"/>
  <c r="EI266" i="15"/>
  <c r="EI330" i="15"/>
  <c r="AV22" i="73"/>
  <c r="BC83" i="73"/>
  <c r="AQ83" i="73"/>
  <c r="AR34" i="73"/>
  <c r="AW41" i="73"/>
  <c r="AW51" i="73"/>
  <c r="AR58" i="73"/>
  <c r="AW37" i="73"/>
  <c r="AR43" i="73"/>
  <c r="AW58" i="73"/>
  <c r="AW27" i="73"/>
  <c r="BC87" i="73"/>
  <c r="AQ87" i="73"/>
  <c r="AV39" i="73"/>
  <c r="AR41" i="73"/>
  <c r="AR51" i="73"/>
  <c r="AR37" i="73"/>
  <c r="AR39" i="73"/>
  <c r="AW34" i="73"/>
  <c r="AW39" i="73"/>
  <c r="AW23" i="73"/>
  <c r="AR23" i="73"/>
  <c r="AW30" i="73"/>
  <c r="AG52" i="65"/>
  <c r="AG72" i="65"/>
  <c r="AG65" i="65"/>
  <c r="AG70" i="65"/>
  <c r="AW23" i="89"/>
  <c r="AR22" i="86"/>
  <c r="AR23" i="82"/>
  <c r="AR23" i="89"/>
  <c r="AV22" i="84"/>
  <c r="AV57" i="90"/>
  <c r="AV57" i="83"/>
  <c r="AV59" i="88"/>
  <c r="AV59" i="84"/>
  <c r="AU22" i="86"/>
  <c r="AH90" i="65"/>
  <c r="EI221" i="15"/>
  <c r="BF221" i="65" s="1"/>
  <c r="EI241" i="15"/>
  <c r="BF241" i="65" s="1"/>
  <c r="EI157" i="15"/>
  <c r="BF157" i="65" s="1"/>
  <c r="EI183" i="15"/>
  <c r="EI135" i="15"/>
  <c r="EI321" i="15"/>
  <c r="EI249" i="15"/>
  <c r="EI81" i="15"/>
  <c r="EI191" i="15"/>
  <c r="EI326" i="15"/>
  <c r="EI184" i="15"/>
  <c r="EI318" i="15"/>
  <c r="EI128" i="15"/>
  <c r="EI178" i="15"/>
  <c r="EI260" i="15"/>
  <c r="EI186" i="15"/>
  <c r="EI248" i="15"/>
  <c r="EI193" i="15"/>
  <c r="EI251" i="15"/>
  <c r="EI219" i="15"/>
  <c r="EI261" i="15"/>
  <c r="EI259" i="15"/>
  <c r="EI256" i="15"/>
  <c r="EI206" i="15"/>
  <c r="EI306" i="15"/>
  <c r="EI246" i="15"/>
  <c r="EI174" i="15"/>
  <c r="EI294" i="15"/>
  <c r="EI316" i="15"/>
  <c r="EI340" i="15"/>
  <c r="EI348" i="15"/>
  <c r="EI194" i="15"/>
  <c r="EI230" i="15"/>
  <c r="EI220" i="15"/>
  <c r="EI200" i="15"/>
  <c r="EI214" i="15"/>
  <c r="EI245" i="15"/>
  <c r="EI213" i="15"/>
  <c r="EI237" i="15"/>
  <c r="EI215" i="15"/>
  <c r="EI192" i="15"/>
  <c r="EI162" i="15"/>
  <c r="EI188" i="15"/>
  <c r="EI236" i="15"/>
  <c r="EI190" i="15"/>
  <c r="EI342" i="15"/>
  <c r="EI244" i="15"/>
  <c r="EI160" i="15"/>
  <c r="EI344" i="15"/>
  <c r="EI153" i="15"/>
  <c r="EI268" i="15"/>
  <c r="EI254" i="15"/>
  <c r="EI216" i="15"/>
  <c r="EI240" i="15"/>
  <c r="EI202" i="15"/>
  <c r="EI234" i="15"/>
  <c r="EI302" i="15"/>
  <c r="EI328" i="15"/>
  <c r="EI314" i="15"/>
  <c r="EI334" i="15"/>
  <c r="EI346" i="15"/>
  <c r="EI198" i="15"/>
  <c r="EI134" i="15"/>
  <c r="CR25" i="15"/>
  <c r="AG25" i="65"/>
  <c r="DC38" i="15"/>
  <c r="AY38" i="65" s="1"/>
  <c r="S38" i="5" s="1"/>
  <c r="AG69" i="65"/>
  <c r="EI265" i="15"/>
  <c r="BF265" i="65" s="1"/>
  <c r="CR26" i="15"/>
  <c r="AG26" i="65"/>
  <c r="AG40" i="65"/>
  <c r="DQ312" i="15"/>
  <c r="AA312" i="5" s="1"/>
  <c r="AB312" i="5" s="1"/>
  <c r="DQ158" i="15"/>
  <c r="AA158" i="5" s="1"/>
  <c r="AB158" i="5" s="1"/>
  <c r="DQ282" i="15"/>
  <c r="AA282" i="5" s="1"/>
  <c r="AB282" i="5" s="1"/>
  <c r="DQ298" i="15"/>
  <c r="AA298" i="5" s="1"/>
  <c r="AB298" i="5" s="1"/>
  <c r="DQ300" i="15"/>
  <c r="AA300" i="5" s="1"/>
  <c r="AB300" i="5" s="1"/>
  <c r="DQ286" i="15"/>
  <c r="AA286" i="5" s="1"/>
  <c r="AB286" i="5" s="1"/>
  <c r="DQ278" i="15"/>
  <c r="AA278" i="5" s="1"/>
  <c r="AB278" i="5" s="1"/>
  <c r="DQ317" i="15"/>
  <c r="AA317" i="5" s="1"/>
  <c r="AB317" i="5" s="1"/>
  <c r="DQ209" i="15"/>
  <c r="AA209" i="5" s="1"/>
  <c r="AB209" i="5" s="1"/>
  <c r="DQ217" i="15"/>
  <c r="AA217" i="5" s="1"/>
  <c r="AB217" i="5" s="1"/>
  <c r="DQ304" i="15"/>
  <c r="AA304" i="5" s="1"/>
  <c r="AB304" i="5" s="1"/>
  <c r="DQ331" i="15"/>
  <c r="AA331" i="5" s="1"/>
  <c r="AB331" i="5" s="1"/>
  <c r="DQ325" i="15"/>
  <c r="AA325" i="5" s="1"/>
  <c r="AB325" i="5" s="1"/>
  <c r="DQ102" i="15"/>
  <c r="AA102" i="5" s="1"/>
  <c r="AB102" i="5" s="1"/>
  <c r="DQ103" i="15"/>
  <c r="AA103" i="5" s="1"/>
  <c r="AB103" i="5" s="1"/>
  <c r="DQ276" i="15"/>
  <c r="AA276" i="5" s="1"/>
  <c r="AB276" i="5" s="1"/>
  <c r="DQ235" i="15"/>
  <c r="AA235" i="5" s="1"/>
  <c r="AB235" i="5" s="1"/>
  <c r="DQ231" i="15"/>
  <c r="AA231" i="5" s="1"/>
  <c r="AB231" i="5" s="1"/>
  <c r="DQ319" i="15"/>
  <c r="AA319" i="5" s="1"/>
  <c r="AB319" i="5" s="1"/>
  <c r="DQ315" i="15"/>
  <c r="AA315" i="5" s="1"/>
  <c r="AB315" i="5" s="1"/>
  <c r="DQ281" i="15"/>
  <c r="AA281" i="5" s="1"/>
  <c r="AB281" i="5" s="1"/>
  <c r="DQ275" i="15"/>
  <c r="AA275" i="5" s="1"/>
  <c r="AB275" i="5" s="1"/>
  <c r="DQ347" i="15"/>
  <c r="AA347" i="5" s="1"/>
  <c r="AB347" i="5" s="1"/>
  <c r="DQ333" i="15"/>
  <c r="AA333" i="5" s="1"/>
  <c r="AB333" i="5" s="1"/>
  <c r="DQ280" i="15"/>
  <c r="AA280" i="5" s="1"/>
  <c r="AB280" i="5" s="1"/>
  <c r="DQ349" i="15"/>
  <c r="AA349" i="5" s="1"/>
  <c r="AB349" i="5" s="1"/>
  <c r="DQ299" i="15"/>
  <c r="AA299" i="5" s="1"/>
  <c r="AB299" i="5" s="1"/>
  <c r="DQ272" i="15"/>
  <c r="AA272" i="5" s="1"/>
  <c r="AB272" i="5" s="1"/>
  <c r="CH35" i="15"/>
  <c r="DQ142" i="15"/>
  <c r="AA142" i="5" s="1"/>
  <c r="AB142" i="5" s="1"/>
  <c r="DQ290" i="15"/>
  <c r="AA290" i="5" s="1"/>
  <c r="AB290" i="5" s="1"/>
  <c r="DQ274" i="15"/>
  <c r="AA274" i="5" s="1"/>
  <c r="AB274" i="5" s="1"/>
  <c r="DQ296" i="15"/>
  <c r="AA296" i="5" s="1"/>
  <c r="AB296" i="5" s="1"/>
  <c r="DQ227" i="15"/>
  <c r="AA227" i="5" s="1"/>
  <c r="AB227" i="5" s="1"/>
  <c r="DQ273" i="15"/>
  <c r="AA273" i="5" s="1"/>
  <c r="AB273" i="5" s="1"/>
  <c r="DQ223" i="15"/>
  <c r="AA223" i="5" s="1"/>
  <c r="AB223" i="5" s="1"/>
  <c r="DQ255" i="15"/>
  <c r="AA255" i="5" s="1"/>
  <c r="AB255" i="5" s="1"/>
  <c r="DQ203" i="15"/>
  <c r="AA203" i="5" s="1"/>
  <c r="AB203" i="5" s="1"/>
  <c r="DQ141" i="15"/>
  <c r="AA141" i="5" s="1"/>
  <c r="AB141" i="5" s="1"/>
  <c r="DQ339" i="15"/>
  <c r="AA339" i="5" s="1"/>
  <c r="AB339" i="5" s="1"/>
  <c r="DQ327" i="15"/>
  <c r="AA327" i="5" s="1"/>
  <c r="AB327" i="5" s="1"/>
  <c r="DQ341" i="15"/>
  <c r="AA341" i="5" s="1"/>
  <c r="AB341" i="5" s="1"/>
  <c r="DQ289" i="15"/>
  <c r="AA289" i="5" s="1"/>
  <c r="AB289" i="5" s="1"/>
  <c r="DQ305" i="15"/>
  <c r="AA305" i="5" s="1"/>
  <c r="AB305" i="5" s="1"/>
  <c r="DQ271" i="15"/>
  <c r="AA271" i="5" s="1"/>
  <c r="AB271" i="5" s="1"/>
  <c r="DQ267" i="15"/>
  <c r="AA267" i="5" s="1"/>
  <c r="AB267" i="5" s="1"/>
  <c r="DQ185" i="15"/>
  <c r="AA185" i="5" s="1"/>
  <c r="AB185" i="5" s="1"/>
  <c r="DQ239" i="15"/>
  <c r="AA239" i="5" s="1"/>
  <c r="AB239" i="5" s="1"/>
  <c r="DQ285" i="15"/>
  <c r="AA285" i="5" s="1"/>
  <c r="AB285" i="5" s="1"/>
  <c r="DQ129" i="15"/>
  <c r="AA129" i="5" s="1"/>
  <c r="AB129" i="5" s="1"/>
  <c r="DQ293" i="15"/>
  <c r="AA293" i="5" s="1"/>
  <c r="AB293" i="5" s="1"/>
  <c r="DQ329" i="15"/>
  <c r="AA329" i="5" s="1"/>
  <c r="AB329" i="5" s="1"/>
  <c r="DQ159" i="15"/>
  <c r="AA159" i="5" s="1"/>
  <c r="AB159" i="5" s="1"/>
  <c r="DQ112" i="15"/>
  <c r="AA112" i="5" s="1"/>
  <c r="AB112" i="5" s="1"/>
  <c r="BS45" i="15"/>
  <c r="CV40" i="15"/>
  <c r="CR40" i="15"/>
  <c r="CX47" i="15"/>
  <c r="CY44" i="15"/>
  <c r="CZ44" i="15"/>
  <c r="DB44" i="15" s="1"/>
  <c r="DA44" i="15"/>
  <c r="AX42" i="65"/>
  <c r="R42" i="5" s="1"/>
  <c r="DC42" i="15"/>
  <c r="AY42" i="65" s="1"/>
  <c r="S42" i="5" s="1"/>
  <c r="CW40" i="15"/>
  <c r="BF225" i="65"/>
  <c r="BF207" i="65"/>
  <c r="BF243" i="65"/>
  <c r="BF163" i="65"/>
  <c r="AW22" i="85"/>
  <c r="AU22" i="90"/>
  <c r="AU22" i="83"/>
  <c r="AR23" i="90"/>
  <c r="AR23" i="83"/>
  <c r="AV22" i="90"/>
  <c r="AV22" i="85"/>
  <c r="AV22" i="82"/>
  <c r="AV57" i="87"/>
  <c r="AV57" i="88"/>
  <c r="AV57" i="85"/>
  <c r="AV57" i="84"/>
  <c r="AW23" i="90"/>
  <c r="AW23" i="85"/>
  <c r="AW23" i="82"/>
  <c r="AW22" i="87"/>
  <c r="AV59" i="89"/>
  <c r="AV59" i="90"/>
  <c r="AV59" i="86"/>
  <c r="AV59" i="83"/>
  <c r="AV59" i="82"/>
  <c r="AU22" i="87"/>
  <c r="AU22" i="88"/>
  <c r="AU22" i="85"/>
  <c r="AU22" i="84"/>
  <c r="CH29" i="15"/>
  <c r="CI29" i="15" s="1"/>
  <c r="ER75" i="15"/>
  <c r="AW22" i="84"/>
  <c r="AR22" i="88"/>
  <c r="AR23" i="84"/>
  <c r="ER56" i="15"/>
  <c r="ER50" i="15"/>
  <c r="FC43" i="15"/>
  <c r="FB43" i="15" s="1"/>
  <c r="FA43" i="15" s="1"/>
  <c r="BG43" i="65" s="1"/>
  <c r="AG43" i="5" s="1"/>
  <c r="AR23" i="87"/>
  <c r="AR23" i="88"/>
  <c r="AR23" i="85"/>
  <c r="AU23" i="90"/>
  <c r="AU23" i="89"/>
  <c r="AU23" i="85"/>
  <c r="AU23" i="84"/>
  <c r="AU23" i="82"/>
  <c r="AW23" i="88"/>
  <c r="AW23" i="87"/>
  <c r="AW23" i="86"/>
  <c r="AW23" i="83"/>
  <c r="AW22" i="88"/>
  <c r="CF43" i="15"/>
  <c r="CF58" i="15"/>
  <c r="BR43" i="15"/>
  <c r="CF51" i="15"/>
  <c r="AV25" i="83"/>
  <c r="CI53" i="15"/>
  <c r="AW53" i="65"/>
  <c r="Q53" i="5" s="1"/>
  <c r="BA53" i="73" s="1"/>
  <c r="CT53" i="15"/>
  <c r="CW53" i="15" s="1"/>
  <c r="CK53" i="15"/>
  <c r="CJ53" i="15"/>
  <c r="CS53" i="15" s="1"/>
  <c r="CV53" i="15" s="1"/>
  <c r="CR53" i="15"/>
  <c r="EF239" i="15"/>
  <c r="BE239" i="65" s="1"/>
  <c r="BD239" i="65"/>
  <c r="BD272" i="65"/>
  <c r="EF272" i="15"/>
  <c r="BE272" i="65" s="1"/>
  <c r="DM272" i="15"/>
  <c r="DN272" i="15"/>
  <c r="EF112" i="15"/>
  <c r="BE112" i="65" s="1"/>
  <c r="BD112" i="65"/>
  <c r="BD159" i="65"/>
  <c r="EF159" i="15"/>
  <c r="BE159" i="65" s="1"/>
  <c r="DN239" i="15"/>
  <c r="X239" i="5" s="1"/>
  <c r="Y239" i="5" s="1"/>
  <c r="DM239" i="15"/>
  <c r="DN285" i="15"/>
  <c r="X285" i="5" s="1"/>
  <c r="Y285" i="5" s="1"/>
  <c r="DM285" i="15"/>
  <c r="EF285" i="15"/>
  <c r="BE285" i="65" s="1"/>
  <c r="BD285" i="65"/>
  <c r="DN349" i="15"/>
  <c r="DM349" i="15"/>
  <c r="BD280" i="65"/>
  <c r="EF280" i="15"/>
  <c r="BE280" i="65" s="1"/>
  <c r="AV25" i="90"/>
  <c r="DN159" i="15"/>
  <c r="DM159" i="15"/>
  <c r="EF349" i="15"/>
  <c r="BE349" i="65" s="1"/>
  <c r="BD349" i="65"/>
  <c r="DN299" i="15"/>
  <c r="DM299" i="15"/>
  <c r="DN280" i="15"/>
  <c r="DM280" i="15"/>
  <c r="DN112" i="15"/>
  <c r="DM112" i="15"/>
  <c r="EF129" i="15"/>
  <c r="BE129" i="65" s="1"/>
  <c r="BD129" i="65"/>
  <c r="BD293" i="65"/>
  <c r="EF293" i="15"/>
  <c r="BE293" i="65" s="1"/>
  <c r="BD299" i="65"/>
  <c r="EF299" i="15"/>
  <c r="BE299" i="65" s="1"/>
  <c r="DM129" i="15"/>
  <c r="DN129" i="15"/>
  <c r="X129" i="5" s="1"/>
  <c r="Y129" i="5" s="1"/>
  <c r="DM293" i="15"/>
  <c r="DN293" i="15"/>
  <c r="EI293" i="15" s="1"/>
  <c r="BF293" i="65" s="1"/>
  <c r="EF329" i="15"/>
  <c r="BE329" i="65" s="1"/>
  <c r="BD329" i="65"/>
  <c r="DM329" i="15"/>
  <c r="DN329" i="15"/>
  <c r="EI329" i="15" s="1"/>
  <c r="BF329" i="65" s="1"/>
  <c r="CH74" i="15"/>
  <c r="DN142" i="15"/>
  <c r="EI142" i="15" s="1"/>
  <c r="DM142" i="15"/>
  <c r="DN296" i="15"/>
  <c r="DM296" i="15"/>
  <c r="DN278" i="15"/>
  <c r="EI278" i="15" s="1"/>
  <c r="DM278" i="15"/>
  <c r="DN298" i="15"/>
  <c r="DM298" i="15"/>
  <c r="DN312" i="15"/>
  <c r="EI312" i="15" s="1"/>
  <c r="DM312" i="15"/>
  <c r="DN274" i="15"/>
  <c r="DM274" i="15"/>
  <c r="DN300" i="15"/>
  <c r="EI300" i="15" s="1"/>
  <c r="DM300" i="15"/>
  <c r="DN290" i="15"/>
  <c r="EI290" i="15" s="1"/>
  <c r="DM290" i="15"/>
  <c r="DN103" i="15"/>
  <c r="EI103" i="15" s="1"/>
  <c r="BF103" i="65" s="1"/>
  <c r="DM103" i="15"/>
  <c r="DN141" i="15"/>
  <c r="EI141" i="15" s="1"/>
  <c r="DM141" i="15"/>
  <c r="DN339" i="15"/>
  <c r="EI339" i="15" s="1"/>
  <c r="BF339" i="65" s="1"/>
  <c r="DM339" i="15"/>
  <c r="DN281" i="15"/>
  <c r="EI281" i="15" s="1"/>
  <c r="BF281" i="65" s="1"/>
  <c r="DM281" i="15"/>
  <c r="DN331" i="15"/>
  <c r="EI331" i="15" s="1"/>
  <c r="BF331" i="65" s="1"/>
  <c r="DM331" i="15"/>
  <c r="DN271" i="15"/>
  <c r="EI271" i="15" s="1"/>
  <c r="BF271" i="65" s="1"/>
  <c r="DM271" i="15"/>
  <c r="DN347" i="15"/>
  <c r="EI347" i="15" s="1"/>
  <c r="BF347" i="65" s="1"/>
  <c r="DM347" i="15"/>
  <c r="DN223" i="15"/>
  <c r="EI223" i="15" s="1"/>
  <c r="BF223" i="65" s="1"/>
  <c r="DM223" i="15"/>
  <c r="DN333" i="15"/>
  <c r="X333" i="5" s="1"/>
  <c r="Y333" i="5" s="1"/>
  <c r="DM333" i="15"/>
  <c r="DN267" i="15"/>
  <c r="EI267" i="15" s="1"/>
  <c r="DM267" i="15"/>
  <c r="DN317" i="15"/>
  <c r="X317" i="5" s="1"/>
  <c r="Y317" i="5" s="1"/>
  <c r="DM317" i="15"/>
  <c r="DN209" i="15"/>
  <c r="EI209" i="15" s="1"/>
  <c r="DM209" i="15"/>
  <c r="DN235" i="15"/>
  <c r="EI235" i="15" s="1"/>
  <c r="BF235" i="65" s="1"/>
  <c r="DM235" i="15"/>
  <c r="DN217" i="15"/>
  <c r="EI217" i="15" s="1"/>
  <c r="BF217" i="65" s="1"/>
  <c r="DM217" i="15"/>
  <c r="DN227" i="15"/>
  <c r="EI227" i="15" s="1"/>
  <c r="BF227" i="65" s="1"/>
  <c r="DM227" i="15"/>
  <c r="DN273" i="15"/>
  <c r="X273" i="5" s="1"/>
  <c r="Y273" i="5" s="1"/>
  <c r="DM273" i="15"/>
  <c r="DN305" i="15"/>
  <c r="EI305" i="15" s="1"/>
  <c r="BF305" i="65" s="1"/>
  <c r="DM305" i="15"/>
  <c r="DN102" i="15"/>
  <c r="EI102" i="15" s="1"/>
  <c r="DM102" i="15"/>
  <c r="DN158" i="15"/>
  <c r="EI158" i="15" s="1"/>
  <c r="DM158" i="15"/>
  <c r="DN282" i="15"/>
  <c r="EI282" i="15" s="1"/>
  <c r="DM282" i="15"/>
  <c r="DN286" i="15"/>
  <c r="EI286" i="15" s="1"/>
  <c r="DM286" i="15"/>
  <c r="DN255" i="15"/>
  <c r="EI255" i="15" s="1"/>
  <c r="DM255" i="15"/>
  <c r="DN203" i="15"/>
  <c r="EI203" i="15" s="1"/>
  <c r="BF203" i="65" s="1"/>
  <c r="DM203" i="15"/>
  <c r="DN276" i="15"/>
  <c r="X276" i="5" s="1"/>
  <c r="Y276" i="5" s="1"/>
  <c r="DM276" i="15"/>
  <c r="DN231" i="15"/>
  <c r="X231" i="5" s="1"/>
  <c r="Y231" i="5" s="1"/>
  <c r="DM231" i="15"/>
  <c r="DN327" i="15"/>
  <c r="X327" i="5" s="1"/>
  <c r="Y327" i="5" s="1"/>
  <c r="DM327" i="15"/>
  <c r="DN341" i="15"/>
  <c r="X341" i="5" s="1"/>
  <c r="Y341" i="5" s="1"/>
  <c r="DM341" i="15"/>
  <c r="DN289" i="15"/>
  <c r="X289" i="5" s="1"/>
  <c r="Y289" i="5" s="1"/>
  <c r="DM289" i="15"/>
  <c r="DN319" i="15"/>
  <c r="X319" i="5" s="1"/>
  <c r="Y319" i="5" s="1"/>
  <c r="DM319" i="15"/>
  <c r="DN315" i="15"/>
  <c r="X315" i="5" s="1"/>
  <c r="Y315" i="5" s="1"/>
  <c r="DM315" i="15"/>
  <c r="DN275" i="15"/>
  <c r="X275" i="5" s="1"/>
  <c r="Y275" i="5" s="1"/>
  <c r="DM275" i="15"/>
  <c r="DN185" i="15"/>
  <c r="EI185" i="15" s="1"/>
  <c r="DM185" i="15"/>
  <c r="DN304" i="15"/>
  <c r="X304" i="5" s="1"/>
  <c r="Y304" i="5" s="1"/>
  <c r="DM304" i="15"/>
  <c r="DN325" i="15"/>
  <c r="X325" i="5" s="1"/>
  <c r="Y325" i="5" s="1"/>
  <c r="DM325" i="15"/>
  <c r="EF203" i="15"/>
  <c r="BE203" i="65" s="1"/>
  <c r="BD203" i="65"/>
  <c r="EF209" i="15"/>
  <c r="BE209" i="65" s="1"/>
  <c r="BD209" i="65"/>
  <c r="BD235" i="65"/>
  <c r="EF235" i="15"/>
  <c r="BE235" i="65" s="1"/>
  <c r="EF231" i="15"/>
  <c r="BE231" i="65" s="1"/>
  <c r="BD231" i="65"/>
  <c r="BD341" i="65"/>
  <c r="EF341" i="15"/>
  <c r="BE341" i="65" s="1"/>
  <c r="BD289" i="65"/>
  <c r="EF289" i="15"/>
  <c r="BE289" i="65" s="1"/>
  <c r="BD305" i="65"/>
  <c r="EF305" i="15"/>
  <c r="BE305" i="65" s="1"/>
  <c r="BD271" i="65"/>
  <c r="EF271" i="15"/>
  <c r="BE271" i="65" s="1"/>
  <c r="EF102" i="15"/>
  <c r="BE102" i="65" s="1"/>
  <c r="AE102" i="5" s="1"/>
  <c r="BD102" i="65"/>
  <c r="AD102" i="5" s="1"/>
  <c r="EF267" i="15"/>
  <c r="BE267" i="65" s="1"/>
  <c r="BD267" i="65"/>
  <c r="X267" i="5"/>
  <c r="Y267" i="5" s="1"/>
  <c r="W267" i="5"/>
  <c r="W167" i="5"/>
  <c r="BF137" i="65"/>
  <c r="X137" i="5"/>
  <c r="Y137" i="5" s="1"/>
  <c r="EF317" i="15"/>
  <c r="BE317" i="65" s="1"/>
  <c r="BD317" i="65"/>
  <c r="W209" i="5"/>
  <c r="X209" i="5"/>
  <c r="Y209" i="5" s="1"/>
  <c r="EF327" i="15"/>
  <c r="BE327" i="65" s="1"/>
  <c r="BD327" i="65"/>
  <c r="BD319" i="65"/>
  <c r="EF319" i="15"/>
  <c r="BE319" i="65" s="1"/>
  <c r="BD281" i="65"/>
  <c r="EF281" i="15"/>
  <c r="BE281" i="65" s="1"/>
  <c r="EF273" i="15"/>
  <c r="BE273" i="65" s="1"/>
  <c r="BD273" i="65"/>
  <c r="BD325" i="65"/>
  <c r="EF325" i="15"/>
  <c r="BE325" i="65" s="1"/>
  <c r="EF275" i="15"/>
  <c r="BE275" i="65" s="1"/>
  <c r="BD275" i="65"/>
  <c r="W199" i="5"/>
  <c r="BD347" i="65"/>
  <c r="EF347" i="15"/>
  <c r="BE347" i="65" s="1"/>
  <c r="EF333" i="15"/>
  <c r="BE333" i="65" s="1"/>
  <c r="BD333" i="65"/>
  <c r="BC83" i="83"/>
  <c r="BC83" i="86"/>
  <c r="BC83" i="87"/>
  <c r="BC83" i="88"/>
  <c r="AQ83" i="91"/>
  <c r="AQ83" i="82"/>
  <c r="AQ83" i="84"/>
  <c r="AQ83" i="85"/>
  <c r="AQ83" i="89"/>
  <c r="AQ83" i="90"/>
  <c r="BC83" i="82"/>
  <c r="BC83" i="84"/>
  <c r="BC83" i="85"/>
  <c r="BC83" i="89"/>
  <c r="BC83" i="90"/>
  <c r="AQ83" i="83"/>
  <c r="AQ83" i="86"/>
  <c r="AQ83" i="87"/>
  <c r="AQ83" i="88"/>
  <c r="BC83" i="91"/>
  <c r="BD185" i="65"/>
  <c r="EF185" i="15"/>
  <c r="BE185" i="65" s="1"/>
  <c r="EF255" i="15"/>
  <c r="BE255" i="65" s="1"/>
  <c r="BD255" i="65"/>
  <c r="X83" i="5"/>
  <c r="Y83" i="5" s="1"/>
  <c r="BF83" i="65"/>
  <c r="AF83" i="5" s="1"/>
  <c r="BD103" i="65"/>
  <c r="EF103" i="15"/>
  <c r="BE103" i="65" s="1"/>
  <c r="W141" i="5"/>
  <c r="BD276" i="65"/>
  <c r="EF276" i="15"/>
  <c r="BE276" i="65" s="1"/>
  <c r="BD339" i="65"/>
  <c r="EF339" i="15"/>
  <c r="BE339" i="65" s="1"/>
  <c r="BD227" i="65"/>
  <c r="EF227" i="15"/>
  <c r="BE227" i="65" s="1"/>
  <c r="W257" i="5"/>
  <c r="BF183" i="65"/>
  <c r="X183" i="5"/>
  <c r="Y183" i="5" s="1"/>
  <c r="W185" i="5"/>
  <c r="X175" i="5"/>
  <c r="Y175" i="5" s="1"/>
  <c r="BF175" i="65"/>
  <c r="EF141" i="15"/>
  <c r="BE141" i="65" s="1"/>
  <c r="BD141" i="65"/>
  <c r="BD217" i="65"/>
  <c r="EF217" i="15"/>
  <c r="BE217" i="65" s="1"/>
  <c r="BD304" i="65"/>
  <c r="EF304" i="15"/>
  <c r="BE304" i="65" s="1"/>
  <c r="BD315" i="65"/>
  <c r="EF315" i="15"/>
  <c r="BE315" i="65" s="1"/>
  <c r="BD331" i="65"/>
  <c r="EF331" i="15"/>
  <c r="BE331" i="65" s="1"/>
  <c r="BD223" i="65"/>
  <c r="EF223" i="15"/>
  <c r="BE223" i="65" s="1"/>
  <c r="AR22" i="83"/>
  <c r="BD298" i="65"/>
  <c r="EF298" i="15"/>
  <c r="BE298" i="65" s="1"/>
  <c r="W142" i="5"/>
  <c r="BD274" i="65"/>
  <c r="EF274" i="15"/>
  <c r="BE274" i="65" s="1"/>
  <c r="EF282" i="15"/>
  <c r="BE282" i="65" s="1"/>
  <c r="BD282" i="65"/>
  <c r="W184" i="5"/>
  <c r="W186" i="5"/>
  <c r="AQ87" i="82"/>
  <c r="AQ87" i="83"/>
  <c r="AQ87" i="84"/>
  <c r="AQ87" i="86"/>
  <c r="AQ87" i="85"/>
  <c r="AQ87" i="87"/>
  <c r="AQ87" i="89"/>
  <c r="AQ87" i="88"/>
  <c r="AQ87" i="90"/>
  <c r="BC87" i="91"/>
  <c r="BC87" i="82"/>
  <c r="BC87" i="83"/>
  <c r="BC87" i="84"/>
  <c r="BC87" i="86"/>
  <c r="BC87" i="85"/>
  <c r="BC87" i="87"/>
  <c r="BC87" i="89"/>
  <c r="BC87" i="88"/>
  <c r="BC87" i="90"/>
  <c r="AQ87" i="91"/>
  <c r="W168" i="5"/>
  <c r="W144" i="5"/>
  <c r="W250" i="5"/>
  <c r="W146" i="5"/>
  <c r="W332" i="5"/>
  <c r="EF290" i="15"/>
  <c r="BE290" i="65" s="1"/>
  <c r="BD290" i="65"/>
  <c r="W182" i="5"/>
  <c r="W216" i="5"/>
  <c r="W240" i="5"/>
  <c r="W202" i="5"/>
  <c r="W234" i="5"/>
  <c r="W302" i="5"/>
  <c r="W328" i="5"/>
  <c r="W334" i="5"/>
  <c r="W346" i="5"/>
  <c r="DZ90" i="15"/>
  <c r="EB90" i="15" s="1"/>
  <c r="ED90" i="15"/>
  <c r="EE90" i="15"/>
  <c r="EH90" i="15" s="1"/>
  <c r="EA90" i="15"/>
  <c r="W298" i="5"/>
  <c r="X298" i="5"/>
  <c r="Y298" i="5" s="1"/>
  <c r="BD142" i="65"/>
  <c r="EF142" i="15"/>
  <c r="BE142" i="65" s="1"/>
  <c r="BF156" i="65"/>
  <c r="X156" i="5"/>
  <c r="Y156" i="5" s="1"/>
  <c r="BF166" i="65"/>
  <c r="X166" i="5"/>
  <c r="Y166" i="5" s="1"/>
  <c r="BF149" i="65"/>
  <c r="X149" i="5"/>
  <c r="Y149" i="5" s="1"/>
  <c r="X131" i="5"/>
  <c r="Y131" i="5" s="1"/>
  <c r="BF131" i="65"/>
  <c r="BF320" i="65"/>
  <c r="X320" i="5"/>
  <c r="Y320" i="5" s="1"/>
  <c r="BF154" i="65"/>
  <c r="X154" i="5"/>
  <c r="Y154" i="5" s="1"/>
  <c r="X283" i="5"/>
  <c r="Y283" i="5" s="1"/>
  <c r="BF283" i="65"/>
  <c r="BF292" i="65"/>
  <c r="X292" i="5"/>
  <c r="Y292" i="5" s="1"/>
  <c r="X307" i="5"/>
  <c r="Y307" i="5" s="1"/>
  <c r="BF307" i="65"/>
  <c r="BF179" i="65"/>
  <c r="X179" i="5"/>
  <c r="Y179" i="5" s="1"/>
  <c r="BF171" i="65"/>
  <c r="X171" i="5"/>
  <c r="Y171" i="5" s="1"/>
  <c r="BF172" i="65"/>
  <c r="X172" i="5"/>
  <c r="Y172" i="5" s="1"/>
  <c r="BF287" i="65"/>
  <c r="X287" i="5"/>
  <c r="Y287" i="5" s="1"/>
  <c r="BF135" i="65"/>
  <c r="X135" i="5"/>
  <c r="Y135" i="5" s="1"/>
  <c r="W321" i="5"/>
  <c r="W249" i="5"/>
  <c r="W187" i="5"/>
  <c r="W164" i="5"/>
  <c r="W211" i="5"/>
  <c r="W232" i="5"/>
  <c r="W338" i="5"/>
  <c r="W204" i="5"/>
  <c r="W208" i="5"/>
  <c r="W218" i="5"/>
  <c r="W324" i="5"/>
  <c r="W308" i="5"/>
  <c r="W224" i="5"/>
  <c r="BF253" i="65"/>
  <c r="X253" i="5"/>
  <c r="Y253" i="5" s="1"/>
  <c r="W256" i="5"/>
  <c r="W206" i="5"/>
  <c r="W194" i="5"/>
  <c r="W230" i="5"/>
  <c r="EF278" i="15"/>
  <c r="BE278" i="65" s="1"/>
  <c r="BD278" i="65"/>
  <c r="W236" i="5"/>
  <c r="W190" i="5"/>
  <c r="W342" i="5"/>
  <c r="W244" i="5"/>
  <c r="W160" i="5"/>
  <c r="W344" i="5"/>
  <c r="X272" i="5"/>
  <c r="Y272" i="5" s="1"/>
  <c r="X153" i="5"/>
  <c r="Y153" i="5" s="1"/>
  <c r="BF153" i="65"/>
  <c r="W264" i="5"/>
  <c r="W134" i="5"/>
  <c r="CW74" i="15"/>
  <c r="BT75" i="15"/>
  <c r="BS75" i="15" s="1"/>
  <c r="CR74" i="15"/>
  <c r="BD312" i="65"/>
  <c r="EF312" i="15"/>
  <c r="BE312" i="65" s="1"/>
  <c r="BD300" i="65"/>
  <c r="EF300" i="15"/>
  <c r="BE300" i="65" s="1"/>
  <c r="EF286" i="15"/>
  <c r="BE286" i="65" s="1"/>
  <c r="BD286" i="65"/>
  <c r="X147" i="5"/>
  <c r="Y147" i="5" s="1"/>
  <c r="BF147" i="65"/>
  <c r="BF140" i="65"/>
  <c r="X140" i="5"/>
  <c r="Y140" i="5" s="1"/>
  <c r="BF195" i="65"/>
  <c r="X195" i="5"/>
  <c r="Y195" i="5" s="1"/>
  <c r="W345" i="5"/>
  <c r="W81" i="5"/>
  <c r="W191" i="5"/>
  <c r="W326" i="5"/>
  <c r="W318" i="5"/>
  <c r="W128" i="5"/>
  <c r="W178" i="5"/>
  <c r="W260" i="5"/>
  <c r="W248" i="5"/>
  <c r="BF151" i="65"/>
  <c r="X151" i="5"/>
  <c r="Y151" i="5" s="1"/>
  <c r="X288" i="5"/>
  <c r="Y288" i="5" s="1"/>
  <c r="BF288" i="65"/>
  <c r="BF303" i="65"/>
  <c r="X303" i="5"/>
  <c r="Y303" i="5" s="1"/>
  <c r="X309" i="5"/>
  <c r="Y309" i="5" s="1"/>
  <c r="BF309" i="65"/>
  <c r="X301" i="5"/>
  <c r="Y301" i="5" s="1"/>
  <c r="BF301" i="65"/>
  <c r="X159" i="5"/>
  <c r="Y159" i="5" s="1"/>
  <c r="BF152" i="65"/>
  <c r="X152" i="5"/>
  <c r="Y152" i="5" s="1"/>
  <c r="X280" i="5"/>
  <c r="Y280" i="5" s="1"/>
  <c r="X343" i="5"/>
  <c r="Y343" i="5" s="1"/>
  <c r="BF343" i="65"/>
  <c r="X349" i="5"/>
  <c r="Y349" i="5" s="1"/>
  <c r="BF335" i="65"/>
  <c r="X335" i="5"/>
  <c r="Y335" i="5" s="1"/>
  <c r="BF193" i="65"/>
  <c r="X193" i="5"/>
  <c r="Y193" i="5" s="1"/>
  <c r="BF251" i="65"/>
  <c r="X251" i="5"/>
  <c r="Y251" i="5" s="1"/>
  <c r="BF219" i="65"/>
  <c r="X219" i="5"/>
  <c r="Y219" i="5" s="1"/>
  <c r="W261" i="5"/>
  <c r="W87" i="5"/>
  <c r="W196" i="5"/>
  <c r="W228" i="5"/>
  <c r="W222" i="5"/>
  <c r="W242" i="5"/>
  <c r="W270" i="5"/>
  <c r="W212" i="5"/>
  <c r="W258" i="5"/>
  <c r="X337" i="5"/>
  <c r="Y337" i="5" s="1"/>
  <c r="BF337" i="65"/>
  <c r="BF247" i="65"/>
  <c r="X247" i="5"/>
  <c r="Y247" i="5" s="1"/>
  <c r="X165" i="5"/>
  <c r="Y165" i="5" s="1"/>
  <c r="BF165" i="65"/>
  <c r="BF161" i="65"/>
  <c r="X161" i="5"/>
  <c r="Y161" i="5" s="1"/>
  <c r="BF295" i="65"/>
  <c r="X295" i="5"/>
  <c r="Y295" i="5" s="1"/>
  <c r="BF311" i="65"/>
  <c r="X311" i="5"/>
  <c r="Y311" i="5" s="1"/>
  <c r="BF279" i="65"/>
  <c r="X279" i="5"/>
  <c r="Y279" i="5" s="1"/>
  <c r="X293" i="5"/>
  <c r="Y293" i="5" s="1"/>
  <c r="X233" i="5"/>
  <c r="Y233" i="5" s="1"/>
  <c r="BF233" i="65"/>
  <c r="X299" i="5"/>
  <c r="Y299" i="5" s="1"/>
  <c r="BF229" i="65"/>
  <c r="X229" i="5"/>
  <c r="Y229" i="5" s="1"/>
  <c r="W313" i="5"/>
  <c r="W150" i="5"/>
  <c r="W143" i="5"/>
  <c r="W180" i="5"/>
  <c r="W252" i="5"/>
  <c r="W132" i="5"/>
  <c r="X155" i="5"/>
  <c r="Y155" i="5" s="1"/>
  <c r="BF155" i="65"/>
  <c r="X136" i="5"/>
  <c r="Y136" i="5" s="1"/>
  <c r="BF136" i="65"/>
  <c r="X284" i="5"/>
  <c r="Y284" i="5" s="1"/>
  <c r="BF284" i="65"/>
  <c r="X277" i="5"/>
  <c r="Y277" i="5" s="1"/>
  <c r="BF277" i="65"/>
  <c r="X271" i="5"/>
  <c r="Y271" i="5" s="1"/>
  <c r="BF291" i="65"/>
  <c r="X291" i="5"/>
  <c r="Y291" i="5" s="1"/>
  <c r="X323" i="5"/>
  <c r="Y323" i="5" s="1"/>
  <c r="BF323" i="65"/>
  <c r="BF197" i="65"/>
  <c r="X197" i="5"/>
  <c r="Y197" i="5" s="1"/>
  <c r="X223" i="5"/>
  <c r="Y223" i="5" s="1"/>
  <c r="W263" i="5"/>
  <c r="W268" i="5"/>
  <c r="W254" i="5"/>
  <c r="W314" i="5"/>
  <c r="DY90" i="15"/>
  <c r="EC90" i="15"/>
  <c r="EG90" i="15" s="1"/>
  <c r="DL90" i="15" s="1"/>
  <c r="BB90" i="82"/>
  <c r="BB90" i="84"/>
  <c r="BB90" i="85"/>
  <c r="BB90" i="89"/>
  <c r="BB90" i="90"/>
  <c r="BB90" i="83"/>
  <c r="BB90" i="86"/>
  <c r="BB90" i="87"/>
  <c r="BB90" i="88"/>
  <c r="BB90" i="91"/>
  <c r="BD158" i="65"/>
  <c r="EF158" i="15"/>
  <c r="BE158" i="65" s="1"/>
  <c r="EF296" i="15"/>
  <c r="BE296" i="65" s="1"/>
  <c r="BD296" i="65"/>
  <c r="X269" i="5"/>
  <c r="Y269" i="5" s="1"/>
  <c r="BF269" i="65"/>
  <c r="W322" i="5"/>
  <c r="W262" i="5"/>
  <c r="W130" i="5"/>
  <c r="W310" i="5"/>
  <c r="W238" i="5"/>
  <c r="W148" i="5"/>
  <c r="X177" i="5"/>
  <c r="Y177" i="5" s="1"/>
  <c r="BF177" i="65"/>
  <c r="X205" i="5"/>
  <c r="Y205" i="5" s="1"/>
  <c r="BF205" i="65"/>
  <c r="X103" i="5"/>
  <c r="Y103" i="5" s="1"/>
  <c r="W169" i="5"/>
  <c r="W259" i="5"/>
  <c r="W306" i="5"/>
  <c r="W246" i="5"/>
  <c r="W174" i="5"/>
  <c r="W294" i="5"/>
  <c r="W316" i="5"/>
  <c r="W340" i="5"/>
  <c r="W348" i="5"/>
  <c r="W220" i="5"/>
  <c r="W200" i="5"/>
  <c r="W214" i="5"/>
  <c r="X297" i="5"/>
  <c r="Y297" i="5" s="1"/>
  <c r="BF297" i="65"/>
  <c r="X329" i="5"/>
  <c r="Y329" i="5" s="1"/>
  <c r="BF245" i="65"/>
  <c r="X245" i="5"/>
  <c r="Y245" i="5" s="1"/>
  <c r="BF213" i="65"/>
  <c r="X213" i="5"/>
  <c r="Y213" i="5" s="1"/>
  <c r="W215" i="5"/>
  <c r="W192" i="5"/>
  <c r="W162" i="5"/>
  <c r="W188" i="5"/>
  <c r="X133" i="5"/>
  <c r="Y133" i="5" s="1"/>
  <c r="BF133" i="65"/>
  <c r="X112" i="5"/>
  <c r="Y112" i="5" s="1"/>
  <c r="BF138" i="65"/>
  <c r="X138" i="5"/>
  <c r="Y138" i="5" s="1"/>
  <c r="X281" i="5"/>
  <c r="Y281" i="5" s="1"/>
  <c r="BF189" i="65"/>
  <c r="X189" i="5"/>
  <c r="Y189" i="5" s="1"/>
  <c r="X339" i="5"/>
  <c r="Y339" i="5" s="1"/>
  <c r="X145" i="5"/>
  <c r="Y145" i="5" s="1"/>
  <c r="BF145" i="65"/>
  <c r="X170" i="5"/>
  <c r="Y170" i="5" s="1"/>
  <c r="BF170" i="65"/>
  <c r="X173" i="5"/>
  <c r="Y173" i="5" s="1"/>
  <c r="BF173" i="65"/>
  <c r="X331" i="5"/>
  <c r="Y331" i="5" s="1"/>
  <c r="X227" i="5"/>
  <c r="Y227" i="5" s="1"/>
  <c r="X235" i="5"/>
  <c r="Y235" i="5" s="1"/>
  <c r="W210" i="5"/>
  <c r="W82" i="5"/>
  <c r="W176" i="5"/>
  <c r="W336" i="5"/>
  <c r="W266" i="5"/>
  <c r="W226" i="5"/>
  <c r="W330" i="5"/>
  <c r="W198" i="5"/>
  <c r="BF237" i="65"/>
  <c r="AR22" i="87"/>
  <c r="AV22" i="88"/>
  <c r="AV22" i="87"/>
  <c r="AV22" i="86"/>
  <c r="AV22" i="83"/>
  <c r="AV25" i="86"/>
  <c r="AV25" i="89"/>
  <c r="AR22" i="82"/>
  <c r="AW22" i="91"/>
  <c r="AR22" i="90"/>
  <c r="AR22" i="89"/>
  <c r="AR22" i="85"/>
  <c r="AR22" i="84"/>
  <c r="AW22" i="89"/>
  <c r="AW22" i="90"/>
  <c r="AW22" i="86"/>
  <c r="AW22" i="83"/>
  <c r="AW22" i="82"/>
  <c r="AX53" i="65"/>
  <c r="R53" i="5" s="1"/>
  <c r="DC57" i="15"/>
  <c r="AY57" i="65" s="1"/>
  <c r="S57" i="5" s="1"/>
  <c r="AV25" i="91"/>
  <c r="CV77" i="15"/>
  <c r="BR41" i="15"/>
  <c r="CS26" i="15"/>
  <c r="CV26" i="15" s="1"/>
  <c r="CT26" i="15"/>
  <c r="CW26" i="15" s="1"/>
  <c r="CU26" i="15"/>
  <c r="Q25" i="5"/>
  <c r="BA25" i="73" s="1"/>
  <c r="O23" i="5"/>
  <c r="AV23" i="73" s="1"/>
  <c r="AG24" i="5"/>
  <c r="AV25" i="84"/>
  <c r="AV25" i="88"/>
  <c r="AV25" i="82"/>
  <c r="AV25" i="85"/>
  <c r="AV25" i="87"/>
  <c r="AG23" i="5"/>
  <c r="CF39" i="15"/>
  <c r="EV54" i="15"/>
  <c r="CH54" i="15" s="1"/>
  <c r="CE39" i="15"/>
  <c r="EV50" i="15"/>
  <c r="CH50" i="15" s="1"/>
  <c r="CK50" i="15" s="1"/>
  <c r="CW25" i="15"/>
  <c r="CE51" i="15"/>
  <c r="ER23" i="15"/>
  <c r="AU51" i="65"/>
  <c r="O51" i="5" s="1"/>
  <c r="AV51" i="73" s="1"/>
  <c r="CE41" i="15"/>
  <c r="AS2" i="5"/>
  <c r="I7" i="5" s="1"/>
  <c r="EV23" i="15"/>
  <c r="EU35" i="15"/>
  <c r="BU54" i="15"/>
  <c r="BU23" i="15"/>
  <c r="BR51" i="15"/>
  <c r="CK29" i="15"/>
  <c r="CT29" i="15" s="1"/>
  <c r="EU28" i="15"/>
  <c r="ES28" i="15"/>
  <c r="ET28" i="15"/>
  <c r="ES33" i="15"/>
  <c r="ET33" i="15"/>
  <c r="EU33" i="15"/>
  <c r="CH23" i="15"/>
  <c r="CK23" i="15" s="1"/>
  <c r="CT23" i="15" s="1"/>
  <c r="ER22" i="15"/>
  <c r="EU22" i="15" s="1"/>
  <c r="BU22" i="15"/>
  <c r="EV22" i="15"/>
  <c r="AW31" i="65"/>
  <c r="Q31" i="5" s="1"/>
  <c r="BA31" i="73" s="1"/>
  <c r="AW29" i="65"/>
  <c r="Q29" i="5" s="1"/>
  <c r="BA29" i="73" s="1"/>
  <c r="AW30" i="91"/>
  <c r="AV30" i="91"/>
  <c r="CJ31" i="15"/>
  <c r="CW31" i="15" s="1"/>
  <c r="BR58" i="15"/>
  <c r="CS31" i="15"/>
  <c r="CR31" i="15"/>
  <c r="AU30" i="91"/>
  <c r="CJ29" i="15"/>
  <c r="CS29" i="15" s="1"/>
  <c r="BA53" i="82"/>
  <c r="BA53" i="83"/>
  <c r="BA53" i="84"/>
  <c r="BA53" i="86"/>
  <c r="BA53" i="85"/>
  <c r="BA53" i="87"/>
  <c r="BA53" i="89"/>
  <c r="BA53" i="88"/>
  <c r="BA53" i="90"/>
  <c r="AV41" i="82"/>
  <c r="AV41" i="84"/>
  <c r="AV41" i="83"/>
  <c r="AV41" i="85"/>
  <c r="AV41" i="86"/>
  <c r="AV41" i="88"/>
  <c r="AV41" i="90"/>
  <c r="AV41" i="87"/>
  <c r="AV41" i="89"/>
  <c r="AV56" i="82"/>
  <c r="AV56" i="83"/>
  <c r="AV56" i="84"/>
  <c r="AV56" i="86"/>
  <c r="AV56" i="85"/>
  <c r="AV56" i="87"/>
  <c r="AV56" i="89"/>
  <c r="AV56" i="88"/>
  <c r="AV56" i="90"/>
  <c r="AV76" i="82"/>
  <c r="AV76" i="83"/>
  <c r="AV76" i="84"/>
  <c r="AV76" i="86"/>
  <c r="AV76" i="85"/>
  <c r="AV76" i="87"/>
  <c r="AV76" i="89"/>
  <c r="AV76" i="88"/>
  <c r="AV76" i="90"/>
  <c r="AV73" i="82"/>
  <c r="AV73" i="84"/>
  <c r="AV73" i="83"/>
  <c r="AV73" i="85"/>
  <c r="AV73" i="86"/>
  <c r="AV73" i="88"/>
  <c r="AV73" i="90"/>
  <c r="AV73" i="87"/>
  <c r="AV73" i="89"/>
  <c r="AU41" i="82"/>
  <c r="AU41" i="83"/>
  <c r="AU41" i="84"/>
  <c r="AU41" i="86"/>
  <c r="AU41" i="85"/>
  <c r="AU41" i="87"/>
  <c r="AU41" i="89"/>
  <c r="AU41" i="88"/>
  <c r="AU41" i="90"/>
  <c r="AQ2" i="5"/>
  <c r="G7" i="5" s="1"/>
  <c r="AR34" i="82"/>
  <c r="AR34" i="83"/>
  <c r="AR34" i="84"/>
  <c r="AR34" i="86"/>
  <c r="AR34" i="85"/>
  <c r="AR34" i="87"/>
  <c r="AR34" i="89"/>
  <c r="AR34" i="88"/>
  <c r="AR34" i="90"/>
  <c r="AU51" i="82"/>
  <c r="AU51" i="83"/>
  <c r="AU51" i="84"/>
  <c r="AU51" i="86"/>
  <c r="AU51" i="85"/>
  <c r="AU51" i="87"/>
  <c r="AU51" i="89"/>
  <c r="AU51" i="88"/>
  <c r="AU51" i="90"/>
  <c r="AU37" i="82"/>
  <c r="AU37" i="83"/>
  <c r="AU37" i="84"/>
  <c r="AU37" i="86"/>
  <c r="AU37" i="85"/>
  <c r="AU37" i="87"/>
  <c r="AU37" i="89"/>
  <c r="AU37" i="88"/>
  <c r="AU37" i="90"/>
  <c r="AW41" i="82"/>
  <c r="AW41" i="83"/>
  <c r="AW41" i="84"/>
  <c r="AW41" i="86"/>
  <c r="AW41" i="85"/>
  <c r="AW41" i="87"/>
  <c r="AW41" i="89"/>
  <c r="AW41" i="88"/>
  <c r="AW41" i="90"/>
  <c r="AR58" i="82"/>
  <c r="AR58" i="83"/>
  <c r="AR58" i="84"/>
  <c r="AR58" i="86"/>
  <c r="AR58" i="85"/>
  <c r="AR58" i="87"/>
  <c r="AR58" i="89"/>
  <c r="AR58" i="88"/>
  <c r="AR58" i="90"/>
  <c r="AW37" i="82"/>
  <c r="AW37" i="83"/>
  <c r="AW37" i="84"/>
  <c r="AW37" i="86"/>
  <c r="AW37" i="85"/>
  <c r="AW37" i="87"/>
  <c r="AW37" i="89"/>
  <c r="AW37" i="88"/>
  <c r="AW37" i="90"/>
  <c r="AR43" i="82"/>
  <c r="AR43" i="84"/>
  <c r="AR43" i="83"/>
  <c r="AR43" i="85"/>
  <c r="AR43" i="86"/>
  <c r="AR43" i="88"/>
  <c r="AR43" i="90"/>
  <c r="AR43" i="87"/>
  <c r="AR43" i="89"/>
  <c r="AU43" i="82"/>
  <c r="AU43" i="83"/>
  <c r="AU43" i="84"/>
  <c r="AU43" i="86"/>
  <c r="AU43" i="85"/>
  <c r="AU43" i="87"/>
  <c r="AU43" i="89"/>
  <c r="AU43" i="88"/>
  <c r="AU43" i="90"/>
  <c r="AW58" i="82"/>
  <c r="AW58" i="84"/>
  <c r="AW58" i="83"/>
  <c r="AW58" i="85"/>
  <c r="AW58" i="86"/>
  <c r="AW58" i="88"/>
  <c r="AW58" i="90"/>
  <c r="AW58" i="87"/>
  <c r="AW58" i="89"/>
  <c r="AV50" i="82"/>
  <c r="AV50" i="83"/>
  <c r="AV50" i="84"/>
  <c r="AV50" i="86"/>
  <c r="AV50" i="85"/>
  <c r="AV50" i="87"/>
  <c r="AV50" i="89"/>
  <c r="AV50" i="88"/>
  <c r="AV50" i="90"/>
  <c r="AW27" i="91"/>
  <c r="AU27" i="82"/>
  <c r="AU27" i="83"/>
  <c r="AU27" i="84"/>
  <c r="AU27" i="86"/>
  <c r="AU27" i="85"/>
  <c r="AU27" i="87"/>
  <c r="AU27" i="89"/>
  <c r="AU27" i="88"/>
  <c r="AU27" i="90"/>
  <c r="AV30" i="82"/>
  <c r="AV30" i="83"/>
  <c r="AV30" i="84"/>
  <c r="AV30" i="86"/>
  <c r="AV30" i="85"/>
  <c r="AV30" i="87"/>
  <c r="AV30" i="89"/>
  <c r="AV30" i="88"/>
  <c r="AV30" i="90"/>
  <c r="AW27" i="88"/>
  <c r="AW27" i="87"/>
  <c r="AW27" i="86"/>
  <c r="AW27" i="83"/>
  <c r="AW27" i="82"/>
  <c r="AW30" i="89"/>
  <c r="AW30" i="90"/>
  <c r="AW30" i="86"/>
  <c r="AW30" i="83"/>
  <c r="BA72" i="82"/>
  <c r="BA72" i="84"/>
  <c r="BA72" i="83"/>
  <c r="BA72" i="85"/>
  <c r="BA72" i="86"/>
  <c r="BA72" i="88"/>
  <c r="BA72" i="90"/>
  <c r="BA72" i="87"/>
  <c r="BA72" i="89"/>
  <c r="BA70" i="82"/>
  <c r="BA70" i="84"/>
  <c r="BA70" i="83"/>
  <c r="BA70" i="85"/>
  <c r="BA70" i="86"/>
  <c r="BA70" i="88"/>
  <c r="BA70" i="90"/>
  <c r="BA70" i="87"/>
  <c r="BA70" i="89"/>
  <c r="AU39" i="82"/>
  <c r="AU39" i="83"/>
  <c r="AU39" i="84"/>
  <c r="AU39" i="86"/>
  <c r="AU39" i="85"/>
  <c r="AU39" i="87"/>
  <c r="AU39" i="89"/>
  <c r="AU39" i="88"/>
  <c r="AU39" i="90"/>
  <c r="AW43" i="82"/>
  <c r="AW43" i="83"/>
  <c r="AW43" i="84"/>
  <c r="AW43" i="86"/>
  <c r="AW43" i="85"/>
  <c r="AW43" i="87"/>
  <c r="AW43" i="89"/>
  <c r="AW43" i="88"/>
  <c r="AW43" i="90"/>
  <c r="BA31" i="85"/>
  <c r="BA65" i="82"/>
  <c r="BA65" i="83"/>
  <c r="BA65" i="84"/>
  <c r="BA65" i="86"/>
  <c r="BA65" i="85"/>
  <c r="BA65" i="87"/>
  <c r="BA65" i="89"/>
  <c r="BA65" i="88"/>
  <c r="BA65" i="90"/>
  <c r="AW39" i="82"/>
  <c r="AW39" i="83"/>
  <c r="AW39" i="84"/>
  <c r="AW39" i="86"/>
  <c r="AW39" i="85"/>
  <c r="AW39" i="87"/>
  <c r="AW39" i="89"/>
  <c r="AW39" i="88"/>
  <c r="AW39" i="90"/>
  <c r="BA52" i="82"/>
  <c r="BA52" i="84"/>
  <c r="BA52" i="83"/>
  <c r="BA52" i="85"/>
  <c r="BA52" i="86"/>
  <c r="BA52" i="88"/>
  <c r="BA52" i="90"/>
  <c r="BA52" i="87"/>
  <c r="BA52" i="89"/>
  <c r="AV51" i="82"/>
  <c r="AV51" i="83"/>
  <c r="AV51" i="86"/>
  <c r="AV51" i="89"/>
  <c r="BA69" i="82"/>
  <c r="BA69" i="83"/>
  <c r="BA69" i="84"/>
  <c r="BA69" i="86"/>
  <c r="BA69" i="85"/>
  <c r="BA69" i="87"/>
  <c r="BA69" i="89"/>
  <c r="BA69" i="88"/>
  <c r="BA69" i="90"/>
  <c r="AW51" i="82"/>
  <c r="AW51" i="83"/>
  <c r="AW51" i="84"/>
  <c r="AW51" i="86"/>
  <c r="AW51" i="85"/>
  <c r="AW51" i="87"/>
  <c r="AW51" i="89"/>
  <c r="AW51" i="88"/>
  <c r="AW51" i="90"/>
  <c r="BA25" i="82"/>
  <c r="BA25" i="84"/>
  <c r="BA25" i="85"/>
  <c r="BA25" i="89"/>
  <c r="BA25" i="90"/>
  <c r="AV43" i="82"/>
  <c r="AV43" i="84"/>
  <c r="AV43" i="83"/>
  <c r="AV43" i="85"/>
  <c r="AV43" i="86"/>
  <c r="AV43" i="88"/>
  <c r="AV43" i="90"/>
  <c r="AV43" i="87"/>
  <c r="AV43" i="89"/>
  <c r="AV58" i="82"/>
  <c r="AV58" i="83"/>
  <c r="AV58" i="84"/>
  <c r="AV58" i="86"/>
  <c r="AV58" i="85"/>
  <c r="AV58" i="87"/>
  <c r="AV58" i="89"/>
  <c r="AV58" i="88"/>
  <c r="AV58" i="90"/>
  <c r="AV37" i="82"/>
  <c r="AV37" i="84"/>
  <c r="AV37" i="83"/>
  <c r="AV37" i="85"/>
  <c r="AV37" i="86"/>
  <c r="AV37" i="88"/>
  <c r="AV37" i="90"/>
  <c r="AV37" i="87"/>
  <c r="AV37" i="89"/>
  <c r="AV27" i="82"/>
  <c r="AV27" i="84"/>
  <c r="AV27" i="83"/>
  <c r="AV27" i="85"/>
  <c r="AV27" i="86"/>
  <c r="AV27" i="88"/>
  <c r="AV27" i="90"/>
  <c r="AV27" i="87"/>
  <c r="AV27" i="89"/>
  <c r="AV23" i="82"/>
  <c r="AV23" i="83"/>
  <c r="AV23" i="86"/>
  <c r="AV23" i="90"/>
  <c r="AV23" i="89"/>
  <c r="AV77" i="82"/>
  <c r="AV77" i="84"/>
  <c r="AV77" i="83"/>
  <c r="AV77" i="85"/>
  <c r="AV77" i="86"/>
  <c r="AV77" i="88"/>
  <c r="AV77" i="90"/>
  <c r="AV77" i="87"/>
  <c r="AV77" i="89"/>
  <c r="AV39" i="82"/>
  <c r="AV39" i="84"/>
  <c r="AV39" i="83"/>
  <c r="AV39" i="85"/>
  <c r="AV39" i="86"/>
  <c r="AV39" i="88"/>
  <c r="AV39" i="90"/>
  <c r="AV39" i="87"/>
  <c r="AV39" i="89"/>
  <c r="AR41" i="82"/>
  <c r="AR41" i="84"/>
  <c r="AR41" i="83"/>
  <c r="AR41" i="85"/>
  <c r="AR41" i="86"/>
  <c r="AR41" i="88"/>
  <c r="AR41" i="90"/>
  <c r="AR41" i="87"/>
  <c r="AR41" i="89"/>
  <c r="AU34" i="82"/>
  <c r="AU34" i="84"/>
  <c r="AU34" i="83"/>
  <c r="AU34" i="85"/>
  <c r="AU34" i="86"/>
  <c r="AU34" i="88"/>
  <c r="AU34" i="90"/>
  <c r="AU34" i="87"/>
  <c r="AU34" i="89"/>
  <c r="AR51" i="82"/>
  <c r="AR51" i="84"/>
  <c r="AR51" i="83"/>
  <c r="AR51" i="85"/>
  <c r="AR51" i="86"/>
  <c r="AR51" i="88"/>
  <c r="AR51" i="90"/>
  <c r="AR51" i="87"/>
  <c r="AR51" i="89"/>
  <c r="AR37" i="82"/>
  <c r="AR37" i="84"/>
  <c r="AR37" i="83"/>
  <c r="AR37" i="85"/>
  <c r="AR37" i="86"/>
  <c r="AR37" i="88"/>
  <c r="AR37" i="90"/>
  <c r="AR37" i="87"/>
  <c r="AR37" i="89"/>
  <c r="AR39" i="82"/>
  <c r="AR39" i="84"/>
  <c r="AR39" i="83"/>
  <c r="AR39" i="85"/>
  <c r="AR39" i="86"/>
  <c r="AR39" i="88"/>
  <c r="AR39" i="90"/>
  <c r="AR39" i="87"/>
  <c r="AR39" i="89"/>
  <c r="AU58" i="82"/>
  <c r="AU58" i="84"/>
  <c r="AU58" i="83"/>
  <c r="AU58" i="85"/>
  <c r="AU58" i="86"/>
  <c r="AU58" i="88"/>
  <c r="AU58" i="90"/>
  <c r="AU58" i="87"/>
  <c r="AU58" i="89"/>
  <c r="AW34" i="82"/>
  <c r="AW34" i="84"/>
  <c r="AW34" i="83"/>
  <c r="AW34" i="85"/>
  <c r="AW34" i="86"/>
  <c r="AW34" i="88"/>
  <c r="AW34" i="90"/>
  <c r="AW34" i="87"/>
  <c r="AW34" i="89"/>
  <c r="AU30" i="82"/>
  <c r="AU30" i="84"/>
  <c r="AU30" i="83"/>
  <c r="AU30" i="85"/>
  <c r="AU30" i="86"/>
  <c r="AU30" i="88"/>
  <c r="AU30" i="90"/>
  <c r="AU30" i="87"/>
  <c r="AU30" i="89"/>
  <c r="AU27" i="91"/>
  <c r="AW27" i="90"/>
  <c r="AW27" i="89"/>
  <c r="AW27" i="85"/>
  <c r="AW27" i="84"/>
  <c r="AW30" i="87"/>
  <c r="AW30" i="88"/>
  <c r="AW30" i="85"/>
  <c r="AW30" i="84"/>
  <c r="AW30" i="82"/>
  <c r="BT33" i="15"/>
  <c r="EV33" i="15"/>
  <c r="CH33" i="15" s="1"/>
  <c r="BU33" i="15"/>
  <c r="AT32" i="65"/>
  <c r="N32" i="5" s="1"/>
  <c r="CE32" i="15"/>
  <c r="CE34" i="15"/>
  <c r="EV34" i="15" s="1"/>
  <c r="AU34" i="65"/>
  <c r="O34" i="5" s="1"/>
  <c r="AV34" i="73" s="1"/>
  <c r="CF34" i="15"/>
  <c r="EW34" i="15" s="1"/>
  <c r="CF37" i="15"/>
  <c r="EW37" i="15" s="1"/>
  <c r="CU25" i="15"/>
  <c r="BT28" i="15"/>
  <c r="BU28" i="15"/>
  <c r="EV28" i="15"/>
  <c r="AW36" i="65"/>
  <c r="Q36" i="5" s="1"/>
  <c r="BA36" i="73" s="1"/>
  <c r="CK36" i="15"/>
  <c r="CT36" i="15" s="1"/>
  <c r="CJ36" i="15"/>
  <c r="CI36" i="15"/>
  <c r="CE37" i="15"/>
  <c r="ER37" i="15" s="1"/>
  <c r="ET37" i="15" s="1"/>
  <c r="CE27" i="15"/>
  <c r="ER27" i="15" s="1"/>
  <c r="ET27" i="15" s="1"/>
  <c r="BR37" i="15"/>
  <c r="BR34" i="15"/>
  <c r="CK73" i="15"/>
  <c r="CI73" i="15"/>
  <c r="CJ73" i="15"/>
  <c r="CS73" i="15" s="1"/>
  <c r="AW39" i="91"/>
  <c r="AU39" i="91"/>
  <c r="AW43" i="91"/>
  <c r="BA72" i="91"/>
  <c r="BA70" i="91"/>
  <c r="AV37" i="91"/>
  <c r="AW34" i="91"/>
  <c r="BA52" i="91"/>
  <c r="AV51" i="91"/>
  <c r="BA69" i="91"/>
  <c r="AW51" i="91"/>
  <c r="CK59" i="15"/>
  <c r="CI59" i="15"/>
  <c r="CJ59" i="15"/>
  <c r="BA65" i="91"/>
  <c r="CV64" i="15"/>
  <c r="CJ64" i="15"/>
  <c r="CK64" i="15"/>
  <c r="CI64" i="15"/>
  <c r="CK45" i="15"/>
  <c r="CI45" i="15"/>
  <c r="CJ45" i="15"/>
  <c r="CW77" i="15"/>
  <c r="CK77" i="15"/>
  <c r="CI77" i="15"/>
  <c r="CJ77" i="15"/>
  <c r="CJ24" i="15"/>
  <c r="CS24" i="15" s="1"/>
  <c r="CK24" i="15"/>
  <c r="CT24" i="15" s="1"/>
  <c r="CI24" i="15"/>
  <c r="AV43" i="91"/>
  <c r="AV58" i="91"/>
  <c r="AV41" i="91"/>
  <c r="AV23" i="91"/>
  <c r="AV77" i="91"/>
  <c r="AV56" i="91"/>
  <c r="AV76" i="91"/>
  <c r="AV73" i="91"/>
  <c r="AU41" i="91"/>
  <c r="AU34" i="91"/>
  <c r="AR51" i="91"/>
  <c r="AR37" i="91"/>
  <c r="AR39" i="91"/>
  <c r="AU58" i="91"/>
  <c r="AW37" i="91"/>
  <c r="AV50" i="91"/>
  <c r="CJ76" i="15"/>
  <c r="CK76" i="15"/>
  <c r="CI76" i="15"/>
  <c r="CJ50" i="15"/>
  <c r="CS50" i="15" s="1"/>
  <c r="CI50" i="15"/>
  <c r="CK71" i="15"/>
  <c r="CI71" i="15"/>
  <c r="CJ71" i="15"/>
  <c r="CS71" i="15" s="1"/>
  <c r="CV71" i="15" s="1"/>
  <c r="CK57" i="15"/>
  <c r="CI57" i="15"/>
  <c r="CJ57" i="15"/>
  <c r="CS57" i="15" s="1"/>
  <c r="CV57" i="15" s="1"/>
  <c r="BA53" i="91"/>
  <c r="CJ46" i="15"/>
  <c r="CK46" i="15"/>
  <c r="CI46" i="15"/>
  <c r="AG46" i="65" s="1"/>
  <c r="AV27" i="91"/>
  <c r="AV39" i="91"/>
  <c r="CJ74" i="15"/>
  <c r="CS74" i="15" s="1"/>
  <c r="CV74" i="15" s="1"/>
  <c r="CK74" i="15"/>
  <c r="CI74" i="15"/>
  <c r="CK75" i="15"/>
  <c r="CI75" i="15"/>
  <c r="CJ75" i="15"/>
  <c r="CS75" i="15" s="1"/>
  <c r="AR41" i="91"/>
  <c r="AR34" i="91"/>
  <c r="AU51" i="91"/>
  <c r="AU37" i="91"/>
  <c r="AW41" i="91"/>
  <c r="AR58" i="91"/>
  <c r="AR43" i="91"/>
  <c r="AU43" i="91"/>
  <c r="AW58" i="91"/>
  <c r="EX74" i="15"/>
  <c r="EZ74" i="15"/>
  <c r="EY74" i="15"/>
  <c r="EY75" i="15"/>
  <c r="EX75" i="15"/>
  <c r="EZ75" i="15"/>
  <c r="ET75" i="15"/>
  <c r="ES75" i="15"/>
  <c r="EU75" i="15"/>
  <c r="EX76" i="15"/>
  <c r="EZ76" i="15"/>
  <c r="EY76" i="15"/>
  <c r="ET77" i="15"/>
  <c r="ES77" i="15"/>
  <c r="EU77" i="15"/>
  <c r="ET71" i="15"/>
  <c r="ES71" i="15"/>
  <c r="EU71" i="15"/>
  <c r="EY57" i="15"/>
  <c r="EX57" i="15"/>
  <c r="EZ57" i="15"/>
  <c r="EY45" i="15"/>
  <c r="EX45" i="15"/>
  <c r="EZ45" i="15"/>
  <c r="EY27" i="15"/>
  <c r="EX27" i="15"/>
  <c r="EZ27" i="15"/>
  <c r="EY59" i="15"/>
  <c r="EX59" i="15"/>
  <c r="EZ59" i="15"/>
  <c r="EY23" i="15"/>
  <c r="EX23" i="15"/>
  <c r="EZ23" i="15"/>
  <c r="EX30" i="15"/>
  <c r="EZ30" i="15"/>
  <c r="EY30" i="15"/>
  <c r="EX54" i="15"/>
  <c r="EZ54" i="15"/>
  <c r="EY54" i="15"/>
  <c r="EY71" i="15"/>
  <c r="EX71" i="15"/>
  <c r="EZ71" i="15"/>
  <c r="EX50" i="15"/>
  <c r="EZ50" i="15"/>
  <c r="EY50" i="15"/>
  <c r="ES50" i="15"/>
  <c r="EU50" i="15"/>
  <c r="ET50" i="15"/>
  <c r="EX32" i="15"/>
  <c r="EZ32" i="15"/>
  <c r="EY32" i="15"/>
  <c r="ET59" i="15"/>
  <c r="ES59" i="15"/>
  <c r="EU59" i="15"/>
  <c r="ET23" i="15"/>
  <c r="ES23" i="15"/>
  <c r="EU23" i="15"/>
  <c r="ES76" i="15"/>
  <c r="EU76" i="15"/>
  <c r="ET76" i="15"/>
  <c r="EY73" i="15"/>
  <c r="EX73" i="15"/>
  <c r="EZ73" i="15"/>
  <c r="ET73" i="15"/>
  <c r="ES73" i="15"/>
  <c r="EU73" i="15"/>
  <c r="ES74" i="15"/>
  <c r="EU74" i="15"/>
  <c r="ET74" i="15"/>
  <c r="EY77" i="15"/>
  <c r="EX77" i="15"/>
  <c r="EZ77" i="15"/>
  <c r="EZ22" i="15"/>
  <c r="EX22" i="15"/>
  <c r="EY22" i="15"/>
  <c r="ES60" i="15"/>
  <c r="EU60" i="15"/>
  <c r="ET60" i="15"/>
  <c r="EX56" i="15"/>
  <c r="EZ56" i="15"/>
  <c r="EY56" i="15"/>
  <c r="ES56" i="15"/>
  <c r="EU56" i="15"/>
  <c r="ET56" i="15"/>
  <c r="EX64" i="15"/>
  <c r="EZ64" i="15"/>
  <c r="EY64" i="15"/>
  <c r="ET57" i="15"/>
  <c r="ES57" i="15"/>
  <c r="EU57" i="15"/>
  <c r="ES54" i="15"/>
  <c r="EU54" i="15"/>
  <c r="ET54" i="15"/>
  <c r="EX60" i="15"/>
  <c r="EZ60" i="15"/>
  <c r="EY60" i="15"/>
  <c r="ES30" i="15"/>
  <c r="EU30" i="15"/>
  <c r="ET30" i="15"/>
  <c r="CH22" i="15"/>
  <c r="BU75" i="15"/>
  <c r="AX57" i="65"/>
  <c r="R57" i="5" s="1"/>
  <c r="FC34" i="15"/>
  <c r="FB34" i="15" s="1"/>
  <c r="FA34" i="15" s="1"/>
  <c r="BG34" i="65" s="1"/>
  <c r="AG34" i="5" s="1"/>
  <c r="EV56" i="15"/>
  <c r="CH56" i="15" s="1"/>
  <c r="AW56" i="65" s="1"/>
  <c r="Q56" i="5" s="1"/>
  <c r="BA56" i="73" s="1"/>
  <c r="BU30" i="15"/>
  <c r="FC39" i="15"/>
  <c r="FB39" i="15" s="1"/>
  <c r="FA39" i="15" s="1"/>
  <c r="BG39" i="65" s="1"/>
  <c r="AG39" i="5" s="1"/>
  <c r="DC53" i="15"/>
  <c r="AY53" i="65" s="1"/>
  <c r="S53" i="5" s="1"/>
  <c r="CU74" i="15"/>
  <c r="BT54" i="15"/>
  <c r="BS54" i="15" s="1"/>
  <c r="CW64" i="15"/>
  <c r="BT30" i="15"/>
  <c r="EV30" i="15"/>
  <c r="CE58" i="15"/>
  <c r="BT58" i="15" s="1"/>
  <c r="BS58" i="15" s="1"/>
  <c r="CF41" i="15"/>
  <c r="BU50" i="15"/>
  <c r="AW74" i="65"/>
  <c r="Q74" i="5" s="1"/>
  <c r="BA74" i="73" s="1"/>
  <c r="CT74" i="15"/>
  <c r="AW23" i="65"/>
  <c r="FC58" i="15"/>
  <c r="FB58" i="15" s="1"/>
  <c r="FA58" i="15" s="1"/>
  <c r="BG58" i="65" s="1"/>
  <c r="AG58" i="5" s="1"/>
  <c r="FC41" i="15"/>
  <c r="FB41" i="15" s="1"/>
  <c r="FA41" i="15" s="1"/>
  <c r="BG41" i="65" s="1"/>
  <c r="AG41" i="5" s="1"/>
  <c r="FC51" i="15"/>
  <c r="FB51" i="15" s="1"/>
  <c r="FA51" i="15" s="1"/>
  <c r="BG51" i="65" s="1"/>
  <c r="AG51" i="5" s="1"/>
  <c r="BS22" i="15"/>
  <c r="AR2" i="5"/>
  <c r="H7" i="5" s="1"/>
  <c r="FC37" i="15"/>
  <c r="FB37" i="15" s="1"/>
  <c r="FA37" i="15" s="1"/>
  <c r="BG37" i="65" s="1"/>
  <c r="AG37" i="5" s="1"/>
  <c r="CH60" i="15"/>
  <c r="CR60" i="15" s="1"/>
  <c r="AW24" i="65"/>
  <c r="CR46" i="15"/>
  <c r="CT46" i="15"/>
  <c r="CS46" i="15"/>
  <c r="AW46" i="65"/>
  <c r="Q46" i="5" s="1"/>
  <c r="BA46" i="73" s="1"/>
  <c r="CS77" i="15"/>
  <c r="CT77" i="15"/>
  <c r="CR77" i="15"/>
  <c r="AW77" i="65"/>
  <c r="Q77" i="5" s="1"/>
  <c r="BA77" i="73" s="1"/>
  <c r="AW57" i="65"/>
  <c r="Q57" i="5" s="1"/>
  <c r="BA57" i="73" s="1"/>
  <c r="CT57" i="15"/>
  <c r="CW57" i="15" s="1"/>
  <c r="CR57" i="15"/>
  <c r="AW71" i="65"/>
  <c r="Q71" i="5" s="1"/>
  <c r="BA71" i="73" s="1"/>
  <c r="CT71" i="15"/>
  <c r="CR71" i="15"/>
  <c r="AW64" i="65"/>
  <c r="Q64" i="5" s="1"/>
  <c r="BA64" i="73" s="1"/>
  <c r="CT64" i="15"/>
  <c r="CS64" i="15"/>
  <c r="CR64" i="15"/>
  <c r="AW45" i="65"/>
  <c r="Q45" i="5" s="1"/>
  <c r="BA45" i="73" s="1"/>
  <c r="CT45" i="15"/>
  <c r="CR45" i="15"/>
  <c r="CS45" i="15"/>
  <c r="BS73" i="15"/>
  <c r="BS74" i="15"/>
  <c r="CR29" i="15"/>
  <c r="CU29" i="15" s="1"/>
  <c r="BS23" i="15"/>
  <c r="CX49" i="15"/>
  <c r="CY49" i="15" s="1"/>
  <c r="BS50" i="15"/>
  <c r="BS59" i="15"/>
  <c r="BS77" i="15"/>
  <c r="CV72" i="15"/>
  <c r="CV65" i="15"/>
  <c r="CW65" i="15"/>
  <c r="CU65" i="15"/>
  <c r="CV69" i="15"/>
  <c r="ER39" i="15"/>
  <c r="BS56" i="15"/>
  <c r="CT69" i="15"/>
  <c r="CW69" i="15" s="1"/>
  <c r="CW70" i="15"/>
  <c r="CW72" i="15"/>
  <c r="CU52" i="15"/>
  <c r="CW52" i="15"/>
  <c r="CU69" i="15"/>
  <c r="CZ54" i="15"/>
  <c r="DB54" i="15" s="1"/>
  <c r="DA54" i="15"/>
  <c r="CU70" i="15"/>
  <c r="CV52" i="15"/>
  <c r="ER51" i="15"/>
  <c r="BU51" i="15"/>
  <c r="BT51" i="15"/>
  <c r="EV51" i="15"/>
  <c r="CH51" i="15" s="1"/>
  <c r="EW39" i="15"/>
  <c r="ER41" i="15"/>
  <c r="EV41" i="15"/>
  <c r="BU41" i="15"/>
  <c r="BT41" i="15"/>
  <c r="CR59" i="15"/>
  <c r="AW59" i="65"/>
  <c r="Q59" i="5" s="1"/>
  <c r="BA59" i="73" s="1"/>
  <c r="CT59" i="15"/>
  <c r="CS59" i="15"/>
  <c r="ER34" i="15"/>
  <c r="CU31" i="15"/>
  <c r="ER43" i="15"/>
  <c r="BU43" i="15"/>
  <c r="BT43" i="15"/>
  <c r="EV43" i="15"/>
  <c r="EW43" i="15"/>
  <c r="EW58" i="15"/>
  <c r="EW51" i="15"/>
  <c r="BS51" i="15"/>
  <c r="EV39" i="15"/>
  <c r="CH39" i="15" s="1"/>
  <c r="BT39" i="15"/>
  <c r="BU39" i="15"/>
  <c r="AW50" i="65"/>
  <c r="Q50" i="5" s="1"/>
  <c r="BA50" i="73" s="1"/>
  <c r="CT50" i="15"/>
  <c r="CR50" i="15"/>
  <c r="CV31" i="15"/>
  <c r="CZ49" i="15"/>
  <c r="DB49" i="15" s="1"/>
  <c r="CY71" i="15"/>
  <c r="DA71" i="15"/>
  <c r="CU72" i="15"/>
  <c r="ER58" i="15"/>
  <c r="BS71" i="15"/>
  <c r="CV29" i="15"/>
  <c r="CR76" i="15"/>
  <c r="CU76" i="15" s="1"/>
  <c r="CT76" i="15"/>
  <c r="AW76" i="65"/>
  <c r="Q76" i="5" s="1"/>
  <c r="BA76" i="73" s="1"/>
  <c r="CS76" i="15"/>
  <c r="CV76" i="15" s="1"/>
  <c r="AW75" i="65"/>
  <c r="Q75" i="5" s="1"/>
  <c r="BA75" i="73" s="1"/>
  <c r="CR75" i="15"/>
  <c r="CT75" i="15"/>
  <c r="CV75" i="15"/>
  <c r="CW75" i="15"/>
  <c r="CT73" i="15"/>
  <c r="CR73" i="15"/>
  <c r="AW73" i="65"/>
  <c r="Q73" i="5" s="1"/>
  <c r="BA73" i="73" s="1"/>
  <c r="CZ51" i="15"/>
  <c r="DB51" i="15" s="1"/>
  <c r="DA51" i="15"/>
  <c r="CY51" i="15"/>
  <c r="Z38" i="5"/>
  <c r="Z94" i="5"/>
  <c r="Z127" i="5"/>
  <c r="Z97" i="5"/>
  <c r="Z106" i="5"/>
  <c r="Z126" i="5"/>
  <c r="Z118" i="5"/>
  <c r="Z122" i="5"/>
  <c r="Z120" i="5"/>
  <c r="Z99" i="5"/>
  <c r="AX109" i="65"/>
  <c r="R109" i="5" s="1"/>
  <c r="DC109" i="15"/>
  <c r="AY109" i="65" s="1"/>
  <c r="S109" i="5" s="1"/>
  <c r="Z117" i="5"/>
  <c r="Z115" i="5"/>
  <c r="AV51" i="90" l="1"/>
  <c r="EI274" i="15"/>
  <c r="EI296" i="15"/>
  <c r="EI349" i="15"/>
  <c r="AU32" i="73"/>
  <c r="AV32" i="73"/>
  <c r="AW32" i="73"/>
  <c r="BC102" i="73"/>
  <c r="AQ102" i="73"/>
  <c r="CU57" i="15"/>
  <c r="X305" i="5"/>
  <c r="Y305" i="5" s="1"/>
  <c r="X203" i="5"/>
  <c r="Y203" i="5" s="1"/>
  <c r="X217" i="5"/>
  <c r="Y217" i="5" s="1"/>
  <c r="X347" i="5"/>
  <c r="Y347" i="5" s="1"/>
  <c r="AG50" i="65"/>
  <c r="AG76" i="65"/>
  <c r="EI112" i="15"/>
  <c r="BF112" i="65" s="1"/>
  <c r="EI280" i="15"/>
  <c r="EI299" i="15"/>
  <c r="BF299" i="65" s="1"/>
  <c r="EI159" i="15"/>
  <c r="EI272" i="15"/>
  <c r="BF272" i="65" s="1"/>
  <c r="CR24" i="15"/>
  <c r="AG24" i="65"/>
  <c r="CU77" i="15"/>
  <c r="CX77" i="15" s="1"/>
  <c r="AG77" i="65"/>
  <c r="CU64" i="15"/>
  <c r="AG64" i="65"/>
  <c r="CR36" i="15"/>
  <c r="AG36" i="65"/>
  <c r="AG75" i="65"/>
  <c r="AG74" i="65"/>
  <c r="AG57" i="65"/>
  <c r="AG45" i="65"/>
  <c r="AG59" i="65"/>
  <c r="AG73" i="65"/>
  <c r="BF280" i="65"/>
  <c r="EI333" i="15"/>
  <c r="BF333" i="65" s="1"/>
  <c r="EI275" i="15"/>
  <c r="BF275" i="65" s="1"/>
  <c r="EI231" i="15"/>
  <c r="BF231" i="65" s="1"/>
  <c r="EI298" i="15"/>
  <c r="BF298" i="65" s="1"/>
  <c r="EI315" i="15"/>
  <c r="BF315" i="65" s="1"/>
  <c r="EI276" i="15"/>
  <c r="BF276" i="65" s="1"/>
  <c r="EI273" i="15"/>
  <c r="BF273" i="65" s="1"/>
  <c r="EI319" i="15"/>
  <c r="BF319" i="65" s="1"/>
  <c r="EI289" i="15"/>
  <c r="BF289" i="65" s="1"/>
  <c r="CU71" i="15"/>
  <c r="AG71" i="65"/>
  <c r="CU53" i="15"/>
  <c r="AG53" i="65"/>
  <c r="AG29" i="65"/>
  <c r="EI341" i="15"/>
  <c r="BF341" i="65" s="1"/>
  <c r="EI285" i="15"/>
  <c r="BF285" i="65" s="1"/>
  <c r="EI327" i="15"/>
  <c r="BF327" i="65" s="1"/>
  <c r="EI239" i="15"/>
  <c r="BF239" i="65" s="1"/>
  <c r="EI325" i="15"/>
  <c r="BF325" i="65" s="1"/>
  <c r="EI317" i="15"/>
  <c r="BF317" i="65" s="1"/>
  <c r="AG31" i="65"/>
  <c r="EI304" i="15"/>
  <c r="BF304" i="65" s="1"/>
  <c r="EI129" i="15"/>
  <c r="BF129" i="65" s="1"/>
  <c r="DQ90" i="15"/>
  <c r="AA90" i="5" s="1"/>
  <c r="AB90" i="5" s="1"/>
  <c r="CK35" i="15"/>
  <c r="CJ35" i="15"/>
  <c r="CS35" i="15" s="1"/>
  <c r="CV35" i="15" s="1"/>
  <c r="CI35" i="15"/>
  <c r="AW35" i="65"/>
  <c r="Q35" i="5" s="1"/>
  <c r="BA35" i="73" s="1"/>
  <c r="CT35" i="15"/>
  <c r="BS39" i="15"/>
  <c r="BS43" i="15"/>
  <c r="DA49" i="15"/>
  <c r="CH43" i="15"/>
  <c r="CV46" i="15"/>
  <c r="CW46" i="15"/>
  <c r="CV45" i="15"/>
  <c r="CW45" i="15"/>
  <c r="DC44" i="15"/>
  <c r="AY44" i="65" s="1"/>
  <c r="S44" i="5" s="1"/>
  <c r="AX44" i="65"/>
  <c r="R44" i="5" s="1"/>
  <c r="DA47" i="15"/>
  <c r="CY47" i="15"/>
  <c r="CZ47" i="15"/>
  <c r="DB47" i="15" s="1"/>
  <c r="CU45" i="15"/>
  <c r="CU46" i="15"/>
  <c r="CU40" i="15"/>
  <c r="CX40" i="15" s="1"/>
  <c r="CY40" i="15" s="1"/>
  <c r="BF159" i="65"/>
  <c r="BF349" i="65"/>
  <c r="BU58" i="15"/>
  <c r="AV23" i="87"/>
  <c r="AV23" i="88"/>
  <c r="AV23" i="85"/>
  <c r="AV23" i="84"/>
  <c r="BA25" i="91"/>
  <c r="BA25" i="88"/>
  <c r="BA25" i="87"/>
  <c r="BA25" i="86"/>
  <c r="BA25" i="83"/>
  <c r="AV51" i="87"/>
  <c r="AV51" i="88"/>
  <c r="AV51" i="85"/>
  <c r="AV51" i="84"/>
  <c r="CX53" i="15"/>
  <c r="DA53" i="15" s="1"/>
  <c r="CK54" i="15"/>
  <c r="CW54" i="15"/>
  <c r="CT54" i="15"/>
  <c r="CJ54" i="15"/>
  <c r="CS54" i="15" s="1"/>
  <c r="CI54" i="15"/>
  <c r="CV54" i="15"/>
  <c r="AW54" i="65"/>
  <c r="Q54" i="5" s="1"/>
  <c r="BA54" i="73" s="1"/>
  <c r="CR54" i="15"/>
  <c r="CX70" i="15"/>
  <c r="CZ70" i="15" s="1"/>
  <c r="DB70" i="15" s="1"/>
  <c r="CH41" i="15"/>
  <c r="CI41" i="15" s="1"/>
  <c r="CX71" i="15"/>
  <c r="CZ71" i="15" s="1"/>
  <c r="DB71" i="15" s="1"/>
  <c r="CX64" i="15"/>
  <c r="DN90" i="15"/>
  <c r="EI90" i="15" s="1"/>
  <c r="DM90" i="15"/>
  <c r="W102" i="5"/>
  <c r="X199" i="5"/>
  <c r="Y199" i="5" s="1"/>
  <c r="BF199" i="65"/>
  <c r="X167" i="5"/>
  <c r="Y167" i="5" s="1"/>
  <c r="BF167" i="65"/>
  <c r="AQ102" i="82"/>
  <c r="AQ102" i="84"/>
  <c r="AQ102" i="83"/>
  <c r="AQ102" i="85"/>
  <c r="AQ102" i="86"/>
  <c r="AQ102" i="88"/>
  <c r="AQ102" i="90"/>
  <c r="AQ102" i="87"/>
  <c r="AQ102" i="89"/>
  <c r="AQ102" i="91"/>
  <c r="BC102" i="82"/>
  <c r="BC102" i="84"/>
  <c r="BC102" i="83"/>
  <c r="BC102" i="85"/>
  <c r="BC102" i="86"/>
  <c r="BC102" i="88"/>
  <c r="BC102" i="90"/>
  <c r="BC102" i="87"/>
  <c r="BC102" i="89"/>
  <c r="BC102" i="91"/>
  <c r="BF209" i="65"/>
  <c r="BF185" i="65"/>
  <c r="X185" i="5"/>
  <c r="Y185" i="5" s="1"/>
  <c r="X257" i="5"/>
  <c r="Y257" i="5" s="1"/>
  <c r="BF257" i="65"/>
  <c r="X141" i="5"/>
  <c r="Y141" i="5" s="1"/>
  <c r="BF141" i="65"/>
  <c r="W255" i="5"/>
  <c r="CX74" i="15"/>
  <c r="CZ74" i="15" s="1"/>
  <c r="DB74" i="15" s="1"/>
  <c r="CX72" i="15"/>
  <c r="CY72" i="15" s="1"/>
  <c r="CX52" i="15"/>
  <c r="CY52" i="15" s="1"/>
  <c r="BF267" i="65"/>
  <c r="BF198" i="65"/>
  <c r="X198" i="5"/>
  <c r="Y198" i="5" s="1"/>
  <c r="BF330" i="65"/>
  <c r="X330" i="5"/>
  <c r="Y330" i="5" s="1"/>
  <c r="X226" i="5"/>
  <c r="Y226" i="5" s="1"/>
  <c r="BF226" i="65"/>
  <c r="X266" i="5"/>
  <c r="Y266" i="5" s="1"/>
  <c r="BF266" i="65"/>
  <c r="X336" i="5"/>
  <c r="Y336" i="5" s="1"/>
  <c r="BF336" i="65"/>
  <c r="X176" i="5"/>
  <c r="Y176" i="5" s="1"/>
  <c r="BF176" i="65"/>
  <c r="X82" i="5"/>
  <c r="Y82" i="5" s="1"/>
  <c r="BF82" i="65"/>
  <c r="X210" i="5"/>
  <c r="Y210" i="5" s="1"/>
  <c r="BF210" i="65"/>
  <c r="X188" i="5"/>
  <c r="Y188" i="5" s="1"/>
  <c r="BF188" i="65"/>
  <c r="X162" i="5"/>
  <c r="Y162" i="5" s="1"/>
  <c r="BF162" i="65"/>
  <c r="BF192" i="65"/>
  <c r="X192" i="5"/>
  <c r="Y192" i="5" s="1"/>
  <c r="BF215" i="65"/>
  <c r="X215" i="5"/>
  <c r="Y215" i="5" s="1"/>
  <c r="W290" i="5"/>
  <c r="X214" i="5"/>
  <c r="Y214" i="5" s="1"/>
  <c r="BF214" i="65"/>
  <c r="BF200" i="65"/>
  <c r="X200" i="5"/>
  <c r="Y200" i="5" s="1"/>
  <c r="X220" i="5"/>
  <c r="Y220" i="5" s="1"/>
  <c r="BF220" i="65"/>
  <c r="BF348" i="65"/>
  <c r="X348" i="5"/>
  <c r="Y348" i="5" s="1"/>
  <c r="X340" i="5"/>
  <c r="Y340" i="5" s="1"/>
  <c r="BF340" i="65"/>
  <c r="X316" i="5"/>
  <c r="Y316" i="5" s="1"/>
  <c r="BF316" i="65"/>
  <c r="BF294" i="65"/>
  <c r="X294" i="5"/>
  <c r="Y294" i="5" s="1"/>
  <c r="X174" i="5"/>
  <c r="Y174" i="5" s="1"/>
  <c r="BF174" i="65"/>
  <c r="X246" i="5"/>
  <c r="Y246" i="5" s="1"/>
  <c r="BF246" i="65"/>
  <c r="BF306" i="65"/>
  <c r="X306" i="5"/>
  <c r="Y306" i="5" s="1"/>
  <c r="BF259" i="65"/>
  <c r="X259" i="5"/>
  <c r="Y259" i="5" s="1"/>
  <c r="X169" i="5"/>
  <c r="Y169" i="5" s="1"/>
  <c r="BF169" i="65"/>
  <c r="BF148" i="65"/>
  <c r="X148" i="5"/>
  <c r="Y148" i="5" s="1"/>
  <c r="X238" i="5"/>
  <c r="Y238" i="5" s="1"/>
  <c r="BF238" i="65"/>
  <c r="BF310" i="65"/>
  <c r="X310" i="5"/>
  <c r="Y310" i="5" s="1"/>
  <c r="X130" i="5"/>
  <c r="Y130" i="5" s="1"/>
  <c r="BF130" i="65"/>
  <c r="X262" i="5"/>
  <c r="Y262" i="5" s="1"/>
  <c r="BF262" i="65"/>
  <c r="BF322" i="65"/>
  <c r="X322" i="5"/>
  <c r="Y322" i="5" s="1"/>
  <c r="W286" i="5"/>
  <c r="W282" i="5"/>
  <c r="X142" i="5"/>
  <c r="Y142" i="5" s="1"/>
  <c r="BF142" i="65"/>
  <c r="BF314" i="65"/>
  <c r="X314" i="5"/>
  <c r="Y314" i="5" s="1"/>
  <c r="X254" i="5"/>
  <c r="Y254" i="5" s="1"/>
  <c r="BF254" i="65"/>
  <c r="X268" i="5"/>
  <c r="Y268" i="5" s="1"/>
  <c r="BF268" i="65"/>
  <c r="BF263" i="65"/>
  <c r="X263" i="5"/>
  <c r="Y263" i="5" s="1"/>
  <c r="BF132" i="65"/>
  <c r="X132" i="5"/>
  <c r="Y132" i="5" s="1"/>
  <c r="X252" i="5"/>
  <c r="Y252" i="5" s="1"/>
  <c r="BF252" i="65"/>
  <c r="X180" i="5"/>
  <c r="Y180" i="5" s="1"/>
  <c r="BF180" i="65"/>
  <c r="BF143" i="65"/>
  <c r="X143" i="5"/>
  <c r="Y143" i="5" s="1"/>
  <c r="BF150" i="65"/>
  <c r="X150" i="5"/>
  <c r="Y150" i="5" s="1"/>
  <c r="BF313" i="65"/>
  <c r="X313" i="5"/>
  <c r="Y313" i="5" s="1"/>
  <c r="X258" i="5"/>
  <c r="Y258" i="5" s="1"/>
  <c r="BF258" i="65"/>
  <c r="X212" i="5"/>
  <c r="Y212" i="5" s="1"/>
  <c r="BF212" i="65"/>
  <c r="BF270" i="65"/>
  <c r="X270" i="5"/>
  <c r="Y270" i="5" s="1"/>
  <c r="X242" i="5"/>
  <c r="Y242" i="5" s="1"/>
  <c r="BF242" i="65"/>
  <c r="X222" i="5"/>
  <c r="Y222" i="5" s="1"/>
  <c r="BF222" i="65"/>
  <c r="X228" i="5"/>
  <c r="Y228" i="5" s="1"/>
  <c r="BF228" i="65"/>
  <c r="X196" i="5"/>
  <c r="Y196" i="5" s="1"/>
  <c r="BF196" i="65"/>
  <c r="BF87" i="65"/>
  <c r="AF87" i="5" s="1"/>
  <c r="X87" i="5"/>
  <c r="Y87" i="5" s="1"/>
  <c r="BF261" i="65"/>
  <c r="X261" i="5"/>
  <c r="Y261" i="5" s="1"/>
  <c r="X248" i="5"/>
  <c r="Y248" i="5" s="1"/>
  <c r="BF248" i="65"/>
  <c r="X260" i="5"/>
  <c r="Y260" i="5" s="1"/>
  <c r="BF260" i="65"/>
  <c r="X178" i="5"/>
  <c r="Y178" i="5" s="1"/>
  <c r="BF178" i="65"/>
  <c r="BF128" i="65"/>
  <c r="X128" i="5"/>
  <c r="Y128" i="5" s="1"/>
  <c r="BF318" i="65"/>
  <c r="X318" i="5"/>
  <c r="Y318" i="5" s="1"/>
  <c r="BF326" i="65"/>
  <c r="X326" i="5"/>
  <c r="Y326" i="5" s="1"/>
  <c r="BF191" i="65"/>
  <c r="X191" i="5"/>
  <c r="Y191" i="5" s="1"/>
  <c r="BF81" i="65"/>
  <c r="X81" i="5"/>
  <c r="Y81" i="5" s="1"/>
  <c r="BF345" i="65"/>
  <c r="X345" i="5"/>
  <c r="Y345" i="5" s="1"/>
  <c r="W158" i="5"/>
  <c r="BF134" i="65"/>
  <c r="X134" i="5"/>
  <c r="Y134" i="5" s="1"/>
  <c r="X264" i="5"/>
  <c r="Y264" i="5" s="1"/>
  <c r="BF264" i="65"/>
  <c r="X344" i="5"/>
  <c r="Y344" i="5" s="1"/>
  <c r="BF344" i="65"/>
  <c r="BF160" i="65"/>
  <c r="X160" i="5"/>
  <c r="Y160" i="5" s="1"/>
  <c r="X244" i="5"/>
  <c r="Y244" i="5" s="1"/>
  <c r="BF244" i="65"/>
  <c r="X342" i="5"/>
  <c r="Y342" i="5" s="1"/>
  <c r="BF342" i="65"/>
  <c r="X190" i="5"/>
  <c r="Y190" i="5" s="1"/>
  <c r="BF190" i="65"/>
  <c r="X236" i="5"/>
  <c r="Y236" i="5" s="1"/>
  <c r="BF236" i="65"/>
  <c r="X230" i="5"/>
  <c r="Y230" i="5" s="1"/>
  <c r="BF230" i="65"/>
  <c r="X194" i="5"/>
  <c r="Y194" i="5" s="1"/>
  <c r="BF194" i="65"/>
  <c r="BF206" i="65"/>
  <c r="X206" i="5"/>
  <c r="Y206" i="5" s="1"/>
  <c r="X256" i="5"/>
  <c r="Y256" i="5" s="1"/>
  <c r="BF256" i="65"/>
  <c r="X224" i="5"/>
  <c r="Y224" i="5" s="1"/>
  <c r="BF224" i="65"/>
  <c r="BF308" i="65"/>
  <c r="X308" i="5"/>
  <c r="Y308" i="5" s="1"/>
  <c r="X324" i="5"/>
  <c r="Y324" i="5" s="1"/>
  <c r="BF324" i="65"/>
  <c r="X218" i="5"/>
  <c r="Y218" i="5" s="1"/>
  <c r="BF218" i="65"/>
  <c r="X208" i="5"/>
  <c r="Y208" i="5" s="1"/>
  <c r="BF208" i="65"/>
  <c r="X204" i="5"/>
  <c r="Y204" i="5" s="1"/>
  <c r="BF204" i="65"/>
  <c r="X338" i="5"/>
  <c r="Y338" i="5" s="1"/>
  <c r="BF338" i="65"/>
  <c r="X232" i="5"/>
  <c r="Y232" i="5" s="1"/>
  <c r="BF232" i="65"/>
  <c r="BF211" i="65"/>
  <c r="X211" i="5"/>
  <c r="Y211" i="5" s="1"/>
  <c r="BF164" i="65"/>
  <c r="X164" i="5"/>
  <c r="Y164" i="5" s="1"/>
  <c r="BF187" i="65"/>
  <c r="X187" i="5"/>
  <c r="Y187" i="5" s="1"/>
  <c r="X249" i="5"/>
  <c r="Y249" i="5" s="1"/>
  <c r="BF249" i="65"/>
  <c r="BF321" i="65"/>
  <c r="X321" i="5"/>
  <c r="Y321" i="5" s="1"/>
  <c r="W300" i="5"/>
  <c r="W274" i="5"/>
  <c r="W312" i="5"/>
  <c r="EF90" i="15"/>
  <c r="BE90" i="65" s="1"/>
  <c r="AE90" i="5" s="1"/>
  <c r="BD90" i="65"/>
  <c r="AD90" i="5" s="1"/>
  <c r="X346" i="5"/>
  <c r="Y346" i="5" s="1"/>
  <c r="BF346" i="65"/>
  <c r="BF334" i="65"/>
  <c r="X334" i="5"/>
  <c r="Y334" i="5" s="1"/>
  <c r="X328" i="5"/>
  <c r="Y328" i="5" s="1"/>
  <c r="BF328" i="65"/>
  <c r="BF302" i="65"/>
  <c r="X302" i="5"/>
  <c r="Y302" i="5" s="1"/>
  <c r="X234" i="5"/>
  <c r="Y234" i="5" s="1"/>
  <c r="BF234" i="65"/>
  <c r="X202" i="5"/>
  <c r="Y202" i="5" s="1"/>
  <c r="BF202" i="65"/>
  <c r="BF240" i="65"/>
  <c r="X240" i="5"/>
  <c r="Y240" i="5" s="1"/>
  <c r="X216" i="5"/>
  <c r="Y216" i="5" s="1"/>
  <c r="BF216" i="65"/>
  <c r="BF182" i="65"/>
  <c r="X182" i="5"/>
  <c r="Y182" i="5" s="1"/>
  <c r="W278" i="5"/>
  <c r="X332" i="5"/>
  <c r="Y332" i="5" s="1"/>
  <c r="BF332" i="65"/>
  <c r="X146" i="5"/>
  <c r="Y146" i="5" s="1"/>
  <c r="BF146" i="65"/>
  <c r="X250" i="5"/>
  <c r="Y250" i="5" s="1"/>
  <c r="BF250" i="65"/>
  <c r="BF144" i="65"/>
  <c r="X144" i="5"/>
  <c r="Y144" i="5" s="1"/>
  <c r="BF168" i="65"/>
  <c r="X168" i="5"/>
  <c r="Y168" i="5" s="1"/>
  <c r="BF186" i="65"/>
  <c r="X186" i="5"/>
  <c r="Y186" i="5" s="1"/>
  <c r="X184" i="5"/>
  <c r="Y184" i="5" s="1"/>
  <c r="BF184" i="65"/>
  <c r="W296" i="5"/>
  <c r="AW22" i="65"/>
  <c r="Q22" i="5" s="1"/>
  <c r="BA22" i="73" s="1"/>
  <c r="CI22" i="15"/>
  <c r="CI23" i="15"/>
  <c r="CX25" i="15"/>
  <c r="CZ25" i="15" s="1"/>
  <c r="DB25" i="15" s="1"/>
  <c r="BU37" i="15"/>
  <c r="BT34" i="15"/>
  <c r="DC71" i="15"/>
  <c r="AY71" i="65" s="1"/>
  <c r="S71" i="5" s="1"/>
  <c r="DC54" i="15"/>
  <c r="AY54" i="65" s="1"/>
  <c r="S54" i="5" s="1"/>
  <c r="AX74" i="65"/>
  <c r="R74" i="5" s="1"/>
  <c r="BA31" i="90"/>
  <c r="CX26" i="15"/>
  <c r="Q24" i="5"/>
  <c r="BA24" i="73" s="1"/>
  <c r="Q23" i="5"/>
  <c r="BA23" i="73" s="1"/>
  <c r="BA29" i="82"/>
  <c r="ES22" i="15"/>
  <c r="BT37" i="15"/>
  <c r="EV37" i="15"/>
  <c r="CH37" i="15" s="1"/>
  <c r="BU34" i="15"/>
  <c r="BA29" i="88"/>
  <c r="BA29" i="86"/>
  <c r="BA29" i="91"/>
  <c r="BA29" i="87"/>
  <c r="BA29" i="83"/>
  <c r="BA31" i="89"/>
  <c r="BA31" i="84"/>
  <c r="BS33" i="15"/>
  <c r="CW29" i="15"/>
  <c r="ES27" i="15"/>
  <c r="CU24" i="15"/>
  <c r="CV24" i="15"/>
  <c r="ET22" i="15"/>
  <c r="CJ23" i="15"/>
  <c r="CS23" i="15" s="1"/>
  <c r="BA29" i="90"/>
  <c r="BA29" i="89"/>
  <c r="BA29" i="85"/>
  <c r="BA29" i="84"/>
  <c r="EU27" i="15"/>
  <c r="CW36" i="15"/>
  <c r="BS28" i="15"/>
  <c r="CH28" i="15" s="1"/>
  <c r="CK28" i="15" s="1"/>
  <c r="AD4" i="5"/>
  <c r="CT56" i="15"/>
  <c r="ES37" i="15"/>
  <c r="BS41" i="15"/>
  <c r="EU37" i="15"/>
  <c r="AV34" i="91"/>
  <c r="BA31" i="91"/>
  <c r="BA31" i="88"/>
  <c r="BA31" i="87"/>
  <c r="BA31" i="86"/>
  <c r="BA31" i="83"/>
  <c r="BA31" i="82"/>
  <c r="BA56" i="82"/>
  <c r="BA56" i="84"/>
  <c r="BA56" i="83"/>
  <c r="BA56" i="85"/>
  <c r="BA56" i="86"/>
  <c r="BA56" i="88"/>
  <c r="BA56" i="90"/>
  <c r="BA56" i="87"/>
  <c r="BA56" i="89"/>
  <c r="BA73" i="82"/>
  <c r="BA73" i="83"/>
  <c r="BA73" i="84"/>
  <c r="BA73" i="86"/>
  <c r="BA73" i="85"/>
  <c r="BA73" i="87"/>
  <c r="BA73" i="89"/>
  <c r="BA73" i="88"/>
  <c r="BA73" i="90"/>
  <c r="BA76" i="82"/>
  <c r="BA76" i="84"/>
  <c r="BA76" i="83"/>
  <c r="BA76" i="85"/>
  <c r="BA76" i="86"/>
  <c r="BA76" i="88"/>
  <c r="BA76" i="90"/>
  <c r="BA76" i="87"/>
  <c r="BA76" i="89"/>
  <c r="BA50" i="82"/>
  <c r="BA50" i="84"/>
  <c r="BA50" i="83"/>
  <c r="BA50" i="85"/>
  <c r="BA50" i="86"/>
  <c r="BA50" i="88"/>
  <c r="BA50" i="90"/>
  <c r="BA50" i="87"/>
  <c r="BA50" i="89"/>
  <c r="BA54" i="82"/>
  <c r="BA54" i="84"/>
  <c r="BA54" i="83"/>
  <c r="BA54" i="85"/>
  <c r="BA54" i="86"/>
  <c r="BA54" i="88"/>
  <c r="BA54" i="90"/>
  <c r="BA54" i="87"/>
  <c r="BA54" i="89"/>
  <c r="BA57" i="82"/>
  <c r="BA57" i="83"/>
  <c r="BA57" i="84"/>
  <c r="BA57" i="86"/>
  <c r="BA57" i="85"/>
  <c r="BA57" i="87"/>
  <c r="BA57" i="89"/>
  <c r="BA57" i="88"/>
  <c r="BA57" i="90"/>
  <c r="BA24" i="82"/>
  <c r="BA24" i="83"/>
  <c r="BA24" i="86"/>
  <c r="BA24" i="90"/>
  <c r="BA24" i="89"/>
  <c r="BA36" i="82"/>
  <c r="BA36" i="84"/>
  <c r="BA36" i="83"/>
  <c r="BA36" i="85"/>
  <c r="BA36" i="86"/>
  <c r="BA36" i="88"/>
  <c r="BA36" i="90"/>
  <c r="BA36" i="87"/>
  <c r="BA36" i="89"/>
  <c r="AU32" i="82"/>
  <c r="AU32" i="84"/>
  <c r="AU32" i="83"/>
  <c r="AU32" i="85"/>
  <c r="AU32" i="86"/>
  <c r="AU32" i="88"/>
  <c r="AU32" i="90"/>
  <c r="AU32" i="87"/>
  <c r="AU32" i="89"/>
  <c r="AV32" i="84"/>
  <c r="AV32" i="85"/>
  <c r="AV32" i="89"/>
  <c r="AV32" i="90"/>
  <c r="AW32" i="82"/>
  <c r="AW32" i="84"/>
  <c r="AW32" i="85"/>
  <c r="AW32" i="88"/>
  <c r="AW32" i="87"/>
  <c r="AV32" i="82"/>
  <c r="AV32" i="83"/>
  <c r="AV32" i="86"/>
  <c r="AV32" i="87"/>
  <c r="AV32" i="88"/>
  <c r="AW32" i="83"/>
  <c r="AW32" i="86"/>
  <c r="AW32" i="90"/>
  <c r="AW32" i="89"/>
  <c r="BA75" i="82"/>
  <c r="BA75" i="83"/>
  <c r="BA75" i="84"/>
  <c r="BA75" i="86"/>
  <c r="BA75" i="85"/>
  <c r="BA75" i="87"/>
  <c r="BA75" i="89"/>
  <c r="BA75" i="88"/>
  <c r="BA75" i="90"/>
  <c r="BA59" i="82"/>
  <c r="BA59" i="83"/>
  <c r="BA59" i="84"/>
  <c r="BA59" i="86"/>
  <c r="BA59" i="85"/>
  <c r="BA59" i="87"/>
  <c r="BA59" i="89"/>
  <c r="BA59" i="88"/>
  <c r="BA59" i="90"/>
  <c r="BA45" i="82"/>
  <c r="BA45" i="83"/>
  <c r="BA45" i="84"/>
  <c r="BA45" i="86"/>
  <c r="BA45" i="85"/>
  <c r="BA45" i="87"/>
  <c r="BA45" i="89"/>
  <c r="BA45" i="88"/>
  <c r="BA45" i="90"/>
  <c r="BA64" i="82"/>
  <c r="BA64" i="84"/>
  <c r="BA64" i="83"/>
  <c r="BA64" i="85"/>
  <c r="BA64" i="86"/>
  <c r="BA64" i="88"/>
  <c r="BA64" i="90"/>
  <c r="BA64" i="87"/>
  <c r="BA64" i="89"/>
  <c r="BA71" i="82"/>
  <c r="BA71" i="83"/>
  <c r="BA71" i="84"/>
  <c r="BA71" i="86"/>
  <c r="BA71" i="85"/>
  <c r="BA71" i="87"/>
  <c r="BA71" i="89"/>
  <c r="BA71" i="88"/>
  <c r="BA71" i="90"/>
  <c r="BA77" i="82"/>
  <c r="BA77" i="83"/>
  <c r="BA77" i="84"/>
  <c r="BA77" i="86"/>
  <c r="BA77" i="85"/>
  <c r="BA77" i="87"/>
  <c r="BA77" i="89"/>
  <c r="BA77" i="88"/>
  <c r="BA77" i="90"/>
  <c r="BA46" i="82"/>
  <c r="BA46" i="84"/>
  <c r="BA46" i="83"/>
  <c r="BA46" i="85"/>
  <c r="BA46" i="86"/>
  <c r="BA46" i="88"/>
  <c r="BA46" i="90"/>
  <c r="BA46" i="87"/>
  <c r="BA46" i="89"/>
  <c r="BA23" i="83"/>
  <c r="BA23" i="86"/>
  <c r="BA23" i="87"/>
  <c r="BA23" i="88"/>
  <c r="BA74" i="82"/>
  <c r="BA74" i="84"/>
  <c r="BA74" i="83"/>
  <c r="BA74" i="85"/>
  <c r="BA74" i="86"/>
  <c r="BA74" i="88"/>
  <c r="BA74" i="90"/>
  <c r="BA74" i="87"/>
  <c r="BA74" i="89"/>
  <c r="AV34" i="82"/>
  <c r="AV34" i="83"/>
  <c r="AV34" i="84"/>
  <c r="AV34" i="86"/>
  <c r="AV34" i="85"/>
  <c r="AV34" i="87"/>
  <c r="AV34" i="89"/>
  <c r="AV34" i="88"/>
  <c r="AV34" i="90"/>
  <c r="CH34" i="15"/>
  <c r="CJ34" i="15" s="1"/>
  <c r="EV58" i="15"/>
  <c r="CH58" i="15" s="1"/>
  <c r="CR56" i="15"/>
  <c r="CW24" i="15"/>
  <c r="ER32" i="15"/>
  <c r="EV32" i="15"/>
  <c r="BT32" i="15"/>
  <c r="BU32" i="15"/>
  <c r="CI33" i="15"/>
  <c r="CK33" i="15"/>
  <c r="CT33" i="15" s="1"/>
  <c r="CJ33" i="15"/>
  <c r="CS33" i="15" s="1"/>
  <c r="AW33" i="65"/>
  <c r="Q33" i="5" s="1"/>
  <c r="BA33" i="73" s="1"/>
  <c r="BS30" i="15"/>
  <c r="CH30" i="15" s="1"/>
  <c r="AW30" i="65" s="1"/>
  <c r="Q30" i="5" s="1"/>
  <c r="BA30" i="73" s="1"/>
  <c r="AV32" i="91"/>
  <c r="AW32" i="91"/>
  <c r="AU32" i="91"/>
  <c r="DC25" i="15"/>
  <c r="AY25" i="65" s="1"/>
  <c r="CU36" i="15"/>
  <c r="EV27" i="15"/>
  <c r="BU27" i="15"/>
  <c r="BT27" i="15"/>
  <c r="BA36" i="91"/>
  <c r="CS36" i="15"/>
  <c r="CV36" i="15" s="1"/>
  <c r="AW28" i="65"/>
  <c r="Q28" i="5" s="1"/>
  <c r="BA28" i="73" s="1"/>
  <c r="CJ28" i="15"/>
  <c r="CY25" i="15"/>
  <c r="BA56" i="91"/>
  <c r="BA45" i="91"/>
  <c r="BA64" i="91"/>
  <c r="BA71" i="91"/>
  <c r="CK39" i="15"/>
  <c r="CI39" i="15"/>
  <c r="CJ39" i="15"/>
  <c r="BA77" i="91"/>
  <c r="BA46" i="91"/>
  <c r="CJ60" i="15"/>
  <c r="CS60" i="15" s="1"/>
  <c r="CV60" i="15" s="1"/>
  <c r="CK60" i="15"/>
  <c r="CI60" i="15"/>
  <c r="BA73" i="91"/>
  <c r="BA75" i="91"/>
  <c r="BA76" i="91"/>
  <c r="BA50" i="91"/>
  <c r="CJ58" i="15"/>
  <c r="CS58" i="15" s="1"/>
  <c r="CK58" i="15"/>
  <c r="CI58" i="15"/>
  <c r="CK37" i="15"/>
  <c r="CI37" i="15"/>
  <c r="CJ37" i="15"/>
  <c r="CS37" i="15" s="1"/>
  <c r="BA59" i="91"/>
  <c r="CK51" i="15"/>
  <c r="CI51" i="15"/>
  <c r="CJ51" i="15"/>
  <c r="CK43" i="15"/>
  <c r="CI43" i="15"/>
  <c r="CJ43" i="15"/>
  <c r="CS43" i="15" s="1"/>
  <c r="BA54" i="91"/>
  <c r="BA57" i="91"/>
  <c r="BA23" i="91"/>
  <c r="BA74" i="91"/>
  <c r="CK41" i="15"/>
  <c r="CJ41" i="15"/>
  <c r="CJ56" i="15"/>
  <c r="CS56" i="15" s="1"/>
  <c r="CK56" i="15"/>
  <c r="CI56" i="15"/>
  <c r="AG56" i="65" s="1"/>
  <c r="CJ22" i="15"/>
  <c r="CK22" i="15"/>
  <c r="AQ3" i="5"/>
  <c r="AS3" i="5" s="1"/>
  <c r="AG7" i="5" s="1"/>
  <c r="ES58" i="15"/>
  <c r="EU58" i="15"/>
  <c r="ET58" i="15"/>
  <c r="EX58" i="15"/>
  <c r="EZ58" i="15"/>
  <c r="EY58" i="15"/>
  <c r="EY37" i="15"/>
  <c r="EX37" i="15"/>
  <c r="EZ37" i="15"/>
  <c r="ES34" i="15"/>
  <c r="EU34" i="15"/>
  <c r="ET34" i="15"/>
  <c r="ET41" i="15"/>
  <c r="ES41" i="15"/>
  <c r="EU41" i="15"/>
  <c r="EX34" i="15"/>
  <c r="EZ34" i="15"/>
  <c r="EY34" i="15"/>
  <c r="EY51" i="15"/>
  <c r="EX51" i="15"/>
  <c r="EZ51" i="15"/>
  <c r="EY43" i="15"/>
  <c r="EX43" i="15"/>
  <c r="EZ43" i="15"/>
  <c r="ET43" i="15"/>
  <c r="ES43" i="15"/>
  <c r="EU43" i="15"/>
  <c r="EY39" i="15"/>
  <c r="EX39" i="15"/>
  <c r="EZ39" i="15"/>
  <c r="ET51" i="15"/>
  <c r="ES51" i="15"/>
  <c r="EU51" i="15"/>
  <c r="ET39" i="15"/>
  <c r="ES39" i="15"/>
  <c r="EU39" i="15"/>
  <c r="EW41" i="15"/>
  <c r="AC4" i="5"/>
  <c r="CT60" i="15"/>
  <c r="DC74" i="15"/>
  <c r="AY74" i="65" s="1"/>
  <c r="S74" i="5" s="1"/>
  <c r="AX54" i="65"/>
  <c r="R54" i="5" s="1"/>
  <c r="J7" i="5"/>
  <c r="AW60" i="65"/>
  <c r="Q60" i="5" s="1"/>
  <c r="BA60" i="73" s="1"/>
  <c r="CX45" i="15"/>
  <c r="CZ45" i="15" s="1"/>
  <c r="DB45" i="15" s="1"/>
  <c r="CX57" i="15"/>
  <c r="DA57" i="15" s="1"/>
  <c r="Z42" i="5"/>
  <c r="AW39" i="65"/>
  <c r="Q39" i="5" s="1"/>
  <c r="BA39" i="73" s="1"/>
  <c r="CS39" i="15"/>
  <c r="CV39" i="15" s="1"/>
  <c r="CR39" i="15"/>
  <c r="CU39" i="15" s="1"/>
  <c r="CT39" i="15"/>
  <c r="AW51" i="65"/>
  <c r="Q51" i="5" s="1"/>
  <c r="BA51" i="73" s="1"/>
  <c r="CT51" i="15"/>
  <c r="CW51" i="15" s="1"/>
  <c r="CS51" i="15"/>
  <c r="CV51" i="15" s="1"/>
  <c r="CR51" i="15"/>
  <c r="CU51" i="15" s="1"/>
  <c r="AW43" i="65"/>
  <c r="Q43" i="5" s="1"/>
  <c r="BA43" i="73" s="1"/>
  <c r="CR43" i="15"/>
  <c r="CT43" i="15"/>
  <c r="CT41" i="15"/>
  <c r="CS41" i="15"/>
  <c r="CX29" i="15"/>
  <c r="CZ29" i="15" s="1"/>
  <c r="DB29" i="15" s="1"/>
  <c r="CX65" i="15"/>
  <c r="DA65" i="15" s="1"/>
  <c r="CX69" i="15"/>
  <c r="CY69" i="15" s="1"/>
  <c r="CU59" i="15"/>
  <c r="BS37" i="15"/>
  <c r="DA74" i="15"/>
  <c r="CW59" i="15"/>
  <c r="CW73" i="15"/>
  <c r="CW50" i="15"/>
  <c r="CV59" i="15"/>
  <c r="CW76" i="15"/>
  <c r="CX76" i="15" s="1"/>
  <c r="CY76" i="15" s="1"/>
  <c r="DA52" i="15"/>
  <c r="CV50" i="15"/>
  <c r="AW58" i="65"/>
  <c r="Q58" i="5" s="1"/>
  <c r="BA58" i="73" s="1"/>
  <c r="CT58" i="15"/>
  <c r="CR58" i="15"/>
  <c r="CT37" i="15"/>
  <c r="CR37" i="15"/>
  <c r="AW37" i="65"/>
  <c r="Q37" i="5" s="1"/>
  <c r="BA37" i="73" s="1"/>
  <c r="CU56" i="15"/>
  <c r="AX70" i="65"/>
  <c r="R70" i="5" s="1"/>
  <c r="DC70" i="15"/>
  <c r="AY70" i="65" s="1"/>
  <c r="S70" i="5" s="1"/>
  <c r="CY64" i="15"/>
  <c r="CZ64" i="15"/>
  <c r="DB64" i="15" s="1"/>
  <c r="DA64" i="15"/>
  <c r="AX49" i="65"/>
  <c r="R49" i="5" s="1"/>
  <c r="DC49" i="15"/>
  <c r="AY49" i="65" s="1"/>
  <c r="S49" i="5" s="1"/>
  <c r="CV56" i="15"/>
  <c r="CU73" i="15"/>
  <c r="CY74" i="15"/>
  <c r="DA69" i="15"/>
  <c r="CZ69" i="15"/>
  <c r="DB69" i="15" s="1"/>
  <c r="DA70" i="15"/>
  <c r="CU50" i="15"/>
  <c r="CW60" i="15"/>
  <c r="CX31" i="15"/>
  <c r="CZ52" i="15"/>
  <c r="DB52" i="15" s="1"/>
  <c r="CW56" i="15"/>
  <c r="CY70" i="15"/>
  <c r="DA72" i="15"/>
  <c r="CZ72" i="15"/>
  <c r="DB72" i="15" s="1"/>
  <c r="CY77" i="15"/>
  <c r="DA77" i="15"/>
  <c r="CZ77" i="15"/>
  <c r="DB77" i="15" s="1"/>
  <c r="CU75" i="15"/>
  <c r="CX75" i="15" s="1"/>
  <c r="CY75" i="15" s="1"/>
  <c r="CV73" i="15"/>
  <c r="AX51" i="65"/>
  <c r="R51" i="5" s="1"/>
  <c r="DC51" i="15"/>
  <c r="AY51" i="65" s="1"/>
  <c r="S51" i="5" s="1"/>
  <c r="Z68" i="5"/>
  <c r="Z66" i="5"/>
  <c r="Z48" i="5"/>
  <c r="Z53" i="5"/>
  <c r="Z107" i="5"/>
  <c r="Z125" i="5"/>
  <c r="Z123" i="5"/>
  <c r="Z105" i="5"/>
  <c r="Z93" i="5"/>
  <c r="Z89" i="5"/>
  <c r="AG43" i="65" l="1"/>
  <c r="AG39" i="65"/>
  <c r="BC90" i="73"/>
  <c r="AQ90" i="73"/>
  <c r="CU60" i="15"/>
  <c r="AG60" i="65"/>
  <c r="CR33" i="15"/>
  <c r="AG33" i="65"/>
  <c r="CR35" i="15"/>
  <c r="AG35" i="65"/>
  <c r="AG22" i="65"/>
  <c r="AG41" i="65"/>
  <c r="CR23" i="15"/>
  <c r="CU23" i="15" s="1"/>
  <c r="AG23" i="65"/>
  <c r="AX71" i="65"/>
  <c r="R71" i="5" s="1"/>
  <c r="CU54" i="15"/>
  <c r="AG54" i="65"/>
  <c r="AG51" i="65"/>
  <c r="AG37" i="65"/>
  <c r="AG58" i="65"/>
  <c r="BA35" i="82"/>
  <c r="BA35" i="84"/>
  <c r="BA35" i="85"/>
  <c r="BA35" i="89"/>
  <c r="BA35" i="90"/>
  <c r="BA35" i="91"/>
  <c r="BA35" i="83"/>
  <c r="BA35" i="86"/>
  <c r="BA35" i="87"/>
  <c r="BA35" i="88"/>
  <c r="CX46" i="15"/>
  <c r="CW35" i="15"/>
  <c r="AX25" i="65"/>
  <c r="CU35" i="15"/>
  <c r="CX35" i="15" s="1"/>
  <c r="CZ35" i="15" s="1"/>
  <c r="DB35" i="15" s="1"/>
  <c r="BA22" i="83"/>
  <c r="BS34" i="15"/>
  <c r="CW39" i="15"/>
  <c r="CX39" i="15" s="1"/>
  <c r="AX45" i="65"/>
  <c r="R45" i="5" s="1"/>
  <c r="DC45" i="15"/>
  <c r="AY45" i="65" s="1"/>
  <c r="S45" i="5" s="1"/>
  <c r="CW41" i="15"/>
  <c r="CV43" i="15"/>
  <c r="DC47" i="15"/>
  <c r="AY47" i="65" s="1"/>
  <c r="S47" i="5" s="1"/>
  <c r="AX47" i="65"/>
  <c r="R47" i="5" s="1"/>
  <c r="CY45" i="15"/>
  <c r="CV41" i="15"/>
  <c r="CW43" i="15"/>
  <c r="DA40" i="15"/>
  <c r="CZ40" i="15"/>
  <c r="DB40" i="15" s="1"/>
  <c r="DA46" i="15"/>
  <c r="CZ46" i="15"/>
  <c r="DB46" i="15" s="1"/>
  <c r="CY46" i="15"/>
  <c r="DA45" i="15"/>
  <c r="CX24" i="15"/>
  <c r="CZ24" i="15" s="1"/>
  <c r="DB24" i="15" s="1"/>
  <c r="AX24" i="65" s="1"/>
  <c r="CR41" i="15"/>
  <c r="AW41" i="65"/>
  <c r="Q41" i="5" s="1"/>
  <c r="BA41" i="73" s="1"/>
  <c r="BA24" i="91"/>
  <c r="CV23" i="15"/>
  <c r="BA24" i="87"/>
  <c r="BA24" i="88"/>
  <c r="BA24" i="85"/>
  <c r="BA24" i="84"/>
  <c r="AW34" i="65"/>
  <c r="Q34" i="5" s="1"/>
  <c r="BA34" i="73" s="1"/>
  <c r="BA22" i="87"/>
  <c r="BA22" i="91"/>
  <c r="BA22" i="89"/>
  <c r="BA22" i="85"/>
  <c r="CX54" i="15"/>
  <c r="CY54" i="15" s="1"/>
  <c r="CU43" i="15"/>
  <c r="CX51" i="15"/>
  <c r="CI28" i="15"/>
  <c r="CT28" i="15"/>
  <c r="BA23" i="90"/>
  <c r="BA23" i="89"/>
  <c r="BA23" i="85"/>
  <c r="BA23" i="84"/>
  <c r="BA23" i="82"/>
  <c r="DA25" i="15"/>
  <c r="BF102" i="65"/>
  <c r="AF102" i="5" s="1"/>
  <c r="X102" i="5"/>
  <c r="Y102" i="5" s="1"/>
  <c r="BF255" i="65"/>
  <c r="X255" i="5"/>
  <c r="Y255" i="5" s="1"/>
  <c r="BA22" i="90"/>
  <c r="BA22" i="88"/>
  <c r="BA22" i="86"/>
  <c r="BA22" i="84"/>
  <c r="BA22" i="82"/>
  <c r="BF296" i="65"/>
  <c r="X296" i="5"/>
  <c r="Y296" i="5" s="1"/>
  <c r="BF278" i="65"/>
  <c r="X278" i="5"/>
  <c r="Y278" i="5" s="1"/>
  <c r="BF312" i="65"/>
  <c r="X312" i="5"/>
  <c r="Y312" i="5" s="1"/>
  <c r="BF274" i="65"/>
  <c r="X274" i="5"/>
  <c r="Y274" i="5" s="1"/>
  <c r="BF300" i="65"/>
  <c r="X300" i="5"/>
  <c r="Y300" i="5" s="1"/>
  <c r="BF158" i="65"/>
  <c r="X158" i="5"/>
  <c r="Y158" i="5" s="1"/>
  <c r="W90" i="5"/>
  <c r="X282" i="5"/>
  <c r="Y282" i="5" s="1"/>
  <c r="BF282" i="65"/>
  <c r="BF286" i="65"/>
  <c r="X286" i="5"/>
  <c r="Y286" i="5" s="1"/>
  <c r="BF290" i="65"/>
  <c r="X290" i="5"/>
  <c r="Y290" i="5" s="1"/>
  <c r="AQ90" i="82"/>
  <c r="AQ90" i="84"/>
  <c r="AQ90" i="83"/>
  <c r="AQ90" i="85"/>
  <c r="AQ90" i="86"/>
  <c r="AQ90" i="88"/>
  <c r="AQ90" i="90"/>
  <c r="AQ90" i="87"/>
  <c r="AQ90" i="89"/>
  <c r="AQ90" i="91"/>
  <c r="BC90" i="82"/>
  <c r="BC90" i="84"/>
  <c r="BC90" i="83"/>
  <c r="BC90" i="85"/>
  <c r="BC90" i="86"/>
  <c r="BC90" i="88"/>
  <c r="BC90" i="90"/>
  <c r="BC90" i="87"/>
  <c r="BC90" i="89"/>
  <c r="BC90" i="91"/>
  <c r="DC72" i="15"/>
  <c r="AY72" i="65" s="1"/>
  <c r="S72" i="5" s="1"/>
  <c r="DC35" i="15"/>
  <c r="AY35" i="65" s="1"/>
  <c r="S35" i="5" s="1"/>
  <c r="DC29" i="15"/>
  <c r="AY29" i="65" s="1"/>
  <c r="S29" i="5" s="1"/>
  <c r="CZ26" i="15"/>
  <c r="DB26" i="15" s="1"/>
  <c r="CY26" i="15"/>
  <c r="DA26" i="15"/>
  <c r="R25" i="5"/>
  <c r="S25" i="5"/>
  <c r="CW23" i="15"/>
  <c r="DA24" i="15"/>
  <c r="CK34" i="15"/>
  <c r="CT34" i="15" s="1"/>
  <c r="CY24" i="15"/>
  <c r="CS34" i="15"/>
  <c r="CV34" i="15" s="1"/>
  <c r="CI34" i="15"/>
  <c r="DA29" i="15"/>
  <c r="CY29" i="15"/>
  <c r="BS27" i="15"/>
  <c r="CH27" i="15" s="1"/>
  <c r="CK30" i="15"/>
  <c r="BS32" i="15"/>
  <c r="BA30" i="91"/>
  <c r="CI30" i="15"/>
  <c r="CJ30" i="15"/>
  <c r="CX36" i="15"/>
  <c r="CY36" i="15" s="1"/>
  <c r="BA37" i="82"/>
  <c r="BA37" i="83"/>
  <c r="BA37" i="84"/>
  <c r="BA37" i="86"/>
  <c r="BA37" i="85"/>
  <c r="BA37" i="87"/>
  <c r="BA37" i="89"/>
  <c r="BA37" i="88"/>
  <c r="BA37" i="90"/>
  <c r="BA58" i="82"/>
  <c r="BA58" i="84"/>
  <c r="BA58" i="83"/>
  <c r="BA58" i="85"/>
  <c r="BA58" i="86"/>
  <c r="BA58" i="88"/>
  <c r="BA58" i="90"/>
  <c r="BA58" i="87"/>
  <c r="BA58" i="89"/>
  <c r="BA41" i="86"/>
  <c r="BA41" i="88"/>
  <c r="BA43" i="82"/>
  <c r="BA43" i="83"/>
  <c r="BA43" i="84"/>
  <c r="BA43" i="86"/>
  <c r="BA43" i="85"/>
  <c r="BA43" i="87"/>
  <c r="BA43" i="89"/>
  <c r="BA43" i="88"/>
  <c r="BA43" i="90"/>
  <c r="BA51" i="82"/>
  <c r="BA51" i="83"/>
  <c r="BA51" i="84"/>
  <c r="BA51" i="86"/>
  <c r="BA51" i="85"/>
  <c r="BA51" i="87"/>
  <c r="BA51" i="89"/>
  <c r="BA51" i="88"/>
  <c r="BA51" i="90"/>
  <c r="BA39" i="82"/>
  <c r="BA39" i="83"/>
  <c r="BA39" i="84"/>
  <c r="BA39" i="86"/>
  <c r="BA39" i="85"/>
  <c r="BA39" i="87"/>
  <c r="BA39" i="89"/>
  <c r="BA39" i="88"/>
  <c r="BA39" i="90"/>
  <c r="BA34" i="82"/>
  <c r="BA34" i="84"/>
  <c r="BA34" i="83"/>
  <c r="BA34" i="85"/>
  <c r="BA34" i="86"/>
  <c r="BA34" i="88"/>
  <c r="BA34" i="90"/>
  <c r="BA34" i="87"/>
  <c r="BA34" i="89"/>
  <c r="BA28" i="82"/>
  <c r="BA28" i="84"/>
  <c r="BA28" i="83"/>
  <c r="BA28" i="85"/>
  <c r="BA28" i="86"/>
  <c r="BA28" i="88"/>
  <c r="BA28" i="90"/>
  <c r="BA28" i="87"/>
  <c r="BA28" i="89"/>
  <c r="BA30" i="82"/>
  <c r="BA30" i="84"/>
  <c r="BA30" i="83"/>
  <c r="BA30" i="85"/>
  <c r="BA30" i="86"/>
  <c r="BA30" i="88"/>
  <c r="BA30" i="90"/>
  <c r="BA30" i="87"/>
  <c r="BA30" i="89"/>
  <c r="BA33" i="82"/>
  <c r="BA33" i="83"/>
  <c r="BA33" i="84"/>
  <c r="BA33" i="86"/>
  <c r="BA33" i="85"/>
  <c r="BA33" i="87"/>
  <c r="BA33" i="89"/>
  <c r="BA33" i="88"/>
  <c r="BA33" i="90"/>
  <c r="BA60" i="82"/>
  <c r="BA60" i="84"/>
  <c r="BA60" i="83"/>
  <c r="BA60" i="85"/>
  <c r="BA60" i="86"/>
  <c r="BA60" i="88"/>
  <c r="BA60" i="90"/>
  <c r="BA60" i="87"/>
  <c r="BA60" i="89"/>
  <c r="CW28" i="15"/>
  <c r="CV33" i="15"/>
  <c r="AX35" i="65"/>
  <c r="R35" i="5" s="1"/>
  <c r="CY35" i="15"/>
  <c r="CU33" i="15"/>
  <c r="BA33" i="91"/>
  <c r="ES32" i="15"/>
  <c r="ET32" i="15"/>
  <c r="EU32" i="15"/>
  <c r="CH32" i="15"/>
  <c r="CW33" i="15"/>
  <c r="BA28" i="91"/>
  <c r="DA36" i="15"/>
  <c r="CS28" i="15"/>
  <c r="CV28" i="15" s="1"/>
  <c r="BA37" i="91"/>
  <c r="BA58" i="91"/>
  <c r="BA43" i="91"/>
  <c r="BA51" i="91"/>
  <c r="BA39" i="91"/>
  <c r="BA34" i="91"/>
  <c r="BA60" i="91"/>
  <c r="EY41" i="15"/>
  <c r="EX41" i="15"/>
  <c r="EZ41" i="15"/>
  <c r="AX29" i="65"/>
  <c r="R29" i="5" s="1"/>
  <c r="Z79" i="5"/>
  <c r="DA35" i="15"/>
  <c r="CY65" i="15"/>
  <c r="CZ65" i="15"/>
  <c r="DB65" i="15" s="1"/>
  <c r="CX73" i="15"/>
  <c r="AX72" i="65"/>
  <c r="R72" i="5" s="1"/>
  <c r="CX59" i="15"/>
  <c r="CZ59" i="15" s="1"/>
  <c r="DB59" i="15" s="1"/>
  <c r="CX60" i="15"/>
  <c r="DA60" i="15" s="1"/>
  <c r="CX50" i="15"/>
  <c r="CZ50" i="15" s="1"/>
  <c r="DB50" i="15" s="1"/>
  <c r="CV37" i="15"/>
  <c r="Z61" i="5"/>
  <c r="DA59" i="15"/>
  <c r="CW37" i="15"/>
  <c r="CV58" i="15"/>
  <c r="DC69" i="15"/>
  <c r="AY69" i="65" s="1"/>
  <c r="S69" i="5" s="1"/>
  <c r="AX69" i="65"/>
  <c r="R69" i="5" s="1"/>
  <c r="DA39" i="15"/>
  <c r="CY39" i="15"/>
  <c r="CZ39" i="15"/>
  <c r="DB39" i="15" s="1"/>
  <c r="CU37" i="15"/>
  <c r="DC24" i="15"/>
  <c r="AY24" i="65" s="1"/>
  <c r="DC52" i="15"/>
  <c r="AY52" i="65" s="1"/>
  <c r="S52" i="5" s="1"/>
  <c r="AX52" i="65"/>
  <c r="R52" i="5" s="1"/>
  <c r="CZ31" i="15"/>
  <c r="DB31" i="15" s="1"/>
  <c r="DA31" i="15"/>
  <c r="CY31" i="15"/>
  <c r="AX64" i="65"/>
  <c r="R64" i="5" s="1"/>
  <c r="DC64" i="15"/>
  <c r="AY64" i="65" s="1"/>
  <c r="S64" i="5" s="1"/>
  <c r="CU58" i="15"/>
  <c r="CY60" i="15"/>
  <c r="DA75" i="15"/>
  <c r="CY59" i="15"/>
  <c r="CY50" i="15"/>
  <c r="CZ60" i="15"/>
  <c r="DB60" i="15" s="1"/>
  <c r="DA50" i="15"/>
  <c r="CX56" i="15"/>
  <c r="CW58" i="15"/>
  <c r="CZ75" i="15"/>
  <c r="DB75" i="15" s="1"/>
  <c r="DC77" i="15"/>
  <c r="AY77" i="65" s="1"/>
  <c r="S77" i="5" s="1"/>
  <c r="AX77" i="65"/>
  <c r="R77" i="5" s="1"/>
  <c r="DA76" i="15"/>
  <c r="CZ76" i="15"/>
  <c r="DB76" i="15" s="1"/>
  <c r="CY73" i="15"/>
  <c r="DA73" i="15"/>
  <c r="CZ73" i="15"/>
  <c r="DB73" i="15" s="1"/>
  <c r="Z47" i="5"/>
  <c r="Z33" i="5"/>
  <c r="Z25" i="5"/>
  <c r="Z121" i="5"/>
  <c r="BA41" i="83" l="1"/>
  <c r="CX43" i="15"/>
  <c r="CZ43" i="15" s="1"/>
  <c r="DB43" i="15" s="1"/>
  <c r="CX23" i="15"/>
  <c r="DA23" i="15" s="1"/>
  <c r="BA41" i="87"/>
  <c r="CR30" i="15"/>
  <c r="CU30" i="15" s="1"/>
  <c r="AG30" i="65"/>
  <c r="CR34" i="15"/>
  <c r="CU34" i="15" s="1"/>
  <c r="AG34" i="65"/>
  <c r="CR28" i="15"/>
  <c r="CU28" i="15" s="1"/>
  <c r="CX28" i="15" s="1"/>
  <c r="DA28" i="15" s="1"/>
  <c r="AG28" i="65"/>
  <c r="CZ36" i="15"/>
  <c r="DB36" i="15" s="1"/>
  <c r="AX36" i="65" s="1"/>
  <c r="R36" i="5" s="1"/>
  <c r="CW34" i="15"/>
  <c r="AX43" i="65"/>
  <c r="R43" i="5" s="1"/>
  <c r="DC43" i="15"/>
  <c r="AY43" i="65" s="1"/>
  <c r="S43" i="5" s="1"/>
  <c r="CY43" i="15"/>
  <c r="CU41" i="15"/>
  <c r="CX41" i="15" s="1"/>
  <c r="CY41" i="15" s="1"/>
  <c r="DC46" i="15"/>
  <c r="AY46" i="65" s="1"/>
  <c r="S46" i="5" s="1"/>
  <c r="AX46" i="65"/>
  <c r="R46" i="5" s="1"/>
  <c r="AX40" i="65"/>
  <c r="R40" i="5" s="1"/>
  <c r="DC40" i="15"/>
  <c r="AY40" i="65" s="1"/>
  <c r="S40" i="5" s="1"/>
  <c r="DA43" i="15"/>
  <c r="BA41" i="91"/>
  <c r="BA41" i="90"/>
  <c r="BA41" i="89"/>
  <c r="BA41" i="85"/>
  <c r="BA41" i="84"/>
  <c r="BA41" i="82"/>
  <c r="BF90" i="65"/>
  <c r="AF90" i="5" s="1"/>
  <c r="X90" i="5"/>
  <c r="Y90" i="5" s="1"/>
  <c r="DC50" i="15"/>
  <c r="AY50" i="65" s="1"/>
  <c r="S50" i="5" s="1"/>
  <c r="AX59" i="65"/>
  <c r="R59" i="5" s="1"/>
  <c r="AX26" i="65"/>
  <c r="R26" i="5" s="1"/>
  <c r="DC26" i="15"/>
  <c r="AY26" i="65" s="1"/>
  <c r="S26" i="5" s="1"/>
  <c r="CY23" i="15"/>
  <c r="R24" i="5"/>
  <c r="S24" i="5"/>
  <c r="CX34" i="15"/>
  <c r="CX33" i="15"/>
  <c r="CZ33" i="15" s="1"/>
  <c r="DB33" i="15" s="1"/>
  <c r="CI27" i="15"/>
  <c r="CJ27" i="15"/>
  <c r="CR27" i="15"/>
  <c r="CK27" i="15"/>
  <c r="AW27" i="65"/>
  <c r="Q27" i="5" s="1"/>
  <c r="BA27" i="73" s="1"/>
  <c r="CS27" i="15"/>
  <c r="CT30" i="15"/>
  <c r="CW30" i="15"/>
  <c r="CS30" i="15"/>
  <c r="CV30" i="15"/>
  <c r="CZ23" i="15"/>
  <c r="DB23" i="15" s="1"/>
  <c r="DC59" i="15"/>
  <c r="AY59" i="65" s="1"/>
  <c r="S59" i="5" s="1"/>
  <c r="AX50" i="65"/>
  <c r="R50" i="5" s="1"/>
  <c r="CK32" i="15"/>
  <c r="AW32" i="65"/>
  <c r="Q32" i="5" s="1"/>
  <c r="BA32" i="73" s="1"/>
  <c r="CJ32" i="15"/>
  <c r="CI32" i="15"/>
  <c r="CY34" i="15"/>
  <c r="CZ34" i="15"/>
  <c r="DB34" i="15" s="1"/>
  <c r="DC36" i="15"/>
  <c r="AY36" i="65" s="1"/>
  <c r="S36" i="5" s="1"/>
  <c r="DA34" i="15"/>
  <c r="DC65" i="15"/>
  <c r="AY65" i="65" s="1"/>
  <c r="S65" i="5" s="1"/>
  <c r="AX65" i="65"/>
  <c r="R65" i="5" s="1"/>
  <c r="Z78" i="5"/>
  <c r="Z44" i="5"/>
  <c r="CX37" i="15"/>
  <c r="CZ37" i="15" s="1"/>
  <c r="DB37" i="15" s="1"/>
  <c r="DC75" i="15"/>
  <c r="AY75" i="65" s="1"/>
  <c r="S75" i="5" s="1"/>
  <c r="DA56" i="15"/>
  <c r="CY56" i="15"/>
  <c r="CZ56" i="15"/>
  <c r="DB56" i="15" s="1"/>
  <c r="AX60" i="65"/>
  <c r="R60" i="5" s="1"/>
  <c r="DC60" i="15"/>
  <c r="AY60" i="65" s="1"/>
  <c r="S60" i="5" s="1"/>
  <c r="AX31" i="65"/>
  <c r="R31" i="5" s="1"/>
  <c r="DC31" i="15"/>
  <c r="AY31" i="65" s="1"/>
  <c r="S31" i="5" s="1"/>
  <c r="AX39" i="65"/>
  <c r="R39" i="5" s="1"/>
  <c r="DC39" i="15"/>
  <c r="AY39" i="65" s="1"/>
  <c r="S39" i="5" s="1"/>
  <c r="CX58" i="15"/>
  <c r="AX75" i="65"/>
  <c r="R75" i="5" s="1"/>
  <c r="AX76" i="65"/>
  <c r="R76" i="5" s="1"/>
  <c r="DC76" i="15"/>
  <c r="AY76" i="65" s="1"/>
  <c r="S76" i="5" s="1"/>
  <c r="AX73" i="65"/>
  <c r="R73" i="5" s="1"/>
  <c r="DC73" i="15"/>
  <c r="AY73" i="65" s="1"/>
  <c r="S73" i="5" s="1"/>
  <c r="Z40" i="5"/>
  <c r="Z51" i="5"/>
  <c r="Z43" i="5"/>
  <c r="Z45" i="5"/>
  <c r="Z54" i="5"/>
  <c r="Z36" i="5"/>
  <c r="Z62" i="5"/>
  <c r="Z26" i="5"/>
  <c r="AG32" i="65" l="1"/>
  <c r="CX30" i="15"/>
  <c r="AG27" i="65"/>
  <c r="DA41" i="15"/>
  <c r="CZ41" i="15"/>
  <c r="DB41" i="15" s="1"/>
  <c r="CU27" i="15"/>
  <c r="DC23" i="15"/>
  <c r="AY23" i="65" s="1"/>
  <c r="CY33" i="15"/>
  <c r="S23" i="5"/>
  <c r="DA33" i="15"/>
  <c r="AX23" i="65"/>
  <c r="CY28" i="15"/>
  <c r="CZ28" i="15"/>
  <c r="DB28" i="15" s="1"/>
  <c r="CV27" i="15"/>
  <c r="BA27" i="84"/>
  <c r="BA27" i="85"/>
  <c r="BA27" i="89"/>
  <c r="BA27" i="90"/>
  <c r="BA27" i="91"/>
  <c r="BA27" i="82"/>
  <c r="BA27" i="83"/>
  <c r="BA27" i="86"/>
  <c r="BA27" i="87"/>
  <c r="BA27" i="88"/>
  <c r="CT27" i="15"/>
  <c r="CW27" i="15"/>
  <c r="CX27" i="15" s="1"/>
  <c r="CY30" i="15"/>
  <c r="DA30" i="15"/>
  <c r="CZ30" i="15"/>
  <c r="DB30" i="15" s="1"/>
  <c r="BA32" i="82"/>
  <c r="BA32" i="84"/>
  <c r="BA32" i="83"/>
  <c r="BA32" i="85"/>
  <c r="BA32" i="86"/>
  <c r="BA32" i="88"/>
  <c r="BA32" i="90"/>
  <c r="BA32" i="87"/>
  <c r="BA32" i="89"/>
  <c r="CR32" i="15"/>
  <c r="CU32" i="15" s="1"/>
  <c r="BA32" i="91"/>
  <c r="AD14" i="5"/>
  <c r="AD13" i="5"/>
  <c r="AD16" i="5"/>
  <c r="AD17" i="5"/>
  <c r="AD12" i="5"/>
  <c r="AD15" i="5"/>
  <c r="AX33" i="65"/>
  <c r="R33" i="5" s="1"/>
  <c r="DC33" i="15"/>
  <c r="AY33" i="65" s="1"/>
  <c r="S33" i="5" s="1"/>
  <c r="CS32" i="15"/>
  <c r="CV32" i="15" s="1"/>
  <c r="CT32" i="15"/>
  <c r="CW32" i="15"/>
  <c r="AX34" i="65"/>
  <c r="R34" i="5" s="1"/>
  <c r="DC34" i="15"/>
  <c r="AY34" i="65" s="1"/>
  <c r="S34" i="5" s="1"/>
  <c r="Z23" i="5"/>
  <c r="Z57" i="5"/>
  <c r="CY37" i="15"/>
  <c r="DA37" i="15"/>
  <c r="DC37" i="15"/>
  <c r="AY37" i="65" s="1"/>
  <c r="S37" i="5" s="1"/>
  <c r="AX37" i="65"/>
  <c r="R37" i="5" s="1"/>
  <c r="Z70" i="5"/>
  <c r="Z46" i="5"/>
  <c r="Z71" i="5"/>
  <c r="DA58" i="15"/>
  <c r="CZ58" i="15"/>
  <c r="DB58" i="15" s="1"/>
  <c r="CY58" i="15"/>
  <c r="Z49" i="5"/>
  <c r="AX56" i="65"/>
  <c r="R56" i="5" s="1"/>
  <c r="DC56" i="15"/>
  <c r="AY56" i="65" s="1"/>
  <c r="S56" i="5" s="1"/>
  <c r="Z72" i="5"/>
  <c r="Z22" i="5"/>
  <c r="Z41" i="5"/>
  <c r="Z109" i="5"/>
  <c r="AX28" i="65" l="1"/>
  <c r="R28" i="5" s="1"/>
  <c r="AX41" i="65"/>
  <c r="R41" i="5" s="1"/>
  <c r="DC41" i="15"/>
  <c r="AY41" i="65" s="1"/>
  <c r="S41" i="5" s="1"/>
  <c r="DC28" i="15"/>
  <c r="AY28" i="65" s="1"/>
  <c r="S28" i="5" s="1"/>
  <c r="R23" i="5"/>
  <c r="DA27" i="15"/>
  <c r="CZ27" i="15"/>
  <c r="DB27" i="15" s="1"/>
  <c r="CY27" i="15"/>
  <c r="CX32" i="15"/>
  <c r="CY32" i="15" s="1"/>
  <c r="AX30" i="65"/>
  <c r="R30" i="5" s="1"/>
  <c r="DC30" i="15"/>
  <c r="AY30" i="65" s="1"/>
  <c r="S30" i="5" s="1"/>
  <c r="Z74" i="5"/>
  <c r="Z65" i="5"/>
  <c r="Z34" i="5"/>
  <c r="Z35" i="5"/>
  <c r="DC58" i="15"/>
  <c r="AY58" i="65" s="1"/>
  <c r="S58" i="5" s="1"/>
  <c r="AX58" i="65"/>
  <c r="R58" i="5" s="1"/>
  <c r="Z29" i="5"/>
  <c r="Z69" i="5"/>
  <c r="Z59" i="5"/>
  <c r="Z52" i="5"/>
  <c r="Z50" i="5"/>
  <c r="Z77" i="5"/>
  <c r="Z75" i="5"/>
  <c r="DC27" i="15" l="1"/>
  <c r="AY27" i="65" s="1"/>
  <c r="S27" i="5" s="1"/>
  <c r="AX27" i="65"/>
  <c r="R27" i="5" s="1"/>
  <c r="DA32" i="15"/>
  <c r="CZ32" i="15"/>
  <c r="DB32" i="15" s="1"/>
  <c r="V7" i="5"/>
  <c r="V6" i="5"/>
  <c r="Z28" i="5"/>
  <c r="Z27" i="5"/>
  <c r="Z60" i="5"/>
  <c r="Z73" i="5"/>
  <c r="AX32" i="65" l="1"/>
  <c r="R32" i="5" s="1"/>
  <c r="DC32" i="15"/>
  <c r="AY32" i="65" s="1"/>
  <c r="S32" i="5" s="1"/>
  <c r="Z76" i="5"/>
  <c r="Z32" i="5"/>
  <c r="Z24" i="5"/>
  <c r="Z56" i="5"/>
  <c r="Z39" i="5"/>
  <c r="Z64" i="5" l="1"/>
  <c r="Z30" i="5"/>
  <c r="Z37" i="5"/>
  <c r="Z58" i="5"/>
  <c r="Z31" i="5"/>
  <c r="AD58" i="5"/>
  <c r="AD76" i="5"/>
  <c r="AD64" i="5"/>
  <c r="AE58" i="5"/>
  <c r="AE64" i="5"/>
  <c r="AE76" i="5"/>
  <c r="T58" i="5"/>
  <c r="AX58" i="73" s="1"/>
  <c r="V58" i="5"/>
  <c r="AZ58" i="73" s="1"/>
  <c r="AD56" i="5"/>
  <c r="AC58" i="5"/>
  <c r="BB58" i="73" s="1"/>
  <c r="U58" i="5"/>
  <c r="AY58" i="73" s="1"/>
  <c r="AE56" i="5"/>
  <c r="AD60" i="5"/>
  <c r="AD74" i="5"/>
  <c r="AC56" i="5"/>
  <c r="BB56" i="73" s="1"/>
  <c r="AC76" i="5"/>
  <c r="BB76" i="73" s="1"/>
  <c r="T56" i="5"/>
  <c r="AX56" i="73" s="1"/>
  <c r="AC64" i="5"/>
  <c r="BB64" i="73" s="1"/>
  <c r="U56" i="5"/>
  <c r="V56" i="5"/>
  <c r="AZ56" i="73" s="1"/>
  <c r="AD73" i="5"/>
  <c r="AE60" i="5"/>
  <c r="AE73" i="5"/>
  <c r="DE58" i="15"/>
  <c r="DH58" i="15" s="1"/>
  <c r="AF58" i="5"/>
  <c r="DD58" i="15"/>
  <c r="DG58" i="15" s="1"/>
  <c r="DF58" i="15"/>
  <c r="DI58" i="15" s="1"/>
  <c r="BB58" i="65" s="1"/>
  <c r="AE74" i="5"/>
  <c r="AC73" i="5"/>
  <c r="BB73" i="73" s="1"/>
  <c r="AD65" i="5"/>
  <c r="AD50" i="5"/>
  <c r="AD59" i="5"/>
  <c r="V60" i="5"/>
  <c r="T60" i="5"/>
  <c r="AX60" i="73" s="1"/>
  <c r="U76" i="5"/>
  <c r="T76" i="5"/>
  <c r="AX76" i="73" s="1"/>
  <c r="AD75" i="5"/>
  <c r="V73" i="5"/>
  <c r="AZ73" i="73" s="1"/>
  <c r="T73" i="5"/>
  <c r="AX73" i="73" s="1"/>
  <c r="U73" i="5"/>
  <c r="AY73" i="73" s="1"/>
  <c r="AD109" i="5"/>
  <c r="V76" i="5"/>
  <c r="AC60" i="5"/>
  <c r="BB60" i="73" s="1"/>
  <c r="AD69" i="5"/>
  <c r="AD52" i="5"/>
  <c r="AD71" i="5"/>
  <c r="U60" i="5"/>
  <c r="AD77" i="5"/>
  <c r="AD53" i="5"/>
  <c r="AF56" i="5"/>
  <c r="DD56" i="15"/>
  <c r="DG56" i="15" s="1"/>
  <c r="AE52" i="5"/>
  <c r="AE109" i="5"/>
  <c r="AE75" i="5"/>
  <c r="AE77" i="5"/>
  <c r="DE56" i="15"/>
  <c r="DH56" i="15" s="1"/>
  <c r="DF56" i="15"/>
  <c r="DI56" i="15" s="1"/>
  <c r="BB56" i="65" s="1"/>
  <c r="AE71" i="5"/>
  <c r="AE69" i="5"/>
  <c r="AE59" i="5"/>
  <c r="AE50" i="5"/>
  <c r="DE37" i="15"/>
  <c r="DH37" i="15" s="1"/>
  <c r="DF37" i="15"/>
  <c r="DI37" i="15" s="1"/>
  <c r="BB37" i="65" s="1"/>
  <c r="V37" i="5" s="1"/>
  <c r="DD37" i="15"/>
  <c r="DG37" i="15" s="1"/>
  <c r="AE65" i="5"/>
  <c r="T75" i="5"/>
  <c r="AX75" i="73" s="1"/>
  <c r="AC65" i="5"/>
  <c r="BB65" i="73" s="1"/>
  <c r="AC52" i="5"/>
  <c r="BB52" i="73" s="1"/>
  <c r="AC59" i="5"/>
  <c r="BB59" i="73" s="1"/>
  <c r="AC50" i="5"/>
  <c r="BB50" i="73" s="1"/>
  <c r="AC72" i="5"/>
  <c r="BB72" i="73" s="1"/>
  <c r="AC74" i="5"/>
  <c r="BB74" i="73" s="1"/>
  <c r="T65" i="5"/>
  <c r="AX65" i="73" s="1"/>
  <c r="V65" i="5"/>
  <c r="U65" i="5"/>
  <c r="AY65" i="73" s="1"/>
  <c r="U64" i="5"/>
  <c r="T64" i="5"/>
  <c r="AX64" i="73" s="1"/>
  <c r="T69" i="5"/>
  <c r="AX69" i="73" s="1"/>
  <c r="V64" i="5"/>
  <c r="AZ64" i="73" s="1"/>
  <c r="U69" i="5"/>
  <c r="AY69" i="73" s="1"/>
  <c r="V69" i="5"/>
  <c r="V59" i="5"/>
  <c r="AZ59" i="73" s="1"/>
  <c r="T59" i="5"/>
  <c r="AX59" i="73" s="1"/>
  <c r="U50" i="5"/>
  <c r="AY50" i="73" s="1"/>
  <c r="T50" i="5"/>
  <c r="AX50" i="73" s="1"/>
  <c r="V77" i="5"/>
  <c r="AZ77" i="73" s="1"/>
  <c r="T77" i="5"/>
  <c r="AX77" i="73" s="1"/>
  <c r="U77" i="5"/>
  <c r="AY77" i="73" s="1"/>
  <c r="V75" i="5"/>
  <c r="U75" i="5"/>
  <c r="AY75" i="73" s="1"/>
  <c r="AD62" i="5"/>
  <c r="AD51" i="5"/>
  <c r="AC77" i="5"/>
  <c r="BB77" i="73" s="1"/>
  <c r="AC75" i="5"/>
  <c r="BB75" i="73" s="1"/>
  <c r="AC69" i="5"/>
  <c r="BB69" i="73" s="1"/>
  <c r="T52" i="5"/>
  <c r="AX52" i="73" s="1"/>
  <c r="V50" i="5"/>
  <c r="AZ50" i="73" s="1"/>
  <c r="U52" i="5"/>
  <c r="AY52" i="73" s="1"/>
  <c r="V52" i="5"/>
  <c r="AD70" i="5"/>
  <c r="U59" i="5"/>
  <c r="AY59" i="73" s="1"/>
  <c r="AD72" i="5"/>
  <c r="AD54" i="5"/>
  <c r="AE72" i="5"/>
  <c r="AE53" i="5"/>
  <c r="DE73" i="15"/>
  <c r="DH73" i="15" s="1"/>
  <c r="DR73" i="15" s="1"/>
  <c r="AF76" i="5"/>
  <c r="DD76" i="15"/>
  <c r="DG76" i="15" s="1"/>
  <c r="DE76" i="15"/>
  <c r="DH76" i="15" s="1"/>
  <c r="DR76" i="15" s="1"/>
  <c r="DF39" i="15"/>
  <c r="DI39" i="15" s="1"/>
  <c r="BB39" i="65" s="1"/>
  <c r="V39" i="5" s="1"/>
  <c r="DD30" i="15"/>
  <c r="DG30" i="15" s="1"/>
  <c r="DF30" i="15"/>
  <c r="DI30" i="15" s="1"/>
  <c r="BB30" i="65" s="1"/>
  <c r="V30" i="5" s="1"/>
  <c r="DF31" i="15"/>
  <c r="DI31" i="15" s="1"/>
  <c r="BB31" i="65" s="1"/>
  <c r="V31" i="5" s="1"/>
  <c r="DE27" i="15"/>
  <c r="DH27" i="15" s="1"/>
  <c r="DF27" i="15"/>
  <c r="DI27" i="15" s="1"/>
  <c r="BB27" i="65" s="1"/>
  <c r="V27" i="5" s="1"/>
  <c r="DD27" i="15"/>
  <c r="DG27" i="15" s="1"/>
  <c r="AF60" i="5"/>
  <c r="DD60" i="15"/>
  <c r="DG60" i="15" s="1"/>
  <c r="AZ60" i="65" s="1"/>
  <c r="DE60" i="15"/>
  <c r="DH60" i="15" s="1"/>
  <c r="AF75" i="5"/>
  <c r="DD75" i="15"/>
  <c r="DG75" i="15" s="1"/>
  <c r="AF65" i="5"/>
  <c r="DD65" i="15"/>
  <c r="DG65" i="15" s="1"/>
  <c r="DE75" i="15"/>
  <c r="DH75" i="15" s="1"/>
  <c r="DR75" i="15" s="1"/>
  <c r="AE51" i="5"/>
  <c r="AE54" i="5"/>
  <c r="AE62" i="5"/>
  <c r="AF73" i="5"/>
  <c r="DD73" i="15"/>
  <c r="DG73" i="15" s="1"/>
  <c r="DF73" i="15"/>
  <c r="DI73" i="15" s="1"/>
  <c r="BB73" i="65" s="1"/>
  <c r="DF76" i="15"/>
  <c r="DI76" i="15" s="1"/>
  <c r="BB76" i="65" s="1"/>
  <c r="DD39" i="15"/>
  <c r="DG39" i="15" s="1"/>
  <c r="DE39" i="15"/>
  <c r="DH39" i="15" s="1"/>
  <c r="AE70" i="5"/>
  <c r="DE30" i="15"/>
  <c r="DH30" i="15" s="1"/>
  <c r="DE31" i="15"/>
  <c r="DH31" i="15" s="1"/>
  <c r="DD31" i="15"/>
  <c r="DG31" i="15" s="1"/>
  <c r="DF60" i="15"/>
  <c r="DI60" i="15" s="1"/>
  <c r="BB60" i="65" s="1"/>
  <c r="AC51" i="5"/>
  <c r="BB51" i="73" s="1"/>
  <c r="AC57" i="5"/>
  <c r="BB57" i="73" s="1"/>
  <c r="AC71" i="5"/>
  <c r="BB71" i="73" s="1"/>
  <c r="T72" i="5"/>
  <c r="AX72" i="73" s="1"/>
  <c r="U51" i="5"/>
  <c r="T51" i="5"/>
  <c r="AX51" i="73" s="1"/>
  <c r="V51" i="5"/>
  <c r="AD57" i="5"/>
  <c r="AD121" i="5"/>
  <c r="AC109" i="5"/>
  <c r="BB109" i="73" s="1"/>
  <c r="AC70" i="5"/>
  <c r="BB70" i="73" s="1"/>
  <c r="T70" i="5"/>
  <c r="AX70" i="73" s="1"/>
  <c r="U70" i="5"/>
  <c r="V70" i="5"/>
  <c r="U72" i="5"/>
  <c r="V72" i="5"/>
  <c r="AZ72" i="73" s="1"/>
  <c r="AD78" i="5"/>
  <c r="AD91" i="5"/>
  <c r="AC53" i="5"/>
  <c r="BB53" i="73" s="1"/>
  <c r="DE65" i="15"/>
  <c r="DH65" i="15" s="1"/>
  <c r="DR65" i="15" s="1"/>
  <c r="DT65" i="15" s="1"/>
  <c r="DZ65" i="15" s="1"/>
  <c r="EB65" i="15" s="1"/>
  <c r="DF77" i="15"/>
  <c r="DI77" i="15" s="1"/>
  <c r="BB77" i="65" s="1"/>
  <c r="AF77" i="5"/>
  <c r="DD77" i="15"/>
  <c r="DG77" i="15" s="1"/>
  <c r="AE121" i="5"/>
  <c r="AE78" i="5"/>
  <c r="AE57" i="5"/>
  <c r="DF75" i="15"/>
  <c r="DI75" i="15" s="1"/>
  <c r="BB75" i="65" s="1"/>
  <c r="DE77" i="15"/>
  <c r="DH77" i="15" s="1"/>
  <c r="DR77" i="15" s="1"/>
  <c r="DT77" i="15" s="1"/>
  <c r="AF64" i="5"/>
  <c r="DD64" i="15"/>
  <c r="DG64" i="15" s="1"/>
  <c r="DF64" i="15"/>
  <c r="DI64" i="15" s="1"/>
  <c r="BB64" i="65" s="1"/>
  <c r="AF52" i="5"/>
  <c r="DD52" i="15"/>
  <c r="DG52" i="15" s="1"/>
  <c r="DD24" i="15"/>
  <c r="DG24" i="15" s="1"/>
  <c r="AZ24" i="65" s="1"/>
  <c r="DF24" i="15"/>
  <c r="DI24" i="15" s="1"/>
  <c r="BB24" i="65" s="1"/>
  <c r="DE24" i="15"/>
  <c r="DH24" i="15" s="1"/>
  <c r="DR24" i="15" s="1"/>
  <c r="BC24" i="65" s="1"/>
  <c r="DE28" i="15"/>
  <c r="DH28" i="15" s="1"/>
  <c r="DF28" i="15"/>
  <c r="DI28" i="15" s="1"/>
  <c r="BB28" i="65" s="1"/>
  <c r="V28" i="5" s="1"/>
  <c r="AF69" i="5"/>
  <c r="DD69" i="15"/>
  <c r="DG69" i="15" s="1"/>
  <c r="AF59" i="5"/>
  <c r="DD59" i="15"/>
  <c r="DG59" i="15" s="1"/>
  <c r="DF50" i="15"/>
  <c r="DI50" i="15" s="1"/>
  <c r="BB50" i="65" s="1"/>
  <c r="DD34" i="15"/>
  <c r="DG34" i="15" s="1"/>
  <c r="DE34" i="15"/>
  <c r="DH34" i="15" s="1"/>
  <c r="DE32" i="15"/>
  <c r="DH32" i="15" s="1"/>
  <c r="DR32" i="15" s="1"/>
  <c r="BC32" i="65" s="1"/>
  <c r="AC32" i="5" s="1"/>
  <c r="BB32" i="73" s="1"/>
  <c r="DF65" i="15"/>
  <c r="DI65" i="15" s="1"/>
  <c r="BB65" i="65" s="1"/>
  <c r="AF72" i="5"/>
  <c r="DD72" i="15"/>
  <c r="DG72" i="15" s="1"/>
  <c r="AZ72" i="65" s="1"/>
  <c r="DF32" i="15"/>
  <c r="DI32" i="15" s="1"/>
  <c r="BB32" i="65" s="1"/>
  <c r="V32" i="5" s="1"/>
  <c r="DD29" i="15"/>
  <c r="DG29" i="15" s="1"/>
  <c r="DE29" i="15"/>
  <c r="DH29" i="15" s="1"/>
  <c r="DE64" i="15"/>
  <c r="DH64" i="15" s="1"/>
  <c r="DE52" i="15"/>
  <c r="DH52" i="15" s="1"/>
  <c r="DR52" i="15" s="1"/>
  <c r="DU52" i="15" s="1"/>
  <c r="EA52" i="15" s="1"/>
  <c r="DF52" i="15"/>
  <c r="DI52" i="15" s="1"/>
  <c r="BB52" i="65" s="1"/>
  <c r="DD28" i="15"/>
  <c r="DG28" i="15" s="1"/>
  <c r="AZ28" i="65" s="1"/>
  <c r="T28" i="5" s="1"/>
  <c r="AX28" i="73" s="1"/>
  <c r="DE69" i="15"/>
  <c r="DH69" i="15" s="1"/>
  <c r="DR69" i="15" s="1"/>
  <c r="DF69" i="15"/>
  <c r="DI69" i="15" s="1"/>
  <c r="BB69" i="65" s="1"/>
  <c r="DE59" i="15"/>
  <c r="DH59" i="15" s="1"/>
  <c r="DR59" i="15" s="1"/>
  <c r="DF59" i="15"/>
  <c r="DI59" i="15" s="1"/>
  <c r="BB59" i="65" s="1"/>
  <c r="DE50" i="15"/>
  <c r="DH50" i="15" s="1"/>
  <c r="AF50" i="5"/>
  <c r="DD50" i="15"/>
  <c r="DG50" i="15" s="1"/>
  <c r="DJ50" i="15" s="1"/>
  <c r="EJ50" i="15" s="1"/>
  <c r="EL50" i="15" s="1"/>
  <c r="DF34" i="15"/>
  <c r="DI34" i="15" s="1"/>
  <c r="BB34" i="65" s="1"/>
  <c r="V34" i="5" s="1"/>
  <c r="DD32" i="15"/>
  <c r="DG32" i="15" s="1"/>
  <c r="AZ32" i="65" s="1"/>
  <c r="T32" i="5" s="1"/>
  <c r="AX32" i="73" s="1"/>
  <c r="DE72" i="15"/>
  <c r="DH72" i="15" s="1"/>
  <c r="DR72" i="15" s="1"/>
  <c r="T74" i="5"/>
  <c r="AX74" i="73" s="1"/>
  <c r="DF72" i="15"/>
  <c r="DI72" i="15" s="1"/>
  <c r="BB72" i="65" s="1"/>
  <c r="U57" i="5"/>
  <c r="T57" i="5"/>
  <c r="AX57" i="73" s="1"/>
  <c r="U54" i="5"/>
  <c r="T54" i="5"/>
  <c r="AX54" i="73" s="1"/>
  <c r="V74" i="5"/>
  <c r="AC62" i="5"/>
  <c r="BB62" i="73" s="1"/>
  <c r="AD123" i="5"/>
  <c r="V54" i="5"/>
  <c r="AZ54" i="73" s="1"/>
  <c r="V57" i="5"/>
  <c r="V109" i="5"/>
  <c r="AZ109" i="73" s="1"/>
  <c r="T109" i="5"/>
  <c r="AX109" i="73" s="1"/>
  <c r="V71" i="5"/>
  <c r="AZ71" i="73" s="1"/>
  <c r="T71" i="5"/>
  <c r="AX71" i="73" s="1"/>
  <c r="U71" i="5"/>
  <c r="AY71" i="73" s="1"/>
  <c r="U74" i="5"/>
  <c r="AY74" i="73" s="1"/>
  <c r="AD79" i="5"/>
  <c r="AD68" i="5"/>
  <c r="AD61" i="5"/>
  <c r="AD105" i="5"/>
  <c r="U109" i="5"/>
  <c r="AY109" i="73" s="1"/>
  <c r="AD125" i="5"/>
  <c r="AD93" i="5"/>
  <c r="AD89" i="5"/>
  <c r="AD66" i="5"/>
  <c r="AC54" i="5"/>
  <c r="BB54" i="73" s="1"/>
  <c r="AE91" i="5"/>
  <c r="DE51" i="15"/>
  <c r="DH51" i="15" s="1"/>
  <c r="DR51" i="15" s="1"/>
  <c r="DE41" i="15"/>
  <c r="DH41" i="15" s="1"/>
  <c r="DR41" i="15" s="1"/>
  <c r="DD46" i="15"/>
  <c r="DG46" i="15" s="1"/>
  <c r="AZ46" i="65" s="1"/>
  <c r="T46" i="5" s="1"/>
  <c r="AX46" i="73" s="1"/>
  <c r="DE46" i="15"/>
  <c r="DH46" i="15" s="1"/>
  <c r="DR46" i="15" s="1"/>
  <c r="DF35" i="15"/>
  <c r="DI35" i="15" s="1"/>
  <c r="BB35" i="65" s="1"/>
  <c r="V35" i="5" s="1"/>
  <c r="DE23" i="15"/>
  <c r="DH23" i="15" s="1"/>
  <c r="DF49" i="15"/>
  <c r="DI49" i="15" s="1"/>
  <c r="BB49" i="65" s="1"/>
  <c r="V49" i="5" s="1"/>
  <c r="DD49" i="15"/>
  <c r="DG49" i="15" s="1"/>
  <c r="AF70" i="5"/>
  <c r="DD70" i="15"/>
  <c r="DG70" i="15" s="1"/>
  <c r="DE70" i="15"/>
  <c r="DH70" i="15" s="1"/>
  <c r="DR70" i="15" s="1"/>
  <c r="DF29" i="15"/>
  <c r="DI29" i="15" s="1"/>
  <c r="BB29" i="65" s="1"/>
  <c r="V29" i="5" s="1"/>
  <c r="DE43" i="15"/>
  <c r="DH43" i="15" s="1"/>
  <c r="DR43" i="15" s="1"/>
  <c r="DF41" i="15"/>
  <c r="DI41" i="15" s="1"/>
  <c r="BB41" i="65" s="1"/>
  <c r="V41" i="5" s="1"/>
  <c r="AF51" i="5"/>
  <c r="DD51" i="15"/>
  <c r="DG51" i="15" s="1"/>
  <c r="DF74" i="15"/>
  <c r="DI74" i="15" s="1"/>
  <c r="BB74" i="65" s="1"/>
  <c r="DE54" i="15"/>
  <c r="DH54" i="15" s="1"/>
  <c r="DR54" i="15" s="1"/>
  <c r="AE89" i="5"/>
  <c r="AE123" i="5"/>
  <c r="AE93" i="5"/>
  <c r="AE125" i="5"/>
  <c r="AE105" i="5"/>
  <c r="AE61" i="5"/>
  <c r="AE68" i="5"/>
  <c r="AE66" i="5"/>
  <c r="AE79" i="5"/>
  <c r="DF51" i="15"/>
  <c r="DI51" i="15" s="1"/>
  <c r="BB51" i="65" s="1"/>
  <c r="AF74" i="5"/>
  <c r="DD74" i="15"/>
  <c r="DG74" i="15" s="1"/>
  <c r="AZ74" i="65" s="1"/>
  <c r="DD41" i="15"/>
  <c r="DG41" i="15" s="1"/>
  <c r="AZ41" i="65" s="1"/>
  <c r="T41" i="5" s="1"/>
  <c r="AX41" i="73" s="1"/>
  <c r="DF46" i="15"/>
  <c r="DI46" i="15" s="1"/>
  <c r="BB46" i="65" s="1"/>
  <c r="V46" i="5" s="1"/>
  <c r="AZ46" i="73" s="1"/>
  <c r="DD35" i="15"/>
  <c r="DG35" i="15" s="1"/>
  <c r="DE35" i="15"/>
  <c r="DH35" i="15" s="1"/>
  <c r="DD23" i="15"/>
  <c r="DG23" i="15" s="1"/>
  <c r="AZ23" i="65" s="1"/>
  <c r="DF23" i="15"/>
  <c r="DI23" i="15" s="1"/>
  <c r="BB23" i="65" s="1"/>
  <c r="DE49" i="15"/>
  <c r="DH49" i="15" s="1"/>
  <c r="DR49" i="15" s="1"/>
  <c r="DT49" i="15" s="1"/>
  <c r="DF70" i="15"/>
  <c r="DI70" i="15" s="1"/>
  <c r="BB70" i="65" s="1"/>
  <c r="DE74" i="15"/>
  <c r="DH74" i="15" s="1"/>
  <c r="DR74" i="15" s="1"/>
  <c r="DD43" i="15"/>
  <c r="DG43" i="15" s="1"/>
  <c r="T68" i="5"/>
  <c r="AX68" i="73" s="1"/>
  <c r="V68" i="5"/>
  <c r="AZ68" i="73" s="1"/>
  <c r="U53" i="5"/>
  <c r="T53" i="5"/>
  <c r="AX53" i="73" s="1"/>
  <c r="V53" i="5"/>
  <c r="T62" i="5"/>
  <c r="AX62" i="73" s="1"/>
  <c r="V62" i="5"/>
  <c r="AD94" i="5"/>
  <c r="AD127" i="5"/>
  <c r="AD106" i="5"/>
  <c r="AD118" i="5"/>
  <c r="AD126" i="5"/>
  <c r="AD122" i="5"/>
  <c r="AD117" i="5"/>
  <c r="AD99" i="5"/>
  <c r="AD115" i="5"/>
  <c r="AC121" i="5"/>
  <c r="BB121" i="73" s="1"/>
  <c r="AD107" i="5"/>
  <c r="V66" i="5"/>
  <c r="T66" i="5"/>
  <c r="AX66" i="73" s="1"/>
  <c r="U68" i="5"/>
  <c r="AY68" i="73" s="1"/>
  <c r="U66" i="5"/>
  <c r="AY66" i="73" s="1"/>
  <c r="AC78" i="5"/>
  <c r="BB78" i="73" s="1"/>
  <c r="U62" i="5"/>
  <c r="AD97" i="5"/>
  <c r="AD120" i="5"/>
  <c r="DF43" i="15"/>
  <c r="DI43" i="15" s="1"/>
  <c r="BB43" i="65" s="1"/>
  <c r="V43" i="5" s="1"/>
  <c r="DF33" i="15"/>
  <c r="DI33" i="15" s="1"/>
  <c r="BB33" i="65" s="1"/>
  <c r="V33" i="5" s="1"/>
  <c r="AC91" i="5"/>
  <c r="BB91" i="73" s="1"/>
  <c r="AD100" i="5"/>
  <c r="AD124" i="5"/>
  <c r="DF54" i="15"/>
  <c r="DI54" i="15" s="1"/>
  <c r="BB54" i="65" s="1"/>
  <c r="DD33" i="15"/>
  <c r="DG33" i="15" s="1"/>
  <c r="AD116" i="5"/>
  <c r="AF54" i="5"/>
  <c r="DD54" i="15"/>
  <c r="DG54" i="15" s="1"/>
  <c r="DE33" i="15"/>
  <c r="DH33" i="15" s="1"/>
  <c r="DR33" i="15" s="1"/>
  <c r="DS33" i="15" s="1"/>
  <c r="DE109" i="15"/>
  <c r="DH109" i="15" s="1"/>
  <c r="DR109" i="15" s="1"/>
  <c r="DF45" i="15"/>
  <c r="DI45" i="15" s="1"/>
  <c r="BB45" i="65" s="1"/>
  <c r="V45" i="5" s="1"/>
  <c r="DE40" i="15"/>
  <c r="DH40" i="15" s="1"/>
  <c r="DR40" i="15" s="1"/>
  <c r="DT40" i="15" s="1"/>
  <c r="DZ40" i="15" s="1"/>
  <c r="EB40" i="15" s="1"/>
  <c r="DF40" i="15"/>
  <c r="DI40" i="15" s="1"/>
  <c r="BB40" i="65" s="1"/>
  <c r="V40" i="5" s="1"/>
  <c r="DE36" i="15"/>
  <c r="DH36" i="15" s="1"/>
  <c r="DR36" i="15" s="1"/>
  <c r="DT36" i="15" s="1"/>
  <c r="DZ36" i="15" s="1"/>
  <c r="EB36" i="15" s="1"/>
  <c r="DD36" i="15"/>
  <c r="DG36" i="15" s="1"/>
  <c r="DF57" i="15"/>
  <c r="DI57" i="15" s="1"/>
  <c r="BB57" i="65" s="1"/>
  <c r="DE45" i="15"/>
  <c r="DH45" i="15" s="1"/>
  <c r="DR45" i="15" s="1"/>
  <c r="DF36" i="15"/>
  <c r="DI36" i="15" s="1"/>
  <c r="BB36" i="65" s="1"/>
  <c r="V36" i="5" s="1"/>
  <c r="AE107" i="5"/>
  <c r="AE115" i="5"/>
  <c r="AE99" i="5"/>
  <c r="AE117" i="5"/>
  <c r="DF109" i="15"/>
  <c r="DI109" i="15" s="1"/>
  <c r="BB109" i="65" s="1"/>
  <c r="AF109" i="5"/>
  <c r="DD109" i="15"/>
  <c r="DG109" i="15" s="1"/>
  <c r="AE122" i="5"/>
  <c r="AE126" i="5"/>
  <c r="AE120" i="5"/>
  <c r="AE118" i="5"/>
  <c r="AE106" i="5"/>
  <c r="AE127" i="5"/>
  <c r="AE97" i="5"/>
  <c r="AE94" i="5"/>
  <c r="DD40" i="15"/>
  <c r="DG40" i="15" s="1"/>
  <c r="DE71" i="15"/>
  <c r="DH71" i="15" s="1"/>
  <c r="DR71" i="15" s="1"/>
  <c r="AF71" i="5"/>
  <c r="DD71" i="15"/>
  <c r="DG71" i="15" s="1"/>
  <c r="DJ71" i="15" s="1"/>
  <c r="EJ71" i="15" s="1"/>
  <c r="EK71" i="15" s="1"/>
  <c r="AF57" i="5"/>
  <c r="DD57" i="15"/>
  <c r="DG57" i="15" s="1"/>
  <c r="DE57" i="15"/>
  <c r="DH57" i="15" s="1"/>
  <c r="DR57" i="15" s="1"/>
  <c r="AC79" i="5"/>
  <c r="BB79" i="73" s="1"/>
  <c r="AC107" i="5"/>
  <c r="BB107" i="73" s="1"/>
  <c r="AD63" i="5"/>
  <c r="AD114" i="5"/>
  <c r="AD95" i="5"/>
  <c r="AC93" i="5"/>
  <c r="BB93" i="73" s="1"/>
  <c r="AC123" i="5"/>
  <c r="BB123" i="73" s="1"/>
  <c r="U107" i="5"/>
  <c r="T107" i="5"/>
  <c r="AX107" i="73" s="1"/>
  <c r="T121" i="5"/>
  <c r="AX121" i="73" s="1"/>
  <c r="V121" i="5"/>
  <c r="AD55" i="5"/>
  <c r="AC68" i="5"/>
  <c r="BB68" i="73" s="1"/>
  <c r="AC66" i="5"/>
  <c r="BB66" i="73" s="1"/>
  <c r="AD96" i="5"/>
  <c r="AC125" i="5"/>
  <c r="BB125" i="73" s="1"/>
  <c r="AC105" i="5"/>
  <c r="BB105" i="73" s="1"/>
  <c r="V107" i="5"/>
  <c r="AZ107" i="73" s="1"/>
  <c r="U121" i="5"/>
  <c r="AC89" i="5"/>
  <c r="BB89" i="73" s="1"/>
  <c r="AC61" i="5"/>
  <c r="BB61" i="73" s="1"/>
  <c r="AD119" i="5"/>
  <c r="AD92" i="5"/>
  <c r="AD110" i="5"/>
  <c r="AD101" i="5"/>
  <c r="DF71" i="15"/>
  <c r="DI71" i="15" s="1"/>
  <c r="BB71" i="65" s="1"/>
  <c r="DD45" i="15"/>
  <c r="DG45" i="15" s="1"/>
  <c r="DJ45" i="15" s="1"/>
  <c r="EJ45" i="15" s="1"/>
  <c r="AE124" i="5"/>
  <c r="U91" i="5"/>
  <c r="T91" i="5"/>
  <c r="AX91" i="73" s="1"/>
  <c r="V91" i="5"/>
  <c r="AE100" i="5"/>
  <c r="AD80" i="5"/>
  <c r="AD67" i="5"/>
  <c r="AE116" i="5"/>
  <c r="DE53" i="15"/>
  <c r="DH53" i="15" s="1"/>
  <c r="DR53" i="15" s="1"/>
  <c r="DS53" i="15" s="1"/>
  <c r="AD85" i="5"/>
  <c r="AD98" i="5"/>
  <c r="AF53" i="5"/>
  <c r="DD53" i="15"/>
  <c r="DG53" i="15" s="1"/>
  <c r="DJ53" i="15" s="1"/>
  <c r="EJ53" i="15" s="1"/>
  <c r="EK53" i="15" s="1"/>
  <c r="AD86" i="5"/>
  <c r="DF53" i="15"/>
  <c r="DI53" i="15" s="1"/>
  <c r="BB53" i="65" s="1"/>
  <c r="DF62" i="15"/>
  <c r="DI62" i="15" s="1"/>
  <c r="BB62" i="65" s="1"/>
  <c r="DD44" i="15"/>
  <c r="DG44" i="15" s="1"/>
  <c r="DE66" i="15"/>
  <c r="DH66" i="15" s="1"/>
  <c r="DR66" i="15" s="1"/>
  <c r="DF68" i="15"/>
  <c r="DI68" i="15" s="1"/>
  <c r="BB68" i="65" s="1"/>
  <c r="DE25" i="15"/>
  <c r="DH25" i="15" s="1"/>
  <c r="AF67" i="5"/>
  <c r="AE101" i="5"/>
  <c r="AE95" i="5"/>
  <c r="AE114" i="5"/>
  <c r="AE96" i="5"/>
  <c r="AE110" i="5"/>
  <c r="AE92" i="5"/>
  <c r="AE119" i="5"/>
  <c r="AE63" i="5"/>
  <c r="AE55" i="5"/>
  <c r="AF62" i="5"/>
  <c r="DD62" i="15"/>
  <c r="DG62" i="15" s="1"/>
  <c r="AZ62" i="65" s="1"/>
  <c r="DE62" i="15"/>
  <c r="DH62" i="15" s="1"/>
  <c r="DR62" i="15" s="1"/>
  <c r="DF44" i="15"/>
  <c r="DI44" i="15" s="1"/>
  <c r="BB44" i="65" s="1"/>
  <c r="V44" i="5" s="1"/>
  <c r="DE44" i="15"/>
  <c r="DH44" i="15" s="1"/>
  <c r="DR44" i="15" s="1"/>
  <c r="DS44" i="15" s="1"/>
  <c r="DE48" i="15"/>
  <c r="DH48" i="15" s="1"/>
  <c r="DR48" i="15" s="1"/>
  <c r="DF48" i="15"/>
  <c r="DI48" i="15" s="1"/>
  <c r="BB48" i="65" s="1"/>
  <c r="V48" i="5" s="1"/>
  <c r="AZ48" i="73" s="1"/>
  <c r="DD48" i="15"/>
  <c r="DG48" i="15" s="1"/>
  <c r="AZ48" i="65" s="1"/>
  <c r="T48" i="5" s="1"/>
  <c r="AX48" i="73" s="1"/>
  <c r="DF66" i="15"/>
  <c r="DI66" i="15" s="1"/>
  <c r="BB66" i="65" s="1"/>
  <c r="AF66" i="5"/>
  <c r="DD66" i="15"/>
  <c r="DG66" i="15" s="1"/>
  <c r="DJ66" i="15" s="1"/>
  <c r="EJ66" i="15" s="1"/>
  <c r="EM66" i="15" s="1"/>
  <c r="AF68" i="5"/>
  <c r="DD68" i="15"/>
  <c r="DG68" i="15" s="1"/>
  <c r="AZ68" i="65" s="1"/>
  <c r="DE68" i="15"/>
  <c r="DH68" i="15" s="1"/>
  <c r="DR68" i="15" s="1"/>
  <c r="DT68" i="15" s="1"/>
  <c r="DZ68" i="15" s="1"/>
  <c r="EB68" i="15" s="1"/>
  <c r="DF25" i="15"/>
  <c r="DI25" i="15" s="1"/>
  <c r="BB25" i="65" s="1"/>
  <c r="AC63" i="5"/>
  <c r="BB63" i="73" s="1"/>
  <c r="T55" i="5"/>
  <c r="AX55" i="73" s="1"/>
  <c r="V55" i="5"/>
  <c r="U55" i="5"/>
  <c r="V78" i="5"/>
  <c r="T78" i="5"/>
  <c r="AX78" i="73" s="1"/>
  <c r="U79" i="5"/>
  <c r="T79" i="5"/>
  <c r="AX79" i="73" s="1"/>
  <c r="AC126" i="5"/>
  <c r="BB126" i="73" s="1"/>
  <c r="AC122" i="5"/>
  <c r="BB122" i="73" s="1"/>
  <c r="T125" i="5"/>
  <c r="AX125" i="73" s="1"/>
  <c r="V125" i="5"/>
  <c r="AZ125" i="73" s="1"/>
  <c r="AC115" i="5"/>
  <c r="BB115" i="73" s="1"/>
  <c r="T89" i="5"/>
  <c r="AX89" i="73" s="1"/>
  <c r="U89" i="5"/>
  <c r="V93" i="5"/>
  <c r="AZ93" i="73" s="1"/>
  <c r="T93" i="5"/>
  <c r="AX93" i="73" s="1"/>
  <c r="V105" i="5"/>
  <c r="AZ105" i="73" s="1"/>
  <c r="T105" i="5"/>
  <c r="AX105" i="73" s="1"/>
  <c r="V79" i="5"/>
  <c r="AZ79" i="73" s="1"/>
  <c r="V63" i="5"/>
  <c r="T63" i="5"/>
  <c r="AX63" i="73" s="1"/>
  <c r="U78" i="5"/>
  <c r="AD84" i="5"/>
  <c r="AC94" i="5"/>
  <c r="BB94" i="73" s="1"/>
  <c r="AC127" i="5"/>
  <c r="BB127" i="73" s="1"/>
  <c r="AC106" i="5"/>
  <c r="BB106" i="73" s="1"/>
  <c r="AC118" i="5"/>
  <c r="BB118" i="73" s="1"/>
  <c r="AD113" i="5"/>
  <c r="AC120" i="5"/>
  <c r="BB120" i="73" s="1"/>
  <c r="U105" i="5"/>
  <c r="AY105" i="73" s="1"/>
  <c r="AC117" i="5"/>
  <c r="BB117" i="73" s="1"/>
  <c r="AC99" i="5"/>
  <c r="BB99" i="73" s="1"/>
  <c r="AD108" i="5"/>
  <c r="U123" i="5"/>
  <c r="T123" i="5"/>
  <c r="AX123" i="73" s="1"/>
  <c r="V123" i="5"/>
  <c r="U125" i="5"/>
  <c r="AY125" i="73" s="1"/>
  <c r="U93" i="5"/>
  <c r="V89" i="5"/>
  <c r="U63" i="5"/>
  <c r="AD104" i="5"/>
  <c r="AD88" i="5"/>
  <c r="AC97" i="5"/>
  <c r="BB97" i="73" s="1"/>
  <c r="DD25" i="15"/>
  <c r="DG25" i="15" s="1"/>
  <c r="AC67" i="5"/>
  <c r="BB67" i="73" s="1"/>
  <c r="AC100" i="5"/>
  <c r="BB100" i="73" s="1"/>
  <c r="AC124" i="5"/>
  <c r="BB124" i="73" s="1"/>
  <c r="AE80" i="5"/>
  <c r="AE67" i="5"/>
  <c r="AC116" i="5"/>
  <c r="BB116" i="73" s="1"/>
  <c r="AE85" i="5"/>
  <c r="AE98" i="5"/>
  <c r="AE86" i="5"/>
  <c r="DF107" i="15"/>
  <c r="DI107" i="15" s="1"/>
  <c r="BB107" i="65" s="1"/>
  <c r="DE121" i="15"/>
  <c r="DH121" i="15" s="1"/>
  <c r="DR121" i="15" s="1"/>
  <c r="DU121" i="15" s="1"/>
  <c r="AF121" i="5"/>
  <c r="DD121" i="15"/>
  <c r="DG121" i="15" s="1"/>
  <c r="AZ121" i="65" s="1"/>
  <c r="DF42" i="15"/>
  <c r="DI42" i="15" s="1"/>
  <c r="BB42" i="65" s="1"/>
  <c r="V42" i="5" s="1"/>
  <c r="DD42" i="15"/>
  <c r="DG42" i="15" s="1"/>
  <c r="DE26" i="15"/>
  <c r="DH26" i="15" s="1"/>
  <c r="AC55" i="5"/>
  <c r="BB55" i="73" s="1"/>
  <c r="AF78" i="5"/>
  <c r="DD78" i="15"/>
  <c r="DG78" i="15" s="1"/>
  <c r="DE91" i="15"/>
  <c r="DH91" i="15" s="1"/>
  <c r="DR91" i="15" s="1"/>
  <c r="AF91" i="5"/>
  <c r="DD91" i="15"/>
  <c r="DG91" i="15" s="1"/>
  <c r="AZ91" i="65" s="1"/>
  <c r="AF107" i="5"/>
  <c r="DD107" i="15"/>
  <c r="DG107" i="15" s="1"/>
  <c r="DE123" i="15"/>
  <c r="DH123" i="15" s="1"/>
  <c r="DR123" i="15" s="1"/>
  <c r="DT123" i="15" s="1"/>
  <c r="DF123" i="15"/>
  <c r="DI123" i="15" s="1"/>
  <c r="BB123" i="65" s="1"/>
  <c r="T61" i="5"/>
  <c r="AX61" i="73" s="1"/>
  <c r="DF26" i="15"/>
  <c r="DI26" i="15" s="1"/>
  <c r="BB26" i="65" s="1"/>
  <c r="V26" i="5" s="1"/>
  <c r="AE108" i="5"/>
  <c r="DE107" i="15"/>
  <c r="DH107" i="15" s="1"/>
  <c r="DR107" i="15" s="1"/>
  <c r="DT107" i="15" s="1"/>
  <c r="DF121" i="15"/>
  <c r="DI121" i="15" s="1"/>
  <c r="BB121" i="65" s="1"/>
  <c r="AE113" i="5"/>
  <c r="AE88" i="5"/>
  <c r="AE104" i="5"/>
  <c r="AE84" i="5"/>
  <c r="DE42" i="15"/>
  <c r="DH42" i="15" s="1"/>
  <c r="DR42" i="15" s="1"/>
  <c r="DS42" i="15" s="1"/>
  <c r="DF78" i="15"/>
  <c r="DI78" i="15" s="1"/>
  <c r="BB78" i="65" s="1"/>
  <c r="DD26" i="15"/>
  <c r="DG26" i="15" s="1"/>
  <c r="V61" i="5"/>
  <c r="AZ61" i="73" s="1"/>
  <c r="AC92" i="5"/>
  <c r="BB92" i="73" s="1"/>
  <c r="AC96" i="5"/>
  <c r="BB96" i="73" s="1"/>
  <c r="U97" i="5"/>
  <c r="T97" i="5"/>
  <c r="AX97" i="73" s="1"/>
  <c r="T127" i="5"/>
  <c r="AX127" i="73" s="1"/>
  <c r="V127" i="5"/>
  <c r="T94" i="5"/>
  <c r="AX94" i="73" s="1"/>
  <c r="V94" i="5"/>
  <c r="AC95" i="5"/>
  <c r="BB95" i="73" s="1"/>
  <c r="U127" i="5"/>
  <c r="T106" i="5"/>
  <c r="AX106" i="73" s="1"/>
  <c r="V106" i="5"/>
  <c r="T126" i="5"/>
  <c r="AX126" i="73" s="1"/>
  <c r="V126" i="5"/>
  <c r="U122" i="5"/>
  <c r="T122" i="5"/>
  <c r="AX122" i="73" s="1"/>
  <c r="V122" i="5"/>
  <c r="U120" i="5"/>
  <c r="T120" i="5"/>
  <c r="AX120" i="73" s="1"/>
  <c r="U115" i="5"/>
  <c r="T115" i="5"/>
  <c r="AX115" i="73" s="1"/>
  <c r="AC101" i="5"/>
  <c r="BB101" i="73" s="1"/>
  <c r="U99" i="5"/>
  <c r="T99" i="5"/>
  <c r="AX99" i="73" s="1"/>
  <c r="T108" i="5"/>
  <c r="AX108" i="73" s="1"/>
  <c r="U61" i="5"/>
  <c r="AY61" i="73" s="1"/>
  <c r="AC108" i="5"/>
  <c r="BB108" i="73" s="1"/>
  <c r="AC114" i="5"/>
  <c r="BB114" i="73" s="1"/>
  <c r="V97" i="5"/>
  <c r="U106" i="5"/>
  <c r="AY106" i="73" s="1"/>
  <c r="T118" i="5"/>
  <c r="AX118" i="73" s="1"/>
  <c r="V118" i="5"/>
  <c r="V117" i="5"/>
  <c r="T117" i="5"/>
  <c r="AX117" i="73" s="1"/>
  <c r="U108" i="5"/>
  <c r="V99" i="5"/>
  <c r="AZ99" i="73" s="1"/>
  <c r="U117" i="5"/>
  <c r="V120" i="5"/>
  <c r="AZ120" i="73" s="1"/>
  <c r="V115" i="5"/>
  <c r="AZ115" i="73" s="1"/>
  <c r="AC119" i="5"/>
  <c r="BB119" i="73" s="1"/>
  <c r="AC110" i="5"/>
  <c r="BB110" i="73" s="1"/>
  <c r="U94" i="5"/>
  <c r="AY94" i="73" s="1"/>
  <c r="AD111" i="5"/>
  <c r="U126" i="5"/>
  <c r="AY126" i="73" s="1"/>
  <c r="U118" i="5"/>
  <c r="AY118" i="73" s="1"/>
  <c r="V108" i="5"/>
  <c r="AZ108" i="73" s="1"/>
  <c r="DE78" i="15"/>
  <c r="DH78" i="15" s="1"/>
  <c r="DR78" i="15" s="1"/>
  <c r="DF91" i="15"/>
  <c r="DI91" i="15" s="1"/>
  <c r="BB91" i="65" s="1"/>
  <c r="V124" i="5"/>
  <c r="T124" i="5"/>
  <c r="AX124" i="73" s="1"/>
  <c r="T100" i="5"/>
  <c r="AX100" i="73" s="1"/>
  <c r="V100" i="5"/>
  <c r="U124" i="5"/>
  <c r="U100" i="5"/>
  <c r="AC80" i="5"/>
  <c r="BB80" i="73" s="1"/>
  <c r="T116" i="5"/>
  <c r="AX116" i="73" s="1"/>
  <c r="V116" i="5"/>
  <c r="U116" i="5"/>
  <c r="AY116" i="73" s="1"/>
  <c r="AF123" i="5"/>
  <c r="DD123" i="15"/>
  <c r="DG123" i="15" s="1"/>
  <c r="AC86" i="5"/>
  <c r="BB86" i="73" s="1"/>
  <c r="AC98" i="5"/>
  <c r="BB98" i="73" s="1"/>
  <c r="AC85" i="5"/>
  <c r="BB85" i="73" s="1"/>
  <c r="DF47" i="15"/>
  <c r="DI47" i="15" s="1"/>
  <c r="BB47" i="65" s="1"/>
  <c r="V47" i="5" s="1"/>
  <c r="DF105" i="15"/>
  <c r="DI105" i="15" s="1"/>
  <c r="BB105" i="65" s="1"/>
  <c r="AF125" i="5"/>
  <c r="DD125" i="15"/>
  <c r="DG125" i="15" s="1"/>
  <c r="DF125" i="15"/>
  <c r="DI125" i="15" s="1"/>
  <c r="BB125" i="65" s="1"/>
  <c r="AF63" i="5"/>
  <c r="DD63" i="15"/>
  <c r="DG63" i="15" s="1"/>
  <c r="AF61" i="5"/>
  <c r="DD61" i="15"/>
  <c r="DG61" i="15" s="1"/>
  <c r="AZ61" i="65" s="1"/>
  <c r="DE55" i="15"/>
  <c r="DH55" i="15" s="1"/>
  <c r="DR55" i="15" s="1"/>
  <c r="DF55" i="15"/>
  <c r="DI55" i="15" s="1"/>
  <c r="BB55" i="65" s="1"/>
  <c r="DF79" i="15"/>
  <c r="DI79" i="15" s="1"/>
  <c r="BB79" i="65" s="1"/>
  <c r="DE79" i="15"/>
  <c r="DH79" i="15" s="1"/>
  <c r="DR79" i="15" s="1"/>
  <c r="DS79" i="15" s="1"/>
  <c r="DF93" i="15"/>
  <c r="DI93" i="15" s="1"/>
  <c r="BB93" i="65" s="1"/>
  <c r="DE89" i="15"/>
  <c r="DH89" i="15" s="1"/>
  <c r="DR89" i="15" s="1"/>
  <c r="DS89" i="15" s="1"/>
  <c r="DD38" i="15"/>
  <c r="DG38" i="15" s="1"/>
  <c r="AF89" i="5"/>
  <c r="DD89" i="15"/>
  <c r="DG89" i="15" s="1"/>
  <c r="DF89" i="15"/>
  <c r="DI89" i="15" s="1"/>
  <c r="BB89" i="65" s="1"/>
  <c r="DE105" i="15"/>
  <c r="DH105" i="15" s="1"/>
  <c r="DR105" i="15" s="1"/>
  <c r="DT105" i="15" s="1"/>
  <c r="DZ105" i="15" s="1"/>
  <c r="EB105" i="15" s="1"/>
  <c r="AF105" i="5"/>
  <c r="DD105" i="15"/>
  <c r="DG105" i="15" s="1"/>
  <c r="DJ105" i="15" s="1"/>
  <c r="EJ105" i="15" s="1"/>
  <c r="DE125" i="15"/>
  <c r="DH125" i="15" s="1"/>
  <c r="DR125" i="15" s="1"/>
  <c r="DE93" i="15"/>
  <c r="DH93" i="15" s="1"/>
  <c r="DR93" i="15" s="1"/>
  <c r="AE111" i="5"/>
  <c r="DD47" i="15"/>
  <c r="DG47" i="15" s="1"/>
  <c r="DF63" i="15"/>
  <c r="DI63" i="15" s="1"/>
  <c r="BB63" i="65" s="1"/>
  <c r="DE63" i="15"/>
  <c r="DH63" i="15" s="1"/>
  <c r="DR63" i="15" s="1"/>
  <c r="DS63" i="15" s="1"/>
  <c r="DF61" i="15"/>
  <c r="DI61" i="15" s="1"/>
  <c r="BB61" i="65" s="1"/>
  <c r="AF55" i="5"/>
  <c r="DD55" i="15"/>
  <c r="DG55" i="15" s="1"/>
  <c r="DE38" i="15"/>
  <c r="DH38" i="15" s="1"/>
  <c r="DF38" i="15"/>
  <c r="DI38" i="15" s="1"/>
  <c r="BB38" i="65" s="1"/>
  <c r="V38" i="5" s="1"/>
  <c r="DE47" i="15"/>
  <c r="DH47" i="15" s="1"/>
  <c r="V67" i="5"/>
  <c r="T67" i="5"/>
  <c r="AX67" i="73" s="1"/>
  <c r="U67" i="5"/>
  <c r="AC84" i="5"/>
  <c r="BB84" i="73" s="1"/>
  <c r="U92" i="5"/>
  <c r="T92" i="5"/>
  <c r="AX92" i="73" s="1"/>
  <c r="U101" i="5"/>
  <c r="T101" i="5"/>
  <c r="AX101" i="73" s="1"/>
  <c r="V101" i="5"/>
  <c r="V114" i="5"/>
  <c r="T114" i="5"/>
  <c r="AX114" i="73" s="1"/>
  <c r="V119" i="5"/>
  <c r="T119" i="5"/>
  <c r="AX119" i="73" s="1"/>
  <c r="V92" i="5"/>
  <c r="AZ92" i="73" s="1"/>
  <c r="V95" i="5"/>
  <c r="T95" i="5"/>
  <c r="AX95" i="73" s="1"/>
  <c r="V96" i="5"/>
  <c r="T96" i="5"/>
  <c r="AX96" i="73" s="1"/>
  <c r="V110" i="5"/>
  <c r="T110" i="5"/>
  <c r="AX110" i="73" s="1"/>
  <c r="U84" i="5"/>
  <c r="T84" i="5"/>
  <c r="AX84" i="73" s="1"/>
  <c r="V84" i="5"/>
  <c r="U88" i="5"/>
  <c r="T88" i="5"/>
  <c r="AX88" i="73" s="1"/>
  <c r="AC104" i="5"/>
  <c r="BB104" i="73" s="1"/>
  <c r="U114" i="5"/>
  <c r="AY114" i="73" s="1"/>
  <c r="U119" i="5"/>
  <c r="U96" i="5"/>
  <c r="U110" i="5"/>
  <c r="AY110" i="73" s="1"/>
  <c r="AC88" i="5"/>
  <c r="BB88" i="73" s="1"/>
  <c r="U95" i="5"/>
  <c r="AY95" i="73" s="1"/>
  <c r="AC113" i="5"/>
  <c r="BB113" i="73" s="1"/>
  <c r="V86" i="5"/>
  <c r="T86" i="5"/>
  <c r="AX86" i="73" s="1"/>
  <c r="AF79" i="5"/>
  <c r="DD79" i="15"/>
  <c r="DG79" i="15" s="1"/>
  <c r="AZ79" i="65" s="1"/>
  <c r="AF93" i="5"/>
  <c r="DD93" i="15"/>
  <c r="DG93" i="15" s="1"/>
  <c r="DJ93" i="15" s="1"/>
  <c r="EJ93" i="15" s="1"/>
  <c r="T80" i="5"/>
  <c r="AX80" i="73" s="1"/>
  <c r="V80" i="5"/>
  <c r="U80" i="5"/>
  <c r="AY80" i="73" s="1"/>
  <c r="U98" i="5"/>
  <c r="T98" i="5"/>
  <c r="AX98" i="73" s="1"/>
  <c r="V98" i="5"/>
  <c r="U85" i="5"/>
  <c r="T85" i="5"/>
  <c r="AX85" i="73" s="1"/>
  <c r="V85" i="5"/>
  <c r="DE61" i="15"/>
  <c r="DH61" i="15" s="1"/>
  <c r="DR61" i="15" s="1"/>
  <c r="AF115" i="5"/>
  <c r="DD115" i="15"/>
  <c r="DG115" i="15" s="1"/>
  <c r="AZ115" i="65" s="1"/>
  <c r="DF117" i="15"/>
  <c r="DI117" i="15" s="1"/>
  <c r="BB117" i="65" s="1"/>
  <c r="AF117" i="5"/>
  <c r="DD117" i="15"/>
  <c r="DG117" i="15" s="1"/>
  <c r="AZ117" i="65" s="1"/>
  <c r="AF108" i="5"/>
  <c r="DD108" i="15"/>
  <c r="DG108" i="15" s="1"/>
  <c r="DF99" i="15"/>
  <c r="DI99" i="15" s="1"/>
  <c r="BB99" i="65" s="1"/>
  <c r="DE126" i="15"/>
  <c r="DH126" i="15" s="1"/>
  <c r="DR126" i="15" s="1"/>
  <c r="DF122" i="15"/>
  <c r="DI122" i="15" s="1"/>
  <c r="BB122" i="65" s="1"/>
  <c r="DE120" i="15"/>
  <c r="DH120" i="15" s="1"/>
  <c r="DR120" i="15" s="1"/>
  <c r="DF118" i="15"/>
  <c r="DI118" i="15" s="1"/>
  <c r="BB118" i="65" s="1"/>
  <c r="DE106" i="15"/>
  <c r="DH106" i="15" s="1"/>
  <c r="DR106" i="15" s="1"/>
  <c r="DU106" i="15" s="1"/>
  <c r="DF106" i="15"/>
  <c r="DI106" i="15" s="1"/>
  <c r="BB106" i="65" s="1"/>
  <c r="DE97" i="15"/>
  <c r="DH97" i="15" s="1"/>
  <c r="DR97" i="15" s="1"/>
  <c r="AF97" i="5"/>
  <c r="DD97" i="15"/>
  <c r="DG97" i="15" s="1"/>
  <c r="DJ97" i="15" s="1"/>
  <c r="EJ97" i="15" s="1"/>
  <c r="EK97" i="15" s="1"/>
  <c r="AF127" i="5"/>
  <c r="DD127" i="15"/>
  <c r="DG127" i="15" s="1"/>
  <c r="AF94" i="5"/>
  <c r="DD94" i="15"/>
  <c r="DG94" i="15" s="1"/>
  <c r="AZ94" i="65" s="1"/>
  <c r="DF67" i="15"/>
  <c r="DI67" i="15" s="1"/>
  <c r="BB67" i="65" s="1"/>
  <c r="AF100" i="5"/>
  <c r="DD100" i="15"/>
  <c r="DG100" i="15" s="1"/>
  <c r="AZ100" i="65" s="1"/>
  <c r="DF100" i="15"/>
  <c r="DI100" i="15" s="1"/>
  <c r="BB100" i="65" s="1"/>
  <c r="AF124" i="5"/>
  <c r="DD124" i="15"/>
  <c r="DG124" i="15" s="1"/>
  <c r="DE119" i="15"/>
  <c r="DH119" i="15" s="1"/>
  <c r="DR119" i="15" s="1"/>
  <c r="DF119" i="15"/>
  <c r="DI119" i="15" s="1"/>
  <c r="BB119" i="65" s="1"/>
  <c r="AF122" i="5"/>
  <c r="DD122" i="15"/>
  <c r="DG122" i="15" s="1"/>
  <c r="DE122" i="15"/>
  <c r="DH122" i="15" s="1"/>
  <c r="DR122" i="15" s="1"/>
  <c r="DT122" i="15" s="1"/>
  <c r="DZ122" i="15" s="1"/>
  <c r="EB122" i="15" s="1"/>
  <c r="AF116" i="5"/>
  <c r="DD116" i="15"/>
  <c r="DG116" i="15" s="1"/>
  <c r="DF116" i="15"/>
  <c r="DI116" i="15" s="1"/>
  <c r="BB116" i="65" s="1"/>
  <c r="DF115" i="15"/>
  <c r="DI115" i="15" s="1"/>
  <c r="BB115" i="65" s="1"/>
  <c r="DE115" i="15"/>
  <c r="DH115" i="15" s="1"/>
  <c r="DR115" i="15" s="1"/>
  <c r="DE117" i="15"/>
  <c r="DH117" i="15" s="1"/>
  <c r="DR117" i="15" s="1"/>
  <c r="DS117" i="15" s="1"/>
  <c r="DF108" i="15"/>
  <c r="DI108" i="15" s="1"/>
  <c r="BB108" i="65" s="1"/>
  <c r="DE108" i="15"/>
  <c r="DH108" i="15" s="1"/>
  <c r="DR108" i="15" s="1"/>
  <c r="AF99" i="5"/>
  <c r="DD99" i="15"/>
  <c r="DG99" i="15" s="1"/>
  <c r="DE99" i="15"/>
  <c r="DH99" i="15" s="1"/>
  <c r="DR99" i="15" s="1"/>
  <c r="AF126" i="5"/>
  <c r="DD126" i="15"/>
  <c r="DG126" i="15" s="1"/>
  <c r="AZ126" i="65" s="1"/>
  <c r="DF126" i="15"/>
  <c r="DI126" i="15" s="1"/>
  <c r="BB126" i="65" s="1"/>
  <c r="AF120" i="5"/>
  <c r="DD120" i="15"/>
  <c r="DG120" i="15" s="1"/>
  <c r="AZ120" i="65" s="1"/>
  <c r="DF120" i="15"/>
  <c r="DI120" i="15" s="1"/>
  <c r="BB120" i="65" s="1"/>
  <c r="AF118" i="5"/>
  <c r="DD118" i="15"/>
  <c r="DG118" i="15" s="1"/>
  <c r="DE118" i="15"/>
  <c r="DH118" i="15" s="1"/>
  <c r="DR118" i="15" s="1"/>
  <c r="AF106" i="5"/>
  <c r="DD106" i="15"/>
  <c r="DG106" i="15" s="1"/>
  <c r="AZ106" i="65" s="1"/>
  <c r="DF97" i="15"/>
  <c r="DI97" i="15" s="1"/>
  <c r="BB97" i="65" s="1"/>
  <c r="DF127" i="15"/>
  <c r="DI127" i="15" s="1"/>
  <c r="BB127" i="65" s="1"/>
  <c r="DE127" i="15"/>
  <c r="DH127" i="15" s="1"/>
  <c r="DR127" i="15" s="1"/>
  <c r="DU127" i="15" s="1"/>
  <c r="EE127" i="15" s="1"/>
  <c r="DF94" i="15"/>
  <c r="DI94" i="15" s="1"/>
  <c r="BB94" i="65" s="1"/>
  <c r="DE94" i="15"/>
  <c r="DH94" i="15" s="1"/>
  <c r="DR94" i="15" s="1"/>
  <c r="DU94" i="15" s="1"/>
  <c r="EE94" i="15" s="1"/>
  <c r="DE67" i="15"/>
  <c r="DH67" i="15" s="1"/>
  <c r="DR67" i="15" s="1"/>
  <c r="V88" i="5"/>
  <c r="U113" i="5"/>
  <c r="T113" i="5"/>
  <c r="AX113" i="73" s="1"/>
  <c r="V104" i="5"/>
  <c r="T104" i="5"/>
  <c r="AX104" i="73" s="1"/>
  <c r="V111" i="5"/>
  <c r="T111" i="5"/>
  <c r="AX111" i="73" s="1"/>
  <c r="U111" i="5"/>
  <c r="U86" i="5"/>
  <c r="U104" i="5"/>
  <c r="AC111" i="5"/>
  <c r="BB111" i="73" s="1"/>
  <c r="V113" i="5"/>
  <c r="DD67" i="15"/>
  <c r="DG67" i="15" s="1"/>
  <c r="DE100" i="15"/>
  <c r="DH100" i="15" s="1"/>
  <c r="DR100" i="15" s="1"/>
  <c r="DS100" i="15" s="1"/>
  <c r="DF124" i="15"/>
  <c r="DI124" i="15" s="1"/>
  <c r="BB124" i="65" s="1"/>
  <c r="DE124" i="15"/>
  <c r="DH124" i="15" s="1"/>
  <c r="DR124" i="15" s="1"/>
  <c r="AF119" i="5"/>
  <c r="DD119" i="15"/>
  <c r="DG119" i="15" s="1"/>
  <c r="AZ119" i="65" s="1"/>
  <c r="DE116" i="15"/>
  <c r="DH116" i="15" s="1"/>
  <c r="DR116" i="15" s="1"/>
  <c r="DS116" i="15" s="1"/>
  <c r="DF101" i="15"/>
  <c r="DI101" i="15" s="1"/>
  <c r="BB101" i="65" s="1"/>
  <c r="DE101" i="15"/>
  <c r="DH101" i="15" s="1"/>
  <c r="DR101" i="15" s="1"/>
  <c r="AF95" i="5"/>
  <c r="DD95" i="15"/>
  <c r="DG95" i="15" s="1"/>
  <c r="DF95" i="15"/>
  <c r="DI95" i="15" s="1"/>
  <c r="BB95" i="65" s="1"/>
  <c r="DE114" i="15"/>
  <c r="DH114" i="15" s="1"/>
  <c r="DR114" i="15" s="1"/>
  <c r="AF110" i="5"/>
  <c r="DD110" i="15"/>
  <c r="DG110" i="15" s="1"/>
  <c r="AZ110" i="65" s="1"/>
  <c r="DF92" i="15"/>
  <c r="DI92" i="15" s="1"/>
  <c r="BB92" i="65" s="1"/>
  <c r="AF92" i="5"/>
  <c r="DD92" i="15"/>
  <c r="DG92" i="15" s="1"/>
  <c r="AF88" i="5"/>
  <c r="DD88" i="15"/>
  <c r="DG88" i="15" s="1"/>
  <c r="AZ88" i="65" s="1"/>
  <c r="DF88" i="15"/>
  <c r="DI88" i="15" s="1"/>
  <c r="BB88" i="65" s="1"/>
  <c r="DE84" i="15"/>
  <c r="DH84" i="15" s="1"/>
  <c r="DR84" i="15" s="1"/>
  <c r="DF86" i="15"/>
  <c r="DI86" i="15" s="1"/>
  <c r="BB86" i="65" s="1"/>
  <c r="DE86" i="15"/>
  <c r="DH86" i="15" s="1"/>
  <c r="DR86" i="15" s="1"/>
  <c r="AF84" i="5"/>
  <c r="DD84" i="15"/>
  <c r="DG84" i="15" s="1"/>
  <c r="DJ84" i="15" s="1"/>
  <c r="EJ84" i="15" s="1"/>
  <c r="AF80" i="5"/>
  <c r="DD80" i="15"/>
  <c r="DG80" i="15" s="1"/>
  <c r="DF80" i="15"/>
  <c r="DI80" i="15" s="1"/>
  <c r="BB80" i="65" s="1"/>
  <c r="DF113" i="15"/>
  <c r="DI113" i="15" s="1"/>
  <c r="BB113" i="65" s="1"/>
  <c r="DE98" i="15"/>
  <c r="DH98" i="15" s="1"/>
  <c r="DR98" i="15" s="1"/>
  <c r="AF98" i="5"/>
  <c r="DD98" i="15"/>
  <c r="DG98" i="15" s="1"/>
  <c r="DJ98" i="15" s="1"/>
  <c r="EJ98" i="15" s="1"/>
  <c r="DE85" i="15"/>
  <c r="DH85" i="15" s="1"/>
  <c r="DR85" i="15" s="1"/>
  <c r="AF101" i="5"/>
  <c r="DD101" i="15"/>
  <c r="DG101" i="15" s="1"/>
  <c r="DE95" i="15"/>
  <c r="DH95" i="15" s="1"/>
  <c r="DR95" i="15" s="1"/>
  <c r="AF114" i="5"/>
  <c r="DD114" i="15"/>
  <c r="DG114" i="15" s="1"/>
  <c r="DJ114" i="15" s="1"/>
  <c r="EJ114" i="15" s="1"/>
  <c r="DF114" i="15"/>
  <c r="DI114" i="15" s="1"/>
  <c r="BB114" i="65" s="1"/>
  <c r="DE96" i="15"/>
  <c r="DH96" i="15" s="1"/>
  <c r="DR96" i="15" s="1"/>
  <c r="AF96" i="5"/>
  <c r="DD96" i="15"/>
  <c r="DG96" i="15" s="1"/>
  <c r="AZ96" i="65" s="1"/>
  <c r="DF96" i="15"/>
  <c r="DI96" i="15" s="1"/>
  <c r="BB96" i="65" s="1"/>
  <c r="DF110" i="15"/>
  <c r="DI110" i="15" s="1"/>
  <c r="BB110" i="65" s="1"/>
  <c r="DE110" i="15"/>
  <c r="DH110" i="15" s="1"/>
  <c r="DR110" i="15" s="1"/>
  <c r="DE92" i="15"/>
  <c r="DH92" i="15" s="1"/>
  <c r="DR92" i="15" s="1"/>
  <c r="DE88" i="15"/>
  <c r="DH88" i="15" s="1"/>
  <c r="DR88" i="15" s="1"/>
  <c r="DF84" i="15"/>
  <c r="DI84" i="15" s="1"/>
  <c r="BB84" i="65" s="1"/>
  <c r="AF86" i="5"/>
  <c r="DD86" i="15"/>
  <c r="DG86" i="15" s="1"/>
  <c r="DE80" i="15"/>
  <c r="DH80" i="15" s="1"/>
  <c r="DR80" i="15" s="1"/>
  <c r="DS80" i="15" s="1"/>
  <c r="DF98" i="15"/>
  <c r="DI98" i="15" s="1"/>
  <c r="BB98" i="65" s="1"/>
  <c r="AF85" i="5"/>
  <c r="DD85" i="15"/>
  <c r="DG85" i="15" s="1"/>
  <c r="DF85" i="15"/>
  <c r="DI85" i="15" s="1"/>
  <c r="BB85" i="65" s="1"/>
  <c r="AF104" i="5"/>
  <c r="DD104" i="15"/>
  <c r="DG104" i="15" s="1"/>
  <c r="DE111" i="15"/>
  <c r="DH111" i="15" s="1"/>
  <c r="DR111" i="15" s="1"/>
  <c r="AF111" i="5"/>
  <c r="DD111" i="15"/>
  <c r="DG111" i="15" s="1"/>
  <c r="AZ111" i="65" s="1"/>
  <c r="DE104" i="15"/>
  <c r="DH104" i="15" s="1"/>
  <c r="DR104" i="15" s="1"/>
  <c r="DF104" i="15"/>
  <c r="DI104" i="15" s="1"/>
  <c r="BB104" i="65" s="1"/>
  <c r="DE113" i="15"/>
  <c r="DH113" i="15" s="1"/>
  <c r="DR113" i="15" s="1"/>
  <c r="AF113" i="5"/>
  <c r="DD113" i="15"/>
  <c r="DG113" i="15" s="1"/>
  <c r="DF111" i="15"/>
  <c r="DI111" i="15" s="1"/>
  <c r="BB111" i="65" s="1"/>
  <c r="CR22" i="15"/>
  <c r="CT22" i="15"/>
  <c r="CS22" i="15"/>
  <c r="CV22" i="15" s="1"/>
  <c r="DJ113" i="15" l="1"/>
  <c r="EJ113" i="15" s="1"/>
  <c r="AY86" i="73"/>
  <c r="AZ88" i="73"/>
  <c r="AY85" i="73"/>
  <c r="AZ86" i="73"/>
  <c r="AZ114" i="73"/>
  <c r="AY108" i="73"/>
  <c r="AY99" i="73"/>
  <c r="AY122" i="73"/>
  <c r="AY97" i="73"/>
  <c r="AY93" i="73"/>
  <c r="AZ91" i="73"/>
  <c r="AY121" i="73"/>
  <c r="AZ121" i="73"/>
  <c r="AZ74" i="73"/>
  <c r="AZ52" i="73"/>
  <c r="AY60" i="73"/>
  <c r="AY56" i="73"/>
  <c r="AZ76" i="73"/>
  <c r="AZ85" i="73"/>
  <c r="AY119" i="73"/>
  <c r="AY88" i="73"/>
  <c r="AZ119" i="73"/>
  <c r="DJ89" i="15"/>
  <c r="EJ89" i="15" s="1"/>
  <c r="EK89" i="15" s="1"/>
  <c r="AZ116" i="73"/>
  <c r="AY124" i="73"/>
  <c r="AZ124" i="73"/>
  <c r="AY117" i="73"/>
  <c r="AZ117" i="73"/>
  <c r="AZ97" i="73"/>
  <c r="AZ122" i="73"/>
  <c r="AY91" i="73"/>
  <c r="AY72" i="73"/>
  <c r="DJ73" i="15"/>
  <c r="EJ73" i="15" s="1"/>
  <c r="AZ75" i="73"/>
  <c r="AZ69" i="73"/>
  <c r="AZ89" i="73"/>
  <c r="AY55" i="73"/>
  <c r="AY62" i="73"/>
  <c r="AZ70" i="73"/>
  <c r="DJ27" i="15"/>
  <c r="EJ27" i="15" s="1"/>
  <c r="BC104" i="73"/>
  <c r="AQ104" i="73"/>
  <c r="BC108" i="73"/>
  <c r="AQ108" i="73"/>
  <c r="BC84" i="73"/>
  <c r="AQ84" i="73"/>
  <c r="BC98" i="73"/>
  <c r="AQ98" i="73"/>
  <c r="BC67" i="73"/>
  <c r="AQ67" i="73"/>
  <c r="BC110" i="73"/>
  <c r="AQ110" i="73"/>
  <c r="BC119" i="73"/>
  <c r="AQ119" i="73"/>
  <c r="BC55" i="73"/>
  <c r="AQ55" i="73"/>
  <c r="BC114" i="73"/>
  <c r="AQ114" i="73"/>
  <c r="BC116" i="73"/>
  <c r="AQ116" i="73"/>
  <c r="BC100" i="73"/>
  <c r="AQ100" i="73"/>
  <c r="BC120" i="73"/>
  <c r="AQ120" i="73"/>
  <c r="BC107" i="73"/>
  <c r="AQ107" i="73"/>
  <c r="BC115" i="73"/>
  <c r="AQ115" i="73"/>
  <c r="BC117" i="73"/>
  <c r="AQ117" i="73"/>
  <c r="BC126" i="73"/>
  <c r="AQ126" i="73"/>
  <c r="BC106" i="73"/>
  <c r="AQ106" i="73"/>
  <c r="BC94" i="73"/>
  <c r="AQ94" i="73"/>
  <c r="BC66" i="73"/>
  <c r="AQ66" i="73"/>
  <c r="BC93" i="73"/>
  <c r="AQ93" i="73"/>
  <c r="BC61" i="73"/>
  <c r="AQ61" i="73"/>
  <c r="BC79" i="73"/>
  <c r="AQ79" i="73"/>
  <c r="BC91" i="73"/>
  <c r="AQ91" i="73"/>
  <c r="BC57" i="73"/>
  <c r="AQ57" i="73"/>
  <c r="BC72" i="73"/>
  <c r="AQ72" i="73"/>
  <c r="BC70" i="73"/>
  <c r="AQ70" i="73"/>
  <c r="BC51" i="73"/>
  <c r="AQ51" i="73"/>
  <c r="BC77" i="73"/>
  <c r="AQ77" i="73"/>
  <c r="BC71" i="73"/>
  <c r="AQ71" i="73"/>
  <c r="BC69" i="73"/>
  <c r="AQ69" i="73"/>
  <c r="BC59" i="73"/>
  <c r="AQ59" i="73"/>
  <c r="BC65" i="73"/>
  <c r="AQ65" i="73"/>
  <c r="BC74" i="73"/>
  <c r="AQ74" i="73"/>
  <c r="BC76" i="73"/>
  <c r="AQ76" i="73"/>
  <c r="AZ113" i="73"/>
  <c r="AY104" i="73"/>
  <c r="AY111" i="73"/>
  <c r="AZ111" i="73"/>
  <c r="AZ104" i="73"/>
  <c r="AY113" i="73"/>
  <c r="AZ98" i="73"/>
  <c r="AY98" i="73"/>
  <c r="AZ80" i="73"/>
  <c r="AY96" i="73"/>
  <c r="AZ84" i="73"/>
  <c r="AY84" i="73"/>
  <c r="AZ110" i="73"/>
  <c r="AZ96" i="73"/>
  <c r="AZ95" i="73"/>
  <c r="AZ101" i="73"/>
  <c r="AY101" i="73"/>
  <c r="AY92" i="73"/>
  <c r="AY67" i="73"/>
  <c r="AZ67" i="73"/>
  <c r="AY100" i="73"/>
  <c r="AZ100" i="73"/>
  <c r="AZ118" i="73"/>
  <c r="AY115" i="73"/>
  <c r="AY120" i="73"/>
  <c r="AZ126" i="73"/>
  <c r="AZ106" i="73"/>
  <c r="AY127" i="73"/>
  <c r="AZ94" i="73"/>
  <c r="AZ127" i="73"/>
  <c r="AY107" i="73"/>
  <c r="AZ41" i="73"/>
  <c r="AZ32" i="73"/>
  <c r="AZ28" i="73"/>
  <c r="AY64" i="73"/>
  <c r="AZ65" i="73"/>
  <c r="BC111" i="73"/>
  <c r="AQ111" i="73"/>
  <c r="BC88" i="73"/>
  <c r="AQ88" i="73"/>
  <c r="BC113" i="73"/>
  <c r="AQ113" i="73"/>
  <c r="BC86" i="73"/>
  <c r="AQ86" i="73"/>
  <c r="BC85" i="73"/>
  <c r="AQ85" i="73"/>
  <c r="BC80" i="73"/>
  <c r="AQ80" i="73"/>
  <c r="BC101" i="73"/>
  <c r="AQ101" i="73"/>
  <c r="BC92" i="73"/>
  <c r="AQ92" i="73"/>
  <c r="BC96" i="73"/>
  <c r="AQ96" i="73"/>
  <c r="BC95" i="73"/>
  <c r="AQ95" i="73"/>
  <c r="BC63" i="73"/>
  <c r="AQ63" i="73"/>
  <c r="BC124" i="73"/>
  <c r="AQ124" i="73"/>
  <c r="BC97" i="73"/>
  <c r="AQ97" i="73"/>
  <c r="BC99" i="73"/>
  <c r="AQ99" i="73"/>
  <c r="BC122" i="73"/>
  <c r="AQ122" i="73"/>
  <c r="BC118" i="73"/>
  <c r="AQ118" i="73"/>
  <c r="BC127" i="73"/>
  <c r="AQ127" i="73"/>
  <c r="BC89" i="73"/>
  <c r="AQ89" i="73"/>
  <c r="BC125" i="73"/>
  <c r="AQ125" i="73"/>
  <c r="BC105" i="73"/>
  <c r="AQ105" i="73"/>
  <c r="BC68" i="73"/>
  <c r="AQ68" i="73"/>
  <c r="BC123" i="73"/>
  <c r="AQ123" i="73"/>
  <c r="BC78" i="73"/>
  <c r="AQ78" i="73"/>
  <c r="BC121" i="73"/>
  <c r="AQ121" i="73"/>
  <c r="BC54" i="73"/>
  <c r="AQ54" i="73"/>
  <c r="BC62" i="73"/>
  <c r="AQ62" i="73"/>
  <c r="BC53" i="73"/>
  <c r="AQ53" i="73"/>
  <c r="BC52" i="73"/>
  <c r="AQ52" i="73"/>
  <c r="BC109" i="73"/>
  <c r="AQ109" i="73"/>
  <c r="BC75" i="73"/>
  <c r="AQ75" i="73"/>
  <c r="BC50" i="73"/>
  <c r="AQ50" i="73"/>
  <c r="BC73" i="73"/>
  <c r="AQ73" i="73"/>
  <c r="BC60" i="73"/>
  <c r="AQ60" i="73"/>
  <c r="BC56" i="73"/>
  <c r="AQ56" i="73"/>
  <c r="BC64" i="73"/>
  <c r="AQ64" i="73"/>
  <c r="BC58" i="73"/>
  <c r="AQ58" i="73"/>
  <c r="AY63" i="73"/>
  <c r="AZ123" i="73"/>
  <c r="AY123" i="73"/>
  <c r="AY78" i="73"/>
  <c r="AZ63" i="73"/>
  <c r="AY89" i="73"/>
  <c r="AY79" i="73"/>
  <c r="AZ78" i="73"/>
  <c r="AZ55" i="73"/>
  <c r="AZ66" i="73"/>
  <c r="AZ62" i="73"/>
  <c r="AZ53" i="73"/>
  <c r="AY53" i="73"/>
  <c r="AZ57" i="73"/>
  <c r="AY54" i="73"/>
  <c r="AY57" i="73"/>
  <c r="AY70" i="73"/>
  <c r="AZ51" i="73"/>
  <c r="AY51" i="73"/>
  <c r="AY76" i="73"/>
  <c r="AZ60" i="73"/>
  <c r="EC80" i="15"/>
  <c r="EC89" i="15"/>
  <c r="EC79" i="15"/>
  <c r="EC116" i="15"/>
  <c r="DJ101" i="15"/>
  <c r="EJ101" i="15" s="1"/>
  <c r="DJ99" i="15"/>
  <c r="EJ99" i="15" s="1"/>
  <c r="EL99" i="15" s="1"/>
  <c r="DJ55" i="15"/>
  <c r="EJ55" i="15" s="1"/>
  <c r="DJ123" i="15"/>
  <c r="EJ123" i="15" s="1"/>
  <c r="EM123" i="15" s="1"/>
  <c r="DJ85" i="15"/>
  <c r="EJ85" i="15" s="1"/>
  <c r="DJ86" i="15"/>
  <c r="EJ86" i="15" s="1"/>
  <c r="EM86" i="15" s="1"/>
  <c r="DJ40" i="15"/>
  <c r="EJ40" i="15" s="1"/>
  <c r="DJ109" i="15"/>
  <c r="EJ109" i="15" s="1"/>
  <c r="EM109" i="15" s="1"/>
  <c r="DJ43" i="15"/>
  <c r="EJ43" i="15" s="1"/>
  <c r="DJ51" i="15"/>
  <c r="EJ51" i="15" s="1"/>
  <c r="EM51" i="15" s="1"/>
  <c r="DJ70" i="15"/>
  <c r="EJ70" i="15" s="1"/>
  <c r="DJ77" i="15"/>
  <c r="EJ77" i="15" s="1"/>
  <c r="EM77" i="15" s="1"/>
  <c r="DJ52" i="15"/>
  <c r="EJ52" i="15" s="1"/>
  <c r="DS61" i="15"/>
  <c r="BC61" i="65"/>
  <c r="DT93" i="15"/>
  <c r="DZ93" i="15" s="1"/>
  <c r="EB93" i="15" s="1"/>
  <c r="EF93" i="15" s="1"/>
  <c r="BE93" i="65" s="1"/>
  <c r="BC93" i="65"/>
  <c r="DS91" i="15"/>
  <c r="BC91" i="65"/>
  <c r="DT66" i="15"/>
  <c r="DZ66" i="15" s="1"/>
  <c r="EB66" i="15" s="1"/>
  <c r="EF66" i="15" s="1"/>
  <c r="BE66" i="65" s="1"/>
  <c r="BC66" i="65"/>
  <c r="DT71" i="15"/>
  <c r="DZ71" i="15" s="1"/>
  <c r="EB71" i="15" s="1"/>
  <c r="EF71" i="15" s="1"/>
  <c r="BE71" i="65" s="1"/>
  <c r="BC71" i="65"/>
  <c r="DS109" i="15"/>
  <c r="BC109" i="65"/>
  <c r="DT43" i="15"/>
  <c r="DZ43" i="15" s="1"/>
  <c r="EB43" i="15" s="1"/>
  <c r="BD43" i="65" s="1"/>
  <c r="AD43" i="5" s="1"/>
  <c r="BC43" i="65"/>
  <c r="AC43" i="5" s="1"/>
  <c r="BB43" i="73" s="1"/>
  <c r="DT72" i="15"/>
  <c r="DZ72" i="15" s="1"/>
  <c r="EB72" i="15" s="1"/>
  <c r="EF72" i="15" s="1"/>
  <c r="BE72" i="65" s="1"/>
  <c r="BC72" i="65"/>
  <c r="AZ64" i="65"/>
  <c r="DJ64" i="15"/>
  <c r="EJ64" i="15" s="1"/>
  <c r="DK39" i="15"/>
  <c r="EN39" i="15"/>
  <c r="EP39" i="15" s="1"/>
  <c r="AZ58" i="65"/>
  <c r="DJ58" i="15"/>
  <c r="EJ58" i="15" s="1"/>
  <c r="DR58" i="15"/>
  <c r="BC58" i="65" s="1"/>
  <c r="EN58" i="15"/>
  <c r="EP58" i="15" s="1"/>
  <c r="DK58" i="15"/>
  <c r="DJ80" i="15"/>
  <c r="EJ80" i="15" s="1"/>
  <c r="DJ92" i="15"/>
  <c r="EJ92" i="15" s="1"/>
  <c r="EL92" i="15" s="1"/>
  <c r="DJ116" i="15"/>
  <c r="EJ116" i="15" s="1"/>
  <c r="EM116" i="15" s="1"/>
  <c r="DJ38" i="15"/>
  <c r="EJ38" i="15" s="1"/>
  <c r="EK38" i="15" s="1"/>
  <c r="DJ63" i="15"/>
  <c r="EJ63" i="15" s="1"/>
  <c r="DJ107" i="15"/>
  <c r="EJ107" i="15" s="1"/>
  <c r="EK107" i="15" s="1"/>
  <c r="DJ57" i="15"/>
  <c r="EJ57" i="15" s="1"/>
  <c r="DJ54" i="15"/>
  <c r="EJ54" i="15" s="1"/>
  <c r="EL54" i="15" s="1"/>
  <c r="DJ59" i="15"/>
  <c r="EJ59" i="15" s="1"/>
  <c r="DJ69" i="15"/>
  <c r="EJ69" i="15" s="1"/>
  <c r="EK69" i="15" s="1"/>
  <c r="DJ65" i="15"/>
  <c r="EJ65" i="15" s="1"/>
  <c r="DJ75" i="15"/>
  <c r="EJ75" i="15" s="1"/>
  <c r="EK75" i="15" s="1"/>
  <c r="DK60" i="15"/>
  <c r="DT126" i="15"/>
  <c r="DZ126" i="15" s="1"/>
  <c r="EB126" i="15" s="1"/>
  <c r="BD126" i="65" s="1"/>
  <c r="BC126" i="65"/>
  <c r="DR47" i="15"/>
  <c r="DS47" i="15" s="1"/>
  <c r="BA47" i="65"/>
  <c r="U47" i="5" s="1"/>
  <c r="DR38" i="15"/>
  <c r="DU38" i="15" s="1"/>
  <c r="BA38" i="65"/>
  <c r="U38" i="5" s="1"/>
  <c r="DU78" i="15"/>
  <c r="EE78" i="15" s="1"/>
  <c r="EH78" i="15" s="1"/>
  <c r="DQ78" i="15" s="1"/>
  <c r="BC78" i="65"/>
  <c r="DS62" i="15"/>
  <c r="BC62" i="65"/>
  <c r="DU57" i="15"/>
  <c r="EE57" i="15" s="1"/>
  <c r="EH57" i="15" s="1"/>
  <c r="DQ57" i="15" s="1"/>
  <c r="BC57" i="65"/>
  <c r="DS45" i="15"/>
  <c r="BC45" i="65"/>
  <c r="AC45" i="5" s="1"/>
  <c r="BB45" i="73" s="1"/>
  <c r="DT74" i="15"/>
  <c r="DZ74" i="15" s="1"/>
  <c r="EB74" i="15" s="1"/>
  <c r="BC74" i="65"/>
  <c r="DS54" i="15"/>
  <c r="BC54" i="65"/>
  <c r="DT41" i="15"/>
  <c r="ED41" i="15" s="1"/>
  <c r="BC41" i="65"/>
  <c r="AC41" i="5" s="1"/>
  <c r="BB41" i="73" s="1"/>
  <c r="DR50" i="15"/>
  <c r="DU50" i="15" s="1"/>
  <c r="EN50" i="15"/>
  <c r="BA50" i="65"/>
  <c r="BC59" i="65"/>
  <c r="DT59" i="15"/>
  <c r="DZ59" i="15" s="1"/>
  <c r="EB59" i="15" s="1"/>
  <c r="EF59" i="15" s="1"/>
  <c r="BE59" i="65" s="1"/>
  <c r="DT69" i="15"/>
  <c r="BC69" i="65"/>
  <c r="DR64" i="15"/>
  <c r="DS64" i="15" s="1"/>
  <c r="EN64" i="15"/>
  <c r="EP64" i="15" s="1"/>
  <c r="DK64" i="15"/>
  <c r="DJ39" i="15"/>
  <c r="EJ39" i="15" s="1"/>
  <c r="EM39" i="15" s="1"/>
  <c r="AZ39" i="65"/>
  <c r="T39" i="5" s="1"/>
  <c r="AX39" i="73" s="1"/>
  <c r="DT75" i="15"/>
  <c r="DZ75" i="15" s="1"/>
  <c r="EB75" i="15" s="1"/>
  <c r="BD75" i="65" s="1"/>
  <c r="BC75" i="65"/>
  <c r="DJ104" i="15"/>
  <c r="EJ104" i="15" s="1"/>
  <c r="EL104" i="15" s="1"/>
  <c r="DJ95" i="15"/>
  <c r="EJ95" i="15" s="1"/>
  <c r="EM95" i="15" s="1"/>
  <c r="DJ67" i="15"/>
  <c r="EJ67" i="15" s="1"/>
  <c r="EM67" i="15" s="1"/>
  <c r="DJ118" i="15"/>
  <c r="EJ118" i="15" s="1"/>
  <c r="DJ122" i="15"/>
  <c r="EJ122" i="15" s="1"/>
  <c r="EM122" i="15" s="1"/>
  <c r="DJ124" i="15"/>
  <c r="EJ124" i="15" s="1"/>
  <c r="EL124" i="15" s="1"/>
  <c r="DJ127" i="15"/>
  <c r="EJ127" i="15" s="1"/>
  <c r="EK127" i="15" s="1"/>
  <c r="DJ108" i="15"/>
  <c r="EJ108" i="15" s="1"/>
  <c r="DJ47" i="15"/>
  <c r="EJ47" i="15" s="1"/>
  <c r="EK47" i="15" s="1"/>
  <c r="DJ125" i="15"/>
  <c r="EJ125" i="15" s="1"/>
  <c r="DJ78" i="15"/>
  <c r="EJ78" i="15" s="1"/>
  <c r="EL78" i="15" s="1"/>
  <c r="DJ42" i="15"/>
  <c r="EJ42" i="15" s="1"/>
  <c r="DJ44" i="15"/>
  <c r="EJ44" i="15" s="1"/>
  <c r="EK44" i="15" s="1"/>
  <c r="DJ49" i="15"/>
  <c r="EJ49" i="15" s="1"/>
  <c r="DJ56" i="15"/>
  <c r="EJ56" i="15" s="1"/>
  <c r="EM56" i="15" s="1"/>
  <c r="X12" i="5"/>
  <c r="BA89" i="65"/>
  <c r="DJ79" i="15"/>
  <c r="EJ79" i="15" s="1"/>
  <c r="DK91" i="15"/>
  <c r="EN91" i="15"/>
  <c r="EO91" i="15" s="1"/>
  <c r="BA71" i="65"/>
  <c r="EN121" i="15"/>
  <c r="EQ121" i="15" s="1"/>
  <c r="EN74" i="15"/>
  <c r="EQ74" i="15" s="1"/>
  <c r="BC121" i="65"/>
  <c r="BC89" i="65"/>
  <c r="BC65" i="65"/>
  <c r="BC52" i="65"/>
  <c r="BC40" i="65"/>
  <c r="AC40" i="5" s="1"/>
  <c r="BB40" i="73" s="1"/>
  <c r="DK38" i="15"/>
  <c r="DK47" i="15"/>
  <c r="DK89" i="15"/>
  <c r="DK78" i="15"/>
  <c r="EN47" i="15"/>
  <c r="EO47" i="15" s="1"/>
  <c r="DU117" i="15"/>
  <c r="EE117" i="15" s="1"/>
  <c r="EH117" i="15" s="1"/>
  <c r="DQ117" i="15" s="1"/>
  <c r="BA51" i="65"/>
  <c r="DK52" i="15"/>
  <c r="DJ88" i="15"/>
  <c r="EJ88" i="15" s="1"/>
  <c r="EM88" i="15" s="1"/>
  <c r="BA74" i="65"/>
  <c r="DT78" i="15"/>
  <c r="DZ78" i="15" s="1"/>
  <c r="EB78" i="15" s="1"/>
  <c r="EF78" i="15" s="1"/>
  <c r="BE78" i="65" s="1"/>
  <c r="BA65" i="65"/>
  <c r="DK59" i="15"/>
  <c r="X15" i="5"/>
  <c r="X18" i="5"/>
  <c r="X10" i="5"/>
  <c r="X17" i="5"/>
  <c r="X9" i="5"/>
  <c r="X16" i="5"/>
  <c r="X8" i="5"/>
  <c r="X11" i="5"/>
  <c r="X14" i="5"/>
  <c r="X6" i="5"/>
  <c r="X13" i="5"/>
  <c r="X5" i="5"/>
  <c r="EE106" i="15"/>
  <c r="EH106" i="15" s="1"/>
  <c r="DQ106" i="15" s="1"/>
  <c r="EC117" i="15"/>
  <c r="EC100" i="15"/>
  <c r="EG100" i="15" s="1"/>
  <c r="DL100" i="15" s="1"/>
  <c r="EC42" i="15"/>
  <c r="EC44" i="15"/>
  <c r="EG44" i="15" s="1"/>
  <c r="DL44" i="15" s="1"/>
  <c r="W44" i="5" s="1"/>
  <c r="EC53" i="15"/>
  <c r="EC62" i="15"/>
  <c r="EG62" i="15" s="1"/>
  <c r="DL62" i="15" s="1"/>
  <c r="EE52" i="15"/>
  <c r="EH52" i="15" s="1"/>
  <c r="DQ52" i="15" s="1"/>
  <c r="T23" i="5"/>
  <c r="AX23" i="73" s="1"/>
  <c r="AC24" i="5"/>
  <c r="BB24" i="73" s="1"/>
  <c r="T24" i="5"/>
  <c r="AX24" i="73" s="1"/>
  <c r="V25" i="5"/>
  <c r="V23" i="5"/>
  <c r="AZ23" i="73" s="1"/>
  <c r="V24" i="5"/>
  <c r="BC107" i="65"/>
  <c r="BC68" i="65"/>
  <c r="BC49" i="65"/>
  <c r="AC49" i="5" s="1"/>
  <c r="BB49" i="73" s="1"/>
  <c r="BC42" i="65"/>
  <c r="AC42" i="5" s="1"/>
  <c r="BB42" i="73" s="1"/>
  <c r="BC105" i="65"/>
  <c r="DK92" i="15"/>
  <c r="BA101" i="65"/>
  <c r="DK124" i="15"/>
  <c r="DK61" i="15"/>
  <c r="DU100" i="15"/>
  <c r="EA100" i="15" s="1"/>
  <c r="BC122" i="65"/>
  <c r="BC116" i="65"/>
  <c r="BC100" i="65"/>
  <c r="AZ43" i="65"/>
  <c r="T43" i="5" s="1"/>
  <c r="AX43" i="73" s="1"/>
  <c r="BA41" i="65"/>
  <c r="U41" i="5" s="1"/>
  <c r="AY41" i="73" s="1"/>
  <c r="BC79" i="65"/>
  <c r="BC77" i="65"/>
  <c r="BC53" i="65"/>
  <c r="BC44" i="65"/>
  <c r="AC44" i="5" s="1"/>
  <c r="BB44" i="73" s="1"/>
  <c r="AZ38" i="65"/>
  <c r="T38" i="5" s="1"/>
  <c r="AX38" i="73" s="1"/>
  <c r="AZ47" i="65"/>
  <c r="T47" i="5" s="1"/>
  <c r="AX47" i="73" s="1"/>
  <c r="BA64" i="65"/>
  <c r="BA58" i="65"/>
  <c r="BC117" i="65"/>
  <c r="DK84" i="15"/>
  <c r="AZ113" i="65"/>
  <c r="BA98" i="65"/>
  <c r="BA80" i="65"/>
  <c r="AZ86" i="65"/>
  <c r="EN98" i="15"/>
  <c r="EQ98" i="15" s="1"/>
  <c r="DK117" i="15"/>
  <c r="EN117" i="15"/>
  <c r="EQ117" i="15" s="1"/>
  <c r="BA79" i="65"/>
  <c r="BA125" i="65"/>
  <c r="BA53" i="65"/>
  <c r="BA67" i="65"/>
  <c r="AZ92" i="65"/>
  <c r="DJ110" i="15"/>
  <c r="EJ110" i="15" s="1"/>
  <c r="EL110" i="15" s="1"/>
  <c r="EN84" i="15"/>
  <c r="EP84" i="15" s="1"/>
  <c r="EN67" i="15"/>
  <c r="EQ67" i="15" s="1"/>
  <c r="DJ126" i="15"/>
  <c r="EJ126" i="15" s="1"/>
  <c r="EM126" i="15" s="1"/>
  <c r="EN125" i="15"/>
  <c r="EO125" i="15" s="1"/>
  <c r="DY117" i="15"/>
  <c r="DJ91" i="15"/>
  <c r="EJ91" i="15" s="1"/>
  <c r="EK91" i="15" s="1"/>
  <c r="EN95" i="15"/>
  <c r="EO95" i="15" s="1"/>
  <c r="EN114" i="15"/>
  <c r="EQ114" i="15" s="1"/>
  <c r="DJ115" i="15"/>
  <c r="EJ115" i="15" s="1"/>
  <c r="EL115" i="15" s="1"/>
  <c r="DJ120" i="15"/>
  <c r="EJ120" i="15" s="1"/>
  <c r="EL120" i="15" s="1"/>
  <c r="AZ63" i="65"/>
  <c r="DJ62" i="15"/>
  <c r="EJ62" i="15" s="1"/>
  <c r="EL62" i="15" s="1"/>
  <c r="BA96" i="65"/>
  <c r="EN110" i="15"/>
  <c r="EQ110" i="15" s="1"/>
  <c r="DK94" i="15"/>
  <c r="DK106" i="15"/>
  <c r="DK53" i="15"/>
  <c r="AZ45" i="65"/>
  <c r="T45" i="5" s="1"/>
  <c r="AX45" i="73" s="1"/>
  <c r="AZ49" i="65"/>
  <c r="T49" i="5" s="1"/>
  <c r="AX49" i="73" s="1"/>
  <c r="BA49" i="65"/>
  <c r="U49" i="5" s="1"/>
  <c r="DJ72" i="15"/>
  <c r="EJ72" i="15" s="1"/>
  <c r="EM72" i="15" s="1"/>
  <c r="AY104" i="82"/>
  <c r="AY104" i="84"/>
  <c r="AY104" i="83"/>
  <c r="AY104" i="85"/>
  <c r="AY104" i="86"/>
  <c r="AY104" i="88"/>
  <c r="AY104" i="90"/>
  <c r="AY104" i="87"/>
  <c r="AY104" i="89"/>
  <c r="AZ111" i="82"/>
  <c r="AZ111" i="84"/>
  <c r="AZ111" i="83"/>
  <c r="AZ111" i="85"/>
  <c r="AZ111" i="86"/>
  <c r="AZ111" i="88"/>
  <c r="AZ111" i="90"/>
  <c r="AZ111" i="87"/>
  <c r="AZ111" i="89"/>
  <c r="AY113" i="82"/>
  <c r="AY113" i="83"/>
  <c r="AY113" i="84"/>
  <c r="AY113" i="86"/>
  <c r="AY113" i="85"/>
  <c r="AY113" i="87"/>
  <c r="AY113" i="89"/>
  <c r="AY113" i="88"/>
  <c r="AY113" i="90"/>
  <c r="AY85" i="82"/>
  <c r="AY85" i="83"/>
  <c r="AY85" i="84"/>
  <c r="AY85" i="86"/>
  <c r="AY85" i="85"/>
  <c r="AY85" i="87"/>
  <c r="AY85" i="89"/>
  <c r="AY85" i="88"/>
  <c r="AY85" i="90"/>
  <c r="AY80" i="82"/>
  <c r="AY80" i="84"/>
  <c r="AY80" i="83"/>
  <c r="AY80" i="85"/>
  <c r="AY80" i="86"/>
  <c r="AY80" i="88"/>
  <c r="AY80" i="90"/>
  <c r="AY80" i="87"/>
  <c r="AY80" i="89"/>
  <c r="AX86" i="82"/>
  <c r="AX86" i="83"/>
  <c r="AX86" i="84"/>
  <c r="AX86" i="86"/>
  <c r="AX86" i="85"/>
  <c r="AX86" i="87"/>
  <c r="AX86" i="89"/>
  <c r="AX86" i="88"/>
  <c r="AX86" i="90"/>
  <c r="BB88" i="82"/>
  <c r="BB88" i="83"/>
  <c r="BB88" i="84"/>
  <c r="BB88" i="86"/>
  <c r="BB88" i="85"/>
  <c r="BB88" i="87"/>
  <c r="BB88" i="89"/>
  <c r="BB88" i="88"/>
  <c r="BB88" i="90"/>
  <c r="AY114" i="82"/>
  <c r="AY114" i="84"/>
  <c r="AY114" i="83"/>
  <c r="AY114" i="85"/>
  <c r="AY114" i="86"/>
  <c r="AY114" i="88"/>
  <c r="AY114" i="90"/>
  <c r="AY114" i="87"/>
  <c r="AY114" i="89"/>
  <c r="AZ84" i="82"/>
  <c r="AZ84" i="83"/>
  <c r="AZ84" i="84"/>
  <c r="AZ84" i="86"/>
  <c r="AZ84" i="85"/>
  <c r="AZ84" i="87"/>
  <c r="AZ84" i="89"/>
  <c r="AZ84" i="88"/>
  <c r="AZ84" i="90"/>
  <c r="AZ110" i="82"/>
  <c r="AZ110" i="83"/>
  <c r="AZ110" i="84"/>
  <c r="AZ110" i="86"/>
  <c r="AZ110" i="85"/>
  <c r="AZ110" i="87"/>
  <c r="AZ110" i="89"/>
  <c r="AZ110" i="88"/>
  <c r="AZ110" i="90"/>
  <c r="AZ95" i="82"/>
  <c r="AZ95" i="84"/>
  <c r="AZ95" i="83"/>
  <c r="AZ95" i="85"/>
  <c r="AZ95" i="86"/>
  <c r="AZ95" i="88"/>
  <c r="AZ95" i="90"/>
  <c r="AZ95" i="87"/>
  <c r="AZ95" i="89"/>
  <c r="AX114" i="82"/>
  <c r="AX114" i="83"/>
  <c r="AX114" i="84"/>
  <c r="AX114" i="86"/>
  <c r="AX114" i="85"/>
  <c r="AX114" i="87"/>
  <c r="AX114" i="89"/>
  <c r="AX114" i="88"/>
  <c r="AX114" i="90"/>
  <c r="AY101" i="82"/>
  <c r="AY101" i="83"/>
  <c r="AY101" i="84"/>
  <c r="AY101" i="86"/>
  <c r="AY101" i="85"/>
  <c r="AY101" i="87"/>
  <c r="AY101" i="89"/>
  <c r="AY101" i="88"/>
  <c r="AY101" i="90"/>
  <c r="AY67" i="82"/>
  <c r="AY67" i="83"/>
  <c r="AY67" i="84"/>
  <c r="AY67" i="86"/>
  <c r="AY67" i="85"/>
  <c r="AY67" i="87"/>
  <c r="AY67" i="89"/>
  <c r="AY67" i="88"/>
  <c r="AY67" i="90"/>
  <c r="BB86" i="82"/>
  <c r="BB86" i="83"/>
  <c r="BB86" i="84"/>
  <c r="BB86" i="86"/>
  <c r="BB86" i="85"/>
  <c r="BB86" i="87"/>
  <c r="BB86" i="89"/>
  <c r="BB86" i="88"/>
  <c r="BB86" i="90"/>
  <c r="AZ116" i="82"/>
  <c r="AZ116" i="83"/>
  <c r="AZ116" i="84"/>
  <c r="AZ116" i="86"/>
  <c r="AZ116" i="85"/>
  <c r="AZ116" i="87"/>
  <c r="AZ116" i="89"/>
  <c r="AZ116" i="88"/>
  <c r="AZ116" i="90"/>
  <c r="BB80" i="82"/>
  <c r="BB80" i="83"/>
  <c r="BB80" i="84"/>
  <c r="BB80" i="86"/>
  <c r="BB80" i="85"/>
  <c r="BB80" i="87"/>
  <c r="BB80" i="89"/>
  <c r="BB80" i="88"/>
  <c r="BB80" i="90"/>
  <c r="AZ100" i="82"/>
  <c r="AZ100" i="83"/>
  <c r="AZ100" i="84"/>
  <c r="AZ100" i="86"/>
  <c r="AZ100" i="85"/>
  <c r="AZ100" i="87"/>
  <c r="AZ100" i="89"/>
  <c r="AZ100" i="88"/>
  <c r="AZ100" i="90"/>
  <c r="AY126" i="82"/>
  <c r="AY126" i="84"/>
  <c r="AY126" i="83"/>
  <c r="AY126" i="85"/>
  <c r="AY126" i="86"/>
  <c r="AY126" i="88"/>
  <c r="AY126" i="90"/>
  <c r="AY126" i="87"/>
  <c r="AY126" i="89"/>
  <c r="AZ120" i="82"/>
  <c r="AZ120" i="83"/>
  <c r="AZ120" i="84"/>
  <c r="AZ120" i="86"/>
  <c r="AZ120" i="85"/>
  <c r="AZ120" i="87"/>
  <c r="AZ120" i="89"/>
  <c r="AZ120" i="88"/>
  <c r="AZ120" i="90"/>
  <c r="AX117" i="82"/>
  <c r="AX117" i="84"/>
  <c r="AX117" i="83"/>
  <c r="AX117" i="85"/>
  <c r="AX117" i="86"/>
  <c r="AX117" i="88"/>
  <c r="AX117" i="90"/>
  <c r="AX117" i="87"/>
  <c r="AX117" i="89"/>
  <c r="AY106" i="82"/>
  <c r="AY106" i="84"/>
  <c r="AY106" i="83"/>
  <c r="AY106" i="85"/>
  <c r="AY106" i="86"/>
  <c r="AY106" i="88"/>
  <c r="AY106" i="90"/>
  <c r="AY106" i="87"/>
  <c r="AY106" i="89"/>
  <c r="AY61" i="82"/>
  <c r="AY61" i="83"/>
  <c r="AY61" i="84"/>
  <c r="AY61" i="86"/>
  <c r="AY61" i="85"/>
  <c r="AY61" i="87"/>
  <c r="AY61" i="89"/>
  <c r="AY61" i="88"/>
  <c r="AY61" i="90"/>
  <c r="AY99" i="82"/>
  <c r="AY99" i="83"/>
  <c r="AY99" i="84"/>
  <c r="AY99" i="86"/>
  <c r="AY99" i="85"/>
  <c r="AY99" i="87"/>
  <c r="AY99" i="89"/>
  <c r="AY99" i="88"/>
  <c r="AY99" i="90"/>
  <c r="AX120" i="82"/>
  <c r="AX120" i="83"/>
  <c r="AX120" i="84"/>
  <c r="AX120" i="86"/>
  <c r="AX120" i="85"/>
  <c r="AX120" i="87"/>
  <c r="AX120" i="89"/>
  <c r="AX120" i="88"/>
  <c r="AX120" i="90"/>
  <c r="AY122" i="82"/>
  <c r="AY122" i="84"/>
  <c r="AY122" i="83"/>
  <c r="AY122" i="85"/>
  <c r="AY122" i="86"/>
  <c r="AY122" i="88"/>
  <c r="AY122" i="90"/>
  <c r="AY122" i="87"/>
  <c r="AY122" i="89"/>
  <c r="AX106" i="82"/>
  <c r="AX106" i="83"/>
  <c r="AX106" i="84"/>
  <c r="AX106" i="86"/>
  <c r="AX106" i="85"/>
  <c r="AX106" i="87"/>
  <c r="AX106" i="89"/>
  <c r="AX106" i="88"/>
  <c r="AX106" i="90"/>
  <c r="AX94" i="82"/>
  <c r="AX94" i="83"/>
  <c r="AX94" i="84"/>
  <c r="AX94" i="86"/>
  <c r="AX94" i="85"/>
  <c r="AX94" i="87"/>
  <c r="AX94" i="89"/>
  <c r="AX94" i="88"/>
  <c r="AX94" i="90"/>
  <c r="AX127" i="82"/>
  <c r="AX127" i="84"/>
  <c r="AX127" i="83"/>
  <c r="AX127" i="85"/>
  <c r="AX127" i="86"/>
  <c r="AX127" i="88"/>
  <c r="AX127" i="90"/>
  <c r="AX127" i="87"/>
  <c r="AX127" i="89"/>
  <c r="BB92" i="82"/>
  <c r="BB92" i="83"/>
  <c r="BB92" i="84"/>
  <c r="BB92" i="86"/>
  <c r="BB92" i="85"/>
  <c r="BB92" i="87"/>
  <c r="BB92" i="89"/>
  <c r="BB92" i="88"/>
  <c r="BB92" i="90"/>
  <c r="AX38" i="82"/>
  <c r="AX38" i="83"/>
  <c r="AX38" i="84"/>
  <c r="AX38" i="86"/>
  <c r="AX38" i="85"/>
  <c r="AX38" i="87"/>
  <c r="AX38" i="89"/>
  <c r="AX38" i="88"/>
  <c r="AX38" i="90"/>
  <c r="BB55" i="82"/>
  <c r="BB55" i="84"/>
  <c r="BB55" i="83"/>
  <c r="BB55" i="85"/>
  <c r="BB55" i="86"/>
  <c r="BB55" i="88"/>
  <c r="BB55" i="90"/>
  <c r="BB55" i="87"/>
  <c r="BB55" i="89"/>
  <c r="BB116" i="82"/>
  <c r="BB116" i="83"/>
  <c r="BB116" i="84"/>
  <c r="BB116" i="86"/>
  <c r="BB116" i="85"/>
  <c r="BB116" i="87"/>
  <c r="BB116" i="89"/>
  <c r="BB116" i="88"/>
  <c r="BB116" i="90"/>
  <c r="BB100" i="82"/>
  <c r="BB100" i="83"/>
  <c r="BB100" i="84"/>
  <c r="BB100" i="86"/>
  <c r="BB100" i="85"/>
  <c r="BB100" i="87"/>
  <c r="BB100" i="89"/>
  <c r="BB100" i="88"/>
  <c r="BB100" i="90"/>
  <c r="BC88" i="82"/>
  <c r="AQ88" i="82"/>
  <c r="BC88" i="84"/>
  <c r="AQ88" i="84"/>
  <c r="BC88" i="83"/>
  <c r="AQ88" i="83"/>
  <c r="BC88" i="85"/>
  <c r="AQ88" i="85"/>
  <c r="BC88" i="86"/>
  <c r="AQ88" i="86"/>
  <c r="BC88" i="88"/>
  <c r="AQ88" i="88"/>
  <c r="BC88" i="90"/>
  <c r="AQ88" i="90"/>
  <c r="BC88" i="87"/>
  <c r="AQ88" i="87"/>
  <c r="BC88" i="89"/>
  <c r="AQ88" i="89"/>
  <c r="AZ89" i="82"/>
  <c r="AZ89" i="84"/>
  <c r="AZ89" i="83"/>
  <c r="AZ89" i="85"/>
  <c r="AZ89" i="86"/>
  <c r="AZ89" i="88"/>
  <c r="AZ89" i="90"/>
  <c r="AZ89" i="87"/>
  <c r="AZ89" i="89"/>
  <c r="AX123" i="82"/>
  <c r="AX123" i="84"/>
  <c r="AX123" i="83"/>
  <c r="AX123" i="85"/>
  <c r="AX123" i="86"/>
  <c r="AX123" i="88"/>
  <c r="AX123" i="90"/>
  <c r="AX123" i="87"/>
  <c r="AX123" i="89"/>
  <c r="BB120" i="82"/>
  <c r="BB120" i="83"/>
  <c r="BB120" i="84"/>
  <c r="BB120" i="86"/>
  <c r="BB120" i="85"/>
  <c r="BB120" i="87"/>
  <c r="BB120" i="89"/>
  <c r="BB120" i="88"/>
  <c r="BB120" i="90"/>
  <c r="BB127" i="82"/>
  <c r="BB127" i="84"/>
  <c r="BB127" i="83"/>
  <c r="BB127" i="85"/>
  <c r="BB127" i="86"/>
  <c r="BB127" i="88"/>
  <c r="BB127" i="90"/>
  <c r="BB127" i="87"/>
  <c r="BB127" i="89"/>
  <c r="AX63" i="82"/>
  <c r="AX63" i="84"/>
  <c r="AX63" i="83"/>
  <c r="AX63" i="85"/>
  <c r="AX63" i="86"/>
  <c r="AX63" i="88"/>
  <c r="AX63" i="90"/>
  <c r="AX63" i="87"/>
  <c r="AX63" i="89"/>
  <c r="AZ105" i="82"/>
  <c r="AZ105" i="84"/>
  <c r="AZ105" i="83"/>
  <c r="AZ105" i="85"/>
  <c r="AZ105" i="86"/>
  <c r="AZ105" i="88"/>
  <c r="AZ105" i="90"/>
  <c r="AZ105" i="87"/>
  <c r="AZ105" i="89"/>
  <c r="AY89" i="82"/>
  <c r="AY89" i="83"/>
  <c r="AY89" i="84"/>
  <c r="AY89" i="86"/>
  <c r="AY89" i="85"/>
  <c r="AY89" i="87"/>
  <c r="AY89" i="89"/>
  <c r="AY89" i="88"/>
  <c r="AY89" i="90"/>
  <c r="AX125" i="82"/>
  <c r="AX125" i="84"/>
  <c r="AX125" i="83"/>
  <c r="AX125" i="85"/>
  <c r="AX125" i="86"/>
  <c r="AX125" i="88"/>
  <c r="AX125" i="90"/>
  <c r="AX125" i="87"/>
  <c r="AX125" i="89"/>
  <c r="AY79" i="82"/>
  <c r="AY79" i="83"/>
  <c r="AY79" i="84"/>
  <c r="AY79" i="86"/>
  <c r="AY79" i="85"/>
  <c r="AY79" i="87"/>
  <c r="AY79" i="89"/>
  <c r="AY79" i="88"/>
  <c r="AY79" i="90"/>
  <c r="AZ55" i="82"/>
  <c r="AZ55" i="84"/>
  <c r="AZ55" i="83"/>
  <c r="AZ55" i="85"/>
  <c r="AZ55" i="86"/>
  <c r="AZ55" i="88"/>
  <c r="AZ55" i="90"/>
  <c r="AZ55" i="87"/>
  <c r="AZ55" i="89"/>
  <c r="BB63" i="82"/>
  <c r="BB63" i="84"/>
  <c r="BB63" i="83"/>
  <c r="BB63" i="85"/>
  <c r="BB63" i="86"/>
  <c r="BB63" i="88"/>
  <c r="BB63" i="90"/>
  <c r="BB63" i="87"/>
  <c r="BB63" i="89"/>
  <c r="BC86" i="82"/>
  <c r="AQ86" i="82"/>
  <c r="BC86" i="84"/>
  <c r="AQ86" i="84"/>
  <c r="BC86" i="83"/>
  <c r="AQ86" i="83"/>
  <c r="BC86" i="85"/>
  <c r="AQ86" i="85"/>
  <c r="BC86" i="86"/>
  <c r="AQ86" i="86"/>
  <c r="BC86" i="88"/>
  <c r="AQ86" i="88"/>
  <c r="BC86" i="90"/>
  <c r="AQ86" i="90"/>
  <c r="BC86" i="87"/>
  <c r="AQ86" i="87"/>
  <c r="BC86" i="89"/>
  <c r="AQ86" i="89"/>
  <c r="AZ91" i="82"/>
  <c r="AZ91" i="84"/>
  <c r="AZ91" i="83"/>
  <c r="AZ91" i="85"/>
  <c r="AZ91" i="86"/>
  <c r="AZ91" i="88"/>
  <c r="AZ91" i="90"/>
  <c r="AZ91" i="87"/>
  <c r="AZ91" i="89"/>
  <c r="BC110" i="82"/>
  <c r="AQ110" i="82"/>
  <c r="BC110" i="84"/>
  <c r="AQ110" i="84"/>
  <c r="BC110" i="83"/>
  <c r="AQ110" i="83"/>
  <c r="BC110" i="85"/>
  <c r="AQ110" i="85"/>
  <c r="BC110" i="86"/>
  <c r="AQ110" i="86"/>
  <c r="BC110" i="88"/>
  <c r="AQ110" i="88"/>
  <c r="BC110" i="90"/>
  <c r="AQ110" i="90"/>
  <c r="BC110" i="87"/>
  <c r="AQ110" i="87"/>
  <c r="BC110" i="89"/>
  <c r="AQ110" i="89"/>
  <c r="BB89" i="82"/>
  <c r="BB89" i="84"/>
  <c r="BB89" i="83"/>
  <c r="BB89" i="85"/>
  <c r="BB89" i="86"/>
  <c r="BB89" i="88"/>
  <c r="BB89" i="90"/>
  <c r="BB89" i="87"/>
  <c r="BB89" i="89"/>
  <c r="BB125" i="82"/>
  <c r="BB125" i="84"/>
  <c r="BB125" i="83"/>
  <c r="BB125" i="85"/>
  <c r="BB125" i="86"/>
  <c r="BB125" i="88"/>
  <c r="BB125" i="90"/>
  <c r="BB125" i="87"/>
  <c r="BB125" i="89"/>
  <c r="BC55" i="82"/>
  <c r="AQ55" i="82"/>
  <c r="BC55" i="83"/>
  <c r="AQ55" i="83"/>
  <c r="BC55" i="84"/>
  <c r="AQ55" i="84"/>
  <c r="BC55" i="86"/>
  <c r="AQ55" i="86"/>
  <c r="BC55" i="85"/>
  <c r="AQ55" i="85"/>
  <c r="BC55" i="87"/>
  <c r="AQ55" i="87"/>
  <c r="BC55" i="89"/>
  <c r="AQ55" i="89"/>
  <c r="BC55" i="88"/>
  <c r="AQ55" i="88"/>
  <c r="BC55" i="90"/>
  <c r="AQ55" i="90"/>
  <c r="AY107" i="82"/>
  <c r="AY107" i="83"/>
  <c r="AY107" i="84"/>
  <c r="AY107" i="86"/>
  <c r="AY107" i="85"/>
  <c r="AY107" i="87"/>
  <c r="AY107" i="89"/>
  <c r="AY107" i="88"/>
  <c r="AY107" i="90"/>
  <c r="BC114" i="82"/>
  <c r="AQ114" i="82"/>
  <c r="BC114" i="84"/>
  <c r="AQ114" i="84"/>
  <c r="BC114" i="83"/>
  <c r="AQ114" i="83"/>
  <c r="BC114" i="85"/>
  <c r="AQ114" i="85"/>
  <c r="BC114" i="86"/>
  <c r="AQ114" i="86"/>
  <c r="BC114" i="88"/>
  <c r="AQ114" i="88"/>
  <c r="BC114" i="90"/>
  <c r="AQ114" i="90"/>
  <c r="BC114" i="87"/>
  <c r="AQ114" i="87"/>
  <c r="BC114" i="89"/>
  <c r="AQ114" i="89"/>
  <c r="BC124" i="82"/>
  <c r="AQ124" i="82"/>
  <c r="BC124" i="84"/>
  <c r="AQ124" i="84"/>
  <c r="BC124" i="83"/>
  <c r="AQ124" i="83"/>
  <c r="BC124" i="85"/>
  <c r="AQ124" i="85"/>
  <c r="BC124" i="86"/>
  <c r="AQ124" i="86"/>
  <c r="BC124" i="88"/>
  <c r="AQ124" i="88"/>
  <c r="BC124" i="90"/>
  <c r="AQ124" i="90"/>
  <c r="BC124" i="87"/>
  <c r="AQ124" i="87"/>
  <c r="BC124" i="89"/>
  <c r="AQ124" i="89"/>
  <c r="BB91" i="82"/>
  <c r="BB91" i="84"/>
  <c r="BB91" i="83"/>
  <c r="BB91" i="85"/>
  <c r="BB91" i="86"/>
  <c r="BB91" i="88"/>
  <c r="BB91" i="90"/>
  <c r="BB91" i="87"/>
  <c r="BB91" i="89"/>
  <c r="BC97" i="82"/>
  <c r="AQ97" i="82"/>
  <c r="BC97" i="83"/>
  <c r="AQ97" i="83"/>
  <c r="BC97" i="84"/>
  <c r="AQ97" i="84"/>
  <c r="BC97" i="86"/>
  <c r="AQ97" i="86"/>
  <c r="BC97" i="85"/>
  <c r="AQ97" i="85"/>
  <c r="BC97" i="87"/>
  <c r="AQ97" i="87"/>
  <c r="BC97" i="89"/>
  <c r="AQ97" i="89"/>
  <c r="BC97" i="88"/>
  <c r="AQ97" i="88"/>
  <c r="BC97" i="90"/>
  <c r="AQ97" i="90"/>
  <c r="AY62" i="82"/>
  <c r="AY62" i="84"/>
  <c r="AY62" i="83"/>
  <c r="AY62" i="85"/>
  <c r="AY62" i="86"/>
  <c r="AY62" i="88"/>
  <c r="AY62" i="90"/>
  <c r="AY62" i="87"/>
  <c r="AY62" i="89"/>
  <c r="AY68" i="82"/>
  <c r="AY68" i="84"/>
  <c r="AY68" i="83"/>
  <c r="AY68" i="85"/>
  <c r="AY68" i="86"/>
  <c r="AY68" i="88"/>
  <c r="AY68" i="90"/>
  <c r="AY68" i="87"/>
  <c r="AY68" i="89"/>
  <c r="AZ48" i="82"/>
  <c r="AZ48" i="83"/>
  <c r="AZ48" i="84"/>
  <c r="AZ48" i="86"/>
  <c r="AZ48" i="85"/>
  <c r="AZ48" i="87"/>
  <c r="AZ48" i="89"/>
  <c r="AZ48" i="88"/>
  <c r="AZ48" i="90"/>
  <c r="AZ66" i="82"/>
  <c r="AZ66" i="83"/>
  <c r="AZ66" i="84"/>
  <c r="AZ66" i="86"/>
  <c r="AZ66" i="85"/>
  <c r="AZ66" i="87"/>
  <c r="AZ66" i="89"/>
  <c r="AZ66" i="88"/>
  <c r="AZ66" i="90"/>
  <c r="BB121" i="82"/>
  <c r="BB121" i="84"/>
  <c r="BB121" i="83"/>
  <c r="BB121" i="85"/>
  <c r="BB121" i="86"/>
  <c r="BB121" i="88"/>
  <c r="BB121" i="90"/>
  <c r="BB121" i="87"/>
  <c r="BB121" i="89"/>
  <c r="BC99" i="82"/>
  <c r="AQ99" i="82"/>
  <c r="BC99" i="83"/>
  <c r="AQ99" i="83"/>
  <c r="BC99" i="84"/>
  <c r="AQ99" i="84"/>
  <c r="BC99" i="86"/>
  <c r="AQ99" i="86"/>
  <c r="BC99" i="85"/>
  <c r="AQ99" i="85"/>
  <c r="BC99" i="87"/>
  <c r="AQ99" i="87"/>
  <c r="BC99" i="89"/>
  <c r="AQ99" i="89"/>
  <c r="BC99" i="88"/>
  <c r="AQ99" i="88"/>
  <c r="BC99" i="90"/>
  <c r="AQ99" i="90"/>
  <c r="BC122" i="82"/>
  <c r="AQ122" i="82"/>
  <c r="BC122" i="84"/>
  <c r="AQ122" i="84"/>
  <c r="BC122" i="83"/>
  <c r="AQ122" i="83"/>
  <c r="BC122" i="85"/>
  <c r="AQ122" i="85"/>
  <c r="BC122" i="86"/>
  <c r="AQ122" i="86"/>
  <c r="BC122" i="88"/>
  <c r="AQ122" i="88"/>
  <c r="BC122" i="90"/>
  <c r="AQ122" i="90"/>
  <c r="BC122" i="87"/>
  <c r="AQ122" i="87"/>
  <c r="BC122" i="89"/>
  <c r="AQ122" i="89"/>
  <c r="BC118" i="82"/>
  <c r="AQ118" i="82"/>
  <c r="BC118" i="84"/>
  <c r="AQ118" i="84"/>
  <c r="BC118" i="83"/>
  <c r="AQ118" i="83"/>
  <c r="BC118" i="85"/>
  <c r="AQ118" i="85"/>
  <c r="BC118" i="86"/>
  <c r="AQ118" i="86"/>
  <c r="BC118" i="88"/>
  <c r="AQ118" i="88"/>
  <c r="BC118" i="90"/>
  <c r="AQ118" i="90"/>
  <c r="BC118" i="87"/>
  <c r="AQ118" i="87"/>
  <c r="BC118" i="89"/>
  <c r="AQ118" i="89"/>
  <c r="BC127" i="82"/>
  <c r="AQ127" i="82"/>
  <c r="BC127" i="83"/>
  <c r="AQ127" i="83"/>
  <c r="BC127" i="84"/>
  <c r="AQ127" i="84"/>
  <c r="BC127" i="86"/>
  <c r="AQ127" i="86"/>
  <c r="BC127" i="85"/>
  <c r="AQ127" i="85"/>
  <c r="BC127" i="87"/>
  <c r="AQ127" i="87"/>
  <c r="BC127" i="89"/>
  <c r="AQ127" i="89"/>
  <c r="BC127" i="88"/>
  <c r="AQ127" i="88"/>
  <c r="BC127" i="90"/>
  <c r="AQ127" i="90"/>
  <c r="AZ62" i="82"/>
  <c r="AZ62" i="83"/>
  <c r="AZ62" i="84"/>
  <c r="AZ62" i="86"/>
  <c r="AZ62" i="85"/>
  <c r="AZ62" i="87"/>
  <c r="AZ62" i="89"/>
  <c r="AZ62" i="88"/>
  <c r="AZ62" i="90"/>
  <c r="BB40" i="82"/>
  <c r="BB40" i="83"/>
  <c r="BB40" i="84"/>
  <c r="BB40" i="86"/>
  <c r="BB40" i="85"/>
  <c r="BB40" i="87"/>
  <c r="BB40" i="89"/>
  <c r="BB40" i="88"/>
  <c r="BB40" i="90"/>
  <c r="AZ53" i="82"/>
  <c r="AZ53" i="84"/>
  <c r="AZ53" i="83"/>
  <c r="AZ53" i="85"/>
  <c r="AZ53" i="86"/>
  <c r="AZ53" i="88"/>
  <c r="AZ53" i="90"/>
  <c r="AZ53" i="87"/>
  <c r="AZ53" i="89"/>
  <c r="AY53" i="82"/>
  <c r="AY53" i="83"/>
  <c r="AY53" i="84"/>
  <c r="AY53" i="86"/>
  <c r="AY53" i="85"/>
  <c r="AY53" i="87"/>
  <c r="AY53" i="89"/>
  <c r="AY53" i="88"/>
  <c r="AY53" i="90"/>
  <c r="AX68" i="82"/>
  <c r="AX68" i="83"/>
  <c r="AX68" i="84"/>
  <c r="AX68" i="86"/>
  <c r="AX68" i="85"/>
  <c r="AX68" i="87"/>
  <c r="AX68" i="89"/>
  <c r="AX68" i="88"/>
  <c r="AX68" i="90"/>
  <c r="BC66" i="82"/>
  <c r="AQ66" i="82"/>
  <c r="BC66" i="84"/>
  <c r="AQ66" i="84"/>
  <c r="BC66" i="83"/>
  <c r="AQ66" i="83"/>
  <c r="BC66" i="85"/>
  <c r="AQ66" i="85"/>
  <c r="BC66" i="86"/>
  <c r="AQ66" i="86"/>
  <c r="BC66" i="88"/>
  <c r="AQ66" i="88"/>
  <c r="BC66" i="90"/>
  <c r="AQ66" i="90"/>
  <c r="BC66" i="87"/>
  <c r="AQ66" i="87"/>
  <c r="BC66" i="89"/>
  <c r="AQ66" i="89"/>
  <c r="BC93" i="82"/>
  <c r="AQ93" i="82"/>
  <c r="BC93" i="83"/>
  <c r="AQ93" i="83"/>
  <c r="BC93" i="84"/>
  <c r="AQ93" i="84"/>
  <c r="BC93" i="86"/>
  <c r="AQ93" i="86"/>
  <c r="BC93" i="85"/>
  <c r="AQ93" i="85"/>
  <c r="BC93" i="87"/>
  <c r="AQ93" i="87"/>
  <c r="BC93" i="89"/>
  <c r="AQ93" i="89"/>
  <c r="BC93" i="88"/>
  <c r="AQ93" i="88"/>
  <c r="BC93" i="90"/>
  <c r="AQ93" i="90"/>
  <c r="AY109" i="82"/>
  <c r="AY109" i="83"/>
  <c r="AY109" i="84"/>
  <c r="AY109" i="86"/>
  <c r="AY109" i="85"/>
  <c r="AY109" i="87"/>
  <c r="AY109" i="89"/>
  <c r="AY109" i="88"/>
  <c r="AY109" i="90"/>
  <c r="BC61" i="82"/>
  <c r="AQ61" i="82"/>
  <c r="BC61" i="83"/>
  <c r="AQ61" i="83"/>
  <c r="BC61" i="84"/>
  <c r="AQ61" i="84"/>
  <c r="BC61" i="86"/>
  <c r="AQ61" i="86"/>
  <c r="BC61" i="85"/>
  <c r="AQ61" i="85"/>
  <c r="BC61" i="87"/>
  <c r="AQ61" i="87"/>
  <c r="BC61" i="89"/>
  <c r="AQ61" i="89"/>
  <c r="BC61" i="88"/>
  <c r="AQ61" i="88"/>
  <c r="BC61" i="90"/>
  <c r="AQ61" i="90"/>
  <c r="BB45" i="82"/>
  <c r="BB45" i="84"/>
  <c r="BB45" i="83"/>
  <c r="BB45" i="85"/>
  <c r="BB45" i="86"/>
  <c r="BB45" i="88"/>
  <c r="BB45" i="90"/>
  <c r="BB45" i="87"/>
  <c r="BB45" i="89"/>
  <c r="AY74" i="82"/>
  <c r="AY74" i="84"/>
  <c r="AY74" i="83"/>
  <c r="AY74" i="85"/>
  <c r="AY74" i="86"/>
  <c r="AY74" i="88"/>
  <c r="AY74" i="90"/>
  <c r="AY74" i="87"/>
  <c r="AY74" i="89"/>
  <c r="AX71" i="82"/>
  <c r="AX71" i="84"/>
  <c r="AX71" i="83"/>
  <c r="AX71" i="85"/>
  <c r="AX71" i="86"/>
  <c r="AX71" i="88"/>
  <c r="AX71" i="90"/>
  <c r="AX71" i="87"/>
  <c r="AX71" i="89"/>
  <c r="AX109" i="82"/>
  <c r="AX109" i="84"/>
  <c r="AX109" i="83"/>
  <c r="AX109" i="85"/>
  <c r="AX109" i="86"/>
  <c r="AX109" i="88"/>
  <c r="AX109" i="90"/>
  <c r="AX109" i="87"/>
  <c r="AX109" i="89"/>
  <c r="AZ57" i="82"/>
  <c r="AZ57" i="84"/>
  <c r="AZ57" i="83"/>
  <c r="AZ57" i="85"/>
  <c r="AZ57" i="86"/>
  <c r="AZ57" i="88"/>
  <c r="AZ57" i="90"/>
  <c r="AZ57" i="87"/>
  <c r="AZ57" i="89"/>
  <c r="BC123" i="82"/>
  <c r="AQ123" i="82"/>
  <c r="BC123" i="83"/>
  <c r="AQ123" i="83"/>
  <c r="BC123" i="84"/>
  <c r="AQ123" i="84"/>
  <c r="BC123" i="86"/>
  <c r="AQ123" i="86"/>
  <c r="BC123" i="85"/>
  <c r="AQ123" i="85"/>
  <c r="BC123" i="87"/>
  <c r="AQ123" i="87"/>
  <c r="BC123" i="89"/>
  <c r="AQ123" i="89"/>
  <c r="BC123" i="88"/>
  <c r="AQ123" i="88"/>
  <c r="BC123" i="90"/>
  <c r="AQ123" i="90"/>
  <c r="BB62" i="82"/>
  <c r="BB62" i="83"/>
  <c r="BB62" i="84"/>
  <c r="BB62" i="86"/>
  <c r="BB62" i="85"/>
  <c r="BB62" i="87"/>
  <c r="BB62" i="89"/>
  <c r="BB62" i="88"/>
  <c r="BB62" i="90"/>
  <c r="AX54" i="82"/>
  <c r="AX54" i="83"/>
  <c r="AX54" i="84"/>
  <c r="AX54" i="86"/>
  <c r="AX54" i="85"/>
  <c r="AX54" i="87"/>
  <c r="AX54" i="89"/>
  <c r="AX54" i="88"/>
  <c r="AX54" i="90"/>
  <c r="AX45" i="82"/>
  <c r="AX45" i="84"/>
  <c r="AX45" i="83"/>
  <c r="AX45" i="85"/>
  <c r="AX45" i="86"/>
  <c r="AX45" i="88"/>
  <c r="AX45" i="90"/>
  <c r="AX45" i="87"/>
  <c r="AX45" i="89"/>
  <c r="AX57" i="82"/>
  <c r="AX57" i="84"/>
  <c r="AX57" i="83"/>
  <c r="AX57" i="85"/>
  <c r="AX57" i="86"/>
  <c r="AX57" i="88"/>
  <c r="AX57" i="90"/>
  <c r="AX57" i="87"/>
  <c r="AX57" i="89"/>
  <c r="AZ43" i="82"/>
  <c r="AZ43" i="84"/>
  <c r="AZ43" i="83"/>
  <c r="AZ43" i="85"/>
  <c r="AZ43" i="86"/>
  <c r="AZ43" i="88"/>
  <c r="AZ43" i="90"/>
  <c r="AZ43" i="87"/>
  <c r="AZ43" i="89"/>
  <c r="AX74" i="82"/>
  <c r="AX74" i="83"/>
  <c r="AX74" i="84"/>
  <c r="AX74" i="86"/>
  <c r="AX74" i="85"/>
  <c r="AX74" i="87"/>
  <c r="AX74" i="89"/>
  <c r="AX74" i="88"/>
  <c r="AX74" i="90"/>
  <c r="AX32" i="82"/>
  <c r="AX32" i="83"/>
  <c r="AX32" i="84"/>
  <c r="AX32" i="86"/>
  <c r="AX32" i="85"/>
  <c r="AX32" i="87"/>
  <c r="AX32" i="89"/>
  <c r="AX32" i="88"/>
  <c r="AX32" i="90"/>
  <c r="BB53" i="82"/>
  <c r="BB53" i="84"/>
  <c r="BB53" i="83"/>
  <c r="BB53" i="85"/>
  <c r="BB53" i="86"/>
  <c r="BB53" i="88"/>
  <c r="BB53" i="90"/>
  <c r="BB53" i="87"/>
  <c r="BB53" i="89"/>
  <c r="BC91" i="82"/>
  <c r="AQ91" i="82"/>
  <c r="BC91" i="83"/>
  <c r="AQ91" i="83"/>
  <c r="BC91" i="84"/>
  <c r="AQ91" i="84"/>
  <c r="BC91" i="86"/>
  <c r="AQ91" i="86"/>
  <c r="BC91" i="85"/>
  <c r="AQ91" i="85"/>
  <c r="BC91" i="87"/>
  <c r="AQ91" i="87"/>
  <c r="BC91" i="89"/>
  <c r="AQ91" i="89"/>
  <c r="BC91" i="88"/>
  <c r="AQ91" i="88"/>
  <c r="BC91" i="90"/>
  <c r="AQ91" i="90"/>
  <c r="AY72" i="82"/>
  <c r="AY72" i="84"/>
  <c r="AY72" i="83"/>
  <c r="AY72" i="85"/>
  <c r="AY72" i="86"/>
  <c r="AY72" i="88"/>
  <c r="AY72" i="90"/>
  <c r="AY72" i="87"/>
  <c r="AY72" i="89"/>
  <c r="AY70" i="82"/>
  <c r="AY70" i="84"/>
  <c r="AY70" i="83"/>
  <c r="AY70" i="85"/>
  <c r="AY70" i="86"/>
  <c r="AY70" i="88"/>
  <c r="AY70" i="90"/>
  <c r="AY70" i="87"/>
  <c r="AY70" i="89"/>
  <c r="AX41" i="82"/>
  <c r="AX41" i="84"/>
  <c r="AX41" i="83"/>
  <c r="AX41" i="85"/>
  <c r="AX41" i="86"/>
  <c r="AX41" i="88"/>
  <c r="AX41" i="90"/>
  <c r="AX41" i="87"/>
  <c r="AX41" i="89"/>
  <c r="BB70" i="82"/>
  <c r="BB70" i="83"/>
  <c r="BB70" i="84"/>
  <c r="BB70" i="86"/>
  <c r="BB70" i="85"/>
  <c r="BB70" i="87"/>
  <c r="BB70" i="89"/>
  <c r="BB70" i="88"/>
  <c r="BB70" i="90"/>
  <c r="BB109" i="82"/>
  <c r="BB109" i="84"/>
  <c r="BB109" i="83"/>
  <c r="BB109" i="85"/>
  <c r="BB109" i="86"/>
  <c r="BB109" i="88"/>
  <c r="BB109" i="90"/>
  <c r="BB109" i="87"/>
  <c r="BB109" i="89"/>
  <c r="BC57" i="82"/>
  <c r="AQ57" i="82"/>
  <c r="BC57" i="83"/>
  <c r="AQ57" i="83"/>
  <c r="BC57" i="84"/>
  <c r="AQ57" i="84"/>
  <c r="BC57" i="86"/>
  <c r="AQ57" i="86"/>
  <c r="BC57" i="85"/>
  <c r="AQ57" i="85"/>
  <c r="BC57" i="87"/>
  <c r="AQ57" i="87"/>
  <c r="BC57" i="89"/>
  <c r="AQ57" i="89"/>
  <c r="BC57" i="88"/>
  <c r="AQ57" i="88"/>
  <c r="BC57" i="90"/>
  <c r="AQ57" i="90"/>
  <c r="AZ51" i="82"/>
  <c r="AZ51" i="84"/>
  <c r="AZ51" i="83"/>
  <c r="AZ51" i="85"/>
  <c r="AZ51" i="86"/>
  <c r="AZ51" i="88"/>
  <c r="AZ51" i="90"/>
  <c r="AZ51" i="87"/>
  <c r="AZ51" i="89"/>
  <c r="AY51" i="82"/>
  <c r="AY51" i="83"/>
  <c r="AY51" i="84"/>
  <c r="AY51" i="86"/>
  <c r="AY51" i="85"/>
  <c r="AY51" i="87"/>
  <c r="AY51" i="89"/>
  <c r="AY51" i="88"/>
  <c r="AY51" i="90"/>
  <c r="AY49" i="86"/>
  <c r="AZ46" i="82"/>
  <c r="AZ46" i="83"/>
  <c r="AZ46" i="84"/>
  <c r="AZ46" i="86"/>
  <c r="AZ46" i="85"/>
  <c r="AZ46" i="87"/>
  <c r="AZ46" i="89"/>
  <c r="AZ46" i="88"/>
  <c r="AZ46" i="90"/>
  <c r="BC54" i="82"/>
  <c r="AQ54" i="82"/>
  <c r="BC54" i="84"/>
  <c r="AQ54" i="84"/>
  <c r="BC54" i="83"/>
  <c r="AQ54" i="83"/>
  <c r="BC54" i="85"/>
  <c r="AQ54" i="85"/>
  <c r="BC54" i="86"/>
  <c r="AQ54" i="86"/>
  <c r="BC54" i="88"/>
  <c r="AQ54" i="88"/>
  <c r="BC54" i="90"/>
  <c r="AQ54" i="90"/>
  <c r="BC54" i="87"/>
  <c r="AQ54" i="87"/>
  <c r="BC54" i="89"/>
  <c r="AQ54" i="89"/>
  <c r="BC72" i="82"/>
  <c r="AQ72" i="82"/>
  <c r="BC72" i="84"/>
  <c r="AQ72" i="84"/>
  <c r="BC72" i="83"/>
  <c r="AQ72" i="83"/>
  <c r="BC72" i="85"/>
  <c r="AQ72" i="85"/>
  <c r="BC72" i="86"/>
  <c r="AQ72" i="86"/>
  <c r="BC72" i="88"/>
  <c r="AQ72" i="88"/>
  <c r="BC72" i="90"/>
  <c r="AQ72" i="90"/>
  <c r="BC72" i="87"/>
  <c r="AQ72" i="87"/>
  <c r="BC72" i="89"/>
  <c r="AQ72" i="89"/>
  <c r="BC70" i="82"/>
  <c r="AQ70" i="82"/>
  <c r="BC70" i="84"/>
  <c r="AQ70" i="84"/>
  <c r="BC70" i="83"/>
  <c r="AQ70" i="83"/>
  <c r="BC70" i="85"/>
  <c r="AQ70" i="85"/>
  <c r="BC70" i="86"/>
  <c r="AQ70" i="86"/>
  <c r="BC70" i="88"/>
  <c r="AQ70" i="88"/>
  <c r="BC70" i="90"/>
  <c r="AQ70" i="90"/>
  <c r="BC70" i="87"/>
  <c r="AQ70" i="87"/>
  <c r="BC70" i="89"/>
  <c r="AQ70" i="89"/>
  <c r="AY52" i="82"/>
  <c r="AY52" i="84"/>
  <c r="AY52" i="83"/>
  <c r="AY52" i="85"/>
  <c r="AY52" i="86"/>
  <c r="AY52" i="88"/>
  <c r="AY52" i="90"/>
  <c r="AY52" i="87"/>
  <c r="AY52" i="89"/>
  <c r="AX52" i="82"/>
  <c r="AX52" i="83"/>
  <c r="AX52" i="84"/>
  <c r="AX52" i="86"/>
  <c r="AX52" i="85"/>
  <c r="AX52" i="87"/>
  <c r="AX52" i="89"/>
  <c r="AX52" i="88"/>
  <c r="AX52" i="90"/>
  <c r="BB77" i="82"/>
  <c r="BB77" i="84"/>
  <c r="BB77" i="83"/>
  <c r="BB77" i="85"/>
  <c r="BB77" i="86"/>
  <c r="BB77" i="88"/>
  <c r="BB77" i="90"/>
  <c r="BB77" i="87"/>
  <c r="BB77" i="89"/>
  <c r="BC51" i="82"/>
  <c r="AQ51" i="82"/>
  <c r="BC51" i="83"/>
  <c r="AQ51" i="83"/>
  <c r="BC51" i="84"/>
  <c r="AQ51" i="84"/>
  <c r="BC51" i="86"/>
  <c r="AQ51" i="86"/>
  <c r="BC51" i="85"/>
  <c r="AQ51" i="85"/>
  <c r="BC51" i="87"/>
  <c r="AQ51" i="87"/>
  <c r="BC51" i="89"/>
  <c r="AQ51" i="89"/>
  <c r="BC51" i="88"/>
  <c r="AQ51" i="88"/>
  <c r="BC51" i="90"/>
  <c r="AQ51" i="90"/>
  <c r="BC62" i="82"/>
  <c r="AQ62" i="82"/>
  <c r="BC62" i="84"/>
  <c r="AQ62" i="84"/>
  <c r="BC62" i="83"/>
  <c r="AQ62" i="83"/>
  <c r="BC62" i="85"/>
  <c r="AQ62" i="85"/>
  <c r="BC62" i="86"/>
  <c r="AQ62" i="86"/>
  <c r="BC62" i="88"/>
  <c r="AQ62" i="88"/>
  <c r="BC62" i="90"/>
  <c r="AQ62" i="90"/>
  <c r="BC62" i="87"/>
  <c r="AQ62" i="87"/>
  <c r="BC62" i="89"/>
  <c r="AQ62" i="89"/>
  <c r="AZ75" i="82"/>
  <c r="AZ75" i="84"/>
  <c r="AZ75" i="83"/>
  <c r="AZ75" i="85"/>
  <c r="AZ75" i="86"/>
  <c r="AZ75" i="88"/>
  <c r="AZ75" i="90"/>
  <c r="AZ75" i="87"/>
  <c r="AZ75" i="89"/>
  <c r="AX77" i="82"/>
  <c r="AX77" i="84"/>
  <c r="AX77" i="83"/>
  <c r="AX77" i="85"/>
  <c r="AX77" i="86"/>
  <c r="AX77" i="88"/>
  <c r="AX77" i="90"/>
  <c r="AX77" i="87"/>
  <c r="AX77" i="89"/>
  <c r="AX50" i="82"/>
  <c r="AX50" i="83"/>
  <c r="AX50" i="84"/>
  <c r="AX50" i="86"/>
  <c r="AX50" i="85"/>
  <c r="AX50" i="87"/>
  <c r="AX50" i="89"/>
  <c r="AX50" i="88"/>
  <c r="AX50" i="90"/>
  <c r="AX59" i="82"/>
  <c r="AX59" i="84"/>
  <c r="AX59" i="83"/>
  <c r="AX59" i="85"/>
  <c r="AX59" i="86"/>
  <c r="AX59" i="88"/>
  <c r="AX59" i="90"/>
  <c r="AX59" i="87"/>
  <c r="AX59" i="89"/>
  <c r="AZ69" i="82"/>
  <c r="AZ69" i="84"/>
  <c r="AZ69" i="83"/>
  <c r="AZ69" i="85"/>
  <c r="AZ69" i="86"/>
  <c r="AZ69" i="88"/>
  <c r="AZ69" i="90"/>
  <c r="AZ69" i="87"/>
  <c r="AZ69" i="89"/>
  <c r="AX69" i="82"/>
  <c r="AX69" i="84"/>
  <c r="AX69" i="83"/>
  <c r="AX69" i="85"/>
  <c r="AX69" i="86"/>
  <c r="AX69" i="88"/>
  <c r="AX69" i="90"/>
  <c r="AX69" i="87"/>
  <c r="AX69" i="89"/>
  <c r="AX64" i="82"/>
  <c r="AX64" i="83"/>
  <c r="AX64" i="84"/>
  <c r="AX64" i="86"/>
  <c r="AX64" i="85"/>
  <c r="AX64" i="87"/>
  <c r="AX64" i="89"/>
  <c r="AX64" i="88"/>
  <c r="AX64" i="90"/>
  <c r="AY65" i="82"/>
  <c r="AY65" i="83"/>
  <c r="AY65" i="84"/>
  <c r="AY65" i="86"/>
  <c r="AY65" i="85"/>
  <c r="AY65" i="87"/>
  <c r="AY65" i="89"/>
  <c r="AY65" i="88"/>
  <c r="AY65" i="90"/>
  <c r="AX65" i="82"/>
  <c r="AX65" i="84"/>
  <c r="AX65" i="83"/>
  <c r="AX65" i="85"/>
  <c r="AX65" i="86"/>
  <c r="AX65" i="88"/>
  <c r="AX65" i="90"/>
  <c r="AX65" i="87"/>
  <c r="AX65" i="89"/>
  <c r="BB72" i="82"/>
  <c r="BB72" i="83"/>
  <c r="BB72" i="84"/>
  <c r="BB72" i="86"/>
  <c r="BB72" i="85"/>
  <c r="BB72" i="87"/>
  <c r="BB72" i="89"/>
  <c r="BB72" i="88"/>
  <c r="BB72" i="90"/>
  <c r="BB59" i="82"/>
  <c r="BB59" i="84"/>
  <c r="BB59" i="83"/>
  <c r="BB59" i="85"/>
  <c r="BB59" i="86"/>
  <c r="BB59" i="88"/>
  <c r="BB59" i="90"/>
  <c r="BB59" i="87"/>
  <c r="BB59" i="89"/>
  <c r="BB65" i="82"/>
  <c r="BB65" i="84"/>
  <c r="BB65" i="83"/>
  <c r="BB65" i="85"/>
  <c r="BB65" i="86"/>
  <c r="BB65" i="88"/>
  <c r="BB65" i="90"/>
  <c r="BB65" i="87"/>
  <c r="BB65" i="89"/>
  <c r="AY60" i="82"/>
  <c r="AY60" i="84"/>
  <c r="AY60" i="83"/>
  <c r="AY60" i="85"/>
  <c r="AY60" i="86"/>
  <c r="AY60" i="88"/>
  <c r="AY60" i="90"/>
  <c r="AY60" i="87"/>
  <c r="AY60" i="89"/>
  <c r="BC52" i="82"/>
  <c r="AQ52" i="82"/>
  <c r="BC52" i="84"/>
  <c r="AQ52" i="84"/>
  <c r="BC52" i="83"/>
  <c r="AQ52" i="83"/>
  <c r="BC52" i="85"/>
  <c r="AQ52" i="85"/>
  <c r="BC52" i="86"/>
  <c r="AQ52" i="86"/>
  <c r="BC52" i="88"/>
  <c r="AQ52" i="88"/>
  <c r="BC52" i="90"/>
  <c r="AQ52" i="90"/>
  <c r="BC52" i="87"/>
  <c r="AQ52" i="87"/>
  <c r="BC52" i="89"/>
  <c r="AQ52" i="89"/>
  <c r="BC69" i="82"/>
  <c r="AQ69" i="82"/>
  <c r="BC69" i="83"/>
  <c r="AQ69" i="83"/>
  <c r="BC69" i="84"/>
  <c r="AQ69" i="84"/>
  <c r="BC69" i="86"/>
  <c r="AQ69" i="86"/>
  <c r="BC69" i="85"/>
  <c r="AQ69" i="85"/>
  <c r="BC69" i="87"/>
  <c r="AQ69" i="87"/>
  <c r="BC69" i="89"/>
  <c r="AQ69" i="89"/>
  <c r="BC69" i="88"/>
  <c r="AQ69" i="88"/>
  <c r="BC69" i="90"/>
  <c r="AQ69" i="90"/>
  <c r="AZ76" i="82"/>
  <c r="AZ76" i="83"/>
  <c r="AZ76" i="84"/>
  <c r="AZ76" i="86"/>
  <c r="AZ76" i="85"/>
  <c r="AZ76" i="87"/>
  <c r="AZ76" i="89"/>
  <c r="AZ76" i="88"/>
  <c r="AZ76" i="90"/>
  <c r="AX73" i="82"/>
  <c r="AX73" i="84"/>
  <c r="AX73" i="83"/>
  <c r="AX73" i="85"/>
  <c r="AX73" i="86"/>
  <c r="AX73" i="88"/>
  <c r="AX73" i="90"/>
  <c r="AX73" i="87"/>
  <c r="AX73" i="89"/>
  <c r="BC75" i="82"/>
  <c r="AQ75" i="82"/>
  <c r="BC75" i="83"/>
  <c r="AQ75" i="83"/>
  <c r="BC75" i="84"/>
  <c r="AQ75" i="84"/>
  <c r="BC75" i="86"/>
  <c r="AQ75" i="86"/>
  <c r="BC75" i="85"/>
  <c r="AQ75" i="85"/>
  <c r="BC75" i="87"/>
  <c r="AQ75" i="87"/>
  <c r="BC75" i="89"/>
  <c r="AQ75" i="89"/>
  <c r="BC75" i="88"/>
  <c r="AQ75" i="88"/>
  <c r="BC75" i="90"/>
  <c r="AQ75" i="90"/>
  <c r="AY76" i="82"/>
  <c r="AY76" i="84"/>
  <c r="AY76" i="83"/>
  <c r="AY76" i="85"/>
  <c r="AY76" i="86"/>
  <c r="AY76" i="88"/>
  <c r="AY76" i="90"/>
  <c r="AY76" i="87"/>
  <c r="AY76" i="89"/>
  <c r="AZ60" i="82"/>
  <c r="AZ60" i="83"/>
  <c r="AZ60" i="84"/>
  <c r="AZ60" i="86"/>
  <c r="AZ60" i="85"/>
  <c r="AZ60" i="87"/>
  <c r="AZ60" i="89"/>
  <c r="AZ60" i="88"/>
  <c r="AZ60" i="90"/>
  <c r="AX39" i="82"/>
  <c r="AX39" i="84"/>
  <c r="AX39" i="83"/>
  <c r="AX39" i="85"/>
  <c r="AX39" i="86"/>
  <c r="AX39" i="88"/>
  <c r="AX39" i="90"/>
  <c r="AX39" i="87"/>
  <c r="AX39" i="89"/>
  <c r="BC50" i="82"/>
  <c r="AQ50" i="82"/>
  <c r="BC50" i="84"/>
  <c r="AQ50" i="84"/>
  <c r="BC50" i="83"/>
  <c r="AQ50" i="83"/>
  <c r="BC50" i="85"/>
  <c r="AQ50" i="85"/>
  <c r="BC50" i="86"/>
  <c r="AQ50" i="86"/>
  <c r="BC50" i="88"/>
  <c r="AQ50" i="88"/>
  <c r="BC50" i="90"/>
  <c r="AQ50" i="90"/>
  <c r="BC50" i="87"/>
  <c r="AQ50" i="87"/>
  <c r="BC50" i="89"/>
  <c r="AQ50" i="89"/>
  <c r="BB73" i="82"/>
  <c r="BB73" i="84"/>
  <c r="BB73" i="83"/>
  <c r="BB73" i="85"/>
  <c r="BB73" i="86"/>
  <c r="BB73" i="88"/>
  <c r="BB73" i="90"/>
  <c r="BB73" i="87"/>
  <c r="BB73" i="89"/>
  <c r="BC73" i="82"/>
  <c r="AQ73" i="82"/>
  <c r="BC73" i="83"/>
  <c r="AQ73" i="83"/>
  <c r="BC73" i="84"/>
  <c r="AQ73" i="84"/>
  <c r="BC73" i="86"/>
  <c r="AQ73" i="86"/>
  <c r="BC73" i="85"/>
  <c r="AQ73" i="85"/>
  <c r="BC73" i="87"/>
  <c r="AQ73" i="87"/>
  <c r="BC73" i="89"/>
  <c r="AQ73" i="89"/>
  <c r="BC73" i="88"/>
  <c r="AQ73" i="88"/>
  <c r="BC73" i="90"/>
  <c r="AQ73" i="90"/>
  <c r="AZ56" i="82"/>
  <c r="AZ56" i="83"/>
  <c r="AZ56" i="84"/>
  <c r="AZ56" i="86"/>
  <c r="AZ56" i="85"/>
  <c r="AZ56" i="87"/>
  <c r="AZ56" i="89"/>
  <c r="AZ56" i="88"/>
  <c r="AZ56" i="90"/>
  <c r="BB64" i="82"/>
  <c r="BB64" i="83"/>
  <c r="BB64" i="84"/>
  <c r="BB64" i="86"/>
  <c r="BB64" i="85"/>
  <c r="BB64" i="87"/>
  <c r="BB64" i="89"/>
  <c r="BB64" i="88"/>
  <c r="BB64" i="90"/>
  <c r="BB76" i="82"/>
  <c r="BB76" i="83"/>
  <c r="BB76" i="84"/>
  <c r="BB76" i="86"/>
  <c r="BB76" i="85"/>
  <c r="BB76" i="87"/>
  <c r="BB76" i="89"/>
  <c r="BB76" i="88"/>
  <c r="BB76" i="90"/>
  <c r="BC74" i="82"/>
  <c r="AQ74" i="82"/>
  <c r="BC74" i="84"/>
  <c r="AQ74" i="84"/>
  <c r="BC74" i="83"/>
  <c r="AQ74" i="83"/>
  <c r="BC74" i="85"/>
  <c r="AQ74" i="85"/>
  <c r="BC74" i="86"/>
  <c r="AQ74" i="86"/>
  <c r="BC74" i="88"/>
  <c r="AQ74" i="88"/>
  <c r="BC74" i="90"/>
  <c r="AQ74" i="90"/>
  <c r="BC74" i="87"/>
  <c r="AQ74" i="87"/>
  <c r="BC74" i="89"/>
  <c r="AQ74" i="89"/>
  <c r="AY58" i="82"/>
  <c r="AY58" i="84"/>
  <c r="AY58" i="83"/>
  <c r="AY58" i="85"/>
  <c r="AY58" i="86"/>
  <c r="AY58" i="88"/>
  <c r="AY58" i="90"/>
  <c r="AY58" i="87"/>
  <c r="AY58" i="89"/>
  <c r="BC56" i="82"/>
  <c r="AQ56" i="82"/>
  <c r="BC56" i="84"/>
  <c r="AQ56" i="84"/>
  <c r="BC56" i="83"/>
  <c r="AQ56" i="83"/>
  <c r="BC56" i="85"/>
  <c r="AQ56" i="85"/>
  <c r="BC56" i="86"/>
  <c r="AQ56" i="86"/>
  <c r="BC56" i="88"/>
  <c r="AQ56" i="88"/>
  <c r="BC56" i="90"/>
  <c r="AQ56" i="90"/>
  <c r="BC56" i="87"/>
  <c r="AQ56" i="87"/>
  <c r="BC56" i="89"/>
  <c r="AQ56" i="89"/>
  <c r="AX58" i="82"/>
  <c r="AX58" i="83"/>
  <c r="AX58" i="84"/>
  <c r="AX58" i="86"/>
  <c r="AX58" i="85"/>
  <c r="AX58" i="87"/>
  <c r="AX58" i="89"/>
  <c r="AX58" i="88"/>
  <c r="AX58" i="90"/>
  <c r="BC76" i="82"/>
  <c r="AQ76" i="82"/>
  <c r="BC76" i="84"/>
  <c r="AQ76" i="84"/>
  <c r="BC76" i="83"/>
  <c r="AQ76" i="83"/>
  <c r="BC76" i="85"/>
  <c r="AQ76" i="85"/>
  <c r="BC76" i="86"/>
  <c r="AQ76" i="86"/>
  <c r="BC76" i="88"/>
  <c r="AQ76" i="88"/>
  <c r="BC76" i="90"/>
  <c r="AQ76" i="90"/>
  <c r="BC76" i="87"/>
  <c r="AQ76" i="87"/>
  <c r="BC76" i="89"/>
  <c r="AQ76" i="89"/>
  <c r="AZ113" i="82"/>
  <c r="AZ113" i="84"/>
  <c r="AZ113" i="83"/>
  <c r="AZ113" i="85"/>
  <c r="AZ113" i="86"/>
  <c r="AZ113" i="88"/>
  <c r="AZ113" i="90"/>
  <c r="AZ113" i="87"/>
  <c r="AZ113" i="89"/>
  <c r="AY111" i="82"/>
  <c r="AY111" i="83"/>
  <c r="AY111" i="84"/>
  <c r="AY111" i="86"/>
  <c r="AY111" i="85"/>
  <c r="AY111" i="87"/>
  <c r="AY111" i="89"/>
  <c r="AY111" i="88"/>
  <c r="AY111" i="90"/>
  <c r="AZ104" i="82"/>
  <c r="AZ104" i="83"/>
  <c r="AZ104" i="84"/>
  <c r="AZ104" i="86"/>
  <c r="AZ104" i="85"/>
  <c r="AZ104" i="87"/>
  <c r="AZ104" i="89"/>
  <c r="AZ104" i="88"/>
  <c r="AZ104" i="90"/>
  <c r="AZ85" i="82"/>
  <c r="AZ85" i="84"/>
  <c r="AZ85" i="83"/>
  <c r="AZ85" i="85"/>
  <c r="AZ85" i="86"/>
  <c r="AZ85" i="88"/>
  <c r="AZ85" i="90"/>
  <c r="AZ85" i="87"/>
  <c r="AZ85" i="89"/>
  <c r="AX98" i="82"/>
  <c r="AX98" i="83"/>
  <c r="AX98" i="84"/>
  <c r="AX98" i="86"/>
  <c r="AX98" i="85"/>
  <c r="AX98" i="87"/>
  <c r="AX98" i="89"/>
  <c r="AX98" i="88"/>
  <c r="AX98" i="90"/>
  <c r="AX80" i="82"/>
  <c r="AX80" i="83"/>
  <c r="AX80" i="84"/>
  <c r="AX80" i="86"/>
  <c r="AX80" i="85"/>
  <c r="AX80" i="87"/>
  <c r="AX80" i="89"/>
  <c r="AX80" i="88"/>
  <c r="AX80" i="90"/>
  <c r="BB113" i="82"/>
  <c r="BB113" i="84"/>
  <c r="BB113" i="83"/>
  <c r="BB113" i="85"/>
  <c r="BB113" i="86"/>
  <c r="BB113" i="88"/>
  <c r="BB113" i="90"/>
  <c r="BB113" i="87"/>
  <c r="BB113" i="89"/>
  <c r="AY96" i="82"/>
  <c r="AY96" i="84"/>
  <c r="AY96" i="83"/>
  <c r="AY96" i="85"/>
  <c r="AY96" i="86"/>
  <c r="AY96" i="88"/>
  <c r="AY96" i="90"/>
  <c r="AY96" i="87"/>
  <c r="AY96" i="89"/>
  <c r="AX88" i="82"/>
  <c r="AX88" i="83"/>
  <c r="AX88" i="84"/>
  <c r="AX88" i="86"/>
  <c r="AX88" i="85"/>
  <c r="AX88" i="87"/>
  <c r="AX88" i="89"/>
  <c r="AX88" i="88"/>
  <c r="AX88" i="90"/>
  <c r="AY84" i="82"/>
  <c r="AY84" i="84"/>
  <c r="AY84" i="83"/>
  <c r="AY84" i="85"/>
  <c r="AY84" i="86"/>
  <c r="AY84" i="88"/>
  <c r="AY84" i="90"/>
  <c r="AY84" i="87"/>
  <c r="AY84" i="89"/>
  <c r="AZ96" i="82"/>
  <c r="AZ96" i="83"/>
  <c r="AZ96" i="84"/>
  <c r="AZ96" i="86"/>
  <c r="AZ96" i="85"/>
  <c r="AZ96" i="87"/>
  <c r="AZ96" i="89"/>
  <c r="AZ96" i="88"/>
  <c r="AZ96" i="90"/>
  <c r="AX119" i="82"/>
  <c r="AX119" i="84"/>
  <c r="AX119" i="83"/>
  <c r="AX119" i="85"/>
  <c r="AX119" i="86"/>
  <c r="AX119" i="88"/>
  <c r="AX119" i="90"/>
  <c r="AX119" i="87"/>
  <c r="AX119" i="89"/>
  <c r="AZ101" i="82"/>
  <c r="AZ101" i="84"/>
  <c r="AZ101" i="83"/>
  <c r="AZ101" i="85"/>
  <c r="AZ101" i="86"/>
  <c r="AZ101" i="88"/>
  <c r="AZ101" i="90"/>
  <c r="AZ101" i="87"/>
  <c r="AZ101" i="89"/>
  <c r="AY92" i="82"/>
  <c r="AY92" i="84"/>
  <c r="AY92" i="83"/>
  <c r="AY92" i="85"/>
  <c r="AY92" i="86"/>
  <c r="AY92" i="88"/>
  <c r="AY92" i="90"/>
  <c r="AY92" i="87"/>
  <c r="AY92" i="89"/>
  <c r="AZ67" i="82"/>
  <c r="AZ67" i="84"/>
  <c r="AZ67" i="83"/>
  <c r="AZ67" i="85"/>
  <c r="AZ67" i="86"/>
  <c r="AZ67" i="88"/>
  <c r="AZ67" i="90"/>
  <c r="AZ67" i="87"/>
  <c r="AZ67" i="89"/>
  <c r="BB85" i="82"/>
  <c r="BB85" i="84"/>
  <c r="BB85" i="83"/>
  <c r="BB85" i="85"/>
  <c r="BB85" i="86"/>
  <c r="BB85" i="88"/>
  <c r="BB85" i="90"/>
  <c r="BB85" i="87"/>
  <c r="BB85" i="89"/>
  <c r="AY100" i="82"/>
  <c r="AY100" i="84"/>
  <c r="AY100" i="83"/>
  <c r="AY100" i="85"/>
  <c r="AY100" i="86"/>
  <c r="AY100" i="88"/>
  <c r="AY100" i="90"/>
  <c r="AY100" i="87"/>
  <c r="AY100" i="89"/>
  <c r="AX124" i="82"/>
  <c r="AX124" i="83"/>
  <c r="AX124" i="84"/>
  <c r="AX124" i="86"/>
  <c r="AX124" i="85"/>
  <c r="AX124" i="87"/>
  <c r="AX124" i="89"/>
  <c r="AX124" i="88"/>
  <c r="AX124" i="90"/>
  <c r="AZ108" i="82"/>
  <c r="AZ108" i="83"/>
  <c r="AZ108" i="84"/>
  <c r="AZ108" i="86"/>
  <c r="AZ108" i="85"/>
  <c r="AZ108" i="87"/>
  <c r="AZ108" i="89"/>
  <c r="AZ108" i="88"/>
  <c r="AZ108" i="90"/>
  <c r="AY94" i="82"/>
  <c r="AY94" i="84"/>
  <c r="AY94" i="83"/>
  <c r="AY94" i="85"/>
  <c r="AY94" i="86"/>
  <c r="AY94" i="88"/>
  <c r="AY94" i="90"/>
  <c r="AY94" i="87"/>
  <c r="AY94" i="89"/>
  <c r="BB119" i="82"/>
  <c r="BB119" i="84"/>
  <c r="BB119" i="83"/>
  <c r="BB119" i="85"/>
  <c r="BB119" i="86"/>
  <c r="BB119" i="88"/>
  <c r="BB119" i="90"/>
  <c r="BB119" i="87"/>
  <c r="BB119" i="89"/>
  <c r="AZ99" i="82"/>
  <c r="AZ99" i="84"/>
  <c r="AZ99" i="83"/>
  <c r="AZ99" i="85"/>
  <c r="AZ99" i="86"/>
  <c r="AZ99" i="88"/>
  <c r="AZ99" i="90"/>
  <c r="AZ99" i="87"/>
  <c r="AZ99" i="89"/>
  <c r="AZ118" i="82"/>
  <c r="AZ118" i="83"/>
  <c r="AZ118" i="84"/>
  <c r="AZ118" i="86"/>
  <c r="AZ118" i="85"/>
  <c r="AZ118" i="87"/>
  <c r="AZ118" i="89"/>
  <c r="AZ118" i="88"/>
  <c r="AZ118" i="90"/>
  <c r="BB114" i="82"/>
  <c r="BB114" i="83"/>
  <c r="BB114" i="84"/>
  <c r="BB114" i="86"/>
  <c r="BB114" i="85"/>
  <c r="BB114" i="87"/>
  <c r="BB114" i="89"/>
  <c r="BB114" i="88"/>
  <c r="BB114" i="90"/>
  <c r="AX108" i="82"/>
  <c r="AX108" i="83"/>
  <c r="AX108" i="84"/>
  <c r="AX108" i="86"/>
  <c r="AX108" i="85"/>
  <c r="AX108" i="87"/>
  <c r="AX108" i="89"/>
  <c r="AX108" i="88"/>
  <c r="AX108" i="90"/>
  <c r="AX115" i="82"/>
  <c r="AX115" i="84"/>
  <c r="AX115" i="83"/>
  <c r="AX115" i="85"/>
  <c r="AX115" i="86"/>
  <c r="AX115" i="88"/>
  <c r="AX115" i="90"/>
  <c r="AX115" i="87"/>
  <c r="AX115" i="89"/>
  <c r="AZ122" i="82"/>
  <c r="AZ122" i="83"/>
  <c r="AZ122" i="84"/>
  <c r="AZ122" i="86"/>
  <c r="AZ122" i="85"/>
  <c r="AZ122" i="87"/>
  <c r="AZ122" i="89"/>
  <c r="AZ122" i="88"/>
  <c r="AZ122" i="90"/>
  <c r="AX126" i="82"/>
  <c r="AX126" i="83"/>
  <c r="AX126" i="84"/>
  <c r="AX126" i="86"/>
  <c r="AX126" i="85"/>
  <c r="AX126" i="87"/>
  <c r="AX126" i="89"/>
  <c r="AX126" i="88"/>
  <c r="AX126" i="90"/>
  <c r="BB95" i="82"/>
  <c r="BB95" i="84"/>
  <c r="BB95" i="83"/>
  <c r="BB95" i="85"/>
  <c r="BB95" i="86"/>
  <c r="BB95" i="88"/>
  <c r="BB95" i="90"/>
  <c r="BB95" i="87"/>
  <c r="BB95" i="89"/>
  <c r="AY97" i="82"/>
  <c r="AY97" i="83"/>
  <c r="AY97" i="84"/>
  <c r="AY97" i="86"/>
  <c r="AY97" i="85"/>
  <c r="AY97" i="87"/>
  <c r="AY97" i="89"/>
  <c r="AY97" i="88"/>
  <c r="AY97" i="90"/>
  <c r="BB124" i="82"/>
  <c r="BB124" i="83"/>
  <c r="BB124" i="84"/>
  <c r="BB124" i="86"/>
  <c r="BB124" i="85"/>
  <c r="BB124" i="87"/>
  <c r="BB124" i="89"/>
  <c r="BB124" i="88"/>
  <c r="BB124" i="90"/>
  <c r="BB42" i="82"/>
  <c r="BB42" i="83"/>
  <c r="BB42" i="84"/>
  <c r="BB42" i="86"/>
  <c r="BB42" i="85"/>
  <c r="BB42" i="87"/>
  <c r="BB42" i="89"/>
  <c r="BB42" i="88"/>
  <c r="BB42" i="90"/>
  <c r="AY125" i="82"/>
  <c r="AY125" i="83"/>
  <c r="AY125" i="84"/>
  <c r="AY125" i="86"/>
  <c r="AY125" i="85"/>
  <c r="AY125" i="87"/>
  <c r="AY125" i="89"/>
  <c r="AY125" i="88"/>
  <c r="AY125" i="90"/>
  <c r="BC108" i="82"/>
  <c r="AQ108" i="82"/>
  <c r="BC108" i="84"/>
  <c r="AQ108" i="84"/>
  <c r="BC108" i="83"/>
  <c r="AQ108" i="83"/>
  <c r="BC108" i="85"/>
  <c r="AQ108" i="85"/>
  <c r="BC108" i="86"/>
  <c r="AQ108" i="86"/>
  <c r="BC108" i="88"/>
  <c r="AQ108" i="88"/>
  <c r="BC108" i="90"/>
  <c r="AQ108" i="90"/>
  <c r="BC108" i="87"/>
  <c r="AQ108" i="87"/>
  <c r="BC108" i="89"/>
  <c r="AQ108" i="89"/>
  <c r="BB117" i="82"/>
  <c r="BB117" i="84"/>
  <c r="BB117" i="83"/>
  <c r="BB117" i="85"/>
  <c r="BB117" i="86"/>
  <c r="BB117" i="88"/>
  <c r="BB117" i="90"/>
  <c r="BB117" i="87"/>
  <c r="BB117" i="89"/>
  <c r="BB118" i="82"/>
  <c r="BB118" i="83"/>
  <c r="BB118" i="84"/>
  <c r="BB118" i="86"/>
  <c r="BB118" i="85"/>
  <c r="BB118" i="87"/>
  <c r="BB118" i="89"/>
  <c r="BB118" i="88"/>
  <c r="BB118" i="90"/>
  <c r="BC84" i="82"/>
  <c r="AQ84" i="82"/>
  <c r="BC84" i="84"/>
  <c r="AQ84" i="84"/>
  <c r="BC84" i="83"/>
  <c r="AQ84" i="83"/>
  <c r="BC84" i="85"/>
  <c r="AQ84" i="85"/>
  <c r="BC84" i="86"/>
  <c r="AQ84" i="86"/>
  <c r="BC84" i="88"/>
  <c r="AQ84" i="88"/>
  <c r="BC84" i="90"/>
  <c r="AQ84" i="90"/>
  <c r="BC84" i="87"/>
  <c r="AQ84" i="87"/>
  <c r="BC84" i="89"/>
  <c r="AQ84" i="89"/>
  <c r="AZ79" i="82"/>
  <c r="AZ79" i="84"/>
  <c r="AZ79" i="83"/>
  <c r="AZ79" i="85"/>
  <c r="AZ79" i="86"/>
  <c r="AZ79" i="88"/>
  <c r="AZ79" i="90"/>
  <c r="AZ79" i="87"/>
  <c r="AZ79" i="89"/>
  <c r="AX93" i="82"/>
  <c r="AX93" i="84"/>
  <c r="AX93" i="83"/>
  <c r="AX93" i="85"/>
  <c r="AX93" i="86"/>
  <c r="AX93" i="88"/>
  <c r="AX93" i="90"/>
  <c r="AX93" i="87"/>
  <c r="AX93" i="89"/>
  <c r="BB115" i="82"/>
  <c r="BB115" i="84"/>
  <c r="BB115" i="83"/>
  <c r="BB115" i="85"/>
  <c r="BB115" i="86"/>
  <c r="BB115" i="88"/>
  <c r="BB115" i="90"/>
  <c r="BB115" i="87"/>
  <c r="BB115" i="89"/>
  <c r="BB126" i="82"/>
  <c r="BB126" i="83"/>
  <c r="BB126" i="84"/>
  <c r="BB126" i="86"/>
  <c r="BB126" i="85"/>
  <c r="BB126" i="87"/>
  <c r="BB126" i="89"/>
  <c r="BB126" i="88"/>
  <c r="BB126" i="90"/>
  <c r="AZ78" i="82"/>
  <c r="AZ78" i="83"/>
  <c r="AZ78" i="84"/>
  <c r="AZ78" i="86"/>
  <c r="AZ78" i="85"/>
  <c r="AZ78" i="87"/>
  <c r="AZ78" i="89"/>
  <c r="AZ78" i="88"/>
  <c r="AZ78" i="90"/>
  <c r="BC85" i="82"/>
  <c r="AQ85" i="82"/>
  <c r="BC85" i="83"/>
  <c r="AQ85" i="83"/>
  <c r="BC85" i="84"/>
  <c r="AQ85" i="84"/>
  <c r="BC85" i="86"/>
  <c r="AQ85" i="86"/>
  <c r="BC85" i="85"/>
  <c r="AQ85" i="85"/>
  <c r="BC85" i="87"/>
  <c r="AQ85" i="87"/>
  <c r="BC85" i="89"/>
  <c r="AQ85" i="89"/>
  <c r="BC85" i="88"/>
  <c r="AQ85" i="88"/>
  <c r="BC85" i="90"/>
  <c r="AQ85" i="90"/>
  <c r="BC80" i="82"/>
  <c r="AQ80" i="82"/>
  <c r="BC80" i="84"/>
  <c r="AQ80" i="84"/>
  <c r="BC80" i="83"/>
  <c r="AQ80" i="83"/>
  <c r="BC80" i="85"/>
  <c r="AQ80" i="85"/>
  <c r="BC80" i="86"/>
  <c r="AQ80" i="86"/>
  <c r="BC80" i="88"/>
  <c r="AQ80" i="88"/>
  <c r="BC80" i="90"/>
  <c r="AQ80" i="90"/>
  <c r="BC80" i="87"/>
  <c r="AQ80" i="87"/>
  <c r="BC80" i="89"/>
  <c r="AQ80" i="89"/>
  <c r="AY91" i="82"/>
  <c r="AY91" i="83"/>
  <c r="AY91" i="84"/>
  <c r="AY91" i="86"/>
  <c r="AY91" i="85"/>
  <c r="AY91" i="87"/>
  <c r="AY91" i="89"/>
  <c r="AY91" i="88"/>
  <c r="AY91" i="90"/>
  <c r="BC119" i="82"/>
  <c r="AQ119" i="82"/>
  <c r="BC119" i="83"/>
  <c r="AQ119" i="83"/>
  <c r="BC119" i="84"/>
  <c r="AQ119" i="84"/>
  <c r="BC119" i="86"/>
  <c r="AQ119" i="86"/>
  <c r="BC119" i="85"/>
  <c r="AQ119" i="85"/>
  <c r="BC119" i="87"/>
  <c r="AQ119" i="87"/>
  <c r="BC119" i="89"/>
  <c r="AQ119" i="89"/>
  <c r="BC119" i="88"/>
  <c r="AQ119" i="88"/>
  <c r="BC119" i="90"/>
  <c r="AQ119" i="90"/>
  <c r="AZ107" i="82"/>
  <c r="AZ107" i="84"/>
  <c r="AZ107" i="83"/>
  <c r="AZ107" i="85"/>
  <c r="AZ107" i="86"/>
  <c r="AZ107" i="88"/>
  <c r="AZ107" i="90"/>
  <c r="AZ107" i="87"/>
  <c r="AZ107" i="89"/>
  <c r="BB66" i="82"/>
  <c r="BB66" i="83"/>
  <c r="BB66" i="84"/>
  <c r="BB66" i="86"/>
  <c r="BB66" i="85"/>
  <c r="BB66" i="87"/>
  <c r="BB66" i="89"/>
  <c r="BB66" i="88"/>
  <c r="BB66" i="90"/>
  <c r="AX121" i="82"/>
  <c r="AX121" i="84"/>
  <c r="AX121" i="83"/>
  <c r="AX121" i="85"/>
  <c r="AX121" i="86"/>
  <c r="AX121" i="88"/>
  <c r="AX121" i="90"/>
  <c r="AX121" i="87"/>
  <c r="AX121" i="89"/>
  <c r="BB93" i="82"/>
  <c r="BB93" i="84"/>
  <c r="BB93" i="83"/>
  <c r="BB93" i="85"/>
  <c r="BB93" i="86"/>
  <c r="BB93" i="88"/>
  <c r="BB93" i="90"/>
  <c r="BB93" i="87"/>
  <c r="BB93" i="89"/>
  <c r="BB107" i="82"/>
  <c r="BB107" i="84"/>
  <c r="BB107" i="83"/>
  <c r="BB107" i="85"/>
  <c r="BB107" i="86"/>
  <c r="BB107" i="88"/>
  <c r="BB107" i="90"/>
  <c r="BB107" i="87"/>
  <c r="BB107" i="89"/>
  <c r="BB79" i="82"/>
  <c r="BB79" i="84"/>
  <c r="BB79" i="83"/>
  <c r="BB79" i="85"/>
  <c r="BB79" i="86"/>
  <c r="BB79" i="88"/>
  <c r="BB79" i="90"/>
  <c r="BB79" i="87"/>
  <c r="BB79" i="89"/>
  <c r="BB111" i="82"/>
  <c r="BB111" i="84"/>
  <c r="BB111" i="83"/>
  <c r="BB111" i="85"/>
  <c r="BB111" i="86"/>
  <c r="BB111" i="88"/>
  <c r="BB111" i="90"/>
  <c r="BB111" i="87"/>
  <c r="BB111" i="89"/>
  <c r="AY86" i="82"/>
  <c r="AY86" i="84"/>
  <c r="AY86" i="83"/>
  <c r="AY86" i="85"/>
  <c r="AY86" i="86"/>
  <c r="AY86" i="88"/>
  <c r="AY86" i="90"/>
  <c r="AY86" i="87"/>
  <c r="AY86" i="89"/>
  <c r="AX111" i="82"/>
  <c r="AX111" i="84"/>
  <c r="AX111" i="83"/>
  <c r="AX111" i="85"/>
  <c r="AX111" i="86"/>
  <c r="AX111" i="88"/>
  <c r="AX111" i="90"/>
  <c r="AX111" i="87"/>
  <c r="AX111" i="89"/>
  <c r="AX104" i="82"/>
  <c r="AX104" i="83"/>
  <c r="AX104" i="84"/>
  <c r="AX104" i="86"/>
  <c r="AX104" i="85"/>
  <c r="AX104" i="87"/>
  <c r="AX104" i="89"/>
  <c r="AX104" i="88"/>
  <c r="AX104" i="90"/>
  <c r="AX113" i="82"/>
  <c r="AX113" i="84"/>
  <c r="AX113" i="83"/>
  <c r="AX113" i="85"/>
  <c r="AX113" i="86"/>
  <c r="AX113" i="88"/>
  <c r="AX113" i="90"/>
  <c r="AX113" i="87"/>
  <c r="AX113" i="89"/>
  <c r="AZ88" i="82"/>
  <c r="AZ88" i="83"/>
  <c r="AZ88" i="84"/>
  <c r="AZ88" i="86"/>
  <c r="AZ88" i="85"/>
  <c r="AZ88" i="87"/>
  <c r="AZ88" i="89"/>
  <c r="AZ88" i="88"/>
  <c r="AZ88" i="90"/>
  <c r="AX85" i="82"/>
  <c r="AX85" i="84"/>
  <c r="AX85" i="83"/>
  <c r="AX85" i="85"/>
  <c r="AX85" i="86"/>
  <c r="AX85" i="88"/>
  <c r="AX85" i="90"/>
  <c r="AX85" i="87"/>
  <c r="AX85" i="89"/>
  <c r="AZ98" i="82"/>
  <c r="AZ98" i="83"/>
  <c r="AZ98" i="84"/>
  <c r="AZ98" i="86"/>
  <c r="AZ98" i="85"/>
  <c r="AZ98" i="87"/>
  <c r="AZ98" i="89"/>
  <c r="AZ98" i="88"/>
  <c r="AZ98" i="90"/>
  <c r="AY98" i="82"/>
  <c r="AY98" i="84"/>
  <c r="AY98" i="83"/>
  <c r="AY98" i="85"/>
  <c r="AY98" i="86"/>
  <c r="AY98" i="88"/>
  <c r="AY98" i="90"/>
  <c r="AY98" i="87"/>
  <c r="AY98" i="89"/>
  <c r="AZ80" i="82"/>
  <c r="AZ80" i="83"/>
  <c r="AZ80" i="84"/>
  <c r="AZ80" i="86"/>
  <c r="AZ80" i="85"/>
  <c r="AZ80" i="87"/>
  <c r="AZ80" i="89"/>
  <c r="AZ80" i="88"/>
  <c r="AZ80" i="90"/>
  <c r="AZ86" i="82"/>
  <c r="AZ86" i="83"/>
  <c r="AZ86" i="84"/>
  <c r="AZ86" i="86"/>
  <c r="AZ86" i="85"/>
  <c r="AZ86" i="87"/>
  <c r="AZ86" i="89"/>
  <c r="AZ86" i="88"/>
  <c r="AZ86" i="90"/>
  <c r="AY95" i="82"/>
  <c r="AY95" i="83"/>
  <c r="AY95" i="84"/>
  <c r="AY95" i="86"/>
  <c r="AY95" i="85"/>
  <c r="AY95" i="87"/>
  <c r="AY95" i="89"/>
  <c r="AY95" i="88"/>
  <c r="AY95" i="90"/>
  <c r="AY110" i="82"/>
  <c r="AY110" i="84"/>
  <c r="AY110" i="83"/>
  <c r="AY110" i="85"/>
  <c r="AY110" i="86"/>
  <c r="AY110" i="88"/>
  <c r="AY110" i="90"/>
  <c r="AY110" i="87"/>
  <c r="AY110" i="89"/>
  <c r="AY119" i="82"/>
  <c r="AY119" i="83"/>
  <c r="AY119" i="84"/>
  <c r="AY119" i="86"/>
  <c r="AY119" i="85"/>
  <c r="AY119" i="87"/>
  <c r="AY119" i="89"/>
  <c r="AY119" i="88"/>
  <c r="AY119" i="90"/>
  <c r="BB104" i="82"/>
  <c r="BB104" i="83"/>
  <c r="BB104" i="84"/>
  <c r="BB104" i="86"/>
  <c r="BB104" i="85"/>
  <c r="BB104" i="87"/>
  <c r="BB104" i="89"/>
  <c r="BB104" i="88"/>
  <c r="BB104" i="90"/>
  <c r="AY88" i="82"/>
  <c r="AY88" i="84"/>
  <c r="AY88" i="83"/>
  <c r="AY88" i="85"/>
  <c r="AY88" i="86"/>
  <c r="AY88" i="88"/>
  <c r="AY88" i="90"/>
  <c r="AY88" i="87"/>
  <c r="AY88" i="89"/>
  <c r="AX84" i="82"/>
  <c r="AX84" i="83"/>
  <c r="AX84" i="84"/>
  <c r="AX84" i="86"/>
  <c r="AX84" i="85"/>
  <c r="AX84" i="87"/>
  <c r="AX84" i="89"/>
  <c r="AX84" i="88"/>
  <c r="AX84" i="90"/>
  <c r="AX110" i="82"/>
  <c r="AX110" i="83"/>
  <c r="AX110" i="84"/>
  <c r="AX110" i="86"/>
  <c r="AX110" i="85"/>
  <c r="AX110" i="87"/>
  <c r="AX110" i="89"/>
  <c r="AX110" i="88"/>
  <c r="AX110" i="90"/>
  <c r="AX96" i="82"/>
  <c r="AX96" i="83"/>
  <c r="AX96" i="84"/>
  <c r="AX96" i="86"/>
  <c r="AX96" i="85"/>
  <c r="AX96" i="87"/>
  <c r="AX96" i="89"/>
  <c r="AX96" i="88"/>
  <c r="AX96" i="90"/>
  <c r="AX95" i="82"/>
  <c r="AX95" i="84"/>
  <c r="AX95" i="83"/>
  <c r="AX95" i="85"/>
  <c r="AX95" i="86"/>
  <c r="AX95" i="88"/>
  <c r="AX95" i="90"/>
  <c r="AX95" i="87"/>
  <c r="AX95" i="89"/>
  <c r="AZ92" i="82"/>
  <c r="AZ92" i="83"/>
  <c r="AZ92" i="84"/>
  <c r="AZ92" i="86"/>
  <c r="AZ92" i="85"/>
  <c r="AZ92" i="87"/>
  <c r="AZ92" i="89"/>
  <c r="AZ92" i="88"/>
  <c r="AZ92" i="90"/>
  <c r="AZ119" i="82"/>
  <c r="AZ119" i="84"/>
  <c r="AZ119" i="83"/>
  <c r="AZ119" i="85"/>
  <c r="AZ119" i="86"/>
  <c r="AZ119" i="88"/>
  <c r="AZ119" i="90"/>
  <c r="AZ119" i="87"/>
  <c r="AZ119" i="89"/>
  <c r="AZ114" i="82"/>
  <c r="AZ114" i="83"/>
  <c r="AZ114" i="84"/>
  <c r="AZ114" i="86"/>
  <c r="AZ114" i="85"/>
  <c r="AZ114" i="87"/>
  <c r="AZ114" i="89"/>
  <c r="AZ114" i="88"/>
  <c r="AZ114" i="90"/>
  <c r="AX101" i="82"/>
  <c r="AX101" i="84"/>
  <c r="AX101" i="83"/>
  <c r="AX101" i="85"/>
  <c r="AX101" i="86"/>
  <c r="AX101" i="88"/>
  <c r="AX101" i="90"/>
  <c r="AX101" i="87"/>
  <c r="AX101" i="89"/>
  <c r="AX92" i="82"/>
  <c r="AX92" i="83"/>
  <c r="AX92" i="84"/>
  <c r="AX92" i="86"/>
  <c r="AX92" i="85"/>
  <c r="AX92" i="87"/>
  <c r="AX92" i="89"/>
  <c r="AX92" i="88"/>
  <c r="AX92" i="90"/>
  <c r="BB84" i="82"/>
  <c r="BB84" i="83"/>
  <c r="BB84" i="84"/>
  <c r="BB84" i="86"/>
  <c r="BB84" i="85"/>
  <c r="BB84" i="87"/>
  <c r="BB84" i="89"/>
  <c r="BB84" i="88"/>
  <c r="BB84" i="90"/>
  <c r="AX67" i="82"/>
  <c r="AX67" i="84"/>
  <c r="AX67" i="83"/>
  <c r="AX67" i="85"/>
  <c r="AX67" i="86"/>
  <c r="AX67" i="88"/>
  <c r="AX67" i="90"/>
  <c r="AX67" i="87"/>
  <c r="AX67" i="89"/>
  <c r="BB98" i="82"/>
  <c r="BB98" i="83"/>
  <c r="BB98" i="84"/>
  <c r="BB98" i="86"/>
  <c r="BB98" i="85"/>
  <c r="BB98" i="87"/>
  <c r="BB98" i="89"/>
  <c r="BB98" i="88"/>
  <c r="BB98" i="90"/>
  <c r="AY116" i="82"/>
  <c r="AY116" i="84"/>
  <c r="AY116" i="83"/>
  <c r="AY116" i="85"/>
  <c r="AY116" i="86"/>
  <c r="AY116" i="88"/>
  <c r="AY116" i="90"/>
  <c r="AY116" i="87"/>
  <c r="AY116" i="89"/>
  <c r="AX116" i="82"/>
  <c r="AX116" i="83"/>
  <c r="AX116" i="84"/>
  <c r="AX116" i="86"/>
  <c r="AX116" i="85"/>
  <c r="AX116" i="87"/>
  <c r="AX116" i="89"/>
  <c r="AX116" i="88"/>
  <c r="AX116" i="90"/>
  <c r="AY124" i="82"/>
  <c r="AY124" i="84"/>
  <c r="AY124" i="83"/>
  <c r="AY124" i="85"/>
  <c r="AY124" i="86"/>
  <c r="AY124" i="88"/>
  <c r="AY124" i="90"/>
  <c r="AY124" i="87"/>
  <c r="AY124" i="89"/>
  <c r="AX100" i="82"/>
  <c r="AX100" i="83"/>
  <c r="AX100" i="84"/>
  <c r="AX100" i="86"/>
  <c r="AX100" i="85"/>
  <c r="AX100" i="87"/>
  <c r="AX100" i="89"/>
  <c r="AX100" i="88"/>
  <c r="AX100" i="90"/>
  <c r="AZ124" i="82"/>
  <c r="AZ124" i="83"/>
  <c r="AZ124" i="84"/>
  <c r="AZ124" i="86"/>
  <c r="AZ124" i="85"/>
  <c r="AZ124" i="87"/>
  <c r="AZ124" i="89"/>
  <c r="AZ124" i="88"/>
  <c r="AZ124" i="90"/>
  <c r="AY118" i="82"/>
  <c r="AY118" i="84"/>
  <c r="AY118" i="83"/>
  <c r="AY118" i="85"/>
  <c r="AY118" i="86"/>
  <c r="AY118" i="88"/>
  <c r="AY118" i="90"/>
  <c r="AY118" i="87"/>
  <c r="AY118" i="89"/>
  <c r="BC111" i="82"/>
  <c r="AQ111" i="82"/>
  <c r="BC111" i="83"/>
  <c r="AQ111" i="83"/>
  <c r="BC111" i="84"/>
  <c r="AQ111" i="84"/>
  <c r="BC111" i="86"/>
  <c r="AQ111" i="86"/>
  <c r="BC111" i="85"/>
  <c r="AQ111" i="85"/>
  <c r="BC111" i="87"/>
  <c r="AQ111" i="87"/>
  <c r="BC111" i="89"/>
  <c r="AQ111" i="89"/>
  <c r="BC111" i="88"/>
  <c r="AQ111" i="88"/>
  <c r="BC111" i="90"/>
  <c r="AQ111" i="90"/>
  <c r="BB110" i="82"/>
  <c r="BB110" i="83"/>
  <c r="BB110" i="84"/>
  <c r="BB110" i="86"/>
  <c r="BB110" i="85"/>
  <c r="BB110" i="87"/>
  <c r="BB110" i="89"/>
  <c r="BB110" i="88"/>
  <c r="BB110" i="90"/>
  <c r="AZ115" i="82"/>
  <c r="AZ115" i="84"/>
  <c r="AZ115" i="83"/>
  <c r="AZ115" i="85"/>
  <c r="AZ115" i="86"/>
  <c r="AZ115" i="88"/>
  <c r="AZ115" i="90"/>
  <c r="AZ115" i="87"/>
  <c r="AZ115" i="89"/>
  <c r="AY117" i="82"/>
  <c r="AY117" i="83"/>
  <c r="AY117" i="84"/>
  <c r="AY117" i="86"/>
  <c r="AY117" i="85"/>
  <c r="AY117" i="87"/>
  <c r="AY117" i="89"/>
  <c r="AY117" i="88"/>
  <c r="AY117" i="90"/>
  <c r="AY108" i="82"/>
  <c r="AY108" i="84"/>
  <c r="AY108" i="83"/>
  <c r="AY108" i="85"/>
  <c r="AY108" i="86"/>
  <c r="AY108" i="88"/>
  <c r="AY108" i="90"/>
  <c r="AY108" i="87"/>
  <c r="AY108" i="89"/>
  <c r="AZ117" i="82"/>
  <c r="AZ117" i="84"/>
  <c r="AZ117" i="83"/>
  <c r="AZ117" i="85"/>
  <c r="AZ117" i="86"/>
  <c r="AZ117" i="88"/>
  <c r="AZ117" i="90"/>
  <c r="AZ117" i="87"/>
  <c r="AZ117" i="89"/>
  <c r="AX118" i="82"/>
  <c r="AX118" i="83"/>
  <c r="AX118" i="84"/>
  <c r="AX118" i="86"/>
  <c r="AX118" i="85"/>
  <c r="AX118" i="87"/>
  <c r="AX118" i="89"/>
  <c r="AX118" i="88"/>
  <c r="AX118" i="90"/>
  <c r="AZ97" i="82"/>
  <c r="AZ97" i="84"/>
  <c r="AZ97" i="83"/>
  <c r="AZ97" i="85"/>
  <c r="AZ97" i="86"/>
  <c r="AZ97" i="88"/>
  <c r="AZ97" i="90"/>
  <c r="AZ97" i="87"/>
  <c r="AZ97" i="89"/>
  <c r="BB108" i="82"/>
  <c r="BB108" i="83"/>
  <c r="BB108" i="84"/>
  <c r="BB108" i="86"/>
  <c r="BB108" i="85"/>
  <c r="BB108" i="87"/>
  <c r="BB108" i="89"/>
  <c r="BB108" i="88"/>
  <c r="BB108" i="90"/>
  <c r="AY38" i="82"/>
  <c r="AY38" i="84"/>
  <c r="AY38" i="83"/>
  <c r="AY38" i="85"/>
  <c r="AY38" i="86"/>
  <c r="AY38" i="88"/>
  <c r="AY38" i="90"/>
  <c r="AY38" i="87"/>
  <c r="AY38" i="89"/>
  <c r="AX99" i="82"/>
  <c r="AX99" i="84"/>
  <c r="AX99" i="83"/>
  <c r="AX99" i="85"/>
  <c r="AX99" i="86"/>
  <c r="AX99" i="88"/>
  <c r="AX99" i="90"/>
  <c r="AX99" i="87"/>
  <c r="AX99" i="89"/>
  <c r="BB101" i="82"/>
  <c r="BB101" i="84"/>
  <c r="BB101" i="83"/>
  <c r="BB101" i="85"/>
  <c r="BB101" i="86"/>
  <c r="BB101" i="88"/>
  <c r="BB101" i="90"/>
  <c r="BB101" i="87"/>
  <c r="BB101" i="89"/>
  <c r="AY115" i="82"/>
  <c r="AY115" i="83"/>
  <c r="AY115" i="84"/>
  <c r="AY115" i="86"/>
  <c r="AY115" i="85"/>
  <c r="AY115" i="87"/>
  <c r="AY115" i="89"/>
  <c r="AY115" i="88"/>
  <c r="AY115" i="90"/>
  <c r="AY120" i="82"/>
  <c r="AY120" i="84"/>
  <c r="AY120" i="83"/>
  <c r="AY120" i="85"/>
  <c r="AY120" i="86"/>
  <c r="AY120" i="88"/>
  <c r="AY120" i="90"/>
  <c r="AY120" i="87"/>
  <c r="AY120" i="89"/>
  <c r="AX122" i="82"/>
  <c r="AX122" i="83"/>
  <c r="AX122" i="84"/>
  <c r="AX122" i="86"/>
  <c r="AX122" i="85"/>
  <c r="AX122" i="87"/>
  <c r="AX122" i="89"/>
  <c r="AX122" i="88"/>
  <c r="AX122" i="90"/>
  <c r="AZ126" i="82"/>
  <c r="AZ126" i="83"/>
  <c r="AZ126" i="84"/>
  <c r="AZ126" i="86"/>
  <c r="AZ126" i="85"/>
  <c r="AZ126" i="87"/>
  <c r="AZ126" i="89"/>
  <c r="AZ126" i="88"/>
  <c r="AZ126" i="90"/>
  <c r="AZ106" i="82"/>
  <c r="AZ106" i="83"/>
  <c r="AZ106" i="84"/>
  <c r="AZ106" i="86"/>
  <c r="AZ106" i="85"/>
  <c r="AZ106" i="87"/>
  <c r="AZ106" i="89"/>
  <c r="AZ106" i="88"/>
  <c r="AZ106" i="90"/>
  <c r="AY127" i="82"/>
  <c r="AY127" i="83"/>
  <c r="AY127" i="84"/>
  <c r="AY127" i="86"/>
  <c r="AY127" i="85"/>
  <c r="AY127" i="87"/>
  <c r="AY127" i="89"/>
  <c r="AY127" i="88"/>
  <c r="AY127" i="90"/>
  <c r="AZ94" i="82"/>
  <c r="AZ94" i="83"/>
  <c r="AZ94" i="84"/>
  <c r="AZ94" i="86"/>
  <c r="AZ94" i="85"/>
  <c r="AZ94" i="87"/>
  <c r="AZ94" i="89"/>
  <c r="AZ94" i="88"/>
  <c r="AZ94" i="90"/>
  <c r="AZ127" i="82"/>
  <c r="AZ127" i="84"/>
  <c r="AZ127" i="83"/>
  <c r="AZ127" i="85"/>
  <c r="AZ127" i="86"/>
  <c r="AZ127" i="88"/>
  <c r="AZ127" i="90"/>
  <c r="AZ127" i="87"/>
  <c r="AZ127" i="89"/>
  <c r="AX97" i="82"/>
  <c r="AX97" i="84"/>
  <c r="AX97" i="83"/>
  <c r="AX97" i="85"/>
  <c r="AX97" i="86"/>
  <c r="AX97" i="88"/>
  <c r="AX97" i="90"/>
  <c r="AX97" i="87"/>
  <c r="AX97" i="89"/>
  <c r="BB96" i="82"/>
  <c r="BB96" i="83"/>
  <c r="BB96" i="84"/>
  <c r="BB96" i="86"/>
  <c r="BB96" i="85"/>
  <c r="BB96" i="87"/>
  <c r="BB96" i="89"/>
  <c r="BB96" i="88"/>
  <c r="BB96" i="90"/>
  <c r="AZ61" i="82"/>
  <c r="AZ61" i="84"/>
  <c r="AZ61" i="83"/>
  <c r="AZ61" i="85"/>
  <c r="AZ61" i="86"/>
  <c r="AZ61" i="88"/>
  <c r="AZ61" i="90"/>
  <c r="AZ61" i="87"/>
  <c r="AZ61" i="89"/>
  <c r="AZ38" i="82"/>
  <c r="AZ38" i="83"/>
  <c r="AZ38" i="84"/>
  <c r="AZ38" i="86"/>
  <c r="AZ38" i="85"/>
  <c r="AZ38" i="87"/>
  <c r="AZ38" i="89"/>
  <c r="AZ38" i="88"/>
  <c r="AZ38" i="90"/>
  <c r="AX61" i="82"/>
  <c r="AX61" i="84"/>
  <c r="AX61" i="83"/>
  <c r="AX61" i="85"/>
  <c r="AX61" i="86"/>
  <c r="AX61" i="88"/>
  <c r="AX61" i="90"/>
  <c r="AX61" i="87"/>
  <c r="AX61" i="89"/>
  <c r="BB67" i="82"/>
  <c r="BB67" i="84"/>
  <c r="BB67" i="83"/>
  <c r="BB67" i="85"/>
  <c r="BB67" i="86"/>
  <c r="BB67" i="88"/>
  <c r="BB67" i="90"/>
  <c r="BB67" i="87"/>
  <c r="BB67" i="89"/>
  <c r="BB97" i="82"/>
  <c r="BB97" i="84"/>
  <c r="BB97" i="83"/>
  <c r="BB97" i="85"/>
  <c r="BB97" i="86"/>
  <c r="BB97" i="88"/>
  <c r="BB97" i="90"/>
  <c r="BB97" i="87"/>
  <c r="BB97" i="89"/>
  <c r="BC104" i="82"/>
  <c r="AQ104" i="82"/>
  <c r="BC104" i="84"/>
  <c r="AQ104" i="84"/>
  <c r="BC104" i="83"/>
  <c r="AQ104" i="83"/>
  <c r="BC104" i="85"/>
  <c r="AQ104" i="85"/>
  <c r="BC104" i="86"/>
  <c r="AQ104" i="86"/>
  <c r="BC104" i="88"/>
  <c r="AQ104" i="88"/>
  <c r="BC104" i="90"/>
  <c r="AQ104" i="90"/>
  <c r="BC104" i="87"/>
  <c r="AQ104" i="87"/>
  <c r="BC104" i="89"/>
  <c r="AQ104" i="89"/>
  <c r="AY63" i="82"/>
  <c r="AY63" i="83"/>
  <c r="AY63" i="84"/>
  <c r="AY63" i="86"/>
  <c r="AY63" i="85"/>
  <c r="AY63" i="87"/>
  <c r="AY63" i="89"/>
  <c r="AY63" i="88"/>
  <c r="AY63" i="90"/>
  <c r="AY93" i="82"/>
  <c r="AY93" i="83"/>
  <c r="AY93" i="84"/>
  <c r="AY93" i="86"/>
  <c r="AY93" i="85"/>
  <c r="AY93" i="87"/>
  <c r="AY93" i="89"/>
  <c r="AY93" i="88"/>
  <c r="AY93" i="90"/>
  <c r="AZ123" i="82"/>
  <c r="AZ123" i="84"/>
  <c r="AZ123" i="83"/>
  <c r="AZ123" i="85"/>
  <c r="AZ123" i="86"/>
  <c r="AZ123" i="88"/>
  <c r="AZ123" i="90"/>
  <c r="AZ123" i="87"/>
  <c r="AZ123" i="89"/>
  <c r="AY123" i="82"/>
  <c r="AY123" i="83"/>
  <c r="AY123" i="84"/>
  <c r="AY123" i="86"/>
  <c r="AY123" i="85"/>
  <c r="AY123" i="87"/>
  <c r="AY123" i="89"/>
  <c r="AY123" i="88"/>
  <c r="AY123" i="90"/>
  <c r="BB99" i="82"/>
  <c r="BB99" i="84"/>
  <c r="BB99" i="83"/>
  <c r="BB99" i="85"/>
  <c r="BB99" i="86"/>
  <c r="BB99" i="88"/>
  <c r="BB99" i="90"/>
  <c r="BB99" i="87"/>
  <c r="BB99" i="89"/>
  <c r="AY105" i="82"/>
  <c r="AY105" i="83"/>
  <c r="AY105" i="84"/>
  <c r="AY105" i="86"/>
  <c r="AY105" i="85"/>
  <c r="AY105" i="87"/>
  <c r="AY105" i="89"/>
  <c r="AY105" i="88"/>
  <c r="AY105" i="90"/>
  <c r="BC113" i="82"/>
  <c r="AQ113" i="82"/>
  <c r="BC113" i="83"/>
  <c r="AQ113" i="83"/>
  <c r="BC113" i="84"/>
  <c r="AQ113" i="84"/>
  <c r="BC113" i="86"/>
  <c r="AQ113" i="86"/>
  <c r="BC113" i="85"/>
  <c r="AQ113" i="85"/>
  <c r="BC113" i="87"/>
  <c r="AQ113" i="87"/>
  <c r="BC113" i="89"/>
  <c r="AQ113" i="89"/>
  <c r="BC113" i="88"/>
  <c r="AQ113" i="88"/>
  <c r="BC113" i="90"/>
  <c r="AQ113" i="90"/>
  <c r="BB106" i="82"/>
  <c r="BB106" i="83"/>
  <c r="BB106" i="84"/>
  <c r="BB106" i="86"/>
  <c r="BB106" i="85"/>
  <c r="BB106" i="87"/>
  <c r="BB106" i="89"/>
  <c r="BB106" i="88"/>
  <c r="BB106" i="90"/>
  <c r="BB94" i="82"/>
  <c r="BB94" i="83"/>
  <c r="BB94" i="84"/>
  <c r="BB94" i="86"/>
  <c r="BB94" i="85"/>
  <c r="BB94" i="87"/>
  <c r="BB94" i="89"/>
  <c r="BB94" i="88"/>
  <c r="BB94" i="90"/>
  <c r="AY78" i="82"/>
  <c r="AY78" i="84"/>
  <c r="AY78" i="83"/>
  <c r="AY78" i="85"/>
  <c r="AY78" i="86"/>
  <c r="AY78" i="88"/>
  <c r="AY78" i="90"/>
  <c r="AY78" i="87"/>
  <c r="AY78" i="89"/>
  <c r="AZ63" i="82"/>
  <c r="AZ63" i="84"/>
  <c r="AZ63" i="83"/>
  <c r="AZ63" i="85"/>
  <c r="AZ63" i="86"/>
  <c r="AZ63" i="88"/>
  <c r="AZ63" i="90"/>
  <c r="AZ63" i="87"/>
  <c r="AZ63" i="89"/>
  <c r="AX105" i="82"/>
  <c r="AX105" i="84"/>
  <c r="AX105" i="83"/>
  <c r="AX105" i="85"/>
  <c r="AX105" i="86"/>
  <c r="AX105" i="88"/>
  <c r="AX105" i="90"/>
  <c r="AX105" i="87"/>
  <c r="AX105" i="89"/>
  <c r="AZ93" i="82"/>
  <c r="AZ93" i="84"/>
  <c r="AZ93" i="83"/>
  <c r="AZ93" i="85"/>
  <c r="AZ93" i="86"/>
  <c r="AZ93" i="88"/>
  <c r="AZ93" i="90"/>
  <c r="AZ93" i="87"/>
  <c r="AZ93" i="89"/>
  <c r="AX89" i="82"/>
  <c r="AX89" i="84"/>
  <c r="AX89" i="83"/>
  <c r="AX89" i="85"/>
  <c r="AX89" i="86"/>
  <c r="AX89" i="88"/>
  <c r="AX89" i="90"/>
  <c r="AX89" i="87"/>
  <c r="AX89" i="89"/>
  <c r="AZ125" i="82"/>
  <c r="AZ125" i="84"/>
  <c r="AZ125" i="83"/>
  <c r="AZ125" i="85"/>
  <c r="AZ125" i="86"/>
  <c r="AZ125" i="88"/>
  <c r="AZ125" i="90"/>
  <c r="AZ125" i="87"/>
  <c r="AZ125" i="89"/>
  <c r="BB122" i="82"/>
  <c r="BB122" i="83"/>
  <c r="BB122" i="84"/>
  <c r="BB122" i="86"/>
  <c r="BB122" i="85"/>
  <c r="BB122" i="87"/>
  <c r="BB122" i="89"/>
  <c r="BB122" i="88"/>
  <c r="BB122" i="90"/>
  <c r="AX79" i="82"/>
  <c r="AX79" i="84"/>
  <c r="AX79" i="83"/>
  <c r="AX79" i="85"/>
  <c r="AX79" i="86"/>
  <c r="AX79" i="88"/>
  <c r="AX79" i="90"/>
  <c r="AX79" i="87"/>
  <c r="AX79" i="89"/>
  <c r="AX78" i="82"/>
  <c r="AX78" i="83"/>
  <c r="AX78" i="84"/>
  <c r="AX78" i="86"/>
  <c r="AX78" i="85"/>
  <c r="AX78" i="87"/>
  <c r="AX78" i="89"/>
  <c r="AX78" i="88"/>
  <c r="AX78" i="90"/>
  <c r="AY55" i="82"/>
  <c r="AY55" i="83"/>
  <c r="AY55" i="84"/>
  <c r="AY55" i="86"/>
  <c r="AY55" i="85"/>
  <c r="AY55" i="87"/>
  <c r="AY55" i="89"/>
  <c r="AY55" i="88"/>
  <c r="AY55" i="90"/>
  <c r="AX55" i="82"/>
  <c r="AX55" i="84"/>
  <c r="AX55" i="83"/>
  <c r="AX55" i="85"/>
  <c r="AX55" i="86"/>
  <c r="AX55" i="88"/>
  <c r="AX55" i="90"/>
  <c r="AX55" i="87"/>
  <c r="AX55" i="89"/>
  <c r="BC98" i="82"/>
  <c r="AQ98" i="82"/>
  <c r="BC98" i="84"/>
  <c r="AQ98" i="84"/>
  <c r="BC98" i="83"/>
  <c r="AQ98" i="83"/>
  <c r="BC98" i="85"/>
  <c r="AQ98" i="85"/>
  <c r="BC98" i="86"/>
  <c r="AQ98" i="86"/>
  <c r="BC98" i="88"/>
  <c r="AQ98" i="88"/>
  <c r="BC98" i="90"/>
  <c r="AQ98" i="90"/>
  <c r="BC98" i="87"/>
  <c r="AQ98" i="87"/>
  <c r="BC98" i="89"/>
  <c r="AQ98" i="89"/>
  <c r="BC67" i="82"/>
  <c r="AQ67" i="82"/>
  <c r="BC67" i="83"/>
  <c r="AQ67" i="83"/>
  <c r="BC67" i="84"/>
  <c r="AQ67" i="84"/>
  <c r="BC67" i="86"/>
  <c r="AQ67" i="86"/>
  <c r="BC67" i="85"/>
  <c r="AQ67" i="85"/>
  <c r="BC67" i="87"/>
  <c r="AQ67" i="87"/>
  <c r="BC67" i="89"/>
  <c r="AQ67" i="89"/>
  <c r="BC67" i="88"/>
  <c r="AQ67" i="88"/>
  <c r="BC67" i="90"/>
  <c r="AQ67" i="90"/>
  <c r="AX91" i="82"/>
  <c r="AX91" i="84"/>
  <c r="AX91" i="83"/>
  <c r="AX91" i="85"/>
  <c r="AX91" i="86"/>
  <c r="AX91" i="88"/>
  <c r="AX91" i="90"/>
  <c r="AX91" i="87"/>
  <c r="AX91" i="89"/>
  <c r="BC101" i="82"/>
  <c r="AQ101" i="82"/>
  <c r="BC101" i="83"/>
  <c r="AQ101" i="83"/>
  <c r="BC101" i="84"/>
  <c r="AQ101" i="84"/>
  <c r="BC101" i="86"/>
  <c r="AQ101" i="86"/>
  <c r="BC101" i="85"/>
  <c r="AQ101" i="85"/>
  <c r="BC101" i="87"/>
  <c r="AQ101" i="87"/>
  <c r="BC101" i="89"/>
  <c r="AQ101" i="89"/>
  <c r="BC101" i="88"/>
  <c r="AQ101" i="88"/>
  <c r="BC101" i="90"/>
  <c r="AQ101" i="90"/>
  <c r="BC92" i="82"/>
  <c r="AQ92" i="82"/>
  <c r="BC92" i="84"/>
  <c r="AQ92" i="84"/>
  <c r="BC92" i="83"/>
  <c r="AQ92" i="83"/>
  <c r="BC92" i="85"/>
  <c r="AQ92" i="85"/>
  <c r="BC92" i="86"/>
  <c r="AQ92" i="86"/>
  <c r="BC92" i="88"/>
  <c r="AQ92" i="88"/>
  <c r="BC92" i="90"/>
  <c r="AQ92" i="90"/>
  <c r="BC92" i="87"/>
  <c r="AQ92" i="87"/>
  <c r="BC92" i="89"/>
  <c r="AQ92" i="89"/>
  <c r="BB61" i="82"/>
  <c r="BB61" i="84"/>
  <c r="BB61" i="83"/>
  <c r="BB61" i="85"/>
  <c r="BB61" i="86"/>
  <c r="BB61" i="88"/>
  <c r="BB61" i="90"/>
  <c r="BB61" i="87"/>
  <c r="BB61" i="89"/>
  <c r="AY121" i="82"/>
  <c r="AY121" i="83"/>
  <c r="AY121" i="84"/>
  <c r="AY121" i="86"/>
  <c r="AY121" i="85"/>
  <c r="AY121" i="87"/>
  <c r="AY121" i="89"/>
  <c r="AY121" i="88"/>
  <c r="AY121" i="90"/>
  <c r="BB105" i="82"/>
  <c r="BB105" i="84"/>
  <c r="BB105" i="83"/>
  <c r="BB105" i="85"/>
  <c r="BB105" i="86"/>
  <c r="BB105" i="88"/>
  <c r="BB105" i="90"/>
  <c r="BB105" i="87"/>
  <c r="BB105" i="89"/>
  <c r="BC96" i="82"/>
  <c r="AQ96" i="82"/>
  <c r="BC96" i="84"/>
  <c r="AQ96" i="84"/>
  <c r="BC96" i="83"/>
  <c r="AQ96" i="83"/>
  <c r="BC96" i="85"/>
  <c r="AQ96" i="85"/>
  <c r="BC96" i="86"/>
  <c r="AQ96" i="86"/>
  <c r="BC96" i="88"/>
  <c r="AQ96" i="88"/>
  <c r="BC96" i="90"/>
  <c r="AQ96" i="90"/>
  <c r="BC96" i="87"/>
  <c r="AQ96" i="87"/>
  <c r="BC96" i="89"/>
  <c r="AQ96" i="89"/>
  <c r="BB68" i="82"/>
  <c r="BB68" i="83"/>
  <c r="BB68" i="84"/>
  <c r="BB68" i="86"/>
  <c r="BB68" i="85"/>
  <c r="BB68" i="87"/>
  <c r="BB68" i="89"/>
  <c r="BB68" i="88"/>
  <c r="BB68" i="90"/>
  <c r="AZ121" i="82"/>
  <c r="AZ121" i="84"/>
  <c r="AZ121" i="83"/>
  <c r="AZ121" i="85"/>
  <c r="AZ121" i="86"/>
  <c r="AZ121" i="88"/>
  <c r="AZ121" i="90"/>
  <c r="AZ121" i="87"/>
  <c r="AZ121" i="89"/>
  <c r="AX107" i="82"/>
  <c r="AX107" i="84"/>
  <c r="AX107" i="83"/>
  <c r="AX107" i="85"/>
  <c r="AX107" i="86"/>
  <c r="AX107" i="88"/>
  <c r="AX107" i="90"/>
  <c r="AX107" i="87"/>
  <c r="AX107" i="89"/>
  <c r="BB123" i="82"/>
  <c r="BB123" i="84"/>
  <c r="BB123" i="83"/>
  <c r="BB123" i="85"/>
  <c r="BB123" i="86"/>
  <c r="BB123" i="88"/>
  <c r="BB123" i="90"/>
  <c r="BB123" i="87"/>
  <c r="BB123" i="89"/>
  <c r="BC95" i="82"/>
  <c r="AQ95" i="82"/>
  <c r="BC95" i="83"/>
  <c r="AQ95" i="83"/>
  <c r="BC95" i="84"/>
  <c r="AQ95" i="84"/>
  <c r="BC95" i="86"/>
  <c r="AQ95" i="86"/>
  <c r="BC95" i="85"/>
  <c r="AQ95" i="85"/>
  <c r="BC95" i="87"/>
  <c r="AQ95" i="87"/>
  <c r="BC95" i="89"/>
  <c r="AQ95" i="89"/>
  <c r="BC95" i="88"/>
  <c r="AQ95" i="88"/>
  <c r="BC95" i="90"/>
  <c r="AQ95" i="90"/>
  <c r="BC63" i="82"/>
  <c r="AQ63" i="82"/>
  <c r="BC63" i="83"/>
  <c r="AQ63" i="83"/>
  <c r="BC63" i="84"/>
  <c r="AQ63" i="84"/>
  <c r="BC63" i="86"/>
  <c r="AQ63" i="86"/>
  <c r="BC63" i="85"/>
  <c r="AQ63" i="85"/>
  <c r="BC63" i="87"/>
  <c r="AQ63" i="87"/>
  <c r="BC63" i="89"/>
  <c r="AQ63" i="89"/>
  <c r="BC63" i="88"/>
  <c r="AQ63" i="88"/>
  <c r="BC63" i="90"/>
  <c r="AQ63" i="90"/>
  <c r="BC116" i="82"/>
  <c r="AQ116" i="82"/>
  <c r="BC116" i="84"/>
  <c r="AQ116" i="84"/>
  <c r="BC116" i="83"/>
  <c r="AQ116" i="83"/>
  <c r="BC116" i="85"/>
  <c r="AQ116" i="85"/>
  <c r="BC116" i="86"/>
  <c r="AQ116" i="86"/>
  <c r="BC116" i="88"/>
  <c r="AQ116" i="88"/>
  <c r="BC116" i="90"/>
  <c r="AQ116" i="90"/>
  <c r="BC116" i="87"/>
  <c r="AQ116" i="87"/>
  <c r="BC116" i="89"/>
  <c r="AQ116" i="89"/>
  <c r="BC100" i="82"/>
  <c r="AQ100" i="82"/>
  <c r="BC100" i="84"/>
  <c r="AQ100" i="84"/>
  <c r="BC100" i="83"/>
  <c r="AQ100" i="83"/>
  <c r="BC100" i="85"/>
  <c r="AQ100" i="85"/>
  <c r="BC100" i="86"/>
  <c r="AQ100" i="86"/>
  <c r="BC100" i="88"/>
  <c r="AQ100" i="88"/>
  <c r="BC100" i="90"/>
  <c r="AQ100" i="90"/>
  <c r="BC100" i="87"/>
  <c r="AQ100" i="87"/>
  <c r="BC100" i="89"/>
  <c r="AQ100" i="89"/>
  <c r="BC120" i="82"/>
  <c r="AQ120" i="82"/>
  <c r="BC120" i="84"/>
  <c r="AQ120" i="84"/>
  <c r="BC120" i="83"/>
  <c r="AQ120" i="83"/>
  <c r="BC120" i="85"/>
  <c r="AQ120" i="85"/>
  <c r="BC120" i="86"/>
  <c r="AQ120" i="86"/>
  <c r="BC120" i="88"/>
  <c r="AQ120" i="88"/>
  <c r="BC120" i="90"/>
  <c r="AQ120" i="90"/>
  <c r="BC120" i="87"/>
  <c r="AQ120" i="87"/>
  <c r="BC120" i="89"/>
  <c r="AQ120" i="89"/>
  <c r="BB78" i="82"/>
  <c r="BB78" i="83"/>
  <c r="BB78" i="84"/>
  <c r="BB78" i="86"/>
  <c r="BB78" i="85"/>
  <c r="BB78" i="87"/>
  <c r="BB78" i="89"/>
  <c r="BB78" i="88"/>
  <c r="BB78" i="90"/>
  <c r="AY66" i="82"/>
  <c r="AY66" i="84"/>
  <c r="AY66" i="83"/>
  <c r="AY66" i="85"/>
  <c r="AY66" i="86"/>
  <c r="AY66" i="88"/>
  <c r="AY66" i="90"/>
  <c r="AY66" i="87"/>
  <c r="AY66" i="89"/>
  <c r="AX48" i="82"/>
  <c r="AX48" i="83"/>
  <c r="AX48" i="84"/>
  <c r="AX48" i="86"/>
  <c r="AX48" i="85"/>
  <c r="AX48" i="87"/>
  <c r="AX48" i="89"/>
  <c r="AX48" i="88"/>
  <c r="AX48" i="90"/>
  <c r="AX66" i="82"/>
  <c r="AX66" i="83"/>
  <c r="AX66" i="84"/>
  <c r="AX66" i="86"/>
  <c r="AX66" i="85"/>
  <c r="AX66" i="87"/>
  <c r="AX66" i="89"/>
  <c r="AX66" i="88"/>
  <c r="AX66" i="90"/>
  <c r="BC107" i="82"/>
  <c r="AQ107" i="82"/>
  <c r="BC107" i="83"/>
  <c r="AQ107" i="83"/>
  <c r="BC107" i="84"/>
  <c r="AQ107" i="84"/>
  <c r="BC107" i="86"/>
  <c r="AQ107" i="86"/>
  <c r="BC107" i="85"/>
  <c r="AQ107" i="85"/>
  <c r="BC107" i="87"/>
  <c r="AQ107" i="87"/>
  <c r="BC107" i="89"/>
  <c r="AQ107" i="89"/>
  <c r="BC107" i="88"/>
  <c r="AQ107" i="88"/>
  <c r="BC107" i="90"/>
  <c r="AQ107" i="90"/>
  <c r="BC115" i="82"/>
  <c r="AQ115" i="82"/>
  <c r="BC115" i="83"/>
  <c r="AQ115" i="83"/>
  <c r="BC115" i="84"/>
  <c r="AQ115" i="84"/>
  <c r="BC115" i="86"/>
  <c r="AQ115" i="86"/>
  <c r="BC115" i="85"/>
  <c r="AQ115" i="85"/>
  <c r="BC115" i="87"/>
  <c r="AQ115" i="87"/>
  <c r="BC115" i="89"/>
  <c r="AQ115" i="89"/>
  <c r="BC115" i="88"/>
  <c r="AQ115" i="88"/>
  <c r="BC115" i="90"/>
  <c r="AQ115" i="90"/>
  <c r="BC117" i="82"/>
  <c r="AQ117" i="82"/>
  <c r="BC117" i="83"/>
  <c r="AQ117" i="83"/>
  <c r="BC117" i="84"/>
  <c r="AQ117" i="84"/>
  <c r="BC117" i="86"/>
  <c r="AQ117" i="86"/>
  <c r="BC117" i="85"/>
  <c r="AQ117" i="85"/>
  <c r="BC117" i="87"/>
  <c r="AQ117" i="87"/>
  <c r="BC117" i="89"/>
  <c r="AQ117" i="89"/>
  <c r="BC117" i="88"/>
  <c r="AQ117" i="88"/>
  <c r="BC117" i="90"/>
  <c r="AQ117" i="90"/>
  <c r="BC126" i="82"/>
  <c r="AQ126" i="82"/>
  <c r="BC126" i="84"/>
  <c r="AQ126" i="84"/>
  <c r="BC126" i="83"/>
  <c r="AQ126" i="83"/>
  <c r="BC126" i="85"/>
  <c r="AQ126" i="85"/>
  <c r="BC126" i="86"/>
  <c r="AQ126" i="86"/>
  <c r="BC126" i="88"/>
  <c r="AQ126" i="88"/>
  <c r="BC126" i="90"/>
  <c r="AQ126" i="90"/>
  <c r="BC126" i="87"/>
  <c r="AQ126" i="87"/>
  <c r="BC126" i="89"/>
  <c r="AQ126" i="89"/>
  <c r="BC106" i="82"/>
  <c r="AQ106" i="82"/>
  <c r="BC106" i="84"/>
  <c r="AQ106" i="84"/>
  <c r="BC106" i="83"/>
  <c r="AQ106" i="83"/>
  <c r="BC106" i="85"/>
  <c r="AQ106" i="85"/>
  <c r="BC106" i="86"/>
  <c r="AQ106" i="86"/>
  <c r="BC106" i="88"/>
  <c r="AQ106" i="88"/>
  <c r="BC106" i="90"/>
  <c r="AQ106" i="90"/>
  <c r="BC106" i="87"/>
  <c r="AQ106" i="87"/>
  <c r="BC106" i="89"/>
  <c r="AQ106" i="89"/>
  <c r="BC94" i="82"/>
  <c r="AQ94" i="82"/>
  <c r="BC94" i="84"/>
  <c r="AQ94" i="84"/>
  <c r="BC94" i="83"/>
  <c r="AQ94" i="83"/>
  <c r="BC94" i="85"/>
  <c r="AQ94" i="85"/>
  <c r="BC94" i="86"/>
  <c r="AQ94" i="86"/>
  <c r="BC94" i="88"/>
  <c r="AQ94" i="88"/>
  <c r="BC94" i="90"/>
  <c r="AQ94" i="90"/>
  <c r="BC94" i="87"/>
  <c r="AQ94" i="87"/>
  <c r="BC94" i="89"/>
  <c r="AQ94" i="89"/>
  <c r="AX62" i="82"/>
  <c r="AX62" i="83"/>
  <c r="AX62" i="84"/>
  <c r="AX62" i="86"/>
  <c r="AX62" i="85"/>
  <c r="AX62" i="87"/>
  <c r="AX62" i="89"/>
  <c r="AX62" i="88"/>
  <c r="AX62" i="90"/>
  <c r="AX53" i="82"/>
  <c r="AX53" i="84"/>
  <c r="AX53" i="83"/>
  <c r="AX53" i="85"/>
  <c r="AX53" i="86"/>
  <c r="AX53" i="88"/>
  <c r="AX53" i="90"/>
  <c r="AX53" i="87"/>
  <c r="AX53" i="89"/>
  <c r="AZ68" i="82"/>
  <c r="AZ68" i="83"/>
  <c r="AZ68" i="84"/>
  <c r="AZ68" i="86"/>
  <c r="AZ68" i="85"/>
  <c r="AZ68" i="87"/>
  <c r="AZ68" i="89"/>
  <c r="AZ68" i="88"/>
  <c r="AZ68" i="90"/>
  <c r="BB54" i="82"/>
  <c r="BB54" i="83"/>
  <c r="BB54" i="84"/>
  <c r="BB54" i="86"/>
  <c r="BB54" i="85"/>
  <c r="BB54" i="87"/>
  <c r="BB54" i="89"/>
  <c r="BB54" i="88"/>
  <c r="BB54" i="90"/>
  <c r="BC89" i="82"/>
  <c r="AQ89" i="82"/>
  <c r="BC89" i="83"/>
  <c r="AQ89" i="83"/>
  <c r="BC89" i="84"/>
  <c r="AQ89" i="84"/>
  <c r="BC89" i="86"/>
  <c r="AQ89" i="86"/>
  <c r="BC89" i="85"/>
  <c r="AQ89" i="85"/>
  <c r="BC89" i="87"/>
  <c r="AQ89" i="87"/>
  <c r="BC89" i="89"/>
  <c r="AQ89" i="89"/>
  <c r="BC89" i="88"/>
  <c r="AQ89" i="88"/>
  <c r="BC89" i="90"/>
  <c r="AQ89" i="90"/>
  <c r="BC125" i="82"/>
  <c r="AQ125" i="82"/>
  <c r="BC125" i="83"/>
  <c r="AQ125" i="83"/>
  <c r="BC125" i="84"/>
  <c r="AQ125" i="84"/>
  <c r="BC125" i="86"/>
  <c r="AQ125" i="86"/>
  <c r="BC125" i="85"/>
  <c r="AQ125" i="85"/>
  <c r="BC125" i="87"/>
  <c r="AQ125" i="87"/>
  <c r="BC125" i="89"/>
  <c r="AQ125" i="89"/>
  <c r="BC125" i="88"/>
  <c r="AQ125" i="88"/>
  <c r="BC125" i="90"/>
  <c r="AQ125" i="90"/>
  <c r="BC105" i="82"/>
  <c r="AQ105" i="82"/>
  <c r="BC105" i="83"/>
  <c r="AQ105" i="83"/>
  <c r="BC105" i="84"/>
  <c r="AQ105" i="84"/>
  <c r="BC105" i="86"/>
  <c r="AQ105" i="86"/>
  <c r="BC105" i="85"/>
  <c r="AQ105" i="85"/>
  <c r="BC105" i="87"/>
  <c r="AQ105" i="87"/>
  <c r="BC105" i="89"/>
  <c r="AQ105" i="89"/>
  <c r="BC105" i="88"/>
  <c r="AQ105" i="88"/>
  <c r="BC105" i="90"/>
  <c r="AQ105" i="90"/>
  <c r="BC68" i="82"/>
  <c r="AQ68" i="82"/>
  <c r="BC68" i="84"/>
  <c r="AQ68" i="84"/>
  <c r="BC68" i="83"/>
  <c r="AQ68" i="83"/>
  <c r="BC68" i="85"/>
  <c r="AQ68" i="85"/>
  <c r="BC68" i="86"/>
  <c r="AQ68" i="86"/>
  <c r="BC68" i="88"/>
  <c r="AQ68" i="88"/>
  <c r="BC68" i="90"/>
  <c r="AQ68" i="90"/>
  <c r="BC68" i="87"/>
  <c r="AQ68" i="87"/>
  <c r="BC68" i="89"/>
  <c r="AQ68" i="89"/>
  <c r="BC79" i="82"/>
  <c r="AQ79" i="82"/>
  <c r="BC79" i="83"/>
  <c r="AQ79" i="83"/>
  <c r="BC79" i="84"/>
  <c r="AQ79" i="84"/>
  <c r="BC79" i="86"/>
  <c r="AQ79" i="86"/>
  <c r="BC79" i="85"/>
  <c r="AQ79" i="85"/>
  <c r="BC79" i="87"/>
  <c r="AQ79" i="87"/>
  <c r="BC79" i="89"/>
  <c r="AQ79" i="89"/>
  <c r="BC79" i="88"/>
  <c r="AQ79" i="88"/>
  <c r="BC79" i="90"/>
  <c r="AQ79" i="90"/>
  <c r="AY71" i="82"/>
  <c r="AY71" i="83"/>
  <c r="AY71" i="84"/>
  <c r="AY71" i="86"/>
  <c r="AY71" i="85"/>
  <c r="AY71" i="87"/>
  <c r="AY71" i="89"/>
  <c r="AY71" i="88"/>
  <c r="AY71" i="90"/>
  <c r="AZ71" i="82"/>
  <c r="AZ71" i="84"/>
  <c r="AZ71" i="83"/>
  <c r="AZ71" i="85"/>
  <c r="AZ71" i="86"/>
  <c r="AZ71" i="88"/>
  <c r="AZ71" i="90"/>
  <c r="AZ71" i="87"/>
  <c r="AZ71" i="89"/>
  <c r="AZ109" i="82"/>
  <c r="AZ109" i="84"/>
  <c r="AZ109" i="83"/>
  <c r="AZ109" i="85"/>
  <c r="AZ109" i="86"/>
  <c r="AZ109" i="88"/>
  <c r="AZ109" i="90"/>
  <c r="AZ109" i="87"/>
  <c r="AZ109" i="89"/>
  <c r="AZ54" i="82"/>
  <c r="AZ54" i="83"/>
  <c r="AZ54" i="84"/>
  <c r="AZ54" i="86"/>
  <c r="AZ54" i="85"/>
  <c r="AZ54" i="87"/>
  <c r="AZ54" i="89"/>
  <c r="AZ54" i="88"/>
  <c r="AZ54" i="90"/>
  <c r="AZ74" i="82"/>
  <c r="AZ74" i="83"/>
  <c r="AZ74" i="84"/>
  <c r="AZ74" i="86"/>
  <c r="AZ74" i="85"/>
  <c r="AZ74" i="87"/>
  <c r="AZ74" i="89"/>
  <c r="AZ74" i="88"/>
  <c r="AZ74" i="90"/>
  <c r="AZ45" i="82"/>
  <c r="AZ45" i="84"/>
  <c r="AZ45" i="83"/>
  <c r="AZ45" i="85"/>
  <c r="AZ45" i="86"/>
  <c r="AZ45" i="88"/>
  <c r="AZ45" i="90"/>
  <c r="AZ45" i="87"/>
  <c r="AZ45" i="89"/>
  <c r="AY54" i="82"/>
  <c r="AY54" i="84"/>
  <c r="AY54" i="83"/>
  <c r="AY54" i="85"/>
  <c r="AY54" i="86"/>
  <c r="AY54" i="88"/>
  <c r="AY54" i="90"/>
  <c r="AY54" i="87"/>
  <c r="AY54" i="89"/>
  <c r="AZ41" i="82"/>
  <c r="AZ41" i="84"/>
  <c r="AZ41" i="83"/>
  <c r="AZ41" i="85"/>
  <c r="AZ41" i="86"/>
  <c r="AZ41" i="88"/>
  <c r="AZ41" i="90"/>
  <c r="AZ41" i="87"/>
  <c r="AZ41" i="89"/>
  <c r="AY57" i="82"/>
  <c r="AY57" i="83"/>
  <c r="AY57" i="84"/>
  <c r="AY57" i="86"/>
  <c r="AY57" i="85"/>
  <c r="AY57" i="87"/>
  <c r="AY57" i="89"/>
  <c r="AY57" i="88"/>
  <c r="AY57" i="90"/>
  <c r="AX28" i="82"/>
  <c r="AX28" i="83"/>
  <c r="AX28" i="84"/>
  <c r="AX28" i="86"/>
  <c r="AX28" i="85"/>
  <c r="AX28" i="87"/>
  <c r="AX28" i="89"/>
  <c r="AX28" i="88"/>
  <c r="AX28" i="90"/>
  <c r="AZ32" i="82"/>
  <c r="AZ32" i="83"/>
  <c r="AZ32" i="84"/>
  <c r="AZ32" i="86"/>
  <c r="AZ32" i="85"/>
  <c r="AZ32" i="87"/>
  <c r="AZ32" i="89"/>
  <c r="AZ32" i="88"/>
  <c r="AZ32" i="90"/>
  <c r="BB32" i="82"/>
  <c r="BB32" i="83"/>
  <c r="BB32" i="84"/>
  <c r="BB32" i="86"/>
  <c r="BB32" i="85"/>
  <c r="BB32" i="87"/>
  <c r="BB32" i="89"/>
  <c r="BB32" i="88"/>
  <c r="BB32" i="90"/>
  <c r="AZ28" i="82"/>
  <c r="AZ28" i="83"/>
  <c r="AZ28" i="84"/>
  <c r="AZ28" i="86"/>
  <c r="AZ28" i="85"/>
  <c r="AZ28" i="87"/>
  <c r="AZ28" i="89"/>
  <c r="AZ28" i="88"/>
  <c r="AZ28" i="90"/>
  <c r="BC78" i="82"/>
  <c r="AQ78" i="82"/>
  <c r="BC78" i="84"/>
  <c r="AQ78" i="84"/>
  <c r="BC78" i="83"/>
  <c r="AQ78" i="83"/>
  <c r="BC78" i="85"/>
  <c r="AQ78" i="85"/>
  <c r="BC78" i="86"/>
  <c r="AQ78" i="86"/>
  <c r="BC78" i="88"/>
  <c r="AQ78" i="88"/>
  <c r="BC78" i="90"/>
  <c r="AQ78" i="90"/>
  <c r="BC78" i="87"/>
  <c r="AQ78" i="87"/>
  <c r="BC78" i="89"/>
  <c r="AQ78" i="89"/>
  <c r="AZ72" i="82"/>
  <c r="AZ72" i="83"/>
  <c r="AZ72" i="84"/>
  <c r="AZ72" i="86"/>
  <c r="AZ72" i="85"/>
  <c r="AZ72" i="87"/>
  <c r="AZ72" i="89"/>
  <c r="AZ72" i="88"/>
  <c r="AZ72" i="90"/>
  <c r="AZ70" i="82"/>
  <c r="AZ70" i="83"/>
  <c r="AZ70" i="84"/>
  <c r="AZ70" i="86"/>
  <c r="AZ70" i="85"/>
  <c r="AZ70" i="87"/>
  <c r="AZ70" i="89"/>
  <c r="AZ70" i="88"/>
  <c r="AZ70" i="90"/>
  <c r="AX70" i="82"/>
  <c r="AX70" i="83"/>
  <c r="AX70" i="84"/>
  <c r="AX70" i="86"/>
  <c r="AX70" i="85"/>
  <c r="AX70" i="87"/>
  <c r="AX70" i="89"/>
  <c r="AX70" i="88"/>
  <c r="AX70" i="90"/>
  <c r="AY41" i="83"/>
  <c r="BB49" i="89"/>
  <c r="BC121" i="82"/>
  <c r="AQ121" i="82"/>
  <c r="BC121" i="83"/>
  <c r="AQ121" i="83"/>
  <c r="BC121" i="84"/>
  <c r="AQ121" i="84"/>
  <c r="BC121" i="86"/>
  <c r="AQ121" i="86"/>
  <c r="BC121" i="85"/>
  <c r="AQ121" i="85"/>
  <c r="BC121" i="87"/>
  <c r="AQ121" i="87"/>
  <c r="BC121" i="89"/>
  <c r="AQ121" i="89"/>
  <c r="BC121" i="88"/>
  <c r="AQ121" i="88"/>
  <c r="BC121" i="90"/>
  <c r="AQ121" i="90"/>
  <c r="AX51" i="82"/>
  <c r="AX51" i="84"/>
  <c r="AX51" i="83"/>
  <c r="AX51" i="85"/>
  <c r="AX51" i="86"/>
  <c r="AX51" i="88"/>
  <c r="AX51" i="90"/>
  <c r="AX51" i="87"/>
  <c r="AX51" i="89"/>
  <c r="AX72" i="82"/>
  <c r="AX72" i="83"/>
  <c r="AX72" i="84"/>
  <c r="AX72" i="86"/>
  <c r="AX72" i="85"/>
  <c r="AX72" i="87"/>
  <c r="AX72" i="89"/>
  <c r="AX72" i="88"/>
  <c r="AX72" i="90"/>
  <c r="BB71" i="82"/>
  <c r="BB71" i="84"/>
  <c r="BB71" i="83"/>
  <c r="BB71" i="85"/>
  <c r="BB71" i="86"/>
  <c r="BB71" i="88"/>
  <c r="BB71" i="90"/>
  <c r="BB71" i="87"/>
  <c r="BB71" i="89"/>
  <c r="AX49" i="82"/>
  <c r="AX49" i="89"/>
  <c r="AX46" i="82"/>
  <c r="AX46" i="83"/>
  <c r="AX46" i="84"/>
  <c r="AX46" i="86"/>
  <c r="AX46" i="85"/>
  <c r="AX46" i="87"/>
  <c r="AX46" i="89"/>
  <c r="AX46" i="88"/>
  <c r="AX46" i="90"/>
  <c r="AX43" i="82"/>
  <c r="AX43" i="84"/>
  <c r="AX43" i="83"/>
  <c r="AX43" i="85"/>
  <c r="AX43" i="86"/>
  <c r="AX43" i="88"/>
  <c r="AX43" i="90"/>
  <c r="AX43" i="87"/>
  <c r="AX43" i="89"/>
  <c r="BB57" i="82"/>
  <c r="BB57" i="84"/>
  <c r="BB57" i="83"/>
  <c r="BB57" i="85"/>
  <c r="BB57" i="86"/>
  <c r="BB57" i="88"/>
  <c r="BB57" i="90"/>
  <c r="BB57" i="87"/>
  <c r="BB57" i="89"/>
  <c r="BB51" i="82"/>
  <c r="BB51" i="84"/>
  <c r="BB51" i="83"/>
  <c r="BB51" i="85"/>
  <c r="BB51" i="86"/>
  <c r="BB51" i="88"/>
  <c r="BB51" i="90"/>
  <c r="BB51" i="87"/>
  <c r="BB51" i="89"/>
  <c r="BB43" i="82"/>
  <c r="BB43" i="84"/>
  <c r="BB43" i="83"/>
  <c r="BB43" i="85"/>
  <c r="BB43" i="86"/>
  <c r="BB43" i="88"/>
  <c r="BB43" i="90"/>
  <c r="BB43" i="87"/>
  <c r="BB43" i="89"/>
  <c r="BB41" i="82"/>
  <c r="BB41" i="84"/>
  <c r="BB41" i="83"/>
  <c r="BB41" i="85"/>
  <c r="BB41" i="86"/>
  <c r="BB41" i="88"/>
  <c r="BB41" i="90"/>
  <c r="BB41" i="87"/>
  <c r="BB41" i="89"/>
  <c r="AY59" i="82"/>
  <c r="AY59" i="83"/>
  <c r="AY59" i="84"/>
  <c r="AY59" i="86"/>
  <c r="AY59" i="85"/>
  <c r="AY59" i="87"/>
  <c r="AY59" i="89"/>
  <c r="AY59" i="88"/>
  <c r="AY59" i="90"/>
  <c r="AZ52" i="82"/>
  <c r="AZ52" i="83"/>
  <c r="AZ52" i="84"/>
  <c r="AZ52" i="86"/>
  <c r="AZ52" i="85"/>
  <c r="AZ52" i="87"/>
  <c r="AZ52" i="89"/>
  <c r="AZ52" i="88"/>
  <c r="AZ52" i="90"/>
  <c r="AZ50" i="82"/>
  <c r="AZ50" i="83"/>
  <c r="AZ50" i="84"/>
  <c r="AZ50" i="86"/>
  <c r="AZ50" i="85"/>
  <c r="AZ50" i="87"/>
  <c r="AZ50" i="89"/>
  <c r="AZ50" i="88"/>
  <c r="AZ50" i="90"/>
  <c r="BB69" i="82"/>
  <c r="BB69" i="84"/>
  <c r="BB69" i="83"/>
  <c r="BB69" i="85"/>
  <c r="BB69" i="86"/>
  <c r="BB69" i="88"/>
  <c r="BB69" i="90"/>
  <c r="BB69" i="87"/>
  <c r="BB69" i="89"/>
  <c r="BB75" i="82"/>
  <c r="BB75" i="84"/>
  <c r="BB75" i="83"/>
  <c r="BB75" i="85"/>
  <c r="BB75" i="86"/>
  <c r="BB75" i="88"/>
  <c r="BB75" i="90"/>
  <c r="BB75" i="87"/>
  <c r="BB75" i="89"/>
  <c r="BC43" i="82"/>
  <c r="AQ43" i="82"/>
  <c r="BC43" i="83"/>
  <c r="AQ43" i="83"/>
  <c r="BC43" i="84"/>
  <c r="AQ43" i="84"/>
  <c r="BC43" i="86"/>
  <c r="AQ43" i="86"/>
  <c r="BC43" i="85"/>
  <c r="AQ43" i="85"/>
  <c r="BC43" i="87"/>
  <c r="AQ43" i="87"/>
  <c r="BC43" i="89"/>
  <c r="AQ43" i="89"/>
  <c r="BC43" i="88"/>
  <c r="AQ43" i="88"/>
  <c r="BC43" i="90"/>
  <c r="AQ43" i="90"/>
  <c r="AY75" i="82"/>
  <c r="AY75" i="83"/>
  <c r="AY75" i="84"/>
  <c r="AY75" i="86"/>
  <c r="AY75" i="85"/>
  <c r="AY75" i="87"/>
  <c r="AY75" i="89"/>
  <c r="AY75" i="88"/>
  <c r="AY75" i="90"/>
  <c r="AY77" i="82"/>
  <c r="AY77" i="83"/>
  <c r="AY77" i="84"/>
  <c r="AY77" i="86"/>
  <c r="AY77" i="85"/>
  <c r="AY77" i="87"/>
  <c r="AY77" i="89"/>
  <c r="AY77" i="88"/>
  <c r="AY77" i="90"/>
  <c r="AZ77" i="82"/>
  <c r="AZ77" i="84"/>
  <c r="AZ77" i="83"/>
  <c r="AZ77" i="85"/>
  <c r="AZ77" i="86"/>
  <c r="AZ77" i="88"/>
  <c r="AZ77" i="90"/>
  <c r="AZ77" i="87"/>
  <c r="AZ77" i="89"/>
  <c r="AY50" i="82"/>
  <c r="AY50" i="84"/>
  <c r="AY50" i="83"/>
  <c r="AY50" i="85"/>
  <c r="AY50" i="86"/>
  <c r="AY50" i="88"/>
  <c r="AY50" i="90"/>
  <c r="AY50" i="87"/>
  <c r="AY50" i="89"/>
  <c r="AZ59" i="82"/>
  <c r="AZ59" i="84"/>
  <c r="AZ59" i="83"/>
  <c r="AZ59" i="85"/>
  <c r="AZ59" i="86"/>
  <c r="AZ59" i="88"/>
  <c r="AZ59" i="90"/>
  <c r="AZ59" i="87"/>
  <c r="AZ59" i="89"/>
  <c r="AY69" i="82"/>
  <c r="AY69" i="83"/>
  <c r="AY69" i="84"/>
  <c r="AY69" i="86"/>
  <c r="AY69" i="85"/>
  <c r="AY69" i="87"/>
  <c r="AY69" i="89"/>
  <c r="AY69" i="88"/>
  <c r="AY69" i="90"/>
  <c r="AZ64" i="82"/>
  <c r="AZ64" i="83"/>
  <c r="AZ64" i="84"/>
  <c r="AZ64" i="86"/>
  <c r="AZ64" i="85"/>
  <c r="AZ64" i="87"/>
  <c r="AZ64" i="89"/>
  <c r="AZ64" i="88"/>
  <c r="AZ64" i="90"/>
  <c r="AY64" i="82"/>
  <c r="AY64" i="84"/>
  <c r="AY64" i="83"/>
  <c r="AY64" i="85"/>
  <c r="AY64" i="86"/>
  <c r="AY64" i="88"/>
  <c r="AY64" i="90"/>
  <c r="AY64" i="87"/>
  <c r="AY64" i="89"/>
  <c r="AZ65" i="82"/>
  <c r="AZ65" i="84"/>
  <c r="AZ65" i="83"/>
  <c r="AZ65" i="85"/>
  <c r="AZ65" i="86"/>
  <c r="AZ65" i="88"/>
  <c r="AZ65" i="90"/>
  <c r="AZ65" i="87"/>
  <c r="AZ65" i="89"/>
  <c r="BB74" i="82"/>
  <c r="BB74" i="83"/>
  <c r="BB74" i="84"/>
  <c r="BB74" i="86"/>
  <c r="BB74" i="85"/>
  <c r="BB74" i="87"/>
  <c r="BB74" i="89"/>
  <c r="BB74" i="88"/>
  <c r="BB74" i="90"/>
  <c r="BB50" i="82"/>
  <c r="BB50" i="83"/>
  <c r="BB50" i="84"/>
  <c r="BB50" i="86"/>
  <c r="BB50" i="85"/>
  <c r="BB50" i="87"/>
  <c r="BB50" i="89"/>
  <c r="BB50" i="88"/>
  <c r="BB50" i="90"/>
  <c r="BB52" i="82"/>
  <c r="BB52" i="83"/>
  <c r="BB52" i="84"/>
  <c r="BB52" i="86"/>
  <c r="BB52" i="85"/>
  <c r="BB52" i="87"/>
  <c r="BB52" i="89"/>
  <c r="BB52" i="88"/>
  <c r="BB52" i="90"/>
  <c r="AX75" i="82"/>
  <c r="AX75" i="84"/>
  <c r="AX75" i="83"/>
  <c r="AX75" i="85"/>
  <c r="AX75" i="86"/>
  <c r="AX75" i="88"/>
  <c r="AX75" i="90"/>
  <c r="AX75" i="87"/>
  <c r="AX75" i="89"/>
  <c r="BC53" i="82"/>
  <c r="AQ53" i="82"/>
  <c r="BC53" i="83"/>
  <c r="AQ53" i="83"/>
  <c r="BC53" i="84"/>
  <c r="AQ53" i="84"/>
  <c r="BC53" i="86"/>
  <c r="AQ53" i="86"/>
  <c r="BC53" i="85"/>
  <c r="AQ53" i="85"/>
  <c r="BC53" i="87"/>
  <c r="AQ53" i="87"/>
  <c r="BC53" i="89"/>
  <c r="AQ53" i="89"/>
  <c r="BC53" i="88"/>
  <c r="AQ53" i="88"/>
  <c r="BC53" i="90"/>
  <c r="AQ53" i="90"/>
  <c r="BC77" i="82"/>
  <c r="AQ77" i="82"/>
  <c r="BC77" i="83"/>
  <c r="AQ77" i="83"/>
  <c r="BC77" i="84"/>
  <c r="AQ77" i="84"/>
  <c r="BC77" i="86"/>
  <c r="AQ77" i="86"/>
  <c r="BC77" i="85"/>
  <c r="AQ77" i="85"/>
  <c r="BC77" i="87"/>
  <c r="AQ77" i="87"/>
  <c r="BC77" i="89"/>
  <c r="AQ77" i="89"/>
  <c r="BC77" i="88"/>
  <c r="AQ77" i="88"/>
  <c r="BC77" i="90"/>
  <c r="AQ77" i="90"/>
  <c r="BC71" i="82"/>
  <c r="AQ71" i="82"/>
  <c r="BC71" i="83"/>
  <c r="AQ71" i="83"/>
  <c r="BC71" i="84"/>
  <c r="AQ71" i="84"/>
  <c r="BC71" i="86"/>
  <c r="AQ71" i="86"/>
  <c r="BC71" i="85"/>
  <c r="AQ71" i="85"/>
  <c r="BC71" i="87"/>
  <c r="AQ71" i="87"/>
  <c r="BC71" i="89"/>
  <c r="AQ71" i="89"/>
  <c r="BC71" i="88"/>
  <c r="AQ71" i="88"/>
  <c r="BC71" i="90"/>
  <c r="AQ71" i="90"/>
  <c r="BB60" i="82"/>
  <c r="BB60" i="83"/>
  <c r="BB60" i="84"/>
  <c r="BB60" i="86"/>
  <c r="BB60" i="85"/>
  <c r="BB60" i="87"/>
  <c r="BB60" i="89"/>
  <c r="BB60" i="88"/>
  <c r="BB60" i="90"/>
  <c r="BC109" i="82"/>
  <c r="AQ109" i="82"/>
  <c r="BC109" i="83"/>
  <c r="AQ109" i="83"/>
  <c r="BC109" i="84"/>
  <c r="AQ109" i="84"/>
  <c r="BC109" i="86"/>
  <c r="AQ109" i="86"/>
  <c r="BC109" i="85"/>
  <c r="AQ109" i="85"/>
  <c r="BC109" i="87"/>
  <c r="AQ109" i="87"/>
  <c r="BC109" i="89"/>
  <c r="AQ109" i="89"/>
  <c r="BC109" i="88"/>
  <c r="AQ109" i="88"/>
  <c r="BC109" i="90"/>
  <c r="AQ109" i="90"/>
  <c r="AY73" i="82"/>
  <c r="AY73" i="83"/>
  <c r="AY73" i="84"/>
  <c r="AY73" i="86"/>
  <c r="AY73" i="85"/>
  <c r="AY73" i="87"/>
  <c r="AY73" i="89"/>
  <c r="AY73" i="88"/>
  <c r="AY73" i="90"/>
  <c r="AZ73" i="82"/>
  <c r="AZ73" i="84"/>
  <c r="AZ73" i="83"/>
  <c r="AZ73" i="85"/>
  <c r="AZ73" i="86"/>
  <c r="AZ73" i="88"/>
  <c r="AZ73" i="90"/>
  <c r="AZ73" i="87"/>
  <c r="AZ73" i="89"/>
  <c r="AX76" i="82"/>
  <c r="AX76" i="83"/>
  <c r="AX76" i="84"/>
  <c r="AX76" i="86"/>
  <c r="AX76" i="85"/>
  <c r="AX76" i="87"/>
  <c r="AX76" i="89"/>
  <c r="AX76" i="88"/>
  <c r="AX76" i="90"/>
  <c r="AX60" i="82"/>
  <c r="AX60" i="83"/>
  <c r="AX60" i="84"/>
  <c r="AX60" i="86"/>
  <c r="AX60" i="85"/>
  <c r="AX60" i="87"/>
  <c r="AX60" i="89"/>
  <c r="AX60" i="88"/>
  <c r="AX60" i="90"/>
  <c r="AZ39" i="82"/>
  <c r="AZ39" i="84"/>
  <c r="AZ39" i="83"/>
  <c r="AZ39" i="85"/>
  <c r="AZ39" i="86"/>
  <c r="AZ39" i="88"/>
  <c r="AZ39" i="90"/>
  <c r="AZ39" i="87"/>
  <c r="AZ39" i="89"/>
  <c r="BC59" i="82"/>
  <c r="AQ59" i="82"/>
  <c r="BC59" i="83"/>
  <c r="AQ59" i="83"/>
  <c r="BC59" i="84"/>
  <c r="AQ59" i="84"/>
  <c r="BC59" i="86"/>
  <c r="AQ59" i="86"/>
  <c r="BC59" i="85"/>
  <c r="AQ59" i="85"/>
  <c r="BC59" i="87"/>
  <c r="AQ59" i="87"/>
  <c r="BC59" i="89"/>
  <c r="AQ59" i="89"/>
  <c r="BC59" i="88"/>
  <c r="AQ59" i="88"/>
  <c r="BC59" i="90"/>
  <c r="AQ59" i="90"/>
  <c r="BC65" i="82"/>
  <c r="AQ65" i="82"/>
  <c r="BC65" i="83"/>
  <c r="AQ65" i="83"/>
  <c r="BC65" i="84"/>
  <c r="AQ65" i="84"/>
  <c r="BC65" i="86"/>
  <c r="AQ65" i="86"/>
  <c r="BC65" i="85"/>
  <c r="AQ65" i="85"/>
  <c r="BC65" i="87"/>
  <c r="AQ65" i="87"/>
  <c r="BC65" i="89"/>
  <c r="AQ65" i="89"/>
  <c r="BC65" i="88"/>
  <c r="AQ65" i="88"/>
  <c r="BC65" i="90"/>
  <c r="AQ65" i="90"/>
  <c r="AY56" i="82"/>
  <c r="AY56" i="84"/>
  <c r="AY56" i="83"/>
  <c r="AY56" i="85"/>
  <c r="AY56" i="86"/>
  <c r="AY56" i="88"/>
  <c r="AY56" i="90"/>
  <c r="AY56" i="87"/>
  <c r="AY56" i="89"/>
  <c r="AX56" i="82"/>
  <c r="AX56" i="83"/>
  <c r="AX56" i="84"/>
  <c r="AX56" i="86"/>
  <c r="AX56" i="85"/>
  <c r="AX56" i="87"/>
  <c r="AX56" i="89"/>
  <c r="AX56" i="88"/>
  <c r="AX56" i="90"/>
  <c r="BB56" i="82"/>
  <c r="BB56" i="83"/>
  <c r="BB56" i="84"/>
  <c r="BB56" i="86"/>
  <c r="BB56" i="85"/>
  <c r="BB56" i="87"/>
  <c r="BB56" i="89"/>
  <c r="BB56" i="88"/>
  <c r="BB56" i="90"/>
  <c r="BC60" i="82"/>
  <c r="AQ60" i="82"/>
  <c r="BC60" i="84"/>
  <c r="AQ60" i="84"/>
  <c r="BC60" i="83"/>
  <c r="AQ60" i="83"/>
  <c r="BC60" i="85"/>
  <c r="AQ60" i="85"/>
  <c r="BC60" i="86"/>
  <c r="AQ60" i="86"/>
  <c r="BC60" i="88"/>
  <c r="AQ60" i="88"/>
  <c r="BC60" i="90"/>
  <c r="AQ60" i="90"/>
  <c r="BC60" i="87"/>
  <c r="AQ60" i="87"/>
  <c r="BC60" i="89"/>
  <c r="AQ60" i="89"/>
  <c r="BB58" i="82"/>
  <c r="BB58" i="83"/>
  <c r="BB58" i="84"/>
  <c r="BB58" i="86"/>
  <c r="BB58" i="85"/>
  <c r="BB58" i="87"/>
  <c r="BB58" i="89"/>
  <c r="BB58" i="88"/>
  <c r="BB58" i="90"/>
  <c r="AZ58" i="82"/>
  <c r="AZ58" i="83"/>
  <c r="AZ58" i="84"/>
  <c r="AZ58" i="86"/>
  <c r="AZ58" i="85"/>
  <c r="AZ58" i="87"/>
  <c r="AZ58" i="89"/>
  <c r="AZ58" i="88"/>
  <c r="AZ58" i="90"/>
  <c r="BC64" i="82"/>
  <c r="AQ64" i="82"/>
  <c r="BC64" i="84"/>
  <c r="AQ64" i="84"/>
  <c r="BC64" i="83"/>
  <c r="AQ64" i="83"/>
  <c r="BC64" i="85"/>
  <c r="AQ64" i="85"/>
  <c r="BC64" i="86"/>
  <c r="AQ64" i="86"/>
  <c r="BC64" i="88"/>
  <c r="AQ64" i="88"/>
  <c r="BC64" i="90"/>
  <c r="AQ64" i="90"/>
  <c r="BC64" i="87"/>
  <c r="AQ64" i="87"/>
  <c r="BC64" i="89"/>
  <c r="AQ64" i="89"/>
  <c r="BC58" i="82"/>
  <c r="AQ58" i="82"/>
  <c r="BC58" i="84"/>
  <c r="AQ58" i="84"/>
  <c r="BC58" i="83"/>
  <c r="AQ58" i="83"/>
  <c r="BC58" i="85"/>
  <c r="AQ58" i="85"/>
  <c r="BC58" i="86"/>
  <c r="AQ58" i="86"/>
  <c r="BC58" i="88"/>
  <c r="AQ58" i="88"/>
  <c r="BC58" i="90"/>
  <c r="AQ58" i="90"/>
  <c r="BC58" i="87"/>
  <c r="AQ58" i="87"/>
  <c r="BC58" i="89"/>
  <c r="AQ58" i="89"/>
  <c r="DK110" i="15"/>
  <c r="AZ114" i="65"/>
  <c r="BA120" i="65"/>
  <c r="DK115" i="15"/>
  <c r="BA99" i="65"/>
  <c r="DU80" i="15"/>
  <c r="DY80" i="15"/>
  <c r="BA55" i="65"/>
  <c r="DY116" i="15"/>
  <c r="DU116" i="15"/>
  <c r="EN53" i="15"/>
  <c r="EQ53" i="15" s="1"/>
  <c r="AZ54" i="65"/>
  <c r="AZ70" i="65"/>
  <c r="BA46" i="65"/>
  <c r="U46" i="5" s="1"/>
  <c r="AY46" i="73" s="1"/>
  <c r="EN41" i="15"/>
  <c r="EO41" i="15" s="1"/>
  <c r="BC127" i="65"/>
  <c r="BC123" i="65"/>
  <c r="BA119" i="65"/>
  <c r="DK96" i="15"/>
  <c r="BA110" i="65"/>
  <c r="DK95" i="15"/>
  <c r="EN119" i="15"/>
  <c r="EQ119" i="15" s="1"/>
  <c r="EN96" i="15"/>
  <c r="EQ96" i="15" s="1"/>
  <c r="DJ119" i="15"/>
  <c r="EJ119" i="15" s="1"/>
  <c r="EL119" i="15" s="1"/>
  <c r="BA105" i="65"/>
  <c r="EN79" i="15"/>
  <c r="EQ79" i="15" s="1"/>
  <c r="AZ53" i="65"/>
  <c r="BA88" i="65"/>
  <c r="DK85" i="15"/>
  <c r="AZ80" i="65"/>
  <c r="EN108" i="15"/>
  <c r="EQ108" i="15" s="1"/>
  <c r="DJ100" i="15"/>
  <c r="EJ100" i="15" s="1"/>
  <c r="EL100" i="15" s="1"/>
  <c r="DJ106" i="15"/>
  <c r="EJ106" i="15" s="1"/>
  <c r="EL106" i="15" s="1"/>
  <c r="EN63" i="15"/>
  <c r="EQ63" i="15" s="1"/>
  <c r="DJ68" i="15"/>
  <c r="EJ68" i="15" s="1"/>
  <c r="EL68" i="15" s="1"/>
  <c r="BC106" i="65"/>
  <c r="BC63" i="65"/>
  <c r="DK111" i="15"/>
  <c r="EN111" i="15"/>
  <c r="EQ111" i="15" s="1"/>
  <c r="DK114" i="15"/>
  <c r="AZ116" i="65"/>
  <c r="AZ124" i="65"/>
  <c r="AZ127" i="65"/>
  <c r="BA118" i="65"/>
  <c r="EN106" i="15"/>
  <c r="EQ106" i="15" s="1"/>
  <c r="DJ26" i="15"/>
  <c r="EJ26" i="15" s="1"/>
  <c r="EK26" i="15" s="1"/>
  <c r="AZ55" i="65"/>
  <c r="DK105" i="15"/>
  <c r="AZ105" i="65"/>
  <c r="DK125" i="15"/>
  <c r="BA93" i="65"/>
  <c r="DK66" i="15"/>
  <c r="ED66" i="15"/>
  <c r="EN54" i="15"/>
  <c r="EO54" i="15" s="1"/>
  <c r="BA104" i="65"/>
  <c r="EN113" i="15"/>
  <c r="EQ113" i="15" s="1"/>
  <c r="BA85" i="65"/>
  <c r="EN85" i="15"/>
  <c r="EO85" i="15" s="1"/>
  <c r="EN88" i="15"/>
  <c r="EQ88" i="15" s="1"/>
  <c r="DK116" i="15"/>
  <c r="BA100" i="65"/>
  <c r="BA97" i="65"/>
  <c r="DK127" i="15"/>
  <c r="DK126" i="15"/>
  <c r="BA122" i="65"/>
  <c r="DK108" i="15"/>
  <c r="EN122" i="15"/>
  <c r="EQ122" i="15" s="1"/>
  <c r="DJ94" i="15"/>
  <c r="EJ94" i="15" s="1"/>
  <c r="EL94" i="15" s="1"/>
  <c r="DJ117" i="15"/>
  <c r="EJ117" i="15" s="1"/>
  <c r="EK117" i="15" s="1"/>
  <c r="EN97" i="15"/>
  <c r="EQ97" i="15" s="1"/>
  <c r="AZ123" i="65"/>
  <c r="DK123" i="15"/>
  <c r="EN89" i="15"/>
  <c r="EQ89" i="15" s="1"/>
  <c r="BA78" i="65"/>
  <c r="DY100" i="15"/>
  <c r="DK121" i="15"/>
  <c r="AZ44" i="65"/>
  <c r="T44" i="5" s="1"/>
  <c r="AX44" i="73" s="1"/>
  <c r="DK62" i="15"/>
  <c r="DS127" i="15"/>
  <c r="DS106" i="15"/>
  <c r="AZ40" i="65"/>
  <c r="T40" i="5" s="1"/>
  <c r="AX40" i="73" s="1"/>
  <c r="DK70" i="15"/>
  <c r="EN70" i="15"/>
  <c r="EQ70" i="15" s="1"/>
  <c r="BC94" i="65"/>
  <c r="BC80" i="65"/>
  <c r="DJ111" i="15"/>
  <c r="EJ111" i="15" s="1"/>
  <c r="EK111" i="15" s="1"/>
  <c r="BA84" i="65"/>
  <c r="AZ98" i="65"/>
  <c r="DK80" i="15"/>
  <c r="DK119" i="15"/>
  <c r="BA92" i="65"/>
  <c r="AZ95" i="65"/>
  <c r="BA95" i="65"/>
  <c r="DK101" i="15"/>
  <c r="EN101" i="15"/>
  <c r="EQ101" i="15" s="1"/>
  <c r="EN92" i="15"/>
  <c r="EP92" i="15" s="1"/>
  <c r="EN80" i="15"/>
  <c r="EQ80" i="15" s="1"/>
  <c r="BA116" i="65"/>
  <c r="BA124" i="65"/>
  <c r="DK100" i="15"/>
  <c r="BA61" i="65"/>
  <c r="BA94" i="65"/>
  <c r="AZ118" i="65"/>
  <c r="AZ122" i="65"/>
  <c r="DK120" i="15"/>
  <c r="BA108" i="65"/>
  <c r="BA117" i="65"/>
  <c r="EO117" i="15"/>
  <c r="EN120" i="15"/>
  <c r="EQ120" i="15" s="1"/>
  <c r="EN94" i="15"/>
  <c r="EQ94" i="15" s="1"/>
  <c r="DK55" i="15"/>
  <c r="BA63" i="65"/>
  <c r="DK79" i="15"/>
  <c r="AZ93" i="65"/>
  <c r="AZ89" i="65"/>
  <c r="DJ61" i="15"/>
  <c r="EJ61" i="15" s="1"/>
  <c r="EK61" i="15" s="1"/>
  <c r="EN38" i="15"/>
  <c r="EP38" i="15" s="1"/>
  <c r="EN55" i="15"/>
  <c r="EQ55" i="15" s="1"/>
  <c r="DT80" i="15"/>
  <c r="DZ80" i="15" s="1"/>
  <c r="EB80" i="15" s="1"/>
  <c r="BD80" i="65" s="1"/>
  <c r="BA91" i="65"/>
  <c r="AZ78" i="65"/>
  <c r="DK42" i="15"/>
  <c r="BA107" i="65"/>
  <c r="DY42" i="15"/>
  <c r="AZ66" i="65"/>
  <c r="BA44" i="65"/>
  <c r="U44" i="5" s="1"/>
  <c r="AY44" i="73" s="1"/>
  <c r="DT42" i="15"/>
  <c r="DZ42" i="15" s="1"/>
  <c r="EB42" i="15" s="1"/>
  <c r="BD42" i="65" s="1"/>
  <c r="AD42" i="5" s="1"/>
  <c r="DT94" i="15"/>
  <c r="DZ94" i="15" s="1"/>
  <c r="EB94" i="15" s="1"/>
  <c r="EF94" i="15" s="1"/>
  <c r="BE94" i="65" s="1"/>
  <c r="EN44" i="15"/>
  <c r="EP44" i="15" s="1"/>
  <c r="DK109" i="15"/>
  <c r="DU42" i="15"/>
  <c r="EE42" i="15" s="1"/>
  <c r="EH42" i="15" s="1"/>
  <c r="DQ42" i="15" s="1"/>
  <c r="EN109" i="15"/>
  <c r="EQ109" i="15" s="1"/>
  <c r="DU79" i="15"/>
  <c r="AZ59" i="65"/>
  <c r="DK73" i="15"/>
  <c r="DK104" i="15"/>
  <c r="DK113" i="15"/>
  <c r="EN104" i="15"/>
  <c r="EQ104" i="15" s="1"/>
  <c r="DK86" i="15"/>
  <c r="AZ85" i="65"/>
  <c r="AZ84" i="65"/>
  <c r="BA114" i="65"/>
  <c r="DJ96" i="15"/>
  <c r="EJ96" i="15" s="1"/>
  <c r="EK96" i="15" s="1"/>
  <c r="EN86" i="15"/>
  <c r="EQ86" i="15" s="1"/>
  <c r="AZ67" i="65"/>
  <c r="DK97" i="15"/>
  <c r="BA127" i="65"/>
  <c r="BA106" i="65"/>
  <c r="BA126" i="65"/>
  <c r="DK118" i="15"/>
  <c r="DK122" i="15"/>
  <c r="BA115" i="65"/>
  <c r="AZ99" i="65"/>
  <c r="DK99" i="15"/>
  <c r="EN118" i="15"/>
  <c r="EP118" i="15" s="1"/>
  <c r="EN124" i="15"/>
  <c r="EQ124" i="15" s="1"/>
  <c r="EN116" i="15"/>
  <c r="EP116" i="15" s="1"/>
  <c r="EN99" i="15"/>
  <c r="EQ99" i="15" s="1"/>
  <c r="EN115" i="15"/>
  <c r="EQ115" i="15" s="1"/>
  <c r="EN127" i="15"/>
  <c r="EQ127" i="15" s="1"/>
  <c r="EN100" i="15"/>
  <c r="EP100" i="15" s="1"/>
  <c r="AZ125" i="65"/>
  <c r="EN61" i="15"/>
  <c r="EO61" i="15" s="1"/>
  <c r="EA127" i="15"/>
  <c r="EA106" i="15"/>
  <c r="BA121" i="65"/>
  <c r="BA68" i="65"/>
  <c r="EN68" i="15"/>
  <c r="EQ68" i="15" s="1"/>
  <c r="DT116" i="15"/>
  <c r="DZ116" i="15" s="1"/>
  <c r="EB116" i="15" s="1"/>
  <c r="BD116" i="65" s="1"/>
  <c r="DT100" i="15"/>
  <c r="DZ100" i="15" s="1"/>
  <c r="EB100" i="15" s="1"/>
  <c r="BD100" i="65" s="1"/>
  <c r="DK48" i="15"/>
  <c r="BA62" i="65"/>
  <c r="DT127" i="15"/>
  <c r="DZ127" i="15" s="1"/>
  <c r="EB127" i="15" s="1"/>
  <c r="BD127" i="65" s="1"/>
  <c r="DT106" i="15"/>
  <c r="DZ106" i="15" s="1"/>
  <c r="EB106" i="15" s="1"/>
  <c r="BD106" i="65" s="1"/>
  <c r="EN62" i="15"/>
  <c r="EQ62" i="15" s="1"/>
  <c r="EN48" i="15"/>
  <c r="EP48" i="15" s="1"/>
  <c r="EN42" i="15"/>
  <c r="EP42" i="15" s="1"/>
  <c r="EN45" i="15"/>
  <c r="EO45" i="15" s="1"/>
  <c r="DT91" i="15"/>
  <c r="DZ91" i="15" s="1"/>
  <c r="EB91" i="15" s="1"/>
  <c r="BD91" i="65" s="1"/>
  <c r="DU89" i="15"/>
  <c r="DJ46" i="15"/>
  <c r="EJ46" i="15" s="1"/>
  <c r="EL46" i="15" s="1"/>
  <c r="DJ74" i="15"/>
  <c r="EJ74" i="15" s="1"/>
  <c r="EL74" i="15" s="1"/>
  <c r="DK69" i="15"/>
  <c r="DK77" i="15"/>
  <c r="DT62" i="15"/>
  <c r="DZ62" i="15" s="1"/>
  <c r="EB62" i="15" s="1"/>
  <c r="BD62" i="65" s="1"/>
  <c r="DT54" i="15"/>
  <c r="DZ54" i="15" s="1"/>
  <c r="EB54" i="15" s="1"/>
  <c r="EF54" i="15" s="1"/>
  <c r="BE54" i="65" s="1"/>
  <c r="EN75" i="15"/>
  <c r="EO75" i="15" s="1"/>
  <c r="BA76" i="65"/>
  <c r="AZ73" i="65"/>
  <c r="DS48" i="15"/>
  <c r="BC48" i="65"/>
  <c r="AC48" i="5" s="1"/>
  <c r="BB48" i="73" s="1"/>
  <c r="DT73" i="15"/>
  <c r="DZ73" i="15" s="1"/>
  <c r="EB73" i="15" s="1"/>
  <c r="BC73" i="65"/>
  <c r="DU125" i="15"/>
  <c r="EE125" i="15" s="1"/>
  <c r="EH125" i="15" s="1"/>
  <c r="DQ125" i="15" s="1"/>
  <c r="BC125" i="65"/>
  <c r="BA111" i="65"/>
  <c r="BA113" i="65"/>
  <c r="DK88" i="15"/>
  <c r="BA86" i="65"/>
  <c r="DK98" i="15"/>
  <c r="DK67" i="15"/>
  <c r="AZ101" i="65"/>
  <c r="AZ97" i="65"/>
  <c r="AZ108" i="65"/>
  <c r="EN126" i="15"/>
  <c r="EQ126" i="15" s="1"/>
  <c r="BA123" i="65"/>
  <c r="EN105" i="15"/>
  <c r="EO105" i="15" s="1"/>
  <c r="EN93" i="15"/>
  <c r="EQ93" i="15" s="1"/>
  <c r="BA42" i="65"/>
  <c r="U42" i="5" s="1"/>
  <c r="AZ107" i="65"/>
  <c r="DK68" i="15"/>
  <c r="EN78" i="15"/>
  <c r="EO78" i="15" s="1"/>
  <c r="BA48" i="65"/>
  <c r="U48" i="5" s="1"/>
  <c r="DJ48" i="15"/>
  <c r="EJ48" i="15" s="1"/>
  <c r="EM48" i="15" s="1"/>
  <c r="DK57" i="15"/>
  <c r="DK40" i="15"/>
  <c r="DK71" i="15"/>
  <c r="EN71" i="15"/>
  <c r="EP71" i="15" s="1"/>
  <c r="BA72" i="65"/>
  <c r="EN40" i="15"/>
  <c r="EP40" i="15" s="1"/>
  <c r="DK65" i="15"/>
  <c r="BA59" i="65"/>
  <c r="DK50" i="15"/>
  <c r="AZ77" i="65"/>
  <c r="BA75" i="65"/>
  <c r="DT45" i="15"/>
  <c r="DZ45" i="15" s="1"/>
  <c r="EB45" i="15" s="1"/>
  <c r="BD45" i="65" s="1"/>
  <c r="AD45" i="5" s="1"/>
  <c r="EN65" i="15"/>
  <c r="EO65" i="15" s="1"/>
  <c r="EN59" i="15"/>
  <c r="EQ59" i="15" s="1"/>
  <c r="BA73" i="65"/>
  <c r="EN76" i="15"/>
  <c r="EQ76" i="15" s="1"/>
  <c r="EN73" i="15"/>
  <c r="EO73" i="15" s="1"/>
  <c r="DZ123" i="15"/>
  <c r="EB123" i="15" s="1"/>
  <c r="EF123" i="15" s="1"/>
  <c r="BE123" i="65" s="1"/>
  <c r="ED123" i="15"/>
  <c r="DS51" i="15"/>
  <c r="DT51" i="15"/>
  <c r="ED51" i="15" s="1"/>
  <c r="BC51" i="65"/>
  <c r="DU76" i="15"/>
  <c r="EE76" i="15" s="1"/>
  <c r="EH76" i="15" s="1"/>
  <c r="DQ76" i="15" s="1"/>
  <c r="BC76" i="65"/>
  <c r="DU101" i="15"/>
  <c r="BC101" i="65"/>
  <c r="DU99" i="15"/>
  <c r="BC99" i="65"/>
  <c r="ED74" i="15"/>
  <c r="AZ104" i="65"/>
  <c r="EO114" i="15"/>
  <c r="EO67" i="15"/>
  <c r="DK93" i="15"/>
  <c r="EN123" i="15"/>
  <c r="EQ123" i="15" s="1"/>
  <c r="AZ42" i="65"/>
  <c r="T42" i="5" s="1"/>
  <c r="AX42" i="73" s="1"/>
  <c r="ED122" i="15"/>
  <c r="DJ121" i="15"/>
  <c r="EJ121" i="15" s="1"/>
  <c r="EM121" i="15" s="1"/>
  <c r="DK44" i="15"/>
  <c r="DY79" i="15"/>
  <c r="AZ57" i="65"/>
  <c r="BA45" i="65"/>
  <c r="U45" i="5" s="1"/>
  <c r="AY45" i="73" s="1"/>
  <c r="AZ71" i="65"/>
  <c r="DK54" i="15"/>
  <c r="DK74" i="15"/>
  <c r="DK41" i="15"/>
  <c r="DK43" i="15"/>
  <c r="DY44" i="15"/>
  <c r="DK72" i="15"/>
  <c r="DK51" i="15"/>
  <c r="DY54" i="15"/>
  <c r="EN51" i="15"/>
  <c r="EO51" i="15" s="1"/>
  <c r="EN43" i="15"/>
  <c r="EP43" i="15" s="1"/>
  <c r="EN72" i="15"/>
  <c r="EP72" i="15" s="1"/>
  <c r="BA52" i="65"/>
  <c r="AZ50" i="65"/>
  <c r="DK27" i="15"/>
  <c r="EN52" i="15"/>
  <c r="EP52" i="15" s="1"/>
  <c r="AZ75" i="65"/>
  <c r="BA60" i="65"/>
  <c r="DK76" i="15"/>
  <c r="DU54" i="15"/>
  <c r="EE54" i="15" s="1"/>
  <c r="EH54" i="15" s="1"/>
  <c r="DQ54" i="15" s="1"/>
  <c r="DT52" i="15"/>
  <c r="DZ52" i="15" s="1"/>
  <c r="EB52" i="15" s="1"/>
  <c r="EF52" i="15" s="1"/>
  <c r="BE52" i="65" s="1"/>
  <c r="DJ25" i="15"/>
  <c r="EJ25" i="15" s="1"/>
  <c r="EM25" i="15" s="1"/>
  <c r="DR25" i="15"/>
  <c r="BC25" i="65" s="1"/>
  <c r="DK25" i="15"/>
  <c r="EN25" i="15" s="1"/>
  <c r="EP25" i="15" s="1"/>
  <c r="DK34" i="15"/>
  <c r="DR28" i="15"/>
  <c r="DU28" i="15" s="1"/>
  <c r="DJ28" i="15"/>
  <c r="EJ28" i="15" s="1"/>
  <c r="EK28" i="15" s="1"/>
  <c r="DJ31" i="15"/>
  <c r="EJ31" i="15" s="1"/>
  <c r="EM31" i="15" s="1"/>
  <c r="AZ31" i="65"/>
  <c r="T31" i="5" s="1"/>
  <c r="AX31" i="73" s="1"/>
  <c r="AZ30" i="65"/>
  <c r="T30" i="5" s="1"/>
  <c r="AX30" i="73" s="1"/>
  <c r="DJ30" i="15"/>
  <c r="EJ30" i="15" s="1"/>
  <c r="EL30" i="15" s="1"/>
  <c r="DJ37" i="15"/>
  <c r="EJ37" i="15" s="1"/>
  <c r="EM37" i="15" s="1"/>
  <c r="AZ37" i="65"/>
  <c r="T37" i="5" s="1"/>
  <c r="AX37" i="73" s="1"/>
  <c r="DR37" i="15"/>
  <c r="DT37" i="15" s="1"/>
  <c r="DK37" i="15"/>
  <c r="EN37" i="15" s="1"/>
  <c r="BA37" i="65"/>
  <c r="U37" i="5" s="1"/>
  <c r="AY37" i="73" s="1"/>
  <c r="DJ36" i="15"/>
  <c r="EJ36" i="15" s="1"/>
  <c r="EL36" i="15" s="1"/>
  <c r="DJ29" i="15"/>
  <c r="EJ29" i="15" s="1"/>
  <c r="EM29" i="15" s="1"/>
  <c r="DK26" i="15"/>
  <c r="DR35" i="15"/>
  <c r="BC35" i="65" s="1"/>
  <c r="AC35" i="5" s="1"/>
  <c r="BB35" i="73" s="1"/>
  <c r="DK35" i="15"/>
  <c r="DK23" i="15"/>
  <c r="AZ34" i="65"/>
  <c r="T34" i="5" s="1"/>
  <c r="AX34" i="73" s="1"/>
  <c r="DJ34" i="15"/>
  <c r="EJ34" i="15" s="1"/>
  <c r="EK34" i="15" s="1"/>
  <c r="DK31" i="15"/>
  <c r="BA31" i="65"/>
  <c r="U31" i="5" s="1"/>
  <c r="DK30" i="15"/>
  <c r="BA30" i="65"/>
  <c r="U30" i="5" s="1"/>
  <c r="AY30" i="73" s="1"/>
  <c r="DJ33" i="15"/>
  <c r="EJ33" i="15" s="1"/>
  <c r="EM33" i="15" s="1"/>
  <c r="DJ35" i="15"/>
  <c r="EJ35" i="15" s="1"/>
  <c r="EK35" i="15" s="1"/>
  <c r="BC36" i="65"/>
  <c r="AC36" i="5" s="1"/>
  <c r="BB36" i="73" s="1"/>
  <c r="AZ25" i="65"/>
  <c r="AZ33" i="65"/>
  <c r="T33" i="5" s="1"/>
  <c r="AX33" i="73" s="1"/>
  <c r="DK28" i="15"/>
  <c r="EN28" i="15" s="1"/>
  <c r="EQ28" i="15" s="1"/>
  <c r="AZ36" i="65"/>
  <c r="T36" i="5" s="1"/>
  <c r="AX36" i="73" s="1"/>
  <c r="BA26" i="65"/>
  <c r="U26" i="5" s="1"/>
  <c r="DJ24" i="15"/>
  <c r="EJ24" i="15" s="1"/>
  <c r="EL24" i="15" s="1"/>
  <c r="DK36" i="15"/>
  <c r="BA33" i="65"/>
  <c r="U33" i="5" s="1"/>
  <c r="EN36" i="15"/>
  <c r="EO36" i="15" s="1"/>
  <c r="AZ29" i="65"/>
  <c r="T29" i="5" s="1"/>
  <c r="AX29" i="73" s="1"/>
  <c r="DJ23" i="15"/>
  <c r="EJ23" i="15" s="1"/>
  <c r="EM23" i="15" s="1"/>
  <c r="BC33" i="65"/>
  <c r="AC33" i="5" s="1"/>
  <c r="BB33" i="73" s="1"/>
  <c r="AZ26" i="65"/>
  <c r="T26" i="5" s="1"/>
  <c r="AX26" i="73" s="1"/>
  <c r="BA25" i="65"/>
  <c r="BA36" i="65"/>
  <c r="U36" i="5" s="1"/>
  <c r="AZ35" i="65"/>
  <c r="T35" i="5" s="1"/>
  <c r="AX35" i="73" s="1"/>
  <c r="BA29" i="65"/>
  <c r="U29" i="5" s="1"/>
  <c r="AY29" i="73" s="1"/>
  <c r="BA24" i="65"/>
  <c r="BA28" i="65"/>
  <c r="U28" i="5" s="1"/>
  <c r="AY28" i="73" s="1"/>
  <c r="DJ32" i="15"/>
  <c r="EJ32" i="15" s="1"/>
  <c r="EM32" i="15" s="1"/>
  <c r="DS86" i="15"/>
  <c r="BC86" i="65"/>
  <c r="DS124" i="15"/>
  <c r="BC124" i="65"/>
  <c r="DT124" i="15"/>
  <c r="DZ124" i="15" s="1"/>
  <c r="EB124" i="15" s="1"/>
  <c r="BD124" i="65" s="1"/>
  <c r="DU124" i="15"/>
  <c r="DS113" i="15"/>
  <c r="DT113" i="15"/>
  <c r="BC113" i="65"/>
  <c r="DY61" i="15"/>
  <c r="DK63" i="15"/>
  <c r="EA94" i="15"/>
  <c r="DK107" i="15"/>
  <c r="EA117" i="15"/>
  <c r="DT101" i="15"/>
  <c r="DU63" i="15"/>
  <c r="DT117" i="15"/>
  <c r="AH117" i="65" s="1"/>
  <c r="DY89" i="15"/>
  <c r="DS94" i="15"/>
  <c r="EN107" i="15"/>
  <c r="EQ107" i="15" s="1"/>
  <c r="BA57" i="65"/>
  <c r="DK45" i="15"/>
  <c r="DK33" i="15"/>
  <c r="BA40" i="65"/>
  <c r="U40" i="5" s="1"/>
  <c r="AY40" i="73" s="1"/>
  <c r="DT89" i="15"/>
  <c r="BA54" i="65"/>
  <c r="BA43" i="65"/>
  <c r="U43" i="5" s="1"/>
  <c r="EN57" i="15"/>
  <c r="EQ57" i="15" s="1"/>
  <c r="EG116" i="15"/>
  <c r="DL116" i="15" s="1"/>
  <c r="BA32" i="65"/>
  <c r="U32" i="5" s="1"/>
  <c r="AY32" i="73" s="1"/>
  <c r="AZ51" i="65"/>
  <c r="DT57" i="15"/>
  <c r="ED57" i="15" s="1"/>
  <c r="DJ41" i="15"/>
  <c r="EJ41" i="15" s="1"/>
  <c r="EM41" i="15" s="1"/>
  <c r="DY33" i="15"/>
  <c r="DU53" i="15"/>
  <c r="EA53" i="15" s="1"/>
  <c r="DS57" i="15"/>
  <c r="AH57" i="65" s="1"/>
  <c r="AZ52" i="65"/>
  <c r="AZ69" i="65"/>
  <c r="EG79" i="15"/>
  <c r="DL79" i="15" s="1"/>
  <c r="AZ65" i="65"/>
  <c r="DT53" i="15"/>
  <c r="DZ53" i="15" s="1"/>
  <c r="EB53" i="15" s="1"/>
  <c r="BD53" i="65" s="1"/>
  <c r="EN77" i="15"/>
  <c r="EQ77" i="15" s="1"/>
  <c r="EN69" i="15"/>
  <c r="EO69" i="15" s="1"/>
  <c r="AZ27" i="65"/>
  <c r="T27" i="5" s="1"/>
  <c r="AX27" i="73" s="1"/>
  <c r="DU45" i="15"/>
  <c r="EA45" i="15" s="1"/>
  <c r="DU62" i="15"/>
  <c r="AZ56" i="65"/>
  <c r="DS111" i="15"/>
  <c r="DT111" i="15"/>
  <c r="BC111" i="65"/>
  <c r="DU111" i="15"/>
  <c r="DS85" i="15"/>
  <c r="DU85" i="15"/>
  <c r="BC85" i="65"/>
  <c r="DT85" i="15"/>
  <c r="DU97" i="15"/>
  <c r="DS97" i="15"/>
  <c r="BC97" i="65"/>
  <c r="DT97" i="15"/>
  <c r="DZ107" i="15"/>
  <c r="EB107" i="15" s="1"/>
  <c r="BD107" i="65" s="1"/>
  <c r="ED107" i="15"/>
  <c r="DZ77" i="15"/>
  <c r="EB77" i="15" s="1"/>
  <c r="EF77" i="15" s="1"/>
  <c r="BE77" i="65" s="1"/>
  <c r="ED77" i="15"/>
  <c r="DZ69" i="15"/>
  <c r="EB69" i="15" s="1"/>
  <c r="EF69" i="15" s="1"/>
  <c r="BE69" i="65" s="1"/>
  <c r="ED69" i="15"/>
  <c r="DS67" i="15"/>
  <c r="BC67" i="65"/>
  <c r="DT38" i="15"/>
  <c r="DU70" i="15"/>
  <c r="DT70" i="15"/>
  <c r="DS70" i="15"/>
  <c r="BC70" i="65"/>
  <c r="BC46" i="65"/>
  <c r="AC46" i="5" s="1"/>
  <c r="BB46" i="73" s="1"/>
  <c r="DT46" i="15"/>
  <c r="DZ46" i="15" s="1"/>
  <c r="EB46" i="15" s="1"/>
  <c r="AY104" i="91"/>
  <c r="AX104" i="91"/>
  <c r="AX85" i="91"/>
  <c r="AZ98" i="91"/>
  <c r="AY98" i="91"/>
  <c r="AY80" i="91"/>
  <c r="AX80" i="91"/>
  <c r="AX86" i="91"/>
  <c r="AY95" i="91"/>
  <c r="AY110" i="91"/>
  <c r="AY119" i="91"/>
  <c r="BB104" i="91"/>
  <c r="AY88" i="91"/>
  <c r="AX84" i="91"/>
  <c r="AX110" i="91"/>
  <c r="AX96" i="91"/>
  <c r="AX95" i="91"/>
  <c r="AZ92" i="91"/>
  <c r="AZ119" i="91"/>
  <c r="AZ114" i="91"/>
  <c r="AZ101" i="91"/>
  <c r="AY101" i="91"/>
  <c r="AY92" i="91"/>
  <c r="AY67" i="91"/>
  <c r="AZ67" i="91"/>
  <c r="BB85" i="91"/>
  <c r="AY116" i="91"/>
  <c r="AX116" i="91"/>
  <c r="AY100" i="91"/>
  <c r="AZ100" i="91"/>
  <c r="AX124" i="91"/>
  <c r="AY118" i="91"/>
  <c r="AY94" i="91"/>
  <c r="BB119" i="91"/>
  <c r="AZ120" i="91"/>
  <c r="AY117" i="91"/>
  <c r="AY108" i="91"/>
  <c r="AZ117" i="91"/>
  <c r="AX118" i="91"/>
  <c r="AZ97" i="91"/>
  <c r="BB108" i="91"/>
  <c r="AY38" i="91"/>
  <c r="AX99" i="91"/>
  <c r="BB101" i="91"/>
  <c r="AY115" i="91"/>
  <c r="AY120" i="91"/>
  <c r="AX122" i="91"/>
  <c r="AX126" i="91"/>
  <c r="AX106" i="91"/>
  <c r="BB95" i="91"/>
  <c r="AX94" i="91"/>
  <c r="AX127" i="91"/>
  <c r="AY97" i="91"/>
  <c r="BB92" i="91"/>
  <c r="AZ38" i="91"/>
  <c r="AX61" i="91"/>
  <c r="BB55" i="91"/>
  <c r="BB124" i="91"/>
  <c r="BB100" i="91"/>
  <c r="BB67" i="91"/>
  <c r="BC104" i="91"/>
  <c r="AQ104" i="91"/>
  <c r="BB42" i="91"/>
  <c r="AZ89" i="91"/>
  <c r="AZ123" i="91"/>
  <c r="AY123" i="91"/>
  <c r="BC108" i="91"/>
  <c r="AQ108" i="91"/>
  <c r="BB117" i="91"/>
  <c r="BB120" i="91"/>
  <c r="BB118" i="91"/>
  <c r="BB127" i="91"/>
  <c r="AY78" i="91"/>
  <c r="AX63" i="91"/>
  <c r="AZ79" i="91"/>
  <c r="AZ105" i="91"/>
  <c r="AX93" i="91"/>
  <c r="AY89" i="91"/>
  <c r="AX89" i="91"/>
  <c r="AZ125" i="91"/>
  <c r="BB126" i="91"/>
  <c r="AX79" i="91"/>
  <c r="AX78" i="91"/>
  <c r="AY55" i="91"/>
  <c r="BB63" i="91"/>
  <c r="BC86" i="91"/>
  <c r="AQ86" i="91"/>
  <c r="BC85" i="91"/>
  <c r="AQ85" i="91"/>
  <c r="BC67" i="91"/>
  <c r="AQ67" i="91"/>
  <c r="BC80" i="91"/>
  <c r="AQ80" i="91"/>
  <c r="AY91" i="91"/>
  <c r="BC101" i="91"/>
  <c r="AQ101" i="91"/>
  <c r="BC110" i="91"/>
  <c r="AQ110" i="91"/>
  <c r="BC92" i="91"/>
  <c r="AQ92" i="91"/>
  <c r="BC119" i="91"/>
  <c r="AQ119" i="91"/>
  <c r="AY121" i="91"/>
  <c r="BB105" i="91"/>
  <c r="BB66" i="91"/>
  <c r="BB68" i="91"/>
  <c r="AX121" i="91"/>
  <c r="AY107" i="91"/>
  <c r="BB93" i="91"/>
  <c r="BC63" i="91"/>
  <c r="AQ63" i="91"/>
  <c r="AY62" i="91"/>
  <c r="AY68" i="91"/>
  <c r="AZ48" i="91"/>
  <c r="AX66" i="91"/>
  <c r="BB121" i="91"/>
  <c r="BC115" i="91"/>
  <c r="AQ115" i="91"/>
  <c r="BC99" i="91"/>
  <c r="AQ99" i="91"/>
  <c r="BC117" i="91"/>
  <c r="AQ117" i="91"/>
  <c r="BC122" i="91"/>
  <c r="AQ122" i="91"/>
  <c r="BC126" i="91"/>
  <c r="AQ126" i="91"/>
  <c r="BC106" i="91"/>
  <c r="AQ106" i="91"/>
  <c r="BC127" i="91"/>
  <c r="AQ127" i="91"/>
  <c r="AZ62" i="91"/>
  <c r="BB40" i="91"/>
  <c r="AZ53" i="91"/>
  <c r="AY53" i="91"/>
  <c r="BB54" i="91"/>
  <c r="BC93" i="91"/>
  <c r="AQ93" i="91"/>
  <c r="AY109" i="91"/>
  <c r="BC61" i="91"/>
  <c r="AQ61" i="91"/>
  <c r="BC79" i="91"/>
  <c r="AQ79" i="91"/>
  <c r="AY74" i="91"/>
  <c r="AY71" i="91"/>
  <c r="AX71" i="91"/>
  <c r="AX109" i="91"/>
  <c r="AZ54" i="91"/>
  <c r="AZ74" i="91"/>
  <c r="AX54" i="91"/>
  <c r="AX45" i="91"/>
  <c r="BB44" i="91"/>
  <c r="AX57" i="91"/>
  <c r="BB53" i="91"/>
  <c r="BC91" i="91"/>
  <c r="AQ91" i="91"/>
  <c r="BC78" i="91"/>
  <c r="AQ78" i="91"/>
  <c r="AY72" i="91"/>
  <c r="AY70" i="91"/>
  <c r="AX70" i="91"/>
  <c r="AY41" i="91"/>
  <c r="AZ32" i="91"/>
  <c r="BB70" i="91"/>
  <c r="BB109" i="91"/>
  <c r="BC57" i="91"/>
  <c r="AQ57" i="91"/>
  <c r="AY51" i="91"/>
  <c r="AZ49" i="91"/>
  <c r="AZ46" i="91"/>
  <c r="BB51" i="91"/>
  <c r="BB43" i="91"/>
  <c r="BC54" i="91"/>
  <c r="AQ54" i="91"/>
  <c r="BB41" i="91"/>
  <c r="AY59" i="91"/>
  <c r="BC70" i="91"/>
  <c r="AQ70" i="91"/>
  <c r="AZ52" i="91"/>
  <c r="AZ50" i="91"/>
  <c r="BB69" i="91"/>
  <c r="AX28" i="91"/>
  <c r="BC62" i="91"/>
  <c r="AQ62" i="91"/>
  <c r="AZ75" i="91"/>
  <c r="AX77" i="91"/>
  <c r="AX50" i="91"/>
  <c r="AZ59" i="91"/>
  <c r="AZ69" i="91"/>
  <c r="AY64" i="91"/>
  <c r="AY65" i="91"/>
  <c r="AX65" i="91"/>
  <c r="BB50" i="91"/>
  <c r="BB65" i="91"/>
  <c r="BC53" i="91"/>
  <c r="AQ53" i="91"/>
  <c r="AY60" i="91"/>
  <c r="BC52" i="91"/>
  <c r="AQ52" i="91"/>
  <c r="BC69" i="91"/>
  <c r="AQ69" i="91"/>
  <c r="AZ76" i="91"/>
  <c r="AX73" i="91"/>
  <c r="AX76" i="91"/>
  <c r="AX60" i="91"/>
  <c r="BC59" i="91"/>
  <c r="AQ59" i="91"/>
  <c r="BB32" i="91"/>
  <c r="BB73" i="91"/>
  <c r="AZ56" i="91"/>
  <c r="BB64" i="91"/>
  <c r="BB76" i="91"/>
  <c r="BB56" i="91"/>
  <c r="BC74" i="91"/>
  <c r="AQ74" i="91"/>
  <c r="BC56" i="91"/>
  <c r="AQ56" i="91"/>
  <c r="AX58" i="91"/>
  <c r="BC64" i="91"/>
  <c r="AQ64" i="91"/>
  <c r="BC58" i="91"/>
  <c r="AQ58" i="91"/>
  <c r="EQ84" i="15"/>
  <c r="AY111" i="91"/>
  <c r="AZ111" i="91"/>
  <c r="AX113" i="91"/>
  <c r="AZ88" i="91"/>
  <c r="AZ113" i="91"/>
  <c r="BB111" i="91"/>
  <c r="AY86" i="91"/>
  <c r="AX111" i="91"/>
  <c r="AZ104" i="91"/>
  <c r="AY113" i="91"/>
  <c r="AZ85" i="91"/>
  <c r="AY85" i="91"/>
  <c r="AX98" i="91"/>
  <c r="AZ80" i="91"/>
  <c r="AZ86" i="91"/>
  <c r="BB113" i="91"/>
  <c r="BB88" i="91"/>
  <c r="AY96" i="91"/>
  <c r="AY114" i="91"/>
  <c r="AX88" i="91"/>
  <c r="AZ84" i="91"/>
  <c r="AY84" i="91"/>
  <c r="AZ110" i="91"/>
  <c r="AZ96" i="91"/>
  <c r="AZ95" i="91"/>
  <c r="AX119" i="91"/>
  <c r="AX114" i="91"/>
  <c r="AX101" i="91"/>
  <c r="AX92" i="91"/>
  <c r="BB84" i="91"/>
  <c r="AX67" i="91"/>
  <c r="BB98" i="91"/>
  <c r="BB86" i="91"/>
  <c r="AZ116" i="91"/>
  <c r="BB80" i="91"/>
  <c r="AY124" i="91"/>
  <c r="AX100" i="91"/>
  <c r="AZ124" i="91"/>
  <c r="AZ108" i="91"/>
  <c r="AY126" i="91"/>
  <c r="BC111" i="91"/>
  <c r="AQ111" i="91"/>
  <c r="BB110" i="91"/>
  <c r="AZ115" i="91"/>
  <c r="AZ99" i="91"/>
  <c r="AX117" i="91"/>
  <c r="AZ118" i="91"/>
  <c r="AY106" i="91"/>
  <c r="BB114" i="91"/>
  <c r="AY61" i="91"/>
  <c r="AX108" i="91"/>
  <c r="AY99" i="91"/>
  <c r="AX115" i="91"/>
  <c r="AX120" i="91"/>
  <c r="AZ122" i="91"/>
  <c r="AY122" i="91"/>
  <c r="AZ126" i="91"/>
  <c r="AZ106" i="91"/>
  <c r="AY127" i="91"/>
  <c r="AZ94" i="91"/>
  <c r="AZ127" i="91"/>
  <c r="AX97" i="91"/>
  <c r="BB96" i="91"/>
  <c r="AZ61" i="91"/>
  <c r="AX38" i="91"/>
  <c r="BB116" i="91"/>
  <c r="BB97" i="91"/>
  <c r="BC88" i="91"/>
  <c r="AQ88" i="91"/>
  <c r="AY63" i="91"/>
  <c r="AY93" i="91"/>
  <c r="AY125" i="91"/>
  <c r="AX123" i="91"/>
  <c r="BB99" i="91"/>
  <c r="AY105" i="91"/>
  <c r="BC113" i="91"/>
  <c r="AQ113" i="91"/>
  <c r="BB106" i="91"/>
  <c r="BB94" i="91"/>
  <c r="BC84" i="91"/>
  <c r="AQ84" i="91"/>
  <c r="AZ63" i="91"/>
  <c r="AX105" i="91"/>
  <c r="AZ93" i="91"/>
  <c r="BB115" i="91"/>
  <c r="AX125" i="91"/>
  <c r="BB122" i="91"/>
  <c r="AY47" i="91"/>
  <c r="AY79" i="91"/>
  <c r="AZ78" i="91"/>
  <c r="AZ55" i="91"/>
  <c r="AX55" i="91"/>
  <c r="BC98" i="91"/>
  <c r="AQ98" i="91"/>
  <c r="AZ91" i="91"/>
  <c r="AX91" i="91"/>
  <c r="BB61" i="91"/>
  <c r="BB89" i="91"/>
  <c r="AZ107" i="91"/>
  <c r="BB125" i="91"/>
  <c r="BC96" i="91"/>
  <c r="AQ96" i="91"/>
  <c r="BC55" i="91"/>
  <c r="AQ55" i="91"/>
  <c r="AZ121" i="91"/>
  <c r="AX107" i="91"/>
  <c r="BB123" i="91"/>
  <c r="BC95" i="91"/>
  <c r="AQ95" i="91"/>
  <c r="BC114" i="91"/>
  <c r="AQ114" i="91"/>
  <c r="BB107" i="91"/>
  <c r="BB79" i="91"/>
  <c r="AZ42" i="91"/>
  <c r="BC116" i="91"/>
  <c r="AQ116" i="91"/>
  <c r="BC124" i="91"/>
  <c r="AQ124" i="91"/>
  <c r="BC100" i="91"/>
  <c r="AQ100" i="91"/>
  <c r="BB91" i="91"/>
  <c r="BC120" i="91"/>
  <c r="AQ120" i="91"/>
  <c r="BC97" i="91"/>
  <c r="AQ97" i="91"/>
  <c r="BB78" i="91"/>
  <c r="AY66" i="91"/>
  <c r="AX48" i="91"/>
  <c r="AZ66" i="91"/>
  <c r="BC107" i="91"/>
  <c r="AQ107" i="91"/>
  <c r="BC118" i="91"/>
  <c r="AQ118" i="91"/>
  <c r="BC94" i="91"/>
  <c r="AQ94" i="91"/>
  <c r="AX62" i="91"/>
  <c r="AX53" i="91"/>
  <c r="AZ68" i="91"/>
  <c r="AX68" i="91"/>
  <c r="BC66" i="91"/>
  <c r="AQ66" i="91"/>
  <c r="BC89" i="91"/>
  <c r="AQ89" i="91"/>
  <c r="BC125" i="91"/>
  <c r="AQ125" i="91"/>
  <c r="BC105" i="91"/>
  <c r="AQ105" i="91"/>
  <c r="BC68" i="91"/>
  <c r="AQ68" i="91"/>
  <c r="BB45" i="91"/>
  <c r="AZ71" i="91"/>
  <c r="AZ109" i="91"/>
  <c r="AZ57" i="91"/>
  <c r="BC123" i="91"/>
  <c r="AQ123" i="91"/>
  <c r="BB62" i="91"/>
  <c r="AZ45" i="91"/>
  <c r="AY54" i="91"/>
  <c r="AZ41" i="91"/>
  <c r="AY57" i="91"/>
  <c r="AZ43" i="91"/>
  <c r="AX74" i="91"/>
  <c r="AZ72" i="91"/>
  <c r="AZ70" i="91"/>
  <c r="AX41" i="91"/>
  <c r="AX32" i="91"/>
  <c r="BC121" i="91"/>
  <c r="AQ121" i="91"/>
  <c r="AZ51" i="91"/>
  <c r="AX51" i="91"/>
  <c r="AX72" i="91"/>
  <c r="BB71" i="91"/>
  <c r="AX46" i="91"/>
  <c r="AX43" i="91"/>
  <c r="BB57" i="91"/>
  <c r="BC72" i="91"/>
  <c r="AQ72" i="91"/>
  <c r="AY52" i="91"/>
  <c r="AX52" i="91"/>
  <c r="BB75" i="91"/>
  <c r="BB77" i="91"/>
  <c r="AZ28" i="91"/>
  <c r="BC51" i="91"/>
  <c r="AQ51" i="91"/>
  <c r="BC43" i="91"/>
  <c r="AQ43" i="91"/>
  <c r="AY75" i="91"/>
  <c r="AY77" i="91"/>
  <c r="AZ77" i="91"/>
  <c r="AY50" i="91"/>
  <c r="AX59" i="91"/>
  <c r="AY69" i="91"/>
  <c r="AZ64" i="91"/>
  <c r="AX69" i="91"/>
  <c r="AX64" i="91"/>
  <c r="AZ65" i="91"/>
  <c r="BB74" i="91"/>
  <c r="BB72" i="91"/>
  <c r="BB59" i="91"/>
  <c r="BB52" i="91"/>
  <c r="AX75" i="91"/>
  <c r="BC77" i="91"/>
  <c r="AQ77" i="91"/>
  <c r="BC71" i="91"/>
  <c r="AQ71" i="91"/>
  <c r="BB60" i="91"/>
  <c r="BC109" i="91"/>
  <c r="AQ109" i="91"/>
  <c r="AY73" i="91"/>
  <c r="AZ73" i="91"/>
  <c r="BC75" i="91"/>
  <c r="AQ75" i="91"/>
  <c r="AY76" i="91"/>
  <c r="AZ60" i="91"/>
  <c r="AZ39" i="91"/>
  <c r="AX39" i="91"/>
  <c r="BC50" i="91"/>
  <c r="AQ50" i="91"/>
  <c r="BC65" i="91"/>
  <c r="AQ65" i="91"/>
  <c r="BC73" i="91"/>
  <c r="AQ73" i="91"/>
  <c r="AY56" i="91"/>
  <c r="AX56" i="91"/>
  <c r="BC60" i="91"/>
  <c r="AQ60" i="91"/>
  <c r="AY58" i="91"/>
  <c r="BB58" i="91"/>
  <c r="AZ58" i="91"/>
  <c r="BC76" i="91"/>
  <c r="AQ76" i="91"/>
  <c r="DU86" i="15"/>
  <c r="DT86" i="15"/>
  <c r="DU113" i="15"/>
  <c r="DT63" i="15"/>
  <c r="DZ63" i="15" s="1"/>
  <c r="EB63" i="15" s="1"/>
  <c r="BD63" i="65" s="1"/>
  <c r="EO121" i="15"/>
  <c r="EP47" i="15"/>
  <c r="ED68" i="15"/>
  <c r="BA66" i="65"/>
  <c r="ED105" i="15"/>
  <c r="DT99" i="15"/>
  <c r="DS101" i="15"/>
  <c r="AH101" i="65" s="1"/>
  <c r="DS99" i="15"/>
  <c r="EN66" i="15"/>
  <c r="EO66" i="15" s="1"/>
  <c r="DU91" i="15"/>
  <c r="EA91" i="15" s="1"/>
  <c r="ED36" i="15"/>
  <c r="DT79" i="15"/>
  <c r="AH79" i="65" s="1"/>
  <c r="BA109" i="65"/>
  <c r="AZ109" i="65"/>
  <c r="EH94" i="15"/>
  <c r="DQ94" i="15" s="1"/>
  <c r="ED40" i="15"/>
  <c r="BA23" i="65"/>
  <c r="EL71" i="15"/>
  <c r="DT33" i="15"/>
  <c r="DZ33" i="15" s="1"/>
  <c r="EB33" i="15" s="1"/>
  <c r="EC33" i="15" s="1"/>
  <c r="EG33" i="15" s="1"/>
  <c r="BA70" i="65"/>
  <c r="DK46" i="15"/>
  <c r="BA35" i="65"/>
  <c r="U35" i="5" s="1"/>
  <c r="AY35" i="73" s="1"/>
  <c r="DK49" i="15"/>
  <c r="DK32" i="15"/>
  <c r="DK29" i="15"/>
  <c r="EN29" i="15" s="1"/>
  <c r="DT121" i="15"/>
  <c r="DS121" i="15"/>
  <c r="EN49" i="15"/>
  <c r="EP49" i="15" s="1"/>
  <c r="DY53" i="15"/>
  <c r="EN35" i="15"/>
  <c r="EP35" i="15" s="1"/>
  <c r="EN46" i="15"/>
  <c r="EQ46" i="15" s="1"/>
  <c r="ED65" i="15"/>
  <c r="BA34" i="65"/>
  <c r="U34" i="5" s="1"/>
  <c r="AY34" i="73" s="1"/>
  <c r="DK24" i="15"/>
  <c r="EN24" i="15" s="1"/>
  <c r="BA69" i="65"/>
  <c r="BA77" i="65"/>
  <c r="DK75" i="15"/>
  <c r="DU33" i="15"/>
  <c r="EN32" i="15"/>
  <c r="EP32" i="15" s="1"/>
  <c r="EN34" i="15"/>
  <c r="EQ34" i="15" s="1"/>
  <c r="DJ60" i="15"/>
  <c r="EJ60" i="15" s="1"/>
  <c r="EM60" i="15" s="1"/>
  <c r="EM114" i="15"/>
  <c r="EK114" i="15"/>
  <c r="DU96" i="15"/>
  <c r="EA96" i="15" s="1"/>
  <c r="DS96" i="15"/>
  <c r="DT96" i="15"/>
  <c r="BC96" i="65"/>
  <c r="DU119" i="15"/>
  <c r="EA119" i="15" s="1"/>
  <c r="DS119" i="15"/>
  <c r="DT119" i="15"/>
  <c r="BC119" i="65"/>
  <c r="DU110" i="15"/>
  <c r="EA110" i="15" s="1"/>
  <c r="DS110" i="15"/>
  <c r="DT110" i="15"/>
  <c r="BC110" i="65"/>
  <c r="EP74" i="15"/>
  <c r="EP121" i="15"/>
  <c r="DU48" i="15"/>
  <c r="DT48" i="15"/>
  <c r="EO98" i="15"/>
  <c r="EL97" i="15"/>
  <c r="EE100" i="15"/>
  <c r="EH100" i="15" s="1"/>
  <c r="DQ100" i="15" s="1"/>
  <c r="EP91" i="15"/>
  <c r="DU109" i="15"/>
  <c r="DT109" i="15"/>
  <c r="DU49" i="15"/>
  <c r="DS49" i="15"/>
  <c r="DU77" i="15"/>
  <c r="DS77" i="15"/>
  <c r="AH77" i="65" s="1"/>
  <c r="EK58" i="15"/>
  <c r="EM58" i="15"/>
  <c r="EG42" i="15"/>
  <c r="DL42" i="15" s="1"/>
  <c r="DU72" i="15"/>
  <c r="DS72" i="15"/>
  <c r="EQ58" i="15"/>
  <c r="EO58" i="15"/>
  <c r="EL98" i="15"/>
  <c r="EM98" i="15"/>
  <c r="EK110" i="15"/>
  <c r="EL47" i="15"/>
  <c r="DU92" i="15"/>
  <c r="EA92" i="15" s="1"/>
  <c r="DS92" i="15"/>
  <c r="DT92" i="15"/>
  <c r="BC92" i="65"/>
  <c r="EM45" i="15"/>
  <c r="EK45" i="15"/>
  <c r="DU123" i="15"/>
  <c r="DS123" i="15"/>
  <c r="DS125" i="15"/>
  <c r="DT125" i="15"/>
  <c r="EQ51" i="15"/>
  <c r="DZ49" i="15"/>
  <c r="EB49" i="15" s="1"/>
  <c r="EF49" i="15" s="1"/>
  <c r="BE49" i="65" s="1"/>
  <c r="AE49" i="5" s="1"/>
  <c r="ED49" i="15"/>
  <c r="EQ50" i="15"/>
  <c r="EO50" i="15"/>
  <c r="EQ95" i="15"/>
  <c r="EL95" i="15"/>
  <c r="EM97" i="15"/>
  <c r="EQ91" i="15"/>
  <c r="DS126" i="15"/>
  <c r="DU126" i="15"/>
  <c r="DS122" i="15"/>
  <c r="DU122" i="15"/>
  <c r="DU61" i="15"/>
  <c r="DT61" i="15"/>
  <c r="DU66" i="15"/>
  <c r="DS66" i="15"/>
  <c r="DU44" i="15"/>
  <c r="EA44" i="15" s="1"/>
  <c r="DT44" i="15"/>
  <c r="AH44" i="65" s="1"/>
  <c r="ED43" i="15"/>
  <c r="EM64" i="15"/>
  <c r="EK64" i="15"/>
  <c r="EK116" i="15"/>
  <c r="EL89" i="15"/>
  <c r="EM50" i="15"/>
  <c r="EP50" i="15"/>
  <c r="EP76" i="15"/>
  <c r="DS43" i="15"/>
  <c r="DU43" i="15"/>
  <c r="DR39" i="15"/>
  <c r="DS39" i="15" s="1"/>
  <c r="BA39" i="65"/>
  <c r="U39" i="5" s="1"/>
  <c r="AY39" i="73" s="1"/>
  <c r="DK56" i="15"/>
  <c r="EN56" i="15"/>
  <c r="EO56" i="15" s="1"/>
  <c r="DJ76" i="15"/>
  <c r="EJ76" i="15" s="1"/>
  <c r="EM76" i="15" s="1"/>
  <c r="AZ76" i="65"/>
  <c r="EG80" i="15"/>
  <c r="DL80" i="15" s="1"/>
  <c r="EG117" i="15"/>
  <c r="DL117" i="15" s="1"/>
  <c r="EG89" i="15"/>
  <c r="DL89" i="15" s="1"/>
  <c r="EQ39" i="15"/>
  <c r="EO39" i="15"/>
  <c r="DU46" i="15"/>
  <c r="DS46" i="15"/>
  <c r="DZ41" i="15"/>
  <c r="EB41" i="15" s="1"/>
  <c r="DR27" i="15"/>
  <c r="DU27" i="15" s="1"/>
  <c r="EN27" i="15"/>
  <c r="EP27" i="15" s="1"/>
  <c r="BA27" i="65"/>
  <c r="U27" i="5" s="1"/>
  <c r="AY27" i="73" s="1"/>
  <c r="EL88" i="15"/>
  <c r="EK88" i="15"/>
  <c r="EK119" i="15"/>
  <c r="EK79" i="15"/>
  <c r="EM79" i="15"/>
  <c r="EL79" i="15"/>
  <c r="DS84" i="15"/>
  <c r="DU84" i="15"/>
  <c r="DT84" i="15"/>
  <c r="BC84" i="65"/>
  <c r="DS88" i="15"/>
  <c r="DT88" i="15"/>
  <c r="DU88" i="15"/>
  <c r="BC88" i="65"/>
  <c r="DU95" i="15"/>
  <c r="DS95" i="15"/>
  <c r="DT95" i="15"/>
  <c r="BC95" i="65"/>
  <c r="DS108" i="15"/>
  <c r="DT108" i="15"/>
  <c r="BC108" i="65"/>
  <c r="DU108" i="15"/>
  <c r="DU115" i="15"/>
  <c r="BC115" i="65"/>
  <c r="DS115" i="15"/>
  <c r="DT115" i="15"/>
  <c r="DS55" i="15"/>
  <c r="BC55" i="65"/>
  <c r="DU55" i="15"/>
  <c r="DT55" i="15"/>
  <c r="DU118" i="15"/>
  <c r="BC118" i="65"/>
  <c r="DS118" i="15"/>
  <c r="DT118" i="15"/>
  <c r="EK104" i="15"/>
  <c r="EM101" i="15"/>
  <c r="EK101" i="15"/>
  <c r="EL101" i="15"/>
  <c r="EL86" i="15"/>
  <c r="EM85" i="15"/>
  <c r="EK85" i="15"/>
  <c r="EL85" i="15"/>
  <c r="EM118" i="15"/>
  <c r="EL118" i="15"/>
  <c r="DS114" i="15"/>
  <c r="DU114" i="15"/>
  <c r="DT114" i="15"/>
  <c r="BC114" i="65"/>
  <c r="DU120" i="15"/>
  <c r="DS120" i="15"/>
  <c r="DT120" i="15"/>
  <c r="BC120" i="65"/>
  <c r="EM43" i="15"/>
  <c r="EK43" i="15"/>
  <c r="EL43" i="15"/>
  <c r="DU105" i="15"/>
  <c r="DS105" i="15"/>
  <c r="AH105" i="65" s="1"/>
  <c r="EM49" i="15"/>
  <c r="EL49" i="15"/>
  <c r="EM89" i="15"/>
  <c r="EO63" i="15"/>
  <c r="DU67" i="15"/>
  <c r="DT67" i="15"/>
  <c r="EM53" i="15"/>
  <c r="EL66" i="15"/>
  <c r="EH127" i="15"/>
  <c r="DQ127" i="15" s="1"/>
  <c r="DU93" i="15"/>
  <c r="DS93" i="15"/>
  <c r="DU68" i="15"/>
  <c r="DS68" i="15"/>
  <c r="EK95" i="15"/>
  <c r="EK98" i="15"/>
  <c r="EL114" i="15"/>
  <c r="EK124" i="15"/>
  <c r="EL116" i="15"/>
  <c r="EO120" i="15"/>
  <c r="EM59" i="15"/>
  <c r="EK59" i="15"/>
  <c r="EL59" i="15"/>
  <c r="DS40" i="15"/>
  <c r="DU40" i="15"/>
  <c r="EM73" i="15"/>
  <c r="EL73" i="15"/>
  <c r="EK73" i="15"/>
  <c r="EM65" i="15"/>
  <c r="EL65" i="15"/>
  <c r="DS36" i="15"/>
  <c r="AH36" i="65" s="1"/>
  <c r="DU36" i="15"/>
  <c r="EL45" i="15"/>
  <c r="EM71" i="15"/>
  <c r="DS41" i="15"/>
  <c r="DU41" i="15"/>
  <c r="DS65" i="15"/>
  <c r="DU65" i="15"/>
  <c r="DR60" i="15"/>
  <c r="EN60" i="15"/>
  <c r="DU32" i="15"/>
  <c r="DS32" i="15"/>
  <c r="DT32" i="15"/>
  <c r="DU58" i="15"/>
  <c r="DS78" i="15"/>
  <c r="AH78" i="65" s="1"/>
  <c r="EL64" i="15"/>
  <c r="EK50" i="15"/>
  <c r="DU51" i="15"/>
  <c r="DS71" i="15"/>
  <c r="DU71" i="15"/>
  <c r="DU69" i="15"/>
  <c r="DS69" i="15"/>
  <c r="DU75" i="15"/>
  <c r="DS75" i="15"/>
  <c r="DS74" i="15"/>
  <c r="AH74" i="65" s="1"/>
  <c r="DU74" i="15"/>
  <c r="DU24" i="15"/>
  <c r="DS24" i="15"/>
  <c r="DT24" i="15"/>
  <c r="DR56" i="15"/>
  <c r="DS56" i="15" s="1"/>
  <c r="BA56" i="65"/>
  <c r="DU73" i="15"/>
  <c r="DS73" i="15"/>
  <c r="EG53" i="15"/>
  <c r="DL53" i="15" s="1"/>
  <c r="EL111" i="15"/>
  <c r="EM92" i="15"/>
  <c r="EM84" i="15"/>
  <c r="EK84" i="15"/>
  <c r="EL84" i="15"/>
  <c r="EM100" i="15"/>
  <c r="EL108" i="15"/>
  <c r="EM108" i="15"/>
  <c r="EK108" i="15"/>
  <c r="EK115" i="15"/>
  <c r="EM115" i="15"/>
  <c r="EK67" i="15"/>
  <c r="EM125" i="15"/>
  <c r="EK125" i="15"/>
  <c r="EL125" i="15"/>
  <c r="EK123" i="15"/>
  <c r="DS98" i="15"/>
  <c r="DT98" i="15"/>
  <c r="DU98" i="15"/>
  <c r="BC98" i="65"/>
  <c r="EL107" i="15"/>
  <c r="EK121" i="15"/>
  <c r="EF126" i="15"/>
  <c r="BE126" i="65" s="1"/>
  <c r="CU22" i="15"/>
  <c r="CW22" i="15"/>
  <c r="EK113" i="15"/>
  <c r="EL113" i="15"/>
  <c r="EM113" i="15"/>
  <c r="EL80" i="15"/>
  <c r="EM80" i="15"/>
  <c r="EK80" i="15"/>
  <c r="EM99" i="15"/>
  <c r="EK122" i="15"/>
  <c r="EL126" i="15"/>
  <c r="EM120" i="15"/>
  <c r="EK63" i="15"/>
  <c r="EL63" i="15"/>
  <c r="EM63" i="15"/>
  <c r="EM93" i="15"/>
  <c r="EK93" i="15"/>
  <c r="EL93" i="15"/>
  <c r="EM105" i="15"/>
  <c r="EK105" i="15"/>
  <c r="EL105" i="15"/>
  <c r="EK55" i="15"/>
  <c r="EL55" i="15"/>
  <c r="EM55" i="15"/>
  <c r="DY67" i="15"/>
  <c r="DT104" i="15"/>
  <c r="BC104" i="65"/>
  <c r="DU104" i="15"/>
  <c r="DS104" i="15"/>
  <c r="EL42" i="15"/>
  <c r="EM42" i="15"/>
  <c r="EK42" i="15"/>
  <c r="EL91" i="15"/>
  <c r="BD122" i="65"/>
  <c r="EF122" i="15"/>
  <c r="BE122" i="65" s="1"/>
  <c r="EL44" i="15"/>
  <c r="EC63" i="15"/>
  <c r="EG63" i="15" s="1"/>
  <c r="DL63" i="15" s="1"/>
  <c r="DY63" i="15"/>
  <c r="BD93" i="65"/>
  <c r="EL40" i="15"/>
  <c r="EM40" i="15"/>
  <c r="EK40" i="15"/>
  <c r="EF36" i="15"/>
  <c r="BE36" i="65" s="1"/>
  <c r="AE36" i="5" s="1"/>
  <c r="BD36" i="65"/>
  <c r="AD36" i="5" s="1"/>
  <c r="DS107" i="15"/>
  <c r="DU107" i="15"/>
  <c r="EK72" i="15"/>
  <c r="EM70" i="15"/>
  <c r="EK70" i="15"/>
  <c r="EL70" i="15"/>
  <c r="BD72" i="65"/>
  <c r="EC47" i="15"/>
  <c r="EG47" i="15" s="1"/>
  <c r="DL47" i="15" s="1"/>
  <c r="EL75" i="15"/>
  <c r="EM124" i="15"/>
  <c r="EK118" i="15"/>
  <c r="EL53" i="15"/>
  <c r="EK66" i="15"/>
  <c r="EF68" i="15"/>
  <c r="BE68" i="65" s="1"/>
  <c r="BD68" i="65"/>
  <c r="EF105" i="15"/>
  <c r="BE105" i="65" s="1"/>
  <c r="BD105" i="65"/>
  <c r="EL57" i="15"/>
  <c r="EM57" i="15"/>
  <c r="EK57" i="15"/>
  <c r="EF40" i="15"/>
  <c r="BE40" i="65" s="1"/>
  <c r="AE40" i="5" s="1"/>
  <c r="BD40" i="65"/>
  <c r="AD40" i="5" s="1"/>
  <c r="BD78" i="65"/>
  <c r="EF45" i="15"/>
  <c r="BE45" i="65" s="1"/>
  <c r="AE45" i="5" s="1"/>
  <c r="EE121" i="15"/>
  <c r="EH121" i="15" s="1"/>
  <c r="DQ121" i="15" s="1"/>
  <c r="EA121" i="15"/>
  <c r="EM52" i="15"/>
  <c r="EK52" i="15"/>
  <c r="EL52" i="15"/>
  <c r="BD65" i="65"/>
  <c r="EF65" i="15"/>
  <c r="BE65" i="65" s="1"/>
  <c r="BD71" i="65"/>
  <c r="EM27" i="15"/>
  <c r="EK27" i="15"/>
  <c r="EL27" i="15"/>
  <c r="EP125" i="15"/>
  <c r="DU59" i="15"/>
  <c r="DS59" i="15"/>
  <c r="EL56" i="15"/>
  <c r="EK49" i="15"/>
  <c r="EK65" i="15"/>
  <c r="DS50" i="15"/>
  <c r="DS76" i="15"/>
  <c r="DT76" i="15"/>
  <c r="DS52" i="15"/>
  <c r="AH52" i="65" s="1"/>
  <c r="EL58" i="15"/>
  <c r="AH71" i="65" l="1"/>
  <c r="AH65" i="65"/>
  <c r="AH118" i="65"/>
  <c r="AH115" i="65"/>
  <c r="AH125" i="65"/>
  <c r="AH119" i="65"/>
  <c r="AH96" i="65"/>
  <c r="AY33" i="73"/>
  <c r="AH99" i="65"/>
  <c r="AY36" i="73"/>
  <c r="AY31" i="73"/>
  <c r="AH73" i="65"/>
  <c r="AH66" i="65"/>
  <c r="AH49" i="65"/>
  <c r="BC40" i="73"/>
  <c r="AQ40" i="73"/>
  <c r="BC36" i="73"/>
  <c r="AQ36" i="73"/>
  <c r="BC45" i="73"/>
  <c r="AQ45" i="73"/>
  <c r="AH59" i="65"/>
  <c r="AH111" i="65"/>
  <c r="AY38" i="73"/>
  <c r="AY47" i="73"/>
  <c r="AZ31" i="73"/>
  <c r="AZ35" i="73"/>
  <c r="AZ43" i="73"/>
  <c r="AZ40" i="73"/>
  <c r="AZ26" i="73"/>
  <c r="AZ30" i="73"/>
  <c r="AZ29" i="73"/>
  <c r="AZ33" i="73"/>
  <c r="AZ38" i="73"/>
  <c r="AY43" i="83"/>
  <c r="AY43" i="73"/>
  <c r="AY48" i="82"/>
  <c r="AY48" i="73"/>
  <c r="BC42" i="73"/>
  <c r="AQ42" i="73"/>
  <c r="BC43" i="73"/>
  <c r="AQ43" i="73"/>
  <c r="AY26" i="73"/>
  <c r="AY42" i="73"/>
  <c r="AY49" i="73"/>
  <c r="AZ24" i="73"/>
  <c r="AZ37" i="73"/>
  <c r="AZ27" i="73"/>
  <c r="AZ49" i="73"/>
  <c r="AZ45" i="73"/>
  <c r="AZ44" i="73"/>
  <c r="AZ42" i="73"/>
  <c r="AZ39" i="73"/>
  <c r="AZ34" i="73"/>
  <c r="AZ36" i="73"/>
  <c r="AZ47" i="73"/>
  <c r="AH110" i="65"/>
  <c r="AH121" i="65"/>
  <c r="AH89" i="65"/>
  <c r="AH94" i="65"/>
  <c r="DY41" i="15"/>
  <c r="AH41" i="65"/>
  <c r="DY108" i="15"/>
  <c r="AH108" i="65"/>
  <c r="DY88" i="15"/>
  <c r="AH88" i="65"/>
  <c r="EC84" i="15"/>
  <c r="EG84" i="15" s="1"/>
  <c r="DL84" i="15" s="1"/>
  <c r="AH84" i="65"/>
  <c r="EC67" i="15"/>
  <c r="EG67" i="15" s="1"/>
  <c r="DL67" i="15" s="1"/>
  <c r="AH67" i="65"/>
  <c r="DY85" i="15"/>
  <c r="AH85" i="65"/>
  <c r="EC51" i="15"/>
  <c r="EG51" i="15" s="1"/>
  <c r="DL51" i="15" s="1"/>
  <c r="AH51" i="65"/>
  <c r="EC48" i="15"/>
  <c r="EG48" i="15" s="1"/>
  <c r="DL48" i="15" s="1"/>
  <c r="AH48" i="65"/>
  <c r="AH98" i="65"/>
  <c r="AH114" i="65"/>
  <c r="AH55" i="65"/>
  <c r="AH106" i="65"/>
  <c r="AH42" i="65"/>
  <c r="AH116" i="65"/>
  <c r="AH100" i="65"/>
  <c r="DY40" i="15"/>
  <c r="AH40" i="65"/>
  <c r="DY113" i="15"/>
  <c r="AH113" i="65"/>
  <c r="EC86" i="15"/>
  <c r="EG86" i="15" s="1"/>
  <c r="DL86" i="15" s="1"/>
  <c r="AH86" i="65"/>
  <c r="EC54" i="15"/>
  <c r="EG54" i="15" s="1"/>
  <c r="DL54" i="15" s="1"/>
  <c r="AH54" i="65"/>
  <c r="EC45" i="15"/>
  <c r="EG45" i="15" s="1"/>
  <c r="DL45" i="15" s="1"/>
  <c r="AH45" i="65"/>
  <c r="DY62" i="15"/>
  <c r="AH62" i="65"/>
  <c r="DY47" i="15"/>
  <c r="DY109" i="15"/>
  <c r="AH109" i="65"/>
  <c r="DY91" i="15"/>
  <c r="AH91" i="65"/>
  <c r="EC61" i="15"/>
  <c r="EG61" i="15" s="1"/>
  <c r="DL61" i="15" s="1"/>
  <c r="AH61" i="65"/>
  <c r="AH76" i="65"/>
  <c r="AH107" i="65"/>
  <c r="AH104" i="65"/>
  <c r="AH24" i="65"/>
  <c r="AH75" i="65"/>
  <c r="AH69" i="65"/>
  <c r="AH32" i="65"/>
  <c r="AH68" i="65"/>
  <c r="AH93" i="65"/>
  <c r="AH120" i="65"/>
  <c r="AH95" i="65"/>
  <c r="AH46" i="65"/>
  <c r="AH43" i="65"/>
  <c r="AH122" i="65"/>
  <c r="AH126" i="65"/>
  <c r="AH123" i="65"/>
  <c r="AH92" i="65"/>
  <c r="AH72" i="65"/>
  <c r="AH70" i="65"/>
  <c r="AH97" i="65"/>
  <c r="AH124" i="65"/>
  <c r="AH127" i="65"/>
  <c r="AH33" i="65"/>
  <c r="AH63" i="65"/>
  <c r="AH53" i="65"/>
  <c r="AH80" i="65"/>
  <c r="EQ40" i="15"/>
  <c r="AY46" i="91"/>
  <c r="AQ45" i="91"/>
  <c r="EP119" i="15"/>
  <c r="EP104" i="15"/>
  <c r="AZ47" i="83"/>
  <c r="AX49" i="86"/>
  <c r="BB49" i="82"/>
  <c r="AX47" i="84"/>
  <c r="AZ49" i="85"/>
  <c r="BB44" i="82"/>
  <c r="AY47" i="88"/>
  <c r="EO38" i="15"/>
  <c r="AX49" i="91"/>
  <c r="AY45" i="91"/>
  <c r="AZ47" i="91"/>
  <c r="AY49" i="91"/>
  <c r="AX44" i="91"/>
  <c r="AX47" i="91"/>
  <c r="AX49" i="90"/>
  <c r="AX49" i="83"/>
  <c r="BB49" i="86"/>
  <c r="AY41" i="87"/>
  <c r="AX47" i="88"/>
  <c r="AZ47" i="90"/>
  <c r="AZ49" i="87"/>
  <c r="AY49" i="88"/>
  <c r="BB44" i="90"/>
  <c r="AY47" i="86"/>
  <c r="AX40" i="88"/>
  <c r="AX40" i="86"/>
  <c r="AZ44" i="90"/>
  <c r="AZ44" i="85"/>
  <c r="AZ44" i="82"/>
  <c r="AX42" i="90"/>
  <c r="AX42" i="85"/>
  <c r="AX42" i="82"/>
  <c r="AY42" i="84"/>
  <c r="AX40" i="91"/>
  <c r="BC42" i="91"/>
  <c r="AX42" i="91"/>
  <c r="BB46" i="91"/>
  <c r="AZ40" i="91"/>
  <c r="AY40" i="91"/>
  <c r="AZ44" i="91"/>
  <c r="AX49" i="87"/>
  <c r="AX49" i="88"/>
  <c r="AX49" i="85"/>
  <c r="AX49" i="84"/>
  <c r="BB49" i="90"/>
  <c r="BB49" i="83"/>
  <c r="AY41" i="88"/>
  <c r="AY41" i="86"/>
  <c r="AX40" i="87"/>
  <c r="AX40" i="83"/>
  <c r="AZ44" i="89"/>
  <c r="AZ44" i="84"/>
  <c r="AX42" i="89"/>
  <c r="AX42" i="84"/>
  <c r="AX47" i="87"/>
  <c r="AX47" i="85"/>
  <c r="AZ47" i="89"/>
  <c r="AZ47" i="86"/>
  <c r="AZ47" i="82"/>
  <c r="AZ49" i="88"/>
  <c r="AZ49" i="84"/>
  <c r="AY49" i="87"/>
  <c r="AY49" i="83"/>
  <c r="BB44" i="85"/>
  <c r="AY47" i="87"/>
  <c r="AY47" i="83"/>
  <c r="AX23" i="82"/>
  <c r="AY45" i="84"/>
  <c r="AY42" i="85"/>
  <c r="BB48" i="85"/>
  <c r="AQ40" i="91"/>
  <c r="AY45" i="89"/>
  <c r="AY42" i="87"/>
  <c r="BB48" i="90"/>
  <c r="BB48" i="82"/>
  <c r="AY39" i="91"/>
  <c r="BB49" i="91"/>
  <c r="AQ42" i="91"/>
  <c r="BB48" i="91"/>
  <c r="AY48" i="91"/>
  <c r="AY42" i="91"/>
  <c r="DR29" i="15"/>
  <c r="DT29" i="15" s="1"/>
  <c r="DZ29" i="15" s="1"/>
  <c r="EB29" i="15" s="1"/>
  <c r="BB49" i="87"/>
  <c r="BB49" i="88"/>
  <c r="BB49" i="85"/>
  <c r="BB49" i="84"/>
  <c r="AY41" i="90"/>
  <c r="AY41" i="89"/>
  <c r="AY41" i="85"/>
  <c r="AY41" i="84"/>
  <c r="AY41" i="82"/>
  <c r="AY45" i="90"/>
  <c r="AY45" i="85"/>
  <c r="AY45" i="82"/>
  <c r="AY42" i="88"/>
  <c r="BB48" i="89"/>
  <c r="BB48" i="84"/>
  <c r="BB44" i="89"/>
  <c r="BB44" i="84"/>
  <c r="AY44" i="91"/>
  <c r="BC45" i="91"/>
  <c r="AY43" i="91"/>
  <c r="BC40" i="91"/>
  <c r="ED45" i="15"/>
  <c r="EN30" i="15"/>
  <c r="AY39" i="88"/>
  <c r="AY39" i="87"/>
  <c r="AY39" i="86"/>
  <c r="AY39" i="83"/>
  <c r="BC45" i="90"/>
  <c r="BC45" i="88"/>
  <c r="BC45" i="89"/>
  <c r="BC45" i="87"/>
  <c r="BC45" i="85"/>
  <c r="BC45" i="86"/>
  <c r="BC45" i="84"/>
  <c r="BC45" i="83"/>
  <c r="BC45" i="82"/>
  <c r="AQ40" i="89"/>
  <c r="AQ40" i="87"/>
  <c r="AQ40" i="90"/>
  <c r="AQ40" i="88"/>
  <c r="AQ40" i="86"/>
  <c r="AQ40" i="85"/>
  <c r="AQ40" i="83"/>
  <c r="AQ40" i="84"/>
  <c r="AQ40" i="82"/>
  <c r="AY45" i="88"/>
  <c r="AY45" i="87"/>
  <c r="AY45" i="86"/>
  <c r="AY45" i="83"/>
  <c r="AX40" i="90"/>
  <c r="AX40" i="89"/>
  <c r="AX40" i="85"/>
  <c r="AX40" i="84"/>
  <c r="AX40" i="82"/>
  <c r="AY44" i="89"/>
  <c r="AY44" i="90"/>
  <c r="AY44" i="86"/>
  <c r="AY44" i="83"/>
  <c r="AY44" i="82"/>
  <c r="AZ44" i="88"/>
  <c r="AZ44" i="87"/>
  <c r="AZ44" i="86"/>
  <c r="AZ44" i="83"/>
  <c r="AX42" i="88"/>
  <c r="AX42" i="87"/>
  <c r="AX42" i="86"/>
  <c r="AX42" i="83"/>
  <c r="AY42" i="89"/>
  <c r="AY42" i="90"/>
  <c r="AY42" i="86"/>
  <c r="AY42" i="83"/>
  <c r="AY42" i="82"/>
  <c r="BB48" i="88"/>
  <c r="BB48" i="87"/>
  <c r="BB48" i="86"/>
  <c r="BB48" i="83"/>
  <c r="AX47" i="89"/>
  <c r="AX47" i="90"/>
  <c r="AX47" i="86"/>
  <c r="AX47" i="83"/>
  <c r="AX47" i="82"/>
  <c r="AZ47" i="87"/>
  <c r="AZ47" i="88"/>
  <c r="AZ47" i="85"/>
  <c r="AZ47" i="84"/>
  <c r="BB46" i="88"/>
  <c r="BB46" i="87"/>
  <c r="BB46" i="86"/>
  <c r="BB46" i="83"/>
  <c r="AY43" i="90"/>
  <c r="AY43" i="89"/>
  <c r="AY43" i="85"/>
  <c r="AY43" i="84"/>
  <c r="AY43" i="82"/>
  <c r="AZ49" i="89"/>
  <c r="AZ49" i="90"/>
  <c r="AZ49" i="86"/>
  <c r="AZ49" i="83"/>
  <c r="AZ49" i="82"/>
  <c r="AY46" i="87"/>
  <c r="AY46" i="88"/>
  <c r="AY46" i="85"/>
  <c r="AY46" i="84"/>
  <c r="AY49" i="90"/>
  <c r="AY49" i="89"/>
  <c r="AY49" i="85"/>
  <c r="AY49" i="84"/>
  <c r="AY49" i="82"/>
  <c r="BB44" i="88"/>
  <c r="BB44" i="87"/>
  <c r="BB44" i="86"/>
  <c r="BB44" i="83"/>
  <c r="AZ40" i="88"/>
  <c r="AZ40" i="87"/>
  <c r="AZ40" i="86"/>
  <c r="AZ40" i="83"/>
  <c r="AY40" i="87"/>
  <c r="AY40" i="88"/>
  <c r="AY40" i="85"/>
  <c r="AY40" i="84"/>
  <c r="AX44" i="90"/>
  <c r="AX44" i="89"/>
  <c r="AX44" i="85"/>
  <c r="AX44" i="84"/>
  <c r="AX44" i="82"/>
  <c r="BC42" i="89"/>
  <c r="BC42" i="87"/>
  <c r="BC42" i="90"/>
  <c r="BC42" i="88"/>
  <c r="BC42" i="86"/>
  <c r="BC42" i="85"/>
  <c r="BC42" i="83"/>
  <c r="BC42" i="84"/>
  <c r="BC42" i="82"/>
  <c r="AY48" i="87"/>
  <c r="AY48" i="88"/>
  <c r="AY48" i="85"/>
  <c r="AY48" i="84"/>
  <c r="AZ42" i="90"/>
  <c r="AZ42" i="89"/>
  <c r="AZ42" i="85"/>
  <c r="AZ42" i="84"/>
  <c r="AZ42" i="82"/>
  <c r="AY47" i="90"/>
  <c r="AY47" i="89"/>
  <c r="AY47" i="85"/>
  <c r="AY47" i="84"/>
  <c r="AY47" i="82"/>
  <c r="AY39" i="90"/>
  <c r="AY39" i="89"/>
  <c r="AY39" i="85"/>
  <c r="AY39" i="84"/>
  <c r="AY39" i="82"/>
  <c r="AQ45" i="90"/>
  <c r="AQ45" i="88"/>
  <c r="AQ45" i="89"/>
  <c r="AQ45" i="87"/>
  <c r="AQ45" i="85"/>
  <c r="AQ45" i="86"/>
  <c r="AQ45" i="84"/>
  <c r="AQ45" i="83"/>
  <c r="AQ45" i="82"/>
  <c r="BC40" i="89"/>
  <c r="BC40" i="87"/>
  <c r="BC40" i="90"/>
  <c r="BC40" i="88"/>
  <c r="BC40" i="86"/>
  <c r="BC40" i="85"/>
  <c r="BC40" i="83"/>
  <c r="BC40" i="84"/>
  <c r="BC40" i="82"/>
  <c r="AY44" i="87"/>
  <c r="AY44" i="88"/>
  <c r="AY44" i="85"/>
  <c r="AY44" i="84"/>
  <c r="BB46" i="90"/>
  <c r="BB46" i="89"/>
  <c r="BB46" i="85"/>
  <c r="BB46" i="84"/>
  <c r="BB46" i="82"/>
  <c r="AY43" i="88"/>
  <c r="AY43" i="87"/>
  <c r="AY43" i="86"/>
  <c r="AY46" i="89"/>
  <c r="AY46" i="90"/>
  <c r="AY46" i="86"/>
  <c r="AY46" i="83"/>
  <c r="AY46" i="82"/>
  <c r="AZ40" i="90"/>
  <c r="AZ40" i="89"/>
  <c r="AZ40" i="85"/>
  <c r="AZ40" i="84"/>
  <c r="AZ40" i="82"/>
  <c r="AY40" i="89"/>
  <c r="AY40" i="90"/>
  <c r="AY40" i="86"/>
  <c r="AY40" i="83"/>
  <c r="AY40" i="82"/>
  <c r="AX44" i="88"/>
  <c r="AX44" i="87"/>
  <c r="AX44" i="86"/>
  <c r="AX44" i="83"/>
  <c r="AQ42" i="89"/>
  <c r="AQ42" i="87"/>
  <c r="AQ42" i="90"/>
  <c r="AQ42" i="88"/>
  <c r="AQ42" i="86"/>
  <c r="AQ42" i="85"/>
  <c r="AQ42" i="83"/>
  <c r="AQ42" i="84"/>
  <c r="AQ42" i="82"/>
  <c r="AY48" i="89"/>
  <c r="AY48" i="90"/>
  <c r="AY48" i="86"/>
  <c r="AY48" i="83"/>
  <c r="AZ42" i="88"/>
  <c r="AZ42" i="87"/>
  <c r="AZ42" i="86"/>
  <c r="AZ42" i="83"/>
  <c r="BD69" i="65"/>
  <c r="EF91" i="15"/>
  <c r="BE91" i="65" s="1"/>
  <c r="EF107" i="15"/>
  <c r="BE107" i="65" s="1"/>
  <c r="EF116" i="15"/>
  <c r="BE116" i="65" s="1"/>
  <c r="EL121" i="15"/>
  <c r="EK37" i="15"/>
  <c r="EP69" i="15"/>
  <c r="EP56" i="15"/>
  <c r="EP62" i="15"/>
  <c r="EQ41" i="15"/>
  <c r="EO72" i="15"/>
  <c r="ED62" i="15"/>
  <c r="AZ34" i="91"/>
  <c r="EP70" i="15"/>
  <c r="EK56" i="15"/>
  <c r="EF75" i="15"/>
  <c r="BE75" i="65" s="1"/>
  <c r="BD59" i="65"/>
  <c r="EM24" i="15"/>
  <c r="EF62" i="15"/>
  <c r="BE62" i="65" s="1"/>
  <c r="EO107" i="15"/>
  <c r="EM75" i="15"/>
  <c r="EA78" i="15"/>
  <c r="EL72" i="15"/>
  <c r="EM54" i="15"/>
  <c r="EK109" i="15"/>
  <c r="BD66" i="65"/>
  <c r="EM44" i="15"/>
  <c r="EK126" i="15"/>
  <c r="EL38" i="15"/>
  <c r="EL122" i="15"/>
  <c r="EF127" i="15"/>
  <c r="BE127" i="65" s="1"/>
  <c r="EM78" i="15"/>
  <c r="EM107" i="15"/>
  <c r="EL117" i="15"/>
  <c r="EK39" i="15"/>
  <c r="EO64" i="15"/>
  <c r="EP75" i="15"/>
  <c r="DT58" i="15"/>
  <c r="ED58" i="15" s="1"/>
  <c r="ED78" i="15"/>
  <c r="EP122" i="15"/>
  <c r="EP95" i="15"/>
  <c r="EO44" i="15"/>
  <c r="EK86" i="15"/>
  <c r="EM127" i="15"/>
  <c r="EL77" i="15"/>
  <c r="EO89" i="15"/>
  <c r="EK51" i="15"/>
  <c r="EQ47" i="15"/>
  <c r="DZ51" i="15"/>
  <c r="EB51" i="15" s="1"/>
  <c r="BD51" i="65" s="1"/>
  <c r="EQ64" i="15"/>
  <c r="EQ42" i="15"/>
  <c r="EO118" i="15"/>
  <c r="EQ52" i="15"/>
  <c r="EA54" i="15"/>
  <c r="ED93" i="15"/>
  <c r="EQ61" i="15"/>
  <c r="EO84" i="15"/>
  <c r="AX36" i="91"/>
  <c r="AX24" i="91"/>
  <c r="AX34" i="91"/>
  <c r="AZ23" i="91"/>
  <c r="BB36" i="91"/>
  <c r="AZ36" i="91"/>
  <c r="EC109" i="15"/>
  <c r="EG109" i="15" s="1"/>
  <c r="DL109" i="15" s="1"/>
  <c r="DN109" i="15" s="1"/>
  <c r="DS38" i="15"/>
  <c r="AH38" i="65" s="1"/>
  <c r="ED72" i="15"/>
  <c r="EN33" i="15"/>
  <c r="ED116" i="15"/>
  <c r="ED80" i="15"/>
  <c r="ED71" i="15"/>
  <c r="EQ116" i="15"/>
  <c r="AX23" i="89"/>
  <c r="EC91" i="15"/>
  <c r="EG91" i="15" s="1"/>
  <c r="DL91" i="15" s="1"/>
  <c r="DM91" i="15" s="1"/>
  <c r="EF74" i="15"/>
  <c r="BE74" i="65" s="1"/>
  <c r="BD74" i="65"/>
  <c r="EL127" i="15"/>
  <c r="EM62" i="15"/>
  <c r="EM104" i="15"/>
  <c r="BD77" i="65"/>
  <c r="EK54" i="15"/>
  <c r="EL109" i="15"/>
  <c r="BD94" i="65"/>
  <c r="EM91" i="15"/>
  <c r="EF63" i="15"/>
  <c r="BE63" i="65" s="1"/>
  <c r="EM38" i="15"/>
  <c r="EK99" i="15"/>
  <c r="EK78" i="15"/>
  <c r="EL123" i="15"/>
  <c r="EL67" i="15"/>
  <c r="EK92" i="15"/>
  <c r="EM69" i="15"/>
  <c r="EK77" i="15"/>
  <c r="DS58" i="15"/>
  <c r="AH58" i="65" s="1"/>
  <c r="EL51" i="15"/>
  <c r="EM110" i="15"/>
  <c r="EK62" i="15"/>
  <c r="EM47" i="15"/>
  <c r="EL39" i="15"/>
  <c r="EL69" i="15"/>
  <c r="EO59" i="15"/>
  <c r="EQ69" i="15"/>
  <c r="EO74" i="15"/>
  <c r="ED75" i="15"/>
  <c r="ED126" i="15"/>
  <c r="BC38" i="65"/>
  <c r="AC38" i="5" s="1"/>
  <c r="BB38" i="73" s="1"/>
  <c r="DT47" i="15"/>
  <c r="DZ47" i="15" s="1"/>
  <c r="EB47" i="15" s="1"/>
  <c r="ED59" i="15"/>
  <c r="EA57" i="15"/>
  <c r="DU47" i="15"/>
  <c r="EA47" i="15" s="1"/>
  <c r="DY45" i="15"/>
  <c r="BB24" i="89"/>
  <c r="BC47" i="65"/>
  <c r="AC47" i="5" s="1"/>
  <c r="BB47" i="73" s="1"/>
  <c r="AX24" i="82"/>
  <c r="AX23" i="86"/>
  <c r="EN26" i="15"/>
  <c r="EP26" i="15" s="1"/>
  <c r="AX24" i="90"/>
  <c r="AX24" i="85"/>
  <c r="AX24" i="89"/>
  <c r="AX24" i="84"/>
  <c r="DL33" i="15"/>
  <c r="DM33" i="15" s="1"/>
  <c r="EK29" i="15"/>
  <c r="EK25" i="15"/>
  <c r="EL26" i="15"/>
  <c r="AX23" i="91"/>
  <c r="AX24" i="88"/>
  <c r="AX24" i="87"/>
  <c r="AX24" i="86"/>
  <c r="AX24" i="83"/>
  <c r="AX23" i="90"/>
  <c r="AX23" i="83"/>
  <c r="AZ23" i="82"/>
  <c r="DY64" i="15"/>
  <c r="EC64" i="15"/>
  <c r="EG64" i="15" s="1"/>
  <c r="DL64" i="15" s="1"/>
  <c r="DM64" i="15" s="1"/>
  <c r="EM36" i="15"/>
  <c r="EE92" i="15"/>
  <c r="EH92" i="15" s="1"/>
  <c r="DQ92" i="15" s="1"/>
  <c r="AA92" i="5" s="1"/>
  <c r="AB92" i="5" s="1"/>
  <c r="EF124" i="15"/>
  <c r="BE124" i="65" s="1"/>
  <c r="EK94" i="15"/>
  <c r="DU25" i="15"/>
  <c r="EL34" i="15"/>
  <c r="EP68" i="15"/>
  <c r="EM61" i="15"/>
  <c r="EO76" i="15"/>
  <c r="EO108" i="15"/>
  <c r="EQ36" i="15"/>
  <c r="EK23" i="15"/>
  <c r="ED73" i="15"/>
  <c r="DZ57" i="15"/>
  <c r="EB57" i="15" s="1"/>
  <c r="BD57" i="65" s="1"/>
  <c r="EP67" i="15"/>
  <c r="BB24" i="84"/>
  <c r="AZ24" i="86"/>
  <c r="DM48" i="15"/>
  <c r="DN48" i="15" s="1"/>
  <c r="DN53" i="15"/>
  <c r="DM53" i="15"/>
  <c r="DN54" i="15"/>
  <c r="DM54" i="15"/>
  <c r="DN89" i="15"/>
  <c r="DM89" i="15"/>
  <c r="DN80" i="15"/>
  <c r="DM80" i="15"/>
  <c r="DM109" i="15"/>
  <c r="DN67" i="15"/>
  <c r="DM67" i="15"/>
  <c r="DN79" i="15"/>
  <c r="DM79" i="15"/>
  <c r="DN116" i="15"/>
  <c r="DM116" i="15"/>
  <c r="DN61" i="15"/>
  <c r="DM61" i="15"/>
  <c r="DN51" i="15"/>
  <c r="DM51" i="15"/>
  <c r="DM47" i="15"/>
  <c r="DN47" i="15" s="1"/>
  <c r="DN63" i="15"/>
  <c r="DM63" i="15"/>
  <c r="DN84" i="15"/>
  <c r="DM84" i="15"/>
  <c r="DN62" i="15"/>
  <c r="DM62" i="15"/>
  <c r="DN117" i="15"/>
  <c r="DM117" i="15"/>
  <c r="DM45" i="15"/>
  <c r="DN45" i="15" s="1"/>
  <c r="DN91" i="15"/>
  <c r="DM42" i="15"/>
  <c r="DN42" i="15" s="1"/>
  <c r="DM44" i="15"/>
  <c r="DN44" i="15" s="1"/>
  <c r="X44" i="5" s="1"/>
  <c r="Y44" i="5" s="1"/>
  <c r="DN100" i="15"/>
  <c r="DM100" i="15"/>
  <c r="DN86" i="15"/>
  <c r="DM86" i="15"/>
  <c r="EO48" i="15"/>
  <c r="BB24" i="90"/>
  <c r="BB24" i="85"/>
  <c r="BB24" i="82"/>
  <c r="BB24" i="91"/>
  <c r="AZ24" i="91"/>
  <c r="BB24" i="88"/>
  <c r="BB24" i="87"/>
  <c r="BB24" i="86"/>
  <c r="BB24" i="83"/>
  <c r="AZ24" i="88"/>
  <c r="DT50" i="15"/>
  <c r="AH50" i="65" s="1"/>
  <c r="BC50" i="65"/>
  <c r="DU64" i="15"/>
  <c r="DT64" i="15"/>
  <c r="BC64" i="65"/>
  <c r="AZ23" i="89"/>
  <c r="EK30" i="15"/>
  <c r="EK74" i="15"/>
  <c r="BD123" i="65"/>
  <c r="EK41" i="15"/>
  <c r="EK48" i="15"/>
  <c r="DY86" i="15"/>
  <c r="EP57" i="15"/>
  <c r="EO49" i="15"/>
  <c r="ED100" i="15"/>
  <c r="EO93" i="15"/>
  <c r="EP123" i="15"/>
  <c r="AX35" i="91"/>
  <c r="EK31" i="15"/>
  <c r="AX30" i="91"/>
  <c r="AY28" i="91"/>
  <c r="AX23" i="87"/>
  <c r="AX23" i="88"/>
  <c r="AX23" i="85"/>
  <c r="AX23" i="84"/>
  <c r="AZ24" i="87"/>
  <c r="AZ24" i="83"/>
  <c r="AZ23" i="86"/>
  <c r="EQ56" i="15"/>
  <c r="EO57" i="15"/>
  <c r="EF43" i="15"/>
  <c r="BE43" i="65" s="1"/>
  <c r="AE43" i="5" s="1"/>
  <c r="BD54" i="65"/>
  <c r="EM74" i="15"/>
  <c r="EO104" i="15"/>
  <c r="DY51" i="15"/>
  <c r="EF53" i="15"/>
  <c r="BE53" i="65" s="1"/>
  <c r="EM35" i="15"/>
  <c r="EM68" i="15"/>
  <c r="EL48" i="15"/>
  <c r="EF100" i="15"/>
  <c r="BE100" i="65" s="1"/>
  <c r="EM94" i="15"/>
  <c r="EC108" i="15"/>
  <c r="EG108" i="15" s="1"/>
  <c r="DL108" i="15" s="1"/>
  <c r="EF106" i="15"/>
  <c r="BE106" i="65" s="1"/>
  <c r="EE110" i="15"/>
  <c r="EH110" i="15" s="1"/>
  <c r="DQ110" i="15" s="1"/>
  <c r="EM111" i="15"/>
  <c r="EP73" i="15"/>
  <c r="EP41" i="15"/>
  <c r="EE53" i="15"/>
  <c r="EH53" i="15" s="1"/>
  <c r="DQ53" i="15" s="1"/>
  <c r="AA53" i="5" s="1"/>
  <c r="AB53" i="5" s="1"/>
  <c r="EQ45" i="15"/>
  <c r="EM30" i="15"/>
  <c r="EO94" i="15"/>
  <c r="EO106" i="15"/>
  <c r="EP86" i="15"/>
  <c r="EL61" i="15"/>
  <c r="EM106" i="15"/>
  <c r="EP111" i="15"/>
  <c r="EQ43" i="15"/>
  <c r="EO86" i="15"/>
  <c r="ED46" i="15"/>
  <c r="EQ73" i="15"/>
  <c r="EQ48" i="15"/>
  <c r="EP127" i="15"/>
  <c r="EO92" i="15"/>
  <c r="EP124" i="15"/>
  <c r="EQ85" i="15"/>
  <c r="EP54" i="15"/>
  <c r="ED53" i="15"/>
  <c r="ED47" i="15"/>
  <c r="ED106" i="15"/>
  <c r="EO113" i="15"/>
  <c r="AZ31" i="91"/>
  <c r="AY29" i="91"/>
  <c r="EP99" i="15"/>
  <c r="EQ92" i="15"/>
  <c r="AZ23" i="90"/>
  <c r="AZ23" i="83"/>
  <c r="AZ24" i="90"/>
  <c r="AZ24" i="89"/>
  <c r="AZ24" i="85"/>
  <c r="AZ24" i="84"/>
  <c r="AZ24" i="82"/>
  <c r="AZ23" i="87"/>
  <c r="AZ23" i="88"/>
  <c r="AZ23" i="85"/>
  <c r="AZ23" i="84"/>
  <c r="EA95" i="15"/>
  <c r="EC88" i="15"/>
  <c r="EG88" i="15" s="1"/>
  <c r="DL88" i="15" s="1"/>
  <c r="DY84" i="15"/>
  <c r="EE119" i="15"/>
  <c r="EH119" i="15" s="1"/>
  <c r="DQ119" i="15" s="1"/>
  <c r="EE96" i="15"/>
  <c r="EH96" i="15" s="1"/>
  <c r="DQ96" i="15" s="1"/>
  <c r="DY111" i="15"/>
  <c r="EC113" i="15"/>
  <c r="EG113" i="15" s="1"/>
  <c r="DL113" i="15" s="1"/>
  <c r="EE47" i="15"/>
  <c r="EH47" i="15" s="1"/>
  <c r="DQ47" i="15" s="1"/>
  <c r="DY48" i="15"/>
  <c r="EE89" i="15"/>
  <c r="EH89" i="15" s="1"/>
  <c r="DQ89" i="15" s="1"/>
  <c r="EC36" i="15"/>
  <c r="EG36" i="15" s="1"/>
  <c r="DL36" i="15" s="1"/>
  <c r="EE45" i="15"/>
  <c r="EH45" i="15" s="1"/>
  <c r="EE101" i="15"/>
  <c r="EH101" i="15" s="1"/>
  <c r="DQ101" i="15" s="1"/>
  <c r="EE79" i="15"/>
  <c r="EH79" i="15" s="1"/>
  <c r="DQ79" i="15" s="1"/>
  <c r="EC127" i="15"/>
  <c r="EG127" i="15" s="1"/>
  <c r="DL127" i="15" s="1"/>
  <c r="EE80" i="15"/>
  <c r="EH80" i="15" s="1"/>
  <c r="DQ80" i="15" s="1"/>
  <c r="DS37" i="15"/>
  <c r="EL37" i="15"/>
  <c r="DS28" i="15"/>
  <c r="EK60" i="15"/>
  <c r="DY36" i="15"/>
  <c r="BD49" i="65"/>
  <c r="AD49" i="5" s="1"/>
  <c r="EQ44" i="15"/>
  <c r="EO62" i="15"/>
  <c r="EE44" i="15"/>
  <c r="EH44" i="15" s="1"/>
  <c r="DQ44" i="15" s="1"/>
  <c r="AA44" i="5" s="1"/>
  <c r="AB44" i="5" s="1"/>
  <c r="EF42" i="15"/>
  <c r="BE42" i="65" s="1"/>
  <c r="AE42" i="5" s="1"/>
  <c r="EF80" i="15"/>
  <c r="BE80" i="65" s="1"/>
  <c r="EA101" i="15"/>
  <c r="EM117" i="15"/>
  <c r="EA76" i="15"/>
  <c r="EL31" i="15"/>
  <c r="EO28" i="15"/>
  <c r="EO26" i="15"/>
  <c r="EP101" i="15"/>
  <c r="EE91" i="15"/>
  <c r="EH91" i="15" s="1"/>
  <c r="DQ91" i="15" s="1"/>
  <c r="EP107" i="15"/>
  <c r="EM46" i="15"/>
  <c r="EM119" i="15"/>
  <c r="EL96" i="15"/>
  <c r="EP105" i="15"/>
  <c r="EP36" i="15"/>
  <c r="EO101" i="15"/>
  <c r="EP28" i="15"/>
  <c r="EP51" i="15"/>
  <c r="EO71" i="15"/>
  <c r="DU35" i="15"/>
  <c r="EA35" i="15" s="1"/>
  <c r="EQ72" i="15"/>
  <c r="ED124" i="15"/>
  <c r="EP115" i="15"/>
  <c r="AX33" i="91"/>
  <c r="AZ30" i="91"/>
  <c r="AZ35" i="91"/>
  <c r="AZ33" i="91"/>
  <c r="AY36" i="91"/>
  <c r="EO52" i="15"/>
  <c r="EA42" i="15"/>
  <c r="BC37" i="65"/>
  <c r="AC37" i="5" s="1"/>
  <c r="BB37" i="73" s="1"/>
  <c r="BB33" i="91"/>
  <c r="EM26" i="15"/>
  <c r="EL23" i="15"/>
  <c r="EL33" i="15"/>
  <c r="EL25" i="15"/>
  <c r="EK33" i="15"/>
  <c r="EQ26" i="15"/>
  <c r="AZ27" i="91"/>
  <c r="AZ26" i="91"/>
  <c r="AX26" i="91"/>
  <c r="AY26" i="91"/>
  <c r="BD46" i="65"/>
  <c r="AD46" i="5" s="1"/>
  <c r="EF46" i="15"/>
  <c r="BE46" i="65" s="1"/>
  <c r="AE46" i="5" s="1"/>
  <c r="EF29" i="15"/>
  <c r="BE29" i="65" s="1"/>
  <c r="AE29" i="5" s="1"/>
  <c r="EK46" i="15"/>
  <c r="EL60" i="15"/>
  <c r="EC40" i="15"/>
  <c r="EG40" i="15" s="1"/>
  <c r="DL40" i="15" s="1"/>
  <c r="BD52" i="65"/>
  <c r="EL35" i="15"/>
  <c r="EC85" i="15"/>
  <c r="EG85" i="15" s="1"/>
  <c r="DL85" i="15" s="1"/>
  <c r="EK36" i="15"/>
  <c r="EC111" i="15"/>
  <c r="EG111" i="15" s="1"/>
  <c r="DL111" i="15" s="1"/>
  <c r="EE95" i="15"/>
  <c r="EH95" i="15" s="1"/>
  <c r="DQ95" i="15" s="1"/>
  <c r="EK100" i="15"/>
  <c r="EQ27" i="15"/>
  <c r="EP59" i="15"/>
  <c r="EK76" i="15"/>
  <c r="DS25" i="15"/>
  <c r="EM34" i="15"/>
  <c r="EP126" i="15"/>
  <c r="EO115" i="15"/>
  <c r="EQ118" i="15"/>
  <c r="EO80" i="15"/>
  <c r="EM96" i="15"/>
  <c r="EP61" i="15"/>
  <c r="EO123" i="15"/>
  <c r="EO79" i="15"/>
  <c r="EO116" i="15"/>
  <c r="EP88" i="15"/>
  <c r="EL28" i="15"/>
  <c r="ED63" i="15"/>
  <c r="EO126" i="15"/>
  <c r="EP80" i="15"/>
  <c r="EL32" i="15"/>
  <c r="EQ71" i="15"/>
  <c r="EQ75" i="15"/>
  <c r="ED42" i="15"/>
  <c r="EO122" i="15"/>
  <c r="EO40" i="15"/>
  <c r="EO70" i="15"/>
  <c r="ED52" i="15"/>
  <c r="ED91" i="15"/>
  <c r="EA79" i="15"/>
  <c r="ED127" i="15"/>
  <c r="EP63" i="15"/>
  <c r="EP89" i="15"/>
  <c r="EQ105" i="15"/>
  <c r="EQ38" i="15"/>
  <c r="EP120" i="15"/>
  <c r="EO88" i="15"/>
  <c r="AX37" i="91"/>
  <c r="AY31" i="91"/>
  <c r="AX29" i="91"/>
  <c r="AZ37" i="91"/>
  <c r="AY37" i="91"/>
  <c r="AZ29" i="91"/>
  <c r="EO42" i="15"/>
  <c r="DY127" i="15"/>
  <c r="EO100" i="15"/>
  <c r="EP79" i="15"/>
  <c r="U23" i="5"/>
  <c r="AY23" i="73" s="1"/>
  <c r="U25" i="5"/>
  <c r="AY25" i="73" s="1"/>
  <c r="T25" i="5"/>
  <c r="AX25" i="73" s="1"/>
  <c r="AC25" i="5"/>
  <c r="BB25" i="73" s="1"/>
  <c r="U24" i="5"/>
  <c r="AY24" i="73" s="1"/>
  <c r="EP46" i="15"/>
  <c r="EP97" i="15"/>
  <c r="EO29" i="15"/>
  <c r="EQ29" i="15"/>
  <c r="EQ24" i="15"/>
  <c r="EO24" i="15"/>
  <c r="EP24" i="15"/>
  <c r="EO33" i="15"/>
  <c r="EP33" i="15"/>
  <c r="EO37" i="15"/>
  <c r="EP37" i="15"/>
  <c r="EN23" i="15"/>
  <c r="EP23" i="15" s="1"/>
  <c r="DZ37" i="15"/>
  <c r="EB37" i="15" s="1"/>
  <c r="ED37" i="15" s="1"/>
  <c r="DU37" i="15"/>
  <c r="EA37" i="15" s="1"/>
  <c r="EQ100" i="15"/>
  <c r="EO119" i="15"/>
  <c r="EA80" i="15"/>
  <c r="EF73" i="15"/>
  <c r="BE73" i="65" s="1"/>
  <c r="BD73" i="65"/>
  <c r="DU56" i="15"/>
  <c r="EA56" i="15" s="1"/>
  <c r="EP45" i="15"/>
  <c r="EO109" i="15"/>
  <c r="BD29" i="65"/>
  <c r="AD29" i="5" s="1"/>
  <c r="EK24" i="15"/>
  <c r="EL29" i="15"/>
  <c r="EL41" i="15"/>
  <c r="EK68" i="15"/>
  <c r="EK120" i="15"/>
  <c r="EK32" i="15"/>
  <c r="EM28" i="15"/>
  <c r="EQ65" i="15"/>
  <c r="EO43" i="15"/>
  <c r="EL76" i="15"/>
  <c r="DT25" i="15"/>
  <c r="DZ25" i="15" s="1"/>
  <c r="EB25" i="15" s="1"/>
  <c r="EO127" i="15"/>
  <c r="EP108" i="15"/>
  <c r="EP114" i="15"/>
  <c r="EO111" i="15"/>
  <c r="EK106" i="15"/>
  <c r="EQ37" i="15"/>
  <c r="EP55" i="15"/>
  <c r="EO124" i="15"/>
  <c r="EP29" i="15"/>
  <c r="EQ49" i="15"/>
  <c r="EP98" i="15"/>
  <c r="EP113" i="15"/>
  <c r="EP65" i="15"/>
  <c r="DT35" i="15"/>
  <c r="DZ35" i="15" s="1"/>
  <c r="EB35" i="15" s="1"/>
  <c r="DS35" i="15"/>
  <c r="EP53" i="15"/>
  <c r="EP94" i="15"/>
  <c r="EO68" i="15"/>
  <c r="EP106" i="15"/>
  <c r="EQ54" i="15"/>
  <c r="EP109" i="15"/>
  <c r="EA125" i="15"/>
  <c r="EO55" i="15"/>
  <c r="EQ125" i="15"/>
  <c r="EP110" i="15"/>
  <c r="AY30" i="91"/>
  <c r="AX31" i="91"/>
  <c r="AX27" i="91"/>
  <c r="BB35" i="91"/>
  <c r="AY32" i="91"/>
  <c r="AY33" i="91"/>
  <c r="ED54" i="15"/>
  <c r="EO53" i="15"/>
  <c r="ED94" i="15"/>
  <c r="EP93" i="15"/>
  <c r="EO97" i="15"/>
  <c r="EP117" i="15"/>
  <c r="EO110" i="15"/>
  <c r="EP96" i="15"/>
  <c r="EC41" i="15"/>
  <c r="EG41" i="15" s="1"/>
  <c r="DL41" i="15" s="1"/>
  <c r="EO46" i="15"/>
  <c r="ED33" i="15"/>
  <c r="EO99" i="15"/>
  <c r="EP85" i="15"/>
  <c r="EA89" i="15"/>
  <c r="EO96" i="15"/>
  <c r="AZ27" i="82"/>
  <c r="AY27" i="82"/>
  <c r="AY27" i="83"/>
  <c r="AY27" i="84"/>
  <c r="AY27" i="86"/>
  <c r="AY27" i="85"/>
  <c r="AY27" i="87"/>
  <c r="AY27" i="89"/>
  <c r="AY27" i="88"/>
  <c r="AY27" i="90"/>
  <c r="AY34" i="82"/>
  <c r="AY34" i="84"/>
  <c r="AY34" i="83"/>
  <c r="AY34" i="85"/>
  <c r="AY34" i="86"/>
  <c r="AY34" i="88"/>
  <c r="AY34" i="90"/>
  <c r="AY34" i="87"/>
  <c r="AY34" i="89"/>
  <c r="AY35" i="82"/>
  <c r="AY35" i="83"/>
  <c r="AY35" i="84"/>
  <c r="AY35" i="86"/>
  <c r="AY35" i="85"/>
  <c r="AY35" i="87"/>
  <c r="AY35" i="89"/>
  <c r="AY35" i="88"/>
  <c r="AY35" i="90"/>
  <c r="BB37" i="83"/>
  <c r="BB37" i="86"/>
  <c r="BB37" i="90"/>
  <c r="AX35" i="82"/>
  <c r="AX35" i="84"/>
  <c r="AX35" i="83"/>
  <c r="AX35" i="85"/>
  <c r="AX35" i="86"/>
  <c r="AX35" i="88"/>
  <c r="AX35" i="90"/>
  <c r="AX35" i="87"/>
  <c r="AX35" i="89"/>
  <c r="AY36" i="82"/>
  <c r="AY36" i="84"/>
  <c r="AY36" i="83"/>
  <c r="AY36" i="85"/>
  <c r="AY36" i="86"/>
  <c r="AY36" i="88"/>
  <c r="AY36" i="90"/>
  <c r="AY36" i="87"/>
  <c r="AY36" i="89"/>
  <c r="AX26" i="82"/>
  <c r="AX26" i="83"/>
  <c r="AX26" i="84"/>
  <c r="AX26" i="86"/>
  <c r="AX26" i="85"/>
  <c r="AX26" i="87"/>
  <c r="AX26" i="89"/>
  <c r="AX26" i="88"/>
  <c r="AX26" i="90"/>
  <c r="BB33" i="82"/>
  <c r="BB33" i="84"/>
  <c r="BB33" i="83"/>
  <c r="BB33" i="85"/>
  <c r="BB33" i="86"/>
  <c r="BB33" i="88"/>
  <c r="BB33" i="90"/>
  <c r="BB33" i="87"/>
  <c r="BB33" i="89"/>
  <c r="AX29" i="82"/>
  <c r="AX29" i="84"/>
  <c r="AX29" i="83"/>
  <c r="AX29" i="85"/>
  <c r="AX29" i="86"/>
  <c r="AX29" i="88"/>
  <c r="AX29" i="90"/>
  <c r="AX29" i="87"/>
  <c r="AX29" i="89"/>
  <c r="AX36" i="82"/>
  <c r="AX36" i="83"/>
  <c r="AX36" i="84"/>
  <c r="AX36" i="86"/>
  <c r="AX36" i="85"/>
  <c r="AX36" i="87"/>
  <c r="AX36" i="89"/>
  <c r="AX36" i="88"/>
  <c r="AX36" i="90"/>
  <c r="AX33" i="82"/>
  <c r="AX33" i="84"/>
  <c r="AX33" i="83"/>
  <c r="AX33" i="85"/>
  <c r="AX33" i="86"/>
  <c r="AX33" i="88"/>
  <c r="AX33" i="90"/>
  <c r="AX33" i="87"/>
  <c r="AX33" i="89"/>
  <c r="BB36" i="82"/>
  <c r="BB36" i="83"/>
  <c r="BB36" i="84"/>
  <c r="BB36" i="86"/>
  <c r="BB36" i="85"/>
  <c r="BB36" i="87"/>
  <c r="BB36" i="89"/>
  <c r="BB36" i="88"/>
  <c r="BB36" i="90"/>
  <c r="AX34" i="82"/>
  <c r="AX34" i="83"/>
  <c r="AX34" i="84"/>
  <c r="AX34" i="86"/>
  <c r="AX34" i="85"/>
  <c r="AX34" i="87"/>
  <c r="AX34" i="89"/>
  <c r="AX34" i="88"/>
  <c r="AX34" i="90"/>
  <c r="AX30" i="82"/>
  <c r="AX30" i="83"/>
  <c r="AX30" i="84"/>
  <c r="AX30" i="86"/>
  <c r="AX30" i="85"/>
  <c r="AX30" i="87"/>
  <c r="AX30" i="89"/>
  <c r="AX30" i="88"/>
  <c r="AX30" i="90"/>
  <c r="EE116" i="15"/>
  <c r="EH116" i="15" s="1"/>
  <c r="DQ116" i="15" s="1"/>
  <c r="EA116" i="15"/>
  <c r="AZ30" i="88"/>
  <c r="AZ30" i="87"/>
  <c r="AZ30" i="86"/>
  <c r="AZ30" i="83"/>
  <c r="AZ30" i="82"/>
  <c r="AZ34" i="88"/>
  <c r="AZ34" i="87"/>
  <c r="AZ34" i="86"/>
  <c r="AZ34" i="83"/>
  <c r="AZ34" i="82"/>
  <c r="AZ35" i="89"/>
  <c r="AZ35" i="90"/>
  <c r="AZ35" i="86"/>
  <c r="AZ35" i="83"/>
  <c r="AZ29" i="87"/>
  <c r="AZ29" i="88"/>
  <c r="AZ29" i="85"/>
  <c r="AZ29" i="84"/>
  <c r="AZ29" i="82"/>
  <c r="AZ37" i="89"/>
  <c r="AZ37" i="90"/>
  <c r="AZ37" i="86"/>
  <c r="AZ37" i="83"/>
  <c r="AZ31" i="89"/>
  <c r="AZ31" i="90"/>
  <c r="AZ31" i="86"/>
  <c r="AZ31" i="83"/>
  <c r="AZ27" i="87"/>
  <c r="AZ27" i="88"/>
  <c r="AZ27" i="85"/>
  <c r="AZ27" i="84"/>
  <c r="AZ33" i="89"/>
  <c r="AZ33" i="90"/>
  <c r="AZ33" i="86"/>
  <c r="AZ33" i="83"/>
  <c r="AZ36" i="90"/>
  <c r="AZ36" i="89"/>
  <c r="AZ36" i="85"/>
  <c r="AZ36" i="84"/>
  <c r="AZ26" i="88"/>
  <c r="AZ26" i="87"/>
  <c r="AZ26" i="86"/>
  <c r="AZ26" i="83"/>
  <c r="AZ26" i="82"/>
  <c r="BC29" i="85"/>
  <c r="BC36" i="82"/>
  <c r="AQ36" i="82"/>
  <c r="BC36" i="84"/>
  <c r="AQ36" i="84"/>
  <c r="BC36" i="83"/>
  <c r="AQ36" i="83"/>
  <c r="BC36" i="85"/>
  <c r="AQ36" i="85"/>
  <c r="BC36" i="86"/>
  <c r="AQ36" i="86"/>
  <c r="BC36" i="88"/>
  <c r="AQ36" i="88"/>
  <c r="BC36" i="90"/>
  <c r="AQ36" i="90"/>
  <c r="BC36" i="87"/>
  <c r="AQ36" i="87"/>
  <c r="BC36" i="89"/>
  <c r="AQ36" i="89"/>
  <c r="AY23" i="84"/>
  <c r="AX27" i="82"/>
  <c r="AX27" i="84"/>
  <c r="AX27" i="83"/>
  <c r="AX27" i="85"/>
  <c r="AX27" i="86"/>
  <c r="AX27" i="88"/>
  <c r="AX27" i="90"/>
  <c r="AX27" i="87"/>
  <c r="AX27" i="89"/>
  <c r="AY32" i="82"/>
  <c r="AY32" i="84"/>
  <c r="AY32" i="83"/>
  <c r="AY32" i="85"/>
  <c r="AY32" i="86"/>
  <c r="AY32" i="88"/>
  <c r="AY32" i="90"/>
  <c r="AY32" i="87"/>
  <c r="AY32" i="89"/>
  <c r="AY28" i="82"/>
  <c r="AY28" i="84"/>
  <c r="AY28" i="83"/>
  <c r="AY28" i="85"/>
  <c r="AY28" i="86"/>
  <c r="AY28" i="88"/>
  <c r="AY28" i="90"/>
  <c r="AY28" i="87"/>
  <c r="AY28" i="89"/>
  <c r="AY29" i="82"/>
  <c r="AY29" i="83"/>
  <c r="AY29" i="84"/>
  <c r="AY29" i="86"/>
  <c r="AY29" i="85"/>
  <c r="AY29" i="87"/>
  <c r="AY29" i="89"/>
  <c r="AY29" i="88"/>
  <c r="AY29" i="90"/>
  <c r="AY33" i="82"/>
  <c r="AY33" i="83"/>
  <c r="AY33" i="84"/>
  <c r="AY33" i="86"/>
  <c r="AY33" i="85"/>
  <c r="AY33" i="87"/>
  <c r="AY33" i="89"/>
  <c r="AY33" i="88"/>
  <c r="AY33" i="90"/>
  <c r="AY26" i="82"/>
  <c r="AY26" i="84"/>
  <c r="AY26" i="83"/>
  <c r="AY26" i="85"/>
  <c r="AY26" i="86"/>
  <c r="AY26" i="88"/>
  <c r="AY26" i="90"/>
  <c r="AY26" i="87"/>
  <c r="AY26" i="89"/>
  <c r="AX25" i="87"/>
  <c r="AY30" i="82"/>
  <c r="AY30" i="84"/>
  <c r="AY30" i="83"/>
  <c r="AY30" i="85"/>
  <c r="AY30" i="86"/>
  <c r="AY30" i="88"/>
  <c r="AY30" i="90"/>
  <c r="AY30" i="87"/>
  <c r="AY30" i="89"/>
  <c r="AY31" i="82"/>
  <c r="AY31" i="83"/>
  <c r="AY31" i="84"/>
  <c r="AY31" i="86"/>
  <c r="AY31" i="85"/>
  <c r="AY31" i="87"/>
  <c r="AY31" i="89"/>
  <c r="AY31" i="88"/>
  <c r="AY31" i="90"/>
  <c r="BB35" i="82"/>
  <c r="BB35" i="84"/>
  <c r="BB35" i="83"/>
  <c r="BB35" i="85"/>
  <c r="BB35" i="86"/>
  <c r="BB35" i="88"/>
  <c r="BB35" i="90"/>
  <c r="BB35" i="87"/>
  <c r="BB35" i="89"/>
  <c r="AY37" i="82"/>
  <c r="AY37" i="83"/>
  <c r="AY37" i="84"/>
  <c r="AY37" i="86"/>
  <c r="AY37" i="85"/>
  <c r="AY37" i="87"/>
  <c r="AY37" i="89"/>
  <c r="AY37" i="88"/>
  <c r="AY37" i="90"/>
  <c r="AX37" i="82"/>
  <c r="AX37" i="84"/>
  <c r="AX37" i="83"/>
  <c r="AX37" i="85"/>
  <c r="AX37" i="86"/>
  <c r="AX37" i="88"/>
  <c r="AX37" i="90"/>
  <c r="AX37" i="87"/>
  <c r="AX37" i="89"/>
  <c r="AX31" i="82"/>
  <c r="AX31" i="84"/>
  <c r="AX31" i="83"/>
  <c r="AX31" i="85"/>
  <c r="AX31" i="86"/>
  <c r="AX31" i="88"/>
  <c r="AX31" i="90"/>
  <c r="AX31" i="87"/>
  <c r="AX31" i="89"/>
  <c r="BB25" i="82"/>
  <c r="BB25" i="84"/>
  <c r="BB25" i="83"/>
  <c r="BB25" i="85"/>
  <c r="BB25" i="86"/>
  <c r="BB25" i="88"/>
  <c r="BB25" i="90"/>
  <c r="BB25" i="87"/>
  <c r="BB25" i="89"/>
  <c r="AZ30" i="90"/>
  <c r="AZ30" i="89"/>
  <c r="AZ30" i="85"/>
  <c r="AZ30" i="84"/>
  <c r="AZ34" i="90"/>
  <c r="AZ34" i="89"/>
  <c r="AZ34" i="85"/>
  <c r="AZ34" i="84"/>
  <c r="AZ35" i="87"/>
  <c r="AZ35" i="88"/>
  <c r="AZ35" i="85"/>
  <c r="AZ35" i="84"/>
  <c r="AZ35" i="82"/>
  <c r="AZ29" i="89"/>
  <c r="AZ29" i="90"/>
  <c r="AZ29" i="86"/>
  <c r="AZ29" i="83"/>
  <c r="AZ37" i="87"/>
  <c r="AZ37" i="88"/>
  <c r="AZ37" i="85"/>
  <c r="AZ37" i="84"/>
  <c r="AZ37" i="82"/>
  <c r="AZ31" i="87"/>
  <c r="AZ31" i="88"/>
  <c r="AZ31" i="85"/>
  <c r="AZ31" i="84"/>
  <c r="AZ31" i="82"/>
  <c r="AZ27" i="89"/>
  <c r="AZ27" i="90"/>
  <c r="AZ27" i="86"/>
  <c r="AZ27" i="83"/>
  <c r="AZ33" i="87"/>
  <c r="AZ33" i="88"/>
  <c r="AZ33" i="85"/>
  <c r="AZ33" i="84"/>
  <c r="AZ33" i="82"/>
  <c r="AZ36" i="88"/>
  <c r="AZ36" i="87"/>
  <c r="AZ36" i="86"/>
  <c r="AZ36" i="83"/>
  <c r="AZ36" i="82"/>
  <c r="AZ26" i="90"/>
  <c r="AZ26" i="89"/>
  <c r="AZ26" i="85"/>
  <c r="AZ26" i="84"/>
  <c r="EC106" i="15"/>
  <c r="EG106" i="15" s="1"/>
  <c r="DL106" i="15" s="1"/>
  <c r="DY106" i="15"/>
  <c r="DR30" i="15"/>
  <c r="BC30" i="65" s="1"/>
  <c r="AC30" i="5" s="1"/>
  <c r="BB30" i="73" s="1"/>
  <c r="EQ30" i="15"/>
  <c r="EP30" i="15"/>
  <c r="EO30" i="15"/>
  <c r="BD33" i="65"/>
  <c r="AD33" i="5" s="1"/>
  <c r="EF33" i="15"/>
  <c r="BE33" i="65" s="1"/>
  <c r="AE33" i="5" s="1"/>
  <c r="EP78" i="15"/>
  <c r="EQ78" i="15"/>
  <c r="DR34" i="15"/>
  <c r="DT34" i="15" s="1"/>
  <c r="DZ34" i="15" s="1"/>
  <c r="EB34" i="15" s="1"/>
  <c r="EE99" i="15"/>
  <c r="EH99" i="15" s="1"/>
  <c r="EA99" i="15"/>
  <c r="DR26" i="15"/>
  <c r="DT26" i="15" s="1"/>
  <c r="DS34" i="15"/>
  <c r="EQ33" i="15"/>
  <c r="EN31" i="15"/>
  <c r="DR31" i="15" s="1"/>
  <c r="BC31" i="65" s="1"/>
  <c r="AC31" i="5" s="1"/>
  <c r="BB31" i="73" s="1"/>
  <c r="DR23" i="15"/>
  <c r="BC28" i="65"/>
  <c r="AC28" i="5" s="1"/>
  <c r="BB28" i="73" s="1"/>
  <c r="DT28" i="15"/>
  <c r="AY27" i="91"/>
  <c r="AY35" i="91"/>
  <c r="BC36" i="91"/>
  <c r="AY34" i="91"/>
  <c r="AQ36" i="91"/>
  <c r="EO35" i="15"/>
  <c r="EO25" i="15"/>
  <c r="EQ25" i="15"/>
  <c r="EQ32" i="15"/>
  <c r="EO27" i="15"/>
  <c r="EO34" i="15"/>
  <c r="EO32" i="15"/>
  <c r="EP34" i="15"/>
  <c r="EQ35" i="15"/>
  <c r="EO77" i="15"/>
  <c r="EP77" i="15"/>
  <c r="DZ89" i="15"/>
  <c r="EB89" i="15" s="1"/>
  <c r="EI89" i="15" s="1"/>
  <c r="ED89" i="15"/>
  <c r="EE63" i="15"/>
  <c r="EH63" i="15" s="1"/>
  <c r="EA63" i="15"/>
  <c r="DZ101" i="15"/>
  <c r="EB101" i="15" s="1"/>
  <c r="ED101" i="15"/>
  <c r="EC37" i="15"/>
  <c r="EG37" i="15" s="1"/>
  <c r="DL37" i="15" s="1"/>
  <c r="W37" i="5" s="1"/>
  <c r="EC124" i="15"/>
  <c r="EG124" i="15" s="1"/>
  <c r="DL124" i="15" s="1"/>
  <c r="DY124" i="15"/>
  <c r="EE62" i="15"/>
  <c r="EH62" i="15" s="1"/>
  <c r="EA62" i="15"/>
  <c r="EC57" i="15"/>
  <c r="EG57" i="15" s="1"/>
  <c r="DL57" i="15" s="1"/>
  <c r="W57" i="5" s="1"/>
  <c r="DY57" i="15"/>
  <c r="EC94" i="15"/>
  <c r="EG94" i="15" s="1"/>
  <c r="DL94" i="15" s="1"/>
  <c r="DY94" i="15"/>
  <c r="DZ117" i="15"/>
  <c r="EB117" i="15" s="1"/>
  <c r="EI117" i="15" s="1"/>
  <c r="ED117" i="15"/>
  <c r="DZ113" i="15"/>
  <c r="EB113" i="15" s="1"/>
  <c r="ED113" i="15"/>
  <c r="EE124" i="15"/>
  <c r="EH124" i="15" s="1"/>
  <c r="EA124" i="15"/>
  <c r="AA52" i="5"/>
  <c r="AB52" i="5" s="1"/>
  <c r="AA106" i="5"/>
  <c r="AB106" i="5" s="1"/>
  <c r="AA78" i="5"/>
  <c r="AB78" i="5" s="1"/>
  <c r="AA119" i="5"/>
  <c r="AB119" i="5" s="1"/>
  <c r="AA96" i="5"/>
  <c r="AB96" i="5" s="1"/>
  <c r="AA95" i="5"/>
  <c r="AB95" i="5" s="1"/>
  <c r="AA101" i="5"/>
  <c r="AB101" i="5" s="1"/>
  <c r="AA76" i="5"/>
  <c r="AB76" i="5" s="1"/>
  <c r="AA125" i="5"/>
  <c r="AB125" i="5" s="1"/>
  <c r="AA117" i="5"/>
  <c r="AB117" i="5" s="1"/>
  <c r="AA127" i="5"/>
  <c r="AB127" i="5" s="1"/>
  <c r="AA47" i="5"/>
  <c r="AB47" i="5" s="1"/>
  <c r="AA100" i="5"/>
  <c r="AB100" i="5" s="1"/>
  <c r="EA33" i="15"/>
  <c r="EE33" i="15"/>
  <c r="EH33" i="15" s="1"/>
  <c r="DQ33" i="15" s="1"/>
  <c r="DZ121" i="15"/>
  <c r="EB121" i="15" s="1"/>
  <c r="ED121" i="15"/>
  <c r="AA89" i="5"/>
  <c r="AB89" i="5" s="1"/>
  <c r="AA94" i="5"/>
  <c r="AB94" i="5" s="1"/>
  <c r="EC99" i="15"/>
  <c r="EG99" i="15" s="1"/>
  <c r="DL99" i="15" s="1"/>
  <c r="DY99" i="15"/>
  <c r="DY101" i="15"/>
  <c r="EC101" i="15"/>
  <c r="EG101" i="15" s="1"/>
  <c r="DL101" i="15" s="1"/>
  <c r="DZ99" i="15"/>
  <c r="EB99" i="15" s="1"/>
  <c r="ED99" i="15"/>
  <c r="EE113" i="15"/>
  <c r="EH113" i="15" s="1"/>
  <c r="DQ113" i="15" s="1"/>
  <c r="EA113" i="15"/>
  <c r="DZ86" i="15"/>
  <c r="EB86" i="15" s="1"/>
  <c r="ED86" i="15"/>
  <c r="EE86" i="15"/>
  <c r="EH86" i="15" s="1"/>
  <c r="DQ86" i="15" s="1"/>
  <c r="EA86" i="15"/>
  <c r="EC70" i="15"/>
  <c r="EG70" i="15" s="1"/>
  <c r="DL70" i="15" s="1"/>
  <c r="DY70" i="15"/>
  <c r="EE70" i="15"/>
  <c r="EH70" i="15" s="1"/>
  <c r="DQ70" i="15" s="1"/>
  <c r="EA70" i="15"/>
  <c r="DZ38" i="15"/>
  <c r="EB38" i="15" s="1"/>
  <c r="ED38" i="15"/>
  <c r="EC38" i="15"/>
  <c r="EG38" i="15" s="1"/>
  <c r="DL38" i="15" s="1"/>
  <c r="DY38" i="15"/>
  <c r="EE97" i="15"/>
  <c r="EH97" i="15" s="1"/>
  <c r="DQ97" i="15" s="1"/>
  <c r="EA97" i="15"/>
  <c r="AA121" i="5"/>
  <c r="AB121" i="5" s="1"/>
  <c r="AA80" i="5"/>
  <c r="AB80" i="5" s="1"/>
  <c r="AA110" i="5"/>
  <c r="AB110" i="5" s="1"/>
  <c r="AA79" i="5"/>
  <c r="AB79" i="5" s="1"/>
  <c r="AA91" i="5"/>
  <c r="AB91" i="5" s="1"/>
  <c r="AA57" i="5"/>
  <c r="AB57" i="5" s="1"/>
  <c r="AA54" i="5"/>
  <c r="AB54" i="5" s="1"/>
  <c r="AA42" i="5"/>
  <c r="AB42" i="5" s="1"/>
  <c r="DY121" i="15"/>
  <c r="EC121" i="15"/>
  <c r="EG121" i="15" s="1"/>
  <c r="DL121" i="15" s="1"/>
  <c r="W121" i="5" s="1"/>
  <c r="DZ79" i="15"/>
  <c r="EB79" i="15" s="1"/>
  <c r="EI79" i="15" s="1"/>
  <c r="ED79" i="15"/>
  <c r="EQ66" i="15"/>
  <c r="EP66" i="15"/>
  <c r="DZ70" i="15"/>
  <c r="EB70" i="15" s="1"/>
  <c r="ED70" i="15"/>
  <c r="EE38" i="15"/>
  <c r="EH38" i="15" s="1"/>
  <c r="DQ38" i="15" s="1"/>
  <c r="EA38" i="15"/>
  <c r="DZ97" i="15"/>
  <c r="EB97" i="15" s="1"/>
  <c r="ED97" i="15"/>
  <c r="EC97" i="15"/>
  <c r="EG97" i="15" s="1"/>
  <c r="DL97" i="15" s="1"/>
  <c r="DY97" i="15"/>
  <c r="DZ85" i="15"/>
  <c r="EB85" i="15" s="1"/>
  <c r="ED85" i="15"/>
  <c r="EE85" i="15"/>
  <c r="EH85" i="15" s="1"/>
  <c r="DQ85" i="15" s="1"/>
  <c r="EA85" i="15"/>
  <c r="EE111" i="15"/>
  <c r="EH111" i="15" s="1"/>
  <c r="DQ111" i="15" s="1"/>
  <c r="EA111" i="15"/>
  <c r="DZ111" i="15"/>
  <c r="EB111" i="15" s="1"/>
  <c r="ED111" i="15"/>
  <c r="EC72" i="15"/>
  <c r="EG72" i="15" s="1"/>
  <c r="DL72" i="15" s="1"/>
  <c r="DY72" i="15"/>
  <c r="EE77" i="15"/>
  <c r="EH77" i="15" s="1"/>
  <c r="DQ77" i="15" s="1"/>
  <c r="EA77" i="15"/>
  <c r="EC49" i="15"/>
  <c r="EG49" i="15" s="1"/>
  <c r="DL49" i="15" s="1"/>
  <c r="DY49" i="15"/>
  <c r="DZ109" i="15"/>
  <c r="EB109" i="15" s="1"/>
  <c r="ED109" i="15"/>
  <c r="DZ48" i="15"/>
  <c r="EB48" i="15" s="1"/>
  <c r="ED48" i="15"/>
  <c r="DZ110" i="15"/>
  <c r="EB110" i="15" s="1"/>
  <c r="ED110" i="15"/>
  <c r="DZ119" i="15"/>
  <c r="EB119" i="15" s="1"/>
  <c r="ED119" i="15"/>
  <c r="DZ96" i="15"/>
  <c r="EB96" i="15" s="1"/>
  <c r="ED96" i="15"/>
  <c r="EE72" i="15"/>
  <c r="EH72" i="15" s="1"/>
  <c r="DQ72" i="15" s="1"/>
  <c r="EA72" i="15"/>
  <c r="EC77" i="15"/>
  <c r="EG77" i="15" s="1"/>
  <c r="DL77" i="15" s="1"/>
  <c r="DY77" i="15"/>
  <c r="EE49" i="15"/>
  <c r="EH49" i="15" s="1"/>
  <c r="DQ49" i="15" s="1"/>
  <c r="EA49" i="15"/>
  <c r="EE109" i="15"/>
  <c r="EH109" i="15" s="1"/>
  <c r="DQ109" i="15" s="1"/>
  <c r="EA109" i="15"/>
  <c r="EE48" i="15"/>
  <c r="EH48" i="15" s="1"/>
  <c r="DQ48" i="15" s="1"/>
  <c r="EA48" i="15"/>
  <c r="EC110" i="15"/>
  <c r="EG110" i="15" s="1"/>
  <c r="DL110" i="15" s="1"/>
  <c r="DY110" i="15"/>
  <c r="EC119" i="15"/>
  <c r="EG119" i="15" s="1"/>
  <c r="DL119" i="15" s="1"/>
  <c r="DY119" i="15"/>
  <c r="EC96" i="15"/>
  <c r="EG96" i="15" s="1"/>
  <c r="DL96" i="15" s="1"/>
  <c r="DY96" i="15"/>
  <c r="EF41" i="15"/>
  <c r="BE41" i="65" s="1"/>
  <c r="AE41" i="5" s="1"/>
  <c r="BD41" i="65"/>
  <c r="AD41" i="5" s="1"/>
  <c r="EC46" i="15"/>
  <c r="EG46" i="15" s="1"/>
  <c r="DL46" i="15" s="1"/>
  <c r="DY46" i="15"/>
  <c r="DT39" i="15"/>
  <c r="AH39" i="65" s="1"/>
  <c r="DU39" i="15"/>
  <c r="BC39" i="65"/>
  <c r="AC39" i="5" s="1"/>
  <c r="BB39" i="73" s="1"/>
  <c r="EE43" i="15"/>
  <c r="EH43" i="15" s="1"/>
  <c r="DQ43" i="15" s="1"/>
  <c r="EA43" i="15"/>
  <c r="DZ44" i="15"/>
  <c r="EB44" i="15" s="1"/>
  <c r="EI44" i="15" s="1"/>
  <c r="ED44" i="15"/>
  <c r="EE66" i="15"/>
  <c r="EH66" i="15" s="1"/>
  <c r="DQ66" i="15" s="1"/>
  <c r="EA66" i="15"/>
  <c r="EE61" i="15"/>
  <c r="EH61" i="15" s="1"/>
  <c r="DQ61" i="15" s="1"/>
  <c r="EA61" i="15"/>
  <c r="EE122" i="15"/>
  <c r="EH122" i="15" s="1"/>
  <c r="DQ122" i="15" s="1"/>
  <c r="EA122" i="15"/>
  <c r="EE126" i="15"/>
  <c r="EH126" i="15" s="1"/>
  <c r="DQ126" i="15" s="1"/>
  <c r="EA126" i="15"/>
  <c r="DZ125" i="15"/>
  <c r="EB125" i="15" s="1"/>
  <c r="ED125" i="15"/>
  <c r="EC123" i="15"/>
  <c r="EG123" i="15" s="1"/>
  <c r="DL123" i="15" s="1"/>
  <c r="DY123" i="15"/>
  <c r="DZ92" i="15"/>
  <c r="EB92" i="15" s="1"/>
  <c r="ED92" i="15"/>
  <c r="DS27" i="15"/>
  <c r="DT27" i="15"/>
  <c r="BC27" i="65"/>
  <c r="AC27" i="5" s="1"/>
  <c r="BB27" i="73" s="1"/>
  <c r="EE46" i="15"/>
  <c r="EH46" i="15" s="1"/>
  <c r="DQ46" i="15" s="1"/>
  <c r="EA46" i="15"/>
  <c r="EC43" i="15"/>
  <c r="EG43" i="15" s="1"/>
  <c r="DL43" i="15" s="1"/>
  <c r="DY43" i="15"/>
  <c r="EC66" i="15"/>
  <c r="EG66" i="15" s="1"/>
  <c r="DL66" i="15" s="1"/>
  <c r="DY66" i="15"/>
  <c r="DZ61" i="15"/>
  <c r="EB61" i="15" s="1"/>
  <c r="ED61" i="15"/>
  <c r="EC122" i="15"/>
  <c r="EG122" i="15" s="1"/>
  <c r="DL122" i="15" s="1"/>
  <c r="DY122" i="15"/>
  <c r="EC126" i="15"/>
  <c r="EG126" i="15" s="1"/>
  <c r="DL126" i="15" s="1"/>
  <c r="DY126" i="15"/>
  <c r="EC125" i="15"/>
  <c r="EG125" i="15" s="1"/>
  <c r="DL125" i="15" s="1"/>
  <c r="DY125" i="15"/>
  <c r="EE123" i="15"/>
  <c r="EH123" i="15" s="1"/>
  <c r="DQ123" i="15" s="1"/>
  <c r="EA123" i="15"/>
  <c r="EC92" i="15"/>
  <c r="EG92" i="15" s="1"/>
  <c r="DY92" i="15"/>
  <c r="EE73" i="15"/>
  <c r="EH73" i="15" s="1"/>
  <c r="DQ73" i="15" s="1"/>
  <c r="EA73" i="15"/>
  <c r="DT56" i="15"/>
  <c r="AH56" i="65" s="1"/>
  <c r="BC56" i="65"/>
  <c r="DY24" i="15"/>
  <c r="EE74" i="15"/>
  <c r="EH74" i="15" s="1"/>
  <c r="DQ74" i="15" s="1"/>
  <c r="EA74" i="15"/>
  <c r="EE75" i="15"/>
  <c r="EH75" i="15" s="1"/>
  <c r="DQ75" i="15" s="1"/>
  <c r="EA75" i="15"/>
  <c r="EE69" i="15"/>
  <c r="EH69" i="15" s="1"/>
  <c r="DQ69" i="15" s="1"/>
  <c r="EA69" i="15"/>
  <c r="EC71" i="15"/>
  <c r="EG71" i="15" s="1"/>
  <c r="DL71" i="15" s="1"/>
  <c r="DY71" i="15"/>
  <c r="EE51" i="15"/>
  <c r="EH51" i="15" s="1"/>
  <c r="DQ51" i="15" s="1"/>
  <c r="EA51" i="15"/>
  <c r="EC78" i="15"/>
  <c r="EG78" i="15" s="1"/>
  <c r="DL78" i="15" s="1"/>
  <c r="W78" i="5" s="1"/>
  <c r="DY78" i="15"/>
  <c r="EC58" i="15"/>
  <c r="EG58" i="15" s="1"/>
  <c r="DL58" i="15" s="1"/>
  <c r="W58" i="5" s="1"/>
  <c r="DY58" i="15"/>
  <c r="DZ32" i="15"/>
  <c r="EB32" i="15" s="1"/>
  <c r="ED32" i="15" s="1"/>
  <c r="EA32" i="15"/>
  <c r="DS60" i="15"/>
  <c r="DU60" i="15"/>
  <c r="DT60" i="15"/>
  <c r="BC60" i="65"/>
  <c r="EE65" i="15"/>
  <c r="EH65" i="15" s="1"/>
  <c r="DQ65" i="15" s="1"/>
  <c r="EA65" i="15"/>
  <c r="EE36" i="15"/>
  <c r="EH36" i="15" s="1"/>
  <c r="DQ36" i="15" s="1"/>
  <c r="EA36" i="15"/>
  <c r="EA25" i="15"/>
  <c r="EE40" i="15"/>
  <c r="EH40" i="15" s="1"/>
  <c r="DQ40" i="15" s="1"/>
  <c r="EA40" i="15"/>
  <c r="EE68" i="15"/>
  <c r="EH68" i="15" s="1"/>
  <c r="DQ68" i="15" s="1"/>
  <c r="EA68" i="15"/>
  <c r="EE93" i="15"/>
  <c r="EH93" i="15" s="1"/>
  <c r="DQ93" i="15" s="1"/>
  <c r="EA93" i="15"/>
  <c r="EE67" i="15"/>
  <c r="EH67" i="15" s="1"/>
  <c r="DQ67" i="15" s="1"/>
  <c r="EA67" i="15"/>
  <c r="EC105" i="15"/>
  <c r="EG105" i="15" s="1"/>
  <c r="DL105" i="15" s="1"/>
  <c r="DY105" i="15"/>
  <c r="DZ120" i="15"/>
  <c r="EB120" i="15" s="1"/>
  <c r="ED120" i="15"/>
  <c r="EE120" i="15"/>
  <c r="EH120" i="15" s="1"/>
  <c r="DQ120" i="15" s="1"/>
  <c r="EA120" i="15"/>
  <c r="DZ114" i="15"/>
  <c r="EB114" i="15" s="1"/>
  <c r="ED114" i="15"/>
  <c r="DY114" i="15"/>
  <c r="EC114" i="15"/>
  <c r="EG114" i="15" s="1"/>
  <c r="DL114" i="15" s="1"/>
  <c r="EC118" i="15"/>
  <c r="EG118" i="15" s="1"/>
  <c r="DL118" i="15" s="1"/>
  <c r="DY118" i="15"/>
  <c r="EE118" i="15"/>
  <c r="EH118" i="15" s="1"/>
  <c r="DQ118" i="15" s="1"/>
  <c r="EA118" i="15"/>
  <c r="EE55" i="15"/>
  <c r="EH55" i="15" s="1"/>
  <c r="DQ55" i="15" s="1"/>
  <c r="EA55" i="15"/>
  <c r="EC55" i="15"/>
  <c r="EG55" i="15" s="1"/>
  <c r="DL55" i="15" s="1"/>
  <c r="DY55" i="15"/>
  <c r="EC115" i="15"/>
  <c r="EG115" i="15" s="1"/>
  <c r="DL115" i="15" s="1"/>
  <c r="DY115" i="15"/>
  <c r="EE115" i="15"/>
  <c r="EH115" i="15" s="1"/>
  <c r="DQ115" i="15" s="1"/>
  <c r="EA115" i="15"/>
  <c r="ED95" i="15"/>
  <c r="DZ95" i="15"/>
  <c r="EB95" i="15" s="1"/>
  <c r="EE88" i="15"/>
  <c r="EH88" i="15" s="1"/>
  <c r="DQ88" i="15" s="1"/>
  <c r="EA88" i="15"/>
  <c r="DZ84" i="15"/>
  <c r="EB84" i="15" s="1"/>
  <c r="ED84" i="15"/>
  <c r="EC73" i="15"/>
  <c r="EG73" i="15" s="1"/>
  <c r="DY73" i="15"/>
  <c r="DZ24" i="15"/>
  <c r="EB24" i="15" s="1"/>
  <c r="EC24" i="15" s="1"/>
  <c r="EG24" i="15" s="1"/>
  <c r="EA24" i="15"/>
  <c r="EC74" i="15"/>
  <c r="EG74" i="15" s="1"/>
  <c r="DL74" i="15" s="1"/>
  <c r="DY74" i="15"/>
  <c r="EC75" i="15"/>
  <c r="EG75" i="15" s="1"/>
  <c r="DL75" i="15" s="1"/>
  <c r="DY75" i="15"/>
  <c r="EC69" i="15"/>
  <c r="EG69" i="15" s="1"/>
  <c r="DL69" i="15" s="1"/>
  <c r="DY69" i="15"/>
  <c r="EE71" i="15"/>
  <c r="EH71" i="15" s="1"/>
  <c r="DQ71" i="15" s="1"/>
  <c r="EA71" i="15"/>
  <c r="DZ58" i="15"/>
  <c r="EB58" i="15" s="1"/>
  <c r="EE58" i="15"/>
  <c r="EH58" i="15" s="1"/>
  <c r="DQ58" i="15" s="1"/>
  <c r="EA58" i="15"/>
  <c r="DY32" i="15"/>
  <c r="EO60" i="15"/>
  <c r="EQ60" i="15"/>
  <c r="EP60" i="15"/>
  <c r="EC65" i="15"/>
  <c r="EG65" i="15" s="1"/>
  <c r="DL65" i="15" s="1"/>
  <c r="DY65" i="15"/>
  <c r="EE41" i="15"/>
  <c r="EH41" i="15" s="1"/>
  <c r="DQ41" i="15" s="1"/>
  <c r="EA41" i="15"/>
  <c r="EC68" i="15"/>
  <c r="EG68" i="15" s="1"/>
  <c r="DL68" i="15" s="1"/>
  <c r="DY68" i="15"/>
  <c r="EC93" i="15"/>
  <c r="EG93" i="15" s="1"/>
  <c r="DL93" i="15" s="1"/>
  <c r="DY93" i="15"/>
  <c r="DZ67" i="15"/>
  <c r="EB67" i="15" s="1"/>
  <c r="ED67" i="15"/>
  <c r="EE105" i="15"/>
  <c r="EH105" i="15" s="1"/>
  <c r="DQ105" i="15" s="1"/>
  <c r="EA105" i="15"/>
  <c r="DY120" i="15"/>
  <c r="EC120" i="15"/>
  <c r="EG120" i="15" s="1"/>
  <c r="DL120" i="15" s="1"/>
  <c r="W127" i="5"/>
  <c r="EE114" i="15"/>
  <c r="EH114" i="15" s="1"/>
  <c r="DQ114" i="15" s="1"/>
  <c r="EA114" i="15"/>
  <c r="DZ118" i="15"/>
  <c r="EB118" i="15" s="1"/>
  <c r="ED118" i="15"/>
  <c r="DZ55" i="15"/>
  <c r="EB55" i="15" s="1"/>
  <c r="ED55" i="15"/>
  <c r="DZ115" i="15"/>
  <c r="EB115" i="15" s="1"/>
  <c r="ED115" i="15"/>
  <c r="EE108" i="15"/>
  <c r="EH108" i="15" s="1"/>
  <c r="DQ108" i="15" s="1"/>
  <c r="EA108" i="15"/>
  <c r="DZ108" i="15"/>
  <c r="EB108" i="15" s="1"/>
  <c r="ED108" i="15"/>
  <c r="EC95" i="15"/>
  <c r="EG95" i="15" s="1"/>
  <c r="DL95" i="15" s="1"/>
  <c r="DY95" i="15"/>
  <c r="DZ88" i="15"/>
  <c r="EB88" i="15" s="1"/>
  <c r="ED88" i="15"/>
  <c r="EE84" i="15"/>
  <c r="EH84" i="15" s="1"/>
  <c r="DQ84" i="15" s="1"/>
  <c r="EA84" i="15"/>
  <c r="EC39" i="15"/>
  <c r="EG39" i="15" s="1"/>
  <c r="DL39" i="15" s="1"/>
  <c r="DY39" i="15"/>
  <c r="EA27" i="15"/>
  <c r="EE56" i="15"/>
  <c r="EH56" i="15" s="1"/>
  <c r="DQ56" i="15" s="1"/>
  <c r="BD37" i="65"/>
  <c r="AD37" i="5" s="1"/>
  <c r="EF37" i="15"/>
  <c r="BE37" i="65" s="1"/>
  <c r="AE37" i="5" s="1"/>
  <c r="EA28" i="15"/>
  <c r="W64" i="5"/>
  <c r="EC76" i="15"/>
  <c r="EG76" i="15" s="1"/>
  <c r="DL76" i="15" s="1"/>
  <c r="DY76" i="15"/>
  <c r="EE50" i="15"/>
  <c r="EH50" i="15" s="1"/>
  <c r="DQ50" i="15" s="1"/>
  <c r="EA50" i="15"/>
  <c r="W45" i="5"/>
  <c r="W33" i="5"/>
  <c r="EE59" i="15"/>
  <c r="EH59" i="15" s="1"/>
  <c r="DQ59" i="15" s="1"/>
  <c r="EA59" i="15"/>
  <c r="W53" i="5"/>
  <c r="W62" i="5"/>
  <c r="W54" i="5"/>
  <c r="W109" i="5"/>
  <c r="W117" i="5"/>
  <c r="W61" i="5"/>
  <c r="W80" i="5"/>
  <c r="EE107" i="15"/>
  <c r="EH107" i="15" s="1"/>
  <c r="DQ107" i="15" s="1"/>
  <c r="EA107" i="15"/>
  <c r="W48" i="5"/>
  <c r="W106" i="5"/>
  <c r="W97" i="5"/>
  <c r="EE104" i="15"/>
  <c r="EH104" i="15" s="1"/>
  <c r="DQ104" i="15" s="1"/>
  <c r="EA104" i="15"/>
  <c r="ED104" i="15"/>
  <c r="DZ104" i="15"/>
  <c r="EB104" i="15" s="1"/>
  <c r="EA98" i="15"/>
  <c r="EE98" i="15"/>
  <c r="EH98" i="15" s="1"/>
  <c r="DQ98" i="15" s="1"/>
  <c r="EC98" i="15"/>
  <c r="EG98" i="15" s="1"/>
  <c r="DL98" i="15" s="1"/>
  <c r="DY98" i="15"/>
  <c r="EC52" i="15"/>
  <c r="EG52" i="15" s="1"/>
  <c r="DL52" i="15" s="1"/>
  <c r="DY52" i="15"/>
  <c r="DY56" i="15"/>
  <c r="EC56" i="15"/>
  <c r="EG56" i="15" s="1"/>
  <c r="DL56" i="15" s="1"/>
  <c r="DY28" i="15"/>
  <c r="ED76" i="15"/>
  <c r="DZ76" i="15"/>
  <c r="EB76" i="15" s="1"/>
  <c r="EC50" i="15"/>
  <c r="EG50" i="15" s="1"/>
  <c r="DL50" i="15" s="1"/>
  <c r="DY50" i="15"/>
  <c r="EC59" i="15"/>
  <c r="EG59" i="15" s="1"/>
  <c r="DL59" i="15" s="1"/>
  <c r="DY59" i="15"/>
  <c r="W79" i="5"/>
  <c r="W89" i="5"/>
  <c r="W100" i="5"/>
  <c r="W91" i="5"/>
  <c r="W38" i="5"/>
  <c r="W42" i="5"/>
  <c r="EC107" i="15"/>
  <c r="EG107" i="15" s="1"/>
  <c r="DL107" i="15" s="1"/>
  <c r="DY107" i="15"/>
  <c r="W124" i="5"/>
  <c r="W116" i="5"/>
  <c r="EC104" i="15"/>
  <c r="EG104" i="15" s="1"/>
  <c r="DL104" i="15" s="1"/>
  <c r="DY104" i="15"/>
  <c r="ED98" i="15"/>
  <c r="DZ98" i="15"/>
  <c r="EB98" i="15" s="1"/>
  <c r="CX22" i="15"/>
  <c r="BB37" i="89" l="1"/>
  <c r="BB37" i="82"/>
  <c r="BB25" i="91"/>
  <c r="BC34" i="65"/>
  <c r="AC34" i="5" s="1"/>
  <c r="BB34" i="73" s="1"/>
  <c r="AY24" i="84"/>
  <c r="DN64" i="15"/>
  <c r="BC37" i="73"/>
  <c r="AQ37" i="73"/>
  <c r="BC49" i="73"/>
  <c r="AQ49" i="73"/>
  <c r="BC41" i="73"/>
  <c r="AQ41" i="73"/>
  <c r="BC33" i="73"/>
  <c r="AQ33" i="73"/>
  <c r="BC29" i="82"/>
  <c r="BC29" i="73"/>
  <c r="AQ29" i="73"/>
  <c r="BC46" i="73"/>
  <c r="AQ46" i="73"/>
  <c r="AH35" i="65"/>
  <c r="AZ25" i="73"/>
  <c r="EF51" i="15"/>
  <c r="BE51" i="65" s="1"/>
  <c r="AH64" i="65"/>
  <c r="EI80" i="15"/>
  <c r="EI61" i="15"/>
  <c r="EI91" i="15"/>
  <c r="BF91" i="65" s="1"/>
  <c r="EI109" i="15"/>
  <c r="AH47" i="65"/>
  <c r="EI47" i="15" s="1"/>
  <c r="EI54" i="15"/>
  <c r="EI86" i="15"/>
  <c r="EI100" i="15"/>
  <c r="EI42" i="15"/>
  <c r="DY37" i="15"/>
  <c r="AH37" i="65"/>
  <c r="AH60" i="65"/>
  <c r="AH27" i="65"/>
  <c r="AH25" i="65"/>
  <c r="AH28" i="65"/>
  <c r="EI53" i="15"/>
  <c r="BF53" i="65" s="1"/>
  <c r="EI116" i="15"/>
  <c r="BF116" i="65" s="1"/>
  <c r="EI48" i="15"/>
  <c r="EI51" i="15"/>
  <c r="EI67" i="15"/>
  <c r="EI84" i="15"/>
  <c r="DQ124" i="15"/>
  <c r="AA124" i="5" s="1"/>
  <c r="AB124" i="5" s="1"/>
  <c r="DQ62" i="15"/>
  <c r="AA62" i="5" s="1"/>
  <c r="AB62" i="5" s="1"/>
  <c r="DQ63" i="15"/>
  <c r="AA63" i="5" s="1"/>
  <c r="AB63" i="5" s="1"/>
  <c r="DQ99" i="15"/>
  <c r="AA99" i="5" s="1"/>
  <c r="AB99" i="5" s="1"/>
  <c r="DQ45" i="15"/>
  <c r="AA45" i="5" s="1"/>
  <c r="AB45" i="5" s="1"/>
  <c r="AY25" i="87"/>
  <c r="BC29" i="90"/>
  <c r="AZ25" i="84"/>
  <c r="AY24" i="88"/>
  <c r="EE35" i="15"/>
  <c r="EH35" i="15" s="1"/>
  <c r="BC29" i="65"/>
  <c r="AC29" i="5" s="1"/>
  <c r="DS29" i="15"/>
  <c r="ED29" i="15"/>
  <c r="EF57" i="15"/>
  <c r="BE57" i="65" s="1"/>
  <c r="DU29" i="15"/>
  <c r="AY23" i="89"/>
  <c r="BB29" i="91"/>
  <c r="BC41" i="82"/>
  <c r="BC41" i="83"/>
  <c r="BC41" i="84"/>
  <c r="BC41" i="86"/>
  <c r="BC41" i="85"/>
  <c r="BC41" i="87"/>
  <c r="BC41" i="89"/>
  <c r="BC41" i="88"/>
  <c r="BC41" i="90"/>
  <c r="AQ41" i="82"/>
  <c r="AQ41" i="83"/>
  <c r="AQ41" i="84"/>
  <c r="AQ41" i="86"/>
  <c r="AQ41" i="85"/>
  <c r="AQ41" i="87"/>
  <c r="AQ41" i="89"/>
  <c r="AQ41" i="88"/>
  <c r="AQ41" i="90"/>
  <c r="BC41" i="91"/>
  <c r="AQ41" i="91"/>
  <c r="AQ46" i="82"/>
  <c r="AQ46" i="84"/>
  <c r="AQ46" i="83"/>
  <c r="AQ46" i="85"/>
  <c r="AQ46" i="86"/>
  <c r="AQ46" i="88"/>
  <c r="AQ46" i="90"/>
  <c r="AQ46" i="87"/>
  <c r="AQ46" i="89"/>
  <c r="BC46" i="82"/>
  <c r="BC46" i="84"/>
  <c r="BC46" i="83"/>
  <c r="BC46" i="85"/>
  <c r="BC46" i="86"/>
  <c r="BC46" i="88"/>
  <c r="BC46" i="90"/>
  <c r="BC46" i="87"/>
  <c r="BC46" i="89"/>
  <c r="AQ46" i="91"/>
  <c r="BC46" i="91"/>
  <c r="BC49" i="82"/>
  <c r="BC49" i="83"/>
  <c r="BC49" i="84"/>
  <c r="BC49" i="86"/>
  <c r="BC49" i="85"/>
  <c r="BC49" i="87"/>
  <c r="BC49" i="89"/>
  <c r="BC49" i="88"/>
  <c r="BC49" i="90"/>
  <c r="BC49" i="91"/>
  <c r="AQ49" i="82"/>
  <c r="AQ49" i="83"/>
  <c r="AQ49" i="84"/>
  <c r="AQ49" i="86"/>
  <c r="AQ49" i="85"/>
  <c r="AQ49" i="87"/>
  <c r="AQ49" i="89"/>
  <c r="AQ49" i="88"/>
  <c r="AQ49" i="90"/>
  <c r="AQ49" i="91"/>
  <c r="BB47" i="82"/>
  <c r="BB47" i="83"/>
  <c r="BB47" i="86"/>
  <c r="BB47" i="90"/>
  <c r="BB47" i="89"/>
  <c r="BB47" i="84"/>
  <c r="BB47" i="85"/>
  <c r="BB47" i="88"/>
  <c r="BB47" i="87"/>
  <c r="BB47" i="91"/>
  <c r="BB39" i="84"/>
  <c r="BB39" i="85"/>
  <c r="BB39" i="88"/>
  <c r="BB39" i="87"/>
  <c r="BB39" i="82"/>
  <c r="BB39" i="83"/>
  <c r="BB39" i="86"/>
  <c r="BB39" i="90"/>
  <c r="BB39" i="89"/>
  <c r="BB39" i="91"/>
  <c r="BB38" i="83"/>
  <c r="BB38" i="86"/>
  <c r="BB38" i="87"/>
  <c r="BB38" i="88"/>
  <c r="BB38" i="91"/>
  <c r="BB38" i="82"/>
  <c r="BB38" i="84"/>
  <c r="BB38" i="85"/>
  <c r="BB38" i="89"/>
  <c r="BB38" i="90"/>
  <c r="DL24" i="15"/>
  <c r="DM24" i="15" s="1"/>
  <c r="BD47" i="65"/>
  <c r="AD47" i="5" s="1"/>
  <c r="EF47" i="15"/>
  <c r="BE47" i="65" s="1"/>
  <c r="AE47" i="5" s="1"/>
  <c r="AX25" i="91"/>
  <c r="AZ25" i="86"/>
  <c r="AX25" i="85"/>
  <c r="AY25" i="83"/>
  <c r="BC29" i="83"/>
  <c r="DN33" i="15"/>
  <c r="X33" i="5" s="1"/>
  <c r="Y33" i="5" s="1"/>
  <c r="EO23" i="15"/>
  <c r="AZ25" i="89"/>
  <c r="AX25" i="88"/>
  <c r="AX25" i="84"/>
  <c r="AY25" i="88"/>
  <c r="AY25" i="86"/>
  <c r="AY23" i="90"/>
  <c r="AY23" i="85"/>
  <c r="AY23" i="82"/>
  <c r="BC29" i="89"/>
  <c r="BC29" i="84"/>
  <c r="AZ25" i="88"/>
  <c r="AY24" i="87"/>
  <c r="AY24" i="85"/>
  <c r="AZ25" i="82"/>
  <c r="AA116" i="5"/>
  <c r="AB116" i="5" s="1"/>
  <c r="AZ25" i="83"/>
  <c r="AZ25" i="90"/>
  <c r="AX25" i="89"/>
  <c r="AX25" i="90"/>
  <c r="AX25" i="86"/>
  <c r="AX25" i="83"/>
  <c r="AX25" i="82"/>
  <c r="AY25" i="90"/>
  <c r="AY25" i="89"/>
  <c r="AY25" i="85"/>
  <c r="AY25" i="84"/>
  <c r="AY25" i="82"/>
  <c r="AY23" i="88"/>
  <c r="AY23" i="87"/>
  <c r="AY23" i="86"/>
  <c r="AY23" i="83"/>
  <c r="AY23" i="91"/>
  <c r="BC29" i="88"/>
  <c r="BC29" i="87"/>
  <c r="BC29" i="86"/>
  <c r="AZ25" i="85"/>
  <c r="AZ25" i="87"/>
  <c r="AY24" i="89"/>
  <c r="AY24" i="90"/>
  <c r="AY24" i="86"/>
  <c r="AY24" i="83"/>
  <c r="AY24" i="82"/>
  <c r="BB37" i="87"/>
  <c r="BB37" i="88"/>
  <c r="BB37" i="85"/>
  <c r="BB37" i="84"/>
  <c r="AZ25" i="91"/>
  <c r="BB37" i="91"/>
  <c r="DT30" i="15"/>
  <c r="DZ30" i="15" s="1"/>
  <c r="EB30" i="15" s="1"/>
  <c r="ED30" i="15" s="1"/>
  <c r="DU30" i="15"/>
  <c r="EA30" i="15" s="1"/>
  <c r="DS30" i="15"/>
  <c r="DN107" i="15"/>
  <c r="DM107" i="15"/>
  <c r="DN59" i="15"/>
  <c r="DM59" i="15"/>
  <c r="DN50" i="15"/>
  <c r="DM50" i="15"/>
  <c r="DN56" i="15"/>
  <c r="DM56" i="15"/>
  <c r="DN76" i="15"/>
  <c r="DM76" i="15"/>
  <c r="DM39" i="15"/>
  <c r="DN39" i="15" s="1"/>
  <c r="DN95" i="15"/>
  <c r="DM95" i="15"/>
  <c r="DN93" i="15"/>
  <c r="X93" i="5" s="1"/>
  <c r="Y93" i="5" s="1"/>
  <c r="DM93" i="15"/>
  <c r="DN68" i="15"/>
  <c r="X68" i="5" s="1"/>
  <c r="Y68" i="5" s="1"/>
  <c r="DM68" i="15"/>
  <c r="DN65" i="15"/>
  <c r="DM65" i="15"/>
  <c r="DN69" i="15"/>
  <c r="DM69" i="15"/>
  <c r="DN75" i="15"/>
  <c r="DM75" i="15"/>
  <c r="DN74" i="15"/>
  <c r="DM74" i="15"/>
  <c r="DL73" i="15"/>
  <c r="W73" i="5" s="1"/>
  <c r="DN115" i="15"/>
  <c r="DM115" i="15"/>
  <c r="DN55" i="15"/>
  <c r="DM55" i="15"/>
  <c r="DN118" i="15"/>
  <c r="X118" i="5" s="1"/>
  <c r="Y118" i="5" s="1"/>
  <c r="DM118" i="15"/>
  <c r="DN105" i="15"/>
  <c r="DM105" i="15"/>
  <c r="DL92" i="15"/>
  <c r="W92" i="5" s="1"/>
  <c r="DN125" i="15"/>
  <c r="X125" i="5" s="1"/>
  <c r="Y125" i="5" s="1"/>
  <c r="DM125" i="15"/>
  <c r="DN126" i="15"/>
  <c r="X126" i="5" s="1"/>
  <c r="Y126" i="5" s="1"/>
  <c r="DM126" i="15"/>
  <c r="DN122" i="15"/>
  <c r="X122" i="5" s="1"/>
  <c r="Y122" i="5" s="1"/>
  <c r="DM122" i="15"/>
  <c r="DN66" i="15"/>
  <c r="DM66" i="15"/>
  <c r="DM43" i="15"/>
  <c r="DN43" i="15" s="1"/>
  <c r="EI43" i="15" s="1"/>
  <c r="DM46" i="15"/>
  <c r="DN46" i="15" s="1"/>
  <c r="EI46" i="15" s="1"/>
  <c r="DN96" i="15"/>
  <c r="X96" i="5" s="1"/>
  <c r="Y96" i="5" s="1"/>
  <c r="DM96" i="15"/>
  <c r="DN119" i="15"/>
  <c r="X119" i="5" s="1"/>
  <c r="Y119" i="5" s="1"/>
  <c r="DM119" i="15"/>
  <c r="DN110" i="15"/>
  <c r="X110" i="5" s="1"/>
  <c r="Y110" i="5" s="1"/>
  <c r="DM110" i="15"/>
  <c r="DN77" i="15"/>
  <c r="DM77" i="15"/>
  <c r="DM49" i="15"/>
  <c r="DN49" i="15" s="1"/>
  <c r="DN72" i="15"/>
  <c r="X72" i="5" s="1"/>
  <c r="Y72" i="5" s="1"/>
  <c r="DM72" i="15"/>
  <c r="DN97" i="15"/>
  <c r="X97" i="5" s="1"/>
  <c r="Y97" i="5" s="1"/>
  <c r="DM97" i="15"/>
  <c r="DN121" i="15"/>
  <c r="X121" i="5" s="1"/>
  <c r="Y121" i="5" s="1"/>
  <c r="DM121" i="15"/>
  <c r="DN101" i="15"/>
  <c r="X101" i="5" s="1"/>
  <c r="Y101" i="5" s="1"/>
  <c r="DM101" i="15"/>
  <c r="DN94" i="15"/>
  <c r="DM94" i="15"/>
  <c r="DN57" i="15"/>
  <c r="X57" i="5" s="1"/>
  <c r="Y57" i="5" s="1"/>
  <c r="DM57" i="15"/>
  <c r="DN124" i="15"/>
  <c r="DM124" i="15"/>
  <c r="DM37" i="15"/>
  <c r="DN37" i="15" s="1"/>
  <c r="X37" i="5" s="1"/>
  <c r="Y37" i="5" s="1"/>
  <c r="DN106" i="15"/>
  <c r="X106" i="5" s="1"/>
  <c r="Y106" i="5" s="1"/>
  <c r="DM106" i="15"/>
  <c r="DM41" i="15"/>
  <c r="DN41" i="15" s="1"/>
  <c r="EI41" i="15" s="1"/>
  <c r="DM40" i="15"/>
  <c r="DN40" i="15" s="1"/>
  <c r="EI40" i="15" s="1"/>
  <c r="DN88" i="15"/>
  <c r="DM88" i="15"/>
  <c r="DN108" i="15"/>
  <c r="DM108" i="15"/>
  <c r="DN104" i="15"/>
  <c r="DM104" i="15"/>
  <c r="DN52" i="15"/>
  <c r="DM52" i="15"/>
  <c r="DN98" i="15"/>
  <c r="DM98" i="15"/>
  <c r="DN120" i="15"/>
  <c r="X120" i="5" s="1"/>
  <c r="Y120" i="5" s="1"/>
  <c r="DM120" i="15"/>
  <c r="DN114" i="15"/>
  <c r="X114" i="5" s="1"/>
  <c r="Y114" i="5" s="1"/>
  <c r="DM114" i="15"/>
  <c r="DN58" i="15"/>
  <c r="X58" i="5" s="1"/>
  <c r="Y58" i="5" s="1"/>
  <c r="DM58" i="15"/>
  <c r="DN78" i="15"/>
  <c r="DM78" i="15"/>
  <c r="DN71" i="15"/>
  <c r="DM71" i="15"/>
  <c r="DN123" i="15"/>
  <c r="DM123" i="15"/>
  <c r="DM38" i="15"/>
  <c r="DN38" i="15" s="1"/>
  <c r="X38" i="5" s="1"/>
  <c r="Y38" i="5" s="1"/>
  <c r="DN70" i="15"/>
  <c r="X70" i="5" s="1"/>
  <c r="Y70" i="5" s="1"/>
  <c r="DM70" i="15"/>
  <c r="DN99" i="15"/>
  <c r="X99" i="5" s="1"/>
  <c r="Y99" i="5" s="1"/>
  <c r="DM99" i="15"/>
  <c r="DN111" i="15"/>
  <c r="DM111" i="15"/>
  <c r="DN85" i="15"/>
  <c r="DM85" i="15"/>
  <c r="DN127" i="15"/>
  <c r="X127" i="5" s="1"/>
  <c r="Y127" i="5" s="1"/>
  <c r="DM127" i="15"/>
  <c r="DM36" i="15"/>
  <c r="DN36" i="15" s="1"/>
  <c r="EI36" i="15" s="1"/>
  <c r="DN113" i="15"/>
  <c r="DM113" i="15"/>
  <c r="EE64" i="15"/>
  <c r="EH64" i="15" s="1"/>
  <c r="EA64" i="15"/>
  <c r="DZ50" i="15"/>
  <c r="EB50" i="15" s="1"/>
  <c r="ED50" i="15"/>
  <c r="DZ64" i="15"/>
  <c r="EB64" i="15" s="1"/>
  <c r="ED64" i="15"/>
  <c r="BF89" i="65"/>
  <c r="BF79" i="65"/>
  <c r="DY29" i="15"/>
  <c r="BF117" i="65"/>
  <c r="BF44" i="65"/>
  <c r="AF44" i="5" s="1"/>
  <c r="DY34" i="15"/>
  <c r="DY35" i="15"/>
  <c r="DY25" i="15"/>
  <c r="W93" i="5"/>
  <c r="AQ29" i="82"/>
  <c r="W118" i="5"/>
  <c r="W70" i="5"/>
  <c r="EC32" i="15"/>
  <c r="EG32" i="15" s="1"/>
  <c r="W125" i="5"/>
  <c r="W126" i="5"/>
  <c r="AQ29" i="91"/>
  <c r="BC29" i="91"/>
  <c r="EQ23" i="15"/>
  <c r="AQ29" i="90"/>
  <c r="AQ29" i="88"/>
  <c r="AQ29" i="89"/>
  <c r="AQ29" i="87"/>
  <c r="AQ29" i="85"/>
  <c r="AQ29" i="86"/>
  <c r="AQ29" i="84"/>
  <c r="AQ29" i="83"/>
  <c r="EC25" i="15"/>
  <c r="EG25" i="15" s="1"/>
  <c r="AY24" i="91"/>
  <c r="AY25" i="91"/>
  <c r="EC35" i="15"/>
  <c r="EG35" i="15" s="1"/>
  <c r="DL35" i="15" s="1"/>
  <c r="W35" i="5" s="1"/>
  <c r="EE37" i="15"/>
  <c r="EH37" i="15" s="1"/>
  <c r="BC33" i="91"/>
  <c r="W101" i="5"/>
  <c r="W94" i="5"/>
  <c r="W49" i="5"/>
  <c r="W120" i="5"/>
  <c r="W105" i="5"/>
  <c r="W96" i="5"/>
  <c r="W77" i="5"/>
  <c r="W110" i="5"/>
  <c r="W123" i="5"/>
  <c r="W122" i="5"/>
  <c r="W43" i="5"/>
  <c r="W115" i="5"/>
  <c r="EC34" i="15"/>
  <c r="EG34" i="15" s="1"/>
  <c r="DL34" i="15" s="1"/>
  <c r="W34" i="5" s="1"/>
  <c r="W119" i="5"/>
  <c r="W99" i="5"/>
  <c r="W66" i="5"/>
  <c r="W46" i="5"/>
  <c r="W72" i="5"/>
  <c r="AQ33" i="91"/>
  <c r="DU34" i="15"/>
  <c r="EE34" i="15" s="1"/>
  <c r="EH34" i="15" s="1"/>
  <c r="DU26" i="15"/>
  <c r="BC37" i="82"/>
  <c r="AQ37" i="82"/>
  <c r="BC37" i="83"/>
  <c r="AQ37" i="83"/>
  <c r="BC37" i="84"/>
  <c r="AQ37" i="84"/>
  <c r="BC37" i="86"/>
  <c r="AQ37" i="86"/>
  <c r="BC37" i="85"/>
  <c r="AQ37" i="85"/>
  <c r="BC37" i="87"/>
  <c r="AQ37" i="87"/>
  <c r="BC37" i="89"/>
  <c r="AQ37" i="89"/>
  <c r="BC37" i="88"/>
  <c r="AQ37" i="88"/>
  <c r="BC37" i="90"/>
  <c r="AQ37" i="90"/>
  <c r="BB27" i="82"/>
  <c r="BB27" i="84"/>
  <c r="BB27" i="83"/>
  <c r="BB27" i="85"/>
  <c r="BB27" i="86"/>
  <c r="BB27" i="88"/>
  <c r="BB27" i="90"/>
  <c r="BB27" i="87"/>
  <c r="BB27" i="89"/>
  <c r="BB28" i="82"/>
  <c r="BB28" i="83"/>
  <c r="BB28" i="84"/>
  <c r="BB28" i="86"/>
  <c r="BB28" i="85"/>
  <c r="BB28" i="87"/>
  <c r="BB28" i="89"/>
  <c r="BB28" i="88"/>
  <c r="BB28" i="90"/>
  <c r="BB31" i="82"/>
  <c r="BB31" i="84"/>
  <c r="BB31" i="83"/>
  <c r="BB31" i="85"/>
  <c r="BB31" i="86"/>
  <c r="BB31" i="88"/>
  <c r="BB31" i="90"/>
  <c r="BB31" i="87"/>
  <c r="BB31" i="89"/>
  <c r="BB34" i="82"/>
  <c r="BB34" i="83"/>
  <c r="BB34" i="84"/>
  <c r="BB34" i="86"/>
  <c r="BB34" i="85"/>
  <c r="BB34" i="87"/>
  <c r="BB34" i="89"/>
  <c r="BB34" i="88"/>
  <c r="BB34" i="90"/>
  <c r="BB30" i="82"/>
  <c r="BB30" i="83"/>
  <c r="BB30" i="84"/>
  <c r="BB30" i="86"/>
  <c r="BB30" i="85"/>
  <c r="BB30" i="87"/>
  <c r="BB30" i="89"/>
  <c r="BB30" i="88"/>
  <c r="BB30" i="90"/>
  <c r="BC33" i="82"/>
  <c r="AQ33" i="82"/>
  <c r="BC33" i="83"/>
  <c r="AQ33" i="83"/>
  <c r="BC33" i="84"/>
  <c r="AQ33" i="84"/>
  <c r="BC33" i="86"/>
  <c r="AQ33" i="86"/>
  <c r="BC33" i="85"/>
  <c r="AQ33" i="85"/>
  <c r="BC33" i="87"/>
  <c r="AQ33" i="87"/>
  <c r="BC33" i="89"/>
  <c r="AQ33" i="89"/>
  <c r="BC33" i="88"/>
  <c r="AQ33" i="88"/>
  <c r="BC33" i="90"/>
  <c r="AQ33" i="90"/>
  <c r="DS26" i="15"/>
  <c r="EE24" i="15"/>
  <c r="EH24" i="15" s="1"/>
  <c r="DQ24" i="15" s="1"/>
  <c r="ED24" i="15"/>
  <c r="EE32" i="15"/>
  <c r="EH32" i="15" s="1"/>
  <c r="DQ32" i="15" s="1"/>
  <c r="ED35" i="15"/>
  <c r="ED25" i="15"/>
  <c r="BC26" i="65"/>
  <c r="AC26" i="5" s="1"/>
  <c r="BB26" i="73" s="1"/>
  <c r="EE25" i="15"/>
  <c r="EH25" i="15" s="1"/>
  <c r="DQ25" i="15" s="1"/>
  <c r="W75" i="5"/>
  <c r="W55" i="5"/>
  <c r="W68" i="5"/>
  <c r="DS31" i="15"/>
  <c r="DU31" i="15"/>
  <c r="DZ26" i="15"/>
  <c r="EB26" i="15" s="1"/>
  <c r="ED26" i="15" s="1"/>
  <c r="BB30" i="91"/>
  <c r="ED34" i="15"/>
  <c r="EQ31" i="15"/>
  <c r="EP31" i="15"/>
  <c r="EO31" i="15"/>
  <c r="DT31" i="15"/>
  <c r="DZ31" i="15" s="1"/>
  <c r="EB31" i="15" s="1"/>
  <c r="ED31" i="15" s="1"/>
  <c r="BC23" i="65"/>
  <c r="DS23" i="15"/>
  <c r="DT23" i="15"/>
  <c r="DU23" i="15"/>
  <c r="BB27" i="91"/>
  <c r="BB28" i="91"/>
  <c r="AQ37" i="91"/>
  <c r="BC37" i="91"/>
  <c r="BB31" i="91"/>
  <c r="BB34" i="91"/>
  <c r="DZ28" i="15"/>
  <c r="EB28" i="15" s="1"/>
  <c r="BD113" i="65"/>
  <c r="EF113" i="15"/>
  <c r="BE113" i="65" s="1"/>
  <c r="EF117" i="15"/>
  <c r="BE117" i="65" s="1"/>
  <c r="BD117" i="65"/>
  <c r="BD101" i="65"/>
  <c r="EF101" i="15"/>
  <c r="BE101" i="65" s="1"/>
  <c r="EF89" i="15"/>
  <c r="BE89" i="65" s="1"/>
  <c r="BD89" i="65"/>
  <c r="AA104" i="5"/>
  <c r="AB104" i="5" s="1"/>
  <c r="AA50" i="5"/>
  <c r="AB50" i="5" s="1"/>
  <c r="AA84" i="5"/>
  <c r="AB84" i="5" s="1"/>
  <c r="AA108" i="5"/>
  <c r="AB108" i="5" s="1"/>
  <c r="AA114" i="5"/>
  <c r="AB114" i="5" s="1"/>
  <c r="AA105" i="5"/>
  <c r="AB105" i="5" s="1"/>
  <c r="AA41" i="5"/>
  <c r="AB41" i="5" s="1"/>
  <c r="AA120" i="5"/>
  <c r="AB120" i="5" s="1"/>
  <c r="AA67" i="5"/>
  <c r="AB67" i="5" s="1"/>
  <c r="AA93" i="5"/>
  <c r="AB93" i="5" s="1"/>
  <c r="AA68" i="5"/>
  <c r="AB68" i="5" s="1"/>
  <c r="AA40" i="5"/>
  <c r="AB40" i="5" s="1"/>
  <c r="AA36" i="5"/>
  <c r="AB36" i="5" s="1"/>
  <c r="AA65" i="5"/>
  <c r="AB65" i="5" s="1"/>
  <c r="AA51" i="5"/>
  <c r="AB51" i="5" s="1"/>
  <c r="AA69" i="5"/>
  <c r="AB69" i="5" s="1"/>
  <c r="AA75" i="5"/>
  <c r="AB75" i="5" s="1"/>
  <c r="AA74" i="5"/>
  <c r="AB74" i="5" s="1"/>
  <c r="AA73" i="5"/>
  <c r="AB73" i="5" s="1"/>
  <c r="AA123" i="5"/>
  <c r="AB123" i="5" s="1"/>
  <c r="AA46" i="5"/>
  <c r="AB46" i="5" s="1"/>
  <c r="AA48" i="5"/>
  <c r="AB48" i="5" s="1"/>
  <c r="AA109" i="5"/>
  <c r="AB109" i="5" s="1"/>
  <c r="AA49" i="5"/>
  <c r="AB49" i="5" s="1"/>
  <c r="AA72" i="5"/>
  <c r="AB72" i="5" s="1"/>
  <c r="AA77" i="5"/>
  <c r="AB77" i="5" s="1"/>
  <c r="EF111" i="15"/>
  <c r="BE111" i="65" s="1"/>
  <c r="BD111" i="65"/>
  <c r="AA111" i="5"/>
  <c r="AB111" i="5" s="1"/>
  <c r="AA85" i="5"/>
  <c r="AB85" i="5" s="1"/>
  <c r="EF85" i="15"/>
  <c r="BE85" i="65" s="1"/>
  <c r="BD85" i="65"/>
  <c r="EF97" i="15"/>
  <c r="BE97" i="65" s="1"/>
  <c r="BD97" i="65"/>
  <c r="AA38" i="5"/>
  <c r="AB38" i="5" s="1"/>
  <c r="EF70" i="15"/>
  <c r="BE70" i="65" s="1"/>
  <c r="BD70" i="65"/>
  <c r="EF79" i="15"/>
  <c r="BE79" i="65" s="1"/>
  <c r="BD79" i="65"/>
  <c r="AA97" i="5"/>
  <c r="AB97" i="5" s="1"/>
  <c r="EF38" i="15"/>
  <c r="BE38" i="65" s="1"/>
  <c r="AE38" i="5" s="1"/>
  <c r="BD38" i="65"/>
  <c r="AD38" i="5" s="1"/>
  <c r="AA70" i="5"/>
  <c r="AB70" i="5" s="1"/>
  <c r="AA86" i="5"/>
  <c r="AB86" i="5" s="1"/>
  <c r="EF86" i="15"/>
  <c r="BE86" i="65" s="1"/>
  <c r="BD86" i="65"/>
  <c r="AA113" i="5"/>
  <c r="AB113" i="5" s="1"/>
  <c r="BD99" i="65"/>
  <c r="EF99" i="15"/>
  <c r="BE99" i="65" s="1"/>
  <c r="BD121" i="65"/>
  <c r="EF121" i="15"/>
  <c r="BE121" i="65" s="1"/>
  <c r="AA98" i="5"/>
  <c r="AB98" i="5" s="1"/>
  <c r="AA107" i="5"/>
  <c r="AB107" i="5" s="1"/>
  <c r="AA59" i="5"/>
  <c r="AB59" i="5" s="1"/>
  <c r="AA56" i="5"/>
  <c r="AB56" i="5" s="1"/>
  <c r="AA58" i="5"/>
  <c r="AB58" i="5" s="1"/>
  <c r="AA71" i="5"/>
  <c r="AB71" i="5" s="1"/>
  <c r="W69" i="5"/>
  <c r="AA88" i="5"/>
  <c r="AB88" i="5" s="1"/>
  <c r="AA115" i="5"/>
  <c r="AB115" i="5" s="1"/>
  <c r="AA55" i="5"/>
  <c r="AB55" i="5" s="1"/>
  <c r="AA118" i="5"/>
  <c r="AB118" i="5" s="1"/>
  <c r="AA126" i="5"/>
  <c r="AB126" i="5" s="1"/>
  <c r="AA122" i="5"/>
  <c r="AB122" i="5" s="1"/>
  <c r="AA61" i="5"/>
  <c r="AB61" i="5" s="1"/>
  <c r="AA66" i="5"/>
  <c r="AB66" i="5" s="1"/>
  <c r="AA43" i="5"/>
  <c r="AB43" i="5" s="1"/>
  <c r="AA33" i="5"/>
  <c r="AB33" i="5" s="1"/>
  <c r="BD96" i="65"/>
  <c r="EF96" i="15"/>
  <c r="BE96" i="65" s="1"/>
  <c r="EF119" i="15"/>
  <c r="BE119" i="65" s="1"/>
  <c r="BD119" i="65"/>
  <c r="BD110" i="65"/>
  <c r="EF110" i="15"/>
  <c r="BE110" i="65" s="1"/>
  <c r="BD48" i="65"/>
  <c r="AD48" i="5" s="1"/>
  <c r="EF48" i="15"/>
  <c r="BE48" i="65" s="1"/>
  <c r="AE48" i="5" s="1"/>
  <c r="EF109" i="15"/>
  <c r="BE109" i="65" s="1"/>
  <c r="BD109" i="65"/>
  <c r="EF35" i="15"/>
  <c r="BE35" i="65" s="1"/>
  <c r="AE35" i="5" s="1"/>
  <c r="BD35" i="65"/>
  <c r="AD35" i="5" s="1"/>
  <c r="EF61" i="15"/>
  <c r="BE61" i="65" s="1"/>
  <c r="BD61" i="65"/>
  <c r="DZ27" i="15"/>
  <c r="EB27" i="15" s="1"/>
  <c r="EE27" i="15" s="1"/>
  <c r="EH27" i="15" s="1"/>
  <c r="ED39" i="15"/>
  <c r="DZ39" i="15"/>
  <c r="EB39" i="15" s="1"/>
  <c r="DY27" i="15"/>
  <c r="BD92" i="65"/>
  <c r="EF92" i="15"/>
  <c r="BE92" i="65" s="1"/>
  <c r="BD125" i="65"/>
  <c r="EF125" i="15"/>
  <c r="BE125" i="65" s="1"/>
  <c r="EF44" i="15"/>
  <c r="BE44" i="65" s="1"/>
  <c r="AE44" i="5" s="1"/>
  <c r="BD44" i="65"/>
  <c r="AD44" i="5" s="1"/>
  <c r="EE39" i="15"/>
  <c r="EH39" i="15" s="1"/>
  <c r="DQ39" i="15" s="1"/>
  <c r="EA39" i="15"/>
  <c r="EF58" i="15"/>
  <c r="BE58" i="65" s="1"/>
  <c r="BD58" i="65"/>
  <c r="EF84" i="15"/>
  <c r="BE84" i="65" s="1"/>
  <c r="BD84" i="65"/>
  <c r="EF114" i="15"/>
  <c r="BE114" i="65" s="1"/>
  <c r="BD114" i="65"/>
  <c r="BD120" i="65"/>
  <c r="EF120" i="15"/>
  <c r="BE120" i="65" s="1"/>
  <c r="DZ60" i="15"/>
  <c r="EB60" i="15" s="1"/>
  <c r="ED60" i="15"/>
  <c r="EC60" i="15"/>
  <c r="EG60" i="15" s="1"/>
  <c r="DL60" i="15" s="1"/>
  <c r="DY60" i="15"/>
  <c r="DZ56" i="15"/>
  <c r="EB56" i="15" s="1"/>
  <c r="ED56" i="15"/>
  <c r="EF88" i="15"/>
  <c r="BE88" i="65" s="1"/>
  <c r="BD88" i="65"/>
  <c r="EF108" i="15"/>
  <c r="BE108" i="65" s="1"/>
  <c r="BD108" i="65"/>
  <c r="BD115" i="65"/>
  <c r="EF115" i="15"/>
  <c r="BE115" i="65" s="1"/>
  <c r="BD55" i="65"/>
  <c r="EF55" i="15"/>
  <c r="BE55" i="65" s="1"/>
  <c r="EF118" i="15"/>
  <c r="BE118" i="65" s="1"/>
  <c r="BD118" i="65"/>
  <c r="EF67" i="15"/>
  <c r="BE67" i="65" s="1"/>
  <c r="BD67" i="65"/>
  <c r="BD25" i="65"/>
  <c r="EF25" i="15"/>
  <c r="BE25" i="65" s="1"/>
  <c r="BD34" i="65"/>
  <c r="AD34" i="5" s="1"/>
  <c r="EF34" i="15"/>
  <c r="BE34" i="65" s="1"/>
  <c r="AE34" i="5" s="1"/>
  <c r="EF24" i="15"/>
  <c r="BE24" i="65" s="1"/>
  <c r="BD24" i="65"/>
  <c r="EF95" i="15"/>
  <c r="BE95" i="65" s="1"/>
  <c r="BD95" i="65"/>
  <c r="W114" i="5"/>
  <c r="EE60" i="15"/>
  <c r="EH60" i="15" s="1"/>
  <c r="DQ60" i="15" s="1"/>
  <c r="EA60" i="15"/>
  <c r="EF32" i="15"/>
  <c r="BE32" i="65" s="1"/>
  <c r="AE32" i="5" s="1"/>
  <c r="BD32" i="65"/>
  <c r="AD32" i="5" s="1"/>
  <c r="W67" i="5"/>
  <c r="X79" i="5"/>
  <c r="Y79" i="5" s="1"/>
  <c r="W88" i="5"/>
  <c r="W108" i="5"/>
  <c r="W84" i="5"/>
  <c r="W86" i="5"/>
  <c r="W85" i="5"/>
  <c r="X55" i="5"/>
  <c r="Y55" i="5" s="1"/>
  <c r="X48" i="5"/>
  <c r="Y48" i="5" s="1"/>
  <c r="W51" i="5"/>
  <c r="X80" i="5"/>
  <c r="Y80" i="5" s="1"/>
  <c r="BF80" i="65"/>
  <c r="X117" i="5"/>
  <c r="Y117" i="5" s="1"/>
  <c r="W40" i="5"/>
  <c r="X109" i="5"/>
  <c r="Y109" i="5" s="1"/>
  <c r="X54" i="5"/>
  <c r="Y54" i="5" s="1"/>
  <c r="BF54" i="65"/>
  <c r="X62" i="5"/>
  <c r="Y62" i="5" s="1"/>
  <c r="X53" i="5"/>
  <c r="Y53" i="5" s="1"/>
  <c r="W41" i="5"/>
  <c r="X45" i="5"/>
  <c r="Y45" i="5" s="1"/>
  <c r="W111" i="5"/>
  <c r="X42" i="5"/>
  <c r="Y42" i="5" s="1"/>
  <c r="BF42" i="65"/>
  <c r="AF42" i="5" s="1"/>
  <c r="W47" i="5"/>
  <c r="X100" i="5"/>
  <c r="Y100" i="5" s="1"/>
  <c r="BF100" i="65"/>
  <c r="W36" i="5"/>
  <c r="CZ22" i="15"/>
  <c r="DB22" i="15" s="1"/>
  <c r="DA22" i="15"/>
  <c r="CY22" i="15"/>
  <c r="EF98" i="15"/>
  <c r="BE98" i="65" s="1"/>
  <c r="BD98" i="65"/>
  <c r="W113" i="5"/>
  <c r="W63" i="5"/>
  <c r="X116" i="5"/>
  <c r="Y116" i="5" s="1"/>
  <c r="X91" i="5"/>
  <c r="Y91" i="5" s="1"/>
  <c r="X89" i="5"/>
  <c r="Y89" i="5" s="1"/>
  <c r="W71" i="5"/>
  <c r="EF76" i="15"/>
  <c r="BE76" i="65" s="1"/>
  <c r="BD76" i="65"/>
  <c r="W74" i="5"/>
  <c r="X115" i="5"/>
  <c r="Y115" i="5" s="1"/>
  <c r="EF104" i="15"/>
  <c r="BE104" i="65" s="1"/>
  <c r="BD104" i="65"/>
  <c r="X61" i="5"/>
  <c r="Y61" i="5" s="1"/>
  <c r="X64" i="5"/>
  <c r="Y64" i="5" s="1"/>
  <c r="W65" i="5"/>
  <c r="BC44" i="73" l="1"/>
  <c r="AQ44" i="73"/>
  <c r="BC35" i="73"/>
  <c r="AQ35" i="73"/>
  <c r="BC38" i="73"/>
  <c r="AQ38" i="73"/>
  <c r="BC32" i="73"/>
  <c r="AQ32" i="73"/>
  <c r="BC34" i="73"/>
  <c r="AQ34" i="73"/>
  <c r="BC48" i="73"/>
  <c r="AQ48" i="73"/>
  <c r="BC47" i="73"/>
  <c r="AQ47" i="73"/>
  <c r="BB29" i="88"/>
  <c r="BB29" i="73"/>
  <c r="EI56" i="15"/>
  <c r="EI50" i="15"/>
  <c r="EI113" i="15"/>
  <c r="EI123" i="15"/>
  <c r="EI71" i="15"/>
  <c r="EI98" i="15"/>
  <c r="EI52" i="15"/>
  <c r="EI104" i="15"/>
  <c r="EI108" i="15"/>
  <c r="EI88" i="15"/>
  <c r="EI77" i="15"/>
  <c r="EI75" i="15"/>
  <c r="EI69" i="15"/>
  <c r="EI95" i="15"/>
  <c r="BB29" i="85"/>
  <c r="EI39" i="15"/>
  <c r="X75" i="5"/>
  <c r="Y75" i="5" s="1"/>
  <c r="X123" i="5"/>
  <c r="Y123" i="5" s="1"/>
  <c r="EI85" i="15"/>
  <c r="EI111" i="15"/>
  <c r="EI99" i="15"/>
  <c r="EI124" i="15"/>
  <c r="EI101" i="15"/>
  <c r="EI97" i="15"/>
  <c r="EI55" i="15"/>
  <c r="EI115" i="15"/>
  <c r="EI76" i="15"/>
  <c r="EI59" i="15"/>
  <c r="EI107" i="15"/>
  <c r="X78" i="5"/>
  <c r="Y78" i="5" s="1"/>
  <c r="EI78" i="15"/>
  <c r="X49" i="5"/>
  <c r="Y49" i="5" s="1"/>
  <c r="EI49" i="15"/>
  <c r="X66" i="5"/>
  <c r="Y66" i="5" s="1"/>
  <c r="EI66" i="15"/>
  <c r="DY30" i="15"/>
  <c r="AH30" i="65"/>
  <c r="EC29" i="15"/>
  <c r="EG29" i="15" s="1"/>
  <c r="DL29" i="15" s="1"/>
  <c r="DM29" i="15" s="1"/>
  <c r="DN29" i="15" s="1"/>
  <c r="X29" i="5" s="1"/>
  <c r="Y29" i="5" s="1"/>
  <c r="AH29" i="65"/>
  <c r="AH23" i="65"/>
  <c r="AH31" i="65"/>
  <c r="EI74" i="15"/>
  <c r="EI65" i="15"/>
  <c r="EI114" i="15"/>
  <c r="EI57" i="15"/>
  <c r="EI68" i="15"/>
  <c r="EI126" i="15"/>
  <c r="EI33" i="15"/>
  <c r="EI106" i="15"/>
  <c r="EI62" i="15"/>
  <c r="BF62" i="65" s="1"/>
  <c r="EI93" i="15"/>
  <c r="EI122" i="15"/>
  <c r="EI72" i="15"/>
  <c r="EI127" i="15"/>
  <c r="EI58" i="15"/>
  <c r="EI110" i="15"/>
  <c r="EI96" i="15"/>
  <c r="EI118" i="15"/>
  <c r="DY26" i="15"/>
  <c r="AH26" i="65"/>
  <c r="X94" i="5"/>
  <c r="Y94" i="5" s="1"/>
  <c r="EI94" i="15"/>
  <c r="X105" i="5"/>
  <c r="Y105" i="5" s="1"/>
  <c r="EI105" i="15"/>
  <c r="EI120" i="15"/>
  <c r="AH34" i="65"/>
  <c r="EI45" i="15"/>
  <c r="BF45" i="65" s="1"/>
  <c r="AF45" i="5" s="1"/>
  <c r="EI70" i="15"/>
  <c r="EI63" i="15"/>
  <c r="EI38" i="15"/>
  <c r="EI121" i="15"/>
  <c r="EI119" i="15"/>
  <c r="BF119" i="65" s="1"/>
  <c r="EI125" i="15"/>
  <c r="W29" i="5"/>
  <c r="BB29" i="84"/>
  <c r="DQ37" i="15"/>
  <c r="AA37" i="5" s="1"/>
  <c r="AB37" i="5" s="1"/>
  <c r="DQ35" i="15"/>
  <c r="AA35" i="5" s="1"/>
  <c r="AB35" i="5" s="1"/>
  <c r="DQ34" i="15"/>
  <c r="AA34" i="5" s="1"/>
  <c r="AB34" i="5" s="1"/>
  <c r="DQ64" i="15"/>
  <c r="EI64" i="15" s="1"/>
  <c r="EA29" i="15"/>
  <c r="EE29" i="15"/>
  <c r="EH29" i="15" s="1"/>
  <c r="DQ29" i="15" s="1"/>
  <c r="AA29" i="5" s="1"/>
  <c r="AB29" i="5" s="1"/>
  <c r="BB29" i="83"/>
  <c r="BB29" i="90"/>
  <c r="BB29" i="89"/>
  <c r="BB29" i="82"/>
  <c r="BB29" i="86"/>
  <c r="BB29" i="87"/>
  <c r="DQ27" i="15"/>
  <c r="AA27" i="5" s="1"/>
  <c r="AB27" i="5" s="1"/>
  <c r="AQ44" i="82"/>
  <c r="AQ44" i="84"/>
  <c r="AQ44" i="83"/>
  <c r="AQ44" i="85"/>
  <c r="AQ44" i="86"/>
  <c r="AQ44" i="88"/>
  <c r="AQ44" i="90"/>
  <c r="AQ44" i="87"/>
  <c r="AQ44" i="89"/>
  <c r="BC44" i="82"/>
  <c r="BC44" i="84"/>
  <c r="BC44" i="83"/>
  <c r="BC44" i="85"/>
  <c r="BC44" i="86"/>
  <c r="BC44" i="88"/>
  <c r="BC44" i="90"/>
  <c r="BC44" i="87"/>
  <c r="BC44" i="89"/>
  <c r="AQ44" i="91"/>
  <c r="BC44" i="91"/>
  <c r="BC47" i="82"/>
  <c r="BC47" i="83"/>
  <c r="BC47" i="84"/>
  <c r="BC47" i="86"/>
  <c r="BC47" i="85"/>
  <c r="BC47" i="87"/>
  <c r="BC47" i="89"/>
  <c r="BC47" i="88"/>
  <c r="BC47" i="90"/>
  <c r="BC47" i="91"/>
  <c r="AQ47" i="82"/>
  <c r="AQ47" i="83"/>
  <c r="AQ47" i="84"/>
  <c r="AQ47" i="86"/>
  <c r="AQ47" i="85"/>
  <c r="AQ47" i="87"/>
  <c r="AQ47" i="89"/>
  <c r="AQ47" i="88"/>
  <c r="AQ47" i="90"/>
  <c r="AQ47" i="91"/>
  <c r="BC48" i="82"/>
  <c r="BC48" i="84"/>
  <c r="BC48" i="83"/>
  <c r="BC48" i="85"/>
  <c r="BC48" i="86"/>
  <c r="BC48" i="88"/>
  <c r="BC48" i="90"/>
  <c r="BC48" i="87"/>
  <c r="BC48" i="89"/>
  <c r="BC48" i="91"/>
  <c r="AQ48" i="82"/>
  <c r="AQ48" i="84"/>
  <c r="AQ48" i="83"/>
  <c r="AQ48" i="85"/>
  <c r="AQ48" i="86"/>
  <c r="AQ48" i="88"/>
  <c r="AQ48" i="90"/>
  <c r="AQ48" i="87"/>
  <c r="AQ48" i="89"/>
  <c r="AQ48" i="91"/>
  <c r="AQ38" i="82"/>
  <c r="AQ38" i="84"/>
  <c r="AQ38" i="83"/>
  <c r="AQ38" i="85"/>
  <c r="AQ38" i="86"/>
  <c r="AQ38" i="88"/>
  <c r="AQ38" i="90"/>
  <c r="AQ38" i="87"/>
  <c r="AQ38" i="89"/>
  <c r="BC38" i="82"/>
  <c r="BC38" i="84"/>
  <c r="BC38" i="83"/>
  <c r="BC38" i="85"/>
  <c r="BC38" i="86"/>
  <c r="BC38" i="88"/>
  <c r="BC38" i="90"/>
  <c r="BC38" i="87"/>
  <c r="BC38" i="89"/>
  <c r="AQ38" i="91"/>
  <c r="BC38" i="91"/>
  <c r="DL25" i="15"/>
  <c r="DN24" i="15"/>
  <c r="EI24" i="15" s="1"/>
  <c r="BF24" i="65" s="1"/>
  <c r="BF121" i="65"/>
  <c r="DL32" i="15"/>
  <c r="BF67" i="65"/>
  <c r="BF127" i="65"/>
  <c r="BF99" i="65"/>
  <c r="BF78" i="65"/>
  <c r="BF71" i="65"/>
  <c r="BF108" i="65"/>
  <c r="BF88" i="65"/>
  <c r="BF106" i="65"/>
  <c r="BF101" i="65"/>
  <c r="BF86" i="65"/>
  <c r="BF94" i="65"/>
  <c r="DN60" i="15"/>
  <c r="DM60" i="15"/>
  <c r="DM34" i="15"/>
  <c r="DN34" i="15" s="1"/>
  <c r="DM35" i="15"/>
  <c r="DN35" i="15" s="1"/>
  <c r="DN92" i="15"/>
  <c r="DM92" i="15"/>
  <c r="DN73" i="15"/>
  <c r="DM73" i="15"/>
  <c r="EF64" i="15"/>
  <c r="BE64" i="65" s="1"/>
  <c r="BD64" i="65"/>
  <c r="EF50" i="15"/>
  <c r="BE50" i="65" s="1"/>
  <c r="BD50" i="65"/>
  <c r="BF58" i="65"/>
  <c r="BF55" i="65"/>
  <c r="EA26" i="15"/>
  <c r="X77" i="5"/>
  <c r="Y77" i="5" s="1"/>
  <c r="BF77" i="65"/>
  <c r="X46" i="5"/>
  <c r="Y46" i="5" s="1"/>
  <c r="BF46" i="65"/>
  <c r="AF46" i="5" s="1"/>
  <c r="BF57" i="65"/>
  <c r="X124" i="5"/>
  <c r="Y124" i="5" s="1"/>
  <c r="BF124" i="65"/>
  <c r="BF93" i="65"/>
  <c r="BF109" i="65"/>
  <c r="BF97" i="65"/>
  <c r="BF96" i="65"/>
  <c r="BF114" i="65"/>
  <c r="X43" i="5"/>
  <c r="Y43" i="5" s="1"/>
  <c r="BF43" i="65"/>
  <c r="AF43" i="5" s="1"/>
  <c r="BF122" i="65"/>
  <c r="BF123" i="65"/>
  <c r="BF110" i="65"/>
  <c r="BF105" i="65"/>
  <c r="BF66" i="65"/>
  <c r="BF68" i="65"/>
  <c r="BF61" i="65"/>
  <c r="BF33" i="65"/>
  <c r="AF33" i="5" s="1"/>
  <c r="BF70" i="65"/>
  <c r="BF48" i="65"/>
  <c r="AF48" i="5" s="1"/>
  <c r="BF120" i="65"/>
  <c r="BF69" i="65"/>
  <c r="X69" i="5"/>
  <c r="Y69" i="5" s="1"/>
  <c r="EA34" i="15"/>
  <c r="AD24" i="5"/>
  <c r="AE25" i="5"/>
  <c r="AA25" i="5"/>
  <c r="AB25" i="5" s="1"/>
  <c r="AC23" i="5"/>
  <c r="BB23" i="73" s="1"/>
  <c r="AA24" i="5"/>
  <c r="AB24" i="5" s="1"/>
  <c r="AE24" i="5"/>
  <c r="AD25" i="5"/>
  <c r="BF125" i="65"/>
  <c r="BF72" i="65"/>
  <c r="BF118" i="65"/>
  <c r="BF49" i="65"/>
  <c r="AF49" i="5" s="1"/>
  <c r="AA32" i="5"/>
  <c r="AB32" i="5" s="1"/>
  <c r="BF75" i="65"/>
  <c r="BF115" i="65"/>
  <c r="BF38" i="65"/>
  <c r="AF38" i="5" s="1"/>
  <c r="BF126" i="65"/>
  <c r="BC32" i="82"/>
  <c r="AQ32" i="82"/>
  <c r="BC32" i="84"/>
  <c r="AQ32" i="84"/>
  <c r="BC32" i="83"/>
  <c r="AQ32" i="83"/>
  <c r="BC32" i="85"/>
  <c r="AQ32" i="85"/>
  <c r="BC32" i="86"/>
  <c r="AQ32" i="86"/>
  <c r="BC32" i="88"/>
  <c r="AQ32" i="88"/>
  <c r="BC32" i="90"/>
  <c r="AQ32" i="90"/>
  <c r="BC32" i="87"/>
  <c r="AQ32" i="87"/>
  <c r="BC32" i="89"/>
  <c r="AQ32" i="89"/>
  <c r="BB26" i="82"/>
  <c r="BB26" i="83"/>
  <c r="BB26" i="84"/>
  <c r="BB26" i="86"/>
  <c r="BB26" i="85"/>
  <c r="BB26" i="87"/>
  <c r="BB26" i="89"/>
  <c r="BB26" i="88"/>
  <c r="BB26" i="90"/>
  <c r="BC34" i="82"/>
  <c r="AQ34" i="82"/>
  <c r="BC34" i="84"/>
  <c r="AQ34" i="84"/>
  <c r="BC34" i="83"/>
  <c r="AQ34" i="83"/>
  <c r="BC34" i="85"/>
  <c r="AQ34" i="85"/>
  <c r="BC34" i="86"/>
  <c r="AQ34" i="86"/>
  <c r="BC34" i="88"/>
  <c r="AQ34" i="88"/>
  <c r="BC34" i="90"/>
  <c r="AQ34" i="90"/>
  <c r="BC34" i="87"/>
  <c r="AQ34" i="87"/>
  <c r="BC34" i="89"/>
  <c r="AQ34" i="89"/>
  <c r="BC25" i="84"/>
  <c r="BC25" i="89"/>
  <c r="BC35" i="82"/>
  <c r="AQ35" i="82"/>
  <c r="BC35" i="83"/>
  <c r="AQ35" i="83"/>
  <c r="BC35" i="84"/>
  <c r="AQ35" i="84"/>
  <c r="BC35" i="86"/>
  <c r="AQ35" i="86"/>
  <c r="BC35" i="85"/>
  <c r="AQ35" i="85"/>
  <c r="BC35" i="87"/>
  <c r="AQ35" i="87"/>
  <c r="BC35" i="89"/>
  <c r="AQ35" i="89"/>
  <c r="BC35" i="88"/>
  <c r="AQ35" i="88"/>
  <c r="BC35" i="90"/>
  <c r="AQ35" i="90"/>
  <c r="EC27" i="15"/>
  <c r="EG27" i="15" s="1"/>
  <c r="DL27" i="15" s="1"/>
  <c r="DM27" i="15" s="1"/>
  <c r="BB26" i="91"/>
  <c r="W24" i="5"/>
  <c r="EE28" i="15"/>
  <c r="EH28" i="15" s="1"/>
  <c r="EC28" i="15"/>
  <c r="EG28" i="15" s="1"/>
  <c r="DL28" i="15" s="1"/>
  <c r="DM28" i="15" s="1"/>
  <c r="ED28" i="15"/>
  <c r="X24" i="5"/>
  <c r="Y24" i="5" s="1"/>
  <c r="ED27" i="15"/>
  <c r="EC31" i="15"/>
  <c r="EG31" i="15" s="1"/>
  <c r="DY31" i="15"/>
  <c r="EC30" i="15"/>
  <c r="EG30" i="15" s="1"/>
  <c r="EE30" i="15"/>
  <c r="EH30" i="15" s="1"/>
  <c r="EF30" i="15"/>
  <c r="BE30" i="65" s="1"/>
  <c r="AE30" i="5" s="1"/>
  <c r="BD30" i="65"/>
  <c r="AD30" i="5" s="1"/>
  <c r="EF26" i="15"/>
  <c r="BE26" i="65" s="1"/>
  <c r="AE26" i="5" s="1"/>
  <c r="BD26" i="65"/>
  <c r="AD26" i="5" s="1"/>
  <c r="EE26" i="15"/>
  <c r="EH26" i="15" s="1"/>
  <c r="EC26" i="15"/>
  <c r="EG26" i="15" s="1"/>
  <c r="EA31" i="15"/>
  <c r="EE31" i="15"/>
  <c r="EH31" i="15" s="1"/>
  <c r="DZ23" i="15"/>
  <c r="EB23" i="15" s="1"/>
  <c r="EE23" i="15" s="1"/>
  <c r="EH23" i="15" s="1"/>
  <c r="DQ23" i="15" s="1"/>
  <c r="EA23" i="15"/>
  <c r="DY23" i="15"/>
  <c r="BC34" i="91"/>
  <c r="AQ34" i="91"/>
  <c r="EF31" i="15"/>
  <c r="BE31" i="65" s="1"/>
  <c r="AE31" i="5" s="1"/>
  <c r="BD31" i="65"/>
  <c r="AD31" i="5" s="1"/>
  <c r="AQ32" i="91"/>
  <c r="BC32" i="91"/>
  <c r="BC25" i="91"/>
  <c r="BC35" i="91"/>
  <c r="AQ35" i="91"/>
  <c r="BD28" i="65"/>
  <c r="AD28" i="5" s="1"/>
  <c r="EF28" i="15"/>
  <c r="BE28" i="65" s="1"/>
  <c r="AE28" i="5" s="1"/>
  <c r="X92" i="5"/>
  <c r="Y92" i="5" s="1"/>
  <c r="AA39" i="5"/>
  <c r="AB39" i="5" s="1"/>
  <c r="AA60" i="5"/>
  <c r="AB60" i="5" s="1"/>
  <c r="BD27" i="65"/>
  <c r="AD27" i="5" s="1"/>
  <c r="EF27" i="15"/>
  <c r="BE27" i="65" s="1"/>
  <c r="AE27" i="5" s="1"/>
  <c r="BD39" i="65"/>
  <c r="AD39" i="5" s="1"/>
  <c r="EF39" i="15"/>
  <c r="BE39" i="65" s="1"/>
  <c r="AE39" i="5" s="1"/>
  <c r="W95" i="5"/>
  <c r="BD56" i="65"/>
  <c r="EF56" i="15"/>
  <c r="BE56" i="65" s="1"/>
  <c r="W60" i="5"/>
  <c r="BD60" i="65"/>
  <c r="EF60" i="15"/>
  <c r="BE60" i="65" s="1"/>
  <c r="X65" i="5"/>
  <c r="Y65" i="5" s="1"/>
  <c r="BF65" i="65"/>
  <c r="W56" i="5"/>
  <c r="X74" i="5"/>
  <c r="Y74" i="5" s="1"/>
  <c r="BF74" i="65"/>
  <c r="X71" i="5"/>
  <c r="Y71" i="5" s="1"/>
  <c r="X113" i="5"/>
  <c r="Y113" i="5" s="1"/>
  <c r="BF113" i="65"/>
  <c r="W104" i="5"/>
  <c r="X63" i="5"/>
  <c r="Y63" i="5" s="1"/>
  <c r="BF63" i="65"/>
  <c r="AX22" i="65"/>
  <c r="DC22" i="15"/>
  <c r="AY22" i="65" s="1"/>
  <c r="DF22" i="15"/>
  <c r="DI22" i="15" s="1"/>
  <c r="DD22" i="15"/>
  <c r="DG22" i="15" s="1"/>
  <c r="DE22" i="15"/>
  <c r="DH22" i="15" s="1"/>
  <c r="X36" i="5"/>
  <c r="Y36" i="5" s="1"/>
  <c r="BF36" i="65"/>
  <c r="AF36" i="5" s="1"/>
  <c r="X47" i="5"/>
  <c r="Y47" i="5" s="1"/>
  <c r="BF47" i="65"/>
  <c r="AF47" i="5" s="1"/>
  <c r="X111" i="5"/>
  <c r="Y111" i="5" s="1"/>
  <c r="BF111" i="65"/>
  <c r="W39" i="5"/>
  <c r="X41" i="5"/>
  <c r="Y41" i="5" s="1"/>
  <c r="BF41" i="65"/>
  <c r="AF41" i="5" s="1"/>
  <c r="X51" i="5"/>
  <c r="Y51" i="5" s="1"/>
  <c r="BF51" i="65"/>
  <c r="X86" i="5"/>
  <c r="Y86" i="5" s="1"/>
  <c r="X84" i="5"/>
  <c r="Y84" i="5" s="1"/>
  <c r="BF84" i="65"/>
  <c r="X108" i="5"/>
  <c r="Y108" i="5" s="1"/>
  <c r="X88" i="5"/>
  <c r="Y88" i="5" s="1"/>
  <c r="W98" i="5"/>
  <c r="W50" i="5"/>
  <c r="W107" i="5"/>
  <c r="X67" i="5"/>
  <c r="Y67" i="5" s="1"/>
  <c r="W52" i="5"/>
  <c r="W59" i="5"/>
  <c r="W76" i="5"/>
  <c r="X40" i="5"/>
  <c r="Y40" i="5" s="1"/>
  <c r="BF40" i="65"/>
  <c r="AF40" i="5" s="1"/>
  <c r="X85" i="5"/>
  <c r="Y85" i="5" s="1"/>
  <c r="BF85" i="65"/>
  <c r="BC39" i="73" l="1"/>
  <c r="AQ39" i="73"/>
  <c r="BC27" i="73"/>
  <c r="AQ27" i="73"/>
  <c r="BC26" i="73"/>
  <c r="AQ26" i="73"/>
  <c r="BC30" i="73"/>
  <c r="AQ30" i="73"/>
  <c r="BC25" i="82"/>
  <c r="BC25" i="73"/>
  <c r="AQ25" i="73"/>
  <c r="BC28" i="73"/>
  <c r="AQ28" i="73"/>
  <c r="BC31" i="73"/>
  <c r="AQ31" i="73"/>
  <c r="BC24" i="73"/>
  <c r="AQ24" i="73"/>
  <c r="BC25" i="90"/>
  <c r="BC25" i="85"/>
  <c r="EI60" i="15"/>
  <c r="X73" i="5"/>
  <c r="Y73" i="5" s="1"/>
  <c r="EI73" i="15"/>
  <c r="EI92" i="15"/>
  <c r="BF92" i="65" s="1"/>
  <c r="EI34" i="15"/>
  <c r="EI29" i="15"/>
  <c r="BF29" i="65" s="1"/>
  <c r="AF29" i="5" s="1"/>
  <c r="X35" i="5"/>
  <c r="Y35" i="5" s="1"/>
  <c r="EI35" i="15"/>
  <c r="BF35" i="65" s="1"/>
  <c r="AF35" i="5" s="1"/>
  <c r="BF64" i="65"/>
  <c r="EI37" i="15"/>
  <c r="BF37" i="65" s="1"/>
  <c r="AF37" i="5" s="1"/>
  <c r="AA64" i="5"/>
  <c r="AB64" i="5" s="1"/>
  <c r="DQ26" i="15"/>
  <c r="AA26" i="5" s="1"/>
  <c r="AB26" i="5" s="1"/>
  <c r="DQ31" i="15"/>
  <c r="AA31" i="5" s="1"/>
  <c r="AB31" i="5" s="1"/>
  <c r="DQ30" i="15"/>
  <c r="AA30" i="5" s="1"/>
  <c r="AB30" i="5" s="1"/>
  <c r="DQ28" i="15"/>
  <c r="AA28" i="5" s="1"/>
  <c r="AB28" i="5" s="1"/>
  <c r="AQ39" i="82"/>
  <c r="AQ39" i="83"/>
  <c r="AQ39" i="84"/>
  <c r="AQ39" i="86"/>
  <c r="AQ39" i="85"/>
  <c r="AQ39" i="87"/>
  <c r="AQ39" i="89"/>
  <c r="AQ39" i="88"/>
  <c r="AQ39" i="90"/>
  <c r="BC39" i="91"/>
  <c r="BC39" i="82"/>
  <c r="BC39" i="83"/>
  <c r="BC39" i="84"/>
  <c r="BC39" i="86"/>
  <c r="BC39" i="85"/>
  <c r="BC39" i="87"/>
  <c r="BC39" i="89"/>
  <c r="BC39" i="88"/>
  <c r="BC39" i="90"/>
  <c r="AQ39" i="91"/>
  <c r="DM25" i="15"/>
  <c r="W25" i="5"/>
  <c r="BB23" i="89"/>
  <c r="BB23" i="82"/>
  <c r="BC25" i="83"/>
  <c r="BC25" i="88"/>
  <c r="BC25" i="87"/>
  <c r="BC25" i="86"/>
  <c r="BB23" i="90"/>
  <c r="BB23" i="86"/>
  <c r="BB23" i="83"/>
  <c r="DL30" i="15"/>
  <c r="DM30" i="15" s="1"/>
  <c r="DL31" i="15"/>
  <c r="DM31" i="15" s="1"/>
  <c r="DL26" i="15"/>
  <c r="DM26" i="15" s="1"/>
  <c r="AQ24" i="91"/>
  <c r="DM32" i="15"/>
  <c r="DN32" i="15" s="1"/>
  <c r="W32" i="5"/>
  <c r="AQ25" i="91"/>
  <c r="BB23" i="91"/>
  <c r="AQ25" i="90"/>
  <c r="AQ25" i="88"/>
  <c r="AQ25" i="89"/>
  <c r="AQ25" i="87"/>
  <c r="AQ25" i="85"/>
  <c r="AQ25" i="86"/>
  <c r="AQ25" i="84"/>
  <c r="AQ25" i="83"/>
  <c r="AQ25" i="82"/>
  <c r="BB23" i="87"/>
  <c r="BB23" i="88"/>
  <c r="BB23" i="85"/>
  <c r="BB23" i="84"/>
  <c r="BF34" i="65"/>
  <c r="AF34" i="5" s="1"/>
  <c r="BC24" i="91"/>
  <c r="X34" i="5"/>
  <c r="Y34" i="5" s="1"/>
  <c r="AQ24" i="83"/>
  <c r="BF73" i="65"/>
  <c r="DN28" i="15"/>
  <c r="X28" i="5" s="1"/>
  <c r="Y28" i="5" s="1"/>
  <c r="DN27" i="15"/>
  <c r="X27" i="5" s="1"/>
  <c r="Y27" i="5" s="1"/>
  <c r="BC24" i="87"/>
  <c r="BC24" i="89"/>
  <c r="AQ24" i="86"/>
  <c r="W28" i="5"/>
  <c r="AQ24" i="89"/>
  <c r="AQ24" i="87"/>
  <c r="BC24" i="90"/>
  <c r="BC24" i="82"/>
  <c r="AQ24" i="90"/>
  <c r="AQ24" i="88"/>
  <c r="AQ24" i="85"/>
  <c r="AQ24" i="84"/>
  <c r="BF39" i="65"/>
  <c r="AF39" i="5" s="1"/>
  <c r="AQ24" i="82"/>
  <c r="BC24" i="88"/>
  <c r="BC24" i="86"/>
  <c r="BC24" i="85"/>
  <c r="BC24" i="83"/>
  <c r="BC24" i="84"/>
  <c r="W27" i="5"/>
  <c r="S22" i="5"/>
  <c r="V18" i="5" s="1"/>
  <c r="AA23" i="5"/>
  <c r="AB23" i="5" s="1"/>
  <c r="AF24" i="5"/>
  <c r="R22" i="5"/>
  <c r="V11" i="5"/>
  <c r="BC31" i="82"/>
  <c r="AQ31" i="82"/>
  <c r="BC31" i="83"/>
  <c r="AQ31" i="83"/>
  <c r="BC31" i="84"/>
  <c r="AQ31" i="84"/>
  <c r="BC31" i="86"/>
  <c r="AQ31" i="86"/>
  <c r="BC31" i="85"/>
  <c r="AQ31" i="85"/>
  <c r="BC31" i="87"/>
  <c r="AQ31" i="87"/>
  <c r="BC31" i="89"/>
  <c r="AQ31" i="89"/>
  <c r="BC31" i="88"/>
  <c r="AQ31" i="88"/>
  <c r="BC31" i="90"/>
  <c r="AQ31" i="90"/>
  <c r="BC26" i="82"/>
  <c r="AQ26" i="82"/>
  <c r="BC26" i="84"/>
  <c r="AQ26" i="84"/>
  <c r="BC26" i="83"/>
  <c r="AQ26" i="83"/>
  <c r="BC26" i="85"/>
  <c r="AQ26" i="85"/>
  <c r="BC26" i="86"/>
  <c r="AQ26" i="86"/>
  <c r="BC26" i="88"/>
  <c r="AQ26" i="88"/>
  <c r="BC26" i="90"/>
  <c r="AQ26" i="90"/>
  <c r="BC26" i="87"/>
  <c r="AQ26" i="87"/>
  <c r="BC26" i="89"/>
  <c r="AQ26" i="89"/>
  <c r="BC30" i="82"/>
  <c r="AQ30" i="82"/>
  <c r="BC30" i="84"/>
  <c r="AQ30" i="84"/>
  <c r="BC30" i="83"/>
  <c r="AQ30" i="83"/>
  <c r="BC30" i="85"/>
  <c r="AQ30" i="85"/>
  <c r="BC30" i="86"/>
  <c r="AQ30" i="86"/>
  <c r="BC30" i="88"/>
  <c r="AQ30" i="88"/>
  <c r="BC30" i="90"/>
  <c r="AQ30" i="90"/>
  <c r="BC30" i="87"/>
  <c r="AQ30" i="87"/>
  <c r="BC30" i="89"/>
  <c r="AQ30" i="89"/>
  <c r="BC27" i="82"/>
  <c r="AQ27" i="82"/>
  <c r="BC27" i="83"/>
  <c r="AQ27" i="83"/>
  <c r="BC27" i="84"/>
  <c r="AQ27" i="84"/>
  <c r="BC27" i="86"/>
  <c r="AQ27" i="86"/>
  <c r="BC27" i="85"/>
  <c r="AQ27" i="85"/>
  <c r="BC27" i="87"/>
  <c r="AQ27" i="87"/>
  <c r="BC27" i="89"/>
  <c r="AQ27" i="89"/>
  <c r="BC27" i="88"/>
  <c r="AQ27" i="88"/>
  <c r="BC27" i="90"/>
  <c r="AQ27" i="90"/>
  <c r="BC28" i="82"/>
  <c r="AQ28" i="82"/>
  <c r="BC28" i="84"/>
  <c r="AQ28" i="84"/>
  <c r="BC28" i="83"/>
  <c r="AQ28" i="83"/>
  <c r="BC28" i="85"/>
  <c r="AQ28" i="85"/>
  <c r="BC28" i="86"/>
  <c r="AQ28" i="86"/>
  <c r="BC28" i="88"/>
  <c r="AQ28" i="88"/>
  <c r="BC28" i="90"/>
  <c r="AQ28" i="90"/>
  <c r="BC28" i="87"/>
  <c r="AQ28" i="87"/>
  <c r="BC28" i="89"/>
  <c r="AQ28" i="89"/>
  <c r="V8" i="5"/>
  <c r="V5" i="5"/>
  <c r="EC23" i="15"/>
  <c r="EG23" i="15" s="1"/>
  <c r="AQ26" i="91"/>
  <c r="BC26" i="91"/>
  <c r="AQ30" i="91"/>
  <c r="BC30" i="91"/>
  <c r="EF23" i="15"/>
  <c r="BE23" i="65" s="1"/>
  <c r="BD23" i="65"/>
  <c r="ED23" i="15"/>
  <c r="AQ27" i="91"/>
  <c r="BC27" i="91"/>
  <c r="BC28" i="91"/>
  <c r="AQ28" i="91"/>
  <c r="AQ31" i="91"/>
  <c r="BC31" i="91"/>
  <c r="X60" i="5"/>
  <c r="Y60" i="5" s="1"/>
  <c r="BF60" i="65"/>
  <c r="X95" i="5"/>
  <c r="Y95" i="5" s="1"/>
  <c r="BF95" i="65"/>
  <c r="X50" i="5"/>
  <c r="Y50" i="5" s="1"/>
  <c r="BF50" i="65"/>
  <c r="X76" i="5"/>
  <c r="Y76" i="5" s="1"/>
  <c r="BF76" i="65"/>
  <c r="X59" i="5"/>
  <c r="Y59" i="5" s="1"/>
  <c r="BF59" i="65"/>
  <c r="X52" i="5"/>
  <c r="Y52" i="5" s="1"/>
  <c r="BF52" i="65"/>
  <c r="X107" i="5"/>
  <c r="Y107" i="5" s="1"/>
  <c r="BF107" i="65"/>
  <c r="X98" i="5"/>
  <c r="Y98" i="5" s="1"/>
  <c r="BF98" i="65"/>
  <c r="X39" i="5"/>
  <c r="Y39" i="5" s="1"/>
  <c r="DJ22" i="15"/>
  <c r="EJ22" i="15" s="1"/>
  <c r="AZ22" i="65"/>
  <c r="X104" i="5"/>
  <c r="Y104" i="5" s="1"/>
  <c r="BF104" i="65"/>
  <c r="X56" i="5"/>
  <c r="Y56" i="5" s="1"/>
  <c r="BF56" i="65"/>
  <c r="DK22" i="15"/>
  <c r="BA22" i="65"/>
  <c r="BB22" i="65"/>
  <c r="V13" i="5" l="1"/>
  <c r="V15" i="5"/>
  <c r="V17" i="5"/>
  <c r="EI27" i="15"/>
  <c r="BF27" i="65" s="1"/>
  <c r="AF27" i="5" s="1"/>
  <c r="EI28" i="15"/>
  <c r="BF28" i="65" s="1"/>
  <c r="AF28" i="5" s="1"/>
  <c r="X32" i="5"/>
  <c r="Y32" i="5" s="1"/>
  <c r="EI32" i="15"/>
  <c r="DN25" i="15"/>
  <c r="EI25" i="15" s="1"/>
  <c r="DL23" i="15"/>
  <c r="DM23" i="15" s="1"/>
  <c r="V12" i="5"/>
  <c r="V16" i="5"/>
  <c r="V14" i="5"/>
  <c r="V9" i="5"/>
  <c r="V10" i="5"/>
  <c r="BF32" i="65"/>
  <c r="AF32" i="5" s="1"/>
  <c r="DN26" i="15"/>
  <c r="EI26" i="15" s="1"/>
  <c r="DN31" i="15"/>
  <c r="EI31" i="15" s="1"/>
  <c r="DN30" i="15"/>
  <c r="EI30" i="15" s="1"/>
  <c r="EN22" i="15"/>
  <c r="EO22" i="15" s="1"/>
  <c r="U22" i="5"/>
  <c r="AE23" i="5"/>
  <c r="T22" i="5"/>
  <c r="AX22" i="73" s="1"/>
  <c r="V22" i="5"/>
  <c r="AD23" i="5"/>
  <c r="W26" i="5"/>
  <c r="W31" i="5"/>
  <c r="W30" i="5"/>
  <c r="EM22" i="15"/>
  <c r="EL22" i="15"/>
  <c r="EK22" i="15"/>
  <c r="DR22" i="15" l="1"/>
  <c r="DU22" i="15" s="1"/>
  <c r="EQ22" i="15"/>
  <c r="BC23" i="91"/>
  <c r="BC23" i="73"/>
  <c r="AQ23" i="73"/>
  <c r="AY22" i="73"/>
  <c r="AZ22" i="73"/>
  <c r="X25" i="5"/>
  <c r="Y25" i="5" s="1"/>
  <c r="W23" i="5"/>
  <c r="DN23" i="15"/>
  <c r="EI23" i="15" s="1"/>
  <c r="EP22" i="15"/>
  <c r="BC23" i="82"/>
  <c r="AQ23" i="91"/>
  <c r="AX22" i="90"/>
  <c r="AZ22" i="91"/>
  <c r="AZ22" i="89"/>
  <c r="AX22" i="82"/>
  <c r="AZ22" i="85"/>
  <c r="AX22" i="86"/>
  <c r="AY22" i="87"/>
  <c r="BC23" i="83"/>
  <c r="AZ22" i="87"/>
  <c r="AZ22" i="83"/>
  <c r="AX22" i="88"/>
  <c r="AX22" i="84"/>
  <c r="AY22" i="89"/>
  <c r="AY22" i="85"/>
  <c r="AY22" i="84"/>
  <c r="AY22" i="91"/>
  <c r="AX22" i="91"/>
  <c r="AZ22" i="90"/>
  <c r="AZ22" i="88"/>
  <c r="AZ22" i="86"/>
  <c r="AZ22" i="84"/>
  <c r="AZ22" i="82"/>
  <c r="AX22" i="89"/>
  <c r="AX22" i="87"/>
  <c r="AX22" i="85"/>
  <c r="AX22" i="83"/>
  <c r="AY22" i="90"/>
  <c r="AY22" i="88"/>
  <c r="AY22" i="86"/>
  <c r="AY22" i="82"/>
  <c r="AY22" i="83"/>
  <c r="AQ23" i="88"/>
  <c r="AQ23" i="87"/>
  <c r="AQ23" i="90"/>
  <c r="AQ23" i="89"/>
  <c r="BC23" i="85"/>
  <c r="BC23" i="90"/>
  <c r="BC23" i="88"/>
  <c r="BC23" i="89"/>
  <c r="BC23" i="87"/>
  <c r="BC23" i="86"/>
  <c r="BC23" i="84"/>
  <c r="AQ23" i="85"/>
  <c r="AQ23" i="86"/>
  <c r="AQ23" i="84"/>
  <c r="AQ23" i="83"/>
  <c r="AQ23" i="82"/>
  <c r="DT22" i="15"/>
  <c r="DZ22" i="15" s="1"/>
  <c r="EB22" i="15" s="1"/>
  <c r="EE22" i="15" s="1"/>
  <c r="EH22" i="15" s="1"/>
  <c r="DQ22" i="15" s="1"/>
  <c r="DS22" i="15"/>
  <c r="X30" i="5"/>
  <c r="Y30" i="5" s="1"/>
  <c r="BF30" i="65"/>
  <c r="AF30" i="5" s="1"/>
  <c r="X26" i="5"/>
  <c r="Y26" i="5" s="1"/>
  <c r="BF26" i="65"/>
  <c r="AF26" i="5" s="1"/>
  <c r="BF31" i="65"/>
  <c r="AF31" i="5" s="1"/>
  <c r="X31" i="5"/>
  <c r="Y31" i="5" s="1"/>
  <c r="BC22" i="65"/>
  <c r="EA22" i="15"/>
  <c r="X23" i="5" l="1"/>
  <c r="Y23" i="5" s="1"/>
  <c r="AH22" i="65"/>
  <c r="AF25" i="5"/>
  <c r="BF25" i="65"/>
  <c r="DY22" i="15"/>
  <c r="BF23" i="65"/>
  <c r="AF23" i="5" s="1"/>
  <c r="AC22" i="5"/>
  <c r="BB22" i="73" s="1"/>
  <c r="EC22" i="15"/>
  <c r="EG22" i="15" s="1"/>
  <c r="ED22" i="15"/>
  <c r="BD22" i="65"/>
  <c r="EF22" i="15"/>
  <c r="BE22" i="65" s="1"/>
  <c r="AE15" i="5" l="1"/>
  <c r="AF15" i="5" s="1"/>
  <c r="DL22" i="15"/>
  <c r="DM22" i="15" s="1"/>
  <c r="AE16" i="5"/>
  <c r="AF16" i="5" s="1"/>
  <c r="AE17" i="5"/>
  <c r="AF17" i="5" s="1"/>
  <c r="AE14" i="5"/>
  <c r="AF14" i="5" s="1"/>
  <c r="AE13" i="5"/>
  <c r="AF13" i="5" s="1"/>
  <c r="Y6" i="5"/>
  <c r="Y7" i="5"/>
  <c r="AE12" i="5"/>
  <c r="AF12" i="5" s="1"/>
  <c r="BB22" i="90"/>
  <c r="BB22" i="89"/>
  <c r="BB22" i="88"/>
  <c r="BB22" i="87"/>
  <c r="BB22" i="86"/>
  <c r="BB22" i="85"/>
  <c r="BB22" i="84"/>
  <c r="BB22" i="83"/>
  <c r="BB22" i="82"/>
  <c r="BB22" i="91"/>
  <c r="AD22" i="5"/>
  <c r="BC22" i="87" s="1"/>
  <c r="AA22" i="5"/>
  <c r="AB22" i="5" s="1"/>
  <c r="X7" i="5" s="1"/>
  <c r="AE22" i="5"/>
  <c r="Y8" i="5" s="1"/>
  <c r="Y11" i="5"/>
  <c r="BC22" i="85"/>
  <c r="BC22" i="83" l="1"/>
  <c r="BC22" i="89"/>
  <c r="AK17" i="5"/>
  <c r="Y17" i="5"/>
  <c r="Y18" i="5"/>
  <c r="Y12" i="5"/>
  <c r="Y14" i="5"/>
  <c r="Y15" i="5"/>
  <c r="Y16" i="5"/>
  <c r="Y13" i="5"/>
  <c r="BC22" i="82"/>
  <c r="BC22" i="73"/>
  <c r="AQ22" i="73"/>
  <c r="AQ22" i="91"/>
  <c r="BC22" i="90"/>
  <c r="BC22" i="88"/>
  <c r="BC22" i="86"/>
  <c r="BC22" i="84"/>
  <c r="W22" i="5"/>
  <c r="W5" i="5" s="1"/>
  <c r="Y10" i="5"/>
  <c r="DN22" i="15"/>
  <c r="EI22" i="15" s="1"/>
  <c r="Y9" i="5"/>
  <c r="Y5" i="5"/>
  <c r="AQ22" i="82"/>
  <c r="BC22" i="91"/>
  <c r="AQ22" i="90"/>
  <c r="AQ22" i="89"/>
  <c r="AQ22" i="88"/>
  <c r="AQ22" i="87"/>
  <c r="AQ22" i="86"/>
  <c r="AQ22" i="85"/>
  <c r="AQ22" i="84"/>
  <c r="AQ22" i="83"/>
  <c r="W8" i="5"/>
  <c r="Z8" i="5" s="1"/>
  <c r="AQ4" i="73" s="1"/>
  <c r="W7" i="5" l="1"/>
  <c r="Z7" i="5" s="1"/>
  <c r="AQ3" i="73" s="1"/>
  <c r="Z5" i="5"/>
  <c r="AQ1" i="73" s="1"/>
  <c r="BF22" i="65"/>
  <c r="AF22" i="5" s="1"/>
  <c r="X22" i="5"/>
  <c r="Y22" i="5" s="1"/>
  <c r="W9" i="5" s="1"/>
  <c r="Z9" i="5" s="1"/>
  <c r="AQ5" i="73" s="1"/>
  <c r="W10" i="5"/>
  <c r="Z10" i="5" s="1"/>
  <c r="AQ6" i="73" s="1"/>
  <c r="W11" i="5"/>
  <c r="Z11" i="5" s="1"/>
  <c r="AQ7" i="73" s="1"/>
  <c r="AQ4" i="82"/>
  <c r="AQ4" i="83"/>
  <c r="AQ4" i="84"/>
  <c r="AQ4" i="85"/>
  <c r="AQ4" i="86"/>
  <c r="AQ4" i="87"/>
  <c r="AQ4" i="88"/>
  <c r="AQ4" i="89"/>
  <c r="AQ4" i="90"/>
  <c r="AQ1" i="82"/>
  <c r="AQ1" i="83"/>
  <c r="AQ1" i="84"/>
  <c r="AQ1" i="85"/>
  <c r="AQ1" i="86"/>
  <c r="AQ1" i="87"/>
  <c r="AQ1" i="88"/>
  <c r="AQ1" i="89"/>
  <c r="AQ1" i="90"/>
  <c r="AQ4" i="91"/>
  <c r="AQ1" i="91"/>
  <c r="AQ3" i="88" l="1"/>
  <c r="AQ3" i="84"/>
  <c r="AQ3" i="87"/>
  <c r="AQ3" i="83"/>
  <c r="AQ3" i="90"/>
  <c r="AQ3" i="86"/>
  <c r="AQ3" i="82"/>
  <c r="AQ3" i="91"/>
  <c r="AQ3" i="89"/>
  <c r="AQ3" i="85"/>
  <c r="AQ7" i="91"/>
  <c r="AQ7" i="89"/>
  <c r="AQ6" i="86"/>
  <c r="W15" i="5"/>
  <c r="Z15" i="5" s="1"/>
  <c r="AQ11" i="73" s="1"/>
  <c r="AQ6" i="91"/>
  <c r="AQ7" i="87"/>
  <c r="W18" i="5"/>
  <c r="Z18" i="5" s="1"/>
  <c r="AQ14" i="73" s="1"/>
  <c r="AQ6" i="84"/>
  <c r="AQ7" i="85"/>
  <c r="AQ6" i="90"/>
  <c r="AQ6" i="82"/>
  <c r="AQ7" i="83"/>
  <c r="AQ6" i="88"/>
  <c r="W12" i="5"/>
  <c r="Z12" i="5" s="1"/>
  <c r="AQ8" i="73" s="1"/>
  <c r="W13" i="5"/>
  <c r="Z13" i="5" s="1"/>
  <c r="AQ9" i="89" s="1"/>
  <c r="AQ7" i="90"/>
  <c r="AQ7" i="88"/>
  <c r="AQ7" i="86"/>
  <c r="AQ7" i="84"/>
  <c r="AQ7" i="82"/>
  <c r="AQ6" i="89"/>
  <c r="AQ6" i="87"/>
  <c r="AQ6" i="85"/>
  <c r="AQ6" i="83"/>
  <c r="AQ5" i="85"/>
  <c r="AQ5" i="89"/>
  <c r="AQ5" i="83"/>
  <c r="AQ5" i="87"/>
  <c r="W6" i="5"/>
  <c r="Z6" i="5" s="1"/>
  <c r="AQ2" i="73" s="1"/>
  <c r="W14" i="5"/>
  <c r="Z14" i="5" s="1"/>
  <c r="AQ10" i="73" s="1"/>
  <c r="W16" i="5"/>
  <c r="Z16" i="5" s="1"/>
  <c r="AQ12" i="73" s="1"/>
  <c r="W17" i="5"/>
  <c r="Z17" i="5" s="1"/>
  <c r="AQ13" i="73" s="1"/>
  <c r="AQ5" i="91"/>
  <c r="AQ5" i="90"/>
  <c r="AQ5" i="88"/>
  <c r="AQ5" i="86"/>
  <c r="AQ5" i="84"/>
  <c r="AQ5" i="82"/>
  <c r="AQ14" i="83" l="1"/>
  <c r="AQ14" i="88"/>
  <c r="AQ11" i="91"/>
  <c r="AQ14" i="90"/>
  <c r="AQ14" i="89"/>
  <c r="AQ8" i="84"/>
  <c r="AQ9" i="84"/>
  <c r="AQ9" i="82"/>
  <c r="AQ8" i="90"/>
  <c r="AQ9" i="88"/>
  <c r="AQ14" i="85"/>
  <c r="AQ9" i="91"/>
  <c r="AQ8" i="89"/>
  <c r="AQ9" i="90"/>
  <c r="AQ14" i="87"/>
  <c r="AQ14" i="91"/>
  <c r="AQ11" i="83"/>
  <c r="AQ8" i="91"/>
  <c r="AQ8" i="82"/>
  <c r="AQ8" i="85"/>
  <c r="AQ9" i="86"/>
  <c r="AQ9" i="87"/>
  <c r="AQ11" i="85"/>
  <c r="AQ11" i="90"/>
  <c r="AQ8" i="83"/>
  <c r="AQ8" i="88"/>
  <c r="AQ8" i="87"/>
  <c r="AQ14" i="84"/>
  <c r="AQ11" i="89"/>
  <c r="AQ11" i="84"/>
  <c r="AQ11" i="88"/>
  <c r="AQ11" i="82"/>
  <c r="AQ11" i="86"/>
  <c r="AQ8" i="86"/>
  <c r="AQ11" i="87"/>
  <c r="AQ14" i="86"/>
  <c r="AQ14" i="82"/>
  <c r="AQ9" i="73"/>
  <c r="AQ9" i="83"/>
  <c r="AQ9" i="85"/>
  <c r="I8" i="5"/>
  <c r="AG5" i="5"/>
  <c r="G8" i="5"/>
  <c r="AF5" i="5"/>
  <c r="AQ12" i="84"/>
  <c r="AQ12" i="88"/>
  <c r="AQ12" i="91"/>
  <c r="AQ12" i="83"/>
  <c r="AQ12" i="85"/>
  <c r="AQ12" i="87"/>
  <c r="AQ12" i="89"/>
  <c r="AQ12" i="82"/>
  <c r="AQ12" i="86"/>
  <c r="AQ12" i="90"/>
  <c r="AQ2" i="82"/>
  <c r="AQ2" i="86"/>
  <c r="AQ2" i="90"/>
  <c r="AQ2" i="91"/>
  <c r="H8" i="5"/>
  <c r="AQ2" i="83"/>
  <c r="AQ2" i="85"/>
  <c r="AQ2" i="87"/>
  <c r="AQ2" i="89"/>
  <c r="AQ2" i="84"/>
  <c r="AQ2" i="88"/>
  <c r="AQ13" i="84"/>
  <c r="AQ13" i="88"/>
  <c r="AQ13" i="83"/>
  <c r="AQ13" i="85"/>
  <c r="AQ13" i="87"/>
  <c r="AQ13" i="89"/>
  <c r="AQ13" i="91"/>
  <c r="AQ13" i="82"/>
  <c r="AQ13" i="86"/>
  <c r="AQ13" i="90"/>
  <c r="AQ10" i="83"/>
  <c r="AQ10" i="87"/>
  <c r="AQ10" i="82"/>
  <c r="AQ10" i="84"/>
  <c r="AQ10" i="86"/>
  <c r="AQ10" i="88"/>
  <c r="AQ10" i="90"/>
  <c r="AQ10" i="91"/>
  <c r="AQ10" i="85"/>
  <c r="AQ10" i="89"/>
  <c r="J8" i="5" l="1"/>
</calcChain>
</file>

<file path=xl/comments1.xml><?xml version="1.0" encoding="utf-8"?>
<comments xmlns="http://schemas.openxmlformats.org/spreadsheetml/2006/main">
  <authors>
    <author>Ровер</author>
    <author>Admin</author>
  </authors>
  <commentList>
    <comment ref="BL17" authorId="0">
      <text>
        <r>
          <rPr>
            <sz val="8"/>
            <color indexed="81"/>
            <rFont val="Tahoma"/>
            <family val="2"/>
            <charset val="204"/>
          </rPr>
          <t xml:space="preserve">Формула для классического основного внесения азота
</t>
        </r>
      </text>
    </comment>
    <comment ref="GO18" authorId="0">
      <text>
        <r>
          <rPr>
            <b/>
            <sz val="8"/>
            <color indexed="81"/>
            <rFont val="Tahoma"/>
            <family val="2"/>
            <charset val="204"/>
          </rPr>
          <t>Агрыз</t>
        </r>
      </text>
    </comment>
    <comment ref="BC19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Основная формула</t>
        </r>
      </text>
    </comment>
    <comment ref="EW21" authorId="0">
      <text>
        <r>
          <rPr>
            <b/>
            <sz val="8"/>
            <color indexed="81"/>
            <rFont val="Tahoma"/>
            <family val="2"/>
            <charset val="204"/>
          </rPr>
          <t>Формула с кемирой
в 19-й строке</t>
        </r>
      </text>
    </comment>
    <comment ref="BC22" authorId="1">
      <text>
        <r>
          <rPr>
            <b/>
            <sz val="8"/>
            <color indexed="81"/>
            <rFont val="Tahoma"/>
            <family val="2"/>
            <charset val="204"/>
          </rPr>
          <t>Admin:</t>
        </r>
        <r>
          <rPr>
            <sz val="8"/>
            <color indexed="81"/>
            <rFont val="Tahoma"/>
            <family val="2"/>
            <charset val="204"/>
          </rPr>
          <t xml:space="preserve">
Основная формула</t>
        </r>
      </text>
    </comment>
  </commentList>
</comments>
</file>

<file path=xl/comments2.xml><?xml version="1.0" encoding="utf-8"?>
<comments xmlns="http://schemas.openxmlformats.org/spreadsheetml/2006/main">
  <authors>
    <author>Anwar</author>
  </authors>
  <commentList>
    <comment ref="I1" authorId="0">
      <text>
        <r>
          <rPr>
            <b/>
            <sz val="9"/>
            <color indexed="81"/>
            <rFont val="Tahoma"/>
            <charset val="1"/>
          </rPr>
          <t>Anwar:</t>
        </r>
        <r>
          <rPr>
            <sz val="9"/>
            <color indexed="81"/>
            <rFont val="Tahoma"/>
            <charset val="1"/>
          </rPr>
          <t xml:space="preserve">
По Нижегор ?</t>
        </r>
      </text>
    </comment>
    <comment ref="J1" authorId="0">
      <text>
        <r>
          <rPr>
            <b/>
            <sz val="9"/>
            <color indexed="81"/>
            <rFont val="Tahoma"/>
            <charset val="1"/>
          </rPr>
          <t>Anwar:</t>
        </r>
        <r>
          <rPr>
            <sz val="9"/>
            <color indexed="81"/>
            <rFont val="Tahoma"/>
            <charset val="1"/>
          </rPr>
          <t xml:space="preserve">
По Нижегер ?</t>
        </r>
      </text>
    </comment>
  </commentList>
</comments>
</file>

<file path=xl/sharedStrings.xml><?xml version="1.0" encoding="utf-8"?>
<sst xmlns="http://schemas.openxmlformats.org/spreadsheetml/2006/main" count="4070" uniqueCount="614">
  <si>
    <t>Д_си_п</t>
  </si>
  <si>
    <t>Д_ср_п</t>
  </si>
  <si>
    <t>Д_сл_п</t>
  </si>
  <si>
    <t>Св_с_л</t>
  </si>
  <si>
    <t>С_л</t>
  </si>
  <si>
    <t>Т_с_л</t>
  </si>
  <si>
    <t>О_ч</t>
  </si>
  <si>
    <t>В_ч</t>
  </si>
  <si>
    <t>Т_ч</t>
  </si>
  <si>
    <t>К_ч</t>
  </si>
  <si>
    <t>Д_кар</t>
  </si>
  <si>
    <t>Кор_сер</t>
  </si>
  <si>
    <t xml:space="preserve">Тип </t>
  </si>
  <si>
    <t>Мех</t>
  </si>
  <si>
    <t>Глубина</t>
  </si>
  <si>
    <t>Содержание в почве</t>
  </si>
  <si>
    <t>Культура</t>
  </si>
  <si>
    <t>Площадь</t>
  </si>
  <si>
    <t>Группа</t>
  </si>
  <si>
    <t>Урожай</t>
  </si>
  <si>
    <t xml:space="preserve"> Урожай по почвенному</t>
  </si>
  <si>
    <t>Доза удобрений кг/га д.в.</t>
  </si>
  <si>
    <t>Биологизация</t>
  </si>
  <si>
    <t xml:space="preserve">Урожай </t>
  </si>
  <si>
    <t>Урож.со</t>
  </si>
  <si>
    <t>Требуется на всю плошадь</t>
  </si>
  <si>
    <t>почвы</t>
  </si>
  <si>
    <t>состав</t>
  </si>
  <si>
    <t>пахотного</t>
  </si>
  <si>
    <t>N</t>
  </si>
  <si>
    <t>P</t>
  </si>
  <si>
    <t>K</t>
  </si>
  <si>
    <t>га</t>
  </si>
  <si>
    <t>культур</t>
  </si>
  <si>
    <t>плодородию</t>
  </si>
  <si>
    <t>мин.и орг. Удобрений</t>
  </si>
  <si>
    <t>Сидераты</t>
  </si>
  <si>
    <t>Солома</t>
  </si>
  <si>
    <t>Пожн.ос-</t>
  </si>
  <si>
    <t>Ризоторф.</t>
  </si>
  <si>
    <t>Ризоагрин</t>
  </si>
  <si>
    <t>без минер</t>
  </si>
  <si>
    <t>сбаланс.мин.</t>
  </si>
  <si>
    <t>т.д.в.</t>
  </si>
  <si>
    <t>Минеральных,кг/га д.в.</t>
  </si>
  <si>
    <t>слоя см</t>
  </si>
  <si>
    <t>мг/кг</t>
  </si>
  <si>
    <t>ц/га</t>
  </si>
  <si>
    <t>т/га</t>
  </si>
  <si>
    <t>га/порц.</t>
  </si>
  <si>
    <t>удобрений</t>
  </si>
  <si>
    <t>удобр-ми</t>
  </si>
  <si>
    <t>Всего</t>
  </si>
  <si>
    <t>Т_суг</t>
  </si>
  <si>
    <t>Ум</t>
  </si>
  <si>
    <t>Оз_пшен</t>
  </si>
  <si>
    <t>Оз_З_П</t>
  </si>
  <si>
    <t>Яр_пшен</t>
  </si>
  <si>
    <t>Яр_зер</t>
  </si>
  <si>
    <t>Ячм</t>
  </si>
  <si>
    <t>Горох</t>
  </si>
  <si>
    <t>Греч</t>
  </si>
  <si>
    <t>Пропаш</t>
  </si>
  <si>
    <t>Рапс</t>
  </si>
  <si>
    <t>Ку_сил</t>
  </si>
  <si>
    <t>Мн_л_тр</t>
  </si>
  <si>
    <t>Ср_суг</t>
  </si>
  <si>
    <t>Оз_рожь</t>
  </si>
  <si>
    <t>Др_проп</t>
  </si>
  <si>
    <t>Тим_ка_сен</t>
  </si>
  <si>
    <t>Лю_сен</t>
  </si>
  <si>
    <t>Оз_Ч_П</t>
  </si>
  <si>
    <t>Внесено мин. уд-й с осени</t>
  </si>
  <si>
    <t>кг/га д.в.</t>
  </si>
  <si>
    <t>Антицикл</t>
  </si>
  <si>
    <t>%</t>
  </si>
  <si>
    <t>Коэф перевода из мг/кг в кг/га</t>
  </si>
  <si>
    <t>Коэф.использ.из почвы азота.</t>
  </si>
  <si>
    <t>Коэф.использ.из почвы фосфора.</t>
  </si>
  <si>
    <t>Коэф.использ.из почвы калия.</t>
  </si>
  <si>
    <t>Поправка на мех.</t>
  </si>
  <si>
    <t>Прибавка на планов.урожай</t>
  </si>
  <si>
    <t>Прибавка урож.под удобрения</t>
  </si>
  <si>
    <t xml:space="preserve">Азот </t>
  </si>
  <si>
    <t>Разность урожая от среднего</t>
  </si>
  <si>
    <t>в</t>
  </si>
  <si>
    <t>Группир.</t>
  </si>
  <si>
    <t>Глины и</t>
  </si>
  <si>
    <t>Супеси</t>
  </si>
  <si>
    <t>Пески</t>
  </si>
  <si>
    <t>Умеренн.</t>
  </si>
  <si>
    <t>Обильное</t>
  </si>
  <si>
    <t>Пропашн.</t>
  </si>
  <si>
    <t>Овощи</t>
  </si>
  <si>
    <t>состав почвы</t>
  </si>
  <si>
    <t>ризоагрина</t>
  </si>
  <si>
    <t>Р</t>
  </si>
  <si>
    <t>К</t>
  </si>
  <si>
    <t>Макс</t>
  </si>
  <si>
    <t>Средн</t>
  </si>
  <si>
    <t>Мин</t>
  </si>
  <si>
    <t>почв</t>
  </si>
  <si>
    <t>суглинки</t>
  </si>
  <si>
    <t>по увлажн.</t>
  </si>
  <si>
    <t>увлажн.</t>
  </si>
  <si>
    <t>N и P</t>
  </si>
  <si>
    <t>НАФ</t>
  </si>
  <si>
    <t>Аммофос</t>
  </si>
  <si>
    <t>Азопр-т</t>
  </si>
  <si>
    <t>Азофоска2</t>
  </si>
  <si>
    <t>NPK1</t>
  </si>
  <si>
    <t>NPK2</t>
  </si>
  <si>
    <t>Диам-ка</t>
  </si>
  <si>
    <t>Диам-фат</t>
  </si>
  <si>
    <t>Азоф-ка1</t>
  </si>
  <si>
    <t>Овес</t>
  </si>
  <si>
    <t>Содерж-е  эл-в питания</t>
  </si>
  <si>
    <t>кг/га ф.в.</t>
  </si>
  <si>
    <t>Выбор удобрения</t>
  </si>
  <si>
    <t>Окупаемость</t>
  </si>
  <si>
    <t>удобрения</t>
  </si>
  <si>
    <t>(расч).кг/кг</t>
  </si>
  <si>
    <t>Ам.сел.</t>
  </si>
  <si>
    <t>Требуемый</t>
  </si>
  <si>
    <t>Группы почв</t>
  </si>
  <si>
    <t>Группы культур</t>
  </si>
  <si>
    <t>микрозл</t>
  </si>
  <si>
    <t>Кап</t>
  </si>
  <si>
    <t>Подс_сем</t>
  </si>
  <si>
    <t>Морк</t>
  </si>
  <si>
    <t>Том</t>
  </si>
  <si>
    <t>Тр_см_сен</t>
  </si>
  <si>
    <t>Огур</t>
  </si>
  <si>
    <t>К_пастб</t>
  </si>
  <si>
    <t>Лук</t>
  </si>
  <si>
    <t>Кл_сен</t>
  </si>
  <si>
    <t>Ов</t>
  </si>
  <si>
    <t>Ран_кар</t>
  </si>
  <si>
    <t>Просо</t>
  </si>
  <si>
    <t>Поз_кар</t>
  </si>
  <si>
    <t>Рапс_з_м</t>
  </si>
  <si>
    <t>Сах_св</t>
  </si>
  <si>
    <t>Оз_р_з_к</t>
  </si>
  <si>
    <t>Кор_св</t>
  </si>
  <si>
    <t>Вика</t>
  </si>
  <si>
    <t>От_сен</t>
  </si>
  <si>
    <t>Ку_зер</t>
  </si>
  <si>
    <t>Люпин</t>
  </si>
  <si>
    <t>От_з_м</t>
  </si>
  <si>
    <t>Соя</t>
  </si>
  <si>
    <t>Тр_см_з_к</t>
  </si>
  <si>
    <t>Одн_л_тр</t>
  </si>
  <si>
    <t>pH</t>
  </si>
  <si>
    <t>Выс.дозы</t>
  </si>
  <si>
    <t>Давность</t>
  </si>
  <si>
    <t>изв-я</t>
  </si>
  <si>
    <t>(лет)</t>
  </si>
  <si>
    <t>Лен</t>
  </si>
  <si>
    <t>Кл_сем</t>
  </si>
  <si>
    <t>Лю_сем</t>
  </si>
  <si>
    <t>Да</t>
  </si>
  <si>
    <t>&gt;5,5</t>
  </si>
  <si>
    <t>Изв-е</t>
  </si>
  <si>
    <t>&gt;2лет</t>
  </si>
  <si>
    <t>в т.ч.под-ка</t>
  </si>
  <si>
    <t>микрозлемент</t>
  </si>
  <si>
    <t>Nкг/га д.в.</t>
  </si>
  <si>
    <t>Pкг/га д.в.</t>
  </si>
  <si>
    <t>Kкг/га д.в.</t>
  </si>
  <si>
    <t xml:space="preserve"> кг/га д.в.по эл-там пит-я</t>
  </si>
  <si>
    <t>Удобр-е</t>
  </si>
  <si>
    <t>кг/га в ф.в.</t>
  </si>
  <si>
    <t>В том числе</t>
  </si>
  <si>
    <t>Увлаж-</t>
  </si>
  <si>
    <t>нение</t>
  </si>
  <si>
    <t>N, %</t>
  </si>
  <si>
    <t>гумуса</t>
  </si>
  <si>
    <t>Орг-ка</t>
  </si>
  <si>
    <t>план-й</t>
  </si>
  <si>
    <t>№</t>
  </si>
  <si>
    <t>поля</t>
  </si>
  <si>
    <t>S поля</t>
  </si>
  <si>
    <t>№ кон-</t>
  </si>
  <si>
    <t>тура</t>
  </si>
  <si>
    <t>S кон-</t>
  </si>
  <si>
    <t>Расчетное</t>
  </si>
  <si>
    <t>Табличное</t>
  </si>
  <si>
    <t>отряда</t>
  </si>
  <si>
    <t>т.ф.веса</t>
  </si>
  <si>
    <t>Предшественник</t>
  </si>
  <si>
    <t>ЧП</t>
  </si>
  <si>
    <t>Сидер</t>
  </si>
  <si>
    <t>Урож-ть</t>
  </si>
  <si>
    <t>Внесено уд-й под предшественник</t>
  </si>
  <si>
    <t>Орг-ки</t>
  </si>
  <si>
    <t>Расч.</t>
  </si>
  <si>
    <t>Ур-й</t>
  </si>
  <si>
    <t>Ур-й за счет биологизации</t>
  </si>
  <si>
    <t>Ур-й за счет последейств.</t>
  </si>
  <si>
    <t>Требуется внести</t>
  </si>
  <si>
    <t>Основное в рядки</t>
  </si>
  <si>
    <r>
      <t>N</t>
    </r>
    <r>
      <rPr>
        <vertAlign val="subscript"/>
        <sz val="10"/>
        <rFont val="Arial Cyr"/>
        <charset val="204"/>
      </rPr>
      <t>картофель</t>
    </r>
  </si>
  <si>
    <r>
      <t>P</t>
    </r>
    <r>
      <rPr>
        <vertAlign val="subscript"/>
        <sz val="10"/>
        <rFont val="Arial Cyr"/>
        <charset val="204"/>
      </rPr>
      <t>картофель</t>
    </r>
  </si>
  <si>
    <r>
      <t>K</t>
    </r>
    <r>
      <rPr>
        <vertAlign val="subscript"/>
        <sz val="10"/>
        <rFont val="Arial Cyr"/>
        <charset val="204"/>
      </rPr>
      <t>картофель</t>
    </r>
  </si>
  <si>
    <t>До или после посева</t>
  </si>
  <si>
    <r>
      <t>N</t>
    </r>
    <r>
      <rPr>
        <vertAlign val="subscript"/>
        <sz val="10"/>
        <rFont val="Arial Cyr"/>
        <charset val="204"/>
      </rPr>
      <t>расч</t>
    </r>
  </si>
  <si>
    <r>
      <t>P</t>
    </r>
    <r>
      <rPr>
        <vertAlign val="subscript"/>
        <sz val="10"/>
        <rFont val="Arial Cyr"/>
        <charset val="204"/>
      </rPr>
      <t>расч</t>
    </r>
  </si>
  <si>
    <r>
      <t>K</t>
    </r>
    <r>
      <rPr>
        <vertAlign val="subscript"/>
        <sz val="10"/>
        <rFont val="Arial Cyr"/>
        <charset val="204"/>
      </rPr>
      <t>расч</t>
    </r>
  </si>
  <si>
    <r>
      <t>N</t>
    </r>
    <r>
      <rPr>
        <vertAlign val="subscript"/>
        <sz val="10"/>
        <rFont val="Arial Cyr"/>
        <charset val="204"/>
      </rPr>
      <t>факт</t>
    </r>
  </si>
  <si>
    <r>
      <t>P</t>
    </r>
    <r>
      <rPr>
        <vertAlign val="subscript"/>
        <sz val="10"/>
        <rFont val="Arial Cyr"/>
        <charset val="204"/>
      </rPr>
      <t>факт</t>
    </r>
  </si>
  <si>
    <r>
      <t>K</t>
    </r>
    <r>
      <rPr>
        <vertAlign val="subscript"/>
        <sz val="10"/>
        <rFont val="Arial Cyr"/>
        <charset val="204"/>
      </rPr>
      <t>факт</t>
    </r>
  </si>
  <si>
    <t>Хлор.калий</t>
  </si>
  <si>
    <t>семена-удобрен</t>
  </si>
  <si>
    <t>при посеве</t>
  </si>
  <si>
    <t>Расположение</t>
  </si>
  <si>
    <t>Раздельно</t>
  </si>
  <si>
    <t>Вместе</t>
  </si>
  <si>
    <t>&gt;2,6</t>
  </si>
  <si>
    <t>&gt;2,2</t>
  </si>
  <si>
    <t>&gt;1,5</t>
  </si>
  <si>
    <t>&gt;1</t>
  </si>
  <si>
    <t>&gt;0,5</t>
  </si>
  <si>
    <t>Допуст.внес.кг/га ф.в.по:</t>
  </si>
  <si>
    <t>Рас.норм внес удоб-я (кг/га) по:</t>
  </si>
  <si>
    <t>Норм внес.уд-я кг/га ф.в. по</t>
  </si>
  <si>
    <t>Фактич.</t>
  </si>
  <si>
    <t>Отношение P/N</t>
  </si>
  <si>
    <t>Отношение K/P</t>
  </si>
  <si>
    <t>&lt;0,51</t>
  </si>
  <si>
    <t>&lt;0,25</t>
  </si>
  <si>
    <t>Соотношение:</t>
  </si>
  <si>
    <t>х</t>
  </si>
  <si>
    <t>K/P</t>
  </si>
  <si>
    <t>P/N</t>
  </si>
  <si>
    <t>&lt;0,7</t>
  </si>
  <si>
    <t>&lt;1</t>
  </si>
  <si>
    <t>Кемира1</t>
  </si>
  <si>
    <t>Кемира2</t>
  </si>
  <si>
    <t>Кемира3</t>
  </si>
  <si>
    <t>Кемира4</t>
  </si>
  <si>
    <t>25-30%</t>
  </si>
  <si>
    <t>1,5-2%</t>
  </si>
  <si>
    <t>Подходящ</t>
  </si>
  <si>
    <t>удобр-е</t>
  </si>
  <si>
    <t>Заводские до или после посева</t>
  </si>
  <si>
    <t>Заводские для основного внес-я в рядки</t>
  </si>
  <si>
    <t>Кемира для осн.внес. В рядки</t>
  </si>
  <si>
    <t>N-содерж</t>
  </si>
  <si>
    <t>P-содерж</t>
  </si>
  <si>
    <t>K-содерж</t>
  </si>
  <si>
    <t>Доза по N</t>
  </si>
  <si>
    <t>Доза по P</t>
  </si>
  <si>
    <t>Доза по K</t>
  </si>
  <si>
    <t>Тонн ф.веса.</t>
  </si>
  <si>
    <t>K-факт</t>
  </si>
  <si>
    <t>P-факт</t>
  </si>
  <si>
    <t>N-факт</t>
  </si>
  <si>
    <t>Основное внесение в рядки</t>
  </si>
  <si>
    <t>бригады</t>
  </si>
  <si>
    <t>Глин</t>
  </si>
  <si>
    <t>Суп</t>
  </si>
  <si>
    <t>Пес</t>
  </si>
  <si>
    <t>Об</t>
  </si>
  <si>
    <t>В рядки</t>
  </si>
  <si>
    <t>Удобрение</t>
  </si>
  <si>
    <t>Содержание д.в.</t>
  </si>
  <si>
    <t>Требуется в тоннах физ.веса</t>
  </si>
  <si>
    <t>Всего требуется по хозяйству</t>
  </si>
  <si>
    <t>В тн.физ.веса</t>
  </si>
  <si>
    <t>В кг/га д.в.</t>
  </si>
  <si>
    <t>NPK</t>
  </si>
  <si>
    <t>Сложные</t>
  </si>
  <si>
    <t>Азотные</t>
  </si>
  <si>
    <t>Калийные</t>
  </si>
  <si>
    <t>ле посева</t>
  </si>
  <si>
    <t>&gt;0,9</t>
  </si>
  <si>
    <t>КемираО</t>
  </si>
  <si>
    <t>КемираП</t>
  </si>
  <si>
    <t>Ам.вода</t>
  </si>
  <si>
    <t>Используемые удобрения</t>
  </si>
  <si>
    <t>Посл.д-е</t>
  </si>
  <si>
    <t>пож.ост-в т</t>
  </si>
  <si>
    <t>&lt;1,4</t>
  </si>
  <si>
    <t>Другое</t>
  </si>
  <si>
    <t>Дефицит</t>
  </si>
  <si>
    <t>До посева</t>
  </si>
  <si>
    <t>Посл.посева</t>
  </si>
  <si>
    <t>Тр-ся т.ф.в.</t>
  </si>
  <si>
    <t>До или пос</t>
  </si>
  <si>
    <t>Cодержан.</t>
  </si>
  <si>
    <t>д.в.</t>
  </si>
  <si>
    <t>Время про</t>
  </si>
  <si>
    <t>ведения</t>
  </si>
  <si>
    <t>расчетов</t>
  </si>
  <si>
    <t>Карбамид</t>
  </si>
  <si>
    <t>В рядки при посеве озимых</t>
  </si>
  <si>
    <t>Требуется внести всего</t>
  </si>
  <si>
    <t>2-ные</t>
  </si>
  <si>
    <t>3-ные</t>
  </si>
  <si>
    <t>&gt;3,3</t>
  </si>
  <si>
    <t>&gt;0,75</t>
  </si>
  <si>
    <t>2-ые под</t>
  </si>
  <si>
    <t>озимые</t>
  </si>
  <si>
    <t>&gt;2,4</t>
  </si>
  <si>
    <t>&gt;1,8</t>
  </si>
  <si>
    <t>&gt;1,1</t>
  </si>
  <si>
    <t>&gt;0,65</t>
  </si>
  <si>
    <t>3-ые под</t>
  </si>
  <si>
    <t>Вал.сбор зерна</t>
  </si>
  <si>
    <t>Без</t>
  </si>
  <si>
    <t>удобр.</t>
  </si>
  <si>
    <t>С сбаланс</t>
  </si>
  <si>
    <t>Урожай зерновых</t>
  </si>
  <si>
    <t>Вал.сбор зерновых</t>
  </si>
  <si>
    <t>Оз.по з,п.</t>
  </si>
  <si>
    <t>Оз.по ч.п.</t>
  </si>
  <si>
    <t>Средняя урожайность</t>
  </si>
  <si>
    <t>Яр.з.и з/б</t>
  </si>
  <si>
    <t>При планов</t>
  </si>
  <si>
    <t>урожае</t>
  </si>
  <si>
    <t>Плановая</t>
  </si>
  <si>
    <t>Без удобр</t>
  </si>
  <si>
    <t>Рациональная</t>
  </si>
  <si>
    <t>Рациональн.</t>
  </si>
  <si>
    <t>урожай</t>
  </si>
  <si>
    <t>Вс.з.и з/б</t>
  </si>
  <si>
    <t>Нитроам-ка</t>
  </si>
  <si>
    <t>NP</t>
  </si>
  <si>
    <t>Нет</t>
  </si>
  <si>
    <t>ﷲ</t>
  </si>
  <si>
    <t>Дозы основного внесения</t>
  </si>
  <si>
    <t>Урожай за счет удобрений</t>
  </si>
  <si>
    <t>внесенных с осени</t>
  </si>
  <si>
    <t>Ур.ест.плод+био+послед-е орг.</t>
  </si>
  <si>
    <t>и мин.уд+уд.внес.с осени</t>
  </si>
  <si>
    <t>Соотношение</t>
  </si>
  <si>
    <t>Кг/га д.в.в случае использования тукосмесей.</t>
  </si>
  <si>
    <t>Прибав.прод.для рациональн.</t>
  </si>
  <si>
    <t xml:space="preserve">урожая </t>
  </si>
  <si>
    <t>Урожай без удобрений</t>
  </si>
  <si>
    <t>Метод опр</t>
  </si>
  <si>
    <t>Кирсанов</t>
  </si>
  <si>
    <t>Чириков</t>
  </si>
  <si>
    <t>Мачигин</t>
  </si>
  <si>
    <t>min</t>
  </si>
  <si>
    <t>max</t>
  </si>
  <si>
    <t>media</t>
  </si>
  <si>
    <t>Сумма</t>
  </si>
  <si>
    <t xml:space="preserve"> NPK</t>
  </si>
  <si>
    <t>по средн.</t>
  </si>
  <si>
    <t>элементу</t>
  </si>
  <si>
    <t>Рационал</t>
  </si>
  <si>
    <t>ный</t>
  </si>
  <si>
    <t>Доза слож</t>
  </si>
  <si>
    <t>уд-я до или</t>
  </si>
  <si>
    <t>после</t>
  </si>
  <si>
    <t>посева</t>
  </si>
  <si>
    <t>Соотношение N:P:K в сложном удобрении</t>
  </si>
  <si>
    <t>Когда по Мачигину, содержание фосфора в почве умножается на 2,5, а не на 3,3</t>
  </si>
  <si>
    <t>Когда по Кирсанову, содержание калия в почве делится на 1,1 (произвольно прикинуто), а не на 1,7 (расчетное); если по Мачигину - 1,5, а не 2,5</t>
  </si>
  <si>
    <t>Сложное удобрение</t>
  </si>
  <si>
    <t>В</t>
  </si>
  <si>
    <t>рядки</t>
  </si>
  <si>
    <t xml:space="preserve"> посева</t>
  </si>
  <si>
    <t>До или после</t>
  </si>
  <si>
    <t>Удобрен</t>
  </si>
  <si>
    <t>Доза</t>
  </si>
  <si>
    <t>По расчету</t>
  </si>
  <si>
    <t>В удобрениях</t>
  </si>
  <si>
    <t>Требуется элементов питания, т</t>
  </si>
  <si>
    <t>Поправки к Кп</t>
  </si>
  <si>
    <t>Поправки к Кп по калию</t>
  </si>
  <si>
    <t>по фосфору</t>
  </si>
  <si>
    <t>К-ры спл.сева</t>
  </si>
  <si>
    <t>Пропашные</t>
  </si>
  <si>
    <t>К-ры спл.</t>
  </si>
  <si>
    <t>сева</t>
  </si>
  <si>
    <t>Вынос, кг/ц</t>
  </si>
  <si>
    <t>Коэффициенты использования из почвы</t>
  </si>
  <si>
    <t>?</t>
  </si>
  <si>
    <t>Вынос кг/ц</t>
  </si>
  <si>
    <t>Примерные коэффициенты использования питательных элементов из удобрений в отдельные годы и за ротацию севооборота</t>
  </si>
  <si>
    <t>Годы действия</t>
  </si>
  <si>
    <t>Коэффициенты использования, %</t>
  </si>
  <si>
    <r>
      <t>P</t>
    </r>
    <r>
      <rPr>
        <b/>
        <vertAlign val="subscript"/>
        <sz val="10"/>
        <color indexed="58"/>
        <rFont val="Arial"/>
        <family val="2"/>
        <charset val="204"/>
      </rPr>
      <t>2</t>
    </r>
    <r>
      <rPr>
        <b/>
        <sz val="10"/>
        <color indexed="58"/>
        <rFont val="Arial"/>
        <family val="2"/>
        <charset val="204"/>
      </rPr>
      <t>O</t>
    </r>
    <r>
      <rPr>
        <b/>
        <vertAlign val="subscript"/>
        <sz val="10"/>
        <color indexed="58"/>
        <rFont val="Arial"/>
        <family val="2"/>
        <charset val="204"/>
      </rPr>
      <t>5</t>
    </r>
  </si>
  <si>
    <r>
      <t>K</t>
    </r>
    <r>
      <rPr>
        <b/>
        <vertAlign val="subscript"/>
        <sz val="10"/>
        <color indexed="58"/>
        <rFont val="Arial"/>
        <family val="2"/>
        <charset val="204"/>
      </rPr>
      <t>2</t>
    </r>
    <r>
      <rPr>
        <b/>
        <sz val="10"/>
        <color indexed="58"/>
        <rFont val="Arial"/>
        <family val="2"/>
        <charset val="204"/>
      </rPr>
      <t>O</t>
    </r>
  </si>
  <si>
    <t>Минеральные удобрения</t>
  </si>
  <si>
    <t>За ротацию</t>
  </si>
  <si>
    <t>65-75</t>
  </si>
  <si>
    <t>35-50</t>
  </si>
  <si>
    <t>65-85</t>
  </si>
  <si>
    <t>в том числе за: 1-й год</t>
  </si>
  <si>
    <t>55-70</t>
  </si>
  <si>
    <t>40-60</t>
  </si>
  <si>
    <t>в том числе за: 2-й год</t>
  </si>
  <si>
    <t>в том числе за: 3-й год</t>
  </si>
  <si>
    <t>-</t>
  </si>
  <si>
    <t>Органические удобрения</t>
  </si>
  <si>
    <t>50-60</t>
  </si>
  <si>
    <t>70-90</t>
  </si>
  <si>
    <t>20-30</t>
  </si>
  <si>
    <t>35-45</t>
  </si>
  <si>
    <t>15-20</t>
  </si>
  <si>
    <t>0-5</t>
  </si>
  <si>
    <t>3-5</t>
  </si>
  <si>
    <t>10-30</t>
  </si>
  <si>
    <t>10-15</t>
  </si>
  <si>
    <t>5-10</t>
  </si>
  <si>
    <t>Таблица 4. Коэффициенты использования  сельскохозяйственными астениями питательных веществ из дерново-подзолистой почвы,  %</t>
  </si>
  <si>
    <t>(Ионас В. А., Вильдфлуш И. Р., Кукреш С. П. Система удобрения сельскохозяйственных культур. Минск: Урожай, 1998.288с.)</t>
  </si>
  <si>
    <t xml:space="preserve">Культуры </t>
  </si>
  <si>
    <r>
      <t>Р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0</t>
    </r>
    <r>
      <rPr>
        <vertAlign val="subscript"/>
        <sz val="12"/>
        <color indexed="8"/>
        <rFont val="Times New Roman"/>
        <family val="1"/>
        <charset val="204"/>
      </rPr>
      <t>5</t>
    </r>
    <r>
      <rPr>
        <sz val="12"/>
        <color indexed="8"/>
        <rFont val="Times New Roman"/>
        <family val="1"/>
        <charset val="204"/>
      </rPr>
      <t xml:space="preserve"> </t>
    </r>
  </si>
  <si>
    <r>
      <t>К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 xml:space="preserve">0 </t>
    </r>
  </si>
  <si>
    <t xml:space="preserve">Зерновые, зернобобовые, однолетние и многолетние травы </t>
  </si>
  <si>
    <t xml:space="preserve">Лен-долгунец </t>
  </si>
  <si>
    <t xml:space="preserve">Кукуруза на силос </t>
  </si>
  <si>
    <t xml:space="preserve">Картофель, сахарная и кормовая свекла, овощные культуры </t>
  </si>
  <si>
    <t xml:space="preserve">20—25 </t>
  </si>
  <si>
    <t xml:space="preserve">Сенокосы </t>
  </si>
  <si>
    <t xml:space="preserve">Рапс яровой, редька масличная </t>
  </si>
  <si>
    <t>ПОЖНИВНО-КОРНЕВЫЕ ОСТАТКИ</t>
  </si>
  <si>
    <t>Коэффициенты уравнения регрессии</t>
  </si>
  <si>
    <t>Коэфф уравн регрессии</t>
  </si>
  <si>
    <t>татки ц/га</t>
  </si>
  <si>
    <t>Содержание элементов питания, % (кг/ц)</t>
  </si>
  <si>
    <t>Коэффициенты использования</t>
  </si>
  <si>
    <t>Элементы</t>
  </si>
  <si>
    <t>биологизации</t>
  </si>
  <si>
    <t>Органика</t>
  </si>
  <si>
    <t>Заделка</t>
  </si>
  <si>
    <t>сидератов</t>
  </si>
  <si>
    <t>соломы</t>
  </si>
  <si>
    <t>Содержание элементов</t>
  </si>
  <si>
    <t>питания в 1 тонне</t>
  </si>
  <si>
    <t>Ризоторфин</t>
  </si>
  <si>
    <t>(50-200)</t>
  </si>
  <si>
    <t>(14-20)</t>
  </si>
  <si>
    <t>(12-20)</t>
  </si>
  <si>
    <t>(30-50)</t>
  </si>
  <si>
    <t>(100-300)</t>
  </si>
  <si>
    <t>fasi.gov.ru</t>
  </si>
  <si>
    <t>biofab.ru</t>
  </si>
  <si>
    <t>uralregion.ru</t>
  </si>
  <si>
    <t>Содержание элементов питания, % (кг/ц) в пож.корн.ост-х</t>
  </si>
  <si>
    <t>Пожнивн. ост. ц/га</t>
  </si>
  <si>
    <t>Площ тыс га</t>
  </si>
  <si>
    <t>Возврат элементов питания (тыс.т) с пожн.корн.ост-ми</t>
  </si>
  <si>
    <t>Урожай ц/га</t>
  </si>
  <si>
    <t xml:space="preserve">Использование щелочно-гидролизуемого </t>
  </si>
  <si>
    <t>азота (по Корнфильду) из почвы, %</t>
  </si>
  <si>
    <t>Культуры</t>
  </si>
  <si>
    <t>При ум увл</t>
  </si>
  <si>
    <t>При об увл</t>
  </si>
  <si>
    <t>35-40</t>
  </si>
  <si>
    <t>25-30</t>
  </si>
  <si>
    <t>20-25</t>
  </si>
  <si>
    <t>30-35</t>
  </si>
  <si>
    <t>40-50</t>
  </si>
  <si>
    <t>25-35</t>
  </si>
  <si>
    <t>Наличие</t>
  </si>
  <si>
    <t>Баланс</t>
  </si>
  <si>
    <t>Д.В.</t>
  </si>
  <si>
    <t>Амарант.з</t>
  </si>
  <si>
    <t>Амарант з.м</t>
  </si>
  <si>
    <t>Искелэре</t>
  </si>
  <si>
    <t>Яналары</t>
  </si>
  <si>
    <t>Коэффициенты без уч содерж в почве</t>
  </si>
  <si>
    <t>Попр коэф к коэфф исп-я</t>
  </si>
  <si>
    <r>
      <t>P</t>
    </r>
    <r>
      <rPr>
        <vertAlign val="subscript"/>
        <sz val="10"/>
        <rFont val="Arial Cyr"/>
        <charset val="204"/>
      </rPr>
      <t>2</t>
    </r>
    <r>
      <rPr>
        <sz val="10"/>
        <rFont val="Arial Cyr"/>
        <charset val="204"/>
      </rPr>
      <t>O</t>
    </r>
    <r>
      <rPr>
        <vertAlign val="subscript"/>
        <sz val="10"/>
        <rFont val="Arial Cyr"/>
        <charset val="204"/>
      </rPr>
      <t>5</t>
    </r>
  </si>
  <si>
    <r>
      <t>K</t>
    </r>
    <r>
      <rPr>
        <vertAlign val="subscript"/>
        <sz val="10"/>
        <rFont val="Arial Cyr"/>
        <charset val="204"/>
      </rPr>
      <t>2</t>
    </r>
    <r>
      <rPr>
        <sz val="10"/>
        <rFont val="Arial Cyr"/>
        <charset val="204"/>
      </rPr>
      <t>O</t>
    </r>
  </si>
  <si>
    <t>S</t>
  </si>
  <si>
    <t>Ca</t>
  </si>
  <si>
    <t>Mg</t>
  </si>
  <si>
    <t>Mn</t>
  </si>
  <si>
    <t>Cu</t>
  </si>
  <si>
    <t>B</t>
  </si>
  <si>
    <t>Fe</t>
  </si>
  <si>
    <t>Zn</t>
  </si>
  <si>
    <t>Mo</t>
  </si>
  <si>
    <t>Кемира 1</t>
  </si>
  <si>
    <t>Кемира 2</t>
  </si>
  <si>
    <t>Кемира 3</t>
  </si>
  <si>
    <t>Кемира 4</t>
  </si>
  <si>
    <t>Кемира Картофельное-5</t>
  </si>
  <si>
    <t>Кемира Свекловичное-6</t>
  </si>
  <si>
    <t>Кемира Полевое-9</t>
  </si>
  <si>
    <t>Кемира Полевое-10</t>
  </si>
  <si>
    <t>Кемира Универсал-2</t>
  </si>
  <si>
    <t>Кемира Осеннее</t>
  </si>
  <si>
    <t>Кемира Комби</t>
  </si>
  <si>
    <t>Кемира Гидро</t>
  </si>
  <si>
    <t>Кемира Супер</t>
  </si>
  <si>
    <t>Азопреципитат</t>
  </si>
  <si>
    <t>Калимагнезия</t>
  </si>
  <si>
    <t>Аммиак жидкий</t>
  </si>
  <si>
    <t>Сульфат аммония</t>
  </si>
  <si>
    <t>Аммофос 12:52:00</t>
  </si>
  <si>
    <t>Аммофос 11:42:00</t>
  </si>
  <si>
    <t>Аммофос 10:44:00</t>
  </si>
  <si>
    <t>КАС 30:00:00</t>
  </si>
  <si>
    <t>Нитрофоска 11:10:11</t>
  </si>
  <si>
    <t>ЖУСС Cu-0,14, B-0,035</t>
  </si>
  <si>
    <t>ЖУСС-2 Cu-0,14; Mo-0,034</t>
  </si>
  <si>
    <t>Азофоска 16:16:16</t>
  </si>
  <si>
    <t>Азофоска 22:11:11</t>
  </si>
  <si>
    <t>Ам.селитра</t>
  </si>
  <si>
    <t>Диаммофоска</t>
  </si>
  <si>
    <t>Диаммонийфосфат</t>
  </si>
  <si>
    <t>Нитроаммофоска</t>
  </si>
  <si>
    <t>Потребность удобрений под урожай 2014 года</t>
  </si>
  <si>
    <t>P_MinUd_1g</t>
  </si>
  <si>
    <t>K_MinUd_1g</t>
  </si>
  <si>
    <t>N_OrgUd_1g</t>
  </si>
  <si>
    <t>N_MinUd_1g</t>
  </si>
  <si>
    <t>N_MinUd_2g</t>
  </si>
  <si>
    <t>P_MinUd_2g</t>
  </si>
  <si>
    <t>K_MinUd_2g</t>
  </si>
  <si>
    <t>P_OrgUd_1g</t>
  </si>
  <si>
    <t>K_OrgUd_1g</t>
  </si>
  <si>
    <t>K_OrgUd_2g</t>
  </si>
  <si>
    <t>P_OrgUd_2g</t>
  </si>
  <si>
    <t>N_OrgUd_2g</t>
  </si>
  <si>
    <t>Умер увл</t>
  </si>
  <si>
    <t>Обильн увл</t>
  </si>
  <si>
    <t>азота (по Корнфильду) из почвы</t>
  </si>
  <si>
    <t>AnwarMustafa</t>
  </si>
  <si>
    <t>Поправка на кислотность</t>
  </si>
  <si>
    <t>Использование питательных веществ растениями из навоза, %</t>
  </si>
  <si>
    <t>Год действия</t>
  </si>
  <si>
    <r>
      <t>Р</t>
    </r>
    <r>
      <rPr>
        <vertAlign val="subscript"/>
        <sz val="12"/>
        <rFont val="Times New Roman"/>
        <family val="1"/>
        <charset val="204"/>
      </rPr>
      <t>2</t>
    </r>
    <r>
      <rPr>
        <sz val="12"/>
        <rFont val="Times New Roman"/>
        <family val="1"/>
        <charset val="204"/>
      </rPr>
      <t>О</t>
    </r>
    <r>
      <rPr>
        <vertAlign val="subscript"/>
        <sz val="12"/>
        <rFont val="Times New Roman"/>
        <family val="1"/>
        <charset val="204"/>
      </rPr>
      <t>5</t>
    </r>
  </si>
  <si>
    <r>
      <t>К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О</t>
    </r>
  </si>
  <si>
    <t>1-й год</t>
  </si>
  <si>
    <t>30-40</t>
  </si>
  <si>
    <t>2-й год</t>
  </si>
  <si>
    <t>3-й год</t>
  </si>
  <si>
    <t>В целом за ротацию севооборота</t>
  </si>
  <si>
    <t>55-60</t>
  </si>
  <si>
    <t>45-60</t>
  </si>
  <si>
    <t>60-75</t>
  </si>
  <si>
    <t>Использование NPK из минеральных удобрений в год внесения, %</t>
  </si>
  <si>
    <t>Удобрения</t>
  </si>
  <si>
    <t>Усвоение, %</t>
  </si>
  <si>
    <t>50-70</t>
  </si>
  <si>
    <t>Фосфорные</t>
  </si>
  <si>
    <t>10_15</t>
  </si>
  <si>
    <t>Селитра</t>
  </si>
  <si>
    <t>Калимаг</t>
  </si>
  <si>
    <t>Азофоска</t>
  </si>
  <si>
    <t>Ам вода</t>
  </si>
  <si>
    <t>Спл сев</t>
  </si>
  <si>
    <t>Пропашн</t>
  </si>
  <si>
    <t>а1</t>
  </si>
  <si>
    <t>121-170</t>
  </si>
  <si>
    <t>81-120</t>
  </si>
  <si>
    <t>121-180</t>
  </si>
  <si>
    <t>50-100</t>
  </si>
  <si>
    <t>101-150</t>
  </si>
  <si>
    <t>151-200</t>
  </si>
  <si>
    <t>201-250</t>
  </si>
  <si>
    <t>&lt;10</t>
  </si>
  <si>
    <t>16-30</t>
  </si>
  <si>
    <t>31-45</t>
  </si>
  <si>
    <t>46-60</t>
  </si>
  <si>
    <t>&gt;60</t>
  </si>
  <si>
    <t>&lt;50</t>
  </si>
  <si>
    <t>51-100</t>
  </si>
  <si>
    <t>101-200</t>
  </si>
  <si>
    <t>201-300</t>
  </si>
  <si>
    <t>301-400</t>
  </si>
  <si>
    <t>&gt;400</t>
  </si>
  <si>
    <t>&lt;40</t>
  </si>
  <si>
    <t>41-80</t>
  </si>
  <si>
    <t>171-250</t>
  </si>
  <si>
    <t>&gt;250</t>
  </si>
  <si>
    <t>&lt;20</t>
  </si>
  <si>
    <t>21-40</t>
  </si>
  <si>
    <t>&gt;180</t>
  </si>
  <si>
    <r>
      <t>Y=а</t>
    </r>
    <r>
      <rPr>
        <vertAlign val="subscript"/>
        <sz val="10"/>
        <rFont val="Arial Cyr"/>
        <charset val="204"/>
      </rPr>
      <t>0</t>
    </r>
    <r>
      <rPr>
        <sz val="10"/>
        <rFont val="Arial Cyr"/>
        <charset val="204"/>
      </rPr>
      <t>+а</t>
    </r>
    <r>
      <rPr>
        <vertAlign val="subscript"/>
        <sz val="10"/>
        <rFont val="Arial Cyr"/>
        <charset val="204"/>
      </rPr>
      <t>1</t>
    </r>
    <r>
      <rPr>
        <sz val="10"/>
        <rFont val="Arial Cyr"/>
        <charset val="204"/>
      </rPr>
      <t>X</t>
    </r>
  </si>
  <si>
    <t>а0</t>
  </si>
  <si>
    <t>Коэффициенты уравнения зависимости КИП от сод в почве</t>
  </si>
  <si>
    <t>*ВПР(Исходн.данные.!L22;К.МетОпр;2;ЛОЖЬ)К.МетОпр</t>
  </si>
  <si>
    <t>Ориентировочные коэффициенты для перевода</t>
  </si>
  <si>
    <t>гумуса в щелочногидролизуемый азот, в мг/кг</t>
  </si>
  <si>
    <t>Тип почвы</t>
  </si>
  <si>
    <t>Коэффициент</t>
  </si>
  <si>
    <t>Дерново сильно подзолистые</t>
  </si>
  <si>
    <t>Дерново средне подзолистые</t>
  </si>
  <si>
    <t>Дерново слабо подзолистые</t>
  </si>
  <si>
    <t>Светло серые лесные</t>
  </si>
  <si>
    <t>Серые лесные</t>
  </si>
  <si>
    <t>Темно серые лесные</t>
  </si>
  <si>
    <t>Черноземы оподзоленные</t>
  </si>
  <si>
    <t>Черноземы выщелоченные</t>
  </si>
  <si>
    <t>Черноземы типичные</t>
  </si>
  <si>
    <t>Черноземы карбонатные</t>
  </si>
  <si>
    <t>Дерново карбонатные</t>
  </si>
  <si>
    <t>Коричневые серые</t>
  </si>
  <si>
    <t>Ам селитра</t>
  </si>
  <si>
    <t>Хлор калий</t>
  </si>
  <si>
    <t>Фосфор</t>
  </si>
  <si>
    <t>Калий</t>
  </si>
  <si>
    <t>Марат. Арпа.</t>
  </si>
  <si>
    <t>Когда по Кирсанову, содержание калия в почве делится на 1,1 (произвольно прикинуто), а не на 1,7 (расчетное); если по Мачигину - 1,5, а не 2,5. Узгэртелде</t>
  </si>
  <si>
    <t>Когда по Кирсанову, содержание фосфора в почве делится на 1,06 (произвольно прикинуто), а не на 1,1 (расчетное);Когда по Мачигину, содержание фосфора в почве умножается на 2,5, а не на 3,3. Узгэртелде</t>
  </si>
  <si>
    <t>ДВ</t>
  </si>
  <si>
    <t>РацУрож</t>
  </si>
  <si>
    <t xml:space="preserve">УрЕстПлод </t>
  </si>
  <si>
    <t>УдРядКг/гаФВ</t>
  </si>
  <si>
    <t>Сумма ДВ</t>
  </si>
  <si>
    <t>С осени</t>
  </si>
  <si>
    <t>Поправ Коэф-та на методы анализа</t>
  </si>
  <si>
    <t>Рабочая таблица</t>
  </si>
  <si>
    <t>Справочная таблица</t>
  </si>
  <si>
    <t>Суперфосфат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</si>
</sst>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_-* #,##0.00[$€]_-;\-* #,##0.00[$€]_-;_-* &quot;-&quot;??[$€]_-;_-@_-"/>
    <numFmt numFmtId="167" formatCode="#,##0.00&quot; &quot;[$€-407];[Red]&quot;-&quot;#,##0.00&quot; &quot;[$€-407]"/>
    <numFmt numFmtId="168" formatCode="_-* #,##0_р_._-;\-* #,##0_р_._-;_-* \-_р_._-;_-@_-"/>
    <numFmt numFmtId="169" formatCode="#,##0\ ;\-#,##0\ "/>
    <numFmt numFmtId="170" formatCode="\ #,##0.00\ ;&quot; (&quot;#,##0.00\);&quot; -&quot;#\ ;@\ "/>
    <numFmt numFmtId="171" formatCode="mmmm\ yy"/>
    <numFmt numFmtId="172" formatCode="_-* #,##0.00_р_._-;\-* #,##0.00_р_._-;_-* \-??_р_._-;_-@_-"/>
    <numFmt numFmtId="173" formatCode="0.0000"/>
  </numFmts>
  <fonts count="5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8"/>
      <color indexed="81"/>
      <name val="Tahoma"/>
      <family val="2"/>
      <charset val="204"/>
    </font>
    <font>
      <sz val="8"/>
      <name val="Arial CYR"/>
      <charset val="204"/>
    </font>
    <font>
      <sz val="10"/>
      <color indexed="10"/>
      <name val="Arial Cyr"/>
      <charset val="204"/>
    </font>
    <font>
      <vertAlign val="subscript"/>
      <sz val="10"/>
      <name val="Arial Cyr"/>
      <charset val="204"/>
    </font>
    <font>
      <b/>
      <sz val="12"/>
      <name val="Arial Cyr"/>
      <charset val="204"/>
    </font>
    <font>
      <sz val="10"/>
      <color indexed="10"/>
      <name val="Arial Cyr"/>
      <charset val="204"/>
    </font>
    <font>
      <b/>
      <sz val="22"/>
      <name val="Arial Cyr"/>
      <charset val="204"/>
    </font>
    <font>
      <sz val="10"/>
      <name val="Cambria"/>
      <family val="1"/>
      <charset val="204"/>
    </font>
    <font>
      <sz val="8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color indexed="58"/>
      <name val="Arial"/>
      <family val="2"/>
      <charset val="204"/>
    </font>
    <font>
      <b/>
      <sz val="10"/>
      <color indexed="58"/>
      <name val="Arial"/>
      <family val="2"/>
      <charset val="204"/>
    </font>
    <font>
      <b/>
      <vertAlign val="subscript"/>
      <sz val="10"/>
      <color indexed="58"/>
      <name val="Arial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color indexed="8"/>
      <name val="Verdana"/>
    </font>
    <font>
      <sz val="12"/>
      <color indexed="8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rgb="FFFF0000"/>
      <name val="Arial Cyr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FF0000"/>
      <name val="Arial Cyr"/>
      <charset val="204"/>
    </font>
    <font>
      <vertAlign val="subscript"/>
      <sz val="12"/>
      <name val="Times New Roman"/>
      <family val="1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52">
    <xf numFmtId="0" fontId="0" fillId="0" borderId="0"/>
    <xf numFmtId="0" fontId="20" fillId="2" borderId="0" applyNumberFormat="0" applyBorder="0" applyAlignment="0" applyProtection="0"/>
    <xf numFmtId="0" fontId="2" fillId="2" borderId="0" applyNumberFormat="0" applyBorder="0" applyAlignment="0" applyProtection="0"/>
    <xf numFmtId="166" fontId="20" fillId="2" borderId="0" applyNumberFormat="0" applyBorder="0" applyAlignment="0" applyProtection="0"/>
    <xf numFmtId="166" fontId="2" fillId="2" borderId="0" applyNumberFormat="0" applyBorder="0" applyAlignment="0" applyProtection="0"/>
    <xf numFmtId="166" fontId="20" fillId="2" borderId="0" applyNumberFormat="0" applyBorder="0" applyAlignment="0" applyProtection="0"/>
    <xf numFmtId="166" fontId="2" fillId="2" borderId="0" applyNumberFormat="0" applyBorder="0" applyAlignment="0" applyProtection="0"/>
    <xf numFmtId="166" fontId="20" fillId="2" borderId="0" applyNumberFormat="0" applyBorder="0" applyAlignment="0" applyProtection="0"/>
    <xf numFmtId="166" fontId="2" fillId="2" borderId="0" applyNumberFormat="0" applyBorder="0" applyAlignment="0" applyProtection="0"/>
    <xf numFmtId="166" fontId="20" fillId="2" borderId="0" applyNumberFormat="0" applyBorder="0" applyAlignment="0" applyProtection="0"/>
    <xf numFmtId="166" fontId="2" fillId="2" borderId="0" applyNumberFormat="0" applyBorder="0" applyAlignment="0" applyProtection="0"/>
    <xf numFmtId="0" fontId="20" fillId="3" borderId="0" applyNumberFormat="0" applyBorder="0" applyAlignment="0" applyProtection="0"/>
    <xf numFmtId="0" fontId="2" fillId="3" borderId="0" applyNumberFormat="0" applyBorder="0" applyAlignment="0" applyProtection="0"/>
    <xf numFmtId="166" fontId="20" fillId="3" borderId="0" applyNumberFormat="0" applyBorder="0" applyAlignment="0" applyProtection="0"/>
    <xf numFmtId="166" fontId="2" fillId="3" borderId="0" applyNumberFormat="0" applyBorder="0" applyAlignment="0" applyProtection="0"/>
    <xf numFmtId="166" fontId="20" fillId="3" borderId="0" applyNumberFormat="0" applyBorder="0" applyAlignment="0" applyProtection="0"/>
    <xf numFmtId="166" fontId="2" fillId="3" borderId="0" applyNumberFormat="0" applyBorder="0" applyAlignment="0" applyProtection="0"/>
    <xf numFmtId="166" fontId="20" fillId="3" borderId="0" applyNumberFormat="0" applyBorder="0" applyAlignment="0" applyProtection="0"/>
    <xf numFmtId="166" fontId="2" fillId="3" borderId="0" applyNumberFormat="0" applyBorder="0" applyAlignment="0" applyProtection="0"/>
    <xf numFmtId="166" fontId="20" fillId="3" borderId="0" applyNumberFormat="0" applyBorder="0" applyAlignment="0" applyProtection="0"/>
    <xf numFmtId="166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2" fillId="4" borderId="0" applyNumberFormat="0" applyBorder="0" applyAlignment="0" applyProtection="0"/>
    <xf numFmtId="166" fontId="20" fillId="4" borderId="0" applyNumberFormat="0" applyBorder="0" applyAlignment="0" applyProtection="0"/>
    <xf numFmtId="166" fontId="2" fillId="4" borderId="0" applyNumberFormat="0" applyBorder="0" applyAlignment="0" applyProtection="0"/>
    <xf numFmtId="166" fontId="20" fillId="4" borderId="0" applyNumberFormat="0" applyBorder="0" applyAlignment="0" applyProtection="0"/>
    <xf numFmtId="166" fontId="2" fillId="4" borderId="0" applyNumberFormat="0" applyBorder="0" applyAlignment="0" applyProtection="0"/>
    <xf numFmtId="166" fontId="20" fillId="4" borderId="0" applyNumberFormat="0" applyBorder="0" applyAlignment="0" applyProtection="0"/>
    <xf numFmtId="166" fontId="2" fillId="4" borderId="0" applyNumberFormat="0" applyBorder="0" applyAlignment="0" applyProtection="0"/>
    <xf numFmtId="166" fontId="20" fillId="4" borderId="0" applyNumberFormat="0" applyBorder="0" applyAlignment="0" applyProtection="0"/>
    <xf numFmtId="166" fontId="2" fillId="4" borderId="0" applyNumberFormat="0" applyBorder="0" applyAlignment="0" applyProtection="0"/>
    <xf numFmtId="0" fontId="20" fillId="5" borderId="0" applyNumberFormat="0" applyBorder="0" applyAlignment="0" applyProtection="0"/>
    <xf numFmtId="0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0" fontId="20" fillId="6" borderId="0" applyNumberFormat="0" applyBorder="0" applyAlignment="0" applyProtection="0"/>
    <xf numFmtId="0" fontId="2" fillId="6" borderId="0" applyNumberFormat="0" applyBorder="0" applyAlignment="0" applyProtection="0"/>
    <xf numFmtId="166" fontId="20" fillId="6" borderId="0" applyNumberFormat="0" applyBorder="0" applyAlignment="0" applyProtection="0"/>
    <xf numFmtId="166" fontId="2" fillId="6" borderId="0" applyNumberFormat="0" applyBorder="0" applyAlignment="0" applyProtection="0"/>
    <xf numFmtId="166" fontId="20" fillId="6" borderId="0" applyNumberFormat="0" applyBorder="0" applyAlignment="0" applyProtection="0"/>
    <xf numFmtId="166" fontId="2" fillId="6" borderId="0" applyNumberFormat="0" applyBorder="0" applyAlignment="0" applyProtection="0"/>
    <xf numFmtId="166" fontId="20" fillId="6" borderId="0" applyNumberFormat="0" applyBorder="0" applyAlignment="0" applyProtection="0"/>
    <xf numFmtId="166" fontId="2" fillId="6" borderId="0" applyNumberFormat="0" applyBorder="0" applyAlignment="0" applyProtection="0"/>
    <xf numFmtId="166" fontId="20" fillId="6" borderId="0" applyNumberFormat="0" applyBorder="0" applyAlignment="0" applyProtection="0"/>
    <xf numFmtId="166" fontId="2" fillId="6" borderId="0" applyNumberFormat="0" applyBorder="0" applyAlignment="0" applyProtection="0"/>
    <xf numFmtId="0" fontId="20" fillId="7" borderId="0" applyNumberFormat="0" applyBorder="0" applyAlignment="0" applyProtection="0"/>
    <xf numFmtId="0" fontId="2" fillId="7" borderId="0" applyNumberFormat="0" applyBorder="0" applyAlignment="0" applyProtection="0"/>
    <xf numFmtId="166" fontId="20" fillId="7" borderId="0" applyNumberFormat="0" applyBorder="0" applyAlignment="0" applyProtection="0"/>
    <xf numFmtId="166" fontId="2" fillId="7" borderId="0" applyNumberFormat="0" applyBorder="0" applyAlignment="0" applyProtection="0"/>
    <xf numFmtId="166" fontId="20" fillId="7" borderId="0" applyNumberFormat="0" applyBorder="0" applyAlignment="0" applyProtection="0"/>
    <xf numFmtId="166" fontId="2" fillId="7" borderId="0" applyNumberFormat="0" applyBorder="0" applyAlignment="0" applyProtection="0"/>
    <xf numFmtId="166" fontId="20" fillId="7" borderId="0" applyNumberFormat="0" applyBorder="0" applyAlignment="0" applyProtection="0"/>
    <xf numFmtId="166" fontId="2" fillId="7" borderId="0" applyNumberFormat="0" applyBorder="0" applyAlignment="0" applyProtection="0"/>
    <xf numFmtId="166" fontId="20" fillId="7" borderId="0" applyNumberFormat="0" applyBorder="0" applyAlignment="0" applyProtection="0"/>
    <xf numFmtId="166" fontId="2" fillId="7" borderId="0" applyNumberFormat="0" applyBorder="0" applyAlignment="0" applyProtection="0"/>
    <xf numFmtId="0" fontId="20" fillId="8" borderId="0" applyNumberFormat="0" applyBorder="0" applyAlignment="0" applyProtection="0"/>
    <xf numFmtId="0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0" fontId="20" fillId="9" borderId="0" applyNumberFormat="0" applyBorder="0" applyAlignment="0" applyProtection="0"/>
    <xf numFmtId="0" fontId="2" fillId="9" borderId="0" applyNumberFormat="0" applyBorder="0" applyAlignment="0" applyProtection="0"/>
    <xf numFmtId="166" fontId="20" fillId="9" borderId="0" applyNumberFormat="0" applyBorder="0" applyAlignment="0" applyProtection="0"/>
    <xf numFmtId="166" fontId="2" fillId="9" borderId="0" applyNumberFormat="0" applyBorder="0" applyAlignment="0" applyProtection="0"/>
    <xf numFmtId="166" fontId="20" fillId="9" borderId="0" applyNumberFormat="0" applyBorder="0" applyAlignment="0" applyProtection="0"/>
    <xf numFmtId="166" fontId="2" fillId="9" borderId="0" applyNumberFormat="0" applyBorder="0" applyAlignment="0" applyProtection="0"/>
    <xf numFmtId="166" fontId="20" fillId="9" borderId="0" applyNumberFormat="0" applyBorder="0" applyAlignment="0" applyProtection="0"/>
    <xf numFmtId="166" fontId="2" fillId="9" borderId="0" applyNumberFormat="0" applyBorder="0" applyAlignment="0" applyProtection="0"/>
    <xf numFmtId="166" fontId="20" fillId="9" borderId="0" applyNumberFormat="0" applyBorder="0" applyAlignment="0" applyProtection="0"/>
    <xf numFmtId="166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2" fillId="10" borderId="0" applyNumberFormat="0" applyBorder="0" applyAlignment="0" applyProtection="0"/>
    <xf numFmtId="166" fontId="20" fillId="10" borderId="0" applyNumberFormat="0" applyBorder="0" applyAlignment="0" applyProtection="0"/>
    <xf numFmtId="166" fontId="2" fillId="10" borderId="0" applyNumberFormat="0" applyBorder="0" applyAlignment="0" applyProtection="0"/>
    <xf numFmtId="166" fontId="20" fillId="10" borderId="0" applyNumberFormat="0" applyBorder="0" applyAlignment="0" applyProtection="0"/>
    <xf numFmtId="166" fontId="2" fillId="10" borderId="0" applyNumberFormat="0" applyBorder="0" applyAlignment="0" applyProtection="0"/>
    <xf numFmtId="166" fontId="20" fillId="10" borderId="0" applyNumberFormat="0" applyBorder="0" applyAlignment="0" applyProtection="0"/>
    <xf numFmtId="166" fontId="2" fillId="10" borderId="0" applyNumberFormat="0" applyBorder="0" applyAlignment="0" applyProtection="0"/>
    <xf numFmtId="166" fontId="20" fillId="10" borderId="0" applyNumberFormat="0" applyBorder="0" applyAlignment="0" applyProtection="0"/>
    <xf numFmtId="166" fontId="2" fillId="10" borderId="0" applyNumberFormat="0" applyBorder="0" applyAlignment="0" applyProtection="0"/>
    <xf numFmtId="0" fontId="20" fillId="5" borderId="0" applyNumberFormat="0" applyBorder="0" applyAlignment="0" applyProtection="0"/>
    <xf numFmtId="0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166" fontId="20" fillId="5" borderId="0" applyNumberFormat="0" applyBorder="0" applyAlignment="0" applyProtection="0"/>
    <xf numFmtId="166" fontId="2" fillId="5" borderId="0" applyNumberFormat="0" applyBorder="0" applyAlignment="0" applyProtection="0"/>
    <xf numFmtId="0" fontId="20" fillId="8" borderId="0" applyNumberFormat="0" applyBorder="0" applyAlignment="0" applyProtection="0"/>
    <xf numFmtId="0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166" fontId="20" fillId="8" borderId="0" applyNumberFormat="0" applyBorder="0" applyAlignment="0" applyProtection="0"/>
    <xf numFmtId="166" fontId="2" fillId="8" borderId="0" applyNumberFormat="0" applyBorder="0" applyAlignment="0" applyProtection="0"/>
    <xf numFmtId="0" fontId="20" fillId="11" borderId="0" applyNumberFormat="0" applyBorder="0" applyAlignment="0" applyProtection="0"/>
    <xf numFmtId="0" fontId="2" fillId="11" borderId="0" applyNumberFormat="0" applyBorder="0" applyAlignment="0" applyProtection="0"/>
    <xf numFmtId="166" fontId="20" fillId="11" borderId="0" applyNumberFormat="0" applyBorder="0" applyAlignment="0" applyProtection="0"/>
    <xf numFmtId="166" fontId="2" fillId="11" borderId="0" applyNumberFormat="0" applyBorder="0" applyAlignment="0" applyProtection="0"/>
    <xf numFmtId="166" fontId="20" fillId="11" borderId="0" applyNumberFormat="0" applyBorder="0" applyAlignment="0" applyProtection="0"/>
    <xf numFmtId="166" fontId="2" fillId="11" borderId="0" applyNumberFormat="0" applyBorder="0" applyAlignment="0" applyProtection="0"/>
    <xf numFmtId="166" fontId="20" fillId="11" borderId="0" applyNumberFormat="0" applyBorder="0" applyAlignment="0" applyProtection="0"/>
    <xf numFmtId="166" fontId="2" fillId="11" borderId="0" applyNumberFormat="0" applyBorder="0" applyAlignment="0" applyProtection="0"/>
    <xf numFmtId="166" fontId="20" fillId="11" borderId="0" applyNumberFormat="0" applyBorder="0" applyAlignment="0" applyProtection="0"/>
    <xf numFmtId="166" fontId="2" fillId="11" borderId="0" applyNumberFormat="0" applyBorder="0" applyAlignment="0" applyProtection="0"/>
    <xf numFmtId="0" fontId="21" fillId="12" borderId="0" applyNumberFormat="0" applyBorder="0" applyAlignment="0" applyProtection="0"/>
    <xf numFmtId="166" fontId="21" fillId="12" borderId="0" applyNumberFormat="0" applyBorder="0" applyAlignment="0" applyProtection="0"/>
    <xf numFmtId="166" fontId="21" fillId="12" borderId="0" applyNumberFormat="0" applyBorder="0" applyAlignment="0" applyProtection="0"/>
    <xf numFmtId="166" fontId="21" fillId="12" borderId="0" applyNumberFormat="0" applyBorder="0" applyAlignment="0" applyProtection="0"/>
    <xf numFmtId="166" fontId="21" fillId="12" borderId="0" applyNumberFormat="0" applyBorder="0" applyAlignment="0" applyProtection="0"/>
    <xf numFmtId="0" fontId="21" fillId="9" borderId="0" applyNumberFormat="0" applyBorder="0" applyAlignment="0" applyProtection="0"/>
    <xf numFmtId="166" fontId="21" fillId="9" borderId="0" applyNumberFormat="0" applyBorder="0" applyAlignment="0" applyProtection="0"/>
    <xf numFmtId="166" fontId="21" fillId="9" borderId="0" applyNumberFormat="0" applyBorder="0" applyAlignment="0" applyProtection="0"/>
    <xf numFmtId="166" fontId="21" fillId="9" borderId="0" applyNumberFormat="0" applyBorder="0" applyAlignment="0" applyProtection="0"/>
    <xf numFmtId="166" fontId="21" fillId="9" borderId="0" applyNumberFormat="0" applyBorder="0" applyAlignment="0" applyProtection="0"/>
    <xf numFmtId="0" fontId="21" fillId="10" borderId="0" applyNumberFormat="0" applyBorder="0" applyAlignment="0" applyProtection="0"/>
    <xf numFmtId="166" fontId="21" fillId="10" borderId="0" applyNumberFormat="0" applyBorder="0" applyAlignment="0" applyProtection="0"/>
    <xf numFmtId="166" fontId="21" fillId="10" borderId="0" applyNumberFormat="0" applyBorder="0" applyAlignment="0" applyProtection="0"/>
    <xf numFmtId="166" fontId="21" fillId="10" borderId="0" applyNumberFormat="0" applyBorder="0" applyAlignment="0" applyProtection="0"/>
    <xf numFmtId="166" fontId="21" fillId="10" borderId="0" applyNumberFormat="0" applyBorder="0" applyAlignment="0" applyProtection="0"/>
    <xf numFmtId="0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0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0" fontId="21" fillId="15" borderId="0" applyNumberFormat="0" applyBorder="0" applyAlignment="0" applyProtection="0"/>
    <xf numFmtId="166" fontId="21" fillId="15" borderId="0" applyNumberFormat="0" applyBorder="0" applyAlignment="0" applyProtection="0"/>
    <xf numFmtId="166" fontId="21" fillId="15" borderId="0" applyNumberFormat="0" applyBorder="0" applyAlignment="0" applyProtection="0"/>
    <xf numFmtId="166" fontId="21" fillId="15" borderId="0" applyNumberFormat="0" applyBorder="0" applyAlignment="0" applyProtection="0"/>
    <xf numFmtId="166" fontId="21" fillId="15" borderId="0" applyNumberFormat="0" applyBorder="0" applyAlignment="0" applyProtection="0"/>
    <xf numFmtId="166" fontId="3" fillId="0" borderId="0" applyFont="0" applyFill="0" applyBorder="0" applyAlignment="0" applyProtection="0"/>
    <xf numFmtId="0" fontId="45" fillId="0" borderId="0">
      <alignment horizontal="center"/>
    </xf>
    <xf numFmtId="0" fontId="45" fillId="0" borderId="0">
      <alignment horizontal="center" textRotation="90"/>
    </xf>
    <xf numFmtId="0" fontId="46" fillId="0" borderId="0"/>
    <xf numFmtId="167" fontId="46" fillId="0" borderId="0"/>
    <xf numFmtId="0" fontId="21" fillId="16" borderId="0" applyNumberFormat="0" applyBorder="0" applyAlignment="0" applyProtection="0"/>
    <xf numFmtId="166" fontId="21" fillId="16" borderId="0" applyNumberFormat="0" applyBorder="0" applyAlignment="0" applyProtection="0"/>
    <xf numFmtId="166" fontId="21" fillId="16" borderId="0" applyNumberFormat="0" applyBorder="0" applyAlignment="0" applyProtection="0"/>
    <xf numFmtId="166" fontId="21" fillId="16" borderId="0" applyNumberFormat="0" applyBorder="0" applyAlignment="0" applyProtection="0"/>
    <xf numFmtId="166" fontId="21" fillId="16" borderId="0" applyNumberFormat="0" applyBorder="0" applyAlignment="0" applyProtection="0"/>
    <xf numFmtId="0" fontId="21" fillId="17" borderId="0" applyNumberFormat="0" applyBorder="0" applyAlignment="0" applyProtection="0"/>
    <xf numFmtId="166" fontId="21" fillId="17" borderId="0" applyNumberFormat="0" applyBorder="0" applyAlignment="0" applyProtection="0"/>
    <xf numFmtId="166" fontId="21" fillId="17" borderId="0" applyNumberFormat="0" applyBorder="0" applyAlignment="0" applyProtection="0"/>
    <xf numFmtId="166" fontId="21" fillId="17" borderId="0" applyNumberFormat="0" applyBorder="0" applyAlignment="0" applyProtection="0"/>
    <xf numFmtId="166" fontId="21" fillId="17" borderId="0" applyNumberFormat="0" applyBorder="0" applyAlignment="0" applyProtection="0"/>
    <xf numFmtId="0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166" fontId="21" fillId="18" borderId="0" applyNumberFormat="0" applyBorder="0" applyAlignment="0" applyProtection="0"/>
    <xf numFmtId="0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166" fontId="21" fillId="13" borderId="0" applyNumberFormat="0" applyBorder="0" applyAlignment="0" applyProtection="0"/>
    <xf numFmtId="0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166" fontId="21" fillId="14" borderId="0" applyNumberFormat="0" applyBorder="0" applyAlignment="0" applyProtection="0"/>
    <xf numFmtId="0" fontId="21" fillId="19" borderId="0" applyNumberFormat="0" applyBorder="0" applyAlignment="0" applyProtection="0"/>
    <xf numFmtId="166" fontId="21" fillId="19" borderId="0" applyNumberFormat="0" applyBorder="0" applyAlignment="0" applyProtection="0"/>
    <xf numFmtId="166" fontId="21" fillId="19" borderId="0" applyNumberFormat="0" applyBorder="0" applyAlignment="0" applyProtection="0"/>
    <xf numFmtId="166" fontId="21" fillId="19" borderId="0" applyNumberFormat="0" applyBorder="0" applyAlignment="0" applyProtection="0"/>
    <xf numFmtId="166" fontId="21" fillId="19" borderId="0" applyNumberFormat="0" applyBorder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166" fontId="22" fillId="7" borderId="1" applyNumberFormat="0" applyAlignment="0" applyProtection="0"/>
    <xf numFmtId="166" fontId="22" fillId="7" borderId="1" applyNumberFormat="0" applyAlignment="0" applyProtection="0"/>
    <xf numFmtId="166" fontId="22" fillId="7" borderId="1" applyNumberFormat="0" applyAlignment="0" applyProtection="0"/>
    <xf numFmtId="166" fontId="22" fillId="7" borderId="1" applyNumberFormat="0" applyAlignment="0" applyProtection="0"/>
    <xf numFmtId="0" fontId="23" fillId="20" borderId="2" applyNumberFormat="0" applyAlignment="0" applyProtection="0"/>
    <xf numFmtId="0" fontId="23" fillId="20" borderId="2" applyNumberFormat="0" applyAlignment="0" applyProtection="0"/>
    <xf numFmtId="0" fontId="23" fillId="20" borderId="2" applyNumberFormat="0" applyAlignment="0" applyProtection="0"/>
    <xf numFmtId="166" fontId="23" fillId="20" borderId="2" applyNumberFormat="0" applyAlignment="0" applyProtection="0"/>
    <xf numFmtId="166" fontId="23" fillId="20" borderId="2" applyNumberFormat="0" applyAlignment="0" applyProtection="0"/>
    <xf numFmtId="166" fontId="23" fillId="20" borderId="2" applyNumberFormat="0" applyAlignment="0" applyProtection="0"/>
    <xf numFmtId="166" fontId="23" fillId="20" borderId="2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0" fontId="24" fillId="20" borderId="1" applyNumberFormat="0" applyAlignment="0" applyProtection="0"/>
    <xf numFmtId="166" fontId="24" fillId="20" borderId="1" applyNumberFormat="0" applyAlignment="0" applyProtection="0"/>
    <xf numFmtId="166" fontId="24" fillId="20" borderId="1" applyNumberFormat="0" applyAlignment="0" applyProtection="0"/>
    <xf numFmtId="166" fontId="24" fillId="20" borderId="1" applyNumberFormat="0" applyAlignment="0" applyProtection="0"/>
    <xf numFmtId="166" fontId="24" fillId="20" borderId="1" applyNumberFormat="0" applyAlignment="0" applyProtection="0"/>
    <xf numFmtId="44" fontId="2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5" fillId="0" borderId="3" applyNumberFormat="0" applyFill="0" applyAlignment="0" applyProtection="0"/>
    <xf numFmtId="166" fontId="25" fillId="0" borderId="3" applyNumberFormat="0" applyFill="0" applyAlignment="0" applyProtection="0"/>
    <xf numFmtId="166" fontId="25" fillId="0" borderId="3" applyNumberFormat="0" applyFill="0" applyAlignment="0" applyProtection="0"/>
    <xf numFmtId="166" fontId="25" fillId="0" borderId="3" applyNumberFormat="0" applyFill="0" applyAlignment="0" applyProtection="0"/>
    <xf numFmtId="166" fontId="25" fillId="0" borderId="3" applyNumberFormat="0" applyFill="0" applyAlignment="0" applyProtection="0"/>
    <xf numFmtId="0" fontId="26" fillId="0" borderId="4" applyNumberFormat="0" applyFill="0" applyAlignment="0" applyProtection="0"/>
    <xf numFmtId="166" fontId="26" fillId="0" borderId="4" applyNumberFormat="0" applyFill="0" applyAlignment="0" applyProtection="0"/>
    <xf numFmtId="166" fontId="26" fillId="0" borderId="4" applyNumberFormat="0" applyFill="0" applyAlignment="0" applyProtection="0"/>
    <xf numFmtId="166" fontId="26" fillId="0" borderId="4" applyNumberFormat="0" applyFill="0" applyAlignment="0" applyProtection="0"/>
    <xf numFmtId="166" fontId="26" fillId="0" borderId="4" applyNumberFormat="0" applyFill="0" applyAlignment="0" applyProtection="0"/>
    <xf numFmtId="0" fontId="27" fillId="0" borderId="5" applyNumberFormat="0" applyFill="0" applyAlignment="0" applyProtection="0"/>
    <xf numFmtId="166" fontId="27" fillId="0" borderId="5" applyNumberFormat="0" applyFill="0" applyAlignment="0" applyProtection="0"/>
    <xf numFmtId="166" fontId="27" fillId="0" borderId="5" applyNumberFormat="0" applyFill="0" applyAlignment="0" applyProtection="0"/>
    <xf numFmtId="166" fontId="27" fillId="0" borderId="5" applyNumberFormat="0" applyFill="0" applyAlignment="0" applyProtection="0"/>
    <xf numFmtId="166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166" fontId="27" fillId="0" borderId="0" applyNumberFormat="0" applyFill="0" applyBorder="0" applyAlignment="0" applyProtection="0"/>
    <xf numFmtId="166" fontId="27" fillId="0" borderId="0" applyNumberFormat="0" applyFill="0" applyBorder="0" applyAlignment="0" applyProtection="0"/>
    <xf numFmtId="166" fontId="27" fillId="0" borderId="0" applyNumberFormat="0" applyFill="0" applyBorder="0" applyAlignment="0" applyProtection="0"/>
    <xf numFmtId="166" fontId="27" fillId="0" borderId="0" applyNumberFormat="0" applyFill="0" applyBorder="0" applyAlignment="0" applyProtection="0"/>
    <xf numFmtId="166" fontId="39" fillId="0" borderId="0" applyNumberFormat="0" applyFill="0" applyBorder="0" applyProtection="0">
      <alignment horizontal="left"/>
    </xf>
    <xf numFmtId="166" fontId="39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166" fontId="28" fillId="0" borderId="6" applyNumberFormat="0" applyFill="0" applyAlignment="0" applyProtection="0"/>
    <xf numFmtId="166" fontId="28" fillId="0" borderId="6" applyNumberFormat="0" applyFill="0" applyAlignment="0" applyProtection="0"/>
    <xf numFmtId="166" fontId="28" fillId="0" borderId="6" applyNumberFormat="0" applyFill="0" applyAlignment="0" applyProtection="0"/>
    <xf numFmtId="166" fontId="28" fillId="0" borderId="6" applyNumberFormat="0" applyFill="0" applyAlignment="0" applyProtection="0"/>
    <xf numFmtId="166" fontId="39" fillId="0" borderId="0" applyNumberFormat="0" applyFill="0" applyBorder="0" applyProtection="0">
      <alignment horizontal="left"/>
    </xf>
    <xf numFmtId="0" fontId="29" fillId="21" borderId="7" applyNumberFormat="0" applyAlignment="0" applyProtection="0"/>
    <xf numFmtId="166" fontId="29" fillId="21" borderId="7" applyNumberFormat="0" applyAlignment="0" applyProtection="0"/>
    <xf numFmtId="166" fontId="29" fillId="21" borderId="7" applyNumberFormat="0" applyAlignment="0" applyProtection="0"/>
    <xf numFmtId="166" fontId="29" fillId="21" borderId="7" applyNumberFormat="0" applyAlignment="0" applyProtection="0"/>
    <xf numFmtId="166" fontId="29" fillId="21" borderId="7" applyNumberFormat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1" fillId="22" borderId="0" applyNumberFormat="0" applyBorder="0" applyAlignment="0" applyProtection="0"/>
    <xf numFmtId="166" fontId="31" fillId="22" borderId="0" applyNumberFormat="0" applyBorder="0" applyAlignment="0" applyProtection="0"/>
    <xf numFmtId="166" fontId="31" fillId="22" borderId="0" applyNumberFormat="0" applyBorder="0" applyAlignment="0" applyProtection="0"/>
    <xf numFmtId="166" fontId="31" fillId="22" borderId="0" applyNumberFormat="0" applyBorder="0" applyAlignment="0" applyProtection="0"/>
    <xf numFmtId="166" fontId="31" fillId="22" borderId="0" applyNumberFormat="0" applyBorder="0" applyAlignment="0" applyProtection="0"/>
    <xf numFmtId="0" fontId="47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 applyNumberFormat="0" applyFill="0" applyBorder="0" applyProtection="0">
      <alignment vertical="top"/>
    </xf>
    <xf numFmtId="0" fontId="43" fillId="0" borderId="0" applyNumberFormat="0" applyFill="0" applyBorder="0" applyProtection="0">
      <alignment vertical="top"/>
    </xf>
    <xf numFmtId="0" fontId="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20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" fillId="0" borderId="0"/>
    <xf numFmtId="0" fontId="3" fillId="0" borderId="0"/>
    <xf numFmtId="166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>
      <alignment horizontal="left"/>
    </xf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3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38" fillId="0" borderId="0">
      <alignment horizontal="left"/>
    </xf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8" fillId="0" borderId="0">
      <alignment horizontal="left"/>
    </xf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20" fillId="0" borderId="0"/>
    <xf numFmtId="166" fontId="20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" fillId="0" borderId="0"/>
    <xf numFmtId="166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4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" fillId="0" borderId="0"/>
    <xf numFmtId="166" fontId="47" fillId="0" borderId="0"/>
    <xf numFmtId="166" fontId="47" fillId="0" borderId="0"/>
    <xf numFmtId="166" fontId="47" fillId="0" borderId="0"/>
    <xf numFmtId="166" fontId="40" fillId="0" borderId="0"/>
    <xf numFmtId="166" fontId="40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4" fillId="0" borderId="0"/>
    <xf numFmtId="166" fontId="13" fillId="0" borderId="0"/>
    <xf numFmtId="0" fontId="3" fillId="0" borderId="0"/>
    <xf numFmtId="0" fontId="3" fillId="0" borderId="0"/>
    <xf numFmtId="166" fontId="20" fillId="0" borderId="0"/>
    <xf numFmtId="166" fontId="2" fillId="0" borderId="0"/>
    <xf numFmtId="166" fontId="20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" fillId="0" borderId="0"/>
    <xf numFmtId="166" fontId="20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0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44" fillId="0" borderId="0"/>
    <xf numFmtId="166" fontId="20" fillId="0" borderId="0"/>
    <xf numFmtId="166" fontId="2" fillId="0" borderId="0"/>
    <xf numFmtId="166" fontId="20" fillId="0" borderId="0"/>
    <xf numFmtId="166" fontId="3" fillId="0" borderId="0"/>
    <xf numFmtId="166" fontId="3" fillId="0" borderId="0"/>
    <xf numFmtId="166" fontId="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4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7" fillId="0" borderId="0"/>
    <xf numFmtId="166" fontId="13" fillId="0" borderId="0"/>
    <xf numFmtId="0" fontId="44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47" fillId="0" borderId="0"/>
    <xf numFmtId="0" fontId="47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8" fillId="0" borderId="0"/>
    <xf numFmtId="166" fontId="13" fillId="0" borderId="0"/>
    <xf numFmtId="0" fontId="44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4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4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166" fontId="20" fillId="0" borderId="0"/>
    <xf numFmtId="166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49" fillId="0" borderId="0"/>
    <xf numFmtId="166" fontId="37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32" fillId="3" borderId="0" applyNumberFormat="0" applyBorder="0" applyAlignment="0" applyProtection="0"/>
    <xf numFmtId="166" fontId="32" fillId="3" borderId="0" applyNumberFormat="0" applyBorder="0" applyAlignment="0" applyProtection="0"/>
    <xf numFmtId="166" fontId="32" fillId="3" borderId="0" applyNumberFormat="0" applyBorder="0" applyAlignment="0" applyProtection="0"/>
    <xf numFmtId="166" fontId="32" fillId="3" borderId="0" applyNumberFormat="0" applyBorder="0" applyAlignment="0" applyProtection="0"/>
    <xf numFmtId="166" fontId="32" fillId="3" borderId="0" applyNumberFormat="0" applyBorder="0" applyAlignment="0" applyProtection="0"/>
    <xf numFmtId="166" fontId="3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166" fontId="13" fillId="23" borderId="8" applyNumberFormat="0" applyFont="0" applyAlignment="0" applyProtection="0"/>
    <xf numFmtId="9" fontId="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34" fillId="0" borderId="9" applyNumberFormat="0" applyFill="0" applyAlignment="0" applyProtection="0"/>
    <xf numFmtId="166" fontId="34" fillId="0" borderId="9" applyNumberFormat="0" applyFill="0" applyAlignment="0" applyProtection="0"/>
    <xf numFmtId="166" fontId="34" fillId="0" borderId="9" applyNumberFormat="0" applyFill="0" applyAlignment="0" applyProtection="0"/>
    <xf numFmtId="166" fontId="34" fillId="0" borderId="9" applyNumberFormat="0" applyFill="0" applyAlignment="0" applyProtection="0"/>
    <xf numFmtId="166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41" fontId="3" fillId="0" borderId="0" applyFont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0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9" fontId="13" fillId="0" borderId="0" applyFill="0" applyBorder="0" applyAlignment="0" applyProtection="0"/>
    <xf numFmtId="170" fontId="13" fillId="0" borderId="0" applyFill="0" applyBorder="0" applyAlignment="0" applyProtection="0"/>
    <xf numFmtId="169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5" fontId="13" fillId="0" borderId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171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41" fontId="20" fillId="0" borderId="0" applyFont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41" fontId="20" fillId="0" borderId="0" applyFont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41" fontId="20" fillId="0" borderId="0" applyFont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168" fontId="13" fillId="0" borderId="0" applyFill="0" applyBorder="0" applyAlignment="0" applyProtection="0"/>
    <xf numFmtId="41" fontId="20" fillId="0" borderId="0" applyFont="0" applyFill="0" applyBorder="0" applyAlignment="0" applyProtection="0"/>
    <xf numFmtId="169" fontId="13" fillId="0" borderId="0" applyFill="0" applyBorder="0" applyAlignment="0" applyProtection="0"/>
    <xf numFmtId="169" fontId="13" fillId="0" borderId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20" fillId="0" borderId="0" applyFill="0" applyBorder="0" applyAlignment="0" applyProtection="0"/>
    <xf numFmtId="172" fontId="20" fillId="0" borderId="0" applyFill="0" applyBorder="0" applyAlignment="0" applyProtection="0"/>
    <xf numFmtId="172" fontId="2" fillId="0" borderId="0" applyFill="0" applyBorder="0" applyAlignment="0" applyProtection="0"/>
    <xf numFmtId="172" fontId="20" fillId="0" borderId="0" applyFill="0" applyBorder="0" applyAlignment="0" applyProtection="0"/>
    <xf numFmtId="172" fontId="2" fillId="0" borderId="0" applyFill="0" applyBorder="0" applyAlignment="0" applyProtection="0"/>
    <xf numFmtId="172" fontId="20" fillId="0" borderId="0" applyFill="0" applyBorder="0" applyAlignment="0" applyProtection="0"/>
    <xf numFmtId="172" fontId="2" fillId="0" borderId="0" applyFill="0" applyBorder="0" applyAlignment="0" applyProtection="0"/>
    <xf numFmtId="172" fontId="20" fillId="0" borderId="0" applyFill="0" applyBorder="0" applyAlignment="0" applyProtection="0"/>
    <xf numFmtId="172" fontId="2" fillId="0" borderId="0" applyFill="0" applyBorder="0" applyAlignment="0" applyProtection="0"/>
    <xf numFmtId="172" fontId="20" fillId="0" borderId="0" applyFill="0" applyBorder="0" applyAlignment="0" applyProtection="0"/>
    <xf numFmtId="172" fontId="2" fillId="0" borderId="0" applyFill="0" applyBorder="0" applyAlignment="0" applyProtection="0"/>
    <xf numFmtId="172" fontId="2" fillId="0" borderId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ill="0" applyBorder="0" applyAlignment="0" applyProtection="0"/>
    <xf numFmtId="43" fontId="4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6" fillId="4" borderId="0" applyNumberFormat="0" applyBorder="0" applyAlignment="0" applyProtection="0"/>
    <xf numFmtId="166" fontId="36" fillId="4" borderId="0" applyNumberFormat="0" applyBorder="0" applyAlignment="0" applyProtection="0"/>
    <xf numFmtId="166" fontId="36" fillId="4" borderId="0" applyNumberFormat="0" applyBorder="0" applyAlignment="0" applyProtection="0"/>
    <xf numFmtId="166" fontId="36" fillId="4" borderId="0" applyNumberFormat="0" applyBorder="0" applyAlignment="0" applyProtection="0"/>
    <xf numFmtId="166" fontId="36" fillId="4" borderId="0" applyNumberFormat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3">
    <xf numFmtId="0" fontId="0" fillId="0" borderId="0" xfId="0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0" xfId="0" applyBorder="1"/>
    <xf numFmtId="0" fontId="0" fillId="0" borderId="14" xfId="0" applyBorder="1" applyAlignment="1">
      <alignment horizontal="center"/>
    </xf>
    <xf numFmtId="164" fontId="0" fillId="0" borderId="15" xfId="0" applyNumberFormat="1" applyBorder="1"/>
    <xf numFmtId="1" fontId="0" fillId="0" borderId="15" xfId="0" applyNumberFormat="1" applyBorder="1"/>
    <xf numFmtId="164" fontId="0" fillId="0" borderId="0" xfId="0" applyNumberFormat="1"/>
    <xf numFmtId="2" fontId="0" fillId="0" borderId="15" xfId="0" applyNumberFormat="1" applyBorder="1"/>
    <xf numFmtId="0" fontId="0" fillId="0" borderId="16" xfId="0" applyBorder="1"/>
    <xf numFmtId="0" fontId="0" fillId="0" borderId="0" xfId="0" applyAlignment="1">
      <alignment horizont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/>
    <xf numFmtId="0" fontId="0" fillId="0" borderId="20" xfId="0" applyBorder="1" applyAlignment="1"/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NumberFormat="1" applyBorder="1"/>
    <xf numFmtId="0" fontId="0" fillId="0" borderId="22" xfId="0" applyBorder="1" applyAlignment="1">
      <alignment horizontal="center"/>
    </xf>
    <xf numFmtId="164" fontId="0" fillId="0" borderId="18" xfId="0" applyNumberFormat="1" applyBorder="1"/>
    <xf numFmtId="0" fontId="0" fillId="0" borderId="0" xfId="0" applyAlignment="1"/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4" borderId="12" xfId="0" applyFill="1" applyBorder="1" applyAlignment="1">
      <alignment horizontal="center"/>
    </xf>
    <xf numFmtId="0" fontId="0" fillId="24" borderId="21" xfId="0" applyFill="1" applyBorder="1" applyAlignment="1">
      <alignment horizontal="center"/>
    </xf>
    <xf numFmtId="0" fontId="0" fillId="24" borderId="23" xfId="0" applyFill="1" applyBorder="1"/>
    <xf numFmtId="0" fontId="0" fillId="24" borderId="13" xfId="0" applyFill="1" applyBorder="1" applyAlignment="1">
      <alignment horizontal="center"/>
    </xf>
    <xf numFmtId="0" fontId="0" fillId="24" borderId="22" xfId="0" applyFill="1" applyBorder="1" applyAlignment="1">
      <alignment horizontal="center"/>
    </xf>
    <xf numFmtId="0" fontId="0" fillId="24" borderId="13" xfId="0" applyFill="1" applyBorder="1"/>
    <xf numFmtId="0" fontId="0" fillId="24" borderId="14" xfId="0" applyFill="1" applyBorder="1" applyAlignment="1">
      <alignment horizontal="center"/>
    </xf>
    <xf numFmtId="0" fontId="0" fillId="24" borderId="11" xfId="0" applyFill="1" applyBorder="1" applyAlignment="1">
      <alignment horizontal="center"/>
    </xf>
    <xf numFmtId="0" fontId="0" fillId="24" borderId="14" xfId="0" applyFill="1" applyBorder="1"/>
    <xf numFmtId="0" fontId="0" fillId="24" borderId="15" xfId="0" applyFill="1" applyBorder="1"/>
    <xf numFmtId="164" fontId="0" fillId="24" borderId="15" xfId="0" applyNumberFormat="1" applyFill="1" applyBorder="1"/>
    <xf numFmtId="0" fontId="0" fillId="24" borderId="21" xfId="0" applyFill="1" applyBorder="1"/>
    <xf numFmtId="0" fontId="0" fillId="25" borderId="0" xfId="0" applyFill="1"/>
    <xf numFmtId="0" fontId="0" fillId="25" borderId="18" xfId="0" applyFill="1" applyBorder="1"/>
    <xf numFmtId="0" fontId="0" fillId="26" borderId="15" xfId="0" applyFill="1" applyBorder="1" applyAlignment="1">
      <alignment horizontal="center"/>
    </xf>
    <xf numFmtId="0" fontId="0" fillId="26" borderId="13" xfId="0" applyFill="1" applyBorder="1" applyAlignment="1">
      <alignment horizontal="center"/>
    </xf>
    <xf numFmtId="0" fontId="0" fillId="26" borderId="14" xfId="0" applyFill="1" applyBorder="1" applyAlignment="1">
      <alignment horizontal="center"/>
    </xf>
    <xf numFmtId="0" fontId="0" fillId="25" borderId="15" xfId="0" applyFill="1" applyBorder="1"/>
    <xf numFmtId="0" fontId="0" fillId="25" borderId="12" xfId="0" applyFill="1" applyBorder="1" applyAlignment="1">
      <alignment horizontal="center"/>
    </xf>
    <xf numFmtId="0" fontId="0" fillId="25" borderId="13" xfId="0" applyFill="1" applyBorder="1" applyAlignment="1">
      <alignment horizontal="center"/>
    </xf>
    <xf numFmtId="0" fontId="0" fillId="25" borderId="14" xfId="0" applyFill="1" applyBorder="1" applyAlignment="1">
      <alignment horizontal="center"/>
    </xf>
    <xf numFmtId="0" fontId="0" fillId="27" borderId="12" xfId="0" applyFill="1" applyBorder="1" applyAlignment="1">
      <alignment horizontal="center"/>
    </xf>
    <xf numFmtId="0" fontId="0" fillId="27" borderId="14" xfId="0" applyFill="1" applyBorder="1" applyAlignment="1">
      <alignment horizontal="center"/>
    </xf>
    <xf numFmtId="0" fontId="0" fillId="28" borderId="14" xfId="0" applyFill="1" applyBorder="1" applyAlignment="1">
      <alignment horizontal="center"/>
    </xf>
    <xf numFmtId="0" fontId="0" fillId="28" borderId="15" xfId="0" applyFill="1" applyBorder="1"/>
    <xf numFmtId="0" fontId="0" fillId="25" borderId="14" xfId="0" applyFill="1" applyBorder="1"/>
    <xf numFmtId="0" fontId="0" fillId="24" borderId="0" xfId="0" applyFill="1"/>
    <xf numFmtId="0" fontId="0" fillId="24" borderId="22" xfId="0" applyFill="1" applyBorder="1"/>
    <xf numFmtId="0" fontId="0" fillId="0" borderId="0" xfId="0" applyNumberFormat="1"/>
    <xf numFmtId="0" fontId="6" fillId="0" borderId="0" xfId="0" applyFont="1" applyAlignment="1"/>
    <xf numFmtId="0" fontId="3" fillId="0" borderId="16" xfId="0" applyFont="1" applyBorder="1"/>
    <xf numFmtId="2" fontId="0" fillId="0" borderId="0" xfId="0" applyNumberFormat="1"/>
    <xf numFmtId="0" fontId="0" fillId="28" borderId="12" xfId="0" applyFill="1" applyBorder="1" applyAlignment="1">
      <alignment horizontal="center"/>
    </xf>
    <xf numFmtId="0" fontId="0" fillId="28" borderId="13" xfId="0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0" fillId="29" borderId="13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15" xfId="0" applyFill="1" applyBorder="1"/>
    <xf numFmtId="0" fontId="0" fillId="29" borderId="13" xfId="0" applyFill="1" applyBorder="1"/>
    <xf numFmtId="0" fontId="0" fillId="29" borderId="0" xfId="0" applyFill="1"/>
    <xf numFmtId="0" fontId="0" fillId="30" borderId="0" xfId="0" applyFill="1"/>
    <xf numFmtId="2" fontId="3" fillId="0" borderId="15" xfId="0" applyNumberFormat="1" applyFont="1" applyBorder="1"/>
    <xf numFmtId="164" fontId="3" fillId="0" borderId="15" xfId="0" applyNumberFormat="1" applyFont="1" applyBorder="1"/>
    <xf numFmtId="164" fontId="0" fillId="0" borderId="0" xfId="0" applyNumberFormat="1" applyAlignment="1"/>
    <xf numFmtId="0" fontId="6" fillId="0" borderId="0" xfId="0" applyFont="1"/>
    <xf numFmtId="9" fontId="6" fillId="0" borderId="0" xfId="0" applyNumberFormat="1" applyFont="1"/>
    <xf numFmtId="0" fontId="0" fillId="31" borderId="0" xfId="0" applyFill="1"/>
    <xf numFmtId="0" fontId="0" fillId="31" borderId="15" xfId="0" applyFill="1" applyBorder="1"/>
    <xf numFmtId="0" fontId="0" fillId="31" borderId="12" xfId="0" applyFill="1" applyBorder="1" applyAlignment="1">
      <alignment horizontal="center"/>
    </xf>
    <xf numFmtId="0" fontId="0" fillId="31" borderId="13" xfId="0" applyFill="1" applyBorder="1" applyAlignment="1">
      <alignment horizontal="center"/>
    </xf>
    <xf numFmtId="0" fontId="0" fillId="31" borderId="14" xfId="0" applyFill="1" applyBorder="1" applyAlignment="1">
      <alignment horizontal="center"/>
    </xf>
    <xf numFmtId="0" fontId="0" fillId="32" borderId="12" xfId="0" applyFill="1" applyBorder="1" applyAlignment="1">
      <alignment horizontal="center"/>
    </xf>
    <xf numFmtId="0" fontId="0" fillId="32" borderId="13" xfId="0" applyFill="1" applyBorder="1" applyAlignment="1">
      <alignment horizontal="center"/>
    </xf>
    <xf numFmtId="0" fontId="0" fillId="32" borderId="14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29" borderId="18" xfId="0" applyFill="1" applyBorder="1"/>
    <xf numFmtId="0" fontId="0" fillId="29" borderId="0" xfId="0" applyFill="1" applyAlignment="1"/>
    <xf numFmtId="0" fontId="0" fillId="24" borderId="0" xfId="0" applyFill="1" applyAlignment="1"/>
    <xf numFmtId="0" fontId="0" fillId="28" borderId="0" xfId="0" applyFill="1"/>
    <xf numFmtId="0" fontId="0" fillId="28" borderId="0" xfId="0" applyFill="1" applyAlignment="1"/>
    <xf numFmtId="0" fontId="0" fillId="31" borderId="0" xfId="0" applyFill="1" applyAlignment="1"/>
    <xf numFmtId="0" fontId="0" fillId="25" borderId="0" xfId="0" applyFill="1" applyAlignment="1"/>
    <xf numFmtId="0" fontId="0" fillId="25" borderId="15" xfId="0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8" fillId="0" borderId="0" xfId="0" applyFont="1"/>
    <xf numFmtId="0" fontId="0" fillId="32" borderId="15" xfId="0" applyNumberFormat="1" applyFill="1" applyBorder="1"/>
    <xf numFmtId="0" fontId="0" fillId="34" borderId="13" xfId="0" applyFill="1" applyBorder="1" applyAlignment="1">
      <alignment horizontal="center"/>
    </xf>
    <xf numFmtId="0" fontId="0" fillId="35" borderId="13" xfId="0" applyFill="1" applyBorder="1" applyAlignment="1">
      <alignment horizontal="center"/>
    </xf>
    <xf numFmtId="0" fontId="0" fillId="35" borderId="14" xfId="0" applyFill="1" applyBorder="1" applyAlignment="1">
      <alignment horizontal="center"/>
    </xf>
    <xf numFmtId="0" fontId="0" fillId="35" borderId="10" xfId="0" applyFill="1" applyBorder="1"/>
    <xf numFmtId="0" fontId="0" fillId="30" borderId="15" xfId="0" applyFill="1" applyBorder="1"/>
    <xf numFmtId="0" fontId="0" fillId="0" borderId="15" xfId="0" applyBorder="1" applyAlignment="1"/>
    <xf numFmtId="0" fontId="0" fillId="30" borderId="13" xfId="0" applyFill="1" applyBorder="1"/>
    <xf numFmtId="0" fontId="0" fillId="30" borderId="19" xfId="0" applyFill="1" applyBorder="1"/>
    <xf numFmtId="0" fontId="0" fillId="30" borderId="18" xfId="0" applyFill="1" applyBorder="1"/>
    <xf numFmtId="1" fontId="0" fillId="30" borderId="15" xfId="0" applyNumberFormat="1" applyFill="1" applyBorder="1"/>
    <xf numFmtId="0" fontId="0" fillId="36" borderId="0" xfId="0" applyFill="1"/>
    <xf numFmtId="0" fontId="0" fillId="37" borderId="0" xfId="0" applyFill="1"/>
    <xf numFmtId="0" fontId="0" fillId="36" borderId="15" xfId="0" applyFill="1" applyBorder="1"/>
    <xf numFmtId="0" fontId="8" fillId="36" borderId="0" xfId="0" applyFont="1" applyFill="1"/>
    <xf numFmtId="0" fontId="0" fillId="37" borderId="13" xfId="0" applyFill="1" applyBorder="1"/>
    <xf numFmtId="0" fontId="0" fillId="37" borderId="12" xfId="0" applyFill="1" applyBorder="1"/>
    <xf numFmtId="0" fontId="0" fillId="37" borderId="11" xfId="0" applyFill="1" applyBorder="1"/>
    <xf numFmtId="0" fontId="0" fillId="37" borderId="15" xfId="0" applyFill="1" applyBorder="1"/>
    <xf numFmtId="0" fontId="9" fillId="0" borderId="0" xfId="0" applyFont="1"/>
    <xf numFmtId="0" fontId="0" fillId="0" borderId="19" xfId="0" applyBorder="1"/>
    <xf numFmtId="0" fontId="0" fillId="0" borderId="18" xfId="0" applyBorder="1" applyAlignment="1"/>
    <xf numFmtId="164" fontId="0" fillId="0" borderId="15" xfId="0" applyNumberFormat="1" applyBorder="1" applyAlignment="1"/>
    <xf numFmtId="0" fontId="0" fillId="26" borderId="15" xfId="0" applyFill="1" applyBorder="1" applyProtection="1"/>
    <xf numFmtId="0" fontId="0" fillId="27" borderId="15" xfId="0" applyFill="1" applyBorder="1" applyProtection="1"/>
    <xf numFmtId="0" fontId="0" fillId="28" borderId="15" xfId="0" applyFill="1" applyBorder="1" applyProtection="1"/>
    <xf numFmtId="0" fontId="0" fillId="0" borderId="13" xfId="0" applyFill="1" applyBorder="1"/>
    <xf numFmtId="0" fontId="0" fillId="0" borderId="24" xfId="0" applyBorder="1"/>
    <xf numFmtId="0" fontId="0" fillId="0" borderId="25" xfId="0" applyBorder="1"/>
    <xf numFmtId="1" fontId="0" fillId="0" borderId="26" xfId="0" applyNumberFormat="1" applyBorder="1" applyAlignment="1">
      <alignment horizontal="center"/>
    </xf>
    <xf numFmtId="0" fontId="0" fillId="0" borderId="15" xfId="0" applyFill="1" applyBorder="1"/>
    <xf numFmtId="0" fontId="0" fillId="24" borderId="15" xfId="0" applyFill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38" borderId="15" xfId="0" applyFill="1" applyBorder="1"/>
    <xf numFmtId="2" fontId="3" fillId="24" borderId="15" xfId="0" applyNumberFormat="1" applyFont="1" applyFill="1" applyBorder="1"/>
    <xf numFmtId="1" fontId="0" fillId="24" borderId="15" xfId="0" applyNumberFormat="1" applyFill="1" applyBorder="1"/>
    <xf numFmtId="0" fontId="0" fillId="0" borderId="15" xfId="0" applyNumberFormat="1" applyFill="1" applyBorder="1"/>
    <xf numFmtId="164" fontId="3" fillId="0" borderId="15" xfId="0" applyNumberFormat="1" applyFont="1" applyBorder="1" applyAlignment="1"/>
    <xf numFmtId="0" fontId="0" fillId="0" borderId="23" xfId="0" applyBorder="1"/>
    <xf numFmtId="0" fontId="0" fillId="0" borderId="14" xfId="0" applyFill="1" applyBorder="1"/>
    <xf numFmtId="0" fontId="0" fillId="0" borderId="15" xfId="0" applyFill="1" applyBorder="1" applyAlignment="1">
      <alignment horizontal="center"/>
    </xf>
    <xf numFmtId="1" fontId="11" fillId="0" borderId="0" xfId="0" applyNumberFormat="1" applyFont="1" applyFill="1"/>
    <xf numFmtId="164" fontId="0" fillId="37" borderId="0" xfId="0" applyNumberFormat="1" applyFill="1"/>
    <xf numFmtId="1" fontId="0" fillId="0" borderId="0" xfId="0" applyNumberFormat="1"/>
    <xf numFmtId="164" fontId="0" fillId="0" borderId="0" xfId="0" applyNumberFormat="1" applyFill="1"/>
    <xf numFmtId="0" fontId="0" fillId="30" borderId="12" xfId="0" applyFill="1" applyBorder="1"/>
    <xf numFmtId="0" fontId="0" fillId="30" borderId="14" xfId="0" applyFill="1" applyBorder="1"/>
    <xf numFmtId="0" fontId="0" fillId="39" borderId="10" xfId="0" applyFill="1" applyBorder="1"/>
    <xf numFmtId="0" fontId="0" fillId="39" borderId="11" xfId="0" applyFill="1" applyBorder="1"/>
    <xf numFmtId="0" fontId="0" fillId="39" borderId="15" xfId="0" applyFill="1" applyBorder="1"/>
    <xf numFmtId="0" fontId="0" fillId="0" borderId="0" xfId="0" applyFill="1"/>
    <xf numFmtId="0" fontId="0" fillId="38" borderId="0" xfId="0" applyFill="1" applyAlignment="1">
      <alignment horizontal="center"/>
    </xf>
    <xf numFmtId="0" fontId="15" fillId="29" borderId="0" xfId="0" applyFont="1" applyFill="1" applyBorder="1" applyAlignment="1">
      <alignment horizontal="center" wrapText="1"/>
    </xf>
    <xf numFmtId="0" fontId="15" fillId="29" borderId="22" xfId="0" applyFont="1" applyFill="1" applyBorder="1" applyAlignment="1">
      <alignment horizontal="center" wrapText="1"/>
    </xf>
    <xf numFmtId="0" fontId="14" fillId="0" borderId="16" xfId="0" applyFont="1" applyBorder="1" applyAlignment="1">
      <alignment wrapText="1"/>
    </xf>
    <xf numFmtId="0" fontId="14" fillId="36" borderId="16" xfId="0" applyFont="1" applyFill="1" applyBorder="1" applyAlignment="1">
      <alignment wrapText="1"/>
    </xf>
    <xf numFmtId="0" fontId="14" fillId="36" borderId="10" xfId="0" applyFont="1" applyFill="1" applyBorder="1" applyAlignment="1">
      <alignment wrapText="1"/>
    </xf>
    <xf numFmtId="49" fontId="14" fillId="0" borderId="0" xfId="0" applyNumberFormat="1" applyFont="1" applyBorder="1" applyAlignment="1">
      <alignment wrapText="1"/>
    </xf>
    <xf numFmtId="49" fontId="14" fillId="0" borderId="22" xfId="0" applyNumberFormat="1" applyFont="1" applyBorder="1" applyAlignment="1">
      <alignment wrapText="1"/>
    </xf>
    <xf numFmtId="49" fontId="14" fillId="36" borderId="0" xfId="0" applyNumberFormat="1" applyFont="1" applyFill="1" applyBorder="1" applyAlignment="1">
      <alignment wrapText="1"/>
    </xf>
    <xf numFmtId="49" fontId="14" fillId="36" borderId="22" xfId="0" applyNumberFormat="1" applyFont="1" applyFill="1" applyBorder="1" applyAlignment="1">
      <alignment wrapText="1"/>
    </xf>
    <xf numFmtId="49" fontId="14" fillId="36" borderId="17" xfId="0" applyNumberFormat="1" applyFont="1" applyFill="1" applyBorder="1" applyAlignment="1">
      <alignment wrapText="1"/>
    </xf>
    <xf numFmtId="49" fontId="14" fillId="36" borderId="11" xfId="0" applyNumberFormat="1" applyFont="1" applyFill="1" applyBorder="1" applyAlignment="1">
      <alignment wrapText="1"/>
    </xf>
    <xf numFmtId="0" fontId="17" fillId="0" borderId="0" xfId="0" applyFont="1"/>
    <xf numFmtId="0" fontId="18" fillId="36" borderId="27" xfId="0" applyFont="1" applyFill="1" applyBorder="1" applyAlignment="1">
      <alignment horizontal="center" vertical="top" wrapText="1"/>
    </xf>
    <xf numFmtId="0" fontId="18" fillId="36" borderId="26" xfId="0" applyFont="1" applyFill="1" applyBorder="1" applyAlignment="1">
      <alignment horizontal="center" vertical="top" wrapText="1"/>
    </xf>
    <xf numFmtId="0" fontId="18" fillId="36" borderId="28" xfId="0" applyFont="1" applyFill="1" applyBorder="1" applyAlignment="1">
      <alignment horizontal="center" vertical="top" wrapText="1"/>
    </xf>
    <xf numFmtId="0" fontId="18" fillId="36" borderId="28" xfId="0" applyFont="1" applyFill="1" applyBorder="1" applyAlignment="1">
      <alignment horizontal="center" wrapText="1"/>
    </xf>
    <xf numFmtId="2" fontId="0" fillId="0" borderId="0" xfId="0" applyNumberFormat="1" applyFill="1" applyAlignment="1">
      <alignment horizontal="center"/>
    </xf>
    <xf numFmtId="0" fontId="0" fillId="0" borderId="0" xfId="0" applyAlignment="1">
      <alignment vertical="distributed"/>
    </xf>
    <xf numFmtId="1" fontId="0" fillId="38" borderId="15" xfId="0" applyNumberFormat="1" applyFill="1" applyBorder="1"/>
    <xf numFmtId="0" fontId="0" fillId="0" borderId="0" xfId="0" applyFill="1" applyBorder="1" applyAlignment="1">
      <alignment horizontal="center"/>
    </xf>
    <xf numFmtId="0" fontId="0" fillId="35" borderId="15" xfId="0" applyFill="1" applyBorder="1"/>
    <xf numFmtId="0" fontId="0" fillId="35" borderId="13" xfId="0" applyFill="1" applyBorder="1"/>
    <xf numFmtId="0" fontId="0" fillId="35" borderId="0" xfId="0" applyFill="1"/>
    <xf numFmtId="0" fontId="0" fillId="40" borderId="15" xfId="0" applyFill="1" applyBorder="1"/>
    <xf numFmtId="0" fontId="0" fillId="40" borderId="0" xfId="0" applyFill="1" applyBorder="1"/>
    <xf numFmtId="0" fontId="0" fillId="38" borderId="0" xfId="0" applyFill="1"/>
    <xf numFmtId="165" fontId="0" fillId="38" borderId="0" xfId="0" applyNumberFormat="1" applyFill="1"/>
    <xf numFmtId="0" fontId="0" fillId="0" borderId="0" xfId="0" applyProtection="1">
      <protection locked="0"/>
    </xf>
    <xf numFmtId="0" fontId="0" fillId="41" borderId="0" xfId="0" applyFill="1"/>
    <xf numFmtId="49" fontId="14" fillId="36" borderId="15" xfId="0" applyNumberFormat="1" applyFont="1" applyFill="1" applyBorder="1" applyAlignment="1">
      <alignment wrapText="1"/>
    </xf>
    <xf numFmtId="0" fontId="0" fillId="42" borderId="0" xfId="0" applyFill="1"/>
    <xf numFmtId="164" fontId="0" fillId="0" borderId="15" xfId="0" applyNumberFormat="1" applyFill="1" applyBorder="1"/>
    <xf numFmtId="1" fontId="0" fillId="0" borderId="15" xfId="0" applyNumberFormat="1" applyFill="1" applyBorder="1"/>
    <xf numFmtId="2" fontId="0" fillId="0" borderId="15" xfId="0" applyNumberFormat="1" applyFill="1" applyBorder="1"/>
    <xf numFmtId="0" fontId="50" fillId="30" borderId="15" xfId="0" applyFont="1" applyFill="1" applyBorder="1"/>
    <xf numFmtId="0" fontId="10" fillId="0" borderId="0" xfId="0" applyFont="1" applyAlignment="1">
      <alignment horizontal="center" vertical="center"/>
    </xf>
    <xf numFmtId="2" fontId="0" fillId="24" borderId="15" xfId="0" applyNumberFormat="1" applyFill="1" applyBorder="1"/>
    <xf numFmtId="0" fontId="0" fillId="0" borderId="0" xfId="0" applyFill="1" applyBorder="1"/>
    <xf numFmtId="0" fontId="50" fillId="0" borderId="0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42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33" borderId="12" xfId="0" applyFill="1" applyBorder="1" applyAlignment="1">
      <alignment horizontal="right"/>
    </xf>
    <xf numFmtId="0" fontId="0" fillId="33" borderId="13" xfId="0" applyFill="1" applyBorder="1" applyAlignment="1">
      <alignment horizontal="right"/>
    </xf>
    <xf numFmtId="0" fontId="0" fillId="33" borderId="14" xfId="0" applyFill="1" applyBorder="1" applyAlignment="1">
      <alignment horizontal="right"/>
    </xf>
    <xf numFmtId="0" fontId="6" fillId="0" borderId="0" xfId="0" applyFont="1" applyAlignment="1">
      <alignment horizontal="right"/>
    </xf>
    <xf numFmtId="0" fontId="0" fillId="41" borderId="14" xfId="0" applyFill="1" applyBorder="1" applyAlignment="1">
      <alignment horizontal="center"/>
    </xf>
    <xf numFmtId="164" fontId="0" fillId="41" borderId="0" xfId="0" applyNumberFormat="1" applyFill="1"/>
    <xf numFmtId="0" fontId="0" fillId="41" borderId="15" xfId="0" applyFill="1" applyBorder="1"/>
    <xf numFmtId="173" fontId="0" fillId="0" borderId="0" xfId="0" applyNumberFormat="1"/>
    <xf numFmtId="173" fontId="0" fillId="0" borderId="0" xfId="0" applyNumberFormat="1" applyFont="1"/>
    <xf numFmtId="165" fontId="0" fillId="0" borderId="0" xfId="0" applyNumberFormat="1"/>
    <xf numFmtId="165" fontId="0" fillId="0" borderId="0" xfId="0" applyNumberFormat="1" applyFont="1"/>
    <xf numFmtId="2" fontId="0" fillId="0" borderId="0" xfId="0" applyNumberFormat="1" applyFont="1"/>
    <xf numFmtId="0" fontId="0" fillId="43" borderId="0" xfId="0" applyFill="1" applyAlignment="1">
      <alignment horizontal="center"/>
    </xf>
    <xf numFmtId="0" fontId="0" fillId="41" borderId="0" xfId="0" applyFill="1" applyBorder="1"/>
    <xf numFmtId="0" fontId="0" fillId="41" borderId="17" xfId="0" applyFill="1" applyBorder="1"/>
    <xf numFmtId="0" fontId="0" fillId="41" borderId="11" xfId="0" applyFill="1" applyBorder="1"/>
    <xf numFmtId="0" fontId="18" fillId="0" borderId="29" xfId="0" applyFont="1" applyFill="1" applyBorder="1" applyAlignment="1">
      <alignment horizontal="center" vertical="top" wrapText="1"/>
    </xf>
    <xf numFmtId="0" fontId="18" fillId="0" borderId="29" xfId="0" applyFont="1" applyFill="1" applyBorder="1" applyAlignment="1">
      <alignment horizontal="center" wrapText="1"/>
    </xf>
    <xf numFmtId="0" fontId="0" fillId="44" borderId="0" xfId="0" applyFill="1"/>
    <xf numFmtId="0" fontId="0" fillId="41" borderId="23" xfId="0" applyFill="1" applyBorder="1"/>
    <xf numFmtId="0" fontId="0" fillId="41" borderId="30" xfId="0" applyFill="1" applyBorder="1"/>
    <xf numFmtId="0" fontId="0" fillId="0" borderId="30" xfId="0" applyBorder="1"/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0" fillId="41" borderId="17" xfId="0" applyFill="1" applyBorder="1" applyAlignment="1"/>
    <xf numFmtId="0" fontId="0" fillId="0" borderId="17" xfId="0" applyBorder="1"/>
    <xf numFmtId="0" fontId="0" fillId="42" borderId="12" xfId="0" applyFill="1" applyBorder="1"/>
    <xf numFmtId="0" fontId="0" fillId="42" borderId="13" xfId="0" applyFill="1" applyBorder="1"/>
    <xf numFmtId="0" fontId="0" fillId="0" borderId="15" xfId="0" applyBorder="1" applyAlignment="1">
      <alignment horizontal="center"/>
    </xf>
    <xf numFmtId="0" fontId="53" fillId="0" borderId="15" xfId="0" applyFont="1" applyBorder="1" applyAlignment="1">
      <alignment horizontal="left"/>
    </xf>
    <xf numFmtId="0" fontId="17" fillId="0" borderId="15" xfId="0" applyFont="1" applyBorder="1" applyAlignment="1">
      <alignment horizontal="center" vertical="top" wrapText="1"/>
    </xf>
    <xf numFmtId="0" fontId="53" fillId="0" borderId="15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center"/>
    </xf>
    <xf numFmtId="0" fontId="54" fillId="0" borderId="15" xfId="0" applyFont="1" applyBorder="1" applyAlignment="1">
      <alignment horizontal="justify" vertical="top" wrapText="1"/>
    </xf>
    <xf numFmtId="0" fontId="54" fillId="0" borderId="15" xfId="0" applyFont="1" applyBorder="1" applyAlignment="1">
      <alignment horizontal="center" vertical="top" wrapText="1"/>
    </xf>
    <xf numFmtId="21" fontId="54" fillId="0" borderId="15" xfId="0" applyNumberFormat="1" applyFont="1" applyBorder="1" applyAlignment="1">
      <alignment horizontal="center" vertical="top" wrapText="1"/>
    </xf>
    <xf numFmtId="0" fontId="54" fillId="0" borderId="15" xfId="0" applyNumberFormat="1" applyFont="1" applyBorder="1" applyAlignment="1">
      <alignment horizontal="center" vertical="top" wrapText="1"/>
    </xf>
    <xf numFmtId="46" fontId="54" fillId="0" borderId="15" xfId="0" applyNumberFormat="1" applyFont="1" applyBorder="1" applyAlignment="1">
      <alignment horizontal="center" vertical="top" wrapText="1"/>
    </xf>
    <xf numFmtId="2" fontId="0" fillId="0" borderId="0" xfId="0" applyNumberFormat="1" applyFill="1" applyBorder="1" applyAlignment="1"/>
    <xf numFmtId="2" fontId="0" fillId="0" borderId="0" xfId="0" applyNumberFormat="1" applyFill="1" applyBorder="1"/>
    <xf numFmtId="1" fontId="0" fillId="0" borderId="0" xfId="0" applyNumberFormat="1" applyFill="1" applyBorder="1"/>
    <xf numFmtId="0" fontId="0" fillId="30" borderId="20" xfId="0" applyFill="1" applyBorder="1"/>
    <xf numFmtId="0" fontId="14" fillId="36" borderId="0" xfId="0" applyFont="1" applyFill="1" applyBorder="1" applyAlignment="1">
      <alignment horizontal="center" wrapText="1"/>
    </xf>
    <xf numFmtId="0" fontId="15" fillId="29" borderId="0" xfId="0" applyFont="1" applyFill="1" applyBorder="1" applyAlignment="1">
      <alignment horizontal="center" wrapText="1"/>
    </xf>
    <xf numFmtId="164" fontId="55" fillId="0" borderId="0" xfId="0" applyNumberFormat="1" applyFont="1"/>
    <xf numFmtId="0" fontId="0" fillId="29" borderId="0" xfId="0" applyFill="1" applyBorder="1"/>
    <xf numFmtId="0" fontId="0" fillId="28" borderId="0" xfId="0" applyFill="1" applyBorder="1"/>
    <xf numFmtId="0" fontId="14" fillId="0" borderId="0" xfId="0" applyFont="1" applyBorder="1" applyAlignment="1">
      <alignment horizontal="center" vertical="distributed"/>
    </xf>
    <xf numFmtId="0" fontId="15" fillId="29" borderId="0" xfId="0" applyFont="1" applyFill="1" applyBorder="1" applyAlignment="1">
      <alignment horizontal="center" wrapText="1"/>
    </xf>
    <xf numFmtId="0" fontId="15" fillId="29" borderId="22" xfId="0" applyFont="1" applyFill="1" applyBorder="1" applyAlignment="1">
      <alignment horizontal="center" wrapText="1"/>
    </xf>
    <xf numFmtId="0" fontId="0" fillId="0" borderId="31" xfId="0" applyBorder="1" applyAlignment="1">
      <alignment vertical="distributed"/>
    </xf>
    <xf numFmtId="0" fontId="0" fillId="0" borderId="32" xfId="0" applyBorder="1" applyAlignment="1">
      <alignment vertical="distributed"/>
    </xf>
    <xf numFmtId="0" fontId="0" fillId="0" borderId="33" xfId="0" applyBorder="1" applyAlignment="1">
      <alignment vertical="distributed"/>
    </xf>
    <xf numFmtId="0" fontId="15" fillId="29" borderId="15" xfId="0" applyFont="1" applyFill="1" applyBorder="1" applyAlignment="1">
      <alignment horizontal="center" wrapText="1"/>
    </xf>
    <xf numFmtId="0" fontId="14" fillId="36" borderId="15" xfId="0" applyFont="1" applyFill="1" applyBorder="1" applyAlignment="1">
      <alignment horizontal="center" wrapText="1"/>
    </xf>
    <xf numFmtId="0" fontId="14" fillId="0" borderId="15" xfId="0" applyFont="1" applyBorder="1" applyAlignment="1">
      <alignment wrapText="1"/>
    </xf>
    <xf numFmtId="0" fontId="14" fillId="0" borderId="15" xfId="0" applyFont="1" applyFill="1" applyBorder="1" applyAlignment="1">
      <alignment wrapText="1"/>
    </xf>
    <xf numFmtId="2" fontId="0" fillId="41" borderId="15" xfId="0" applyNumberFormat="1" applyFill="1" applyBorder="1"/>
    <xf numFmtId="0" fontId="14" fillId="0" borderId="15" xfId="0" applyFont="1" applyFill="1" applyBorder="1" applyAlignment="1">
      <alignment horizontal="center" wrapText="1"/>
    </xf>
    <xf numFmtId="0" fontId="0" fillId="0" borderId="15" xfId="0" applyFont="1" applyFill="1" applyBorder="1"/>
    <xf numFmtId="0" fontId="14" fillId="0" borderId="12" xfId="0" applyFont="1" applyFill="1" applyBorder="1" applyAlignment="1">
      <alignment wrapText="1"/>
    </xf>
    <xf numFmtId="0" fontId="0" fillId="41" borderId="12" xfId="0" applyFill="1" applyBorder="1"/>
    <xf numFmtId="0" fontId="0" fillId="0" borderId="14" xfId="0" applyBorder="1" applyAlignment="1">
      <alignment horizontal="center"/>
    </xf>
    <xf numFmtId="0" fontId="17" fillId="0" borderId="27" xfId="0" applyFont="1" applyBorder="1" applyAlignment="1">
      <alignment horizontal="center" vertical="top" wrapText="1"/>
    </xf>
    <xf numFmtId="0" fontId="17" fillId="0" borderId="26" xfId="0" applyFont="1" applyBorder="1" applyAlignment="1">
      <alignment horizontal="center" vertical="top" wrapText="1"/>
    </xf>
    <xf numFmtId="0" fontId="17" fillId="0" borderId="28" xfId="0" applyFont="1" applyBorder="1" applyAlignment="1">
      <alignment vertical="top" wrapText="1"/>
    </xf>
    <xf numFmtId="0" fontId="17" fillId="0" borderId="29" xfId="0" applyFont="1" applyBorder="1" applyAlignment="1">
      <alignment horizontal="center" vertical="top" wrapText="1"/>
    </xf>
    <xf numFmtId="0" fontId="17" fillId="0" borderId="0" xfId="0" applyFont="1" applyAlignment="1">
      <alignment horizontal="right"/>
    </xf>
    <xf numFmtId="0" fontId="54" fillId="0" borderId="0" xfId="0" applyFont="1" applyAlignment="1">
      <alignment horizontal="right"/>
    </xf>
    <xf numFmtId="0" fontId="54" fillId="0" borderId="0" xfId="0" applyFont="1" applyAlignment="1">
      <alignment horizontal="justify"/>
    </xf>
    <xf numFmtId="0" fontId="54" fillId="0" borderId="0" xfId="0" applyFont="1" applyAlignment="1">
      <alignment horizontal="left"/>
    </xf>
    <xf numFmtId="2" fontId="17" fillId="0" borderId="29" xfId="0" applyNumberFormat="1" applyFont="1" applyBorder="1" applyAlignment="1">
      <alignment horizontal="center" vertical="top" wrapText="1"/>
    </xf>
    <xf numFmtId="17" fontId="17" fillId="0" borderId="26" xfId="0" applyNumberFormat="1" applyFont="1" applyBorder="1" applyAlignment="1">
      <alignment horizontal="center" vertical="top" wrapText="1"/>
    </xf>
    <xf numFmtId="2" fontId="17" fillId="0" borderId="27" xfId="0" applyNumberFormat="1" applyFont="1" applyBorder="1" applyAlignment="1">
      <alignment horizontal="center" vertical="top" wrapText="1"/>
    </xf>
    <xf numFmtId="0" fontId="17" fillId="0" borderId="26" xfId="0" applyNumberFormat="1" applyFont="1" applyBorder="1" applyAlignment="1">
      <alignment horizontal="center" vertical="top" wrapText="1"/>
    </xf>
    <xf numFmtId="0" fontId="0" fillId="0" borderId="15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Fill="1" applyBorder="1" applyAlignment="1">
      <alignment horizontal="center"/>
    </xf>
    <xf numFmtId="2" fontId="3" fillId="45" borderId="15" xfId="0" applyNumberFormat="1" applyFont="1" applyFill="1" applyBorder="1"/>
    <xf numFmtId="2" fontId="3" fillId="0" borderId="15" xfId="0" applyNumberFormat="1" applyFont="1" applyFill="1" applyBorder="1"/>
    <xf numFmtId="0" fontId="0" fillId="0" borderId="15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24" borderId="15" xfId="0" applyFill="1" applyBorder="1" applyProtection="1"/>
    <xf numFmtId="0" fontId="0" fillId="37" borderId="15" xfId="0" applyFill="1" applyBorder="1" applyProtection="1"/>
    <xf numFmtId="0" fontId="0" fillId="30" borderId="15" xfId="0" applyFill="1" applyBorder="1" applyProtection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33" borderId="14" xfId="0" applyFill="1" applyBorder="1" applyAlignment="1" applyProtection="1">
      <alignment horizontal="center"/>
    </xf>
    <xf numFmtId="0" fontId="0" fillId="33" borderId="14" xfId="0" applyFill="1" applyBorder="1" applyAlignment="1" applyProtection="1">
      <alignment horizontal="right"/>
    </xf>
    <xf numFmtId="0" fontId="0" fillId="24" borderId="14" xfId="0" applyFill="1" applyBorder="1" applyAlignment="1" applyProtection="1">
      <alignment horizontal="center"/>
    </xf>
    <xf numFmtId="0" fontId="0" fillId="29" borderId="14" xfId="0" applyFill="1" applyBorder="1" applyAlignment="1" applyProtection="1">
      <alignment horizontal="center"/>
    </xf>
    <xf numFmtId="0" fontId="0" fillId="24" borderId="11" xfId="0" applyFill="1" applyBorder="1" applyAlignment="1" applyProtection="1">
      <alignment horizontal="center"/>
    </xf>
    <xf numFmtId="0" fontId="0" fillId="24" borderId="14" xfId="0" applyFill="1" applyBorder="1" applyProtection="1"/>
    <xf numFmtId="0" fontId="0" fillId="26" borderId="14" xfId="0" applyFill="1" applyBorder="1" applyAlignment="1" applyProtection="1">
      <alignment horizontal="center"/>
    </xf>
    <xf numFmtId="0" fontId="0" fillId="25" borderId="15" xfId="0" applyFill="1" applyBorder="1" applyProtection="1"/>
    <xf numFmtId="0" fontId="0" fillId="29" borderId="15" xfId="0" applyFill="1" applyBorder="1" applyProtection="1"/>
    <xf numFmtId="0" fontId="0" fillId="31" borderId="15" xfId="0" applyFill="1" applyBorder="1" applyProtection="1"/>
    <xf numFmtId="0" fontId="0" fillId="32" borderId="15" xfId="0" applyNumberFormat="1" applyFill="1" applyBorder="1" applyProtection="1"/>
    <xf numFmtId="164" fontId="0" fillId="24" borderId="15" xfId="0" applyNumberFormat="1" applyFill="1" applyBorder="1" applyProtection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17" fillId="0" borderId="28" xfId="0" applyFont="1" applyBorder="1" applyAlignment="1">
      <alignment horizontal="center" vertical="top" wrapText="1"/>
    </xf>
    <xf numFmtId="17" fontId="17" fillId="0" borderId="28" xfId="0" applyNumberFormat="1" applyFont="1" applyBorder="1" applyAlignment="1">
      <alignment horizontal="center" vertical="top" wrapText="1"/>
    </xf>
    <xf numFmtId="49" fontId="17" fillId="0" borderId="27" xfId="0" applyNumberFormat="1" applyFont="1" applyBorder="1" applyAlignment="1">
      <alignment horizontal="center" vertical="top" wrapText="1"/>
    </xf>
    <xf numFmtId="49" fontId="0" fillId="0" borderId="0" xfId="0" applyNumberFormat="1"/>
    <xf numFmtId="0" fontId="17" fillId="0" borderId="0" xfId="0" applyFont="1" applyBorder="1" applyAlignment="1">
      <alignment horizontal="center" vertical="top" wrapText="1"/>
    </xf>
    <xf numFmtId="0" fontId="0" fillId="46" borderId="15" xfId="0" applyFill="1" applyBorder="1"/>
    <xf numFmtId="0" fontId="0" fillId="46" borderId="0" xfId="0" applyFill="1"/>
    <xf numFmtId="0" fontId="0" fillId="47" borderId="15" xfId="0" applyFill="1" applyBorder="1"/>
    <xf numFmtId="0" fontId="0" fillId="47" borderId="0" xfId="0" applyFill="1"/>
    <xf numFmtId="0" fontId="0" fillId="48" borderId="15" xfId="0" applyFill="1" applyBorder="1"/>
    <xf numFmtId="0" fontId="0" fillId="48" borderId="0" xfId="0" applyFill="1"/>
    <xf numFmtId="0" fontId="55" fillId="42" borderId="0" xfId="0" applyFont="1" applyFill="1"/>
    <xf numFmtId="0" fontId="0" fillId="0" borderId="15" xfId="0" applyBorder="1" applyAlignment="1">
      <alignment horizontal="center"/>
    </xf>
    <xf numFmtId="0" fontId="0" fillId="24" borderId="15" xfId="0" applyFill="1" applyBorder="1" applyAlignment="1" applyProtection="1">
      <alignment horizontal="center"/>
    </xf>
    <xf numFmtId="0" fontId="0" fillId="0" borderId="22" xfId="0" applyBorder="1" applyAlignment="1"/>
    <xf numFmtId="0" fontId="0" fillId="0" borderId="15" xfId="0" applyBorder="1" applyProtection="1"/>
    <xf numFmtId="0" fontId="0" fillId="49" borderId="0" xfId="0" applyFill="1"/>
    <xf numFmtId="0" fontId="0" fillId="42" borderId="15" xfId="0" applyFill="1" applyBorder="1" applyAlignment="1">
      <alignment horizontal="center"/>
    </xf>
    <xf numFmtId="0" fontId="15" fillId="0" borderId="15" xfId="0" applyFont="1" applyFill="1" applyBorder="1" applyAlignment="1">
      <alignment horizontal="center" wrapText="1"/>
    </xf>
    <xf numFmtId="0" fontId="55" fillId="0" borderId="15" xfId="0" applyFont="1" applyFill="1" applyBorder="1"/>
    <xf numFmtId="0" fontId="14" fillId="0" borderId="30" xfId="0" applyFont="1" applyFill="1" applyBorder="1" applyAlignment="1">
      <alignment wrapText="1"/>
    </xf>
    <xf numFmtId="0" fontId="0" fillId="0" borderId="30" xfId="0" applyFill="1" applyBorder="1"/>
    <xf numFmtId="0" fontId="14" fillId="36" borderId="0" xfId="0" applyFont="1" applyFill="1" applyBorder="1" applyAlignment="1">
      <alignment wrapText="1"/>
    </xf>
    <xf numFmtId="0" fontId="0" fillId="0" borderId="16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28" borderId="10" xfId="0" applyFill="1" applyBorder="1" applyAlignment="1">
      <alignment horizontal="center"/>
    </xf>
    <xf numFmtId="0" fontId="0" fillId="28" borderId="17" xfId="0" applyFill="1" applyBorder="1" applyAlignment="1">
      <alignment horizontal="center"/>
    </xf>
    <xf numFmtId="0" fontId="0" fillId="28" borderId="11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27" borderId="19" xfId="0" applyFill="1" applyBorder="1" applyAlignment="1">
      <alignment horizontal="center"/>
    </xf>
    <xf numFmtId="0" fontId="0" fillId="27" borderId="20" xfId="0" applyFill="1" applyBorder="1" applyAlignment="1">
      <alignment horizontal="center"/>
    </xf>
    <xf numFmtId="0" fontId="0" fillId="27" borderId="18" xfId="0" applyFill="1" applyBorder="1" applyAlignment="1">
      <alignment horizontal="center"/>
    </xf>
    <xf numFmtId="0" fontId="0" fillId="24" borderId="19" xfId="0" applyFill="1" applyBorder="1" applyAlignment="1">
      <alignment horizontal="center"/>
    </xf>
    <xf numFmtId="0" fontId="0" fillId="24" borderId="18" xfId="0" applyFill="1" applyBorder="1" applyAlignment="1">
      <alignment horizontal="center"/>
    </xf>
    <xf numFmtId="0" fontId="0" fillId="26" borderId="19" xfId="0" applyFill="1" applyBorder="1" applyAlignment="1">
      <alignment horizontal="center"/>
    </xf>
    <xf numFmtId="0" fontId="0" fillId="26" borderId="18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0" borderId="19" xfId="0" applyFill="1" applyBorder="1" applyAlignment="1">
      <alignment horizontal="center"/>
    </xf>
    <xf numFmtId="0" fontId="0" fillId="30" borderId="20" xfId="0" applyFill="1" applyBorder="1" applyAlignment="1">
      <alignment horizontal="center"/>
    </xf>
    <xf numFmtId="0" fontId="0" fillId="30" borderId="18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24" borderId="20" xfId="0" applyFill="1" applyBorder="1" applyAlignment="1">
      <alignment horizontal="center"/>
    </xf>
    <xf numFmtId="0" fontId="0" fillId="26" borderId="20" xfId="0" applyFill="1" applyBorder="1" applyAlignment="1">
      <alignment horizontal="center"/>
    </xf>
    <xf numFmtId="0" fontId="0" fillId="28" borderId="23" xfId="0" applyFill="1" applyBorder="1" applyAlignment="1">
      <alignment horizontal="center"/>
    </xf>
    <xf numFmtId="0" fontId="0" fillId="28" borderId="30" xfId="0" applyFill="1" applyBorder="1" applyAlignment="1">
      <alignment horizontal="center"/>
    </xf>
    <xf numFmtId="0" fontId="0" fillId="28" borderId="2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41" borderId="23" xfId="0" applyFill="1" applyBorder="1" applyAlignment="1">
      <alignment horizontal="center"/>
    </xf>
    <xf numFmtId="0" fontId="0" fillId="41" borderId="30" xfId="0" applyFill="1" applyBorder="1" applyAlignment="1">
      <alignment horizontal="center"/>
    </xf>
    <xf numFmtId="0" fontId="0" fillId="41" borderId="21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41" borderId="10" xfId="0" applyFill="1" applyBorder="1" applyAlignment="1">
      <alignment horizontal="center"/>
    </xf>
    <xf numFmtId="0" fontId="0" fillId="41" borderId="17" xfId="0" applyFill="1" applyBorder="1" applyAlignment="1">
      <alignment horizontal="center"/>
    </xf>
    <xf numFmtId="0" fontId="0" fillId="41" borderId="11" xfId="0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 vertical="distributed"/>
    </xf>
    <xf numFmtId="0" fontId="0" fillId="39" borderId="23" xfId="0" applyFill="1" applyBorder="1" applyAlignment="1">
      <alignment horizontal="center"/>
    </xf>
    <xf numFmtId="0" fontId="0" fillId="39" borderId="21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Alignment="1">
      <alignment horizontal="center" vertical="distributed"/>
    </xf>
    <xf numFmtId="0" fontId="0" fillId="0" borderId="15" xfId="0" applyBorder="1" applyAlignment="1">
      <alignment horizontal="left"/>
    </xf>
    <xf numFmtId="0" fontId="14" fillId="36" borderId="16" xfId="0" applyFont="1" applyFill="1" applyBorder="1" applyAlignment="1">
      <alignment horizontal="center" wrapText="1"/>
    </xf>
    <xf numFmtId="0" fontId="14" fillId="36" borderId="0" xfId="0" applyFont="1" applyFill="1" applyBorder="1" applyAlignment="1">
      <alignment horizontal="center" wrapText="1"/>
    </xf>
    <xf numFmtId="0" fontId="14" fillId="36" borderId="22" xfId="0" applyFont="1" applyFill="1" applyBorder="1" applyAlignment="1">
      <alignment horizontal="center" wrapText="1"/>
    </xf>
    <xf numFmtId="0" fontId="15" fillId="29" borderId="16" xfId="0" applyFont="1" applyFill="1" applyBorder="1" applyAlignment="1">
      <alignment horizontal="center" wrapText="1"/>
    </xf>
    <xf numFmtId="0" fontId="0" fillId="0" borderId="0" xfId="0" applyAlignment="1">
      <alignment vertical="distributed"/>
    </xf>
    <xf numFmtId="0" fontId="14" fillId="0" borderId="23" xfId="0" applyFont="1" applyBorder="1" applyAlignment="1">
      <alignment horizontal="center" vertical="distributed"/>
    </xf>
    <xf numFmtId="0" fontId="14" fillId="0" borderId="30" xfId="0" applyFont="1" applyBorder="1" applyAlignment="1">
      <alignment horizontal="center" vertical="distributed"/>
    </xf>
    <xf numFmtId="0" fontId="14" fillId="0" borderId="21" xfId="0" applyFont="1" applyBorder="1" applyAlignment="1">
      <alignment horizontal="center" vertical="distributed"/>
    </xf>
    <xf numFmtId="0" fontId="15" fillId="29" borderId="0" xfId="0" applyFont="1" applyFill="1" applyBorder="1" applyAlignment="1">
      <alignment horizontal="center" wrapText="1"/>
    </xf>
    <xf numFmtId="0" fontId="15" fillId="29" borderId="22" xfId="0" applyFont="1" applyFill="1" applyBorder="1" applyAlignment="1">
      <alignment horizontal="center" wrapText="1"/>
    </xf>
    <xf numFmtId="0" fontId="55" fillId="0" borderId="15" xfId="0" applyFont="1" applyFill="1" applyBorder="1" applyAlignment="1">
      <alignment horizontal="center"/>
    </xf>
    <xf numFmtId="0" fontId="14" fillId="0" borderId="0" xfId="0" applyFont="1" applyBorder="1" applyAlignment="1">
      <alignment horizontal="center" vertical="distributed"/>
    </xf>
    <xf numFmtId="0" fontId="15" fillId="29" borderId="15" xfId="0" applyFont="1" applyFill="1" applyBorder="1" applyAlignment="1">
      <alignment horizontal="center" wrapText="1"/>
    </xf>
    <xf numFmtId="0" fontId="14" fillId="0" borderId="15" xfId="0" applyFont="1" applyFill="1" applyBorder="1" applyAlignment="1">
      <alignment horizontal="center" wrapText="1"/>
    </xf>
    <xf numFmtId="0" fontId="14" fillId="36" borderId="15" xfId="0" applyFont="1" applyFill="1" applyBorder="1" applyAlignment="1">
      <alignment horizontal="center" wrapText="1"/>
    </xf>
    <xf numFmtId="0" fontId="15" fillId="29" borderId="19" xfId="0" applyFont="1" applyFill="1" applyBorder="1" applyAlignment="1">
      <alignment horizontal="center" wrapText="1"/>
    </xf>
    <xf numFmtId="0" fontId="15" fillId="29" borderId="18" xfId="0" applyFont="1" applyFill="1" applyBorder="1" applyAlignment="1">
      <alignment horizontal="center" wrapText="1"/>
    </xf>
  </cellXfs>
  <cellStyles count="1852">
    <cellStyle name="20% - Акцент1 2" xfId="1"/>
    <cellStyle name="20% - Акцент1 2 2" xfId="2"/>
    <cellStyle name="20% - Акцент1 3" xfId="3"/>
    <cellStyle name="20% - Акцент1 3 2" xfId="4"/>
    <cellStyle name="20% - Акцент1 4" xfId="5"/>
    <cellStyle name="20% - Акцент1 4 2" xfId="6"/>
    <cellStyle name="20% - Акцент1 5" xfId="7"/>
    <cellStyle name="20% - Акцент1 5 2" xfId="8"/>
    <cellStyle name="20% - Акцент1 6" xfId="9"/>
    <cellStyle name="20% - Акцент1 6 2" xfId="10"/>
    <cellStyle name="20% - Акцент2 2" xfId="11"/>
    <cellStyle name="20% - Акцент2 2 2" xfId="12"/>
    <cellStyle name="20% - Акцент2 3" xfId="13"/>
    <cellStyle name="20% - Акцент2 3 2" xfId="14"/>
    <cellStyle name="20% - Акцент2 4" xfId="15"/>
    <cellStyle name="20% - Акцент2 4 2" xfId="16"/>
    <cellStyle name="20% - Акцент2 5" xfId="17"/>
    <cellStyle name="20% - Акцент2 5 2" xfId="18"/>
    <cellStyle name="20% - Акцент2 6" xfId="19"/>
    <cellStyle name="20% - Акцент2 6 2" xfId="20"/>
    <cellStyle name="20% - Акцент3 2" xfId="21"/>
    <cellStyle name="20% - Акцент3 2 2" xfId="22"/>
    <cellStyle name="20% - Акцент3 3" xfId="23"/>
    <cellStyle name="20% - Акцент3 3 2" xfId="24"/>
    <cellStyle name="20% - Акцент3 4" xfId="25"/>
    <cellStyle name="20% - Акцент3 4 2" xfId="26"/>
    <cellStyle name="20% - Акцент3 5" xfId="27"/>
    <cellStyle name="20% - Акцент3 5 2" xfId="28"/>
    <cellStyle name="20% - Акцент3 6" xfId="29"/>
    <cellStyle name="20% - Акцент3 6 2" xfId="30"/>
    <cellStyle name="20% - Акцент4 2" xfId="31"/>
    <cellStyle name="20% - Акцент4 2 2" xfId="32"/>
    <cellStyle name="20% - Акцент4 3" xfId="33"/>
    <cellStyle name="20% - Акцент4 3 2" xfId="34"/>
    <cellStyle name="20% - Акцент4 4" xfId="35"/>
    <cellStyle name="20% - Акцент4 4 2" xfId="36"/>
    <cellStyle name="20% - Акцент4 5" xfId="37"/>
    <cellStyle name="20% - Акцент4 5 2" xfId="38"/>
    <cellStyle name="20% - Акцент4 6" xfId="39"/>
    <cellStyle name="20% - Акцент4 6 2" xfId="40"/>
    <cellStyle name="20% - Акцент5 2" xfId="41"/>
    <cellStyle name="20% - Акцент5 2 2" xfId="42"/>
    <cellStyle name="20% - Акцент5 3" xfId="43"/>
    <cellStyle name="20% - Акцент5 3 2" xfId="44"/>
    <cellStyle name="20% - Акцент5 4" xfId="45"/>
    <cellStyle name="20% - Акцент5 4 2" xfId="46"/>
    <cellStyle name="20% - Акцент5 5" xfId="47"/>
    <cellStyle name="20% - Акцент5 5 2" xfId="48"/>
    <cellStyle name="20% - Акцент5 6" xfId="49"/>
    <cellStyle name="20% - Акцент5 6 2" xfId="50"/>
    <cellStyle name="20% - Акцент6 2" xfId="51"/>
    <cellStyle name="20% - Акцент6 2 2" xfId="52"/>
    <cellStyle name="20% - Акцент6 3" xfId="53"/>
    <cellStyle name="20% - Акцент6 3 2" xfId="54"/>
    <cellStyle name="20% - Акцент6 4" xfId="55"/>
    <cellStyle name="20% - Акцент6 4 2" xfId="56"/>
    <cellStyle name="20% - Акцент6 5" xfId="57"/>
    <cellStyle name="20% - Акцент6 5 2" xfId="58"/>
    <cellStyle name="20% - Акцент6 6" xfId="59"/>
    <cellStyle name="20% - Акцент6 6 2" xfId="60"/>
    <cellStyle name="40% - Акцент1 2" xfId="61"/>
    <cellStyle name="40% - Акцент1 2 2" xfId="62"/>
    <cellStyle name="40% - Акцент1 3" xfId="63"/>
    <cellStyle name="40% - Акцент1 3 2" xfId="64"/>
    <cellStyle name="40% - Акцент1 4" xfId="65"/>
    <cellStyle name="40% - Акцент1 4 2" xfId="66"/>
    <cellStyle name="40% - Акцент1 5" xfId="67"/>
    <cellStyle name="40% - Акцент1 5 2" xfId="68"/>
    <cellStyle name="40% - Акцент1 6" xfId="69"/>
    <cellStyle name="40% - Акцент1 6 2" xfId="70"/>
    <cellStyle name="40% - Акцент2 2" xfId="71"/>
    <cellStyle name="40% - Акцент2 2 2" xfId="72"/>
    <cellStyle name="40% - Акцент2 3" xfId="73"/>
    <cellStyle name="40% - Акцент2 3 2" xfId="74"/>
    <cellStyle name="40% - Акцент2 4" xfId="75"/>
    <cellStyle name="40% - Акцент2 4 2" xfId="76"/>
    <cellStyle name="40% - Акцент2 5" xfId="77"/>
    <cellStyle name="40% - Акцент2 5 2" xfId="78"/>
    <cellStyle name="40% - Акцент2 6" xfId="79"/>
    <cellStyle name="40% - Акцент2 6 2" xfId="80"/>
    <cellStyle name="40% - Акцент3 2" xfId="81"/>
    <cellStyle name="40% - Акцент3 2 2" xfId="82"/>
    <cellStyle name="40% - Акцент3 3" xfId="83"/>
    <cellStyle name="40% - Акцент3 3 2" xfId="84"/>
    <cellStyle name="40% - Акцент3 4" xfId="85"/>
    <cellStyle name="40% - Акцент3 4 2" xfId="86"/>
    <cellStyle name="40% - Акцент3 5" xfId="87"/>
    <cellStyle name="40% - Акцент3 5 2" xfId="88"/>
    <cellStyle name="40% - Акцент3 6" xfId="89"/>
    <cellStyle name="40% - Акцент3 6 2" xfId="90"/>
    <cellStyle name="40% - Акцент4 2" xfId="91"/>
    <cellStyle name="40% - Акцент4 2 2" xfId="92"/>
    <cellStyle name="40% - Акцент4 3" xfId="93"/>
    <cellStyle name="40% - Акцент4 3 2" xfId="94"/>
    <cellStyle name="40% - Акцент4 4" xfId="95"/>
    <cellStyle name="40% - Акцент4 4 2" xfId="96"/>
    <cellStyle name="40% - Акцент4 5" xfId="97"/>
    <cellStyle name="40% - Акцент4 5 2" xfId="98"/>
    <cellStyle name="40% - Акцент4 6" xfId="99"/>
    <cellStyle name="40% - Акцент4 6 2" xfId="100"/>
    <cellStyle name="40% - Акцент5 2" xfId="101"/>
    <cellStyle name="40% - Акцент5 2 2" xfId="102"/>
    <cellStyle name="40% - Акцент5 3" xfId="103"/>
    <cellStyle name="40% - Акцент5 3 2" xfId="104"/>
    <cellStyle name="40% - Акцент5 4" xfId="105"/>
    <cellStyle name="40% - Акцент5 4 2" xfId="106"/>
    <cellStyle name="40% - Акцент5 5" xfId="107"/>
    <cellStyle name="40% - Акцент5 5 2" xfId="108"/>
    <cellStyle name="40% - Акцент5 6" xfId="109"/>
    <cellStyle name="40% - Акцент5 6 2" xfId="110"/>
    <cellStyle name="40% - Акцент6 2" xfId="111"/>
    <cellStyle name="40% - Акцент6 2 2" xfId="112"/>
    <cellStyle name="40% - Акцент6 3" xfId="113"/>
    <cellStyle name="40% - Акцент6 3 2" xfId="114"/>
    <cellStyle name="40% - Акцент6 4" xfId="115"/>
    <cellStyle name="40% - Акцент6 4 2" xfId="116"/>
    <cellStyle name="40% - Акцент6 5" xfId="117"/>
    <cellStyle name="40% - Акцент6 5 2" xfId="118"/>
    <cellStyle name="40% - Акцент6 6" xfId="119"/>
    <cellStyle name="40% - Акцент6 6 2" xfId="120"/>
    <cellStyle name="60% - Акцент1 2" xfId="121"/>
    <cellStyle name="60% - Акцент1 3" xfId="122"/>
    <cellStyle name="60% - Акцент1 4" xfId="123"/>
    <cellStyle name="60% - Акцент1 5" xfId="124"/>
    <cellStyle name="60% - Акцент1 6" xfId="125"/>
    <cellStyle name="60% - Акцент2 2" xfId="126"/>
    <cellStyle name="60% - Акцент2 3" xfId="127"/>
    <cellStyle name="60% - Акцент2 4" xfId="128"/>
    <cellStyle name="60% - Акцент2 5" xfId="129"/>
    <cellStyle name="60% - Акцент2 6" xfId="130"/>
    <cellStyle name="60% - Акцент3 2" xfId="131"/>
    <cellStyle name="60% - Акцент3 3" xfId="132"/>
    <cellStyle name="60% - Акцент3 4" xfId="133"/>
    <cellStyle name="60% - Акцент3 5" xfId="134"/>
    <cellStyle name="60% - Акцент3 6" xfId="135"/>
    <cellStyle name="60% - Акцент4 2" xfId="136"/>
    <cellStyle name="60% - Акцент4 3" xfId="137"/>
    <cellStyle name="60% - Акцент4 4" xfId="138"/>
    <cellStyle name="60% - Акцент4 5" xfId="139"/>
    <cellStyle name="60% - Акцент4 6" xfId="140"/>
    <cellStyle name="60% - Акцент5 2" xfId="141"/>
    <cellStyle name="60% - Акцент5 3" xfId="142"/>
    <cellStyle name="60% - Акцент5 4" xfId="143"/>
    <cellStyle name="60% - Акцент5 5" xfId="144"/>
    <cellStyle name="60% - Акцент5 6" xfId="145"/>
    <cellStyle name="60% - Акцент6 2" xfId="146"/>
    <cellStyle name="60% - Акцент6 3" xfId="147"/>
    <cellStyle name="60% - Акцент6 4" xfId="148"/>
    <cellStyle name="60% - Акцент6 5" xfId="149"/>
    <cellStyle name="60% - Акцент6 6" xfId="150"/>
    <cellStyle name="Euro" xfId="151"/>
    <cellStyle name="Heading" xfId="152"/>
    <cellStyle name="Heading1" xfId="153"/>
    <cellStyle name="Result" xfId="154"/>
    <cellStyle name="Result2" xfId="155"/>
    <cellStyle name="Акцент1 2" xfId="156"/>
    <cellStyle name="Акцент1 3" xfId="157"/>
    <cellStyle name="Акцент1 4" xfId="158"/>
    <cellStyle name="Акцент1 5" xfId="159"/>
    <cellStyle name="Акцент1 6" xfId="160"/>
    <cellStyle name="Акцент2 2" xfId="161"/>
    <cellStyle name="Акцент2 3" xfId="162"/>
    <cellStyle name="Акцент2 4" xfId="163"/>
    <cellStyle name="Акцент2 5" xfId="164"/>
    <cellStyle name="Акцент2 6" xfId="165"/>
    <cellStyle name="Акцент3 2" xfId="166"/>
    <cellStyle name="Акцент3 3" xfId="167"/>
    <cellStyle name="Акцент3 4" xfId="168"/>
    <cellStyle name="Акцент3 5" xfId="169"/>
    <cellStyle name="Акцент3 6" xfId="170"/>
    <cellStyle name="Акцент4 2" xfId="171"/>
    <cellStyle name="Акцент4 3" xfId="172"/>
    <cellStyle name="Акцент4 4" xfId="173"/>
    <cellStyle name="Акцент4 5" xfId="174"/>
    <cellStyle name="Акцент4 6" xfId="175"/>
    <cellStyle name="Акцент5 2" xfId="176"/>
    <cellStyle name="Акцент5 3" xfId="177"/>
    <cellStyle name="Акцент5 4" xfId="178"/>
    <cellStyle name="Акцент5 5" xfId="179"/>
    <cellStyle name="Акцент5 6" xfId="180"/>
    <cellStyle name="Акцент6 2" xfId="181"/>
    <cellStyle name="Акцент6 3" xfId="182"/>
    <cellStyle name="Акцент6 4" xfId="183"/>
    <cellStyle name="Акцент6 5" xfId="184"/>
    <cellStyle name="Акцент6 6" xfId="185"/>
    <cellStyle name="Ввод  2" xfId="186"/>
    <cellStyle name="Ввод  2 2" xfId="187"/>
    <cellStyle name="Ввод  2 3" xfId="188"/>
    <cellStyle name="Ввод  3" xfId="189"/>
    <cellStyle name="Ввод  4" xfId="190"/>
    <cellStyle name="Ввод  5" xfId="191"/>
    <cellStyle name="Ввод  6" xfId="192"/>
    <cellStyle name="Вывод 2" xfId="193"/>
    <cellStyle name="Вывод 2 2" xfId="194"/>
    <cellStyle name="Вывод 2 3" xfId="195"/>
    <cellStyle name="Вывод 3" xfId="196"/>
    <cellStyle name="Вывод 4" xfId="197"/>
    <cellStyle name="Вывод 5" xfId="198"/>
    <cellStyle name="Вывод 6" xfId="199"/>
    <cellStyle name="Вычисление 2" xfId="200"/>
    <cellStyle name="Вычисление 2 2" xfId="201"/>
    <cellStyle name="Вычисление 2 3" xfId="202"/>
    <cellStyle name="Вычисление 3" xfId="203"/>
    <cellStyle name="Вычисление 4" xfId="204"/>
    <cellStyle name="Вычисление 5" xfId="205"/>
    <cellStyle name="Вычисление 6" xfId="206"/>
    <cellStyle name="Денежный 2" xfId="207"/>
    <cellStyle name="Денежный 2 2" xfId="208"/>
    <cellStyle name="Денежный 2 2 2" xfId="1797"/>
    <cellStyle name="Денежный 3" xfId="209"/>
    <cellStyle name="Заголовок 1 2" xfId="210"/>
    <cellStyle name="Заголовок 1 3" xfId="211"/>
    <cellStyle name="Заголовок 1 4" xfId="212"/>
    <cellStyle name="Заголовок 1 5" xfId="213"/>
    <cellStyle name="Заголовок 1 6" xfId="214"/>
    <cellStyle name="Заголовок 2 2" xfId="215"/>
    <cellStyle name="Заголовок 2 3" xfId="216"/>
    <cellStyle name="Заголовок 2 4" xfId="217"/>
    <cellStyle name="Заголовок 2 5" xfId="218"/>
    <cellStyle name="Заголовок 2 6" xfId="219"/>
    <cellStyle name="Заголовок 3 2" xfId="220"/>
    <cellStyle name="Заголовок 3 3" xfId="221"/>
    <cellStyle name="Заголовок 3 4" xfId="222"/>
    <cellStyle name="Заголовок 3 5" xfId="223"/>
    <cellStyle name="Заголовок 3 6" xfId="224"/>
    <cellStyle name="Заголовок 4 2" xfId="225"/>
    <cellStyle name="Заголовок 4 3" xfId="226"/>
    <cellStyle name="Заголовок 4 4" xfId="227"/>
    <cellStyle name="Заголовок 4 5" xfId="228"/>
    <cellStyle name="Заголовок 4 6" xfId="229"/>
    <cellStyle name="Заголовок сводной таблицы" xfId="230"/>
    <cellStyle name="Значение сводной таблицы" xfId="231"/>
    <cellStyle name="Итог 2" xfId="232"/>
    <cellStyle name="Итог 2 2" xfId="233"/>
    <cellStyle name="Итог 2 3" xfId="234"/>
    <cellStyle name="Итог 3" xfId="235"/>
    <cellStyle name="Итог 4" xfId="236"/>
    <cellStyle name="Итог 5" xfId="237"/>
    <cellStyle name="Итог 6" xfId="238"/>
    <cellStyle name="Категория сводной таблицы" xfId="239"/>
    <cellStyle name="Контрольная ячейка 2" xfId="240"/>
    <cellStyle name="Контрольная ячейка 3" xfId="241"/>
    <cellStyle name="Контрольная ячейка 4" xfId="242"/>
    <cellStyle name="Контрольная ячейка 5" xfId="243"/>
    <cellStyle name="Контрольная ячейка 6" xfId="244"/>
    <cellStyle name="Название 2" xfId="245"/>
    <cellStyle name="Название 3" xfId="246"/>
    <cellStyle name="Название 4" xfId="247"/>
    <cellStyle name="Название 5" xfId="248"/>
    <cellStyle name="Название 6" xfId="249"/>
    <cellStyle name="Нейтральный 2" xfId="250"/>
    <cellStyle name="Нейтральный 3" xfId="251"/>
    <cellStyle name="Нейтральный 4" xfId="252"/>
    <cellStyle name="Нейтральный 5" xfId="253"/>
    <cellStyle name="Нейтральный 6" xfId="254"/>
    <cellStyle name="Обычный" xfId="0" builtinId="0"/>
    <cellStyle name="Обычный 10" xfId="255"/>
    <cellStyle name="Обычный 10 2" xfId="256"/>
    <cellStyle name="Обычный 10 3" xfId="257"/>
    <cellStyle name="Обычный 10 4" xfId="258"/>
    <cellStyle name="Обычный 10 5" xfId="259"/>
    <cellStyle name="Обычный 10 6" xfId="260"/>
    <cellStyle name="Обычный 100" xfId="261"/>
    <cellStyle name="Обычный 100 2" xfId="262"/>
    <cellStyle name="Обычный 101" xfId="263"/>
    <cellStyle name="Обычный 101 2" xfId="264"/>
    <cellStyle name="Обычный 102" xfId="265"/>
    <cellStyle name="Обычный 102 2" xfId="266"/>
    <cellStyle name="Обычный 103" xfId="267"/>
    <cellStyle name="Обычный 103 2" xfId="268"/>
    <cellStyle name="Обычный 104" xfId="269"/>
    <cellStyle name="Обычный 104 2" xfId="270"/>
    <cellStyle name="Обычный 105" xfId="271"/>
    <cellStyle name="Обычный 105 2" xfId="272"/>
    <cellStyle name="Обычный 106" xfId="273"/>
    <cellStyle name="Обычный 106 2" xfId="274"/>
    <cellStyle name="Обычный 107" xfId="275"/>
    <cellStyle name="Обычный 107 2" xfId="276"/>
    <cellStyle name="Обычный 108" xfId="277"/>
    <cellStyle name="Обычный 108 2" xfId="278"/>
    <cellStyle name="Обычный 109" xfId="279"/>
    <cellStyle name="Обычный 109 2" xfId="280"/>
    <cellStyle name="Обычный 11" xfId="281"/>
    <cellStyle name="Обычный 11 2" xfId="282"/>
    <cellStyle name="Обычный 11 3" xfId="283"/>
    <cellStyle name="Обычный 11 4" xfId="284"/>
    <cellStyle name="Обычный 11 5" xfId="285"/>
    <cellStyle name="Обычный 11 6" xfId="286"/>
    <cellStyle name="Обычный 110" xfId="287"/>
    <cellStyle name="Обычный 111" xfId="288"/>
    <cellStyle name="Обычный 112" xfId="289"/>
    <cellStyle name="Обычный 113" xfId="290"/>
    <cellStyle name="Обычный 114" xfId="291"/>
    <cellStyle name="Обычный 115" xfId="292"/>
    <cellStyle name="Обычный 116" xfId="293"/>
    <cellStyle name="Обычный 116 2" xfId="1798"/>
    <cellStyle name="Обычный 117" xfId="294"/>
    <cellStyle name="Обычный 117 2" xfId="1799"/>
    <cellStyle name="Обычный 118" xfId="295"/>
    <cellStyle name="Обычный 118 2" xfId="1800"/>
    <cellStyle name="Обычный 119" xfId="296"/>
    <cellStyle name="Обычный 119 2" xfId="1801"/>
    <cellStyle name="Обычный 12" xfId="297"/>
    <cellStyle name="Обычный 12 2" xfId="298"/>
    <cellStyle name="Обычный 12 3" xfId="299"/>
    <cellStyle name="Обычный 12 4" xfId="300"/>
    <cellStyle name="Обычный 12 5" xfId="301"/>
    <cellStyle name="Обычный 12 6" xfId="302"/>
    <cellStyle name="Обычный 120" xfId="303"/>
    <cellStyle name="Обычный 120 2" xfId="1802"/>
    <cellStyle name="Обычный 121" xfId="304"/>
    <cellStyle name="Обычный 121 2" xfId="1803"/>
    <cellStyle name="Обычный 122" xfId="305"/>
    <cellStyle name="Обычный 122 2" xfId="1804"/>
    <cellStyle name="Обычный 123" xfId="306"/>
    <cellStyle name="Обычный 123 2" xfId="1805"/>
    <cellStyle name="Обычный 124" xfId="307"/>
    <cellStyle name="Обычный 124 2" xfId="1806"/>
    <cellStyle name="Обычный 125" xfId="308"/>
    <cellStyle name="Обычный 125 2" xfId="309"/>
    <cellStyle name="Обычный 126" xfId="310"/>
    <cellStyle name="Обычный 127" xfId="1796"/>
    <cellStyle name="Обычный 128" xfId="1795"/>
    <cellStyle name="Обычный 13" xfId="311"/>
    <cellStyle name="Обычный 13 2" xfId="312"/>
    <cellStyle name="Обычный 13 3" xfId="313"/>
    <cellStyle name="Обычный 13 4" xfId="314"/>
    <cellStyle name="Обычный 13 5" xfId="315"/>
    <cellStyle name="Обычный 13 6" xfId="316"/>
    <cellStyle name="Обычный 14" xfId="317"/>
    <cellStyle name="Обычный 14 2" xfId="318"/>
    <cellStyle name="Обычный 14 3" xfId="319"/>
    <cellStyle name="Обычный 14 4" xfId="320"/>
    <cellStyle name="Обычный 14 5" xfId="321"/>
    <cellStyle name="Обычный 14 6" xfId="322"/>
    <cellStyle name="Обычный 15" xfId="323"/>
    <cellStyle name="Обычный 15 2" xfId="324"/>
    <cellStyle name="Обычный 15 3" xfId="325"/>
    <cellStyle name="Обычный 15 4" xfId="326"/>
    <cellStyle name="Обычный 15 5" xfId="327"/>
    <cellStyle name="Обычный 15 6" xfId="328"/>
    <cellStyle name="Обычный 16" xfId="329"/>
    <cellStyle name="Обычный 16 2" xfId="330"/>
    <cellStyle name="Обычный 16 3" xfId="331"/>
    <cellStyle name="Обычный 16 4" xfId="332"/>
    <cellStyle name="Обычный 16 5" xfId="333"/>
    <cellStyle name="Обычный 16 6" xfId="334"/>
    <cellStyle name="Обычный 17" xfId="335"/>
    <cellStyle name="Обычный 17 2" xfId="336"/>
    <cellStyle name="Обычный 17 3" xfId="337"/>
    <cellStyle name="Обычный 17 4" xfId="338"/>
    <cellStyle name="Обычный 17 5" xfId="339"/>
    <cellStyle name="Обычный 17 6" xfId="340"/>
    <cellStyle name="Обычный 18" xfId="341"/>
    <cellStyle name="Обычный 18 2" xfId="342"/>
    <cellStyle name="Обычный 18 2 2" xfId="343"/>
    <cellStyle name="Обычный 18 2 2 2" xfId="344"/>
    <cellStyle name="Обычный 18 2 2 3" xfId="345"/>
    <cellStyle name="Обычный 18 2 2 4" xfId="346"/>
    <cellStyle name="Обычный 18 2 2 5" xfId="347"/>
    <cellStyle name="Обычный 18 2 2 6" xfId="348"/>
    <cellStyle name="Обычный 18 2 3" xfId="349"/>
    <cellStyle name="Обычный 18 2 4" xfId="350"/>
    <cellStyle name="Обычный 18 2 5" xfId="351"/>
    <cellStyle name="Обычный 18 2 6" xfId="352"/>
    <cellStyle name="Обычный 18 2 7" xfId="353"/>
    <cellStyle name="Обычный 18 2_отчет по работам" xfId="354"/>
    <cellStyle name="Обычный 18 3" xfId="355"/>
    <cellStyle name="Обычный 18 4" xfId="356"/>
    <cellStyle name="Обычный 18 5" xfId="357"/>
    <cellStyle name="Обычный 18 6" xfId="358"/>
    <cellStyle name="Обычный 18 7" xfId="359"/>
    <cellStyle name="Обычный 18_отчет по работам" xfId="360"/>
    <cellStyle name="Обычный 19" xfId="361"/>
    <cellStyle name="Обычный 19 2" xfId="362"/>
    <cellStyle name="Обычный 19 2 2" xfId="363"/>
    <cellStyle name="Обычный 19 3" xfId="364"/>
    <cellStyle name="Обычный 19 3 2" xfId="365"/>
    <cellStyle name="Обычный 19 4" xfId="366"/>
    <cellStyle name="Обычный 19 4 2" xfId="367"/>
    <cellStyle name="Обычный 19 5" xfId="368"/>
    <cellStyle name="Обычный 19 5 2" xfId="369"/>
    <cellStyle name="Обычный 19 6" xfId="370"/>
    <cellStyle name="Обычный 19 6 2" xfId="371"/>
    <cellStyle name="Обычный 19 7" xfId="372"/>
    <cellStyle name="Обычный 2" xfId="373"/>
    <cellStyle name="Обычный 2 10" xfId="374"/>
    <cellStyle name="Обычный 2 10 2" xfId="1807"/>
    <cellStyle name="Обычный 2 100" xfId="375"/>
    <cellStyle name="Обычный 2 101" xfId="376"/>
    <cellStyle name="Обычный 2 102" xfId="377"/>
    <cellStyle name="Обычный 2 103" xfId="378"/>
    <cellStyle name="Обычный 2 104" xfId="379"/>
    <cellStyle name="Обычный 2 105" xfId="380"/>
    <cellStyle name="Обычный 2 106" xfId="381"/>
    <cellStyle name="Обычный 2 107" xfId="382"/>
    <cellStyle name="Обычный 2 108" xfId="383"/>
    <cellStyle name="Обычный 2 109" xfId="384"/>
    <cellStyle name="Обычный 2 11" xfId="385"/>
    <cellStyle name="Обычный 2 11 2" xfId="1808"/>
    <cellStyle name="Обычный 2 110" xfId="386"/>
    <cellStyle name="Обычный 2 111" xfId="387"/>
    <cellStyle name="Обычный 2 12" xfId="388"/>
    <cellStyle name="Обычный 2 13" xfId="389"/>
    <cellStyle name="Обычный 2 14" xfId="390"/>
    <cellStyle name="Обычный 2 15" xfId="391"/>
    <cellStyle name="Обычный 2 16" xfId="392"/>
    <cellStyle name="Обычный 2 17" xfId="393"/>
    <cellStyle name="Обычный 2 18" xfId="394"/>
    <cellStyle name="Обычный 2 19" xfId="395"/>
    <cellStyle name="Обычный 2 2" xfId="396"/>
    <cellStyle name="Обычный 2 2 10" xfId="397"/>
    <cellStyle name="Обычный 2 2 10 2" xfId="398"/>
    <cellStyle name="Обычный 2 2 11" xfId="399"/>
    <cellStyle name="Обычный 2 2 11 2" xfId="400"/>
    <cellStyle name="Обычный 2 2 12" xfId="401"/>
    <cellStyle name="Обычный 2 2 12 2" xfId="402"/>
    <cellStyle name="Обычный 2 2 13" xfId="403"/>
    <cellStyle name="Обычный 2 2 13 2" xfId="404"/>
    <cellStyle name="Обычный 2 2 14" xfId="405"/>
    <cellStyle name="Обычный 2 2 14 2" xfId="406"/>
    <cellStyle name="Обычный 2 2 15" xfId="407"/>
    <cellStyle name="Обычный 2 2 15 2" xfId="408"/>
    <cellStyle name="Обычный 2 2 16" xfId="409"/>
    <cellStyle name="Обычный 2 2 16 2" xfId="410"/>
    <cellStyle name="Обычный 2 2 17" xfId="411"/>
    <cellStyle name="Обычный 2 2 17 2" xfId="412"/>
    <cellStyle name="Обычный 2 2 18" xfId="413"/>
    <cellStyle name="Обычный 2 2 18 2" xfId="414"/>
    <cellStyle name="Обычный 2 2 19" xfId="415"/>
    <cellStyle name="Обычный 2 2 19 2" xfId="416"/>
    <cellStyle name="Обычный 2 2 2" xfId="417"/>
    <cellStyle name="Обычный 2 2 2 10" xfId="418"/>
    <cellStyle name="Обычный 2 2 2 11" xfId="419"/>
    <cellStyle name="Обычный 2 2 2 12" xfId="420"/>
    <cellStyle name="Обычный 2 2 2 13" xfId="421"/>
    <cellStyle name="Обычный 2 2 2 14" xfId="422"/>
    <cellStyle name="Обычный 2 2 2 15" xfId="423"/>
    <cellStyle name="Обычный 2 2 2 16" xfId="424"/>
    <cellStyle name="Обычный 2 2 2 17" xfId="425"/>
    <cellStyle name="Обычный 2 2 2 18" xfId="426"/>
    <cellStyle name="Обычный 2 2 2 19" xfId="427"/>
    <cellStyle name="Обычный 2 2 2 2" xfId="428"/>
    <cellStyle name="Обычный 2 2 2 2 2" xfId="429"/>
    <cellStyle name="Обычный 2 2 2 2 2 2" xfId="430"/>
    <cellStyle name="Обычный 2 2 2 2 2 3" xfId="431"/>
    <cellStyle name="Обычный 2 2 2 20" xfId="432"/>
    <cellStyle name="Обычный 2 2 2 21" xfId="433"/>
    <cellStyle name="Обычный 2 2 2 22" xfId="434"/>
    <cellStyle name="Обычный 2 2 2 23" xfId="435"/>
    <cellStyle name="Обычный 2 2 2 24" xfId="436"/>
    <cellStyle name="Обычный 2 2 2 25" xfId="437"/>
    <cellStyle name="Обычный 2 2 2 26" xfId="438"/>
    <cellStyle name="Обычный 2 2 2 27" xfId="439"/>
    <cellStyle name="Обычный 2 2 2 28" xfId="440"/>
    <cellStyle name="Обычный 2 2 2 29" xfId="441"/>
    <cellStyle name="Обычный 2 2 2 3" xfId="442"/>
    <cellStyle name="Обычный 2 2 2 30" xfId="443"/>
    <cellStyle name="Обычный 2 2 2 31" xfId="444"/>
    <cellStyle name="Обычный 2 2 2 32" xfId="445"/>
    <cellStyle name="Обычный 2 2 2 33" xfId="446"/>
    <cellStyle name="Обычный 2 2 2 34" xfId="447"/>
    <cellStyle name="Обычный 2 2 2 35" xfId="448"/>
    <cellStyle name="Обычный 2 2 2 36" xfId="449"/>
    <cellStyle name="Обычный 2 2 2 37" xfId="450"/>
    <cellStyle name="Обычный 2 2 2 38" xfId="451"/>
    <cellStyle name="Обычный 2 2 2 39" xfId="452"/>
    <cellStyle name="Обычный 2 2 2 4" xfId="453"/>
    <cellStyle name="Обычный 2 2 2 40" xfId="454"/>
    <cellStyle name="Обычный 2 2 2 41" xfId="455"/>
    <cellStyle name="Обычный 2 2 2 42" xfId="456"/>
    <cellStyle name="Обычный 2 2 2 43" xfId="457"/>
    <cellStyle name="Обычный 2 2 2 44" xfId="458"/>
    <cellStyle name="Обычный 2 2 2 45" xfId="459"/>
    <cellStyle name="Обычный 2 2 2 46" xfId="460"/>
    <cellStyle name="Обычный 2 2 2 47" xfId="461"/>
    <cellStyle name="Обычный 2 2 2 48" xfId="462"/>
    <cellStyle name="Обычный 2 2 2 49" xfId="463"/>
    <cellStyle name="Обычный 2 2 2 5" xfId="464"/>
    <cellStyle name="Обычный 2 2 2 50" xfId="465"/>
    <cellStyle name="Обычный 2 2 2 51" xfId="466"/>
    <cellStyle name="Обычный 2 2 2 52" xfId="467"/>
    <cellStyle name="Обычный 2 2 2 53" xfId="468"/>
    <cellStyle name="Обычный 2 2 2 54" xfId="469"/>
    <cellStyle name="Обычный 2 2 2 55" xfId="470"/>
    <cellStyle name="Обычный 2 2 2 56" xfId="471"/>
    <cellStyle name="Обычный 2 2 2 57" xfId="472"/>
    <cellStyle name="Обычный 2 2 2 58" xfId="473"/>
    <cellStyle name="Обычный 2 2 2 59" xfId="474"/>
    <cellStyle name="Обычный 2 2 2 6" xfId="475"/>
    <cellStyle name="Обычный 2 2 2 60" xfId="476"/>
    <cellStyle name="Обычный 2 2 2 61" xfId="477"/>
    <cellStyle name="Обычный 2 2 2 62" xfId="478"/>
    <cellStyle name="Обычный 2 2 2 63" xfId="479"/>
    <cellStyle name="Обычный 2 2 2 64" xfId="480"/>
    <cellStyle name="Обычный 2 2 2 65" xfId="481"/>
    <cellStyle name="Обычный 2 2 2 66" xfId="482"/>
    <cellStyle name="Обычный 2 2 2 67" xfId="483"/>
    <cellStyle name="Обычный 2 2 2 68" xfId="484"/>
    <cellStyle name="Обычный 2 2 2 69" xfId="485"/>
    <cellStyle name="Обычный 2 2 2 7" xfId="486"/>
    <cellStyle name="Обычный 2 2 2 70" xfId="487"/>
    <cellStyle name="Обычный 2 2 2 71" xfId="488"/>
    <cellStyle name="Обычный 2 2 2 72" xfId="489"/>
    <cellStyle name="Обычный 2 2 2 73" xfId="490"/>
    <cellStyle name="Обычный 2 2 2 74" xfId="491"/>
    <cellStyle name="Обычный 2 2 2 75" xfId="492"/>
    <cellStyle name="Обычный 2 2 2 76" xfId="493"/>
    <cellStyle name="Обычный 2 2 2 77" xfId="494"/>
    <cellStyle name="Обычный 2 2 2 78" xfId="495"/>
    <cellStyle name="Обычный 2 2 2 79" xfId="496"/>
    <cellStyle name="Обычный 2 2 2 8" xfId="497"/>
    <cellStyle name="Обычный 2 2 2 9" xfId="498"/>
    <cellStyle name="Обычный 2 2 20" xfId="499"/>
    <cellStyle name="Обычный 2 2 20 2" xfId="500"/>
    <cellStyle name="Обычный 2 2 21" xfId="501"/>
    <cellStyle name="Обычный 2 2 21 2" xfId="502"/>
    <cellStyle name="Обычный 2 2 22" xfId="503"/>
    <cellStyle name="Обычный 2 2 22 2" xfId="504"/>
    <cellStyle name="Обычный 2 2 23" xfId="505"/>
    <cellStyle name="Обычный 2 2 23 2" xfId="506"/>
    <cellStyle name="Обычный 2 2 24" xfId="507"/>
    <cellStyle name="Обычный 2 2 24 2" xfId="508"/>
    <cellStyle name="Обычный 2 2 25" xfId="509"/>
    <cellStyle name="Обычный 2 2 25 2" xfId="510"/>
    <cellStyle name="Обычный 2 2 26" xfId="511"/>
    <cellStyle name="Обычный 2 2 26 2" xfId="512"/>
    <cellStyle name="Обычный 2 2 27" xfId="513"/>
    <cellStyle name="Обычный 2 2 27 2" xfId="514"/>
    <cellStyle name="Обычный 2 2 28" xfId="515"/>
    <cellStyle name="Обычный 2 2 28 2" xfId="516"/>
    <cellStyle name="Обычный 2 2 29" xfId="517"/>
    <cellStyle name="Обычный 2 2 29 2" xfId="518"/>
    <cellStyle name="Обычный 2 2 3" xfId="519"/>
    <cellStyle name="Обычный 2 2 3 2" xfId="520"/>
    <cellStyle name="Обычный 2 2 30" xfId="521"/>
    <cellStyle name="Обычный 2 2 30 2" xfId="522"/>
    <cellStyle name="Обычный 2 2 31" xfId="523"/>
    <cellStyle name="Обычный 2 2 31 2" xfId="524"/>
    <cellStyle name="Обычный 2 2 32" xfId="525"/>
    <cellStyle name="Обычный 2 2 32 2" xfId="526"/>
    <cellStyle name="Обычный 2 2 33" xfId="527"/>
    <cellStyle name="Обычный 2 2 33 2" xfId="528"/>
    <cellStyle name="Обычный 2 2 34" xfId="529"/>
    <cellStyle name="Обычный 2 2 34 2" xfId="530"/>
    <cellStyle name="Обычный 2 2 35" xfId="531"/>
    <cellStyle name="Обычный 2 2 35 2" xfId="532"/>
    <cellStyle name="Обычный 2 2 36" xfId="533"/>
    <cellStyle name="Обычный 2 2 36 2" xfId="534"/>
    <cellStyle name="Обычный 2 2 37" xfId="535"/>
    <cellStyle name="Обычный 2 2 37 2" xfId="536"/>
    <cellStyle name="Обычный 2 2 38" xfId="537"/>
    <cellStyle name="Обычный 2 2 38 2" xfId="538"/>
    <cellStyle name="Обычный 2 2 39" xfId="539"/>
    <cellStyle name="Обычный 2 2 39 2" xfId="540"/>
    <cellStyle name="Обычный 2 2 4" xfId="541"/>
    <cellStyle name="Обычный 2 2 4 2" xfId="542"/>
    <cellStyle name="Обычный 2 2 40" xfId="543"/>
    <cellStyle name="Обычный 2 2 40 2" xfId="544"/>
    <cellStyle name="Обычный 2 2 41" xfId="545"/>
    <cellStyle name="Обычный 2 2 41 2" xfId="546"/>
    <cellStyle name="Обычный 2 2 42" xfId="547"/>
    <cellStyle name="Обычный 2 2 42 2" xfId="548"/>
    <cellStyle name="Обычный 2 2 43" xfId="549"/>
    <cellStyle name="Обычный 2 2 43 2" xfId="550"/>
    <cellStyle name="Обычный 2 2 44" xfId="551"/>
    <cellStyle name="Обычный 2 2 44 2" xfId="552"/>
    <cellStyle name="Обычный 2 2 45" xfId="553"/>
    <cellStyle name="Обычный 2 2 45 2" xfId="554"/>
    <cellStyle name="Обычный 2 2 46" xfId="555"/>
    <cellStyle name="Обычный 2 2 46 2" xfId="556"/>
    <cellStyle name="Обычный 2 2 47" xfId="557"/>
    <cellStyle name="Обычный 2 2 47 2" xfId="558"/>
    <cellStyle name="Обычный 2 2 48" xfId="559"/>
    <cellStyle name="Обычный 2 2 48 2" xfId="560"/>
    <cellStyle name="Обычный 2 2 49" xfId="561"/>
    <cellStyle name="Обычный 2 2 49 2" xfId="562"/>
    <cellStyle name="Обычный 2 2 5" xfId="563"/>
    <cellStyle name="Обычный 2 2 5 2" xfId="564"/>
    <cellStyle name="Обычный 2 2 50" xfId="565"/>
    <cellStyle name="Обычный 2 2 50 2" xfId="566"/>
    <cellStyle name="Обычный 2 2 51" xfId="567"/>
    <cellStyle name="Обычный 2 2 51 2" xfId="568"/>
    <cellStyle name="Обычный 2 2 52" xfId="569"/>
    <cellStyle name="Обычный 2 2 52 2" xfId="570"/>
    <cellStyle name="Обычный 2 2 53" xfId="571"/>
    <cellStyle name="Обычный 2 2 53 2" xfId="572"/>
    <cellStyle name="Обычный 2 2 54" xfId="573"/>
    <cellStyle name="Обычный 2 2 54 2" xfId="574"/>
    <cellStyle name="Обычный 2 2 55" xfId="575"/>
    <cellStyle name="Обычный 2 2 55 2" xfId="576"/>
    <cellStyle name="Обычный 2 2 56" xfId="577"/>
    <cellStyle name="Обычный 2 2 56 2" xfId="578"/>
    <cellStyle name="Обычный 2 2 57" xfId="579"/>
    <cellStyle name="Обычный 2 2 57 2" xfId="580"/>
    <cellStyle name="Обычный 2 2 58" xfId="581"/>
    <cellStyle name="Обычный 2 2 58 2" xfId="582"/>
    <cellStyle name="Обычный 2 2 59" xfId="583"/>
    <cellStyle name="Обычный 2 2 59 2" xfId="584"/>
    <cellStyle name="Обычный 2 2 6" xfId="585"/>
    <cellStyle name="Обычный 2 2 6 2" xfId="586"/>
    <cellStyle name="Обычный 2 2 60" xfId="587"/>
    <cellStyle name="Обычный 2 2 60 2" xfId="588"/>
    <cellStyle name="Обычный 2 2 61" xfId="589"/>
    <cellStyle name="Обычный 2 2 61 2" xfId="590"/>
    <cellStyle name="Обычный 2 2 62" xfId="591"/>
    <cellStyle name="Обычный 2 2 62 2" xfId="592"/>
    <cellStyle name="Обычный 2 2 63" xfId="593"/>
    <cellStyle name="Обычный 2 2 63 2" xfId="594"/>
    <cellStyle name="Обычный 2 2 64" xfId="595"/>
    <cellStyle name="Обычный 2 2 64 2" xfId="596"/>
    <cellStyle name="Обычный 2 2 65" xfId="597"/>
    <cellStyle name="Обычный 2 2 65 2" xfId="598"/>
    <cellStyle name="Обычный 2 2 66" xfId="599"/>
    <cellStyle name="Обычный 2 2 66 2" xfId="600"/>
    <cellStyle name="Обычный 2 2 67" xfId="601"/>
    <cellStyle name="Обычный 2 2 67 2" xfId="602"/>
    <cellStyle name="Обычный 2 2 68" xfId="603"/>
    <cellStyle name="Обычный 2 2 68 2" xfId="604"/>
    <cellStyle name="Обычный 2 2 69" xfId="605"/>
    <cellStyle name="Обычный 2 2 69 2" xfId="606"/>
    <cellStyle name="Обычный 2 2 7" xfId="607"/>
    <cellStyle name="Обычный 2 2 70" xfId="608"/>
    <cellStyle name="Обычный 2 2 70 2" xfId="609"/>
    <cellStyle name="Обычный 2 2 71" xfId="610"/>
    <cellStyle name="Обычный 2 2 71 2" xfId="611"/>
    <cellStyle name="Обычный 2 2 72" xfId="612"/>
    <cellStyle name="Обычный 2 2 72 2" xfId="613"/>
    <cellStyle name="Обычный 2 2 73" xfId="614"/>
    <cellStyle name="Обычный 2 2 73 2" xfId="615"/>
    <cellStyle name="Обычный 2 2 74" xfId="616"/>
    <cellStyle name="Обычный 2 2 74 2" xfId="617"/>
    <cellStyle name="Обычный 2 2 75" xfId="618"/>
    <cellStyle name="Обычный 2 2 75 2" xfId="619"/>
    <cellStyle name="Обычный 2 2 76" xfId="620"/>
    <cellStyle name="Обычный 2 2 76 2" xfId="621"/>
    <cellStyle name="Обычный 2 2 77" xfId="622"/>
    <cellStyle name="Обычный 2 2 77 2" xfId="623"/>
    <cellStyle name="Обычный 2 2 78" xfId="624"/>
    <cellStyle name="Обычный 2 2 78 2" xfId="625"/>
    <cellStyle name="Обычный 2 2 79" xfId="626"/>
    <cellStyle name="Обычный 2 2 79 2" xfId="627"/>
    <cellStyle name="Обычный 2 2 8" xfId="628"/>
    <cellStyle name="Обычный 2 2 80" xfId="629"/>
    <cellStyle name="Обычный 2 2 80 2" xfId="630"/>
    <cellStyle name="Обычный 2 2 81" xfId="631"/>
    <cellStyle name="Обычный 2 2 81 2" xfId="632"/>
    <cellStyle name="Обычный 2 2 82" xfId="633"/>
    <cellStyle name="Обычный 2 2 82 2" xfId="634"/>
    <cellStyle name="Обычный 2 2 83" xfId="635"/>
    <cellStyle name="Обычный 2 2 83 2" xfId="636"/>
    <cellStyle name="Обычный 2 2 84" xfId="637"/>
    <cellStyle name="Обычный 2 2 84 2" xfId="638"/>
    <cellStyle name="Обычный 2 2 85" xfId="639"/>
    <cellStyle name="Обычный 2 2 85 2" xfId="640"/>
    <cellStyle name="Обычный 2 2 86" xfId="641"/>
    <cellStyle name="Обычный 2 2 9" xfId="642"/>
    <cellStyle name="Обычный 2 20" xfId="643"/>
    <cellStyle name="Обычный 2 21" xfId="644"/>
    <cellStyle name="Обычный 2 22" xfId="645"/>
    <cellStyle name="Обычный 2 23" xfId="646"/>
    <cellStyle name="Обычный 2 24" xfId="647"/>
    <cellStyle name="Обычный 2 25" xfId="648"/>
    <cellStyle name="Обычный 2 26" xfId="649"/>
    <cellStyle name="Обычный 2 27" xfId="650"/>
    <cellStyle name="Обычный 2 28" xfId="651"/>
    <cellStyle name="Обычный 2 29" xfId="652"/>
    <cellStyle name="Обычный 2 29 10" xfId="653"/>
    <cellStyle name="Обычный 2 29 10 2" xfId="654"/>
    <cellStyle name="Обычный 2 29 11" xfId="655"/>
    <cellStyle name="Обычный 2 29 11 2" xfId="656"/>
    <cellStyle name="Обычный 2 29 12" xfId="657"/>
    <cellStyle name="Обычный 2 29 12 2" xfId="658"/>
    <cellStyle name="Обычный 2 29 13" xfId="659"/>
    <cellStyle name="Обычный 2 29 13 2" xfId="660"/>
    <cellStyle name="Обычный 2 29 14" xfId="661"/>
    <cellStyle name="Обычный 2 29 14 2" xfId="662"/>
    <cellStyle name="Обычный 2 29 15" xfId="663"/>
    <cellStyle name="Обычный 2 29 15 2" xfId="664"/>
    <cellStyle name="Обычный 2 29 16" xfId="665"/>
    <cellStyle name="Обычный 2 29 16 2" xfId="666"/>
    <cellStyle name="Обычный 2 29 17" xfId="667"/>
    <cellStyle name="Обычный 2 29 17 2" xfId="668"/>
    <cellStyle name="Обычный 2 29 18" xfId="669"/>
    <cellStyle name="Обычный 2 29 18 2" xfId="670"/>
    <cellStyle name="Обычный 2 29 19" xfId="671"/>
    <cellStyle name="Обычный 2 29 19 2" xfId="672"/>
    <cellStyle name="Обычный 2 29 2" xfId="673"/>
    <cellStyle name="Обычный 2 29 2 2" xfId="674"/>
    <cellStyle name="Обычный 2 29 20" xfId="675"/>
    <cellStyle name="Обычный 2 29 20 2" xfId="676"/>
    <cellStyle name="Обычный 2 29 21" xfId="677"/>
    <cellStyle name="Обычный 2 29 21 2" xfId="678"/>
    <cellStyle name="Обычный 2 29 22" xfId="679"/>
    <cellStyle name="Обычный 2 29 22 2" xfId="680"/>
    <cellStyle name="Обычный 2 29 23" xfId="681"/>
    <cellStyle name="Обычный 2 29 23 2" xfId="682"/>
    <cellStyle name="Обычный 2 29 24" xfId="683"/>
    <cellStyle name="Обычный 2 29 24 2" xfId="684"/>
    <cellStyle name="Обычный 2 29 25" xfId="685"/>
    <cellStyle name="Обычный 2 29 25 2" xfId="686"/>
    <cellStyle name="Обычный 2 29 26" xfId="687"/>
    <cellStyle name="Обычный 2 29 26 2" xfId="688"/>
    <cellStyle name="Обычный 2 29 27" xfId="689"/>
    <cellStyle name="Обычный 2 29 27 2" xfId="690"/>
    <cellStyle name="Обычный 2 29 28" xfId="691"/>
    <cellStyle name="Обычный 2 29 28 2" xfId="692"/>
    <cellStyle name="Обычный 2 29 29" xfId="693"/>
    <cellStyle name="Обычный 2 29 29 2" xfId="694"/>
    <cellStyle name="Обычный 2 29 3" xfId="695"/>
    <cellStyle name="Обычный 2 29 3 2" xfId="696"/>
    <cellStyle name="Обычный 2 29 30" xfId="697"/>
    <cellStyle name="Обычный 2 29 30 2" xfId="698"/>
    <cellStyle name="Обычный 2 29 31" xfId="699"/>
    <cellStyle name="Обычный 2 29 31 2" xfId="700"/>
    <cellStyle name="Обычный 2 29 32" xfId="701"/>
    <cellStyle name="Обычный 2 29 32 2" xfId="702"/>
    <cellStyle name="Обычный 2 29 33" xfId="703"/>
    <cellStyle name="Обычный 2 29 33 2" xfId="704"/>
    <cellStyle name="Обычный 2 29 34" xfId="705"/>
    <cellStyle name="Обычный 2 29 34 2" xfId="706"/>
    <cellStyle name="Обычный 2 29 35" xfId="707"/>
    <cellStyle name="Обычный 2 29 35 2" xfId="708"/>
    <cellStyle name="Обычный 2 29 36" xfId="709"/>
    <cellStyle name="Обычный 2 29 36 2" xfId="710"/>
    <cellStyle name="Обычный 2 29 37" xfId="711"/>
    <cellStyle name="Обычный 2 29 37 2" xfId="712"/>
    <cellStyle name="Обычный 2 29 38" xfId="713"/>
    <cellStyle name="Обычный 2 29 38 2" xfId="714"/>
    <cellStyle name="Обычный 2 29 39" xfId="715"/>
    <cellStyle name="Обычный 2 29 39 2" xfId="716"/>
    <cellStyle name="Обычный 2 29 4" xfId="717"/>
    <cellStyle name="Обычный 2 29 4 2" xfId="718"/>
    <cellStyle name="Обычный 2 29 40" xfId="719"/>
    <cellStyle name="Обычный 2 29 40 2" xfId="720"/>
    <cellStyle name="Обычный 2 29 41" xfId="721"/>
    <cellStyle name="Обычный 2 29 41 2" xfId="722"/>
    <cellStyle name="Обычный 2 29 42" xfId="723"/>
    <cellStyle name="Обычный 2 29 42 2" xfId="724"/>
    <cellStyle name="Обычный 2 29 43" xfId="725"/>
    <cellStyle name="Обычный 2 29 43 2" xfId="726"/>
    <cellStyle name="Обычный 2 29 44" xfId="727"/>
    <cellStyle name="Обычный 2 29 44 2" xfId="728"/>
    <cellStyle name="Обычный 2 29 45" xfId="729"/>
    <cellStyle name="Обычный 2 29 45 2" xfId="730"/>
    <cellStyle name="Обычный 2 29 46" xfId="731"/>
    <cellStyle name="Обычный 2 29 46 2" xfId="732"/>
    <cellStyle name="Обычный 2 29 47" xfId="733"/>
    <cellStyle name="Обычный 2 29 47 2" xfId="734"/>
    <cellStyle name="Обычный 2 29 48" xfId="735"/>
    <cellStyle name="Обычный 2 29 48 2" xfId="736"/>
    <cellStyle name="Обычный 2 29 49" xfId="737"/>
    <cellStyle name="Обычный 2 29 49 2" xfId="738"/>
    <cellStyle name="Обычный 2 29 5" xfId="739"/>
    <cellStyle name="Обычный 2 29 5 2" xfId="740"/>
    <cellStyle name="Обычный 2 29 50" xfId="741"/>
    <cellStyle name="Обычный 2 29 50 2" xfId="742"/>
    <cellStyle name="Обычный 2 29 51" xfId="743"/>
    <cellStyle name="Обычный 2 29 51 2" xfId="744"/>
    <cellStyle name="Обычный 2 29 52" xfId="745"/>
    <cellStyle name="Обычный 2 29 52 2" xfId="746"/>
    <cellStyle name="Обычный 2 29 53" xfId="747"/>
    <cellStyle name="Обычный 2 29 53 2" xfId="748"/>
    <cellStyle name="Обычный 2 29 54" xfId="749"/>
    <cellStyle name="Обычный 2 29 54 2" xfId="750"/>
    <cellStyle name="Обычный 2 29 55" xfId="751"/>
    <cellStyle name="Обычный 2 29 55 2" xfId="752"/>
    <cellStyle name="Обычный 2 29 56" xfId="753"/>
    <cellStyle name="Обычный 2 29 56 2" xfId="754"/>
    <cellStyle name="Обычный 2 29 57" xfId="755"/>
    <cellStyle name="Обычный 2 29 57 2" xfId="756"/>
    <cellStyle name="Обычный 2 29 58" xfId="757"/>
    <cellStyle name="Обычный 2 29 58 2" xfId="758"/>
    <cellStyle name="Обычный 2 29 59" xfId="759"/>
    <cellStyle name="Обычный 2 29 59 2" xfId="760"/>
    <cellStyle name="Обычный 2 29 6" xfId="761"/>
    <cellStyle name="Обычный 2 29 6 2" xfId="762"/>
    <cellStyle name="Обычный 2 29 60" xfId="763"/>
    <cellStyle name="Обычный 2 29 60 2" xfId="764"/>
    <cellStyle name="Обычный 2 29 61" xfId="765"/>
    <cellStyle name="Обычный 2 29 61 2" xfId="766"/>
    <cellStyle name="Обычный 2 29 62" xfId="767"/>
    <cellStyle name="Обычный 2 29 62 2" xfId="768"/>
    <cellStyle name="Обычный 2 29 63" xfId="769"/>
    <cellStyle name="Обычный 2 29 63 2" xfId="770"/>
    <cellStyle name="Обычный 2 29 64" xfId="771"/>
    <cellStyle name="Обычный 2 29 64 2" xfId="772"/>
    <cellStyle name="Обычный 2 29 65" xfId="773"/>
    <cellStyle name="Обычный 2 29 65 2" xfId="774"/>
    <cellStyle name="Обычный 2 29 66" xfId="775"/>
    <cellStyle name="Обычный 2 29 66 2" xfId="776"/>
    <cellStyle name="Обычный 2 29 67" xfId="777"/>
    <cellStyle name="Обычный 2 29 67 2" xfId="778"/>
    <cellStyle name="Обычный 2 29 68" xfId="779"/>
    <cellStyle name="Обычный 2 29 68 2" xfId="780"/>
    <cellStyle name="Обычный 2 29 69" xfId="781"/>
    <cellStyle name="Обычный 2 29 69 2" xfId="782"/>
    <cellStyle name="Обычный 2 29 7" xfId="783"/>
    <cellStyle name="Обычный 2 29 7 2" xfId="784"/>
    <cellStyle name="Обычный 2 29 70" xfId="785"/>
    <cellStyle name="Обычный 2 29 70 2" xfId="786"/>
    <cellStyle name="Обычный 2 29 71" xfId="787"/>
    <cellStyle name="Обычный 2 29 71 2" xfId="788"/>
    <cellStyle name="Обычный 2 29 72" xfId="789"/>
    <cellStyle name="Обычный 2 29 72 2" xfId="790"/>
    <cellStyle name="Обычный 2 29 73" xfId="791"/>
    <cellStyle name="Обычный 2 29 73 2" xfId="792"/>
    <cellStyle name="Обычный 2 29 74" xfId="793"/>
    <cellStyle name="Обычный 2 29 74 2" xfId="794"/>
    <cellStyle name="Обычный 2 29 75" xfId="795"/>
    <cellStyle name="Обычный 2 29 75 2" xfId="796"/>
    <cellStyle name="Обычный 2 29 76" xfId="797"/>
    <cellStyle name="Обычный 2 29 76 2" xfId="798"/>
    <cellStyle name="Обычный 2 29 77" xfId="799"/>
    <cellStyle name="Обычный 2 29 77 2" xfId="800"/>
    <cellStyle name="Обычный 2 29 78" xfId="801"/>
    <cellStyle name="Обычный 2 29 78 2" xfId="802"/>
    <cellStyle name="Обычный 2 29 8" xfId="803"/>
    <cellStyle name="Обычный 2 29 8 2" xfId="804"/>
    <cellStyle name="Обычный 2 29 9" xfId="805"/>
    <cellStyle name="Обычный 2 29 9 2" xfId="806"/>
    <cellStyle name="Обычный 2 3" xfId="807"/>
    <cellStyle name="Обычный 2 3 2" xfId="808"/>
    <cellStyle name="Обычный 2 3 2 2" xfId="809"/>
    <cellStyle name="Обычный 2 3 3" xfId="810"/>
    <cellStyle name="Обычный 2 3 3 2" xfId="811"/>
    <cellStyle name="Обычный 2 3 4" xfId="812"/>
    <cellStyle name="Обычный 2 3 4 2" xfId="813"/>
    <cellStyle name="Обычный 2 3 5" xfId="814"/>
    <cellStyle name="Обычный 2 3 5 2" xfId="815"/>
    <cellStyle name="Обычный 2 3 6" xfId="816"/>
    <cellStyle name="Обычный 2 3 6 2" xfId="817"/>
    <cellStyle name="Обычный 2 30" xfId="818"/>
    <cellStyle name="Обычный 2 30 2" xfId="819"/>
    <cellStyle name="Обычный 2 31" xfId="820"/>
    <cellStyle name="Обычный 2 31 2" xfId="821"/>
    <cellStyle name="Обычный 2 32" xfId="822"/>
    <cellStyle name="Обычный 2 32 2" xfId="823"/>
    <cellStyle name="Обычный 2 33" xfId="824"/>
    <cellStyle name="Обычный 2 33 2" xfId="825"/>
    <cellStyle name="Обычный 2 34" xfId="826"/>
    <cellStyle name="Обычный 2 34 2" xfId="827"/>
    <cellStyle name="Обычный 2 35" xfId="828"/>
    <cellStyle name="Обычный 2 35 2" xfId="829"/>
    <cellStyle name="Обычный 2 36" xfId="830"/>
    <cellStyle name="Обычный 2 37" xfId="831"/>
    <cellStyle name="Обычный 2 38" xfId="832"/>
    <cellStyle name="Обычный 2 39" xfId="833"/>
    <cellStyle name="Обычный 2 4" xfId="834"/>
    <cellStyle name="Обычный 2 4 2" xfId="835"/>
    <cellStyle name="Обычный 2 4 2 2" xfId="836"/>
    <cellStyle name="Обычный 2 4 3" xfId="837"/>
    <cellStyle name="Обычный 2 4 3 2" xfId="838"/>
    <cellStyle name="Обычный 2 4 4" xfId="839"/>
    <cellStyle name="Обычный 2 4 4 2" xfId="840"/>
    <cellStyle name="Обычный 2 4 5" xfId="841"/>
    <cellStyle name="Обычный 2 4 5 2" xfId="842"/>
    <cellStyle name="Обычный 2 4 6" xfId="843"/>
    <cellStyle name="Обычный 2 4 6 2" xfId="844"/>
    <cellStyle name="Обычный 2 40" xfId="845"/>
    <cellStyle name="Обычный 2 41" xfId="846"/>
    <cellStyle name="Обычный 2 42" xfId="847"/>
    <cellStyle name="Обычный 2 43" xfId="848"/>
    <cellStyle name="Обычный 2 44" xfId="849"/>
    <cellStyle name="Обычный 2 45" xfId="850"/>
    <cellStyle name="Обычный 2 46" xfId="851"/>
    <cellStyle name="Обычный 2 47" xfId="852"/>
    <cellStyle name="Обычный 2 48" xfId="853"/>
    <cellStyle name="Обычный 2 49" xfId="854"/>
    <cellStyle name="Обычный 2 5" xfId="855"/>
    <cellStyle name="Обычный 2 5 2" xfId="856"/>
    <cellStyle name="Обычный 2 5 2 2" xfId="857"/>
    <cellStyle name="Обычный 2 5 2 2 2" xfId="1809"/>
    <cellStyle name="Обычный 2 5 2 3" xfId="858"/>
    <cellStyle name="Обычный 2 5 2 3 2" xfId="1810"/>
    <cellStyle name="Обычный 2 5 2 4" xfId="859"/>
    <cellStyle name="Обычный 2 5 2 4 2" xfId="1811"/>
    <cellStyle name="Обычный 2 5 2 5" xfId="860"/>
    <cellStyle name="Обычный 2 5 2 5 2" xfId="1812"/>
    <cellStyle name="Обычный 2 5 2 6" xfId="861"/>
    <cellStyle name="Обычный 2 5 2 6 2" xfId="1813"/>
    <cellStyle name="Обычный 2 5 2 7" xfId="862"/>
    <cellStyle name="Обычный 2 5 2 7 2" xfId="863"/>
    <cellStyle name="Обычный 2 5 2 8" xfId="864"/>
    <cellStyle name="Обычный 2 5 3" xfId="865"/>
    <cellStyle name="Обычный 2 5 3 2" xfId="1814"/>
    <cellStyle name="Обычный 2 5 4" xfId="866"/>
    <cellStyle name="Обычный 2 5 4 2" xfId="1815"/>
    <cellStyle name="Обычный 2 5 5" xfId="867"/>
    <cellStyle name="Обычный 2 5 5 2" xfId="1816"/>
    <cellStyle name="Обычный 2 5 6" xfId="868"/>
    <cellStyle name="Обычный 2 5 6 2" xfId="1817"/>
    <cellStyle name="Обычный 2 5 7" xfId="869"/>
    <cellStyle name="Обычный 2 5 7 2" xfId="1818"/>
    <cellStyle name="Обычный 2 5 8" xfId="870"/>
    <cellStyle name="Обычный 2 5 8 2" xfId="871"/>
    <cellStyle name="Обычный 2 5 9" xfId="872"/>
    <cellStyle name="Обычный 2 5_отчет по работам" xfId="873"/>
    <cellStyle name="Обычный 2 50" xfId="874"/>
    <cellStyle name="Обычный 2 51" xfId="875"/>
    <cellStyle name="Обычный 2 52" xfId="876"/>
    <cellStyle name="Обычный 2 53" xfId="877"/>
    <cellStyle name="Обычный 2 54" xfId="878"/>
    <cellStyle name="Обычный 2 55" xfId="879"/>
    <cellStyle name="Обычный 2 56" xfId="880"/>
    <cellStyle name="Обычный 2 57" xfId="881"/>
    <cellStyle name="Обычный 2 58" xfId="882"/>
    <cellStyle name="Обычный 2 59" xfId="883"/>
    <cellStyle name="Обычный 2 6" xfId="884"/>
    <cellStyle name="Обычный 2 6 2" xfId="1819"/>
    <cellStyle name="Обычный 2 60" xfId="885"/>
    <cellStyle name="Обычный 2 61" xfId="886"/>
    <cellStyle name="Обычный 2 62" xfId="887"/>
    <cellStyle name="Обычный 2 63" xfId="888"/>
    <cellStyle name="Обычный 2 64" xfId="889"/>
    <cellStyle name="Обычный 2 65" xfId="890"/>
    <cellStyle name="Обычный 2 66" xfId="891"/>
    <cellStyle name="Обычный 2 67" xfId="892"/>
    <cellStyle name="Обычный 2 68" xfId="893"/>
    <cellStyle name="Обычный 2 69" xfId="894"/>
    <cellStyle name="Обычный 2 7" xfId="895"/>
    <cellStyle name="Обычный 2 7 2" xfId="1820"/>
    <cellStyle name="Обычный 2 70" xfId="896"/>
    <cellStyle name="Обычный 2 71" xfId="897"/>
    <cellStyle name="Обычный 2 72" xfId="898"/>
    <cellStyle name="Обычный 2 73" xfId="899"/>
    <cellStyle name="Обычный 2 74" xfId="900"/>
    <cellStyle name="Обычный 2 75" xfId="901"/>
    <cellStyle name="Обычный 2 76" xfId="902"/>
    <cellStyle name="Обычный 2 77" xfId="903"/>
    <cellStyle name="Обычный 2 78" xfId="904"/>
    <cellStyle name="Обычный 2 79" xfId="905"/>
    <cellStyle name="Обычный 2 8" xfId="906"/>
    <cellStyle name="Обычный 2 8 2" xfId="1821"/>
    <cellStyle name="Обычный 2 80" xfId="907"/>
    <cellStyle name="Обычный 2 81" xfId="908"/>
    <cellStyle name="Обычный 2 82" xfId="909"/>
    <cellStyle name="Обычный 2 83" xfId="910"/>
    <cellStyle name="Обычный 2 84" xfId="911"/>
    <cellStyle name="Обычный 2 85" xfId="912"/>
    <cellStyle name="Обычный 2 86" xfId="913"/>
    <cellStyle name="Обычный 2 87" xfId="914"/>
    <cellStyle name="Обычный 2 88" xfId="915"/>
    <cellStyle name="Обычный 2 89" xfId="916"/>
    <cellStyle name="Обычный 2 9" xfId="917"/>
    <cellStyle name="Обычный 2 9 2" xfId="1822"/>
    <cellStyle name="Обычный 2 90" xfId="918"/>
    <cellStyle name="Обычный 2 91" xfId="919"/>
    <cellStyle name="Обычный 2 92" xfId="920"/>
    <cellStyle name="Обычный 2 93" xfId="921"/>
    <cellStyle name="Обычный 2 94" xfId="922"/>
    <cellStyle name="Обычный 2 95" xfId="923"/>
    <cellStyle name="Обычный 2 96" xfId="924"/>
    <cellStyle name="Обычный 2 97" xfId="925"/>
    <cellStyle name="Обычный 2 98" xfId="926"/>
    <cellStyle name="Обычный 2 99" xfId="927"/>
    <cellStyle name="Обычный 2_новый бюджет Алга (5)" xfId="928"/>
    <cellStyle name="Обычный 20" xfId="929"/>
    <cellStyle name="Обычный 20 2" xfId="930"/>
    <cellStyle name="Обычный 20 3" xfId="931"/>
    <cellStyle name="Обычный 21" xfId="932"/>
    <cellStyle name="Обычный 21 2" xfId="933"/>
    <cellStyle name="Обычный 22" xfId="934"/>
    <cellStyle name="Обычный 22 2" xfId="935"/>
    <cellStyle name="Обычный 23" xfId="936"/>
    <cellStyle name="Обычный 23 2" xfId="1823"/>
    <cellStyle name="Обычный 24" xfId="937"/>
    <cellStyle name="Обычный 25" xfId="938"/>
    <cellStyle name="Обычный 25 2" xfId="939"/>
    <cellStyle name="Обычный 26" xfId="940"/>
    <cellStyle name="Обычный 26 2" xfId="941"/>
    <cellStyle name="Обычный 27" xfId="942"/>
    <cellStyle name="Обычный 27 2" xfId="943"/>
    <cellStyle name="Обычный 28" xfId="944"/>
    <cellStyle name="Обычный 28 2" xfId="945"/>
    <cellStyle name="Обычный 29" xfId="946"/>
    <cellStyle name="Обычный 29 2" xfId="947"/>
    <cellStyle name="Обычный 3" xfId="948"/>
    <cellStyle name="Обычный 3 10" xfId="949"/>
    <cellStyle name="Обычный 3 11" xfId="950"/>
    <cellStyle name="Обычный 3 12" xfId="1824"/>
    <cellStyle name="Обычный 3 2" xfId="951"/>
    <cellStyle name="Обычный 3 2 2" xfId="952"/>
    <cellStyle name="Обычный 3 2 2 10" xfId="953"/>
    <cellStyle name="Обычный 3 2 2 2" xfId="954"/>
    <cellStyle name="Обычный 3 2 2 2 2" xfId="955"/>
    <cellStyle name="Обычный 3 2 2 2 2 2" xfId="1825"/>
    <cellStyle name="Обычный 3 2 2 2 3" xfId="956"/>
    <cellStyle name="Обычный 3 2 2 2 3 2" xfId="1826"/>
    <cellStyle name="Обычный 3 2 2 2 4" xfId="957"/>
    <cellStyle name="Обычный 3 2 2 2 4 2" xfId="1827"/>
    <cellStyle name="Обычный 3 2 2 2 5" xfId="958"/>
    <cellStyle name="Обычный 3 2 2 2 5 2" xfId="1828"/>
    <cellStyle name="Обычный 3 2 2 2 6" xfId="959"/>
    <cellStyle name="Обычный 3 2 2 2 6 2" xfId="1829"/>
    <cellStyle name="Обычный 3 2 2 2 7" xfId="960"/>
    <cellStyle name="Обычный 3 2 2 2 7 2" xfId="961"/>
    <cellStyle name="Обычный 3 2 2 2 8" xfId="962"/>
    <cellStyle name="Обычный 3 2 2 3" xfId="963"/>
    <cellStyle name="Обычный 3 2 2 3 2" xfId="964"/>
    <cellStyle name="Обычный 3 2 2 3 2 2" xfId="1830"/>
    <cellStyle name="Обычный 3 2 2 3 3" xfId="965"/>
    <cellStyle name="Обычный 3 2 2 3 3 2" xfId="1831"/>
    <cellStyle name="Обычный 3 2 2 3 4" xfId="966"/>
    <cellStyle name="Обычный 3 2 2 3 4 2" xfId="1832"/>
    <cellStyle name="Обычный 3 2 2 3 5" xfId="967"/>
    <cellStyle name="Обычный 3 2 2 3 5 2" xfId="1833"/>
    <cellStyle name="Обычный 3 2 2 3 6" xfId="968"/>
    <cellStyle name="Обычный 3 2 2 3 6 2" xfId="1834"/>
    <cellStyle name="Обычный 3 2 2 3 7" xfId="969"/>
    <cellStyle name="Обычный 3 2 2 3 7 2" xfId="970"/>
    <cellStyle name="Обычный 3 2 2 3 8" xfId="971"/>
    <cellStyle name="Обычный 3 2 2 4" xfId="972"/>
    <cellStyle name="Обычный 3 2 2 4 2" xfId="1835"/>
    <cellStyle name="Обычный 3 2 2 5" xfId="973"/>
    <cellStyle name="Обычный 3 2 2 5 2" xfId="1836"/>
    <cellStyle name="Обычный 3 2 2 6" xfId="974"/>
    <cellStyle name="Обычный 3 2 2 6 2" xfId="1837"/>
    <cellStyle name="Обычный 3 2 2 7" xfId="975"/>
    <cellStyle name="Обычный 3 2 2 7 2" xfId="1838"/>
    <cellStyle name="Обычный 3 2 2 8" xfId="976"/>
    <cellStyle name="Обычный 3 2 2 8 2" xfId="1839"/>
    <cellStyle name="Обычный 3 2 2 9" xfId="977"/>
    <cellStyle name="Обычный 3 2 2 9 2" xfId="978"/>
    <cellStyle name="Обычный 3 2 2_отчет по работам" xfId="979"/>
    <cellStyle name="Обычный 3 2 3" xfId="980"/>
    <cellStyle name="Обычный 3 2 3 2" xfId="1840"/>
    <cellStyle name="Обычный 3 2 4" xfId="981"/>
    <cellStyle name="Обычный 3 2 4 2" xfId="1841"/>
    <cellStyle name="Обычный 3 2 5" xfId="982"/>
    <cellStyle name="Обычный 3 2 5 2" xfId="1842"/>
    <cellStyle name="Обычный 3 2 6" xfId="983"/>
    <cellStyle name="Обычный 3 2 6 2" xfId="1843"/>
    <cellStyle name="Обычный 3 2 7" xfId="984"/>
    <cellStyle name="Обычный 3 2 7 2" xfId="1844"/>
    <cellStyle name="Обычный 3 2 8" xfId="985"/>
    <cellStyle name="Обычный 3 2 8 2" xfId="986"/>
    <cellStyle name="Обычный 3 2_отчет по работам" xfId="987"/>
    <cellStyle name="Обычный 3 3" xfId="988"/>
    <cellStyle name="Обычный 3 4" xfId="989"/>
    <cellStyle name="Обычный 3 5" xfId="990"/>
    <cellStyle name="Обычный 3 6" xfId="991"/>
    <cellStyle name="Обычный 3 7" xfId="992"/>
    <cellStyle name="Обычный 3 8" xfId="993"/>
    <cellStyle name="Обычный 3 9" xfId="994"/>
    <cellStyle name="Обычный 3_отчет по работам" xfId="995"/>
    <cellStyle name="Обычный 30" xfId="996"/>
    <cellStyle name="Обычный 30 2" xfId="997"/>
    <cellStyle name="Обычный 31" xfId="998"/>
    <cellStyle name="Обычный 31 2" xfId="999"/>
    <cellStyle name="Обычный 32" xfId="1000"/>
    <cellStyle name="Обычный 32 2" xfId="1001"/>
    <cellStyle name="Обычный 33" xfId="1002"/>
    <cellStyle name="Обычный 33 2" xfId="1003"/>
    <cellStyle name="Обычный 34" xfId="1004"/>
    <cellStyle name="Обычный 34 2" xfId="1005"/>
    <cellStyle name="Обычный 35" xfId="1006"/>
    <cellStyle name="Обычный 35 2" xfId="1007"/>
    <cellStyle name="Обычный 36" xfId="1008"/>
    <cellStyle name="Обычный 36 2" xfId="1009"/>
    <cellStyle name="Обычный 37" xfId="1010"/>
    <cellStyle name="Обычный 37 2" xfId="1011"/>
    <cellStyle name="Обычный 38" xfId="1012"/>
    <cellStyle name="Обычный 38 2" xfId="1013"/>
    <cellStyle name="Обычный 39" xfId="1014"/>
    <cellStyle name="Обычный 39 2" xfId="1015"/>
    <cellStyle name="Обычный 4" xfId="1016"/>
    <cellStyle name="Обычный 4 2" xfId="1017"/>
    <cellStyle name="Обычный 4 3" xfId="1018"/>
    <cellStyle name="Обычный 4 4" xfId="1019"/>
    <cellStyle name="Обычный 4 5" xfId="1020"/>
    <cellStyle name="Обычный 4 6" xfId="1021"/>
    <cellStyle name="Обычный 4 7" xfId="1022"/>
    <cellStyle name="Обычный 4 7 2" xfId="1023"/>
    <cellStyle name="Обычный 4 8" xfId="1845"/>
    <cellStyle name="Обычный 40" xfId="1024"/>
    <cellStyle name="Обычный 40 2" xfId="1025"/>
    <cellStyle name="Обычный 41" xfId="1026"/>
    <cellStyle name="Обычный 41 2" xfId="1027"/>
    <cellStyle name="Обычный 42" xfId="1028"/>
    <cellStyle name="Обычный 42 2" xfId="1029"/>
    <cellStyle name="Обычный 43" xfId="1030"/>
    <cellStyle name="Обычный 43 2" xfId="1031"/>
    <cellStyle name="Обычный 44" xfId="1032"/>
    <cellStyle name="Обычный 44 2" xfId="1033"/>
    <cellStyle name="Обычный 45" xfId="1034"/>
    <cellStyle name="Обычный 45 2" xfId="1035"/>
    <cellStyle name="Обычный 46" xfId="1036"/>
    <cellStyle name="Обычный 46 2" xfId="1037"/>
    <cellStyle name="Обычный 47" xfId="1038"/>
    <cellStyle name="Обычный 47 2" xfId="1039"/>
    <cellStyle name="Обычный 48" xfId="1040"/>
    <cellStyle name="Обычный 48 2" xfId="1041"/>
    <cellStyle name="Обычный 49" xfId="1042"/>
    <cellStyle name="Обычный 49 2" xfId="1043"/>
    <cellStyle name="Обычный 5" xfId="1044"/>
    <cellStyle name="Обычный 5 2" xfId="1045"/>
    <cellStyle name="Обычный 5 2 2" xfId="1046"/>
    <cellStyle name="Обычный 5 2 2 2" xfId="1846"/>
    <cellStyle name="Обычный 5 3" xfId="1047"/>
    <cellStyle name="Обычный 5 4" xfId="1048"/>
    <cellStyle name="Обычный 5 5" xfId="1049"/>
    <cellStyle name="Обычный 5 6" xfId="1050"/>
    <cellStyle name="Обычный 5 7" xfId="1051"/>
    <cellStyle name="Обычный 5 7 2" xfId="1052"/>
    <cellStyle name="Обычный 5_новый бюджет Алга (5)" xfId="1053"/>
    <cellStyle name="Обычный 50" xfId="1054"/>
    <cellStyle name="Обычный 50 2" xfId="1055"/>
    <cellStyle name="Обычный 51" xfId="1056"/>
    <cellStyle name="Обычный 51 2" xfId="1057"/>
    <cellStyle name="Обычный 52" xfId="1058"/>
    <cellStyle name="Обычный 52 2" xfId="1059"/>
    <cellStyle name="Обычный 53" xfId="1060"/>
    <cellStyle name="Обычный 53 2" xfId="1061"/>
    <cellStyle name="Обычный 54" xfId="1062"/>
    <cellStyle name="Обычный 54 2" xfId="1063"/>
    <cellStyle name="Обычный 55" xfId="1064"/>
    <cellStyle name="Обычный 55 2" xfId="1065"/>
    <cellStyle name="Обычный 56" xfId="1066"/>
    <cellStyle name="Обычный 56 2" xfId="1067"/>
    <cellStyle name="Обычный 57" xfId="1068"/>
    <cellStyle name="Обычный 57 2" xfId="1069"/>
    <cellStyle name="Обычный 58" xfId="1070"/>
    <cellStyle name="Обычный 58 2" xfId="1071"/>
    <cellStyle name="Обычный 59" xfId="1072"/>
    <cellStyle name="Обычный 59 2" xfId="1073"/>
    <cellStyle name="Обычный 6" xfId="1074"/>
    <cellStyle name="Обычный 6 2" xfId="1075"/>
    <cellStyle name="Обычный 6 2 2" xfId="1076"/>
    <cellStyle name="Обычный 6 2 2 2" xfId="1847"/>
    <cellStyle name="Обычный 6 3" xfId="1077"/>
    <cellStyle name="Обычный 6 4" xfId="1078"/>
    <cellStyle name="Обычный 6 5" xfId="1079"/>
    <cellStyle name="Обычный 6 6" xfId="1080"/>
    <cellStyle name="Обычный 6_новый бюджет Алга (5)" xfId="1081"/>
    <cellStyle name="Обычный 60" xfId="1082"/>
    <cellStyle name="Обычный 60 2" xfId="1083"/>
    <cellStyle name="Обычный 61" xfId="1084"/>
    <cellStyle name="Обычный 61 2" xfId="1085"/>
    <cellStyle name="Обычный 62" xfId="1086"/>
    <cellStyle name="Обычный 62 2" xfId="1087"/>
    <cellStyle name="Обычный 63" xfId="1088"/>
    <cellStyle name="Обычный 63 2" xfId="1089"/>
    <cellStyle name="Обычный 64" xfId="1090"/>
    <cellStyle name="Обычный 64 2" xfId="1091"/>
    <cellStyle name="Обычный 65" xfId="1092"/>
    <cellStyle name="Обычный 65 2" xfId="1093"/>
    <cellStyle name="Обычный 66" xfId="1094"/>
    <cellStyle name="Обычный 66 2" xfId="1095"/>
    <cellStyle name="Обычный 67" xfId="1096"/>
    <cellStyle name="Обычный 67 2" xfId="1097"/>
    <cellStyle name="Обычный 68" xfId="1098"/>
    <cellStyle name="Обычный 68 2" xfId="1099"/>
    <cellStyle name="Обычный 69" xfId="1100"/>
    <cellStyle name="Обычный 69 2" xfId="1101"/>
    <cellStyle name="Обычный 7" xfId="1102"/>
    <cellStyle name="Обычный 7 2" xfId="1103"/>
    <cellStyle name="Обычный 7 2 2" xfId="1104"/>
    <cellStyle name="Обычный 7 2 3" xfId="1105"/>
    <cellStyle name="Обычный 7 2 4" xfId="1106"/>
    <cellStyle name="Обычный 7 2 5" xfId="1107"/>
    <cellStyle name="Обычный 7 2 6" xfId="1108"/>
    <cellStyle name="Обычный 7 3" xfId="1109"/>
    <cellStyle name="Обычный 7 4" xfId="1110"/>
    <cellStyle name="Обычный 7 5" xfId="1111"/>
    <cellStyle name="Обычный 7 6" xfId="1112"/>
    <cellStyle name="Обычный 7 7" xfId="1113"/>
    <cellStyle name="Обычный 7 8" xfId="1848"/>
    <cellStyle name="Обычный 7_отчет по работам" xfId="1114"/>
    <cellStyle name="Обычный 70" xfId="1115"/>
    <cellStyle name="Обычный 70 2" xfId="1116"/>
    <cellStyle name="Обычный 71" xfId="1117"/>
    <cellStyle name="Обычный 71 2" xfId="1118"/>
    <cellStyle name="Обычный 72" xfId="1119"/>
    <cellStyle name="Обычный 72 2" xfId="1120"/>
    <cellStyle name="Обычный 73" xfId="1121"/>
    <cellStyle name="Обычный 73 2" xfId="1122"/>
    <cellStyle name="Обычный 74" xfId="1123"/>
    <cellStyle name="Обычный 74 2" xfId="1124"/>
    <cellStyle name="Обычный 75" xfId="1125"/>
    <cellStyle name="Обычный 75 2" xfId="1126"/>
    <cellStyle name="Обычный 76" xfId="1127"/>
    <cellStyle name="Обычный 76 2" xfId="1128"/>
    <cellStyle name="Обычный 77" xfId="1129"/>
    <cellStyle name="Обычный 77 2" xfId="1130"/>
    <cellStyle name="Обычный 78" xfId="1131"/>
    <cellStyle name="Обычный 78 2" xfId="1132"/>
    <cellStyle name="Обычный 79" xfId="1133"/>
    <cellStyle name="Обычный 79 2" xfId="1134"/>
    <cellStyle name="Обычный 8" xfId="1135"/>
    <cellStyle name="Обычный 8 2" xfId="1136"/>
    <cellStyle name="Обычный 8 2 2" xfId="1137"/>
    <cellStyle name="Обычный 8 3" xfId="1138"/>
    <cellStyle name="Обычный 8 3 2" xfId="1139"/>
    <cellStyle name="Обычный 8 4" xfId="1140"/>
    <cellStyle name="Обычный 8 4 2" xfId="1141"/>
    <cellStyle name="Обычный 8 5" xfId="1142"/>
    <cellStyle name="Обычный 8 5 2" xfId="1143"/>
    <cellStyle name="Обычный 8 6" xfId="1144"/>
    <cellStyle name="Обычный 8 6 2" xfId="1145"/>
    <cellStyle name="Обычный 8 7" xfId="1849"/>
    <cellStyle name="Обычный 80" xfId="1146"/>
    <cellStyle name="Обычный 80 2" xfId="1147"/>
    <cellStyle name="Обычный 81" xfId="1148"/>
    <cellStyle name="Обычный 81 2" xfId="1149"/>
    <cellStyle name="Обычный 82" xfId="1150"/>
    <cellStyle name="Обычный 82 2" xfId="1151"/>
    <cellStyle name="Обычный 83" xfId="1152"/>
    <cellStyle name="Обычный 83 2" xfId="1153"/>
    <cellStyle name="Обычный 84" xfId="1154"/>
    <cellStyle name="Обычный 84 2" xfId="1155"/>
    <cellStyle name="Обычный 85" xfId="1156"/>
    <cellStyle name="Обычный 85 2" xfId="1157"/>
    <cellStyle name="Обычный 86" xfId="1158"/>
    <cellStyle name="Обычный 86 2" xfId="1159"/>
    <cellStyle name="Обычный 87" xfId="1160"/>
    <cellStyle name="Обычный 87 2" xfId="1161"/>
    <cellStyle name="Обычный 88" xfId="1162"/>
    <cellStyle name="Обычный 88 2" xfId="1163"/>
    <cellStyle name="Обычный 89" xfId="1164"/>
    <cellStyle name="Обычный 89 2" xfId="1165"/>
    <cellStyle name="Обычный 9" xfId="1166"/>
    <cellStyle name="Обычный 9 2" xfId="1167"/>
    <cellStyle name="Обычный 90" xfId="1168"/>
    <cellStyle name="Обычный 90 2" xfId="1169"/>
    <cellStyle name="Обычный 91" xfId="1170"/>
    <cellStyle name="Обычный 91 2" xfId="1171"/>
    <cellStyle name="Обычный 92" xfId="1172"/>
    <cellStyle name="Обычный 92 2" xfId="1173"/>
    <cellStyle name="Обычный 93" xfId="1174"/>
    <cellStyle name="Обычный 93 2" xfId="1175"/>
    <cellStyle name="Обычный 94" xfId="1176"/>
    <cellStyle name="Обычный 94 2" xfId="1177"/>
    <cellStyle name="Обычный 95" xfId="1178"/>
    <cellStyle name="Обычный 95 2" xfId="1179"/>
    <cellStyle name="Обычный 96" xfId="1180"/>
    <cellStyle name="Обычный 96 2" xfId="1181"/>
    <cellStyle name="Обычный 97" xfId="1182"/>
    <cellStyle name="Обычный 97 2" xfId="1183"/>
    <cellStyle name="Обычный 98" xfId="1184"/>
    <cellStyle name="Обычный 98 2" xfId="1185"/>
    <cellStyle name="Обычный 99" xfId="1186"/>
    <cellStyle name="Обычный 99 2" xfId="1187"/>
    <cellStyle name="Плохой 2" xfId="1188"/>
    <cellStyle name="Плохой 3" xfId="1189"/>
    <cellStyle name="Плохой 4" xfId="1190"/>
    <cellStyle name="Плохой 5" xfId="1191"/>
    <cellStyle name="Плохой 6" xfId="1192"/>
    <cellStyle name="Поле сводной таблицы" xfId="1193"/>
    <cellStyle name="Пояснение 2" xfId="1194"/>
    <cellStyle name="Пояснение 3" xfId="1195"/>
    <cellStyle name="Пояснение 4" xfId="1196"/>
    <cellStyle name="Пояснение 5" xfId="1197"/>
    <cellStyle name="Пояснение 6" xfId="1198"/>
    <cellStyle name="Примечание 2" xfId="1199"/>
    <cellStyle name="Примечание 2 2" xfId="1200"/>
    <cellStyle name="Примечание 2 3" xfId="1201"/>
    <cellStyle name="Примечание 3" xfId="1202"/>
    <cellStyle name="Примечание 3 2" xfId="1203"/>
    <cellStyle name="Примечание 4" xfId="1204"/>
    <cellStyle name="Примечание 4 2" xfId="1205"/>
    <cellStyle name="Примечание 5" xfId="1206"/>
    <cellStyle name="Примечание 5 2" xfId="1207"/>
    <cellStyle name="Примечание 6" xfId="1208"/>
    <cellStyle name="Примечание 6 2" xfId="1209"/>
    <cellStyle name="Процентный 2" xfId="1210"/>
    <cellStyle name="Процентный 2 2" xfId="1211"/>
    <cellStyle name="Процентный 2 2 2" xfId="1850"/>
    <cellStyle name="Процентный 3" xfId="1212"/>
    <cellStyle name="Процентный 4" xfId="1213"/>
    <cellStyle name="Процентный 4 2" xfId="1214"/>
    <cellStyle name="Процентный 5" xfId="1215"/>
    <cellStyle name="Процентный 5 2" xfId="1216"/>
    <cellStyle name="Результат сводной таблицы" xfId="1217"/>
    <cellStyle name="Связанная ячейка 2" xfId="1218"/>
    <cellStyle name="Связанная ячейка 3" xfId="1219"/>
    <cellStyle name="Связанная ячейка 4" xfId="1220"/>
    <cellStyle name="Связанная ячейка 5" xfId="1221"/>
    <cellStyle name="Связанная ячейка 6" xfId="1222"/>
    <cellStyle name="Текст предупреждения 2" xfId="1223"/>
    <cellStyle name="Текст предупреждения 3" xfId="1224"/>
    <cellStyle name="Текст предупреждения 4" xfId="1225"/>
    <cellStyle name="Текст предупреждения 5" xfId="1226"/>
    <cellStyle name="Текст предупреждения 6" xfId="1227"/>
    <cellStyle name="Угол сводной таблицы" xfId="1228"/>
    <cellStyle name="Финансовый [0] 2" xfId="1229"/>
    <cellStyle name="Финансовый [0] 2 2" xfId="1230"/>
    <cellStyle name="Финансовый [0] 3" xfId="1231"/>
    <cellStyle name="Финансовый [0] 3 10" xfId="1232"/>
    <cellStyle name="Финансовый [0] 3 10 2" xfId="1233"/>
    <cellStyle name="Финансовый [0] 3 100" xfId="1234"/>
    <cellStyle name="Финансовый [0] 3 101" xfId="1235"/>
    <cellStyle name="Финансовый [0] 3 102" xfId="1236"/>
    <cellStyle name="Финансовый [0] 3 103" xfId="1237"/>
    <cellStyle name="Финансовый [0] 3 104" xfId="1238"/>
    <cellStyle name="Финансовый [0] 3 105" xfId="1239"/>
    <cellStyle name="Финансовый [0] 3 106" xfId="1240"/>
    <cellStyle name="Финансовый [0] 3 107" xfId="1241"/>
    <cellStyle name="Финансовый [0] 3 108" xfId="1242"/>
    <cellStyle name="Финансовый [0] 3 109" xfId="1243"/>
    <cellStyle name="Финансовый [0] 3 11" xfId="1244"/>
    <cellStyle name="Финансовый [0] 3 110" xfId="1245"/>
    <cellStyle name="Финансовый [0] 3 111" xfId="1246"/>
    <cellStyle name="Финансовый [0] 3 111 2" xfId="1247"/>
    <cellStyle name="Финансовый [0] 3 111 2 2" xfId="1248"/>
    <cellStyle name="Финансовый [0] 3 111 2 2 2" xfId="1249"/>
    <cellStyle name="Финансовый [0] 3 111 2 3" xfId="1250"/>
    <cellStyle name="Финансовый [0] 3 111 3" xfId="1251"/>
    <cellStyle name="Финансовый [0] 3 111 4" xfId="1252"/>
    <cellStyle name="Финансовый [0] 3 111 5" xfId="1253"/>
    <cellStyle name="Финансовый [0] 3 12" xfId="1254"/>
    <cellStyle name="Финансовый [0] 3 13" xfId="1255"/>
    <cellStyle name="Финансовый [0] 3 14" xfId="1256"/>
    <cellStyle name="Финансовый [0] 3 15" xfId="1257"/>
    <cellStyle name="Финансовый [0] 3 16" xfId="1258"/>
    <cellStyle name="Финансовый [0] 3 17" xfId="1259"/>
    <cellStyle name="Финансовый [0] 3 18" xfId="1260"/>
    <cellStyle name="Финансовый [0] 3 19" xfId="1261"/>
    <cellStyle name="Финансовый [0] 3 2" xfId="1262"/>
    <cellStyle name="Финансовый [0] 3 2 10" xfId="1263"/>
    <cellStyle name="Финансовый [0] 3 2 10 2" xfId="1264"/>
    <cellStyle name="Финансовый [0] 3 2 10 2 2" xfId="1265"/>
    <cellStyle name="Финансовый [0] 3 2 10_новый бюджет Починки (5)" xfId="1266"/>
    <cellStyle name="Финансовый [0] 3 2 11" xfId="1267"/>
    <cellStyle name="Финансовый [0] 3 2 12" xfId="1268"/>
    <cellStyle name="Финансовый [0] 3 2 13" xfId="1269"/>
    <cellStyle name="Финансовый [0] 3 2 14" xfId="1270"/>
    <cellStyle name="Финансовый [0] 3 2 15" xfId="1271"/>
    <cellStyle name="Финансовый [0] 3 2 16" xfId="1272"/>
    <cellStyle name="Финансовый [0] 3 2 17" xfId="1273"/>
    <cellStyle name="Финансовый [0] 3 2 18" xfId="1274"/>
    <cellStyle name="Финансовый [0] 3 2 19" xfId="1275"/>
    <cellStyle name="Финансовый [0] 3 2 2" xfId="1276"/>
    <cellStyle name="Финансовый [0] 3 2 2 10" xfId="1277"/>
    <cellStyle name="Финансовый [0] 3 2 2 11" xfId="1278"/>
    <cellStyle name="Финансовый [0] 3 2 2 12" xfId="1279"/>
    <cellStyle name="Финансовый [0] 3 2 2 13" xfId="1280"/>
    <cellStyle name="Финансовый [0] 3 2 2 14" xfId="1281"/>
    <cellStyle name="Финансовый [0] 3 2 2 15" xfId="1282"/>
    <cellStyle name="Финансовый [0] 3 2 2 16" xfId="1283"/>
    <cellStyle name="Финансовый [0] 3 2 2 17" xfId="1284"/>
    <cellStyle name="Финансовый [0] 3 2 2 18" xfId="1285"/>
    <cellStyle name="Финансовый [0] 3 2 2 19" xfId="1286"/>
    <cellStyle name="Финансовый [0] 3 2 2 2" xfId="1287"/>
    <cellStyle name="Финансовый [0] 3 2 2 20" xfId="1288"/>
    <cellStyle name="Финансовый [0] 3 2 2 21" xfId="1289"/>
    <cellStyle name="Финансовый [0] 3 2 2 22" xfId="1290"/>
    <cellStyle name="Финансовый [0] 3 2 2 23" xfId="1291"/>
    <cellStyle name="Финансовый [0] 3 2 2 24" xfId="1292"/>
    <cellStyle name="Финансовый [0] 3 2 2 25" xfId="1293"/>
    <cellStyle name="Финансовый [0] 3 2 2 26" xfId="1294"/>
    <cellStyle name="Финансовый [0] 3 2 2 27" xfId="1295"/>
    <cellStyle name="Финансовый [0] 3 2 2 28" xfId="1296"/>
    <cellStyle name="Финансовый [0] 3 2 2 29" xfId="1297"/>
    <cellStyle name="Финансовый [0] 3 2 2 3" xfId="1298"/>
    <cellStyle name="Финансовый [0] 3 2 2 30" xfId="1299"/>
    <cellStyle name="Финансовый [0] 3 2 2 31" xfId="1300"/>
    <cellStyle name="Финансовый [0] 3 2 2 32" xfId="1301"/>
    <cellStyle name="Финансовый [0] 3 2 2 33" xfId="1302"/>
    <cellStyle name="Финансовый [0] 3 2 2 34" xfId="1303"/>
    <cellStyle name="Финансовый [0] 3 2 2 35" xfId="1304"/>
    <cellStyle name="Финансовый [0] 3 2 2 36" xfId="1305"/>
    <cellStyle name="Финансовый [0] 3 2 2 37" xfId="1306"/>
    <cellStyle name="Финансовый [0] 3 2 2 38" xfId="1307"/>
    <cellStyle name="Финансовый [0] 3 2 2 39" xfId="1308"/>
    <cellStyle name="Финансовый [0] 3 2 2 4" xfId="1309"/>
    <cellStyle name="Финансовый [0] 3 2 2 40" xfId="1310"/>
    <cellStyle name="Финансовый [0] 3 2 2 41" xfId="1311"/>
    <cellStyle name="Финансовый [0] 3 2 2 42" xfId="1312"/>
    <cellStyle name="Финансовый [0] 3 2 2 43" xfId="1313"/>
    <cellStyle name="Финансовый [0] 3 2 2 44" xfId="1314"/>
    <cellStyle name="Финансовый [0] 3 2 2 45" xfId="1315"/>
    <cellStyle name="Финансовый [0] 3 2 2 46" xfId="1316"/>
    <cellStyle name="Финансовый [0] 3 2 2 47" xfId="1317"/>
    <cellStyle name="Финансовый [0] 3 2 2 48" xfId="1318"/>
    <cellStyle name="Финансовый [0] 3 2 2 49" xfId="1319"/>
    <cellStyle name="Финансовый [0] 3 2 2 5" xfId="1320"/>
    <cellStyle name="Финансовый [0] 3 2 2 50" xfId="1321"/>
    <cellStyle name="Финансовый [0] 3 2 2 51" xfId="1322"/>
    <cellStyle name="Финансовый [0] 3 2 2 52" xfId="1323"/>
    <cellStyle name="Финансовый [0] 3 2 2 53" xfId="1324"/>
    <cellStyle name="Финансовый [0] 3 2 2 54" xfId="1325"/>
    <cellStyle name="Финансовый [0] 3 2 2 55" xfId="1326"/>
    <cellStyle name="Финансовый [0] 3 2 2 56" xfId="1327"/>
    <cellStyle name="Финансовый [0] 3 2 2 57" xfId="1328"/>
    <cellStyle name="Финансовый [0] 3 2 2 58" xfId="1329"/>
    <cellStyle name="Финансовый [0] 3 2 2 59" xfId="1330"/>
    <cellStyle name="Финансовый [0] 3 2 2 6" xfId="1331"/>
    <cellStyle name="Финансовый [0] 3 2 2 60" xfId="1332"/>
    <cellStyle name="Финансовый [0] 3 2 2 61" xfId="1333"/>
    <cellStyle name="Финансовый [0] 3 2 2 62" xfId="1334"/>
    <cellStyle name="Финансовый [0] 3 2 2 63" xfId="1335"/>
    <cellStyle name="Финансовый [0] 3 2 2 64" xfId="1336"/>
    <cellStyle name="Финансовый [0] 3 2 2 65" xfId="1337"/>
    <cellStyle name="Финансовый [0] 3 2 2 66" xfId="1338"/>
    <cellStyle name="Финансовый [0] 3 2 2 67" xfId="1339"/>
    <cellStyle name="Финансовый [0] 3 2 2 68" xfId="1340"/>
    <cellStyle name="Финансовый [0] 3 2 2 69" xfId="1341"/>
    <cellStyle name="Финансовый [0] 3 2 2 7" xfId="1342"/>
    <cellStyle name="Финансовый [0] 3 2 2 70" xfId="1343"/>
    <cellStyle name="Финансовый [0] 3 2 2 71" xfId="1344"/>
    <cellStyle name="Финансовый [0] 3 2 2 72" xfId="1345"/>
    <cellStyle name="Финансовый [0] 3 2 2 73" xfId="1346"/>
    <cellStyle name="Финансовый [0] 3 2 2 74" xfId="1347"/>
    <cellStyle name="Финансовый [0] 3 2 2 75" xfId="1348"/>
    <cellStyle name="Финансовый [0] 3 2 2 76" xfId="1349"/>
    <cellStyle name="Финансовый [0] 3 2 2 77" xfId="1350"/>
    <cellStyle name="Финансовый [0] 3 2 2 78" xfId="1351"/>
    <cellStyle name="Финансовый [0] 3 2 2 8" xfId="1352"/>
    <cellStyle name="Финансовый [0] 3 2 2 9" xfId="1353"/>
    <cellStyle name="Финансовый [0] 3 2 2_новый бюджет Алга (5a)" xfId="1354"/>
    <cellStyle name="Финансовый [0] 3 2 20" xfId="1355"/>
    <cellStyle name="Финансовый [0] 3 2 21" xfId="1356"/>
    <cellStyle name="Финансовый [0] 3 2 22" xfId="1357"/>
    <cellStyle name="Финансовый [0] 3 2 23" xfId="1358"/>
    <cellStyle name="Финансовый [0] 3 2 24" xfId="1359"/>
    <cellStyle name="Финансовый [0] 3 2 25" xfId="1360"/>
    <cellStyle name="Финансовый [0] 3 2 26" xfId="1361"/>
    <cellStyle name="Финансовый [0] 3 2 27" xfId="1362"/>
    <cellStyle name="Финансовый [0] 3 2 28" xfId="1363"/>
    <cellStyle name="Финансовый [0] 3 2 29" xfId="1364"/>
    <cellStyle name="Финансовый [0] 3 2 3" xfId="1365"/>
    <cellStyle name="Финансовый [0] 3 2 30" xfId="1366"/>
    <cellStyle name="Финансовый [0] 3 2 31" xfId="1367"/>
    <cellStyle name="Финансовый [0] 3 2 32" xfId="1368"/>
    <cellStyle name="Финансовый [0] 3 2 33" xfId="1369"/>
    <cellStyle name="Финансовый [0] 3 2 34" xfId="1370"/>
    <cellStyle name="Финансовый [0] 3 2 35" xfId="1371"/>
    <cellStyle name="Финансовый [0] 3 2 36" xfId="1372"/>
    <cellStyle name="Финансовый [0] 3 2 37" xfId="1373"/>
    <cellStyle name="Финансовый [0] 3 2 38" xfId="1374"/>
    <cellStyle name="Финансовый [0] 3 2 39" xfId="1375"/>
    <cellStyle name="Финансовый [0] 3 2 4" xfId="1376"/>
    <cellStyle name="Финансовый [0] 3 2 40" xfId="1377"/>
    <cellStyle name="Финансовый [0] 3 2 41" xfId="1378"/>
    <cellStyle name="Финансовый [0] 3 2 42" xfId="1379"/>
    <cellStyle name="Финансовый [0] 3 2 43" xfId="1380"/>
    <cellStyle name="Финансовый [0] 3 2 44" xfId="1381"/>
    <cellStyle name="Финансовый [0] 3 2 45" xfId="1382"/>
    <cellStyle name="Финансовый [0] 3 2 46" xfId="1383"/>
    <cellStyle name="Финансовый [0] 3 2 47" xfId="1384"/>
    <cellStyle name="Финансовый [0] 3 2 48" xfId="1385"/>
    <cellStyle name="Финансовый [0] 3 2 49" xfId="1386"/>
    <cellStyle name="Финансовый [0] 3 2 5" xfId="1387"/>
    <cellStyle name="Финансовый [0] 3 2 50" xfId="1388"/>
    <cellStyle name="Финансовый [0] 3 2 51" xfId="1389"/>
    <cellStyle name="Финансовый [0] 3 2 52" xfId="1390"/>
    <cellStyle name="Финансовый [0] 3 2 53" xfId="1391"/>
    <cellStyle name="Финансовый [0] 3 2 54" xfId="1392"/>
    <cellStyle name="Финансовый [0] 3 2 55" xfId="1393"/>
    <cellStyle name="Финансовый [0] 3 2 56" xfId="1394"/>
    <cellStyle name="Финансовый [0] 3 2 57" xfId="1395"/>
    <cellStyle name="Финансовый [0] 3 2 58" xfId="1396"/>
    <cellStyle name="Финансовый [0] 3 2 59" xfId="1397"/>
    <cellStyle name="Финансовый [0] 3 2 6" xfId="1398"/>
    <cellStyle name="Финансовый [0] 3 2 60" xfId="1399"/>
    <cellStyle name="Финансовый [0] 3 2 61" xfId="1400"/>
    <cellStyle name="Финансовый [0] 3 2 62" xfId="1401"/>
    <cellStyle name="Финансовый [0] 3 2 63" xfId="1402"/>
    <cellStyle name="Финансовый [0] 3 2 64" xfId="1403"/>
    <cellStyle name="Финансовый [0] 3 2 65" xfId="1404"/>
    <cellStyle name="Финансовый [0] 3 2 66" xfId="1405"/>
    <cellStyle name="Финансовый [0] 3 2 67" xfId="1406"/>
    <cellStyle name="Финансовый [0] 3 2 68" xfId="1407"/>
    <cellStyle name="Финансовый [0] 3 2 69" xfId="1408"/>
    <cellStyle name="Финансовый [0] 3 2 7" xfId="1409"/>
    <cellStyle name="Финансовый [0] 3 2 70" xfId="1410"/>
    <cellStyle name="Финансовый [0] 3 2 71" xfId="1411"/>
    <cellStyle name="Финансовый [0] 3 2 72" xfId="1412"/>
    <cellStyle name="Финансовый [0] 3 2 73" xfId="1413"/>
    <cellStyle name="Финансовый [0] 3 2 74" xfId="1414"/>
    <cellStyle name="Финансовый [0] 3 2 75" xfId="1415"/>
    <cellStyle name="Финансовый [0] 3 2 76" xfId="1416"/>
    <cellStyle name="Финансовый [0] 3 2 77" xfId="1417"/>
    <cellStyle name="Финансовый [0] 3 2 78" xfId="1418"/>
    <cellStyle name="Финансовый [0] 3 2 79" xfId="1419"/>
    <cellStyle name="Финансовый [0] 3 2 8" xfId="1420"/>
    <cellStyle name="Финансовый [0] 3 2 80" xfId="1421"/>
    <cellStyle name="Финансовый [0] 3 2 81" xfId="1422"/>
    <cellStyle name="Финансовый [0] 3 2 82" xfId="1423"/>
    <cellStyle name="Финансовый [0] 3 2 83" xfId="1424"/>
    <cellStyle name="Финансовый [0] 3 2 84" xfId="1425"/>
    <cellStyle name="Финансовый [0] 3 2 85" xfId="1426"/>
    <cellStyle name="Финансовый [0] 3 2 9" xfId="1427"/>
    <cellStyle name="Финансовый [0] 3 2_новый бюджет Алга (5a)" xfId="1428"/>
    <cellStyle name="Финансовый [0] 3 20" xfId="1429"/>
    <cellStyle name="Финансовый [0] 3 21" xfId="1430"/>
    <cellStyle name="Финансовый [0] 3 22" xfId="1431"/>
    <cellStyle name="Финансовый [0] 3 23" xfId="1432"/>
    <cellStyle name="Финансовый [0] 3 24" xfId="1433"/>
    <cellStyle name="Финансовый [0] 3 25" xfId="1434"/>
    <cellStyle name="Финансовый [0] 3 26" xfId="1435"/>
    <cellStyle name="Финансовый [0] 3 27" xfId="1436"/>
    <cellStyle name="Финансовый [0] 3 28" xfId="1437"/>
    <cellStyle name="Финансовый [0] 3 28 10" xfId="1438"/>
    <cellStyle name="Финансовый [0] 3 28 11" xfId="1439"/>
    <cellStyle name="Финансовый [0] 3 28 12" xfId="1440"/>
    <cellStyle name="Финансовый [0] 3 28 13" xfId="1441"/>
    <cellStyle name="Финансовый [0] 3 28 14" xfId="1442"/>
    <cellStyle name="Финансовый [0] 3 28 15" xfId="1443"/>
    <cellStyle name="Финансовый [0] 3 28 16" xfId="1444"/>
    <cellStyle name="Финансовый [0] 3 28 17" xfId="1445"/>
    <cellStyle name="Финансовый [0] 3 28 18" xfId="1446"/>
    <cellStyle name="Финансовый [0] 3 28 19" xfId="1447"/>
    <cellStyle name="Финансовый [0] 3 28 2" xfId="1448"/>
    <cellStyle name="Финансовый [0] 3 28 20" xfId="1449"/>
    <cellStyle name="Финансовый [0] 3 28 21" xfId="1450"/>
    <cellStyle name="Финансовый [0] 3 28 22" xfId="1451"/>
    <cellStyle name="Финансовый [0] 3 28 23" xfId="1452"/>
    <cellStyle name="Финансовый [0] 3 28 24" xfId="1453"/>
    <cellStyle name="Финансовый [0] 3 28 25" xfId="1454"/>
    <cellStyle name="Финансовый [0] 3 28 26" xfId="1455"/>
    <cellStyle name="Финансовый [0] 3 28 27" xfId="1456"/>
    <cellStyle name="Финансовый [0] 3 28 28" xfId="1457"/>
    <cellStyle name="Финансовый [0] 3 28 29" xfId="1458"/>
    <cellStyle name="Финансовый [0] 3 28 3" xfId="1459"/>
    <cellStyle name="Финансовый [0] 3 28 30" xfId="1460"/>
    <cellStyle name="Финансовый [0] 3 28 31" xfId="1461"/>
    <cellStyle name="Финансовый [0] 3 28 32" xfId="1462"/>
    <cellStyle name="Финансовый [0] 3 28 33" xfId="1463"/>
    <cellStyle name="Финансовый [0] 3 28 34" xfId="1464"/>
    <cellStyle name="Финансовый [0] 3 28 35" xfId="1465"/>
    <cellStyle name="Финансовый [0] 3 28 36" xfId="1466"/>
    <cellStyle name="Финансовый [0] 3 28 37" xfId="1467"/>
    <cellStyle name="Финансовый [0] 3 28 38" xfId="1468"/>
    <cellStyle name="Финансовый [0] 3 28 39" xfId="1469"/>
    <cellStyle name="Финансовый [0] 3 28 4" xfId="1470"/>
    <cellStyle name="Финансовый [0] 3 28 40" xfId="1471"/>
    <cellStyle name="Финансовый [0] 3 28 41" xfId="1472"/>
    <cellStyle name="Финансовый [0] 3 28 42" xfId="1473"/>
    <cellStyle name="Финансовый [0] 3 28 43" xfId="1474"/>
    <cellStyle name="Финансовый [0] 3 28 44" xfId="1475"/>
    <cellStyle name="Финансовый [0] 3 28 45" xfId="1476"/>
    <cellStyle name="Финансовый [0] 3 28 46" xfId="1477"/>
    <cellStyle name="Финансовый [0] 3 28 47" xfId="1478"/>
    <cellStyle name="Финансовый [0] 3 28 48" xfId="1479"/>
    <cellStyle name="Финансовый [0] 3 28 49" xfId="1480"/>
    <cellStyle name="Финансовый [0] 3 28 5" xfId="1481"/>
    <cellStyle name="Финансовый [0] 3 28 50" xfId="1482"/>
    <cellStyle name="Финансовый [0] 3 28 51" xfId="1483"/>
    <cellStyle name="Финансовый [0] 3 28 52" xfId="1484"/>
    <cellStyle name="Финансовый [0] 3 28 53" xfId="1485"/>
    <cellStyle name="Финансовый [0] 3 28 54" xfId="1486"/>
    <cellStyle name="Финансовый [0] 3 28 55" xfId="1487"/>
    <cellStyle name="Финансовый [0] 3 28 56" xfId="1488"/>
    <cellStyle name="Финансовый [0] 3 28 57" xfId="1489"/>
    <cellStyle name="Финансовый [0] 3 28 58" xfId="1490"/>
    <cellStyle name="Финансовый [0] 3 28 59" xfId="1491"/>
    <cellStyle name="Финансовый [0] 3 28 6" xfId="1492"/>
    <cellStyle name="Финансовый [0] 3 28 60" xfId="1493"/>
    <cellStyle name="Финансовый [0] 3 28 61" xfId="1494"/>
    <cellStyle name="Финансовый [0] 3 28 62" xfId="1495"/>
    <cellStyle name="Финансовый [0] 3 28 63" xfId="1496"/>
    <cellStyle name="Финансовый [0] 3 28 64" xfId="1497"/>
    <cellStyle name="Финансовый [0] 3 28 65" xfId="1498"/>
    <cellStyle name="Финансовый [0] 3 28 66" xfId="1499"/>
    <cellStyle name="Финансовый [0] 3 28 67" xfId="1500"/>
    <cellStyle name="Финансовый [0] 3 28 68" xfId="1501"/>
    <cellStyle name="Финансовый [0] 3 28 69" xfId="1502"/>
    <cellStyle name="Финансовый [0] 3 28 7" xfId="1503"/>
    <cellStyle name="Финансовый [0] 3 28 70" xfId="1504"/>
    <cellStyle name="Финансовый [0] 3 28 71" xfId="1505"/>
    <cellStyle name="Финансовый [0] 3 28 72" xfId="1506"/>
    <cellStyle name="Финансовый [0] 3 28 73" xfId="1507"/>
    <cellStyle name="Финансовый [0] 3 28 74" xfId="1508"/>
    <cellStyle name="Финансовый [0] 3 28 75" xfId="1509"/>
    <cellStyle name="Финансовый [0] 3 28 76" xfId="1510"/>
    <cellStyle name="Финансовый [0] 3 28 77" xfId="1511"/>
    <cellStyle name="Финансовый [0] 3 28 78" xfId="1512"/>
    <cellStyle name="Финансовый [0] 3 28 8" xfId="1513"/>
    <cellStyle name="Финансовый [0] 3 28 9" xfId="1514"/>
    <cellStyle name="Финансовый [0] 3 28_новый бюджет Алга (5a)" xfId="1515"/>
    <cellStyle name="Финансовый [0] 3 29" xfId="1516"/>
    <cellStyle name="Финансовый [0] 3 3" xfId="1517"/>
    <cellStyle name="Финансовый [0] 3 30" xfId="1518"/>
    <cellStyle name="Финансовый [0] 3 31" xfId="1519"/>
    <cellStyle name="Финансовый [0] 3 32" xfId="1520"/>
    <cellStyle name="Финансовый [0] 3 33" xfId="1521"/>
    <cellStyle name="Финансовый [0] 3 34" xfId="1522"/>
    <cellStyle name="Финансовый [0] 3 35" xfId="1523"/>
    <cellStyle name="Финансовый [0] 3 36" xfId="1524"/>
    <cellStyle name="Финансовый [0] 3 37" xfId="1525"/>
    <cellStyle name="Финансовый [0] 3 38" xfId="1526"/>
    <cellStyle name="Финансовый [0] 3 39" xfId="1527"/>
    <cellStyle name="Финансовый [0] 3 4" xfId="1528"/>
    <cellStyle name="Финансовый [0] 3 40" xfId="1529"/>
    <cellStyle name="Финансовый [0] 3 41" xfId="1530"/>
    <cellStyle name="Финансовый [0] 3 42" xfId="1531"/>
    <cellStyle name="Финансовый [0] 3 43" xfId="1532"/>
    <cellStyle name="Финансовый [0] 3 44" xfId="1533"/>
    <cellStyle name="Финансовый [0] 3 45" xfId="1534"/>
    <cellStyle name="Финансовый [0] 3 46" xfId="1535"/>
    <cellStyle name="Финансовый [0] 3 47" xfId="1536"/>
    <cellStyle name="Финансовый [0] 3 48" xfId="1537"/>
    <cellStyle name="Финансовый [0] 3 49" xfId="1538"/>
    <cellStyle name="Финансовый [0] 3 5" xfId="1539"/>
    <cellStyle name="Финансовый [0] 3 50" xfId="1540"/>
    <cellStyle name="Финансовый [0] 3 51" xfId="1541"/>
    <cellStyle name="Финансовый [0] 3 52" xfId="1542"/>
    <cellStyle name="Финансовый [0] 3 53" xfId="1543"/>
    <cellStyle name="Финансовый [0] 3 54" xfId="1544"/>
    <cellStyle name="Финансовый [0] 3 55" xfId="1545"/>
    <cellStyle name="Финансовый [0] 3 56" xfId="1546"/>
    <cellStyle name="Финансовый [0] 3 57" xfId="1547"/>
    <cellStyle name="Финансовый [0] 3 58" xfId="1548"/>
    <cellStyle name="Финансовый [0] 3 59" xfId="1549"/>
    <cellStyle name="Финансовый [0] 3 6" xfId="1550"/>
    <cellStyle name="Финансовый [0] 3 60" xfId="1551"/>
    <cellStyle name="Финансовый [0] 3 61" xfId="1552"/>
    <cellStyle name="Финансовый [0] 3 62" xfId="1553"/>
    <cellStyle name="Финансовый [0] 3 63" xfId="1554"/>
    <cellStyle name="Финансовый [0] 3 64" xfId="1555"/>
    <cellStyle name="Финансовый [0] 3 65" xfId="1556"/>
    <cellStyle name="Финансовый [0] 3 66" xfId="1557"/>
    <cellStyle name="Финансовый [0] 3 67" xfId="1558"/>
    <cellStyle name="Финансовый [0] 3 68" xfId="1559"/>
    <cellStyle name="Финансовый [0] 3 69" xfId="1560"/>
    <cellStyle name="Финансовый [0] 3 7" xfId="1561"/>
    <cellStyle name="Финансовый [0] 3 70" xfId="1562"/>
    <cellStyle name="Финансовый [0] 3 71" xfId="1563"/>
    <cellStyle name="Финансовый [0] 3 72" xfId="1564"/>
    <cellStyle name="Финансовый [0] 3 73" xfId="1565"/>
    <cellStyle name="Финансовый [0] 3 74" xfId="1566"/>
    <cellStyle name="Финансовый [0] 3 75" xfId="1567"/>
    <cellStyle name="Финансовый [0] 3 76" xfId="1568"/>
    <cellStyle name="Финансовый [0] 3 77" xfId="1569"/>
    <cellStyle name="Финансовый [0] 3 78" xfId="1570"/>
    <cellStyle name="Финансовый [0] 3 79" xfId="1571"/>
    <cellStyle name="Финансовый [0] 3 8" xfId="1572"/>
    <cellStyle name="Финансовый [0] 3 80" xfId="1573"/>
    <cellStyle name="Финансовый [0] 3 81" xfId="1574"/>
    <cellStyle name="Финансовый [0] 3 82" xfId="1575"/>
    <cellStyle name="Финансовый [0] 3 83" xfId="1576"/>
    <cellStyle name="Финансовый [0] 3 84" xfId="1577"/>
    <cellStyle name="Финансовый [0] 3 85" xfId="1578"/>
    <cellStyle name="Финансовый [0] 3 86" xfId="1579"/>
    <cellStyle name="Финансовый [0] 3 87" xfId="1580"/>
    <cellStyle name="Финансовый [0] 3 88" xfId="1581"/>
    <cellStyle name="Финансовый [0] 3 89" xfId="1582"/>
    <cellStyle name="Финансовый [0] 3 9" xfId="1583"/>
    <cellStyle name="Финансовый [0] 3 90" xfId="1584"/>
    <cellStyle name="Финансовый [0] 3 91" xfId="1585"/>
    <cellStyle name="Финансовый [0] 3 92" xfId="1586"/>
    <cellStyle name="Финансовый [0] 3 93" xfId="1587"/>
    <cellStyle name="Финансовый [0] 3 94" xfId="1588"/>
    <cellStyle name="Финансовый [0] 3 95" xfId="1589"/>
    <cellStyle name="Финансовый [0] 3 96" xfId="1590"/>
    <cellStyle name="Финансовый [0] 3 97" xfId="1591"/>
    <cellStyle name="Финансовый [0] 3 98" xfId="1592"/>
    <cellStyle name="Финансовый [0] 3 99" xfId="1593"/>
    <cellStyle name="Финансовый [0] 3_новый бюджет Алга (5a)" xfId="1594"/>
    <cellStyle name="Финансовый [0] 4" xfId="1595"/>
    <cellStyle name="Финансовый [0] 5" xfId="1596"/>
    <cellStyle name="Финансовый 10" xfId="1597"/>
    <cellStyle name="Финансовый 10 2" xfId="1598"/>
    <cellStyle name="Финансовый 10 3" xfId="1599"/>
    <cellStyle name="Финансовый 10 4" xfId="1600"/>
    <cellStyle name="Финансовый 10 5" xfId="1601"/>
    <cellStyle name="Финансовый 10 6" xfId="1602"/>
    <cellStyle name="Финансовый 11" xfId="1603"/>
    <cellStyle name="Финансовый 11 2" xfId="1604"/>
    <cellStyle name="Финансовый 11 3" xfId="1605"/>
    <cellStyle name="Финансовый 11 4" xfId="1606"/>
    <cellStyle name="Финансовый 11 5" xfId="1607"/>
    <cellStyle name="Финансовый 11 6" xfId="1608"/>
    <cellStyle name="Финансовый 12" xfId="1609"/>
    <cellStyle name="Финансовый 12 2" xfId="1610"/>
    <cellStyle name="Финансовый 12 3" xfId="1611"/>
    <cellStyle name="Финансовый 12 4" xfId="1612"/>
    <cellStyle name="Финансовый 12 5" xfId="1613"/>
    <cellStyle name="Финансовый 12 6" xfId="1614"/>
    <cellStyle name="Финансовый 13" xfId="1615"/>
    <cellStyle name="Финансовый 13 2" xfId="1616"/>
    <cellStyle name="Финансовый 13 3" xfId="1617"/>
    <cellStyle name="Финансовый 13 4" xfId="1618"/>
    <cellStyle name="Финансовый 13 5" xfId="1619"/>
    <cellStyle name="Финансовый 13 6" xfId="1620"/>
    <cellStyle name="Финансовый 14" xfId="1621"/>
    <cellStyle name="Финансовый 14 2" xfId="1622"/>
    <cellStyle name="Финансовый 14 3" xfId="1623"/>
    <cellStyle name="Финансовый 14 4" xfId="1624"/>
    <cellStyle name="Финансовый 14 5" xfId="1625"/>
    <cellStyle name="Финансовый 14 6" xfId="1626"/>
    <cellStyle name="Финансовый 15" xfId="1627"/>
    <cellStyle name="Финансовый 15 2" xfId="1628"/>
    <cellStyle name="Финансовый 15 3" xfId="1629"/>
    <cellStyle name="Финансовый 15 4" xfId="1630"/>
    <cellStyle name="Финансовый 15 5" xfId="1631"/>
    <cellStyle name="Финансовый 15 6" xfId="1632"/>
    <cellStyle name="Финансовый 16" xfId="1633"/>
    <cellStyle name="Финансовый 16 2" xfId="1634"/>
    <cellStyle name="Финансовый 16 3" xfId="1635"/>
    <cellStyle name="Финансовый 16 4" xfId="1636"/>
    <cellStyle name="Финансовый 16 5" xfId="1637"/>
    <cellStyle name="Финансовый 16 6" xfId="1638"/>
    <cellStyle name="Финансовый 17" xfId="1639"/>
    <cellStyle name="Финансовый 17 2" xfId="1640"/>
    <cellStyle name="Финансовый 17 3" xfId="1641"/>
    <cellStyle name="Финансовый 17 4" xfId="1642"/>
    <cellStyle name="Финансовый 17 5" xfId="1643"/>
    <cellStyle name="Финансовый 17 6" xfId="1644"/>
    <cellStyle name="Финансовый 18" xfId="1645"/>
    <cellStyle name="Финансовый 18 2" xfId="1646"/>
    <cellStyle name="Финансовый 18 3" xfId="1647"/>
    <cellStyle name="Финансовый 18 4" xfId="1648"/>
    <cellStyle name="Финансовый 18 5" xfId="1649"/>
    <cellStyle name="Финансовый 18 6" xfId="1650"/>
    <cellStyle name="Финансовый 19" xfId="1651"/>
    <cellStyle name="Финансовый 19 2" xfId="1652"/>
    <cellStyle name="Финансовый 19 3" xfId="1653"/>
    <cellStyle name="Финансовый 19 4" xfId="1654"/>
    <cellStyle name="Финансовый 19 5" xfId="1655"/>
    <cellStyle name="Финансовый 19 6" xfId="1656"/>
    <cellStyle name="Финансовый 2" xfId="1657"/>
    <cellStyle name="Финансовый 2 2" xfId="1658"/>
    <cellStyle name="Финансовый 2 3" xfId="1659"/>
    <cellStyle name="Финансовый 2 4" xfId="1660"/>
    <cellStyle name="Финансовый 2 5" xfId="1661"/>
    <cellStyle name="Финансовый 2 6" xfId="1662"/>
    <cellStyle name="Финансовый 2 7" xfId="1663"/>
    <cellStyle name="Финансовый 2 8" xfId="1664"/>
    <cellStyle name="Финансовый 2 9" xfId="1665"/>
    <cellStyle name="Финансовый 20" xfId="1666"/>
    <cellStyle name="Финансовый 20 2" xfId="1667"/>
    <cellStyle name="Финансовый 20 3" xfId="1668"/>
    <cellStyle name="Финансовый 20 4" xfId="1669"/>
    <cellStyle name="Финансовый 20 5" xfId="1670"/>
    <cellStyle name="Финансовый 20 6" xfId="1671"/>
    <cellStyle name="Финансовый 21" xfId="1672"/>
    <cellStyle name="Финансовый 21 2" xfId="1673"/>
    <cellStyle name="Финансовый 21 3" xfId="1674"/>
    <cellStyle name="Финансовый 21 4" xfId="1675"/>
    <cellStyle name="Финансовый 21 5" xfId="1676"/>
    <cellStyle name="Финансовый 21 6" xfId="1677"/>
    <cellStyle name="Финансовый 22" xfId="1678"/>
    <cellStyle name="Финансовый 22 2" xfId="1679"/>
    <cellStyle name="Финансовый 22 2 2" xfId="1680"/>
    <cellStyle name="Финансовый 22 2 3" xfId="1681"/>
    <cellStyle name="Финансовый 22 2 4" xfId="1682"/>
    <cellStyle name="Финансовый 22 2 5" xfId="1683"/>
    <cellStyle name="Финансовый 22 2 6" xfId="1684"/>
    <cellStyle name="Финансовый 22 3" xfId="1685"/>
    <cellStyle name="Финансовый 22 3 2" xfId="1686"/>
    <cellStyle name="Финансовый 22 3 2 2" xfId="1687"/>
    <cellStyle name="Финансовый 22 3 2 3" xfId="1688"/>
    <cellStyle name="Финансовый 22 3 2 4" xfId="1689"/>
    <cellStyle name="Финансовый 22 3 2 5" xfId="1690"/>
    <cellStyle name="Финансовый 22 3 2 6" xfId="1691"/>
    <cellStyle name="Финансовый 22 3 3" xfId="1692"/>
    <cellStyle name="Финансовый 22 3 4" xfId="1693"/>
    <cellStyle name="Финансовый 22 3 5" xfId="1694"/>
    <cellStyle name="Финансовый 22 3 6" xfId="1695"/>
    <cellStyle name="Финансовый 22 3 7" xfId="1696"/>
    <cellStyle name="Финансовый 22 4" xfId="1697"/>
    <cellStyle name="Финансовый 22 5" xfId="1698"/>
    <cellStyle name="Финансовый 22 6" xfId="1699"/>
    <cellStyle name="Финансовый 22 7" xfId="1700"/>
    <cellStyle name="Финансовый 22 8" xfId="1701"/>
    <cellStyle name="Финансовый 23" xfId="1702"/>
    <cellStyle name="Финансовый 23 2" xfId="1703"/>
    <cellStyle name="Финансовый 23 3" xfId="1704"/>
    <cellStyle name="Финансовый 23 4" xfId="1705"/>
    <cellStyle name="Финансовый 23 5" xfId="1706"/>
    <cellStyle name="Финансовый 23 6" xfId="1707"/>
    <cellStyle name="Финансовый 24" xfId="1708"/>
    <cellStyle name="Финансовый 24 2" xfId="1709"/>
    <cellStyle name="Финансовый 24 2 2" xfId="1710"/>
    <cellStyle name="Финансовый 24 3" xfId="1711"/>
    <cellStyle name="Финансовый 24 3 2" xfId="1712"/>
    <cellStyle name="Финансовый 24 4" xfId="1713"/>
    <cellStyle name="Финансовый 24 4 2" xfId="1714"/>
    <cellStyle name="Финансовый 24 5" xfId="1715"/>
    <cellStyle name="Финансовый 24 5 2" xfId="1716"/>
    <cellStyle name="Финансовый 24 6" xfId="1717"/>
    <cellStyle name="Финансовый 24 6 2" xfId="1718"/>
    <cellStyle name="Финансовый 24 7" xfId="1719"/>
    <cellStyle name="Финансовый 25" xfId="1720"/>
    <cellStyle name="Финансовый 25 2" xfId="1721"/>
    <cellStyle name="Финансовый 25 3" xfId="1722"/>
    <cellStyle name="Финансовый 25 4" xfId="1723"/>
    <cellStyle name="Финансовый 25 5" xfId="1724"/>
    <cellStyle name="Финансовый 25 6" xfId="1725"/>
    <cellStyle name="Финансовый 26" xfId="1726"/>
    <cellStyle name="Финансовый 26 2" xfId="1727"/>
    <cellStyle name="Финансовый 27" xfId="1728"/>
    <cellStyle name="Финансовый 28" xfId="1729"/>
    <cellStyle name="Финансовый 28 2" xfId="1851"/>
    <cellStyle name="Финансовый 3" xfId="1730"/>
    <cellStyle name="Финансовый 3 2" xfId="1731"/>
    <cellStyle name="Финансовый 3 3" xfId="1732"/>
    <cellStyle name="Финансовый 3 4" xfId="1733"/>
    <cellStyle name="Финансовый 3 5" xfId="1734"/>
    <cellStyle name="Финансовый 3 6" xfId="1735"/>
    <cellStyle name="Финансовый 4" xfId="1736"/>
    <cellStyle name="Финансовый 4 2" xfId="1737"/>
    <cellStyle name="Финансовый 4 3" xfId="1738"/>
    <cellStyle name="Финансовый 4 4" xfId="1739"/>
    <cellStyle name="Финансовый 4 5" xfId="1740"/>
    <cellStyle name="Финансовый 4 6" xfId="1741"/>
    <cellStyle name="Финансовый 5" xfId="1742"/>
    <cellStyle name="Финансовый 5 2" xfId="1743"/>
    <cellStyle name="Финансовый 5 2 2" xfId="1744"/>
    <cellStyle name="Финансовый 5 2 3" xfId="1745"/>
    <cellStyle name="Финансовый 5 2 4" xfId="1746"/>
    <cellStyle name="Финансовый 5 2 5" xfId="1747"/>
    <cellStyle name="Финансовый 5 2 6" xfId="1748"/>
    <cellStyle name="Финансовый 5 3" xfId="1749"/>
    <cellStyle name="Финансовый 5 3 2" xfId="1750"/>
    <cellStyle name="Финансовый 5 3 3" xfId="1751"/>
    <cellStyle name="Финансовый 5 3 4" xfId="1752"/>
    <cellStyle name="Финансовый 5 3 5" xfId="1753"/>
    <cellStyle name="Финансовый 5 3 6" xfId="1754"/>
    <cellStyle name="Финансовый 5 4" xfId="1755"/>
    <cellStyle name="Финансовый 5 4 2" xfId="1756"/>
    <cellStyle name="Финансовый 5 4 3" xfId="1757"/>
    <cellStyle name="Финансовый 5 4 4" xfId="1758"/>
    <cellStyle name="Финансовый 5 4 5" xfId="1759"/>
    <cellStyle name="Финансовый 5 4 6" xfId="1760"/>
    <cellStyle name="Финансовый 5 5" xfId="1761"/>
    <cellStyle name="Финансовый 5 6" xfId="1762"/>
    <cellStyle name="Финансовый 5 7" xfId="1763"/>
    <cellStyle name="Финансовый 5 8" xfId="1764"/>
    <cellStyle name="Финансовый 5 9" xfId="1765"/>
    <cellStyle name="Финансовый 6" xfId="1766"/>
    <cellStyle name="Финансовый 6 2" xfId="1767"/>
    <cellStyle name="Финансовый 6 3" xfId="1768"/>
    <cellStyle name="Финансовый 6 4" xfId="1769"/>
    <cellStyle name="Финансовый 6 5" xfId="1770"/>
    <cellStyle name="Финансовый 6 6" xfId="1771"/>
    <cellStyle name="Финансовый 7" xfId="1772"/>
    <cellStyle name="Финансовый 7 2" xfId="1773"/>
    <cellStyle name="Финансовый 7 3" xfId="1774"/>
    <cellStyle name="Финансовый 7 4" xfId="1775"/>
    <cellStyle name="Финансовый 7 5" xfId="1776"/>
    <cellStyle name="Финансовый 7 6" xfId="1777"/>
    <cellStyle name="Финансовый 8" xfId="1778"/>
    <cellStyle name="Финансовый 8 2" xfId="1779"/>
    <cellStyle name="Финансовый 8 3" xfId="1780"/>
    <cellStyle name="Финансовый 8 4" xfId="1781"/>
    <cellStyle name="Финансовый 8 5" xfId="1782"/>
    <cellStyle name="Финансовый 8 6" xfId="1783"/>
    <cellStyle name="Финансовый 9" xfId="1784"/>
    <cellStyle name="Финансовый 9 2" xfId="1785"/>
    <cellStyle name="Финансовый 9 3" xfId="1786"/>
    <cellStyle name="Финансовый 9 4" xfId="1787"/>
    <cellStyle name="Финансовый 9 5" xfId="1788"/>
    <cellStyle name="Финансовый 9 6" xfId="1789"/>
    <cellStyle name="Хороший 2" xfId="1790"/>
    <cellStyle name="Хороший 3" xfId="1791"/>
    <cellStyle name="Хороший 4" xfId="1792"/>
    <cellStyle name="Хороший 5" xfId="1793"/>
    <cellStyle name="Хороший 6" xfId="179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182</xdr:col>
      <xdr:colOff>200025</xdr:colOff>
      <xdr:row>13</xdr:row>
      <xdr:rowOff>152400</xdr:rowOff>
    </xdr:from>
    <xdr:to>
      <xdr:col>182</xdr:col>
      <xdr:colOff>247650</xdr:colOff>
      <xdr:row>21</xdr:row>
      <xdr:rowOff>47625</xdr:rowOff>
    </xdr:to>
    <xdr:sp macro="" textlink="">
      <xdr:nvSpPr>
        <xdr:cNvPr id="11506" name="Line 90"/>
        <xdr:cNvSpPr>
          <a:spLocks noChangeShapeType="1"/>
        </xdr:cNvSpPr>
      </xdr:nvSpPr>
      <xdr:spPr bwMode="auto">
        <a:xfrm flipH="1">
          <a:off x="110289975" y="2257425"/>
          <a:ext cx="47625" cy="1228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181</xdr:col>
      <xdr:colOff>180975</xdr:colOff>
      <xdr:row>16</xdr:row>
      <xdr:rowOff>9525</xdr:rowOff>
    </xdr:from>
    <xdr:to>
      <xdr:col>181</xdr:col>
      <xdr:colOff>314325</xdr:colOff>
      <xdr:row>21</xdr:row>
      <xdr:rowOff>47625</xdr:rowOff>
    </xdr:to>
    <xdr:sp macro="" textlink="">
      <xdr:nvSpPr>
        <xdr:cNvPr id="11507" name="Line 91"/>
        <xdr:cNvSpPr>
          <a:spLocks noChangeShapeType="1"/>
        </xdr:cNvSpPr>
      </xdr:nvSpPr>
      <xdr:spPr bwMode="auto">
        <a:xfrm flipH="1">
          <a:off x="109661325" y="2600325"/>
          <a:ext cx="133350" cy="885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457200</xdr:colOff>
      <xdr:row>8</xdr:row>
      <xdr:rowOff>171450</xdr:rowOff>
    </xdr:from>
    <xdr:to>
      <xdr:col>28</xdr:col>
      <xdr:colOff>66675</xdr:colOff>
      <xdr:row>11</xdr:row>
      <xdr:rowOff>104775</xdr:rowOff>
    </xdr:to>
    <xdr:cxnSp macro="">
      <xdr:nvCxnSpPr>
        <xdr:cNvPr id="15709" name="Прямая со стрелкой 2"/>
        <xdr:cNvCxnSpPr>
          <a:cxnSpLocks noChangeShapeType="1"/>
        </xdr:cNvCxnSpPr>
      </xdr:nvCxnSpPr>
      <xdr:spPr bwMode="auto">
        <a:xfrm flipV="1">
          <a:off x="14782800" y="2076450"/>
          <a:ext cx="1028700" cy="466725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29</xdr:col>
      <xdr:colOff>381000</xdr:colOff>
      <xdr:row>8</xdr:row>
      <xdr:rowOff>171450</xdr:rowOff>
    </xdr:from>
    <xdr:to>
      <xdr:col>30</xdr:col>
      <xdr:colOff>19050</xdr:colOff>
      <xdr:row>10</xdr:row>
      <xdr:rowOff>38100</xdr:rowOff>
    </xdr:to>
    <xdr:cxnSp macro="">
      <xdr:nvCxnSpPr>
        <xdr:cNvPr id="15710" name="Прямая со стрелкой 4"/>
        <xdr:cNvCxnSpPr>
          <a:cxnSpLocks noChangeShapeType="1"/>
        </xdr:cNvCxnSpPr>
      </xdr:nvCxnSpPr>
      <xdr:spPr bwMode="auto">
        <a:xfrm flipH="1" flipV="1">
          <a:off x="16811625" y="2076450"/>
          <a:ext cx="247650" cy="238125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26</xdr:col>
      <xdr:colOff>457200</xdr:colOff>
      <xdr:row>11</xdr:row>
      <xdr:rowOff>95250</xdr:rowOff>
    </xdr:from>
    <xdr:to>
      <xdr:col>27</xdr:col>
      <xdr:colOff>28575</xdr:colOff>
      <xdr:row>11</xdr:row>
      <xdr:rowOff>104775</xdr:rowOff>
    </xdr:to>
    <xdr:cxnSp macro="">
      <xdr:nvCxnSpPr>
        <xdr:cNvPr id="15711" name="Прямая со стрелкой 6"/>
        <xdr:cNvCxnSpPr>
          <a:cxnSpLocks noChangeShapeType="1"/>
        </xdr:cNvCxnSpPr>
      </xdr:nvCxnSpPr>
      <xdr:spPr bwMode="auto">
        <a:xfrm flipV="1">
          <a:off x="14782800" y="2533650"/>
          <a:ext cx="276225" cy="9525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7</xdr:col>
      <xdr:colOff>549519</xdr:colOff>
      <xdr:row>1</xdr:row>
      <xdr:rowOff>24423</xdr:rowOff>
    </xdr:from>
    <xdr:to>
      <xdr:col>31</xdr:col>
      <xdr:colOff>73269</xdr:colOff>
      <xdr:row>1</xdr:row>
      <xdr:rowOff>36635</xdr:rowOff>
    </xdr:to>
    <xdr:cxnSp macro="">
      <xdr:nvCxnSpPr>
        <xdr:cNvPr id="6" name="Прямая со стрелкой 5"/>
        <xdr:cNvCxnSpPr/>
      </xdr:nvCxnSpPr>
      <xdr:spPr bwMode="auto">
        <a:xfrm flipV="1">
          <a:off x="5006731" y="219808"/>
          <a:ext cx="13029711" cy="12212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</xdr:spPr>
    </xdr:cxnSp>
    <xdr:clientData/>
  </xdr:twoCellAnchor>
  <xdr:twoCellAnchor editAs="oneCell">
    <xdr:from>
      <xdr:col>18</xdr:col>
      <xdr:colOff>0</xdr:colOff>
      <xdr:row>4</xdr:row>
      <xdr:rowOff>0</xdr:rowOff>
    </xdr:from>
    <xdr:to>
      <xdr:col>24</xdr:col>
      <xdr:colOff>193479</xdr:colOff>
      <xdr:row>13</xdr:row>
      <xdr:rowOff>28184</xdr:rowOff>
    </xdr:to>
    <xdr:pic>
      <xdr:nvPicPr>
        <xdr:cNvPr id="8" name="Рисунок 7" descr="Расчет доз удобрений на заданную урожайность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85769" y="1062404"/>
          <a:ext cx="3808095" cy="170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867019</xdr:colOff>
      <xdr:row>1</xdr:row>
      <xdr:rowOff>73269</xdr:rowOff>
    </xdr:from>
    <xdr:to>
      <xdr:col>19</xdr:col>
      <xdr:colOff>244231</xdr:colOff>
      <xdr:row>4</xdr:row>
      <xdr:rowOff>0</xdr:rowOff>
    </xdr:to>
    <xdr:cxnSp macro="">
      <xdr:nvCxnSpPr>
        <xdr:cNvPr id="14" name="Прямая со стрелкой 13"/>
        <xdr:cNvCxnSpPr/>
      </xdr:nvCxnSpPr>
      <xdr:spPr bwMode="auto">
        <a:xfrm flipH="1" flipV="1">
          <a:off x="12052788" y="268654"/>
          <a:ext cx="891443" cy="7937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20</xdr:row>
      <xdr:rowOff>0</xdr:rowOff>
    </xdr:from>
    <xdr:to>
      <xdr:col>20</xdr:col>
      <xdr:colOff>150495</xdr:colOff>
      <xdr:row>30</xdr:row>
      <xdr:rowOff>62865</xdr:rowOff>
    </xdr:to>
    <xdr:pic>
      <xdr:nvPicPr>
        <xdr:cNvPr id="2" name="Рисунок 1" descr="Расчет доз удобрений на заданную урожайность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05975" y="3257550"/>
          <a:ext cx="3808095" cy="1701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BC356"/>
  <sheetViews>
    <sheetView zoomScale="75" workbookViewId="0">
      <pane xSplit="1" ySplit="21" topLeftCell="S290" activePane="bottomRight" state="frozen"/>
      <selection pane="topRight" activeCell="B1" sqref="B1"/>
      <selection pane="bottomLeft" activeCell="A22" sqref="A22"/>
      <selection pane="bottomRight" activeCell="T306" sqref="T30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281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281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281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281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281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281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281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281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281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0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1" t="s">
        <v>324</v>
      </c>
      <c r="AU21" s="269" t="s">
        <v>29</v>
      </c>
      <c r="AV21" s="269" t="s">
        <v>30</v>
      </c>
      <c r="AW21" s="269" t="s">
        <v>31</v>
      </c>
      <c r="AX21" s="269" t="s">
        <v>29</v>
      </c>
      <c r="AY21" s="269" t="s">
        <v>30</v>
      </c>
      <c r="AZ21" s="269" t="s">
        <v>31</v>
      </c>
      <c r="BA21" s="272" t="s">
        <v>362</v>
      </c>
      <c r="BB21" s="269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102"/>
      <c r="AM344" s="102"/>
      <c r="AN344" s="102"/>
      <c r="AO344" s="102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102"/>
      <c r="AM345" s="102"/>
      <c r="AN345" s="102"/>
      <c r="AO345" s="102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102"/>
      <c r="AM346" s="102"/>
      <c r="AN346" s="102"/>
      <c r="AO346" s="102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102"/>
      <c r="AM347" s="102"/>
      <c r="AN347" s="102"/>
      <c r="AO347" s="102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102"/>
      <c r="AM348" s="102"/>
      <c r="AN348" s="102"/>
      <c r="AO348" s="102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102"/>
      <c r="AM349" s="102"/>
      <c r="AN349" s="102"/>
      <c r="AO349" s="102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102"/>
      <c r="AM350" s="102"/>
      <c r="AN350" s="102"/>
      <c r="AO350" s="102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102"/>
      <c r="AM351" s="102"/>
      <c r="AN351" s="102"/>
      <c r="AO351" s="102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102"/>
      <c r="AM352" s="102"/>
      <c r="AN352" s="102"/>
      <c r="AO352" s="102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102"/>
      <c r="AM353" s="102"/>
      <c r="AN353" s="102"/>
      <c r="AO353" s="102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102"/>
      <c r="AM354" s="102"/>
      <c r="AN354" s="102"/>
      <c r="AO354" s="102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102"/>
      <c r="AM355" s="102"/>
      <c r="AN355" s="102"/>
      <c r="AO355" s="102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102"/>
      <c r="AM356" s="102"/>
      <c r="AN356" s="102"/>
      <c r="AO356" s="102"/>
      <c r="AP356" s="280"/>
    </row>
  </sheetData>
  <sheetProtection sheet="1" objects="1" scenarios="1" formatCells="0" formatColumns="0" formatRows="0"/>
  <protectedRanges>
    <protectedRange sqref="AP22:AP356" name="Диапазон5"/>
    <protectedRange sqref="A22:AK356" name="Диапазон3_1"/>
    <protectedRange sqref="A1" name="Диапазон4_2_1_1"/>
    <protectedRange sqref="AL22:AO356" name="Диапазон3_1_1_1"/>
    <protectedRange sqref="AL1:AP14" name="Диапазон1_1_1_1_1"/>
  </protectedRanges>
  <mergeCells count="16">
    <mergeCell ref="L20:M20"/>
    <mergeCell ref="N20:O20"/>
    <mergeCell ref="T20:U20"/>
    <mergeCell ref="AU18:AZ19"/>
    <mergeCell ref="AL19:AO19"/>
    <mergeCell ref="AU20:AW20"/>
    <mergeCell ref="AX20:AZ20"/>
    <mergeCell ref="K19:O19"/>
    <mergeCell ref="Q19:W19"/>
    <mergeCell ref="X19:AC19"/>
    <mergeCell ref="AD19:AF19"/>
    <mergeCell ref="BA18:BC18"/>
    <mergeCell ref="BB19:BC19"/>
    <mergeCell ref="AD20:AF20"/>
    <mergeCell ref="BB20:BC20"/>
    <mergeCell ref="X20:Z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АшламаЛ11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BC356"/>
  <sheetViews>
    <sheetView zoomScale="73" zoomScaleNormal="73" workbookViewId="0">
      <pane xSplit="1" ySplit="21" topLeftCell="AB22" activePane="bottomRight" state="frozen"/>
      <selection pane="topRight" activeCell="B1" sqref="B1"/>
      <selection pane="bottomLeft" activeCell="A22" sqref="A22"/>
      <selection pane="bottomRight" sqref="A1:XFD104857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 t="s">
        <v>547</v>
      </c>
      <c r="AM4" s="6">
        <v>0.16</v>
      </c>
      <c r="AN4" s="6">
        <v>0.16</v>
      </c>
      <c r="AO4" s="6">
        <v>0.16</v>
      </c>
      <c r="AP4" s="102"/>
      <c r="AQ4" s="107">
        <f>AP4-Потребность!Z8</f>
        <v>0</v>
      </c>
      <c r="AR4" s="123">
        <v>1</v>
      </c>
      <c r="AS4" s="11">
        <f t="shared" si="0"/>
        <v>1</v>
      </c>
      <c r="AT4" s="11">
        <f t="shared" si="1"/>
        <v>1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 t="s">
        <v>548</v>
      </c>
      <c r="AM5" s="6">
        <v>0.20499999999999999</v>
      </c>
      <c r="AN5" s="6">
        <v>0</v>
      </c>
      <c r="AO5" s="6">
        <v>0</v>
      </c>
      <c r="AP5" s="102"/>
      <c r="AQ5" s="107">
        <f>AP5-Потребность!Z9</f>
        <v>0</v>
      </c>
      <c r="AR5" s="123">
        <v>1</v>
      </c>
      <c r="AS5" s="11">
        <f t="shared" si="0"/>
        <v>0</v>
      </c>
      <c r="AT5" s="11">
        <f t="shared" si="1"/>
        <v>0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 t="s">
        <v>546</v>
      </c>
      <c r="AM6" s="6">
        <v>0</v>
      </c>
      <c r="AN6" s="6">
        <v>0</v>
      </c>
      <c r="AO6" s="6">
        <v>0.28000000000000003</v>
      </c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281" t="s">
        <v>613</v>
      </c>
      <c r="AM7" s="313"/>
      <c r="AN7" s="313"/>
      <c r="AO7" s="313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284"/>
      <c r="B22" s="285"/>
      <c r="C22" s="284"/>
      <c r="D22" s="284"/>
      <c r="E22" s="285"/>
      <c r="F22" s="286"/>
      <c r="G22" s="287"/>
      <c r="H22" s="288"/>
      <c r="I22" s="289"/>
      <c r="J22" s="289"/>
      <c r="K22" s="286"/>
      <c r="L22" s="279"/>
      <c r="M22" s="279"/>
      <c r="N22" s="279"/>
      <c r="O22" s="279"/>
      <c r="P22" s="122"/>
      <c r="Q22" s="290"/>
      <c r="R22" s="290"/>
      <c r="S22" s="290"/>
      <c r="T22" s="291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292"/>
      <c r="AH22" s="291"/>
      <c r="AI22" s="293"/>
      <c r="AJ22" s="294"/>
      <c r="AK22" s="295"/>
      <c r="AL22" s="281"/>
      <c r="AM22" s="281"/>
      <c r="AN22" s="281"/>
      <c r="AO22" s="281"/>
      <c r="AP22" s="280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284"/>
      <c r="B23" s="285"/>
      <c r="C23" s="284"/>
      <c r="D23" s="284"/>
      <c r="E23" s="285"/>
      <c r="F23" s="286"/>
      <c r="G23" s="287"/>
      <c r="H23" s="288"/>
      <c r="I23" s="289"/>
      <c r="J23" s="289"/>
      <c r="K23" s="286"/>
      <c r="L23" s="279"/>
      <c r="M23" s="279"/>
      <c r="N23" s="279"/>
      <c r="O23" s="279"/>
      <c r="P23" s="122"/>
      <c r="Q23" s="290"/>
      <c r="R23" s="290"/>
      <c r="S23" s="290"/>
      <c r="T23" s="291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292"/>
      <c r="AH23" s="291"/>
      <c r="AI23" s="293"/>
      <c r="AJ23" s="294"/>
      <c r="AK23" s="295"/>
      <c r="AL23" s="281"/>
      <c r="AM23" s="281"/>
      <c r="AN23" s="281"/>
      <c r="AO23" s="281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284"/>
      <c r="B24" s="285"/>
      <c r="C24" s="284"/>
      <c r="D24" s="284"/>
      <c r="E24" s="285"/>
      <c r="F24" s="286"/>
      <c r="G24" s="287"/>
      <c r="H24" s="288"/>
      <c r="I24" s="289"/>
      <c r="J24" s="289"/>
      <c r="K24" s="286"/>
      <c r="L24" s="279"/>
      <c r="M24" s="279"/>
      <c r="N24" s="279"/>
      <c r="O24" s="311"/>
      <c r="P24" s="122"/>
      <c r="Q24" s="290"/>
      <c r="R24" s="290"/>
      <c r="S24" s="290"/>
      <c r="T24" s="291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292"/>
      <c r="AH24" s="291"/>
      <c r="AI24" s="293"/>
      <c r="AJ24" s="294"/>
      <c r="AK24" s="295"/>
      <c r="AL24" s="281"/>
      <c r="AM24" s="281"/>
      <c r="AN24" s="281"/>
      <c r="AO24" s="281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284"/>
      <c r="B25" s="285"/>
      <c r="C25" s="284"/>
      <c r="D25" s="284"/>
      <c r="E25" s="285"/>
      <c r="F25" s="286"/>
      <c r="G25" s="287"/>
      <c r="H25" s="288"/>
      <c r="I25" s="289"/>
      <c r="J25" s="289"/>
      <c r="K25" s="286"/>
      <c r="L25" s="279"/>
      <c r="M25" s="279"/>
      <c r="N25" s="279"/>
      <c r="O25" s="311"/>
      <c r="P25" s="122"/>
      <c r="Q25" s="290"/>
      <c r="R25" s="290"/>
      <c r="S25" s="290"/>
      <c r="T25" s="291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292"/>
      <c r="AH25" s="291"/>
      <c r="AI25" s="293"/>
      <c r="AJ25" s="294"/>
      <c r="AK25" s="295"/>
      <c r="AL25" s="281"/>
      <c r="AM25" s="281"/>
      <c r="AN25" s="281"/>
      <c r="AO25" s="281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284"/>
      <c r="B26" s="285"/>
      <c r="C26" s="284"/>
      <c r="D26" s="284"/>
      <c r="E26" s="285"/>
      <c r="F26" s="286"/>
      <c r="G26" s="287"/>
      <c r="H26" s="288"/>
      <c r="I26" s="289"/>
      <c r="J26" s="289"/>
      <c r="K26" s="286"/>
      <c r="L26" s="279"/>
      <c r="M26" s="279"/>
      <c r="N26" s="279"/>
      <c r="O26" s="311"/>
      <c r="P26" s="122"/>
      <c r="Q26" s="290"/>
      <c r="R26" s="290"/>
      <c r="S26" s="290"/>
      <c r="T26" s="291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292"/>
      <c r="AH26" s="291"/>
      <c r="AI26" s="293"/>
      <c r="AJ26" s="294"/>
      <c r="AK26" s="295"/>
      <c r="AL26" s="281"/>
      <c r="AM26" s="281"/>
      <c r="AN26" s="281"/>
      <c r="AO26" s="281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284"/>
      <c r="B27" s="285"/>
      <c r="C27" s="284"/>
      <c r="D27" s="284"/>
      <c r="E27" s="285"/>
      <c r="F27" s="286"/>
      <c r="G27" s="287"/>
      <c r="H27" s="288"/>
      <c r="I27" s="289"/>
      <c r="J27" s="289"/>
      <c r="K27" s="286"/>
      <c r="L27" s="279"/>
      <c r="M27" s="279"/>
      <c r="N27" s="279"/>
      <c r="O27" s="311"/>
      <c r="P27" s="122"/>
      <c r="Q27" s="290"/>
      <c r="R27" s="290"/>
      <c r="S27" s="290"/>
      <c r="T27" s="291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292"/>
      <c r="AH27" s="291"/>
      <c r="AI27" s="293"/>
      <c r="AJ27" s="294"/>
      <c r="AK27" s="295"/>
      <c r="AL27" s="281"/>
      <c r="AM27" s="281"/>
      <c r="AN27" s="281"/>
      <c r="AO27" s="281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284"/>
      <c r="B28" s="285"/>
      <c r="C28" s="284"/>
      <c r="D28" s="284"/>
      <c r="E28" s="285"/>
      <c r="F28" s="286"/>
      <c r="G28" s="287"/>
      <c r="H28" s="288"/>
      <c r="I28" s="289"/>
      <c r="J28" s="289"/>
      <c r="K28" s="286"/>
      <c r="L28" s="279"/>
      <c r="M28" s="279"/>
      <c r="N28" s="279"/>
      <c r="O28" s="311"/>
      <c r="P28" s="122"/>
      <c r="Q28" s="290"/>
      <c r="R28" s="290"/>
      <c r="S28" s="290"/>
      <c r="T28" s="291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292"/>
      <c r="AH28" s="291"/>
      <c r="AI28" s="293"/>
      <c r="AJ28" s="294"/>
      <c r="AK28" s="295"/>
      <c r="AL28" s="281"/>
      <c r="AM28" s="281"/>
      <c r="AN28" s="281"/>
      <c r="AO28" s="281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284"/>
      <c r="B29" s="285"/>
      <c r="C29" s="284"/>
      <c r="D29" s="284"/>
      <c r="E29" s="285"/>
      <c r="F29" s="286"/>
      <c r="G29" s="287"/>
      <c r="H29" s="288"/>
      <c r="I29" s="289"/>
      <c r="J29" s="289"/>
      <c r="K29" s="286"/>
      <c r="L29" s="279"/>
      <c r="M29" s="279"/>
      <c r="N29" s="279"/>
      <c r="O29" s="311"/>
      <c r="P29" s="122"/>
      <c r="Q29" s="290"/>
      <c r="R29" s="290"/>
      <c r="S29" s="290"/>
      <c r="T29" s="291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292"/>
      <c r="AH29" s="291"/>
      <c r="AI29" s="293"/>
      <c r="AJ29" s="294"/>
      <c r="AK29" s="295"/>
      <c r="AL29" s="281"/>
      <c r="AM29" s="281"/>
      <c r="AN29" s="281"/>
      <c r="AO29" s="281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284"/>
      <c r="B30" s="285"/>
      <c r="C30" s="284"/>
      <c r="D30" s="284"/>
      <c r="E30" s="285"/>
      <c r="F30" s="286"/>
      <c r="G30" s="287"/>
      <c r="H30" s="288"/>
      <c r="I30" s="289"/>
      <c r="J30" s="289"/>
      <c r="K30" s="286"/>
      <c r="L30" s="279"/>
      <c r="M30" s="279"/>
      <c r="N30" s="279"/>
      <c r="O30" s="311"/>
      <c r="P30" s="122"/>
      <c r="Q30" s="290"/>
      <c r="R30" s="290"/>
      <c r="S30" s="290"/>
      <c r="T30" s="291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292"/>
      <c r="AH30" s="291"/>
      <c r="AI30" s="293"/>
      <c r="AJ30" s="294"/>
      <c r="AK30" s="295"/>
      <c r="AL30" s="281"/>
      <c r="AM30" s="281"/>
      <c r="AN30" s="281"/>
      <c r="AO30" s="281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284"/>
      <c r="B31" s="285"/>
      <c r="C31" s="284"/>
      <c r="D31" s="284"/>
      <c r="E31" s="285"/>
      <c r="F31" s="286"/>
      <c r="G31" s="287"/>
      <c r="H31" s="288"/>
      <c r="I31" s="289"/>
      <c r="J31" s="289"/>
      <c r="K31" s="286"/>
      <c r="L31" s="279"/>
      <c r="M31" s="279"/>
      <c r="N31" s="279"/>
      <c r="O31" s="311"/>
      <c r="P31" s="122"/>
      <c r="Q31" s="290"/>
      <c r="R31" s="290"/>
      <c r="S31" s="290"/>
      <c r="T31" s="291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292"/>
      <c r="AH31" s="291"/>
      <c r="AI31" s="293"/>
      <c r="AJ31" s="294"/>
      <c r="AK31" s="295"/>
      <c r="AL31" s="281"/>
      <c r="AM31" s="281"/>
      <c r="AN31" s="281"/>
      <c r="AO31" s="281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284"/>
      <c r="B32" s="285"/>
      <c r="C32" s="284"/>
      <c r="D32" s="284"/>
      <c r="E32" s="285"/>
      <c r="F32" s="286"/>
      <c r="G32" s="287"/>
      <c r="H32" s="288"/>
      <c r="I32" s="289"/>
      <c r="J32" s="289"/>
      <c r="K32" s="286"/>
      <c r="L32" s="279"/>
      <c r="M32" s="279"/>
      <c r="N32" s="279"/>
      <c r="O32" s="311"/>
      <c r="P32" s="122"/>
      <c r="Q32" s="290"/>
      <c r="R32" s="290"/>
      <c r="S32" s="290"/>
      <c r="T32" s="291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292"/>
      <c r="AH32" s="291"/>
      <c r="AI32" s="293"/>
      <c r="AJ32" s="294"/>
      <c r="AK32" s="295"/>
      <c r="AL32" s="281"/>
      <c r="AM32" s="281"/>
      <c r="AN32" s="281"/>
      <c r="AO32" s="281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284"/>
      <c r="B33" s="285"/>
      <c r="C33" s="284"/>
      <c r="D33" s="284"/>
      <c r="E33" s="285"/>
      <c r="F33" s="286"/>
      <c r="G33" s="287"/>
      <c r="H33" s="288"/>
      <c r="I33" s="289"/>
      <c r="J33" s="289"/>
      <c r="K33" s="286"/>
      <c r="L33" s="279"/>
      <c r="M33" s="279"/>
      <c r="N33" s="279"/>
      <c r="O33" s="311"/>
      <c r="P33" s="122"/>
      <c r="Q33" s="290"/>
      <c r="R33" s="290"/>
      <c r="S33" s="290"/>
      <c r="T33" s="291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292"/>
      <c r="AH33" s="291"/>
      <c r="AI33" s="293"/>
      <c r="AJ33" s="294"/>
      <c r="AK33" s="295"/>
      <c r="AL33" s="281"/>
      <c r="AM33" s="281"/>
      <c r="AN33" s="281"/>
      <c r="AO33" s="281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284"/>
      <c r="B34" s="285"/>
      <c r="C34" s="284"/>
      <c r="D34" s="284"/>
      <c r="E34" s="285"/>
      <c r="F34" s="286"/>
      <c r="G34" s="287"/>
      <c r="H34" s="288"/>
      <c r="I34" s="289"/>
      <c r="J34" s="289"/>
      <c r="K34" s="286"/>
      <c r="L34" s="279"/>
      <c r="M34" s="279"/>
      <c r="N34" s="279"/>
      <c r="O34" s="311"/>
      <c r="P34" s="122"/>
      <c r="Q34" s="290"/>
      <c r="R34" s="290"/>
      <c r="S34" s="290"/>
      <c r="T34" s="291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292"/>
      <c r="AH34" s="291"/>
      <c r="AI34" s="293"/>
      <c r="AJ34" s="294"/>
      <c r="AK34" s="295"/>
      <c r="AL34" s="281"/>
      <c r="AM34" s="281"/>
      <c r="AN34" s="281"/>
      <c r="AO34" s="281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284"/>
      <c r="E35" s="195"/>
      <c r="F35" s="286"/>
      <c r="G35" s="287"/>
      <c r="H35" s="288"/>
      <c r="I35" s="289"/>
      <c r="J35" s="289"/>
      <c r="K35" s="286"/>
      <c r="L35" s="279"/>
      <c r="M35" s="279"/>
      <c r="N35" s="279"/>
      <c r="O35" s="128"/>
      <c r="P35" s="122"/>
      <c r="Q35" s="290"/>
      <c r="R35" s="290"/>
      <c r="S35" s="290"/>
      <c r="T35" s="291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292"/>
      <c r="AH35" s="291"/>
      <c r="AI35" s="293"/>
      <c r="AJ35" s="97"/>
      <c r="AK35" s="39"/>
      <c r="AL35" s="281"/>
      <c r="AM35" s="281"/>
      <c r="AN35" s="281"/>
      <c r="AO35" s="281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284"/>
      <c r="E36" s="195"/>
      <c r="F36" s="286"/>
      <c r="G36" s="287"/>
      <c r="H36" s="288"/>
      <c r="I36" s="289"/>
      <c r="J36" s="289"/>
      <c r="K36" s="35"/>
      <c r="L36" s="279"/>
      <c r="M36" s="279"/>
      <c r="N36" s="279"/>
      <c r="O36" s="128"/>
      <c r="P36" s="122"/>
      <c r="Q36" s="290"/>
      <c r="R36" s="290"/>
      <c r="S36" s="290"/>
      <c r="T36" s="291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292"/>
      <c r="AH36" s="291"/>
      <c r="AI36" s="293"/>
      <c r="AJ36" s="97"/>
      <c r="AK36" s="39"/>
      <c r="AL36" s="281"/>
      <c r="AM36" s="281"/>
      <c r="AN36" s="281"/>
      <c r="AO36" s="281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284"/>
      <c r="E37" s="195"/>
      <c r="F37" s="286"/>
      <c r="G37" s="287"/>
      <c r="H37" s="288"/>
      <c r="I37" s="289"/>
      <c r="J37" s="289"/>
      <c r="K37" s="35"/>
      <c r="L37" s="279"/>
      <c r="M37" s="279"/>
      <c r="N37" s="279"/>
      <c r="O37" s="128"/>
      <c r="P37" s="122"/>
      <c r="Q37" s="290"/>
      <c r="R37" s="290"/>
      <c r="S37" s="290"/>
      <c r="T37" s="291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292"/>
      <c r="AH37" s="291"/>
      <c r="AI37" s="293"/>
      <c r="AJ37" s="97"/>
      <c r="AK37" s="39"/>
      <c r="AL37" s="281"/>
      <c r="AM37" s="281"/>
      <c r="AN37" s="281"/>
      <c r="AO37" s="281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"/>
    <protectedRange sqref="A1" name="Диапазон4_2_1_1_1"/>
    <protectedRange sqref="AL22:AO356" name="Диапазон3_1_1_1_1"/>
    <protectedRange sqref="AL1:AP14" name="Диапазон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P22:P356">
      <formula1>Увлажнение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AP23:AP356">
      <formula1>До_посева</formula1>
    </dataValidation>
    <dataValidation type="list" allowBlank="1" showInputMessage="1" showErrorMessage="1" sqref="AL22:AO356">
      <formula1>АшламаЛ1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pageSetup paperSize="9"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 enableFormatConditionsCalculation="0">
    <tabColor indexed="34"/>
  </sheetPr>
  <dimension ref="A1:BC356"/>
  <sheetViews>
    <sheetView tabSelected="1" topLeftCell="S1" zoomScale="75" workbookViewId="0">
      <selection activeCell="AP22" sqref="AP22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 t="s">
        <v>547</v>
      </c>
      <c r="AM4" s="6">
        <v>0.16</v>
      </c>
      <c r="AN4" s="6">
        <v>0.16</v>
      </c>
      <c r="AO4" s="6">
        <v>0.16</v>
      </c>
      <c r="AP4" s="102"/>
      <c r="AQ4" s="107">
        <f>AP4-Потребность!Z8</f>
        <v>0</v>
      </c>
      <c r="AR4" s="123">
        <v>1</v>
      </c>
      <c r="AS4" s="11">
        <f t="shared" si="0"/>
        <v>1</v>
      </c>
      <c r="AT4" s="11">
        <f t="shared" si="1"/>
        <v>1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 t="s">
        <v>548</v>
      </c>
      <c r="AM5" s="6">
        <v>0.20499999999999999</v>
      </c>
      <c r="AN5" s="6">
        <v>0</v>
      </c>
      <c r="AO5" s="6">
        <v>0</v>
      </c>
      <c r="AP5" s="102"/>
      <c r="AQ5" s="107">
        <f>AP5-Потребность!Z9</f>
        <v>0</v>
      </c>
      <c r="AR5" s="123">
        <v>1</v>
      </c>
      <c r="AS5" s="11">
        <f t="shared" si="0"/>
        <v>0</v>
      </c>
      <c r="AT5" s="11">
        <f t="shared" si="1"/>
        <v>0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 t="s">
        <v>546</v>
      </c>
      <c r="AM6" s="6">
        <v>0</v>
      </c>
      <c r="AN6" s="6">
        <v>0</v>
      </c>
      <c r="AO6" s="6">
        <v>0.28000000000000003</v>
      </c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281" t="s">
        <v>613</v>
      </c>
      <c r="AM7" s="313"/>
      <c r="AN7" s="313"/>
      <c r="AO7" s="313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323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323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321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324" t="s">
        <v>324</v>
      </c>
      <c r="AU21" s="322" t="s">
        <v>29</v>
      </c>
      <c r="AV21" s="322" t="s">
        <v>30</v>
      </c>
      <c r="AW21" s="322" t="s">
        <v>31</v>
      </c>
      <c r="AX21" s="322" t="s">
        <v>29</v>
      </c>
      <c r="AY21" s="322" t="s">
        <v>30</v>
      </c>
      <c r="AZ21" s="322" t="s">
        <v>31</v>
      </c>
      <c r="BA21" s="325" t="s">
        <v>362</v>
      </c>
      <c r="BB21" s="322" t="s">
        <v>365</v>
      </c>
      <c r="BC21" s="6" t="s">
        <v>366</v>
      </c>
    </row>
    <row r="22" spans="1:55" x14ac:dyDescent="0.2">
      <c r="A22" s="284"/>
      <c r="B22" s="285"/>
      <c r="C22" s="284"/>
      <c r="D22" s="284"/>
      <c r="E22" s="285"/>
      <c r="F22" s="286" t="s">
        <v>4</v>
      </c>
      <c r="G22" s="287" t="s">
        <v>53</v>
      </c>
      <c r="H22" s="288">
        <v>20</v>
      </c>
      <c r="I22" s="289">
        <v>5.4</v>
      </c>
      <c r="J22" s="289">
        <v>3</v>
      </c>
      <c r="K22" s="286">
        <v>2.5</v>
      </c>
      <c r="L22" s="279" t="s">
        <v>341</v>
      </c>
      <c r="M22" s="279">
        <v>120</v>
      </c>
      <c r="N22" s="279" t="s">
        <v>341</v>
      </c>
      <c r="O22" s="279">
        <v>130</v>
      </c>
      <c r="P22" s="122" t="s">
        <v>54</v>
      </c>
      <c r="Q22" s="290"/>
      <c r="R22" s="290"/>
      <c r="S22" s="290"/>
      <c r="T22" s="291" t="s">
        <v>190</v>
      </c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292" t="s">
        <v>215</v>
      </c>
      <c r="AH22" s="291" t="s">
        <v>67</v>
      </c>
      <c r="AI22" s="293" t="s">
        <v>56</v>
      </c>
      <c r="AJ22" s="294">
        <v>50</v>
      </c>
      <c r="AK22" s="295">
        <v>25</v>
      </c>
      <c r="AL22" s="281"/>
      <c r="AM22" s="281"/>
      <c r="AN22" s="281"/>
      <c r="AO22" s="281"/>
      <c r="AP22" s="280" t="s">
        <v>286</v>
      </c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284"/>
      <c r="B23" s="285"/>
      <c r="C23" s="284"/>
      <c r="D23" s="284"/>
      <c r="E23" s="285"/>
      <c r="F23" s="286"/>
      <c r="G23" s="287"/>
      <c r="H23" s="288"/>
      <c r="I23" s="289"/>
      <c r="J23" s="289"/>
      <c r="K23" s="286"/>
      <c r="L23" s="279"/>
      <c r="M23" s="279"/>
      <c r="N23" s="279"/>
      <c r="O23" s="279"/>
      <c r="P23" s="122"/>
      <c r="Q23" s="290"/>
      <c r="R23" s="290"/>
      <c r="S23" s="290"/>
      <c r="T23" s="291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292"/>
      <c r="AH23" s="291"/>
      <c r="AI23" s="293"/>
      <c r="AJ23" s="294"/>
      <c r="AK23" s="295"/>
      <c r="AL23" s="281"/>
      <c r="AM23" s="281"/>
      <c r="AN23" s="281"/>
      <c r="AO23" s="281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284"/>
      <c r="B24" s="285"/>
      <c r="C24" s="284"/>
      <c r="D24" s="284"/>
      <c r="E24" s="285"/>
      <c r="F24" s="286"/>
      <c r="G24" s="287"/>
      <c r="H24" s="288"/>
      <c r="I24" s="289"/>
      <c r="J24" s="289"/>
      <c r="K24" s="286"/>
      <c r="L24" s="279"/>
      <c r="M24" s="279"/>
      <c r="N24" s="279"/>
      <c r="O24" s="311"/>
      <c r="P24" s="122"/>
      <c r="Q24" s="290"/>
      <c r="R24" s="290"/>
      <c r="S24" s="290"/>
      <c r="T24" s="291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292"/>
      <c r="AH24" s="291"/>
      <c r="AI24" s="293"/>
      <c r="AJ24" s="294"/>
      <c r="AK24" s="295"/>
      <c r="AL24" s="281"/>
      <c r="AM24" s="281"/>
      <c r="AN24" s="281"/>
      <c r="AO24" s="281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284"/>
      <c r="B25" s="285"/>
      <c r="C25" s="284"/>
      <c r="D25" s="284"/>
      <c r="E25" s="285"/>
      <c r="F25" s="286"/>
      <c r="G25" s="287"/>
      <c r="H25" s="288"/>
      <c r="I25" s="289"/>
      <c r="J25" s="289"/>
      <c r="K25" s="286"/>
      <c r="L25" s="279"/>
      <c r="M25" s="279"/>
      <c r="N25" s="279"/>
      <c r="O25" s="311"/>
      <c r="P25" s="122"/>
      <c r="Q25" s="290"/>
      <c r="R25" s="290"/>
      <c r="S25" s="290"/>
      <c r="T25" s="291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292"/>
      <c r="AH25" s="291"/>
      <c r="AI25" s="293"/>
      <c r="AJ25" s="294"/>
      <c r="AK25" s="295"/>
      <c r="AL25" s="281"/>
      <c r="AM25" s="281"/>
      <c r="AN25" s="281"/>
      <c r="AO25" s="281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284"/>
      <c r="B26" s="285"/>
      <c r="C26" s="284"/>
      <c r="D26" s="284"/>
      <c r="E26" s="285"/>
      <c r="F26" s="286"/>
      <c r="G26" s="287"/>
      <c r="H26" s="288"/>
      <c r="I26" s="289"/>
      <c r="J26" s="289"/>
      <c r="K26" s="286"/>
      <c r="L26" s="279"/>
      <c r="M26" s="279"/>
      <c r="N26" s="279"/>
      <c r="O26" s="311"/>
      <c r="P26" s="122"/>
      <c r="Q26" s="290"/>
      <c r="R26" s="290"/>
      <c r="S26" s="290"/>
      <c r="T26" s="291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292"/>
      <c r="AH26" s="291"/>
      <c r="AI26" s="293"/>
      <c r="AJ26" s="294"/>
      <c r="AK26" s="295"/>
      <c r="AL26" s="281"/>
      <c r="AM26" s="281"/>
      <c r="AN26" s="281"/>
      <c r="AO26" s="281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284"/>
      <c r="B27" s="285"/>
      <c r="C27" s="284"/>
      <c r="D27" s="284"/>
      <c r="E27" s="285"/>
      <c r="F27" s="286"/>
      <c r="G27" s="287"/>
      <c r="H27" s="288"/>
      <c r="I27" s="289"/>
      <c r="J27" s="289"/>
      <c r="K27" s="286"/>
      <c r="L27" s="279"/>
      <c r="M27" s="279"/>
      <c r="N27" s="279"/>
      <c r="O27" s="311"/>
      <c r="P27" s="122"/>
      <c r="Q27" s="290"/>
      <c r="R27" s="290"/>
      <c r="S27" s="290"/>
      <c r="T27" s="291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292"/>
      <c r="AH27" s="291"/>
      <c r="AI27" s="293"/>
      <c r="AJ27" s="294"/>
      <c r="AK27" s="295"/>
      <c r="AL27" s="281"/>
      <c r="AM27" s="281"/>
      <c r="AN27" s="281"/>
      <c r="AO27" s="281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284"/>
      <c r="B28" s="285"/>
      <c r="C28" s="284"/>
      <c r="D28" s="284"/>
      <c r="E28" s="285"/>
      <c r="F28" s="286"/>
      <c r="G28" s="287"/>
      <c r="H28" s="288"/>
      <c r="I28" s="289"/>
      <c r="J28" s="289"/>
      <c r="K28" s="286"/>
      <c r="L28" s="279"/>
      <c r="M28" s="279"/>
      <c r="N28" s="279"/>
      <c r="O28" s="311"/>
      <c r="P28" s="122"/>
      <c r="Q28" s="290"/>
      <c r="R28" s="290"/>
      <c r="S28" s="290"/>
      <c r="T28" s="291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292"/>
      <c r="AH28" s="291"/>
      <c r="AI28" s="293"/>
      <c r="AJ28" s="294"/>
      <c r="AK28" s="295"/>
      <c r="AL28" s="281"/>
      <c r="AM28" s="281"/>
      <c r="AN28" s="281"/>
      <c r="AO28" s="281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284"/>
      <c r="B29" s="285"/>
      <c r="C29" s="284"/>
      <c r="D29" s="284"/>
      <c r="E29" s="285"/>
      <c r="F29" s="286"/>
      <c r="G29" s="287"/>
      <c r="H29" s="288"/>
      <c r="I29" s="289"/>
      <c r="J29" s="289"/>
      <c r="K29" s="286"/>
      <c r="L29" s="279"/>
      <c r="M29" s="279"/>
      <c r="N29" s="279"/>
      <c r="O29" s="311"/>
      <c r="P29" s="122"/>
      <c r="Q29" s="290"/>
      <c r="R29" s="290"/>
      <c r="S29" s="290"/>
      <c r="T29" s="291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292"/>
      <c r="AH29" s="291"/>
      <c r="AI29" s="293"/>
      <c r="AJ29" s="294"/>
      <c r="AK29" s="295"/>
      <c r="AL29" s="281"/>
      <c r="AM29" s="281"/>
      <c r="AN29" s="281"/>
      <c r="AO29" s="281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284"/>
      <c r="B30" s="285"/>
      <c r="C30" s="284"/>
      <c r="D30" s="284"/>
      <c r="E30" s="285"/>
      <c r="F30" s="286"/>
      <c r="G30" s="287"/>
      <c r="H30" s="288"/>
      <c r="I30" s="289"/>
      <c r="J30" s="289"/>
      <c r="K30" s="286"/>
      <c r="L30" s="279"/>
      <c r="M30" s="279"/>
      <c r="N30" s="279"/>
      <c r="O30" s="311"/>
      <c r="P30" s="122"/>
      <c r="Q30" s="290"/>
      <c r="R30" s="290"/>
      <c r="S30" s="290"/>
      <c r="T30" s="291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292"/>
      <c r="AH30" s="291"/>
      <c r="AI30" s="293"/>
      <c r="AJ30" s="294"/>
      <c r="AK30" s="295"/>
      <c r="AL30" s="281"/>
      <c r="AM30" s="281"/>
      <c r="AN30" s="281"/>
      <c r="AO30" s="281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284"/>
      <c r="B31" s="285"/>
      <c r="C31" s="284"/>
      <c r="D31" s="284"/>
      <c r="E31" s="285"/>
      <c r="F31" s="286"/>
      <c r="G31" s="287"/>
      <c r="H31" s="288"/>
      <c r="I31" s="289"/>
      <c r="J31" s="289"/>
      <c r="K31" s="286"/>
      <c r="L31" s="279"/>
      <c r="M31" s="279"/>
      <c r="N31" s="279"/>
      <c r="O31" s="311"/>
      <c r="P31" s="122"/>
      <c r="Q31" s="290"/>
      <c r="R31" s="290"/>
      <c r="S31" s="290"/>
      <c r="T31" s="291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292"/>
      <c r="AH31" s="291"/>
      <c r="AI31" s="293"/>
      <c r="AJ31" s="294"/>
      <c r="AK31" s="295"/>
      <c r="AL31" s="281"/>
      <c r="AM31" s="281"/>
      <c r="AN31" s="281"/>
      <c r="AO31" s="281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284"/>
      <c r="B32" s="285"/>
      <c r="C32" s="284"/>
      <c r="D32" s="284"/>
      <c r="E32" s="285"/>
      <c r="F32" s="286"/>
      <c r="G32" s="287"/>
      <c r="H32" s="288"/>
      <c r="I32" s="289"/>
      <c r="J32" s="289"/>
      <c r="K32" s="286"/>
      <c r="L32" s="279"/>
      <c r="M32" s="279"/>
      <c r="N32" s="279"/>
      <c r="O32" s="311"/>
      <c r="P32" s="122"/>
      <c r="Q32" s="290"/>
      <c r="R32" s="290"/>
      <c r="S32" s="290"/>
      <c r="T32" s="291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292"/>
      <c r="AH32" s="291"/>
      <c r="AI32" s="293"/>
      <c r="AJ32" s="294"/>
      <c r="AK32" s="295"/>
      <c r="AL32" s="281"/>
      <c r="AM32" s="281"/>
      <c r="AN32" s="281"/>
      <c r="AO32" s="281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284"/>
      <c r="B33" s="285"/>
      <c r="C33" s="284"/>
      <c r="D33" s="284"/>
      <c r="E33" s="285"/>
      <c r="F33" s="286"/>
      <c r="G33" s="287"/>
      <c r="H33" s="288"/>
      <c r="I33" s="289"/>
      <c r="J33" s="289"/>
      <c r="K33" s="286"/>
      <c r="L33" s="279"/>
      <c r="M33" s="279"/>
      <c r="N33" s="279"/>
      <c r="O33" s="311"/>
      <c r="P33" s="122"/>
      <c r="Q33" s="290"/>
      <c r="R33" s="290"/>
      <c r="S33" s="290"/>
      <c r="T33" s="291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292"/>
      <c r="AH33" s="291"/>
      <c r="AI33" s="293"/>
      <c r="AJ33" s="294"/>
      <c r="AK33" s="295"/>
      <c r="AL33" s="281"/>
      <c r="AM33" s="281"/>
      <c r="AN33" s="281"/>
      <c r="AO33" s="281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284"/>
      <c r="B34" s="285"/>
      <c r="C34" s="284"/>
      <c r="D34" s="284"/>
      <c r="E34" s="285"/>
      <c r="F34" s="286"/>
      <c r="G34" s="287"/>
      <c r="H34" s="288"/>
      <c r="I34" s="289"/>
      <c r="J34" s="289"/>
      <c r="K34" s="286"/>
      <c r="L34" s="279"/>
      <c r="M34" s="279"/>
      <c r="N34" s="279"/>
      <c r="O34" s="311"/>
      <c r="P34" s="122"/>
      <c r="Q34" s="290"/>
      <c r="R34" s="290"/>
      <c r="S34" s="290"/>
      <c r="T34" s="291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292"/>
      <c r="AH34" s="291"/>
      <c r="AI34" s="293"/>
      <c r="AJ34" s="294"/>
      <c r="AK34" s="295"/>
      <c r="AL34" s="281"/>
      <c r="AM34" s="281"/>
      <c r="AN34" s="281"/>
      <c r="AO34" s="281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284"/>
      <c r="E35" s="195"/>
      <c r="F35" s="286"/>
      <c r="G35" s="287"/>
      <c r="H35" s="288"/>
      <c r="I35" s="289"/>
      <c r="J35" s="289"/>
      <c r="K35" s="286"/>
      <c r="L35" s="279"/>
      <c r="M35" s="279"/>
      <c r="N35" s="279"/>
      <c r="O35" s="128"/>
      <c r="P35" s="122"/>
      <c r="Q35" s="290"/>
      <c r="R35" s="290"/>
      <c r="S35" s="290"/>
      <c r="T35" s="291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292"/>
      <c r="AH35" s="291"/>
      <c r="AI35" s="293"/>
      <c r="AJ35" s="97"/>
      <c r="AK35" s="39"/>
      <c r="AL35" s="281"/>
      <c r="AM35" s="281"/>
      <c r="AN35" s="281"/>
      <c r="AO35" s="281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284"/>
      <c r="E36" s="195"/>
      <c r="F36" s="286"/>
      <c r="G36" s="287"/>
      <c r="H36" s="288"/>
      <c r="I36" s="289"/>
      <c r="J36" s="289"/>
      <c r="K36" s="35"/>
      <c r="L36" s="279"/>
      <c r="M36" s="279"/>
      <c r="N36" s="279"/>
      <c r="O36" s="128"/>
      <c r="P36" s="122"/>
      <c r="Q36" s="290"/>
      <c r="R36" s="290"/>
      <c r="S36" s="290"/>
      <c r="T36" s="291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292"/>
      <c r="AH36" s="291"/>
      <c r="AI36" s="293"/>
      <c r="AJ36" s="97"/>
      <c r="AK36" s="39"/>
      <c r="AL36" s="281"/>
      <c r="AM36" s="281"/>
      <c r="AN36" s="281"/>
      <c r="AO36" s="281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284"/>
      <c r="E37" s="195"/>
      <c r="F37" s="286"/>
      <c r="G37" s="287"/>
      <c r="H37" s="288"/>
      <c r="I37" s="289"/>
      <c r="J37" s="289"/>
      <c r="K37" s="35"/>
      <c r="L37" s="279"/>
      <c r="M37" s="279"/>
      <c r="N37" s="279"/>
      <c r="O37" s="128"/>
      <c r="P37" s="122"/>
      <c r="Q37" s="290"/>
      <c r="R37" s="290"/>
      <c r="S37" s="290"/>
      <c r="T37" s="291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292"/>
      <c r="AH37" s="291"/>
      <c r="AI37" s="293"/>
      <c r="AJ37" s="97"/>
      <c r="AK37" s="39"/>
      <c r="AL37" s="281"/>
      <c r="AM37" s="281"/>
      <c r="AN37" s="281"/>
      <c r="AO37" s="281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protectedRanges>
    <protectedRange sqref="AP22:AP356" name="Диапазон5_1"/>
    <protectedRange sqref="A22:AK356" name="Диапазон3_1"/>
    <protectedRange sqref="A1" name="Диапазон4_2_1_1_1"/>
    <protectedRange sqref="AL22:AO356" name="Диапазон3_1_1_1_1"/>
    <protectedRange sqref="AL1:AP14" name="Диапазон1_1_1_1_1_1"/>
  </protectedRanges>
  <sortState ref="AL1:AT15">
    <sortCondition ref="AL1"/>
  </sortState>
  <mergeCells count="16">
    <mergeCell ref="BB19:BC19"/>
    <mergeCell ref="BB20:BC20"/>
    <mergeCell ref="BA18:BC18"/>
    <mergeCell ref="AD20:AF20"/>
    <mergeCell ref="AU20:AW20"/>
    <mergeCell ref="AX20:AZ20"/>
    <mergeCell ref="AU18:AZ19"/>
    <mergeCell ref="AL19:AO19"/>
    <mergeCell ref="K19:O19"/>
    <mergeCell ref="Q19:W19"/>
    <mergeCell ref="X19:AC19"/>
    <mergeCell ref="AD19:AF19"/>
    <mergeCell ref="L20:M20"/>
    <mergeCell ref="N20:O20"/>
    <mergeCell ref="T20:U20"/>
    <mergeCell ref="X20:Z20"/>
  </mergeCells>
  <phoneticPr fontId="5" type="noConversion"/>
  <dataValidations count="12">
    <dataValidation type="list" allowBlank="1" showInputMessage="1" showErrorMessage="1" sqref="AV2:AV14">
      <formula1>АшламаДВ_Irekle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P23:AP356">
      <formula1>До_посева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errorTitle="Ошибка" error="Ввести из списка" sqref="AP22">
      <formula1>До_посева</formula1>
    </dataValidation>
    <dataValidation type="list" allowBlank="1" showInputMessage="1" showErrorMessage="1" sqref="AL22:AO356">
      <formula1>АшламаЛ1</formula1>
    </dataValidation>
  </dataValidations>
  <pageMargins left="0.75" right="0.75" top="1" bottom="1" header="0.5" footer="0.5"/>
  <pageSetup paperSize="9" orientation="portrait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DT349"/>
  <sheetViews>
    <sheetView topLeftCell="F1" zoomScale="70" zoomScaleNormal="70" zoomScaleSheetLayoutView="75" workbookViewId="0">
      <selection activeCell="AF25" sqref="AF25"/>
    </sheetView>
  </sheetViews>
  <sheetFormatPr defaultRowHeight="12.75" x14ac:dyDescent="0.2"/>
  <cols>
    <col min="1" max="1" width="7.85546875" customWidth="1"/>
    <col min="2" max="2" width="5.85546875" customWidth="1"/>
    <col min="3" max="3" width="6.42578125" customWidth="1"/>
    <col min="4" max="4" width="6.5703125" hidden="1" customWidth="1"/>
    <col min="5" max="5" width="6.42578125" hidden="1" customWidth="1"/>
    <col min="6" max="6" width="13.140625" customWidth="1"/>
    <col min="7" max="7" width="8.5703125" customWidth="1"/>
    <col min="8" max="8" width="9.7109375" customWidth="1"/>
    <col min="9" max="9" width="10.85546875" customWidth="1"/>
    <col min="10" max="10" width="11.5703125" customWidth="1"/>
    <col min="11" max="11" width="7.5703125" customWidth="1"/>
    <col min="12" max="13" width="7.42578125" customWidth="1"/>
    <col min="14" max="15" width="9" customWidth="1"/>
    <col min="16" max="16" width="8.85546875" customWidth="1"/>
    <col min="17" max="17" width="16.85546875" customWidth="1"/>
    <col min="18" max="18" width="8.28515625" customWidth="1"/>
    <col min="19" max="19" width="7.85546875" customWidth="1"/>
    <col min="20" max="20" width="5" customWidth="1"/>
    <col min="21" max="21" width="6.5703125" customWidth="1"/>
    <col min="22" max="22" width="7.42578125" customWidth="1"/>
    <col min="23" max="23" width="11.42578125" customWidth="1"/>
    <col min="24" max="24" width="9.42578125" customWidth="1"/>
    <col min="25" max="25" width="10.85546875" customWidth="1"/>
    <col min="26" max="26" width="11" customWidth="1"/>
    <col min="27" max="27" width="11.140625" customWidth="1"/>
    <col min="28" max="28" width="10" customWidth="1"/>
    <col min="29" max="29" width="11" customWidth="1"/>
    <col min="30" max="30" width="10.42578125" customWidth="1"/>
    <col min="31" max="31" width="9.85546875" customWidth="1"/>
    <col min="32" max="32" width="12.5703125" customWidth="1"/>
    <col min="33" max="33" width="13.28515625" customWidth="1"/>
    <col min="34" max="34" width="8.5703125" customWidth="1"/>
    <col min="36" max="36" width="8.7109375" customWidth="1"/>
    <col min="37" max="37" width="8.140625" customWidth="1"/>
    <col min="47" max="49" width="9.140625" style="178"/>
    <col min="74" max="74" width="10.28515625" customWidth="1"/>
  </cols>
  <sheetData>
    <row r="1" spans="1:45" ht="18.75" customHeight="1" x14ac:dyDescent="0.25">
      <c r="A1" s="185" t="s">
        <v>329</v>
      </c>
      <c r="F1" s="111">
        <f>Исходн.данные.!A1</f>
        <v>0</v>
      </c>
      <c r="Q1" s="96" t="str">
        <f>Исходн.данные.!A2</f>
        <v>Потребность удобрений под урожай 2014 года</v>
      </c>
    </row>
    <row r="2" spans="1:45" ht="15.75" x14ac:dyDescent="0.25">
      <c r="C2" s="96"/>
      <c r="F2" s="111"/>
      <c r="Q2" s="3" t="s">
        <v>264</v>
      </c>
      <c r="R2" s="343" t="s">
        <v>265</v>
      </c>
      <c r="S2" s="343"/>
      <c r="T2" s="343"/>
      <c r="U2" s="343"/>
      <c r="V2" s="326" t="s">
        <v>266</v>
      </c>
      <c r="W2" s="327"/>
      <c r="X2" s="327"/>
      <c r="Y2" s="327"/>
      <c r="Z2" s="328"/>
      <c r="AB2" s="343" t="s">
        <v>335</v>
      </c>
      <c r="AC2" s="343"/>
      <c r="AD2" s="343"/>
      <c r="AQ2" s="139">
        <f>SUMPRODUCT($G22:$G349,K22:K349)</f>
        <v>3137.3885714285725</v>
      </c>
      <c r="AR2" s="139">
        <f>SUMPRODUCT($G22:$G349,L22:L349)</f>
        <v>985.90037333333316</v>
      </c>
      <c r="AS2" s="139">
        <f>SUMPRODUCT($G22:$G349,M22:M349)</f>
        <v>1485.0387467711025</v>
      </c>
    </row>
    <row r="3" spans="1:45" x14ac:dyDescent="0.2">
      <c r="Q3" s="4"/>
      <c r="R3" s="3"/>
      <c r="S3" s="3"/>
      <c r="T3" s="3"/>
      <c r="U3" s="3"/>
      <c r="V3" s="3" t="s">
        <v>263</v>
      </c>
      <c r="W3" s="326" t="s">
        <v>204</v>
      </c>
      <c r="X3" s="327"/>
      <c r="Y3" s="328"/>
      <c r="Z3" s="3" t="s">
        <v>52</v>
      </c>
      <c r="AB3" s="28" t="s">
        <v>29</v>
      </c>
      <c r="AC3" s="28" t="s">
        <v>30</v>
      </c>
      <c r="AD3" s="28" t="s">
        <v>31</v>
      </c>
      <c r="AF3" s="326" t="s">
        <v>267</v>
      </c>
      <c r="AG3" s="328"/>
      <c r="AQ3" s="139">
        <f>SUM(AQ2:AS2)</f>
        <v>5608.327691533008</v>
      </c>
      <c r="AR3" s="139">
        <f>SUM(G22:G349)</f>
        <v>50</v>
      </c>
      <c r="AS3" s="139">
        <f>AQ3/AR3</f>
        <v>112.16655383066016</v>
      </c>
    </row>
    <row r="4" spans="1:45" x14ac:dyDescent="0.2">
      <c r="Q4" s="5"/>
      <c r="R4" s="5" t="s">
        <v>29</v>
      </c>
      <c r="S4" s="5" t="s">
        <v>30</v>
      </c>
      <c r="T4" s="5" t="s">
        <v>31</v>
      </c>
      <c r="U4" s="5" t="s">
        <v>270</v>
      </c>
      <c r="V4" s="5"/>
      <c r="W4" s="5" t="s">
        <v>272</v>
      </c>
      <c r="X4" s="5" t="s">
        <v>273</v>
      </c>
      <c r="Y4" s="5" t="s">
        <v>271</v>
      </c>
      <c r="Z4" s="5"/>
      <c r="AB4" s="28">
        <v>1</v>
      </c>
      <c r="AC4" s="129">
        <f>AR2/AQ2</f>
        <v>0.31424235503108727</v>
      </c>
      <c r="AD4" s="129">
        <f>AS2/AQ2</f>
        <v>0.47333593304157023</v>
      </c>
      <c r="AF4" s="6" t="s">
        <v>268</v>
      </c>
      <c r="AG4" s="6" t="s">
        <v>269</v>
      </c>
    </row>
    <row r="5" spans="1:45" x14ac:dyDescent="0.2">
      <c r="F5" s="353" t="s">
        <v>369</v>
      </c>
      <c r="G5" s="353"/>
      <c r="H5" s="353"/>
      <c r="I5" s="353"/>
      <c r="J5" s="353"/>
      <c r="Q5" s="6" t="str">
        <f>Исходн.данные.!AL1</f>
        <v>Аммофос</v>
      </c>
      <c r="R5" s="6">
        <f>Исходн.данные.!AM1</f>
        <v>0.12</v>
      </c>
      <c r="S5" s="6">
        <f>Исходн.данные.!AN1</f>
        <v>0.52</v>
      </c>
      <c r="T5" s="6">
        <f>Исходн.данные.!AO1</f>
        <v>0</v>
      </c>
      <c r="U5" s="6">
        <f>SUM(R5:T5)</f>
        <v>0.64</v>
      </c>
      <c r="V5" s="9">
        <f t="shared" ref="V5:V18" si="0">SUMIF($Q$22:$Q$349,Q5,$S$22:$S$349)</f>
        <v>0</v>
      </c>
      <c r="W5" s="9">
        <f>SUMIF(W$22:W$349,$Q5,Y$22:Y$349)</f>
        <v>0</v>
      </c>
      <c r="X5" s="9">
        <f t="shared" ref="X5:X17" si="1">SUMIF($Z$22:$Z$349,$Q5,$AB$22:$AB$349)</f>
        <v>0</v>
      </c>
      <c r="Y5" s="9">
        <f>SUMIF($AC$22:$AC$349,Q5,$AE$22:$AE$349)</f>
        <v>0</v>
      </c>
      <c r="Z5" s="9">
        <f>SUM(V5:Y5)</f>
        <v>0</v>
      </c>
      <c r="AF5" s="94">
        <f>SUM(Z5:Z18,AF12:AF18)</f>
        <v>0</v>
      </c>
      <c r="AG5" s="95">
        <f>(SUMPRODUCT(U5:U18,Z5:Z18)+SUMPRODUCT(AC12:AC18,AF12:AF18))/SUM($G$22:$G$349)*1000</f>
        <v>0</v>
      </c>
    </row>
    <row r="6" spans="1:45" ht="13.5" thickBot="1" x14ac:dyDescent="0.25">
      <c r="G6" t="s">
        <v>29</v>
      </c>
      <c r="H6" t="s">
        <v>30</v>
      </c>
      <c r="I6" t="s">
        <v>31</v>
      </c>
      <c r="J6" t="s">
        <v>52</v>
      </c>
      <c r="Q6" s="6" t="str">
        <f>Исходн.данные.!AL2</f>
        <v>Селитра</v>
      </c>
      <c r="R6" s="6">
        <f>Исходн.данные.!AM2</f>
        <v>0.34399999999999997</v>
      </c>
      <c r="S6" s="6">
        <f>Исходн.данные.!AN2</f>
        <v>0</v>
      </c>
      <c r="T6" s="6">
        <f>Исходн.данные.!AO2</f>
        <v>0</v>
      </c>
      <c r="U6" s="6">
        <f>SUM(R6:T6)</f>
        <v>0.34399999999999997</v>
      </c>
      <c r="V6" s="9">
        <f t="shared" si="0"/>
        <v>0</v>
      </c>
      <c r="W6" s="9">
        <f>SUMIF(W$22:W$349,$Q6,Y$22:Y$349)</f>
        <v>0</v>
      </c>
      <c r="X6" s="9">
        <f t="shared" si="1"/>
        <v>0</v>
      </c>
      <c r="Y6" s="9">
        <f>SUMIF($AC$22:$AC$349,Q6,$AE$22:$AE$349)</f>
        <v>0</v>
      </c>
      <c r="Z6" s="9">
        <f>SUM(V6:Y6)</f>
        <v>0</v>
      </c>
    </row>
    <row r="7" spans="1:45" ht="13.5" thickBot="1" x14ac:dyDescent="0.25">
      <c r="F7" t="s">
        <v>367</v>
      </c>
      <c r="G7" s="141">
        <f>AQ2/1000</f>
        <v>3.1373885714285725</v>
      </c>
      <c r="H7" s="141">
        <f>AR2/1000</f>
        <v>0.98590037333333314</v>
      </c>
      <c r="I7" s="141">
        <f>AS2/1000</f>
        <v>1.4850387467711026</v>
      </c>
      <c r="J7" s="141">
        <f>SUM(G7:I7)</f>
        <v>5.6083276915330078</v>
      </c>
      <c r="Q7" s="6" t="str">
        <f>Исходн.данные.!AL3</f>
        <v>Хлор.калий</v>
      </c>
      <c r="R7" s="6">
        <f>Исходн.данные.!AM3</f>
        <v>0</v>
      </c>
      <c r="S7" s="6">
        <f>Исходн.данные.!AN3</f>
        <v>0</v>
      </c>
      <c r="T7" s="6">
        <f>Исходн.данные.!AO3</f>
        <v>0.6</v>
      </c>
      <c r="U7" s="6">
        <f>SUM(R7:T7)</f>
        <v>0.6</v>
      </c>
      <c r="V7" s="9">
        <f t="shared" si="0"/>
        <v>0</v>
      </c>
      <c r="W7" s="9">
        <f>SUMIF(W$22:W$349,$Q7,Y$22:Y$349)</f>
        <v>0</v>
      </c>
      <c r="X7" s="9">
        <f t="shared" si="1"/>
        <v>0</v>
      </c>
      <c r="Y7" s="9">
        <f>SUMIF($AC$22:$AC$349,Q7,$AE$22:$AE$349)</f>
        <v>0</v>
      </c>
      <c r="Z7" s="9">
        <f>SUM(V7:Y7)</f>
        <v>0</v>
      </c>
      <c r="AC7" s="124" t="s">
        <v>336</v>
      </c>
      <c r="AD7" s="125"/>
      <c r="AE7" s="125"/>
      <c r="AF7" s="125"/>
      <c r="AG7" s="126">
        <f>AS3</f>
        <v>112.16655383066016</v>
      </c>
    </row>
    <row r="8" spans="1:45" x14ac:dyDescent="0.2">
      <c r="F8" t="s">
        <v>368</v>
      </c>
      <c r="G8" s="141">
        <f>SUMPRODUCT($Z$5:$Z$18,R5:R18)</f>
        <v>0</v>
      </c>
      <c r="H8" s="141">
        <f>SUMPRODUCT($Z$5:$Z$18,S5:S18)</f>
        <v>0</v>
      </c>
      <c r="I8" s="141">
        <f>SUMPRODUCT($Z$5:$Z$18,T5:T18)</f>
        <v>0</v>
      </c>
      <c r="J8" s="141">
        <f>SUM(G8:I8)</f>
        <v>0</v>
      </c>
      <c r="Q8" s="6" t="str">
        <f>Исходн.данные.!AL4</f>
        <v>Азофоска</v>
      </c>
      <c r="R8" s="6">
        <f>Исходн.данные.!AM4</f>
        <v>0.16</v>
      </c>
      <c r="S8" s="6">
        <f>Исходн.данные.!AN4</f>
        <v>0.16</v>
      </c>
      <c r="T8" s="6">
        <f>Исходн.данные.!AO4</f>
        <v>0.16</v>
      </c>
      <c r="U8" s="6">
        <f t="shared" ref="U8:U18" si="2">SUM(R8:T8)</f>
        <v>0.48</v>
      </c>
      <c r="V8" s="9">
        <f t="shared" si="0"/>
        <v>0</v>
      </c>
      <c r="W8" s="9">
        <f t="shared" ref="W8:W18" si="3">SUMIF(W$22:W$349,$Q8,Y$22:Y$349)</f>
        <v>0</v>
      </c>
      <c r="X8" s="9">
        <f t="shared" si="1"/>
        <v>0</v>
      </c>
      <c r="Y8" s="9">
        <f t="shared" ref="Y8:Y18" si="4">SUMIF($AC$22:$AC$349,Q8,$AE$22:$AE$349)</f>
        <v>0</v>
      </c>
      <c r="Z8" s="9">
        <f t="shared" ref="Z8:Z18" si="5">SUM(V8:Y8)</f>
        <v>0</v>
      </c>
    </row>
    <row r="9" spans="1:45" x14ac:dyDescent="0.2">
      <c r="Q9" s="6" t="str">
        <f>Исходн.данные.!AL5</f>
        <v>Ам вода</v>
      </c>
      <c r="R9" s="6">
        <f>Исходн.данные.!AM5</f>
        <v>0.20499999999999999</v>
      </c>
      <c r="S9" s="6">
        <f>Исходн.данные.!AN5</f>
        <v>0</v>
      </c>
      <c r="T9" s="6">
        <f>Исходн.данные.!AO5</f>
        <v>0</v>
      </c>
      <c r="U9" s="6">
        <f t="shared" si="2"/>
        <v>0.20499999999999999</v>
      </c>
      <c r="V9" s="9">
        <f t="shared" si="0"/>
        <v>0</v>
      </c>
      <c r="W9" s="9">
        <f t="shared" si="3"/>
        <v>0</v>
      </c>
      <c r="X9" s="9">
        <f t="shared" si="1"/>
        <v>0</v>
      </c>
      <c r="Y9" s="9">
        <f t="shared" si="4"/>
        <v>0</v>
      </c>
      <c r="Z9" s="9">
        <f t="shared" si="5"/>
        <v>0</v>
      </c>
      <c r="AB9" s="3" t="s">
        <v>264</v>
      </c>
      <c r="AC9" s="3" t="s">
        <v>289</v>
      </c>
      <c r="AD9" s="326" t="s">
        <v>287</v>
      </c>
      <c r="AE9" s="327"/>
      <c r="AF9" s="328"/>
    </row>
    <row r="10" spans="1:45" x14ac:dyDescent="0.2">
      <c r="M10" s="73"/>
      <c r="Q10" s="6" t="str">
        <f>Исходн.данные.!AL6</f>
        <v>Калимаг</v>
      </c>
      <c r="R10" s="6">
        <f>Исходн.данные.!AM6</f>
        <v>0</v>
      </c>
      <c r="S10" s="6">
        <f>Исходн.данные.!AN6</f>
        <v>0</v>
      </c>
      <c r="T10" s="6">
        <f>Исходн.данные.!AO6</f>
        <v>0.28000000000000003</v>
      </c>
      <c r="U10" s="6">
        <f t="shared" si="2"/>
        <v>0.28000000000000003</v>
      </c>
      <c r="V10" s="9">
        <f t="shared" si="0"/>
        <v>0</v>
      </c>
      <c r="W10" s="9">
        <f t="shared" si="3"/>
        <v>0</v>
      </c>
      <c r="X10" s="9">
        <f t="shared" si="1"/>
        <v>0</v>
      </c>
      <c r="Y10" s="9">
        <f t="shared" si="4"/>
        <v>0</v>
      </c>
      <c r="Z10" s="9">
        <f t="shared" si="5"/>
        <v>0</v>
      </c>
      <c r="AB10" s="4"/>
      <c r="AC10" s="4" t="s">
        <v>290</v>
      </c>
      <c r="AD10" s="3" t="s">
        <v>263</v>
      </c>
      <c r="AE10" s="3" t="s">
        <v>288</v>
      </c>
      <c r="AF10" s="3" t="s">
        <v>52</v>
      </c>
    </row>
    <row r="11" spans="1:45" x14ac:dyDescent="0.2">
      <c r="Q11" s="6" t="str">
        <f>Исходн.данные.!AL7</f>
        <v>Суперфосфат</v>
      </c>
      <c r="R11" s="6">
        <f>Исходн.данные.!AM7</f>
        <v>0</v>
      </c>
      <c r="S11" s="6">
        <f>Исходн.данные.!AN7</f>
        <v>0</v>
      </c>
      <c r="T11" s="6">
        <f>Исходн.данные.!AO7</f>
        <v>0</v>
      </c>
      <c r="U11" s="6">
        <f t="shared" si="2"/>
        <v>0</v>
      </c>
      <c r="V11" s="9">
        <f t="shared" si="0"/>
        <v>0</v>
      </c>
      <c r="W11" s="9">
        <f t="shared" si="3"/>
        <v>0</v>
      </c>
      <c r="X11" s="9">
        <f t="shared" si="1"/>
        <v>0</v>
      </c>
      <c r="Y11" s="9">
        <f t="shared" si="4"/>
        <v>0</v>
      </c>
      <c r="Z11" s="9">
        <f t="shared" si="5"/>
        <v>0</v>
      </c>
      <c r="AB11" s="5"/>
      <c r="AC11" s="5"/>
      <c r="AD11" s="5"/>
      <c r="AE11" s="5" t="s">
        <v>274</v>
      </c>
      <c r="AF11" s="5"/>
    </row>
    <row r="12" spans="1:45" x14ac:dyDescent="0.2">
      <c r="F12" s="3"/>
      <c r="G12" s="3" t="s">
        <v>17</v>
      </c>
      <c r="H12" s="326" t="s">
        <v>316</v>
      </c>
      <c r="I12" s="327"/>
      <c r="J12" s="328"/>
      <c r="Q12" s="6">
        <f>Исходн.данные.!AL8</f>
        <v>0</v>
      </c>
      <c r="R12" s="6">
        <f>Исходн.данные.!AM8</f>
        <v>0</v>
      </c>
      <c r="S12" s="6">
        <f>Исходн.данные.!AN8</f>
        <v>0</v>
      </c>
      <c r="T12" s="6">
        <f>Исходн.данные.!AO8</f>
        <v>0</v>
      </c>
      <c r="U12" s="6">
        <f t="shared" si="2"/>
        <v>0</v>
      </c>
      <c r="V12" s="9">
        <f t="shared" si="0"/>
        <v>0</v>
      </c>
      <c r="W12" s="9">
        <f t="shared" si="3"/>
        <v>0</v>
      </c>
      <c r="X12" s="9">
        <f t="shared" si="1"/>
        <v>0</v>
      </c>
      <c r="Y12" s="9">
        <f t="shared" si="4"/>
        <v>0</v>
      </c>
      <c r="Z12" s="9">
        <f t="shared" si="5"/>
        <v>0</v>
      </c>
      <c r="AB12" s="110" t="s">
        <v>277</v>
      </c>
      <c r="AC12" s="6">
        <f>SUM(Исходн.данные.!AW1:AY1)</f>
        <v>0</v>
      </c>
      <c r="AD12" s="9">
        <f t="shared" ref="AD12:AD17" si="6">SUMIF($Q$22:$Q$349,$AB12,$S$22:$S$349)</f>
        <v>0</v>
      </c>
      <c r="AE12" s="9">
        <f t="shared" ref="AE12:AE17" si="7">SUMIF($AC$22:$AC$349,AB12,$AE$22:$AE$349)</f>
        <v>0</v>
      </c>
      <c r="AF12" s="9">
        <f t="shared" ref="AF12:AF17" si="8">SUM(AD12:AE12)</f>
        <v>0</v>
      </c>
    </row>
    <row r="13" spans="1:45" x14ac:dyDescent="0.2">
      <c r="F13" s="5"/>
      <c r="G13" s="5"/>
      <c r="H13" s="5" t="s">
        <v>320</v>
      </c>
      <c r="I13" s="5" t="s">
        <v>321</v>
      </c>
      <c r="J13" s="5" t="s">
        <v>322</v>
      </c>
      <c r="Q13" s="6">
        <f>Исходн.данные.!AL9</f>
        <v>0</v>
      </c>
      <c r="R13" s="6">
        <f>Исходн.данные.!AM9</f>
        <v>0</v>
      </c>
      <c r="S13" s="6">
        <f>Исходн.данные.!AN9</f>
        <v>0</v>
      </c>
      <c r="T13" s="6">
        <f>Исходн.данные.!AO9</f>
        <v>0</v>
      </c>
      <c r="U13" s="6">
        <f t="shared" si="2"/>
        <v>0</v>
      </c>
      <c r="V13" s="9">
        <f t="shared" si="0"/>
        <v>0</v>
      </c>
      <c r="W13" s="9">
        <f t="shared" si="3"/>
        <v>0</v>
      </c>
      <c r="X13" s="9">
        <f t="shared" si="1"/>
        <v>0</v>
      </c>
      <c r="Y13" s="9">
        <f t="shared" si="4"/>
        <v>0</v>
      </c>
      <c r="Z13" s="9">
        <f t="shared" si="5"/>
        <v>0</v>
      </c>
      <c r="AB13" s="110" t="s">
        <v>239</v>
      </c>
      <c r="AC13" s="6">
        <f>SUM(Исходн.данные.!AW2:AY2)</f>
        <v>0</v>
      </c>
      <c r="AD13" s="9">
        <f t="shared" si="6"/>
        <v>0</v>
      </c>
      <c r="AE13" s="9">
        <f t="shared" si="7"/>
        <v>0</v>
      </c>
      <c r="AF13" s="9">
        <f t="shared" si="8"/>
        <v>0</v>
      </c>
    </row>
    <row r="14" spans="1:45" x14ac:dyDescent="0.2">
      <c r="F14" s="6" t="s">
        <v>315</v>
      </c>
      <c r="G14" s="6">
        <f>SUMIF(Исходн.данные.!AI22:AI349,Исходн.данные.!AI6,Исходн.данные.!AJ22:AJ349)</f>
        <v>0</v>
      </c>
      <c r="H14" s="9" t="e">
        <f>Расчет2!AL10/Расчет2!AK10</f>
        <v>#DIV/0!</v>
      </c>
      <c r="I14" s="9" t="e">
        <f>Расчет2!AO10</f>
        <v>#DIV/0!</v>
      </c>
      <c r="J14" s="71" t="e">
        <f>Расчет2!AP10</f>
        <v>#DIV/0!</v>
      </c>
      <c r="K14" s="73"/>
      <c r="L14" s="73"/>
      <c r="Q14" s="6">
        <f>Исходн.данные.!AL10</f>
        <v>0</v>
      </c>
      <c r="R14" s="6">
        <f>Исходн.данные.!AM10</f>
        <v>0</v>
      </c>
      <c r="S14" s="6">
        <f>Исходн.данные.!AN10</f>
        <v>0</v>
      </c>
      <c r="T14" s="6">
        <f>Исходн.данные.!AO10</f>
        <v>0</v>
      </c>
      <c r="U14" s="6">
        <f t="shared" si="2"/>
        <v>0</v>
      </c>
      <c r="V14" s="9">
        <f t="shared" si="0"/>
        <v>0</v>
      </c>
      <c r="W14" s="9">
        <f t="shared" si="3"/>
        <v>0</v>
      </c>
      <c r="X14" s="9">
        <f t="shared" si="1"/>
        <v>0</v>
      </c>
      <c r="Y14" s="9">
        <f t="shared" si="4"/>
        <v>0</v>
      </c>
      <c r="Z14" s="9">
        <f t="shared" si="5"/>
        <v>0</v>
      </c>
      <c r="AB14" s="110" t="s">
        <v>238</v>
      </c>
      <c r="AC14" s="6">
        <f>SUM(Исходн.данные.!AW3:AY3)</f>
        <v>0</v>
      </c>
      <c r="AD14" s="9">
        <f t="shared" si="6"/>
        <v>0</v>
      </c>
      <c r="AE14" s="9">
        <f t="shared" si="7"/>
        <v>0</v>
      </c>
      <c r="AF14" s="9">
        <f t="shared" si="8"/>
        <v>0</v>
      </c>
      <c r="AJ14" s="26"/>
      <c r="AK14" t="s">
        <v>359</v>
      </c>
    </row>
    <row r="15" spans="1:45" x14ac:dyDescent="0.2">
      <c r="F15" s="6" t="s">
        <v>314</v>
      </c>
      <c r="G15" s="6">
        <f>SUMIF(Исходн.данные.!AI22:AI349,Исходн.данные.!AI7,Исходн.данные.!AJ22:AJ349)</f>
        <v>50</v>
      </c>
      <c r="H15" s="9">
        <f>Расчет2!AL12/Расчет2!AK12</f>
        <v>25</v>
      </c>
      <c r="I15" s="9">
        <f>Расчет2!AO12</f>
        <v>9.67741935483871</v>
      </c>
      <c r="J15" s="71">
        <f>Расчет2!AP12</f>
        <v>23.853939393939395</v>
      </c>
      <c r="K15" s="73"/>
      <c r="L15" s="73"/>
      <c r="Q15" s="6">
        <f>Исходн.данные.!AL11</f>
        <v>0</v>
      </c>
      <c r="R15" s="6">
        <f>Исходн.данные.!AM11</f>
        <v>0</v>
      </c>
      <c r="S15" s="6">
        <f>Исходн.данные.!AN11</f>
        <v>0</v>
      </c>
      <c r="T15" s="6">
        <f>Исходн.данные.!AO11</f>
        <v>0</v>
      </c>
      <c r="U15" s="6">
        <f t="shared" si="2"/>
        <v>0</v>
      </c>
      <c r="V15" s="9">
        <f t="shared" si="0"/>
        <v>0</v>
      </c>
      <c r="W15" s="9">
        <f t="shared" si="3"/>
        <v>0</v>
      </c>
      <c r="X15" s="9">
        <f t="shared" si="1"/>
        <v>0</v>
      </c>
      <c r="Y15" s="9">
        <f t="shared" si="4"/>
        <v>0</v>
      </c>
      <c r="Z15" s="9">
        <f t="shared" si="5"/>
        <v>0</v>
      </c>
      <c r="AB15" s="110" t="s">
        <v>237</v>
      </c>
      <c r="AC15" s="6">
        <f>SUM(Исходн.данные.!AW4:AY4)</f>
        <v>0</v>
      </c>
      <c r="AD15" s="9">
        <f t="shared" si="6"/>
        <v>0</v>
      </c>
      <c r="AE15" s="9">
        <f t="shared" si="7"/>
        <v>0</v>
      </c>
      <c r="AF15" s="9">
        <f t="shared" si="8"/>
        <v>0</v>
      </c>
      <c r="AJ15" s="26"/>
      <c r="AK15" s="26"/>
    </row>
    <row r="16" spans="1:45" x14ac:dyDescent="0.2">
      <c r="F16" s="6" t="s">
        <v>317</v>
      </c>
      <c r="G16" s="6">
        <f>SUMIF(Исходн.данные.!AI22:AI349,Исходн.данные.!AI8,Исходн.данные.!AJ22:AJ349)</f>
        <v>0</v>
      </c>
      <c r="H16" s="9" t="e">
        <f>Расчет2!AL14/Расчет2!AK14</f>
        <v>#DIV/0!</v>
      </c>
      <c r="I16" s="119" t="e">
        <f>Расчет2!AO14</f>
        <v>#DIV/0!</v>
      </c>
      <c r="J16" s="135" t="e">
        <f>Расчет2!AP14</f>
        <v>#DIV/0!</v>
      </c>
      <c r="K16" s="58"/>
      <c r="L16" s="58"/>
      <c r="O16" s="26"/>
      <c r="P16" s="26"/>
      <c r="Q16" s="6">
        <f>Исходн.данные.!AL12</f>
        <v>0</v>
      </c>
      <c r="R16" s="6">
        <f>Исходн.данные.!AM12</f>
        <v>0</v>
      </c>
      <c r="S16" s="6">
        <f>Исходн.данные.!AN12</f>
        <v>0</v>
      </c>
      <c r="T16" s="6">
        <f>Исходн.данные.!AO12</f>
        <v>0</v>
      </c>
      <c r="U16" s="6">
        <f t="shared" si="2"/>
        <v>0</v>
      </c>
      <c r="V16" s="9">
        <f t="shared" si="0"/>
        <v>0</v>
      </c>
      <c r="W16" s="9">
        <f t="shared" si="3"/>
        <v>0</v>
      </c>
      <c r="X16" s="9">
        <f t="shared" si="1"/>
        <v>0</v>
      </c>
      <c r="Y16" s="9">
        <f t="shared" si="4"/>
        <v>0</v>
      </c>
      <c r="Z16" s="9">
        <f t="shared" si="5"/>
        <v>0</v>
      </c>
      <c r="AB16" s="110" t="s">
        <v>236</v>
      </c>
      <c r="AC16" s="6">
        <f>SUM(Исходн.данные.!AW5:AY5)</f>
        <v>0</v>
      </c>
      <c r="AD16" s="9">
        <f t="shared" si="6"/>
        <v>0</v>
      </c>
      <c r="AE16" s="9">
        <f t="shared" si="7"/>
        <v>0</v>
      </c>
      <c r="AF16" s="9">
        <f t="shared" si="8"/>
        <v>0</v>
      </c>
      <c r="AG16" s="26"/>
      <c r="AJ16" s="26" t="s">
        <v>358</v>
      </c>
      <c r="AK16" s="26"/>
    </row>
    <row r="17" spans="1:124" x14ac:dyDescent="0.2">
      <c r="F17" s="6" t="s">
        <v>325</v>
      </c>
      <c r="G17" s="6">
        <f>SUM(G14:G16)</f>
        <v>50</v>
      </c>
      <c r="H17" s="9">
        <f>Расчет2!AL16/Расчет2!AK16</f>
        <v>25</v>
      </c>
      <c r="I17" s="119">
        <f>Расчет2!AO16</f>
        <v>9.67741935483871</v>
      </c>
      <c r="J17" s="135">
        <f>Расчет2!AP16</f>
        <v>23.853939393939395</v>
      </c>
      <c r="K17" s="58"/>
      <c r="L17" s="58"/>
      <c r="O17" s="26"/>
      <c r="P17" s="26"/>
      <c r="Q17" s="6">
        <f>Исходн.данные.!AL13</f>
        <v>0</v>
      </c>
      <c r="R17" s="6">
        <f>Исходн.данные.!AM13</f>
        <v>0</v>
      </c>
      <c r="S17" s="6">
        <f>Исходн.данные.!AN13</f>
        <v>0</v>
      </c>
      <c r="T17" s="6">
        <f>Исходн.данные.!AO13</f>
        <v>0</v>
      </c>
      <c r="U17" s="6">
        <f t="shared" si="2"/>
        <v>0</v>
      </c>
      <c r="V17" s="9">
        <f t="shared" si="0"/>
        <v>0</v>
      </c>
      <c r="W17" s="9">
        <f t="shared" si="3"/>
        <v>0</v>
      </c>
      <c r="X17" s="9">
        <f t="shared" si="1"/>
        <v>0</v>
      </c>
      <c r="Y17" s="9">
        <f t="shared" si="4"/>
        <v>0</v>
      </c>
      <c r="Z17" s="9">
        <f t="shared" si="5"/>
        <v>0</v>
      </c>
      <c r="AB17" s="110" t="s">
        <v>276</v>
      </c>
      <c r="AC17" s="6">
        <f>SUM(Исходн.данные.!AW6:AY6)</f>
        <v>0</v>
      </c>
      <c r="AD17" s="9">
        <f t="shared" si="6"/>
        <v>0</v>
      </c>
      <c r="AE17" s="9">
        <f t="shared" si="7"/>
        <v>0</v>
      </c>
      <c r="AF17" s="9">
        <f t="shared" si="8"/>
        <v>0</v>
      </c>
      <c r="AG17" s="26"/>
      <c r="AK17">
        <f>SUMPRODUCT(AC12:AC17,AF12:AF17)</f>
        <v>0</v>
      </c>
    </row>
    <row r="18" spans="1:124" x14ac:dyDescent="0.2">
      <c r="Q18" s="6">
        <f>Исходн.данные.!AL14</f>
        <v>0</v>
      </c>
      <c r="R18" s="6">
        <f>Исходн.данные.!AM14</f>
        <v>0</v>
      </c>
      <c r="S18" s="6">
        <f>Исходн.данные.!AN14</f>
        <v>0</v>
      </c>
      <c r="T18" s="6">
        <f>Исходн.данные.!AO14</f>
        <v>0</v>
      </c>
      <c r="U18" s="6">
        <f t="shared" si="2"/>
        <v>0</v>
      </c>
      <c r="V18" s="9">
        <f t="shared" si="0"/>
        <v>0</v>
      </c>
      <c r="W18" s="9">
        <f t="shared" si="3"/>
        <v>0</v>
      </c>
      <c r="X18" s="9">
        <f>SUMIF($Z$22:$Z$349,$Q18,$AB$22:$AB$349)</f>
        <v>0</v>
      </c>
      <c r="Y18" s="9">
        <f t="shared" si="4"/>
        <v>0</v>
      </c>
      <c r="Z18" s="9">
        <f t="shared" si="5"/>
        <v>0</v>
      </c>
      <c r="AB18" s="6"/>
      <c r="AC18" s="6"/>
      <c r="AD18" s="9"/>
      <c r="AE18" s="9"/>
      <c r="AF18" s="9"/>
    </row>
    <row r="19" spans="1:124" x14ac:dyDescent="0.2">
      <c r="A19" s="3" t="s">
        <v>179</v>
      </c>
      <c r="B19" s="3" t="s">
        <v>179</v>
      </c>
      <c r="C19" s="3" t="s">
        <v>181</v>
      </c>
      <c r="D19" s="3" t="s">
        <v>182</v>
      </c>
      <c r="E19" s="3" t="s">
        <v>184</v>
      </c>
      <c r="F19" s="3" t="s">
        <v>16</v>
      </c>
      <c r="G19" s="3" t="s">
        <v>17</v>
      </c>
      <c r="H19" s="3" t="s">
        <v>196</v>
      </c>
      <c r="I19" s="16" t="s">
        <v>23</v>
      </c>
      <c r="J19" s="16" t="s">
        <v>323</v>
      </c>
      <c r="K19" s="326" t="s">
        <v>296</v>
      </c>
      <c r="L19" s="327"/>
      <c r="M19" s="328"/>
      <c r="N19" s="326" t="s">
        <v>172</v>
      </c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8"/>
      <c r="AF19" s="16" t="s">
        <v>119</v>
      </c>
      <c r="AG19" s="3" t="s">
        <v>123</v>
      </c>
      <c r="AI19" s="361" t="s">
        <v>20</v>
      </c>
      <c r="AJ19" s="362"/>
      <c r="AK19" s="363"/>
      <c r="AL19" s="343" t="s">
        <v>197</v>
      </c>
      <c r="AM19" s="343"/>
      <c r="AN19" s="343"/>
      <c r="AO19" s="361" t="s">
        <v>198</v>
      </c>
      <c r="AP19" s="362"/>
      <c r="AQ19" s="362"/>
      <c r="AR19" s="361" t="s">
        <v>331</v>
      </c>
      <c r="AS19" s="362"/>
      <c r="AT19" s="363"/>
      <c r="AU19" s="354" t="s">
        <v>339</v>
      </c>
      <c r="AV19" s="355"/>
      <c r="AW19" s="356"/>
    </row>
    <row r="20" spans="1:124" x14ac:dyDescent="0.2">
      <c r="A20" s="4" t="s">
        <v>187</v>
      </c>
      <c r="B20" s="4" t="s">
        <v>180</v>
      </c>
      <c r="C20" s="4" t="s">
        <v>32</v>
      </c>
      <c r="D20" s="4" t="s">
        <v>183</v>
      </c>
      <c r="E20" s="4" t="s">
        <v>183</v>
      </c>
      <c r="F20" s="4"/>
      <c r="G20" s="4" t="s">
        <v>32</v>
      </c>
      <c r="H20" s="4" t="s">
        <v>178</v>
      </c>
      <c r="I20" s="17" t="s">
        <v>41</v>
      </c>
      <c r="J20" s="17" t="s">
        <v>324</v>
      </c>
      <c r="K20" s="16"/>
      <c r="L20" s="16"/>
      <c r="M20" s="16"/>
      <c r="N20" s="343" t="s">
        <v>257</v>
      </c>
      <c r="O20" s="343"/>
      <c r="P20" s="343"/>
      <c r="Q20" s="343"/>
      <c r="R20" s="343"/>
      <c r="S20" s="343"/>
      <c r="T20" s="343" t="s">
        <v>204</v>
      </c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17" t="s">
        <v>120</v>
      </c>
      <c r="AG20" s="4" t="s">
        <v>165</v>
      </c>
      <c r="AI20" s="334" t="s">
        <v>34</v>
      </c>
      <c r="AJ20" s="357"/>
      <c r="AK20" s="335"/>
      <c r="AL20" s="17" t="s">
        <v>29</v>
      </c>
      <c r="AM20" s="17" t="s">
        <v>30</v>
      </c>
      <c r="AN20" s="17" t="s">
        <v>31</v>
      </c>
      <c r="AO20" s="334" t="s">
        <v>35</v>
      </c>
      <c r="AP20" s="357"/>
      <c r="AQ20" s="357"/>
      <c r="AR20" s="334" t="s">
        <v>332</v>
      </c>
      <c r="AS20" s="357"/>
      <c r="AT20" s="335"/>
      <c r="AU20" s="358"/>
      <c r="AV20" s="359"/>
      <c r="AW20" s="360"/>
    </row>
    <row r="21" spans="1:124" ht="15.75" x14ac:dyDescent="0.3">
      <c r="A21" s="5" t="s">
        <v>258</v>
      </c>
      <c r="B21" s="5"/>
      <c r="C21" s="5"/>
      <c r="D21" s="5"/>
      <c r="E21" s="5"/>
      <c r="F21" s="5"/>
      <c r="G21" s="5"/>
      <c r="H21" s="5" t="s">
        <v>47</v>
      </c>
      <c r="I21" s="8" t="s">
        <v>50</v>
      </c>
      <c r="J21" s="8" t="s">
        <v>47</v>
      </c>
      <c r="K21" s="8" t="s">
        <v>29</v>
      </c>
      <c r="L21" s="8" t="s">
        <v>30</v>
      </c>
      <c r="M21" s="1" t="s">
        <v>31</v>
      </c>
      <c r="N21" s="6" t="s">
        <v>166</v>
      </c>
      <c r="O21" s="6" t="s">
        <v>167</v>
      </c>
      <c r="P21" s="6" t="s">
        <v>168</v>
      </c>
      <c r="Q21" s="8" t="s">
        <v>170</v>
      </c>
      <c r="R21" s="5" t="s">
        <v>117</v>
      </c>
      <c r="S21" s="5" t="s">
        <v>188</v>
      </c>
      <c r="T21" s="7" t="s">
        <v>205</v>
      </c>
      <c r="U21" s="7" t="s">
        <v>206</v>
      </c>
      <c r="V21" s="7" t="s">
        <v>207</v>
      </c>
      <c r="W21" s="7" t="s">
        <v>272</v>
      </c>
      <c r="X21" s="7" t="s">
        <v>171</v>
      </c>
      <c r="Y21" s="7" t="s">
        <v>253</v>
      </c>
      <c r="Z21" s="7" t="s">
        <v>273</v>
      </c>
      <c r="AA21" s="7" t="s">
        <v>171</v>
      </c>
      <c r="AB21" s="7" t="s">
        <v>253</v>
      </c>
      <c r="AC21" s="8" t="s">
        <v>271</v>
      </c>
      <c r="AD21" s="7" t="s">
        <v>171</v>
      </c>
      <c r="AE21" s="7" t="s">
        <v>253</v>
      </c>
      <c r="AF21" s="8" t="s">
        <v>121</v>
      </c>
      <c r="AG21" s="5"/>
      <c r="AI21" s="28" t="s">
        <v>29</v>
      </c>
      <c r="AJ21" s="28" t="s">
        <v>30</v>
      </c>
      <c r="AK21" s="28" t="s">
        <v>31</v>
      </c>
      <c r="AL21" s="8"/>
      <c r="AM21" s="8"/>
      <c r="AN21" s="8"/>
      <c r="AO21" s="8" t="s">
        <v>29</v>
      </c>
      <c r="AP21" s="8" t="s">
        <v>30</v>
      </c>
      <c r="AQ21" s="8" t="s">
        <v>31</v>
      </c>
      <c r="AR21" s="8" t="s">
        <v>29</v>
      </c>
      <c r="AS21" s="8" t="s">
        <v>30</v>
      </c>
      <c r="AT21" s="8" t="s">
        <v>31</v>
      </c>
      <c r="AU21" s="197" t="s">
        <v>29</v>
      </c>
      <c r="AV21" s="197" t="s">
        <v>30</v>
      </c>
      <c r="AW21" s="197" t="s">
        <v>31</v>
      </c>
      <c r="AX21" s="130" t="s">
        <v>344</v>
      </c>
      <c r="AY21" s="130" t="s">
        <v>345</v>
      </c>
      <c r="AZ21" s="130" t="s">
        <v>346</v>
      </c>
    </row>
    <row r="22" spans="1:124" x14ac:dyDescent="0.2">
      <c r="A22" s="6">
        <f>Исходн.данные.!A22</f>
        <v>0</v>
      </c>
      <c r="B22" s="6">
        <f>Исходн.данные.!B22</f>
        <v>0</v>
      </c>
      <c r="C22" s="6">
        <f>Исходн.данные.!C22</f>
        <v>0</v>
      </c>
      <c r="D22" s="6">
        <f>Исходн.данные.!D22</f>
        <v>0</v>
      </c>
      <c r="E22" s="6">
        <f>Исходн.данные.!E22</f>
        <v>0</v>
      </c>
      <c r="F22" s="6" t="str">
        <f>Исходн.данные.!AH22</f>
        <v>Оз_рожь</v>
      </c>
      <c r="G22" s="6">
        <f>Исходн.данные.!AJ22</f>
        <v>50</v>
      </c>
      <c r="H22" s="9">
        <f>Исходн.данные.!AK22</f>
        <v>25</v>
      </c>
      <c r="I22" s="9">
        <f>IF($F22=0,0,Расчет2!AO22)</f>
        <v>9.67741935483871</v>
      </c>
      <c r="J22" s="9">
        <f>IF(F22=0,0,Расчет2!AP22)</f>
        <v>23.853939393939395</v>
      </c>
      <c r="K22" s="10">
        <f>IF($F22=0,0,Расчет2!AQ22)</f>
        <v>62.747771428571447</v>
      </c>
      <c r="L22" s="10">
        <f>IF($F22=0,0,Расчет2!AR22)</f>
        <v>19.718007466666663</v>
      </c>
      <c r="M22" s="10">
        <f>IF($F22=0,0,Расчет2!AS22)</f>
        <v>29.70077493542205</v>
      </c>
      <c r="N22" s="10">
        <f>IF($F22=0,0,IF(Исходн.данные.!$AP22="Посл.посева",0,Расчет2!AT22))</f>
        <v>0</v>
      </c>
      <c r="O22" s="10">
        <f>IF($F22=0,0,IF(Исходн.данные.!$AP22="Посл.посева",0,IF(Расчет2!AU22&lt;10,10,Расчет2!AU22)))</f>
        <v>0</v>
      </c>
      <c r="P22" s="10">
        <f>IF($F22=0,0,IF(Исходн.данные.!$AP22="Посл.посева",0,Расчет2!AV22))</f>
        <v>0</v>
      </c>
      <c r="Q22" s="10" t="str">
        <f>IF($F22=0,0,Расчет2!AW22)</f>
        <v>Нет</v>
      </c>
      <c r="R22" s="10">
        <f>IF($F22=0,0,Расчет2!AX22)</f>
        <v>0</v>
      </c>
      <c r="S22" s="9">
        <f>IF($F22=0,0,Расчет2!AY22)</f>
        <v>0</v>
      </c>
      <c r="T22" s="10">
        <f>IF($F22=0,0,Расчет2!AZ22)</f>
        <v>62.747771428571447</v>
      </c>
      <c r="U22" s="10">
        <f>IF($F22=0,0,Расчет2!BA22)</f>
        <v>19.718007466666663</v>
      </c>
      <c r="V22" s="10">
        <f>IF($F22=0,0,Расчет2!BB22)</f>
        <v>29.70077493542205</v>
      </c>
      <c r="W22" s="10" t="str">
        <f>Расчет!DL22</f>
        <v>Ам.селитра</v>
      </c>
      <c r="X22" s="10">
        <f>Расчет!DN22</f>
        <v>2.2584035437431713</v>
      </c>
      <c r="Y22" s="9">
        <f>X22*Исходн.данные.!$AJ22/1000</f>
        <v>0.11292017718715858</v>
      </c>
      <c r="Z22" s="10" t="str">
        <f>Расчет!DO22</f>
        <v>Хлор.калий</v>
      </c>
      <c r="AA22" s="10">
        <f>Расчет!DQ22</f>
        <v>0</v>
      </c>
      <c r="AB22" s="12">
        <f>AA22*Исходн.данные.!$AJ22/1000</f>
        <v>0</v>
      </c>
      <c r="AC22" s="9" t="str">
        <f>IF($F22=0,0,Расчет2!BC22)</f>
        <v>Нитроаммофоска</v>
      </c>
      <c r="AD22" s="10">
        <f>IF($F22=0,0,Расчет2!BD22)</f>
        <v>281.68582095238088</v>
      </c>
      <c r="AE22" s="9">
        <f>IF($F22=0,0,Расчет2!BE22)</f>
        <v>14.084291047619045</v>
      </c>
      <c r="AF22" s="9">
        <f>IF($F22=0,0,Расчет2!BF22)</f>
        <v>13.178665190438744</v>
      </c>
      <c r="AG22" s="9" t="str">
        <f>IF($F22=0,0,Расчет2!BG22)</f>
        <v>Не требуется</v>
      </c>
      <c r="AI22" s="11">
        <f>Расчет!FY22</f>
        <v>9.67741935483871</v>
      </c>
      <c r="AJ22" s="11">
        <f>Расчет!FZ22</f>
        <v>21.96</v>
      </c>
      <c r="AK22" s="11">
        <f>Расчет!GA22</f>
        <v>15.099741688192651</v>
      </c>
      <c r="AL22" s="11">
        <f>Расчет!GB22</f>
        <v>0</v>
      </c>
      <c r="AM22" s="11">
        <f>Расчет!GC22</f>
        <v>0</v>
      </c>
      <c r="AN22" s="11">
        <f>Расчет!GD22</f>
        <v>0</v>
      </c>
      <c r="AO22" s="11">
        <f>Расчет!GE22</f>
        <v>0</v>
      </c>
      <c r="AP22" s="11">
        <f>Расчет!GF22</f>
        <v>0</v>
      </c>
      <c r="AQ22" s="11">
        <f>Расчет!GG22</f>
        <v>0</v>
      </c>
      <c r="AR22" s="11">
        <f>Расчет!GH22</f>
        <v>0</v>
      </c>
      <c r="AS22" s="11">
        <f>Расчет!GI22</f>
        <v>0</v>
      </c>
      <c r="AT22" s="11">
        <f>Расчет!GJ22</f>
        <v>0</v>
      </c>
      <c r="AU22" s="198">
        <f>AI22+AL22+AO22+AR22</f>
        <v>9.67741935483871</v>
      </c>
      <c r="AV22" s="198">
        <f>AJ22+AM22+AP22+AS22</f>
        <v>21.96</v>
      </c>
      <c r="AW22" s="198">
        <f>AK22+AN22+AQ22+AT22</f>
        <v>15.099741688192651</v>
      </c>
      <c r="AX22" s="11">
        <f>MIN(AU22:AW22)</f>
        <v>9.67741935483871</v>
      </c>
      <c r="AY22" s="11">
        <f>MAX(AU22:AW22)</f>
        <v>21.96</v>
      </c>
      <c r="AZ22" s="11">
        <f>IF(AU22=AX22,MIN(AV22:AW22),IF(AW22=AX22,MIN(AU22:AV22),MIN(AU22,AW22)))</f>
        <v>15.099741688192651</v>
      </c>
      <c r="CN22" s="6" t="e">
        <f>#REF!</f>
        <v>#REF!</v>
      </c>
      <c r="CO22" s="6" t="e">
        <f>#REF!</f>
        <v>#REF!</v>
      </c>
      <c r="CP22" s="6" t="e">
        <f>#REF!</f>
        <v>#REF!</v>
      </c>
      <c r="CQ22" s="6" t="e">
        <f>#REF!</f>
        <v>#REF!</v>
      </c>
      <c r="CR22" s="6" t="e">
        <f>#REF!</f>
        <v>#REF!</v>
      </c>
      <c r="CS22" s="6" t="e">
        <f>#REF!</f>
        <v>#REF!</v>
      </c>
      <c r="CT22" s="6" t="e">
        <f>#REF!</f>
        <v>#REF!</v>
      </c>
      <c r="CU22" s="6" t="e">
        <f>#REF!</f>
        <v>#REF!</v>
      </c>
      <c r="CV22" s="9">
        <f>IF($F22=0,0,Расчет2!EB22)</f>
        <v>0</v>
      </c>
      <c r="CW22" s="9" t="e">
        <f>IF(CS22=0,0,Расчет2!EC22)</f>
        <v>#REF!</v>
      </c>
      <c r="CX22" s="10">
        <f>IF($F22=0,0,Расчет2!ED22)</f>
        <v>0</v>
      </c>
      <c r="CY22" s="10">
        <f>IF($F22=0,0,Расчет2!EE22)</f>
        <v>0</v>
      </c>
      <c r="CZ22" s="10">
        <f>IF($F22=0,0,Расчет2!EF22)</f>
        <v>0</v>
      </c>
      <c r="DA22" s="10">
        <f>IF($F22=0,0,Расчет2!EG22)</f>
        <v>0</v>
      </c>
      <c r="DB22" s="10">
        <f>IF($F22=0,0,Расчет2!EH22)</f>
        <v>0</v>
      </c>
      <c r="DC22" s="10">
        <f>IF($F22=0,0,Расчет2!EI22)</f>
        <v>0</v>
      </c>
      <c r="DD22" s="9">
        <f>IF($F22=0,0,Расчет2!EJ22)</f>
        <v>0</v>
      </c>
      <c r="DE22" s="10">
        <f>IF($F22=0,0,Расчет2!EK22)</f>
        <v>0</v>
      </c>
      <c r="DF22" s="9">
        <f>IF($F22=0,0,Расчет2!EL22)</f>
        <v>0</v>
      </c>
      <c r="DG22" s="10">
        <f>IF($F22=0,0,Расчет2!EM22)</f>
        <v>0</v>
      </c>
      <c r="DH22" s="10">
        <f>IF($F22=0,0,Расчет2!EN22)</f>
        <v>0</v>
      </c>
      <c r="DI22" s="10">
        <f>IF($F22=0,0,Расчет2!EO22)</f>
        <v>0</v>
      </c>
      <c r="DJ22" s="10" t="e">
        <f>Расчет!#REF!</f>
        <v>#REF!</v>
      </c>
      <c r="DK22" s="10" t="e">
        <f>Расчет!#REF!</f>
        <v>#REF!</v>
      </c>
      <c r="DL22" s="10" t="e">
        <f>DK22*#REF!/1000</f>
        <v>#REF!</v>
      </c>
      <c r="DM22" s="10" t="e">
        <f>Расчет!#REF!</f>
        <v>#REF!</v>
      </c>
      <c r="DN22" s="10" t="e">
        <f>Расчет!#REF!</f>
        <v>#REF!</v>
      </c>
      <c r="DO22" s="10" t="e">
        <f>DN22*#REF!/1000</f>
        <v>#REF!</v>
      </c>
      <c r="DP22" s="9">
        <f>IF($F22=0,0,Расчет2!EP22)</f>
        <v>0</v>
      </c>
      <c r="DQ22" s="10">
        <f>IF($F22=0,0,Расчет2!EQ22)</f>
        <v>0</v>
      </c>
      <c r="DR22" s="9">
        <f>IF($F22=0,0,Расчет2!ER22)</f>
        <v>0</v>
      </c>
      <c r="DS22" s="9">
        <f>IF($F22=0,0,Расчет2!ES22)</f>
        <v>0</v>
      </c>
      <c r="DT22" s="9">
        <f>IF($F22=0,0,Расчет2!ET22)</f>
        <v>0</v>
      </c>
    </row>
    <row r="23" spans="1:124" x14ac:dyDescent="0.2">
      <c r="A23" s="6">
        <f>Исходн.данные.!A23</f>
        <v>0</v>
      </c>
      <c r="B23" s="6">
        <f>Исходн.данные.!B23</f>
        <v>0</v>
      </c>
      <c r="C23" s="6">
        <f>Исходн.данные.!C23</f>
        <v>0</v>
      </c>
      <c r="D23" s="6">
        <f>Исходн.данные.!D23</f>
        <v>0</v>
      </c>
      <c r="E23" s="6">
        <f>Исходн.данные.!E23</f>
        <v>0</v>
      </c>
      <c r="F23" s="6">
        <f>Исходн.данные.!AH23</f>
        <v>0</v>
      </c>
      <c r="G23" s="6">
        <f>Исходн.данные.!AJ23</f>
        <v>0</v>
      </c>
      <c r="H23" s="9">
        <f>Исходн.данные.!AK23</f>
        <v>0</v>
      </c>
      <c r="I23" s="9">
        <f>IF($F23=0,0,Расчет2!AO23)</f>
        <v>0</v>
      </c>
      <c r="J23" s="9">
        <f>IF(F23=0,0,Расчет2!AP23)</f>
        <v>0</v>
      </c>
      <c r="K23" s="10">
        <f>IF($F23=0,0,Расчет2!AQ23)</f>
        <v>0</v>
      </c>
      <c r="L23" s="10">
        <f>IF($F23=0,0,Расчет2!AR23)</f>
        <v>0</v>
      </c>
      <c r="M23" s="10">
        <f>IF($F23=0,0,Расчет2!AS23)</f>
        <v>0</v>
      </c>
      <c r="N23" s="10">
        <f>IF($F23=0,0,IF(Исходн.данные.!$AP23="Посл.посева",0,Расчет2!AT23))</f>
        <v>0</v>
      </c>
      <c r="O23" s="10">
        <f>IF($F23=0,0,IF(Исходн.данные.!$AP23="Посл.посева",0,IF(Расчет2!AU23&lt;10,10,Расчет2!AU23)))</f>
        <v>0</v>
      </c>
      <c r="P23" s="10">
        <f>IF($F23=0,0,IF(Исходн.данные.!$AP23="Посл.посева",0,Расчет2!AV23))</f>
        <v>0</v>
      </c>
      <c r="Q23" s="10">
        <f>IF($F23=0,0,Расчет2!AW23)</f>
        <v>0</v>
      </c>
      <c r="R23" s="10">
        <f>IF($F23=0,0,Расчет2!AX23)</f>
        <v>0</v>
      </c>
      <c r="S23" s="9">
        <f>IF($F23=0,0,Расчет2!AY23)</f>
        <v>0</v>
      </c>
      <c r="T23" s="10">
        <f>IF($F23=0,0,Расчет2!AZ23)</f>
        <v>0</v>
      </c>
      <c r="U23" s="10">
        <f>IF($F23=0,0,Расчет2!BA23)</f>
        <v>0</v>
      </c>
      <c r="V23" s="10">
        <f>IF($F23=0,0,Расчет2!BB23)</f>
        <v>0</v>
      </c>
      <c r="W23" s="10">
        <f>Расчет!DL23</f>
        <v>0</v>
      </c>
      <c r="X23" s="10">
        <f>Расчет!DN23</f>
        <v>0</v>
      </c>
      <c r="Y23" s="9">
        <f>X23*Исходн.данные.!$AJ23/1000</f>
        <v>0</v>
      </c>
      <c r="Z23" s="10" t="str">
        <f>Расчет!DO23</f>
        <v>Хлор.калий</v>
      </c>
      <c r="AA23" s="10">
        <f>Расчет!DQ23</f>
        <v>0</v>
      </c>
      <c r="AB23" s="12">
        <f>AA23*Исходн.данные.!$AJ23/1000</f>
        <v>0</v>
      </c>
      <c r="AC23" s="9">
        <f>IF($F23=0,0,Расчет2!BC23)</f>
        <v>0</v>
      </c>
      <c r="AD23" s="10">
        <f>IF($F23=0,0,Расчет2!BD23)</f>
        <v>0</v>
      </c>
      <c r="AE23" s="9">
        <f>IF($F23=0,0,Расчет2!BE23)</f>
        <v>0</v>
      </c>
      <c r="AF23" s="9">
        <f>IF($F23=0,0,Расчет2!BF23)</f>
        <v>0</v>
      </c>
      <c r="AG23" s="9">
        <f>IF($F23=0,0,Расчет2!BG23)</f>
        <v>0</v>
      </c>
      <c r="AI23" s="11" t="e">
        <f>Расчет!FY23</f>
        <v>#N/A</v>
      </c>
      <c r="AJ23" s="11" t="e">
        <f>Расчет!FZ23</f>
        <v>#N/A</v>
      </c>
      <c r="AK23" s="11" t="e">
        <f>Расчет!GA23</f>
        <v>#N/A</v>
      </c>
      <c r="AL23" s="11" t="e">
        <f>Расчет!GB23</f>
        <v>#N/A</v>
      </c>
      <c r="AM23" s="11" t="e">
        <f>Расчет!GC23</f>
        <v>#N/A</v>
      </c>
      <c r="AN23" s="11" t="e">
        <f>Расчет!GD23</f>
        <v>#N/A</v>
      </c>
      <c r="AO23" s="11" t="e">
        <f>Расчет!GE23</f>
        <v>#N/A</v>
      </c>
      <c r="AP23" s="11" t="e">
        <f>Расчет!GF23</f>
        <v>#N/A</v>
      </c>
      <c r="AQ23" s="11" t="e">
        <f>Расчет!GG23</f>
        <v>#N/A</v>
      </c>
      <c r="AR23" s="11" t="e">
        <f>Расчет!GH23</f>
        <v>#N/A</v>
      </c>
      <c r="AS23" s="11" t="e">
        <f>Расчет!GI23</f>
        <v>#N/A</v>
      </c>
      <c r="AT23" s="11" t="e">
        <f>Расчет!GJ23</f>
        <v>#N/A</v>
      </c>
      <c r="AU23" s="198" t="e">
        <f t="shared" ref="AU23:AU86" si="9">AI23+AL23+AO23+AR23</f>
        <v>#N/A</v>
      </c>
      <c r="AV23" s="198" t="e">
        <f t="shared" ref="AV23:AV86" si="10">AJ23+AM23+AP23+AS23</f>
        <v>#N/A</v>
      </c>
      <c r="AW23" s="198" t="e">
        <f t="shared" ref="AW23:AW86" si="11">AK23+AN23+AQ23+AT23</f>
        <v>#N/A</v>
      </c>
      <c r="AX23" s="11" t="e">
        <f t="shared" ref="AX23:AX86" si="12">MIN(AU23:AW23)</f>
        <v>#N/A</v>
      </c>
      <c r="AY23" s="11" t="e">
        <f t="shared" ref="AY23:AY86" si="13">MAX(AU23:AW23)</f>
        <v>#N/A</v>
      </c>
      <c r="AZ23" s="11" t="e">
        <f t="shared" ref="AZ23:AZ86" si="14">IF(AU23=AX23,MIN(AV23:AW23),IF(AW23=AX23,MIN(AU23:AV23),MIN(AU23,AW23)))</f>
        <v>#N/A</v>
      </c>
    </row>
    <row r="24" spans="1:124" x14ac:dyDescent="0.2">
      <c r="A24" s="6">
        <f>Исходн.данные.!A24</f>
        <v>0</v>
      </c>
      <c r="B24" s="6">
        <f>Исходн.данные.!B24</f>
        <v>0</v>
      </c>
      <c r="C24" s="6">
        <f>Исходн.данные.!C24</f>
        <v>0</v>
      </c>
      <c r="D24" s="6">
        <f>Исходн.данные.!D24</f>
        <v>0</v>
      </c>
      <c r="E24" s="6">
        <f>Исходн.данные.!E24</f>
        <v>0</v>
      </c>
      <c r="F24" s="6">
        <f>Исходн.данные.!AH24</f>
        <v>0</v>
      </c>
      <c r="G24" s="6">
        <f>Исходн.данные.!AJ24</f>
        <v>0</v>
      </c>
      <c r="H24" s="9">
        <f>Исходн.данные.!AK24</f>
        <v>0</v>
      </c>
      <c r="I24" s="9">
        <f>IF($F24=0,0,Расчет2!AO24)</f>
        <v>0</v>
      </c>
      <c r="J24" s="9">
        <f>IF(F24=0,0,Расчет2!AP24)</f>
        <v>0</v>
      </c>
      <c r="K24" s="10">
        <f>IF($F24=0,0,Расчет2!AQ24)</f>
        <v>0</v>
      </c>
      <c r="L24" s="10">
        <f>IF($F24=0,0,Расчет2!AR24)</f>
        <v>0</v>
      </c>
      <c r="M24" s="10">
        <f>IF($F24=0,0,Расчет2!AS24)</f>
        <v>0</v>
      </c>
      <c r="N24" s="10">
        <f>IF($F24=0,0,IF(Исходн.данные.!$AP24="Посл.посева",0,Расчет2!AT24))</f>
        <v>0</v>
      </c>
      <c r="O24" s="10">
        <f>IF($F24=0,0,IF(Исходн.данные.!$AP24="Посл.посева",0,IF(Расчет2!AU24&lt;10,10,Расчет2!AU24)))</f>
        <v>0</v>
      </c>
      <c r="P24" s="10">
        <f>IF($F24=0,0,IF(Исходн.данные.!$AP24="Посл.посева",0,Расчет2!AV24))</f>
        <v>0</v>
      </c>
      <c r="Q24" s="10">
        <f>IF($F24=0,0,Расчет2!AW24)</f>
        <v>0</v>
      </c>
      <c r="R24" s="10">
        <f>IF($F24=0,0,Расчет2!AX24)</f>
        <v>0</v>
      </c>
      <c r="S24" s="9">
        <f>IF($F24=0,0,Расчет2!AY24)</f>
        <v>0</v>
      </c>
      <c r="T24" s="10">
        <f>IF($F24=0,0,Расчет2!AZ24)</f>
        <v>0</v>
      </c>
      <c r="U24" s="10">
        <f>IF($F24=0,0,Расчет2!BA24)</f>
        <v>0</v>
      </c>
      <c r="V24" s="10">
        <f>IF($F24=0,0,Расчет2!BB24)</f>
        <v>0</v>
      </c>
      <c r="W24" s="10">
        <f>Расчет!DL24</f>
        <v>0</v>
      </c>
      <c r="X24" s="10">
        <f>Расчет!DN24</f>
        <v>0</v>
      </c>
      <c r="Y24" s="9">
        <f>X24*Исходн.данные.!$AJ24/1000</f>
        <v>0</v>
      </c>
      <c r="Z24" s="10" t="str">
        <f>Расчет!DO24</f>
        <v>Хлор.калий</v>
      </c>
      <c r="AA24" s="10">
        <f>Расчет!DQ24</f>
        <v>0</v>
      </c>
      <c r="AB24" s="12">
        <f>AA24*Исходн.данные.!$AJ24/1000</f>
        <v>0</v>
      </c>
      <c r="AC24" s="9">
        <f>IF($F24=0,0,Расчет2!BC24)</f>
        <v>0</v>
      </c>
      <c r="AD24" s="10">
        <f>IF($F24=0,0,Расчет2!BD24)</f>
        <v>0</v>
      </c>
      <c r="AE24" s="9">
        <f>IF($F24=0,0,Расчет2!BE24)</f>
        <v>0</v>
      </c>
      <c r="AF24" s="9">
        <f>IF($F24=0,0,Расчет2!BF24)</f>
        <v>0</v>
      </c>
      <c r="AG24" s="9">
        <f>IF($F24=0,0,Расчет2!BG24)</f>
        <v>0</v>
      </c>
      <c r="AI24" s="11" t="e">
        <f>Расчет!FY24</f>
        <v>#N/A</v>
      </c>
      <c r="AJ24" s="11" t="e">
        <f>Расчет!FZ24</f>
        <v>#N/A</v>
      </c>
      <c r="AK24" s="11" t="e">
        <f>Расчет!GA24</f>
        <v>#N/A</v>
      </c>
      <c r="AL24" s="11" t="e">
        <f>Расчет!GB24</f>
        <v>#N/A</v>
      </c>
      <c r="AM24" s="11" t="e">
        <f>Расчет!GC24</f>
        <v>#N/A</v>
      </c>
      <c r="AN24" s="11" t="e">
        <f>Расчет!GD24</f>
        <v>#N/A</v>
      </c>
      <c r="AO24" s="11" t="e">
        <f>Расчет!GE24</f>
        <v>#N/A</v>
      </c>
      <c r="AP24" s="11" t="e">
        <f>Расчет!GF24</f>
        <v>#N/A</v>
      </c>
      <c r="AQ24" s="11" t="e">
        <f>Расчет!GG24</f>
        <v>#N/A</v>
      </c>
      <c r="AR24" s="11" t="e">
        <f>Расчет!GH24</f>
        <v>#N/A</v>
      </c>
      <c r="AS24" s="11" t="e">
        <f>Расчет!GI24</f>
        <v>#N/A</v>
      </c>
      <c r="AT24" s="11" t="e">
        <f>Расчет!GJ24</f>
        <v>#N/A</v>
      </c>
      <c r="AU24" s="198" t="e">
        <f t="shared" si="9"/>
        <v>#N/A</v>
      </c>
      <c r="AV24" s="198" t="e">
        <f t="shared" si="10"/>
        <v>#N/A</v>
      </c>
      <c r="AW24" s="198" t="e">
        <f t="shared" si="11"/>
        <v>#N/A</v>
      </c>
      <c r="AX24" s="11" t="e">
        <f t="shared" si="12"/>
        <v>#N/A</v>
      </c>
      <c r="AY24" s="11" t="e">
        <f t="shared" si="13"/>
        <v>#N/A</v>
      </c>
      <c r="AZ24" s="11" t="e">
        <f t="shared" si="14"/>
        <v>#N/A</v>
      </c>
    </row>
    <row r="25" spans="1:124" x14ac:dyDescent="0.2">
      <c r="A25" s="6">
        <f>Исходн.данные.!A25</f>
        <v>0</v>
      </c>
      <c r="B25" s="6">
        <f>Исходн.данные.!B25</f>
        <v>0</v>
      </c>
      <c r="C25" s="6">
        <f>Исходн.данные.!C25</f>
        <v>0</v>
      </c>
      <c r="D25" s="6">
        <f>Исходн.данные.!D25</f>
        <v>0</v>
      </c>
      <c r="E25" s="6">
        <f>Исходн.данные.!E25</f>
        <v>0</v>
      </c>
      <c r="F25" s="6">
        <f>Исходн.данные.!AH25</f>
        <v>0</v>
      </c>
      <c r="G25" s="6">
        <f>Исходн.данные.!AJ25</f>
        <v>0</v>
      </c>
      <c r="H25" s="9">
        <f>Исходн.данные.!AK25</f>
        <v>0</v>
      </c>
      <c r="I25" s="9">
        <f>IF($F25=0,0,Расчет2!AO25)</f>
        <v>0</v>
      </c>
      <c r="J25" s="9">
        <f>IF(F25=0,0,Расчет2!AP25)</f>
        <v>0</v>
      </c>
      <c r="K25" s="10">
        <f>IF($F25=0,0,Расчет2!AQ25)</f>
        <v>0</v>
      </c>
      <c r="L25" s="10">
        <f>IF($F25=0,0,Расчет2!AR25)</f>
        <v>0</v>
      </c>
      <c r="M25" s="10">
        <f>IF($F25=0,0,Расчет2!AS25)</f>
        <v>0</v>
      </c>
      <c r="N25" s="10">
        <f>IF($F25=0,0,IF(Исходн.данные.!$AP25="Посл.посева",0,Расчет2!AT25))</f>
        <v>0</v>
      </c>
      <c r="O25" s="10">
        <f>IF($F25=0,0,IF(Исходн.данные.!$AP25="Посл.посева",0,IF(Расчет2!AU25&lt;10,10,Расчет2!AU25)))</f>
        <v>0</v>
      </c>
      <c r="P25" s="10">
        <f>IF($F25=0,0,IF(Исходн.данные.!$AP25="Посл.посева",0,Расчет2!AV25))</f>
        <v>0</v>
      </c>
      <c r="Q25" s="10">
        <f>IF($F25=0,0,Расчет2!AW25)</f>
        <v>0</v>
      </c>
      <c r="R25" s="10">
        <f>IF($F25=0,0,Расчет2!AX25)</f>
        <v>0</v>
      </c>
      <c r="S25" s="9">
        <f>IF($F25=0,0,Расчет2!AY25)</f>
        <v>0</v>
      </c>
      <c r="T25" s="10">
        <f>IF($F25=0,0,Расчет2!AZ25)</f>
        <v>0</v>
      </c>
      <c r="U25" s="10">
        <f>IF($F25=0,0,Расчет2!BA25)</f>
        <v>0</v>
      </c>
      <c r="V25" s="10">
        <f>IF($F25=0,0,Расчет2!BB25)</f>
        <v>0</v>
      </c>
      <c r="W25" s="10">
        <f>Расчет!DL25</f>
        <v>0</v>
      </c>
      <c r="X25" s="10">
        <f>Расчет!DN25</f>
        <v>0</v>
      </c>
      <c r="Y25" s="9">
        <f>X25*Исходн.данные.!$AJ25/1000</f>
        <v>0</v>
      </c>
      <c r="Z25" s="10" t="str">
        <f>Расчет!DO25</f>
        <v>Хлор.калий</v>
      </c>
      <c r="AA25" s="10">
        <f>Расчет!DQ25</f>
        <v>0</v>
      </c>
      <c r="AB25" s="12">
        <f>AA25*Исходн.данные.!$AJ25/1000</f>
        <v>0</v>
      </c>
      <c r="AC25" s="9">
        <f>IF($F25=0,0,Расчет2!BC25)</f>
        <v>0</v>
      </c>
      <c r="AD25" s="10">
        <f>IF($F25=0,0,Расчет2!BD25)</f>
        <v>0</v>
      </c>
      <c r="AE25" s="9">
        <f>IF($F25=0,0,Расчет2!BE25)</f>
        <v>0</v>
      </c>
      <c r="AF25" s="9">
        <f>IF($F25=0,0,Расчет!EI25)</f>
        <v>0</v>
      </c>
      <c r="AG25" s="9">
        <f>IF($F25=0,0,Расчет2!BG25)</f>
        <v>0</v>
      </c>
      <c r="AI25" s="11" t="e">
        <f>Расчет!FY25</f>
        <v>#N/A</v>
      </c>
      <c r="AJ25" s="11" t="e">
        <f>Расчет!FZ25</f>
        <v>#N/A</v>
      </c>
      <c r="AK25" s="11" t="e">
        <f>Расчет!GA25</f>
        <v>#N/A</v>
      </c>
      <c r="AL25" s="11" t="e">
        <f>Расчет!GB25</f>
        <v>#N/A</v>
      </c>
      <c r="AM25" s="11" t="e">
        <f>Расчет!GC25</f>
        <v>#N/A</v>
      </c>
      <c r="AN25" s="11" t="e">
        <f>Расчет!GD25</f>
        <v>#N/A</v>
      </c>
      <c r="AO25" s="11" t="e">
        <f>Расчет!GE25</f>
        <v>#N/A</v>
      </c>
      <c r="AP25" s="11" t="e">
        <f>Расчет!GF25</f>
        <v>#N/A</v>
      </c>
      <c r="AQ25" s="11" t="e">
        <f>Расчет!GG25</f>
        <v>#N/A</v>
      </c>
      <c r="AR25" s="11" t="e">
        <f>Расчет!GH25</f>
        <v>#N/A</v>
      </c>
      <c r="AS25" s="11" t="e">
        <f>Расчет!GI25</f>
        <v>#N/A</v>
      </c>
      <c r="AT25" s="11" t="e">
        <f>Расчет!GJ25</f>
        <v>#N/A</v>
      </c>
      <c r="AU25" s="198" t="e">
        <f t="shared" si="9"/>
        <v>#N/A</v>
      </c>
      <c r="AV25" s="198" t="e">
        <f t="shared" si="10"/>
        <v>#N/A</v>
      </c>
      <c r="AW25" s="198" t="e">
        <f t="shared" si="11"/>
        <v>#N/A</v>
      </c>
      <c r="AX25" s="11" t="e">
        <f t="shared" si="12"/>
        <v>#N/A</v>
      </c>
      <c r="AY25" s="11" t="e">
        <f t="shared" si="13"/>
        <v>#N/A</v>
      </c>
      <c r="AZ25" s="11" t="e">
        <f t="shared" si="14"/>
        <v>#N/A</v>
      </c>
    </row>
    <row r="26" spans="1:124" x14ac:dyDescent="0.2">
      <c r="A26" s="6">
        <f>Исходн.данные.!A26</f>
        <v>0</v>
      </c>
      <c r="B26" s="6">
        <f>Исходн.данные.!B26</f>
        <v>0</v>
      </c>
      <c r="C26" s="6">
        <f>Исходн.данные.!C26</f>
        <v>0</v>
      </c>
      <c r="D26" s="6">
        <f>Исходн.данные.!D26</f>
        <v>0</v>
      </c>
      <c r="E26" s="6">
        <f>Исходн.данные.!E26</f>
        <v>0</v>
      </c>
      <c r="F26" s="6">
        <f>Исходн.данные.!AH26</f>
        <v>0</v>
      </c>
      <c r="G26" s="6">
        <f>Исходн.данные.!AJ26</f>
        <v>0</v>
      </c>
      <c r="H26" s="9">
        <f>Исходн.данные.!AK26</f>
        <v>0</v>
      </c>
      <c r="I26" s="9">
        <f>IF($F26=0,0,Расчет2!AO26)</f>
        <v>0</v>
      </c>
      <c r="J26" s="9">
        <f>IF(F26=0,0,Расчет2!AP26)</f>
        <v>0</v>
      </c>
      <c r="K26" s="10">
        <f>IF($F26=0,0,Расчет2!AQ26)</f>
        <v>0</v>
      </c>
      <c r="L26" s="10">
        <f>IF($F26=0,0,Расчет2!AR26)</f>
        <v>0</v>
      </c>
      <c r="M26" s="10">
        <f>IF($F26=0,0,Расчет2!AS26)</f>
        <v>0</v>
      </c>
      <c r="N26" s="10">
        <f>IF($F26=0,0,IF(Исходн.данные.!$AP26="Посл.посева",0,Расчет2!AT26))</f>
        <v>0</v>
      </c>
      <c r="O26" s="10">
        <f>IF($F26=0,0,IF(Исходн.данные.!$AP26="Посл.посева",0,IF(Расчет2!AU26&lt;10,10,Расчет2!AU26)))</f>
        <v>0</v>
      </c>
      <c r="P26" s="10">
        <f>IF($F26=0,0,IF(Исходн.данные.!$AP26="Посл.посева",0,Расчет2!AV26))</f>
        <v>0</v>
      </c>
      <c r="Q26" s="10">
        <f>IF($F26=0,0,Расчет2!AW26)</f>
        <v>0</v>
      </c>
      <c r="R26" s="10">
        <f>IF($F26=0,0,Расчет2!AX26)</f>
        <v>0</v>
      </c>
      <c r="S26" s="9">
        <f>IF($F26=0,0,Расчет2!AY26)</f>
        <v>0</v>
      </c>
      <c r="T26" s="10">
        <f>IF($F26=0,0,Расчет2!AZ26)</f>
        <v>0</v>
      </c>
      <c r="U26" s="10">
        <f>IF($F26=0,0,Расчет2!BA26)</f>
        <v>0</v>
      </c>
      <c r="V26" s="10">
        <f>IF($F26=0,0,Расчет2!BB26)</f>
        <v>0</v>
      </c>
      <c r="W26" s="10">
        <f>Расчет!DL26</f>
        <v>0</v>
      </c>
      <c r="X26" s="10">
        <f>Расчет!DN26</f>
        <v>0</v>
      </c>
      <c r="Y26" s="9">
        <f>X26*Исходн.данные.!$AJ26/1000</f>
        <v>0</v>
      </c>
      <c r="Z26" s="10" t="str">
        <f>Расчет!DO26</f>
        <v>Хлор.калий</v>
      </c>
      <c r="AA26" s="10">
        <f>Расчет!DQ26</f>
        <v>0</v>
      </c>
      <c r="AB26" s="12">
        <f>AA26*Исходн.данные.!$AJ26/1000</f>
        <v>0</v>
      </c>
      <c r="AC26" s="9">
        <f>IF($F26=0,0,Расчет2!BC26)</f>
        <v>0</v>
      </c>
      <c r="AD26" s="10">
        <f>IF($F26=0,0,Расчет2!BD26)</f>
        <v>0</v>
      </c>
      <c r="AE26" s="9">
        <f>IF($F26=0,0,Расчет2!BE26)</f>
        <v>0</v>
      </c>
      <c r="AF26" s="9">
        <f>IF($F26=0,0,Расчет2!BF26)</f>
        <v>0</v>
      </c>
      <c r="AG26" s="9">
        <f>IF($F26=0,0,Расчет2!BG26)</f>
        <v>0</v>
      </c>
      <c r="AI26" s="11" t="e">
        <f>Расчет!FY26</f>
        <v>#N/A</v>
      </c>
      <c r="AJ26" s="11" t="e">
        <f>Расчет!FZ26</f>
        <v>#N/A</v>
      </c>
      <c r="AK26" s="11" t="e">
        <f>Расчет!GA26</f>
        <v>#N/A</v>
      </c>
      <c r="AL26" s="11" t="e">
        <f>Расчет!GB26</f>
        <v>#N/A</v>
      </c>
      <c r="AM26" s="11" t="e">
        <f>Расчет!GC26</f>
        <v>#N/A</v>
      </c>
      <c r="AN26" s="11" t="e">
        <f>Расчет!GD26</f>
        <v>#N/A</v>
      </c>
      <c r="AO26" s="11" t="e">
        <f>Расчет!GE26</f>
        <v>#N/A</v>
      </c>
      <c r="AP26" s="11" t="e">
        <f>Расчет!GF26</f>
        <v>#N/A</v>
      </c>
      <c r="AQ26" s="11" t="e">
        <f>Расчет!GG26</f>
        <v>#N/A</v>
      </c>
      <c r="AR26" s="11" t="e">
        <f>Расчет!GH26</f>
        <v>#N/A</v>
      </c>
      <c r="AS26" s="11" t="e">
        <f>Расчет!GI26</f>
        <v>#N/A</v>
      </c>
      <c r="AT26" s="11" t="e">
        <f>Расчет!GJ26</f>
        <v>#N/A</v>
      </c>
      <c r="AU26" s="198" t="e">
        <f t="shared" si="9"/>
        <v>#N/A</v>
      </c>
      <c r="AV26" s="198" t="e">
        <f t="shared" si="10"/>
        <v>#N/A</v>
      </c>
      <c r="AW26" s="198" t="e">
        <f t="shared" si="11"/>
        <v>#N/A</v>
      </c>
      <c r="AX26" s="11" t="e">
        <f t="shared" si="12"/>
        <v>#N/A</v>
      </c>
      <c r="AY26" s="11" t="e">
        <f t="shared" si="13"/>
        <v>#N/A</v>
      </c>
      <c r="AZ26" s="11" t="e">
        <f t="shared" si="14"/>
        <v>#N/A</v>
      </c>
    </row>
    <row r="27" spans="1:124" x14ac:dyDescent="0.2">
      <c r="A27" s="6">
        <f>Исходн.данные.!A27</f>
        <v>0</v>
      </c>
      <c r="B27" s="6">
        <f>Исходн.данные.!B27</f>
        <v>0</v>
      </c>
      <c r="C27" s="6">
        <f>Исходн.данные.!C27</f>
        <v>0</v>
      </c>
      <c r="D27" s="6">
        <f>Исходн.данные.!D27</f>
        <v>0</v>
      </c>
      <c r="E27" s="6">
        <f>Исходн.данные.!E27</f>
        <v>0</v>
      </c>
      <c r="F27" s="6">
        <f>Исходн.данные.!AH27</f>
        <v>0</v>
      </c>
      <c r="G27" s="6">
        <f>Исходн.данные.!AJ27</f>
        <v>0</v>
      </c>
      <c r="H27" s="9">
        <f>Исходн.данные.!AK27</f>
        <v>0</v>
      </c>
      <c r="I27" s="9">
        <f>IF($F27=0,0,Расчет2!AO27)</f>
        <v>0</v>
      </c>
      <c r="J27" s="9">
        <f>IF(F27=0,0,Расчет2!AP27)</f>
        <v>0</v>
      </c>
      <c r="K27" s="10">
        <f>IF($F27=0,0,Расчет2!AQ27)</f>
        <v>0</v>
      </c>
      <c r="L27" s="10">
        <f>IF($F27=0,0,Расчет2!AR27)</f>
        <v>0</v>
      </c>
      <c r="M27" s="10">
        <f>IF($F27=0,0,Расчет2!AS27)</f>
        <v>0</v>
      </c>
      <c r="N27" s="10">
        <f>IF($F27=0,0,IF(Исходн.данные.!$AP27="Посл.посева",0,Расчет2!AT27))</f>
        <v>0</v>
      </c>
      <c r="O27" s="10">
        <f>IF($F27=0,0,IF(Исходн.данные.!$AP27="Посл.посева",0,IF(Расчет2!AU27&lt;10,10,Расчет2!AU27)))</f>
        <v>0</v>
      </c>
      <c r="P27" s="10">
        <f>IF($F27=0,0,IF(Исходн.данные.!$AP27="Посл.посева",0,Расчет2!AV27))</f>
        <v>0</v>
      </c>
      <c r="Q27" s="10">
        <f>IF($F27=0,0,Расчет2!AW27)</f>
        <v>0</v>
      </c>
      <c r="R27" s="10">
        <f>IF($F27=0,0,Расчет2!AX27)</f>
        <v>0</v>
      </c>
      <c r="S27" s="9">
        <f>IF($F27=0,0,Расчет2!AY27)</f>
        <v>0</v>
      </c>
      <c r="T27" s="10">
        <f>IF($F27=0,0,Расчет2!AZ27)</f>
        <v>0</v>
      </c>
      <c r="U27" s="10">
        <f>IF($F27=0,0,Расчет2!BA27)</f>
        <v>0</v>
      </c>
      <c r="V27" s="10">
        <f>IF($F27=0,0,Расчет2!BB27)</f>
        <v>0</v>
      </c>
      <c r="W27" s="10">
        <f>Расчет!DL27</f>
        <v>0</v>
      </c>
      <c r="X27" s="10">
        <f>Расчет!DN27</f>
        <v>0</v>
      </c>
      <c r="Y27" s="9">
        <f>X27*Исходн.данные.!$AJ27/1000</f>
        <v>0</v>
      </c>
      <c r="Z27" s="10" t="str">
        <f>Расчет!DO27</f>
        <v>Хлор.калий</v>
      </c>
      <c r="AA27" s="10">
        <f>Расчет!DQ27</f>
        <v>0</v>
      </c>
      <c r="AB27" s="12">
        <f>AA27*Исходн.данные.!$AJ27/1000</f>
        <v>0</v>
      </c>
      <c r="AC27" s="9">
        <f>IF($F27=0,0,Расчет2!BC27)</f>
        <v>0</v>
      </c>
      <c r="AD27" s="10">
        <f>IF($F27=0,0,Расчет2!BD27)</f>
        <v>0</v>
      </c>
      <c r="AE27" s="9">
        <f>IF($F27=0,0,Расчет2!BE27)</f>
        <v>0</v>
      </c>
      <c r="AF27" s="9">
        <f>IF($F27=0,0,Расчет2!BF27)</f>
        <v>0</v>
      </c>
      <c r="AG27" s="9">
        <f>IF($F27=0,0,Расчет2!BG27)</f>
        <v>0</v>
      </c>
      <c r="AI27" s="11" t="e">
        <f>Расчет!FY27</f>
        <v>#N/A</v>
      </c>
      <c r="AJ27" s="11" t="e">
        <f>Расчет!FZ27</f>
        <v>#N/A</v>
      </c>
      <c r="AK27" s="11" t="e">
        <f>Расчет!GA27</f>
        <v>#N/A</v>
      </c>
      <c r="AL27" s="11" t="e">
        <f>Расчет!GB27</f>
        <v>#N/A</v>
      </c>
      <c r="AM27" s="11" t="e">
        <f>Расчет!GC27</f>
        <v>#N/A</v>
      </c>
      <c r="AN27" s="11" t="e">
        <f>Расчет!GD27</f>
        <v>#N/A</v>
      </c>
      <c r="AO27" s="11" t="e">
        <f>Расчет!GE27</f>
        <v>#N/A</v>
      </c>
      <c r="AP27" s="11" t="e">
        <f>Расчет!GF27</f>
        <v>#N/A</v>
      </c>
      <c r="AQ27" s="11" t="e">
        <f>Расчет!GG27</f>
        <v>#N/A</v>
      </c>
      <c r="AR27" s="11" t="e">
        <f>Расчет!GH27</f>
        <v>#N/A</v>
      </c>
      <c r="AS27" s="11" t="e">
        <f>Расчет!GI27</f>
        <v>#N/A</v>
      </c>
      <c r="AT27" s="11" t="e">
        <f>Расчет!GJ27</f>
        <v>#N/A</v>
      </c>
      <c r="AU27" s="198" t="e">
        <f t="shared" si="9"/>
        <v>#N/A</v>
      </c>
      <c r="AV27" s="198" t="e">
        <f t="shared" si="10"/>
        <v>#N/A</v>
      </c>
      <c r="AW27" s="198" t="e">
        <f t="shared" si="11"/>
        <v>#N/A</v>
      </c>
      <c r="AX27" s="11" t="e">
        <f t="shared" si="12"/>
        <v>#N/A</v>
      </c>
      <c r="AY27" s="11" t="e">
        <f t="shared" si="13"/>
        <v>#N/A</v>
      </c>
      <c r="AZ27" s="11" t="e">
        <f t="shared" si="14"/>
        <v>#N/A</v>
      </c>
    </row>
    <row r="28" spans="1:124" x14ac:dyDescent="0.2">
      <c r="A28" s="6">
        <f>Исходн.данные.!A28</f>
        <v>0</v>
      </c>
      <c r="B28" s="6">
        <f>Исходн.данные.!B28</f>
        <v>0</v>
      </c>
      <c r="C28" s="6">
        <f>Исходн.данные.!C28</f>
        <v>0</v>
      </c>
      <c r="D28" s="6">
        <f>Исходн.данные.!D28</f>
        <v>0</v>
      </c>
      <c r="E28" s="6">
        <f>Исходн.данные.!E28</f>
        <v>0</v>
      </c>
      <c r="F28" s="6">
        <f>Исходн.данные.!AH28</f>
        <v>0</v>
      </c>
      <c r="G28" s="6">
        <f>Исходн.данные.!AJ28</f>
        <v>0</v>
      </c>
      <c r="H28" s="9">
        <f>Исходн.данные.!AK28</f>
        <v>0</v>
      </c>
      <c r="I28" s="9">
        <f>IF($F28=0,0,Расчет2!AO28)</f>
        <v>0</v>
      </c>
      <c r="J28" s="9">
        <f>IF(F28=0,0,Расчет2!AP28)</f>
        <v>0</v>
      </c>
      <c r="K28" s="10">
        <f>IF($F28=0,0,Расчет2!AQ28)</f>
        <v>0</v>
      </c>
      <c r="L28" s="10">
        <f>IF($F28=0,0,Расчет2!AR28)</f>
        <v>0</v>
      </c>
      <c r="M28" s="10">
        <f>IF($F28=0,0,Расчет2!AS28)</f>
        <v>0</v>
      </c>
      <c r="N28" s="10">
        <f>IF($F28=0,0,IF(Исходн.данные.!$AP28="Посл.посева",0,Расчет2!AT28))</f>
        <v>0</v>
      </c>
      <c r="O28" s="10">
        <f>IF($F28=0,0,IF(Исходн.данные.!$AP28="Посл.посева",0,IF(Расчет2!AU28&lt;10,10,Расчет2!AU28)))</f>
        <v>0</v>
      </c>
      <c r="P28" s="10">
        <f>IF($F28=0,0,IF(Исходн.данные.!$AP28="Посл.посева",0,Расчет2!AV28))</f>
        <v>0</v>
      </c>
      <c r="Q28" s="10">
        <f>IF($F28=0,0,Расчет2!AW28)</f>
        <v>0</v>
      </c>
      <c r="R28" s="10">
        <f>IF($F28=0,0,Расчет2!AX28)</f>
        <v>0</v>
      </c>
      <c r="S28" s="9">
        <f>IF($F28=0,0,Расчет2!AY28)</f>
        <v>0</v>
      </c>
      <c r="T28" s="10">
        <f>IF($F28=0,0,Расчет2!AZ28)</f>
        <v>0</v>
      </c>
      <c r="U28" s="10">
        <f>IF($F28=0,0,Расчет2!BA28)</f>
        <v>0</v>
      </c>
      <c r="V28" s="10">
        <f>IF($F28=0,0,Расчет2!BB28)</f>
        <v>0</v>
      </c>
      <c r="W28" s="10">
        <f>Расчет!DL28</f>
        <v>0</v>
      </c>
      <c r="X28" s="10">
        <f>Расчет!DN28</f>
        <v>0</v>
      </c>
      <c r="Y28" s="9">
        <f>X28*Исходн.данные.!$AJ28/1000</f>
        <v>0</v>
      </c>
      <c r="Z28" s="10" t="str">
        <f>Расчет!DO28</f>
        <v>Хлор.калий</v>
      </c>
      <c r="AA28" s="10">
        <f>Расчет!DQ28</f>
        <v>0</v>
      </c>
      <c r="AB28" s="12">
        <f>AA28*Исходн.данные.!$AJ28/1000</f>
        <v>0</v>
      </c>
      <c r="AC28" s="9">
        <f>IF($F28=0,0,Расчет2!BC28)</f>
        <v>0</v>
      </c>
      <c r="AD28" s="10">
        <f>IF($F28=0,0,Расчет2!BD28)</f>
        <v>0</v>
      </c>
      <c r="AE28" s="9">
        <f>IF($F28=0,0,Расчет2!BE28)</f>
        <v>0</v>
      </c>
      <c r="AF28" s="9">
        <f>IF($F28=0,0,Расчет2!BF28)</f>
        <v>0</v>
      </c>
      <c r="AG28" s="9">
        <f>IF($F28=0,0,Расчет2!BG28)</f>
        <v>0</v>
      </c>
      <c r="AI28" s="11" t="e">
        <f>Расчет!FY28</f>
        <v>#N/A</v>
      </c>
      <c r="AJ28" s="11" t="e">
        <f>Расчет!FZ28</f>
        <v>#N/A</v>
      </c>
      <c r="AK28" s="11" t="e">
        <f>Расчет!GA28</f>
        <v>#N/A</v>
      </c>
      <c r="AL28" s="11" t="e">
        <f>Расчет!GB28</f>
        <v>#N/A</v>
      </c>
      <c r="AM28" s="11" t="e">
        <f>Расчет!GC28</f>
        <v>#N/A</v>
      </c>
      <c r="AN28" s="11" t="e">
        <f>Расчет!GD28</f>
        <v>#N/A</v>
      </c>
      <c r="AO28" s="11" t="e">
        <f>Расчет!GE28</f>
        <v>#N/A</v>
      </c>
      <c r="AP28" s="11" t="e">
        <f>Расчет!GF28</f>
        <v>#N/A</v>
      </c>
      <c r="AQ28" s="11" t="e">
        <f>Расчет!GG28</f>
        <v>#N/A</v>
      </c>
      <c r="AR28" s="11" t="e">
        <f>Расчет!GH28</f>
        <v>#N/A</v>
      </c>
      <c r="AS28" s="11" t="e">
        <f>Расчет!GI28</f>
        <v>#N/A</v>
      </c>
      <c r="AT28" s="11" t="e">
        <f>Расчет!GJ28</f>
        <v>#N/A</v>
      </c>
      <c r="AU28" s="198" t="e">
        <f t="shared" si="9"/>
        <v>#N/A</v>
      </c>
      <c r="AV28" s="198" t="e">
        <f t="shared" si="10"/>
        <v>#N/A</v>
      </c>
      <c r="AW28" s="198" t="e">
        <f t="shared" si="11"/>
        <v>#N/A</v>
      </c>
      <c r="AX28" s="11" t="e">
        <f t="shared" si="12"/>
        <v>#N/A</v>
      </c>
      <c r="AY28" s="11" t="e">
        <f t="shared" si="13"/>
        <v>#N/A</v>
      </c>
      <c r="AZ28" s="11" t="e">
        <f t="shared" si="14"/>
        <v>#N/A</v>
      </c>
    </row>
    <row r="29" spans="1:124" x14ac:dyDescent="0.2">
      <c r="A29" s="6">
        <f>Исходн.данные.!A29</f>
        <v>0</v>
      </c>
      <c r="B29" s="6">
        <f>Исходн.данные.!B29</f>
        <v>0</v>
      </c>
      <c r="C29" s="6">
        <f>Исходн.данные.!C29</f>
        <v>0</v>
      </c>
      <c r="D29" s="6">
        <f>Исходн.данные.!D29</f>
        <v>0</v>
      </c>
      <c r="E29" s="6">
        <f>Исходн.данные.!E29</f>
        <v>0</v>
      </c>
      <c r="F29" s="6">
        <f>Исходн.данные.!AH29</f>
        <v>0</v>
      </c>
      <c r="G29" s="6">
        <f>Исходн.данные.!AJ29</f>
        <v>0</v>
      </c>
      <c r="H29" s="9">
        <f>Исходн.данные.!AK29</f>
        <v>0</v>
      </c>
      <c r="I29" s="9">
        <f>IF($F29=0,0,Расчет2!AO29)</f>
        <v>0</v>
      </c>
      <c r="J29" s="9">
        <f>IF(F29=0,0,Расчет2!AP29)</f>
        <v>0</v>
      </c>
      <c r="K29" s="10">
        <f>IF($F29=0,0,Расчет2!AQ29)</f>
        <v>0</v>
      </c>
      <c r="L29" s="10">
        <f>IF($F29=0,0,Расчет2!AR29)</f>
        <v>0</v>
      </c>
      <c r="M29" s="10">
        <f>IF($F29=0,0,Расчет2!AS29)</f>
        <v>0</v>
      </c>
      <c r="N29" s="10">
        <f>IF($F29=0,0,IF(Исходн.данные.!$AP29="Посл.посева",0,Расчет2!AT29))</f>
        <v>0</v>
      </c>
      <c r="O29" s="10">
        <f>IF($F29=0,0,IF(Исходн.данные.!$AP29="Посл.посева",0,IF(Расчет2!AU29&lt;10,10,Расчет2!AU29)))</f>
        <v>0</v>
      </c>
      <c r="P29" s="10">
        <f>IF($F29=0,0,IF(Исходн.данные.!$AP29="Посл.посева",0,Расчет2!AV29))</f>
        <v>0</v>
      </c>
      <c r="Q29" s="10">
        <f>IF($F29=0,0,Расчет2!AW29)</f>
        <v>0</v>
      </c>
      <c r="R29" s="10">
        <f>IF($F29=0,0,Расчет2!AX29)</f>
        <v>0</v>
      </c>
      <c r="S29" s="9">
        <f>IF($F29=0,0,Расчет2!AY29)</f>
        <v>0</v>
      </c>
      <c r="T29" s="10">
        <f>IF($F29=0,0,Расчет2!AZ29)</f>
        <v>0</v>
      </c>
      <c r="U29" s="10">
        <f>IF($F29=0,0,Расчет2!BA29)</f>
        <v>0</v>
      </c>
      <c r="V29" s="10">
        <f>IF($F29=0,0,Расчет2!BB29)</f>
        <v>0</v>
      </c>
      <c r="W29" s="10">
        <f>Расчет!DL29</f>
        <v>0</v>
      </c>
      <c r="X29" s="10">
        <f>Расчет!DN29</f>
        <v>0</v>
      </c>
      <c r="Y29" s="9">
        <f>X29*Исходн.данные.!$AJ29/1000</f>
        <v>0</v>
      </c>
      <c r="Z29" s="10" t="str">
        <f>Расчет!DO29</f>
        <v>Хлор.калий</v>
      </c>
      <c r="AA29" s="10">
        <f>Расчет!DQ29</f>
        <v>0</v>
      </c>
      <c r="AB29" s="12">
        <f>AA29*Исходн.данные.!$AJ29/1000</f>
        <v>0</v>
      </c>
      <c r="AC29" s="9">
        <f>IF($F29=0,0,Расчет2!BC29)</f>
        <v>0</v>
      </c>
      <c r="AD29" s="10">
        <f>IF($F29=0,0,Расчет2!BD29)</f>
        <v>0</v>
      </c>
      <c r="AE29" s="9">
        <f>IF($F29=0,0,Расчет2!BE29)</f>
        <v>0</v>
      </c>
      <c r="AF29" s="9">
        <f>IF($F29=0,0,Расчет2!BF29)</f>
        <v>0</v>
      </c>
      <c r="AG29" s="9">
        <f>IF($F29=0,0,Расчет2!BG29)</f>
        <v>0</v>
      </c>
      <c r="AI29" s="11" t="e">
        <f>Расчет!FY29</f>
        <v>#N/A</v>
      </c>
      <c r="AJ29" s="11" t="e">
        <f>Расчет!FZ29</f>
        <v>#N/A</v>
      </c>
      <c r="AK29" s="11" t="e">
        <f>Расчет!GA29</f>
        <v>#N/A</v>
      </c>
      <c r="AL29" s="11" t="e">
        <f>Расчет!GB29</f>
        <v>#N/A</v>
      </c>
      <c r="AM29" s="11" t="e">
        <f>Расчет!GC29</f>
        <v>#N/A</v>
      </c>
      <c r="AN29" s="11" t="e">
        <f>Расчет!GD29</f>
        <v>#N/A</v>
      </c>
      <c r="AO29" s="11" t="e">
        <f>Расчет!GE29</f>
        <v>#N/A</v>
      </c>
      <c r="AP29" s="11" t="e">
        <f>Расчет!GF29</f>
        <v>#N/A</v>
      </c>
      <c r="AQ29" s="11" t="e">
        <f>Расчет!GG29</f>
        <v>#N/A</v>
      </c>
      <c r="AR29" s="11" t="e">
        <f>Расчет!GH29</f>
        <v>#N/A</v>
      </c>
      <c r="AS29" s="11" t="e">
        <f>Расчет!GI29</f>
        <v>#N/A</v>
      </c>
      <c r="AT29" s="11" t="e">
        <f>Расчет!GJ29</f>
        <v>#N/A</v>
      </c>
      <c r="AU29" s="198" t="e">
        <f t="shared" si="9"/>
        <v>#N/A</v>
      </c>
      <c r="AV29" s="198" t="e">
        <f t="shared" si="10"/>
        <v>#N/A</v>
      </c>
      <c r="AW29" s="198" t="e">
        <f t="shared" si="11"/>
        <v>#N/A</v>
      </c>
      <c r="AX29" s="11" t="e">
        <f t="shared" si="12"/>
        <v>#N/A</v>
      </c>
      <c r="AY29" s="11" t="e">
        <f t="shared" si="13"/>
        <v>#N/A</v>
      </c>
      <c r="AZ29" s="11" t="e">
        <f t="shared" si="14"/>
        <v>#N/A</v>
      </c>
    </row>
    <row r="30" spans="1:124" x14ac:dyDescent="0.2">
      <c r="A30" s="6">
        <f>Исходн.данные.!A30</f>
        <v>0</v>
      </c>
      <c r="B30" s="6">
        <f>Исходн.данные.!B30</f>
        <v>0</v>
      </c>
      <c r="C30" s="6">
        <f>Исходн.данные.!C30</f>
        <v>0</v>
      </c>
      <c r="D30" s="6">
        <f>Исходн.данные.!D30</f>
        <v>0</v>
      </c>
      <c r="E30" s="6">
        <f>Исходн.данные.!E30</f>
        <v>0</v>
      </c>
      <c r="F30" s="6">
        <f>Исходн.данные.!AH30</f>
        <v>0</v>
      </c>
      <c r="G30" s="6">
        <f>Исходн.данные.!AJ30</f>
        <v>0</v>
      </c>
      <c r="H30" s="9">
        <f>Исходн.данные.!AK30</f>
        <v>0</v>
      </c>
      <c r="I30" s="9">
        <f>IF($F30=0,0,Расчет2!AO30)</f>
        <v>0</v>
      </c>
      <c r="J30" s="9">
        <f>IF(F30=0,0,Расчет2!AP30)</f>
        <v>0</v>
      </c>
      <c r="K30" s="10">
        <f>IF($F30=0,0,Расчет2!AQ30)</f>
        <v>0</v>
      </c>
      <c r="L30" s="10">
        <f>IF($F30=0,0,Расчет2!AR30)</f>
        <v>0</v>
      </c>
      <c r="M30" s="10">
        <f>IF($F30=0,0,Расчет2!AS30)</f>
        <v>0</v>
      </c>
      <c r="N30" s="10">
        <f>IF($F30=0,0,IF(Исходн.данные.!$AP30="Посл.посева",0,Расчет2!AT30))</f>
        <v>0</v>
      </c>
      <c r="O30" s="10">
        <f>IF($F30=0,0,IF(Исходн.данные.!$AP30="Посл.посева",0,IF(Расчет2!AU30&lt;10,10,Расчет2!AU30)))</f>
        <v>0</v>
      </c>
      <c r="P30" s="10">
        <f>IF($F30=0,0,IF(Исходн.данные.!$AP30="Посл.посева",0,Расчет2!AV30))</f>
        <v>0</v>
      </c>
      <c r="Q30" s="10">
        <f>IF($F30=0,0,Расчет2!AW30)</f>
        <v>0</v>
      </c>
      <c r="R30" s="10">
        <f>IF($F30=0,0,Расчет2!AX30)</f>
        <v>0</v>
      </c>
      <c r="S30" s="9">
        <f>IF($F30=0,0,Расчет2!AY30)</f>
        <v>0</v>
      </c>
      <c r="T30" s="10">
        <f>IF($F30=0,0,Расчет2!AZ30)</f>
        <v>0</v>
      </c>
      <c r="U30" s="10">
        <f>IF($F30=0,0,Расчет2!BA30)</f>
        <v>0</v>
      </c>
      <c r="V30" s="10">
        <f>IF($F30=0,0,Расчет2!BB30)</f>
        <v>0</v>
      </c>
      <c r="W30" s="10">
        <f>Расчет!DL30</f>
        <v>0</v>
      </c>
      <c r="X30" s="10">
        <f>Расчет!DN30</f>
        <v>0</v>
      </c>
      <c r="Y30" s="9">
        <f>X30*Исходн.данные.!$AJ30/1000</f>
        <v>0</v>
      </c>
      <c r="Z30" s="10" t="str">
        <f>Расчет!DO30</f>
        <v>Хлор.калий</v>
      </c>
      <c r="AA30" s="10">
        <f>Расчет!DQ30</f>
        <v>0</v>
      </c>
      <c r="AB30" s="12">
        <f>AA30*Исходн.данные.!$AJ30/1000</f>
        <v>0</v>
      </c>
      <c r="AC30" s="9">
        <f>IF($F30=0,0,Расчет2!BC30)</f>
        <v>0</v>
      </c>
      <c r="AD30" s="10">
        <f>IF($F30=0,0,Расчет2!BD30)</f>
        <v>0</v>
      </c>
      <c r="AE30" s="9">
        <f>IF($F30=0,0,Расчет2!BE30)</f>
        <v>0</v>
      </c>
      <c r="AF30" s="9">
        <f>IF($F30=0,0,Расчет2!BF30)</f>
        <v>0</v>
      </c>
      <c r="AG30" s="9">
        <f>IF($F30=0,0,Расчет2!BG30)</f>
        <v>0</v>
      </c>
      <c r="AI30" s="11" t="e">
        <f>Расчет!FY30</f>
        <v>#N/A</v>
      </c>
      <c r="AJ30" s="11" t="e">
        <f>Расчет!FZ30</f>
        <v>#N/A</v>
      </c>
      <c r="AK30" s="11" t="e">
        <f>Расчет!GA30</f>
        <v>#N/A</v>
      </c>
      <c r="AL30" s="11" t="e">
        <f>Расчет!GB30</f>
        <v>#N/A</v>
      </c>
      <c r="AM30" s="11" t="e">
        <f>Расчет!GC30</f>
        <v>#N/A</v>
      </c>
      <c r="AN30" s="11" t="e">
        <f>Расчет!GD30</f>
        <v>#N/A</v>
      </c>
      <c r="AO30" s="11" t="e">
        <f>Расчет!GE30</f>
        <v>#N/A</v>
      </c>
      <c r="AP30" s="11" t="e">
        <f>Расчет!GF30</f>
        <v>#N/A</v>
      </c>
      <c r="AQ30" s="11" t="e">
        <f>Расчет!GG30</f>
        <v>#N/A</v>
      </c>
      <c r="AR30" s="11" t="e">
        <f>Расчет!GH30</f>
        <v>#N/A</v>
      </c>
      <c r="AS30" s="11" t="e">
        <f>Расчет!GI30</f>
        <v>#N/A</v>
      </c>
      <c r="AT30" s="11" t="e">
        <f>Расчет!GJ30</f>
        <v>#N/A</v>
      </c>
      <c r="AU30" s="198" t="e">
        <f t="shared" si="9"/>
        <v>#N/A</v>
      </c>
      <c r="AV30" s="198" t="e">
        <f t="shared" si="10"/>
        <v>#N/A</v>
      </c>
      <c r="AW30" s="198" t="e">
        <f t="shared" si="11"/>
        <v>#N/A</v>
      </c>
      <c r="AX30" s="11" t="e">
        <f t="shared" si="12"/>
        <v>#N/A</v>
      </c>
      <c r="AY30" s="11" t="e">
        <f t="shared" si="13"/>
        <v>#N/A</v>
      </c>
      <c r="AZ30" s="11" t="e">
        <f t="shared" si="14"/>
        <v>#N/A</v>
      </c>
    </row>
    <row r="31" spans="1:124" x14ac:dyDescent="0.2">
      <c r="A31" s="6">
        <f>Исходн.данные.!A31</f>
        <v>0</v>
      </c>
      <c r="B31" s="6">
        <f>Исходн.данные.!B31</f>
        <v>0</v>
      </c>
      <c r="C31" s="6">
        <f>Исходн.данные.!C31</f>
        <v>0</v>
      </c>
      <c r="D31" s="6">
        <f>Исходн.данные.!D31</f>
        <v>0</v>
      </c>
      <c r="E31" s="6">
        <f>Исходн.данные.!E31</f>
        <v>0</v>
      </c>
      <c r="F31" s="6">
        <f>Исходн.данные.!AH31</f>
        <v>0</v>
      </c>
      <c r="G31" s="6">
        <f>Исходн.данные.!AJ31</f>
        <v>0</v>
      </c>
      <c r="H31" s="9">
        <f>Исходн.данные.!AK31</f>
        <v>0</v>
      </c>
      <c r="I31" s="9">
        <f>IF($F31=0,0,Расчет2!AO31)</f>
        <v>0</v>
      </c>
      <c r="J31" s="9">
        <f>IF(F31=0,0,Расчет2!AP31)</f>
        <v>0</v>
      </c>
      <c r="K31" s="10">
        <f>IF($F31=0,0,Расчет2!AQ31)</f>
        <v>0</v>
      </c>
      <c r="L31" s="10">
        <f>IF($F31=0,0,Расчет2!AR31)</f>
        <v>0</v>
      </c>
      <c r="M31" s="10">
        <f>IF($F31=0,0,Расчет2!AS31)</f>
        <v>0</v>
      </c>
      <c r="N31" s="10">
        <f>IF($F31=0,0,IF(Исходн.данные.!$AP31="Посл.посева",0,Расчет2!AT31))</f>
        <v>0</v>
      </c>
      <c r="O31" s="10">
        <f>IF($F31=0,0,IF(Исходн.данные.!$AP31="Посл.посева",0,IF(Расчет2!AU31&lt;10,10,Расчет2!AU31)))</f>
        <v>0</v>
      </c>
      <c r="P31" s="10">
        <f>IF($F31=0,0,IF(Исходн.данные.!$AP31="Посл.посева",0,Расчет2!AV31))</f>
        <v>0</v>
      </c>
      <c r="Q31" s="10">
        <f>IF($F31=0,0,Расчет2!AW31)</f>
        <v>0</v>
      </c>
      <c r="R31" s="10">
        <f>IF($F31=0,0,Расчет2!AX31)</f>
        <v>0</v>
      </c>
      <c r="S31" s="9">
        <f>IF($F31=0,0,Расчет2!AY31)</f>
        <v>0</v>
      </c>
      <c r="T31" s="10">
        <f>IF($F31=0,0,Расчет2!AZ31)</f>
        <v>0</v>
      </c>
      <c r="U31" s="10">
        <f>IF($F31=0,0,Расчет2!BA31)</f>
        <v>0</v>
      </c>
      <c r="V31" s="10">
        <f>IF($F31=0,0,Расчет2!BB31)</f>
        <v>0</v>
      </c>
      <c r="W31" s="10">
        <f>Расчет!DL31</f>
        <v>0</v>
      </c>
      <c r="X31" s="10">
        <f>Расчет!DN31</f>
        <v>0</v>
      </c>
      <c r="Y31" s="9">
        <f>X31*Исходн.данные.!$AJ31/1000</f>
        <v>0</v>
      </c>
      <c r="Z31" s="10" t="str">
        <f>Расчет!DO31</f>
        <v>Хлор.калий</v>
      </c>
      <c r="AA31" s="10">
        <f>Расчет!DQ31</f>
        <v>0</v>
      </c>
      <c r="AB31" s="12">
        <f>AA31*Исходн.данные.!$AJ31/1000</f>
        <v>0</v>
      </c>
      <c r="AC31" s="9">
        <f>IF($F31=0,0,Расчет2!BC31)</f>
        <v>0</v>
      </c>
      <c r="AD31" s="10">
        <f>IF($F31=0,0,Расчет2!BD31)</f>
        <v>0</v>
      </c>
      <c r="AE31" s="9">
        <f>IF($F31=0,0,Расчет2!BE31)</f>
        <v>0</v>
      </c>
      <c r="AF31" s="9">
        <f>IF($F31=0,0,Расчет2!BF31)</f>
        <v>0</v>
      </c>
      <c r="AG31" s="9">
        <f>IF($F31=0,0,Расчет2!BG31)</f>
        <v>0</v>
      </c>
      <c r="AI31" s="11" t="e">
        <f>Расчет!FY31</f>
        <v>#N/A</v>
      </c>
      <c r="AJ31" s="11" t="e">
        <f>Расчет!FZ31</f>
        <v>#N/A</v>
      </c>
      <c r="AK31" s="11" t="e">
        <f>Расчет!GA31</f>
        <v>#N/A</v>
      </c>
      <c r="AL31" s="11" t="e">
        <f>Расчет!GB31</f>
        <v>#N/A</v>
      </c>
      <c r="AM31" s="11" t="e">
        <f>Расчет!GC31</f>
        <v>#N/A</v>
      </c>
      <c r="AN31" s="11" t="e">
        <f>Расчет!GD31</f>
        <v>#N/A</v>
      </c>
      <c r="AO31" s="11" t="e">
        <f>Расчет!GE31</f>
        <v>#N/A</v>
      </c>
      <c r="AP31" s="11" t="e">
        <f>Расчет!GF31</f>
        <v>#N/A</v>
      </c>
      <c r="AQ31" s="11" t="e">
        <f>Расчет!GG31</f>
        <v>#N/A</v>
      </c>
      <c r="AR31" s="11" t="e">
        <f>Расчет!GH31</f>
        <v>#N/A</v>
      </c>
      <c r="AS31" s="11" t="e">
        <f>Расчет!GI31</f>
        <v>#N/A</v>
      </c>
      <c r="AT31" s="11" t="e">
        <f>Расчет!GJ31</f>
        <v>#N/A</v>
      </c>
      <c r="AU31" s="198" t="e">
        <f t="shared" si="9"/>
        <v>#N/A</v>
      </c>
      <c r="AV31" s="198" t="e">
        <f t="shared" si="10"/>
        <v>#N/A</v>
      </c>
      <c r="AW31" s="198" t="e">
        <f t="shared" si="11"/>
        <v>#N/A</v>
      </c>
      <c r="AX31" s="11" t="e">
        <f t="shared" si="12"/>
        <v>#N/A</v>
      </c>
      <c r="AY31" s="11" t="e">
        <f t="shared" si="13"/>
        <v>#N/A</v>
      </c>
      <c r="AZ31" s="11" t="e">
        <f t="shared" si="14"/>
        <v>#N/A</v>
      </c>
    </row>
    <row r="32" spans="1:124" x14ac:dyDescent="0.2">
      <c r="A32" s="6">
        <f>Исходн.данные.!A32</f>
        <v>0</v>
      </c>
      <c r="B32" s="6">
        <f>Исходн.данные.!B32</f>
        <v>0</v>
      </c>
      <c r="C32" s="6">
        <f>Исходн.данные.!C32</f>
        <v>0</v>
      </c>
      <c r="D32" s="6">
        <f>Исходн.данные.!D32</f>
        <v>0</v>
      </c>
      <c r="E32" s="6">
        <f>Исходн.данные.!E32</f>
        <v>0</v>
      </c>
      <c r="F32" s="6">
        <f>Исходн.данные.!AH32</f>
        <v>0</v>
      </c>
      <c r="G32" s="6">
        <f>Исходн.данные.!AJ32</f>
        <v>0</v>
      </c>
      <c r="H32" s="9">
        <f>Исходн.данные.!AK32</f>
        <v>0</v>
      </c>
      <c r="I32" s="9">
        <f>IF($F32=0,0,Расчет2!AO32)</f>
        <v>0</v>
      </c>
      <c r="J32" s="9">
        <f>IF(F32=0,0,Расчет2!AP32)</f>
        <v>0</v>
      </c>
      <c r="K32" s="10">
        <f>IF($F32=0,0,Расчет2!AQ32)</f>
        <v>0</v>
      </c>
      <c r="L32" s="10">
        <f>IF($F32=0,0,Расчет2!AR32)</f>
        <v>0</v>
      </c>
      <c r="M32" s="10">
        <f>IF($F32=0,0,Расчет2!AS32)</f>
        <v>0</v>
      </c>
      <c r="N32" s="10">
        <f>IF($F32=0,0,IF(Исходн.данные.!$AP32="Посл.посева",0,Расчет2!AT32))</f>
        <v>0</v>
      </c>
      <c r="O32" s="10">
        <f>IF($F32=0,0,IF(Исходн.данные.!$AP32="Посл.посева",0,IF(Расчет2!AU32&lt;10,10,Расчет2!AU32)))</f>
        <v>0</v>
      </c>
      <c r="P32" s="10">
        <f>IF($F32=0,0,IF(Исходн.данные.!$AP32="Посл.посева",0,Расчет2!AV32))</f>
        <v>0</v>
      </c>
      <c r="Q32" s="10">
        <f>IF($F32=0,0,Расчет2!AW32)</f>
        <v>0</v>
      </c>
      <c r="R32" s="10">
        <f>IF($F32=0,0,Расчет2!AX32)</f>
        <v>0</v>
      </c>
      <c r="S32" s="9">
        <f>IF($F32=0,0,Расчет2!AY32)</f>
        <v>0</v>
      </c>
      <c r="T32" s="10">
        <f>IF($F32=0,0,Расчет2!AZ32)</f>
        <v>0</v>
      </c>
      <c r="U32" s="10">
        <f>IF($F32=0,0,Расчет2!BA32)</f>
        <v>0</v>
      </c>
      <c r="V32" s="10">
        <f>IF($F32=0,0,Расчет2!BB32)</f>
        <v>0</v>
      </c>
      <c r="W32" s="10">
        <f>Расчет!DL32</f>
        <v>0</v>
      </c>
      <c r="X32" s="10">
        <f>Расчет!DN32</f>
        <v>0</v>
      </c>
      <c r="Y32" s="9">
        <f>X32*Исходн.данные.!$AJ32/1000</f>
        <v>0</v>
      </c>
      <c r="Z32" s="10" t="str">
        <f>Расчет!DO32</f>
        <v>Хлор.калий</v>
      </c>
      <c r="AA32" s="10">
        <f>Расчет!DQ32</f>
        <v>0</v>
      </c>
      <c r="AB32" s="12">
        <f>AA32*Исходн.данные.!$AJ32/1000</f>
        <v>0</v>
      </c>
      <c r="AC32" s="9">
        <f>IF($F32=0,0,Расчет2!BC32)</f>
        <v>0</v>
      </c>
      <c r="AD32" s="10">
        <f>IF($F32=0,0,Расчет2!BD32)</f>
        <v>0</v>
      </c>
      <c r="AE32" s="9">
        <f>IF($F32=0,0,Расчет2!BE32)</f>
        <v>0</v>
      </c>
      <c r="AF32" s="9">
        <f>IF($F32=0,0,Расчет2!BF32)</f>
        <v>0</v>
      </c>
      <c r="AG32" s="9">
        <f>IF($F32=0,0,Расчет2!BG32)</f>
        <v>0</v>
      </c>
      <c r="AI32" s="11" t="e">
        <f>Расчет!FY32</f>
        <v>#N/A</v>
      </c>
      <c r="AJ32" s="11" t="e">
        <f>Расчет!FZ32</f>
        <v>#N/A</v>
      </c>
      <c r="AK32" s="11" t="e">
        <f>Расчет!GA32</f>
        <v>#N/A</v>
      </c>
      <c r="AL32" s="11" t="e">
        <f>Расчет!GB32</f>
        <v>#N/A</v>
      </c>
      <c r="AM32" s="11" t="e">
        <f>Расчет!GC32</f>
        <v>#N/A</v>
      </c>
      <c r="AN32" s="11" t="e">
        <f>Расчет!GD32</f>
        <v>#N/A</v>
      </c>
      <c r="AO32" s="11" t="e">
        <f>Расчет!GE32</f>
        <v>#N/A</v>
      </c>
      <c r="AP32" s="11" t="e">
        <f>Расчет!GF32</f>
        <v>#N/A</v>
      </c>
      <c r="AQ32" s="11" t="e">
        <f>Расчет!GG32</f>
        <v>#N/A</v>
      </c>
      <c r="AR32" s="11" t="e">
        <f>Расчет!GH32</f>
        <v>#N/A</v>
      </c>
      <c r="AS32" s="11" t="e">
        <f>Расчет!GI32</f>
        <v>#N/A</v>
      </c>
      <c r="AT32" s="11" t="e">
        <f>Расчет!GJ32</f>
        <v>#N/A</v>
      </c>
      <c r="AU32" s="198" t="e">
        <f t="shared" si="9"/>
        <v>#N/A</v>
      </c>
      <c r="AV32" s="198" t="e">
        <f t="shared" si="10"/>
        <v>#N/A</v>
      </c>
      <c r="AW32" s="198" t="e">
        <f t="shared" si="11"/>
        <v>#N/A</v>
      </c>
      <c r="AX32" s="11" t="e">
        <f t="shared" si="12"/>
        <v>#N/A</v>
      </c>
      <c r="AY32" s="11" t="e">
        <f t="shared" si="13"/>
        <v>#N/A</v>
      </c>
      <c r="AZ32" s="11" t="e">
        <f t="shared" si="14"/>
        <v>#N/A</v>
      </c>
    </row>
    <row r="33" spans="1:52" x14ac:dyDescent="0.2">
      <c r="A33" s="6">
        <f>Исходн.данные.!A33</f>
        <v>0</v>
      </c>
      <c r="B33" s="6">
        <f>Исходн.данные.!B33</f>
        <v>0</v>
      </c>
      <c r="C33" s="6">
        <f>Исходн.данные.!C33</f>
        <v>0</v>
      </c>
      <c r="D33" s="6">
        <f>Исходн.данные.!D33</f>
        <v>0</v>
      </c>
      <c r="E33" s="6">
        <f>Исходн.данные.!E33</f>
        <v>0</v>
      </c>
      <c r="F33" s="6">
        <f>Исходн.данные.!AH33</f>
        <v>0</v>
      </c>
      <c r="G33" s="6">
        <f>Исходн.данные.!AJ33</f>
        <v>0</v>
      </c>
      <c r="H33" s="9">
        <f>Исходн.данные.!AK33</f>
        <v>0</v>
      </c>
      <c r="I33" s="9">
        <f>IF($F33=0,0,Расчет2!AO33)</f>
        <v>0</v>
      </c>
      <c r="J33" s="9">
        <f>IF(F33=0,0,Расчет2!AP33)</f>
        <v>0</v>
      </c>
      <c r="K33" s="10">
        <f>IF($F33=0,0,Расчет2!AQ33)</f>
        <v>0</v>
      </c>
      <c r="L33" s="10">
        <f>IF($F33=0,0,Расчет2!AR33)</f>
        <v>0</v>
      </c>
      <c r="M33" s="10">
        <f>IF($F33=0,0,Расчет2!AS33)</f>
        <v>0</v>
      </c>
      <c r="N33" s="10">
        <f>IF($F33=0,0,IF(Исходн.данные.!$AP33="Посл.посева",0,Расчет2!AT33))</f>
        <v>0</v>
      </c>
      <c r="O33" s="10">
        <f>IF($F33=0,0,IF(Исходн.данные.!$AP33="Посл.посева",0,IF(Расчет2!AU33&lt;10,10,Расчет2!AU33)))</f>
        <v>0</v>
      </c>
      <c r="P33" s="10">
        <f>IF($F33=0,0,IF(Исходн.данные.!$AP33="Посл.посева",0,Расчет2!AV33))</f>
        <v>0</v>
      </c>
      <c r="Q33" s="10">
        <f>IF($F33=0,0,Расчет2!AW33)</f>
        <v>0</v>
      </c>
      <c r="R33" s="10">
        <f>IF($F33=0,0,Расчет2!AX33)</f>
        <v>0</v>
      </c>
      <c r="S33" s="9">
        <f>IF($F33=0,0,Расчет2!AY33)</f>
        <v>0</v>
      </c>
      <c r="T33" s="10">
        <f>IF($F33=0,0,Расчет2!AZ33)</f>
        <v>0</v>
      </c>
      <c r="U33" s="10">
        <f>IF($F33=0,0,Расчет2!BA33)</f>
        <v>0</v>
      </c>
      <c r="V33" s="10">
        <f>IF($F33=0,0,Расчет2!BB33)</f>
        <v>0</v>
      </c>
      <c r="W33" s="10">
        <f>Расчет!DL33</f>
        <v>0</v>
      </c>
      <c r="X33" s="10">
        <f>Расчет!DN33</f>
        <v>0</v>
      </c>
      <c r="Y33" s="9">
        <f>X33*Исходн.данные.!$AJ33/1000</f>
        <v>0</v>
      </c>
      <c r="Z33" s="10" t="str">
        <f>Расчет!DO33</f>
        <v>Хлор.калий</v>
      </c>
      <c r="AA33" s="10">
        <f>Расчет!DQ33</f>
        <v>0</v>
      </c>
      <c r="AB33" s="12">
        <f>AA33*Исходн.данные.!$AJ33/1000</f>
        <v>0</v>
      </c>
      <c r="AC33" s="9">
        <f>IF($F33=0,0,Расчет2!BC33)</f>
        <v>0</v>
      </c>
      <c r="AD33" s="10">
        <f>IF($F33=0,0,Расчет2!BD33)</f>
        <v>0</v>
      </c>
      <c r="AE33" s="9">
        <f>IF($F33=0,0,Расчет2!BE33)</f>
        <v>0</v>
      </c>
      <c r="AF33" s="9">
        <f>IF($F33=0,0,Расчет2!BF33)</f>
        <v>0</v>
      </c>
      <c r="AG33" s="9">
        <f>IF($F33=0,0,Расчет2!BG33)</f>
        <v>0</v>
      </c>
      <c r="AI33" s="11" t="e">
        <f>Расчет!FY33</f>
        <v>#N/A</v>
      </c>
      <c r="AJ33" s="11" t="e">
        <f>Расчет!FZ33</f>
        <v>#N/A</v>
      </c>
      <c r="AK33" s="11" t="e">
        <f>Расчет!GA33</f>
        <v>#N/A</v>
      </c>
      <c r="AL33" s="11" t="e">
        <f>Расчет!GB33</f>
        <v>#N/A</v>
      </c>
      <c r="AM33" s="11" t="e">
        <f>Расчет!GC33</f>
        <v>#N/A</v>
      </c>
      <c r="AN33" s="11" t="e">
        <f>Расчет!GD33</f>
        <v>#N/A</v>
      </c>
      <c r="AO33" s="11" t="e">
        <f>Расчет!GE33</f>
        <v>#N/A</v>
      </c>
      <c r="AP33" s="11" t="e">
        <f>Расчет!GF33</f>
        <v>#N/A</v>
      </c>
      <c r="AQ33" s="11" t="e">
        <f>Расчет!GG33</f>
        <v>#N/A</v>
      </c>
      <c r="AR33" s="11" t="e">
        <f>Расчет!GH33</f>
        <v>#N/A</v>
      </c>
      <c r="AS33" s="11" t="e">
        <f>Расчет!GI33</f>
        <v>#N/A</v>
      </c>
      <c r="AT33" s="11" t="e">
        <f>Расчет!GJ33</f>
        <v>#N/A</v>
      </c>
      <c r="AU33" s="198" t="e">
        <f t="shared" si="9"/>
        <v>#N/A</v>
      </c>
      <c r="AV33" s="198" t="e">
        <f t="shared" si="10"/>
        <v>#N/A</v>
      </c>
      <c r="AW33" s="198" t="e">
        <f t="shared" si="11"/>
        <v>#N/A</v>
      </c>
      <c r="AX33" s="11" t="e">
        <f t="shared" si="12"/>
        <v>#N/A</v>
      </c>
      <c r="AY33" s="11" t="e">
        <f t="shared" si="13"/>
        <v>#N/A</v>
      </c>
      <c r="AZ33" s="11" t="e">
        <f t="shared" si="14"/>
        <v>#N/A</v>
      </c>
    </row>
    <row r="34" spans="1:52" x14ac:dyDescent="0.2">
      <c r="A34" s="6">
        <f>Исходн.данные.!A34</f>
        <v>0</v>
      </c>
      <c r="B34" s="6">
        <f>Исходн.данные.!B34</f>
        <v>0</v>
      </c>
      <c r="C34" s="6">
        <f>Исходн.данные.!C34</f>
        <v>0</v>
      </c>
      <c r="D34" s="6">
        <f>Исходн.данные.!D34</f>
        <v>0</v>
      </c>
      <c r="E34" s="6">
        <f>Исходн.данные.!E34</f>
        <v>0</v>
      </c>
      <c r="F34" s="6">
        <f>Исходн.данные.!AH34</f>
        <v>0</v>
      </c>
      <c r="G34" s="6">
        <f>Исходн.данные.!AJ34</f>
        <v>0</v>
      </c>
      <c r="H34" s="6">
        <f>Исходн.данные.!AK34</f>
        <v>0</v>
      </c>
      <c r="I34" s="9">
        <f>IF($F34=0,0,Расчет2!AO34)</f>
        <v>0</v>
      </c>
      <c r="J34" s="9">
        <f>IF(F34=0,0,Расчет2!AP34)</f>
        <v>0</v>
      </c>
      <c r="K34" s="10">
        <f>IF($F34=0,0,Расчет2!AQ34)</f>
        <v>0</v>
      </c>
      <c r="L34" s="10">
        <f>IF($F34=0,0,Расчет2!AR34)</f>
        <v>0</v>
      </c>
      <c r="M34" s="10">
        <f>IF($F34=0,0,Расчет2!AS34)</f>
        <v>0</v>
      </c>
      <c r="N34" s="10">
        <f>IF($F34=0,0,IF(Исходн.данные.!$AP34="Посл.посева",0,Расчет2!AT34))</f>
        <v>0</v>
      </c>
      <c r="O34" s="10">
        <f>IF($F34=0,0,IF(Исходн.данные.!$AP34="Посл.посева",0,IF(Расчет2!AU34&lt;10,10,Расчет2!AU34)))</f>
        <v>0</v>
      </c>
      <c r="P34" s="10">
        <f>IF($F34=0,0,IF(Исходн.данные.!$AP34="Посл.посева",0,Расчет2!AV34))</f>
        <v>0</v>
      </c>
      <c r="Q34" s="10">
        <f>IF($F34=0,0,Расчет2!AW34)</f>
        <v>0</v>
      </c>
      <c r="R34" s="10">
        <f>IF($F34=0,0,Расчет2!AX34)</f>
        <v>0</v>
      </c>
      <c r="S34" s="9">
        <f>IF($F34=0,0,Расчет2!AY34)</f>
        <v>0</v>
      </c>
      <c r="T34" s="10">
        <f>IF($F34=0,0,Расчет2!AZ34)</f>
        <v>0</v>
      </c>
      <c r="U34" s="10">
        <f>IF($F34=0,0,Расчет2!BA34)</f>
        <v>0</v>
      </c>
      <c r="V34" s="10">
        <f>IF($F34=0,0,Расчет2!BB34)</f>
        <v>0</v>
      </c>
      <c r="W34" s="10">
        <f>Расчет!DL34</f>
        <v>0</v>
      </c>
      <c r="X34" s="10">
        <f>Расчет!DN34</f>
        <v>0</v>
      </c>
      <c r="Y34" s="9">
        <f>X34*Исходн.данные.!$AJ34/1000</f>
        <v>0</v>
      </c>
      <c r="Z34" s="10" t="str">
        <f>Расчет!DO34</f>
        <v>Хлор.калий</v>
      </c>
      <c r="AA34" s="10">
        <f>Расчет!DQ34</f>
        <v>0</v>
      </c>
      <c r="AB34" s="12">
        <f>AA34*Исходн.данные.!$AJ34/1000</f>
        <v>0</v>
      </c>
      <c r="AC34" s="9">
        <f>IF($F34=0,0,Расчет2!BC34)</f>
        <v>0</v>
      </c>
      <c r="AD34" s="10">
        <f>IF($F34=0,0,Расчет2!BD34)</f>
        <v>0</v>
      </c>
      <c r="AE34" s="9">
        <f>IF($F34=0,0,Расчет2!BE34)</f>
        <v>0</v>
      </c>
      <c r="AF34" s="9">
        <f>IF($F34=0,0,Расчет2!BF34)</f>
        <v>0</v>
      </c>
      <c r="AG34" s="9">
        <f>IF($F34=0,0,Расчет2!BG34)</f>
        <v>0</v>
      </c>
      <c r="AI34" s="11" t="e">
        <f>Расчет!FY34</f>
        <v>#N/A</v>
      </c>
      <c r="AJ34" s="11" t="e">
        <f>Расчет!FZ34</f>
        <v>#N/A</v>
      </c>
      <c r="AK34" s="11" t="e">
        <f>Расчет!GA34</f>
        <v>#N/A</v>
      </c>
      <c r="AL34" s="11" t="e">
        <f>Расчет!GB34</f>
        <v>#N/A</v>
      </c>
      <c r="AM34" s="11" t="e">
        <f>Расчет!GC34</f>
        <v>#N/A</v>
      </c>
      <c r="AN34" s="11" t="e">
        <f>Расчет!GD34</f>
        <v>#N/A</v>
      </c>
      <c r="AO34" s="11" t="e">
        <f>Расчет!GE34</f>
        <v>#N/A</v>
      </c>
      <c r="AP34" s="11" t="e">
        <f>Расчет!GF34</f>
        <v>#N/A</v>
      </c>
      <c r="AQ34" s="11" t="e">
        <f>Расчет!GG34</f>
        <v>#N/A</v>
      </c>
      <c r="AR34" s="11" t="e">
        <f>Расчет!GH34</f>
        <v>#N/A</v>
      </c>
      <c r="AS34" s="11" t="e">
        <f>Расчет!GI34</f>
        <v>#N/A</v>
      </c>
      <c r="AT34" s="11" t="e">
        <f>Расчет!GJ34</f>
        <v>#N/A</v>
      </c>
      <c r="AU34" s="198" t="e">
        <f t="shared" si="9"/>
        <v>#N/A</v>
      </c>
      <c r="AV34" s="198" t="e">
        <f t="shared" si="10"/>
        <v>#N/A</v>
      </c>
      <c r="AW34" s="198" t="e">
        <f t="shared" si="11"/>
        <v>#N/A</v>
      </c>
      <c r="AX34" s="11" t="e">
        <f t="shared" si="12"/>
        <v>#N/A</v>
      </c>
      <c r="AY34" s="11" t="e">
        <f t="shared" si="13"/>
        <v>#N/A</v>
      </c>
      <c r="AZ34" s="11" t="e">
        <f t="shared" si="14"/>
        <v>#N/A</v>
      </c>
    </row>
    <row r="35" spans="1:52" x14ac:dyDescent="0.2">
      <c r="A35" s="6">
        <f>Исходн.данные.!A35</f>
        <v>0</v>
      </c>
      <c r="B35" s="6">
        <f>Исходн.данные.!B35</f>
        <v>0</v>
      </c>
      <c r="C35" s="6">
        <f>Исходн.данные.!C35</f>
        <v>0</v>
      </c>
      <c r="D35" s="6">
        <f>Исходн.данные.!D35</f>
        <v>0</v>
      </c>
      <c r="E35" s="6">
        <f>Исходн.данные.!E35</f>
        <v>0</v>
      </c>
      <c r="F35" s="6">
        <f>Исходн.данные.!AH35</f>
        <v>0</v>
      </c>
      <c r="G35" s="6">
        <f>Исходн.данные.!AJ35</f>
        <v>0</v>
      </c>
      <c r="H35" s="6">
        <f>Исходн.данные.!AK35</f>
        <v>0</v>
      </c>
      <c r="I35" s="9">
        <f>IF($F35=0,0,Расчет2!AO35)</f>
        <v>0</v>
      </c>
      <c r="J35" s="9">
        <f>IF(F35=0,0,Расчет2!AP35)</f>
        <v>0</v>
      </c>
      <c r="K35" s="10">
        <f>IF($F35=0,0,Расчет2!AQ35)</f>
        <v>0</v>
      </c>
      <c r="L35" s="10">
        <f>IF($F35=0,0,Расчет2!AR35)</f>
        <v>0</v>
      </c>
      <c r="M35" s="10">
        <f>IF($F35=0,0,Расчет2!AS35)</f>
        <v>0</v>
      </c>
      <c r="N35" s="10">
        <f>IF($F35=0,0,IF(Исходн.данные.!$AP35="Посл.посева",0,Расчет2!AT35))</f>
        <v>0</v>
      </c>
      <c r="O35" s="10">
        <f>IF($F35=0,0,IF(Исходн.данные.!$AP35="Посл.посева",0,IF(Расчет2!AU35&lt;10,10,Расчет2!AU35)))</f>
        <v>0</v>
      </c>
      <c r="P35" s="10">
        <f>IF($F35=0,0,IF(Исходн.данные.!$AP35="Посл.посева",0,Расчет2!AV35))</f>
        <v>0</v>
      </c>
      <c r="Q35" s="10">
        <f>IF($F35=0,0,Расчет2!AW35)</f>
        <v>0</v>
      </c>
      <c r="R35" s="10">
        <f>IF($F35=0,0,Расчет2!AX35)</f>
        <v>0</v>
      </c>
      <c r="S35" s="9">
        <f>IF($F35=0,0,Расчет2!AY35)</f>
        <v>0</v>
      </c>
      <c r="T35" s="10">
        <f>IF($F35=0,0,Расчет2!AZ35)</f>
        <v>0</v>
      </c>
      <c r="U35" s="10">
        <f>IF($F35=0,0,Расчет2!BA35)</f>
        <v>0</v>
      </c>
      <c r="V35" s="10">
        <f>IF($F35=0,0,Расчет2!BB35)</f>
        <v>0</v>
      </c>
      <c r="W35" s="10">
        <f>Расчет!DL35</f>
        <v>0</v>
      </c>
      <c r="X35" s="10">
        <f>Расчет!DN35</f>
        <v>0</v>
      </c>
      <c r="Y35" s="9">
        <f>X35*Исходн.данные.!$AJ35/1000</f>
        <v>0</v>
      </c>
      <c r="Z35" s="10" t="str">
        <f>Расчет!DO35</f>
        <v>Хлор.калий</v>
      </c>
      <c r="AA35" s="10">
        <f>Расчет!DQ35</f>
        <v>0</v>
      </c>
      <c r="AB35" s="12">
        <f>AA35*Исходн.данные.!$AJ35/1000</f>
        <v>0</v>
      </c>
      <c r="AC35" s="9">
        <f>IF($F35=0,0,Расчет2!BC35)</f>
        <v>0</v>
      </c>
      <c r="AD35" s="10">
        <f>IF($F35=0,0,Расчет2!BD35)</f>
        <v>0</v>
      </c>
      <c r="AE35" s="9">
        <f>IF($F35=0,0,Расчет2!BE35)</f>
        <v>0</v>
      </c>
      <c r="AF35" s="9">
        <f>IF($F35=0,0,Расчет2!BF35)</f>
        <v>0</v>
      </c>
      <c r="AG35" s="9">
        <f>IF($F35=0,0,Расчет2!BG35)</f>
        <v>0</v>
      </c>
      <c r="AI35" s="11" t="e">
        <f>Расчет!FY35</f>
        <v>#N/A</v>
      </c>
      <c r="AJ35" s="11" t="e">
        <f>Расчет!FZ35</f>
        <v>#N/A</v>
      </c>
      <c r="AK35" s="11" t="e">
        <f>Расчет!GA35</f>
        <v>#N/A</v>
      </c>
      <c r="AL35" s="11" t="e">
        <f>Расчет!GB35</f>
        <v>#N/A</v>
      </c>
      <c r="AM35" s="11" t="e">
        <f>Расчет!GC35</f>
        <v>#N/A</v>
      </c>
      <c r="AN35" s="11" t="e">
        <f>Расчет!GD35</f>
        <v>#N/A</v>
      </c>
      <c r="AO35" s="11" t="e">
        <f>Расчет!GE35</f>
        <v>#N/A</v>
      </c>
      <c r="AP35" s="11" t="e">
        <f>Расчет!GF35</f>
        <v>#N/A</v>
      </c>
      <c r="AQ35" s="11" t="e">
        <f>Расчет!GG35</f>
        <v>#N/A</v>
      </c>
      <c r="AR35" s="11" t="e">
        <f>Расчет!GH35</f>
        <v>#N/A</v>
      </c>
      <c r="AS35" s="11" t="e">
        <f>Расчет!GI35</f>
        <v>#N/A</v>
      </c>
      <c r="AT35" s="11" t="e">
        <f>Расчет!GJ35</f>
        <v>#N/A</v>
      </c>
      <c r="AU35" s="198" t="e">
        <f t="shared" si="9"/>
        <v>#N/A</v>
      </c>
      <c r="AV35" s="198" t="e">
        <f t="shared" si="10"/>
        <v>#N/A</v>
      </c>
      <c r="AW35" s="198" t="e">
        <f t="shared" si="11"/>
        <v>#N/A</v>
      </c>
      <c r="AX35" s="11" t="e">
        <f t="shared" si="12"/>
        <v>#N/A</v>
      </c>
      <c r="AY35" s="11" t="e">
        <f t="shared" si="13"/>
        <v>#N/A</v>
      </c>
      <c r="AZ35" s="11" t="e">
        <f t="shared" si="14"/>
        <v>#N/A</v>
      </c>
    </row>
    <row r="36" spans="1:52" x14ac:dyDescent="0.2">
      <c r="A36" s="6">
        <f>Исходн.данные.!A36</f>
        <v>0</v>
      </c>
      <c r="B36" s="6">
        <f>Исходн.данные.!B36</f>
        <v>0</v>
      </c>
      <c r="C36" s="6">
        <f>Исходн.данные.!C36</f>
        <v>0</v>
      </c>
      <c r="D36" s="6">
        <f>Исходн.данные.!D36</f>
        <v>0</v>
      </c>
      <c r="E36" s="6">
        <f>Исходн.данные.!E36</f>
        <v>0</v>
      </c>
      <c r="F36" s="6">
        <f>Исходн.данные.!AH36</f>
        <v>0</v>
      </c>
      <c r="G36" s="6">
        <f>Исходн.данные.!AJ36</f>
        <v>0</v>
      </c>
      <c r="H36" s="6">
        <f>Исходн.данные.!AK36</f>
        <v>0</v>
      </c>
      <c r="I36" s="9">
        <f>IF($F36=0,0,Расчет2!AO36)</f>
        <v>0</v>
      </c>
      <c r="J36" s="9">
        <f>IF(F36=0,0,Расчет2!AP36)</f>
        <v>0</v>
      </c>
      <c r="K36" s="10">
        <f>IF($F36=0,0,Расчет2!AQ36)</f>
        <v>0</v>
      </c>
      <c r="L36" s="10">
        <f>IF($F36=0,0,Расчет2!AR36)</f>
        <v>0</v>
      </c>
      <c r="M36" s="10">
        <f>IF($F36=0,0,Расчет2!AS36)</f>
        <v>0</v>
      </c>
      <c r="N36" s="10">
        <f>IF($F36=0,0,IF(Исходн.данные.!$AP36="Посл.посева",0,Расчет2!AT36))</f>
        <v>0</v>
      </c>
      <c r="O36" s="10">
        <f>IF($F36=0,0,IF(Исходн.данные.!$AP36="Посл.посева",0,IF(Расчет2!AU36&lt;10,10,Расчет2!AU36)))</f>
        <v>0</v>
      </c>
      <c r="P36" s="10">
        <f>IF($F36=0,0,IF(Исходн.данные.!$AP36="Посл.посева",0,Расчет2!AV36))</f>
        <v>0</v>
      </c>
      <c r="Q36" s="10">
        <f>IF($F36=0,0,Расчет2!AW36)</f>
        <v>0</v>
      </c>
      <c r="R36" s="10">
        <f>IF($F36=0,0,Расчет2!AX36)</f>
        <v>0</v>
      </c>
      <c r="S36" s="9">
        <f>IF($F36=0,0,Расчет2!AY36)</f>
        <v>0</v>
      </c>
      <c r="T36" s="10">
        <f>IF($F36=0,0,Расчет2!AZ36)</f>
        <v>0</v>
      </c>
      <c r="U36" s="10">
        <f>IF($F36=0,0,Расчет2!BA36)</f>
        <v>0</v>
      </c>
      <c r="V36" s="10">
        <f>IF($F36=0,0,Расчет2!BB36)</f>
        <v>0</v>
      </c>
      <c r="W36" s="10">
        <f>Расчет!DL36</f>
        <v>0</v>
      </c>
      <c r="X36" s="10">
        <f>Расчет!DN36</f>
        <v>0</v>
      </c>
      <c r="Y36" s="9">
        <f>X36*Исходн.данные.!$AJ36/1000</f>
        <v>0</v>
      </c>
      <c r="Z36" s="10" t="str">
        <f>Расчет!DO36</f>
        <v>Хлор.калий</v>
      </c>
      <c r="AA36" s="10">
        <f>Расчет!DQ36</f>
        <v>0</v>
      </c>
      <c r="AB36" s="12">
        <f>AA36*Исходн.данные.!$AJ36/1000</f>
        <v>0</v>
      </c>
      <c r="AC36" s="9">
        <f>IF($F36=0,0,Расчет2!BC36)</f>
        <v>0</v>
      </c>
      <c r="AD36" s="10">
        <f>IF($F36=0,0,Расчет2!BD36)</f>
        <v>0</v>
      </c>
      <c r="AE36" s="9">
        <f>IF($F36=0,0,Расчет2!BE36)</f>
        <v>0</v>
      </c>
      <c r="AF36" s="9">
        <f>IF($F36=0,0,Расчет2!BF36)</f>
        <v>0</v>
      </c>
      <c r="AG36" s="9">
        <f>IF($F36=0,0,Расчет2!BG36)</f>
        <v>0</v>
      </c>
      <c r="AI36" s="11" t="e">
        <f>Расчет!FY36</f>
        <v>#N/A</v>
      </c>
      <c r="AJ36" s="11" t="e">
        <f>Расчет!FZ36</f>
        <v>#N/A</v>
      </c>
      <c r="AK36" s="11" t="e">
        <f>Расчет!GA36</f>
        <v>#N/A</v>
      </c>
      <c r="AL36" s="11" t="e">
        <f>Расчет!GB36</f>
        <v>#N/A</v>
      </c>
      <c r="AM36" s="11" t="e">
        <f>Расчет!GC36</f>
        <v>#N/A</v>
      </c>
      <c r="AN36" s="11" t="e">
        <f>Расчет!GD36</f>
        <v>#N/A</v>
      </c>
      <c r="AO36" s="11" t="e">
        <f>Расчет!GE36</f>
        <v>#N/A</v>
      </c>
      <c r="AP36" s="11" t="e">
        <f>Расчет!GF36</f>
        <v>#N/A</v>
      </c>
      <c r="AQ36" s="11" t="e">
        <f>Расчет!GG36</f>
        <v>#N/A</v>
      </c>
      <c r="AR36" s="11" t="e">
        <f>Расчет!GH36</f>
        <v>#N/A</v>
      </c>
      <c r="AS36" s="11" t="e">
        <f>Расчет!GI36</f>
        <v>#N/A</v>
      </c>
      <c r="AT36" s="11" t="e">
        <f>Расчет!GJ36</f>
        <v>#N/A</v>
      </c>
      <c r="AU36" s="198" t="e">
        <f t="shared" si="9"/>
        <v>#N/A</v>
      </c>
      <c r="AV36" s="198" t="e">
        <f t="shared" si="10"/>
        <v>#N/A</v>
      </c>
      <c r="AW36" s="198" t="e">
        <f t="shared" si="11"/>
        <v>#N/A</v>
      </c>
      <c r="AX36" s="11" t="e">
        <f t="shared" si="12"/>
        <v>#N/A</v>
      </c>
      <c r="AY36" s="11" t="e">
        <f t="shared" si="13"/>
        <v>#N/A</v>
      </c>
      <c r="AZ36" s="11" t="e">
        <f t="shared" si="14"/>
        <v>#N/A</v>
      </c>
    </row>
    <row r="37" spans="1:52" x14ac:dyDescent="0.2">
      <c r="A37" s="6">
        <f>Исходн.данные.!A37</f>
        <v>0</v>
      </c>
      <c r="B37" s="6">
        <f>Исходн.данные.!B37</f>
        <v>0</v>
      </c>
      <c r="C37" s="6">
        <f>Исходн.данные.!C37</f>
        <v>0</v>
      </c>
      <c r="D37" s="6">
        <f>Исходн.данные.!D37</f>
        <v>0</v>
      </c>
      <c r="E37" s="6">
        <f>Исходн.данные.!E37</f>
        <v>0</v>
      </c>
      <c r="F37" s="6">
        <f>Исходн.данные.!AH37</f>
        <v>0</v>
      </c>
      <c r="G37" s="6">
        <f>Исходн.данные.!AJ37</f>
        <v>0</v>
      </c>
      <c r="H37" s="6">
        <f>Исходн.данные.!AK37</f>
        <v>0</v>
      </c>
      <c r="I37" s="9">
        <f>IF($F37=0,0,Расчет2!AO37)</f>
        <v>0</v>
      </c>
      <c r="J37" s="9">
        <f>IF(F37=0,0,Расчет2!AP37)</f>
        <v>0</v>
      </c>
      <c r="K37" s="10">
        <f>IF($F37=0,0,Расчет2!AQ37)</f>
        <v>0</v>
      </c>
      <c r="L37" s="10">
        <f>IF($F37=0,0,Расчет2!AR37)</f>
        <v>0</v>
      </c>
      <c r="M37" s="10">
        <f>IF($F37=0,0,Расчет2!AS37)</f>
        <v>0</v>
      </c>
      <c r="N37" s="10">
        <f>IF($F37=0,0,IF(Исходн.данные.!$AP37="Посл.посева",0,Расчет2!AT37))</f>
        <v>0</v>
      </c>
      <c r="O37" s="10">
        <f>IF($F37=0,0,IF(Исходн.данные.!$AP37="Посл.посева",0,IF(Расчет2!AU37&lt;10,10,Расчет2!AU37)))</f>
        <v>0</v>
      </c>
      <c r="P37" s="10">
        <f>IF($F37=0,0,IF(Исходн.данные.!$AP37="Посл.посева",0,Расчет2!AV37))</f>
        <v>0</v>
      </c>
      <c r="Q37" s="10">
        <f>IF($F37=0,0,Расчет2!AW37)</f>
        <v>0</v>
      </c>
      <c r="R37" s="10">
        <f>IF($F37=0,0,Расчет2!AX37)</f>
        <v>0</v>
      </c>
      <c r="S37" s="9">
        <f>IF($F37=0,0,Расчет2!AY37)</f>
        <v>0</v>
      </c>
      <c r="T37" s="10">
        <f>IF($F37=0,0,Расчет2!AZ37)</f>
        <v>0</v>
      </c>
      <c r="U37" s="10">
        <f>IF($F37=0,0,Расчет2!BA37)</f>
        <v>0</v>
      </c>
      <c r="V37" s="10">
        <f>IF($F37=0,0,Расчет2!BB37)</f>
        <v>0</v>
      </c>
      <c r="W37" s="10">
        <f>Расчет!DL37</f>
        <v>0</v>
      </c>
      <c r="X37" s="10">
        <f>Расчет!DN37</f>
        <v>0</v>
      </c>
      <c r="Y37" s="9">
        <f>X37*Исходн.данные.!$AJ37/1000</f>
        <v>0</v>
      </c>
      <c r="Z37" s="10" t="str">
        <f>Расчет!DO37</f>
        <v>Хлор.калий</v>
      </c>
      <c r="AA37" s="10">
        <f>Расчет!DQ37</f>
        <v>0</v>
      </c>
      <c r="AB37" s="12">
        <f>AA37*Исходн.данные.!$AJ37/1000</f>
        <v>0</v>
      </c>
      <c r="AC37" s="9">
        <f>IF($F37=0,0,Расчет2!BC37)</f>
        <v>0</v>
      </c>
      <c r="AD37" s="10">
        <f>IF($F37=0,0,Расчет2!BD37)</f>
        <v>0</v>
      </c>
      <c r="AE37" s="9">
        <f>IF($F37=0,0,Расчет2!BE37)</f>
        <v>0</v>
      </c>
      <c r="AF37" s="9">
        <f>IF($F37=0,0,Расчет2!BF37)</f>
        <v>0</v>
      </c>
      <c r="AG37" s="9">
        <f>IF($F37=0,0,Расчет2!BG37)</f>
        <v>0</v>
      </c>
      <c r="AI37" s="11" t="e">
        <f>Расчет!FY37</f>
        <v>#N/A</v>
      </c>
      <c r="AJ37" s="11" t="e">
        <f>Расчет!FZ37</f>
        <v>#N/A</v>
      </c>
      <c r="AK37" s="11" t="e">
        <f>Расчет!GA37</f>
        <v>#N/A</v>
      </c>
      <c r="AL37" s="11" t="e">
        <f>Расчет!GB37</f>
        <v>#N/A</v>
      </c>
      <c r="AM37" s="11" t="e">
        <f>Расчет!GC37</f>
        <v>#N/A</v>
      </c>
      <c r="AN37" s="11" t="e">
        <f>Расчет!GD37</f>
        <v>#N/A</v>
      </c>
      <c r="AO37" s="11" t="e">
        <f>Расчет!GE37</f>
        <v>#N/A</v>
      </c>
      <c r="AP37" s="11" t="e">
        <f>Расчет!GF37</f>
        <v>#N/A</v>
      </c>
      <c r="AQ37" s="11" t="e">
        <f>Расчет!GG37</f>
        <v>#N/A</v>
      </c>
      <c r="AR37" s="11" t="e">
        <f>Расчет!GH37</f>
        <v>#N/A</v>
      </c>
      <c r="AS37" s="11" t="e">
        <f>Расчет!GI37</f>
        <v>#N/A</v>
      </c>
      <c r="AT37" s="11" t="e">
        <f>Расчет!GJ37</f>
        <v>#N/A</v>
      </c>
      <c r="AU37" s="198" t="e">
        <f t="shared" si="9"/>
        <v>#N/A</v>
      </c>
      <c r="AV37" s="198" t="e">
        <f t="shared" si="10"/>
        <v>#N/A</v>
      </c>
      <c r="AW37" s="198" t="e">
        <f t="shared" si="11"/>
        <v>#N/A</v>
      </c>
      <c r="AX37" s="11" t="e">
        <f t="shared" si="12"/>
        <v>#N/A</v>
      </c>
      <c r="AY37" s="11" t="e">
        <f t="shared" si="13"/>
        <v>#N/A</v>
      </c>
      <c r="AZ37" s="11" t="e">
        <f t="shared" si="14"/>
        <v>#N/A</v>
      </c>
    </row>
    <row r="38" spans="1:52" x14ac:dyDescent="0.2">
      <c r="A38" s="6">
        <f>Исходн.данные.!A38</f>
        <v>0</v>
      </c>
      <c r="B38" s="6">
        <f>Исходн.данные.!B38</f>
        <v>0</v>
      </c>
      <c r="C38" s="6">
        <f>Исходн.данные.!C38</f>
        <v>0</v>
      </c>
      <c r="D38" s="6">
        <f>Исходн.данные.!D38</f>
        <v>0</v>
      </c>
      <c r="E38" s="6">
        <f>Исходн.данные.!E38</f>
        <v>0</v>
      </c>
      <c r="F38" s="6">
        <f>Исходн.данные.!AH38</f>
        <v>0</v>
      </c>
      <c r="G38" s="6">
        <f>Исходн.данные.!AJ38</f>
        <v>0</v>
      </c>
      <c r="H38" s="6">
        <f>Исходн.данные.!AK38</f>
        <v>0</v>
      </c>
      <c r="I38" s="9">
        <f>IF($F38=0,0,Расчет2!AO38)</f>
        <v>0</v>
      </c>
      <c r="J38" s="9">
        <f>IF(F38=0,0,Расчет2!AP38)</f>
        <v>0</v>
      </c>
      <c r="K38" s="10">
        <f>IF($F38=0,0,Расчет2!AQ38)</f>
        <v>0</v>
      </c>
      <c r="L38" s="10">
        <f>IF($F38=0,0,Расчет2!AR38)</f>
        <v>0</v>
      </c>
      <c r="M38" s="10">
        <f>IF($F38=0,0,Расчет2!AS38)</f>
        <v>0</v>
      </c>
      <c r="N38" s="10">
        <f>IF($F38=0,0,IF(Исходн.данные.!$AP38="Посл.посева",0,Расчет2!AT38))</f>
        <v>0</v>
      </c>
      <c r="O38" s="10">
        <f>IF($F38=0,0,IF(Исходн.данные.!$AP38="Посл.посева",0,IF(Расчет2!AU38&lt;10,10,Расчет2!AU38)))</f>
        <v>0</v>
      </c>
      <c r="P38" s="10">
        <f>IF($F38=0,0,IF(Исходн.данные.!$AP38="Посл.посева",0,Расчет2!AV38))</f>
        <v>0</v>
      </c>
      <c r="Q38" s="10">
        <f>IF($F38=0,0,Расчет2!AW38)</f>
        <v>0</v>
      </c>
      <c r="R38" s="10">
        <f>IF($F38=0,0,Расчет2!AX38)</f>
        <v>0</v>
      </c>
      <c r="S38" s="9">
        <f>IF($F38=0,0,Расчет2!AY38)</f>
        <v>0</v>
      </c>
      <c r="T38" s="10">
        <f>IF($F38=0,0,Расчет2!AZ38)</f>
        <v>0</v>
      </c>
      <c r="U38" s="10">
        <f>IF($F38=0,0,Расчет2!BA38)</f>
        <v>0</v>
      </c>
      <c r="V38" s="10">
        <f>IF($F38=0,0,Расчет2!BB38)</f>
        <v>0</v>
      </c>
      <c r="W38" s="10">
        <f>Расчет!DL38</f>
        <v>0</v>
      </c>
      <c r="X38" s="10">
        <f>Расчет!DN38</f>
        <v>0</v>
      </c>
      <c r="Y38" s="9">
        <f>X38*Исходн.данные.!$AJ38/1000</f>
        <v>0</v>
      </c>
      <c r="Z38" s="10" t="str">
        <f>Расчет!DO38</f>
        <v>Хлор.калий</v>
      </c>
      <c r="AA38" s="10">
        <f>Расчет!DQ38</f>
        <v>0</v>
      </c>
      <c r="AB38" s="12">
        <f>AA38*Исходн.данные.!$AJ38/1000</f>
        <v>0</v>
      </c>
      <c r="AC38" s="9">
        <f>IF($F38=0,0,Расчет2!BC38)</f>
        <v>0</v>
      </c>
      <c r="AD38" s="10">
        <f>IF($F38=0,0,Расчет2!BD38)</f>
        <v>0</v>
      </c>
      <c r="AE38" s="9">
        <f>IF($F38=0,0,Расчет2!BE38)</f>
        <v>0</v>
      </c>
      <c r="AF38" s="9">
        <f>IF($F38=0,0,Расчет2!BF38)</f>
        <v>0</v>
      </c>
      <c r="AG38" s="9">
        <f>IF($F38=0,0,Расчет2!BG38)</f>
        <v>0</v>
      </c>
      <c r="AI38" s="11" t="e">
        <f>Расчет!FY38</f>
        <v>#N/A</v>
      </c>
      <c r="AJ38" s="11" t="e">
        <f>Расчет!FZ38</f>
        <v>#N/A</v>
      </c>
      <c r="AK38" s="11" t="e">
        <f>Расчет!GA38</f>
        <v>#N/A</v>
      </c>
      <c r="AL38" s="11" t="e">
        <f>Расчет!GB38</f>
        <v>#N/A</v>
      </c>
      <c r="AM38" s="11" t="e">
        <f>Расчет!GC38</f>
        <v>#N/A</v>
      </c>
      <c r="AN38" s="11" t="e">
        <f>Расчет!GD38</f>
        <v>#N/A</v>
      </c>
      <c r="AO38" s="11" t="e">
        <f>Расчет!GE38</f>
        <v>#N/A</v>
      </c>
      <c r="AP38" s="11" t="e">
        <f>Расчет!GF38</f>
        <v>#N/A</v>
      </c>
      <c r="AQ38" s="11" t="e">
        <f>Расчет!GG38</f>
        <v>#N/A</v>
      </c>
      <c r="AR38" s="11" t="e">
        <f>Расчет!GH38</f>
        <v>#N/A</v>
      </c>
      <c r="AS38" s="11" t="e">
        <f>Расчет!GI38</f>
        <v>#N/A</v>
      </c>
      <c r="AT38" s="11" t="e">
        <f>Расчет!GJ38</f>
        <v>#N/A</v>
      </c>
      <c r="AU38" s="198" t="e">
        <f t="shared" si="9"/>
        <v>#N/A</v>
      </c>
      <c r="AV38" s="198" t="e">
        <f t="shared" si="10"/>
        <v>#N/A</v>
      </c>
      <c r="AW38" s="198" t="e">
        <f t="shared" si="11"/>
        <v>#N/A</v>
      </c>
      <c r="AX38" s="11" t="e">
        <f t="shared" si="12"/>
        <v>#N/A</v>
      </c>
      <c r="AY38" s="11" t="e">
        <f t="shared" si="13"/>
        <v>#N/A</v>
      </c>
      <c r="AZ38" s="11" t="e">
        <f t="shared" si="14"/>
        <v>#N/A</v>
      </c>
    </row>
    <row r="39" spans="1:52" x14ac:dyDescent="0.2">
      <c r="A39" s="6">
        <f>Исходн.данные.!A39</f>
        <v>0</v>
      </c>
      <c r="B39" s="6">
        <f>Исходн.данные.!B39</f>
        <v>0</v>
      </c>
      <c r="C39" s="6">
        <f>Исходн.данные.!C39</f>
        <v>0</v>
      </c>
      <c r="D39" s="6">
        <f>Исходн.данные.!D39</f>
        <v>0</v>
      </c>
      <c r="E39" s="6">
        <f>Исходн.данные.!E39</f>
        <v>0</v>
      </c>
      <c r="F39" s="6">
        <f>Исходн.данные.!AH39</f>
        <v>0</v>
      </c>
      <c r="G39" s="6">
        <f>Исходн.данные.!AJ39</f>
        <v>0</v>
      </c>
      <c r="H39" s="6">
        <f>Исходн.данные.!AK39</f>
        <v>0</v>
      </c>
      <c r="I39" s="9">
        <f>IF($F39=0,0,Расчет2!AO39)</f>
        <v>0</v>
      </c>
      <c r="J39" s="9">
        <f>IF(F39=0,0,Расчет2!AP39)</f>
        <v>0</v>
      </c>
      <c r="K39" s="10">
        <f>IF($F39=0,0,Расчет2!AQ39)</f>
        <v>0</v>
      </c>
      <c r="L39" s="10">
        <f>IF($F39=0,0,Расчет2!AR39)</f>
        <v>0</v>
      </c>
      <c r="M39" s="10">
        <f>IF($F39=0,0,Расчет2!AS39)</f>
        <v>0</v>
      </c>
      <c r="N39" s="10">
        <f>IF($F39=0,0,IF(Исходн.данные.!$AP39="Посл.посева",0,Расчет2!AT39))</f>
        <v>0</v>
      </c>
      <c r="O39" s="10">
        <f>IF($F39=0,0,IF(Исходн.данные.!$AP39="Посл.посева",0,IF(Расчет2!AU39&lt;10,10,Расчет2!AU39)))</f>
        <v>0</v>
      </c>
      <c r="P39" s="10">
        <f>IF($F39=0,0,IF(Исходн.данные.!$AP39="Посл.посева",0,Расчет2!AV39))</f>
        <v>0</v>
      </c>
      <c r="Q39" s="10">
        <f>IF($F39=0,0,Расчет2!AW39)</f>
        <v>0</v>
      </c>
      <c r="R39" s="10">
        <f>IF($F39=0,0,Расчет2!AX39)</f>
        <v>0</v>
      </c>
      <c r="S39" s="9">
        <f>IF($F39=0,0,Расчет2!AY39)</f>
        <v>0</v>
      </c>
      <c r="T39" s="10">
        <f>IF($F39=0,0,Расчет2!AZ39)</f>
        <v>0</v>
      </c>
      <c r="U39" s="10">
        <f>IF($F39=0,0,Расчет2!BA39)</f>
        <v>0</v>
      </c>
      <c r="V39" s="10">
        <f>IF($F39=0,0,Расчет2!BB39)</f>
        <v>0</v>
      </c>
      <c r="W39" s="10">
        <f>Расчет!DL39</f>
        <v>0</v>
      </c>
      <c r="X39" s="10">
        <f>Расчет!DN39</f>
        <v>0</v>
      </c>
      <c r="Y39" s="9">
        <f>X39*Исходн.данные.!$AJ39/1000</f>
        <v>0</v>
      </c>
      <c r="Z39" s="10" t="str">
        <f>Расчет!DO39</f>
        <v>Хлор.калий</v>
      </c>
      <c r="AA39" s="10">
        <f>Расчет!DQ39</f>
        <v>0</v>
      </c>
      <c r="AB39" s="12">
        <f>AA39*Исходн.данные.!$AJ39/1000</f>
        <v>0</v>
      </c>
      <c r="AC39" s="9">
        <f>IF($F39=0,0,Расчет2!BC39)</f>
        <v>0</v>
      </c>
      <c r="AD39" s="10">
        <f>IF($F39=0,0,Расчет2!BD39)</f>
        <v>0</v>
      </c>
      <c r="AE39" s="9">
        <f>IF($F39=0,0,Расчет2!BE39)</f>
        <v>0</v>
      </c>
      <c r="AF39" s="9">
        <f>IF($F39=0,0,Расчет2!BF39)</f>
        <v>0</v>
      </c>
      <c r="AG39" s="9">
        <f>IF($F39=0,0,Расчет2!BG39)</f>
        <v>0</v>
      </c>
      <c r="AI39" s="11" t="e">
        <f>Расчет!FY39</f>
        <v>#N/A</v>
      </c>
      <c r="AJ39" s="11" t="e">
        <f>Расчет!FZ39</f>
        <v>#N/A</v>
      </c>
      <c r="AK39" s="11" t="e">
        <f>Расчет!GA39</f>
        <v>#N/A</v>
      </c>
      <c r="AL39" s="11" t="e">
        <f>Расчет!GB39</f>
        <v>#N/A</v>
      </c>
      <c r="AM39" s="11" t="e">
        <f>Расчет!GC39</f>
        <v>#N/A</v>
      </c>
      <c r="AN39" s="11" t="e">
        <f>Расчет!GD39</f>
        <v>#N/A</v>
      </c>
      <c r="AO39" s="11" t="e">
        <f>Расчет!GE39</f>
        <v>#N/A</v>
      </c>
      <c r="AP39" s="11" t="e">
        <f>Расчет!GF39</f>
        <v>#N/A</v>
      </c>
      <c r="AQ39" s="11" t="e">
        <f>Расчет!GG39</f>
        <v>#N/A</v>
      </c>
      <c r="AR39" s="11" t="e">
        <f>Расчет!GH39</f>
        <v>#N/A</v>
      </c>
      <c r="AS39" s="11" t="e">
        <f>Расчет!GI39</f>
        <v>#N/A</v>
      </c>
      <c r="AT39" s="11" t="e">
        <f>Расчет!GJ39</f>
        <v>#N/A</v>
      </c>
      <c r="AU39" s="198" t="e">
        <f t="shared" si="9"/>
        <v>#N/A</v>
      </c>
      <c r="AV39" s="198" t="e">
        <f t="shared" si="10"/>
        <v>#N/A</v>
      </c>
      <c r="AW39" s="198" t="e">
        <f t="shared" si="11"/>
        <v>#N/A</v>
      </c>
      <c r="AX39" s="11" t="e">
        <f t="shared" si="12"/>
        <v>#N/A</v>
      </c>
      <c r="AY39" s="11" t="e">
        <f t="shared" si="13"/>
        <v>#N/A</v>
      </c>
      <c r="AZ39" s="11" t="e">
        <f t="shared" si="14"/>
        <v>#N/A</v>
      </c>
    </row>
    <row r="40" spans="1:52" x14ac:dyDescent="0.2">
      <c r="A40" s="6">
        <f>Исходн.данные.!A40</f>
        <v>0</v>
      </c>
      <c r="B40" s="6">
        <f>Исходн.данные.!B40</f>
        <v>0</v>
      </c>
      <c r="C40" s="6">
        <f>Исходн.данные.!C40</f>
        <v>0</v>
      </c>
      <c r="D40" s="6">
        <f>Исходн.данные.!D40</f>
        <v>0</v>
      </c>
      <c r="E40" s="6">
        <f>Исходн.данные.!E40</f>
        <v>0</v>
      </c>
      <c r="F40" s="6">
        <f>Исходн.данные.!AH40</f>
        <v>0</v>
      </c>
      <c r="G40" s="6">
        <f>Исходн.данные.!AJ40</f>
        <v>0</v>
      </c>
      <c r="H40" s="6">
        <f>Исходн.данные.!AK40</f>
        <v>0</v>
      </c>
      <c r="I40" s="9">
        <f>IF($F40=0,0,Расчет2!AO40)</f>
        <v>0</v>
      </c>
      <c r="J40" s="9">
        <f>IF(F40=0,0,Расчет2!AP40)</f>
        <v>0</v>
      </c>
      <c r="K40" s="10">
        <f>IF($F40=0,0,Расчет2!AQ40)</f>
        <v>0</v>
      </c>
      <c r="L40" s="10">
        <f>IF($F40=0,0,Расчет2!AR40)</f>
        <v>0</v>
      </c>
      <c r="M40" s="10">
        <f>IF($F40=0,0,Расчет2!AS40)</f>
        <v>0</v>
      </c>
      <c r="N40" s="10">
        <f>IF($F40=0,0,IF(Исходн.данные.!$AP40="Посл.посева",0,Расчет2!AT40))</f>
        <v>0</v>
      </c>
      <c r="O40" s="10">
        <f>IF($F40=0,0,IF(Исходн.данные.!$AP40="Посл.посева",0,IF(Расчет2!AU40&lt;10,10,Расчет2!AU40)))</f>
        <v>0</v>
      </c>
      <c r="P40" s="10">
        <f>IF($F40=0,0,IF(Исходн.данные.!$AP40="Посл.посева",0,Расчет2!AV40))</f>
        <v>0</v>
      </c>
      <c r="Q40" s="10">
        <f>IF($F40=0,0,Расчет2!AW40)</f>
        <v>0</v>
      </c>
      <c r="R40" s="10">
        <f>IF($F40=0,0,Расчет2!AX40)</f>
        <v>0</v>
      </c>
      <c r="S40" s="9">
        <f>IF($F40=0,0,Расчет2!AY40)</f>
        <v>0</v>
      </c>
      <c r="T40" s="10">
        <f>IF($F40=0,0,Расчет2!AZ40)</f>
        <v>0</v>
      </c>
      <c r="U40" s="10">
        <f>IF($F40=0,0,Расчет2!BA40)</f>
        <v>0</v>
      </c>
      <c r="V40" s="10">
        <f>IF($F40=0,0,Расчет2!BB40)</f>
        <v>0</v>
      </c>
      <c r="W40" s="10">
        <f>Расчет!DL40</f>
        <v>0</v>
      </c>
      <c r="X40" s="10">
        <f>Расчет!DN40</f>
        <v>0</v>
      </c>
      <c r="Y40" s="9">
        <f>X40*Исходн.данные.!$AJ40/1000</f>
        <v>0</v>
      </c>
      <c r="Z40" s="10" t="str">
        <f>Расчет!DO40</f>
        <v>Хлор.калий</v>
      </c>
      <c r="AA40" s="10">
        <f>Расчет!DQ40</f>
        <v>0</v>
      </c>
      <c r="AB40" s="12">
        <f>AA40*Исходн.данные.!$AJ40/1000</f>
        <v>0</v>
      </c>
      <c r="AC40" s="9">
        <f>IF($F40=0,0,Расчет2!BC40)</f>
        <v>0</v>
      </c>
      <c r="AD40" s="10">
        <f>IF($F40=0,0,Расчет2!BD40)</f>
        <v>0</v>
      </c>
      <c r="AE40" s="9">
        <f>IF($F40=0,0,Расчет2!BE40)</f>
        <v>0</v>
      </c>
      <c r="AF40" s="9">
        <f>IF($F40=0,0,Расчет2!BF40)</f>
        <v>0</v>
      </c>
      <c r="AG40" s="9">
        <f>IF($F40=0,0,Расчет2!BG40)</f>
        <v>0</v>
      </c>
      <c r="AI40" s="11" t="e">
        <f>Расчет!FY40</f>
        <v>#N/A</v>
      </c>
      <c r="AJ40" s="11" t="e">
        <f>Расчет!FZ40</f>
        <v>#N/A</v>
      </c>
      <c r="AK40" s="11" t="e">
        <f>Расчет!GA40</f>
        <v>#N/A</v>
      </c>
      <c r="AL40" s="11" t="e">
        <f>Расчет!GB40</f>
        <v>#N/A</v>
      </c>
      <c r="AM40" s="11" t="e">
        <f>Расчет!GC40</f>
        <v>#N/A</v>
      </c>
      <c r="AN40" s="11" t="e">
        <f>Расчет!GD40</f>
        <v>#N/A</v>
      </c>
      <c r="AO40" s="11" t="e">
        <f>Расчет!GE40</f>
        <v>#N/A</v>
      </c>
      <c r="AP40" s="11" t="e">
        <f>Расчет!GF40</f>
        <v>#N/A</v>
      </c>
      <c r="AQ40" s="11" t="e">
        <f>Расчет!GG40</f>
        <v>#N/A</v>
      </c>
      <c r="AR40" s="11" t="e">
        <f>Расчет!GH40</f>
        <v>#N/A</v>
      </c>
      <c r="AS40" s="11" t="e">
        <f>Расчет!GI40</f>
        <v>#N/A</v>
      </c>
      <c r="AT40" s="11" t="e">
        <f>Расчет!GJ40</f>
        <v>#N/A</v>
      </c>
      <c r="AU40" s="198" t="e">
        <f t="shared" si="9"/>
        <v>#N/A</v>
      </c>
      <c r="AV40" s="198" t="e">
        <f t="shared" si="10"/>
        <v>#N/A</v>
      </c>
      <c r="AW40" s="198" t="e">
        <f t="shared" si="11"/>
        <v>#N/A</v>
      </c>
      <c r="AX40" s="11" t="e">
        <f t="shared" si="12"/>
        <v>#N/A</v>
      </c>
      <c r="AY40" s="11" t="e">
        <f t="shared" si="13"/>
        <v>#N/A</v>
      </c>
      <c r="AZ40" s="11" t="e">
        <f t="shared" si="14"/>
        <v>#N/A</v>
      </c>
    </row>
    <row r="41" spans="1:52" x14ac:dyDescent="0.2">
      <c r="A41" s="6">
        <f>Исходн.данные.!A41</f>
        <v>0</v>
      </c>
      <c r="B41" s="6">
        <f>Исходн.данные.!B41</f>
        <v>0</v>
      </c>
      <c r="C41" s="6">
        <f>Исходн.данные.!C41</f>
        <v>0</v>
      </c>
      <c r="D41" s="6">
        <f>Исходн.данные.!D41</f>
        <v>0</v>
      </c>
      <c r="E41" s="6">
        <f>Исходн.данные.!E41</f>
        <v>0</v>
      </c>
      <c r="F41" s="6">
        <f>Исходн.данные.!AH41</f>
        <v>0</v>
      </c>
      <c r="G41" s="6">
        <f>Исходн.данные.!AJ41</f>
        <v>0</v>
      </c>
      <c r="H41" s="6">
        <f>Исходн.данные.!AK41</f>
        <v>0</v>
      </c>
      <c r="I41" s="9">
        <f>IF($F41=0,0,Расчет2!AO41)</f>
        <v>0</v>
      </c>
      <c r="J41" s="9">
        <f>IF(F41=0,0,Расчет2!AP41)</f>
        <v>0</v>
      </c>
      <c r="K41" s="10">
        <f>IF($F41=0,0,Расчет2!AQ41)</f>
        <v>0</v>
      </c>
      <c r="L41" s="10">
        <f>IF($F41=0,0,Расчет2!AR41)</f>
        <v>0</v>
      </c>
      <c r="M41" s="10">
        <f>IF($F41=0,0,Расчет2!AS41)</f>
        <v>0</v>
      </c>
      <c r="N41" s="10">
        <f>IF($F41=0,0,IF(Исходн.данные.!$AP41="Посл.посева",0,Расчет2!AT41))</f>
        <v>0</v>
      </c>
      <c r="O41" s="10">
        <f>IF($F41=0,0,IF(Исходн.данные.!$AP41="Посл.посева",0,IF(Расчет2!AU41&lt;10,10,Расчет2!AU41)))</f>
        <v>0</v>
      </c>
      <c r="P41" s="10">
        <f>IF($F41=0,0,IF(Исходн.данные.!$AP41="Посл.посева",0,Расчет2!AV41))</f>
        <v>0</v>
      </c>
      <c r="Q41" s="10">
        <f>IF($F41=0,0,Расчет2!AW41)</f>
        <v>0</v>
      </c>
      <c r="R41" s="10">
        <f>IF($F41=0,0,Расчет2!AX41)</f>
        <v>0</v>
      </c>
      <c r="S41" s="9">
        <f>IF($F41=0,0,Расчет2!AY41)</f>
        <v>0</v>
      </c>
      <c r="T41" s="10">
        <f>IF($F41=0,0,Расчет2!AZ41)</f>
        <v>0</v>
      </c>
      <c r="U41" s="10">
        <f>IF($F41=0,0,Расчет2!BA41)</f>
        <v>0</v>
      </c>
      <c r="V41" s="10">
        <f>IF($F41=0,0,Расчет2!BB41)</f>
        <v>0</v>
      </c>
      <c r="W41" s="10">
        <f>Расчет!DL41</f>
        <v>0</v>
      </c>
      <c r="X41" s="10">
        <f>Расчет!DN41</f>
        <v>0</v>
      </c>
      <c r="Y41" s="9">
        <f>X41*Исходн.данные.!$AJ41/1000</f>
        <v>0</v>
      </c>
      <c r="Z41" s="10" t="str">
        <f>Расчет!DO41</f>
        <v>Хлор.калий</v>
      </c>
      <c r="AA41" s="10">
        <f>Расчет!DQ41</f>
        <v>0</v>
      </c>
      <c r="AB41" s="12">
        <f>AA41*Исходн.данные.!$AJ41/1000</f>
        <v>0</v>
      </c>
      <c r="AC41" s="9">
        <f>IF($F41=0,0,Расчет2!BC41)</f>
        <v>0</v>
      </c>
      <c r="AD41" s="10">
        <f>IF($F41=0,0,Расчет2!BD41)</f>
        <v>0</v>
      </c>
      <c r="AE41" s="9">
        <f>IF($F41=0,0,Расчет2!BE41)</f>
        <v>0</v>
      </c>
      <c r="AF41" s="9">
        <f>IF($F41=0,0,Расчет2!BF41)</f>
        <v>0</v>
      </c>
      <c r="AG41" s="9">
        <f>IF($F41=0,0,Расчет2!BG41)</f>
        <v>0</v>
      </c>
      <c r="AI41" s="11" t="e">
        <f>Расчет!FY41</f>
        <v>#N/A</v>
      </c>
      <c r="AJ41" s="11" t="e">
        <f>Расчет!FZ41</f>
        <v>#N/A</v>
      </c>
      <c r="AK41" s="11" t="e">
        <f>Расчет!GA41</f>
        <v>#N/A</v>
      </c>
      <c r="AL41" s="11" t="e">
        <f>Расчет!GB41</f>
        <v>#N/A</v>
      </c>
      <c r="AM41" s="11" t="e">
        <f>Расчет!GC41</f>
        <v>#N/A</v>
      </c>
      <c r="AN41" s="11" t="e">
        <f>Расчет!GD41</f>
        <v>#N/A</v>
      </c>
      <c r="AO41" s="11" t="e">
        <f>Расчет!GE41</f>
        <v>#N/A</v>
      </c>
      <c r="AP41" s="11" t="e">
        <f>Расчет!GF41</f>
        <v>#N/A</v>
      </c>
      <c r="AQ41" s="11" t="e">
        <f>Расчет!GG41</f>
        <v>#N/A</v>
      </c>
      <c r="AR41" s="11" t="e">
        <f>Расчет!GH41</f>
        <v>#N/A</v>
      </c>
      <c r="AS41" s="11" t="e">
        <f>Расчет!GI41</f>
        <v>#N/A</v>
      </c>
      <c r="AT41" s="11" t="e">
        <f>Расчет!GJ41</f>
        <v>#N/A</v>
      </c>
      <c r="AU41" s="198" t="e">
        <f t="shared" si="9"/>
        <v>#N/A</v>
      </c>
      <c r="AV41" s="198" t="e">
        <f t="shared" si="10"/>
        <v>#N/A</v>
      </c>
      <c r="AW41" s="198" t="e">
        <f t="shared" si="11"/>
        <v>#N/A</v>
      </c>
      <c r="AX41" s="11" t="e">
        <f t="shared" si="12"/>
        <v>#N/A</v>
      </c>
      <c r="AY41" s="11" t="e">
        <f t="shared" si="13"/>
        <v>#N/A</v>
      </c>
      <c r="AZ41" s="11" t="e">
        <f t="shared" si="14"/>
        <v>#N/A</v>
      </c>
    </row>
    <row r="42" spans="1:52" x14ac:dyDescent="0.2">
      <c r="A42" s="6">
        <f>Исходн.данные.!A42</f>
        <v>0</v>
      </c>
      <c r="B42" s="6">
        <f>Исходн.данные.!B42</f>
        <v>0</v>
      </c>
      <c r="C42" s="6">
        <f>Исходн.данные.!C42</f>
        <v>0</v>
      </c>
      <c r="D42" s="6">
        <f>Исходн.данные.!D42</f>
        <v>0</v>
      </c>
      <c r="E42" s="6">
        <f>Исходн.данные.!E42</f>
        <v>0</v>
      </c>
      <c r="F42" s="6">
        <f>Исходн.данные.!AH42</f>
        <v>0</v>
      </c>
      <c r="G42" s="6">
        <f>Исходн.данные.!AJ42</f>
        <v>0</v>
      </c>
      <c r="H42" s="6">
        <f>Исходн.данные.!AK42</f>
        <v>0</v>
      </c>
      <c r="I42" s="9">
        <f>IF($F42=0,0,Расчет2!AO42)</f>
        <v>0</v>
      </c>
      <c r="J42" s="9">
        <f>IF(F42=0,0,Расчет2!AP42)</f>
        <v>0</v>
      </c>
      <c r="K42" s="10">
        <f>IF($F42=0,0,Расчет2!AQ42)</f>
        <v>0</v>
      </c>
      <c r="L42" s="10">
        <f>IF($F42=0,0,Расчет2!AR42)</f>
        <v>0</v>
      </c>
      <c r="M42" s="10">
        <f>IF($F42=0,0,Расчет2!AS42)</f>
        <v>0</v>
      </c>
      <c r="N42" s="10">
        <f>IF($F42=0,0,IF(Исходн.данные.!$AP42="Посл.посева",0,Расчет2!AT42))</f>
        <v>0</v>
      </c>
      <c r="O42" s="10">
        <f>IF($F42=0,0,IF(Исходн.данные.!$AP42="Посл.посева",0,IF(Расчет2!AU42&lt;10,10,Расчет2!AU42)))</f>
        <v>0</v>
      </c>
      <c r="P42" s="10">
        <f>IF($F42=0,0,IF(Исходн.данные.!$AP42="Посл.посева",0,Расчет2!AV42))</f>
        <v>0</v>
      </c>
      <c r="Q42" s="10">
        <f>IF($F42=0,0,Расчет2!AW42)</f>
        <v>0</v>
      </c>
      <c r="R42" s="10">
        <f>IF($F42=0,0,Расчет2!AX42)</f>
        <v>0</v>
      </c>
      <c r="S42" s="9">
        <f>IF($F42=0,0,Расчет2!AY42)</f>
        <v>0</v>
      </c>
      <c r="T42" s="10">
        <f>IF($F42=0,0,Расчет2!AZ42)</f>
        <v>0</v>
      </c>
      <c r="U42" s="10">
        <f>IF($F42=0,0,Расчет2!BA42)</f>
        <v>0</v>
      </c>
      <c r="V42" s="10">
        <f>IF($F42=0,0,Расчет2!BB42)</f>
        <v>0</v>
      </c>
      <c r="W42" s="10">
        <f>Расчет!DL42</f>
        <v>0</v>
      </c>
      <c r="X42" s="10">
        <f>Расчет!DN42</f>
        <v>0</v>
      </c>
      <c r="Y42" s="9">
        <f>X42*Исходн.данные.!$AJ42/1000</f>
        <v>0</v>
      </c>
      <c r="Z42" s="10" t="str">
        <f>Расчет!DO42</f>
        <v>Хлор.калий</v>
      </c>
      <c r="AA42" s="10">
        <f>Расчет!DQ42</f>
        <v>0</v>
      </c>
      <c r="AB42" s="12">
        <f>AA42*Исходн.данные.!$AJ42/1000</f>
        <v>0</v>
      </c>
      <c r="AC42" s="9">
        <f>IF($F42=0,0,Расчет2!BC42)</f>
        <v>0</v>
      </c>
      <c r="AD42" s="10">
        <f>IF($F42=0,0,Расчет2!BD42)</f>
        <v>0</v>
      </c>
      <c r="AE42" s="9">
        <f>IF($F42=0,0,Расчет2!BE42)</f>
        <v>0</v>
      </c>
      <c r="AF42" s="9">
        <f>IF($F42=0,0,Расчет2!BF42)</f>
        <v>0</v>
      </c>
      <c r="AG42" s="9">
        <f>IF($F42=0,0,Расчет2!BG42)</f>
        <v>0</v>
      </c>
      <c r="AI42" s="11" t="e">
        <f>Расчет!FY42</f>
        <v>#N/A</v>
      </c>
      <c r="AJ42" s="11" t="e">
        <f>Расчет!FZ42</f>
        <v>#N/A</v>
      </c>
      <c r="AK42" s="11" t="e">
        <f>Расчет!GA42</f>
        <v>#N/A</v>
      </c>
      <c r="AL42" s="11" t="e">
        <f>Расчет!GB42</f>
        <v>#N/A</v>
      </c>
      <c r="AM42" s="11" t="e">
        <f>Расчет!GC42</f>
        <v>#N/A</v>
      </c>
      <c r="AN42" s="11" t="e">
        <f>Расчет!GD42</f>
        <v>#N/A</v>
      </c>
      <c r="AO42" s="11" t="e">
        <f>Расчет!GE42</f>
        <v>#N/A</v>
      </c>
      <c r="AP42" s="11" t="e">
        <f>Расчет!GF42</f>
        <v>#N/A</v>
      </c>
      <c r="AQ42" s="11" t="e">
        <f>Расчет!GG42</f>
        <v>#N/A</v>
      </c>
      <c r="AR42" s="11" t="e">
        <f>Расчет!GH42</f>
        <v>#N/A</v>
      </c>
      <c r="AS42" s="11" t="e">
        <f>Расчет!GI42</f>
        <v>#N/A</v>
      </c>
      <c r="AT42" s="11" t="e">
        <f>Расчет!GJ42</f>
        <v>#N/A</v>
      </c>
      <c r="AU42" s="198" t="e">
        <f t="shared" si="9"/>
        <v>#N/A</v>
      </c>
      <c r="AV42" s="198" t="e">
        <f t="shared" si="10"/>
        <v>#N/A</v>
      </c>
      <c r="AW42" s="198" t="e">
        <f t="shared" si="11"/>
        <v>#N/A</v>
      </c>
      <c r="AX42" s="11" t="e">
        <f t="shared" si="12"/>
        <v>#N/A</v>
      </c>
      <c r="AY42" s="11" t="e">
        <f t="shared" si="13"/>
        <v>#N/A</v>
      </c>
      <c r="AZ42" s="11" t="e">
        <f t="shared" si="14"/>
        <v>#N/A</v>
      </c>
    </row>
    <row r="43" spans="1:52" x14ac:dyDescent="0.2">
      <c r="A43" s="6">
        <f>Исходн.данные.!A43</f>
        <v>0</v>
      </c>
      <c r="B43" s="6">
        <f>Исходн.данные.!B43</f>
        <v>0</v>
      </c>
      <c r="C43" s="6">
        <f>Исходн.данные.!C43</f>
        <v>0</v>
      </c>
      <c r="D43" s="6">
        <f>Исходн.данные.!D43</f>
        <v>0</v>
      </c>
      <c r="E43" s="6">
        <f>Исходн.данные.!E43</f>
        <v>0</v>
      </c>
      <c r="F43" s="6">
        <f>Исходн.данные.!AH43</f>
        <v>0</v>
      </c>
      <c r="G43" s="6">
        <f>Исходн.данные.!AJ43</f>
        <v>0</v>
      </c>
      <c r="H43" s="6">
        <f>Исходн.данные.!AK43</f>
        <v>0</v>
      </c>
      <c r="I43" s="9">
        <f>IF($F43=0,0,Расчет2!AO43)</f>
        <v>0</v>
      </c>
      <c r="J43" s="9">
        <f>IF(F43=0,0,Расчет2!AP43)</f>
        <v>0</v>
      </c>
      <c r="K43" s="10">
        <f>IF($F43=0,0,Расчет2!AQ43)</f>
        <v>0</v>
      </c>
      <c r="L43" s="10">
        <f>IF($F43=0,0,Расчет2!AR43)</f>
        <v>0</v>
      </c>
      <c r="M43" s="10">
        <f>IF($F43=0,0,Расчет2!AS43)</f>
        <v>0</v>
      </c>
      <c r="N43" s="10">
        <f>IF($F43=0,0,IF(Исходн.данные.!$AP43="Посл.посева",0,Расчет2!AT43))</f>
        <v>0</v>
      </c>
      <c r="O43" s="10">
        <f>IF($F43=0,0,IF(Исходн.данные.!$AP43="Посл.посева",0,IF(Расчет2!AU43&lt;10,10,Расчет2!AU43)))</f>
        <v>0</v>
      </c>
      <c r="P43" s="10">
        <f>IF($F43=0,0,IF(Исходн.данные.!$AP43="Посл.посева",0,Расчет2!AV43))</f>
        <v>0</v>
      </c>
      <c r="Q43" s="10">
        <f>IF($F43=0,0,Расчет2!AW43)</f>
        <v>0</v>
      </c>
      <c r="R43" s="10">
        <f>IF($F43=0,0,Расчет2!AX43)</f>
        <v>0</v>
      </c>
      <c r="S43" s="9">
        <f>IF($F43=0,0,Расчет2!AY43)</f>
        <v>0</v>
      </c>
      <c r="T43" s="10">
        <f>IF($F43=0,0,Расчет2!AZ43)</f>
        <v>0</v>
      </c>
      <c r="U43" s="10">
        <f>IF($F43=0,0,Расчет2!BA43)</f>
        <v>0</v>
      </c>
      <c r="V43" s="10">
        <f>IF($F43=0,0,Расчет2!BB43)</f>
        <v>0</v>
      </c>
      <c r="W43" s="10">
        <f>Расчет!DL43</f>
        <v>0</v>
      </c>
      <c r="X43" s="10">
        <f>Расчет!DN43</f>
        <v>0</v>
      </c>
      <c r="Y43" s="9">
        <f>X43*Исходн.данные.!$AJ43/1000</f>
        <v>0</v>
      </c>
      <c r="Z43" s="10" t="str">
        <f>Расчет!DO43</f>
        <v>Хлор.калий</v>
      </c>
      <c r="AA43" s="10">
        <f>Расчет!DQ43</f>
        <v>0</v>
      </c>
      <c r="AB43" s="12">
        <f>AA43*Исходн.данные.!$AJ43/1000</f>
        <v>0</v>
      </c>
      <c r="AC43" s="9">
        <f>IF($F43=0,0,Расчет2!BC43)</f>
        <v>0</v>
      </c>
      <c r="AD43" s="10">
        <f>IF($F43=0,0,Расчет2!BD43)</f>
        <v>0</v>
      </c>
      <c r="AE43" s="9">
        <f>IF($F43=0,0,Расчет2!BE43)</f>
        <v>0</v>
      </c>
      <c r="AF43" s="9">
        <f>IF($F43=0,0,Расчет2!BF43)</f>
        <v>0</v>
      </c>
      <c r="AG43" s="9">
        <f>IF($F43=0,0,Расчет2!BG43)</f>
        <v>0</v>
      </c>
      <c r="AI43" s="11" t="e">
        <f>Расчет!FY43</f>
        <v>#N/A</v>
      </c>
      <c r="AJ43" s="11" t="e">
        <f>Расчет!FZ43</f>
        <v>#N/A</v>
      </c>
      <c r="AK43" s="11" t="e">
        <f>Расчет!GA43</f>
        <v>#N/A</v>
      </c>
      <c r="AL43" s="11" t="e">
        <f>Расчет!GB43</f>
        <v>#N/A</v>
      </c>
      <c r="AM43" s="11" t="e">
        <f>Расчет!GC43</f>
        <v>#N/A</v>
      </c>
      <c r="AN43" s="11" t="e">
        <f>Расчет!GD43</f>
        <v>#N/A</v>
      </c>
      <c r="AO43" s="11" t="e">
        <f>Расчет!GE43</f>
        <v>#N/A</v>
      </c>
      <c r="AP43" s="11" t="e">
        <f>Расчет!GF43</f>
        <v>#N/A</v>
      </c>
      <c r="AQ43" s="11" t="e">
        <f>Расчет!GG43</f>
        <v>#N/A</v>
      </c>
      <c r="AR43" s="11" t="e">
        <f>Расчет!GH43</f>
        <v>#N/A</v>
      </c>
      <c r="AS43" s="11" t="e">
        <f>Расчет!GI43</f>
        <v>#N/A</v>
      </c>
      <c r="AT43" s="11" t="e">
        <f>Расчет!GJ43</f>
        <v>#N/A</v>
      </c>
      <c r="AU43" s="198" t="e">
        <f t="shared" si="9"/>
        <v>#N/A</v>
      </c>
      <c r="AV43" s="198" t="e">
        <f t="shared" si="10"/>
        <v>#N/A</v>
      </c>
      <c r="AW43" s="198" t="e">
        <f t="shared" si="11"/>
        <v>#N/A</v>
      </c>
      <c r="AX43" s="11" t="e">
        <f t="shared" si="12"/>
        <v>#N/A</v>
      </c>
      <c r="AY43" s="11" t="e">
        <f t="shared" si="13"/>
        <v>#N/A</v>
      </c>
      <c r="AZ43" s="11" t="e">
        <f t="shared" si="14"/>
        <v>#N/A</v>
      </c>
    </row>
    <row r="44" spans="1:52" x14ac:dyDescent="0.2">
      <c r="A44" s="6">
        <f>Исходн.данные.!A44</f>
        <v>0</v>
      </c>
      <c r="B44" s="6">
        <f>Исходн.данные.!B44</f>
        <v>0</v>
      </c>
      <c r="C44" s="6">
        <f>Исходн.данные.!C44</f>
        <v>0</v>
      </c>
      <c r="D44" s="6">
        <f>Исходн.данные.!D44</f>
        <v>0</v>
      </c>
      <c r="E44" s="6">
        <f>Исходн.данные.!E44</f>
        <v>0</v>
      </c>
      <c r="F44" s="6">
        <f>Исходн.данные.!AH44</f>
        <v>0</v>
      </c>
      <c r="G44" s="6">
        <f>Исходн.данные.!AJ44</f>
        <v>0</v>
      </c>
      <c r="H44" s="6">
        <f>Исходн.данные.!AK44</f>
        <v>0</v>
      </c>
      <c r="I44" s="9">
        <f>IF($F44=0,0,Расчет2!AO44)</f>
        <v>0</v>
      </c>
      <c r="J44" s="9">
        <f>IF(F44=0,0,Расчет2!AP44)</f>
        <v>0</v>
      </c>
      <c r="K44" s="10">
        <f>IF($F44=0,0,Расчет2!AQ44)</f>
        <v>0</v>
      </c>
      <c r="L44" s="10">
        <f>IF($F44=0,0,Расчет2!AR44)</f>
        <v>0</v>
      </c>
      <c r="M44" s="10">
        <f>IF($F44=0,0,Расчет2!AS44)</f>
        <v>0</v>
      </c>
      <c r="N44" s="10">
        <f>IF($F44=0,0,IF(Исходн.данные.!$AP44="Посл.посева",0,Расчет2!AT44))</f>
        <v>0</v>
      </c>
      <c r="O44" s="10">
        <f>IF($F44=0,0,IF(Исходн.данные.!$AP44="Посл.посева",0,IF(Расчет2!AU44&lt;10,10,Расчет2!AU44)))</f>
        <v>0</v>
      </c>
      <c r="P44" s="10">
        <f>IF($F44=0,0,IF(Исходн.данные.!$AP44="Посл.посева",0,Расчет2!AV44))</f>
        <v>0</v>
      </c>
      <c r="Q44" s="10">
        <f>IF($F44=0,0,Расчет2!AW44)</f>
        <v>0</v>
      </c>
      <c r="R44" s="10">
        <f>IF($F44=0,0,Расчет2!AX44)</f>
        <v>0</v>
      </c>
      <c r="S44" s="9">
        <f>IF($F44=0,0,Расчет2!AY44)</f>
        <v>0</v>
      </c>
      <c r="T44" s="10">
        <f>IF($F44=0,0,Расчет2!AZ44)</f>
        <v>0</v>
      </c>
      <c r="U44" s="10">
        <f>IF($F44=0,0,Расчет2!BA44)</f>
        <v>0</v>
      </c>
      <c r="V44" s="10">
        <f>IF($F44=0,0,Расчет2!BB44)</f>
        <v>0</v>
      </c>
      <c r="W44" s="10">
        <f>Расчет!DL44</f>
        <v>0</v>
      </c>
      <c r="X44" s="10">
        <f>Расчет!DN44</f>
        <v>0</v>
      </c>
      <c r="Y44" s="9">
        <f>X44*Исходн.данные.!$AJ44/1000</f>
        <v>0</v>
      </c>
      <c r="Z44" s="10" t="str">
        <f>Расчет!DO44</f>
        <v>Хлор.калий</v>
      </c>
      <c r="AA44" s="10">
        <f>Расчет!DQ44</f>
        <v>0</v>
      </c>
      <c r="AB44" s="12">
        <f>AA44*Исходн.данные.!$AJ44/1000</f>
        <v>0</v>
      </c>
      <c r="AC44" s="9">
        <f>IF($F44=0,0,Расчет2!BC44)</f>
        <v>0</v>
      </c>
      <c r="AD44" s="10">
        <f>IF($F44=0,0,Расчет2!BD44)</f>
        <v>0</v>
      </c>
      <c r="AE44" s="9">
        <f>IF($F44=0,0,Расчет2!BE44)</f>
        <v>0</v>
      </c>
      <c r="AF44" s="9">
        <f>IF($F44=0,0,Расчет2!BF44)</f>
        <v>0</v>
      </c>
      <c r="AG44" s="9">
        <f>IF($F44=0,0,Расчет2!BG44)</f>
        <v>0</v>
      </c>
      <c r="AI44" s="11" t="e">
        <f>Расчет!FY44</f>
        <v>#N/A</v>
      </c>
      <c r="AJ44" s="11" t="e">
        <f>Расчет!FZ44</f>
        <v>#N/A</v>
      </c>
      <c r="AK44" s="11" t="e">
        <f>Расчет!GA44</f>
        <v>#N/A</v>
      </c>
      <c r="AL44" s="11" t="e">
        <f>Расчет!GB44</f>
        <v>#N/A</v>
      </c>
      <c r="AM44" s="11" t="e">
        <f>Расчет!GC44</f>
        <v>#N/A</v>
      </c>
      <c r="AN44" s="11" t="e">
        <f>Расчет!GD44</f>
        <v>#N/A</v>
      </c>
      <c r="AO44" s="11" t="e">
        <f>Расчет!GE44</f>
        <v>#N/A</v>
      </c>
      <c r="AP44" s="11" t="e">
        <f>Расчет!GF44</f>
        <v>#N/A</v>
      </c>
      <c r="AQ44" s="11" t="e">
        <f>Расчет!GG44</f>
        <v>#N/A</v>
      </c>
      <c r="AR44" s="11" t="e">
        <f>Расчет!GH44</f>
        <v>#N/A</v>
      </c>
      <c r="AS44" s="11" t="e">
        <f>Расчет!GI44</f>
        <v>#N/A</v>
      </c>
      <c r="AT44" s="11" t="e">
        <f>Расчет!GJ44</f>
        <v>#N/A</v>
      </c>
      <c r="AU44" s="198" t="e">
        <f t="shared" si="9"/>
        <v>#N/A</v>
      </c>
      <c r="AV44" s="198" t="e">
        <f t="shared" si="10"/>
        <v>#N/A</v>
      </c>
      <c r="AW44" s="198" t="e">
        <f t="shared" si="11"/>
        <v>#N/A</v>
      </c>
      <c r="AX44" s="11" t="e">
        <f t="shared" si="12"/>
        <v>#N/A</v>
      </c>
      <c r="AY44" s="11" t="e">
        <f t="shared" si="13"/>
        <v>#N/A</v>
      </c>
      <c r="AZ44" s="11" t="e">
        <f t="shared" si="14"/>
        <v>#N/A</v>
      </c>
    </row>
    <row r="45" spans="1:52" x14ac:dyDescent="0.2">
      <c r="A45" s="6">
        <f>Исходн.данные.!A45</f>
        <v>0</v>
      </c>
      <c r="B45" s="6">
        <f>Исходн.данные.!B45</f>
        <v>0</v>
      </c>
      <c r="C45" s="6">
        <f>Исходн.данные.!C45</f>
        <v>0</v>
      </c>
      <c r="D45" s="6">
        <f>Исходн.данные.!D45</f>
        <v>0</v>
      </c>
      <c r="E45" s="6">
        <f>Исходн.данные.!E45</f>
        <v>0</v>
      </c>
      <c r="F45" s="6">
        <f>Исходн.данные.!AH45</f>
        <v>0</v>
      </c>
      <c r="G45" s="6">
        <f>Исходн.данные.!AJ45</f>
        <v>0</v>
      </c>
      <c r="H45" s="6">
        <f>Исходн.данные.!AK45</f>
        <v>0</v>
      </c>
      <c r="I45" s="9">
        <f>IF($F45=0,0,Расчет2!AO45)</f>
        <v>0</v>
      </c>
      <c r="J45" s="9">
        <f>IF(F45=0,0,Расчет2!AP45)</f>
        <v>0</v>
      </c>
      <c r="K45" s="10">
        <f>IF($F45=0,0,Расчет2!AQ45)</f>
        <v>0</v>
      </c>
      <c r="L45" s="10">
        <f>IF($F45=0,0,Расчет2!AR45)</f>
        <v>0</v>
      </c>
      <c r="M45" s="10">
        <f>IF($F45=0,0,Расчет2!AS45)</f>
        <v>0</v>
      </c>
      <c r="N45" s="10">
        <f>IF($F45=0,0,IF(Исходн.данные.!$AP45="Посл.посева",0,Расчет2!AT45))</f>
        <v>0</v>
      </c>
      <c r="O45" s="10">
        <f>IF($F45=0,0,IF(Исходн.данные.!$AP45="Посл.посева",0,IF(Расчет2!AU45&lt;10,10,Расчет2!AU45)))</f>
        <v>0</v>
      </c>
      <c r="P45" s="10">
        <f>IF($F45=0,0,IF(Исходн.данные.!$AP45="Посл.посева",0,Расчет2!AV45))</f>
        <v>0</v>
      </c>
      <c r="Q45" s="10">
        <f>IF($F45=0,0,Расчет2!AW45)</f>
        <v>0</v>
      </c>
      <c r="R45" s="10">
        <f>IF($F45=0,0,Расчет2!AX45)</f>
        <v>0</v>
      </c>
      <c r="S45" s="9">
        <f>IF($F45=0,0,Расчет2!AY45)</f>
        <v>0</v>
      </c>
      <c r="T45" s="10">
        <f>IF($F45=0,0,Расчет2!AZ45)</f>
        <v>0</v>
      </c>
      <c r="U45" s="10">
        <f>IF($F45=0,0,Расчет2!BA45)</f>
        <v>0</v>
      </c>
      <c r="V45" s="10">
        <f>IF($F45=0,0,Расчет2!BB45)</f>
        <v>0</v>
      </c>
      <c r="W45" s="10">
        <f>Расчет!DL45</f>
        <v>0</v>
      </c>
      <c r="X45" s="10">
        <f>Расчет!DN45</f>
        <v>0</v>
      </c>
      <c r="Y45" s="9">
        <f>X45*Исходн.данные.!$AJ45/1000</f>
        <v>0</v>
      </c>
      <c r="Z45" s="10" t="str">
        <f>Расчет!DO45</f>
        <v>Хлор.калий</v>
      </c>
      <c r="AA45" s="10">
        <f>Расчет!DQ45</f>
        <v>0</v>
      </c>
      <c r="AB45" s="12">
        <f>AA45*Исходн.данные.!$AJ45/1000</f>
        <v>0</v>
      </c>
      <c r="AC45" s="9">
        <f>IF($F45=0,0,Расчет2!BC45)</f>
        <v>0</v>
      </c>
      <c r="AD45" s="10">
        <f>IF($F45=0,0,Расчет2!BD45)</f>
        <v>0</v>
      </c>
      <c r="AE45" s="9">
        <f>IF($F45=0,0,Расчет2!BE45)</f>
        <v>0</v>
      </c>
      <c r="AF45" s="9">
        <f>IF($F45=0,0,Расчет2!BF45)</f>
        <v>0</v>
      </c>
      <c r="AG45" s="9">
        <f>IF($F45=0,0,Расчет2!BG45)</f>
        <v>0</v>
      </c>
      <c r="AI45" s="11" t="e">
        <f>Расчет!FY45</f>
        <v>#N/A</v>
      </c>
      <c r="AJ45" s="11" t="e">
        <f>Расчет!FZ45</f>
        <v>#N/A</v>
      </c>
      <c r="AK45" s="11" t="e">
        <f>Расчет!GA45</f>
        <v>#N/A</v>
      </c>
      <c r="AL45" s="11" t="e">
        <f>Расчет!GB45</f>
        <v>#N/A</v>
      </c>
      <c r="AM45" s="11" t="e">
        <f>Расчет!GC45</f>
        <v>#N/A</v>
      </c>
      <c r="AN45" s="11" t="e">
        <f>Расчет!GD45</f>
        <v>#N/A</v>
      </c>
      <c r="AO45" s="11" t="e">
        <f>Расчет!GE45</f>
        <v>#N/A</v>
      </c>
      <c r="AP45" s="11" t="e">
        <f>Расчет!GF45</f>
        <v>#N/A</v>
      </c>
      <c r="AQ45" s="11" t="e">
        <f>Расчет!GG45</f>
        <v>#N/A</v>
      </c>
      <c r="AR45" s="11" t="e">
        <f>Расчет!GH45</f>
        <v>#N/A</v>
      </c>
      <c r="AS45" s="11" t="e">
        <f>Расчет!GI45</f>
        <v>#N/A</v>
      </c>
      <c r="AT45" s="11" t="e">
        <f>Расчет!GJ45</f>
        <v>#N/A</v>
      </c>
      <c r="AU45" s="198" t="e">
        <f t="shared" si="9"/>
        <v>#N/A</v>
      </c>
      <c r="AV45" s="198" t="e">
        <f t="shared" si="10"/>
        <v>#N/A</v>
      </c>
      <c r="AW45" s="198" t="e">
        <f t="shared" si="11"/>
        <v>#N/A</v>
      </c>
      <c r="AX45" s="11" t="e">
        <f t="shared" si="12"/>
        <v>#N/A</v>
      </c>
      <c r="AY45" s="11" t="e">
        <f t="shared" si="13"/>
        <v>#N/A</v>
      </c>
      <c r="AZ45" s="11" t="e">
        <f t="shared" si="14"/>
        <v>#N/A</v>
      </c>
    </row>
    <row r="46" spans="1:52" x14ac:dyDescent="0.2">
      <c r="A46" s="6">
        <f>Исходн.данные.!A46</f>
        <v>0</v>
      </c>
      <c r="B46" s="6">
        <f>Исходн.данные.!B46</f>
        <v>0</v>
      </c>
      <c r="C46" s="6">
        <f>Исходн.данные.!C46</f>
        <v>0</v>
      </c>
      <c r="D46" s="6">
        <f>Исходн.данные.!D46</f>
        <v>0</v>
      </c>
      <c r="E46" s="6">
        <f>Исходн.данные.!E46</f>
        <v>0</v>
      </c>
      <c r="F46" s="6">
        <f>Исходн.данные.!AH46</f>
        <v>0</v>
      </c>
      <c r="G46" s="6">
        <f>Исходн.данные.!AJ46</f>
        <v>0</v>
      </c>
      <c r="H46" s="6">
        <f>Исходн.данные.!AK46</f>
        <v>0</v>
      </c>
      <c r="I46" s="9">
        <f>IF($F46=0,0,Расчет2!AO46)</f>
        <v>0</v>
      </c>
      <c r="J46" s="9">
        <f>IF(F46=0,0,Расчет2!AP46)</f>
        <v>0</v>
      </c>
      <c r="K46" s="10">
        <f>IF($F46=0,0,Расчет2!AQ46)</f>
        <v>0</v>
      </c>
      <c r="L46" s="10">
        <f>IF($F46=0,0,Расчет2!AR46)</f>
        <v>0</v>
      </c>
      <c r="M46" s="10">
        <f>IF($F46=0,0,Расчет2!AS46)</f>
        <v>0</v>
      </c>
      <c r="N46" s="10">
        <f>IF($F46=0,0,IF(Исходн.данные.!$AP46="Посл.посева",0,Расчет2!AT46))</f>
        <v>0</v>
      </c>
      <c r="O46" s="10">
        <f>IF($F46=0,0,IF(Исходн.данные.!$AP46="Посл.посева",0,IF(Расчет2!AU46&lt;10,10,Расчет2!AU46)))</f>
        <v>0</v>
      </c>
      <c r="P46" s="10">
        <f>IF($F46=0,0,IF(Исходн.данные.!$AP46="Посл.посева",0,Расчет2!AV46))</f>
        <v>0</v>
      </c>
      <c r="Q46" s="10">
        <f>IF($F46=0,0,Расчет2!AW46)</f>
        <v>0</v>
      </c>
      <c r="R46" s="10">
        <f>IF($F46=0,0,Расчет2!AX46)</f>
        <v>0</v>
      </c>
      <c r="S46" s="9">
        <f>IF($F46=0,0,Расчет2!AY46)</f>
        <v>0</v>
      </c>
      <c r="T46" s="10">
        <f>IF($F46=0,0,Расчет2!AZ46)</f>
        <v>0</v>
      </c>
      <c r="U46" s="10">
        <f>IF($F46=0,0,Расчет2!BA46)</f>
        <v>0</v>
      </c>
      <c r="V46" s="10">
        <f>IF($F46=0,0,Расчет2!BB46)</f>
        <v>0</v>
      </c>
      <c r="W46" s="10">
        <f>Расчет!DL46</f>
        <v>0</v>
      </c>
      <c r="X46" s="10">
        <f>Расчет!DN46</f>
        <v>0</v>
      </c>
      <c r="Y46" s="9">
        <f>X46*Исходн.данные.!$AJ46/1000</f>
        <v>0</v>
      </c>
      <c r="Z46" s="10" t="str">
        <f>Расчет!DO46</f>
        <v>Хлор.калий</v>
      </c>
      <c r="AA46" s="10">
        <f>Расчет!DQ46</f>
        <v>0</v>
      </c>
      <c r="AB46" s="12">
        <f>AA46*Исходн.данные.!$AJ46/1000</f>
        <v>0</v>
      </c>
      <c r="AC46" s="9">
        <f>IF($F46=0,0,Расчет2!BC46)</f>
        <v>0</v>
      </c>
      <c r="AD46" s="10">
        <f>IF($F46=0,0,Расчет2!BD46)</f>
        <v>0</v>
      </c>
      <c r="AE46" s="9">
        <f>IF($F46=0,0,Расчет2!BE46)</f>
        <v>0</v>
      </c>
      <c r="AF46" s="9">
        <f>IF($F46=0,0,Расчет2!BF46)</f>
        <v>0</v>
      </c>
      <c r="AG46" s="9">
        <f>IF($F46=0,0,Расчет2!BG46)</f>
        <v>0</v>
      </c>
      <c r="AI46" s="11" t="e">
        <f>Расчет!FY46</f>
        <v>#N/A</v>
      </c>
      <c r="AJ46" s="11" t="e">
        <f>Расчет!FZ46</f>
        <v>#N/A</v>
      </c>
      <c r="AK46" s="11" t="e">
        <f>Расчет!GA46</f>
        <v>#N/A</v>
      </c>
      <c r="AL46" s="11" t="e">
        <f>Расчет!GB46</f>
        <v>#N/A</v>
      </c>
      <c r="AM46" s="11" t="e">
        <f>Расчет!GC46</f>
        <v>#N/A</v>
      </c>
      <c r="AN46" s="11" t="e">
        <f>Расчет!GD46</f>
        <v>#N/A</v>
      </c>
      <c r="AO46" s="11" t="e">
        <f>Расчет!GE46</f>
        <v>#N/A</v>
      </c>
      <c r="AP46" s="11" t="e">
        <f>Расчет!GF46</f>
        <v>#N/A</v>
      </c>
      <c r="AQ46" s="11" t="e">
        <f>Расчет!GG46</f>
        <v>#N/A</v>
      </c>
      <c r="AR46" s="11" t="e">
        <f>Расчет!GH46</f>
        <v>#N/A</v>
      </c>
      <c r="AS46" s="11" t="e">
        <f>Расчет!GI46</f>
        <v>#N/A</v>
      </c>
      <c r="AT46" s="11" t="e">
        <f>Расчет!GJ46</f>
        <v>#N/A</v>
      </c>
      <c r="AU46" s="198" t="e">
        <f t="shared" si="9"/>
        <v>#N/A</v>
      </c>
      <c r="AV46" s="198" t="e">
        <f t="shared" si="10"/>
        <v>#N/A</v>
      </c>
      <c r="AW46" s="198" t="e">
        <f t="shared" si="11"/>
        <v>#N/A</v>
      </c>
      <c r="AX46" s="11" t="e">
        <f t="shared" si="12"/>
        <v>#N/A</v>
      </c>
      <c r="AY46" s="11" t="e">
        <f t="shared" si="13"/>
        <v>#N/A</v>
      </c>
      <c r="AZ46" s="11" t="e">
        <f t="shared" si="14"/>
        <v>#N/A</v>
      </c>
    </row>
    <row r="47" spans="1:52" x14ac:dyDescent="0.2">
      <c r="A47" s="6">
        <f>Исходн.данные.!A47</f>
        <v>0</v>
      </c>
      <c r="B47" s="6">
        <f>Исходн.данные.!B47</f>
        <v>0</v>
      </c>
      <c r="C47" s="6">
        <f>Исходн.данные.!C47</f>
        <v>0</v>
      </c>
      <c r="D47" s="6">
        <f>Исходн.данные.!D47</f>
        <v>0</v>
      </c>
      <c r="E47" s="6">
        <f>Исходн.данные.!E47</f>
        <v>0</v>
      </c>
      <c r="F47" s="6">
        <f>Исходн.данные.!AH47</f>
        <v>0</v>
      </c>
      <c r="G47" s="6">
        <f>Исходн.данные.!AJ47</f>
        <v>0</v>
      </c>
      <c r="H47" s="6">
        <f>Исходн.данные.!AK47</f>
        <v>0</v>
      </c>
      <c r="I47" s="9">
        <f>IF($F47=0,0,Расчет2!AO47)</f>
        <v>0</v>
      </c>
      <c r="J47" s="9">
        <f>IF(F47=0,0,Расчет2!AP47)</f>
        <v>0</v>
      </c>
      <c r="K47" s="10">
        <f>IF($F47=0,0,Расчет2!AQ47)</f>
        <v>0</v>
      </c>
      <c r="L47" s="10">
        <f>IF($F47=0,0,Расчет2!AR47)</f>
        <v>0</v>
      </c>
      <c r="M47" s="10">
        <f>IF($F47=0,0,Расчет2!AS47)</f>
        <v>0</v>
      </c>
      <c r="N47" s="10">
        <f>IF($F47=0,0,IF(Исходн.данные.!$AP47="Посл.посева",0,Расчет2!AT47))</f>
        <v>0</v>
      </c>
      <c r="O47" s="10">
        <f>IF($F47=0,0,IF(Исходн.данные.!$AP47="Посл.посева",0,IF(Расчет2!AU47&lt;10,10,Расчет2!AU47)))</f>
        <v>0</v>
      </c>
      <c r="P47" s="10">
        <f>IF($F47=0,0,IF(Исходн.данные.!$AP47="Посл.посева",0,Расчет2!AV47))</f>
        <v>0</v>
      </c>
      <c r="Q47" s="10">
        <f>IF($F47=0,0,Расчет2!AW47)</f>
        <v>0</v>
      </c>
      <c r="R47" s="10">
        <f>IF($F47=0,0,Расчет2!AX47)</f>
        <v>0</v>
      </c>
      <c r="S47" s="9">
        <f>IF($F47=0,0,Расчет2!AY47)</f>
        <v>0</v>
      </c>
      <c r="T47" s="10">
        <f>IF($F47=0,0,Расчет2!AZ47)</f>
        <v>0</v>
      </c>
      <c r="U47" s="10">
        <f>IF($F47=0,0,Расчет2!BA47)</f>
        <v>0</v>
      </c>
      <c r="V47" s="10">
        <f>IF($F47=0,0,Расчет2!BB47)</f>
        <v>0</v>
      </c>
      <c r="W47" s="10">
        <f>Расчет!DL47</f>
        <v>0</v>
      </c>
      <c r="X47" s="10">
        <f>Расчет!DN47</f>
        <v>0</v>
      </c>
      <c r="Y47" s="9">
        <f>X47*Исходн.данные.!$AJ47/1000</f>
        <v>0</v>
      </c>
      <c r="Z47" s="10" t="str">
        <f>Расчет!DO47</f>
        <v>Хлор.калий</v>
      </c>
      <c r="AA47" s="10">
        <f>Расчет!DQ47</f>
        <v>0</v>
      </c>
      <c r="AB47" s="12">
        <f>AA47*Исходн.данные.!$AJ47/1000</f>
        <v>0</v>
      </c>
      <c r="AC47" s="9">
        <f>IF($F47=0,0,Расчет2!BC47)</f>
        <v>0</v>
      </c>
      <c r="AD47" s="10">
        <f>IF($F47=0,0,Расчет2!BD47)</f>
        <v>0</v>
      </c>
      <c r="AE47" s="9">
        <f>IF($F47=0,0,Расчет2!BE47)</f>
        <v>0</v>
      </c>
      <c r="AF47" s="9">
        <f>IF($F47=0,0,Расчет2!BF47)</f>
        <v>0</v>
      </c>
      <c r="AG47" s="9">
        <f>IF($F47=0,0,Расчет2!BG47)</f>
        <v>0</v>
      </c>
      <c r="AI47" s="11" t="e">
        <f>Расчет!FY47</f>
        <v>#N/A</v>
      </c>
      <c r="AJ47" s="11" t="e">
        <f>Расчет!FZ47</f>
        <v>#N/A</v>
      </c>
      <c r="AK47" s="11" t="e">
        <f>Расчет!GA47</f>
        <v>#N/A</v>
      </c>
      <c r="AL47" s="11" t="e">
        <f>Расчет!GB47</f>
        <v>#N/A</v>
      </c>
      <c r="AM47" s="11" t="e">
        <f>Расчет!GC47</f>
        <v>#N/A</v>
      </c>
      <c r="AN47" s="11" t="e">
        <f>Расчет!GD47</f>
        <v>#N/A</v>
      </c>
      <c r="AO47" s="11" t="e">
        <f>Расчет!GE47</f>
        <v>#N/A</v>
      </c>
      <c r="AP47" s="11" t="e">
        <f>Расчет!GF47</f>
        <v>#N/A</v>
      </c>
      <c r="AQ47" s="11" t="e">
        <f>Расчет!GG47</f>
        <v>#N/A</v>
      </c>
      <c r="AR47" s="11" t="e">
        <f>Расчет!GH47</f>
        <v>#N/A</v>
      </c>
      <c r="AS47" s="11" t="e">
        <f>Расчет!GI47</f>
        <v>#N/A</v>
      </c>
      <c r="AT47" s="11" t="e">
        <f>Расчет!GJ47</f>
        <v>#N/A</v>
      </c>
      <c r="AU47" s="198" t="e">
        <f t="shared" si="9"/>
        <v>#N/A</v>
      </c>
      <c r="AV47" s="198" t="e">
        <f t="shared" si="10"/>
        <v>#N/A</v>
      </c>
      <c r="AW47" s="198" t="e">
        <f t="shared" si="11"/>
        <v>#N/A</v>
      </c>
      <c r="AX47" s="11" t="e">
        <f t="shared" si="12"/>
        <v>#N/A</v>
      </c>
      <c r="AY47" s="11" t="e">
        <f t="shared" si="13"/>
        <v>#N/A</v>
      </c>
      <c r="AZ47" s="11" t="e">
        <f t="shared" si="14"/>
        <v>#N/A</v>
      </c>
    </row>
    <row r="48" spans="1:52" x14ac:dyDescent="0.2">
      <c r="A48" s="6">
        <f>Исходн.данные.!A48</f>
        <v>0</v>
      </c>
      <c r="B48" s="6">
        <f>Исходн.данные.!B48</f>
        <v>0</v>
      </c>
      <c r="C48" s="6">
        <f>Исходн.данные.!C48</f>
        <v>0</v>
      </c>
      <c r="D48" s="6">
        <f>Исходн.данные.!D48</f>
        <v>0</v>
      </c>
      <c r="E48" s="6">
        <f>Исходн.данные.!E48</f>
        <v>0</v>
      </c>
      <c r="F48" s="6">
        <f>Исходн.данные.!AH48</f>
        <v>0</v>
      </c>
      <c r="G48" s="6">
        <f>Исходн.данные.!AJ48</f>
        <v>0</v>
      </c>
      <c r="H48" s="6">
        <f>Исходн.данные.!AK48</f>
        <v>0</v>
      </c>
      <c r="I48" s="9">
        <f>IF($F48=0,0,Расчет2!AO48)</f>
        <v>0</v>
      </c>
      <c r="J48" s="9">
        <f>IF(F48=0,0,Расчет2!AP48)</f>
        <v>0</v>
      </c>
      <c r="K48" s="10">
        <f>IF($F48=0,0,Расчет2!AQ48)</f>
        <v>0</v>
      </c>
      <c r="L48" s="10">
        <f>IF($F48=0,0,Расчет2!AR48)</f>
        <v>0</v>
      </c>
      <c r="M48" s="10">
        <f>IF($F48=0,0,Расчет2!AS48)</f>
        <v>0</v>
      </c>
      <c r="N48" s="10">
        <f>IF($F48=0,0,IF(Исходн.данные.!$AP48="Посл.посева",0,Расчет2!AT48))</f>
        <v>0</v>
      </c>
      <c r="O48" s="10">
        <f>IF($F48=0,0,IF(Исходн.данные.!$AP48="Посл.посева",0,IF(Расчет2!AU48&lt;10,10,Расчет2!AU48)))</f>
        <v>0</v>
      </c>
      <c r="P48" s="10">
        <f>IF($F48=0,0,IF(Исходн.данные.!$AP48="Посл.посева",0,Расчет2!AV48))</f>
        <v>0</v>
      </c>
      <c r="Q48" s="10">
        <f>IF($F48=0,0,Расчет2!AW48)</f>
        <v>0</v>
      </c>
      <c r="R48" s="10">
        <f>IF($F48=0,0,Расчет2!AX48)</f>
        <v>0</v>
      </c>
      <c r="S48" s="9">
        <f>IF($F48=0,0,Расчет2!AY48)</f>
        <v>0</v>
      </c>
      <c r="T48" s="10">
        <f>IF($F48=0,0,Расчет2!AZ48)</f>
        <v>0</v>
      </c>
      <c r="U48" s="10">
        <f>IF($F48=0,0,Расчет2!BA48)</f>
        <v>0</v>
      </c>
      <c r="V48" s="10">
        <f>IF($F48=0,0,Расчет2!BB48)</f>
        <v>0</v>
      </c>
      <c r="W48" s="10">
        <f>Расчет!DL48</f>
        <v>0</v>
      </c>
      <c r="X48" s="10">
        <f>Расчет!DN48</f>
        <v>0</v>
      </c>
      <c r="Y48" s="9">
        <f>X48*Исходн.данные.!$AJ48/1000</f>
        <v>0</v>
      </c>
      <c r="Z48" s="10" t="str">
        <f>Расчет!DO48</f>
        <v>Хлор.калий</v>
      </c>
      <c r="AA48" s="10">
        <f>Расчет!DQ48</f>
        <v>0</v>
      </c>
      <c r="AB48" s="12">
        <f>AA48*Исходн.данные.!$AJ48/1000</f>
        <v>0</v>
      </c>
      <c r="AC48" s="9">
        <f>IF($F48=0,0,Расчет2!BC48)</f>
        <v>0</v>
      </c>
      <c r="AD48" s="10">
        <f>IF($F48=0,0,Расчет2!BD48)</f>
        <v>0</v>
      </c>
      <c r="AE48" s="9">
        <f>IF($F48=0,0,Расчет2!BE48)</f>
        <v>0</v>
      </c>
      <c r="AF48" s="9">
        <f>IF($F48=0,0,Расчет2!BF48)</f>
        <v>0</v>
      </c>
      <c r="AG48" s="9">
        <f>IF($F48=0,0,Расчет2!BG48)</f>
        <v>0</v>
      </c>
      <c r="AI48" s="11" t="e">
        <f>Расчет!FY48</f>
        <v>#N/A</v>
      </c>
      <c r="AJ48" s="11" t="e">
        <f>Расчет!FZ48</f>
        <v>#N/A</v>
      </c>
      <c r="AK48" s="11" t="e">
        <f>Расчет!GA48</f>
        <v>#N/A</v>
      </c>
      <c r="AL48" s="11" t="e">
        <f>Расчет!GB48</f>
        <v>#N/A</v>
      </c>
      <c r="AM48" s="11" t="e">
        <f>Расчет!GC48</f>
        <v>#N/A</v>
      </c>
      <c r="AN48" s="11" t="e">
        <f>Расчет!GD48</f>
        <v>#N/A</v>
      </c>
      <c r="AO48" s="11" t="e">
        <f>Расчет!GE48</f>
        <v>#N/A</v>
      </c>
      <c r="AP48" s="11" t="e">
        <f>Расчет!GF48</f>
        <v>#N/A</v>
      </c>
      <c r="AQ48" s="11" t="e">
        <f>Расчет!GG48</f>
        <v>#N/A</v>
      </c>
      <c r="AR48" s="11" t="e">
        <f>Расчет!GH48</f>
        <v>#N/A</v>
      </c>
      <c r="AS48" s="11" t="e">
        <f>Расчет!GI48</f>
        <v>#N/A</v>
      </c>
      <c r="AT48" s="11" t="e">
        <f>Расчет!GJ48</f>
        <v>#N/A</v>
      </c>
      <c r="AU48" s="198" t="e">
        <f t="shared" si="9"/>
        <v>#N/A</v>
      </c>
      <c r="AV48" s="198" t="e">
        <f t="shared" si="10"/>
        <v>#N/A</v>
      </c>
      <c r="AW48" s="198" t="e">
        <f t="shared" si="11"/>
        <v>#N/A</v>
      </c>
      <c r="AX48" s="11" t="e">
        <f t="shared" si="12"/>
        <v>#N/A</v>
      </c>
      <c r="AY48" s="11" t="e">
        <f t="shared" si="13"/>
        <v>#N/A</v>
      </c>
      <c r="AZ48" s="11" t="e">
        <f t="shared" si="14"/>
        <v>#N/A</v>
      </c>
    </row>
    <row r="49" spans="1:52" x14ac:dyDescent="0.2">
      <c r="A49" s="6">
        <f>Исходн.данные.!A49</f>
        <v>0</v>
      </c>
      <c r="B49" s="6">
        <f>Исходн.данные.!B49</f>
        <v>0</v>
      </c>
      <c r="C49" s="6">
        <f>Исходн.данные.!C49</f>
        <v>0</v>
      </c>
      <c r="D49" s="6">
        <f>Исходн.данные.!D49</f>
        <v>0</v>
      </c>
      <c r="E49" s="6">
        <f>Исходн.данные.!E49</f>
        <v>0</v>
      </c>
      <c r="F49" s="6">
        <f>Исходн.данные.!AH49</f>
        <v>0</v>
      </c>
      <c r="G49" s="6">
        <f>Исходн.данные.!AJ49</f>
        <v>0</v>
      </c>
      <c r="H49" s="6">
        <f>Исходн.данные.!AK49</f>
        <v>0</v>
      </c>
      <c r="I49" s="9">
        <f>IF($F49=0,0,Расчет2!AO49)</f>
        <v>0</v>
      </c>
      <c r="J49" s="9">
        <f>IF(F49=0,0,Расчет2!AP49)</f>
        <v>0</v>
      </c>
      <c r="K49" s="10">
        <f>IF($F49=0,0,Расчет2!AQ49)</f>
        <v>0</v>
      </c>
      <c r="L49" s="10">
        <f>IF($F49=0,0,Расчет2!AR49)</f>
        <v>0</v>
      </c>
      <c r="M49" s="10">
        <f>IF($F49=0,0,Расчет2!AS49)</f>
        <v>0</v>
      </c>
      <c r="N49" s="10">
        <f>IF($F49=0,0,IF(Исходн.данные.!$AP49="Посл.посева",0,Расчет2!AT49))</f>
        <v>0</v>
      </c>
      <c r="O49" s="10">
        <f>IF($F49=0,0,IF(Исходн.данные.!$AP49="Посл.посева",0,IF(Расчет2!AU49&lt;10,10,Расчет2!AU49)))</f>
        <v>0</v>
      </c>
      <c r="P49" s="10">
        <f>IF($F49=0,0,IF(Исходн.данные.!$AP49="Посл.посева",0,Расчет2!AV49))</f>
        <v>0</v>
      </c>
      <c r="Q49" s="10">
        <f>IF($F49=0,0,Расчет2!AW49)</f>
        <v>0</v>
      </c>
      <c r="R49" s="10">
        <f>IF($F49=0,0,Расчет2!AX49)</f>
        <v>0</v>
      </c>
      <c r="S49" s="9">
        <f>IF($F49=0,0,Расчет2!AY49)</f>
        <v>0</v>
      </c>
      <c r="T49" s="10">
        <f>IF($F49=0,0,Расчет2!AZ49)</f>
        <v>0</v>
      </c>
      <c r="U49" s="10">
        <f>IF($F49=0,0,Расчет2!BA49)</f>
        <v>0</v>
      </c>
      <c r="V49" s="10">
        <f>IF($F49=0,0,Расчет2!BB49)</f>
        <v>0</v>
      </c>
      <c r="W49" s="10">
        <f>Расчет!DL49</f>
        <v>0</v>
      </c>
      <c r="X49" s="10">
        <f>Расчет!DN49</f>
        <v>0</v>
      </c>
      <c r="Y49" s="9">
        <f>X49*Исходн.данные.!$AJ49/1000</f>
        <v>0</v>
      </c>
      <c r="Z49" s="10" t="str">
        <f>Расчет!DO49</f>
        <v>Хлор.калий</v>
      </c>
      <c r="AA49" s="10">
        <f>Расчет!DQ49</f>
        <v>0</v>
      </c>
      <c r="AB49" s="12">
        <f>AA49*Исходн.данные.!$AJ49/1000</f>
        <v>0</v>
      </c>
      <c r="AC49" s="9">
        <f>IF($F49=0,0,Расчет2!BC49)</f>
        <v>0</v>
      </c>
      <c r="AD49" s="10">
        <f>IF($F49=0,0,Расчет2!BD49)</f>
        <v>0</v>
      </c>
      <c r="AE49" s="9">
        <f>IF($F49=0,0,Расчет2!BE49)</f>
        <v>0</v>
      </c>
      <c r="AF49" s="9">
        <f>IF($F49=0,0,Расчет2!BF49)</f>
        <v>0</v>
      </c>
      <c r="AG49" s="9">
        <f>IF($F49=0,0,Расчет2!BG49)</f>
        <v>0</v>
      </c>
      <c r="AI49" s="11" t="e">
        <f>Расчет!FY49</f>
        <v>#N/A</v>
      </c>
      <c r="AJ49" s="11" t="e">
        <f>Расчет!FZ49</f>
        <v>#N/A</v>
      </c>
      <c r="AK49" s="11" t="e">
        <f>Расчет!GA49</f>
        <v>#N/A</v>
      </c>
      <c r="AL49" s="11" t="e">
        <f>Расчет!GB49</f>
        <v>#N/A</v>
      </c>
      <c r="AM49" s="11" t="e">
        <f>Расчет!GC49</f>
        <v>#N/A</v>
      </c>
      <c r="AN49" s="11" t="e">
        <f>Расчет!GD49</f>
        <v>#N/A</v>
      </c>
      <c r="AO49" s="11" t="e">
        <f>Расчет!GE49</f>
        <v>#N/A</v>
      </c>
      <c r="AP49" s="11" t="e">
        <f>Расчет!GF49</f>
        <v>#N/A</v>
      </c>
      <c r="AQ49" s="11" t="e">
        <f>Расчет!GG49</f>
        <v>#N/A</v>
      </c>
      <c r="AR49" s="11" t="e">
        <f>Расчет!GH49</f>
        <v>#N/A</v>
      </c>
      <c r="AS49" s="11" t="e">
        <f>Расчет!GI49</f>
        <v>#N/A</v>
      </c>
      <c r="AT49" s="11" t="e">
        <f>Расчет!GJ49</f>
        <v>#N/A</v>
      </c>
      <c r="AU49" s="198" t="e">
        <f t="shared" si="9"/>
        <v>#N/A</v>
      </c>
      <c r="AV49" s="198" t="e">
        <f t="shared" si="10"/>
        <v>#N/A</v>
      </c>
      <c r="AW49" s="198" t="e">
        <f t="shared" si="11"/>
        <v>#N/A</v>
      </c>
      <c r="AX49" s="11" t="e">
        <f t="shared" si="12"/>
        <v>#N/A</v>
      </c>
      <c r="AY49" s="11" t="e">
        <f t="shared" si="13"/>
        <v>#N/A</v>
      </c>
      <c r="AZ49" s="11" t="e">
        <f t="shared" si="14"/>
        <v>#N/A</v>
      </c>
    </row>
    <row r="50" spans="1:52" x14ac:dyDescent="0.2">
      <c r="A50" s="6">
        <f>Исходн.данные.!A50</f>
        <v>0</v>
      </c>
      <c r="B50" s="6">
        <f>Исходн.данные.!B50</f>
        <v>0</v>
      </c>
      <c r="C50" s="6">
        <f>Исходн.данные.!C50</f>
        <v>0</v>
      </c>
      <c r="D50" s="6">
        <f>Исходн.данные.!D50</f>
        <v>0</v>
      </c>
      <c r="E50" s="6">
        <f>Исходн.данные.!E50</f>
        <v>0</v>
      </c>
      <c r="F50" s="6">
        <f>Исходн.данные.!AH50</f>
        <v>0</v>
      </c>
      <c r="G50" s="6">
        <f>Исходн.данные.!AJ50</f>
        <v>0</v>
      </c>
      <c r="H50" s="6">
        <f>Исходн.данные.!AK50</f>
        <v>0</v>
      </c>
      <c r="I50" s="9">
        <f>IF($F50=0,0,Расчет2!AO50)</f>
        <v>0</v>
      </c>
      <c r="J50" s="9">
        <f>IF(F50=0,0,Расчет2!AP50)</f>
        <v>0</v>
      </c>
      <c r="K50" s="10">
        <f>IF($F50=0,0,Расчет2!AQ50)</f>
        <v>0</v>
      </c>
      <c r="L50" s="10">
        <f>IF($F50=0,0,Расчет2!AR50)</f>
        <v>0</v>
      </c>
      <c r="M50" s="10">
        <f>IF($F50=0,0,Расчет2!AS50)</f>
        <v>0</v>
      </c>
      <c r="N50" s="10">
        <f>IF($F50=0,0,IF(Исходн.данные.!$AP50="Посл.посева",0,Расчет2!AT50))</f>
        <v>0</v>
      </c>
      <c r="O50" s="10">
        <f>IF($F50=0,0,IF(Исходн.данные.!$AP50="Посл.посева",0,IF(Расчет2!AU50&lt;10,10,Расчет2!AU50)))</f>
        <v>0</v>
      </c>
      <c r="P50" s="10">
        <f>IF($F50=0,0,IF(Исходн.данные.!$AP50="Посл.посева",0,Расчет2!AV50))</f>
        <v>0</v>
      </c>
      <c r="Q50" s="10">
        <f>IF($F50=0,0,Расчет2!AW50)</f>
        <v>0</v>
      </c>
      <c r="R50" s="10">
        <f>IF($F50=0,0,Расчет2!AX50)</f>
        <v>0</v>
      </c>
      <c r="S50" s="9">
        <f>IF($F50=0,0,Расчет2!AY50)</f>
        <v>0</v>
      </c>
      <c r="T50" s="10">
        <f>IF($F50=0,0,Расчет2!AZ50)</f>
        <v>0</v>
      </c>
      <c r="U50" s="10">
        <f>IF($F50=0,0,Расчет2!BA50)</f>
        <v>0</v>
      </c>
      <c r="V50" s="10">
        <f>IF($F50=0,0,Расчет2!BB50)</f>
        <v>0</v>
      </c>
      <c r="W50" s="10">
        <f>Расчет!DL50</f>
        <v>0</v>
      </c>
      <c r="X50" s="10">
        <f>Расчет!DN50</f>
        <v>0</v>
      </c>
      <c r="Y50" s="9">
        <f>X50*Исходн.данные.!$AJ50/1000</f>
        <v>0</v>
      </c>
      <c r="Z50" s="10" t="str">
        <f>Расчет!DO50</f>
        <v>Хлор.калий</v>
      </c>
      <c r="AA50" s="10">
        <f>Расчет!DQ50</f>
        <v>0</v>
      </c>
      <c r="AB50" s="12">
        <f>AA50*Исходн.данные.!$AJ50/1000</f>
        <v>0</v>
      </c>
      <c r="AC50" s="9">
        <f>IF($F50=0,0,Расчет2!BC50)</f>
        <v>0</v>
      </c>
      <c r="AD50" s="10">
        <f>IF($F50=0,0,Расчет2!BD50)</f>
        <v>0</v>
      </c>
      <c r="AE50" s="9">
        <f>IF($F50=0,0,Расчет2!BE50)</f>
        <v>0</v>
      </c>
      <c r="AF50" s="9">
        <f>IF($F50=0,0,Расчет2!BF50)</f>
        <v>0</v>
      </c>
      <c r="AG50" s="9">
        <f>IF($F50=0,0,Расчет2!BG50)</f>
        <v>0</v>
      </c>
      <c r="AI50" s="11" t="e">
        <f>Расчет!FY50</f>
        <v>#N/A</v>
      </c>
      <c r="AJ50" s="11" t="e">
        <f>Расчет!FZ50</f>
        <v>#N/A</v>
      </c>
      <c r="AK50" s="11" t="e">
        <f>Расчет!GA50</f>
        <v>#N/A</v>
      </c>
      <c r="AL50" s="11" t="e">
        <f>Расчет!GB50</f>
        <v>#N/A</v>
      </c>
      <c r="AM50" s="11" t="e">
        <f>Расчет!GC50</f>
        <v>#N/A</v>
      </c>
      <c r="AN50" s="11" t="e">
        <f>Расчет!GD50</f>
        <v>#N/A</v>
      </c>
      <c r="AO50" s="11" t="e">
        <f>Расчет!GE50</f>
        <v>#N/A</v>
      </c>
      <c r="AP50" s="11" t="e">
        <f>Расчет!GF50</f>
        <v>#N/A</v>
      </c>
      <c r="AQ50" s="11" t="e">
        <f>Расчет!GG50</f>
        <v>#N/A</v>
      </c>
      <c r="AR50" s="11" t="e">
        <f>Расчет!GH50</f>
        <v>#N/A</v>
      </c>
      <c r="AS50" s="11" t="e">
        <f>Расчет!GI50</f>
        <v>#N/A</v>
      </c>
      <c r="AT50" s="11" t="e">
        <f>Расчет!GJ50</f>
        <v>#N/A</v>
      </c>
      <c r="AU50" s="198" t="e">
        <f t="shared" si="9"/>
        <v>#N/A</v>
      </c>
      <c r="AV50" s="198" t="e">
        <f t="shared" si="10"/>
        <v>#N/A</v>
      </c>
      <c r="AW50" s="198" t="e">
        <f t="shared" si="11"/>
        <v>#N/A</v>
      </c>
      <c r="AX50" s="11" t="e">
        <f t="shared" si="12"/>
        <v>#N/A</v>
      </c>
      <c r="AY50" s="11" t="e">
        <f t="shared" si="13"/>
        <v>#N/A</v>
      </c>
      <c r="AZ50" s="11" t="e">
        <f t="shared" si="14"/>
        <v>#N/A</v>
      </c>
    </row>
    <row r="51" spans="1:52" x14ac:dyDescent="0.2">
      <c r="A51" s="6">
        <f>Исходн.данные.!A51</f>
        <v>0</v>
      </c>
      <c r="B51" s="6">
        <f>Исходн.данные.!B51</f>
        <v>0</v>
      </c>
      <c r="C51" s="6">
        <f>Исходн.данные.!C51</f>
        <v>0</v>
      </c>
      <c r="D51" s="6">
        <f>Исходн.данные.!D51</f>
        <v>0</v>
      </c>
      <c r="E51" s="6">
        <f>Исходн.данные.!E51</f>
        <v>0</v>
      </c>
      <c r="F51" s="6">
        <f>Исходн.данные.!AH51</f>
        <v>0</v>
      </c>
      <c r="G51" s="6">
        <f>Исходн.данные.!AJ51</f>
        <v>0</v>
      </c>
      <c r="H51" s="6">
        <f>Исходн.данные.!AK51</f>
        <v>0</v>
      </c>
      <c r="I51" s="9">
        <f>IF($F51=0,0,Расчет2!AO51)</f>
        <v>0</v>
      </c>
      <c r="J51" s="9">
        <f>IF(F51=0,0,Расчет2!AP51)</f>
        <v>0</v>
      </c>
      <c r="K51" s="10">
        <f>IF($F51=0,0,Расчет2!AQ51)</f>
        <v>0</v>
      </c>
      <c r="L51" s="10">
        <f>IF($F51=0,0,Расчет2!AR51)</f>
        <v>0</v>
      </c>
      <c r="M51" s="10">
        <f>IF($F51=0,0,Расчет2!AS51)</f>
        <v>0</v>
      </c>
      <c r="N51" s="10">
        <f>IF($F51=0,0,IF(Исходн.данные.!$AP51="Посл.посева",0,Расчет2!AT51))</f>
        <v>0</v>
      </c>
      <c r="O51" s="10">
        <f>IF($F51=0,0,IF(Исходн.данные.!$AP51="Посл.посева",0,IF(Расчет2!AU51&lt;10,10,Расчет2!AU51)))</f>
        <v>0</v>
      </c>
      <c r="P51" s="10">
        <f>IF($F51=0,0,IF(Исходн.данные.!$AP51="Посл.посева",0,Расчет2!AV51))</f>
        <v>0</v>
      </c>
      <c r="Q51" s="10">
        <f>IF($F51=0,0,Расчет2!AW51)</f>
        <v>0</v>
      </c>
      <c r="R51" s="10">
        <f>IF($F51=0,0,Расчет2!AX51)</f>
        <v>0</v>
      </c>
      <c r="S51" s="9">
        <f>IF($F51=0,0,Расчет2!AY51)</f>
        <v>0</v>
      </c>
      <c r="T51" s="10">
        <f>IF($F51=0,0,Расчет2!AZ51)</f>
        <v>0</v>
      </c>
      <c r="U51" s="10">
        <f>IF($F51=0,0,Расчет2!BA51)</f>
        <v>0</v>
      </c>
      <c r="V51" s="10">
        <f>IF($F51=0,0,Расчет2!BB51)</f>
        <v>0</v>
      </c>
      <c r="W51" s="10">
        <f>Расчет!DL51</f>
        <v>0</v>
      </c>
      <c r="X51" s="10">
        <f>Расчет!DN51</f>
        <v>0</v>
      </c>
      <c r="Y51" s="9">
        <f>X51*Исходн.данные.!$AJ51/1000</f>
        <v>0</v>
      </c>
      <c r="Z51" s="10" t="str">
        <f>Расчет!DO51</f>
        <v>Хлор.калий</v>
      </c>
      <c r="AA51" s="10">
        <f>Расчет!DQ51</f>
        <v>0</v>
      </c>
      <c r="AB51" s="12">
        <f>AA51*Исходн.данные.!$AJ51/1000</f>
        <v>0</v>
      </c>
      <c r="AC51" s="9">
        <f>IF($F51=0,0,Расчет2!BC51)</f>
        <v>0</v>
      </c>
      <c r="AD51" s="10">
        <f>IF($F51=0,0,Расчет2!BD51)</f>
        <v>0</v>
      </c>
      <c r="AE51" s="9">
        <f>IF($F51=0,0,Расчет2!BE51)</f>
        <v>0</v>
      </c>
      <c r="AF51" s="9">
        <f>IF($F51=0,0,Расчет2!BF51)</f>
        <v>0</v>
      </c>
      <c r="AG51" s="9">
        <f>IF($F51=0,0,Расчет2!BG51)</f>
        <v>0</v>
      </c>
      <c r="AI51" s="11" t="e">
        <f>Расчет!FY51</f>
        <v>#N/A</v>
      </c>
      <c r="AJ51" s="11" t="e">
        <f>Расчет!FZ51</f>
        <v>#N/A</v>
      </c>
      <c r="AK51" s="11" t="e">
        <f>Расчет!GA51</f>
        <v>#N/A</v>
      </c>
      <c r="AL51" s="11" t="e">
        <f>Расчет!GB51</f>
        <v>#N/A</v>
      </c>
      <c r="AM51" s="11" t="e">
        <f>Расчет!GC51</f>
        <v>#N/A</v>
      </c>
      <c r="AN51" s="11" t="e">
        <f>Расчет!GD51</f>
        <v>#N/A</v>
      </c>
      <c r="AO51" s="11" t="e">
        <f>Расчет!GE51</f>
        <v>#N/A</v>
      </c>
      <c r="AP51" s="11" t="e">
        <f>Расчет!GF51</f>
        <v>#N/A</v>
      </c>
      <c r="AQ51" s="11" t="e">
        <f>Расчет!GG51</f>
        <v>#N/A</v>
      </c>
      <c r="AR51" s="11" t="e">
        <f>Расчет!GH51</f>
        <v>#N/A</v>
      </c>
      <c r="AS51" s="11" t="e">
        <f>Расчет!GI51</f>
        <v>#N/A</v>
      </c>
      <c r="AT51" s="11" t="e">
        <f>Расчет!GJ51</f>
        <v>#N/A</v>
      </c>
      <c r="AU51" s="198" t="e">
        <f t="shared" si="9"/>
        <v>#N/A</v>
      </c>
      <c r="AV51" s="198" t="e">
        <f t="shared" si="10"/>
        <v>#N/A</v>
      </c>
      <c r="AW51" s="198" t="e">
        <f t="shared" si="11"/>
        <v>#N/A</v>
      </c>
      <c r="AX51" s="11" t="e">
        <f t="shared" si="12"/>
        <v>#N/A</v>
      </c>
      <c r="AY51" s="11" t="e">
        <f t="shared" si="13"/>
        <v>#N/A</v>
      </c>
      <c r="AZ51" s="11" t="e">
        <f t="shared" si="14"/>
        <v>#N/A</v>
      </c>
    </row>
    <row r="52" spans="1:52" s="148" customFormat="1" x14ac:dyDescent="0.2">
      <c r="A52" s="127">
        <f>Исходн.данные.!A52</f>
        <v>0</v>
      </c>
      <c r="B52" s="127">
        <f>Исходн.данные.!B52</f>
        <v>0</v>
      </c>
      <c r="C52" s="127">
        <f>Исходн.данные.!C52</f>
        <v>0</v>
      </c>
      <c r="D52" s="127">
        <f>Исходн.данные.!D52</f>
        <v>0</v>
      </c>
      <c r="E52" s="127">
        <f>Исходн.данные.!E52</f>
        <v>0</v>
      </c>
      <c r="F52" s="127">
        <f>Исходн.данные.!AH52</f>
        <v>0</v>
      </c>
      <c r="G52" s="127">
        <f>Исходн.данные.!AJ52</f>
        <v>0</v>
      </c>
      <c r="H52" s="127">
        <f>Исходн.данные.!AK52</f>
        <v>0</v>
      </c>
      <c r="I52" s="181">
        <f>IF($F52=0,0,Расчет2!AO52)</f>
        <v>0</v>
      </c>
      <c r="J52" s="181">
        <f>IF(F52=0,0,Расчет2!AP52)</f>
        <v>0</v>
      </c>
      <c r="K52" s="182">
        <f>IF($F52=0,0,Расчет2!AQ52)</f>
        <v>0</v>
      </c>
      <c r="L52" s="182">
        <f>IF($F52=0,0,Расчет2!AR52)</f>
        <v>0</v>
      </c>
      <c r="M52" s="182">
        <f>IF($F52=0,0,Расчет2!AS52)</f>
        <v>0</v>
      </c>
      <c r="N52" s="182">
        <f>IF($F52=0,0,IF(Исходн.данные.!$AP52="Посл.посева",0,Расчет2!AT52))</f>
        <v>0</v>
      </c>
      <c r="O52" s="182">
        <f>IF($F52=0,0,IF(Исходн.данные.!$AP52="Посл.посева",0,IF(Расчет2!AU52&lt;10,10,Расчет2!AU52)))</f>
        <v>0</v>
      </c>
      <c r="P52" s="182">
        <f>IF($F52=0,0,IF(Исходн.данные.!$AP52="Посл.посева",0,Расчет2!AV52))</f>
        <v>0</v>
      </c>
      <c r="Q52" s="182">
        <f>IF($F52=0,0,Расчет2!AW52)</f>
        <v>0</v>
      </c>
      <c r="R52" s="182">
        <f>IF($F52=0,0,Расчет2!AX52)</f>
        <v>0</v>
      </c>
      <c r="S52" s="181">
        <f>IF($F52=0,0,Расчет2!AY52)</f>
        <v>0</v>
      </c>
      <c r="T52" s="182">
        <f>IF($F52=0,0,Расчет2!AZ52)</f>
        <v>0</v>
      </c>
      <c r="U52" s="182">
        <f>IF($F52=0,0,Расчет2!BA52)</f>
        <v>0</v>
      </c>
      <c r="V52" s="182">
        <f>IF($F52=0,0,Расчет2!BB52)</f>
        <v>0</v>
      </c>
      <c r="W52" s="182">
        <f>Расчет!DL52</f>
        <v>0</v>
      </c>
      <c r="X52" s="182">
        <f>Расчет!DN52</f>
        <v>0</v>
      </c>
      <c r="Y52" s="181">
        <f>X52*Исходн.данные.!$AJ52/1000</f>
        <v>0</v>
      </c>
      <c r="Z52" s="182" t="str">
        <f>Расчет!DO52</f>
        <v>Хлор.калий</v>
      </c>
      <c r="AA52" s="182">
        <f>Расчет!DQ52</f>
        <v>0</v>
      </c>
      <c r="AB52" s="183">
        <f>AA52*Исходн.данные.!$AJ52/1000</f>
        <v>0</v>
      </c>
      <c r="AC52" s="181">
        <f>IF($F52=0,0,Расчет2!BC52)</f>
        <v>0</v>
      </c>
      <c r="AD52" s="182">
        <f>IF($F52=0,0,Расчет2!BD52)</f>
        <v>0</v>
      </c>
      <c r="AE52" s="181">
        <f>IF($F52=0,0,Расчет2!BE52)</f>
        <v>0</v>
      </c>
      <c r="AF52" s="181">
        <f>IF($F52=0,0,Расчет2!BF52)</f>
        <v>0</v>
      </c>
      <c r="AG52" s="181">
        <f>IF($F52=0,0,Расчет2!BG52)</f>
        <v>0</v>
      </c>
      <c r="AI52" s="142" t="e">
        <f>Расчет!FY52</f>
        <v>#N/A</v>
      </c>
      <c r="AJ52" s="142" t="e">
        <f>Расчет!FZ52</f>
        <v>#N/A</v>
      </c>
      <c r="AK52" s="142" t="e">
        <f>Расчет!GA52</f>
        <v>#N/A</v>
      </c>
      <c r="AL52" s="142" t="e">
        <f>Расчет!GB52</f>
        <v>#N/A</v>
      </c>
      <c r="AM52" s="142" t="e">
        <f>Расчет!GC52</f>
        <v>#N/A</v>
      </c>
      <c r="AN52" s="142" t="e">
        <f>Расчет!GD52</f>
        <v>#N/A</v>
      </c>
      <c r="AO52" s="142" t="e">
        <f>Расчет!GE52</f>
        <v>#N/A</v>
      </c>
      <c r="AP52" s="142" t="e">
        <f>Расчет!GF52</f>
        <v>#N/A</v>
      </c>
      <c r="AQ52" s="142" t="e">
        <f>Расчет!GG52</f>
        <v>#N/A</v>
      </c>
      <c r="AR52" s="142" t="e">
        <f>Расчет!GH52</f>
        <v>#N/A</v>
      </c>
      <c r="AS52" s="142" t="e">
        <f>Расчет!GI52</f>
        <v>#N/A</v>
      </c>
      <c r="AT52" s="142" t="e">
        <f>Расчет!GJ52</f>
        <v>#N/A</v>
      </c>
      <c r="AU52" s="198" t="e">
        <f t="shared" si="9"/>
        <v>#N/A</v>
      </c>
      <c r="AV52" s="198" t="e">
        <f t="shared" si="10"/>
        <v>#N/A</v>
      </c>
      <c r="AW52" s="198" t="e">
        <f t="shared" si="11"/>
        <v>#N/A</v>
      </c>
      <c r="AX52" s="142" t="e">
        <f t="shared" si="12"/>
        <v>#N/A</v>
      </c>
      <c r="AY52" s="142" t="e">
        <f t="shared" si="13"/>
        <v>#N/A</v>
      </c>
      <c r="AZ52" s="142" t="e">
        <f t="shared" si="14"/>
        <v>#N/A</v>
      </c>
    </row>
    <row r="53" spans="1:52" x14ac:dyDescent="0.2">
      <c r="A53" s="6">
        <f>Исходн.данные.!A53</f>
        <v>0</v>
      </c>
      <c r="B53" s="6">
        <f>Исходн.данные.!B53</f>
        <v>0</v>
      </c>
      <c r="C53" s="6">
        <f>Исходн.данные.!C53</f>
        <v>0</v>
      </c>
      <c r="D53" s="6">
        <f>Исходн.данные.!D53</f>
        <v>0</v>
      </c>
      <c r="E53" s="6">
        <f>Исходн.данные.!E53</f>
        <v>0</v>
      </c>
      <c r="F53" s="6">
        <f>Исходн.данные.!AH53</f>
        <v>0</v>
      </c>
      <c r="G53" s="6">
        <f>Исходн.данные.!AJ53</f>
        <v>0</v>
      </c>
      <c r="H53" s="6">
        <f>Исходн.данные.!AK53</f>
        <v>0</v>
      </c>
      <c r="I53" s="9">
        <f>IF($F53=0,0,Расчет2!AO53)</f>
        <v>0</v>
      </c>
      <c r="J53" s="9">
        <f>IF(F53=0,0,Расчет2!AP53)</f>
        <v>0</v>
      </c>
      <c r="K53" s="10">
        <f>IF($F53=0,0,Расчет2!AQ53)</f>
        <v>0</v>
      </c>
      <c r="L53" s="10">
        <f>IF($F53=0,0,Расчет2!AR53)</f>
        <v>0</v>
      </c>
      <c r="M53" s="10">
        <f>IF($F53=0,0,Расчет2!AS53)</f>
        <v>0</v>
      </c>
      <c r="N53" s="10">
        <f>IF($F53=0,0,IF(Исходн.данные.!$AP53="Посл.посева",0,Расчет2!AT53))</f>
        <v>0</v>
      </c>
      <c r="O53" s="10">
        <f>IF($F53=0,0,IF(Исходн.данные.!$AP53="Посл.посева",0,IF(Расчет2!AU53&lt;10,10,Расчет2!AU53)))</f>
        <v>0</v>
      </c>
      <c r="P53" s="10">
        <f>IF($F53=0,0,IF(Исходн.данные.!$AP53="Посл.посева",0,Расчет2!AV53))</f>
        <v>0</v>
      </c>
      <c r="Q53" s="10">
        <f>IF($F53=0,0,Расчет2!AW53)</f>
        <v>0</v>
      </c>
      <c r="R53" s="10">
        <f>IF($F53=0,0,Расчет2!AX53)</f>
        <v>0</v>
      </c>
      <c r="S53" s="9">
        <f>IF($F53=0,0,Расчет2!AY53)</f>
        <v>0</v>
      </c>
      <c r="T53" s="10">
        <f>IF($F53=0,0,Расчет2!AZ53)</f>
        <v>0</v>
      </c>
      <c r="U53" s="10">
        <f>IF($F53=0,0,Расчет2!BA53)</f>
        <v>0</v>
      </c>
      <c r="V53" s="10">
        <f>IF($F53=0,0,Расчет2!BB53)</f>
        <v>0</v>
      </c>
      <c r="W53" s="10">
        <f>Расчет!DL53</f>
        <v>0</v>
      </c>
      <c r="X53" s="10">
        <f>Расчет!DN53</f>
        <v>0</v>
      </c>
      <c r="Y53" s="9">
        <f>X53*Исходн.данные.!$AJ53/1000</f>
        <v>0</v>
      </c>
      <c r="Z53" s="10" t="str">
        <f>Расчет!DO53</f>
        <v>Хлор.калий</v>
      </c>
      <c r="AA53" s="10">
        <f>Расчет!DQ53</f>
        <v>0</v>
      </c>
      <c r="AB53" s="12">
        <f>AA53*Исходн.данные.!$AJ53/1000</f>
        <v>0</v>
      </c>
      <c r="AC53" s="9">
        <f>IF($F53=0,0,Расчет2!BC53)</f>
        <v>0</v>
      </c>
      <c r="AD53" s="10">
        <f>IF($F53=0,0,Расчет2!BD53)</f>
        <v>0</v>
      </c>
      <c r="AE53" s="9">
        <f>IF($F53=0,0,Расчет2!BE53)</f>
        <v>0</v>
      </c>
      <c r="AF53" s="9">
        <f>IF($F53=0,0,Расчет2!BF53)</f>
        <v>0</v>
      </c>
      <c r="AG53" s="9">
        <f>IF($F53=0,0,Расчет2!BG53)</f>
        <v>0</v>
      </c>
      <c r="AI53" s="11" t="e">
        <f>Расчет!FY53</f>
        <v>#N/A</v>
      </c>
      <c r="AJ53" s="11" t="e">
        <f>Расчет!FZ53</f>
        <v>#N/A</v>
      </c>
      <c r="AK53" s="11" t="e">
        <f>Расчет!GA53</f>
        <v>#N/A</v>
      </c>
      <c r="AL53" s="11" t="e">
        <f>Расчет!GB53</f>
        <v>#N/A</v>
      </c>
      <c r="AM53" s="11" t="e">
        <f>Расчет!GC53</f>
        <v>#N/A</v>
      </c>
      <c r="AN53" s="11" t="e">
        <f>Расчет!GD53</f>
        <v>#N/A</v>
      </c>
      <c r="AO53" s="11" t="e">
        <f>Расчет!GE53</f>
        <v>#N/A</v>
      </c>
      <c r="AP53" s="11" t="e">
        <f>Расчет!GF53</f>
        <v>#N/A</v>
      </c>
      <c r="AQ53" s="11" t="e">
        <f>Расчет!GG53</f>
        <v>#N/A</v>
      </c>
      <c r="AR53" s="11" t="e">
        <f>Расчет!GH53</f>
        <v>#N/A</v>
      </c>
      <c r="AS53" s="11" t="e">
        <f>Расчет!GI53</f>
        <v>#N/A</v>
      </c>
      <c r="AT53" s="11" t="e">
        <f>Расчет!GJ53</f>
        <v>#N/A</v>
      </c>
      <c r="AU53" s="198" t="e">
        <f t="shared" si="9"/>
        <v>#N/A</v>
      </c>
      <c r="AV53" s="198" t="e">
        <f t="shared" si="10"/>
        <v>#N/A</v>
      </c>
      <c r="AW53" s="198" t="e">
        <f t="shared" si="11"/>
        <v>#N/A</v>
      </c>
      <c r="AX53" s="11" t="e">
        <f t="shared" si="12"/>
        <v>#N/A</v>
      </c>
      <c r="AY53" s="11" t="e">
        <f t="shared" si="13"/>
        <v>#N/A</v>
      </c>
      <c r="AZ53" s="11" t="e">
        <f t="shared" si="14"/>
        <v>#N/A</v>
      </c>
    </row>
    <row r="54" spans="1:52" x14ac:dyDescent="0.2">
      <c r="A54" s="6">
        <f>Исходн.данные.!A54</f>
        <v>0</v>
      </c>
      <c r="B54" s="6">
        <f>Исходн.данные.!B54</f>
        <v>0</v>
      </c>
      <c r="C54" s="6">
        <f>Исходн.данные.!C54</f>
        <v>0</v>
      </c>
      <c r="D54" s="6">
        <f>Исходн.данные.!D54</f>
        <v>0</v>
      </c>
      <c r="E54" s="6">
        <f>Исходн.данные.!E54</f>
        <v>0</v>
      </c>
      <c r="F54" s="6">
        <f>Исходн.данные.!AH54</f>
        <v>0</v>
      </c>
      <c r="G54" s="6">
        <f>Исходн.данные.!AJ54</f>
        <v>0</v>
      </c>
      <c r="H54" s="6">
        <f>Исходн.данные.!AK54</f>
        <v>0</v>
      </c>
      <c r="I54" s="9">
        <f>IF($F54=0,0,Расчет2!AO54)</f>
        <v>0</v>
      </c>
      <c r="J54" s="9">
        <f>IF(F54=0,0,Расчет2!AP54)</f>
        <v>0</v>
      </c>
      <c r="K54" s="10">
        <f>IF($F54=0,0,Расчет2!AQ54)</f>
        <v>0</v>
      </c>
      <c r="L54" s="10">
        <f>IF($F54=0,0,Расчет2!AR54)</f>
        <v>0</v>
      </c>
      <c r="M54" s="10">
        <f>IF($F54=0,0,Расчет2!AS54)</f>
        <v>0</v>
      </c>
      <c r="N54" s="10">
        <f>IF($F54=0,0,IF(Исходн.данные.!$AP54="Посл.посева",0,Расчет2!AT54))</f>
        <v>0</v>
      </c>
      <c r="O54" s="10">
        <f>IF($F54=0,0,IF(Исходн.данные.!$AP54="Посл.посева",0,IF(Расчет2!AU54&lt;10,10,Расчет2!AU54)))</f>
        <v>0</v>
      </c>
      <c r="P54" s="10">
        <f>IF($F54=0,0,IF(Исходн.данные.!$AP54="Посл.посева",0,Расчет2!AV54))</f>
        <v>0</v>
      </c>
      <c r="Q54" s="10">
        <f>IF($F54=0,0,Расчет2!AW54)</f>
        <v>0</v>
      </c>
      <c r="R54" s="10">
        <f>IF($F54=0,0,Расчет2!AX54)</f>
        <v>0</v>
      </c>
      <c r="S54" s="9">
        <f>IF($F54=0,0,Расчет2!AY54)</f>
        <v>0</v>
      </c>
      <c r="T54" s="10">
        <f>IF($F54=0,0,Расчет2!AZ54)</f>
        <v>0</v>
      </c>
      <c r="U54" s="10">
        <f>IF($F54=0,0,Расчет2!BA54)</f>
        <v>0</v>
      </c>
      <c r="V54" s="10">
        <f>IF($F54=0,0,Расчет2!BB54)</f>
        <v>0</v>
      </c>
      <c r="W54" s="10">
        <f>Расчет!DL54</f>
        <v>0</v>
      </c>
      <c r="X54" s="10">
        <f>Расчет!DN54</f>
        <v>0</v>
      </c>
      <c r="Y54" s="9">
        <f>X54*Исходн.данные.!$AJ54/1000</f>
        <v>0</v>
      </c>
      <c r="Z54" s="10" t="str">
        <f>Расчет!DO54</f>
        <v>Хлор.калий</v>
      </c>
      <c r="AA54" s="10">
        <f>Расчет!DQ54</f>
        <v>0</v>
      </c>
      <c r="AB54" s="12">
        <f>AA54*Исходн.данные.!$AJ54/1000</f>
        <v>0</v>
      </c>
      <c r="AC54" s="9">
        <f>IF($F54=0,0,Расчет2!BC54)</f>
        <v>0</v>
      </c>
      <c r="AD54" s="10">
        <f>IF($F54=0,0,Расчет2!BD54)</f>
        <v>0</v>
      </c>
      <c r="AE54" s="9">
        <f>IF($F54=0,0,Расчет2!BE54)</f>
        <v>0</v>
      </c>
      <c r="AF54" s="9">
        <f>IF($F54=0,0,Расчет2!BF54)</f>
        <v>0</v>
      </c>
      <c r="AG54" s="9">
        <f>IF($F54=0,0,Расчет2!BG54)</f>
        <v>0</v>
      </c>
      <c r="AI54" s="11" t="e">
        <f>Расчет!FY54</f>
        <v>#N/A</v>
      </c>
      <c r="AJ54" s="11" t="e">
        <f>Расчет!FZ54</f>
        <v>#N/A</v>
      </c>
      <c r="AK54" s="11" t="e">
        <f>Расчет!GA54</f>
        <v>#N/A</v>
      </c>
      <c r="AL54" s="11" t="e">
        <f>Расчет!GB54</f>
        <v>#N/A</v>
      </c>
      <c r="AM54" s="11" t="e">
        <f>Расчет!GC54</f>
        <v>#N/A</v>
      </c>
      <c r="AN54" s="11" t="e">
        <f>Расчет!GD54</f>
        <v>#N/A</v>
      </c>
      <c r="AO54" s="11" t="e">
        <f>Расчет!GE54</f>
        <v>#N/A</v>
      </c>
      <c r="AP54" s="11" t="e">
        <f>Расчет!GF54</f>
        <v>#N/A</v>
      </c>
      <c r="AQ54" s="11" t="e">
        <f>Расчет!GG54</f>
        <v>#N/A</v>
      </c>
      <c r="AR54" s="11" t="e">
        <f>Расчет!GH54</f>
        <v>#N/A</v>
      </c>
      <c r="AS54" s="11" t="e">
        <f>Расчет!GI54</f>
        <v>#N/A</v>
      </c>
      <c r="AT54" s="11" t="e">
        <f>Расчет!GJ54</f>
        <v>#N/A</v>
      </c>
      <c r="AU54" s="198" t="e">
        <f t="shared" si="9"/>
        <v>#N/A</v>
      </c>
      <c r="AV54" s="198" t="e">
        <f t="shared" si="10"/>
        <v>#N/A</v>
      </c>
      <c r="AW54" s="198" t="e">
        <f t="shared" si="11"/>
        <v>#N/A</v>
      </c>
      <c r="AX54" s="11" t="e">
        <f t="shared" si="12"/>
        <v>#N/A</v>
      </c>
      <c r="AY54" s="11" t="e">
        <f t="shared" si="13"/>
        <v>#N/A</v>
      </c>
      <c r="AZ54" s="11" t="e">
        <f t="shared" si="14"/>
        <v>#N/A</v>
      </c>
    </row>
    <row r="55" spans="1:52" x14ac:dyDescent="0.2">
      <c r="A55" s="6">
        <f>Исходн.данные.!A55</f>
        <v>0</v>
      </c>
      <c r="B55" s="6">
        <f>Исходн.данные.!B55</f>
        <v>0</v>
      </c>
      <c r="C55" s="6">
        <f>Исходн.данные.!C55</f>
        <v>0</v>
      </c>
      <c r="D55" s="6">
        <f>Исходн.данные.!D55</f>
        <v>0</v>
      </c>
      <c r="E55" s="6">
        <f>Исходн.данные.!E55</f>
        <v>0</v>
      </c>
      <c r="F55" s="6">
        <f>Исходн.данные.!AH55</f>
        <v>0</v>
      </c>
      <c r="G55" s="6">
        <f>Исходн.данные.!AJ55</f>
        <v>0</v>
      </c>
      <c r="H55" s="6">
        <f>Исходн.данные.!AK55</f>
        <v>0</v>
      </c>
      <c r="I55" s="9">
        <f>IF($F55=0,0,Расчет2!AO55)</f>
        <v>0</v>
      </c>
      <c r="J55" s="9">
        <f>IF(F55=0,0,Расчет2!AP55)</f>
        <v>0</v>
      </c>
      <c r="K55" s="10">
        <f>IF($F55=0,0,Расчет2!AQ55)</f>
        <v>0</v>
      </c>
      <c r="L55" s="10">
        <f>IF($F55=0,0,Расчет2!AR55)</f>
        <v>0</v>
      </c>
      <c r="M55" s="10">
        <f>IF($F55=0,0,Расчет2!AS55)</f>
        <v>0</v>
      </c>
      <c r="N55" s="10">
        <f>IF($F55=0,0,IF(Исходн.данные.!$AP55="Посл.посева",0,Расчет2!AT55))</f>
        <v>0</v>
      </c>
      <c r="O55" s="10">
        <f>IF($F55=0,0,IF(Исходн.данные.!$AP55="Посл.посева",0,IF(Расчет2!AU55&lt;10,10,Расчет2!AU55)))</f>
        <v>0</v>
      </c>
      <c r="P55" s="10">
        <f>IF($F55=0,0,IF(Исходн.данные.!$AP55="Посл.посева",0,Расчет2!AV55))</f>
        <v>0</v>
      </c>
      <c r="Q55" s="10">
        <f>IF($F55=0,0,Расчет2!AW55)</f>
        <v>0</v>
      </c>
      <c r="R55" s="10">
        <f>IF($F55=0,0,Расчет2!AX55)</f>
        <v>0</v>
      </c>
      <c r="S55" s="9">
        <f>IF($F55=0,0,Расчет2!AY55)</f>
        <v>0</v>
      </c>
      <c r="T55" s="10">
        <f>IF($F55=0,0,Расчет2!AZ55)</f>
        <v>0</v>
      </c>
      <c r="U55" s="10">
        <f>IF($F55=0,0,Расчет2!BA55)</f>
        <v>0</v>
      </c>
      <c r="V55" s="10">
        <f>IF($F55=0,0,Расчет2!BB55)</f>
        <v>0</v>
      </c>
      <c r="W55" s="10">
        <f>Расчет!DL55</f>
        <v>0</v>
      </c>
      <c r="X55" s="10">
        <f>Расчет!DN55</f>
        <v>0</v>
      </c>
      <c r="Y55" s="9">
        <f>X55*Исходн.данные.!$AJ55/1000</f>
        <v>0</v>
      </c>
      <c r="Z55" s="10" t="str">
        <f>Расчет!DO55</f>
        <v>Хлор.калий</v>
      </c>
      <c r="AA55" s="10">
        <f>Расчет!DQ55</f>
        <v>0</v>
      </c>
      <c r="AB55" s="12">
        <f>AA55*Исходн.данные.!$AJ55/1000</f>
        <v>0</v>
      </c>
      <c r="AC55" s="9">
        <f>IF($F55=0,0,Расчет2!BC55)</f>
        <v>0</v>
      </c>
      <c r="AD55" s="10">
        <f>IF($F55=0,0,Расчет2!BD55)</f>
        <v>0</v>
      </c>
      <c r="AE55" s="9">
        <f>IF($F55=0,0,Расчет2!BE55)</f>
        <v>0</v>
      </c>
      <c r="AF55" s="9">
        <f>IF($F55=0,0,Расчет2!BF55)</f>
        <v>0</v>
      </c>
      <c r="AG55" s="9">
        <f>IF($F55=0,0,Расчет2!BG55)</f>
        <v>0</v>
      </c>
      <c r="AI55" s="11" t="e">
        <f>Расчет!FY55</f>
        <v>#N/A</v>
      </c>
      <c r="AJ55" s="11" t="e">
        <f>Расчет!FZ55</f>
        <v>#N/A</v>
      </c>
      <c r="AK55" s="11" t="e">
        <f>Расчет!GA55</f>
        <v>#N/A</v>
      </c>
      <c r="AL55" s="11" t="e">
        <f>Расчет!GB55</f>
        <v>#N/A</v>
      </c>
      <c r="AM55" s="11" t="e">
        <f>Расчет!GC55</f>
        <v>#N/A</v>
      </c>
      <c r="AN55" s="11" t="e">
        <f>Расчет!GD55</f>
        <v>#N/A</v>
      </c>
      <c r="AO55" s="11" t="e">
        <f>Расчет!GE55</f>
        <v>#N/A</v>
      </c>
      <c r="AP55" s="11" t="e">
        <f>Расчет!GF55</f>
        <v>#N/A</v>
      </c>
      <c r="AQ55" s="11" t="e">
        <f>Расчет!GG55</f>
        <v>#N/A</v>
      </c>
      <c r="AR55" s="11" t="e">
        <f>Расчет!GH55</f>
        <v>#N/A</v>
      </c>
      <c r="AS55" s="11" t="e">
        <f>Расчет!GI55</f>
        <v>#N/A</v>
      </c>
      <c r="AT55" s="11" t="e">
        <f>Расчет!GJ55</f>
        <v>#N/A</v>
      </c>
      <c r="AU55" s="198" t="e">
        <f t="shared" si="9"/>
        <v>#N/A</v>
      </c>
      <c r="AV55" s="198" t="e">
        <f t="shared" si="10"/>
        <v>#N/A</v>
      </c>
      <c r="AW55" s="198" t="e">
        <f t="shared" si="11"/>
        <v>#N/A</v>
      </c>
      <c r="AX55" s="11" t="e">
        <f t="shared" si="12"/>
        <v>#N/A</v>
      </c>
      <c r="AY55" s="11" t="e">
        <f t="shared" si="13"/>
        <v>#N/A</v>
      </c>
      <c r="AZ55" s="11" t="e">
        <f t="shared" si="14"/>
        <v>#N/A</v>
      </c>
    </row>
    <row r="56" spans="1:52" x14ac:dyDescent="0.2">
      <c r="A56" s="6">
        <f>Исходн.данные.!A56</f>
        <v>0</v>
      </c>
      <c r="B56" s="6">
        <f>Исходн.данные.!B56</f>
        <v>0</v>
      </c>
      <c r="C56" s="6">
        <f>Исходн.данные.!C56</f>
        <v>0</v>
      </c>
      <c r="D56" s="6">
        <f>Исходн.данные.!D56</f>
        <v>0</v>
      </c>
      <c r="E56" s="6">
        <f>Исходн.данные.!E56</f>
        <v>0</v>
      </c>
      <c r="F56" s="6">
        <f>Исходн.данные.!AH56</f>
        <v>0</v>
      </c>
      <c r="G56" s="6">
        <f>Исходн.данные.!AJ56</f>
        <v>0</v>
      </c>
      <c r="H56" s="6">
        <f>Исходн.данные.!AK56</f>
        <v>0</v>
      </c>
      <c r="I56" s="9">
        <f>IF($F56=0,0,Расчет2!AO56)</f>
        <v>0</v>
      </c>
      <c r="J56" s="9">
        <f>IF(F56=0,0,Расчет2!AP56)</f>
        <v>0</v>
      </c>
      <c r="K56" s="10">
        <f>IF($F56=0,0,Расчет2!AQ56)</f>
        <v>0</v>
      </c>
      <c r="L56" s="10">
        <f>IF($F56=0,0,Расчет2!AR56)</f>
        <v>0</v>
      </c>
      <c r="M56" s="10">
        <f>IF($F56=0,0,Расчет2!AS56)</f>
        <v>0</v>
      </c>
      <c r="N56" s="10">
        <f>IF($F56=0,0,IF(Исходн.данные.!$AP56="Посл.посева",0,Расчет2!AT56))</f>
        <v>0</v>
      </c>
      <c r="O56" s="10">
        <f>IF($F56=0,0,IF(Исходн.данные.!$AP56="Посл.посева",0,IF(Расчет2!AU56&lt;10,10,Расчет2!AU56)))</f>
        <v>0</v>
      </c>
      <c r="P56" s="10">
        <f>IF($F56=0,0,IF(Исходн.данные.!$AP56="Посл.посева",0,Расчет2!AV56))</f>
        <v>0</v>
      </c>
      <c r="Q56" s="10">
        <f>IF($F56=0,0,Расчет2!AW56)</f>
        <v>0</v>
      </c>
      <c r="R56" s="10">
        <f>IF($F56=0,0,Расчет2!AX56)</f>
        <v>0</v>
      </c>
      <c r="S56" s="9">
        <f>IF($F56=0,0,Расчет2!AY56)</f>
        <v>0</v>
      </c>
      <c r="T56" s="10">
        <f>IF($F56=0,0,Расчет2!AZ56)</f>
        <v>0</v>
      </c>
      <c r="U56" s="10">
        <f>IF($F56=0,0,Расчет2!BA56)</f>
        <v>0</v>
      </c>
      <c r="V56" s="10">
        <f>IF($F56=0,0,Расчет2!BB56)</f>
        <v>0</v>
      </c>
      <c r="W56" s="10">
        <f>Расчет!DL56</f>
        <v>0</v>
      </c>
      <c r="X56" s="10">
        <f>Расчет!DN56</f>
        <v>0</v>
      </c>
      <c r="Y56" s="9">
        <f>X56*Исходн.данные.!$AJ56/1000</f>
        <v>0</v>
      </c>
      <c r="Z56" s="10" t="str">
        <f>Расчет!DO56</f>
        <v>Хлор.калий</v>
      </c>
      <c r="AA56" s="10">
        <f>Расчет!DQ56</f>
        <v>0</v>
      </c>
      <c r="AB56" s="12">
        <f>AA56*Исходн.данные.!$AJ56/1000</f>
        <v>0</v>
      </c>
      <c r="AC56" s="9">
        <f>IF($F56=0,0,Расчет2!BC56)</f>
        <v>0</v>
      </c>
      <c r="AD56" s="10">
        <f>IF($F56=0,0,Расчет2!BD56)</f>
        <v>0</v>
      </c>
      <c r="AE56" s="9">
        <f>IF($F56=0,0,Расчет2!BE56)</f>
        <v>0</v>
      </c>
      <c r="AF56" s="9">
        <f>IF($F56=0,0,Расчет2!BF56)</f>
        <v>0</v>
      </c>
      <c r="AG56" s="9">
        <f>IF($F56=0,0,Расчет2!BG56)</f>
        <v>0</v>
      </c>
      <c r="AI56" s="11" t="e">
        <f>Расчет!FY56</f>
        <v>#N/A</v>
      </c>
      <c r="AJ56" s="11" t="e">
        <f>Расчет!FZ56</f>
        <v>#N/A</v>
      </c>
      <c r="AK56" s="11" t="e">
        <f>Расчет!GA56</f>
        <v>#N/A</v>
      </c>
      <c r="AL56" s="11" t="e">
        <f>Расчет!GB56</f>
        <v>#N/A</v>
      </c>
      <c r="AM56" s="11" t="e">
        <f>Расчет!GC56</f>
        <v>#N/A</v>
      </c>
      <c r="AN56" s="11" t="e">
        <f>Расчет!GD56</f>
        <v>#N/A</v>
      </c>
      <c r="AO56" s="11" t="e">
        <f>Расчет!GE56</f>
        <v>#N/A</v>
      </c>
      <c r="AP56" s="11" t="e">
        <f>Расчет!GF56</f>
        <v>#N/A</v>
      </c>
      <c r="AQ56" s="11" t="e">
        <f>Расчет!GG56</f>
        <v>#N/A</v>
      </c>
      <c r="AR56" s="11" t="e">
        <f>Расчет!GH56</f>
        <v>#N/A</v>
      </c>
      <c r="AS56" s="11" t="e">
        <f>Расчет!GI56</f>
        <v>#N/A</v>
      </c>
      <c r="AT56" s="11" t="e">
        <f>Расчет!GJ56</f>
        <v>#N/A</v>
      </c>
      <c r="AU56" s="198" t="e">
        <f t="shared" si="9"/>
        <v>#N/A</v>
      </c>
      <c r="AV56" s="198" t="e">
        <f t="shared" si="10"/>
        <v>#N/A</v>
      </c>
      <c r="AW56" s="198" t="e">
        <f t="shared" si="11"/>
        <v>#N/A</v>
      </c>
      <c r="AX56" s="11" t="e">
        <f t="shared" si="12"/>
        <v>#N/A</v>
      </c>
      <c r="AY56" s="11" t="e">
        <f t="shared" si="13"/>
        <v>#N/A</v>
      </c>
      <c r="AZ56" s="11" t="e">
        <f t="shared" si="14"/>
        <v>#N/A</v>
      </c>
    </row>
    <row r="57" spans="1:52" x14ac:dyDescent="0.2">
      <c r="A57" s="6">
        <f>Исходн.данные.!A57</f>
        <v>0</v>
      </c>
      <c r="B57" s="6">
        <f>Исходн.данные.!B57</f>
        <v>0</v>
      </c>
      <c r="C57" s="6">
        <f>Исходн.данные.!C57</f>
        <v>0</v>
      </c>
      <c r="D57" s="6">
        <f>Исходн.данные.!D57</f>
        <v>0</v>
      </c>
      <c r="E57" s="6">
        <f>Исходн.данные.!E57</f>
        <v>0</v>
      </c>
      <c r="F57" s="6">
        <f>Исходн.данные.!AH57</f>
        <v>0</v>
      </c>
      <c r="G57" s="6">
        <f>Исходн.данные.!AJ57</f>
        <v>0</v>
      </c>
      <c r="H57" s="6">
        <f>Исходн.данные.!AK57</f>
        <v>0</v>
      </c>
      <c r="I57" s="9">
        <f>IF($F57=0,0,Расчет2!AO57)</f>
        <v>0</v>
      </c>
      <c r="J57" s="9">
        <f>IF(F57=0,0,Расчет2!AP57)</f>
        <v>0</v>
      </c>
      <c r="K57" s="10">
        <f>IF($F57=0,0,Расчет2!AQ57)</f>
        <v>0</v>
      </c>
      <c r="L57" s="10">
        <f>IF($F57=0,0,Расчет2!AR57)</f>
        <v>0</v>
      </c>
      <c r="M57" s="10">
        <f>IF($F57=0,0,Расчет2!AS57)</f>
        <v>0</v>
      </c>
      <c r="N57" s="10">
        <f>IF($F57=0,0,IF(Исходн.данные.!$AP57="Посл.посева",0,Расчет2!AT57))</f>
        <v>0</v>
      </c>
      <c r="O57" s="10">
        <f>IF($F57=0,0,IF(Исходн.данные.!$AP57="Посл.посева",0,IF(Расчет2!AU57&lt;10,10,Расчет2!AU57)))</f>
        <v>0</v>
      </c>
      <c r="P57" s="10">
        <f>IF($F57=0,0,IF(Исходн.данные.!$AP57="Посл.посева",0,Расчет2!AV57))</f>
        <v>0</v>
      </c>
      <c r="Q57" s="10">
        <f>IF($F57=0,0,Расчет2!AW57)</f>
        <v>0</v>
      </c>
      <c r="R57" s="10">
        <f>IF($F57=0,0,Расчет2!AX57)</f>
        <v>0</v>
      </c>
      <c r="S57" s="9">
        <f>IF($F57=0,0,Расчет2!AY57)</f>
        <v>0</v>
      </c>
      <c r="T57" s="10">
        <f>IF($F57=0,0,Расчет2!AZ57)</f>
        <v>0</v>
      </c>
      <c r="U57" s="10">
        <f>IF($F57=0,0,Расчет2!BA57)</f>
        <v>0</v>
      </c>
      <c r="V57" s="10">
        <f>IF($F57=0,0,Расчет2!BB57)</f>
        <v>0</v>
      </c>
      <c r="W57" s="10">
        <f>Расчет!DL57</f>
        <v>0</v>
      </c>
      <c r="X57" s="10">
        <f>Расчет!DN57</f>
        <v>0</v>
      </c>
      <c r="Y57" s="9">
        <f>X57*Исходн.данные.!$AJ57/1000</f>
        <v>0</v>
      </c>
      <c r="Z57" s="10" t="str">
        <f>Расчет!DO57</f>
        <v>Хлор.калий</v>
      </c>
      <c r="AA57" s="10">
        <f>Расчет!DQ57</f>
        <v>0</v>
      </c>
      <c r="AB57" s="12">
        <f>AA57*Исходн.данные.!$AJ57/1000</f>
        <v>0</v>
      </c>
      <c r="AC57" s="9">
        <f>IF($F57=0,0,Расчет2!BC57)</f>
        <v>0</v>
      </c>
      <c r="AD57" s="10">
        <f>IF($F57=0,0,Расчет2!BD57)</f>
        <v>0</v>
      </c>
      <c r="AE57" s="9">
        <f>IF($F57=0,0,Расчет2!BE57)</f>
        <v>0</v>
      </c>
      <c r="AF57" s="9">
        <f>IF($F57=0,0,Расчет2!BF57)</f>
        <v>0</v>
      </c>
      <c r="AG57" s="9">
        <f>IF($F57=0,0,Расчет2!BG57)</f>
        <v>0</v>
      </c>
      <c r="AI57" s="11" t="e">
        <f>Расчет!FY57</f>
        <v>#N/A</v>
      </c>
      <c r="AJ57" s="11" t="e">
        <f>Расчет!FZ57</f>
        <v>#N/A</v>
      </c>
      <c r="AK57" s="11" t="e">
        <f>Расчет!GA57</f>
        <v>#N/A</v>
      </c>
      <c r="AL57" s="11" t="e">
        <f>Расчет!GB57</f>
        <v>#N/A</v>
      </c>
      <c r="AM57" s="11" t="e">
        <f>Расчет!GC57</f>
        <v>#N/A</v>
      </c>
      <c r="AN57" s="11" t="e">
        <f>Расчет!GD57</f>
        <v>#N/A</v>
      </c>
      <c r="AO57" s="11" t="e">
        <f>Расчет!GE57</f>
        <v>#N/A</v>
      </c>
      <c r="AP57" s="11" t="e">
        <f>Расчет!GF57</f>
        <v>#N/A</v>
      </c>
      <c r="AQ57" s="11" t="e">
        <f>Расчет!GG57</f>
        <v>#N/A</v>
      </c>
      <c r="AR57" s="11" t="e">
        <f>Расчет!GH57</f>
        <v>#N/A</v>
      </c>
      <c r="AS57" s="11" t="e">
        <f>Расчет!GI57</f>
        <v>#N/A</v>
      </c>
      <c r="AT57" s="11" t="e">
        <f>Расчет!GJ57</f>
        <v>#N/A</v>
      </c>
      <c r="AU57" s="198" t="e">
        <f t="shared" si="9"/>
        <v>#N/A</v>
      </c>
      <c r="AV57" s="198" t="e">
        <f t="shared" si="10"/>
        <v>#N/A</v>
      </c>
      <c r="AW57" s="198" t="e">
        <f t="shared" si="11"/>
        <v>#N/A</v>
      </c>
      <c r="AX57" s="11" t="e">
        <f t="shared" si="12"/>
        <v>#N/A</v>
      </c>
      <c r="AY57" s="11" t="e">
        <f t="shared" si="13"/>
        <v>#N/A</v>
      </c>
      <c r="AZ57" s="11" t="e">
        <f t="shared" si="14"/>
        <v>#N/A</v>
      </c>
    </row>
    <row r="58" spans="1:52" x14ac:dyDescent="0.2">
      <c r="A58" s="6">
        <f>Исходн.данные.!A58</f>
        <v>0</v>
      </c>
      <c r="B58" s="6">
        <f>Исходн.данные.!B58</f>
        <v>0</v>
      </c>
      <c r="C58" s="6">
        <f>Исходн.данные.!C58</f>
        <v>0</v>
      </c>
      <c r="D58" s="6">
        <f>Исходн.данные.!D58</f>
        <v>0</v>
      </c>
      <c r="E58" s="6">
        <f>Исходн.данные.!E58</f>
        <v>0</v>
      </c>
      <c r="F58" s="6">
        <f>Исходн.данные.!AH58</f>
        <v>0</v>
      </c>
      <c r="G58" s="6">
        <f>Исходн.данные.!AJ58</f>
        <v>0</v>
      </c>
      <c r="H58" s="6">
        <f>Исходн.данные.!AK58</f>
        <v>0</v>
      </c>
      <c r="I58" s="9">
        <f>IF($F58=0,0,Расчет2!AO58)</f>
        <v>0</v>
      </c>
      <c r="J58" s="9">
        <f>IF(F58=0,0,Расчет2!AP58)</f>
        <v>0</v>
      </c>
      <c r="K58" s="10">
        <f>IF($F58=0,0,Расчет2!AQ58)</f>
        <v>0</v>
      </c>
      <c r="L58" s="10">
        <f>IF($F58=0,0,Расчет2!AR58)</f>
        <v>0</v>
      </c>
      <c r="M58" s="10">
        <f>IF($F58=0,0,Расчет2!AS58)</f>
        <v>0</v>
      </c>
      <c r="N58" s="10">
        <f>IF($F58=0,0,IF(Исходн.данные.!$AP58="Посл.посева",0,Расчет2!AT58))</f>
        <v>0</v>
      </c>
      <c r="O58" s="10">
        <f>IF($F58=0,0,IF(Исходн.данные.!$AP58="Посл.посева",0,IF(Расчет2!AU58&lt;10,10,Расчет2!AU58)))</f>
        <v>0</v>
      </c>
      <c r="P58" s="10">
        <f>IF($F58=0,0,IF(Исходн.данные.!$AP58="Посл.посева",0,Расчет2!AV58))</f>
        <v>0</v>
      </c>
      <c r="Q58" s="10">
        <f>IF($F58=0,0,Расчет2!AW58)</f>
        <v>0</v>
      </c>
      <c r="R58" s="10">
        <f>IF($F58=0,0,Расчет2!AX58)</f>
        <v>0</v>
      </c>
      <c r="S58" s="9">
        <f>IF($F58=0,0,Расчет2!AY58)</f>
        <v>0</v>
      </c>
      <c r="T58" s="10">
        <f>IF($F58=0,0,Расчет2!AZ58)</f>
        <v>0</v>
      </c>
      <c r="U58" s="10">
        <f>IF($F58=0,0,Расчет2!BA58)</f>
        <v>0</v>
      </c>
      <c r="V58" s="10">
        <f>IF($F58=0,0,Расчет2!BB58)</f>
        <v>0</v>
      </c>
      <c r="W58" s="10">
        <f>Расчет!DL58</f>
        <v>0</v>
      </c>
      <c r="X58" s="10">
        <f>Расчет!DN58</f>
        <v>0</v>
      </c>
      <c r="Y58" s="9">
        <f>X58*Исходн.данные.!$AJ58/1000</f>
        <v>0</v>
      </c>
      <c r="Z58" s="10" t="str">
        <f>Расчет!DO58</f>
        <v>Хлор.калий</v>
      </c>
      <c r="AA58" s="10">
        <f>Расчет!DQ58</f>
        <v>0</v>
      </c>
      <c r="AB58" s="12">
        <f>AA58*Исходн.данные.!$AJ58/1000</f>
        <v>0</v>
      </c>
      <c r="AC58" s="9">
        <f>IF($F58=0,0,Расчет2!BC58)</f>
        <v>0</v>
      </c>
      <c r="AD58" s="10">
        <f>IF($F58=0,0,Расчет2!BD58)</f>
        <v>0</v>
      </c>
      <c r="AE58" s="9">
        <f>IF($F58=0,0,Расчет2!BE58)</f>
        <v>0</v>
      </c>
      <c r="AF58" s="9">
        <f>IF($F58=0,0,Расчет2!BF58)</f>
        <v>0</v>
      </c>
      <c r="AG58" s="9">
        <f>IF($F58=0,0,Расчет2!BG58)</f>
        <v>0</v>
      </c>
      <c r="AI58" s="11" t="e">
        <f>Расчет!FY58</f>
        <v>#N/A</v>
      </c>
      <c r="AJ58" s="11" t="e">
        <f>Расчет!FZ58</f>
        <v>#N/A</v>
      </c>
      <c r="AK58" s="11" t="e">
        <f>Расчет!GA58</f>
        <v>#N/A</v>
      </c>
      <c r="AL58" s="11" t="e">
        <f>Расчет!GB58</f>
        <v>#N/A</v>
      </c>
      <c r="AM58" s="11" t="e">
        <f>Расчет!GC58</f>
        <v>#N/A</v>
      </c>
      <c r="AN58" s="11" t="e">
        <f>Расчет!GD58</f>
        <v>#N/A</v>
      </c>
      <c r="AO58" s="11" t="e">
        <f>Расчет!GE58</f>
        <v>#N/A</v>
      </c>
      <c r="AP58" s="11" t="e">
        <f>Расчет!GF58</f>
        <v>#N/A</v>
      </c>
      <c r="AQ58" s="11" t="e">
        <f>Расчет!GG58</f>
        <v>#N/A</v>
      </c>
      <c r="AR58" s="11" t="e">
        <f>Расчет!GH58</f>
        <v>#N/A</v>
      </c>
      <c r="AS58" s="11" t="e">
        <f>Расчет!GI58</f>
        <v>#N/A</v>
      </c>
      <c r="AT58" s="11" t="e">
        <f>Расчет!GJ58</f>
        <v>#N/A</v>
      </c>
      <c r="AU58" s="198" t="e">
        <f t="shared" si="9"/>
        <v>#N/A</v>
      </c>
      <c r="AV58" s="198" t="e">
        <f t="shared" si="10"/>
        <v>#N/A</v>
      </c>
      <c r="AW58" s="198" t="e">
        <f t="shared" si="11"/>
        <v>#N/A</v>
      </c>
      <c r="AX58" s="11" t="e">
        <f t="shared" si="12"/>
        <v>#N/A</v>
      </c>
      <c r="AY58" s="11" t="e">
        <f t="shared" si="13"/>
        <v>#N/A</v>
      </c>
      <c r="AZ58" s="11" t="e">
        <f t="shared" si="14"/>
        <v>#N/A</v>
      </c>
    </row>
    <row r="59" spans="1:52" x14ac:dyDescent="0.2">
      <c r="A59" s="6">
        <f>Исходн.данные.!A59</f>
        <v>0</v>
      </c>
      <c r="B59" s="6">
        <f>Исходн.данные.!B59</f>
        <v>0</v>
      </c>
      <c r="C59" s="6">
        <f>Исходн.данные.!C59</f>
        <v>0</v>
      </c>
      <c r="D59" s="6">
        <f>Исходн.данные.!D59</f>
        <v>0</v>
      </c>
      <c r="E59" s="6">
        <f>Исходн.данные.!E59</f>
        <v>0</v>
      </c>
      <c r="F59" s="6">
        <f>Исходн.данные.!AH59</f>
        <v>0</v>
      </c>
      <c r="G59" s="6">
        <f>Исходн.данные.!AJ59</f>
        <v>0</v>
      </c>
      <c r="H59" s="6">
        <f>Исходн.данные.!AK59</f>
        <v>0</v>
      </c>
      <c r="I59" s="9">
        <f>IF($F59=0,0,Расчет2!AO59)</f>
        <v>0</v>
      </c>
      <c r="J59" s="9">
        <f>IF(F59=0,0,Расчет2!AP59)</f>
        <v>0</v>
      </c>
      <c r="K59" s="10">
        <f>IF($F59=0,0,Расчет2!AQ59)</f>
        <v>0</v>
      </c>
      <c r="L59" s="10">
        <f>IF($F59=0,0,Расчет2!AR59)</f>
        <v>0</v>
      </c>
      <c r="M59" s="10">
        <f>IF($F59=0,0,Расчет2!AS59)</f>
        <v>0</v>
      </c>
      <c r="N59" s="10">
        <f>IF($F59=0,0,IF(Исходн.данные.!$AP59="Посл.посева",0,Расчет2!AT59))</f>
        <v>0</v>
      </c>
      <c r="O59" s="10">
        <f>IF($F59=0,0,IF(Исходн.данные.!$AP59="Посл.посева",0,IF(Расчет2!AU59&lt;10,10,Расчет2!AU59)))</f>
        <v>0</v>
      </c>
      <c r="P59" s="10">
        <f>IF($F59=0,0,IF(Исходн.данные.!$AP59="Посл.посева",0,Расчет2!AV59))</f>
        <v>0</v>
      </c>
      <c r="Q59" s="10">
        <f>IF($F59=0,0,Расчет2!AW59)</f>
        <v>0</v>
      </c>
      <c r="R59" s="10">
        <f>IF($F59=0,0,Расчет2!AX59)</f>
        <v>0</v>
      </c>
      <c r="S59" s="9">
        <f>IF($F59=0,0,Расчет2!AY59)</f>
        <v>0</v>
      </c>
      <c r="T59" s="10">
        <f>IF($F59=0,0,Расчет2!AZ59)</f>
        <v>0</v>
      </c>
      <c r="U59" s="10">
        <f>IF($F59=0,0,Расчет2!BA59)</f>
        <v>0</v>
      </c>
      <c r="V59" s="10">
        <f>IF($F59=0,0,Расчет2!BB59)</f>
        <v>0</v>
      </c>
      <c r="W59" s="10">
        <f>Расчет!DL59</f>
        <v>0</v>
      </c>
      <c r="X59" s="10">
        <f>Расчет!DN59</f>
        <v>0</v>
      </c>
      <c r="Y59" s="9">
        <f>X59*Исходн.данные.!$AJ59/1000</f>
        <v>0</v>
      </c>
      <c r="Z59" s="10" t="str">
        <f>Расчет!DO59</f>
        <v>Хлор.калий</v>
      </c>
      <c r="AA59" s="10">
        <f>Расчет!DQ59</f>
        <v>0</v>
      </c>
      <c r="AB59" s="12">
        <f>AA59*Исходн.данные.!$AJ59/1000</f>
        <v>0</v>
      </c>
      <c r="AC59" s="9">
        <f>IF($F59=0,0,Расчет2!BC59)</f>
        <v>0</v>
      </c>
      <c r="AD59" s="10">
        <f>IF($F59=0,0,Расчет2!BD59)</f>
        <v>0</v>
      </c>
      <c r="AE59" s="9">
        <f>IF($F59=0,0,Расчет2!BE59)</f>
        <v>0</v>
      </c>
      <c r="AF59" s="9">
        <f>IF($F59=0,0,Расчет2!BF59)</f>
        <v>0</v>
      </c>
      <c r="AG59" s="9">
        <f>IF($F59=0,0,Расчет2!BG59)</f>
        <v>0</v>
      </c>
      <c r="AI59" s="11" t="e">
        <f>Расчет!FY59</f>
        <v>#N/A</v>
      </c>
      <c r="AJ59" s="11" t="e">
        <f>Расчет!FZ59</f>
        <v>#N/A</v>
      </c>
      <c r="AK59" s="11" t="e">
        <f>Расчет!GA59</f>
        <v>#N/A</v>
      </c>
      <c r="AL59" s="11" t="e">
        <f>Расчет!GB59</f>
        <v>#N/A</v>
      </c>
      <c r="AM59" s="11" t="e">
        <f>Расчет!GC59</f>
        <v>#N/A</v>
      </c>
      <c r="AN59" s="11" t="e">
        <f>Расчет!GD59</f>
        <v>#N/A</v>
      </c>
      <c r="AO59" s="11" t="e">
        <f>Расчет!GE59</f>
        <v>#N/A</v>
      </c>
      <c r="AP59" s="11" t="e">
        <f>Расчет!GF59</f>
        <v>#N/A</v>
      </c>
      <c r="AQ59" s="11" t="e">
        <f>Расчет!GG59</f>
        <v>#N/A</v>
      </c>
      <c r="AR59" s="11" t="e">
        <f>Расчет!GH59</f>
        <v>#N/A</v>
      </c>
      <c r="AS59" s="11" t="e">
        <f>Расчет!GI59</f>
        <v>#N/A</v>
      </c>
      <c r="AT59" s="11" t="e">
        <f>Расчет!GJ59</f>
        <v>#N/A</v>
      </c>
      <c r="AU59" s="198" t="e">
        <f t="shared" si="9"/>
        <v>#N/A</v>
      </c>
      <c r="AV59" s="198" t="e">
        <f t="shared" si="10"/>
        <v>#N/A</v>
      </c>
      <c r="AW59" s="198" t="e">
        <f t="shared" si="11"/>
        <v>#N/A</v>
      </c>
      <c r="AX59" s="11" t="e">
        <f t="shared" si="12"/>
        <v>#N/A</v>
      </c>
      <c r="AY59" s="11" t="e">
        <f t="shared" si="13"/>
        <v>#N/A</v>
      </c>
      <c r="AZ59" s="11" t="e">
        <f t="shared" si="14"/>
        <v>#N/A</v>
      </c>
    </row>
    <row r="60" spans="1:52" x14ac:dyDescent="0.2">
      <c r="A60" s="6">
        <f>Исходн.данные.!A60</f>
        <v>0</v>
      </c>
      <c r="B60" s="6">
        <f>Исходн.данные.!B60</f>
        <v>0</v>
      </c>
      <c r="C60" s="6">
        <f>Исходн.данные.!C60</f>
        <v>0</v>
      </c>
      <c r="D60" s="6">
        <f>Исходн.данные.!D60</f>
        <v>0</v>
      </c>
      <c r="E60" s="6">
        <f>Исходн.данные.!E60</f>
        <v>0</v>
      </c>
      <c r="F60" s="6">
        <f>Исходн.данные.!AH60</f>
        <v>0</v>
      </c>
      <c r="G60" s="6">
        <f>Исходн.данные.!AJ60</f>
        <v>0</v>
      </c>
      <c r="H60" s="6">
        <f>Исходн.данные.!AK60</f>
        <v>0</v>
      </c>
      <c r="I60" s="9">
        <f>IF($F60=0,0,Расчет2!AO60)</f>
        <v>0</v>
      </c>
      <c r="J60" s="9">
        <f>IF(F60=0,0,Расчет2!AP60)</f>
        <v>0</v>
      </c>
      <c r="K60" s="10">
        <f>IF($F60=0,0,Расчет2!AQ60)</f>
        <v>0</v>
      </c>
      <c r="L60" s="10">
        <f>IF($F60=0,0,Расчет2!AR60)</f>
        <v>0</v>
      </c>
      <c r="M60" s="10">
        <f>IF($F60=0,0,Расчет2!AS60)</f>
        <v>0</v>
      </c>
      <c r="N60" s="10">
        <f>IF($F60=0,0,IF(Исходн.данные.!$AP60="Посл.посева",0,Расчет2!AT60))</f>
        <v>0</v>
      </c>
      <c r="O60" s="10">
        <f>IF($F60=0,0,IF(Исходн.данные.!$AP60="Посл.посева",0,IF(Расчет2!AU60&lt;10,10,Расчет2!AU60)))</f>
        <v>0</v>
      </c>
      <c r="P60" s="10">
        <f>IF($F60=0,0,IF(Исходн.данные.!$AP60="Посл.посева",0,Расчет2!AV60))</f>
        <v>0</v>
      </c>
      <c r="Q60" s="10">
        <f>IF($F60=0,0,Расчет2!AW60)</f>
        <v>0</v>
      </c>
      <c r="R60" s="10">
        <f>IF($F60=0,0,Расчет2!AX60)</f>
        <v>0</v>
      </c>
      <c r="S60" s="9">
        <f>IF($F60=0,0,Расчет2!AY60)</f>
        <v>0</v>
      </c>
      <c r="T60" s="10">
        <f>IF($F60=0,0,Расчет2!AZ60)</f>
        <v>0</v>
      </c>
      <c r="U60" s="10">
        <f>IF($F60=0,0,Расчет2!BA60)</f>
        <v>0</v>
      </c>
      <c r="V60" s="10">
        <f>IF($F60=0,0,Расчет2!BB60)</f>
        <v>0</v>
      </c>
      <c r="W60" s="10">
        <f>Расчет!DL60</f>
        <v>0</v>
      </c>
      <c r="X60" s="10">
        <f>Расчет!DN60</f>
        <v>0</v>
      </c>
      <c r="Y60" s="9">
        <f>X60*Исходн.данные.!$AJ60/1000</f>
        <v>0</v>
      </c>
      <c r="Z60" s="10" t="str">
        <f>Расчет!DO60</f>
        <v>Хлор.калий</v>
      </c>
      <c r="AA60" s="10">
        <f>Расчет!DQ60</f>
        <v>0</v>
      </c>
      <c r="AB60" s="12">
        <f>AA60*Исходн.данные.!$AJ60/1000</f>
        <v>0</v>
      </c>
      <c r="AC60" s="9">
        <f>IF($F60=0,0,Расчет2!BC60)</f>
        <v>0</v>
      </c>
      <c r="AD60" s="10">
        <f>IF($F60=0,0,Расчет2!BD60)</f>
        <v>0</v>
      </c>
      <c r="AE60" s="9">
        <f>IF($F60=0,0,Расчет2!BE60)</f>
        <v>0</v>
      </c>
      <c r="AF60" s="9">
        <f>IF($F60=0,0,Расчет2!BF60)</f>
        <v>0</v>
      </c>
      <c r="AG60" s="9">
        <f>IF($F60=0,0,Расчет2!BG60)</f>
        <v>0</v>
      </c>
      <c r="AI60" s="11" t="e">
        <f>Расчет!FY60</f>
        <v>#N/A</v>
      </c>
      <c r="AJ60" s="11" t="e">
        <f>Расчет!FZ60</f>
        <v>#N/A</v>
      </c>
      <c r="AK60" s="11" t="e">
        <f>Расчет!GA60</f>
        <v>#N/A</v>
      </c>
      <c r="AL60" s="11" t="e">
        <f>Расчет!GB60</f>
        <v>#N/A</v>
      </c>
      <c r="AM60" s="11" t="e">
        <f>Расчет!GC60</f>
        <v>#N/A</v>
      </c>
      <c r="AN60" s="11" t="e">
        <f>Расчет!GD60</f>
        <v>#N/A</v>
      </c>
      <c r="AO60" s="11" t="e">
        <f>Расчет!GE60</f>
        <v>#N/A</v>
      </c>
      <c r="AP60" s="11" t="e">
        <f>Расчет!GF60</f>
        <v>#N/A</v>
      </c>
      <c r="AQ60" s="11" t="e">
        <f>Расчет!GG60</f>
        <v>#N/A</v>
      </c>
      <c r="AR60" s="11" t="e">
        <f>Расчет!GH60</f>
        <v>#N/A</v>
      </c>
      <c r="AS60" s="11" t="e">
        <f>Расчет!GI60</f>
        <v>#N/A</v>
      </c>
      <c r="AT60" s="11" t="e">
        <f>Расчет!GJ60</f>
        <v>#N/A</v>
      </c>
      <c r="AU60" s="198" t="e">
        <f t="shared" si="9"/>
        <v>#N/A</v>
      </c>
      <c r="AV60" s="198" t="e">
        <f t="shared" si="10"/>
        <v>#N/A</v>
      </c>
      <c r="AW60" s="198" t="e">
        <f t="shared" si="11"/>
        <v>#N/A</v>
      </c>
      <c r="AX60" s="11" t="e">
        <f t="shared" si="12"/>
        <v>#N/A</v>
      </c>
      <c r="AY60" s="11" t="e">
        <f t="shared" si="13"/>
        <v>#N/A</v>
      </c>
      <c r="AZ60" s="11" t="e">
        <f t="shared" si="14"/>
        <v>#N/A</v>
      </c>
    </row>
    <row r="61" spans="1:52" x14ac:dyDescent="0.2">
      <c r="A61" s="6">
        <f>Исходн.данные.!A61</f>
        <v>0</v>
      </c>
      <c r="B61" s="6">
        <f>Исходн.данные.!B61</f>
        <v>0</v>
      </c>
      <c r="C61" s="6">
        <f>Исходн.данные.!C61</f>
        <v>0</v>
      </c>
      <c r="D61" s="6">
        <f>Исходн.данные.!D61</f>
        <v>0</v>
      </c>
      <c r="E61" s="6">
        <f>Исходн.данные.!E61</f>
        <v>0</v>
      </c>
      <c r="F61" s="6">
        <f>Исходн.данные.!AH61</f>
        <v>0</v>
      </c>
      <c r="G61" s="6">
        <f>Исходн.данные.!AJ61</f>
        <v>0</v>
      </c>
      <c r="H61" s="6">
        <f>Исходн.данные.!AK61</f>
        <v>0</v>
      </c>
      <c r="I61" s="9">
        <f>IF($F61=0,0,Расчет2!AO61)</f>
        <v>0</v>
      </c>
      <c r="J61" s="9">
        <f>IF(F61=0,0,Расчет2!AP61)</f>
        <v>0</v>
      </c>
      <c r="K61" s="10">
        <f>IF($F61=0,0,Расчет2!AQ61)</f>
        <v>0</v>
      </c>
      <c r="L61" s="10">
        <f>IF($F61=0,0,Расчет2!AR61)</f>
        <v>0</v>
      </c>
      <c r="M61" s="10">
        <f>IF($F61=0,0,Расчет2!AS61)</f>
        <v>0</v>
      </c>
      <c r="N61" s="10">
        <f>IF($F61=0,0,IF(Исходн.данные.!$AP61="Посл.посева",0,Расчет2!AT61))</f>
        <v>0</v>
      </c>
      <c r="O61" s="10">
        <f>IF($F61=0,0,IF(Исходн.данные.!$AP61="Посл.посева",0,IF(Расчет2!AU61&lt;10,10,Расчет2!AU61)))</f>
        <v>0</v>
      </c>
      <c r="P61" s="10">
        <f>IF($F61=0,0,IF(Исходн.данные.!$AP61="Посл.посева",0,Расчет2!AV61))</f>
        <v>0</v>
      </c>
      <c r="Q61" s="10">
        <f>IF($F61=0,0,Расчет2!AW61)</f>
        <v>0</v>
      </c>
      <c r="R61" s="10">
        <f>IF($F61=0,0,Расчет2!AX61)</f>
        <v>0</v>
      </c>
      <c r="S61" s="9">
        <f>IF($F61=0,0,Расчет2!AY61)</f>
        <v>0</v>
      </c>
      <c r="T61" s="10">
        <f>IF($F61=0,0,Расчет2!AZ61)</f>
        <v>0</v>
      </c>
      <c r="U61" s="10">
        <f>IF($F61=0,0,Расчет2!BA61)</f>
        <v>0</v>
      </c>
      <c r="V61" s="10">
        <f>IF($F61=0,0,Расчет2!BB61)</f>
        <v>0</v>
      </c>
      <c r="W61" s="10">
        <f>Расчет!DL61</f>
        <v>0</v>
      </c>
      <c r="X61" s="10">
        <f>Расчет!DN61</f>
        <v>0</v>
      </c>
      <c r="Y61" s="9">
        <f>X61*Исходн.данные.!$AJ61/1000</f>
        <v>0</v>
      </c>
      <c r="Z61" s="10" t="str">
        <f>Расчет!DO61</f>
        <v>Хлор.калий</v>
      </c>
      <c r="AA61" s="10">
        <f>Расчет!DQ61</f>
        <v>0</v>
      </c>
      <c r="AB61" s="12">
        <f>AA61*Исходн.данные.!$AJ61/1000</f>
        <v>0</v>
      </c>
      <c r="AC61" s="9">
        <f>IF($F61=0,0,Расчет2!BC61)</f>
        <v>0</v>
      </c>
      <c r="AD61" s="10">
        <f>IF($F61=0,0,Расчет2!BD61)</f>
        <v>0</v>
      </c>
      <c r="AE61" s="9">
        <f>IF($F61=0,0,Расчет2!BE61)</f>
        <v>0</v>
      </c>
      <c r="AF61" s="9">
        <f>IF($F61=0,0,Расчет2!BF61)</f>
        <v>0</v>
      </c>
      <c r="AG61" s="9">
        <f>IF($F61=0,0,Расчет2!BG61)</f>
        <v>0</v>
      </c>
      <c r="AI61" s="11" t="e">
        <f>Расчет!FY61</f>
        <v>#N/A</v>
      </c>
      <c r="AJ61" s="11" t="e">
        <f>Расчет!FZ61</f>
        <v>#N/A</v>
      </c>
      <c r="AK61" s="11" t="e">
        <f>Расчет!GA61</f>
        <v>#N/A</v>
      </c>
      <c r="AL61" s="11" t="e">
        <f>Расчет!GB61</f>
        <v>#N/A</v>
      </c>
      <c r="AM61" s="11" t="e">
        <f>Расчет!GC61</f>
        <v>#N/A</v>
      </c>
      <c r="AN61" s="11" t="e">
        <f>Расчет!GD61</f>
        <v>#N/A</v>
      </c>
      <c r="AO61" s="11" t="e">
        <f>Расчет!GE61</f>
        <v>#N/A</v>
      </c>
      <c r="AP61" s="11" t="e">
        <f>Расчет!GF61</f>
        <v>#N/A</v>
      </c>
      <c r="AQ61" s="11" t="e">
        <f>Расчет!GG61</f>
        <v>#N/A</v>
      </c>
      <c r="AR61" s="11" t="e">
        <f>Расчет!GH61</f>
        <v>#N/A</v>
      </c>
      <c r="AS61" s="11" t="e">
        <f>Расчет!GI61</f>
        <v>#N/A</v>
      </c>
      <c r="AT61" s="11" t="e">
        <f>Расчет!GJ61</f>
        <v>#N/A</v>
      </c>
      <c r="AU61" s="198" t="e">
        <f t="shared" si="9"/>
        <v>#N/A</v>
      </c>
      <c r="AV61" s="198" t="e">
        <f t="shared" si="10"/>
        <v>#N/A</v>
      </c>
      <c r="AW61" s="198" t="e">
        <f t="shared" si="11"/>
        <v>#N/A</v>
      </c>
      <c r="AX61" s="11" t="e">
        <f t="shared" si="12"/>
        <v>#N/A</v>
      </c>
      <c r="AY61" s="11" t="e">
        <f t="shared" si="13"/>
        <v>#N/A</v>
      </c>
      <c r="AZ61" s="11" t="e">
        <f t="shared" si="14"/>
        <v>#N/A</v>
      </c>
    </row>
    <row r="62" spans="1:52" x14ac:dyDescent="0.2">
      <c r="A62" s="6">
        <f>Исходн.данные.!A62</f>
        <v>0</v>
      </c>
      <c r="B62" s="6">
        <f>Исходн.данные.!B62</f>
        <v>0</v>
      </c>
      <c r="C62" s="6">
        <f>Исходн.данные.!C62</f>
        <v>0</v>
      </c>
      <c r="D62" s="6">
        <f>Исходн.данные.!D62</f>
        <v>0</v>
      </c>
      <c r="E62" s="6">
        <f>Исходн.данные.!E62</f>
        <v>0</v>
      </c>
      <c r="F62" s="6">
        <f>Исходн.данные.!AH62</f>
        <v>0</v>
      </c>
      <c r="G62" s="6">
        <f>Исходн.данные.!AJ62</f>
        <v>0</v>
      </c>
      <c r="H62" s="6">
        <f>Исходн.данные.!AK62</f>
        <v>0</v>
      </c>
      <c r="I62" s="9">
        <f>IF($F62=0,0,Расчет2!AO62)</f>
        <v>0</v>
      </c>
      <c r="J62" s="9">
        <f>IF(F62=0,0,Расчет2!AP62)</f>
        <v>0</v>
      </c>
      <c r="K62" s="10">
        <f>IF($F62=0,0,Расчет2!AQ62)</f>
        <v>0</v>
      </c>
      <c r="L62" s="10">
        <f>IF($F62=0,0,Расчет2!AR62)</f>
        <v>0</v>
      </c>
      <c r="M62" s="10">
        <f>IF($F62=0,0,Расчет2!AS62)</f>
        <v>0</v>
      </c>
      <c r="N62" s="10">
        <f>IF($F62=0,0,IF(Исходн.данные.!$AP62="Посл.посева",0,Расчет2!AT62))</f>
        <v>0</v>
      </c>
      <c r="O62" s="10">
        <f>IF($F62=0,0,IF(Исходн.данные.!$AP62="Посл.посева",0,IF(Расчет2!AU62&lt;10,10,Расчет2!AU62)))</f>
        <v>0</v>
      </c>
      <c r="P62" s="10">
        <f>IF($F62=0,0,IF(Исходн.данные.!$AP62="Посл.посева",0,Расчет2!AV62))</f>
        <v>0</v>
      </c>
      <c r="Q62" s="10">
        <f>IF($F62=0,0,Расчет2!AW62)</f>
        <v>0</v>
      </c>
      <c r="R62" s="10">
        <f>IF($F62=0,0,Расчет2!AX62)</f>
        <v>0</v>
      </c>
      <c r="S62" s="9">
        <f>IF($F62=0,0,Расчет2!AY62)</f>
        <v>0</v>
      </c>
      <c r="T62" s="10">
        <f>IF($F62=0,0,Расчет2!AZ62)</f>
        <v>0</v>
      </c>
      <c r="U62" s="10">
        <f>IF($F62=0,0,Расчет2!BA62)</f>
        <v>0</v>
      </c>
      <c r="V62" s="10">
        <f>IF($F62=0,0,Расчет2!BB62)</f>
        <v>0</v>
      </c>
      <c r="W62" s="10">
        <f>Расчет!DL62</f>
        <v>0</v>
      </c>
      <c r="X62" s="10">
        <f>Расчет!DN62</f>
        <v>0</v>
      </c>
      <c r="Y62" s="9">
        <f>X62*Исходн.данные.!$AJ62/1000</f>
        <v>0</v>
      </c>
      <c r="Z62" s="10" t="str">
        <f>Расчет!DO62</f>
        <v>Хлор.калий</v>
      </c>
      <c r="AA62" s="10">
        <f>Расчет!DQ62</f>
        <v>0</v>
      </c>
      <c r="AB62" s="12">
        <f>AA62*Исходн.данные.!$AJ62/1000</f>
        <v>0</v>
      </c>
      <c r="AC62" s="9">
        <f>IF($F62=0,0,Расчет2!BC62)</f>
        <v>0</v>
      </c>
      <c r="AD62" s="10">
        <f>IF($F62=0,0,Расчет2!BD62)</f>
        <v>0</v>
      </c>
      <c r="AE62" s="9">
        <f>IF($F62=0,0,Расчет2!BE62)</f>
        <v>0</v>
      </c>
      <c r="AF62" s="9">
        <f>IF($F62=0,0,Расчет2!BF62)</f>
        <v>0</v>
      </c>
      <c r="AG62" s="9">
        <f>IF($F62=0,0,Расчет2!BG62)</f>
        <v>0</v>
      </c>
      <c r="AI62" s="11" t="e">
        <f>Расчет!FY62</f>
        <v>#N/A</v>
      </c>
      <c r="AJ62" s="11" t="e">
        <f>Расчет!FZ62</f>
        <v>#N/A</v>
      </c>
      <c r="AK62" s="11" t="e">
        <f>Расчет!GA62</f>
        <v>#N/A</v>
      </c>
      <c r="AL62" s="11" t="e">
        <f>Расчет!GB62</f>
        <v>#N/A</v>
      </c>
      <c r="AM62" s="11" t="e">
        <f>Расчет!GC62</f>
        <v>#N/A</v>
      </c>
      <c r="AN62" s="11" t="e">
        <f>Расчет!GD62</f>
        <v>#N/A</v>
      </c>
      <c r="AO62" s="11" t="e">
        <f>Расчет!GE62</f>
        <v>#N/A</v>
      </c>
      <c r="AP62" s="11" t="e">
        <f>Расчет!GF62</f>
        <v>#N/A</v>
      </c>
      <c r="AQ62" s="11" t="e">
        <f>Расчет!GG62</f>
        <v>#N/A</v>
      </c>
      <c r="AR62" s="11" t="e">
        <f>Расчет!GH62</f>
        <v>#N/A</v>
      </c>
      <c r="AS62" s="11" t="e">
        <f>Расчет!GI62</f>
        <v>#N/A</v>
      </c>
      <c r="AT62" s="11" t="e">
        <f>Расчет!GJ62</f>
        <v>#N/A</v>
      </c>
      <c r="AU62" s="198" t="e">
        <f t="shared" si="9"/>
        <v>#N/A</v>
      </c>
      <c r="AV62" s="198" t="e">
        <f t="shared" si="10"/>
        <v>#N/A</v>
      </c>
      <c r="AW62" s="198" t="e">
        <f t="shared" si="11"/>
        <v>#N/A</v>
      </c>
      <c r="AX62" s="11" t="e">
        <f t="shared" si="12"/>
        <v>#N/A</v>
      </c>
      <c r="AY62" s="11" t="e">
        <f t="shared" si="13"/>
        <v>#N/A</v>
      </c>
      <c r="AZ62" s="11" t="e">
        <f t="shared" si="14"/>
        <v>#N/A</v>
      </c>
    </row>
    <row r="63" spans="1:52" x14ac:dyDescent="0.2">
      <c r="A63" s="6">
        <f>Исходн.данные.!A63</f>
        <v>0</v>
      </c>
      <c r="B63" s="6">
        <f>Исходн.данные.!B63</f>
        <v>0</v>
      </c>
      <c r="C63" s="6">
        <f>Исходн.данные.!C63</f>
        <v>0</v>
      </c>
      <c r="D63" s="6">
        <f>Исходн.данные.!D63</f>
        <v>0</v>
      </c>
      <c r="E63" s="6">
        <f>Исходн.данные.!E63</f>
        <v>0</v>
      </c>
      <c r="F63" s="6">
        <f>Исходн.данные.!AH63</f>
        <v>0</v>
      </c>
      <c r="G63" s="6">
        <f>Исходн.данные.!AJ63</f>
        <v>0</v>
      </c>
      <c r="H63" s="6">
        <f>Исходн.данные.!AK63</f>
        <v>0</v>
      </c>
      <c r="I63" s="9">
        <f>IF($F63=0,0,Расчет2!AO63)</f>
        <v>0</v>
      </c>
      <c r="J63" s="9">
        <f>IF(F63=0,0,Расчет2!AP63)</f>
        <v>0</v>
      </c>
      <c r="K63" s="10">
        <f>IF($F63=0,0,Расчет2!AQ63)</f>
        <v>0</v>
      </c>
      <c r="L63" s="10">
        <f>IF($F63=0,0,Расчет2!AR63)</f>
        <v>0</v>
      </c>
      <c r="M63" s="10">
        <f>IF($F63=0,0,Расчет2!AS63)</f>
        <v>0</v>
      </c>
      <c r="N63" s="10">
        <f>IF($F63=0,0,IF(Исходн.данные.!$AP63="Посл.посева",0,Расчет2!AT63))</f>
        <v>0</v>
      </c>
      <c r="O63" s="10">
        <f>IF($F63=0,0,IF(Исходн.данные.!$AP63="Посл.посева",0,IF(Расчет2!AU63&lt;10,10,Расчет2!AU63)))</f>
        <v>0</v>
      </c>
      <c r="P63" s="10">
        <f>IF($F63=0,0,IF(Исходн.данные.!$AP63="Посл.посева",0,Расчет2!AV63))</f>
        <v>0</v>
      </c>
      <c r="Q63" s="10">
        <f>IF($F63=0,0,Расчет2!AW63)</f>
        <v>0</v>
      </c>
      <c r="R63" s="10">
        <f>IF($F63=0,0,Расчет2!AX63)</f>
        <v>0</v>
      </c>
      <c r="S63" s="9">
        <f>IF($F63=0,0,Расчет2!AY63)</f>
        <v>0</v>
      </c>
      <c r="T63" s="10">
        <f>IF($F63=0,0,Расчет2!AZ63)</f>
        <v>0</v>
      </c>
      <c r="U63" s="10">
        <f>IF($F63=0,0,Расчет2!BA63)</f>
        <v>0</v>
      </c>
      <c r="V63" s="10">
        <f>IF($F63=0,0,Расчет2!BB63)</f>
        <v>0</v>
      </c>
      <c r="W63" s="10">
        <f>Расчет!DL63</f>
        <v>0</v>
      </c>
      <c r="X63" s="10">
        <f>Расчет!DN63</f>
        <v>0</v>
      </c>
      <c r="Y63" s="9">
        <f>X63*Исходн.данные.!$AJ63/1000</f>
        <v>0</v>
      </c>
      <c r="Z63" s="10" t="str">
        <f>Расчет!DO63</f>
        <v>Хлор.калий</v>
      </c>
      <c r="AA63" s="10">
        <f>Расчет!DQ63</f>
        <v>0</v>
      </c>
      <c r="AB63" s="12">
        <f>AA63*Исходн.данные.!$AJ63/1000</f>
        <v>0</v>
      </c>
      <c r="AC63" s="9">
        <f>IF($F63=0,0,Расчет2!BC63)</f>
        <v>0</v>
      </c>
      <c r="AD63" s="10">
        <f>IF($F63=0,0,Расчет2!BD63)</f>
        <v>0</v>
      </c>
      <c r="AE63" s="9">
        <f>IF($F63=0,0,Расчет2!BE63)</f>
        <v>0</v>
      </c>
      <c r="AF63" s="9">
        <f>IF($F63=0,0,Расчет2!BF63)</f>
        <v>0</v>
      </c>
      <c r="AG63" s="9">
        <f>IF($F63=0,0,Расчет2!BG63)</f>
        <v>0</v>
      </c>
      <c r="AI63" s="11" t="e">
        <f>Расчет!FY63</f>
        <v>#N/A</v>
      </c>
      <c r="AJ63" s="11" t="e">
        <f>Расчет!FZ63</f>
        <v>#N/A</v>
      </c>
      <c r="AK63" s="11" t="e">
        <f>Расчет!GA63</f>
        <v>#N/A</v>
      </c>
      <c r="AL63" s="11" t="e">
        <f>Расчет!GB63</f>
        <v>#N/A</v>
      </c>
      <c r="AM63" s="11" t="e">
        <f>Расчет!GC63</f>
        <v>#N/A</v>
      </c>
      <c r="AN63" s="11" t="e">
        <f>Расчет!GD63</f>
        <v>#N/A</v>
      </c>
      <c r="AO63" s="11" t="e">
        <f>Расчет!GE63</f>
        <v>#N/A</v>
      </c>
      <c r="AP63" s="11" t="e">
        <f>Расчет!GF63</f>
        <v>#N/A</v>
      </c>
      <c r="AQ63" s="11" t="e">
        <f>Расчет!GG63</f>
        <v>#N/A</v>
      </c>
      <c r="AR63" s="11" t="e">
        <f>Расчет!GH63</f>
        <v>#N/A</v>
      </c>
      <c r="AS63" s="11" t="e">
        <f>Расчет!GI63</f>
        <v>#N/A</v>
      </c>
      <c r="AT63" s="11" t="e">
        <f>Расчет!GJ63</f>
        <v>#N/A</v>
      </c>
      <c r="AU63" s="198" t="e">
        <f t="shared" si="9"/>
        <v>#N/A</v>
      </c>
      <c r="AV63" s="198" t="e">
        <f t="shared" si="10"/>
        <v>#N/A</v>
      </c>
      <c r="AW63" s="198" t="e">
        <f t="shared" si="11"/>
        <v>#N/A</v>
      </c>
      <c r="AX63" s="11" t="e">
        <f t="shared" si="12"/>
        <v>#N/A</v>
      </c>
      <c r="AY63" s="11" t="e">
        <f t="shared" si="13"/>
        <v>#N/A</v>
      </c>
      <c r="AZ63" s="11" t="e">
        <f t="shared" si="14"/>
        <v>#N/A</v>
      </c>
    </row>
    <row r="64" spans="1:52" x14ac:dyDescent="0.2">
      <c r="A64" s="6">
        <f>Исходн.данные.!A64</f>
        <v>0</v>
      </c>
      <c r="B64" s="6">
        <f>Исходн.данные.!B64</f>
        <v>0</v>
      </c>
      <c r="C64" s="6">
        <f>Исходн.данные.!C64</f>
        <v>0</v>
      </c>
      <c r="D64" s="6">
        <f>Исходн.данные.!D64</f>
        <v>0</v>
      </c>
      <c r="E64" s="6">
        <f>Исходн.данные.!E64</f>
        <v>0</v>
      </c>
      <c r="F64" s="6">
        <f>Исходн.данные.!AH64</f>
        <v>0</v>
      </c>
      <c r="G64" s="6">
        <f>Исходн.данные.!AJ64</f>
        <v>0</v>
      </c>
      <c r="H64" s="6">
        <f>Исходн.данные.!AK64</f>
        <v>0</v>
      </c>
      <c r="I64" s="9">
        <f>IF($F64=0,0,Расчет2!AO64)</f>
        <v>0</v>
      </c>
      <c r="J64" s="9">
        <f>IF(F64=0,0,Расчет2!AP64)</f>
        <v>0</v>
      </c>
      <c r="K64" s="10">
        <f>IF($F64=0,0,Расчет2!AQ64)</f>
        <v>0</v>
      </c>
      <c r="L64" s="10">
        <f>IF($F64=0,0,Расчет2!AR64)</f>
        <v>0</v>
      </c>
      <c r="M64" s="10">
        <f>IF($F64=0,0,Расчет2!AS64)</f>
        <v>0</v>
      </c>
      <c r="N64" s="10">
        <f>IF($F64=0,0,IF(Исходн.данные.!$AP64="Посл.посева",0,Расчет2!AT64))</f>
        <v>0</v>
      </c>
      <c r="O64" s="10">
        <f>IF($F64=0,0,IF(Исходн.данные.!$AP64="Посл.посева",0,IF(Расчет2!AU64&lt;10,10,Расчет2!AU64)))</f>
        <v>0</v>
      </c>
      <c r="P64" s="10">
        <f>IF($F64=0,0,IF(Исходн.данные.!$AP64="Посл.посева",0,Расчет2!AV64))</f>
        <v>0</v>
      </c>
      <c r="Q64" s="10">
        <f>IF($F64=0,0,Расчет2!AW64)</f>
        <v>0</v>
      </c>
      <c r="R64" s="10">
        <f>IF($F64=0,0,Расчет2!AX64)</f>
        <v>0</v>
      </c>
      <c r="S64" s="9">
        <f>IF($F64=0,0,Расчет2!AY64)</f>
        <v>0</v>
      </c>
      <c r="T64" s="10">
        <f>IF($F64=0,0,Расчет2!AZ64)</f>
        <v>0</v>
      </c>
      <c r="U64" s="10">
        <f>IF($F64=0,0,Расчет2!BA64)</f>
        <v>0</v>
      </c>
      <c r="V64" s="10">
        <f>IF($F64=0,0,Расчет2!BB64)</f>
        <v>0</v>
      </c>
      <c r="W64" s="10">
        <f>Расчет!DL64</f>
        <v>0</v>
      </c>
      <c r="X64" s="10">
        <f>Расчет!DN64</f>
        <v>0</v>
      </c>
      <c r="Y64" s="9">
        <f>X64*Исходн.данные.!$AJ64/1000</f>
        <v>0</v>
      </c>
      <c r="Z64" s="10" t="str">
        <f>Расчет!DO64</f>
        <v>Хлор.калий</v>
      </c>
      <c r="AA64" s="10">
        <f>Расчет!DQ64</f>
        <v>0</v>
      </c>
      <c r="AB64" s="12">
        <f>AA64*Исходн.данные.!$AJ64/1000</f>
        <v>0</v>
      </c>
      <c r="AC64" s="9">
        <f>IF($F64=0,0,Расчет2!BC64)</f>
        <v>0</v>
      </c>
      <c r="AD64" s="10">
        <f>IF($F64=0,0,Расчет2!BD64)</f>
        <v>0</v>
      </c>
      <c r="AE64" s="9">
        <f>IF($F64=0,0,Расчет2!BE64)</f>
        <v>0</v>
      </c>
      <c r="AF64" s="9">
        <f>IF($F64=0,0,Расчет2!BF64)</f>
        <v>0</v>
      </c>
      <c r="AG64" s="9">
        <f>IF($F64=0,0,Расчет2!BG64)</f>
        <v>0</v>
      </c>
      <c r="AI64" s="11" t="e">
        <f>Расчет!FY64</f>
        <v>#N/A</v>
      </c>
      <c r="AJ64" s="11" t="e">
        <f>Расчет!FZ64</f>
        <v>#N/A</v>
      </c>
      <c r="AK64" s="11" t="e">
        <f>Расчет!GA64</f>
        <v>#N/A</v>
      </c>
      <c r="AL64" s="11" t="e">
        <f>Расчет!GB64</f>
        <v>#N/A</v>
      </c>
      <c r="AM64" s="11" t="e">
        <f>Расчет!GC64</f>
        <v>#N/A</v>
      </c>
      <c r="AN64" s="11" t="e">
        <f>Расчет!GD64</f>
        <v>#N/A</v>
      </c>
      <c r="AO64" s="11" t="e">
        <f>Расчет!GE64</f>
        <v>#N/A</v>
      </c>
      <c r="AP64" s="11" t="e">
        <f>Расчет!GF64</f>
        <v>#N/A</v>
      </c>
      <c r="AQ64" s="11" t="e">
        <f>Расчет!GG64</f>
        <v>#N/A</v>
      </c>
      <c r="AR64" s="11" t="e">
        <f>Расчет!GH64</f>
        <v>#N/A</v>
      </c>
      <c r="AS64" s="11" t="e">
        <f>Расчет!GI64</f>
        <v>#N/A</v>
      </c>
      <c r="AT64" s="11" t="e">
        <f>Расчет!GJ64</f>
        <v>#N/A</v>
      </c>
      <c r="AU64" s="198" t="e">
        <f t="shared" si="9"/>
        <v>#N/A</v>
      </c>
      <c r="AV64" s="198" t="e">
        <f t="shared" si="10"/>
        <v>#N/A</v>
      </c>
      <c r="AW64" s="198" t="e">
        <f t="shared" si="11"/>
        <v>#N/A</v>
      </c>
      <c r="AX64" s="11" t="e">
        <f t="shared" si="12"/>
        <v>#N/A</v>
      </c>
      <c r="AY64" s="11" t="e">
        <f t="shared" si="13"/>
        <v>#N/A</v>
      </c>
      <c r="AZ64" s="11" t="e">
        <f t="shared" si="14"/>
        <v>#N/A</v>
      </c>
    </row>
    <row r="65" spans="1:52" x14ac:dyDescent="0.2">
      <c r="A65" s="6">
        <f>Исходн.данные.!A65</f>
        <v>0</v>
      </c>
      <c r="B65" s="6">
        <f>Исходн.данные.!B65</f>
        <v>0</v>
      </c>
      <c r="C65" s="6">
        <f>Исходн.данные.!C65</f>
        <v>0</v>
      </c>
      <c r="D65" s="6">
        <f>Исходн.данные.!D65</f>
        <v>0</v>
      </c>
      <c r="E65" s="6">
        <f>Исходн.данные.!E65</f>
        <v>0</v>
      </c>
      <c r="F65" s="6">
        <f>Исходн.данные.!AH65</f>
        <v>0</v>
      </c>
      <c r="G65" s="6">
        <f>Исходн.данные.!AJ65</f>
        <v>0</v>
      </c>
      <c r="H65" s="6">
        <f>Исходн.данные.!AK65</f>
        <v>0</v>
      </c>
      <c r="I65" s="9">
        <f>IF($F65=0,0,Расчет2!AO65)</f>
        <v>0</v>
      </c>
      <c r="J65" s="9">
        <f>IF(F65=0,0,Расчет2!AP65)</f>
        <v>0</v>
      </c>
      <c r="K65" s="10">
        <f>IF($F65=0,0,Расчет2!AQ65)</f>
        <v>0</v>
      </c>
      <c r="L65" s="10">
        <f>IF($F65=0,0,Расчет2!AR65)</f>
        <v>0</v>
      </c>
      <c r="M65" s="10">
        <f>IF($F65=0,0,Расчет2!AS65)</f>
        <v>0</v>
      </c>
      <c r="N65" s="10">
        <f>IF($F65=0,0,IF(Исходн.данные.!$AP65="Посл.посева",0,Расчет2!AT65))</f>
        <v>0</v>
      </c>
      <c r="O65" s="10">
        <f>IF($F65=0,0,IF(Исходн.данные.!$AP65="Посл.посева",0,IF(Расчет2!AU65&lt;10,10,Расчет2!AU65)))</f>
        <v>0</v>
      </c>
      <c r="P65" s="10">
        <f>IF($F65=0,0,IF(Исходн.данные.!$AP65="Посл.посева",0,Расчет2!AV65))</f>
        <v>0</v>
      </c>
      <c r="Q65" s="10">
        <f>IF($F65=0,0,Расчет2!AW65)</f>
        <v>0</v>
      </c>
      <c r="R65" s="10">
        <f>IF($F65=0,0,Расчет2!AX65)</f>
        <v>0</v>
      </c>
      <c r="S65" s="9">
        <f>IF($F65=0,0,Расчет2!AY65)</f>
        <v>0</v>
      </c>
      <c r="T65" s="10">
        <f>IF($F65=0,0,Расчет2!AZ65)</f>
        <v>0</v>
      </c>
      <c r="U65" s="10">
        <f>IF($F65=0,0,Расчет2!BA65)</f>
        <v>0</v>
      </c>
      <c r="V65" s="10">
        <f>IF($F65=0,0,Расчет2!BB65)</f>
        <v>0</v>
      </c>
      <c r="W65" s="10">
        <f>Расчет!DL65</f>
        <v>0</v>
      </c>
      <c r="X65" s="10">
        <f>Расчет!DN65</f>
        <v>0</v>
      </c>
      <c r="Y65" s="9">
        <f>X65*Исходн.данные.!$AJ65/1000</f>
        <v>0</v>
      </c>
      <c r="Z65" s="10" t="str">
        <f>Расчет!DO65</f>
        <v>Хлор.калий</v>
      </c>
      <c r="AA65" s="10">
        <f>Расчет!DQ65</f>
        <v>0</v>
      </c>
      <c r="AB65" s="12">
        <f>AA65*Исходн.данные.!$AJ65/1000</f>
        <v>0</v>
      </c>
      <c r="AC65" s="9">
        <f>IF($F65=0,0,Расчет2!BC65)</f>
        <v>0</v>
      </c>
      <c r="AD65" s="10">
        <f>IF($F65=0,0,Расчет2!BD65)</f>
        <v>0</v>
      </c>
      <c r="AE65" s="9">
        <f>IF($F65=0,0,Расчет2!BE65)</f>
        <v>0</v>
      </c>
      <c r="AF65" s="9">
        <f>IF($F65=0,0,Расчет2!BF65)</f>
        <v>0</v>
      </c>
      <c r="AG65" s="9">
        <f>IF($F65=0,0,Расчет2!BG65)</f>
        <v>0</v>
      </c>
      <c r="AI65" s="11" t="e">
        <f>Расчет!FY65</f>
        <v>#N/A</v>
      </c>
      <c r="AJ65" s="11" t="e">
        <f>Расчет!FZ65</f>
        <v>#N/A</v>
      </c>
      <c r="AK65" s="11" t="e">
        <f>Расчет!GA65</f>
        <v>#N/A</v>
      </c>
      <c r="AL65" s="11" t="e">
        <f>Расчет!GB65</f>
        <v>#N/A</v>
      </c>
      <c r="AM65" s="11" t="e">
        <f>Расчет!GC65</f>
        <v>#N/A</v>
      </c>
      <c r="AN65" s="11" t="e">
        <f>Расчет!GD65</f>
        <v>#N/A</v>
      </c>
      <c r="AO65" s="11" t="e">
        <f>Расчет!GE65</f>
        <v>#N/A</v>
      </c>
      <c r="AP65" s="11" t="e">
        <f>Расчет!GF65</f>
        <v>#N/A</v>
      </c>
      <c r="AQ65" s="11" t="e">
        <f>Расчет!GG65</f>
        <v>#N/A</v>
      </c>
      <c r="AR65" s="11" t="e">
        <f>Расчет!GH65</f>
        <v>#N/A</v>
      </c>
      <c r="AS65" s="11" t="e">
        <f>Расчет!GI65</f>
        <v>#N/A</v>
      </c>
      <c r="AT65" s="11" t="e">
        <f>Расчет!GJ65</f>
        <v>#N/A</v>
      </c>
      <c r="AU65" s="198" t="e">
        <f t="shared" si="9"/>
        <v>#N/A</v>
      </c>
      <c r="AV65" s="198" t="e">
        <f t="shared" si="10"/>
        <v>#N/A</v>
      </c>
      <c r="AW65" s="198" t="e">
        <f t="shared" si="11"/>
        <v>#N/A</v>
      </c>
      <c r="AX65" s="11" t="e">
        <f t="shared" si="12"/>
        <v>#N/A</v>
      </c>
      <c r="AY65" s="11" t="e">
        <f t="shared" si="13"/>
        <v>#N/A</v>
      </c>
      <c r="AZ65" s="11" t="e">
        <f t="shared" si="14"/>
        <v>#N/A</v>
      </c>
    </row>
    <row r="66" spans="1:52" x14ac:dyDescent="0.2">
      <c r="A66" s="6">
        <f>Исходн.данные.!A66</f>
        <v>0</v>
      </c>
      <c r="B66" s="6">
        <f>Исходн.данные.!B66</f>
        <v>0</v>
      </c>
      <c r="C66" s="6">
        <f>Исходн.данные.!C66</f>
        <v>0</v>
      </c>
      <c r="D66" s="6">
        <f>Исходн.данные.!D66</f>
        <v>0</v>
      </c>
      <c r="E66" s="6">
        <f>Исходн.данные.!E66</f>
        <v>0</v>
      </c>
      <c r="F66" s="6">
        <f>Исходн.данные.!AH66</f>
        <v>0</v>
      </c>
      <c r="G66" s="6">
        <f>Исходн.данные.!AJ66</f>
        <v>0</v>
      </c>
      <c r="H66" s="6">
        <f>Исходн.данные.!AK66</f>
        <v>0</v>
      </c>
      <c r="I66" s="9">
        <f>IF($F66=0,0,Расчет2!AO66)</f>
        <v>0</v>
      </c>
      <c r="J66" s="9">
        <f>IF(F66=0,0,Расчет2!AP66)</f>
        <v>0</v>
      </c>
      <c r="K66" s="10">
        <f>IF($F66=0,0,Расчет2!AQ66)</f>
        <v>0</v>
      </c>
      <c r="L66" s="10">
        <f>IF($F66=0,0,Расчет2!AR66)</f>
        <v>0</v>
      </c>
      <c r="M66" s="10">
        <f>IF($F66=0,0,Расчет2!AS66)</f>
        <v>0</v>
      </c>
      <c r="N66" s="10">
        <f>IF($F66=0,0,IF(Исходн.данные.!$AP66="Посл.посева",0,Расчет2!AT66))</f>
        <v>0</v>
      </c>
      <c r="O66" s="10">
        <f>IF($F66=0,0,IF(Исходн.данные.!$AP66="Посл.посева",0,IF(Расчет2!AU66&lt;10,10,Расчет2!AU66)))</f>
        <v>0</v>
      </c>
      <c r="P66" s="10">
        <f>IF($F66=0,0,IF(Исходн.данные.!$AP66="Посл.посева",0,Расчет2!AV66))</f>
        <v>0</v>
      </c>
      <c r="Q66" s="10">
        <f>IF($F66=0,0,Расчет2!AW66)</f>
        <v>0</v>
      </c>
      <c r="R66" s="10">
        <f>IF($F66=0,0,Расчет2!AX66)</f>
        <v>0</v>
      </c>
      <c r="S66" s="9">
        <f>IF($F66=0,0,Расчет2!AY66)</f>
        <v>0</v>
      </c>
      <c r="T66" s="10">
        <f>IF($F66=0,0,Расчет2!AZ66)</f>
        <v>0</v>
      </c>
      <c r="U66" s="10">
        <f>IF($F66=0,0,Расчет2!BA66)</f>
        <v>0</v>
      </c>
      <c r="V66" s="10">
        <f>IF($F66=0,0,Расчет2!BB66)</f>
        <v>0</v>
      </c>
      <c r="W66" s="10">
        <f>Расчет!DL66</f>
        <v>0</v>
      </c>
      <c r="X66" s="10">
        <f>Расчет!DN66</f>
        <v>0</v>
      </c>
      <c r="Y66" s="9">
        <f>X66*Исходн.данные.!$AJ66/1000</f>
        <v>0</v>
      </c>
      <c r="Z66" s="10" t="str">
        <f>Расчет!DO66</f>
        <v>Хлор.калий</v>
      </c>
      <c r="AA66" s="10">
        <f>Расчет!DQ66</f>
        <v>0</v>
      </c>
      <c r="AB66" s="12">
        <f>AA66*Исходн.данные.!$AJ66/1000</f>
        <v>0</v>
      </c>
      <c r="AC66" s="9">
        <f>IF($F66=0,0,Расчет2!BC66)</f>
        <v>0</v>
      </c>
      <c r="AD66" s="10">
        <f>IF($F66=0,0,Расчет2!BD66)</f>
        <v>0</v>
      </c>
      <c r="AE66" s="9">
        <f>IF($F66=0,0,Расчет2!BE66)</f>
        <v>0</v>
      </c>
      <c r="AF66" s="9">
        <f>IF($F66=0,0,Расчет2!BF66)</f>
        <v>0</v>
      </c>
      <c r="AG66" s="9">
        <f>IF($F66=0,0,Расчет2!BG66)</f>
        <v>0</v>
      </c>
      <c r="AI66" s="11" t="e">
        <f>Расчет!FY66</f>
        <v>#N/A</v>
      </c>
      <c r="AJ66" s="11" t="e">
        <f>Расчет!FZ66</f>
        <v>#N/A</v>
      </c>
      <c r="AK66" s="11" t="e">
        <f>Расчет!GA66</f>
        <v>#N/A</v>
      </c>
      <c r="AL66" s="11" t="e">
        <f>Расчет!GB66</f>
        <v>#N/A</v>
      </c>
      <c r="AM66" s="11" t="e">
        <f>Расчет!GC66</f>
        <v>#N/A</v>
      </c>
      <c r="AN66" s="11" t="e">
        <f>Расчет!GD66</f>
        <v>#N/A</v>
      </c>
      <c r="AO66" s="11" t="e">
        <f>Расчет!GE66</f>
        <v>#N/A</v>
      </c>
      <c r="AP66" s="11" t="e">
        <f>Расчет!GF66</f>
        <v>#N/A</v>
      </c>
      <c r="AQ66" s="11" t="e">
        <f>Расчет!GG66</f>
        <v>#N/A</v>
      </c>
      <c r="AR66" s="11" t="e">
        <f>Расчет!GH66</f>
        <v>#N/A</v>
      </c>
      <c r="AS66" s="11" t="e">
        <f>Расчет!GI66</f>
        <v>#N/A</v>
      </c>
      <c r="AT66" s="11" t="e">
        <f>Расчет!GJ66</f>
        <v>#N/A</v>
      </c>
      <c r="AU66" s="198" t="e">
        <f t="shared" si="9"/>
        <v>#N/A</v>
      </c>
      <c r="AV66" s="198" t="e">
        <f t="shared" si="10"/>
        <v>#N/A</v>
      </c>
      <c r="AW66" s="198" t="e">
        <f t="shared" si="11"/>
        <v>#N/A</v>
      </c>
      <c r="AX66" s="11" t="e">
        <f t="shared" si="12"/>
        <v>#N/A</v>
      </c>
      <c r="AY66" s="11" t="e">
        <f t="shared" si="13"/>
        <v>#N/A</v>
      </c>
      <c r="AZ66" s="11" t="e">
        <f t="shared" si="14"/>
        <v>#N/A</v>
      </c>
    </row>
    <row r="67" spans="1:52" x14ac:dyDescent="0.2">
      <c r="A67" s="6">
        <f>Исходн.данные.!A67</f>
        <v>0</v>
      </c>
      <c r="B67" s="6">
        <f>Исходн.данные.!B67</f>
        <v>0</v>
      </c>
      <c r="C67" s="6">
        <f>Исходн.данные.!C67</f>
        <v>0</v>
      </c>
      <c r="D67" s="6">
        <f>Исходн.данные.!D67</f>
        <v>0</v>
      </c>
      <c r="E67" s="6">
        <f>Исходн.данные.!E67</f>
        <v>0</v>
      </c>
      <c r="F67" s="6">
        <f>Исходн.данные.!AH67</f>
        <v>0</v>
      </c>
      <c r="G67" s="6">
        <f>Исходн.данные.!AJ67</f>
        <v>0</v>
      </c>
      <c r="H67" s="6">
        <f>Исходн.данные.!AK67</f>
        <v>0</v>
      </c>
      <c r="I67" s="9">
        <f>IF($F67=0,0,Расчет2!AO67)</f>
        <v>0</v>
      </c>
      <c r="J67" s="9">
        <f>IF(F67=0,0,Расчет2!AP67)</f>
        <v>0</v>
      </c>
      <c r="K67" s="10">
        <f>IF($F67=0,0,Расчет2!AQ67)</f>
        <v>0</v>
      </c>
      <c r="L67" s="10">
        <f>IF($F67=0,0,Расчет2!AR67)</f>
        <v>0</v>
      </c>
      <c r="M67" s="10">
        <f>IF($F67=0,0,Расчет2!AS67)</f>
        <v>0</v>
      </c>
      <c r="N67" s="10">
        <f>IF($F67=0,0,IF(Исходн.данные.!$AP67="Посл.посева",0,Расчет2!AT67))</f>
        <v>0</v>
      </c>
      <c r="O67" s="10">
        <f>IF($F67=0,0,IF(Исходн.данные.!$AP67="Посл.посева",0,IF(Расчет2!AU67&lt;10,10,Расчет2!AU67)))</f>
        <v>0</v>
      </c>
      <c r="P67" s="10">
        <f>IF($F67=0,0,IF(Исходн.данные.!$AP67="Посл.посева",0,Расчет2!AV67))</f>
        <v>0</v>
      </c>
      <c r="Q67" s="10">
        <f>IF($F67=0,0,Расчет2!AW67)</f>
        <v>0</v>
      </c>
      <c r="R67" s="10">
        <f>IF($F67=0,0,Расчет2!AX67)</f>
        <v>0</v>
      </c>
      <c r="S67" s="9">
        <f>IF($F67=0,0,Расчет2!AY67)</f>
        <v>0</v>
      </c>
      <c r="T67" s="10">
        <f>IF($F67=0,0,Расчет2!AZ67)</f>
        <v>0</v>
      </c>
      <c r="U67" s="10">
        <f>IF($F67=0,0,Расчет2!BA67)</f>
        <v>0</v>
      </c>
      <c r="V67" s="10">
        <f>IF($F67=0,0,Расчет2!BB67)</f>
        <v>0</v>
      </c>
      <c r="W67" s="10">
        <f>Расчет!DL67</f>
        <v>0</v>
      </c>
      <c r="X67" s="10">
        <f>Расчет!DN67</f>
        <v>0</v>
      </c>
      <c r="Y67" s="9">
        <f>X67*Исходн.данные.!$AJ67/1000</f>
        <v>0</v>
      </c>
      <c r="Z67" s="10" t="str">
        <f>Расчет!DO67</f>
        <v>Хлор.калий</v>
      </c>
      <c r="AA67" s="10">
        <f>Расчет!DQ67</f>
        <v>0</v>
      </c>
      <c r="AB67" s="12">
        <f>AA67*Исходн.данные.!$AJ67/1000</f>
        <v>0</v>
      </c>
      <c r="AC67" s="9">
        <f>IF($F67=0,0,Расчет2!BC67)</f>
        <v>0</v>
      </c>
      <c r="AD67" s="10">
        <f>IF($F67=0,0,Расчет2!BD67)</f>
        <v>0</v>
      </c>
      <c r="AE67" s="9">
        <f>IF($F67=0,0,Расчет2!BE67)</f>
        <v>0</v>
      </c>
      <c r="AF67" s="9">
        <f>IF($F67=0,0,Расчет2!BF67)</f>
        <v>0</v>
      </c>
      <c r="AG67" s="9">
        <f>IF($F67=0,0,Расчет2!BG67)</f>
        <v>0</v>
      </c>
      <c r="AI67" s="11" t="e">
        <f>Расчет!FY67</f>
        <v>#N/A</v>
      </c>
      <c r="AJ67" s="11" t="e">
        <f>Расчет!FZ67</f>
        <v>#N/A</v>
      </c>
      <c r="AK67" s="11" t="e">
        <f>Расчет!GA67</f>
        <v>#N/A</v>
      </c>
      <c r="AL67" s="11" t="e">
        <f>Расчет!GB67</f>
        <v>#N/A</v>
      </c>
      <c r="AM67" s="11" t="e">
        <f>Расчет!GC67</f>
        <v>#N/A</v>
      </c>
      <c r="AN67" s="11" t="e">
        <f>Расчет!GD67</f>
        <v>#N/A</v>
      </c>
      <c r="AO67" s="11" t="e">
        <f>Расчет!GE67</f>
        <v>#N/A</v>
      </c>
      <c r="AP67" s="11" t="e">
        <f>Расчет!GF67</f>
        <v>#N/A</v>
      </c>
      <c r="AQ67" s="11" t="e">
        <f>Расчет!GG67</f>
        <v>#N/A</v>
      </c>
      <c r="AR67" s="11" t="e">
        <f>Расчет!GH67</f>
        <v>#N/A</v>
      </c>
      <c r="AS67" s="11" t="e">
        <f>Расчет!GI67</f>
        <v>#N/A</v>
      </c>
      <c r="AT67" s="11" t="e">
        <f>Расчет!GJ67</f>
        <v>#N/A</v>
      </c>
      <c r="AU67" s="198" t="e">
        <f t="shared" si="9"/>
        <v>#N/A</v>
      </c>
      <c r="AV67" s="198" t="e">
        <f t="shared" si="10"/>
        <v>#N/A</v>
      </c>
      <c r="AW67" s="198" t="e">
        <f t="shared" si="11"/>
        <v>#N/A</v>
      </c>
      <c r="AX67" s="11" t="e">
        <f t="shared" si="12"/>
        <v>#N/A</v>
      </c>
      <c r="AY67" s="11" t="e">
        <f t="shared" si="13"/>
        <v>#N/A</v>
      </c>
      <c r="AZ67" s="11" t="e">
        <f t="shared" si="14"/>
        <v>#N/A</v>
      </c>
    </row>
    <row r="68" spans="1:52" x14ac:dyDescent="0.2">
      <c r="A68" s="6">
        <f>Исходн.данные.!A68</f>
        <v>0</v>
      </c>
      <c r="B68" s="6">
        <f>Исходн.данные.!B68</f>
        <v>0</v>
      </c>
      <c r="C68" s="6">
        <f>Исходн.данные.!C68</f>
        <v>0</v>
      </c>
      <c r="D68" s="6">
        <f>Исходн.данные.!D68</f>
        <v>0</v>
      </c>
      <c r="E68" s="6">
        <f>Исходн.данные.!E68</f>
        <v>0</v>
      </c>
      <c r="F68" s="6">
        <f>Исходн.данные.!AH68</f>
        <v>0</v>
      </c>
      <c r="G68" s="6">
        <f>Исходн.данные.!AJ68</f>
        <v>0</v>
      </c>
      <c r="H68" s="6">
        <f>Исходн.данные.!AK68</f>
        <v>0</v>
      </c>
      <c r="I68" s="9">
        <f>IF($F68=0,0,Расчет2!AO68)</f>
        <v>0</v>
      </c>
      <c r="J68" s="9">
        <f>IF(F68=0,0,Расчет2!AP68)</f>
        <v>0</v>
      </c>
      <c r="K68" s="10">
        <f>IF($F68=0,0,Расчет2!AQ68)</f>
        <v>0</v>
      </c>
      <c r="L68" s="10">
        <f>IF($F68=0,0,Расчет2!AR68)</f>
        <v>0</v>
      </c>
      <c r="M68" s="10">
        <f>IF($F68=0,0,Расчет2!AS68)</f>
        <v>0</v>
      </c>
      <c r="N68" s="10">
        <f>IF($F68=0,0,IF(Исходн.данные.!$AP68="Посл.посева",0,Расчет2!AT68))</f>
        <v>0</v>
      </c>
      <c r="O68" s="10">
        <f>IF($F68=0,0,IF(Исходн.данные.!$AP68="Посл.посева",0,IF(Расчет2!AU68&lt;10,10,Расчет2!AU68)))</f>
        <v>0</v>
      </c>
      <c r="P68" s="10">
        <f>IF($F68=0,0,IF(Исходн.данные.!$AP68="Посл.посева",0,Расчет2!AV68))</f>
        <v>0</v>
      </c>
      <c r="Q68" s="10">
        <f>IF($F68=0,0,Расчет2!AW68)</f>
        <v>0</v>
      </c>
      <c r="R68" s="10">
        <f>IF($F68=0,0,Расчет2!AX68)</f>
        <v>0</v>
      </c>
      <c r="S68" s="9">
        <f>IF($F68=0,0,Расчет2!AY68)</f>
        <v>0</v>
      </c>
      <c r="T68" s="10">
        <f>IF($F68=0,0,Расчет2!AZ68)</f>
        <v>0</v>
      </c>
      <c r="U68" s="10">
        <f>IF($F68=0,0,Расчет2!BA68)</f>
        <v>0</v>
      </c>
      <c r="V68" s="10">
        <f>IF($F68=0,0,Расчет2!BB68)</f>
        <v>0</v>
      </c>
      <c r="W68" s="10">
        <f>Расчет!DL68</f>
        <v>0</v>
      </c>
      <c r="X68" s="10">
        <f>Расчет!DN68</f>
        <v>0</v>
      </c>
      <c r="Y68" s="9">
        <f>X68*Исходн.данные.!$AJ68/1000</f>
        <v>0</v>
      </c>
      <c r="Z68" s="10" t="str">
        <f>Расчет!DO68</f>
        <v>Хлор.калий</v>
      </c>
      <c r="AA68" s="10">
        <f>Расчет!DQ68</f>
        <v>0</v>
      </c>
      <c r="AB68" s="12">
        <f>AA68*Исходн.данные.!$AJ68/1000</f>
        <v>0</v>
      </c>
      <c r="AC68" s="9">
        <f>IF($F68=0,0,Расчет2!BC68)</f>
        <v>0</v>
      </c>
      <c r="AD68" s="10">
        <f>IF($F68=0,0,Расчет2!BD68)</f>
        <v>0</v>
      </c>
      <c r="AE68" s="9">
        <f>IF($F68=0,0,Расчет2!BE68)</f>
        <v>0</v>
      </c>
      <c r="AF68" s="9">
        <f>IF($F68=0,0,Расчет2!BF68)</f>
        <v>0</v>
      </c>
      <c r="AG68" s="9">
        <f>IF($F68=0,0,Расчет2!BG68)</f>
        <v>0</v>
      </c>
      <c r="AI68" s="11" t="e">
        <f>Расчет!FY68</f>
        <v>#N/A</v>
      </c>
      <c r="AJ68" s="11" t="e">
        <f>Расчет!FZ68</f>
        <v>#N/A</v>
      </c>
      <c r="AK68" s="11" t="e">
        <f>Расчет!GA68</f>
        <v>#N/A</v>
      </c>
      <c r="AL68" s="11" t="e">
        <f>Расчет!GB68</f>
        <v>#N/A</v>
      </c>
      <c r="AM68" s="11" t="e">
        <f>Расчет!GC68</f>
        <v>#N/A</v>
      </c>
      <c r="AN68" s="11" t="e">
        <f>Расчет!GD68</f>
        <v>#N/A</v>
      </c>
      <c r="AO68" s="11" t="e">
        <f>Расчет!GE68</f>
        <v>#N/A</v>
      </c>
      <c r="AP68" s="11" t="e">
        <f>Расчет!GF68</f>
        <v>#N/A</v>
      </c>
      <c r="AQ68" s="11" t="e">
        <f>Расчет!GG68</f>
        <v>#N/A</v>
      </c>
      <c r="AR68" s="11" t="e">
        <f>Расчет!GH68</f>
        <v>#N/A</v>
      </c>
      <c r="AS68" s="11" t="e">
        <f>Расчет!GI68</f>
        <v>#N/A</v>
      </c>
      <c r="AT68" s="11" t="e">
        <f>Расчет!GJ68</f>
        <v>#N/A</v>
      </c>
      <c r="AU68" s="198" t="e">
        <f t="shared" si="9"/>
        <v>#N/A</v>
      </c>
      <c r="AV68" s="198" t="e">
        <f t="shared" si="10"/>
        <v>#N/A</v>
      </c>
      <c r="AW68" s="198" t="e">
        <f t="shared" si="11"/>
        <v>#N/A</v>
      </c>
      <c r="AX68" s="11" t="e">
        <f t="shared" si="12"/>
        <v>#N/A</v>
      </c>
      <c r="AY68" s="11" t="e">
        <f t="shared" si="13"/>
        <v>#N/A</v>
      </c>
      <c r="AZ68" s="11" t="e">
        <f t="shared" si="14"/>
        <v>#N/A</v>
      </c>
    </row>
    <row r="69" spans="1:52" x14ac:dyDescent="0.2">
      <c r="A69" s="6">
        <f>Исходн.данные.!A69</f>
        <v>0</v>
      </c>
      <c r="B69" s="6">
        <f>Исходн.данные.!B69</f>
        <v>0</v>
      </c>
      <c r="C69" s="6">
        <f>Исходн.данные.!C69</f>
        <v>0</v>
      </c>
      <c r="D69" s="6">
        <f>Исходн.данные.!D69</f>
        <v>0</v>
      </c>
      <c r="E69" s="6">
        <f>Исходн.данные.!E69</f>
        <v>0</v>
      </c>
      <c r="F69" s="6">
        <f>Исходн.данные.!AH69</f>
        <v>0</v>
      </c>
      <c r="G69" s="6">
        <f>Исходн.данные.!AJ69</f>
        <v>0</v>
      </c>
      <c r="H69" s="6">
        <f>Исходн.данные.!AK69</f>
        <v>0</v>
      </c>
      <c r="I69" s="9">
        <f>IF($F69=0,0,Расчет2!AO69)</f>
        <v>0</v>
      </c>
      <c r="J69" s="9">
        <f>IF(F69=0,0,Расчет2!AP69)</f>
        <v>0</v>
      </c>
      <c r="K69" s="10">
        <f>IF($F69=0,0,Расчет2!AQ69)</f>
        <v>0</v>
      </c>
      <c r="L69" s="10">
        <f>IF($F69=0,0,Расчет2!AR69)</f>
        <v>0</v>
      </c>
      <c r="M69" s="10">
        <f>IF($F69=0,0,Расчет2!AS69)</f>
        <v>0</v>
      </c>
      <c r="N69" s="10">
        <f>IF($F69=0,0,IF(Исходн.данные.!$AP69="Посл.посева",0,Расчет2!AT69))</f>
        <v>0</v>
      </c>
      <c r="O69" s="10">
        <f>IF($F69=0,0,IF(Исходн.данные.!$AP69="Посл.посева",0,IF(Расчет2!AU69&lt;10,10,Расчет2!AU69)))</f>
        <v>0</v>
      </c>
      <c r="P69" s="10">
        <f>IF($F69=0,0,IF(Исходн.данные.!$AP69="Посл.посева",0,Расчет2!AV69))</f>
        <v>0</v>
      </c>
      <c r="Q69" s="10">
        <f>IF($F69=0,0,Расчет2!AW69)</f>
        <v>0</v>
      </c>
      <c r="R69" s="10">
        <f>IF($F69=0,0,Расчет2!AX69)</f>
        <v>0</v>
      </c>
      <c r="S69" s="9">
        <f>IF($F69=0,0,Расчет2!AY69)</f>
        <v>0</v>
      </c>
      <c r="T69" s="10">
        <f>IF($F69=0,0,Расчет2!AZ69)</f>
        <v>0</v>
      </c>
      <c r="U69" s="10">
        <f>IF($F69=0,0,Расчет2!BA69)</f>
        <v>0</v>
      </c>
      <c r="V69" s="10">
        <f>IF($F69=0,0,Расчет2!BB69)</f>
        <v>0</v>
      </c>
      <c r="W69" s="10">
        <f>Расчет!DL69</f>
        <v>0</v>
      </c>
      <c r="X69" s="10">
        <f>Расчет!DN69</f>
        <v>0</v>
      </c>
      <c r="Y69" s="9">
        <f>X69*Исходн.данные.!$AJ69/1000</f>
        <v>0</v>
      </c>
      <c r="Z69" s="10" t="str">
        <f>Расчет!DO69</f>
        <v>Хлор.калий</v>
      </c>
      <c r="AA69" s="10">
        <f>Расчет!DQ69</f>
        <v>0</v>
      </c>
      <c r="AB69" s="12">
        <f>AA69*Исходн.данные.!$AJ69/1000</f>
        <v>0</v>
      </c>
      <c r="AC69" s="9">
        <f>IF($F69=0,0,Расчет2!BC69)</f>
        <v>0</v>
      </c>
      <c r="AD69" s="10">
        <f>IF($F69=0,0,Расчет2!BD69)</f>
        <v>0</v>
      </c>
      <c r="AE69" s="9">
        <f>IF($F69=0,0,Расчет2!BE69)</f>
        <v>0</v>
      </c>
      <c r="AF69" s="9">
        <f>IF($F69=0,0,Расчет2!BF69)</f>
        <v>0</v>
      </c>
      <c r="AG69" s="9">
        <f>IF($F69=0,0,Расчет2!BG69)</f>
        <v>0</v>
      </c>
      <c r="AI69" s="11" t="e">
        <f>Расчет!FY69</f>
        <v>#N/A</v>
      </c>
      <c r="AJ69" s="11" t="e">
        <f>Расчет!FZ69</f>
        <v>#N/A</v>
      </c>
      <c r="AK69" s="11" t="e">
        <f>Расчет!GA69</f>
        <v>#N/A</v>
      </c>
      <c r="AL69" s="11" t="e">
        <f>Расчет!GB69</f>
        <v>#N/A</v>
      </c>
      <c r="AM69" s="11" t="e">
        <f>Расчет!GC69</f>
        <v>#N/A</v>
      </c>
      <c r="AN69" s="11" t="e">
        <f>Расчет!GD69</f>
        <v>#N/A</v>
      </c>
      <c r="AO69" s="11" t="e">
        <f>Расчет!GE69</f>
        <v>#N/A</v>
      </c>
      <c r="AP69" s="11" t="e">
        <f>Расчет!GF69</f>
        <v>#N/A</v>
      </c>
      <c r="AQ69" s="11" t="e">
        <f>Расчет!GG69</f>
        <v>#N/A</v>
      </c>
      <c r="AR69" s="11" t="e">
        <f>Расчет!GH69</f>
        <v>#N/A</v>
      </c>
      <c r="AS69" s="11" t="e">
        <f>Расчет!GI69</f>
        <v>#N/A</v>
      </c>
      <c r="AT69" s="11" t="e">
        <f>Расчет!GJ69</f>
        <v>#N/A</v>
      </c>
      <c r="AU69" s="198" t="e">
        <f t="shared" si="9"/>
        <v>#N/A</v>
      </c>
      <c r="AV69" s="198" t="e">
        <f t="shared" si="10"/>
        <v>#N/A</v>
      </c>
      <c r="AW69" s="198" t="e">
        <f t="shared" si="11"/>
        <v>#N/A</v>
      </c>
      <c r="AX69" s="11" t="e">
        <f t="shared" si="12"/>
        <v>#N/A</v>
      </c>
      <c r="AY69" s="11" t="e">
        <f t="shared" si="13"/>
        <v>#N/A</v>
      </c>
      <c r="AZ69" s="11" t="e">
        <f t="shared" si="14"/>
        <v>#N/A</v>
      </c>
    </row>
    <row r="70" spans="1:52" x14ac:dyDescent="0.2">
      <c r="A70" s="6">
        <f>Исходн.данные.!A70</f>
        <v>0</v>
      </c>
      <c r="B70" s="6">
        <f>Исходн.данные.!B70</f>
        <v>0</v>
      </c>
      <c r="C70" s="6">
        <f>Исходн.данные.!C70</f>
        <v>0</v>
      </c>
      <c r="D70" s="6">
        <f>Исходн.данные.!D70</f>
        <v>0</v>
      </c>
      <c r="E70" s="6">
        <f>Исходн.данные.!E70</f>
        <v>0</v>
      </c>
      <c r="F70" s="6">
        <f>Исходн.данные.!AH70</f>
        <v>0</v>
      </c>
      <c r="G70" s="6">
        <f>Исходн.данные.!AJ70</f>
        <v>0</v>
      </c>
      <c r="H70" s="6">
        <f>Исходн.данные.!AK70</f>
        <v>0</v>
      </c>
      <c r="I70" s="9">
        <f>IF($F70=0,0,Расчет2!AO70)</f>
        <v>0</v>
      </c>
      <c r="J70" s="9">
        <f>IF(F70=0,0,Расчет2!AP70)</f>
        <v>0</v>
      </c>
      <c r="K70" s="10">
        <f>IF($F70=0,0,Расчет2!AQ70)</f>
        <v>0</v>
      </c>
      <c r="L70" s="10">
        <f>IF($F70=0,0,Расчет2!AR70)</f>
        <v>0</v>
      </c>
      <c r="M70" s="10">
        <f>IF($F70=0,0,Расчет2!AS70)</f>
        <v>0</v>
      </c>
      <c r="N70" s="10">
        <f>IF($F70=0,0,IF(Исходн.данные.!$AP70="Посл.посева",0,Расчет2!AT70))</f>
        <v>0</v>
      </c>
      <c r="O70" s="10">
        <f>IF($F70=0,0,IF(Исходн.данные.!$AP70="Посл.посева",0,IF(Расчет2!AU70&lt;10,10,Расчет2!AU70)))</f>
        <v>0</v>
      </c>
      <c r="P70" s="10">
        <f>IF($F70=0,0,IF(Исходн.данные.!$AP70="Посл.посева",0,Расчет2!AV70))</f>
        <v>0</v>
      </c>
      <c r="Q70" s="10">
        <f>IF($F70=0,0,Расчет2!AW70)</f>
        <v>0</v>
      </c>
      <c r="R70" s="10">
        <f>IF($F70=0,0,Расчет2!AX70)</f>
        <v>0</v>
      </c>
      <c r="S70" s="9">
        <f>IF($F70=0,0,Расчет2!AY70)</f>
        <v>0</v>
      </c>
      <c r="T70" s="10">
        <f>IF($F70=0,0,Расчет2!AZ70)</f>
        <v>0</v>
      </c>
      <c r="U70" s="10">
        <f>IF($F70=0,0,Расчет2!BA70)</f>
        <v>0</v>
      </c>
      <c r="V70" s="10">
        <f>IF($F70=0,0,Расчет2!BB70)</f>
        <v>0</v>
      </c>
      <c r="W70" s="10">
        <f>Расчет!DL70</f>
        <v>0</v>
      </c>
      <c r="X70" s="10">
        <f>Расчет!DN70</f>
        <v>0</v>
      </c>
      <c r="Y70" s="9">
        <f>X70*Исходн.данные.!$AJ70/1000</f>
        <v>0</v>
      </c>
      <c r="Z70" s="10" t="str">
        <f>Расчет!DO70</f>
        <v>Хлор.калий</v>
      </c>
      <c r="AA70" s="10">
        <f>Расчет!DQ70</f>
        <v>0</v>
      </c>
      <c r="AB70" s="12">
        <f>AA70*Исходн.данные.!$AJ70/1000</f>
        <v>0</v>
      </c>
      <c r="AC70" s="9">
        <f>IF($F70=0,0,Расчет2!BC70)</f>
        <v>0</v>
      </c>
      <c r="AD70" s="10">
        <f>IF($F70=0,0,Расчет2!BD70)</f>
        <v>0</v>
      </c>
      <c r="AE70" s="9">
        <f>IF($F70=0,0,Расчет2!BE70)</f>
        <v>0</v>
      </c>
      <c r="AF70" s="9">
        <f>IF($F70=0,0,Расчет2!BF70)</f>
        <v>0</v>
      </c>
      <c r="AG70" s="9">
        <f>IF($F70=0,0,Расчет2!BG70)</f>
        <v>0</v>
      </c>
      <c r="AI70" s="11" t="e">
        <f>Расчет!FY70</f>
        <v>#N/A</v>
      </c>
      <c r="AJ70" s="11" t="e">
        <f>Расчет!FZ70</f>
        <v>#N/A</v>
      </c>
      <c r="AK70" s="11" t="e">
        <f>Расчет!GA70</f>
        <v>#N/A</v>
      </c>
      <c r="AL70" s="11" t="e">
        <f>Расчет!GB70</f>
        <v>#N/A</v>
      </c>
      <c r="AM70" s="11" t="e">
        <f>Расчет!GC70</f>
        <v>#N/A</v>
      </c>
      <c r="AN70" s="11" t="e">
        <f>Расчет!GD70</f>
        <v>#N/A</v>
      </c>
      <c r="AO70" s="11" t="e">
        <f>Расчет!GE70</f>
        <v>#N/A</v>
      </c>
      <c r="AP70" s="11" t="e">
        <f>Расчет!GF70</f>
        <v>#N/A</v>
      </c>
      <c r="AQ70" s="11" t="e">
        <f>Расчет!GG70</f>
        <v>#N/A</v>
      </c>
      <c r="AR70" s="11" t="e">
        <f>Расчет!GH70</f>
        <v>#N/A</v>
      </c>
      <c r="AS70" s="11" t="e">
        <f>Расчет!GI70</f>
        <v>#N/A</v>
      </c>
      <c r="AT70" s="11" t="e">
        <f>Расчет!GJ70</f>
        <v>#N/A</v>
      </c>
      <c r="AU70" s="198" t="e">
        <f t="shared" si="9"/>
        <v>#N/A</v>
      </c>
      <c r="AV70" s="198" t="e">
        <f t="shared" si="10"/>
        <v>#N/A</v>
      </c>
      <c r="AW70" s="198" t="e">
        <f t="shared" si="11"/>
        <v>#N/A</v>
      </c>
      <c r="AX70" s="11" t="e">
        <f t="shared" si="12"/>
        <v>#N/A</v>
      </c>
      <c r="AY70" s="11" t="e">
        <f t="shared" si="13"/>
        <v>#N/A</v>
      </c>
      <c r="AZ70" s="11" t="e">
        <f t="shared" si="14"/>
        <v>#N/A</v>
      </c>
    </row>
    <row r="71" spans="1:52" x14ac:dyDescent="0.2">
      <c r="A71" s="6">
        <f>Исходн.данные.!A71</f>
        <v>0</v>
      </c>
      <c r="B71" s="6">
        <f>Исходн.данные.!B71</f>
        <v>0</v>
      </c>
      <c r="C71" s="6">
        <f>Исходн.данные.!C71</f>
        <v>0</v>
      </c>
      <c r="D71" s="6">
        <f>Исходн.данные.!D71</f>
        <v>0</v>
      </c>
      <c r="E71" s="6">
        <f>Исходн.данные.!E71</f>
        <v>0</v>
      </c>
      <c r="F71" s="6">
        <f>Исходн.данные.!AH71</f>
        <v>0</v>
      </c>
      <c r="G71" s="6">
        <f>Исходн.данные.!AJ71</f>
        <v>0</v>
      </c>
      <c r="H71" s="6">
        <f>Исходн.данные.!AK71</f>
        <v>0</v>
      </c>
      <c r="I71" s="9">
        <f>IF($F71=0,0,Расчет2!AO71)</f>
        <v>0</v>
      </c>
      <c r="J71" s="9">
        <f>IF(F71=0,0,Расчет2!AP71)</f>
        <v>0</v>
      </c>
      <c r="K71" s="10">
        <f>IF($F71=0,0,Расчет2!AQ71)</f>
        <v>0</v>
      </c>
      <c r="L71" s="10">
        <f>IF($F71=0,0,Расчет2!AR71)</f>
        <v>0</v>
      </c>
      <c r="M71" s="10">
        <f>IF($F71=0,0,Расчет2!AS71)</f>
        <v>0</v>
      </c>
      <c r="N71" s="10">
        <f>IF($F71=0,0,IF(Исходн.данные.!$AP71="Посл.посева",0,Расчет2!AT71))</f>
        <v>0</v>
      </c>
      <c r="O71" s="10">
        <f>IF($F71=0,0,IF(Исходн.данные.!$AP71="Посл.посева",0,IF(Расчет2!AU71&lt;10,10,Расчет2!AU71)))</f>
        <v>0</v>
      </c>
      <c r="P71" s="10">
        <f>IF($F71=0,0,IF(Исходн.данные.!$AP71="Посл.посева",0,Расчет2!AV71))</f>
        <v>0</v>
      </c>
      <c r="Q71" s="10">
        <f>IF($F71=0,0,Расчет2!AW71)</f>
        <v>0</v>
      </c>
      <c r="R71" s="10">
        <f>IF($F71=0,0,Расчет2!AX71)</f>
        <v>0</v>
      </c>
      <c r="S71" s="9">
        <f>IF($F71=0,0,Расчет2!AY71)</f>
        <v>0</v>
      </c>
      <c r="T71" s="10">
        <f>IF($F71=0,0,Расчет2!AZ71)</f>
        <v>0</v>
      </c>
      <c r="U71" s="10">
        <f>IF($F71=0,0,Расчет2!BA71)</f>
        <v>0</v>
      </c>
      <c r="V71" s="10">
        <f>IF($F71=0,0,Расчет2!BB71)</f>
        <v>0</v>
      </c>
      <c r="W71" s="10">
        <f>Расчет!DL71</f>
        <v>0</v>
      </c>
      <c r="X71" s="10">
        <f>Расчет!DN71</f>
        <v>0</v>
      </c>
      <c r="Y71" s="9">
        <f>X71*Исходн.данные.!$AJ71/1000</f>
        <v>0</v>
      </c>
      <c r="Z71" s="10" t="str">
        <f>Расчет!DO71</f>
        <v>Хлор.калий</v>
      </c>
      <c r="AA71" s="10">
        <f>Расчет!DQ71</f>
        <v>0</v>
      </c>
      <c r="AB71" s="12">
        <f>AA71*Исходн.данные.!$AJ71/1000</f>
        <v>0</v>
      </c>
      <c r="AC71" s="9">
        <f>IF($F71=0,0,Расчет2!BC71)</f>
        <v>0</v>
      </c>
      <c r="AD71" s="10">
        <f>IF($F71=0,0,Расчет2!BD71)</f>
        <v>0</v>
      </c>
      <c r="AE71" s="9">
        <f>IF($F71=0,0,Расчет2!BE71)</f>
        <v>0</v>
      </c>
      <c r="AF71" s="9">
        <f>IF($F71=0,0,Расчет2!BF71)</f>
        <v>0</v>
      </c>
      <c r="AG71" s="9">
        <f>IF($F71=0,0,Расчет2!BG71)</f>
        <v>0</v>
      </c>
      <c r="AI71" s="11" t="e">
        <f>Расчет!FY71</f>
        <v>#N/A</v>
      </c>
      <c r="AJ71" s="11" t="e">
        <f>Расчет!FZ71</f>
        <v>#N/A</v>
      </c>
      <c r="AK71" s="11" t="e">
        <f>Расчет!GA71</f>
        <v>#N/A</v>
      </c>
      <c r="AL71" s="11" t="e">
        <f>Расчет!GB71</f>
        <v>#N/A</v>
      </c>
      <c r="AM71" s="11" t="e">
        <f>Расчет!GC71</f>
        <v>#N/A</v>
      </c>
      <c r="AN71" s="11" t="e">
        <f>Расчет!GD71</f>
        <v>#N/A</v>
      </c>
      <c r="AO71" s="11" t="e">
        <f>Расчет!GE71</f>
        <v>#N/A</v>
      </c>
      <c r="AP71" s="11" t="e">
        <f>Расчет!GF71</f>
        <v>#N/A</v>
      </c>
      <c r="AQ71" s="11" t="e">
        <f>Расчет!GG71</f>
        <v>#N/A</v>
      </c>
      <c r="AR71" s="11" t="e">
        <f>Расчет!GH71</f>
        <v>#N/A</v>
      </c>
      <c r="AS71" s="11" t="e">
        <f>Расчет!GI71</f>
        <v>#N/A</v>
      </c>
      <c r="AT71" s="11" t="e">
        <f>Расчет!GJ71</f>
        <v>#N/A</v>
      </c>
      <c r="AU71" s="198" t="e">
        <f t="shared" si="9"/>
        <v>#N/A</v>
      </c>
      <c r="AV71" s="198" t="e">
        <f t="shared" si="10"/>
        <v>#N/A</v>
      </c>
      <c r="AW71" s="198" t="e">
        <f t="shared" si="11"/>
        <v>#N/A</v>
      </c>
      <c r="AX71" s="11" t="e">
        <f t="shared" si="12"/>
        <v>#N/A</v>
      </c>
      <c r="AY71" s="11" t="e">
        <f t="shared" si="13"/>
        <v>#N/A</v>
      </c>
      <c r="AZ71" s="11" t="e">
        <f t="shared" si="14"/>
        <v>#N/A</v>
      </c>
    </row>
    <row r="72" spans="1:52" x14ac:dyDescent="0.2">
      <c r="A72" s="6">
        <f>Исходн.данные.!A72</f>
        <v>0</v>
      </c>
      <c r="B72" s="6">
        <f>Исходн.данные.!B72</f>
        <v>0</v>
      </c>
      <c r="C72" s="6">
        <f>Исходн.данные.!C72</f>
        <v>0</v>
      </c>
      <c r="D72" s="6">
        <f>Исходн.данные.!D72</f>
        <v>0</v>
      </c>
      <c r="E72" s="6">
        <f>Исходн.данные.!E72</f>
        <v>0</v>
      </c>
      <c r="F72" s="6">
        <f>Исходн.данные.!AH72</f>
        <v>0</v>
      </c>
      <c r="G72" s="6">
        <f>Исходн.данные.!AJ72</f>
        <v>0</v>
      </c>
      <c r="H72" s="6">
        <f>Исходн.данные.!AK72</f>
        <v>0</v>
      </c>
      <c r="I72" s="9">
        <f>IF($F72=0,0,Расчет2!AO72)</f>
        <v>0</v>
      </c>
      <c r="J72" s="9">
        <f>IF(F72=0,0,Расчет2!AP72)</f>
        <v>0</v>
      </c>
      <c r="K72" s="10">
        <f>IF($F72=0,0,Расчет2!AQ72)</f>
        <v>0</v>
      </c>
      <c r="L72" s="10">
        <f>IF($F72=0,0,Расчет2!AR72)</f>
        <v>0</v>
      </c>
      <c r="M72" s="10">
        <f>IF($F72=0,0,Расчет2!AS72)</f>
        <v>0</v>
      </c>
      <c r="N72" s="10">
        <f>IF($F72=0,0,IF(Исходн.данные.!$AP72="Посл.посева",0,Расчет2!AT72))</f>
        <v>0</v>
      </c>
      <c r="O72" s="10">
        <f>IF($F72=0,0,IF(Исходн.данные.!$AP72="Посл.посева",0,IF(Расчет2!AU72&lt;10,10,Расчет2!AU72)))</f>
        <v>0</v>
      </c>
      <c r="P72" s="10">
        <f>IF($F72=0,0,IF(Исходн.данные.!$AP72="Посл.посева",0,Расчет2!AV72))</f>
        <v>0</v>
      </c>
      <c r="Q72" s="10">
        <f>IF($F72=0,0,Расчет2!AW72)</f>
        <v>0</v>
      </c>
      <c r="R72" s="10">
        <f>IF($F72=0,0,Расчет2!AX72)</f>
        <v>0</v>
      </c>
      <c r="S72" s="9">
        <f>IF($F72=0,0,Расчет2!AY72)</f>
        <v>0</v>
      </c>
      <c r="T72" s="10">
        <f>IF($F72=0,0,Расчет2!AZ72)</f>
        <v>0</v>
      </c>
      <c r="U72" s="10">
        <f>IF($F72=0,0,Расчет2!BA72)</f>
        <v>0</v>
      </c>
      <c r="V72" s="10">
        <f>IF($F72=0,0,Расчет2!BB72)</f>
        <v>0</v>
      </c>
      <c r="W72" s="10">
        <f>Расчет!DL72</f>
        <v>0</v>
      </c>
      <c r="X72" s="10">
        <f>Расчет!DN72</f>
        <v>0</v>
      </c>
      <c r="Y72" s="9">
        <f>X72*Исходн.данные.!$AJ72/1000</f>
        <v>0</v>
      </c>
      <c r="Z72" s="10" t="str">
        <f>Расчет!DO72</f>
        <v>Хлор.калий</v>
      </c>
      <c r="AA72" s="10">
        <f>Расчет!DQ72</f>
        <v>0</v>
      </c>
      <c r="AB72" s="12">
        <f>AA72*Исходн.данные.!$AJ72/1000</f>
        <v>0</v>
      </c>
      <c r="AC72" s="9">
        <f>IF($F72=0,0,Расчет2!BC72)</f>
        <v>0</v>
      </c>
      <c r="AD72" s="10">
        <f>IF($F72=0,0,Расчет2!BD72)</f>
        <v>0</v>
      </c>
      <c r="AE72" s="9">
        <f>IF($F72=0,0,Расчет2!BE72)</f>
        <v>0</v>
      </c>
      <c r="AF72" s="9">
        <f>IF($F72=0,0,Расчет2!BF72)</f>
        <v>0</v>
      </c>
      <c r="AG72" s="9">
        <f>IF($F72=0,0,Расчет2!BG72)</f>
        <v>0</v>
      </c>
      <c r="AI72" s="11" t="e">
        <f>Расчет!FY72</f>
        <v>#N/A</v>
      </c>
      <c r="AJ72" s="11" t="e">
        <f>Расчет!FZ72</f>
        <v>#N/A</v>
      </c>
      <c r="AK72" s="11" t="e">
        <f>Расчет!GA72</f>
        <v>#N/A</v>
      </c>
      <c r="AL72" s="11" t="e">
        <f>Расчет!GB72</f>
        <v>#N/A</v>
      </c>
      <c r="AM72" s="11" t="e">
        <f>Расчет!GC72</f>
        <v>#N/A</v>
      </c>
      <c r="AN72" s="11" t="e">
        <f>Расчет!GD72</f>
        <v>#N/A</v>
      </c>
      <c r="AO72" s="11" t="e">
        <f>Расчет!GE72</f>
        <v>#N/A</v>
      </c>
      <c r="AP72" s="11" t="e">
        <f>Расчет!GF72</f>
        <v>#N/A</v>
      </c>
      <c r="AQ72" s="11" t="e">
        <f>Расчет!GG72</f>
        <v>#N/A</v>
      </c>
      <c r="AR72" s="11" t="e">
        <f>Расчет!GH72</f>
        <v>#N/A</v>
      </c>
      <c r="AS72" s="11" t="e">
        <f>Расчет!GI72</f>
        <v>#N/A</v>
      </c>
      <c r="AT72" s="11" t="e">
        <f>Расчет!GJ72</f>
        <v>#N/A</v>
      </c>
      <c r="AU72" s="198" t="e">
        <f t="shared" si="9"/>
        <v>#N/A</v>
      </c>
      <c r="AV72" s="198" t="e">
        <f t="shared" si="10"/>
        <v>#N/A</v>
      </c>
      <c r="AW72" s="198" t="e">
        <f t="shared" si="11"/>
        <v>#N/A</v>
      </c>
      <c r="AX72" s="11" t="e">
        <f t="shared" si="12"/>
        <v>#N/A</v>
      </c>
      <c r="AY72" s="11" t="e">
        <f t="shared" si="13"/>
        <v>#N/A</v>
      </c>
      <c r="AZ72" s="11" t="e">
        <f t="shared" si="14"/>
        <v>#N/A</v>
      </c>
    </row>
    <row r="73" spans="1:52" x14ac:dyDescent="0.2">
      <c r="A73" s="6">
        <f>Исходн.данные.!A73</f>
        <v>0</v>
      </c>
      <c r="B73" s="6">
        <f>Исходн.данные.!B73</f>
        <v>0</v>
      </c>
      <c r="C73" s="6">
        <f>Исходн.данные.!C73</f>
        <v>0</v>
      </c>
      <c r="D73" s="6">
        <f>Исходн.данные.!D73</f>
        <v>0</v>
      </c>
      <c r="E73" s="6">
        <f>Исходн.данные.!E73</f>
        <v>0</v>
      </c>
      <c r="F73" s="6">
        <f>Исходн.данные.!AH73</f>
        <v>0</v>
      </c>
      <c r="G73" s="6">
        <f>Исходн.данные.!AJ73</f>
        <v>0</v>
      </c>
      <c r="H73" s="6">
        <f>Исходн.данные.!AK73</f>
        <v>0</v>
      </c>
      <c r="I73" s="9">
        <f>IF($F73=0,0,Расчет2!AO73)</f>
        <v>0</v>
      </c>
      <c r="J73" s="9">
        <f>IF(F73=0,0,Расчет2!AP73)</f>
        <v>0</v>
      </c>
      <c r="K73" s="10">
        <f>IF($F73=0,0,Расчет2!AQ73)</f>
        <v>0</v>
      </c>
      <c r="L73" s="10">
        <f>IF($F73=0,0,Расчет2!AR73)</f>
        <v>0</v>
      </c>
      <c r="M73" s="10">
        <f>IF($F73=0,0,Расчет2!AS73)</f>
        <v>0</v>
      </c>
      <c r="N73" s="10">
        <f>IF($F73=0,0,IF(Исходн.данные.!$AP73="Посл.посева",0,Расчет2!AT73))</f>
        <v>0</v>
      </c>
      <c r="O73" s="10">
        <f>IF($F73=0,0,IF(Исходн.данные.!$AP73="Посл.посева",0,IF(Расчет2!AU73&lt;10,10,Расчет2!AU73)))</f>
        <v>0</v>
      </c>
      <c r="P73" s="10">
        <f>IF($F73=0,0,IF(Исходн.данные.!$AP73="Посл.посева",0,Расчет2!AV73))</f>
        <v>0</v>
      </c>
      <c r="Q73" s="10">
        <f>IF($F73=0,0,Расчет2!AW73)</f>
        <v>0</v>
      </c>
      <c r="R73" s="10">
        <f>IF($F73=0,0,Расчет2!AX73)</f>
        <v>0</v>
      </c>
      <c r="S73" s="9">
        <f>IF($F73=0,0,Расчет2!AY73)</f>
        <v>0</v>
      </c>
      <c r="T73" s="10">
        <f>IF($F73=0,0,Расчет2!AZ73)</f>
        <v>0</v>
      </c>
      <c r="U73" s="10">
        <f>IF($F73=0,0,Расчет2!BA73)</f>
        <v>0</v>
      </c>
      <c r="V73" s="10">
        <f>IF($F73=0,0,Расчет2!BB73)</f>
        <v>0</v>
      </c>
      <c r="W73" s="10">
        <f>Расчет!DL73</f>
        <v>0</v>
      </c>
      <c r="X73" s="10">
        <f>Расчет!DN73</f>
        <v>0</v>
      </c>
      <c r="Y73" s="9">
        <f>X73*Исходн.данные.!$AJ73/1000</f>
        <v>0</v>
      </c>
      <c r="Z73" s="10" t="str">
        <f>Расчет!DO73</f>
        <v>Хлор.калий</v>
      </c>
      <c r="AA73" s="10">
        <f>Расчет!DQ73</f>
        <v>0</v>
      </c>
      <c r="AB73" s="12">
        <f>AA73*Исходн.данные.!$AJ73/1000</f>
        <v>0</v>
      </c>
      <c r="AC73" s="9">
        <f>IF($F73=0,0,Расчет2!BC73)</f>
        <v>0</v>
      </c>
      <c r="AD73" s="10">
        <f>IF($F73=0,0,Расчет2!BD73)</f>
        <v>0</v>
      </c>
      <c r="AE73" s="9">
        <f>IF($F73=0,0,Расчет2!BE73)</f>
        <v>0</v>
      </c>
      <c r="AF73" s="9">
        <f>IF($F73=0,0,Расчет2!BF73)</f>
        <v>0</v>
      </c>
      <c r="AG73" s="9">
        <f>IF($F73=0,0,Расчет2!BG73)</f>
        <v>0</v>
      </c>
      <c r="AI73" s="11" t="e">
        <f>Расчет!FY73</f>
        <v>#N/A</v>
      </c>
      <c r="AJ73" s="11" t="e">
        <f>Расчет!FZ73</f>
        <v>#N/A</v>
      </c>
      <c r="AK73" s="11" t="e">
        <f>Расчет!GA73</f>
        <v>#N/A</v>
      </c>
      <c r="AL73" s="11" t="e">
        <f>Расчет!GB73</f>
        <v>#N/A</v>
      </c>
      <c r="AM73" s="11" t="e">
        <f>Расчет!GC73</f>
        <v>#N/A</v>
      </c>
      <c r="AN73" s="11" t="e">
        <f>Расчет!GD73</f>
        <v>#N/A</v>
      </c>
      <c r="AO73" s="11" t="e">
        <f>Расчет!GE73</f>
        <v>#N/A</v>
      </c>
      <c r="AP73" s="11" t="e">
        <f>Расчет!GF73</f>
        <v>#N/A</v>
      </c>
      <c r="AQ73" s="11" t="e">
        <f>Расчет!GG73</f>
        <v>#N/A</v>
      </c>
      <c r="AR73" s="11" t="e">
        <f>Расчет!GH73</f>
        <v>#N/A</v>
      </c>
      <c r="AS73" s="11" t="e">
        <f>Расчет!GI73</f>
        <v>#N/A</v>
      </c>
      <c r="AT73" s="11" t="e">
        <f>Расчет!GJ73</f>
        <v>#N/A</v>
      </c>
      <c r="AU73" s="198" t="e">
        <f t="shared" si="9"/>
        <v>#N/A</v>
      </c>
      <c r="AV73" s="198" t="e">
        <f t="shared" si="10"/>
        <v>#N/A</v>
      </c>
      <c r="AW73" s="198" t="e">
        <f t="shared" si="11"/>
        <v>#N/A</v>
      </c>
      <c r="AX73" s="11" t="e">
        <f t="shared" si="12"/>
        <v>#N/A</v>
      </c>
      <c r="AY73" s="11" t="e">
        <f t="shared" si="13"/>
        <v>#N/A</v>
      </c>
      <c r="AZ73" s="11" t="e">
        <f t="shared" si="14"/>
        <v>#N/A</v>
      </c>
    </row>
    <row r="74" spans="1:52" x14ac:dyDescent="0.2">
      <c r="A74" s="6">
        <f>Исходн.данные.!A74</f>
        <v>0</v>
      </c>
      <c r="B74" s="6">
        <f>Исходн.данные.!B74</f>
        <v>0</v>
      </c>
      <c r="C74" s="6">
        <f>Исходн.данные.!C74</f>
        <v>0</v>
      </c>
      <c r="D74" s="6">
        <f>Исходн.данные.!D74</f>
        <v>0</v>
      </c>
      <c r="E74" s="6">
        <f>Исходн.данные.!E74</f>
        <v>0</v>
      </c>
      <c r="F74" s="6">
        <f>Исходн.данные.!AH74</f>
        <v>0</v>
      </c>
      <c r="G74" s="6">
        <f>Исходн.данные.!AJ74</f>
        <v>0</v>
      </c>
      <c r="H74" s="6">
        <f>Исходн.данные.!AK74</f>
        <v>0</v>
      </c>
      <c r="I74" s="9">
        <f>IF($F74=0,0,Расчет2!AO74)</f>
        <v>0</v>
      </c>
      <c r="J74" s="9">
        <f>IF(F74=0,0,Расчет2!AP74)</f>
        <v>0</v>
      </c>
      <c r="K74" s="10">
        <f>IF($F74=0,0,Расчет2!AQ74)</f>
        <v>0</v>
      </c>
      <c r="L74" s="10">
        <f>IF($F74=0,0,Расчет2!AR74)</f>
        <v>0</v>
      </c>
      <c r="M74" s="10">
        <f>IF($F74=0,0,Расчет2!AS74)</f>
        <v>0</v>
      </c>
      <c r="N74" s="10">
        <f>IF($F74=0,0,IF(Исходн.данные.!$AP74="Посл.посева",0,Расчет2!AT74))</f>
        <v>0</v>
      </c>
      <c r="O74" s="10">
        <f>IF($F74=0,0,IF(Исходн.данные.!$AP74="Посл.посева",0,IF(Расчет2!AU74&lt;10,10,Расчет2!AU74)))</f>
        <v>0</v>
      </c>
      <c r="P74" s="10">
        <f>IF($F74=0,0,IF(Исходн.данные.!$AP74="Посл.посева",0,Расчет2!AV74))</f>
        <v>0</v>
      </c>
      <c r="Q74" s="10">
        <f>IF($F74=0,0,Расчет2!AW74)</f>
        <v>0</v>
      </c>
      <c r="R74" s="10">
        <f>IF($F74=0,0,Расчет2!AX74)</f>
        <v>0</v>
      </c>
      <c r="S74" s="9">
        <f>IF($F74=0,0,Расчет2!AY74)</f>
        <v>0</v>
      </c>
      <c r="T74" s="10">
        <f>IF($F74=0,0,Расчет2!AZ74)</f>
        <v>0</v>
      </c>
      <c r="U74" s="10">
        <f>IF($F74=0,0,Расчет2!BA74)</f>
        <v>0</v>
      </c>
      <c r="V74" s="10">
        <f>IF($F74=0,0,Расчет2!BB74)</f>
        <v>0</v>
      </c>
      <c r="W74" s="10">
        <f>Расчет!DL74</f>
        <v>0</v>
      </c>
      <c r="X74" s="10">
        <f>Расчет!DN74</f>
        <v>0</v>
      </c>
      <c r="Y74" s="9">
        <f>X74*Исходн.данные.!$AJ74/1000</f>
        <v>0</v>
      </c>
      <c r="Z74" s="10" t="str">
        <f>Расчет!DO74</f>
        <v>Хлор.калий</v>
      </c>
      <c r="AA74" s="10">
        <f>Расчет!DQ74</f>
        <v>0</v>
      </c>
      <c r="AB74" s="12">
        <f>AA74*Исходн.данные.!$AJ74/1000</f>
        <v>0</v>
      </c>
      <c r="AC74" s="9">
        <f>IF($F74=0,0,Расчет2!BC74)</f>
        <v>0</v>
      </c>
      <c r="AD74" s="10">
        <f>IF($F74=0,0,Расчет2!BD74)</f>
        <v>0</v>
      </c>
      <c r="AE74" s="9">
        <f>IF($F74=0,0,Расчет2!BE74)</f>
        <v>0</v>
      </c>
      <c r="AF74" s="9">
        <f>IF($F74=0,0,Расчет2!BF74)</f>
        <v>0</v>
      </c>
      <c r="AG74" s="9">
        <f>IF($F74=0,0,Расчет2!BG74)</f>
        <v>0</v>
      </c>
      <c r="AI74" s="11" t="e">
        <f>Расчет!FY74</f>
        <v>#N/A</v>
      </c>
      <c r="AJ74" s="11" t="e">
        <f>Расчет!FZ74</f>
        <v>#N/A</v>
      </c>
      <c r="AK74" s="11" t="e">
        <f>Расчет!GA74</f>
        <v>#N/A</v>
      </c>
      <c r="AL74" s="11" t="e">
        <f>Расчет!GB74</f>
        <v>#N/A</v>
      </c>
      <c r="AM74" s="11" t="e">
        <f>Расчет!GC74</f>
        <v>#N/A</v>
      </c>
      <c r="AN74" s="11" t="e">
        <f>Расчет!GD74</f>
        <v>#N/A</v>
      </c>
      <c r="AO74" s="11" t="e">
        <f>Расчет!GE74</f>
        <v>#N/A</v>
      </c>
      <c r="AP74" s="11" t="e">
        <f>Расчет!GF74</f>
        <v>#N/A</v>
      </c>
      <c r="AQ74" s="11" t="e">
        <f>Расчет!GG74</f>
        <v>#N/A</v>
      </c>
      <c r="AR74" s="11" t="e">
        <f>Расчет!GH74</f>
        <v>#N/A</v>
      </c>
      <c r="AS74" s="11" t="e">
        <f>Расчет!GI74</f>
        <v>#N/A</v>
      </c>
      <c r="AT74" s="11" t="e">
        <f>Расчет!GJ74</f>
        <v>#N/A</v>
      </c>
      <c r="AU74" s="198" t="e">
        <f t="shared" si="9"/>
        <v>#N/A</v>
      </c>
      <c r="AV74" s="198" t="e">
        <f t="shared" si="10"/>
        <v>#N/A</v>
      </c>
      <c r="AW74" s="198" t="e">
        <f t="shared" si="11"/>
        <v>#N/A</v>
      </c>
      <c r="AX74" s="11" t="e">
        <f t="shared" si="12"/>
        <v>#N/A</v>
      </c>
      <c r="AY74" s="11" t="e">
        <f t="shared" si="13"/>
        <v>#N/A</v>
      </c>
      <c r="AZ74" s="11" t="e">
        <f t="shared" si="14"/>
        <v>#N/A</v>
      </c>
    </row>
    <row r="75" spans="1:52" x14ac:dyDescent="0.2">
      <c r="A75" s="6">
        <f>Исходн.данные.!A75</f>
        <v>0</v>
      </c>
      <c r="B75" s="6">
        <f>Исходн.данные.!B75</f>
        <v>0</v>
      </c>
      <c r="C75" s="6">
        <f>Исходн.данные.!C75</f>
        <v>0</v>
      </c>
      <c r="D75" s="6">
        <f>Исходн.данные.!D75</f>
        <v>0</v>
      </c>
      <c r="E75" s="6">
        <f>Исходн.данные.!E75</f>
        <v>0</v>
      </c>
      <c r="F75" s="6">
        <f>Исходн.данные.!AH75</f>
        <v>0</v>
      </c>
      <c r="G75" s="6">
        <f>Исходн.данные.!AJ75</f>
        <v>0</v>
      </c>
      <c r="H75" s="6">
        <f>Исходн.данные.!AK75</f>
        <v>0</v>
      </c>
      <c r="I75" s="9">
        <f>IF($F75=0,0,Расчет2!AO75)</f>
        <v>0</v>
      </c>
      <c r="J75" s="9">
        <f>IF(F75=0,0,Расчет2!AP75)</f>
        <v>0</v>
      </c>
      <c r="K75" s="10">
        <f>IF($F75=0,0,Расчет2!AQ75)</f>
        <v>0</v>
      </c>
      <c r="L75" s="10">
        <f>IF($F75=0,0,Расчет2!AR75)</f>
        <v>0</v>
      </c>
      <c r="M75" s="10">
        <f>IF($F75=0,0,Расчет2!AS75)</f>
        <v>0</v>
      </c>
      <c r="N75" s="10">
        <f>IF($F75=0,0,IF(Исходн.данные.!$AP75="Посл.посева",0,Расчет2!AT75))</f>
        <v>0</v>
      </c>
      <c r="O75" s="10">
        <f>IF($F75=0,0,IF(Исходн.данные.!$AP75="Посл.посева",0,IF(Расчет2!AU75&lt;10,10,Расчет2!AU75)))</f>
        <v>0</v>
      </c>
      <c r="P75" s="10">
        <f>IF($F75=0,0,IF(Исходн.данные.!$AP75="Посл.посева",0,Расчет2!AV75))</f>
        <v>0</v>
      </c>
      <c r="Q75" s="10">
        <f>IF($F75=0,0,Расчет2!AW75)</f>
        <v>0</v>
      </c>
      <c r="R75" s="10">
        <f>IF($F75=0,0,Расчет2!AX75)</f>
        <v>0</v>
      </c>
      <c r="S75" s="9">
        <f>IF($F75=0,0,Расчет2!AY75)</f>
        <v>0</v>
      </c>
      <c r="T75" s="10">
        <f>IF($F75=0,0,Расчет2!AZ75)</f>
        <v>0</v>
      </c>
      <c r="U75" s="10">
        <f>IF($F75=0,0,Расчет2!BA75)</f>
        <v>0</v>
      </c>
      <c r="V75" s="10">
        <f>IF($F75=0,0,Расчет2!BB75)</f>
        <v>0</v>
      </c>
      <c r="W75" s="10">
        <f>Расчет!DL75</f>
        <v>0</v>
      </c>
      <c r="X75" s="10">
        <f>Расчет!DN75</f>
        <v>0</v>
      </c>
      <c r="Y75" s="9">
        <f>X75*Исходн.данные.!$AJ75/1000</f>
        <v>0</v>
      </c>
      <c r="Z75" s="10" t="str">
        <f>Расчет!DO75</f>
        <v>Хлор.калий</v>
      </c>
      <c r="AA75" s="10">
        <f>Расчет!DQ75</f>
        <v>0</v>
      </c>
      <c r="AB75" s="12">
        <f>AA75*Исходн.данные.!$AJ75/1000</f>
        <v>0</v>
      </c>
      <c r="AC75" s="9">
        <f>IF($F75=0,0,Расчет2!BC75)</f>
        <v>0</v>
      </c>
      <c r="AD75" s="10">
        <f>IF($F75=0,0,Расчет2!BD75)</f>
        <v>0</v>
      </c>
      <c r="AE75" s="9">
        <f>IF($F75=0,0,Расчет2!BE75)</f>
        <v>0</v>
      </c>
      <c r="AF75" s="9">
        <f>IF($F75=0,0,Расчет2!BF75)</f>
        <v>0</v>
      </c>
      <c r="AG75" s="9">
        <f>IF($F75=0,0,Расчет2!BG75)</f>
        <v>0</v>
      </c>
      <c r="AI75" s="11" t="e">
        <f>Расчет!FY75</f>
        <v>#N/A</v>
      </c>
      <c r="AJ75" s="11" t="e">
        <f>Расчет!FZ75</f>
        <v>#N/A</v>
      </c>
      <c r="AK75" s="11" t="e">
        <f>Расчет!GA75</f>
        <v>#N/A</v>
      </c>
      <c r="AL75" s="11" t="e">
        <f>Расчет!GB75</f>
        <v>#N/A</v>
      </c>
      <c r="AM75" s="11" t="e">
        <f>Расчет!GC75</f>
        <v>#N/A</v>
      </c>
      <c r="AN75" s="11" t="e">
        <f>Расчет!GD75</f>
        <v>#N/A</v>
      </c>
      <c r="AO75" s="11" t="e">
        <f>Расчет!GE75</f>
        <v>#N/A</v>
      </c>
      <c r="AP75" s="11" t="e">
        <f>Расчет!GF75</f>
        <v>#N/A</v>
      </c>
      <c r="AQ75" s="11" t="e">
        <f>Расчет!GG75</f>
        <v>#N/A</v>
      </c>
      <c r="AR75" s="11" t="e">
        <f>Расчет!GH75</f>
        <v>#N/A</v>
      </c>
      <c r="AS75" s="11" t="e">
        <f>Расчет!GI75</f>
        <v>#N/A</v>
      </c>
      <c r="AT75" s="11" t="e">
        <f>Расчет!GJ75</f>
        <v>#N/A</v>
      </c>
      <c r="AU75" s="198" t="e">
        <f t="shared" si="9"/>
        <v>#N/A</v>
      </c>
      <c r="AV75" s="198" t="e">
        <f t="shared" si="10"/>
        <v>#N/A</v>
      </c>
      <c r="AW75" s="198" t="e">
        <f t="shared" si="11"/>
        <v>#N/A</v>
      </c>
      <c r="AX75" s="11" t="e">
        <f t="shared" si="12"/>
        <v>#N/A</v>
      </c>
      <c r="AY75" s="11" t="e">
        <f t="shared" si="13"/>
        <v>#N/A</v>
      </c>
      <c r="AZ75" s="11" t="e">
        <f t="shared" si="14"/>
        <v>#N/A</v>
      </c>
    </row>
    <row r="76" spans="1:52" x14ac:dyDescent="0.2">
      <c r="A76" s="6">
        <f>Исходн.данные.!A76</f>
        <v>0</v>
      </c>
      <c r="B76" s="6">
        <f>Исходн.данные.!B76</f>
        <v>0</v>
      </c>
      <c r="C76" s="6">
        <f>Исходн.данные.!C76</f>
        <v>0</v>
      </c>
      <c r="D76" s="6">
        <f>Исходн.данные.!D76</f>
        <v>0</v>
      </c>
      <c r="E76" s="6">
        <f>Исходн.данные.!E76</f>
        <v>0</v>
      </c>
      <c r="F76" s="6">
        <f>Исходн.данные.!AH76</f>
        <v>0</v>
      </c>
      <c r="G76" s="6">
        <f>Исходн.данные.!AJ76</f>
        <v>0</v>
      </c>
      <c r="H76" s="6">
        <f>Исходн.данные.!AK76</f>
        <v>0</v>
      </c>
      <c r="I76" s="9">
        <f>IF($F76=0,0,Расчет2!AO76)</f>
        <v>0</v>
      </c>
      <c r="J76" s="9">
        <f>IF(F76=0,0,Расчет2!AP76)</f>
        <v>0</v>
      </c>
      <c r="K76" s="10">
        <f>IF($F76=0,0,Расчет2!AQ76)</f>
        <v>0</v>
      </c>
      <c r="L76" s="10">
        <f>IF($F76=0,0,Расчет2!AR76)</f>
        <v>0</v>
      </c>
      <c r="M76" s="10">
        <f>IF($F76=0,0,Расчет2!AS76)</f>
        <v>0</v>
      </c>
      <c r="N76" s="10">
        <f>IF($F76=0,0,IF(Исходн.данные.!$AP76="Посл.посева",0,Расчет2!AT76))</f>
        <v>0</v>
      </c>
      <c r="O76" s="10">
        <f>IF($F76=0,0,IF(Исходн.данные.!$AP76="Посл.посева",0,IF(Расчет2!AU76&lt;10,10,Расчет2!AU76)))</f>
        <v>0</v>
      </c>
      <c r="P76" s="10">
        <f>IF($F76=0,0,IF(Исходн.данные.!$AP76="Посл.посева",0,Расчет2!AV76))</f>
        <v>0</v>
      </c>
      <c r="Q76" s="10">
        <f>IF($F76=0,0,Расчет2!AW76)</f>
        <v>0</v>
      </c>
      <c r="R76" s="10">
        <f>IF($F76=0,0,Расчет2!AX76)</f>
        <v>0</v>
      </c>
      <c r="S76" s="9">
        <f>IF($F76=0,0,Расчет2!AY76)</f>
        <v>0</v>
      </c>
      <c r="T76" s="10">
        <f>IF($F76=0,0,Расчет2!AZ76)</f>
        <v>0</v>
      </c>
      <c r="U76" s="10">
        <f>IF($F76=0,0,Расчет2!BA76)</f>
        <v>0</v>
      </c>
      <c r="V76" s="10">
        <f>IF($F76=0,0,Расчет2!BB76)</f>
        <v>0</v>
      </c>
      <c r="W76" s="10">
        <f>Расчет!DL76</f>
        <v>0</v>
      </c>
      <c r="X76" s="10">
        <f>Расчет!DN76</f>
        <v>0</v>
      </c>
      <c r="Y76" s="9">
        <f>X76*Исходн.данные.!$AJ76/1000</f>
        <v>0</v>
      </c>
      <c r="Z76" s="10" t="str">
        <f>Расчет!DO76</f>
        <v>Хлор.калий</v>
      </c>
      <c r="AA76" s="10">
        <f>Расчет!DQ76</f>
        <v>0</v>
      </c>
      <c r="AB76" s="12">
        <f>AA76*Исходн.данные.!$AJ76/1000</f>
        <v>0</v>
      </c>
      <c r="AC76" s="9">
        <f>IF($F76=0,0,Расчет2!BC76)</f>
        <v>0</v>
      </c>
      <c r="AD76" s="10">
        <f>IF($F76=0,0,Расчет2!BD76)</f>
        <v>0</v>
      </c>
      <c r="AE76" s="9">
        <f>IF($F76=0,0,Расчет2!BE76)</f>
        <v>0</v>
      </c>
      <c r="AF76" s="9">
        <f>IF($F76=0,0,Расчет2!BF76)</f>
        <v>0</v>
      </c>
      <c r="AG76" s="9">
        <f>IF($F76=0,0,Расчет2!BG76)</f>
        <v>0</v>
      </c>
      <c r="AI76" s="11" t="e">
        <f>Расчет!FY76</f>
        <v>#N/A</v>
      </c>
      <c r="AJ76" s="11" t="e">
        <f>Расчет!FZ76</f>
        <v>#N/A</v>
      </c>
      <c r="AK76" s="11" t="e">
        <f>Расчет!GA76</f>
        <v>#N/A</v>
      </c>
      <c r="AL76" s="11" t="e">
        <f>Расчет!GB76</f>
        <v>#N/A</v>
      </c>
      <c r="AM76" s="11" t="e">
        <f>Расчет!GC76</f>
        <v>#N/A</v>
      </c>
      <c r="AN76" s="11" t="e">
        <f>Расчет!GD76</f>
        <v>#N/A</v>
      </c>
      <c r="AO76" s="11" t="e">
        <f>Расчет!GE76</f>
        <v>#N/A</v>
      </c>
      <c r="AP76" s="11" t="e">
        <f>Расчет!GF76</f>
        <v>#N/A</v>
      </c>
      <c r="AQ76" s="11" t="e">
        <f>Расчет!GG76</f>
        <v>#N/A</v>
      </c>
      <c r="AR76" s="11" t="e">
        <f>Расчет!GH76</f>
        <v>#N/A</v>
      </c>
      <c r="AS76" s="11" t="e">
        <f>Расчет!GI76</f>
        <v>#N/A</v>
      </c>
      <c r="AT76" s="11" t="e">
        <f>Расчет!GJ76</f>
        <v>#N/A</v>
      </c>
      <c r="AU76" s="198" t="e">
        <f t="shared" si="9"/>
        <v>#N/A</v>
      </c>
      <c r="AV76" s="198" t="e">
        <f t="shared" si="10"/>
        <v>#N/A</v>
      </c>
      <c r="AW76" s="198" t="e">
        <f t="shared" si="11"/>
        <v>#N/A</v>
      </c>
      <c r="AX76" s="11" t="e">
        <f t="shared" si="12"/>
        <v>#N/A</v>
      </c>
      <c r="AY76" s="11" t="e">
        <f t="shared" si="13"/>
        <v>#N/A</v>
      </c>
      <c r="AZ76" s="11" t="e">
        <f t="shared" si="14"/>
        <v>#N/A</v>
      </c>
    </row>
    <row r="77" spans="1:52" x14ac:dyDescent="0.2">
      <c r="A77" s="6">
        <f>Исходн.данные.!A77</f>
        <v>0</v>
      </c>
      <c r="B77" s="6">
        <f>Исходн.данные.!B77</f>
        <v>0</v>
      </c>
      <c r="C77" s="6">
        <f>Исходн.данные.!C77</f>
        <v>0</v>
      </c>
      <c r="D77" s="6">
        <f>Исходн.данные.!D77</f>
        <v>0</v>
      </c>
      <c r="E77" s="6">
        <f>Исходн.данные.!E77</f>
        <v>0</v>
      </c>
      <c r="F77" s="6">
        <f>Исходн.данные.!AH77</f>
        <v>0</v>
      </c>
      <c r="G77" s="6">
        <f>Исходн.данные.!AJ77</f>
        <v>0</v>
      </c>
      <c r="H77" s="6">
        <f>Исходн.данные.!AK77</f>
        <v>0</v>
      </c>
      <c r="I77" s="9">
        <f>IF($F77=0,0,Расчет2!AO77)</f>
        <v>0</v>
      </c>
      <c r="J77" s="9">
        <f>IF(F77=0,0,Расчет2!AP77)</f>
        <v>0</v>
      </c>
      <c r="K77" s="10">
        <f>IF($F77=0,0,Расчет2!AQ77)</f>
        <v>0</v>
      </c>
      <c r="L77" s="10">
        <f>IF($F77=0,0,Расчет2!AR77)</f>
        <v>0</v>
      </c>
      <c r="M77" s="10">
        <f>IF($F77=0,0,Расчет2!AS77)</f>
        <v>0</v>
      </c>
      <c r="N77" s="10">
        <f>IF($F77=0,0,IF(Исходн.данные.!$AP77="Посл.посева",0,Расчет2!AT77))</f>
        <v>0</v>
      </c>
      <c r="O77" s="10">
        <f>IF($F77=0,0,IF(Исходн.данные.!$AP77="Посл.посева",0,IF(Расчет2!AU77&lt;10,10,Расчет2!AU77)))</f>
        <v>0</v>
      </c>
      <c r="P77" s="10">
        <f>IF($F77=0,0,IF(Исходн.данные.!$AP77="Посл.посева",0,Расчет2!AV77))</f>
        <v>0</v>
      </c>
      <c r="Q77" s="10">
        <f>IF($F77=0,0,Расчет2!AW77)</f>
        <v>0</v>
      </c>
      <c r="R77" s="10">
        <f>IF($F77=0,0,Расчет2!AX77)</f>
        <v>0</v>
      </c>
      <c r="S77" s="9">
        <f>IF($F77=0,0,Расчет2!AY77)</f>
        <v>0</v>
      </c>
      <c r="T77" s="10">
        <f>IF($F77=0,0,Расчет2!AZ77)</f>
        <v>0</v>
      </c>
      <c r="U77" s="10">
        <f>IF($F77=0,0,Расчет2!BA77)</f>
        <v>0</v>
      </c>
      <c r="V77" s="10">
        <f>IF($F77=0,0,Расчет2!BB77)</f>
        <v>0</v>
      </c>
      <c r="W77" s="10">
        <f>Расчет!DL77</f>
        <v>0</v>
      </c>
      <c r="X77" s="10">
        <f>Расчет!DN77</f>
        <v>0</v>
      </c>
      <c r="Y77" s="9">
        <f>X77*Исходн.данные.!$AJ77/1000</f>
        <v>0</v>
      </c>
      <c r="Z77" s="10" t="str">
        <f>Расчет!DO77</f>
        <v>Хлор.калий</v>
      </c>
      <c r="AA77" s="10">
        <f>Расчет!DQ77</f>
        <v>0</v>
      </c>
      <c r="AB77" s="12">
        <f>AA77*Исходн.данные.!$AJ77/1000</f>
        <v>0</v>
      </c>
      <c r="AC77" s="9">
        <f>IF($F77=0,0,Расчет2!BC77)</f>
        <v>0</v>
      </c>
      <c r="AD77" s="10">
        <f>IF($F77=0,0,Расчет2!BD77)</f>
        <v>0</v>
      </c>
      <c r="AE77" s="9">
        <f>IF($F77=0,0,Расчет2!BE77)</f>
        <v>0</v>
      </c>
      <c r="AF77" s="9">
        <f>IF($F77=0,0,Расчет2!BF77)</f>
        <v>0</v>
      </c>
      <c r="AG77" s="9">
        <f>IF($F77=0,0,Расчет2!BG77)</f>
        <v>0</v>
      </c>
      <c r="AI77" s="11" t="e">
        <f>Расчет!FY77</f>
        <v>#N/A</v>
      </c>
      <c r="AJ77" s="11" t="e">
        <f>Расчет!FZ77</f>
        <v>#N/A</v>
      </c>
      <c r="AK77" s="11" t="e">
        <f>Расчет!GA77</f>
        <v>#N/A</v>
      </c>
      <c r="AL77" s="11" t="e">
        <f>Расчет!GB77</f>
        <v>#N/A</v>
      </c>
      <c r="AM77" s="11" t="e">
        <f>Расчет!GC77</f>
        <v>#N/A</v>
      </c>
      <c r="AN77" s="11" t="e">
        <f>Расчет!GD77</f>
        <v>#N/A</v>
      </c>
      <c r="AO77" s="11" t="e">
        <f>Расчет!GE77</f>
        <v>#N/A</v>
      </c>
      <c r="AP77" s="11" t="e">
        <f>Расчет!GF77</f>
        <v>#N/A</v>
      </c>
      <c r="AQ77" s="11" t="e">
        <f>Расчет!GG77</f>
        <v>#N/A</v>
      </c>
      <c r="AR77" s="11" t="e">
        <f>Расчет!GH77</f>
        <v>#N/A</v>
      </c>
      <c r="AS77" s="11" t="e">
        <f>Расчет!GI77</f>
        <v>#N/A</v>
      </c>
      <c r="AT77" s="11" t="e">
        <f>Расчет!GJ77</f>
        <v>#N/A</v>
      </c>
      <c r="AU77" s="198" t="e">
        <f t="shared" si="9"/>
        <v>#N/A</v>
      </c>
      <c r="AV77" s="198" t="e">
        <f t="shared" si="10"/>
        <v>#N/A</v>
      </c>
      <c r="AW77" s="198" t="e">
        <f t="shared" si="11"/>
        <v>#N/A</v>
      </c>
      <c r="AX77" s="11" t="e">
        <f t="shared" si="12"/>
        <v>#N/A</v>
      </c>
      <c r="AY77" s="11" t="e">
        <f t="shared" si="13"/>
        <v>#N/A</v>
      </c>
      <c r="AZ77" s="11" t="e">
        <f t="shared" si="14"/>
        <v>#N/A</v>
      </c>
    </row>
    <row r="78" spans="1:52" x14ac:dyDescent="0.2">
      <c r="A78" s="6">
        <f>Исходн.данные.!A78</f>
        <v>0</v>
      </c>
      <c r="B78" s="6">
        <f>Исходн.данные.!B78</f>
        <v>0</v>
      </c>
      <c r="C78" s="6">
        <f>Исходн.данные.!C78</f>
        <v>0</v>
      </c>
      <c r="D78" s="6">
        <f>Исходн.данные.!D78</f>
        <v>0</v>
      </c>
      <c r="E78" s="6">
        <f>Исходн.данные.!E78</f>
        <v>0</v>
      </c>
      <c r="F78" s="6">
        <f>Исходн.данные.!AH78</f>
        <v>0</v>
      </c>
      <c r="G78" s="6">
        <f>Исходн.данные.!AJ78</f>
        <v>0</v>
      </c>
      <c r="H78" s="6">
        <f>Исходн.данные.!AK78</f>
        <v>0</v>
      </c>
      <c r="I78" s="9">
        <f>IF($F78=0,0,Расчет2!AO78)</f>
        <v>0</v>
      </c>
      <c r="J78" s="9">
        <f>IF(F78=0,0,Расчет2!AP78)</f>
        <v>0</v>
      </c>
      <c r="K78" s="10">
        <f>IF($F78=0,0,Расчет2!AQ78)</f>
        <v>0</v>
      </c>
      <c r="L78" s="10">
        <f>IF($F78=0,0,Расчет2!AR78)</f>
        <v>0</v>
      </c>
      <c r="M78" s="10">
        <f>IF($F78=0,0,Расчет2!AS78)</f>
        <v>0</v>
      </c>
      <c r="N78" s="10">
        <f>IF($F78=0,0,IF(Исходн.данные.!$AP78="Посл.посева",0,Расчет2!AT78))</f>
        <v>0</v>
      </c>
      <c r="O78" s="10">
        <f>IF($F78=0,0,IF(Исходн.данные.!$AP78="Посл.посева",0,IF(Расчет2!AU78&lt;10,10,Расчет2!AU78)))</f>
        <v>0</v>
      </c>
      <c r="P78" s="10">
        <f>IF($F78=0,0,IF(Исходн.данные.!$AP78="Посл.посева",0,Расчет2!AV78))</f>
        <v>0</v>
      </c>
      <c r="Q78" s="10">
        <f>IF($F78=0,0,Расчет2!AW78)</f>
        <v>0</v>
      </c>
      <c r="R78" s="10">
        <f>IF($F78=0,0,Расчет2!AX78)</f>
        <v>0</v>
      </c>
      <c r="S78" s="9">
        <f>IF($F78=0,0,Расчет2!AY78)</f>
        <v>0</v>
      </c>
      <c r="T78" s="10">
        <f>IF($F78=0,0,Расчет2!AZ78)</f>
        <v>0</v>
      </c>
      <c r="U78" s="10">
        <f>IF($F78=0,0,Расчет2!BA78)</f>
        <v>0</v>
      </c>
      <c r="V78" s="10">
        <f>IF($F78=0,0,Расчет2!BB78)</f>
        <v>0</v>
      </c>
      <c r="W78" s="10">
        <f>Расчет!DL78</f>
        <v>0</v>
      </c>
      <c r="X78" s="10">
        <f>Расчет!DN78</f>
        <v>0</v>
      </c>
      <c r="Y78" s="9">
        <f>X78*Исходн.данные.!$AJ78/1000</f>
        <v>0</v>
      </c>
      <c r="Z78" s="10" t="str">
        <f>Расчет!DO78</f>
        <v>Хлор.калий</v>
      </c>
      <c r="AA78" s="10">
        <f>Расчет!DQ78</f>
        <v>0</v>
      </c>
      <c r="AB78" s="12">
        <f>AA78*Исходн.данные.!$AJ78/1000</f>
        <v>0</v>
      </c>
      <c r="AC78" s="9">
        <f>IF($F78=0,0,Расчет2!BC78)</f>
        <v>0</v>
      </c>
      <c r="AD78" s="10">
        <f>IF($F78=0,0,Расчет2!BD78)</f>
        <v>0</v>
      </c>
      <c r="AE78" s="9">
        <f>IF($F78=0,0,Расчет2!BE78)</f>
        <v>0</v>
      </c>
      <c r="AF78" s="9">
        <f>IF($F78=0,0,Расчет2!BF78)</f>
        <v>0</v>
      </c>
      <c r="AG78" s="9">
        <f>IF($F78=0,0,Расчет2!BG78)</f>
        <v>0</v>
      </c>
      <c r="AI78" s="11" t="e">
        <f>Расчет!FY78</f>
        <v>#N/A</v>
      </c>
      <c r="AJ78" s="11" t="e">
        <f>Расчет!FZ78</f>
        <v>#N/A</v>
      </c>
      <c r="AK78" s="11" t="e">
        <f>Расчет!GA78</f>
        <v>#N/A</v>
      </c>
      <c r="AL78" s="11" t="e">
        <f>Расчет!GB78</f>
        <v>#N/A</v>
      </c>
      <c r="AM78" s="11" t="e">
        <f>Расчет!GC78</f>
        <v>#N/A</v>
      </c>
      <c r="AN78" s="11" t="e">
        <f>Расчет!GD78</f>
        <v>#N/A</v>
      </c>
      <c r="AO78" s="11" t="e">
        <f>Расчет!GE78</f>
        <v>#N/A</v>
      </c>
      <c r="AP78" s="11" t="e">
        <f>Расчет!GF78</f>
        <v>#N/A</v>
      </c>
      <c r="AQ78" s="11" t="e">
        <f>Расчет!GG78</f>
        <v>#N/A</v>
      </c>
      <c r="AR78" s="11" t="e">
        <f>Расчет!GH78</f>
        <v>#N/A</v>
      </c>
      <c r="AS78" s="11" t="e">
        <f>Расчет!GI78</f>
        <v>#N/A</v>
      </c>
      <c r="AT78" s="11" t="e">
        <f>Расчет!GJ78</f>
        <v>#N/A</v>
      </c>
      <c r="AU78" s="198" t="e">
        <f t="shared" si="9"/>
        <v>#N/A</v>
      </c>
      <c r="AV78" s="198" t="e">
        <f t="shared" si="10"/>
        <v>#N/A</v>
      </c>
      <c r="AW78" s="198" t="e">
        <f t="shared" si="11"/>
        <v>#N/A</v>
      </c>
      <c r="AX78" s="11" t="e">
        <f t="shared" si="12"/>
        <v>#N/A</v>
      </c>
      <c r="AY78" s="11" t="e">
        <f t="shared" si="13"/>
        <v>#N/A</v>
      </c>
      <c r="AZ78" s="11" t="e">
        <f t="shared" si="14"/>
        <v>#N/A</v>
      </c>
    </row>
    <row r="79" spans="1:52" x14ac:dyDescent="0.2">
      <c r="A79" s="6">
        <f>Исходн.данные.!A79</f>
        <v>0</v>
      </c>
      <c r="B79" s="6">
        <f>Исходн.данные.!B79</f>
        <v>0</v>
      </c>
      <c r="C79" s="6">
        <f>Исходн.данные.!C79</f>
        <v>0</v>
      </c>
      <c r="D79" s="6">
        <f>Исходн.данные.!D79</f>
        <v>0</v>
      </c>
      <c r="E79" s="6">
        <f>Исходн.данные.!E79</f>
        <v>0</v>
      </c>
      <c r="F79" s="6">
        <f>Исходн.данные.!AH79</f>
        <v>0</v>
      </c>
      <c r="G79" s="6">
        <f>Исходн.данные.!AJ79</f>
        <v>0</v>
      </c>
      <c r="H79" s="6">
        <f>Исходн.данные.!AK79</f>
        <v>0</v>
      </c>
      <c r="I79" s="9">
        <f>IF($F79=0,0,Расчет2!AO79)</f>
        <v>0</v>
      </c>
      <c r="J79" s="9">
        <f>IF(F79=0,0,Расчет2!AP79)</f>
        <v>0</v>
      </c>
      <c r="K79" s="10">
        <f>IF($F79=0,0,Расчет2!AQ79)</f>
        <v>0</v>
      </c>
      <c r="L79" s="10">
        <f>IF($F79=0,0,Расчет2!AR79)</f>
        <v>0</v>
      </c>
      <c r="M79" s="10">
        <f>IF($F79=0,0,Расчет2!AS79)</f>
        <v>0</v>
      </c>
      <c r="N79" s="10">
        <f>IF($F79=0,0,IF(Исходн.данные.!$AP79="Посл.посева",0,Расчет2!AT79))</f>
        <v>0</v>
      </c>
      <c r="O79" s="10">
        <f>IF($F79=0,0,IF(Исходн.данные.!$AP79="Посл.посева",0,IF(Расчет2!AU79&lt;10,10,Расчет2!AU79)))</f>
        <v>0</v>
      </c>
      <c r="P79" s="10">
        <f>IF($F79=0,0,IF(Исходн.данные.!$AP79="Посл.посева",0,Расчет2!AV79))</f>
        <v>0</v>
      </c>
      <c r="Q79" s="10">
        <f>IF($F79=0,0,Расчет2!AW79)</f>
        <v>0</v>
      </c>
      <c r="R79" s="10">
        <f>IF($F79=0,0,Расчет2!AX79)</f>
        <v>0</v>
      </c>
      <c r="S79" s="9">
        <f>IF($F79=0,0,Расчет2!AY79)</f>
        <v>0</v>
      </c>
      <c r="T79" s="10">
        <f>IF($F79=0,0,Расчет2!AZ79)</f>
        <v>0</v>
      </c>
      <c r="U79" s="10">
        <f>IF($F79=0,0,Расчет2!BA79)</f>
        <v>0</v>
      </c>
      <c r="V79" s="10">
        <f>IF($F79=0,0,Расчет2!BB79)</f>
        <v>0</v>
      </c>
      <c r="W79" s="10">
        <f>Расчет!DL79</f>
        <v>0</v>
      </c>
      <c r="X79" s="10">
        <f>Расчет!DN79</f>
        <v>0</v>
      </c>
      <c r="Y79" s="9">
        <f>X79*Исходн.данные.!$AJ79/1000</f>
        <v>0</v>
      </c>
      <c r="Z79" s="10" t="str">
        <f>Расчет!DO79</f>
        <v>Хлор.калий</v>
      </c>
      <c r="AA79" s="10">
        <f>Расчет!DQ79</f>
        <v>0</v>
      </c>
      <c r="AB79" s="12">
        <f>AA79*Исходн.данные.!$AJ79/1000</f>
        <v>0</v>
      </c>
      <c r="AC79" s="9">
        <f>IF($F79=0,0,Расчет2!BC79)</f>
        <v>0</v>
      </c>
      <c r="AD79" s="10">
        <f>IF($F79=0,0,Расчет2!BD79)</f>
        <v>0</v>
      </c>
      <c r="AE79" s="9">
        <f>IF($F79=0,0,Расчет2!BE79)</f>
        <v>0</v>
      </c>
      <c r="AF79" s="9">
        <f>IF($F79=0,0,Расчет2!BF79)</f>
        <v>0</v>
      </c>
      <c r="AG79" s="9">
        <f>IF($F79=0,0,Расчет2!BG79)</f>
        <v>0</v>
      </c>
      <c r="AI79" s="11" t="e">
        <f>Расчет!FY79</f>
        <v>#N/A</v>
      </c>
      <c r="AJ79" s="11" t="e">
        <f>Расчет!FZ79</f>
        <v>#N/A</v>
      </c>
      <c r="AK79" s="11" t="e">
        <f>Расчет!GA79</f>
        <v>#N/A</v>
      </c>
      <c r="AL79" s="11" t="e">
        <f>Расчет!GB79</f>
        <v>#N/A</v>
      </c>
      <c r="AM79" s="11" t="e">
        <f>Расчет!GC79</f>
        <v>#N/A</v>
      </c>
      <c r="AN79" s="11" t="e">
        <f>Расчет!GD79</f>
        <v>#N/A</v>
      </c>
      <c r="AO79" s="11" t="e">
        <f>Расчет!GE79</f>
        <v>#N/A</v>
      </c>
      <c r="AP79" s="11" t="e">
        <f>Расчет!GF79</f>
        <v>#N/A</v>
      </c>
      <c r="AQ79" s="11" t="e">
        <f>Расчет!GG79</f>
        <v>#N/A</v>
      </c>
      <c r="AR79" s="11" t="e">
        <f>Расчет!GH79</f>
        <v>#N/A</v>
      </c>
      <c r="AS79" s="11" t="e">
        <f>Расчет!GI79</f>
        <v>#N/A</v>
      </c>
      <c r="AT79" s="11" t="e">
        <f>Расчет!GJ79</f>
        <v>#N/A</v>
      </c>
      <c r="AU79" s="198" t="e">
        <f t="shared" si="9"/>
        <v>#N/A</v>
      </c>
      <c r="AV79" s="198" t="e">
        <f t="shared" si="10"/>
        <v>#N/A</v>
      </c>
      <c r="AW79" s="198" t="e">
        <f t="shared" si="11"/>
        <v>#N/A</v>
      </c>
      <c r="AX79" s="11" t="e">
        <f t="shared" si="12"/>
        <v>#N/A</v>
      </c>
      <c r="AY79" s="11" t="e">
        <f t="shared" si="13"/>
        <v>#N/A</v>
      </c>
      <c r="AZ79" s="11" t="e">
        <f t="shared" si="14"/>
        <v>#N/A</v>
      </c>
    </row>
    <row r="80" spans="1:52" x14ac:dyDescent="0.2">
      <c r="A80" s="6">
        <f>Исходн.данные.!A80</f>
        <v>0</v>
      </c>
      <c r="B80" s="6">
        <f>Исходн.данные.!B80</f>
        <v>0</v>
      </c>
      <c r="C80" s="6">
        <f>Исходн.данные.!C80</f>
        <v>0</v>
      </c>
      <c r="D80" s="6">
        <f>Исходн.данные.!D80</f>
        <v>0</v>
      </c>
      <c r="E80" s="6">
        <f>Исходн.данные.!E80</f>
        <v>0</v>
      </c>
      <c r="F80" s="6">
        <f>Исходн.данные.!AH80</f>
        <v>0</v>
      </c>
      <c r="G80" s="6">
        <f>Исходн.данные.!AJ80</f>
        <v>0</v>
      </c>
      <c r="H80" s="6">
        <f>Исходн.данные.!AK80</f>
        <v>0</v>
      </c>
      <c r="I80" s="9">
        <f>IF($F80=0,0,Расчет2!AO80)</f>
        <v>0</v>
      </c>
      <c r="J80" s="9">
        <f>IF(F80=0,0,Расчет2!AP80)</f>
        <v>0</v>
      </c>
      <c r="K80" s="10">
        <f>IF($F80=0,0,Расчет2!AQ80)</f>
        <v>0</v>
      </c>
      <c r="L80" s="10">
        <f>IF($F80=0,0,Расчет2!AR80)</f>
        <v>0</v>
      </c>
      <c r="M80" s="10">
        <f>IF($F80=0,0,Расчет2!AS80)</f>
        <v>0</v>
      </c>
      <c r="N80" s="10">
        <f>IF($F80=0,0,IF(Исходн.данные.!$AP80="Посл.посева",0,Расчет2!AT80))</f>
        <v>0</v>
      </c>
      <c r="O80" s="10">
        <f>IF($F80=0,0,IF(Исходн.данные.!$AP80="Посл.посева",0,IF(Расчет2!AU80&lt;10,10,Расчет2!AU80)))</f>
        <v>0</v>
      </c>
      <c r="P80" s="10">
        <f>IF($F80=0,0,IF(Исходн.данные.!$AP80="Посл.посева",0,Расчет2!AV80))</f>
        <v>0</v>
      </c>
      <c r="Q80" s="10">
        <f>IF($F80=0,0,Расчет2!AW80)</f>
        <v>0</v>
      </c>
      <c r="R80" s="10">
        <f>IF($F80=0,0,Расчет2!AX80)</f>
        <v>0</v>
      </c>
      <c r="S80" s="9">
        <f>IF($F80=0,0,Расчет2!AY80)</f>
        <v>0</v>
      </c>
      <c r="T80" s="10">
        <f>IF($F80=0,0,Расчет2!AZ80)</f>
        <v>0</v>
      </c>
      <c r="U80" s="10">
        <f>IF($F80=0,0,Расчет2!BA80)</f>
        <v>0</v>
      </c>
      <c r="V80" s="10">
        <f>IF($F80=0,0,Расчет2!BB80)</f>
        <v>0</v>
      </c>
      <c r="W80" s="10">
        <f>Расчет!DL80</f>
        <v>0</v>
      </c>
      <c r="X80" s="10">
        <f>Расчет!DN80</f>
        <v>0</v>
      </c>
      <c r="Y80" s="9">
        <f>X80*Исходн.данные.!$AJ80/1000</f>
        <v>0</v>
      </c>
      <c r="Z80" s="10" t="str">
        <f>Расчет!DO80</f>
        <v>Хлор.калий</v>
      </c>
      <c r="AA80" s="10">
        <f>Расчет!DQ80</f>
        <v>0</v>
      </c>
      <c r="AB80" s="12">
        <f>AA80*Исходн.данные.!$AJ80/1000</f>
        <v>0</v>
      </c>
      <c r="AC80" s="9">
        <f>IF($F80=0,0,Расчет2!BC80)</f>
        <v>0</v>
      </c>
      <c r="AD80" s="10">
        <f>IF($F80=0,0,Расчет2!BD80)</f>
        <v>0</v>
      </c>
      <c r="AE80" s="9">
        <f>IF($F80=0,0,Расчет2!BE80)</f>
        <v>0</v>
      </c>
      <c r="AF80" s="9">
        <f>IF($F80=0,0,Расчет2!BF80)</f>
        <v>0</v>
      </c>
      <c r="AG80" s="9">
        <f>IF($F80=0,0,Расчет2!BG80)</f>
        <v>0</v>
      </c>
      <c r="AI80" s="11" t="e">
        <f>Расчет!FY80</f>
        <v>#N/A</v>
      </c>
      <c r="AJ80" s="11" t="e">
        <f>Расчет!FZ80</f>
        <v>#N/A</v>
      </c>
      <c r="AK80" s="11" t="e">
        <f>Расчет!GA80</f>
        <v>#N/A</v>
      </c>
      <c r="AL80" s="11" t="e">
        <f>Расчет!GB80</f>
        <v>#N/A</v>
      </c>
      <c r="AM80" s="11" t="e">
        <f>Расчет!GC80</f>
        <v>#N/A</v>
      </c>
      <c r="AN80" s="11" t="e">
        <f>Расчет!GD80</f>
        <v>#N/A</v>
      </c>
      <c r="AO80" s="11" t="e">
        <f>Расчет!GE80</f>
        <v>#N/A</v>
      </c>
      <c r="AP80" s="11" t="e">
        <f>Расчет!GF80</f>
        <v>#N/A</v>
      </c>
      <c r="AQ80" s="11" t="e">
        <f>Расчет!GG80</f>
        <v>#N/A</v>
      </c>
      <c r="AR80" s="11" t="e">
        <f>Расчет!GH80</f>
        <v>#N/A</v>
      </c>
      <c r="AS80" s="11" t="e">
        <f>Расчет!GI80</f>
        <v>#N/A</v>
      </c>
      <c r="AT80" s="11" t="e">
        <f>Расчет!GJ80</f>
        <v>#N/A</v>
      </c>
      <c r="AU80" s="198" t="e">
        <f t="shared" si="9"/>
        <v>#N/A</v>
      </c>
      <c r="AV80" s="198" t="e">
        <f t="shared" si="10"/>
        <v>#N/A</v>
      </c>
      <c r="AW80" s="198" t="e">
        <f t="shared" si="11"/>
        <v>#N/A</v>
      </c>
      <c r="AX80" s="11" t="e">
        <f t="shared" si="12"/>
        <v>#N/A</v>
      </c>
      <c r="AY80" s="11" t="e">
        <f t="shared" si="13"/>
        <v>#N/A</v>
      </c>
      <c r="AZ80" s="11" t="e">
        <f t="shared" si="14"/>
        <v>#N/A</v>
      </c>
    </row>
    <row r="81" spans="1:52" x14ac:dyDescent="0.2">
      <c r="A81" s="6">
        <f>Исходн.данные.!A81</f>
        <v>0</v>
      </c>
      <c r="B81" s="6">
        <f>Исходн.данные.!B81</f>
        <v>0</v>
      </c>
      <c r="C81" s="6">
        <f>Исходн.данные.!C81</f>
        <v>0</v>
      </c>
      <c r="D81" s="6">
        <f>Исходн.данные.!D81</f>
        <v>0</v>
      </c>
      <c r="E81" s="6">
        <f>Исходн.данные.!E81</f>
        <v>0</v>
      </c>
      <c r="F81" s="6">
        <f>Исходн.данные.!AH81</f>
        <v>0</v>
      </c>
      <c r="G81" s="6">
        <f>Исходн.данные.!AJ81</f>
        <v>0</v>
      </c>
      <c r="H81" s="6">
        <f>Исходн.данные.!AK81</f>
        <v>0</v>
      </c>
      <c r="I81" s="9">
        <f>IF($F81=0,0,Расчет2!AO81)</f>
        <v>0</v>
      </c>
      <c r="J81" s="9">
        <f>IF(F81=0,0,Расчет2!AP81)</f>
        <v>0</v>
      </c>
      <c r="K81" s="10">
        <f>IF($F81=0,0,Расчет2!AQ81)</f>
        <v>0</v>
      </c>
      <c r="L81" s="10">
        <f>IF($F81=0,0,Расчет2!AR81)</f>
        <v>0</v>
      </c>
      <c r="M81" s="10">
        <f>IF($F81=0,0,Расчет2!AS81)</f>
        <v>0</v>
      </c>
      <c r="N81" s="10">
        <f>IF($F81=0,0,IF(Исходн.данные.!$AP81="Посл.посева",0,Расчет2!AT81))</f>
        <v>0</v>
      </c>
      <c r="O81" s="10">
        <f>IF($F81=0,0,IF(Исходн.данные.!$AP81="Посл.посева",0,IF(Расчет2!AU81&lt;10,10,Расчет2!AU81)))</f>
        <v>0</v>
      </c>
      <c r="P81" s="10">
        <f>IF($F81=0,0,IF(Исходн.данные.!$AP81="Посл.посева",0,Расчет2!AV81))</f>
        <v>0</v>
      </c>
      <c r="Q81" s="10">
        <f>IF($F81=0,0,Расчет2!AW81)</f>
        <v>0</v>
      </c>
      <c r="R81" s="10">
        <f>IF($F81=0,0,Расчет2!AX81)</f>
        <v>0</v>
      </c>
      <c r="S81" s="9">
        <f>IF($F81=0,0,Расчет2!AY81)</f>
        <v>0</v>
      </c>
      <c r="T81" s="10">
        <f>IF($F81=0,0,Расчет2!AZ81)</f>
        <v>0</v>
      </c>
      <c r="U81" s="10">
        <f>IF($F81=0,0,Расчет2!BA81)</f>
        <v>0</v>
      </c>
      <c r="V81" s="10">
        <f>IF($F81=0,0,Расчет2!BB81)</f>
        <v>0</v>
      </c>
      <c r="W81" s="10">
        <f>Расчет!DL81</f>
        <v>0</v>
      </c>
      <c r="X81" s="10">
        <f>Расчет!DN81</f>
        <v>0</v>
      </c>
      <c r="Y81" s="9">
        <f>X81*Исходн.данные.!$AJ81/1000</f>
        <v>0</v>
      </c>
      <c r="Z81" s="10" t="str">
        <f>Расчет!DO81</f>
        <v>Хлор.калий</v>
      </c>
      <c r="AA81" s="10">
        <f>Расчет!DQ81</f>
        <v>0</v>
      </c>
      <c r="AB81" s="12">
        <f>AA81*Исходн.данные.!$AJ81/1000</f>
        <v>0</v>
      </c>
      <c r="AC81" s="9">
        <f>IF($F81=0,0,Расчет2!BC81)</f>
        <v>0</v>
      </c>
      <c r="AD81" s="10">
        <f>IF($F81=0,0,Расчет2!BD81)</f>
        <v>0</v>
      </c>
      <c r="AE81" s="9">
        <f>IF($F81=0,0,Расчет2!BE81)</f>
        <v>0</v>
      </c>
      <c r="AF81" s="9">
        <f>IF($F81=0,0,Расчет2!BF81)</f>
        <v>0</v>
      </c>
      <c r="AG81" s="9">
        <f>IF($F81=0,0,Расчет2!BG81)</f>
        <v>0</v>
      </c>
      <c r="AI81" s="11" t="e">
        <f>Расчет!FY81</f>
        <v>#N/A</v>
      </c>
      <c r="AJ81" s="11" t="e">
        <f>Расчет!FZ81</f>
        <v>#N/A</v>
      </c>
      <c r="AK81" s="11" t="e">
        <f>Расчет!GA81</f>
        <v>#N/A</v>
      </c>
      <c r="AL81" s="11" t="e">
        <f>Расчет!GB81</f>
        <v>#N/A</v>
      </c>
      <c r="AM81" s="11" t="e">
        <f>Расчет!GC81</f>
        <v>#N/A</v>
      </c>
      <c r="AN81" s="11" t="e">
        <f>Расчет!GD81</f>
        <v>#N/A</v>
      </c>
      <c r="AO81" s="11" t="e">
        <f>Расчет!GE81</f>
        <v>#N/A</v>
      </c>
      <c r="AP81" s="11" t="e">
        <f>Расчет!GF81</f>
        <v>#N/A</v>
      </c>
      <c r="AQ81" s="11" t="e">
        <f>Расчет!GG81</f>
        <v>#N/A</v>
      </c>
      <c r="AR81" s="11" t="e">
        <f>Расчет!GH81</f>
        <v>#N/A</v>
      </c>
      <c r="AS81" s="11" t="e">
        <f>Расчет!GI81</f>
        <v>#N/A</v>
      </c>
      <c r="AT81" s="11" t="e">
        <f>Расчет!GJ81</f>
        <v>#N/A</v>
      </c>
      <c r="AU81" s="198" t="e">
        <f t="shared" si="9"/>
        <v>#N/A</v>
      </c>
      <c r="AV81" s="198" t="e">
        <f t="shared" si="10"/>
        <v>#N/A</v>
      </c>
      <c r="AW81" s="198" t="e">
        <f t="shared" si="11"/>
        <v>#N/A</v>
      </c>
      <c r="AX81" s="11" t="e">
        <f t="shared" si="12"/>
        <v>#N/A</v>
      </c>
      <c r="AY81" s="11" t="e">
        <f t="shared" si="13"/>
        <v>#N/A</v>
      </c>
      <c r="AZ81" s="11" t="e">
        <f t="shared" si="14"/>
        <v>#N/A</v>
      </c>
    </row>
    <row r="82" spans="1:52" x14ac:dyDescent="0.2">
      <c r="A82" s="6">
        <f>Исходн.данные.!A82</f>
        <v>0</v>
      </c>
      <c r="B82" s="6">
        <f>Исходн.данные.!B82</f>
        <v>0</v>
      </c>
      <c r="C82" s="6">
        <f>Исходн.данные.!C82</f>
        <v>0</v>
      </c>
      <c r="D82" s="6">
        <f>Исходн.данные.!D82</f>
        <v>0</v>
      </c>
      <c r="E82" s="6">
        <f>Исходн.данные.!E82</f>
        <v>0</v>
      </c>
      <c r="F82" s="6">
        <f>Исходн.данные.!AH82</f>
        <v>0</v>
      </c>
      <c r="G82" s="6">
        <f>Исходн.данные.!AJ82</f>
        <v>0</v>
      </c>
      <c r="H82" s="6">
        <f>Исходн.данные.!AK82</f>
        <v>0</v>
      </c>
      <c r="I82" s="9">
        <f>IF($F82=0,0,Расчет2!AO82)</f>
        <v>0</v>
      </c>
      <c r="J82" s="9">
        <f>IF(F82=0,0,Расчет2!AP82)</f>
        <v>0</v>
      </c>
      <c r="K82" s="10">
        <f>IF($F82=0,0,Расчет2!AQ82)</f>
        <v>0</v>
      </c>
      <c r="L82" s="10">
        <f>IF($F82=0,0,Расчет2!AR82)</f>
        <v>0</v>
      </c>
      <c r="M82" s="10">
        <f>IF($F82=0,0,Расчет2!AS82)</f>
        <v>0</v>
      </c>
      <c r="N82" s="10">
        <f>IF($F82=0,0,IF(Исходн.данные.!$AP82="Посл.посева",0,Расчет2!AT82))</f>
        <v>0</v>
      </c>
      <c r="O82" s="10">
        <f>IF($F82=0,0,IF(Исходн.данные.!$AP82="Посл.посева",0,IF(Расчет2!AU82&lt;10,10,Расчет2!AU82)))</f>
        <v>0</v>
      </c>
      <c r="P82" s="10">
        <f>IF($F82=0,0,IF(Исходн.данные.!$AP82="Посл.посева",0,Расчет2!AV82))</f>
        <v>0</v>
      </c>
      <c r="Q82" s="10">
        <f>IF($F82=0,0,Расчет2!AW82)</f>
        <v>0</v>
      </c>
      <c r="R82" s="10">
        <f>IF($F82=0,0,Расчет2!AX82)</f>
        <v>0</v>
      </c>
      <c r="S82" s="9">
        <f>IF($F82=0,0,Расчет2!AY82)</f>
        <v>0</v>
      </c>
      <c r="T82" s="10">
        <f>IF($F82=0,0,Расчет2!AZ82)</f>
        <v>0</v>
      </c>
      <c r="U82" s="10">
        <f>IF($F82=0,0,Расчет2!BA82)</f>
        <v>0</v>
      </c>
      <c r="V82" s="10">
        <f>IF($F82=0,0,Расчет2!BB82)</f>
        <v>0</v>
      </c>
      <c r="W82" s="10">
        <f>Расчет!DL82</f>
        <v>0</v>
      </c>
      <c r="X82" s="10">
        <f>Расчет!DN82</f>
        <v>0</v>
      </c>
      <c r="Y82" s="9">
        <f>X82*Исходн.данные.!$AJ82/1000</f>
        <v>0</v>
      </c>
      <c r="Z82" s="10" t="str">
        <f>Расчет!DO82</f>
        <v>Хлор.калий</v>
      </c>
      <c r="AA82" s="10">
        <f>Расчет!DQ82</f>
        <v>0</v>
      </c>
      <c r="AB82" s="12">
        <f>AA82*Исходн.данные.!$AJ82/1000</f>
        <v>0</v>
      </c>
      <c r="AC82" s="9">
        <f>IF($F82=0,0,Расчет2!BC82)</f>
        <v>0</v>
      </c>
      <c r="AD82" s="10">
        <f>IF($F82=0,0,Расчет2!BD82)</f>
        <v>0</v>
      </c>
      <c r="AE82" s="9">
        <f>IF($F82=0,0,Расчет2!BE82)</f>
        <v>0</v>
      </c>
      <c r="AF82" s="9">
        <f>IF($F82=0,0,Расчет2!BF82)</f>
        <v>0</v>
      </c>
      <c r="AG82" s="9">
        <f>IF($F82=0,0,Расчет2!BG82)</f>
        <v>0</v>
      </c>
      <c r="AI82" s="11" t="e">
        <f>Расчет!FY82</f>
        <v>#N/A</v>
      </c>
      <c r="AJ82" s="11" t="e">
        <f>Расчет!FZ82</f>
        <v>#N/A</v>
      </c>
      <c r="AK82" s="11" t="e">
        <f>Расчет!GA82</f>
        <v>#N/A</v>
      </c>
      <c r="AL82" s="11" t="e">
        <f>Расчет!GB82</f>
        <v>#N/A</v>
      </c>
      <c r="AM82" s="11" t="e">
        <f>Расчет!GC82</f>
        <v>#N/A</v>
      </c>
      <c r="AN82" s="11" t="e">
        <f>Расчет!GD82</f>
        <v>#N/A</v>
      </c>
      <c r="AO82" s="11" t="e">
        <f>Расчет!GE82</f>
        <v>#N/A</v>
      </c>
      <c r="AP82" s="11" t="e">
        <f>Расчет!GF82</f>
        <v>#N/A</v>
      </c>
      <c r="AQ82" s="11" t="e">
        <f>Расчет!GG82</f>
        <v>#N/A</v>
      </c>
      <c r="AR82" s="11" t="e">
        <f>Расчет!GH82</f>
        <v>#N/A</v>
      </c>
      <c r="AS82" s="11" t="e">
        <f>Расчет!GI82</f>
        <v>#N/A</v>
      </c>
      <c r="AT82" s="11" t="e">
        <f>Расчет!GJ82</f>
        <v>#N/A</v>
      </c>
      <c r="AU82" s="198" t="e">
        <f t="shared" si="9"/>
        <v>#N/A</v>
      </c>
      <c r="AV82" s="198" t="e">
        <f t="shared" si="10"/>
        <v>#N/A</v>
      </c>
      <c r="AW82" s="198" t="e">
        <f t="shared" si="11"/>
        <v>#N/A</v>
      </c>
      <c r="AX82" s="11" t="e">
        <f t="shared" si="12"/>
        <v>#N/A</v>
      </c>
      <c r="AY82" s="11" t="e">
        <f t="shared" si="13"/>
        <v>#N/A</v>
      </c>
      <c r="AZ82" s="11" t="e">
        <f t="shared" si="14"/>
        <v>#N/A</v>
      </c>
    </row>
    <row r="83" spans="1:52" x14ac:dyDescent="0.2">
      <c r="A83" s="6">
        <f>Исходн.данные.!A83</f>
        <v>0</v>
      </c>
      <c r="B83" s="6">
        <f>Исходн.данные.!B83</f>
        <v>0</v>
      </c>
      <c r="C83" s="6">
        <f>Исходн.данные.!C83</f>
        <v>0</v>
      </c>
      <c r="D83" s="6">
        <f>Исходн.данные.!D83</f>
        <v>0</v>
      </c>
      <c r="E83" s="6">
        <f>Исходн.данные.!E83</f>
        <v>0</v>
      </c>
      <c r="F83" s="6">
        <f>Исходн.данные.!AH83</f>
        <v>0</v>
      </c>
      <c r="G83" s="6">
        <f>Исходн.данные.!AJ83</f>
        <v>0</v>
      </c>
      <c r="H83" s="6">
        <f>Исходн.данные.!AK83</f>
        <v>0</v>
      </c>
      <c r="I83" s="9">
        <f>IF($F83=0,0,Расчет2!AO83)</f>
        <v>0</v>
      </c>
      <c r="J83" s="9">
        <f>IF(F83=0,0,Расчет2!AP83)</f>
        <v>0</v>
      </c>
      <c r="K83" s="10">
        <f>IF($F83=0,0,Расчет2!AQ83)</f>
        <v>0</v>
      </c>
      <c r="L83" s="10">
        <f>IF($F83=0,0,Расчет2!AR83)</f>
        <v>0</v>
      </c>
      <c r="M83" s="10">
        <f>IF($F83=0,0,Расчет2!AS83)</f>
        <v>0</v>
      </c>
      <c r="N83" s="10">
        <f>IF($F83=0,0,IF(Исходн.данные.!$AP83="Посл.посева",0,Расчет2!AT83))</f>
        <v>0</v>
      </c>
      <c r="O83" s="10">
        <f>IF($F83=0,0,IF(Исходн.данные.!$AP83="Посл.посева",0,IF(Расчет2!AU83&lt;10,10,Расчет2!AU83)))</f>
        <v>0</v>
      </c>
      <c r="P83" s="10">
        <f>IF($F83=0,0,IF(Исходн.данные.!$AP83="Посл.посева",0,Расчет2!AV83))</f>
        <v>0</v>
      </c>
      <c r="Q83" s="10">
        <f>IF($F83=0,0,Расчет2!AW83)</f>
        <v>0</v>
      </c>
      <c r="R83" s="10">
        <f>IF($F83=0,0,Расчет2!AX83)</f>
        <v>0</v>
      </c>
      <c r="S83" s="9">
        <f>IF($F83=0,0,Расчет2!AY83)</f>
        <v>0</v>
      </c>
      <c r="T83" s="10">
        <f>IF($F83=0,0,Расчет2!AZ83)</f>
        <v>0</v>
      </c>
      <c r="U83" s="10">
        <f>IF($F83=0,0,Расчет2!BA83)</f>
        <v>0</v>
      </c>
      <c r="V83" s="10">
        <f>IF($F83=0,0,Расчет2!BB83)</f>
        <v>0</v>
      </c>
      <c r="W83" s="10">
        <f>Расчет!DL83</f>
        <v>0</v>
      </c>
      <c r="X83" s="10">
        <f>Расчет!DN83</f>
        <v>0</v>
      </c>
      <c r="Y83" s="9">
        <f>X83*Исходн.данные.!$AJ83/1000</f>
        <v>0</v>
      </c>
      <c r="Z83" s="10" t="str">
        <f>Расчет!DO83</f>
        <v>Хлор.калий</v>
      </c>
      <c r="AA83" s="10">
        <f>Расчет!DQ83</f>
        <v>0</v>
      </c>
      <c r="AB83" s="12">
        <f>AA83*Исходн.данные.!$AJ83/1000</f>
        <v>0</v>
      </c>
      <c r="AC83" s="9">
        <f>IF($F83=0,0,Расчет2!BC83)</f>
        <v>0</v>
      </c>
      <c r="AD83" s="10">
        <f>IF($F83=0,0,Расчет2!BD83)</f>
        <v>0</v>
      </c>
      <c r="AE83" s="9">
        <f>IF($F83=0,0,Расчет2!BE83)</f>
        <v>0</v>
      </c>
      <c r="AF83" s="9">
        <f>IF($F83=0,0,Расчет2!BF83)</f>
        <v>0</v>
      </c>
      <c r="AG83" s="9">
        <f>IF($F83=0,0,Расчет2!BG83)</f>
        <v>0</v>
      </c>
      <c r="AI83" s="11" t="e">
        <f>Расчет!FY83</f>
        <v>#N/A</v>
      </c>
      <c r="AJ83" s="11" t="e">
        <f>Расчет!FZ83</f>
        <v>#N/A</v>
      </c>
      <c r="AK83" s="11" t="e">
        <f>Расчет!GA83</f>
        <v>#N/A</v>
      </c>
      <c r="AL83" s="11" t="e">
        <f>Расчет!GB83</f>
        <v>#N/A</v>
      </c>
      <c r="AM83" s="11" t="e">
        <f>Расчет!GC83</f>
        <v>#N/A</v>
      </c>
      <c r="AN83" s="11" t="e">
        <f>Расчет!GD83</f>
        <v>#N/A</v>
      </c>
      <c r="AO83" s="11" t="e">
        <f>Расчет!GE83</f>
        <v>#N/A</v>
      </c>
      <c r="AP83" s="11" t="e">
        <f>Расчет!GF83</f>
        <v>#N/A</v>
      </c>
      <c r="AQ83" s="11" t="e">
        <f>Расчет!GG83</f>
        <v>#N/A</v>
      </c>
      <c r="AR83" s="11" t="e">
        <f>Расчет!GH83</f>
        <v>#N/A</v>
      </c>
      <c r="AS83" s="11" t="e">
        <f>Расчет!GI83</f>
        <v>#N/A</v>
      </c>
      <c r="AT83" s="11" t="e">
        <f>Расчет!GJ83</f>
        <v>#N/A</v>
      </c>
      <c r="AU83" s="198" t="e">
        <f t="shared" si="9"/>
        <v>#N/A</v>
      </c>
      <c r="AV83" s="198" t="e">
        <f t="shared" si="10"/>
        <v>#N/A</v>
      </c>
      <c r="AW83" s="198" t="e">
        <f t="shared" si="11"/>
        <v>#N/A</v>
      </c>
      <c r="AX83" s="11" t="e">
        <f t="shared" si="12"/>
        <v>#N/A</v>
      </c>
      <c r="AY83" s="11" t="e">
        <f t="shared" si="13"/>
        <v>#N/A</v>
      </c>
      <c r="AZ83" s="11" t="e">
        <f t="shared" si="14"/>
        <v>#N/A</v>
      </c>
    </row>
    <row r="84" spans="1:52" x14ac:dyDescent="0.2">
      <c r="A84" s="6">
        <f>Исходн.данные.!A84</f>
        <v>0</v>
      </c>
      <c r="B84" s="6">
        <f>Исходн.данные.!B84</f>
        <v>0</v>
      </c>
      <c r="C84" s="6">
        <f>Исходн.данные.!C84</f>
        <v>0</v>
      </c>
      <c r="D84" s="6">
        <f>Исходн.данные.!D84</f>
        <v>0</v>
      </c>
      <c r="E84" s="6">
        <f>Исходн.данные.!E84</f>
        <v>0</v>
      </c>
      <c r="F84" s="6">
        <f>Исходн.данные.!AH84</f>
        <v>0</v>
      </c>
      <c r="G84" s="6">
        <f>Исходн.данные.!AJ84</f>
        <v>0</v>
      </c>
      <c r="H84" s="6">
        <f>Исходн.данные.!AK84</f>
        <v>0</v>
      </c>
      <c r="I84" s="9">
        <f>IF($F84=0,0,Расчет2!AO84)</f>
        <v>0</v>
      </c>
      <c r="J84" s="9">
        <f>IF(F84=0,0,Расчет2!AP84)</f>
        <v>0</v>
      </c>
      <c r="K84" s="10">
        <f>IF($F84=0,0,Расчет2!AQ84)</f>
        <v>0</v>
      </c>
      <c r="L84" s="10">
        <f>IF($F84=0,0,Расчет2!AR84)</f>
        <v>0</v>
      </c>
      <c r="M84" s="10">
        <f>IF($F84=0,0,Расчет2!AS84)</f>
        <v>0</v>
      </c>
      <c r="N84" s="10">
        <f>IF($F84=0,0,IF(Исходн.данные.!$AP84="Посл.посева",0,Расчет2!AT84))</f>
        <v>0</v>
      </c>
      <c r="O84" s="10">
        <f>IF($F84=0,0,IF(Исходн.данные.!$AP84="Посл.посева",0,IF(Расчет2!AU84&lt;10,10,Расчет2!AU84)))</f>
        <v>0</v>
      </c>
      <c r="P84" s="10">
        <f>IF($F84=0,0,IF(Исходн.данные.!$AP84="Посл.посева",0,Расчет2!AV84))</f>
        <v>0</v>
      </c>
      <c r="Q84" s="10">
        <f>IF($F84=0,0,Расчет2!AW84)</f>
        <v>0</v>
      </c>
      <c r="R84" s="10">
        <f>IF($F84=0,0,Расчет2!AX84)</f>
        <v>0</v>
      </c>
      <c r="S84" s="9">
        <f>IF($F84=0,0,Расчет2!AY84)</f>
        <v>0</v>
      </c>
      <c r="T84" s="10">
        <f>IF($F84=0,0,Расчет2!AZ84)</f>
        <v>0</v>
      </c>
      <c r="U84" s="10">
        <f>IF($F84=0,0,Расчет2!BA84)</f>
        <v>0</v>
      </c>
      <c r="V84" s="10">
        <f>IF($F84=0,0,Расчет2!BB84)</f>
        <v>0</v>
      </c>
      <c r="W84" s="10">
        <f>Расчет!DL84</f>
        <v>0</v>
      </c>
      <c r="X84" s="10">
        <f>Расчет!DN84</f>
        <v>0</v>
      </c>
      <c r="Y84" s="9">
        <f>X84*Исходн.данные.!$AJ84/1000</f>
        <v>0</v>
      </c>
      <c r="Z84" s="10" t="str">
        <f>Расчет!DO84</f>
        <v>Хлор.калий</v>
      </c>
      <c r="AA84" s="10">
        <f>Расчет!DQ84</f>
        <v>0</v>
      </c>
      <c r="AB84" s="12">
        <f>AA84*Исходн.данные.!$AJ84/1000</f>
        <v>0</v>
      </c>
      <c r="AC84" s="9">
        <f>IF($F84=0,0,Расчет2!BC84)</f>
        <v>0</v>
      </c>
      <c r="AD84" s="10">
        <f>IF($F84=0,0,Расчет2!BD84)</f>
        <v>0</v>
      </c>
      <c r="AE84" s="9">
        <f>IF($F84=0,0,Расчет2!BE84)</f>
        <v>0</v>
      </c>
      <c r="AF84" s="9">
        <f>IF($F84=0,0,Расчет2!BF84)</f>
        <v>0</v>
      </c>
      <c r="AG84" s="9">
        <f>IF($F84=0,0,Расчет2!BG84)</f>
        <v>0</v>
      </c>
      <c r="AI84" s="11" t="e">
        <f>Расчет!FY84</f>
        <v>#N/A</v>
      </c>
      <c r="AJ84" s="11" t="e">
        <f>Расчет!FZ84</f>
        <v>#N/A</v>
      </c>
      <c r="AK84" s="11" t="e">
        <f>Расчет!GA84</f>
        <v>#N/A</v>
      </c>
      <c r="AL84" s="11" t="e">
        <f>Расчет!GB84</f>
        <v>#N/A</v>
      </c>
      <c r="AM84" s="11" t="e">
        <f>Расчет!GC84</f>
        <v>#N/A</v>
      </c>
      <c r="AN84" s="11" t="e">
        <f>Расчет!GD84</f>
        <v>#N/A</v>
      </c>
      <c r="AO84" s="11" t="e">
        <f>Расчет!GE84</f>
        <v>#N/A</v>
      </c>
      <c r="AP84" s="11" t="e">
        <f>Расчет!GF84</f>
        <v>#N/A</v>
      </c>
      <c r="AQ84" s="11" t="e">
        <f>Расчет!GG84</f>
        <v>#N/A</v>
      </c>
      <c r="AR84" s="11" t="e">
        <f>Расчет!GH84</f>
        <v>#N/A</v>
      </c>
      <c r="AS84" s="11" t="e">
        <f>Расчет!GI84</f>
        <v>#N/A</v>
      </c>
      <c r="AT84" s="11" t="e">
        <f>Расчет!GJ84</f>
        <v>#N/A</v>
      </c>
      <c r="AU84" s="198" t="e">
        <f t="shared" si="9"/>
        <v>#N/A</v>
      </c>
      <c r="AV84" s="198" t="e">
        <f t="shared" si="10"/>
        <v>#N/A</v>
      </c>
      <c r="AW84" s="198" t="e">
        <f t="shared" si="11"/>
        <v>#N/A</v>
      </c>
      <c r="AX84" s="11" t="e">
        <f t="shared" si="12"/>
        <v>#N/A</v>
      </c>
      <c r="AY84" s="11" t="e">
        <f t="shared" si="13"/>
        <v>#N/A</v>
      </c>
      <c r="AZ84" s="11" t="e">
        <f t="shared" si="14"/>
        <v>#N/A</v>
      </c>
    </row>
    <row r="85" spans="1:52" x14ac:dyDescent="0.2">
      <c r="A85" s="6">
        <f>Исходн.данные.!A85</f>
        <v>0</v>
      </c>
      <c r="B85" s="6">
        <f>Исходн.данные.!B85</f>
        <v>0</v>
      </c>
      <c r="C85" s="6">
        <f>Исходн.данные.!C85</f>
        <v>0</v>
      </c>
      <c r="D85" s="6">
        <f>Исходн.данные.!D85</f>
        <v>0</v>
      </c>
      <c r="E85" s="6">
        <f>Исходн.данные.!E85</f>
        <v>0</v>
      </c>
      <c r="F85" s="6">
        <f>Исходн.данные.!AH85</f>
        <v>0</v>
      </c>
      <c r="G85" s="6">
        <f>Исходн.данные.!AJ85</f>
        <v>0</v>
      </c>
      <c r="H85" s="6">
        <f>Исходн.данные.!AK85</f>
        <v>0</v>
      </c>
      <c r="I85" s="9">
        <f>IF($F85=0,0,Расчет2!AO85)</f>
        <v>0</v>
      </c>
      <c r="J85" s="9">
        <f>IF(F85=0,0,Расчет2!AP85)</f>
        <v>0</v>
      </c>
      <c r="K85" s="10">
        <f>IF($F85=0,0,Расчет2!AQ85)</f>
        <v>0</v>
      </c>
      <c r="L85" s="10">
        <f>IF($F85=0,0,Расчет2!AR85)</f>
        <v>0</v>
      </c>
      <c r="M85" s="10">
        <f>IF($F85=0,0,Расчет2!AS85)</f>
        <v>0</v>
      </c>
      <c r="N85" s="10">
        <f>IF($F85=0,0,IF(Исходн.данные.!$AP85="Посл.посева",0,Расчет2!AT85))</f>
        <v>0</v>
      </c>
      <c r="O85" s="10">
        <f>IF($F85=0,0,IF(Исходн.данные.!$AP85="Посл.посева",0,IF(Расчет2!AU85&lt;10,10,Расчет2!AU85)))</f>
        <v>0</v>
      </c>
      <c r="P85" s="10">
        <f>IF($F85=0,0,IF(Исходн.данные.!$AP85="Посл.посева",0,Расчет2!AV85))</f>
        <v>0</v>
      </c>
      <c r="Q85" s="10">
        <f>IF($F85=0,0,Расчет2!AW85)</f>
        <v>0</v>
      </c>
      <c r="R85" s="10">
        <f>IF($F85=0,0,Расчет2!AX85)</f>
        <v>0</v>
      </c>
      <c r="S85" s="9">
        <f>IF($F85=0,0,Расчет2!AY85)</f>
        <v>0</v>
      </c>
      <c r="T85" s="10">
        <f>IF($F85=0,0,Расчет2!AZ85)</f>
        <v>0</v>
      </c>
      <c r="U85" s="10">
        <f>IF($F85=0,0,Расчет2!BA85)</f>
        <v>0</v>
      </c>
      <c r="V85" s="10">
        <f>IF($F85=0,0,Расчет2!BB85)</f>
        <v>0</v>
      </c>
      <c r="W85" s="10">
        <f>Расчет!DL85</f>
        <v>0</v>
      </c>
      <c r="X85" s="10">
        <f>Расчет!DN85</f>
        <v>0</v>
      </c>
      <c r="Y85" s="9">
        <f>X85*Исходн.данные.!$AJ85/1000</f>
        <v>0</v>
      </c>
      <c r="Z85" s="10" t="str">
        <f>Расчет!DO85</f>
        <v>Хлор.калий</v>
      </c>
      <c r="AA85" s="10">
        <f>Расчет!DQ85</f>
        <v>0</v>
      </c>
      <c r="AB85" s="12">
        <f>AA85*Исходн.данные.!$AJ85/1000</f>
        <v>0</v>
      </c>
      <c r="AC85" s="9">
        <f>IF($F85=0,0,Расчет2!BC85)</f>
        <v>0</v>
      </c>
      <c r="AD85" s="10">
        <f>IF($F85=0,0,Расчет2!BD85)</f>
        <v>0</v>
      </c>
      <c r="AE85" s="9">
        <f>IF($F85=0,0,Расчет2!BE85)</f>
        <v>0</v>
      </c>
      <c r="AF85" s="9">
        <f>IF($F85=0,0,Расчет2!BF85)</f>
        <v>0</v>
      </c>
      <c r="AG85" s="9">
        <f>IF($F85=0,0,Расчет2!BG85)</f>
        <v>0</v>
      </c>
      <c r="AI85" s="11" t="e">
        <f>Расчет!FY85</f>
        <v>#N/A</v>
      </c>
      <c r="AJ85" s="11" t="e">
        <f>Расчет!FZ85</f>
        <v>#N/A</v>
      </c>
      <c r="AK85" s="11" t="e">
        <f>Расчет!GA85</f>
        <v>#N/A</v>
      </c>
      <c r="AL85" s="11" t="e">
        <f>Расчет!GB85</f>
        <v>#N/A</v>
      </c>
      <c r="AM85" s="11" t="e">
        <f>Расчет!GC85</f>
        <v>#N/A</v>
      </c>
      <c r="AN85" s="11" t="e">
        <f>Расчет!GD85</f>
        <v>#N/A</v>
      </c>
      <c r="AO85" s="11" t="e">
        <f>Расчет!GE85</f>
        <v>#N/A</v>
      </c>
      <c r="AP85" s="11" t="e">
        <f>Расчет!GF85</f>
        <v>#N/A</v>
      </c>
      <c r="AQ85" s="11" t="e">
        <f>Расчет!GG85</f>
        <v>#N/A</v>
      </c>
      <c r="AR85" s="11" t="e">
        <f>Расчет!GH85</f>
        <v>#N/A</v>
      </c>
      <c r="AS85" s="11" t="e">
        <f>Расчет!GI85</f>
        <v>#N/A</v>
      </c>
      <c r="AT85" s="11" t="e">
        <f>Расчет!GJ85</f>
        <v>#N/A</v>
      </c>
      <c r="AU85" s="198" t="e">
        <f t="shared" si="9"/>
        <v>#N/A</v>
      </c>
      <c r="AV85" s="198" t="e">
        <f t="shared" si="10"/>
        <v>#N/A</v>
      </c>
      <c r="AW85" s="198" t="e">
        <f t="shared" si="11"/>
        <v>#N/A</v>
      </c>
      <c r="AX85" s="11" t="e">
        <f t="shared" si="12"/>
        <v>#N/A</v>
      </c>
      <c r="AY85" s="11" t="e">
        <f t="shared" si="13"/>
        <v>#N/A</v>
      </c>
      <c r="AZ85" s="11" t="e">
        <f t="shared" si="14"/>
        <v>#N/A</v>
      </c>
    </row>
    <row r="86" spans="1:52" x14ac:dyDescent="0.2">
      <c r="A86" s="6">
        <f>Исходн.данные.!A86</f>
        <v>0</v>
      </c>
      <c r="B86" s="6">
        <f>Исходн.данные.!B86</f>
        <v>0</v>
      </c>
      <c r="C86" s="6">
        <f>Исходн.данные.!C86</f>
        <v>0</v>
      </c>
      <c r="D86" s="6">
        <f>Исходн.данные.!D86</f>
        <v>0</v>
      </c>
      <c r="E86" s="6">
        <f>Исходн.данные.!E86</f>
        <v>0</v>
      </c>
      <c r="F86" s="6">
        <f>Исходн.данные.!AH86</f>
        <v>0</v>
      </c>
      <c r="G86" s="6">
        <f>Исходн.данные.!AJ86</f>
        <v>0</v>
      </c>
      <c r="H86" s="6">
        <f>Исходн.данные.!AK86</f>
        <v>0</v>
      </c>
      <c r="I86" s="9">
        <f>IF($F86=0,0,Расчет2!AO86)</f>
        <v>0</v>
      </c>
      <c r="J86" s="9">
        <f>IF(F86=0,0,Расчет2!AP86)</f>
        <v>0</v>
      </c>
      <c r="K86" s="10">
        <f>IF($F86=0,0,Расчет2!AQ86)</f>
        <v>0</v>
      </c>
      <c r="L86" s="10">
        <f>IF($F86=0,0,Расчет2!AR86)</f>
        <v>0</v>
      </c>
      <c r="M86" s="10">
        <f>IF($F86=0,0,Расчет2!AS86)</f>
        <v>0</v>
      </c>
      <c r="N86" s="10">
        <f>IF($F86=0,0,IF(Исходн.данные.!$AP86="Посл.посева",0,Расчет2!AT86))</f>
        <v>0</v>
      </c>
      <c r="O86" s="10">
        <f>IF($F86=0,0,IF(Исходн.данные.!$AP86="Посл.посева",0,IF(Расчет2!AU86&lt;10,10,Расчет2!AU86)))</f>
        <v>0</v>
      </c>
      <c r="P86" s="10">
        <f>IF($F86=0,0,IF(Исходн.данные.!$AP86="Посл.посева",0,Расчет2!AV86))</f>
        <v>0</v>
      </c>
      <c r="Q86" s="10">
        <f>IF($F86=0,0,Расчет2!AW86)</f>
        <v>0</v>
      </c>
      <c r="R86" s="10">
        <f>IF($F86=0,0,Расчет2!AX86)</f>
        <v>0</v>
      </c>
      <c r="S86" s="9">
        <f>IF($F86=0,0,Расчет2!AY86)</f>
        <v>0</v>
      </c>
      <c r="T86" s="10">
        <f>IF($F86=0,0,Расчет2!AZ86)</f>
        <v>0</v>
      </c>
      <c r="U86" s="10">
        <f>IF($F86=0,0,Расчет2!BA86)</f>
        <v>0</v>
      </c>
      <c r="V86" s="10">
        <f>IF($F86=0,0,Расчет2!BB86)</f>
        <v>0</v>
      </c>
      <c r="W86" s="10">
        <f>Расчет!DL86</f>
        <v>0</v>
      </c>
      <c r="X86" s="10">
        <f>Расчет!DN86</f>
        <v>0</v>
      </c>
      <c r="Y86" s="9">
        <f>X86*Исходн.данные.!$AJ86/1000</f>
        <v>0</v>
      </c>
      <c r="Z86" s="10" t="str">
        <f>Расчет!DO86</f>
        <v>Хлор.калий</v>
      </c>
      <c r="AA86" s="10">
        <f>Расчет!DQ86</f>
        <v>0</v>
      </c>
      <c r="AB86" s="12">
        <f>AA86*Исходн.данные.!$AJ86/1000</f>
        <v>0</v>
      </c>
      <c r="AC86" s="9">
        <f>IF($F86=0,0,Расчет2!BC86)</f>
        <v>0</v>
      </c>
      <c r="AD86" s="10">
        <f>IF($F86=0,0,Расчет2!BD86)</f>
        <v>0</v>
      </c>
      <c r="AE86" s="9">
        <f>IF($F86=0,0,Расчет2!BE86)</f>
        <v>0</v>
      </c>
      <c r="AF86" s="9">
        <f>IF($F86=0,0,Расчет2!BF86)</f>
        <v>0</v>
      </c>
      <c r="AG86" s="9">
        <f>IF($F86=0,0,Расчет2!BG86)</f>
        <v>0</v>
      </c>
      <c r="AI86" s="11" t="e">
        <f>Расчет!FY86</f>
        <v>#N/A</v>
      </c>
      <c r="AJ86" s="11" t="e">
        <f>Расчет!FZ86</f>
        <v>#N/A</v>
      </c>
      <c r="AK86" s="11" t="e">
        <f>Расчет!GA86</f>
        <v>#N/A</v>
      </c>
      <c r="AL86" s="11" t="e">
        <f>Расчет!GB86</f>
        <v>#N/A</v>
      </c>
      <c r="AM86" s="11" t="e">
        <f>Расчет!GC86</f>
        <v>#N/A</v>
      </c>
      <c r="AN86" s="11" t="e">
        <f>Расчет!GD86</f>
        <v>#N/A</v>
      </c>
      <c r="AO86" s="11" t="e">
        <f>Расчет!GE86</f>
        <v>#N/A</v>
      </c>
      <c r="AP86" s="11" t="e">
        <f>Расчет!GF86</f>
        <v>#N/A</v>
      </c>
      <c r="AQ86" s="11" t="e">
        <f>Расчет!GG86</f>
        <v>#N/A</v>
      </c>
      <c r="AR86" s="11" t="e">
        <f>Расчет!GH86</f>
        <v>#N/A</v>
      </c>
      <c r="AS86" s="11" t="e">
        <f>Расчет!GI86</f>
        <v>#N/A</v>
      </c>
      <c r="AT86" s="11" t="e">
        <f>Расчет!GJ86</f>
        <v>#N/A</v>
      </c>
      <c r="AU86" s="198" t="e">
        <f t="shared" si="9"/>
        <v>#N/A</v>
      </c>
      <c r="AV86" s="198" t="e">
        <f t="shared" si="10"/>
        <v>#N/A</v>
      </c>
      <c r="AW86" s="198" t="e">
        <f t="shared" si="11"/>
        <v>#N/A</v>
      </c>
      <c r="AX86" s="11" t="e">
        <f t="shared" si="12"/>
        <v>#N/A</v>
      </c>
      <c r="AY86" s="11" t="e">
        <f t="shared" si="13"/>
        <v>#N/A</v>
      </c>
      <c r="AZ86" s="11" t="e">
        <f t="shared" si="14"/>
        <v>#N/A</v>
      </c>
    </row>
    <row r="87" spans="1:52" x14ac:dyDescent="0.2">
      <c r="A87" s="6">
        <f>Исходн.данные.!A87</f>
        <v>0</v>
      </c>
      <c r="B87" s="6">
        <f>Исходн.данные.!B87</f>
        <v>0</v>
      </c>
      <c r="C87" s="6">
        <f>Исходн.данные.!C87</f>
        <v>0</v>
      </c>
      <c r="D87" s="6">
        <f>Исходн.данные.!D87</f>
        <v>0</v>
      </c>
      <c r="E87" s="6">
        <f>Исходн.данные.!E87</f>
        <v>0</v>
      </c>
      <c r="F87" s="6">
        <f>Исходн.данные.!AH87</f>
        <v>0</v>
      </c>
      <c r="G87" s="6">
        <f>Исходн.данные.!AJ87</f>
        <v>0</v>
      </c>
      <c r="H87" s="6">
        <f>Исходн.данные.!AK87</f>
        <v>0</v>
      </c>
      <c r="I87" s="9">
        <f>IF($F87=0,0,Расчет2!AO87)</f>
        <v>0</v>
      </c>
      <c r="J87" s="9">
        <f>IF(F87=0,0,Расчет2!AP87)</f>
        <v>0</v>
      </c>
      <c r="K87" s="10">
        <f>IF($F87=0,0,Расчет2!AQ87)</f>
        <v>0</v>
      </c>
      <c r="L87" s="10">
        <f>IF($F87=0,0,Расчет2!AR87)</f>
        <v>0</v>
      </c>
      <c r="M87" s="10">
        <f>IF($F87=0,0,Расчет2!AS87)</f>
        <v>0</v>
      </c>
      <c r="N87" s="10">
        <f>IF($F87=0,0,IF(Исходн.данные.!$AP87="Посл.посева",0,Расчет2!AT87))</f>
        <v>0</v>
      </c>
      <c r="O87" s="10">
        <f>IF($F87=0,0,IF(Исходн.данные.!$AP87="Посл.посева",0,IF(Расчет2!AU87&lt;10,10,Расчет2!AU87)))</f>
        <v>0</v>
      </c>
      <c r="P87" s="10">
        <f>IF($F87=0,0,IF(Исходн.данные.!$AP87="Посл.посева",0,Расчет2!AV87))</f>
        <v>0</v>
      </c>
      <c r="Q87" s="10">
        <f>IF($F87=0,0,Расчет2!AW87)</f>
        <v>0</v>
      </c>
      <c r="R87" s="10">
        <f>IF($F87=0,0,Расчет2!AX87)</f>
        <v>0</v>
      </c>
      <c r="S87" s="9">
        <f>IF($F87=0,0,Расчет2!AY87)</f>
        <v>0</v>
      </c>
      <c r="T87" s="10">
        <f>IF($F87=0,0,Расчет2!AZ87)</f>
        <v>0</v>
      </c>
      <c r="U87" s="10">
        <f>IF($F87=0,0,Расчет2!BA87)</f>
        <v>0</v>
      </c>
      <c r="V87" s="10">
        <f>IF($F87=0,0,Расчет2!BB87)</f>
        <v>0</v>
      </c>
      <c r="W87" s="10">
        <f>Расчет!DL87</f>
        <v>0</v>
      </c>
      <c r="X87" s="10">
        <f>Расчет!DN87</f>
        <v>0</v>
      </c>
      <c r="Y87" s="9">
        <f>X87*Исходн.данные.!$AJ87/1000</f>
        <v>0</v>
      </c>
      <c r="Z87" s="10" t="str">
        <f>Расчет!DO87</f>
        <v>Хлор.калий</v>
      </c>
      <c r="AA87" s="10">
        <f>Расчет!DQ87</f>
        <v>0</v>
      </c>
      <c r="AB87" s="12">
        <f>AA87*Исходн.данные.!$AJ87/1000</f>
        <v>0</v>
      </c>
      <c r="AC87" s="9">
        <f>IF($F87=0,0,Расчет2!BC87)</f>
        <v>0</v>
      </c>
      <c r="AD87" s="10">
        <f>IF($F87=0,0,Расчет2!BD87)</f>
        <v>0</v>
      </c>
      <c r="AE87" s="9">
        <f>IF($F87=0,0,Расчет2!BE87)</f>
        <v>0</v>
      </c>
      <c r="AF87" s="9">
        <f>IF($F87=0,0,Расчет2!BF87)</f>
        <v>0</v>
      </c>
      <c r="AG87" s="9">
        <f>IF($F87=0,0,Расчет2!BG87)</f>
        <v>0</v>
      </c>
      <c r="AI87" s="11" t="e">
        <f>Расчет!FY87</f>
        <v>#N/A</v>
      </c>
      <c r="AJ87" s="11" t="e">
        <f>Расчет!FZ87</f>
        <v>#N/A</v>
      </c>
      <c r="AK87" s="11" t="e">
        <f>Расчет!GA87</f>
        <v>#N/A</v>
      </c>
      <c r="AL87" s="11" t="e">
        <f>Расчет!GB87</f>
        <v>#N/A</v>
      </c>
      <c r="AM87" s="11" t="e">
        <f>Расчет!GC87</f>
        <v>#N/A</v>
      </c>
      <c r="AN87" s="11" t="e">
        <f>Расчет!GD87</f>
        <v>#N/A</v>
      </c>
      <c r="AO87" s="11" t="e">
        <f>Расчет!GE87</f>
        <v>#N/A</v>
      </c>
      <c r="AP87" s="11" t="e">
        <f>Расчет!GF87</f>
        <v>#N/A</v>
      </c>
      <c r="AQ87" s="11" t="e">
        <f>Расчет!GG87</f>
        <v>#N/A</v>
      </c>
      <c r="AR87" s="11" t="e">
        <f>Расчет!GH87</f>
        <v>#N/A</v>
      </c>
      <c r="AS87" s="11" t="e">
        <f>Расчет!GI87</f>
        <v>#N/A</v>
      </c>
      <c r="AT87" s="11" t="e">
        <f>Расчет!GJ87</f>
        <v>#N/A</v>
      </c>
      <c r="AU87" s="198" t="e">
        <f t="shared" ref="AU87:AU150" si="15">AI87+AL87+AO87+AR87</f>
        <v>#N/A</v>
      </c>
      <c r="AV87" s="198" t="e">
        <f t="shared" ref="AV87:AV150" si="16">AJ87+AM87+AP87+AS87</f>
        <v>#N/A</v>
      </c>
      <c r="AW87" s="198" t="e">
        <f t="shared" ref="AW87:AW150" si="17">AK87+AN87+AQ87+AT87</f>
        <v>#N/A</v>
      </c>
      <c r="AX87" s="11" t="e">
        <f t="shared" ref="AX87:AX150" si="18">MIN(AU87:AW87)</f>
        <v>#N/A</v>
      </c>
      <c r="AY87" s="11" t="e">
        <f t="shared" ref="AY87:AY150" si="19">MAX(AU87:AW87)</f>
        <v>#N/A</v>
      </c>
      <c r="AZ87" s="11" t="e">
        <f t="shared" ref="AZ87:AZ150" si="20">IF(AU87=AX87,MIN(AV87:AW87),IF(AW87=AX87,MIN(AU87:AV87),MIN(AU87,AW87)))</f>
        <v>#N/A</v>
      </c>
    </row>
    <row r="88" spans="1:52" x14ac:dyDescent="0.2">
      <c r="A88" s="6">
        <f>Исходн.данные.!A88</f>
        <v>0</v>
      </c>
      <c r="B88" s="6">
        <f>Исходн.данные.!B88</f>
        <v>0</v>
      </c>
      <c r="C88" s="6">
        <f>Исходн.данные.!C88</f>
        <v>0</v>
      </c>
      <c r="D88" s="6">
        <f>Исходн.данные.!D88</f>
        <v>0</v>
      </c>
      <c r="E88" s="6">
        <f>Исходн.данные.!E88</f>
        <v>0</v>
      </c>
      <c r="F88" s="6">
        <f>Исходн.данные.!AH88</f>
        <v>0</v>
      </c>
      <c r="G88" s="6">
        <f>Исходн.данные.!AJ88</f>
        <v>0</v>
      </c>
      <c r="H88" s="6">
        <f>Исходн.данные.!AK88</f>
        <v>0</v>
      </c>
      <c r="I88" s="9">
        <f>IF($F88=0,0,Расчет2!AO88)</f>
        <v>0</v>
      </c>
      <c r="J88" s="9">
        <f>IF(F88=0,0,Расчет2!AP88)</f>
        <v>0</v>
      </c>
      <c r="K88" s="10">
        <f>IF($F88=0,0,Расчет2!AQ88)</f>
        <v>0</v>
      </c>
      <c r="L88" s="10">
        <f>IF($F88=0,0,Расчет2!AR88)</f>
        <v>0</v>
      </c>
      <c r="M88" s="10">
        <f>IF($F88=0,0,Расчет2!AS88)</f>
        <v>0</v>
      </c>
      <c r="N88" s="10">
        <f>IF($F88=0,0,IF(Исходн.данные.!$AP88="Посл.посева",0,Расчет2!AT88))</f>
        <v>0</v>
      </c>
      <c r="O88" s="10">
        <f>IF($F88=0,0,IF(Исходн.данные.!$AP88="Посл.посева",0,IF(Расчет2!AU88&lt;10,10,Расчет2!AU88)))</f>
        <v>0</v>
      </c>
      <c r="P88" s="10">
        <f>IF($F88=0,0,IF(Исходн.данные.!$AP88="Посл.посева",0,Расчет2!AV88))</f>
        <v>0</v>
      </c>
      <c r="Q88" s="10">
        <f>IF($F88=0,0,Расчет2!AW88)</f>
        <v>0</v>
      </c>
      <c r="R88" s="10">
        <f>IF($F88=0,0,Расчет2!AX88)</f>
        <v>0</v>
      </c>
      <c r="S88" s="9">
        <f>IF($F88=0,0,Расчет2!AY88)</f>
        <v>0</v>
      </c>
      <c r="T88" s="10">
        <f>IF($F88=0,0,Расчет2!AZ88)</f>
        <v>0</v>
      </c>
      <c r="U88" s="10">
        <f>IF($F88=0,0,Расчет2!BA88)</f>
        <v>0</v>
      </c>
      <c r="V88" s="10">
        <f>IF($F88=0,0,Расчет2!BB88)</f>
        <v>0</v>
      </c>
      <c r="W88" s="10">
        <f>Расчет!DL88</f>
        <v>0</v>
      </c>
      <c r="X88" s="10">
        <f>Расчет!DN88</f>
        <v>0</v>
      </c>
      <c r="Y88" s="9">
        <f>X88*Исходн.данные.!$AJ88/1000</f>
        <v>0</v>
      </c>
      <c r="Z88" s="10" t="str">
        <f>Расчет!DO88</f>
        <v>Хлор.калий</v>
      </c>
      <c r="AA88" s="10">
        <f>Расчет!DQ88</f>
        <v>0</v>
      </c>
      <c r="AB88" s="12">
        <f>AA88*Исходн.данные.!$AJ88/1000</f>
        <v>0</v>
      </c>
      <c r="AC88" s="9">
        <f>IF($F88=0,0,Расчет2!BC88)</f>
        <v>0</v>
      </c>
      <c r="AD88" s="10">
        <f>IF($F88=0,0,Расчет2!BD88)</f>
        <v>0</v>
      </c>
      <c r="AE88" s="9">
        <f>IF($F88=0,0,Расчет2!BE88)</f>
        <v>0</v>
      </c>
      <c r="AF88" s="9">
        <f>IF($F88=0,0,Расчет2!BF88)</f>
        <v>0</v>
      </c>
      <c r="AG88" s="9">
        <f>IF($F88=0,0,Расчет2!BG88)</f>
        <v>0</v>
      </c>
      <c r="AI88" s="11" t="e">
        <f>Расчет!FY88</f>
        <v>#N/A</v>
      </c>
      <c r="AJ88" s="11" t="e">
        <f>Расчет!FZ88</f>
        <v>#N/A</v>
      </c>
      <c r="AK88" s="11" t="e">
        <f>Расчет!GA88</f>
        <v>#N/A</v>
      </c>
      <c r="AL88" s="11" t="e">
        <f>Расчет!GB88</f>
        <v>#N/A</v>
      </c>
      <c r="AM88" s="11" t="e">
        <f>Расчет!GC88</f>
        <v>#N/A</v>
      </c>
      <c r="AN88" s="11" t="e">
        <f>Расчет!GD88</f>
        <v>#N/A</v>
      </c>
      <c r="AO88" s="11" t="e">
        <f>Расчет!GE88</f>
        <v>#N/A</v>
      </c>
      <c r="AP88" s="11" t="e">
        <f>Расчет!GF88</f>
        <v>#N/A</v>
      </c>
      <c r="AQ88" s="11" t="e">
        <f>Расчет!GG88</f>
        <v>#N/A</v>
      </c>
      <c r="AR88" s="11" t="e">
        <f>Расчет!GH88</f>
        <v>#N/A</v>
      </c>
      <c r="AS88" s="11" t="e">
        <f>Расчет!GI88</f>
        <v>#N/A</v>
      </c>
      <c r="AT88" s="11" t="e">
        <f>Расчет!GJ88</f>
        <v>#N/A</v>
      </c>
      <c r="AU88" s="198" t="e">
        <f t="shared" si="15"/>
        <v>#N/A</v>
      </c>
      <c r="AV88" s="198" t="e">
        <f t="shared" si="16"/>
        <v>#N/A</v>
      </c>
      <c r="AW88" s="198" t="e">
        <f t="shared" si="17"/>
        <v>#N/A</v>
      </c>
      <c r="AX88" s="11" t="e">
        <f t="shared" si="18"/>
        <v>#N/A</v>
      </c>
      <c r="AY88" s="11" t="e">
        <f t="shared" si="19"/>
        <v>#N/A</v>
      </c>
      <c r="AZ88" s="11" t="e">
        <f t="shared" si="20"/>
        <v>#N/A</v>
      </c>
    </row>
    <row r="89" spans="1:52" x14ac:dyDescent="0.2">
      <c r="A89" s="6">
        <f>Исходн.данные.!A89</f>
        <v>0</v>
      </c>
      <c r="B89" s="6">
        <f>Исходн.данные.!B89</f>
        <v>0</v>
      </c>
      <c r="C89" s="6">
        <f>Исходн.данные.!C89</f>
        <v>0</v>
      </c>
      <c r="D89" s="6">
        <f>Исходн.данные.!D89</f>
        <v>0</v>
      </c>
      <c r="E89" s="6">
        <f>Исходн.данные.!E89</f>
        <v>0</v>
      </c>
      <c r="F89" s="6">
        <f>Исходн.данные.!AH89</f>
        <v>0</v>
      </c>
      <c r="G89" s="6">
        <f>Исходн.данные.!AJ89</f>
        <v>0</v>
      </c>
      <c r="H89" s="6">
        <f>Исходн.данные.!AK89</f>
        <v>0</v>
      </c>
      <c r="I89" s="9">
        <f>IF($F89=0,0,Расчет2!AO89)</f>
        <v>0</v>
      </c>
      <c r="J89" s="9">
        <f>IF(F89=0,0,Расчет2!AP89)</f>
        <v>0</v>
      </c>
      <c r="K89" s="10">
        <f>IF($F89=0,0,Расчет2!AQ89)</f>
        <v>0</v>
      </c>
      <c r="L89" s="10">
        <f>IF($F89=0,0,Расчет2!AR89)</f>
        <v>0</v>
      </c>
      <c r="M89" s="10">
        <f>IF($F89=0,0,Расчет2!AS89)</f>
        <v>0</v>
      </c>
      <c r="N89" s="10">
        <f>IF($F89=0,0,IF(Исходн.данные.!$AP89="Посл.посева",0,Расчет2!AT89))</f>
        <v>0</v>
      </c>
      <c r="O89" s="10">
        <f>IF($F89=0,0,IF(Исходн.данные.!$AP89="Посл.посева",0,IF(Расчет2!AU89&lt;10,10,Расчет2!AU89)))</f>
        <v>0</v>
      </c>
      <c r="P89" s="10">
        <f>IF($F89=0,0,IF(Исходн.данные.!$AP89="Посл.посева",0,Расчет2!AV89))</f>
        <v>0</v>
      </c>
      <c r="Q89" s="10">
        <f>IF($F89=0,0,Расчет2!AW89)</f>
        <v>0</v>
      </c>
      <c r="R89" s="10">
        <f>IF($F89=0,0,Расчет2!AX89)</f>
        <v>0</v>
      </c>
      <c r="S89" s="9">
        <f>IF($F89=0,0,Расчет2!AY89)</f>
        <v>0</v>
      </c>
      <c r="T89" s="10">
        <f>IF($F89=0,0,Расчет2!AZ89)</f>
        <v>0</v>
      </c>
      <c r="U89" s="10">
        <f>IF($F89=0,0,Расчет2!BA89)</f>
        <v>0</v>
      </c>
      <c r="V89" s="10">
        <f>IF($F89=0,0,Расчет2!BB89)</f>
        <v>0</v>
      </c>
      <c r="W89" s="10">
        <f>Расчет!DL89</f>
        <v>0</v>
      </c>
      <c r="X89" s="10">
        <f>Расчет!DN89</f>
        <v>0</v>
      </c>
      <c r="Y89" s="9">
        <f>X89*Исходн.данные.!$AJ89/1000</f>
        <v>0</v>
      </c>
      <c r="Z89" s="10" t="str">
        <f>Расчет!DO89</f>
        <v>Хлор.калий</v>
      </c>
      <c r="AA89" s="10">
        <f>Расчет!DQ89</f>
        <v>0</v>
      </c>
      <c r="AB89" s="12">
        <f>AA89*Исходн.данные.!$AJ89/1000</f>
        <v>0</v>
      </c>
      <c r="AC89" s="9">
        <f>IF($F89=0,0,Расчет2!BC89)</f>
        <v>0</v>
      </c>
      <c r="AD89" s="10">
        <f>IF($F89=0,0,Расчет2!BD89)</f>
        <v>0</v>
      </c>
      <c r="AE89" s="9">
        <f>IF($F89=0,0,Расчет2!BE89)</f>
        <v>0</v>
      </c>
      <c r="AF89" s="9">
        <f>IF($F89=0,0,Расчет2!BF89)</f>
        <v>0</v>
      </c>
      <c r="AG89" s="9">
        <f>IF($F89=0,0,Расчет2!BG89)</f>
        <v>0</v>
      </c>
      <c r="AI89" s="11" t="e">
        <f>Расчет!FY89</f>
        <v>#N/A</v>
      </c>
      <c r="AJ89" s="11" t="e">
        <f>Расчет!FZ89</f>
        <v>#N/A</v>
      </c>
      <c r="AK89" s="11" t="e">
        <f>Расчет!GA89</f>
        <v>#N/A</v>
      </c>
      <c r="AL89" s="11" t="e">
        <f>Расчет!GB89</f>
        <v>#N/A</v>
      </c>
      <c r="AM89" s="11" t="e">
        <f>Расчет!GC89</f>
        <v>#N/A</v>
      </c>
      <c r="AN89" s="11" t="e">
        <f>Расчет!GD89</f>
        <v>#N/A</v>
      </c>
      <c r="AO89" s="11" t="e">
        <f>Расчет!GE89</f>
        <v>#N/A</v>
      </c>
      <c r="AP89" s="11" t="e">
        <f>Расчет!GF89</f>
        <v>#N/A</v>
      </c>
      <c r="AQ89" s="11" t="e">
        <f>Расчет!GG89</f>
        <v>#N/A</v>
      </c>
      <c r="AR89" s="11" t="e">
        <f>Расчет!GH89</f>
        <v>#N/A</v>
      </c>
      <c r="AS89" s="11" t="e">
        <f>Расчет!GI89</f>
        <v>#N/A</v>
      </c>
      <c r="AT89" s="11" t="e">
        <f>Расчет!GJ89</f>
        <v>#N/A</v>
      </c>
      <c r="AU89" s="198" t="e">
        <f t="shared" si="15"/>
        <v>#N/A</v>
      </c>
      <c r="AV89" s="198" t="e">
        <f t="shared" si="16"/>
        <v>#N/A</v>
      </c>
      <c r="AW89" s="198" t="e">
        <f t="shared" si="17"/>
        <v>#N/A</v>
      </c>
      <c r="AX89" s="11" t="e">
        <f t="shared" si="18"/>
        <v>#N/A</v>
      </c>
      <c r="AY89" s="11" t="e">
        <f t="shared" si="19"/>
        <v>#N/A</v>
      </c>
      <c r="AZ89" s="11" t="e">
        <f t="shared" si="20"/>
        <v>#N/A</v>
      </c>
    </row>
    <row r="90" spans="1:52" x14ac:dyDescent="0.2">
      <c r="A90" s="6">
        <f>Исходн.данные.!A90</f>
        <v>0</v>
      </c>
      <c r="B90" s="6">
        <f>Исходн.данные.!B90</f>
        <v>0</v>
      </c>
      <c r="C90" s="6">
        <f>Исходн.данные.!C90</f>
        <v>0</v>
      </c>
      <c r="D90" s="6">
        <f>Исходн.данные.!D90</f>
        <v>0</v>
      </c>
      <c r="E90" s="6">
        <f>Исходн.данные.!E90</f>
        <v>0</v>
      </c>
      <c r="F90" s="6">
        <f>Исходн.данные.!AH90</f>
        <v>0</v>
      </c>
      <c r="G90" s="6">
        <f>Исходн.данные.!AJ90</f>
        <v>0</v>
      </c>
      <c r="H90" s="6">
        <f>Исходн.данные.!AK90</f>
        <v>0</v>
      </c>
      <c r="I90" s="9">
        <f>IF($F90=0,0,Расчет2!AO90)</f>
        <v>0</v>
      </c>
      <c r="J90" s="9">
        <f>IF(F90=0,0,Расчет2!AP90)</f>
        <v>0</v>
      </c>
      <c r="K90" s="10">
        <f>IF($F90=0,0,Расчет2!AQ90)</f>
        <v>0</v>
      </c>
      <c r="L90" s="10">
        <f>IF($F90=0,0,Расчет2!AR90)</f>
        <v>0</v>
      </c>
      <c r="M90" s="10">
        <f>IF($F90=0,0,Расчет2!AS90)</f>
        <v>0</v>
      </c>
      <c r="N90" s="10">
        <f>IF($F90=0,0,IF(Исходн.данные.!$AP90="Посл.посева",0,Расчет2!AT90))</f>
        <v>0</v>
      </c>
      <c r="O90" s="10">
        <f>IF($F90=0,0,IF(Исходн.данные.!$AP90="Посл.посева",0,IF(Расчет2!AU90&lt;10,10,Расчет2!AU90)))</f>
        <v>0</v>
      </c>
      <c r="P90" s="10">
        <f>IF($F90=0,0,IF(Исходн.данные.!$AP90="Посл.посева",0,Расчет2!AV90))</f>
        <v>0</v>
      </c>
      <c r="Q90" s="10">
        <f>IF($F90=0,0,Расчет2!AW90)</f>
        <v>0</v>
      </c>
      <c r="R90" s="10">
        <f>IF($F90=0,0,Расчет2!AX90)</f>
        <v>0</v>
      </c>
      <c r="S90" s="9">
        <f>IF($F90=0,0,Расчет2!AY90)</f>
        <v>0</v>
      </c>
      <c r="T90" s="10">
        <f>IF($F90=0,0,Расчет2!AZ90)</f>
        <v>0</v>
      </c>
      <c r="U90" s="10">
        <f>IF($F90=0,0,Расчет2!BA90)</f>
        <v>0</v>
      </c>
      <c r="V90" s="10">
        <f>IF($F90=0,0,Расчет2!BB90)</f>
        <v>0</v>
      </c>
      <c r="W90" s="10">
        <f>Расчет!DL90</f>
        <v>0</v>
      </c>
      <c r="X90" s="10">
        <f>Расчет!DN90</f>
        <v>0</v>
      </c>
      <c r="Y90" s="9">
        <f>X90*Исходн.данные.!$AJ90/1000</f>
        <v>0</v>
      </c>
      <c r="Z90" s="10" t="str">
        <f>Расчет!DO90</f>
        <v>Хлор.калий</v>
      </c>
      <c r="AA90" s="10">
        <f>Расчет!DQ90</f>
        <v>0</v>
      </c>
      <c r="AB90" s="12">
        <f>AA90*Исходн.данные.!$AJ90/1000</f>
        <v>0</v>
      </c>
      <c r="AC90" s="9">
        <f>IF($F90=0,0,Расчет2!BC90)</f>
        <v>0</v>
      </c>
      <c r="AD90" s="10">
        <f>IF($F90=0,0,Расчет2!BD90)</f>
        <v>0</v>
      </c>
      <c r="AE90" s="9">
        <f>IF($F90=0,0,Расчет2!BE90)</f>
        <v>0</v>
      </c>
      <c r="AF90" s="9">
        <f>IF($F90=0,0,Расчет2!BF90)</f>
        <v>0</v>
      </c>
      <c r="AG90" s="9">
        <f>IF($F90=0,0,Расчет2!BG90)</f>
        <v>0</v>
      </c>
      <c r="AI90" s="11" t="e">
        <f>Расчет!FY90</f>
        <v>#N/A</v>
      </c>
      <c r="AJ90" s="11" t="e">
        <f>Расчет!FZ90</f>
        <v>#N/A</v>
      </c>
      <c r="AK90" s="11" t="e">
        <f>Расчет!GA90</f>
        <v>#N/A</v>
      </c>
      <c r="AL90" s="11" t="e">
        <f>Расчет!GB90</f>
        <v>#N/A</v>
      </c>
      <c r="AM90" s="11" t="e">
        <f>Расчет!GC90</f>
        <v>#N/A</v>
      </c>
      <c r="AN90" s="11" t="e">
        <f>Расчет!GD90</f>
        <v>#N/A</v>
      </c>
      <c r="AO90" s="11" t="e">
        <f>Расчет!GE90</f>
        <v>#N/A</v>
      </c>
      <c r="AP90" s="11" t="e">
        <f>Расчет!GF90</f>
        <v>#N/A</v>
      </c>
      <c r="AQ90" s="11" t="e">
        <f>Расчет!GG90</f>
        <v>#N/A</v>
      </c>
      <c r="AR90" s="11" t="e">
        <f>Расчет!GH90</f>
        <v>#N/A</v>
      </c>
      <c r="AS90" s="11" t="e">
        <f>Расчет!GI90</f>
        <v>#N/A</v>
      </c>
      <c r="AT90" s="11" t="e">
        <f>Расчет!GJ90</f>
        <v>#N/A</v>
      </c>
      <c r="AU90" s="198" t="e">
        <f t="shared" si="15"/>
        <v>#N/A</v>
      </c>
      <c r="AV90" s="198" t="e">
        <f t="shared" si="16"/>
        <v>#N/A</v>
      </c>
      <c r="AW90" s="198" t="e">
        <f t="shared" si="17"/>
        <v>#N/A</v>
      </c>
      <c r="AX90" s="11" t="e">
        <f t="shared" si="18"/>
        <v>#N/A</v>
      </c>
      <c r="AY90" s="11" t="e">
        <f t="shared" si="19"/>
        <v>#N/A</v>
      </c>
      <c r="AZ90" s="11" t="e">
        <f t="shared" si="20"/>
        <v>#N/A</v>
      </c>
    </row>
    <row r="91" spans="1:52" x14ac:dyDescent="0.2">
      <c r="A91" s="6">
        <f>Исходн.данные.!A91</f>
        <v>0</v>
      </c>
      <c r="B91" s="6">
        <f>Исходн.данные.!B91</f>
        <v>0</v>
      </c>
      <c r="C91" s="6">
        <f>Исходн.данные.!C91</f>
        <v>0</v>
      </c>
      <c r="D91" s="6">
        <f>Исходн.данные.!D91</f>
        <v>0</v>
      </c>
      <c r="E91" s="6">
        <f>Исходн.данные.!E91</f>
        <v>0</v>
      </c>
      <c r="F91" s="6">
        <f>Исходн.данные.!AH91</f>
        <v>0</v>
      </c>
      <c r="G91" s="6">
        <f>Исходн.данные.!AJ91</f>
        <v>0</v>
      </c>
      <c r="H91" s="6">
        <f>Исходн.данные.!AK91</f>
        <v>0</v>
      </c>
      <c r="I91" s="9">
        <f>IF($F91=0,0,Расчет2!AO91)</f>
        <v>0</v>
      </c>
      <c r="J91" s="9">
        <f>IF(F91=0,0,Расчет2!AP91)</f>
        <v>0</v>
      </c>
      <c r="K91" s="10">
        <f>IF($F91=0,0,Расчет2!AQ91)</f>
        <v>0</v>
      </c>
      <c r="L91" s="10">
        <f>IF($F91=0,0,Расчет2!AR91)</f>
        <v>0</v>
      </c>
      <c r="M91" s="10">
        <f>IF($F91=0,0,Расчет2!AS91)</f>
        <v>0</v>
      </c>
      <c r="N91" s="10">
        <f>IF($F91=0,0,IF(Исходн.данные.!$AP91="Посл.посева",0,Расчет2!AT91))</f>
        <v>0</v>
      </c>
      <c r="O91" s="10">
        <f>IF($F91=0,0,IF(Исходн.данные.!$AP91="Посл.посева",0,IF(Расчет2!AU91&lt;10,10,Расчет2!AU91)))</f>
        <v>0</v>
      </c>
      <c r="P91" s="10">
        <f>IF($F91=0,0,IF(Исходн.данные.!$AP91="Посл.посева",0,Расчет2!AV91))</f>
        <v>0</v>
      </c>
      <c r="Q91" s="10">
        <f>IF($F91=0,0,Расчет2!AW91)</f>
        <v>0</v>
      </c>
      <c r="R91" s="10">
        <f>IF($F91=0,0,Расчет2!AX91)</f>
        <v>0</v>
      </c>
      <c r="S91" s="9">
        <f>IF($F91=0,0,Расчет2!AY91)</f>
        <v>0</v>
      </c>
      <c r="T91" s="10">
        <f>IF($F91=0,0,Расчет2!AZ91)</f>
        <v>0</v>
      </c>
      <c r="U91" s="10">
        <f>IF($F91=0,0,Расчет2!BA91)</f>
        <v>0</v>
      </c>
      <c r="V91" s="10">
        <f>IF($F91=0,0,Расчет2!BB91)</f>
        <v>0</v>
      </c>
      <c r="W91" s="10">
        <f>Расчет!DL91</f>
        <v>0</v>
      </c>
      <c r="X91" s="10">
        <f>Расчет!DN91</f>
        <v>0</v>
      </c>
      <c r="Y91" s="9">
        <f>X91*Исходн.данные.!$AJ91/1000</f>
        <v>0</v>
      </c>
      <c r="Z91" s="10" t="str">
        <f>Расчет!DO91</f>
        <v>Хлор.калий</v>
      </c>
      <c r="AA91" s="10">
        <f>Расчет!DQ91</f>
        <v>0</v>
      </c>
      <c r="AB91" s="12">
        <f>AA91*Исходн.данные.!$AJ91/1000</f>
        <v>0</v>
      </c>
      <c r="AC91" s="9">
        <f>IF($F91=0,0,Расчет2!BC91)</f>
        <v>0</v>
      </c>
      <c r="AD91" s="10">
        <f>IF($F91=0,0,Расчет2!BD91)</f>
        <v>0</v>
      </c>
      <c r="AE91" s="9">
        <f>IF($F91=0,0,Расчет2!BE91)</f>
        <v>0</v>
      </c>
      <c r="AF91" s="9">
        <f>IF($F91=0,0,Расчет2!BF91)</f>
        <v>0</v>
      </c>
      <c r="AG91" s="9">
        <f>IF($F91=0,0,Расчет2!BG91)</f>
        <v>0</v>
      </c>
      <c r="AI91" s="11" t="e">
        <f>Расчет!FY91</f>
        <v>#N/A</v>
      </c>
      <c r="AJ91" s="11" t="e">
        <f>Расчет!FZ91</f>
        <v>#N/A</v>
      </c>
      <c r="AK91" s="11" t="e">
        <f>Расчет!GA91</f>
        <v>#N/A</v>
      </c>
      <c r="AL91" s="11" t="e">
        <f>Расчет!GB91</f>
        <v>#N/A</v>
      </c>
      <c r="AM91" s="11" t="e">
        <f>Расчет!GC91</f>
        <v>#N/A</v>
      </c>
      <c r="AN91" s="11" t="e">
        <f>Расчет!GD91</f>
        <v>#N/A</v>
      </c>
      <c r="AO91" s="11" t="e">
        <f>Расчет!GE91</f>
        <v>#N/A</v>
      </c>
      <c r="AP91" s="11" t="e">
        <f>Расчет!GF91</f>
        <v>#N/A</v>
      </c>
      <c r="AQ91" s="11" t="e">
        <f>Расчет!GG91</f>
        <v>#N/A</v>
      </c>
      <c r="AR91" s="11" t="e">
        <f>Расчет!GH91</f>
        <v>#N/A</v>
      </c>
      <c r="AS91" s="11" t="e">
        <f>Расчет!GI91</f>
        <v>#N/A</v>
      </c>
      <c r="AT91" s="11" t="e">
        <f>Расчет!GJ91</f>
        <v>#N/A</v>
      </c>
      <c r="AU91" s="198" t="e">
        <f t="shared" si="15"/>
        <v>#N/A</v>
      </c>
      <c r="AV91" s="198" t="e">
        <f t="shared" si="16"/>
        <v>#N/A</v>
      </c>
      <c r="AW91" s="198" t="e">
        <f t="shared" si="17"/>
        <v>#N/A</v>
      </c>
      <c r="AX91" s="11" t="e">
        <f t="shared" si="18"/>
        <v>#N/A</v>
      </c>
      <c r="AY91" s="11" t="e">
        <f t="shared" si="19"/>
        <v>#N/A</v>
      </c>
      <c r="AZ91" s="11" t="e">
        <f t="shared" si="20"/>
        <v>#N/A</v>
      </c>
    </row>
    <row r="92" spans="1:52" x14ac:dyDescent="0.2">
      <c r="A92" s="6">
        <f>Исходн.данные.!A92</f>
        <v>0</v>
      </c>
      <c r="B92" s="6">
        <f>Исходн.данные.!B92</f>
        <v>0</v>
      </c>
      <c r="C92" s="6">
        <f>Исходн.данные.!C92</f>
        <v>0</v>
      </c>
      <c r="D92" s="6">
        <f>Исходн.данные.!D92</f>
        <v>0</v>
      </c>
      <c r="E92" s="6">
        <f>Исходн.данные.!E92</f>
        <v>0</v>
      </c>
      <c r="F92" s="6">
        <f>Исходн.данные.!AH92</f>
        <v>0</v>
      </c>
      <c r="G92" s="6">
        <f>Исходн.данные.!AJ92</f>
        <v>0</v>
      </c>
      <c r="H92" s="6">
        <f>Исходн.данные.!AK92</f>
        <v>0</v>
      </c>
      <c r="I92" s="9">
        <f>IF($F92=0,0,Расчет2!AO92)</f>
        <v>0</v>
      </c>
      <c r="J92" s="9">
        <f>IF(F92=0,0,Расчет2!AP92)</f>
        <v>0</v>
      </c>
      <c r="K92" s="10">
        <f>IF($F92=0,0,Расчет2!AQ92)</f>
        <v>0</v>
      </c>
      <c r="L92" s="10">
        <f>IF($F92=0,0,Расчет2!AR92)</f>
        <v>0</v>
      </c>
      <c r="M92" s="10">
        <f>IF($F92=0,0,Расчет2!AS92)</f>
        <v>0</v>
      </c>
      <c r="N92" s="10">
        <f>IF($F92=0,0,IF(Исходн.данные.!$AP92="Посл.посева",0,Расчет2!AT92))</f>
        <v>0</v>
      </c>
      <c r="O92" s="10">
        <f>IF($F92=0,0,IF(Исходн.данные.!$AP92="Посл.посева",0,IF(Расчет2!AU92&lt;10,10,Расчет2!AU92)))</f>
        <v>0</v>
      </c>
      <c r="P92" s="10">
        <f>IF($F92=0,0,IF(Исходн.данные.!$AP92="Посл.посева",0,Расчет2!AV92))</f>
        <v>0</v>
      </c>
      <c r="Q92" s="10">
        <f>IF($F92=0,0,Расчет2!AW92)</f>
        <v>0</v>
      </c>
      <c r="R92" s="10">
        <f>IF($F92=0,0,Расчет2!AX92)</f>
        <v>0</v>
      </c>
      <c r="S92" s="9">
        <f>IF($F92=0,0,Расчет2!AY92)</f>
        <v>0</v>
      </c>
      <c r="T92" s="10">
        <f>IF($F92=0,0,Расчет2!AZ92)</f>
        <v>0</v>
      </c>
      <c r="U92" s="10">
        <f>IF($F92=0,0,Расчет2!BA92)</f>
        <v>0</v>
      </c>
      <c r="V92" s="10">
        <f>IF($F92=0,0,Расчет2!BB92)</f>
        <v>0</v>
      </c>
      <c r="W92" s="10">
        <f>Расчет!DL92</f>
        <v>0</v>
      </c>
      <c r="X92" s="10">
        <f>Расчет!DN92</f>
        <v>0</v>
      </c>
      <c r="Y92" s="9">
        <f>X92*Исходн.данные.!$AJ92/1000</f>
        <v>0</v>
      </c>
      <c r="Z92" s="10" t="str">
        <f>Расчет!DO92</f>
        <v>Хлор.калий</v>
      </c>
      <c r="AA92" s="10">
        <f>Расчет!DQ92</f>
        <v>0</v>
      </c>
      <c r="AB92" s="12">
        <f>AA92*Исходн.данные.!$AJ92/1000</f>
        <v>0</v>
      </c>
      <c r="AC92" s="9">
        <f>IF($F92=0,0,Расчет2!BC92)</f>
        <v>0</v>
      </c>
      <c r="AD92" s="10">
        <f>IF($F92=0,0,Расчет2!BD92)</f>
        <v>0</v>
      </c>
      <c r="AE92" s="9">
        <f>IF($F92=0,0,Расчет2!BE92)</f>
        <v>0</v>
      </c>
      <c r="AF92" s="9">
        <f>IF($F92=0,0,Расчет2!BF92)</f>
        <v>0</v>
      </c>
      <c r="AG92" s="9">
        <f>IF($F92=0,0,Расчет2!BG92)</f>
        <v>0</v>
      </c>
      <c r="AI92" s="11" t="e">
        <f>Расчет!FY92</f>
        <v>#N/A</v>
      </c>
      <c r="AJ92" s="11" t="e">
        <f>Расчет!FZ92</f>
        <v>#N/A</v>
      </c>
      <c r="AK92" s="11" t="e">
        <f>Расчет!GA92</f>
        <v>#N/A</v>
      </c>
      <c r="AL92" s="11" t="e">
        <f>Расчет!GB92</f>
        <v>#N/A</v>
      </c>
      <c r="AM92" s="11" t="e">
        <f>Расчет!GC92</f>
        <v>#N/A</v>
      </c>
      <c r="AN92" s="11" t="e">
        <f>Расчет!GD92</f>
        <v>#N/A</v>
      </c>
      <c r="AO92" s="11" t="e">
        <f>Расчет!GE92</f>
        <v>#N/A</v>
      </c>
      <c r="AP92" s="11" t="e">
        <f>Расчет!GF92</f>
        <v>#N/A</v>
      </c>
      <c r="AQ92" s="11" t="e">
        <f>Расчет!GG92</f>
        <v>#N/A</v>
      </c>
      <c r="AR92" s="11" t="e">
        <f>Расчет!GH92</f>
        <v>#N/A</v>
      </c>
      <c r="AS92" s="11" t="e">
        <f>Расчет!GI92</f>
        <v>#N/A</v>
      </c>
      <c r="AT92" s="11" t="e">
        <f>Расчет!GJ92</f>
        <v>#N/A</v>
      </c>
      <c r="AU92" s="198" t="e">
        <f t="shared" si="15"/>
        <v>#N/A</v>
      </c>
      <c r="AV92" s="198" t="e">
        <f t="shared" si="16"/>
        <v>#N/A</v>
      </c>
      <c r="AW92" s="198" t="e">
        <f t="shared" si="17"/>
        <v>#N/A</v>
      </c>
      <c r="AX92" s="11" t="e">
        <f t="shared" si="18"/>
        <v>#N/A</v>
      </c>
      <c r="AY92" s="11" t="e">
        <f t="shared" si="19"/>
        <v>#N/A</v>
      </c>
      <c r="AZ92" s="11" t="e">
        <f t="shared" si="20"/>
        <v>#N/A</v>
      </c>
    </row>
    <row r="93" spans="1:52" x14ac:dyDescent="0.2">
      <c r="A93" s="6">
        <f>Исходн.данные.!A93</f>
        <v>0</v>
      </c>
      <c r="B93" s="6">
        <f>Исходн.данные.!B93</f>
        <v>0</v>
      </c>
      <c r="C93" s="6">
        <f>Исходн.данные.!C93</f>
        <v>0</v>
      </c>
      <c r="D93" s="6">
        <f>Исходн.данные.!D93</f>
        <v>0</v>
      </c>
      <c r="E93" s="6">
        <f>Исходн.данные.!E93</f>
        <v>0</v>
      </c>
      <c r="F93" s="6">
        <f>Исходн.данные.!AH93</f>
        <v>0</v>
      </c>
      <c r="G93" s="6">
        <f>Исходн.данные.!AJ93</f>
        <v>0</v>
      </c>
      <c r="H93" s="6">
        <f>Исходн.данные.!AK93</f>
        <v>0</v>
      </c>
      <c r="I93" s="9">
        <f>IF($F93=0,0,Расчет2!AO93)</f>
        <v>0</v>
      </c>
      <c r="J93" s="9">
        <f>IF(F93=0,0,Расчет2!AP93)</f>
        <v>0</v>
      </c>
      <c r="K93" s="10">
        <f>IF($F93=0,0,Расчет2!AQ93)</f>
        <v>0</v>
      </c>
      <c r="L93" s="10">
        <f>IF($F93=0,0,Расчет2!AR93)</f>
        <v>0</v>
      </c>
      <c r="M93" s="10">
        <f>IF($F93=0,0,Расчет2!AS93)</f>
        <v>0</v>
      </c>
      <c r="N93" s="10">
        <f>IF($F93=0,0,IF(Исходн.данные.!$AP93="Посл.посева",0,Расчет2!AT93))</f>
        <v>0</v>
      </c>
      <c r="O93" s="10">
        <f>IF($F93=0,0,IF(Исходн.данные.!$AP93="Посл.посева",0,IF(Расчет2!AU93&lt;10,10,Расчет2!AU93)))</f>
        <v>0</v>
      </c>
      <c r="P93" s="10">
        <f>IF($F93=0,0,IF(Исходн.данные.!$AP93="Посл.посева",0,Расчет2!AV93))</f>
        <v>0</v>
      </c>
      <c r="Q93" s="10">
        <f>IF($F93=0,0,Расчет2!AW93)</f>
        <v>0</v>
      </c>
      <c r="R93" s="10">
        <f>IF($F93=0,0,Расчет2!AX93)</f>
        <v>0</v>
      </c>
      <c r="S93" s="9">
        <f>IF($F93=0,0,Расчет2!AY93)</f>
        <v>0</v>
      </c>
      <c r="T93" s="10">
        <f>IF($F93=0,0,Расчет2!AZ93)</f>
        <v>0</v>
      </c>
      <c r="U93" s="10">
        <f>IF($F93=0,0,Расчет2!BA93)</f>
        <v>0</v>
      </c>
      <c r="V93" s="10">
        <f>IF($F93=0,0,Расчет2!BB93)</f>
        <v>0</v>
      </c>
      <c r="W93" s="10">
        <f>Расчет!DL93</f>
        <v>0</v>
      </c>
      <c r="X93" s="10">
        <f>Расчет!DN93</f>
        <v>0</v>
      </c>
      <c r="Y93" s="9">
        <f>X93*Исходн.данные.!$AJ93/1000</f>
        <v>0</v>
      </c>
      <c r="Z93" s="10" t="str">
        <f>Расчет!DO93</f>
        <v>Хлор.калий</v>
      </c>
      <c r="AA93" s="10">
        <f>Расчет!DQ93</f>
        <v>0</v>
      </c>
      <c r="AB93" s="12">
        <f>AA93*Исходн.данные.!$AJ93/1000</f>
        <v>0</v>
      </c>
      <c r="AC93" s="9">
        <f>IF($F93=0,0,Расчет2!BC93)</f>
        <v>0</v>
      </c>
      <c r="AD93" s="10">
        <f>IF($F93=0,0,Расчет2!BD93)</f>
        <v>0</v>
      </c>
      <c r="AE93" s="9">
        <f>IF($F93=0,0,Расчет2!BE93)</f>
        <v>0</v>
      </c>
      <c r="AF93" s="9">
        <f>IF($F93=0,0,Расчет2!BF93)</f>
        <v>0</v>
      </c>
      <c r="AG93" s="9">
        <f>IF($F93=0,0,Расчет2!BG93)</f>
        <v>0</v>
      </c>
      <c r="AI93" s="11" t="e">
        <f>Расчет!FY93</f>
        <v>#N/A</v>
      </c>
      <c r="AJ93" s="11" t="e">
        <f>Расчет!FZ93</f>
        <v>#N/A</v>
      </c>
      <c r="AK93" s="11" t="e">
        <f>Расчет!GA93</f>
        <v>#N/A</v>
      </c>
      <c r="AL93" s="11" t="e">
        <f>Расчет!GB93</f>
        <v>#N/A</v>
      </c>
      <c r="AM93" s="11" t="e">
        <f>Расчет!GC93</f>
        <v>#N/A</v>
      </c>
      <c r="AN93" s="11" t="e">
        <f>Расчет!GD93</f>
        <v>#N/A</v>
      </c>
      <c r="AO93" s="11" t="e">
        <f>Расчет!GE93</f>
        <v>#N/A</v>
      </c>
      <c r="AP93" s="11" t="e">
        <f>Расчет!GF93</f>
        <v>#N/A</v>
      </c>
      <c r="AQ93" s="11" t="e">
        <f>Расчет!GG93</f>
        <v>#N/A</v>
      </c>
      <c r="AR93" s="11" t="e">
        <f>Расчет!GH93</f>
        <v>#N/A</v>
      </c>
      <c r="AS93" s="11" t="e">
        <f>Расчет!GI93</f>
        <v>#N/A</v>
      </c>
      <c r="AT93" s="11" t="e">
        <f>Расчет!GJ93</f>
        <v>#N/A</v>
      </c>
      <c r="AU93" s="198" t="e">
        <f t="shared" si="15"/>
        <v>#N/A</v>
      </c>
      <c r="AV93" s="198" t="e">
        <f t="shared" si="16"/>
        <v>#N/A</v>
      </c>
      <c r="AW93" s="198" t="e">
        <f t="shared" si="17"/>
        <v>#N/A</v>
      </c>
      <c r="AX93" s="11" t="e">
        <f t="shared" si="18"/>
        <v>#N/A</v>
      </c>
      <c r="AY93" s="11" t="e">
        <f t="shared" si="19"/>
        <v>#N/A</v>
      </c>
      <c r="AZ93" s="11" t="e">
        <f t="shared" si="20"/>
        <v>#N/A</v>
      </c>
    </row>
    <row r="94" spans="1:52" x14ac:dyDescent="0.2">
      <c r="A94" s="6">
        <f>Исходн.данные.!A94</f>
        <v>0</v>
      </c>
      <c r="B94" s="6">
        <f>Исходн.данные.!B94</f>
        <v>0</v>
      </c>
      <c r="C94" s="6">
        <f>Исходн.данные.!C94</f>
        <v>0</v>
      </c>
      <c r="D94" s="6">
        <f>Исходн.данные.!D94</f>
        <v>0</v>
      </c>
      <c r="E94" s="6">
        <f>Исходн.данные.!E94</f>
        <v>0</v>
      </c>
      <c r="F94" s="6">
        <f>Исходн.данные.!AH94</f>
        <v>0</v>
      </c>
      <c r="G94" s="6">
        <f>Исходн.данные.!AJ94</f>
        <v>0</v>
      </c>
      <c r="H94" s="6">
        <f>Исходн.данные.!AK94</f>
        <v>0</v>
      </c>
      <c r="I94" s="9">
        <f>IF($F94=0,0,Расчет2!AO94)</f>
        <v>0</v>
      </c>
      <c r="J94" s="9">
        <f>IF(F94=0,0,Расчет2!AP94)</f>
        <v>0</v>
      </c>
      <c r="K94" s="10">
        <f>IF($F94=0,0,Расчет2!AQ94)</f>
        <v>0</v>
      </c>
      <c r="L94" s="10">
        <f>IF($F94=0,0,Расчет2!AR94)</f>
        <v>0</v>
      </c>
      <c r="M94" s="10">
        <f>IF($F94=0,0,Расчет2!AS94)</f>
        <v>0</v>
      </c>
      <c r="N94" s="10">
        <f>IF($F94=0,0,IF(Исходн.данные.!$AP94="Посл.посева",0,Расчет2!AT94))</f>
        <v>0</v>
      </c>
      <c r="O94" s="10">
        <f>IF($F94=0,0,IF(Исходн.данные.!$AP94="Посл.посева",0,IF(Расчет2!AU94&lt;10,10,Расчет2!AU94)))</f>
        <v>0</v>
      </c>
      <c r="P94" s="10">
        <f>IF($F94=0,0,IF(Исходн.данные.!$AP94="Посл.посева",0,Расчет2!AV94))</f>
        <v>0</v>
      </c>
      <c r="Q94" s="10">
        <f>IF($F94=0,0,Расчет2!AW94)</f>
        <v>0</v>
      </c>
      <c r="R94" s="10">
        <f>IF($F94=0,0,Расчет2!AX94)</f>
        <v>0</v>
      </c>
      <c r="S94" s="9">
        <f>IF($F94=0,0,Расчет2!AY94)</f>
        <v>0</v>
      </c>
      <c r="T94" s="10">
        <f>IF($F94=0,0,Расчет2!AZ94)</f>
        <v>0</v>
      </c>
      <c r="U94" s="10">
        <f>IF($F94=0,0,Расчет2!BA94)</f>
        <v>0</v>
      </c>
      <c r="V94" s="10">
        <f>IF($F94=0,0,Расчет2!BB94)</f>
        <v>0</v>
      </c>
      <c r="W94" s="10">
        <f>Расчет!DL94</f>
        <v>0</v>
      </c>
      <c r="X94" s="10">
        <f>Расчет!DN94</f>
        <v>0</v>
      </c>
      <c r="Y94" s="9">
        <f>X94*Исходн.данные.!$AJ94/1000</f>
        <v>0</v>
      </c>
      <c r="Z94" s="10" t="str">
        <f>Расчет!DO94</f>
        <v>Хлор.калий</v>
      </c>
      <c r="AA94" s="10">
        <f>Расчет!DQ94</f>
        <v>0</v>
      </c>
      <c r="AB94" s="12">
        <f>AA94*Исходн.данные.!$AJ94/1000</f>
        <v>0</v>
      </c>
      <c r="AC94" s="9">
        <f>IF($F94=0,0,Расчет2!BC94)</f>
        <v>0</v>
      </c>
      <c r="AD94" s="10">
        <f>IF($F94=0,0,Расчет2!BD94)</f>
        <v>0</v>
      </c>
      <c r="AE94" s="9">
        <f>IF($F94=0,0,Расчет2!BE94)</f>
        <v>0</v>
      </c>
      <c r="AF94" s="9">
        <f>IF($F94=0,0,Расчет2!BF94)</f>
        <v>0</v>
      </c>
      <c r="AG94" s="9">
        <f>IF($F94=0,0,Расчет2!BG94)</f>
        <v>0</v>
      </c>
      <c r="AI94" s="11" t="e">
        <f>Расчет!FY94</f>
        <v>#N/A</v>
      </c>
      <c r="AJ94" s="11" t="e">
        <f>Расчет!FZ94</f>
        <v>#N/A</v>
      </c>
      <c r="AK94" s="11" t="e">
        <f>Расчет!GA94</f>
        <v>#N/A</v>
      </c>
      <c r="AL94" s="11" t="e">
        <f>Расчет!GB94</f>
        <v>#N/A</v>
      </c>
      <c r="AM94" s="11" t="e">
        <f>Расчет!GC94</f>
        <v>#N/A</v>
      </c>
      <c r="AN94" s="11" t="e">
        <f>Расчет!GD94</f>
        <v>#N/A</v>
      </c>
      <c r="AO94" s="11" t="e">
        <f>Расчет!GE94</f>
        <v>#N/A</v>
      </c>
      <c r="AP94" s="11" t="e">
        <f>Расчет!GF94</f>
        <v>#N/A</v>
      </c>
      <c r="AQ94" s="11" t="e">
        <f>Расчет!GG94</f>
        <v>#N/A</v>
      </c>
      <c r="AR94" s="11" t="e">
        <f>Расчет!GH94</f>
        <v>#N/A</v>
      </c>
      <c r="AS94" s="11" t="e">
        <f>Расчет!GI94</f>
        <v>#N/A</v>
      </c>
      <c r="AT94" s="11" t="e">
        <f>Расчет!GJ94</f>
        <v>#N/A</v>
      </c>
      <c r="AU94" s="198" t="e">
        <f t="shared" si="15"/>
        <v>#N/A</v>
      </c>
      <c r="AV94" s="198" t="e">
        <f t="shared" si="16"/>
        <v>#N/A</v>
      </c>
      <c r="AW94" s="198" t="e">
        <f t="shared" si="17"/>
        <v>#N/A</v>
      </c>
      <c r="AX94" s="11" t="e">
        <f t="shared" si="18"/>
        <v>#N/A</v>
      </c>
      <c r="AY94" s="11" t="e">
        <f t="shared" si="19"/>
        <v>#N/A</v>
      </c>
      <c r="AZ94" s="11" t="e">
        <f t="shared" si="20"/>
        <v>#N/A</v>
      </c>
    </row>
    <row r="95" spans="1:52" x14ac:dyDescent="0.2">
      <c r="A95" s="6">
        <f>Исходн.данные.!A95</f>
        <v>0</v>
      </c>
      <c r="B95" s="6">
        <f>Исходн.данные.!B95</f>
        <v>0</v>
      </c>
      <c r="C95" s="6">
        <f>Исходн.данные.!C95</f>
        <v>0</v>
      </c>
      <c r="D95" s="6">
        <f>Исходн.данные.!D95</f>
        <v>0</v>
      </c>
      <c r="E95" s="6">
        <f>Исходн.данные.!E95</f>
        <v>0</v>
      </c>
      <c r="F95" s="6">
        <f>Исходн.данные.!AH95</f>
        <v>0</v>
      </c>
      <c r="G95" s="6">
        <f>Исходн.данные.!AJ95</f>
        <v>0</v>
      </c>
      <c r="H95" s="6">
        <f>Исходн.данные.!AK95</f>
        <v>0</v>
      </c>
      <c r="I95" s="9">
        <f>IF($F95=0,0,Расчет2!AO95)</f>
        <v>0</v>
      </c>
      <c r="J95" s="9">
        <f>IF(F95=0,0,Расчет2!AP95)</f>
        <v>0</v>
      </c>
      <c r="K95" s="10">
        <f>IF($F95=0,0,Расчет2!AQ95)</f>
        <v>0</v>
      </c>
      <c r="L95" s="10">
        <f>IF($F95=0,0,Расчет2!AR95)</f>
        <v>0</v>
      </c>
      <c r="M95" s="10">
        <f>IF($F95=0,0,Расчет2!AS95)</f>
        <v>0</v>
      </c>
      <c r="N95" s="10">
        <f>IF($F95=0,0,IF(Исходн.данные.!$AP95="Посл.посева",0,Расчет2!AT95))</f>
        <v>0</v>
      </c>
      <c r="O95" s="10">
        <f>IF($F95=0,0,IF(Исходн.данные.!$AP95="Посл.посева",0,IF(Расчет2!AU95&lt;10,10,Расчет2!AU95)))</f>
        <v>0</v>
      </c>
      <c r="P95" s="10">
        <f>IF($F95=0,0,IF(Исходн.данные.!$AP95="Посл.посева",0,Расчет2!AV95))</f>
        <v>0</v>
      </c>
      <c r="Q95" s="10">
        <f>IF($F95=0,0,Расчет2!AW95)</f>
        <v>0</v>
      </c>
      <c r="R95" s="10">
        <f>IF($F95=0,0,Расчет2!AX95)</f>
        <v>0</v>
      </c>
      <c r="S95" s="9">
        <f>IF($F95=0,0,Расчет2!AY95)</f>
        <v>0</v>
      </c>
      <c r="T95" s="10">
        <f>IF($F95=0,0,Расчет2!AZ95)</f>
        <v>0</v>
      </c>
      <c r="U95" s="10">
        <f>IF($F95=0,0,Расчет2!BA95)</f>
        <v>0</v>
      </c>
      <c r="V95" s="10">
        <f>IF($F95=0,0,Расчет2!BB95)</f>
        <v>0</v>
      </c>
      <c r="W95" s="10">
        <f>Расчет!DL95</f>
        <v>0</v>
      </c>
      <c r="X95" s="10">
        <f>Расчет!DN95</f>
        <v>0</v>
      </c>
      <c r="Y95" s="9">
        <f>X95*Исходн.данные.!$AJ95/1000</f>
        <v>0</v>
      </c>
      <c r="Z95" s="10" t="str">
        <f>Расчет!DO95</f>
        <v>Хлор.калий</v>
      </c>
      <c r="AA95" s="10">
        <f>Расчет!DQ95</f>
        <v>0</v>
      </c>
      <c r="AB95" s="12">
        <f>AA95*Исходн.данные.!$AJ95/1000</f>
        <v>0</v>
      </c>
      <c r="AC95" s="9">
        <f>IF($F95=0,0,Расчет2!BC95)</f>
        <v>0</v>
      </c>
      <c r="AD95" s="10">
        <f>IF($F95=0,0,Расчет2!BD95)</f>
        <v>0</v>
      </c>
      <c r="AE95" s="9">
        <f>IF($F95=0,0,Расчет2!BE95)</f>
        <v>0</v>
      </c>
      <c r="AF95" s="9">
        <f>IF($F95=0,0,Расчет2!BF95)</f>
        <v>0</v>
      </c>
      <c r="AG95" s="9">
        <f>IF($F95=0,0,Расчет2!BG95)</f>
        <v>0</v>
      </c>
      <c r="AI95" s="11" t="e">
        <f>Расчет!FY95</f>
        <v>#N/A</v>
      </c>
      <c r="AJ95" s="11" t="e">
        <f>Расчет!FZ95</f>
        <v>#N/A</v>
      </c>
      <c r="AK95" s="11" t="e">
        <f>Расчет!GA95</f>
        <v>#N/A</v>
      </c>
      <c r="AL95" s="11" t="e">
        <f>Расчет!GB95</f>
        <v>#N/A</v>
      </c>
      <c r="AM95" s="11" t="e">
        <f>Расчет!GC95</f>
        <v>#N/A</v>
      </c>
      <c r="AN95" s="11" t="e">
        <f>Расчет!GD95</f>
        <v>#N/A</v>
      </c>
      <c r="AO95" s="11" t="e">
        <f>Расчет!GE95</f>
        <v>#N/A</v>
      </c>
      <c r="AP95" s="11" t="e">
        <f>Расчет!GF95</f>
        <v>#N/A</v>
      </c>
      <c r="AQ95" s="11" t="e">
        <f>Расчет!GG95</f>
        <v>#N/A</v>
      </c>
      <c r="AR95" s="11" t="e">
        <f>Расчет!GH95</f>
        <v>#N/A</v>
      </c>
      <c r="AS95" s="11" t="e">
        <f>Расчет!GI95</f>
        <v>#N/A</v>
      </c>
      <c r="AT95" s="11" t="e">
        <f>Расчет!GJ95</f>
        <v>#N/A</v>
      </c>
      <c r="AU95" s="198" t="e">
        <f t="shared" si="15"/>
        <v>#N/A</v>
      </c>
      <c r="AV95" s="198" t="e">
        <f t="shared" si="16"/>
        <v>#N/A</v>
      </c>
      <c r="AW95" s="198" t="e">
        <f t="shared" si="17"/>
        <v>#N/A</v>
      </c>
      <c r="AX95" s="11" t="e">
        <f t="shared" si="18"/>
        <v>#N/A</v>
      </c>
      <c r="AY95" s="11" t="e">
        <f t="shared" si="19"/>
        <v>#N/A</v>
      </c>
      <c r="AZ95" s="11" t="e">
        <f t="shared" si="20"/>
        <v>#N/A</v>
      </c>
    </row>
    <row r="96" spans="1:52" x14ac:dyDescent="0.2">
      <c r="A96" s="6">
        <f>Исходн.данные.!A96</f>
        <v>0</v>
      </c>
      <c r="B96" s="6">
        <f>Исходн.данные.!B96</f>
        <v>0</v>
      </c>
      <c r="C96" s="6">
        <f>Исходн.данные.!C96</f>
        <v>0</v>
      </c>
      <c r="D96" s="6">
        <f>Исходн.данные.!D96</f>
        <v>0</v>
      </c>
      <c r="E96" s="6">
        <f>Исходн.данные.!E96</f>
        <v>0</v>
      </c>
      <c r="F96" s="6">
        <f>Исходн.данные.!AH96</f>
        <v>0</v>
      </c>
      <c r="G96" s="6">
        <f>Исходн.данные.!AJ96</f>
        <v>0</v>
      </c>
      <c r="H96" s="6">
        <f>Исходн.данные.!AK96</f>
        <v>0</v>
      </c>
      <c r="I96" s="9">
        <f>IF($F96=0,0,Расчет2!AO96)</f>
        <v>0</v>
      </c>
      <c r="J96" s="9">
        <f>IF(F96=0,0,Расчет2!AP96)</f>
        <v>0</v>
      </c>
      <c r="K96" s="10">
        <f>IF($F96=0,0,Расчет2!AQ96)</f>
        <v>0</v>
      </c>
      <c r="L96" s="10">
        <f>IF($F96=0,0,Расчет2!AR96)</f>
        <v>0</v>
      </c>
      <c r="M96" s="10">
        <f>IF($F96=0,0,Расчет2!AS96)</f>
        <v>0</v>
      </c>
      <c r="N96" s="10">
        <f>IF($F96=0,0,IF(Исходн.данные.!$AP96="Посл.посева",0,Расчет2!AT96))</f>
        <v>0</v>
      </c>
      <c r="O96" s="10">
        <f>IF($F96=0,0,IF(Исходн.данные.!$AP96="Посл.посева",0,IF(Расчет2!AU96&lt;10,10,Расчет2!AU96)))</f>
        <v>0</v>
      </c>
      <c r="P96" s="10">
        <f>IF($F96=0,0,IF(Исходн.данные.!$AP96="Посл.посева",0,Расчет2!AV96))</f>
        <v>0</v>
      </c>
      <c r="Q96" s="10">
        <f>IF($F96=0,0,Расчет2!AW96)</f>
        <v>0</v>
      </c>
      <c r="R96" s="10">
        <f>IF($F96=0,0,Расчет2!AX96)</f>
        <v>0</v>
      </c>
      <c r="S96" s="9">
        <f>IF($F96=0,0,Расчет2!AY96)</f>
        <v>0</v>
      </c>
      <c r="T96" s="10">
        <f>IF($F96=0,0,Расчет2!AZ96)</f>
        <v>0</v>
      </c>
      <c r="U96" s="10">
        <f>IF($F96=0,0,Расчет2!BA96)</f>
        <v>0</v>
      </c>
      <c r="V96" s="10">
        <f>IF($F96=0,0,Расчет2!BB96)</f>
        <v>0</v>
      </c>
      <c r="W96" s="10">
        <f>Расчет!DL96</f>
        <v>0</v>
      </c>
      <c r="X96" s="10">
        <f>Расчет!DN96</f>
        <v>0</v>
      </c>
      <c r="Y96" s="9">
        <f>X96*Исходн.данные.!$AJ96/1000</f>
        <v>0</v>
      </c>
      <c r="Z96" s="10" t="str">
        <f>Расчет!DO96</f>
        <v>Хлор.калий</v>
      </c>
      <c r="AA96" s="10">
        <f>Расчет!DQ96</f>
        <v>0</v>
      </c>
      <c r="AB96" s="12">
        <f>AA96*Исходн.данные.!$AJ96/1000</f>
        <v>0</v>
      </c>
      <c r="AC96" s="9">
        <f>IF($F96=0,0,Расчет2!BC96)</f>
        <v>0</v>
      </c>
      <c r="AD96" s="10">
        <f>IF($F96=0,0,Расчет2!BD96)</f>
        <v>0</v>
      </c>
      <c r="AE96" s="9">
        <f>IF($F96=0,0,Расчет2!BE96)</f>
        <v>0</v>
      </c>
      <c r="AF96" s="9">
        <f>IF($F96=0,0,Расчет2!BF96)</f>
        <v>0</v>
      </c>
      <c r="AG96" s="9">
        <f>IF($F96=0,0,Расчет2!BG96)</f>
        <v>0</v>
      </c>
      <c r="AI96" s="11" t="e">
        <f>Расчет!FY96</f>
        <v>#N/A</v>
      </c>
      <c r="AJ96" s="11" t="e">
        <f>Расчет!FZ96</f>
        <v>#N/A</v>
      </c>
      <c r="AK96" s="11" t="e">
        <f>Расчет!GA96</f>
        <v>#N/A</v>
      </c>
      <c r="AL96" s="11" t="e">
        <f>Расчет!GB96</f>
        <v>#N/A</v>
      </c>
      <c r="AM96" s="11" t="e">
        <f>Расчет!GC96</f>
        <v>#N/A</v>
      </c>
      <c r="AN96" s="11" t="e">
        <f>Расчет!GD96</f>
        <v>#N/A</v>
      </c>
      <c r="AO96" s="11" t="e">
        <f>Расчет!GE96</f>
        <v>#N/A</v>
      </c>
      <c r="AP96" s="11" t="e">
        <f>Расчет!GF96</f>
        <v>#N/A</v>
      </c>
      <c r="AQ96" s="11" t="e">
        <f>Расчет!GG96</f>
        <v>#N/A</v>
      </c>
      <c r="AR96" s="11" t="e">
        <f>Расчет!GH96</f>
        <v>#N/A</v>
      </c>
      <c r="AS96" s="11" t="e">
        <f>Расчет!GI96</f>
        <v>#N/A</v>
      </c>
      <c r="AT96" s="11" t="e">
        <f>Расчет!GJ96</f>
        <v>#N/A</v>
      </c>
      <c r="AU96" s="198" t="e">
        <f t="shared" si="15"/>
        <v>#N/A</v>
      </c>
      <c r="AV96" s="198" t="e">
        <f t="shared" si="16"/>
        <v>#N/A</v>
      </c>
      <c r="AW96" s="198" t="e">
        <f t="shared" si="17"/>
        <v>#N/A</v>
      </c>
      <c r="AX96" s="11" t="e">
        <f t="shared" si="18"/>
        <v>#N/A</v>
      </c>
      <c r="AY96" s="11" t="e">
        <f t="shared" si="19"/>
        <v>#N/A</v>
      </c>
      <c r="AZ96" s="11" t="e">
        <f t="shared" si="20"/>
        <v>#N/A</v>
      </c>
    </row>
    <row r="97" spans="1:52" x14ac:dyDescent="0.2">
      <c r="A97" s="6">
        <f>Исходн.данные.!A97</f>
        <v>0</v>
      </c>
      <c r="B97" s="6">
        <f>Исходн.данные.!B97</f>
        <v>0</v>
      </c>
      <c r="C97" s="6">
        <f>Исходн.данные.!C97</f>
        <v>0</v>
      </c>
      <c r="D97" s="6">
        <f>Исходн.данные.!D97</f>
        <v>0</v>
      </c>
      <c r="E97" s="6">
        <f>Исходн.данные.!E97</f>
        <v>0</v>
      </c>
      <c r="F97" s="6">
        <f>Исходн.данные.!AH97</f>
        <v>0</v>
      </c>
      <c r="G97" s="6">
        <f>Исходн.данные.!AJ97</f>
        <v>0</v>
      </c>
      <c r="H97" s="6">
        <f>Исходн.данные.!AK97</f>
        <v>0</v>
      </c>
      <c r="I97" s="9">
        <f>IF($F97=0,0,Расчет2!AO97)</f>
        <v>0</v>
      </c>
      <c r="J97" s="9">
        <f>IF(F97=0,0,Расчет2!AP97)</f>
        <v>0</v>
      </c>
      <c r="K97" s="10">
        <f>IF($F97=0,0,Расчет2!AQ97)</f>
        <v>0</v>
      </c>
      <c r="L97" s="10">
        <f>IF($F97=0,0,Расчет2!AR97)</f>
        <v>0</v>
      </c>
      <c r="M97" s="10">
        <f>IF($F97=0,0,Расчет2!AS97)</f>
        <v>0</v>
      </c>
      <c r="N97" s="10">
        <f>IF($F97=0,0,IF(Исходн.данные.!$AP97="Посл.посева",0,Расчет2!AT97))</f>
        <v>0</v>
      </c>
      <c r="O97" s="10">
        <f>IF($F97=0,0,IF(Исходн.данные.!$AP97="Посл.посева",0,IF(Расчет2!AU97&lt;10,10,Расчет2!AU97)))</f>
        <v>0</v>
      </c>
      <c r="P97" s="10">
        <f>IF($F97=0,0,IF(Исходн.данные.!$AP97="Посл.посева",0,Расчет2!AV97))</f>
        <v>0</v>
      </c>
      <c r="Q97" s="10">
        <f>IF($F97=0,0,Расчет2!AW97)</f>
        <v>0</v>
      </c>
      <c r="R97" s="10">
        <f>IF($F97=0,0,Расчет2!AX97)</f>
        <v>0</v>
      </c>
      <c r="S97" s="9">
        <f>IF($F97=0,0,Расчет2!AY97)</f>
        <v>0</v>
      </c>
      <c r="T97" s="10">
        <f>IF($F97=0,0,Расчет2!AZ97)</f>
        <v>0</v>
      </c>
      <c r="U97" s="10">
        <f>IF($F97=0,0,Расчет2!BA97)</f>
        <v>0</v>
      </c>
      <c r="V97" s="10">
        <f>IF($F97=0,0,Расчет2!BB97)</f>
        <v>0</v>
      </c>
      <c r="W97" s="10">
        <f>Расчет!DL97</f>
        <v>0</v>
      </c>
      <c r="X97" s="10">
        <f>Расчет!DN97</f>
        <v>0</v>
      </c>
      <c r="Y97" s="9">
        <f>X97*Исходн.данные.!$AJ97/1000</f>
        <v>0</v>
      </c>
      <c r="Z97" s="10" t="str">
        <f>Расчет!DO97</f>
        <v>Хлор.калий</v>
      </c>
      <c r="AA97" s="10">
        <f>Расчет!DQ97</f>
        <v>0</v>
      </c>
      <c r="AB97" s="12">
        <f>AA97*Исходн.данные.!$AJ97/1000</f>
        <v>0</v>
      </c>
      <c r="AC97" s="9">
        <f>IF($F97=0,0,Расчет2!BC97)</f>
        <v>0</v>
      </c>
      <c r="AD97" s="10">
        <f>IF($F97=0,0,Расчет2!BD97)</f>
        <v>0</v>
      </c>
      <c r="AE97" s="9">
        <f>IF($F97=0,0,Расчет2!BE97)</f>
        <v>0</v>
      </c>
      <c r="AF97" s="9">
        <f>IF($F97=0,0,Расчет2!BF97)</f>
        <v>0</v>
      </c>
      <c r="AG97" s="9">
        <f>IF($F97=0,0,Расчет2!BG97)</f>
        <v>0</v>
      </c>
      <c r="AI97" s="11" t="e">
        <f>Расчет!FY97</f>
        <v>#N/A</v>
      </c>
      <c r="AJ97" s="11" t="e">
        <f>Расчет!FZ97</f>
        <v>#N/A</v>
      </c>
      <c r="AK97" s="11" t="e">
        <f>Расчет!GA97</f>
        <v>#N/A</v>
      </c>
      <c r="AL97" s="11" t="e">
        <f>Расчет!GB97</f>
        <v>#N/A</v>
      </c>
      <c r="AM97" s="11" t="e">
        <f>Расчет!GC97</f>
        <v>#N/A</v>
      </c>
      <c r="AN97" s="11" t="e">
        <f>Расчет!GD97</f>
        <v>#N/A</v>
      </c>
      <c r="AO97" s="11" t="e">
        <f>Расчет!GE97</f>
        <v>#N/A</v>
      </c>
      <c r="AP97" s="11" t="e">
        <f>Расчет!GF97</f>
        <v>#N/A</v>
      </c>
      <c r="AQ97" s="11" t="e">
        <f>Расчет!GG97</f>
        <v>#N/A</v>
      </c>
      <c r="AR97" s="11" t="e">
        <f>Расчет!GH97</f>
        <v>#N/A</v>
      </c>
      <c r="AS97" s="11" t="e">
        <f>Расчет!GI97</f>
        <v>#N/A</v>
      </c>
      <c r="AT97" s="11" t="e">
        <f>Расчет!GJ97</f>
        <v>#N/A</v>
      </c>
      <c r="AU97" s="198" t="e">
        <f t="shared" si="15"/>
        <v>#N/A</v>
      </c>
      <c r="AV97" s="198" t="e">
        <f t="shared" si="16"/>
        <v>#N/A</v>
      </c>
      <c r="AW97" s="198" t="e">
        <f t="shared" si="17"/>
        <v>#N/A</v>
      </c>
      <c r="AX97" s="11" t="e">
        <f t="shared" si="18"/>
        <v>#N/A</v>
      </c>
      <c r="AY97" s="11" t="e">
        <f t="shared" si="19"/>
        <v>#N/A</v>
      </c>
      <c r="AZ97" s="11" t="e">
        <f t="shared" si="20"/>
        <v>#N/A</v>
      </c>
    </row>
    <row r="98" spans="1:52" x14ac:dyDescent="0.2">
      <c r="A98" s="6">
        <f>Исходн.данные.!A98</f>
        <v>0</v>
      </c>
      <c r="B98" s="6">
        <f>Исходн.данные.!B98</f>
        <v>0</v>
      </c>
      <c r="C98" s="6">
        <f>Исходн.данные.!C98</f>
        <v>0</v>
      </c>
      <c r="D98" s="6">
        <f>Исходн.данные.!D98</f>
        <v>0</v>
      </c>
      <c r="E98" s="6">
        <f>Исходн.данные.!E98</f>
        <v>0</v>
      </c>
      <c r="F98" s="6">
        <f>Исходн.данные.!AH98</f>
        <v>0</v>
      </c>
      <c r="G98" s="6">
        <f>Исходн.данные.!AJ98</f>
        <v>0</v>
      </c>
      <c r="H98" s="6">
        <f>Исходн.данные.!AK98</f>
        <v>0</v>
      </c>
      <c r="I98" s="9">
        <f>IF($F98=0,0,Расчет2!AO98)</f>
        <v>0</v>
      </c>
      <c r="J98" s="9">
        <f>IF(F98=0,0,Расчет2!AP98)</f>
        <v>0</v>
      </c>
      <c r="K98" s="10">
        <f>IF($F98=0,0,Расчет2!AQ98)</f>
        <v>0</v>
      </c>
      <c r="L98" s="10">
        <f>IF($F98=0,0,Расчет2!AR98)</f>
        <v>0</v>
      </c>
      <c r="M98" s="10">
        <f>IF($F98=0,0,Расчет2!AS98)</f>
        <v>0</v>
      </c>
      <c r="N98" s="10">
        <f>IF($F98=0,0,IF(Исходн.данные.!$AP98="Посл.посева",0,Расчет2!AT98))</f>
        <v>0</v>
      </c>
      <c r="O98" s="10">
        <f>IF($F98=0,0,IF(Исходн.данные.!$AP98="Посл.посева",0,IF(Расчет2!AU98&lt;10,10,Расчет2!AU98)))</f>
        <v>0</v>
      </c>
      <c r="P98" s="10">
        <f>IF($F98=0,0,IF(Исходн.данные.!$AP98="Посл.посева",0,Расчет2!AV98))</f>
        <v>0</v>
      </c>
      <c r="Q98" s="10">
        <f>IF($F98=0,0,Расчет2!AW98)</f>
        <v>0</v>
      </c>
      <c r="R98" s="10">
        <f>IF($F98=0,0,Расчет2!AX98)</f>
        <v>0</v>
      </c>
      <c r="S98" s="9">
        <f>IF($F98=0,0,Расчет2!AY98)</f>
        <v>0</v>
      </c>
      <c r="T98" s="10">
        <f>IF($F98=0,0,Расчет2!AZ98)</f>
        <v>0</v>
      </c>
      <c r="U98" s="10">
        <f>IF($F98=0,0,Расчет2!BA98)</f>
        <v>0</v>
      </c>
      <c r="V98" s="10">
        <f>IF($F98=0,0,Расчет2!BB98)</f>
        <v>0</v>
      </c>
      <c r="W98" s="10">
        <f>Расчет!DL98</f>
        <v>0</v>
      </c>
      <c r="X98" s="10">
        <f>Расчет!DN98</f>
        <v>0</v>
      </c>
      <c r="Y98" s="9">
        <f>X98*Исходн.данные.!$AJ98/1000</f>
        <v>0</v>
      </c>
      <c r="Z98" s="10" t="str">
        <f>Расчет!DO98</f>
        <v>Хлор.калий</v>
      </c>
      <c r="AA98" s="10">
        <f>Расчет!DQ98</f>
        <v>0</v>
      </c>
      <c r="AB98" s="12">
        <f>AA98*Исходн.данные.!$AJ98/1000</f>
        <v>0</v>
      </c>
      <c r="AC98" s="9">
        <f>IF($F98=0,0,Расчет2!BC98)</f>
        <v>0</v>
      </c>
      <c r="AD98" s="10">
        <f>IF($F98=0,0,Расчет2!BD98)</f>
        <v>0</v>
      </c>
      <c r="AE98" s="9">
        <f>IF($F98=0,0,Расчет2!BE98)</f>
        <v>0</v>
      </c>
      <c r="AF98" s="9">
        <f>IF($F98=0,0,Расчет2!BF98)</f>
        <v>0</v>
      </c>
      <c r="AG98" s="9">
        <f>IF($F98=0,0,Расчет2!BG98)</f>
        <v>0</v>
      </c>
      <c r="AI98" s="11" t="e">
        <f>Расчет!FY98</f>
        <v>#N/A</v>
      </c>
      <c r="AJ98" s="11" t="e">
        <f>Расчет!FZ98</f>
        <v>#N/A</v>
      </c>
      <c r="AK98" s="11" t="e">
        <f>Расчет!GA98</f>
        <v>#N/A</v>
      </c>
      <c r="AL98" s="11" t="e">
        <f>Расчет!GB98</f>
        <v>#N/A</v>
      </c>
      <c r="AM98" s="11" t="e">
        <f>Расчет!GC98</f>
        <v>#N/A</v>
      </c>
      <c r="AN98" s="11" t="e">
        <f>Расчет!GD98</f>
        <v>#N/A</v>
      </c>
      <c r="AO98" s="11" t="e">
        <f>Расчет!GE98</f>
        <v>#N/A</v>
      </c>
      <c r="AP98" s="11" t="e">
        <f>Расчет!GF98</f>
        <v>#N/A</v>
      </c>
      <c r="AQ98" s="11" t="e">
        <f>Расчет!GG98</f>
        <v>#N/A</v>
      </c>
      <c r="AR98" s="11" t="e">
        <f>Расчет!GH98</f>
        <v>#N/A</v>
      </c>
      <c r="AS98" s="11" t="e">
        <f>Расчет!GI98</f>
        <v>#N/A</v>
      </c>
      <c r="AT98" s="11" t="e">
        <f>Расчет!GJ98</f>
        <v>#N/A</v>
      </c>
      <c r="AU98" s="198" t="e">
        <f t="shared" si="15"/>
        <v>#N/A</v>
      </c>
      <c r="AV98" s="198" t="e">
        <f t="shared" si="16"/>
        <v>#N/A</v>
      </c>
      <c r="AW98" s="198" t="e">
        <f t="shared" si="17"/>
        <v>#N/A</v>
      </c>
      <c r="AX98" s="11" t="e">
        <f t="shared" si="18"/>
        <v>#N/A</v>
      </c>
      <c r="AY98" s="11" t="e">
        <f t="shared" si="19"/>
        <v>#N/A</v>
      </c>
      <c r="AZ98" s="11" t="e">
        <f t="shared" si="20"/>
        <v>#N/A</v>
      </c>
    </row>
    <row r="99" spans="1:52" x14ac:dyDescent="0.2">
      <c r="A99" s="6">
        <f>Исходн.данные.!A99</f>
        <v>0</v>
      </c>
      <c r="B99" s="6">
        <f>Исходн.данные.!B99</f>
        <v>0</v>
      </c>
      <c r="C99" s="6">
        <f>Исходн.данные.!C99</f>
        <v>0</v>
      </c>
      <c r="D99" s="6">
        <f>Исходн.данные.!D99</f>
        <v>0</v>
      </c>
      <c r="E99" s="6">
        <f>Исходн.данные.!E99</f>
        <v>0</v>
      </c>
      <c r="F99" s="6">
        <f>Исходн.данные.!AH99</f>
        <v>0</v>
      </c>
      <c r="G99" s="6">
        <f>Исходн.данные.!AJ99</f>
        <v>0</v>
      </c>
      <c r="H99" s="6">
        <f>Исходн.данные.!AK99</f>
        <v>0</v>
      </c>
      <c r="I99" s="9">
        <f>IF($F99=0,0,Расчет2!AO99)</f>
        <v>0</v>
      </c>
      <c r="J99" s="9">
        <f>IF(F99=0,0,Расчет2!AP99)</f>
        <v>0</v>
      </c>
      <c r="K99" s="10">
        <f>IF($F99=0,0,Расчет2!AQ99)</f>
        <v>0</v>
      </c>
      <c r="L99" s="10">
        <f>IF($F99=0,0,Расчет2!AR99)</f>
        <v>0</v>
      </c>
      <c r="M99" s="10">
        <f>IF($F99=0,0,Расчет2!AS99)</f>
        <v>0</v>
      </c>
      <c r="N99" s="10">
        <f>IF($F99=0,0,IF(Исходн.данные.!$AP99="Посл.посева",0,Расчет2!AT99))</f>
        <v>0</v>
      </c>
      <c r="O99" s="10">
        <f>IF($F99=0,0,IF(Исходн.данные.!$AP99="Посл.посева",0,IF(Расчет2!AU99&lt;10,10,Расчет2!AU99)))</f>
        <v>0</v>
      </c>
      <c r="P99" s="10">
        <f>IF($F99=0,0,IF(Исходн.данные.!$AP99="Посл.посева",0,Расчет2!AV99))</f>
        <v>0</v>
      </c>
      <c r="Q99" s="10">
        <f>IF($F99=0,0,Расчет2!AW99)</f>
        <v>0</v>
      </c>
      <c r="R99" s="10">
        <f>IF($F99=0,0,Расчет2!AX99)</f>
        <v>0</v>
      </c>
      <c r="S99" s="9">
        <f>IF($F99=0,0,Расчет2!AY99)</f>
        <v>0</v>
      </c>
      <c r="T99" s="10">
        <f>IF($F99=0,0,Расчет2!AZ99)</f>
        <v>0</v>
      </c>
      <c r="U99" s="10">
        <f>IF($F99=0,0,Расчет2!BA99)</f>
        <v>0</v>
      </c>
      <c r="V99" s="10">
        <f>IF($F99=0,0,Расчет2!BB99)</f>
        <v>0</v>
      </c>
      <c r="W99" s="10">
        <f>Расчет!DL99</f>
        <v>0</v>
      </c>
      <c r="X99" s="10">
        <f>Расчет!DN99</f>
        <v>0</v>
      </c>
      <c r="Y99" s="9">
        <f>X99*Исходн.данные.!$AJ99/1000</f>
        <v>0</v>
      </c>
      <c r="Z99" s="10" t="str">
        <f>Расчет!DO99</f>
        <v>Хлор.калий</v>
      </c>
      <c r="AA99" s="10">
        <f>Расчет!DQ99</f>
        <v>0</v>
      </c>
      <c r="AB99" s="12">
        <f>AA99*Исходн.данные.!$AJ99/1000</f>
        <v>0</v>
      </c>
      <c r="AC99" s="9">
        <f>IF($F99=0,0,Расчет2!BC99)</f>
        <v>0</v>
      </c>
      <c r="AD99" s="10">
        <f>IF($F99=0,0,Расчет2!BD99)</f>
        <v>0</v>
      </c>
      <c r="AE99" s="9">
        <f>IF($F99=0,0,Расчет2!BE99)</f>
        <v>0</v>
      </c>
      <c r="AF99" s="9">
        <f>IF($F99=0,0,Расчет2!BF99)</f>
        <v>0</v>
      </c>
      <c r="AG99" s="9">
        <f>IF($F99=0,0,Расчет2!BG99)</f>
        <v>0</v>
      </c>
      <c r="AI99" s="11" t="e">
        <f>Расчет!FY99</f>
        <v>#N/A</v>
      </c>
      <c r="AJ99" s="11" t="e">
        <f>Расчет!FZ99</f>
        <v>#N/A</v>
      </c>
      <c r="AK99" s="11" t="e">
        <f>Расчет!GA99</f>
        <v>#N/A</v>
      </c>
      <c r="AL99" s="11" t="e">
        <f>Расчет!GB99</f>
        <v>#N/A</v>
      </c>
      <c r="AM99" s="11" t="e">
        <f>Расчет!GC99</f>
        <v>#N/A</v>
      </c>
      <c r="AN99" s="11" t="e">
        <f>Расчет!GD99</f>
        <v>#N/A</v>
      </c>
      <c r="AO99" s="11" t="e">
        <f>Расчет!GE99</f>
        <v>#N/A</v>
      </c>
      <c r="AP99" s="11" t="e">
        <f>Расчет!GF99</f>
        <v>#N/A</v>
      </c>
      <c r="AQ99" s="11" t="e">
        <f>Расчет!GG99</f>
        <v>#N/A</v>
      </c>
      <c r="AR99" s="11" t="e">
        <f>Расчет!GH99</f>
        <v>#N/A</v>
      </c>
      <c r="AS99" s="11" t="e">
        <f>Расчет!GI99</f>
        <v>#N/A</v>
      </c>
      <c r="AT99" s="11" t="e">
        <f>Расчет!GJ99</f>
        <v>#N/A</v>
      </c>
      <c r="AU99" s="198" t="e">
        <f t="shared" si="15"/>
        <v>#N/A</v>
      </c>
      <c r="AV99" s="198" t="e">
        <f t="shared" si="16"/>
        <v>#N/A</v>
      </c>
      <c r="AW99" s="198" t="e">
        <f t="shared" si="17"/>
        <v>#N/A</v>
      </c>
      <c r="AX99" s="11" t="e">
        <f t="shared" si="18"/>
        <v>#N/A</v>
      </c>
      <c r="AY99" s="11" t="e">
        <f t="shared" si="19"/>
        <v>#N/A</v>
      </c>
      <c r="AZ99" s="11" t="e">
        <f t="shared" si="20"/>
        <v>#N/A</v>
      </c>
    </row>
    <row r="100" spans="1:52" x14ac:dyDescent="0.2">
      <c r="A100" s="6">
        <f>Исходн.данные.!A100</f>
        <v>0</v>
      </c>
      <c r="B100" s="6">
        <f>Исходн.данные.!B100</f>
        <v>0</v>
      </c>
      <c r="C100" s="6">
        <f>Исходн.данные.!C100</f>
        <v>0</v>
      </c>
      <c r="D100" s="6">
        <f>Исходн.данные.!D100</f>
        <v>0</v>
      </c>
      <c r="E100" s="6">
        <f>Исходн.данные.!E100</f>
        <v>0</v>
      </c>
      <c r="F100" s="6">
        <f>Исходн.данные.!AH100</f>
        <v>0</v>
      </c>
      <c r="G100" s="6">
        <f>Исходн.данные.!AJ100</f>
        <v>0</v>
      </c>
      <c r="H100" s="6">
        <f>Исходн.данные.!AK100</f>
        <v>0</v>
      </c>
      <c r="I100" s="9">
        <f>IF($F100=0,0,Расчет2!AO100)</f>
        <v>0</v>
      </c>
      <c r="J100" s="9">
        <f>IF(F100=0,0,Расчет2!AP100)</f>
        <v>0</v>
      </c>
      <c r="K100" s="10">
        <f>IF($F100=0,0,Расчет2!AQ100)</f>
        <v>0</v>
      </c>
      <c r="L100" s="10">
        <f>IF($F100=0,0,Расчет2!AR100)</f>
        <v>0</v>
      </c>
      <c r="M100" s="10">
        <f>IF($F100=0,0,Расчет2!AS100)</f>
        <v>0</v>
      </c>
      <c r="N100" s="10">
        <f>IF($F100=0,0,IF(Исходн.данные.!$AP100="Посл.посева",0,Расчет2!AT100))</f>
        <v>0</v>
      </c>
      <c r="O100" s="10">
        <f>IF($F100=0,0,IF(Исходн.данные.!$AP100="Посл.посева",0,IF(Расчет2!AU100&lt;10,10,Расчет2!AU100)))</f>
        <v>0</v>
      </c>
      <c r="P100" s="10">
        <f>IF($F100=0,0,IF(Исходн.данные.!$AP100="Посл.посева",0,Расчет2!AV100))</f>
        <v>0</v>
      </c>
      <c r="Q100" s="10">
        <f>IF($F100=0,0,Расчет2!AW100)</f>
        <v>0</v>
      </c>
      <c r="R100" s="10">
        <f>IF($F100=0,0,Расчет2!AX100)</f>
        <v>0</v>
      </c>
      <c r="S100" s="9">
        <f>IF($F100=0,0,Расчет2!AY100)</f>
        <v>0</v>
      </c>
      <c r="T100" s="10">
        <f>IF($F100=0,0,Расчет2!AZ100)</f>
        <v>0</v>
      </c>
      <c r="U100" s="10">
        <f>IF($F100=0,0,Расчет2!BA100)</f>
        <v>0</v>
      </c>
      <c r="V100" s="10">
        <f>IF($F100=0,0,Расчет2!BB100)</f>
        <v>0</v>
      </c>
      <c r="W100" s="10">
        <f>Расчет!DL100</f>
        <v>0</v>
      </c>
      <c r="X100" s="10">
        <f>Расчет!DN100</f>
        <v>0</v>
      </c>
      <c r="Y100" s="9">
        <f>X100*Исходн.данные.!$AJ100/1000</f>
        <v>0</v>
      </c>
      <c r="Z100" s="10" t="str">
        <f>Расчет!DO100</f>
        <v>Хлор.калий</v>
      </c>
      <c r="AA100" s="10">
        <f>Расчет!DQ100</f>
        <v>0</v>
      </c>
      <c r="AB100" s="12">
        <f>AA100*Исходн.данные.!$AJ100/1000</f>
        <v>0</v>
      </c>
      <c r="AC100" s="9">
        <f>IF($F100=0,0,Расчет2!BC100)</f>
        <v>0</v>
      </c>
      <c r="AD100" s="10">
        <f>IF($F100=0,0,Расчет2!BD100)</f>
        <v>0</v>
      </c>
      <c r="AE100" s="9">
        <f>IF($F100=0,0,Расчет2!BE100)</f>
        <v>0</v>
      </c>
      <c r="AF100" s="9">
        <f>IF($F100=0,0,Расчет2!BF100)</f>
        <v>0</v>
      </c>
      <c r="AG100" s="9">
        <f>IF($F100=0,0,Расчет2!BG100)</f>
        <v>0</v>
      </c>
      <c r="AI100" s="11" t="e">
        <f>Расчет!FY100</f>
        <v>#N/A</v>
      </c>
      <c r="AJ100" s="11" t="e">
        <f>Расчет!FZ100</f>
        <v>#N/A</v>
      </c>
      <c r="AK100" s="11" t="e">
        <f>Расчет!GA100</f>
        <v>#N/A</v>
      </c>
      <c r="AL100" s="11" t="e">
        <f>Расчет!GB100</f>
        <v>#N/A</v>
      </c>
      <c r="AM100" s="11" t="e">
        <f>Расчет!GC100</f>
        <v>#N/A</v>
      </c>
      <c r="AN100" s="11" t="e">
        <f>Расчет!GD100</f>
        <v>#N/A</v>
      </c>
      <c r="AO100" s="11" t="e">
        <f>Расчет!GE100</f>
        <v>#N/A</v>
      </c>
      <c r="AP100" s="11" t="e">
        <f>Расчет!GF100</f>
        <v>#N/A</v>
      </c>
      <c r="AQ100" s="11" t="e">
        <f>Расчет!GG100</f>
        <v>#N/A</v>
      </c>
      <c r="AR100" s="11" t="e">
        <f>Расчет!GH100</f>
        <v>#N/A</v>
      </c>
      <c r="AS100" s="11" t="e">
        <f>Расчет!GI100</f>
        <v>#N/A</v>
      </c>
      <c r="AT100" s="11" t="e">
        <f>Расчет!GJ100</f>
        <v>#N/A</v>
      </c>
      <c r="AU100" s="198" t="e">
        <f t="shared" si="15"/>
        <v>#N/A</v>
      </c>
      <c r="AV100" s="198" t="e">
        <f t="shared" si="16"/>
        <v>#N/A</v>
      </c>
      <c r="AW100" s="198" t="e">
        <f t="shared" si="17"/>
        <v>#N/A</v>
      </c>
      <c r="AX100" s="11" t="e">
        <f t="shared" si="18"/>
        <v>#N/A</v>
      </c>
      <c r="AY100" s="11" t="e">
        <f t="shared" si="19"/>
        <v>#N/A</v>
      </c>
      <c r="AZ100" s="11" t="e">
        <f t="shared" si="20"/>
        <v>#N/A</v>
      </c>
    </row>
    <row r="101" spans="1:52" x14ac:dyDescent="0.2">
      <c r="A101" s="6">
        <f>Исходн.данные.!A101</f>
        <v>0</v>
      </c>
      <c r="B101" s="6">
        <f>Исходн.данные.!B101</f>
        <v>0</v>
      </c>
      <c r="C101" s="6">
        <f>Исходн.данные.!C101</f>
        <v>0</v>
      </c>
      <c r="D101" s="6">
        <f>Исходн.данные.!D101</f>
        <v>0</v>
      </c>
      <c r="E101" s="6">
        <f>Исходн.данные.!E101</f>
        <v>0</v>
      </c>
      <c r="F101" s="6">
        <f>Исходн.данные.!AH101</f>
        <v>0</v>
      </c>
      <c r="G101" s="6">
        <f>Исходн.данные.!AJ101</f>
        <v>0</v>
      </c>
      <c r="H101" s="6">
        <f>Исходн.данные.!AK101</f>
        <v>0</v>
      </c>
      <c r="I101" s="9">
        <f>IF($F101=0,0,Расчет2!AO101)</f>
        <v>0</v>
      </c>
      <c r="J101" s="9">
        <f>IF(F101=0,0,Расчет2!AP101)</f>
        <v>0</v>
      </c>
      <c r="K101" s="10">
        <f>IF($F101=0,0,Расчет2!AQ101)</f>
        <v>0</v>
      </c>
      <c r="L101" s="10">
        <f>IF($F101=0,0,Расчет2!AR101)</f>
        <v>0</v>
      </c>
      <c r="M101" s="10">
        <f>IF($F101=0,0,Расчет2!AS101)</f>
        <v>0</v>
      </c>
      <c r="N101" s="10">
        <f>IF($F101=0,0,IF(Исходн.данные.!$AP101="Посл.посева",0,Расчет2!AT101))</f>
        <v>0</v>
      </c>
      <c r="O101" s="10">
        <f>IF($F101=0,0,IF(Исходн.данные.!$AP101="Посл.посева",0,IF(Расчет2!AU101&lt;10,10,Расчет2!AU101)))</f>
        <v>0</v>
      </c>
      <c r="P101" s="10">
        <f>IF($F101=0,0,IF(Исходн.данные.!$AP101="Посл.посева",0,Расчет2!AV101))</f>
        <v>0</v>
      </c>
      <c r="Q101" s="10">
        <f>IF($F101=0,0,Расчет2!AW101)</f>
        <v>0</v>
      </c>
      <c r="R101" s="10">
        <f>IF($F101=0,0,Расчет2!AX101)</f>
        <v>0</v>
      </c>
      <c r="S101" s="9">
        <f>IF($F101=0,0,Расчет2!AY101)</f>
        <v>0</v>
      </c>
      <c r="T101" s="10">
        <f>IF($F101=0,0,Расчет2!AZ101)</f>
        <v>0</v>
      </c>
      <c r="U101" s="10">
        <f>IF($F101=0,0,Расчет2!BA101)</f>
        <v>0</v>
      </c>
      <c r="V101" s="10">
        <f>IF($F101=0,0,Расчет2!BB101)</f>
        <v>0</v>
      </c>
      <c r="W101" s="10">
        <f>Расчет!DL101</f>
        <v>0</v>
      </c>
      <c r="X101" s="10">
        <f>Расчет!DN101</f>
        <v>0</v>
      </c>
      <c r="Y101" s="9">
        <f>X101*Исходн.данные.!$AJ101/1000</f>
        <v>0</v>
      </c>
      <c r="Z101" s="10" t="str">
        <f>Расчет!DO101</f>
        <v>Хлор.калий</v>
      </c>
      <c r="AA101" s="10">
        <f>Расчет!DQ101</f>
        <v>0</v>
      </c>
      <c r="AB101" s="12">
        <f>AA101*Исходн.данные.!$AJ101/1000</f>
        <v>0</v>
      </c>
      <c r="AC101" s="9">
        <f>IF($F101=0,0,Расчет2!BC101)</f>
        <v>0</v>
      </c>
      <c r="AD101" s="10">
        <f>IF($F101=0,0,Расчет2!BD101)</f>
        <v>0</v>
      </c>
      <c r="AE101" s="9">
        <f>IF($F101=0,0,Расчет2!BE101)</f>
        <v>0</v>
      </c>
      <c r="AF101" s="9">
        <f>IF($F101=0,0,Расчет2!BF101)</f>
        <v>0</v>
      </c>
      <c r="AG101" s="9">
        <f>IF($F101=0,0,Расчет2!BG101)</f>
        <v>0</v>
      </c>
      <c r="AI101" s="11" t="e">
        <f>Расчет!FY101</f>
        <v>#N/A</v>
      </c>
      <c r="AJ101" s="11" t="e">
        <f>Расчет!FZ101</f>
        <v>#N/A</v>
      </c>
      <c r="AK101" s="11" t="e">
        <f>Расчет!GA101</f>
        <v>#N/A</v>
      </c>
      <c r="AL101" s="11" t="e">
        <f>Расчет!GB101</f>
        <v>#N/A</v>
      </c>
      <c r="AM101" s="11" t="e">
        <f>Расчет!GC101</f>
        <v>#N/A</v>
      </c>
      <c r="AN101" s="11" t="e">
        <f>Расчет!GD101</f>
        <v>#N/A</v>
      </c>
      <c r="AO101" s="11" t="e">
        <f>Расчет!GE101</f>
        <v>#N/A</v>
      </c>
      <c r="AP101" s="11" t="e">
        <f>Расчет!GF101</f>
        <v>#N/A</v>
      </c>
      <c r="AQ101" s="11" t="e">
        <f>Расчет!GG101</f>
        <v>#N/A</v>
      </c>
      <c r="AR101" s="11" t="e">
        <f>Расчет!GH101</f>
        <v>#N/A</v>
      </c>
      <c r="AS101" s="11" t="e">
        <f>Расчет!GI101</f>
        <v>#N/A</v>
      </c>
      <c r="AT101" s="11" t="e">
        <f>Расчет!GJ101</f>
        <v>#N/A</v>
      </c>
      <c r="AU101" s="198" t="e">
        <f t="shared" si="15"/>
        <v>#N/A</v>
      </c>
      <c r="AV101" s="198" t="e">
        <f t="shared" si="16"/>
        <v>#N/A</v>
      </c>
      <c r="AW101" s="198" t="e">
        <f t="shared" si="17"/>
        <v>#N/A</v>
      </c>
      <c r="AX101" s="11" t="e">
        <f t="shared" si="18"/>
        <v>#N/A</v>
      </c>
      <c r="AY101" s="11" t="e">
        <f t="shared" si="19"/>
        <v>#N/A</v>
      </c>
      <c r="AZ101" s="11" t="e">
        <f t="shared" si="20"/>
        <v>#N/A</v>
      </c>
    </row>
    <row r="102" spans="1:52" x14ac:dyDescent="0.2">
      <c r="A102" s="6">
        <f>Исходн.данные.!A102</f>
        <v>0</v>
      </c>
      <c r="B102" s="6">
        <f>Исходн.данные.!B102</f>
        <v>0</v>
      </c>
      <c r="C102" s="6">
        <f>Исходн.данные.!C102</f>
        <v>0</v>
      </c>
      <c r="D102" s="6">
        <f>Исходн.данные.!D102</f>
        <v>0</v>
      </c>
      <c r="E102" s="6">
        <f>Исходн.данные.!E102</f>
        <v>0</v>
      </c>
      <c r="F102" s="6">
        <f>Исходн.данные.!AH102</f>
        <v>0</v>
      </c>
      <c r="G102" s="6">
        <f>Исходн.данные.!AJ102</f>
        <v>0</v>
      </c>
      <c r="H102" s="6">
        <f>Исходн.данные.!AK102</f>
        <v>0</v>
      </c>
      <c r="I102" s="9">
        <f>IF($F102=0,0,Расчет2!AO102)</f>
        <v>0</v>
      </c>
      <c r="J102" s="9">
        <f>IF(F102=0,0,Расчет2!AP102)</f>
        <v>0</v>
      </c>
      <c r="K102" s="10">
        <f>IF($F102=0,0,Расчет2!AQ102)</f>
        <v>0</v>
      </c>
      <c r="L102" s="10">
        <f>IF($F102=0,0,Расчет2!AR102)</f>
        <v>0</v>
      </c>
      <c r="M102" s="10">
        <f>IF($F102=0,0,Расчет2!AS102)</f>
        <v>0</v>
      </c>
      <c r="N102" s="10">
        <f>IF($F102=0,0,IF(Исходн.данные.!$AP102="Посл.посева",0,Расчет2!AT102))</f>
        <v>0</v>
      </c>
      <c r="O102" s="10">
        <f>IF($F102=0,0,IF(Исходн.данные.!$AP102="Посл.посева",0,IF(Расчет2!AU102&lt;10,10,Расчет2!AU102)))</f>
        <v>0</v>
      </c>
      <c r="P102" s="10">
        <f>IF($F102=0,0,IF(Исходн.данные.!$AP102="Посл.посева",0,Расчет2!AV102))</f>
        <v>0</v>
      </c>
      <c r="Q102" s="10">
        <f>IF($F102=0,0,Расчет2!AW102)</f>
        <v>0</v>
      </c>
      <c r="R102" s="10">
        <f>IF($F102=0,0,Расчет2!AX102)</f>
        <v>0</v>
      </c>
      <c r="S102" s="9">
        <f>IF($F102=0,0,Расчет2!AY102)</f>
        <v>0</v>
      </c>
      <c r="T102" s="10">
        <f>IF($F102=0,0,Расчет2!AZ102)</f>
        <v>0</v>
      </c>
      <c r="U102" s="10">
        <f>IF($F102=0,0,Расчет2!BA102)</f>
        <v>0</v>
      </c>
      <c r="V102" s="10">
        <f>IF($F102=0,0,Расчет2!BB102)</f>
        <v>0</v>
      </c>
      <c r="W102" s="10">
        <f>Расчет!DL102</f>
        <v>0</v>
      </c>
      <c r="X102" s="10">
        <f>Расчет!DN102</f>
        <v>0</v>
      </c>
      <c r="Y102" s="9">
        <f>X102*Исходн.данные.!$AJ102/1000</f>
        <v>0</v>
      </c>
      <c r="Z102" s="10" t="str">
        <f>Расчет!DO102</f>
        <v>Хлор.калий</v>
      </c>
      <c r="AA102" s="10">
        <f>Расчет!DQ102</f>
        <v>0</v>
      </c>
      <c r="AB102" s="12">
        <f>AA102*Исходн.данные.!$AJ102/1000</f>
        <v>0</v>
      </c>
      <c r="AC102" s="9">
        <f>IF($F102=0,0,Расчет2!BC102)</f>
        <v>0</v>
      </c>
      <c r="AD102" s="10">
        <f>IF($F102=0,0,Расчет2!BD102)</f>
        <v>0</v>
      </c>
      <c r="AE102" s="9">
        <f>IF($F102=0,0,Расчет2!BE102)</f>
        <v>0</v>
      </c>
      <c r="AF102" s="9">
        <f>IF($F102=0,0,Расчет2!BF102)</f>
        <v>0</v>
      </c>
      <c r="AG102" s="9">
        <f>IF($F102=0,0,Расчет2!BG102)</f>
        <v>0</v>
      </c>
      <c r="AI102" s="11" t="e">
        <f>Расчет!FY102</f>
        <v>#N/A</v>
      </c>
      <c r="AJ102" s="11" t="e">
        <f>Расчет!FZ102</f>
        <v>#N/A</v>
      </c>
      <c r="AK102" s="11" t="e">
        <f>Расчет!GA102</f>
        <v>#N/A</v>
      </c>
      <c r="AL102" s="11" t="e">
        <f>Расчет!GB102</f>
        <v>#N/A</v>
      </c>
      <c r="AM102" s="11" t="e">
        <f>Расчет!GC102</f>
        <v>#N/A</v>
      </c>
      <c r="AN102" s="11" t="e">
        <f>Расчет!GD102</f>
        <v>#N/A</v>
      </c>
      <c r="AO102" s="11" t="e">
        <f>Расчет!GE102</f>
        <v>#N/A</v>
      </c>
      <c r="AP102" s="11" t="e">
        <f>Расчет!GF102</f>
        <v>#N/A</v>
      </c>
      <c r="AQ102" s="11" t="e">
        <f>Расчет!GG102</f>
        <v>#N/A</v>
      </c>
      <c r="AR102" s="11" t="e">
        <f>Расчет!GH102</f>
        <v>#N/A</v>
      </c>
      <c r="AS102" s="11" t="e">
        <f>Расчет!GI102</f>
        <v>#N/A</v>
      </c>
      <c r="AT102" s="11" t="e">
        <f>Расчет!GJ102</f>
        <v>#N/A</v>
      </c>
      <c r="AU102" s="198" t="e">
        <f t="shared" si="15"/>
        <v>#N/A</v>
      </c>
      <c r="AV102" s="198" t="e">
        <f t="shared" si="16"/>
        <v>#N/A</v>
      </c>
      <c r="AW102" s="198" t="e">
        <f t="shared" si="17"/>
        <v>#N/A</v>
      </c>
      <c r="AX102" s="11" t="e">
        <f t="shared" si="18"/>
        <v>#N/A</v>
      </c>
      <c r="AY102" s="11" t="e">
        <f t="shared" si="19"/>
        <v>#N/A</v>
      </c>
      <c r="AZ102" s="11" t="e">
        <f t="shared" si="20"/>
        <v>#N/A</v>
      </c>
    </row>
    <row r="103" spans="1:52" x14ac:dyDescent="0.2">
      <c r="A103" s="6">
        <f>Исходн.данные.!A103</f>
        <v>0</v>
      </c>
      <c r="B103" s="6">
        <f>Исходн.данные.!B103</f>
        <v>0</v>
      </c>
      <c r="C103" s="6">
        <f>Исходн.данные.!C103</f>
        <v>0</v>
      </c>
      <c r="D103" s="6">
        <f>Исходн.данные.!D103</f>
        <v>0</v>
      </c>
      <c r="E103" s="6">
        <f>Исходн.данные.!E103</f>
        <v>0</v>
      </c>
      <c r="F103" s="6">
        <f>Исходн.данные.!AH103</f>
        <v>0</v>
      </c>
      <c r="G103" s="6">
        <f>Исходн.данные.!AJ103</f>
        <v>0</v>
      </c>
      <c r="H103" s="6">
        <f>Исходн.данные.!AK103</f>
        <v>0</v>
      </c>
      <c r="I103" s="9">
        <f>IF($F103=0,0,Расчет2!AO103)</f>
        <v>0</v>
      </c>
      <c r="J103" s="9">
        <f>IF(F103=0,0,Расчет2!AP103)</f>
        <v>0</v>
      </c>
      <c r="K103" s="10">
        <f>IF($F103=0,0,Расчет2!AQ103)</f>
        <v>0</v>
      </c>
      <c r="L103" s="10">
        <f>IF($F103=0,0,Расчет2!AR103)</f>
        <v>0</v>
      </c>
      <c r="M103" s="10">
        <f>IF($F103=0,0,Расчет2!AS103)</f>
        <v>0</v>
      </c>
      <c r="N103" s="10">
        <f>IF($F103=0,0,IF(Исходн.данные.!$AP103="Посл.посева",0,Расчет2!AT103))</f>
        <v>0</v>
      </c>
      <c r="O103" s="10">
        <f>IF($F103=0,0,IF(Исходн.данные.!$AP103="Посл.посева",0,IF(Расчет2!AU103&lt;10,10,Расчет2!AU103)))</f>
        <v>0</v>
      </c>
      <c r="P103" s="10">
        <f>IF($F103=0,0,IF(Исходн.данные.!$AP103="Посл.посева",0,Расчет2!AV103))</f>
        <v>0</v>
      </c>
      <c r="Q103" s="10">
        <f>IF($F103=0,0,Расчет2!AW103)</f>
        <v>0</v>
      </c>
      <c r="R103" s="10">
        <f>IF($F103=0,0,Расчет2!AX103)</f>
        <v>0</v>
      </c>
      <c r="S103" s="9">
        <f>IF($F103=0,0,Расчет2!AY103)</f>
        <v>0</v>
      </c>
      <c r="T103" s="10">
        <f>IF($F103=0,0,Расчет2!AZ103)</f>
        <v>0</v>
      </c>
      <c r="U103" s="10">
        <f>IF($F103=0,0,Расчет2!BA103)</f>
        <v>0</v>
      </c>
      <c r="V103" s="10">
        <f>IF($F103=0,0,Расчет2!BB103)</f>
        <v>0</v>
      </c>
      <c r="W103" s="10">
        <f>Расчет!DL103</f>
        <v>0</v>
      </c>
      <c r="X103" s="10">
        <f>Расчет!DN103</f>
        <v>0</v>
      </c>
      <c r="Y103" s="9">
        <f>X103*Исходн.данные.!$AJ103/1000</f>
        <v>0</v>
      </c>
      <c r="Z103" s="10" t="str">
        <f>Расчет!DO103</f>
        <v>Хлор.калий</v>
      </c>
      <c r="AA103" s="10">
        <f>Расчет!DQ103</f>
        <v>0</v>
      </c>
      <c r="AB103" s="12">
        <f>AA103*Исходн.данные.!$AJ103/1000</f>
        <v>0</v>
      </c>
      <c r="AC103" s="9">
        <f>IF($F103=0,0,Расчет2!BC103)</f>
        <v>0</v>
      </c>
      <c r="AD103" s="10">
        <f>IF($F103=0,0,Расчет2!BD103)</f>
        <v>0</v>
      </c>
      <c r="AE103" s="9">
        <f>IF($F103=0,0,Расчет2!BE103)</f>
        <v>0</v>
      </c>
      <c r="AF103" s="9">
        <f>IF($F103=0,0,Расчет2!BF103)</f>
        <v>0</v>
      </c>
      <c r="AG103" s="9">
        <f>IF($F103=0,0,Расчет2!BG103)</f>
        <v>0</v>
      </c>
      <c r="AI103" s="11" t="e">
        <f>Расчет!FY103</f>
        <v>#N/A</v>
      </c>
      <c r="AJ103" s="11" t="e">
        <f>Расчет!FZ103</f>
        <v>#N/A</v>
      </c>
      <c r="AK103" s="11" t="e">
        <f>Расчет!GA103</f>
        <v>#N/A</v>
      </c>
      <c r="AL103" s="11" t="e">
        <f>Расчет!GB103</f>
        <v>#N/A</v>
      </c>
      <c r="AM103" s="11" t="e">
        <f>Расчет!GC103</f>
        <v>#N/A</v>
      </c>
      <c r="AN103" s="11" t="e">
        <f>Расчет!GD103</f>
        <v>#N/A</v>
      </c>
      <c r="AO103" s="11" t="e">
        <f>Расчет!GE103</f>
        <v>#N/A</v>
      </c>
      <c r="AP103" s="11" t="e">
        <f>Расчет!GF103</f>
        <v>#N/A</v>
      </c>
      <c r="AQ103" s="11" t="e">
        <f>Расчет!GG103</f>
        <v>#N/A</v>
      </c>
      <c r="AR103" s="11" t="e">
        <f>Расчет!GH103</f>
        <v>#N/A</v>
      </c>
      <c r="AS103" s="11" t="e">
        <f>Расчет!GI103</f>
        <v>#N/A</v>
      </c>
      <c r="AT103" s="11" t="e">
        <f>Расчет!GJ103</f>
        <v>#N/A</v>
      </c>
      <c r="AU103" s="198" t="e">
        <f t="shared" si="15"/>
        <v>#N/A</v>
      </c>
      <c r="AV103" s="198" t="e">
        <f t="shared" si="16"/>
        <v>#N/A</v>
      </c>
      <c r="AW103" s="198" t="e">
        <f t="shared" si="17"/>
        <v>#N/A</v>
      </c>
      <c r="AX103" s="11" t="e">
        <f t="shared" si="18"/>
        <v>#N/A</v>
      </c>
      <c r="AY103" s="11" t="e">
        <f t="shared" si="19"/>
        <v>#N/A</v>
      </c>
      <c r="AZ103" s="11" t="e">
        <f t="shared" si="20"/>
        <v>#N/A</v>
      </c>
    </row>
    <row r="104" spans="1:52" x14ac:dyDescent="0.2">
      <c r="A104" s="6">
        <f>Исходн.данные.!A104</f>
        <v>0</v>
      </c>
      <c r="B104" s="6">
        <f>Исходн.данные.!B104</f>
        <v>0</v>
      </c>
      <c r="C104" s="6">
        <f>Исходн.данные.!C104</f>
        <v>0</v>
      </c>
      <c r="D104" s="6">
        <f>Исходн.данные.!D104</f>
        <v>0</v>
      </c>
      <c r="E104" s="6">
        <f>Исходн.данные.!E104</f>
        <v>0</v>
      </c>
      <c r="F104" s="6">
        <f>Исходн.данные.!AH104</f>
        <v>0</v>
      </c>
      <c r="G104" s="6">
        <f>Исходн.данные.!AJ104</f>
        <v>0</v>
      </c>
      <c r="H104" s="6">
        <f>Исходн.данные.!AK104</f>
        <v>0</v>
      </c>
      <c r="I104" s="9">
        <f>IF($F104=0,0,Расчет2!AO104)</f>
        <v>0</v>
      </c>
      <c r="J104" s="9">
        <f>IF(F104=0,0,Расчет2!AP104)</f>
        <v>0</v>
      </c>
      <c r="K104" s="10">
        <f>IF($F104=0,0,Расчет2!AQ104)</f>
        <v>0</v>
      </c>
      <c r="L104" s="10">
        <f>IF($F104=0,0,Расчет2!AR104)</f>
        <v>0</v>
      </c>
      <c r="M104" s="10">
        <f>IF($F104=0,0,Расчет2!AS104)</f>
        <v>0</v>
      </c>
      <c r="N104" s="10">
        <f>IF($F104=0,0,IF(Исходн.данные.!$AP104="Посл.посева",0,Расчет2!AT104))</f>
        <v>0</v>
      </c>
      <c r="O104" s="10">
        <f>IF($F104=0,0,IF(Исходн.данные.!$AP104="Посл.посева",0,IF(Расчет2!AU104&lt;10,10,Расчет2!AU104)))</f>
        <v>0</v>
      </c>
      <c r="P104" s="10">
        <f>IF($F104=0,0,IF(Исходн.данные.!$AP104="Посл.посева",0,Расчет2!AV104))</f>
        <v>0</v>
      </c>
      <c r="Q104" s="10">
        <f>IF($F104=0,0,Расчет2!AW104)</f>
        <v>0</v>
      </c>
      <c r="R104" s="10">
        <f>IF($F104=0,0,Расчет2!AX104)</f>
        <v>0</v>
      </c>
      <c r="S104" s="9">
        <f>IF($F104=0,0,Расчет2!AY104)</f>
        <v>0</v>
      </c>
      <c r="T104" s="10">
        <f>IF($F104=0,0,Расчет2!AZ104)</f>
        <v>0</v>
      </c>
      <c r="U104" s="10">
        <f>IF($F104=0,0,Расчет2!BA104)</f>
        <v>0</v>
      </c>
      <c r="V104" s="10">
        <f>IF($F104=0,0,Расчет2!BB104)</f>
        <v>0</v>
      </c>
      <c r="W104" s="10">
        <f>Расчет!DL104</f>
        <v>0</v>
      </c>
      <c r="X104" s="10">
        <f>Расчет!DN104</f>
        <v>0</v>
      </c>
      <c r="Y104" s="9">
        <f>X104*Исходн.данные.!$AJ104/1000</f>
        <v>0</v>
      </c>
      <c r="Z104" s="10" t="str">
        <f>Расчет!DO104</f>
        <v>Хлор.калий</v>
      </c>
      <c r="AA104" s="10">
        <f>Расчет!DQ104</f>
        <v>0</v>
      </c>
      <c r="AB104" s="12">
        <f>AA104*Исходн.данные.!$AJ104/1000</f>
        <v>0</v>
      </c>
      <c r="AC104" s="9">
        <f>IF($F104=0,0,Расчет2!BC104)</f>
        <v>0</v>
      </c>
      <c r="AD104" s="10">
        <f>IF($F104=0,0,Расчет2!BD104)</f>
        <v>0</v>
      </c>
      <c r="AE104" s="9">
        <f>IF($F104=0,0,Расчет2!BE104)</f>
        <v>0</v>
      </c>
      <c r="AF104" s="9">
        <f>IF($F104=0,0,Расчет2!BF104)</f>
        <v>0</v>
      </c>
      <c r="AG104" s="9">
        <f>IF($F104=0,0,Расчет2!BG104)</f>
        <v>0</v>
      </c>
      <c r="AI104" s="11" t="e">
        <f>Расчет!FY104</f>
        <v>#N/A</v>
      </c>
      <c r="AJ104" s="11" t="e">
        <f>Расчет!FZ104</f>
        <v>#N/A</v>
      </c>
      <c r="AK104" s="11" t="e">
        <f>Расчет!GA104</f>
        <v>#N/A</v>
      </c>
      <c r="AL104" s="11" t="e">
        <f>Расчет!GB104</f>
        <v>#N/A</v>
      </c>
      <c r="AM104" s="11" t="e">
        <f>Расчет!GC104</f>
        <v>#N/A</v>
      </c>
      <c r="AN104" s="11" t="e">
        <f>Расчет!GD104</f>
        <v>#N/A</v>
      </c>
      <c r="AO104" s="11" t="e">
        <f>Расчет!GE104</f>
        <v>#N/A</v>
      </c>
      <c r="AP104" s="11" t="e">
        <f>Расчет!GF104</f>
        <v>#N/A</v>
      </c>
      <c r="AQ104" s="11" t="e">
        <f>Расчет!GG104</f>
        <v>#N/A</v>
      </c>
      <c r="AR104" s="11" t="e">
        <f>Расчет!GH104</f>
        <v>#N/A</v>
      </c>
      <c r="AS104" s="11" t="e">
        <f>Расчет!GI104</f>
        <v>#N/A</v>
      </c>
      <c r="AT104" s="11" t="e">
        <f>Расчет!GJ104</f>
        <v>#N/A</v>
      </c>
      <c r="AU104" s="198" t="e">
        <f t="shared" si="15"/>
        <v>#N/A</v>
      </c>
      <c r="AV104" s="198" t="e">
        <f t="shared" si="16"/>
        <v>#N/A</v>
      </c>
      <c r="AW104" s="198" t="e">
        <f t="shared" si="17"/>
        <v>#N/A</v>
      </c>
      <c r="AX104" s="11" t="e">
        <f t="shared" si="18"/>
        <v>#N/A</v>
      </c>
      <c r="AY104" s="11" t="e">
        <f t="shared" si="19"/>
        <v>#N/A</v>
      </c>
      <c r="AZ104" s="11" t="e">
        <f t="shared" si="20"/>
        <v>#N/A</v>
      </c>
    </row>
    <row r="105" spans="1:52" x14ac:dyDescent="0.2">
      <c r="A105" s="6">
        <f>Исходн.данные.!A105</f>
        <v>0</v>
      </c>
      <c r="B105" s="6">
        <f>Исходн.данные.!B105</f>
        <v>0</v>
      </c>
      <c r="C105" s="6">
        <f>Исходн.данные.!C105</f>
        <v>0</v>
      </c>
      <c r="D105" s="6">
        <f>Исходн.данные.!D105</f>
        <v>0</v>
      </c>
      <c r="E105" s="6">
        <f>Исходн.данные.!E105</f>
        <v>0</v>
      </c>
      <c r="F105" s="6">
        <f>Исходн.данные.!AH105</f>
        <v>0</v>
      </c>
      <c r="G105" s="6">
        <f>Исходн.данные.!AJ105</f>
        <v>0</v>
      </c>
      <c r="H105" s="6">
        <f>Исходн.данные.!AK105</f>
        <v>0</v>
      </c>
      <c r="I105" s="9">
        <f>IF($F105=0,0,Расчет2!AO105)</f>
        <v>0</v>
      </c>
      <c r="J105" s="9">
        <f>IF(F105=0,0,Расчет2!AP105)</f>
        <v>0</v>
      </c>
      <c r="K105" s="10">
        <f>IF($F105=0,0,Расчет2!AQ105)</f>
        <v>0</v>
      </c>
      <c r="L105" s="10">
        <f>IF($F105=0,0,Расчет2!AR105)</f>
        <v>0</v>
      </c>
      <c r="M105" s="10">
        <f>IF($F105=0,0,Расчет2!AS105)</f>
        <v>0</v>
      </c>
      <c r="N105" s="10">
        <f>IF($F105=0,0,IF(Исходн.данные.!$AP105="Посл.посева",0,Расчет2!AT105))</f>
        <v>0</v>
      </c>
      <c r="O105" s="10">
        <f>IF($F105=0,0,IF(Исходн.данные.!$AP105="Посл.посева",0,IF(Расчет2!AU105&lt;10,10,Расчет2!AU105)))</f>
        <v>0</v>
      </c>
      <c r="P105" s="10">
        <f>IF($F105=0,0,IF(Исходн.данные.!$AP105="Посл.посева",0,Расчет2!AV105))</f>
        <v>0</v>
      </c>
      <c r="Q105" s="10">
        <f>IF($F105=0,0,Расчет2!AW105)</f>
        <v>0</v>
      </c>
      <c r="R105" s="10">
        <f>IF($F105=0,0,Расчет2!AX105)</f>
        <v>0</v>
      </c>
      <c r="S105" s="9">
        <f>IF($F105=0,0,Расчет2!AY105)</f>
        <v>0</v>
      </c>
      <c r="T105" s="10">
        <f>IF($F105=0,0,Расчет2!AZ105)</f>
        <v>0</v>
      </c>
      <c r="U105" s="10">
        <f>IF($F105=0,0,Расчет2!BA105)</f>
        <v>0</v>
      </c>
      <c r="V105" s="10">
        <f>IF($F105=0,0,Расчет2!BB105)</f>
        <v>0</v>
      </c>
      <c r="W105" s="10">
        <f>Расчет!DL105</f>
        <v>0</v>
      </c>
      <c r="X105" s="10">
        <f>Расчет!DN105</f>
        <v>0</v>
      </c>
      <c r="Y105" s="9">
        <f>X105*Исходн.данные.!$AJ105/1000</f>
        <v>0</v>
      </c>
      <c r="Z105" s="10" t="str">
        <f>Расчет!DO105</f>
        <v>Хлор.калий</v>
      </c>
      <c r="AA105" s="10">
        <f>Расчет!DQ105</f>
        <v>0</v>
      </c>
      <c r="AB105" s="12">
        <f>AA105*Исходн.данные.!$AJ105/1000</f>
        <v>0</v>
      </c>
      <c r="AC105" s="9">
        <f>IF($F105=0,0,Расчет2!BC105)</f>
        <v>0</v>
      </c>
      <c r="AD105" s="10">
        <f>IF($F105=0,0,Расчет2!BD105)</f>
        <v>0</v>
      </c>
      <c r="AE105" s="9">
        <f>IF($F105=0,0,Расчет2!BE105)</f>
        <v>0</v>
      </c>
      <c r="AF105" s="9">
        <f>IF($F105=0,0,Расчет2!BF105)</f>
        <v>0</v>
      </c>
      <c r="AG105" s="9">
        <f>IF($F105=0,0,Расчет2!BG105)</f>
        <v>0</v>
      </c>
      <c r="AI105" s="11" t="e">
        <f>Расчет!FY105</f>
        <v>#N/A</v>
      </c>
      <c r="AJ105" s="11" t="e">
        <f>Расчет!FZ105</f>
        <v>#N/A</v>
      </c>
      <c r="AK105" s="11" t="e">
        <f>Расчет!GA105</f>
        <v>#N/A</v>
      </c>
      <c r="AL105" s="11" t="e">
        <f>Расчет!GB105</f>
        <v>#N/A</v>
      </c>
      <c r="AM105" s="11" t="e">
        <f>Расчет!GC105</f>
        <v>#N/A</v>
      </c>
      <c r="AN105" s="11" t="e">
        <f>Расчет!GD105</f>
        <v>#N/A</v>
      </c>
      <c r="AO105" s="11" t="e">
        <f>Расчет!GE105</f>
        <v>#N/A</v>
      </c>
      <c r="AP105" s="11" t="e">
        <f>Расчет!GF105</f>
        <v>#N/A</v>
      </c>
      <c r="AQ105" s="11" t="e">
        <f>Расчет!GG105</f>
        <v>#N/A</v>
      </c>
      <c r="AR105" s="11" t="e">
        <f>Расчет!GH105</f>
        <v>#N/A</v>
      </c>
      <c r="AS105" s="11" t="e">
        <f>Расчет!GI105</f>
        <v>#N/A</v>
      </c>
      <c r="AT105" s="11" t="e">
        <f>Расчет!GJ105</f>
        <v>#N/A</v>
      </c>
      <c r="AU105" s="198" t="e">
        <f t="shared" si="15"/>
        <v>#N/A</v>
      </c>
      <c r="AV105" s="198" t="e">
        <f t="shared" si="16"/>
        <v>#N/A</v>
      </c>
      <c r="AW105" s="198" t="e">
        <f t="shared" si="17"/>
        <v>#N/A</v>
      </c>
      <c r="AX105" s="11" t="e">
        <f t="shared" si="18"/>
        <v>#N/A</v>
      </c>
      <c r="AY105" s="11" t="e">
        <f t="shared" si="19"/>
        <v>#N/A</v>
      </c>
      <c r="AZ105" s="11" t="e">
        <f t="shared" si="20"/>
        <v>#N/A</v>
      </c>
    </row>
    <row r="106" spans="1:52" x14ac:dyDescent="0.2">
      <c r="A106" s="6">
        <f>Исходн.данные.!A106</f>
        <v>0</v>
      </c>
      <c r="B106" s="6">
        <f>Исходн.данные.!B106</f>
        <v>0</v>
      </c>
      <c r="C106" s="6">
        <f>Исходн.данные.!C106</f>
        <v>0</v>
      </c>
      <c r="D106" s="6">
        <f>Исходн.данные.!D106</f>
        <v>0</v>
      </c>
      <c r="E106" s="6">
        <f>Исходн.данные.!E106</f>
        <v>0</v>
      </c>
      <c r="F106" s="6">
        <f>Исходн.данные.!AH106</f>
        <v>0</v>
      </c>
      <c r="G106" s="6">
        <f>Исходн.данные.!AJ106</f>
        <v>0</v>
      </c>
      <c r="H106" s="6">
        <f>Исходн.данные.!AK106</f>
        <v>0</v>
      </c>
      <c r="I106" s="9">
        <f>IF($F106=0,0,Расчет2!AO106)</f>
        <v>0</v>
      </c>
      <c r="J106" s="9">
        <f>IF(F106=0,0,Расчет2!AP106)</f>
        <v>0</v>
      </c>
      <c r="K106" s="10">
        <f>IF($F106=0,0,Расчет2!AQ106)</f>
        <v>0</v>
      </c>
      <c r="L106" s="10">
        <f>IF($F106=0,0,Расчет2!AR106)</f>
        <v>0</v>
      </c>
      <c r="M106" s="10">
        <f>IF($F106=0,0,Расчет2!AS106)</f>
        <v>0</v>
      </c>
      <c r="N106" s="10">
        <f>IF($F106=0,0,IF(Исходн.данные.!$AP106="Посл.посева",0,Расчет2!AT106))</f>
        <v>0</v>
      </c>
      <c r="O106" s="10">
        <f>IF($F106=0,0,IF(Исходн.данные.!$AP106="Посл.посева",0,IF(Расчет2!AU106&lt;10,10,Расчет2!AU106)))</f>
        <v>0</v>
      </c>
      <c r="P106" s="10">
        <f>IF($F106=0,0,IF(Исходн.данные.!$AP106="Посл.посева",0,Расчет2!AV106))</f>
        <v>0</v>
      </c>
      <c r="Q106" s="10">
        <f>IF($F106=0,0,Расчет2!AW106)</f>
        <v>0</v>
      </c>
      <c r="R106" s="10">
        <f>IF($F106=0,0,Расчет2!AX106)</f>
        <v>0</v>
      </c>
      <c r="S106" s="9">
        <f>IF($F106=0,0,Расчет2!AY106)</f>
        <v>0</v>
      </c>
      <c r="T106" s="10">
        <f>IF($F106=0,0,Расчет2!AZ106)</f>
        <v>0</v>
      </c>
      <c r="U106" s="10">
        <f>IF($F106=0,0,Расчет2!BA106)</f>
        <v>0</v>
      </c>
      <c r="V106" s="10">
        <f>IF($F106=0,0,Расчет2!BB106)</f>
        <v>0</v>
      </c>
      <c r="W106" s="10">
        <f>Расчет!DL106</f>
        <v>0</v>
      </c>
      <c r="X106" s="10">
        <f>Расчет!DN106</f>
        <v>0</v>
      </c>
      <c r="Y106" s="9">
        <f>X106*Исходн.данные.!$AJ106/1000</f>
        <v>0</v>
      </c>
      <c r="Z106" s="10" t="str">
        <f>Расчет!DO106</f>
        <v>Хлор.калий</v>
      </c>
      <c r="AA106" s="10">
        <f>Расчет!DQ106</f>
        <v>0</v>
      </c>
      <c r="AB106" s="12">
        <f>AA106*Исходн.данные.!$AJ106/1000</f>
        <v>0</v>
      </c>
      <c r="AC106" s="9">
        <f>IF($F106=0,0,Расчет2!BC106)</f>
        <v>0</v>
      </c>
      <c r="AD106" s="10">
        <f>IF($F106=0,0,Расчет2!BD106)</f>
        <v>0</v>
      </c>
      <c r="AE106" s="9">
        <f>IF($F106=0,0,Расчет2!BE106)</f>
        <v>0</v>
      </c>
      <c r="AF106" s="9">
        <f>IF($F106=0,0,Расчет2!BF106)</f>
        <v>0</v>
      </c>
      <c r="AG106" s="9">
        <f>IF($F106=0,0,Расчет2!BG106)</f>
        <v>0</v>
      </c>
      <c r="AI106" s="11" t="e">
        <f>Расчет!FY106</f>
        <v>#N/A</v>
      </c>
      <c r="AJ106" s="11" t="e">
        <f>Расчет!FZ106</f>
        <v>#N/A</v>
      </c>
      <c r="AK106" s="11" t="e">
        <f>Расчет!GA106</f>
        <v>#N/A</v>
      </c>
      <c r="AL106" s="11" t="e">
        <f>Расчет!GB106</f>
        <v>#N/A</v>
      </c>
      <c r="AM106" s="11" t="e">
        <f>Расчет!GC106</f>
        <v>#N/A</v>
      </c>
      <c r="AN106" s="11" t="e">
        <f>Расчет!GD106</f>
        <v>#N/A</v>
      </c>
      <c r="AO106" s="11" t="e">
        <f>Расчет!GE106</f>
        <v>#N/A</v>
      </c>
      <c r="AP106" s="11" t="e">
        <f>Расчет!GF106</f>
        <v>#N/A</v>
      </c>
      <c r="AQ106" s="11" t="e">
        <f>Расчет!GG106</f>
        <v>#N/A</v>
      </c>
      <c r="AR106" s="11" t="e">
        <f>Расчет!GH106</f>
        <v>#N/A</v>
      </c>
      <c r="AS106" s="11" t="e">
        <f>Расчет!GI106</f>
        <v>#N/A</v>
      </c>
      <c r="AT106" s="11" t="e">
        <f>Расчет!GJ106</f>
        <v>#N/A</v>
      </c>
      <c r="AU106" s="198" t="e">
        <f t="shared" si="15"/>
        <v>#N/A</v>
      </c>
      <c r="AV106" s="198" t="e">
        <f t="shared" si="16"/>
        <v>#N/A</v>
      </c>
      <c r="AW106" s="198" t="e">
        <f t="shared" si="17"/>
        <v>#N/A</v>
      </c>
      <c r="AX106" s="11" t="e">
        <f t="shared" si="18"/>
        <v>#N/A</v>
      </c>
      <c r="AY106" s="11" t="e">
        <f t="shared" si="19"/>
        <v>#N/A</v>
      </c>
      <c r="AZ106" s="11" t="e">
        <f t="shared" si="20"/>
        <v>#N/A</v>
      </c>
    </row>
    <row r="107" spans="1:52" x14ac:dyDescent="0.2">
      <c r="A107" s="6">
        <f>Исходн.данные.!A107</f>
        <v>0</v>
      </c>
      <c r="B107" s="6">
        <f>Исходн.данные.!B107</f>
        <v>0</v>
      </c>
      <c r="C107" s="6">
        <f>Исходн.данные.!C107</f>
        <v>0</v>
      </c>
      <c r="D107" s="6">
        <f>Исходн.данные.!D107</f>
        <v>0</v>
      </c>
      <c r="E107" s="6">
        <f>Исходн.данные.!E107</f>
        <v>0</v>
      </c>
      <c r="F107" s="6">
        <f>Исходн.данные.!AH107</f>
        <v>0</v>
      </c>
      <c r="G107" s="6">
        <f>Исходн.данные.!AJ107</f>
        <v>0</v>
      </c>
      <c r="H107" s="6">
        <f>Исходн.данные.!AK107</f>
        <v>0</v>
      </c>
      <c r="I107" s="9">
        <f>IF($F107=0,0,Расчет2!AO107)</f>
        <v>0</v>
      </c>
      <c r="J107" s="9">
        <f>IF(F107=0,0,Расчет2!AP107)</f>
        <v>0</v>
      </c>
      <c r="K107" s="10">
        <f>IF($F107=0,0,Расчет2!AQ107)</f>
        <v>0</v>
      </c>
      <c r="L107" s="10">
        <f>IF($F107=0,0,Расчет2!AR107)</f>
        <v>0</v>
      </c>
      <c r="M107" s="10">
        <f>IF($F107=0,0,Расчет2!AS107)</f>
        <v>0</v>
      </c>
      <c r="N107" s="10">
        <f>IF($F107=0,0,IF(Исходн.данные.!$AP107="Посл.посева",0,Расчет2!AT107))</f>
        <v>0</v>
      </c>
      <c r="O107" s="10">
        <f>IF($F107=0,0,IF(Исходн.данные.!$AP107="Посл.посева",0,IF(Расчет2!AU107&lt;10,10,Расчет2!AU107)))</f>
        <v>0</v>
      </c>
      <c r="P107" s="10">
        <f>IF($F107=0,0,IF(Исходн.данные.!$AP107="Посл.посева",0,Расчет2!AV107))</f>
        <v>0</v>
      </c>
      <c r="Q107" s="10">
        <f>IF($F107=0,0,Расчет2!AW107)</f>
        <v>0</v>
      </c>
      <c r="R107" s="10">
        <f>IF($F107=0,0,Расчет2!AX107)</f>
        <v>0</v>
      </c>
      <c r="S107" s="9">
        <f>IF($F107=0,0,Расчет2!AY107)</f>
        <v>0</v>
      </c>
      <c r="T107" s="10">
        <f>IF($F107=0,0,Расчет2!AZ107)</f>
        <v>0</v>
      </c>
      <c r="U107" s="10">
        <f>IF($F107=0,0,Расчет2!BA107)</f>
        <v>0</v>
      </c>
      <c r="V107" s="10">
        <f>IF($F107=0,0,Расчет2!BB107)</f>
        <v>0</v>
      </c>
      <c r="W107" s="10">
        <f>Расчет!DL107</f>
        <v>0</v>
      </c>
      <c r="X107" s="10">
        <f>Расчет!DN107</f>
        <v>0</v>
      </c>
      <c r="Y107" s="9">
        <f>X107*Исходн.данные.!$AJ107/1000</f>
        <v>0</v>
      </c>
      <c r="Z107" s="10" t="str">
        <f>Расчет!DO107</f>
        <v>Хлор.калий</v>
      </c>
      <c r="AA107" s="10">
        <f>Расчет!DQ107</f>
        <v>0</v>
      </c>
      <c r="AB107" s="12">
        <f>AA107*Исходн.данные.!$AJ107/1000</f>
        <v>0</v>
      </c>
      <c r="AC107" s="9">
        <f>IF($F107=0,0,Расчет2!BC107)</f>
        <v>0</v>
      </c>
      <c r="AD107" s="10">
        <f>IF($F107=0,0,Расчет2!BD107)</f>
        <v>0</v>
      </c>
      <c r="AE107" s="9">
        <f>IF($F107=0,0,Расчет2!BE107)</f>
        <v>0</v>
      </c>
      <c r="AF107" s="9">
        <f>IF($F107=0,0,Расчет2!BF107)</f>
        <v>0</v>
      </c>
      <c r="AG107" s="9">
        <f>IF($F107=0,0,Расчет2!BG107)</f>
        <v>0</v>
      </c>
      <c r="AI107" s="11" t="e">
        <f>Расчет!FY107</f>
        <v>#N/A</v>
      </c>
      <c r="AJ107" s="11" t="e">
        <f>Расчет!FZ107</f>
        <v>#N/A</v>
      </c>
      <c r="AK107" s="11" t="e">
        <f>Расчет!GA107</f>
        <v>#N/A</v>
      </c>
      <c r="AL107" s="11" t="e">
        <f>Расчет!GB107</f>
        <v>#N/A</v>
      </c>
      <c r="AM107" s="11" t="e">
        <f>Расчет!GC107</f>
        <v>#N/A</v>
      </c>
      <c r="AN107" s="11" t="e">
        <f>Расчет!GD107</f>
        <v>#N/A</v>
      </c>
      <c r="AO107" s="11" t="e">
        <f>Расчет!GE107</f>
        <v>#N/A</v>
      </c>
      <c r="AP107" s="11" t="e">
        <f>Расчет!GF107</f>
        <v>#N/A</v>
      </c>
      <c r="AQ107" s="11" t="e">
        <f>Расчет!GG107</f>
        <v>#N/A</v>
      </c>
      <c r="AR107" s="11" t="e">
        <f>Расчет!GH107</f>
        <v>#N/A</v>
      </c>
      <c r="AS107" s="11" t="e">
        <f>Расчет!GI107</f>
        <v>#N/A</v>
      </c>
      <c r="AT107" s="11" t="e">
        <f>Расчет!GJ107</f>
        <v>#N/A</v>
      </c>
      <c r="AU107" s="198" t="e">
        <f t="shared" si="15"/>
        <v>#N/A</v>
      </c>
      <c r="AV107" s="198" t="e">
        <f t="shared" si="16"/>
        <v>#N/A</v>
      </c>
      <c r="AW107" s="198" t="e">
        <f t="shared" si="17"/>
        <v>#N/A</v>
      </c>
      <c r="AX107" s="11" t="e">
        <f t="shared" si="18"/>
        <v>#N/A</v>
      </c>
      <c r="AY107" s="11" t="e">
        <f t="shared" si="19"/>
        <v>#N/A</v>
      </c>
      <c r="AZ107" s="11" t="e">
        <f t="shared" si="20"/>
        <v>#N/A</v>
      </c>
    </row>
    <row r="108" spans="1:52" x14ac:dyDescent="0.2">
      <c r="A108" s="6">
        <f>Исходн.данные.!A108</f>
        <v>0</v>
      </c>
      <c r="B108" s="6">
        <f>Исходн.данные.!B108</f>
        <v>0</v>
      </c>
      <c r="C108" s="6">
        <f>Исходн.данные.!C108</f>
        <v>0</v>
      </c>
      <c r="D108" s="6">
        <f>Исходн.данные.!D108</f>
        <v>0</v>
      </c>
      <c r="E108" s="6">
        <f>Исходн.данные.!E108</f>
        <v>0</v>
      </c>
      <c r="F108" s="6">
        <f>Исходн.данные.!AH108</f>
        <v>0</v>
      </c>
      <c r="G108" s="6">
        <f>Исходн.данные.!AJ108</f>
        <v>0</v>
      </c>
      <c r="H108" s="6">
        <f>Исходн.данные.!AK108</f>
        <v>0</v>
      </c>
      <c r="I108" s="9">
        <f>IF($F108=0,0,Расчет2!AO108)</f>
        <v>0</v>
      </c>
      <c r="J108" s="9">
        <f>IF(F108=0,0,Расчет2!AP108)</f>
        <v>0</v>
      </c>
      <c r="K108" s="10">
        <f>IF($F108=0,0,Расчет2!AQ108)</f>
        <v>0</v>
      </c>
      <c r="L108" s="10">
        <f>IF($F108=0,0,Расчет2!AR108)</f>
        <v>0</v>
      </c>
      <c r="M108" s="10">
        <f>IF($F108=0,0,Расчет2!AS108)</f>
        <v>0</v>
      </c>
      <c r="N108" s="10">
        <f>IF($F108=0,0,IF(Исходн.данные.!$AP108="Посл.посева",0,Расчет2!AT108))</f>
        <v>0</v>
      </c>
      <c r="O108" s="10">
        <f>IF($F108=0,0,IF(Исходн.данные.!$AP108="Посл.посева",0,IF(Расчет2!AU108&lt;10,10,Расчет2!AU108)))</f>
        <v>0</v>
      </c>
      <c r="P108" s="10">
        <f>IF($F108=0,0,IF(Исходн.данные.!$AP108="Посл.посева",0,Расчет2!AV108))</f>
        <v>0</v>
      </c>
      <c r="Q108" s="10">
        <f>IF($F108=0,0,Расчет2!AW108)</f>
        <v>0</v>
      </c>
      <c r="R108" s="10">
        <f>IF($F108=0,0,Расчет2!AX108)</f>
        <v>0</v>
      </c>
      <c r="S108" s="9">
        <f>IF($F108=0,0,Расчет2!AY108)</f>
        <v>0</v>
      </c>
      <c r="T108" s="10">
        <f>IF($F108=0,0,Расчет2!AZ108)</f>
        <v>0</v>
      </c>
      <c r="U108" s="10">
        <f>IF($F108=0,0,Расчет2!BA108)</f>
        <v>0</v>
      </c>
      <c r="V108" s="10">
        <f>IF($F108=0,0,Расчет2!BB108)</f>
        <v>0</v>
      </c>
      <c r="W108" s="10">
        <f>Расчет!DL108</f>
        <v>0</v>
      </c>
      <c r="X108" s="10">
        <f>Расчет!DN108</f>
        <v>0</v>
      </c>
      <c r="Y108" s="9">
        <f>X108*Исходн.данные.!$AJ108/1000</f>
        <v>0</v>
      </c>
      <c r="Z108" s="10" t="str">
        <f>Расчет!DO108</f>
        <v>Хлор.калий</v>
      </c>
      <c r="AA108" s="10">
        <f>Расчет!DQ108</f>
        <v>0</v>
      </c>
      <c r="AB108" s="12">
        <f>AA108*Исходн.данные.!$AJ108/1000</f>
        <v>0</v>
      </c>
      <c r="AC108" s="9">
        <f>IF($F108=0,0,Расчет2!BC108)</f>
        <v>0</v>
      </c>
      <c r="AD108" s="10">
        <f>IF($F108=0,0,Расчет2!BD108)</f>
        <v>0</v>
      </c>
      <c r="AE108" s="9">
        <f>IF($F108=0,0,Расчет2!BE108)</f>
        <v>0</v>
      </c>
      <c r="AF108" s="9">
        <f>IF($F108=0,0,Расчет2!BF108)</f>
        <v>0</v>
      </c>
      <c r="AG108" s="9">
        <f>IF($F108=0,0,Расчет2!BG108)</f>
        <v>0</v>
      </c>
      <c r="AI108" s="11" t="e">
        <f>Расчет!FY108</f>
        <v>#N/A</v>
      </c>
      <c r="AJ108" s="11" t="e">
        <f>Расчет!FZ108</f>
        <v>#N/A</v>
      </c>
      <c r="AK108" s="11" t="e">
        <f>Расчет!GA108</f>
        <v>#N/A</v>
      </c>
      <c r="AL108" s="11" t="e">
        <f>Расчет!GB108</f>
        <v>#N/A</v>
      </c>
      <c r="AM108" s="11" t="e">
        <f>Расчет!GC108</f>
        <v>#N/A</v>
      </c>
      <c r="AN108" s="11" t="e">
        <f>Расчет!GD108</f>
        <v>#N/A</v>
      </c>
      <c r="AO108" s="11" t="e">
        <f>Расчет!GE108</f>
        <v>#N/A</v>
      </c>
      <c r="AP108" s="11" t="e">
        <f>Расчет!GF108</f>
        <v>#N/A</v>
      </c>
      <c r="AQ108" s="11" t="e">
        <f>Расчет!GG108</f>
        <v>#N/A</v>
      </c>
      <c r="AR108" s="11" t="e">
        <f>Расчет!GH108</f>
        <v>#N/A</v>
      </c>
      <c r="AS108" s="11" t="e">
        <f>Расчет!GI108</f>
        <v>#N/A</v>
      </c>
      <c r="AT108" s="11" t="e">
        <f>Расчет!GJ108</f>
        <v>#N/A</v>
      </c>
      <c r="AU108" s="198" t="e">
        <f t="shared" si="15"/>
        <v>#N/A</v>
      </c>
      <c r="AV108" s="198" t="e">
        <f t="shared" si="16"/>
        <v>#N/A</v>
      </c>
      <c r="AW108" s="198" t="e">
        <f t="shared" si="17"/>
        <v>#N/A</v>
      </c>
      <c r="AX108" s="11" t="e">
        <f t="shared" si="18"/>
        <v>#N/A</v>
      </c>
      <c r="AY108" s="11" t="e">
        <f t="shared" si="19"/>
        <v>#N/A</v>
      </c>
      <c r="AZ108" s="11" t="e">
        <f t="shared" si="20"/>
        <v>#N/A</v>
      </c>
    </row>
    <row r="109" spans="1:52" x14ac:dyDescent="0.2">
      <c r="A109" s="6">
        <f>Исходн.данные.!A109</f>
        <v>0</v>
      </c>
      <c r="B109" s="6">
        <f>Исходн.данные.!B109</f>
        <v>0</v>
      </c>
      <c r="C109" s="6">
        <f>Исходн.данные.!C109</f>
        <v>0</v>
      </c>
      <c r="D109" s="6">
        <f>Исходн.данные.!D109</f>
        <v>0</v>
      </c>
      <c r="E109" s="6">
        <f>Исходн.данные.!E109</f>
        <v>0</v>
      </c>
      <c r="F109" s="6">
        <f>Исходн.данные.!AH109</f>
        <v>0</v>
      </c>
      <c r="G109" s="6">
        <f>Исходн.данные.!AJ109</f>
        <v>0</v>
      </c>
      <c r="H109" s="6">
        <f>Исходн.данные.!AK109</f>
        <v>0</v>
      </c>
      <c r="I109" s="9">
        <f>IF($F109=0,0,Расчет2!AO109)</f>
        <v>0</v>
      </c>
      <c r="J109" s="9">
        <f>IF(F109=0,0,Расчет2!AP109)</f>
        <v>0</v>
      </c>
      <c r="K109" s="10">
        <f>IF($F109=0,0,Расчет2!AQ109)</f>
        <v>0</v>
      </c>
      <c r="L109" s="10">
        <f>IF($F109=0,0,Расчет2!AR109)</f>
        <v>0</v>
      </c>
      <c r="M109" s="10">
        <f>IF($F109=0,0,Расчет2!AS109)</f>
        <v>0</v>
      </c>
      <c r="N109" s="10">
        <f>IF($F109=0,0,IF(Исходн.данные.!$AP109="Посл.посева",0,Расчет2!AT109))</f>
        <v>0</v>
      </c>
      <c r="O109" s="10">
        <f>IF($F109=0,0,IF(Исходн.данные.!$AP109="Посл.посева",0,IF(Расчет2!AU109&lt;10,10,Расчет2!AU109)))</f>
        <v>0</v>
      </c>
      <c r="P109" s="10">
        <f>IF($F109=0,0,IF(Исходн.данные.!$AP109="Посл.посева",0,Расчет2!AV109))</f>
        <v>0</v>
      </c>
      <c r="Q109" s="10">
        <f>IF($F109=0,0,Расчет2!AW109)</f>
        <v>0</v>
      </c>
      <c r="R109" s="10">
        <f>IF($F109=0,0,Расчет2!AX109)</f>
        <v>0</v>
      </c>
      <c r="S109" s="9">
        <f>IF($F109=0,0,Расчет2!AY109)</f>
        <v>0</v>
      </c>
      <c r="T109" s="10">
        <f>IF($F109=0,0,Расчет2!AZ109)</f>
        <v>0</v>
      </c>
      <c r="U109" s="10">
        <f>IF($F109=0,0,Расчет2!BA109)</f>
        <v>0</v>
      </c>
      <c r="V109" s="10">
        <f>IF($F109=0,0,Расчет2!BB109)</f>
        <v>0</v>
      </c>
      <c r="W109" s="10">
        <f>Расчет!DL109</f>
        <v>0</v>
      </c>
      <c r="X109" s="10">
        <f>Расчет!DN109</f>
        <v>0</v>
      </c>
      <c r="Y109" s="9">
        <f>X109*Исходн.данные.!$AJ109/1000</f>
        <v>0</v>
      </c>
      <c r="Z109" s="10" t="str">
        <f>Расчет!DO109</f>
        <v>Хлор.калий</v>
      </c>
      <c r="AA109" s="10">
        <f>Расчет!DQ109</f>
        <v>0</v>
      </c>
      <c r="AB109" s="12">
        <f>AA109*Исходн.данные.!$AJ109/1000</f>
        <v>0</v>
      </c>
      <c r="AC109" s="9">
        <f>IF($F109=0,0,Расчет2!BC109)</f>
        <v>0</v>
      </c>
      <c r="AD109" s="10">
        <f>IF($F109=0,0,Расчет2!BD109)</f>
        <v>0</v>
      </c>
      <c r="AE109" s="9">
        <f>IF($F109=0,0,Расчет2!BE109)</f>
        <v>0</v>
      </c>
      <c r="AF109" s="9">
        <f>IF($F109=0,0,Расчет2!BF109)</f>
        <v>0</v>
      </c>
      <c r="AG109" s="9">
        <f>IF($F109=0,0,Расчет2!BG109)</f>
        <v>0</v>
      </c>
      <c r="AI109" s="11" t="e">
        <f>Расчет!FY109</f>
        <v>#N/A</v>
      </c>
      <c r="AJ109" s="11" t="e">
        <f>Расчет!FZ109</f>
        <v>#N/A</v>
      </c>
      <c r="AK109" s="11" t="e">
        <f>Расчет!GA109</f>
        <v>#N/A</v>
      </c>
      <c r="AL109" s="11" t="e">
        <f>Расчет!GB109</f>
        <v>#N/A</v>
      </c>
      <c r="AM109" s="11" t="e">
        <f>Расчет!GC109</f>
        <v>#N/A</v>
      </c>
      <c r="AN109" s="11" t="e">
        <f>Расчет!GD109</f>
        <v>#N/A</v>
      </c>
      <c r="AO109" s="11" t="e">
        <f>Расчет!GE109</f>
        <v>#N/A</v>
      </c>
      <c r="AP109" s="11" t="e">
        <f>Расчет!GF109</f>
        <v>#N/A</v>
      </c>
      <c r="AQ109" s="11" t="e">
        <f>Расчет!GG109</f>
        <v>#N/A</v>
      </c>
      <c r="AR109" s="11" t="e">
        <f>Расчет!GH109</f>
        <v>#N/A</v>
      </c>
      <c r="AS109" s="11" t="e">
        <f>Расчет!GI109</f>
        <v>#N/A</v>
      </c>
      <c r="AT109" s="11" t="e">
        <f>Расчет!GJ109</f>
        <v>#N/A</v>
      </c>
      <c r="AU109" s="198" t="e">
        <f t="shared" si="15"/>
        <v>#N/A</v>
      </c>
      <c r="AV109" s="198" t="e">
        <f t="shared" si="16"/>
        <v>#N/A</v>
      </c>
      <c r="AW109" s="198" t="e">
        <f t="shared" si="17"/>
        <v>#N/A</v>
      </c>
      <c r="AX109" s="11" t="e">
        <f t="shared" si="18"/>
        <v>#N/A</v>
      </c>
      <c r="AY109" s="11" t="e">
        <f t="shared" si="19"/>
        <v>#N/A</v>
      </c>
      <c r="AZ109" s="11" t="e">
        <f t="shared" si="20"/>
        <v>#N/A</v>
      </c>
    </row>
    <row r="110" spans="1:52" x14ac:dyDescent="0.2">
      <c r="A110" s="6">
        <f>Исходн.данные.!A110</f>
        <v>0</v>
      </c>
      <c r="B110" s="6">
        <f>Исходн.данные.!B110</f>
        <v>0</v>
      </c>
      <c r="C110" s="6">
        <f>Исходн.данные.!C110</f>
        <v>0</v>
      </c>
      <c r="D110" s="6">
        <f>Исходн.данные.!D110</f>
        <v>0</v>
      </c>
      <c r="E110" s="6">
        <f>Исходн.данные.!E110</f>
        <v>0</v>
      </c>
      <c r="F110" s="6">
        <f>Исходн.данные.!AH110</f>
        <v>0</v>
      </c>
      <c r="G110" s="6">
        <f>Исходн.данные.!AJ110</f>
        <v>0</v>
      </c>
      <c r="H110" s="6">
        <f>Исходн.данные.!AK110</f>
        <v>0</v>
      </c>
      <c r="I110" s="9">
        <f>IF($F110=0,0,Расчет2!AO110)</f>
        <v>0</v>
      </c>
      <c r="J110" s="9">
        <f>IF(F110=0,0,Расчет2!AP110)</f>
        <v>0</v>
      </c>
      <c r="K110" s="10">
        <f>IF($F110=0,0,Расчет2!AQ110)</f>
        <v>0</v>
      </c>
      <c r="L110" s="10">
        <f>IF($F110=0,0,Расчет2!AR110)</f>
        <v>0</v>
      </c>
      <c r="M110" s="10">
        <f>IF($F110=0,0,Расчет2!AS110)</f>
        <v>0</v>
      </c>
      <c r="N110" s="10">
        <f>IF($F110=0,0,IF(Исходн.данные.!$AP110="Посл.посева",0,Расчет2!AT110))</f>
        <v>0</v>
      </c>
      <c r="O110" s="10">
        <f>IF($F110=0,0,IF(Исходн.данные.!$AP110="Посл.посева",0,IF(Расчет2!AU110&lt;10,10,Расчет2!AU110)))</f>
        <v>0</v>
      </c>
      <c r="P110" s="10">
        <f>IF($F110=0,0,IF(Исходн.данные.!$AP110="Посл.посева",0,Расчет2!AV110))</f>
        <v>0</v>
      </c>
      <c r="Q110" s="10">
        <f>IF($F110=0,0,Расчет2!AW110)</f>
        <v>0</v>
      </c>
      <c r="R110" s="10">
        <f>IF($F110=0,0,Расчет2!AX110)</f>
        <v>0</v>
      </c>
      <c r="S110" s="9">
        <f>IF($F110=0,0,Расчет2!AY110)</f>
        <v>0</v>
      </c>
      <c r="T110" s="10">
        <f>IF($F110=0,0,Расчет2!AZ110)</f>
        <v>0</v>
      </c>
      <c r="U110" s="10">
        <f>IF($F110=0,0,Расчет2!BA110)</f>
        <v>0</v>
      </c>
      <c r="V110" s="10">
        <f>IF($F110=0,0,Расчет2!BB110)</f>
        <v>0</v>
      </c>
      <c r="W110" s="10">
        <f>Расчет!DL110</f>
        <v>0</v>
      </c>
      <c r="X110" s="10">
        <f>Расчет!DN110</f>
        <v>0</v>
      </c>
      <c r="Y110" s="9">
        <f>X110*Исходн.данные.!$AJ110/1000</f>
        <v>0</v>
      </c>
      <c r="Z110" s="10" t="str">
        <f>Расчет!DO110</f>
        <v>Хлор.калий</v>
      </c>
      <c r="AA110" s="10">
        <f>Расчет!DQ110</f>
        <v>0</v>
      </c>
      <c r="AB110" s="12">
        <f>AA110*Исходн.данные.!$AJ110/1000</f>
        <v>0</v>
      </c>
      <c r="AC110" s="9">
        <f>IF($F110=0,0,Расчет2!BC110)</f>
        <v>0</v>
      </c>
      <c r="AD110" s="10">
        <f>IF($F110=0,0,Расчет2!BD110)</f>
        <v>0</v>
      </c>
      <c r="AE110" s="9">
        <f>IF($F110=0,0,Расчет2!BE110)</f>
        <v>0</v>
      </c>
      <c r="AF110" s="9">
        <f>IF($F110=0,0,Расчет2!BF110)</f>
        <v>0</v>
      </c>
      <c r="AG110" s="9">
        <f>IF($F110=0,0,Расчет2!BG110)</f>
        <v>0</v>
      </c>
      <c r="AI110" s="11" t="e">
        <f>Расчет!FY110</f>
        <v>#N/A</v>
      </c>
      <c r="AJ110" s="11" t="e">
        <f>Расчет!FZ110</f>
        <v>#N/A</v>
      </c>
      <c r="AK110" s="11" t="e">
        <f>Расчет!GA110</f>
        <v>#N/A</v>
      </c>
      <c r="AL110" s="11" t="e">
        <f>Расчет!GB110</f>
        <v>#N/A</v>
      </c>
      <c r="AM110" s="11" t="e">
        <f>Расчет!GC110</f>
        <v>#N/A</v>
      </c>
      <c r="AN110" s="11" t="e">
        <f>Расчет!GD110</f>
        <v>#N/A</v>
      </c>
      <c r="AO110" s="11" t="e">
        <f>Расчет!GE110</f>
        <v>#N/A</v>
      </c>
      <c r="AP110" s="11" t="e">
        <f>Расчет!GF110</f>
        <v>#N/A</v>
      </c>
      <c r="AQ110" s="11" t="e">
        <f>Расчет!GG110</f>
        <v>#N/A</v>
      </c>
      <c r="AR110" s="11" t="e">
        <f>Расчет!GH110</f>
        <v>#N/A</v>
      </c>
      <c r="AS110" s="11" t="e">
        <f>Расчет!GI110</f>
        <v>#N/A</v>
      </c>
      <c r="AT110" s="11" t="e">
        <f>Расчет!GJ110</f>
        <v>#N/A</v>
      </c>
      <c r="AU110" s="198" t="e">
        <f t="shared" si="15"/>
        <v>#N/A</v>
      </c>
      <c r="AV110" s="198" t="e">
        <f t="shared" si="16"/>
        <v>#N/A</v>
      </c>
      <c r="AW110" s="198" t="e">
        <f t="shared" si="17"/>
        <v>#N/A</v>
      </c>
      <c r="AX110" s="11" t="e">
        <f t="shared" si="18"/>
        <v>#N/A</v>
      </c>
      <c r="AY110" s="11" t="e">
        <f t="shared" si="19"/>
        <v>#N/A</v>
      </c>
      <c r="AZ110" s="11" t="e">
        <f t="shared" si="20"/>
        <v>#N/A</v>
      </c>
    </row>
    <row r="111" spans="1:52" x14ac:dyDescent="0.2">
      <c r="A111" s="6">
        <f>Исходн.данные.!A111</f>
        <v>0</v>
      </c>
      <c r="B111" s="6">
        <f>Исходн.данные.!B111</f>
        <v>0</v>
      </c>
      <c r="C111" s="6">
        <f>Исходн.данные.!C111</f>
        <v>0</v>
      </c>
      <c r="D111" s="6">
        <f>Исходн.данные.!D111</f>
        <v>0</v>
      </c>
      <c r="E111" s="6">
        <f>Исходн.данные.!E111</f>
        <v>0</v>
      </c>
      <c r="F111" s="6">
        <f>Исходн.данные.!AH111</f>
        <v>0</v>
      </c>
      <c r="G111" s="6">
        <f>Исходн.данные.!AJ111</f>
        <v>0</v>
      </c>
      <c r="H111" s="6">
        <f>Исходн.данные.!AK111</f>
        <v>0</v>
      </c>
      <c r="I111" s="9">
        <f>IF($F111=0,0,Расчет2!AO111)</f>
        <v>0</v>
      </c>
      <c r="J111" s="9">
        <f>IF(F111=0,0,Расчет2!AP111)</f>
        <v>0</v>
      </c>
      <c r="K111" s="10">
        <f>IF($F111=0,0,Расчет2!AQ111)</f>
        <v>0</v>
      </c>
      <c r="L111" s="10">
        <f>IF($F111=0,0,Расчет2!AR111)</f>
        <v>0</v>
      </c>
      <c r="M111" s="10">
        <f>IF($F111=0,0,Расчет2!AS111)</f>
        <v>0</v>
      </c>
      <c r="N111" s="10">
        <f>IF($F111=0,0,IF(Исходн.данные.!$AP111="Посл.посева",0,Расчет2!AT111))</f>
        <v>0</v>
      </c>
      <c r="O111" s="10">
        <f>IF($F111=0,0,IF(Исходн.данные.!$AP111="Посл.посева",0,IF(Расчет2!AU111&lt;10,10,Расчет2!AU111)))</f>
        <v>0</v>
      </c>
      <c r="P111" s="10">
        <f>IF($F111=0,0,IF(Исходн.данные.!$AP111="Посл.посева",0,Расчет2!AV111))</f>
        <v>0</v>
      </c>
      <c r="Q111" s="10">
        <f>IF($F111=0,0,Расчет2!AW111)</f>
        <v>0</v>
      </c>
      <c r="R111" s="10">
        <f>IF($F111=0,0,Расчет2!AX111)</f>
        <v>0</v>
      </c>
      <c r="S111" s="9">
        <f>IF($F111=0,0,Расчет2!AY111)</f>
        <v>0</v>
      </c>
      <c r="T111" s="10">
        <f>IF($F111=0,0,Расчет2!AZ111)</f>
        <v>0</v>
      </c>
      <c r="U111" s="10">
        <f>IF($F111=0,0,Расчет2!BA111)</f>
        <v>0</v>
      </c>
      <c r="V111" s="10">
        <f>IF($F111=0,0,Расчет2!BB111)</f>
        <v>0</v>
      </c>
      <c r="W111" s="10">
        <f>Расчет!DL111</f>
        <v>0</v>
      </c>
      <c r="X111" s="10">
        <f>Расчет!DN111</f>
        <v>0</v>
      </c>
      <c r="Y111" s="9">
        <f>X111*Исходн.данные.!$AJ111/1000</f>
        <v>0</v>
      </c>
      <c r="Z111" s="10" t="str">
        <f>Расчет!DO111</f>
        <v>Хлор.калий</v>
      </c>
      <c r="AA111" s="10">
        <f>Расчет!DQ111</f>
        <v>0</v>
      </c>
      <c r="AB111" s="12">
        <f>AA111*Исходн.данные.!$AJ111/1000</f>
        <v>0</v>
      </c>
      <c r="AC111" s="9">
        <f>IF($F111=0,0,Расчет2!BC111)</f>
        <v>0</v>
      </c>
      <c r="AD111" s="10">
        <f>IF($F111=0,0,Расчет2!BD111)</f>
        <v>0</v>
      </c>
      <c r="AE111" s="9">
        <f>IF($F111=0,0,Расчет2!BE111)</f>
        <v>0</v>
      </c>
      <c r="AF111" s="9">
        <f>IF($F111=0,0,Расчет2!BF111)</f>
        <v>0</v>
      </c>
      <c r="AG111" s="9">
        <f>IF($F111=0,0,Расчет2!BG111)</f>
        <v>0</v>
      </c>
      <c r="AI111" s="11" t="e">
        <f>Расчет!FY111</f>
        <v>#N/A</v>
      </c>
      <c r="AJ111" s="11" t="e">
        <f>Расчет!FZ111</f>
        <v>#N/A</v>
      </c>
      <c r="AK111" s="11" t="e">
        <f>Расчет!GA111</f>
        <v>#N/A</v>
      </c>
      <c r="AL111" s="11" t="e">
        <f>Расчет!GB111</f>
        <v>#N/A</v>
      </c>
      <c r="AM111" s="11" t="e">
        <f>Расчет!GC111</f>
        <v>#N/A</v>
      </c>
      <c r="AN111" s="11" t="e">
        <f>Расчет!GD111</f>
        <v>#N/A</v>
      </c>
      <c r="AO111" s="11" t="e">
        <f>Расчет!GE111</f>
        <v>#N/A</v>
      </c>
      <c r="AP111" s="11" t="e">
        <f>Расчет!GF111</f>
        <v>#N/A</v>
      </c>
      <c r="AQ111" s="11" t="e">
        <f>Расчет!GG111</f>
        <v>#N/A</v>
      </c>
      <c r="AR111" s="11" t="e">
        <f>Расчет!GH111</f>
        <v>#N/A</v>
      </c>
      <c r="AS111" s="11" t="e">
        <f>Расчет!GI111</f>
        <v>#N/A</v>
      </c>
      <c r="AT111" s="11" t="e">
        <f>Расчет!GJ111</f>
        <v>#N/A</v>
      </c>
      <c r="AU111" s="198" t="e">
        <f t="shared" si="15"/>
        <v>#N/A</v>
      </c>
      <c r="AV111" s="198" t="e">
        <f t="shared" si="16"/>
        <v>#N/A</v>
      </c>
      <c r="AW111" s="198" t="e">
        <f t="shared" si="17"/>
        <v>#N/A</v>
      </c>
      <c r="AX111" s="11" t="e">
        <f t="shared" si="18"/>
        <v>#N/A</v>
      </c>
      <c r="AY111" s="11" t="e">
        <f t="shared" si="19"/>
        <v>#N/A</v>
      </c>
      <c r="AZ111" s="11" t="e">
        <f t="shared" si="20"/>
        <v>#N/A</v>
      </c>
    </row>
    <row r="112" spans="1:52" x14ac:dyDescent="0.2">
      <c r="A112" s="6">
        <f>Исходн.данные.!A112</f>
        <v>0</v>
      </c>
      <c r="B112" s="6">
        <f>Исходн.данные.!B112</f>
        <v>0</v>
      </c>
      <c r="C112" s="6">
        <f>Исходн.данные.!C112</f>
        <v>0</v>
      </c>
      <c r="D112" s="6">
        <f>Исходн.данные.!D112</f>
        <v>0</v>
      </c>
      <c r="E112" s="6">
        <f>Исходн.данные.!E112</f>
        <v>0</v>
      </c>
      <c r="F112" s="6">
        <f>Исходн.данные.!AH112</f>
        <v>0</v>
      </c>
      <c r="G112" s="6">
        <f>Исходн.данные.!AJ112</f>
        <v>0</v>
      </c>
      <c r="H112" s="6">
        <f>Исходн.данные.!AK112</f>
        <v>0</v>
      </c>
      <c r="I112" s="9">
        <f>IF($F112=0,0,Расчет2!AO112)</f>
        <v>0</v>
      </c>
      <c r="J112" s="9">
        <f>IF(F112=0,0,Расчет2!AP112)</f>
        <v>0</v>
      </c>
      <c r="K112" s="10">
        <f>IF($F112=0,0,Расчет2!AQ112)</f>
        <v>0</v>
      </c>
      <c r="L112" s="10">
        <f>IF($F112=0,0,Расчет2!AR112)</f>
        <v>0</v>
      </c>
      <c r="M112" s="10">
        <f>IF($F112=0,0,Расчет2!AS112)</f>
        <v>0</v>
      </c>
      <c r="N112" s="10">
        <f>IF($F112=0,0,IF(Исходн.данные.!$AP112="Посл.посева",0,Расчет2!AT112))</f>
        <v>0</v>
      </c>
      <c r="O112" s="10">
        <f>IF($F112=0,0,IF(Исходн.данные.!$AP112="Посл.посева",0,IF(Расчет2!AU112&lt;10,10,Расчет2!AU112)))</f>
        <v>0</v>
      </c>
      <c r="P112" s="10">
        <f>IF($F112=0,0,IF(Исходн.данные.!$AP112="Посл.посева",0,Расчет2!AV112))</f>
        <v>0</v>
      </c>
      <c r="Q112" s="10">
        <f>IF($F112=0,0,Расчет2!AW112)</f>
        <v>0</v>
      </c>
      <c r="R112" s="10">
        <f>IF($F112=0,0,Расчет2!AX112)</f>
        <v>0</v>
      </c>
      <c r="S112" s="9">
        <f>IF($F112=0,0,Расчет2!AY112)</f>
        <v>0</v>
      </c>
      <c r="T112" s="10">
        <f>IF($F112=0,0,Расчет2!AZ112)</f>
        <v>0</v>
      </c>
      <c r="U112" s="10">
        <f>IF($F112=0,0,Расчет2!BA112)</f>
        <v>0</v>
      </c>
      <c r="V112" s="10">
        <f>IF($F112=0,0,Расчет2!BB112)</f>
        <v>0</v>
      </c>
      <c r="W112" s="10">
        <f>Расчет!DL112</f>
        <v>0</v>
      </c>
      <c r="X112" s="10">
        <f>Расчет!DN112</f>
        <v>0</v>
      </c>
      <c r="Y112" s="9">
        <f>X112*Исходн.данные.!$AJ112/1000</f>
        <v>0</v>
      </c>
      <c r="Z112" s="10" t="str">
        <f>Расчет!DO112</f>
        <v>Хлор.калий</v>
      </c>
      <c r="AA112" s="10">
        <f>Расчет!DQ112</f>
        <v>0</v>
      </c>
      <c r="AB112" s="12">
        <f>AA112*Исходн.данные.!$AJ112/1000</f>
        <v>0</v>
      </c>
      <c r="AC112" s="9">
        <f>IF($F112=0,0,Расчет2!BC112)</f>
        <v>0</v>
      </c>
      <c r="AD112" s="10">
        <f>IF($F112=0,0,Расчет2!BD112)</f>
        <v>0</v>
      </c>
      <c r="AE112" s="9">
        <f>IF($F112=0,0,Расчет2!BE112)</f>
        <v>0</v>
      </c>
      <c r="AF112" s="9">
        <f>IF($F112=0,0,Расчет2!BF112)</f>
        <v>0</v>
      </c>
      <c r="AG112" s="9">
        <f>IF($F112=0,0,Расчет2!BG112)</f>
        <v>0</v>
      </c>
      <c r="AI112" s="11" t="e">
        <f>Расчет!FY112</f>
        <v>#N/A</v>
      </c>
      <c r="AJ112" s="11" t="e">
        <f>Расчет!FZ112</f>
        <v>#N/A</v>
      </c>
      <c r="AK112" s="11" t="e">
        <f>Расчет!GA112</f>
        <v>#N/A</v>
      </c>
      <c r="AL112" s="11" t="e">
        <f>Расчет!GB112</f>
        <v>#N/A</v>
      </c>
      <c r="AM112" s="11" t="e">
        <f>Расчет!GC112</f>
        <v>#N/A</v>
      </c>
      <c r="AN112" s="11" t="e">
        <f>Расчет!GD112</f>
        <v>#N/A</v>
      </c>
      <c r="AO112" s="11" t="e">
        <f>Расчет!GE112</f>
        <v>#N/A</v>
      </c>
      <c r="AP112" s="11" t="e">
        <f>Расчет!GF112</f>
        <v>#N/A</v>
      </c>
      <c r="AQ112" s="11" t="e">
        <f>Расчет!GG112</f>
        <v>#N/A</v>
      </c>
      <c r="AR112" s="11" t="e">
        <f>Расчет!GH112</f>
        <v>#N/A</v>
      </c>
      <c r="AS112" s="11" t="e">
        <f>Расчет!GI112</f>
        <v>#N/A</v>
      </c>
      <c r="AT112" s="11" t="e">
        <f>Расчет!GJ112</f>
        <v>#N/A</v>
      </c>
      <c r="AU112" s="198" t="e">
        <f t="shared" si="15"/>
        <v>#N/A</v>
      </c>
      <c r="AV112" s="198" t="e">
        <f t="shared" si="16"/>
        <v>#N/A</v>
      </c>
      <c r="AW112" s="198" t="e">
        <f t="shared" si="17"/>
        <v>#N/A</v>
      </c>
      <c r="AX112" s="11" t="e">
        <f t="shared" si="18"/>
        <v>#N/A</v>
      </c>
      <c r="AY112" s="11" t="e">
        <f t="shared" si="19"/>
        <v>#N/A</v>
      </c>
      <c r="AZ112" s="11" t="e">
        <f t="shared" si="20"/>
        <v>#N/A</v>
      </c>
    </row>
    <row r="113" spans="1:52" x14ac:dyDescent="0.2">
      <c r="A113" s="6">
        <f>Исходн.данные.!A113</f>
        <v>0</v>
      </c>
      <c r="B113" s="6">
        <f>Исходн.данные.!B113</f>
        <v>0</v>
      </c>
      <c r="C113" s="6">
        <f>Исходн.данные.!C113</f>
        <v>0</v>
      </c>
      <c r="D113" s="6">
        <f>Исходн.данные.!D113</f>
        <v>0</v>
      </c>
      <c r="E113" s="6">
        <f>Исходн.данные.!E113</f>
        <v>0</v>
      </c>
      <c r="F113" s="6">
        <f>Исходн.данные.!AH113</f>
        <v>0</v>
      </c>
      <c r="G113" s="6">
        <f>Исходн.данные.!AJ113</f>
        <v>0</v>
      </c>
      <c r="H113" s="6">
        <f>Исходн.данные.!AK113</f>
        <v>0</v>
      </c>
      <c r="I113" s="9">
        <f>IF($F113=0,0,Расчет2!AO113)</f>
        <v>0</v>
      </c>
      <c r="J113" s="9">
        <f>IF(F113=0,0,Расчет2!AP113)</f>
        <v>0</v>
      </c>
      <c r="K113" s="10">
        <f>IF($F113=0,0,Расчет2!AQ113)</f>
        <v>0</v>
      </c>
      <c r="L113" s="10">
        <f>IF($F113=0,0,Расчет2!AR113)</f>
        <v>0</v>
      </c>
      <c r="M113" s="10">
        <f>IF($F113=0,0,Расчет2!AS113)</f>
        <v>0</v>
      </c>
      <c r="N113" s="10">
        <f>IF($F113=0,0,IF(Исходн.данные.!$AP113="Посл.посева",0,Расчет2!AT113))</f>
        <v>0</v>
      </c>
      <c r="O113" s="10">
        <f>IF($F113=0,0,IF(Исходн.данные.!$AP113="Посл.посева",0,IF(Расчет2!AU113&lt;10,10,Расчет2!AU113)))</f>
        <v>0</v>
      </c>
      <c r="P113" s="10">
        <f>IF($F113=0,0,IF(Исходн.данные.!$AP113="Посл.посева",0,Расчет2!AV113))</f>
        <v>0</v>
      </c>
      <c r="Q113" s="10">
        <f>IF($F113=0,0,Расчет2!AW113)</f>
        <v>0</v>
      </c>
      <c r="R113" s="10">
        <f>IF($F113=0,0,Расчет2!AX113)</f>
        <v>0</v>
      </c>
      <c r="S113" s="9">
        <f>IF($F113=0,0,Расчет2!AY113)</f>
        <v>0</v>
      </c>
      <c r="T113" s="10">
        <f>IF($F113=0,0,Расчет2!AZ113)</f>
        <v>0</v>
      </c>
      <c r="U113" s="10">
        <f>IF($F113=0,0,Расчет2!BA113)</f>
        <v>0</v>
      </c>
      <c r="V113" s="10">
        <f>IF($F113=0,0,Расчет2!BB113)</f>
        <v>0</v>
      </c>
      <c r="W113" s="10">
        <f>Расчет!DL113</f>
        <v>0</v>
      </c>
      <c r="X113" s="10">
        <f>Расчет!DN113</f>
        <v>0</v>
      </c>
      <c r="Y113" s="9">
        <f>X113*Исходн.данные.!$AJ113/1000</f>
        <v>0</v>
      </c>
      <c r="Z113" s="10" t="str">
        <f>Расчет!DO113</f>
        <v>Хлор.калий</v>
      </c>
      <c r="AA113" s="10">
        <f>Расчет!DQ113</f>
        <v>0</v>
      </c>
      <c r="AB113" s="12">
        <f>AA113*Исходн.данные.!$AJ113/1000</f>
        <v>0</v>
      </c>
      <c r="AC113" s="9">
        <f>IF($F113=0,0,Расчет2!BC113)</f>
        <v>0</v>
      </c>
      <c r="AD113" s="10">
        <f>IF($F113=0,0,Расчет2!BD113)</f>
        <v>0</v>
      </c>
      <c r="AE113" s="9">
        <f>IF($F113=0,0,Расчет2!BE113)</f>
        <v>0</v>
      </c>
      <c r="AF113" s="9">
        <f>IF($F113=0,0,Расчет2!BF113)</f>
        <v>0</v>
      </c>
      <c r="AG113" s="9">
        <f>IF($F113=0,0,Расчет2!BG113)</f>
        <v>0</v>
      </c>
      <c r="AI113" s="11" t="e">
        <f>Расчет!FY113</f>
        <v>#N/A</v>
      </c>
      <c r="AJ113" s="11" t="e">
        <f>Расчет!FZ113</f>
        <v>#N/A</v>
      </c>
      <c r="AK113" s="11" t="e">
        <f>Расчет!GA113</f>
        <v>#N/A</v>
      </c>
      <c r="AL113" s="11" t="e">
        <f>Расчет!GB113</f>
        <v>#N/A</v>
      </c>
      <c r="AM113" s="11" t="e">
        <f>Расчет!GC113</f>
        <v>#N/A</v>
      </c>
      <c r="AN113" s="11" t="e">
        <f>Расчет!GD113</f>
        <v>#N/A</v>
      </c>
      <c r="AO113" s="11" t="e">
        <f>Расчет!GE113</f>
        <v>#N/A</v>
      </c>
      <c r="AP113" s="11" t="e">
        <f>Расчет!GF113</f>
        <v>#N/A</v>
      </c>
      <c r="AQ113" s="11" t="e">
        <f>Расчет!GG113</f>
        <v>#N/A</v>
      </c>
      <c r="AR113" s="11" t="e">
        <f>Расчет!GH113</f>
        <v>#N/A</v>
      </c>
      <c r="AS113" s="11" t="e">
        <f>Расчет!GI113</f>
        <v>#N/A</v>
      </c>
      <c r="AT113" s="11" t="e">
        <f>Расчет!GJ113</f>
        <v>#N/A</v>
      </c>
      <c r="AU113" s="198" t="e">
        <f t="shared" si="15"/>
        <v>#N/A</v>
      </c>
      <c r="AV113" s="198" t="e">
        <f t="shared" si="16"/>
        <v>#N/A</v>
      </c>
      <c r="AW113" s="198" t="e">
        <f t="shared" si="17"/>
        <v>#N/A</v>
      </c>
      <c r="AX113" s="11" t="e">
        <f t="shared" si="18"/>
        <v>#N/A</v>
      </c>
      <c r="AY113" s="11" t="e">
        <f t="shared" si="19"/>
        <v>#N/A</v>
      </c>
      <c r="AZ113" s="11" t="e">
        <f t="shared" si="20"/>
        <v>#N/A</v>
      </c>
    </row>
    <row r="114" spans="1:52" x14ac:dyDescent="0.2">
      <c r="A114" s="6">
        <f>Исходн.данные.!A114</f>
        <v>0</v>
      </c>
      <c r="B114" s="6">
        <f>Исходн.данные.!B114</f>
        <v>0</v>
      </c>
      <c r="C114" s="6">
        <f>Исходн.данные.!C114</f>
        <v>0</v>
      </c>
      <c r="D114" s="6">
        <f>Исходн.данные.!D114</f>
        <v>0</v>
      </c>
      <c r="E114" s="6">
        <f>Исходн.данные.!E114</f>
        <v>0</v>
      </c>
      <c r="F114" s="6">
        <f>Исходн.данные.!AH114</f>
        <v>0</v>
      </c>
      <c r="G114" s="6">
        <f>Исходн.данные.!AJ114</f>
        <v>0</v>
      </c>
      <c r="H114" s="6">
        <f>Исходн.данные.!AK114</f>
        <v>0</v>
      </c>
      <c r="I114" s="9">
        <f>IF($F114=0,0,Расчет2!AO114)</f>
        <v>0</v>
      </c>
      <c r="J114" s="9">
        <f>IF(F114=0,0,Расчет2!AP114)</f>
        <v>0</v>
      </c>
      <c r="K114" s="10">
        <f>IF($F114=0,0,Расчет2!AQ114)</f>
        <v>0</v>
      </c>
      <c r="L114" s="10">
        <f>IF($F114=0,0,Расчет2!AR114)</f>
        <v>0</v>
      </c>
      <c r="M114" s="10">
        <f>IF($F114=0,0,Расчет2!AS114)</f>
        <v>0</v>
      </c>
      <c r="N114" s="10">
        <f>IF($F114=0,0,IF(Исходн.данные.!$AP114="Посл.посева",0,Расчет2!AT114))</f>
        <v>0</v>
      </c>
      <c r="O114" s="10">
        <f>IF($F114=0,0,IF(Исходн.данные.!$AP114="Посл.посева",0,IF(Расчет2!AU114&lt;10,10,Расчет2!AU114)))</f>
        <v>0</v>
      </c>
      <c r="P114" s="10">
        <f>IF($F114=0,0,IF(Исходн.данные.!$AP114="Посл.посева",0,Расчет2!AV114))</f>
        <v>0</v>
      </c>
      <c r="Q114" s="10">
        <f>IF($F114=0,0,Расчет2!AW114)</f>
        <v>0</v>
      </c>
      <c r="R114" s="10">
        <f>IF($F114=0,0,Расчет2!AX114)</f>
        <v>0</v>
      </c>
      <c r="S114" s="9">
        <f>IF($F114=0,0,Расчет2!AY114)</f>
        <v>0</v>
      </c>
      <c r="T114" s="10">
        <f>IF($F114=0,0,Расчет2!AZ114)</f>
        <v>0</v>
      </c>
      <c r="U114" s="10">
        <f>IF($F114=0,0,Расчет2!BA114)</f>
        <v>0</v>
      </c>
      <c r="V114" s="10">
        <f>IF($F114=0,0,Расчет2!BB114)</f>
        <v>0</v>
      </c>
      <c r="W114" s="10">
        <f>Расчет!DL114</f>
        <v>0</v>
      </c>
      <c r="X114" s="10">
        <f>Расчет!DN114</f>
        <v>0</v>
      </c>
      <c r="Y114" s="9">
        <f>X114*Исходн.данные.!$AJ114/1000</f>
        <v>0</v>
      </c>
      <c r="Z114" s="10" t="str">
        <f>Расчет!DO114</f>
        <v>Хлор.калий</v>
      </c>
      <c r="AA114" s="10">
        <f>Расчет!DQ114</f>
        <v>0</v>
      </c>
      <c r="AB114" s="12">
        <f>AA114*Исходн.данные.!$AJ114/1000</f>
        <v>0</v>
      </c>
      <c r="AC114" s="9">
        <f>IF($F114=0,0,Расчет2!BC114)</f>
        <v>0</v>
      </c>
      <c r="AD114" s="10">
        <f>IF($F114=0,0,Расчет2!BD114)</f>
        <v>0</v>
      </c>
      <c r="AE114" s="9">
        <f>IF($F114=0,0,Расчет2!BE114)</f>
        <v>0</v>
      </c>
      <c r="AF114" s="9">
        <f>IF($F114=0,0,Расчет2!BF114)</f>
        <v>0</v>
      </c>
      <c r="AG114" s="9">
        <f>IF($F114=0,0,Расчет2!BG114)</f>
        <v>0</v>
      </c>
      <c r="AI114" s="11" t="e">
        <f>Расчет!FY114</f>
        <v>#N/A</v>
      </c>
      <c r="AJ114" s="11" t="e">
        <f>Расчет!FZ114</f>
        <v>#N/A</v>
      </c>
      <c r="AK114" s="11" t="e">
        <f>Расчет!GA114</f>
        <v>#N/A</v>
      </c>
      <c r="AL114" s="11" t="e">
        <f>Расчет!GB114</f>
        <v>#N/A</v>
      </c>
      <c r="AM114" s="11" t="e">
        <f>Расчет!GC114</f>
        <v>#N/A</v>
      </c>
      <c r="AN114" s="11" t="e">
        <f>Расчет!GD114</f>
        <v>#N/A</v>
      </c>
      <c r="AO114" s="11" t="e">
        <f>Расчет!GE114</f>
        <v>#N/A</v>
      </c>
      <c r="AP114" s="11" t="e">
        <f>Расчет!GF114</f>
        <v>#N/A</v>
      </c>
      <c r="AQ114" s="11" t="e">
        <f>Расчет!GG114</f>
        <v>#N/A</v>
      </c>
      <c r="AR114" s="11" t="e">
        <f>Расчет!GH114</f>
        <v>#N/A</v>
      </c>
      <c r="AS114" s="11" t="e">
        <f>Расчет!GI114</f>
        <v>#N/A</v>
      </c>
      <c r="AT114" s="11" t="e">
        <f>Расчет!GJ114</f>
        <v>#N/A</v>
      </c>
      <c r="AU114" s="198" t="e">
        <f t="shared" si="15"/>
        <v>#N/A</v>
      </c>
      <c r="AV114" s="198" t="e">
        <f t="shared" si="16"/>
        <v>#N/A</v>
      </c>
      <c r="AW114" s="198" t="e">
        <f t="shared" si="17"/>
        <v>#N/A</v>
      </c>
      <c r="AX114" s="11" t="e">
        <f t="shared" si="18"/>
        <v>#N/A</v>
      </c>
      <c r="AY114" s="11" t="e">
        <f t="shared" si="19"/>
        <v>#N/A</v>
      </c>
      <c r="AZ114" s="11" t="e">
        <f t="shared" si="20"/>
        <v>#N/A</v>
      </c>
    </row>
    <row r="115" spans="1:52" x14ac:dyDescent="0.2">
      <c r="A115" s="6">
        <f>Исходн.данные.!A115</f>
        <v>0</v>
      </c>
      <c r="B115" s="6">
        <f>Исходн.данные.!B115</f>
        <v>0</v>
      </c>
      <c r="C115" s="6">
        <f>Исходн.данные.!C115</f>
        <v>0</v>
      </c>
      <c r="D115" s="6">
        <f>Исходн.данные.!D115</f>
        <v>0</v>
      </c>
      <c r="E115" s="6">
        <f>Исходн.данные.!E115</f>
        <v>0</v>
      </c>
      <c r="F115" s="6">
        <f>Исходн.данные.!AH115</f>
        <v>0</v>
      </c>
      <c r="G115" s="6">
        <f>Исходн.данные.!AJ115</f>
        <v>0</v>
      </c>
      <c r="H115" s="6">
        <f>Исходн.данные.!AK115</f>
        <v>0</v>
      </c>
      <c r="I115" s="9">
        <f>IF($F115=0,0,Расчет2!AO115)</f>
        <v>0</v>
      </c>
      <c r="J115" s="9">
        <f>IF(F115=0,0,Расчет2!AP115)</f>
        <v>0</v>
      </c>
      <c r="K115" s="10">
        <f>IF($F115=0,0,Расчет2!AQ115)</f>
        <v>0</v>
      </c>
      <c r="L115" s="10">
        <f>IF($F115=0,0,Расчет2!AR115)</f>
        <v>0</v>
      </c>
      <c r="M115" s="10">
        <f>IF($F115=0,0,Расчет2!AS115)</f>
        <v>0</v>
      </c>
      <c r="N115" s="10">
        <f>IF($F115=0,0,IF(Исходн.данные.!$AP115="Посл.посева",0,Расчет2!AT115))</f>
        <v>0</v>
      </c>
      <c r="O115" s="10">
        <f>IF($F115=0,0,IF(Исходн.данные.!$AP115="Посл.посева",0,IF(Расчет2!AU115&lt;10,10,Расчет2!AU115)))</f>
        <v>0</v>
      </c>
      <c r="P115" s="10">
        <f>IF($F115=0,0,IF(Исходн.данные.!$AP115="Посл.посева",0,Расчет2!AV115))</f>
        <v>0</v>
      </c>
      <c r="Q115" s="10">
        <f>IF($F115=0,0,Расчет2!AW115)</f>
        <v>0</v>
      </c>
      <c r="R115" s="10">
        <f>IF($F115=0,0,Расчет2!AX115)</f>
        <v>0</v>
      </c>
      <c r="S115" s="9">
        <f>IF($F115=0,0,Расчет2!AY115)</f>
        <v>0</v>
      </c>
      <c r="T115" s="10">
        <f>IF($F115=0,0,Расчет2!AZ115)</f>
        <v>0</v>
      </c>
      <c r="U115" s="10">
        <f>IF($F115=0,0,Расчет2!BA115)</f>
        <v>0</v>
      </c>
      <c r="V115" s="10">
        <f>IF($F115=0,0,Расчет2!BB115)</f>
        <v>0</v>
      </c>
      <c r="W115" s="10">
        <f>Расчет!DL115</f>
        <v>0</v>
      </c>
      <c r="X115" s="10">
        <f>Расчет!DN115</f>
        <v>0</v>
      </c>
      <c r="Y115" s="9">
        <f>X115*Исходн.данные.!$AJ115/1000</f>
        <v>0</v>
      </c>
      <c r="Z115" s="10" t="str">
        <f>Расчет!DO115</f>
        <v>Хлор.калий</v>
      </c>
      <c r="AA115" s="10">
        <f>Расчет!DQ115</f>
        <v>0</v>
      </c>
      <c r="AB115" s="12">
        <f>AA115*Исходн.данные.!$AJ115/1000</f>
        <v>0</v>
      </c>
      <c r="AC115" s="9">
        <f>IF($F115=0,0,Расчет2!BC115)</f>
        <v>0</v>
      </c>
      <c r="AD115" s="10">
        <f>IF($F115=0,0,Расчет2!BD115)</f>
        <v>0</v>
      </c>
      <c r="AE115" s="9">
        <f>IF($F115=0,0,Расчет2!BE115)</f>
        <v>0</v>
      </c>
      <c r="AF115" s="9">
        <f>IF($F115=0,0,Расчет2!BF115)</f>
        <v>0</v>
      </c>
      <c r="AG115" s="9">
        <f>IF($F115=0,0,Расчет2!BG115)</f>
        <v>0</v>
      </c>
      <c r="AI115" s="11" t="e">
        <f>Расчет!FY115</f>
        <v>#N/A</v>
      </c>
      <c r="AJ115" s="11" t="e">
        <f>Расчет!FZ115</f>
        <v>#N/A</v>
      </c>
      <c r="AK115" s="11" t="e">
        <f>Расчет!GA115</f>
        <v>#N/A</v>
      </c>
      <c r="AL115" s="11" t="e">
        <f>Расчет!GB115</f>
        <v>#N/A</v>
      </c>
      <c r="AM115" s="11" t="e">
        <f>Расчет!GC115</f>
        <v>#N/A</v>
      </c>
      <c r="AN115" s="11" t="e">
        <f>Расчет!GD115</f>
        <v>#N/A</v>
      </c>
      <c r="AO115" s="11" t="e">
        <f>Расчет!GE115</f>
        <v>#N/A</v>
      </c>
      <c r="AP115" s="11" t="e">
        <f>Расчет!GF115</f>
        <v>#N/A</v>
      </c>
      <c r="AQ115" s="11" t="e">
        <f>Расчет!GG115</f>
        <v>#N/A</v>
      </c>
      <c r="AR115" s="11" t="e">
        <f>Расчет!GH115</f>
        <v>#N/A</v>
      </c>
      <c r="AS115" s="11" t="e">
        <f>Расчет!GI115</f>
        <v>#N/A</v>
      </c>
      <c r="AT115" s="11" t="e">
        <f>Расчет!GJ115</f>
        <v>#N/A</v>
      </c>
      <c r="AU115" s="198" t="e">
        <f t="shared" si="15"/>
        <v>#N/A</v>
      </c>
      <c r="AV115" s="198" t="e">
        <f t="shared" si="16"/>
        <v>#N/A</v>
      </c>
      <c r="AW115" s="198" t="e">
        <f t="shared" si="17"/>
        <v>#N/A</v>
      </c>
      <c r="AX115" s="11" t="e">
        <f t="shared" si="18"/>
        <v>#N/A</v>
      </c>
      <c r="AY115" s="11" t="e">
        <f t="shared" si="19"/>
        <v>#N/A</v>
      </c>
      <c r="AZ115" s="11" t="e">
        <f t="shared" si="20"/>
        <v>#N/A</v>
      </c>
    </row>
    <row r="116" spans="1:52" x14ac:dyDescent="0.2">
      <c r="A116" s="6">
        <f>Исходн.данные.!A116</f>
        <v>0</v>
      </c>
      <c r="B116" s="6">
        <f>Исходн.данные.!B116</f>
        <v>0</v>
      </c>
      <c r="C116" s="6">
        <f>Исходн.данные.!C116</f>
        <v>0</v>
      </c>
      <c r="D116" s="6">
        <f>Исходн.данные.!D116</f>
        <v>0</v>
      </c>
      <c r="E116" s="6">
        <f>Исходн.данные.!E116</f>
        <v>0</v>
      </c>
      <c r="F116" s="6">
        <f>Исходн.данные.!AH116</f>
        <v>0</v>
      </c>
      <c r="G116" s="6">
        <f>Исходн.данные.!AJ116</f>
        <v>0</v>
      </c>
      <c r="H116" s="6">
        <f>Исходн.данные.!AK116</f>
        <v>0</v>
      </c>
      <c r="I116" s="9">
        <f>IF($F116=0,0,Расчет2!AO116)</f>
        <v>0</v>
      </c>
      <c r="J116" s="9">
        <f>IF(F116=0,0,Расчет2!AP116)</f>
        <v>0</v>
      </c>
      <c r="K116" s="10">
        <f>IF($F116=0,0,Расчет2!AQ116)</f>
        <v>0</v>
      </c>
      <c r="L116" s="10">
        <f>IF($F116=0,0,Расчет2!AR116)</f>
        <v>0</v>
      </c>
      <c r="M116" s="10">
        <f>IF($F116=0,0,Расчет2!AS116)</f>
        <v>0</v>
      </c>
      <c r="N116" s="10">
        <f>IF($F116=0,0,IF(Исходн.данные.!$AP116="Посл.посева",0,Расчет2!AT116))</f>
        <v>0</v>
      </c>
      <c r="O116" s="10">
        <f>IF($F116=0,0,IF(Исходн.данные.!$AP116="Посл.посева",0,IF(Расчет2!AU116&lt;10,10,Расчет2!AU116)))</f>
        <v>0</v>
      </c>
      <c r="P116" s="10">
        <f>IF($F116=0,0,IF(Исходн.данные.!$AP116="Посл.посева",0,Расчет2!AV116))</f>
        <v>0</v>
      </c>
      <c r="Q116" s="10">
        <f>IF($F116=0,0,Расчет2!AW116)</f>
        <v>0</v>
      </c>
      <c r="R116" s="10">
        <f>IF($F116=0,0,Расчет2!AX116)</f>
        <v>0</v>
      </c>
      <c r="S116" s="9">
        <f>IF($F116=0,0,Расчет2!AY116)</f>
        <v>0</v>
      </c>
      <c r="T116" s="10">
        <f>IF($F116=0,0,Расчет2!AZ116)</f>
        <v>0</v>
      </c>
      <c r="U116" s="10">
        <f>IF($F116=0,0,Расчет2!BA116)</f>
        <v>0</v>
      </c>
      <c r="V116" s="10">
        <f>IF($F116=0,0,Расчет2!BB116)</f>
        <v>0</v>
      </c>
      <c r="W116" s="10">
        <f>Расчет!DL116</f>
        <v>0</v>
      </c>
      <c r="X116" s="10">
        <f>Расчет!DN116</f>
        <v>0</v>
      </c>
      <c r="Y116" s="9">
        <f>X116*Исходн.данные.!$AJ116/1000</f>
        <v>0</v>
      </c>
      <c r="Z116" s="10" t="str">
        <f>Расчет!DO116</f>
        <v>Хлор.калий</v>
      </c>
      <c r="AA116" s="10">
        <f>Расчет!DQ116</f>
        <v>0</v>
      </c>
      <c r="AB116" s="12">
        <f>AA116*Исходн.данные.!$AJ116/1000</f>
        <v>0</v>
      </c>
      <c r="AC116" s="9">
        <f>IF($F116=0,0,Расчет2!BC116)</f>
        <v>0</v>
      </c>
      <c r="AD116" s="10">
        <f>IF($F116=0,0,Расчет2!BD116)</f>
        <v>0</v>
      </c>
      <c r="AE116" s="9">
        <f>IF($F116=0,0,Расчет2!BE116)</f>
        <v>0</v>
      </c>
      <c r="AF116" s="9">
        <f>IF($F116=0,0,Расчет2!BF116)</f>
        <v>0</v>
      </c>
      <c r="AG116" s="9">
        <f>IF($F116=0,0,Расчет2!BG116)</f>
        <v>0</v>
      </c>
      <c r="AI116" s="11" t="e">
        <f>Расчет!FY116</f>
        <v>#N/A</v>
      </c>
      <c r="AJ116" s="11" t="e">
        <f>Расчет!FZ116</f>
        <v>#N/A</v>
      </c>
      <c r="AK116" s="11" t="e">
        <f>Расчет!GA116</f>
        <v>#N/A</v>
      </c>
      <c r="AL116" s="11" t="e">
        <f>Расчет!GB116</f>
        <v>#N/A</v>
      </c>
      <c r="AM116" s="11" t="e">
        <f>Расчет!GC116</f>
        <v>#N/A</v>
      </c>
      <c r="AN116" s="11" t="e">
        <f>Расчет!GD116</f>
        <v>#N/A</v>
      </c>
      <c r="AO116" s="11" t="e">
        <f>Расчет!GE116</f>
        <v>#N/A</v>
      </c>
      <c r="AP116" s="11" t="e">
        <f>Расчет!GF116</f>
        <v>#N/A</v>
      </c>
      <c r="AQ116" s="11" t="e">
        <f>Расчет!GG116</f>
        <v>#N/A</v>
      </c>
      <c r="AR116" s="11" t="e">
        <f>Расчет!GH116</f>
        <v>#N/A</v>
      </c>
      <c r="AS116" s="11" t="e">
        <f>Расчет!GI116</f>
        <v>#N/A</v>
      </c>
      <c r="AT116" s="11" t="e">
        <f>Расчет!GJ116</f>
        <v>#N/A</v>
      </c>
      <c r="AU116" s="198" t="e">
        <f t="shared" si="15"/>
        <v>#N/A</v>
      </c>
      <c r="AV116" s="198" t="e">
        <f t="shared" si="16"/>
        <v>#N/A</v>
      </c>
      <c r="AW116" s="198" t="e">
        <f t="shared" si="17"/>
        <v>#N/A</v>
      </c>
      <c r="AX116" s="11" t="e">
        <f t="shared" si="18"/>
        <v>#N/A</v>
      </c>
      <c r="AY116" s="11" t="e">
        <f t="shared" si="19"/>
        <v>#N/A</v>
      </c>
      <c r="AZ116" s="11" t="e">
        <f t="shared" si="20"/>
        <v>#N/A</v>
      </c>
    </row>
    <row r="117" spans="1:52" x14ac:dyDescent="0.2">
      <c r="A117" s="6">
        <f>Исходн.данные.!A117</f>
        <v>0</v>
      </c>
      <c r="B117" s="6">
        <f>Исходн.данные.!B117</f>
        <v>0</v>
      </c>
      <c r="C117" s="6">
        <f>Исходн.данные.!C117</f>
        <v>0</v>
      </c>
      <c r="D117" s="6">
        <f>Исходн.данные.!D117</f>
        <v>0</v>
      </c>
      <c r="E117" s="6">
        <f>Исходн.данные.!E117</f>
        <v>0</v>
      </c>
      <c r="F117" s="6">
        <f>Исходн.данные.!AH117</f>
        <v>0</v>
      </c>
      <c r="G117" s="6">
        <f>Исходн.данные.!AJ117</f>
        <v>0</v>
      </c>
      <c r="H117" s="6">
        <f>Исходн.данные.!AK117</f>
        <v>0</v>
      </c>
      <c r="I117" s="9">
        <f>IF($F117=0,0,Расчет2!AO117)</f>
        <v>0</v>
      </c>
      <c r="J117" s="9">
        <f>IF(F117=0,0,Расчет2!AP117)</f>
        <v>0</v>
      </c>
      <c r="K117" s="10">
        <f>IF($F117=0,0,Расчет2!AQ117)</f>
        <v>0</v>
      </c>
      <c r="L117" s="10">
        <f>IF($F117=0,0,Расчет2!AR117)</f>
        <v>0</v>
      </c>
      <c r="M117" s="10">
        <f>IF($F117=0,0,Расчет2!AS117)</f>
        <v>0</v>
      </c>
      <c r="N117" s="10">
        <f>IF($F117=0,0,IF(Исходн.данные.!$AP117="Посл.посева",0,Расчет2!AT117))</f>
        <v>0</v>
      </c>
      <c r="O117" s="10">
        <f>IF($F117=0,0,IF(Исходн.данные.!$AP117="Посл.посева",0,IF(Расчет2!AU117&lt;10,10,Расчет2!AU117)))</f>
        <v>0</v>
      </c>
      <c r="P117" s="10">
        <f>IF($F117=0,0,IF(Исходн.данные.!$AP117="Посл.посева",0,Расчет2!AV117))</f>
        <v>0</v>
      </c>
      <c r="Q117" s="10">
        <f>IF($F117=0,0,Расчет2!AW117)</f>
        <v>0</v>
      </c>
      <c r="R117" s="10">
        <f>IF($F117=0,0,Расчет2!AX117)</f>
        <v>0</v>
      </c>
      <c r="S117" s="9">
        <f>IF($F117=0,0,Расчет2!AY117)</f>
        <v>0</v>
      </c>
      <c r="T117" s="10">
        <f>IF($F117=0,0,Расчет2!AZ117)</f>
        <v>0</v>
      </c>
      <c r="U117" s="10">
        <f>IF($F117=0,0,Расчет2!BA117)</f>
        <v>0</v>
      </c>
      <c r="V117" s="10">
        <f>IF($F117=0,0,Расчет2!BB117)</f>
        <v>0</v>
      </c>
      <c r="W117" s="10">
        <f>Расчет!DL117</f>
        <v>0</v>
      </c>
      <c r="X117" s="10">
        <f>Расчет!DN117</f>
        <v>0</v>
      </c>
      <c r="Y117" s="9">
        <f>X117*Исходн.данные.!$AJ117/1000</f>
        <v>0</v>
      </c>
      <c r="Z117" s="10" t="str">
        <f>Расчет!DO117</f>
        <v>Хлор.калий</v>
      </c>
      <c r="AA117" s="10">
        <f>Расчет!DQ117</f>
        <v>0</v>
      </c>
      <c r="AB117" s="12">
        <f>AA117*Исходн.данные.!$AJ117/1000</f>
        <v>0</v>
      </c>
      <c r="AC117" s="9">
        <f>IF($F117=0,0,Расчет2!BC117)</f>
        <v>0</v>
      </c>
      <c r="AD117" s="10">
        <f>IF($F117=0,0,Расчет2!BD117)</f>
        <v>0</v>
      </c>
      <c r="AE117" s="9">
        <f>IF($F117=0,0,Расчет2!BE117)</f>
        <v>0</v>
      </c>
      <c r="AF117" s="9">
        <f>IF($F117=0,0,Расчет2!BF117)</f>
        <v>0</v>
      </c>
      <c r="AG117" s="9">
        <f>IF($F117=0,0,Расчет2!BG117)</f>
        <v>0</v>
      </c>
      <c r="AI117" s="11" t="e">
        <f>Расчет!FY117</f>
        <v>#N/A</v>
      </c>
      <c r="AJ117" s="11" t="e">
        <f>Расчет!FZ117</f>
        <v>#N/A</v>
      </c>
      <c r="AK117" s="11" t="e">
        <f>Расчет!GA117</f>
        <v>#N/A</v>
      </c>
      <c r="AL117" s="11" t="e">
        <f>Расчет!GB117</f>
        <v>#N/A</v>
      </c>
      <c r="AM117" s="11" t="e">
        <f>Расчет!GC117</f>
        <v>#N/A</v>
      </c>
      <c r="AN117" s="11" t="e">
        <f>Расчет!GD117</f>
        <v>#N/A</v>
      </c>
      <c r="AO117" s="11" t="e">
        <f>Расчет!GE117</f>
        <v>#N/A</v>
      </c>
      <c r="AP117" s="11" t="e">
        <f>Расчет!GF117</f>
        <v>#N/A</v>
      </c>
      <c r="AQ117" s="11" t="e">
        <f>Расчет!GG117</f>
        <v>#N/A</v>
      </c>
      <c r="AR117" s="11" t="e">
        <f>Расчет!GH117</f>
        <v>#N/A</v>
      </c>
      <c r="AS117" s="11" t="e">
        <f>Расчет!GI117</f>
        <v>#N/A</v>
      </c>
      <c r="AT117" s="11" t="e">
        <f>Расчет!GJ117</f>
        <v>#N/A</v>
      </c>
      <c r="AU117" s="198" t="e">
        <f t="shared" si="15"/>
        <v>#N/A</v>
      </c>
      <c r="AV117" s="198" t="e">
        <f t="shared" si="16"/>
        <v>#N/A</v>
      </c>
      <c r="AW117" s="198" t="e">
        <f t="shared" si="17"/>
        <v>#N/A</v>
      </c>
      <c r="AX117" s="11" t="e">
        <f t="shared" si="18"/>
        <v>#N/A</v>
      </c>
      <c r="AY117" s="11" t="e">
        <f t="shared" si="19"/>
        <v>#N/A</v>
      </c>
      <c r="AZ117" s="11" t="e">
        <f t="shared" si="20"/>
        <v>#N/A</v>
      </c>
    </row>
    <row r="118" spans="1:52" x14ac:dyDescent="0.2">
      <c r="A118" s="6">
        <f>Исходн.данные.!A118</f>
        <v>0</v>
      </c>
      <c r="B118" s="6">
        <f>Исходн.данные.!B118</f>
        <v>0</v>
      </c>
      <c r="C118" s="6">
        <f>Исходн.данные.!C118</f>
        <v>0</v>
      </c>
      <c r="D118" s="6">
        <f>Исходн.данные.!D118</f>
        <v>0</v>
      </c>
      <c r="E118" s="6">
        <f>Исходн.данные.!E118</f>
        <v>0</v>
      </c>
      <c r="F118" s="6">
        <f>Исходн.данные.!AH118</f>
        <v>0</v>
      </c>
      <c r="G118" s="6">
        <f>Исходн.данные.!AJ118</f>
        <v>0</v>
      </c>
      <c r="H118" s="6">
        <f>Исходн.данные.!AK118</f>
        <v>0</v>
      </c>
      <c r="I118" s="9">
        <f>IF($F118=0,0,Расчет2!AO118)</f>
        <v>0</v>
      </c>
      <c r="J118" s="9">
        <f>IF(F118=0,0,Расчет2!AP118)</f>
        <v>0</v>
      </c>
      <c r="K118" s="10">
        <f>IF($F118=0,0,Расчет2!AQ118)</f>
        <v>0</v>
      </c>
      <c r="L118" s="10">
        <f>IF($F118=0,0,Расчет2!AR118)</f>
        <v>0</v>
      </c>
      <c r="M118" s="10">
        <f>IF($F118=0,0,Расчет2!AS118)</f>
        <v>0</v>
      </c>
      <c r="N118" s="10">
        <f>IF($F118=0,0,IF(Исходн.данные.!$AP118="Посл.посева",0,Расчет2!AT118))</f>
        <v>0</v>
      </c>
      <c r="O118" s="10">
        <f>IF($F118=0,0,IF(Исходн.данные.!$AP118="Посл.посева",0,IF(Расчет2!AU118&lt;10,10,Расчет2!AU118)))</f>
        <v>0</v>
      </c>
      <c r="P118" s="10">
        <f>IF($F118=0,0,IF(Исходн.данные.!$AP118="Посл.посева",0,Расчет2!AV118))</f>
        <v>0</v>
      </c>
      <c r="Q118" s="10">
        <f>IF($F118=0,0,Расчет2!AW118)</f>
        <v>0</v>
      </c>
      <c r="R118" s="10">
        <f>IF($F118=0,0,Расчет2!AX118)</f>
        <v>0</v>
      </c>
      <c r="S118" s="9">
        <f>IF($F118=0,0,Расчет2!AY118)</f>
        <v>0</v>
      </c>
      <c r="T118" s="10">
        <f>IF($F118=0,0,Расчет2!AZ118)</f>
        <v>0</v>
      </c>
      <c r="U118" s="10">
        <f>IF($F118=0,0,Расчет2!BA118)</f>
        <v>0</v>
      </c>
      <c r="V118" s="10">
        <f>IF($F118=0,0,Расчет2!BB118)</f>
        <v>0</v>
      </c>
      <c r="W118" s="10">
        <f>Расчет!DL118</f>
        <v>0</v>
      </c>
      <c r="X118" s="10">
        <f>Расчет!DN118</f>
        <v>0</v>
      </c>
      <c r="Y118" s="9">
        <f>X118*Исходн.данные.!$AJ118/1000</f>
        <v>0</v>
      </c>
      <c r="Z118" s="10" t="str">
        <f>Расчет!DO118</f>
        <v>Хлор.калий</v>
      </c>
      <c r="AA118" s="10">
        <f>Расчет!DQ118</f>
        <v>0</v>
      </c>
      <c r="AB118" s="12">
        <f>AA118*Исходн.данные.!$AJ118/1000</f>
        <v>0</v>
      </c>
      <c r="AC118" s="9">
        <f>IF($F118=0,0,Расчет2!BC118)</f>
        <v>0</v>
      </c>
      <c r="AD118" s="10">
        <f>IF($F118=0,0,Расчет2!BD118)</f>
        <v>0</v>
      </c>
      <c r="AE118" s="9">
        <f>IF($F118=0,0,Расчет2!BE118)</f>
        <v>0</v>
      </c>
      <c r="AF118" s="9">
        <f>IF($F118=0,0,Расчет2!BF118)</f>
        <v>0</v>
      </c>
      <c r="AG118" s="9">
        <f>IF($F118=0,0,Расчет2!BG118)</f>
        <v>0</v>
      </c>
      <c r="AI118" s="11" t="e">
        <f>Расчет!FY118</f>
        <v>#N/A</v>
      </c>
      <c r="AJ118" s="11" t="e">
        <f>Расчет!FZ118</f>
        <v>#N/A</v>
      </c>
      <c r="AK118" s="11" t="e">
        <f>Расчет!GA118</f>
        <v>#N/A</v>
      </c>
      <c r="AL118" s="11" t="e">
        <f>Расчет!GB118</f>
        <v>#N/A</v>
      </c>
      <c r="AM118" s="11" t="e">
        <f>Расчет!GC118</f>
        <v>#N/A</v>
      </c>
      <c r="AN118" s="11" t="e">
        <f>Расчет!GD118</f>
        <v>#N/A</v>
      </c>
      <c r="AO118" s="11" t="e">
        <f>Расчет!GE118</f>
        <v>#N/A</v>
      </c>
      <c r="AP118" s="11" t="e">
        <f>Расчет!GF118</f>
        <v>#N/A</v>
      </c>
      <c r="AQ118" s="11" t="e">
        <f>Расчет!GG118</f>
        <v>#N/A</v>
      </c>
      <c r="AR118" s="11" t="e">
        <f>Расчет!GH118</f>
        <v>#N/A</v>
      </c>
      <c r="AS118" s="11" t="e">
        <f>Расчет!GI118</f>
        <v>#N/A</v>
      </c>
      <c r="AT118" s="11" t="e">
        <f>Расчет!GJ118</f>
        <v>#N/A</v>
      </c>
      <c r="AU118" s="198" t="e">
        <f t="shared" si="15"/>
        <v>#N/A</v>
      </c>
      <c r="AV118" s="198" t="e">
        <f t="shared" si="16"/>
        <v>#N/A</v>
      </c>
      <c r="AW118" s="198" t="e">
        <f t="shared" si="17"/>
        <v>#N/A</v>
      </c>
      <c r="AX118" s="11" t="e">
        <f t="shared" si="18"/>
        <v>#N/A</v>
      </c>
      <c r="AY118" s="11" t="e">
        <f t="shared" si="19"/>
        <v>#N/A</v>
      </c>
      <c r="AZ118" s="11" t="e">
        <f t="shared" si="20"/>
        <v>#N/A</v>
      </c>
    </row>
    <row r="119" spans="1:52" x14ac:dyDescent="0.2">
      <c r="A119" s="6">
        <f>Исходн.данные.!A119</f>
        <v>0</v>
      </c>
      <c r="B119" s="6">
        <f>Исходн.данные.!B119</f>
        <v>0</v>
      </c>
      <c r="C119" s="6">
        <f>Исходн.данные.!C119</f>
        <v>0</v>
      </c>
      <c r="D119" s="6">
        <f>Исходн.данные.!D119</f>
        <v>0</v>
      </c>
      <c r="E119" s="6">
        <f>Исходн.данные.!E119</f>
        <v>0</v>
      </c>
      <c r="F119" s="6">
        <f>Исходн.данные.!AH119</f>
        <v>0</v>
      </c>
      <c r="G119" s="6">
        <f>Исходн.данные.!AJ119</f>
        <v>0</v>
      </c>
      <c r="H119" s="6">
        <f>Исходн.данные.!AK119</f>
        <v>0</v>
      </c>
      <c r="I119" s="9">
        <f>IF($F119=0,0,Расчет2!AO119)</f>
        <v>0</v>
      </c>
      <c r="J119" s="9">
        <f>IF(F119=0,0,Расчет2!AP119)</f>
        <v>0</v>
      </c>
      <c r="K119" s="10">
        <f>IF($F119=0,0,Расчет2!AQ119)</f>
        <v>0</v>
      </c>
      <c r="L119" s="10">
        <f>IF($F119=0,0,Расчет2!AR119)</f>
        <v>0</v>
      </c>
      <c r="M119" s="10">
        <f>IF($F119=0,0,Расчет2!AS119)</f>
        <v>0</v>
      </c>
      <c r="N119" s="10">
        <f>IF($F119=0,0,IF(Исходн.данные.!$AP119="Посл.посева",0,Расчет2!AT119))</f>
        <v>0</v>
      </c>
      <c r="O119" s="10">
        <f>IF($F119=0,0,IF(Исходн.данные.!$AP119="Посл.посева",0,IF(Расчет2!AU119&lt;10,10,Расчет2!AU119)))</f>
        <v>0</v>
      </c>
      <c r="P119" s="10">
        <f>IF($F119=0,0,IF(Исходн.данные.!$AP119="Посл.посева",0,Расчет2!AV119))</f>
        <v>0</v>
      </c>
      <c r="Q119" s="10">
        <f>IF($F119=0,0,Расчет2!AW119)</f>
        <v>0</v>
      </c>
      <c r="R119" s="10">
        <f>IF($F119=0,0,Расчет2!AX119)</f>
        <v>0</v>
      </c>
      <c r="S119" s="9">
        <f>IF($F119=0,0,Расчет2!AY119)</f>
        <v>0</v>
      </c>
      <c r="T119" s="10">
        <f>IF($F119=0,0,Расчет2!AZ119)</f>
        <v>0</v>
      </c>
      <c r="U119" s="10">
        <f>IF($F119=0,0,Расчет2!BA119)</f>
        <v>0</v>
      </c>
      <c r="V119" s="10">
        <f>IF($F119=0,0,Расчет2!BB119)</f>
        <v>0</v>
      </c>
      <c r="W119" s="10">
        <f>Расчет!DL119</f>
        <v>0</v>
      </c>
      <c r="X119" s="10">
        <f>Расчет!DN119</f>
        <v>0</v>
      </c>
      <c r="Y119" s="9">
        <f>X119*Исходн.данные.!$AJ119/1000</f>
        <v>0</v>
      </c>
      <c r="Z119" s="10" t="str">
        <f>Расчет!DO119</f>
        <v>Хлор.калий</v>
      </c>
      <c r="AA119" s="10">
        <f>Расчет!DQ119</f>
        <v>0</v>
      </c>
      <c r="AB119" s="12">
        <f>AA119*Исходн.данные.!$AJ119/1000</f>
        <v>0</v>
      </c>
      <c r="AC119" s="9">
        <f>IF($F119=0,0,Расчет2!BC119)</f>
        <v>0</v>
      </c>
      <c r="AD119" s="10">
        <f>IF($F119=0,0,Расчет2!BD119)</f>
        <v>0</v>
      </c>
      <c r="AE119" s="9">
        <f>IF($F119=0,0,Расчет2!BE119)</f>
        <v>0</v>
      </c>
      <c r="AF119" s="9">
        <f>IF($F119=0,0,Расчет2!BF119)</f>
        <v>0</v>
      </c>
      <c r="AG119" s="9">
        <f>IF($F119=0,0,Расчет2!BG119)</f>
        <v>0</v>
      </c>
      <c r="AI119" s="11" t="e">
        <f>Расчет!FY119</f>
        <v>#N/A</v>
      </c>
      <c r="AJ119" s="11" t="e">
        <f>Расчет!FZ119</f>
        <v>#N/A</v>
      </c>
      <c r="AK119" s="11" t="e">
        <f>Расчет!GA119</f>
        <v>#N/A</v>
      </c>
      <c r="AL119" s="11" t="e">
        <f>Расчет!GB119</f>
        <v>#N/A</v>
      </c>
      <c r="AM119" s="11" t="e">
        <f>Расчет!GC119</f>
        <v>#N/A</v>
      </c>
      <c r="AN119" s="11" t="e">
        <f>Расчет!GD119</f>
        <v>#N/A</v>
      </c>
      <c r="AO119" s="11" t="e">
        <f>Расчет!GE119</f>
        <v>#N/A</v>
      </c>
      <c r="AP119" s="11" t="e">
        <f>Расчет!GF119</f>
        <v>#N/A</v>
      </c>
      <c r="AQ119" s="11" t="e">
        <f>Расчет!GG119</f>
        <v>#N/A</v>
      </c>
      <c r="AR119" s="11" t="e">
        <f>Расчет!GH119</f>
        <v>#N/A</v>
      </c>
      <c r="AS119" s="11" t="e">
        <f>Расчет!GI119</f>
        <v>#N/A</v>
      </c>
      <c r="AT119" s="11" t="e">
        <f>Расчет!GJ119</f>
        <v>#N/A</v>
      </c>
      <c r="AU119" s="198" t="e">
        <f t="shared" si="15"/>
        <v>#N/A</v>
      </c>
      <c r="AV119" s="198" t="e">
        <f t="shared" si="16"/>
        <v>#N/A</v>
      </c>
      <c r="AW119" s="198" t="e">
        <f t="shared" si="17"/>
        <v>#N/A</v>
      </c>
      <c r="AX119" s="11" t="e">
        <f t="shared" si="18"/>
        <v>#N/A</v>
      </c>
      <c r="AY119" s="11" t="e">
        <f t="shared" si="19"/>
        <v>#N/A</v>
      </c>
      <c r="AZ119" s="11" t="e">
        <f t="shared" si="20"/>
        <v>#N/A</v>
      </c>
    </row>
    <row r="120" spans="1:52" x14ac:dyDescent="0.2">
      <c r="A120" s="6">
        <f>Исходн.данные.!A120</f>
        <v>0</v>
      </c>
      <c r="B120" s="6">
        <f>Исходн.данные.!B120</f>
        <v>0</v>
      </c>
      <c r="C120" s="6">
        <f>Исходн.данные.!C120</f>
        <v>0</v>
      </c>
      <c r="D120" s="6">
        <f>Исходн.данные.!D120</f>
        <v>0</v>
      </c>
      <c r="E120" s="6">
        <f>Исходн.данные.!E120</f>
        <v>0</v>
      </c>
      <c r="F120" s="6">
        <f>Исходн.данные.!AH120</f>
        <v>0</v>
      </c>
      <c r="G120" s="6">
        <f>Исходн.данные.!AJ120</f>
        <v>0</v>
      </c>
      <c r="H120" s="6">
        <f>Исходн.данные.!AK120</f>
        <v>0</v>
      </c>
      <c r="I120" s="9">
        <f>IF($F120=0,0,Расчет2!AO120)</f>
        <v>0</v>
      </c>
      <c r="J120" s="9">
        <f>IF(F120=0,0,Расчет2!AP120)</f>
        <v>0</v>
      </c>
      <c r="K120" s="10">
        <f>IF($F120=0,0,Расчет2!AQ120)</f>
        <v>0</v>
      </c>
      <c r="L120" s="10">
        <f>IF($F120=0,0,Расчет2!AR120)</f>
        <v>0</v>
      </c>
      <c r="M120" s="10">
        <f>IF($F120=0,0,Расчет2!AS120)</f>
        <v>0</v>
      </c>
      <c r="N120" s="10">
        <f>IF($F120=0,0,IF(Исходн.данные.!$AP120="Посл.посева",0,Расчет2!AT120))</f>
        <v>0</v>
      </c>
      <c r="O120" s="10">
        <f>IF($F120=0,0,IF(Исходн.данные.!$AP120="Посл.посева",0,IF(Расчет2!AU120&lt;10,10,Расчет2!AU120)))</f>
        <v>0</v>
      </c>
      <c r="P120" s="10">
        <f>IF($F120=0,0,IF(Исходн.данные.!$AP120="Посл.посева",0,Расчет2!AV120))</f>
        <v>0</v>
      </c>
      <c r="Q120" s="10">
        <f>IF($F120=0,0,Расчет2!AW120)</f>
        <v>0</v>
      </c>
      <c r="R120" s="10">
        <f>IF($F120=0,0,Расчет2!AX120)</f>
        <v>0</v>
      </c>
      <c r="S120" s="9">
        <f>IF($F120=0,0,Расчет2!AY120)</f>
        <v>0</v>
      </c>
      <c r="T120" s="10">
        <f>IF($F120=0,0,Расчет2!AZ120)</f>
        <v>0</v>
      </c>
      <c r="U120" s="10">
        <f>IF($F120=0,0,Расчет2!BA120)</f>
        <v>0</v>
      </c>
      <c r="V120" s="10">
        <f>IF($F120=0,0,Расчет2!BB120)</f>
        <v>0</v>
      </c>
      <c r="W120" s="10">
        <f>Расчет!DL120</f>
        <v>0</v>
      </c>
      <c r="X120" s="10">
        <f>Расчет!DN120</f>
        <v>0</v>
      </c>
      <c r="Y120" s="9">
        <f>X120*Исходн.данные.!$AJ120/1000</f>
        <v>0</v>
      </c>
      <c r="Z120" s="10" t="str">
        <f>Расчет!DO120</f>
        <v>Хлор.калий</v>
      </c>
      <c r="AA120" s="10">
        <f>Расчет!DQ120</f>
        <v>0</v>
      </c>
      <c r="AB120" s="12">
        <f>AA120*Исходн.данные.!$AJ120/1000</f>
        <v>0</v>
      </c>
      <c r="AC120" s="9">
        <f>IF($F120=0,0,Расчет2!BC120)</f>
        <v>0</v>
      </c>
      <c r="AD120" s="10">
        <f>IF($F120=0,0,Расчет2!BD120)</f>
        <v>0</v>
      </c>
      <c r="AE120" s="9">
        <f>IF($F120=0,0,Расчет2!BE120)</f>
        <v>0</v>
      </c>
      <c r="AF120" s="9">
        <f>IF($F120=0,0,Расчет2!BF120)</f>
        <v>0</v>
      </c>
      <c r="AG120" s="9">
        <f>IF($F120=0,0,Расчет2!BG120)</f>
        <v>0</v>
      </c>
      <c r="AI120" s="11" t="e">
        <f>Расчет!FY120</f>
        <v>#N/A</v>
      </c>
      <c r="AJ120" s="11" t="e">
        <f>Расчет!FZ120</f>
        <v>#N/A</v>
      </c>
      <c r="AK120" s="11" t="e">
        <f>Расчет!GA120</f>
        <v>#N/A</v>
      </c>
      <c r="AL120" s="11" t="e">
        <f>Расчет!GB120</f>
        <v>#N/A</v>
      </c>
      <c r="AM120" s="11" t="e">
        <f>Расчет!GC120</f>
        <v>#N/A</v>
      </c>
      <c r="AN120" s="11" t="e">
        <f>Расчет!GD120</f>
        <v>#N/A</v>
      </c>
      <c r="AO120" s="11" t="e">
        <f>Расчет!GE120</f>
        <v>#N/A</v>
      </c>
      <c r="AP120" s="11" t="e">
        <f>Расчет!GF120</f>
        <v>#N/A</v>
      </c>
      <c r="AQ120" s="11" t="e">
        <f>Расчет!GG120</f>
        <v>#N/A</v>
      </c>
      <c r="AR120" s="11" t="e">
        <f>Расчет!GH120</f>
        <v>#N/A</v>
      </c>
      <c r="AS120" s="11" t="e">
        <f>Расчет!GI120</f>
        <v>#N/A</v>
      </c>
      <c r="AT120" s="11" t="e">
        <f>Расчет!GJ120</f>
        <v>#N/A</v>
      </c>
      <c r="AU120" s="198" t="e">
        <f t="shared" si="15"/>
        <v>#N/A</v>
      </c>
      <c r="AV120" s="198" t="e">
        <f t="shared" si="16"/>
        <v>#N/A</v>
      </c>
      <c r="AW120" s="198" t="e">
        <f t="shared" si="17"/>
        <v>#N/A</v>
      </c>
      <c r="AX120" s="11" t="e">
        <f t="shared" si="18"/>
        <v>#N/A</v>
      </c>
      <c r="AY120" s="11" t="e">
        <f t="shared" si="19"/>
        <v>#N/A</v>
      </c>
      <c r="AZ120" s="11" t="e">
        <f t="shared" si="20"/>
        <v>#N/A</v>
      </c>
    </row>
    <row r="121" spans="1:52" x14ac:dyDescent="0.2">
      <c r="A121" s="6">
        <f>Исходн.данные.!A121</f>
        <v>0</v>
      </c>
      <c r="B121" s="6">
        <f>Исходн.данные.!B121</f>
        <v>0</v>
      </c>
      <c r="C121" s="6">
        <f>Исходн.данные.!C121</f>
        <v>0</v>
      </c>
      <c r="D121" s="6">
        <f>Исходн.данные.!D121</f>
        <v>0</v>
      </c>
      <c r="E121" s="6">
        <f>Исходн.данные.!E121</f>
        <v>0</v>
      </c>
      <c r="F121" s="6">
        <f>Исходн.данные.!AH121</f>
        <v>0</v>
      </c>
      <c r="G121" s="6">
        <f>Исходн.данные.!AJ121</f>
        <v>0</v>
      </c>
      <c r="H121" s="6">
        <f>Исходн.данные.!AK121</f>
        <v>0</v>
      </c>
      <c r="I121" s="9">
        <f>IF($F121=0,0,Расчет2!AO121)</f>
        <v>0</v>
      </c>
      <c r="J121" s="9">
        <f>IF(F121=0,0,Расчет2!AP121)</f>
        <v>0</v>
      </c>
      <c r="K121" s="10">
        <f>IF($F121=0,0,Расчет2!AQ121)</f>
        <v>0</v>
      </c>
      <c r="L121" s="10">
        <f>IF($F121=0,0,Расчет2!AR121)</f>
        <v>0</v>
      </c>
      <c r="M121" s="10">
        <f>IF($F121=0,0,Расчет2!AS121)</f>
        <v>0</v>
      </c>
      <c r="N121" s="10">
        <f>IF($F121=0,0,IF(Исходн.данные.!$AP121="Посл.посева",0,Расчет2!AT121))</f>
        <v>0</v>
      </c>
      <c r="O121" s="10">
        <f>IF($F121=0,0,IF(Исходн.данные.!$AP121="Посл.посева",0,IF(Расчет2!AU121&lt;10,10,Расчет2!AU121)))</f>
        <v>0</v>
      </c>
      <c r="P121" s="10">
        <f>IF($F121=0,0,IF(Исходн.данные.!$AP121="Посл.посева",0,Расчет2!AV121))</f>
        <v>0</v>
      </c>
      <c r="Q121" s="10">
        <f>IF($F121=0,0,Расчет2!AW121)</f>
        <v>0</v>
      </c>
      <c r="R121" s="10">
        <f>IF($F121=0,0,Расчет2!AX121)</f>
        <v>0</v>
      </c>
      <c r="S121" s="9">
        <f>IF($F121=0,0,Расчет2!AY121)</f>
        <v>0</v>
      </c>
      <c r="T121" s="10">
        <f>IF($F121=0,0,Расчет2!AZ121)</f>
        <v>0</v>
      </c>
      <c r="U121" s="10">
        <f>IF($F121=0,0,Расчет2!BA121)</f>
        <v>0</v>
      </c>
      <c r="V121" s="10">
        <f>IF($F121=0,0,Расчет2!BB121)</f>
        <v>0</v>
      </c>
      <c r="W121" s="10">
        <f>Расчет!DL121</f>
        <v>0</v>
      </c>
      <c r="X121" s="10">
        <f>Расчет!DN121</f>
        <v>0</v>
      </c>
      <c r="Y121" s="9">
        <f>X121*Исходн.данные.!$AJ121/1000</f>
        <v>0</v>
      </c>
      <c r="Z121" s="10" t="str">
        <f>Расчет!DO121</f>
        <v>Хлор.калий</v>
      </c>
      <c r="AA121" s="10">
        <f>Расчет!DQ121</f>
        <v>0</v>
      </c>
      <c r="AB121" s="12">
        <f>AA121*Исходн.данные.!$AJ121/1000</f>
        <v>0</v>
      </c>
      <c r="AC121" s="9">
        <f>IF($F121=0,0,Расчет2!BC121)</f>
        <v>0</v>
      </c>
      <c r="AD121" s="10">
        <f>IF($F121=0,0,Расчет2!BD121)</f>
        <v>0</v>
      </c>
      <c r="AE121" s="9">
        <f>IF($F121=0,0,Расчет2!BE121)</f>
        <v>0</v>
      </c>
      <c r="AF121" s="9">
        <f>IF($F121=0,0,Расчет2!BF121)</f>
        <v>0</v>
      </c>
      <c r="AG121" s="9">
        <f>IF($F121=0,0,Расчет2!BG121)</f>
        <v>0</v>
      </c>
      <c r="AI121" s="11" t="e">
        <f>Расчет!FY121</f>
        <v>#N/A</v>
      </c>
      <c r="AJ121" s="11" t="e">
        <f>Расчет!FZ121</f>
        <v>#N/A</v>
      </c>
      <c r="AK121" s="11" t="e">
        <f>Расчет!GA121</f>
        <v>#N/A</v>
      </c>
      <c r="AL121" s="11" t="e">
        <f>Расчет!GB121</f>
        <v>#N/A</v>
      </c>
      <c r="AM121" s="11" t="e">
        <f>Расчет!GC121</f>
        <v>#N/A</v>
      </c>
      <c r="AN121" s="11" t="e">
        <f>Расчет!GD121</f>
        <v>#N/A</v>
      </c>
      <c r="AO121" s="11" t="e">
        <f>Расчет!GE121</f>
        <v>#N/A</v>
      </c>
      <c r="AP121" s="11" t="e">
        <f>Расчет!GF121</f>
        <v>#N/A</v>
      </c>
      <c r="AQ121" s="11" t="e">
        <f>Расчет!GG121</f>
        <v>#N/A</v>
      </c>
      <c r="AR121" s="11" t="e">
        <f>Расчет!GH121</f>
        <v>#N/A</v>
      </c>
      <c r="AS121" s="11" t="e">
        <f>Расчет!GI121</f>
        <v>#N/A</v>
      </c>
      <c r="AT121" s="11" t="e">
        <f>Расчет!GJ121</f>
        <v>#N/A</v>
      </c>
      <c r="AU121" s="198" t="e">
        <f t="shared" si="15"/>
        <v>#N/A</v>
      </c>
      <c r="AV121" s="198" t="e">
        <f t="shared" si="16"/>
        <v>#N/A</v>
      </c>
      <c r="AW121" s="198" t="e">
        <f t="shared" si="17"/>
        <v>#N/A</v>
      </c>
      <c r="AX121" s="11" t="e">
        <f t="shared" si="18"/>
        <v>#N/A</v>
      </c>
      <c r="AY121" s="11" t="e">
        <f t="shared" si="19"/>
        <v>#N/A</v>
      </c>
      <c r="AZ121" s="11" t="e">
        <f t="shared" si="20"/>
        <v>#N/A</v>
      </c>
    </row>
    <row r="122" spans="1:52" x14ac:dyDescent="0.2">
      <c r="A122" s="6">
        <f>Исходн.данные.!A122</f>
        <v>0</v>
      </c>
      <c r="B122" s="6">
        <f>Исходн.данные.!B122</f>
        <v>0</v>
      </c>
      <c r="C122" s="6">
        <f>Исходн.данные.!C122</f>
        <v>0</v>
      </c>
      <c r="D122" s="6">
        <f>Исходн.данные.!D122</f>
        <v>0</v>
      </c>
      <c r="E122" s="6">
        <f>Исходн.данные.!E122</f>
        <v>0</v>
      </c>
      <c r="F122" s="6">
        <f>Исходн.данные.!AH122</f>
        <v>0</v>
      </c>
      <c r="G122" s="6">
        <f>Исходн.данные.!AJ122</f>
        <v>0</v>
      </c>
      <c r="H122" s="6">
        <f>Исходн.данные.!AK122</f>
        <v>0</v>
      </c>
      <c r="I122" s="9">
        <f>IF($F122=0,0,Расчет2!AO122)</f>
        <v>0</v>
      </c>
      <c r="J122" s="9">
        <f>IF(F122=0,0,Расчет2!AP122)</f>
        <v>0</v>
      </c>
      <c r="K122" s="10">
        <f>IF($F122=0,0,Расчет2!AQ122)</f>
        <v>0</v>
      </c>
      <c r="L122" s="10">
        <f>IF($F122=0,0,Расчет2!AR122)</f>
        <v>0</v>
      </c>
      <c r="M122" s="10">
        <f>IF($F122=0,0,Расчет2!AS122)</f>
        <v>0</v>
      </c>
      <c r="N122" s="10">
        <f>IF($F122=0,0,IF(Исходн.данные.!$AP122="Посл.посева",0,Расчет2!AT122))</f>
        <v>0</v>
      </c>
      <c r="O122" s="10">
        <f>IF($F122=0,0,IF(Исходн.данные.!$AP122="Посл.посева",0,IF(Расчет2!AU122&lt;10,10,Расчет2!AU122)))</f>
        <v>0</v>
      </c>
      <c r="P122" s="10">
        <f>IF($F122=0,0,IF(Исходн.данные.!$AP122="Посл.посева",0,Расчет2!AV122))</f>
        <v>0</v>
      </c>
      <c r="Q122" s="10">
        <f>IF($F122=0,0,Расчет2!AW122)</f>
        <v>0</v>
      </c>
      <c r="R122" s="10">
        <f>IF($F122=0,0,Расчет2!AX122)</f>
        <v>0</v>
      </c>
      <c r="S122" s="9">
        <f>IF($F122=0,0,Расчет2!AY122)</f>
        <v>0</v>
      </c>
      <c r="T122" s="10">
        <f>IF($F122=0,0,Расчет2!AZ122)</f>
        <v>0</v>
      </c>
      <c r="U122" s="10">
        <f>IF($F122=0,0,Расчет2!BA122)</f>
        <v>0</v>
      </c>
      <c r="V122" s="10">
        <f>IF($F122=0,0,Расчет2!BB122)</f>
        <v>0</v>
      </c>
      <c r="W122" s="10">
        <f>Расчет!DL122</f>
        <v>0</v>
      </c>
      <c r="X122" s="10">
        <f>Расчет!DN122</f>
        <v>0</v>
      </c>
      <c r="Y122" s="9">
        <f>X122*Исходн.данные.!$AJ122/1000</f>
        <v>0</v>
      </c>
      <c r="Z122" s="10" t="str">
        <f>Расчет!DO122</f>
        <v>Хлор.калий</v>
      </c>
      <c r="AA122" s="10">
        <f>Расчет!DQ122</f>
        <v>0</v>
      </c>
      <c r="AB122" s="12">
        <f>AA122*Исходн.данные.!$AJ122/1000</f>
        <v>0</v>
      </c>
      <c r="AC122" s="9">
        <f>IF($F122=0,0,Расчет2!BC122)</f>
        <v>0</v>
      </c>
      <c r="AD122" s="10">
        <f>IF($F122=0,0,Расчет2!BD122)</f>
        <v>0</v>
      </c>
      <c r="AE122" s="9">
        <f>IF($F122=0,0,Расчет2!BE122)</f>
        <v>0</v>
      </c>
      <c r="AF122" s="9">
        <f>IF($F122=0,0,Расчет2!BF122)</f>
        <v>0</v>
      </c>
      <c r="AG122" s="9">
        <f>IF($F122=0,0,Расчет2!BG122)</f>
        <v>0</v>
      </c>
      <c r="AI122" s="11" t="e">
        <f>Расчет!FY122</f>
        <v>#N/A</v>
      </c>
      <c r="AJ122" s="11" t="e">
        <f>Расчет!FZ122</f>
        <v>#N/A</v>
      </c>
      <c r="AK122" s="11" t="e">
        <f>Расчет!GA122</f>
        <v>#N/A</v>
      </c>
      <c r="AL122" s="11" t="e">
        <f>Расчет!GB122</f>
        <v>#N/A</v>
      </c>
      <c r="AM122" s="11" t="e">
        <f>Расчет!GC122</f>
        <v>#N/A</v>
      </c>
      <c r="AN122" s="11" t="e">
        <f>Расчет!GD122</f>
        <v>#N/A</v>
      </c>
      <c r="AO122" s="11" t="e">
        <f>Расчет!GE122</f>
        <v>#N/A</v>
      </c>
      <c r="AP122" s="11" t="e">
        <f>Расчет!GF122</f>
        <v>#N/A</v>
      </c>
      <c r="AQ122" s="11" t="e">
        <f>Расчет!GG122</f>
        <v>#N/A</v>
      </c>
      <c r="AR122" s="11" t="e">
        <f>Расчет!GH122</f>
        <v>#N/A</v>
      </c>
      <c r="AS122" s="11" t="e">
        <f>Расчет!GI122</f>
        <v>#N/A</v>
      </c>
      <c r="AT122" s="11" t="e">
        <f>Расчет!GJ122</f>
        <v>#N/A</v>
      </c>
      <c r="AU122" s="198" t="e">
        <f t="shared" si="15"/>
        <v>#N/A</v>
      </c>
      <c r="AV122" s="198" t="e">
        <f t="shared" si="16"/>
        <v>#N/A</v>
      </c>
      <c r="AW122" s="198" t="e">
        <f t="shared" si="17"/>
        <v>#N/A</v>
      </c>
      <c r="AX122" s="11" t="e">
        <f t="shared" si="18"/>
        <v>#N/A</v>
      </c>
      <c r="AY122" s="11" t="e">
        <f t="shared" si="19"/>
        <v>#N/A</v>
      </c>
      <c r="AZ122" s="11" t="e">
        <f t="shared" si="20"/>
        <v>#N/A</v>
      </c>
    </row>
    <row r="123" spans="1:52" x14ac:dyDescent="0.2">
      <c r="A123" s="6">
        <f>Исходн.данные.!A123</f>
        <v>0</v>
      </c>
      <c r="B123" s="6">
        <f>Исходн.данные.!B123</f>
        <v>0</v>
      </c>
      <c r="C123" s="6">
        <f>Исходн.данные.!C123</f>
        <v>0</v>
      </c>
      <c r="D123" s="6">
        <f>Исходн.данные.!D123</f>
        <v>0</v>
      </c>
      <c r="E123" s="6">
        <f>Исходн.данные.!E123</f>
        <v>0</v>
      </c>
      <c r="F123" s="6">
        <f>Исходн.данные.!AH123</f>
        <v>0</v>
      </c>
      <c r="G123" s="6">
        <f>Исходн.данные.!AJ123</f>
        <v>0</v>
      </c>
      <c r="H123" s="6">
        <f>Исходн.данные.!AK123</f>
        <v>0</v>
      </c>
      <c r="I123" s="9">
        <f>IF($F123=0,0,Расчет2!AO123)</f>
        <v>0</v>
      </c>
      <c r="J123" s="9">
        <f>IF(F123=0,0,Расчет2!AP123)</f>
        <v>0</v>
      </c>
      <c r="K123" s="10">
        <f>IF($F123=0,0,Расчет2!AQ123)</f>
        <v>0</v>
      </c>
      <c r="L123" s="10">
        <f>IF($F123=0,0,Расчет2!AR123)</f>
        <v>0</v>
      </c>
      <c r="M123" s="10">
        <f>IF($F123=0,0,Расчет2!AS123)</f>
        <v>0</v>
      </c>
      <c r="N123" s="10">
        <f>IF($F123=0,0,IF(Исходн.данные.!$AP123="Посл.посева",0,Расчет2!AT123))</f>
        <v>0</v>
      </c>
      <c r="O123" s="10">
        <f>IF($F123=0,0,IF(Исходн.данные.!$AP123="Посл.посева",0,IF(Расчет2!AU123&lt;10,10,Расчет2!AU123)))</f>
        <v>0</v>
      </c>
      <c r="P123" s="10">
        <f>IF($F123=0,0,IF(Исходн.данные.!$AP123="Посл.посева",0,Расчет2!AV123))</f>
        <v>0</v>
      </c>
      <c r="Q123" s="10">
        <f>IF($F123=0,0,Расчет2!AW123)</f>
        <v>0</v>
      </c>
      <c r="R123" s="10">
        <f>IF($F123=0,0,Расчет2!AX123)</f>
        <v>0</v>
      </c>
      <c r="S123" s="9">
        <f>IF($F123=0,0,Расчет2!AY123)</f>
        <v>0</v>
      </c>
      <c r="T123" s="10">
        <f>IF($F123=0,0,Расчет2!AZ123)</f>
        <v>0</v>
      </c>
      <c r="U123" s="10">
        <f>IF($F123=0,0,Расчет2!BA123)</f>
        <v>0</v>
      </c>
      <c r="V123" s="10">
        <f>IF($F123=0,0,Расчет2!BB123)</f>
        <v>0</v>
      </c>
      <c r="W123" s="10">
        <f>Расчет!DL123</f>
        <v>0</v>
      </c>
      <c r="X123" s="10">
        <f>Расчет!DN123</f>
        <v>0</v>
      </c>
      <c r="Y123" s="9">
        <f>X123*Исходн.данные.!$AJ123/1000</f>
        <v>0</v>
      </c>
      <c r="Z123" s="10" t="str">
        <f>Расчет!DO123</f>
        <v>Хлор.калий</v>
      </c>
      <c r="AA123" s="10">
        <f>Расчет!DQ123</f>
        <v>0</v>
      </c>
      <c r="AB123" s="12">
        <f>AA123*Исходн.данные.!$AJ123/1000</f>
        <v>0</v>
      </c>
      <c r="AC123" s="9">
        <f>IF($F123=0,0,Расчет2!BC123)</f>
        <v>0</v>
      </c>
      <c r="AD123" s="10">
        <f>IF($F123=0,0,Расчет2!BD123)</f>
        <v>0</v>
      </c>
      <c r="AE123" s="9">
        <f>IF($F123=0,0,Расчет2!BE123)</f>
        <v>0</v>
      </c>
      <c r="AF123" s="9">
        <f>IF($F123=0,0,Расчет2!BF123)</f>
        <v>0</v>
      </c>
      <c r="AG123" s="9">
        <f>IF($F123=0,0,Расчет2!BG123)</f>
        <v>0</v>
      </c>
      <c r="AI123" s="11" t="e">
        <f>Расчет!FY123</f>
        <v>#N/A</v>
      </c>
      <c r="AJ123" s="11" t="e">
        <f>Расчет!FZ123</f>
        <v>#N/A</v>
      </c>
      <c r="AK123" s="11" t="e">
        <f>Расчет!GA123</f>
        <v>#N/A</v>
      </c>
      <c r="AL123" s="11" t="e">
        <f>Расчет!GB123</f>
        <v>#N/A</v>
      </c>
      <c r="AM123" s="11" t="e">
        <f>Расчет!GC123</f>
        <v>#N/A</v>
      </c>
      <c r="AN123" s="11" t="e">
        <f>Расчет!GD123</f>
        <v>#N/A</v>
      </c>
      <c r="AO123" s="11" t="e">
        <f>Расчет!GE123</f>
        <v>#N/A</v>
      </c>
      <c r="AP123" s="11" t="e">
        <f>Расчет!GF123</f>
        <v>#N/A</v>
      </c>
      <c r="AQ123" s="11" t="e">
        <f>Расчет!GG123</f>
        <v>#N/A</v>
      </c>
      <c r="AR123" s="11" t="e">
        <f>Расчет!GH123</f>
        <v>#N/A</v>
      </c>
      <c r="AS123" s="11" t="e">
        <f>Расчет!GI123</f>
        <v>#N/A</v>
      </c>
      <c r="AT123" s="11" t="e">
        <f>Расчет!GJ123</f>
        <v>#N/A</v>
      </c>
      <c r="AU123" s="198" t="e">
        <f t="shared" si="15"/>
        <v>#N/A</v>
      </c>
      <c r="AV123" s="198" t="e">
        <f t="shared" si="16"/>
        <v>#N/A</v>
      </c>
      <c r="AW123" s="198" t="e">
        <f t="shared" si="17"/>
        <v>#N/A</v>
      </c>
      <c r="AX123" s="11" t="e">
        <f t="shared" si="18"/>
        <v>#N/A</v>
      </c>
      <c r="AY123" s="11" t="e">
        <f t="shared" si="19"/>
        <v>#N/A</v>
      </c>
      <c r="AZ123" s="11" t="e">
        <f t="shared" si="20"/>
        <v>#N/A</v>
      </c>
    </row>
    <row r="124" spans="1:52" x14ac:dyDescent="0.2">
      <c r="A124" s="6">
        <f>Исходн.данные.!A124</f>
        <v>0</v>
      </c>
      <c r="B124" s="6">
        <f>Исходн.данные.!B124</f>
        <v>0</v>
      </c>
      <c r="C124" s="6">
        <f>Исходн.данные.!C124</f>
        <v>0</v>
      </c>
      <c r="D124" s="6">
        <f>Исходн.данные.!D124</f>
        <v>0</v>
      </c>
      <c r="E124" s="6">
        <f>Исходн.данные.!E124</f>
        <v>0</v>
      </c>
      <c r="F124" s="6">
        <f>Исходн.данные.!AH124</f>
        <v>0</v>
      </c>
      <c r="G124" s="6">
        <f>Исходн.данные.!AJ124</f>
        <v>0</v>
      </c>
      <c r="H124" s="6">
        <f>Исходн.данные.!AK124</f>
        <v>0</v>
      </c>
      <c r="I124" s="9">
        <f>IF($F124=0,0,Расчет2!AO124)</f>
        <v>0</v>
      </c>
      <c r="J124" s="9">
        <f>IF(F124=0,0,Расчет2!AP124)</f>
        <v>0</v>
      </c>
      <c r="K124" s="10">
        <f>IF($F124=0,0,Расчет2!AQ124)</f>
        <v>0</v>
      </c>
      <c r="L124" s="10">
        <f>IF($F124=0,0,Расчет2!AR124)</f>
        <v>0</v>
      </c>
      <c r="M124" s="10">
        <f>IF($F124=0,0,Расчет2!AS124)</f>
        <v>0</v>
      </c>
      <c r="N124" s="10">
        <f>IF($F124=0,0,IF(Исходн.данные.!$AP124="Посл.посева",0,Расчет2!AT124))</f>
        <v>0</v>
      </c>
      <c r="O124" s="10">
        <f>IF($F124=0,0,IF(Исходн.данные.!$AP124="Посл.посева",0,IF(Расчет2!AU124&lt;10,10,Расчет2!AU124)))</f>
        <v>0</v>
      </c>
      <c r="P124" s="10">
        <f>IF($F124=0,0,IF(Исходн.данные.!$AP124="Посл.посева",0,Расчет2!AV124))</f>
        <v>0</v>
      </c>
      <c r="Q124" s="10">
        <f>IF($F124=0,0,Расчет2!AW124)</f>
        <v>0</v>
      </c>
      <c r="R124" s="10">
        <f>IF($F124=0,0,Расчет2!AX124)</f>
        <v>0</v>
      </c>
      <c r="S124" s="9">
        <f>IF($F124=0,0,Расчет2!AY124)</f>
        <v>0</v>
      </c>
      <c r="T124" s="10">
        <f>IF($F124=0,0,Расчет2!AZ124)</f>
        <v>0</v>
      </c>
      <c r="U124" s="10">
        <f>IF($F124=0,0,Расчет2!BA124)</f>
        <v>0</v>
      </c>
      <c r="V124" s="10">
        <f>IF($F124=0,0,Расчет2!BB124)</f>
        <v>0</v>
      </c>
      <c r="W124" s="10">
        <f>Расчет!DL124</f>
        <v>0</v>
      </c>
      <c r="X124" s="10">
        <f>Расчет!DN124</f>
        <v>0</v>
      </c>
      <c r="Y124" s="9">
        <f>X124*Исходн.данные.!$AJ124/1000</f>
        <v>0</v>
      </c>
      <c r="Z124" s="10" t="str">
        <f>Расчет!DO124</f>
        <v>Хлор.калий</v>
      </c>
      <c r="AA124" s="10">
        <f>Расчет!DQ124</f>
        <v>0</v>
      </c>
      <c r="AB124" s="12">
        <f>AA124*Исходн.данные.!$AJ124/1000</f>
        <v>0</v>
      </c>
      <c r="AC124" s="9">
        <f>IF($F124=0,0,Расчет2!BC124)</f>
        <v>0</v>
      </c>
      <c r="AD124" s="10">
        <f>IF($F124=0,0,Расчет2!BD124)</f>
        <v>0</v>
      </c>
      <c r="AE124" s="9">
        <f>IF($F124=0,0,Расчет2!BE124)</f>
        <v>0</v>
      </c>
      <c r="AF124" s="9">
        <f>IF($F124=0,0,Расчет2!BF124)</f>
        <v>0</v>
      </c>
      <c r="AG124" s="9">
        <f>IF($F124=0,0,Расчет2!BG124)</f>
        <v>0</v>
      </c>
      <c r="AI124" s="11" t="e">
        <f>Расчет!FY124</f>
        <v>#N/A</v>
      </c>
      <c r="AJ124" s="11" t="e">
        <f>Расчет!FZ124</f>
        <v>#N/A</v>
      </c>
      <c r="AK124" s="11" t="e">
        <f>Расчет!GA124</f>
        <v>#N/A</v>
      </c>
      <c r="AL124" s="11" t="e">
        <f>Расчет!GB124</f>
        <v>#N/A</v>
      </c>
      <c r="AM124" s="11" t="e">
        <f>Расчет!GC124</f>
        <v>#N/A</v>
      </c>
      <c r="AN124" s="11" t="e">
        <f>Расчет!GD124</f>
        <v>#N/A</v>
      </c>
      <c r="AO124" s="11" t="e">
        <f>Расчет!GE124</f>
        <v>#N/A</v>
      </c>
      <c r="AP124" s="11" t="e">
        <f>Расчет!GF124</f>
        <v>#N/A</v>
      </c>
      <c r="AQ124" s="11" t="e">
        <f>Расчет!GG124</f>
        <v>#N/A</v>
      </c>
      <c r="AR124" s="11" t="e">
        <f>Расчет!GH124</f>
        <v>#N/A</v>
      </c>
      <c r="AS124" s="11" t="e">
        <f>Расчет!GI124</f>
        <v>#N/A</v>
      </c>
      <c r="AT124" s="11" t="e">
        <f>Расчет!GJ124</f>
        <v>#N/A</v>
      </c>
      <c r="AU124" s="198" t="e">
        <f t="shared" si="15"/>
        <v>#N/A</v>
      </c>
      <c r="AV124" s="198" t="e">
        <f t="shared" si="16"/>
        <v>#N/A</v>
      </c>
      <c r="AW124" s="198" t="e">
        <f t="shared" si="17"/>
        <v>#N/A</v>
      </c>
      <c r="AX124" s="11" t="e">
        <f t="shared" si="18"/>
        <v>#N/A</v>
      </c>
      <c r="AY124" s="11" t="e">
        <f t="shared" si="19"/>
        <v>#N/A</v>
      </c>
      <c r="AZ124" s="11" t="e">
        <f t="shared" si="20"/>
        <v>#N/A</v>
      </c>
    </row>
    <row r="125" spans="1:52" x14ac:dyDescent="0.2">
      <c r="A125" s="6">
        <f>Исходн.данные.!A125</f>
        <v>0</v>
      </c>
      <c r="B125" s="6">
        <f>Исходн.данные.!B125</f>
        <v>0</v>
      </c>
      <c r="C125" s="6">
        <f>Исходн.данные.!C125</f>
        <v>0</v>
      </c>
      <c r="D125" s="6">
        <f>Исходн.данные.!D125</f>
        <v>0</v>
      </c>
      <c r="E125" s="6">
        <f>Исходн.данные.!E125</f>
        <v>0</v>
      </c>
      <c r="F125" s="6">
        <f>Исходн.данные.!AH125</f>
        <v>0</v>
      </c>
      <c r="G125" s="6">
        <f>Исходн.данные.!AJ125</f>
        <v>0</v>
      </c>
      <c r="H125" s="6">
        <f>Исходн.данные.!AK125</f>
        <v>0</v>
      </c>
      <c r="I125" s="9">
        <f>IF($F125=0,0,Расчет2!AO125)</f>
        <v>0</v>
      </c>
      <c r="J125" s="9">
        <f>IF(F125=0,0,Расчет2!AP125)</f>
        <v>0</v>
      </c>
      <c r="K125" s="10">
        <f>IF($F125=0,0,Расчет2!AQ125)</f>
        <v>0</v>
      </c>
      <c r="L125" s="10">
        <f>IF($F125=0,0,Расчет2!AR125)</f>
        <v>0</v>
      </c>
      <c r="M125" s="10">
        <f>IF($F125=0,0,Расчет2!AS125)</f>
        <v>0</v>
      </c>
      <c r="N125" s="10">
        <f>IF($F125=0,0,IF(Исходн.данные.!$AP125="Посл.посева",0,Расчет2!AT125))</f>
        <v>0</v>
      </c>
      <c r="O125" s="10">
        <f>IF($F125=0,0,IF(Исходн.данные.!$AP125="Посл.посева",0,IF(Расчет2!AU125&lt;10,10,Расчет2!AU125)))</f>
        <v>0</v>
      </c>
      <c r="P125" s="10">
        <f>IF($F125=0,0,IF(Исходн.данные.!$AP125="Посл.посева",0,Расчет2!AV125))</f>
        <v>0</v>
      </c>
      <c r="Q125" s="10">
        <f>IF($F125=0,0,Расчет2!AW125)</f>
        <v>0</v>
      </c>
      <c r="R125" s="10">
        <f>IF($F125=0,0,Расчет2!AX125)</f>
        <v>0</v>
      </c>
      <c r="S125" s="9">
        <f>IF($F125=0,0,Расчет2!AY125)</f>
        <v>0</v>
      </c>
      <c r="T125" s="10">
        <f>IF($F125=0,0,Расчет2!AZ125)</f>
        <v>0</v>
      </c>
      <c r="U125" s="10">
        <f>IF($F125=0,0,Расчет2!BA125)</f>
        <v>0</v>
      </c>
      <c r="V125" s="10">
        <f>IF($F125=0,0,Расчет2!BB125)</f>
        <v>0</v>
      </c>
      <c r="W125" s="10">
        <f>Расчет!DL125</f>
        <v>0</v>
      </c>
      <c r="X125" s="10">
        <f>Расчет!DN125</f>
        <v>0</v>
      </c>
      <c r="Y125" s="9">
        <f>X125*Исходн.данные.!$AJ125/1000</f>
        <v>0</v>
      </c>
      <c r="Z125" s="10" t="str">
        <f>Расчет!DO125</f>
        <v>Хлор.калий</v>
      </c>
      <c r="AA125" s="10">
        <f>Расчет!DQ125</f>
        <v>0</v>
      </c>
      <c r="AB125" s="12">
        <f>AA125*Исходн.данные.!$AJ125/1000</f>
        <v>0</v>
      </c>
      <c r="AC125" s="9">
        <f>IF($F125=0,0,Расчет2!BC125)</f>
        <v>0</v>
      </c>
      <c r="AD125" s="10">
        <f>IF($F125=0,0,Расчет2!BD125)</f>
        <v>0</v>
      </c>
      <c r="AE125" s="9">
        <f>IF($F125=0,0,Расчет2!BE125)</f>
        <v>0</v>
      </c>
      <c r="AF125" s="9">
        <f>IF($F125=0,0,Расчет2!BF125)</f>
        <v>0</v>
      </c>
      <c r="AG125" s="9">
        <f>IF($F125=0,0,Расчет2!BG125)</f>
        <v>0</v>
      </c>
      <c r="AI125" s="11" t="e">
        <f>Расчет!FY125</f>
        <v>#N/A</v>
      </c>
      <c r="AJ125" s="11" t="e">
        <f>Расчет!FZ125</f>
        <v>#N/A</v>
      </c>
      <c r="AK125" s="11" t="e">
        <f>Расчет!GA125</f>
        <v>#N/A</v>
      </c>
      <c r="AL125" s="11" t="e">
        <f>Расчет!GB125</f>
        <v>#N/A</v>
      </c>
      <c r="AM125" s="11" t="e">
        <f>Расчет!GC125</f>
        <v>#N/A</v>
      </c>
      <c r="AN125" s="11" t="e">
        <f>Расчет!GD125</f>
        <v>#N/A</v>
      </c>
      <c r="AO125" s="11" t="e">
        <f>Расчет!GE125</f>
        <v>#N/A</v>
      </c>
      <c r="AP125" s="11" t="e">
        <f>Расчет!GF125</f>
        <v>#N/A</v>
      </c>
      <c r="AQ125" s="11" t="e">
        <f>Расчет!GG125</f>
        <v>#N/A</v>
      </c>
      <c r="AR125" s="11" t="e">
        <f>Расчет!GH125</f>
        <v>#N/A</v>
      </c>
      <c r="AS125" s="11" t="e">
        <f>Расчет!GI125</f>
        <v>#N/A</v>
      </c>
      <c r="AT125" s="11" t="e">
        <f>Расчет!GJ125</f>
        <v>#N/A</v>
      </c>
      <c r="AU125" s="198" t="e">
        <f t="shared" si="15"/>
        <v>#N/A</v>
      </c>
      <c r="AV125" s="198" t="e">
        <f t="shared" si="16"/>
        <v>#N/A</v>
      </c>
      <c r="AW125" s="198" t="e">
        <f t="shared" si="17"/>
        <v>#N/A</v>
      </c>
      <c r="AX125" s="11" t="e">
        <f t="shared" si="18"/>
        <v>#N/A</v>
      </c>
      <c r="AY125" s="11" t="e">
        <f t="shared" si="19"/>
        <v>#N/A</v>
      </c>
      <c r="AZ125" s="11" t="e">
        <f t="shared" si="20"/>
        <v>#N/A</v>
      </c>
    </row>
    <row r="126" spans="1:52" x14ac:dyDescent="0.2">
      <c r="A126" s="6">
        <f>Исходн.данные.!A126</f>
        <v>0</v>
      </c>
      <c r="B126" s="6">
        <f>Исходн.данные.!B126</f>
        <v>0</v>
      </c>
      <c r="C126" s="6">
        <f>Исходн.данные.!C126</f>
        <v>0</v>
      </c>
      <c r="D126" s="6">
        <f>Исходн.данные.!D126</f>
        <v>0</v>
      </c>
      <c r="E126" s="6">
        <f>Исходн.данные.!E126</f>
        <v>0</v>
      </c>
      <c r="F126" s="6">
        <f>Исходн.данные.!AH126</f>
        <v>0</v>
      </c>
      <c r="G126" s="6">
        <f>Исходн.данные.!AJ126</f>
        <v>0</v>
      </c>
      <c r="H126" s="6">
        <f>Исходн.данные.!AK126</f>
        <v>0</v>
      </c>
      <c r="I126" s="9">
        <f>IF($F126=0,0,Расчет2!AO126)</f>
        <v>0</v>
      </c>
      <c r="J126" s="9">
        <f>IF(F126=0,0,Расчет2!AP126)</f>
        <v>0</v>
      </c>
      <c r="K126" s="10">
        <f>IF($F126=0,0,Расчет2!AQ126)</f>
        <v>0</v>
      </c>
      <c r="L126" s="10">
        <f>IF($F126=0,0,Расчет2!AR126)</f>
        <v>0</v>
      </c>
      <c r="M126" s="10">
        <f>IF($F126=0,0,Расчет2!AS126)</f>
        <v>0</v>
      </c>
      <c r="N126" s="10">
        <f>IF($F126=0,0,IF(Исходн.данные.!$AP126="Посл.посева",0,Расчет2!AT126))</f>
        <v>0</v>
      </c>
      <c r="O126" s="10">
        <f>IF($F126=0,0,IF(Исходн.данные.!$AP126="Посл.посева",0,IF(Расчет2!AU126&lt;10,10,Расчет2!AU126)))</f>
        <v>0</v>
      </c>
      <c r="P126" s="10">
        <f>IF($F126=0,0,IF(Исходн.данные.!$AP126="Посл.посева",0,Расчет2!AV126))</f>
        <v>0</v>
      </c>
      <c r="Q126" s="10">
        <f>IF($F126=0,0,Расчет2!AW126)</f>
        <v>0</v>
      </c>
      <c r="R126" s="10">
        <f>IF($F126=0,0,Расчет2!AX126)</f>
        <v>0</v>
      </c>
      <c r="S126" s="9">
        <f>IF($F126=0,0,Расчет2!AY126)</f>
        <v>0</v>
      </c>
      <c r="T126" s="10">
        <f>IF($F126=0,0,Расчет2!AZ126)</f>
        <v>0</v>
      </c>
      <c r="U126" s="10">
        <f>IF($F126=0,0,Расчет2!BA126)</f>
        <v>0</v>
      </c>
      <c r="V126" s="10">
        <f>IF($F126=0,0,Расчет2!BB126)</f>
        <v>0</v>
      </c>
      <c r="W126" s="10">
        <f>Расчет!DL126</f>
        <v>0</v>
      </c>
      <c r="X126" s="10">
        <f>Расчет!DN126</f>
        <v>0</v>
      </c>
      <c r="Y126" s="9">
        <f>X126*Исходн.данные.!$AJ126/1000</f>
        <v>0</v>
      </c>
      <c r="Z126" s="10" t="str">
        <f>Расчет!DO126</f>
        <v>Хлор.калий</v>
      </c>
      <c r="AA126" s="10">
        <f>Расчет!DQ126</f>
        <v>0</v>
      </c>
      <c r="AB126" s="12">
        <f>AA126*Исходн.данные.!$AJ126/1000</f>
        <v>0</v>
      </c>
      <c r="AC126" s="9">
        <f>IF($F126=0,0,Расчет2!BC126)</f>
        <v>0</v>
      </c>
      <c r="AD126" s="10">
        <f>IF($F126=0,0,Расчет2!BD126)</f>
        <v>0</v>
      </c>
      <c r="AE126" s="9">
        <f>IF($F126=0,0,Расчет2!BE126)</f>
        <v>0</v>
      </c>
      <c r="AF126" s="9">
        <f>IF($F126=0,0,Расчет2!BF126)</f>
        <v>0</v>
      </c>
      <c r="AG126" s="9">
        <f>IF($F126=0,0,Расчет2!BG126)</f>
        <v>0</v>
      </c>
      <c r="AI126" s="11" t="e">
        <f>Расчет!FY126</f>
        <v>#N/A</v>
      </c>
      <c r="AJ126" s="11" t="e">
        <f>Расчет!FZ126</f>
        <v>#N/A</v>
      </c>
      <c r="AK126" s="11" t="e">
        <f>Расчет!GA126</f>
        <v>#N/A</v>
      </c>
      <c r="AL126" s="11" t="e">
        <f>Расчет!GB126</f>
        <v>#N/A</v>
      </c>
      <c r="AM126" s="11" t="e">
        <f>Расчет!GC126</f>
        <v>#N/A</v>
      </c>
      <c r="AN126" s="11" t="e">
        <f>Расчет!GD126</f>
        <v>#N/A</v>
      </c>
      <c r="AO126" s="11" t="e">
        <f>Расчет!GE126</f>
        <v>#N/A</v>
      </c>
      <c r="AP126" s="11" t="e">
        <f>Расчет!GF126</f>
        <v>#N/A</v>
      </c>
      <c r="AQ126" s="11" t="e">
        <f>Расчет!GG126</f>
        <v>#N/A</v>
      </c>
      <c r="AR126" s="11" t="e">
        <f>Расчет!GH126</f>
        <v>#N/A</v>
      </c>
      <c r="AS126" s="11" t="e">
        <f>Расчет!GI126</f>
        <v>#N/A</v>
      </c>
      <c r="AT126" s="11" t="e">
        <f>Расчет!GJ126</f>
        <v>#N/A</v>
      </c>
      <c r="AU126" s="198" t="e">
        <f t="shared" si="15"/>
        <v>#N/A</v>
      </c>
      <c r="AV126" s="198" t="e">
        <f t="shared" si="16"/>
        <v>#N/A</v>
      </c>
      <c r="AW126" s="198" t="e">
        <f t="shared" si="17"/>
        <v>#N/A</v>
      </c>
      <c r="AX126" s="11" t="e">
        <f t="shared" si="18"/>
        <v>#N/A</v>
      </c>
      <c r="AY126" s="11" t="e">
        <f t="shared" si="19"/>
        <v>#N/A</v>
      </c>
      <c r="AZ126" s="11" t="e">
        <f t="shared" si="20"/>
        <v>#N/A</v>
      </c>
    </row>
    <row r="127" spans="1:52" x14ac:dyDescent="0.2">
      <c r="A127" s="6">
        <f>Исходн.данные.!A127</f>
        <v>0</v>
      </c>
      <c r="B127" s="6">
        <f>Исходн.данные.!B127</f>
        <v>0</v>
      </c>
      <c r="C127" s="6">
        <f>Исходн.данные.!C127</f>
        <v>0</v>
      </c>
      <c r="D127" s="6">
        <f>Исходн.данные.!D127</f>
        <v>0</v>
      </c>
      <c r="E127" s="6">
        <f>Исходн.данные.!E127</f>
        <v>0</v>
      </c>
      <c r="F127" s="6">
        <f>Исходн.данные.!AH127</f>
        <v>0</v>
      </c>
      <c r="G127" s="6">
        <f>Исходн.данные.!AJ127</f>
        <v>0</v>
      </c>
      <c r="H127" s="6">
        <f>Исходн.данные.!AK127</f>
        <v>0</v>
      </c>
      <c r="I127" s="9">
        <f>IF($F127=0,0,Расчет2!AO127)</f>
        <v>0</v>
      </c>
      <c r="J127" s="9">
        <f>IF(F127=0,0,Расчет2!AP127)</f>
        <v>0</v>
      </c>
      <c r="K127" s="10">
        <f>IF($F127=0,0,Расчет2!AQ127)</f>
        <v>0</v>
      </c>
      <c r="L127" s="10">
        <f>IF($F127=0,0,Расчет2!AR127)</f>
        <v>0</v>
      </c>
      <c r="M127" s="10">
        <f>IF($F127=0,0,Расчет2!AS127)</f>
        <v>0</v>
      </c>
      <c r="N127" s="10">
        <f>IF($F127=0,0,IF(Исходн.данные.!$AP127="Посл.посева",0,Расчет2!AT127))</f>
        <v>0</v>
      </c>
      <c r="O127" s="10">
        <f>IF($F127=0,0,IF(Исходн.данные.!$AP127="Посл.посева",0,IF(Расчет2!AU127&lt;10,10,Расчет2!AU127)))</f>
        <v>0</v>
      </c>
      <c r="P127" s="10">
        <f>IF($F127=0,0,IF(Исходн.данные.!$AP127="Посл.посева",0,Расчет2!AV127))</f>
        <v>0</v>
      </c>
      <c r="Q127" s="10">
        <f>IF($F127=0,0,Расчет2!AW127)</f>
        <v>0</v>
      </c>
      <c r="R127" s="10">
        <f>IF($F127=0,0,Расчет2!AX127)</f>
        <v>0</v>
      </c>
      <c r="S127" s="9">
        <f>IF($F127=0,0,Расчет2!AY127)</f>
        <v>0</v>
      </c>
      <c r="T127" s="10">
        <f>IF($F127=0,0,Расчет2!AZ127)</f>
        <v>0</v>
      </c>
      <c r="U127" s="10">
        <f>IF($F127=0,0,Расчет2!BA127)</f>
        <v>0</v>
      </c>
      <c r="V127" s="10">
        <f>IF($F127=0,0,Расчет2!BB127)</f>
        <v>0</v>
      </c>
      <c r="W127" s="10">
        <f>Расчет!DL127</f>
        <v>0</v>
      </c>
      <c r="X127" s="10">
        <f>Расчет!DN127</f>
        <v>0</v>
      </c>
      <c r="Y127" s="9">
        <f>X127*Исходн.данные.!$AJ127/1000</f>
        <v>0</v>
      </c>
      <c r="Z127" s="10" t="str">
        <f>Расчет!DO127</f>
        <v>Хлор.калий</v>
      </c>
      <c r="AA127" s="10">
        <f>Расчет!DQ127</f>
        <v>0</v>
      </c>
      <c r="AB127" s="12">
        <f>AA127*Исходн.данные.!$AJ127/1000</f>
        <v>0</v>
      </c>
      <c r="AC127" s="9">
        <f>IF($F127=0,0,Расчет2!BC127)</f>
        <v>0</v>
      </c>
      <c r="AD127" s="10">
        <f>IF($F127=0,0,Расчет2!BD127)</f>
        <v>0</v>
      </c>
      <c r="AE127" s="9">
        <f>IF($F127=0,0,Расчет2!BE127)</f>
        <v>0</v>
      </c>
      <c r="AF127" s="9">
        <f>IF($F127=0,0,Расчет2!BF127)</f>
        <v>0</v>
      </c>
      <c r="AG127" s="9">
        <f>IF($F127=0,0,Расчет2!BG127)</f>
        <v>0</v>
      </c>
      <c r="AI127" s="11" t="e">
        <f>Расчет!FY127</f>
        <v>#N/A</v>
      </c>
      <c r="AJ127" s="11" t="e">
        <f>Расчет!FZ127</f>
        <v>#N/A</v>
      </c>
      <c r="AK127" s="11" t="e">
        <f>Расчет!GA127</f>
        <v>#N/A</v>
      </c>
      <c r="AL127" s="11" t="e">
        <f>Расчет!GB127</f>
        <v>#N/A</v>
      </c>
      <c r="AM127" s="11" t="e">
        <f>Расчет!GC127</f>
        <v>#N/A</v>
      </c>
      <c r="AN127" s="11" t="e">
        <f>Расчет!GD127</f>
        <v>#N/A</v>
      </c>
      <c r="AO127" s="11" t="e">
        <f>Расчет!GE127</f>
        <v>#N/A</v>
      </c>
      <c r="AP127" s="11" t="e">
        <f>Расчет!GF127</f>
        <v>#N/A</v>
      </c>
      <c r="AQ127" s="11" t="e">
        <f>Расчет!GG127</f>
        <v>#N/A</v>
      </c>
      <c r="AR127" s="11" t="e">
        <f>Расчет!GH127</f>
        <v>#N/A</v>
      </c>
      <c r="AS127" s="11" t="e">
        <f>Расчет!GI127</f>
        <v>#N/A</v>
      </c>
      <c r="AT127" s="11" t="e">
        <f>Расчет!GJ127</f>
        <v>#N/A</v>
      </c>
      <c r="AU127" s="198" t="e">
        <f t="shared" si="15"/>
        <v>#N/A</v>
      </c>
      <c r="AV127" s="198" t="e">
        <f t="shared" si="16"/>
        <v>#N/A</v>
      </c>
      <c r="AW127" s="198" t="e">
        <f t="shared" si="17"/>
        <v>#N/A</v>
      </c>
      <c r="AX127" s="11" t="e">
        <f t="shared" si="18"/>
        <v>#N/A</v>
      </c>
      <c r="AY127" s="11" t="e">
        <f t="shared" si="19"/>
        <v>#N/A</v>
      </c>
      <c r="AZ127" s="11" t="e">
        <f t="shared" si="20"/>
        <v>#N/A</v>
      </c>
    </row>
    <row r="128" spans="1:52" x14ac:dyDescent="0.2">
      <c r="A128" s="6">
        <f>Исходн.данные.!A128</f>
        <v>0</v>
      </c>
      <c r="B128" s="6">
        <f>Исходн.данные.!B128</f>
        <v>0</v>
      </c>
      <c r="C128" s="6">
        <f>Исходн.данные.!C128</f>
        <v>0</v>
      </c>
      <c r="D128" s="6">
        <f>Исходн.данные.!D128</f>
        <v>0</v>
      </c>
      <c r="E128" s="6">
        <f>Исходн.данные.!E128</f>
        <v>0</v>
      </c>
      <c r="F128" s="6">
        <f>Исходн.данные.!AH128</f>
        <v>0</v>
      </c>
      <c r="G128" s="6">
        <f>Исходн.данные.!AJ128</f>
        <v>0</v>
      </c>
      <c r="H128" s="6">
        <f>Исходн.данные.!AK128</f>
        <v>0</v>
      </c>
      <c r="I128" s="9">
        <f>IF($F128=0,0,Расчет2!AO128)</f>
        <v>0</v>
      </c>
      <c r="J128" s="9">
        <f>IF(F128=0,0,Расчет2!AP128)</f>
        <v>0</v>
      </c>
      <c r="K128" s="10">
        <f>IF($F128=0,0,Расчет2!AQ128)</f>
        <v>0</v>
      </c>
      <c r="L128" s="10">
        <f>IF($F128=0,0,Расчет2!AR128)</f>
        <v>0</v>
      </c>
      <c r="M128" s="10">
        <f>IF($F128=0,0,Расчет2!AS128)</f>
        <v>0</v>
      </c>
      <c r="N128" s="10">
        <f>IF($F128=0,0,IF(Исходн.данные.!$AP128="Посл.посева",0,Расчет2!AT128))</f>
        <v>0</v>
      </c>
      <c r="O128" s="10">
        <f>IF($F128=0,0,IF(Исходн.данные.!$AP128="Посл.посева",0,IF(Расчет2!AU128&lt;10,10,Расчет2!AU128)))</f>
        <v>0</v>
      </c>
      <c r="P128" s="10">
        <f>IF($F128=0,0,IF(Исходн.данные.!$AP128="Посл.посева",0,Расчет2!AV128))</f>
        <v>0</v>
      </c>
      <c r="Q128" s="10">
        <f>IF($F128=0,0,Расчет2!AW128)</f>
        <v>0</v>
      </c>
      <c r="R128" s="10">
        <f>IF($F128=0,0,Расчет2!AX128)</f>
        <v>0</v>
      </c>
      <c r="S128" s="9">
        <f>IF($F128=0,0,Расчет2!AY128)</f>
        <v>0</v>
      </c>
      <c r="T128" s="10">
        <f>IF($F128=0,0,Расчет2!AZ128)</f>
        <v>0</v>
      </c>
      <c r="U128" s="10">
        <f>IF($F128=0,0,Расчет2!BA128)</f>
        <v>0</v>
      </c>
      <c r="V128" s="10">
        <f>IF($F128=0,0,Расчет2!BB128)</f>
        <v>0</v>
      </c>
      <c r="W128" s="10">
        <f>Расчет!DL128</f>
        <v>0</v>
      </c>
      <c r="X128" s="10">
        <f>Расчет!DN128</f>
        <v>0</v>
      </c>
      <c r="Y128" s="9">
        <f>X128*Исходн.данные.!$AJ128/1000</f>
        <v>0</v>
      </c>
      <c r="Z128" s="10" t="str">
        <f>Расчет!DO128</f>
        <v>Хлор.калий</v>
      </c>
      <c r="AA128" s="10">
        <f>Расчет!DQ128</f>
        <v>0</v>
      </c>
      <c r="AB128" s="12">
        <f>AA128*Исходн.данные.!$AJ128/1000</f>
        <v>0</v>
      </c>
      <c r="AC128" s="9">
        <f>IF($F128=0,0,Расчет2!BC128)</f>
        <v>0</v>
      </c>
      <c r="AD128" s="10">
        <f>IF($F128=0,0,Расчет2!BD128)</f>
        <v>0</v>
      </c>
      <c r="AE128" s="9">
        <f>IF($F128=0,0,Расчет2!BE128)</f>
        <v>0</v>
      </c>
      <c r="AF128" s="9">
        <f>IF($F128=0,0,Расчет2!BF128)</f>
        <v>0</v>
      </c>
      <c r="AG128" s="9">
        <f>IF($F128=0,0,Расчет2!BG128)</f>
        <v>0</v>
      </c>
      <c r="AI128" s="11" t="e">
        <f>Расчет!FY128</f>
        <v>#N/A</v>
      </c>
      <c r="AJ128" s="11" t="e">
        <f>Расчет!FZ128</f>
        <v>#N/A</v>
      </c>
      <c r="AK128" s="11" t="e">
        <f>Расчет!GA128</f>
        <v>#N/A</v>
      </c>
      <c r="AL128" s="11" t="e">
        <f>Расчет!GB128</f>
        <v>#N/A</v>
      </c>
      <c r="AM128" s="11" t="e">
        <f>Расчет!GC128</f>
        <v>#N/A</v>
      </c>
      <c r="AN128" s="11" t="e">
        <f>Расчет!GD128</f>
        <v>#N/A</v>
      </c>
      <c r="AO128" s="11" t="e">
        <f>Расчет!GE128</f>
        <v>#N/A</v>
      </c>
      <c r="AP128" s="11" t="e">
        <f>Расчет!GF128</f>
        <v>#N/A</v>
      </c>
      <c r="AQ128" s="11" t="e">
        <f>Расчет!GG128</f>
        <v>#N/A</v>
      </c>
      <c r="AR128" s="11" t="e">
        <f>Расчет!GH128</f>
        <v>#N/A</v>
      </c>
      <c r="AS128" s="11" t="e">
        <f>Расчет!GI128</f>
        <v>#N/A</v>
      </c>
      <c r="AT128" s="11" t="e">
        <f>Расчет!GJ128</f>
        <v>#N/A</v>
      </c>
      <c r="AU128" s="198" t="e">
        <f t="shared" si="15"/>
        <v>#N/A</v>
      </c>
      <c r="AV128" s="198" t="e">
        <f t="shared" si="16"/>
        <v>#N/A</v>
      </c>
      <c r="AW128" s="198" t="e">
        <f t="shared" si="17"/>
        <v>#N/A</v>
      </c>
      <c r="AX128" s="11" t="e">
        <f t="shared" si="18"/>
        <v>#N/A</v>
      </c>
      <c r="AY128" s="11" t="e">
        <f t="shared" si="19"/>
        <v>#N/A</v>
      </c>
      <c r="AZ128" s="11" t="e">
        <f t="shared" si="20"/>
        <v>#N/A</v>
      </c>
    </row>
    <row r="129" spans="1:52" x14ac:dyDescent="0.2">
      <c r="A129" s="6">
        <f>Исходн.данные.!A129</f>
        <v>0</v>
      </c>
      <c r="B129" s="6">
        <f>Исходн.данные.!B129</f>
        <v>0</v>
      </c>
      <c r="C129" s="6">
        <f>Исходн.данные.!C129</f>
        <v>0</v>
      </c>
      <c r="D129" s="6">
        <f>Исходн.данные.!D129</f>
        <v>0</v>
      </c>
      <c r="E129" s="6">
        <f>Исходн.данные.!E129</f>
        <v>0</v>
      </c>
      <c r="F129" s="6">
        <f>Исходн.данные.!AH129</f>
        <v>0</v>
      </c>
      <c r="G129" s="6">
        <f>Исходн.данные.!AJ129</f>
        <v>0</v>
      </c>
      <c r="H129" s="6">
        <f>Исходн.данные.!AK129</f>
        <v>0</v>
      </c>
      <c r="I129" s="9">
        <f>IF($F129=0,0,Расчет2!AO129)</f>
        <v>0</v>
      </c>
      <c r="J129" s="9">
        <f>IF(F129=0,0,Расчет2!AP129)</f>
        <v>0</v>
      </c>
      <c r="K129" s="10">
        <f>IF($F129=0,0,Расчет2!AQ129)</f>
        <v>0</v>
      </c>
      <c r="L129" s="10">
        <f>IF($F129=0,0,Расчет2!AR129)</f>
        <v>0</v>
      </c>
      <c r="M129" s="10">
        <f>IF($F129=0,0,Расчет2!AS129)</f>
        <v>0</v>
      </c>
      <c r="N129" s="10">
        <f>IF($F129=0,0,IF(Исходн.данные.!$AP129="Посл.посева",0,Расчет2!AT129))</f>
        <v>0</v>
      </c>
      <c r="O129" s="10">
        <f>IF($F129=0,0,IF(Исходн.данные.!$AP129="Посл.посева",0,IF(Расчет2!AU129&lt;10,10,Расчет2!AU129)))</f>
        <v>0</v>
      </c>
      <c r="P129" s="10">
        <f>IF($F129=0,0,IF(Исходн.данные.!$AP129="Посл.посева",0,Расчет2!AV129))</f>
        <v>0</v>
      </c>
      <c r="Q129" s="10">
        <f>IF($F129=0,0,Расчет2!AW129)</f>
        <v>0</v>
      </c>
      <c r="R129" s="10">
        <f>IF($F129=0,0,Расчет2!AX129)</f>
        <v>0</v>
      </c>
      <c r="S129" s="9">
        <f>IF($F129=0,0,Расчет2!AY129)</f>
        <v>0</v>
      </c>
      <c r="T129" s="10">
        <f>IF($F129=0,0,Расчет2!AZ129)</f>
        <v>0</v>
      </c>
      <c r="U129" s="10">
        <f>IF($F129=0,0,Расчет2!BA129)</f>
        <v>0</v>
      </c>
      <c r="V129" s="10">
        <f>IF($F129=0,0,Расчет2!BB129)</f>
        <v>0</v>
      </c>
      <c r="W129" s="10">
        <f>Расчет!DL129</f>
        <v>0</v>
      </c>
      <c r="X129" s="10">
        <f>Расчет!DN129</f>
        <v>0</v>
      </c>
      <c r="Y129" s="9">
        <f>X129*Исходн.данные.!$AJ129/1000</f>
        <v>0</v>
      </c>
      <c r="Z129" s="10" t="str">
        <f>Расчет!DO129</f>
        <v>Хлор.калий</v>
      </c>
      <c r="AA129" s="10">
        <f>Расчет!DQ129</f>
        <v>0</v>
      </c>
      <c r="AB129" s="12">
        <f>AA129*Исходн.данные.!$AJ129/1000</f>
        <v>0</v>
      </c>
      <c r="AC129" s="9">
        <f>IF($F129=0,0,Расчет2!BC129)</f>
        <v>0</v>
      </c>
      <c r="AD129" s="10">
        <f>IF($F129=0,0,Расчет2!BD129)</f>
        <v>0</v>
      </c>
      <c r="AE129" s="9">
        <f>IF($F129=0,0,Расчет2!BE129)</f>
        <v>0</v>
      </c>
      <c r="AF129" s="9">
        <f>IF($F129=0,0,Расчет2!BF129)</f>
        <v>0</v>
      </c>
      <c r="AG129" s="9">
        <f>IF($F129=0,0,Расчет2!BG129)</f>
        <v>0</v>
      </c>
      <c r="AI129" s="11" t="e">
        <f>Расчет!FY129</f>
        <v>#N/A</v>
      </c>
      <c r="AJ129" s="11" t="e">
        <f>Расчет!FZ129</f>
        <v>#N/A</v>
      </c>
      <c r="AK129" s="11" t="e">
        <f>Расчет!GA129</f>
        <v>#N/A</v>
      </c>
      <c r="AL129" s="11" t="e">
        <f>Расчет!GB129</f>
        <v>#N/A</v>
      </c>
      <c r="AM129" s="11" t="e">
        <f>Расчет!GC129</f>
        <v>#N/A</v>
      </c>
      <c r="AN129" s="11" t="e">
        <f>Расчет!GD129</f>
        <v>#N/A</v>
      </c>
      <c r="AO129" s="11" t="e">
        <f>Расчет!GE129</f>
        <v>#N/A</v>
      </c>
      <c r="AP129" s="11" t="e">
        <f>Расчет!GF129</f>
        <v>#N/A</v>
      </c>
      <c r="AQ129" s="11" t="e">
        <f>Расчет!GG129</f>
        <v>#N/A</v>
      </c>
      <c r="AR129" s="11" t="e">
        <f>Расчет!GH129</f>
        <v>#N/A</v>
      </c>
      <c r="AS129" s="11" t="e">
        <f>Расчет!GI129</f>
        <v>#N/A</v>
      </c>
      <c r="AT129" s="11" t="e">
        <f>Расчет!GJ129</f>
        <v>#N/A</v>
      </c>
      <c r="AU129" s="198" t="e">
        <f t="shared" si="15"/>
        <v>#N/A</v>
      </c>
      <c r="AV129" s="198" t="e">
        <f t="shared" si="16"/>
        <v>#N/A</v>
      </c>
      <c r="AW129" s="198" t="e">
        <f t="shared" si="17"/>
        <v>#N/A</v>
      </c>
      <c r="AX129" s="11" t="e">
        <f t="shared" si="18"/>
        <v>#N/A</v>
      </c>
      <c r="AY129" s="11" t="e">
        <f t="shared" si="19"/>
        <v>#N/A</v>
      </c>
      <c r="AZ129" s="11" t="e">
        <f t="shared" si="20"/>
        <v>#N/A</v>
      </c>
    </row>
    <row r="130" spans="1:52" x14ac:dyDescent="0.2">
      <c r="A130" s="6">
        <f>Исходн.данные.!A130</f>
        <v>0</v>
      </c>
      <c r="B130" s="6">
        <f>Исходн.данные.!B130</f>
        <v>0</v>
      </c>
      <c r="C130" s="6">
        <f>Исходн.данные.!C130</f>
        <v>0</v>
      </c>
      <c r="D130" s="6">
        <f>Исходн.данные.!D130</f>
        <v>0</v>
      </c>
      <c r="E130" s="6">
        <f>Исходн.данные.!E130</f>
        <v>0</v>
      </c>
      <c r="F130" s="6">
        <f>Исходн.данные.!AH130</f>
        <v>0</v>
      </c>
      <c r="G130" s="6">
        <f>Исходн.данные.!AJ130</f>
        <v>0</v>
      </c>
      <c r="H130" s="6">
        <f>Исходн.данные.!AK130</f>
        <v>0</v>
      </c>
      <c r="I130" s="9">
        <f>IF($F130=0,0,Расчет2!AO130)</f>
        <v>0</v>
      </c>
      <c r="J130" s="9">
        <f>IF(F130=0,0,Расчет2!AP130)</f>
        <v>0</v>
      </c>
      <c r="K130" s="10">
        <f>IF($F130=0,0,Расчет2!AQ130)</f>
        <v>0</v>
      </c>
      <c r="L130" s="10">
        <f>IF($F130=0,0,Расчет2!AR130)</f>
        <v>0</v>
      </c>
      <c r="M130" s="10">
        <f>IF($F130=0,0,Расчет2!AS130)</f>
        <v>0</v>
      </c>
      <c r="N130" s="10">
        <f>IF($F130=0,0,IF(Исходн.данные.!$AP130="Посл.посева",0,Расчет2!AT130))</f>
        <v>0</v>
      </c>
      <c r="O130" s="10">
        <f>IF($F130=0,0,IF(Исходн.данные.!$AP130="Посл.посева",0,IF(Расчет2!AU130&lt;10,10,Расчет2!AU130)))</f>
        <v>0</v>
      </c>
      <c r="P130" s="10">
        <f>IF($F130=0,0,IF(Исходн.данные.!$AP130="Посл.посева",0,Расчет2!AV130))</f>
        <v>0</v>
      </c>
      <c r="Q130" s="10">
        <f>IF($F130=0,0,Расчет2!AW130)</f>
        <v>0</v>
      </c>
      <c r="R130" s="10">
        <f>IF($F130=0,0,Расчет2!AX130)</f>
        <v>0</v>
      </c>
      <c r="S130" s="9">
        <f>IF($F130=0,0,Расчет2!AY130)</f>
        <v>0</v>
      </c>
      <c r="T130" s="10">
        <f>IF($F130=0,0,Расчет2!AZ130)</f>
        <v>0</v>
      </c>
      <c r="U130" s="10">
        <f>IF($F130=0,0,Расчет2!BA130)</f>
        <v>0</v>
      </c>
      <c r="V130" s="10">
        <f>IF($F130=0,0,Расчет2!BB130)</f>
        <v>0</v>
      </c>
      <c r="W130" s="10">
        <f>Расчет!DL130</f>
        <v>0</v>
      </c>
      <c r="X130" s="10">
        <f>Расчет!DN130</f>
        <v>0</v>
      </c>
      <c r="Y130" s="9">
        <f>X130*Исходн.данные.!$AJ130/1000</f>
        <v>0</v>
      </c>
      <c r="Z130" s="10" t="str">
        <f>Расчет!DO130</f>
        <v>Хлор.калий</v>
      </c>
      <c r="AA130" s="10">
        <f>Расчет!DQ130</f>
        <v>0</v>
      </c>
      <c r="AB130" s="12">
        <f>AA130*Исходн.данные.!$AJ130/1000</f>
        <v>0</v>
      </c>
      <c r="AC130" s="9">
        <f>IF($F130=0,0,Расчет2!BC130)</f>
        <v>0</v>
      </c>
      <c r="AD130" s="10">
        <f>IF($F130=0,0,Расчет2!BD130)</f>
        <v>0</v>
      </c>
      <c r="AE130" s="9">
        <f>IF($F130=0,0,Расчет2!BE130)</f>
        <v>0</v>
      </c>
      <c r="AF130" s="9">
        <f>IF($F130=0,0,Расчет2!BF130)</f>
        <v>0</v>
      </c>
      <c r="AG130" s="9">
        <f>IF($F130=0,0,Расчет2!BG130)</f>
        <v>0</v>
      </c>
      <c r="AI130" s="11" t="e">
        <f>Расчет!FY130</f>
        <v>#N/A</v>
      </c>
      <c r="AJ130" s="11" t="e">
        <f>Расчет!FZ130</f>
        <v>#N/A</v>
      </c>
      <c r="AK130" s="11" t="e">
        <f>Расчет!GA130</f>
        <v>#N/A</v>
      </c>
      <c r="AL130" s="11" t="e">
        <f>Расчет!GB130</f>
        <v>#N/A</v>
      </c>
      <c r="AM130" s="11" t="e">
        <f>Расчет!GC130</f>
        <v>#N/A</v>
      </c>
      <c r="AN130" s="11" t="e">
        <f>Расчет!GD130</f>
        <v>#N/A</v>
      </c>
      <c r="AO130" s="11" t="e">
        <f>Расчет!GE130</f>
        <v>#N/A</v>
      </c>
      <c r="AP130" s="11" t="e">
        <f>Расчет!GF130</f>
        <v>#N/A</v>
      </c>
      <c r="AQ130" s="11" t="e">
        <f>Расчет!GG130</f>
        <v>#N/A</v>
      </c>
      <c r="AR130" s="11" t="e">
        <f>Расчет!GH130</f>
        <v>#N/A</v>
      </c>
      <c r="AS130" s="11" t="e">
        <f>Расчет!GI130</f>
        <v>#N/A</v>
      </c>
      <c r="AT130" s="11" t="e">
        <f>Расчет!GJ130</f>
        <v>#N/A</v>
      </c>
      <c r="AU130" s="198" t="e">
        <f t="shared" si="15"/>
        <v>#N/A</v>
      </c>
      <c r="AV130" s="198" t="e">
        <f t="shared" si="16"/>
        <v>#N/A</v>
      </c>
      <c r="AW130" s="198" t="e">
        <f t="shared" si="17"/>
        <v>#N/A</v>
      </c>
      <c r="AX130" s="11" t="e">
        <f t="shared" si="18"/>
        <v>#N/A</v>
      </c>
      <c r="AY130" s="11" t="e">
        <f t="shared" si="19"/>
        <v>#N/A</v>
      </c>
      <c r="AZ130" s="11" t="e">
        <f t="shared" si="20"/>
        <v>#N/A</v>
      </c>
    </row>
    <row r="131" spans="1:52" x14ac:dyDescent="0.2">
      <c r="A131" s="6">
        <f>Исходн.данные.!A131</f>
        <v>0</v>
      </c>
      <c r="B131" s="6">
        <f>Исходн.данные.!B131</f>
        <v>0</v>
      </c>
      <c r="C131" s="6">
        <f>Исходн.данные.!C131</f>
        <v>0</v>
      </c>
      <c r="D131" s="6">
        <f>Исходн.данные.!D131</f>
        <v>0</v>
      </c>
      <c r="E131" s="6">
        <f>Исходн.данные.!E131</f>
        <v>0</v>
      </c>
      <c r="F131" s="6">
        <f>Исходн.данные.!AH131</f>
        <v>0</v>
      </c>
      <c r="G131" s="6">
        <f>Исходн.данные.!AJ131</f>
        <v>0</v>
      </c>
      <c r="H131" s="6">
        <f>Исходн.данные.!AK131</f>
        <v>0</v>
      </c>
      <c r="I131" s="9">
        <f>IF($F131=0,0,Расчет2!AO131)</f>
        <v>0</v>
      </c>
      <c r="J131" s="9">
        <f>IF(F131=0,0,Расчет2!AP131)</f>
        <v>0</v>
      </c>
      <c r="K131" s="10">
        <f>IF($F131=0,0,Расчет2!AQ131)</f>
        <v>0</v>
      </c>
      <c r="L131" s="10">
        <f>IF($F131=0,0,Расчет2!AR131)</f>
        <v>0</v>
      </c>
      <c r="M131" s="10">
        <f>IF($F131=0,0,Расчет2!AS131)</f>
        <v>0</v>
      </c>
      <c r="N131" s="10">
        <f>IF($F131=0,0,IF(Исходн.данные.!$AP131="Посл.посева",0,Расчет2!AT131))</f>
        <v>0</v>
      </c>
      <c r="O131" s="10">
        <f>IF($F131=0,0,IF(Исходн.данные.!$AP131="Посл.посева",0,IF(Расчет2!AU131&lt;10,10,Расчет2!AU131)))</f>
        <v>0</v>
      </c>
      <c r="P131" s="10">
        <f>IF($F131=0,0,IF(Исходн.данные.!$AP131="Посл.посева",0,Расчет2!AV131))</f>
        <v>0</v>
      </c>
      <c r="Q131" s="10">
        <f>IF($F131=0,0,Расчет2!AW131)</f>
        <v>0</v>
      </c>
      <c r="R131" s="10">
        <f>IF($F131=0,0,Расчет2!AX131)</f>
        <v>0</v>
      </c>
      <c r="S131" s="9">
        <f>IF($F131=0,0,Расчет2!AY131)</f>
        <v>0</v>
      </c>
      <c r="T131" s="10">
        <f>IF($F131=0,0,Расчет2!AZ131)</f>
        <v>0</v>
      </c>
      <c r="U131" s="10">
        <f>IF($F131=0,0,Расчет2!BA131)</f>
        <v>0</v>
      </c>
      <c r="V131" s="10">
        <f>IF($F131=0,0,Расчет2!BB131)</f>
        <v>0</v>
      </c>
      <c r="W131" s="10">
        <f>Расчет!DL131</f>
        <v>0</v>
      </c>
      <c r="X131" s="10">
        <f>Расчет!DN131</f>
        <v>0</v>
      </c>
      <c r="Y131" s="9">
        <f>X131*Исходн.данные.!$AJ131/1000</f>
        <v>0</v>
      </c>
      <c r="Z131" s="10" t="str">
        <f>Расчет!DO131</f>
        <v>Хлор.калий</v>
      </c>
      <c r="AA131" s="10">
        <f>Расчет!DQ131</f>
        <v>0</v>
      </c>
      <c r="AB131" s="12">
        <f>AA131*Исходн.данные.!$AJ131/1000</f>
        <v>0</v>
      </c>
      <c r="AC131" s="9">
        <f>IF($F131=0,0,Расчет2!BC131)</f>
        <v>0</v>
      </c>
      <c r="AD131" s="10">
        <f>IF($F131=0,0,Расчет2!BD131)</f>
        <v>0</v>
      </c>
      <c r="AE131" s="9">
        <f>IF($F131=0,0,Расчет2!BE131)</f>
        <v>0</v>
      </c>
      <c r="AF131" s="9">
        <f>IF($F131=0,0,Расчет2!BF131)</f>
        <v>0</v>
      </c>
      <c r="AG131" s="9">
        <f>IF($F131=0,0,Расчет2!BG131)</f>
        <v>0</v>
      </c>
      <c r="AI131" s="11" t="e">
        <f>Расчет!FY131</f>
        <v>#N/A</v>
      </c>
      <c r="AJ131" s="11" t="e">
        <f>Расчет!FZ131</f>
        <v>#N/A</v>
      </c>
      <c r="AK131" s="11" t="e">
        <f>Расчет!GA131</f>
        <v>#N/A</v>
      </c>
      <c r="AL131" s="11" t="e">
        <f>Расчет!GB131</f>
        <v>#N/A</v>
      </c>
      <c r="AM131" s="11" t="e">
        <f>Расчет!GC131</f>
        <v>#N/A</v>
      </c>
      <c r="AN131" s="11" t="e">
        <f>Расчет!GD131</f>
        <v>#N/A</v>
      </c>
      <c r="AO131" s="11" t="e">
        <f>Расчет!GE131</f>
        <v>#N/A</v>
      </c>
      <c r="AP131" s="11" t="e">
        <f>Расчет!GF131</f>
        <v>#N/A</v>
      </c>
      <c r="AQ131" s="11" t="e">
        <f>Расчет!GG131</f>
        <v>#N/A</v>
      </c>
      <c r="AR131" s="11" t="e">
        <f>Расчет!GH131</f>
        <v>#N/A</v>
      </c>
      <c r="AS131" s="11" t="e">
        <f>Расчет!GI131</f>
        <v>#N/A</v>
      </c>
      <c r="AT131" s="11" t="e">
        <f>Расчет!GJ131</f>
        <v>#N/A</v>
      </c>
      <c r="AU131" s="198" t="e">
        <f t="shared" si="15"/>
        <v>#N/A</v>
      </c>
      <c r="AV131" s="198" t="e">
        <f t="shared" si="16"/>
        <v>#N/A</v>
      </c>
      <c r="AW131" s="198" t="e">
        <f t="shared" si="17"/>
        <v>#N/A</v>
      </c>
      <c r="AX131" s="11" t="e">
        <f t="shared" si="18"/>
        <v>#N/A</v>
      </c>
      <c r="AY131" s="11" t="e">
        <f t="shared" si="19"/>
        <v>#N/A</v>
      </c>
      <c r="AZ131" s="11" t="e">
        <f t="shared" si="20"/>
        <v>#N/A</v>
      </c>
    </row>
    <row r="132" spans="1:52" x14ac:dyDescent="0.2">
      <c r="A132" s="6">
        <f>Исходн.данные.!A132</f>
        <v>0</v>
      </c>
      <c r="B132" s="6">
        <f>Исходн.данные.!B132</f>
        <v>0</v>
      </c>
      <c r="C132" s="6">
        <f>Исходн.данные.!C132</f>
        <v>0</v>
      </c>
      <c r="D132" s="6">
        <f>Исходн.данные.!D132</f>
        <v>0</v>
      </c>
      <c r="E132" s="6">
        <f>Исходн.данные.!E132</f>
        <v>0</v>
      </c>
      <c r="F132" s="6">
        <f>Исходн.данные.!AH132</f>
        <v>0</v>
      </c>
      <c r="G132" s="6">
        <f>Исходн.данные.!AJ132</f>
        <v>0</v>
      </c>
      <c r="H132" s="6">
        <f>Исходн.данные.!AK132</f>
        <v>0</v>
      </c>
      <c r="I132" s="9">
        <f>IF($F132=0,0,Расчет2!AO132)</f>
        <v>0</v>
      </c>
      <c r="J132" s="9">
        <f>IF(F132=0,0,Расчет2!AP132)</f>
        <v>0</v>
      </c>
      <c r="K132" s="10">
        <f>IF($F132=0,0,Расчет2!AQ132)</f>
        <v>0</v>
      </c>
      <c r="L132" s="10">
        <f>IF($F132=0,0,Расчет2!AR132)</f>
        <v>0</v>
      </c>
      <c r="M132" s="10">
        <f>IF($F132=0,0,Расчет2!AS132)</f>
        <v>0</v>
      </c>
      <c r="N132" s="10">
        <f>IF($F132=0,0,IF(Исходн.данные.!$AP132="Посл.посева",0,Расчет2!AT132))</f>
        <v>0</v>
      </c>
      <c r="O132" s="10">
        <f>IF($F132=0,0,IF(Исходн.данные.!$AP132="Посл.посева",0,IF(Расчет2!AU132&lt;10,10,Расчет2!AU132)))</f>
        <v>0</v>
      </c>
      <c r="P132" s="10">
        <f>IF($F132=0,0,IF(Исходн.данные.!$AP132="Посл.посева",0,Расчет2!AV132))</f>
        <v>0</v>
      </c>
      <c r="Q132" s="10">
        <f>IF($F132=0,0,Расчет2!AW132)</f>
        <v>0</v>
      </c>
      <c r="R132" s="10">
        <f>IF($F132=0,0,Расчет2!AX132)</f>
        <v>0</v>
      </c>
      <c r="S132" s="9">
        <f>IF($F132=0,0,Расчет2!AY132)</f>
        <v>0</v>
      </c>
      <c r="T132" s="10">
        <f>IF($F132=0,0,Расчет2!AZ132)</f>
        <v>0</v>
      </c>
      <c r="U132" s="10">
        <f>IF($F132=0,0,Расчет2!BA132)</f>
        <v>0</v>
      </c>
      <c r="V132" s="10">
        <f>IF($F132=0,0,Расчет2!BB132)</f>
        <v>0</v>
      </c>
      <c r="W132" s="10">
        <f>Расчет!DL132</f>
        <v>0</v>
      </c>
      <c r="X132" s="10">
        <f>Расчет!DN132</f>
        <v>0</v>
      </c>
      <c r="Y132" s="9">
        <f>X132*Исходн.данные.!$AJ132/1000</f>
        <v>0</v>
      </c>
      <c r="Z132" s="10" t="str">
        <f>Расчет!DO132</f>
        <v>Хлор.калий</v>
      </c>
      <c r="AA132" s="10">
        <f>Расчет!DQ132</f>
        <v>0</v>
      </c>
      <c r="AB132" s="12">
        <f>AA132*Исходн.данные.!$AJ132/1000</f>
        <v>0</v>
      </c>
      <c r="AC132" s="9">
        <f>IF($F132=0,0,Расчет2!BC132)</f>
        <v>0</v>
      </c>
      <c r="AD132" s="10">
        <f>IF($F132=0,0,Расчет2!BD132)</f>
        <v>0</v>
      </c>
      <c r="AE132" s="9">
        <f>IF($F132=0,0,Расчет2!BE132)</f>
        <v>0</v>
      </c>
      <c r="AF132" s="9">
        <f>IF($F132=0,0,Расчет2!BF132)</f>
        <v>0</v>
      </c>
      <c r="AG132" s="9">
        <f>IF($F132=0,0,Расчет2!BG132)</f>
        <v>0</v>
      </c>
      <c r="AI132" s="11" t="e">
        <f>Расчет!FY132</f>
        <v>#N/A</v>
      </c>
      <c r="AJ132" s="11" t="e">
        <f>Расчет!FZ132</f>
        <v>#N/A</v>
      </c>
      <c r="AK132" s="11" t="e">
        <f>Расчет!GA132</f>
        <v>#N/A</v>
      </c>
      <c r="AL132" s="11" t="e">
        <f>Расчет!GB132</f>
        <v>#N/A</v>
      </c>
      <c r="AM132" s="11" t="e">
        <f>Расчет!GC132</f>
        <v>#N/A</v>
      </c>
      <c r="AN132" s="11" t="e">
        <f>Расчет!GD132</f>
        <v>#N/A</v>
      </c>
      <c r="AO132" s="11" t="e">
        <f>Расчет!GE132</f>
        <v>#N/A</v>
      </c>
      <c r="AP132" s="11" t="e">
        <f>Расчет!GF132</f>
        <v>#N/A</v>
      </c>
      <c r="AQ132" s="11" t="e">
        <f>Расчет!GG132</f>
        <v>#N/A</v>
      </c>
      <c r="AR132" s="11" t="e">
        <f>Расчет!GH132</f>
        <v>#N/A</v>
      </c>
      <c r="AS132" s="11" t="e">
        <f>Расчет!GI132</f>
        <v>#N/A</v>
      </c>
      <c r="AT132" s="11" t="e">
        <f>Расчет!GJ132</f>
        <v>#N/A</v>
      </c>
      <c r="AU132" s="198" t="e">
        <f t="shared" si="15"/>
        <v>#N/A</v>
      </c>
      <c r="AV132" s="198" t="e">
        <f t="shared" si="16"/>
        <v>#N/A</v>
      </c>
      <c r="AW132" s="198" t="e">
        <f t="shared" si="17"/>
        <v>#N/A</v>
      </c>
      <c r="AX132" s="11" t="e">
        <f t="shared" si="18"/>
        <v>#N/A</v>
      </c>
      <c r="AY132" s="11" t="e">
        <f t="shared" si="19"/>
        <v>#N/A</v>
      </c>
      <c r="AZ132" s="11" t="e">
        <f t="shared" si="20"/>
        <v>#N/A</v>
      </c>
    </row>
    <row r="133" spans="1:52" x14ac:dyDescent="0.2">
      <c r="A133" s="6">
        <f>Исходн.данные.!A133</f>
        <v>0</v>
      </c>
      <c r="B133" s="6">
        <f>Исходн.данные.!B133</f>
        <v>0</v>
      </c>
      <c r="C133" s="6">
        <f>Исходн.данные.!C133</f>
        <v>0</v>
      </c>
      <c r="D133" s="6">
        <f>Исходн.данные.!D133</f>
        <v>0</v>
      </c>
      <c r="E133" s="6">
        <f>Исходн.данные.!E133</f>
        <v>0</v>
      </c>
      <c r="F133" s="6">
        <f>Исходн.данные.!AH133</f>
        <v>0</v>
      </c>
      <c r="G133" s="6">
        <f>Исходн.данные.!AJ133</f>
        <v>0</v>
      </c>
      <c r="H133" s="6">
        <f>Исходн.данные.!AK133</f>
        <v>0</v>
      </c>
      <c r="I133" s="9">
        <f>IF($F133=0,0,Расчет2!AO133)</f>
        <v>0</v>
      </c>
      <c r="J133" s="9">
        <f>IF(F133=0,0,Расчет2!AP133)</f>
        <v>0</v>
      </c>
      <c r="K133" s="10">
        <f>IF($F133=0,0,Расчет2!AQ133)</f>
        <v>0</v>
      </c>
      <c r="L133" s="10">
        <f>IF($F133=0,0,Расчет2!AR133)</f>
        <v>0</v>
      </c>
      <c r="M133" s="10">
        <f>IF($F133=0,0,Расчет2!AS133)</f>
        <v>0</v>
      </c>
      <c r="N133" s="10">
        <f>IF($F133=0,0,IF(Исходн.данные.!$AP133="Посл.посева",0,Расчет2!AT133))</f>
        <v>0</v>
      </c>
      <c r="O133" s="10">
        <f>IF($F133=0,0,IF(Исходн.данные.!$AP133="Посл.посева",0,IF(Расчет2!AU133&lt;10,10,Расчет2!AU133)))</f>
        <v>0</v>
      </c>
      <c r="P133" s="10">
        <f>IF($F133=0,0,IF(Исходн.данные.!$AP133="Посл.посева",0,Расчет2!AV133))</f>
        <v>0</v>
      </c>
      <c r="Q133" s="10">
        <f>IF($F133=0,0,Расчет2!AW133)</f>
        <v>0</v>
      </c>
      <c r="R133" s="10">
        <f>IF($F133=0,0,Расчет2!AX133)</f>
        <v>0</v>
      </c>
      <c r="S133" s="9">
        <f>IF($F133=0,0,Расчет2!AY133)</f>
        <v>0</v>
      </c>
      <c r="T133" s="10">
        <f>IF($F133=0,0,Расчет2!AZ133)</f>
        <v>0</v>
      </c>
      <c r="U133" s="10">
        <f>IF($F133=0,0,Расчет2!BA133)</f>
        <v>0</v>
      </c>
      <c r="V133" s="10">
        <f>IF($F133=0,0,Расчет2!BB133)</f>
        <v>0</v>
      </c>
      <c r="W133" s="10">
        <f>Расчет!DL133</f>
        <v>0</v>
      </c>
      <c r="X133" s="10">
        <f>Расчет!DN133</f>
        <v>0</v>
      </c>
      <c r="Y133" s="9">
        <f>X133*Исходн.данные.!$AJ133/1000</f>
        <v>0</v>
      </c>
      <c r="Z133" s="10" t="str">
        <f>Расчет!DO133</f>
        <v>Хлор.калий</v>
      </c>
      <c r="AA133" s="10">
        <f>Расчет!DQ133</f>
        <v>0</v>
      </c>
      <c r="AB133" s="12">
        <f>AA133*Исходн.данные.!$AJ133/1000</f>
        <v>0</v>
      </c>
      <c r="AC133" s="9">
        <f>IF($F133=0,0,Расчет2!BC133)</f>
        <v>0</v>
      </c>
      <c r="AD133" s="10">
        <f>IF($F133=0,0,Расчет2!BD133)</f>
        <v>0</v>
      </c>
      <c r="AE133" s="9">
        <f>IF($F133=0,0,Расчет2!BE133)</f>
        <v>0</v>
      </c>
      <c r="AF133" s="9">
        <f>IF($F133=0,0,Расчет2!BF133)</f>
        <v>0</v>
      </c>
      <c r="AG133" s="9">
        <f>IF($F133=0,0,Расчет2!BG133)</f>
        <v>0</v>
      </c>
      <c r="AI133" s="11" t="e">
        <f>Расчет!FY133</f>
        <v>#N/A</v>
      </c>
      <c r="AJ133" s="11" t="e">
        <f>Расчет!FZ133</f>
        <v>#N/A</v>
      </c>
      <c r="AK133" s="11" t="e">
        <f>Расчет!GA133</f>
        <v>#N/A</v>
      </c>
      <c r="AL133" s="11" t="e">
        <f>Расчет!GB133</f>
        <v>#N/A</v>
      </c>
      <c r="AM133" s="11" t="e">
        <f>Расчет!GC133</f>
        <v>#N/A</v>
      </c>
      <c r="AN133" s="11" t="e">
        <f>Расчет!GD133</f>
        <v>#N/A</v>
      </c>
      <c r="AO133" s="11" t="e">
        <f>Расчет!GE133</f>
        <v>#N/A</v>
      </c>
      <c r="AP133" s="11" t="e">
        <f>Расчет!GF133</f>
        <v>#N/A</v>
      </c>
      <c r="AQ133" s="11" t="e">
        <f>Расчет!GG133</f>
        <v>#N/A</v>
      </c>
      <c r="AR133" s="11" t="e">
        <f>Расчет!GH133</f>
        <v>#N/A</v>
      </c>
      <c r="AS133" s="11" t="e">
        <f>Расчет!GI133</f>
        <v>#N/A</v>
      </c>
      <c r="AT133" s="11" t="e">
        <f>Расчет!GJ133</f>
        <v>#N/A</v>
      </c>
      <c r="AU133" s="198" t="e">
        <f t="shared" si="15"/>
        <v>#N/A</v>
      </c>
      <c r="AV133" s="198" t="e">
        <f t="shared" si="16"/>
        <v>#N/A</v>
      </c>
      <c r="AW133" s="198" t="e">
        <f t="shared" si="17"/>
        <v>#N/A</v>
      </c>
      <c r="AX133" s="11" t="e">
        <f t="shared" si="18"/>
        <v>#N/A</v>
      </c>
      <c r="AY133" s="11" t="e">
        <f t="shared" si="19"/>
        <v>#N/A</v>
      </c>
      <c r="AZ133" s="11" t="e">
        <f t="shared" si="20"/>
        <v>#N/A</v>
      </c>
    </row>
    <row r="134" spans="1:52" x14ac:dyDescent="0.2">
      <c r="A134" s="6">
        <f>Исходн.данные.!A134</f>
        <v>0</v>
      </c>
      <c r="B134" s="6">
        <f>Исходн.данные.!B134</f>
        <v>0</v>
      </c>
      <c r="C134" s="6">
        <f>Исходн.данные.!C134</f>
        <v>0</v>
      </c>
      <c r="D134" s="6">
        <f>Исходн.данные.!D134</f>
        <v>0</v>
      </c>
      <c r="E134" s="6">
        <f>Исходн.данные.!E134</f>
        <v>0</v>
      </c>
      <c r="F134" s="6">
        <f>Исходн.данные.!AH134</f>
        <v>0</v>
      </c>
      <c r="G134" s="6">
        <f>Исходн.данные.!AJ134</f>
        <v>0</v>
      </c>
      <c r="H134" s="6">
        <f>Исходн.данные.!AK134</f>
        <v>0</v>
      </c>
      <c r="I134" s="9">
        <f>IF($F134=0,0,Расчет2!AO134)</f>
        <v>0</v>
      </c>
      <c r="J134" s="9">
        <f>IF(F134=0,0,Расчет2!AP134)</f>
        <v>0</v>
      </c>
      <c r="K134" s="10">
        <f>IF($F134=0,0,Расчет2!AQ134)</f>
        <v>0</v>
      </c>
      <c r="L134" s="10">
        <f>IF($F134=0,0,Расчет2!AR134)</f>
        <v>0</v>
      </c>
      <c r="M134" s="10">
        <f>IF($F134=0,0,Расчет2!AS134)</f>
        <v>0</v>
      </c>
      <c r="N134" s="10">
        <f>IF($F134=0,0,IF(Исходн.данные.!$AP134="Посл.посева",0,Расчет2!AT134))</f>
        <v>0</v>
      </c>
      <c r="O134" s="10">
        <f>IF($F134=0,0,IF(Исходн.данные.!$AP134="Посл.посева",0,IF(Расчет2!AU134&lt;10,10,Расчет2!AU134)))</f>
        <v>0</v>
      </c>
      <c r="P134" s="10">
        <f>IF($F134=0,0,IF(Исходн.данные.!$AP134="Посл.посева",0,Расчет2!AV134))</f>
        <v>0</v>
      </c>
      <c r="Q134" s="10">
        <f>IF($F134=0,0,Расчет2!AW134)</f>
        <v>0</v>
      </c>
      <c r="R134" s="10">
        <f>IF($F134=0,0,Расчет2!AX134)</f>
        <v>0</v>
      </c>
      <c r="S134" s="9">
        <f>IF($F134=0,0,Расчет2!AY134)</f>
        <v>0</v>
      </c>
      <c r="T134" s="10">
        <f>IF($F134=0,0,Расчет2!AZ134)</f>
        <v>0</v>
      </c>
      <c r="U134" s="10">
        <f>IF($F134=0,0,Расчет2!BA134)</f>
        <v>0</v>
      </c>
      <c r="V134" s="10">
        <f>IF($F134=0,0,Расчет2!BB134)</f>
        <v>0</v>
      </c>
      <c r="W134" s="10">
        <f>Расчет!DL134</f>
        <v>0</v>
      </c>
      <c r="X134" s="10">
        <f>Расчет!DN134</f>
        <v>0</v>
      </c>
      <c r="Y134" s="9">
        <f>X134*Исходн.данные.!$AJ134/1000</f>
        <v>0</v>
      </c>
      <c r="Z134" s="10" t="str">
        <f>Расчет!DO134</f>
        <v>Хлор.калий</v>
      </c>
      <c r="AA134" s="10">
        <f>Расчет!DQ134</f>
        <v>0</v>
      </c>
      <c r="AB134" s="12">
        <f>AA134*Исходн.данные.!$AJ134/1000</f>
        <v>0</v>
      </c>
      <c r="AC134" s="9">
        <f>IF($F134=0,0,Расчет2!BC134)</f>
        <v>0</v>
      </c>
      <c r="AD134" s="10">
        <f>IF($F134=0,0,Расчет2!BD134)</f>
        <v>0</v>
      </c>
      <c r="AE134" s="9">
        <f>IF($F134=0,0,Расчет2!BE134)</f>
        <v>0</v>
      </c>
      <c r="AF134" s="9">
        <f>IF($F134=0,0,Расчет2!BF134)</f>
        <v>0</v>
      </c>
      <c r="AG134" s="9">
        <f>IF($F134=0,0,Расчет2!BG134)</f>
        <v>0</v>
      </c>
      <c r="AI134" s="11" t="e">
        <f>Расчет!FY134</f>
        <v>#N/A</v>
      </c>
      <c r="AJ134" s="11" t="e">
        <f>Расчет!FZ134</f>
        <v>#N/A</v>
      </c>
      <c r="AK134" s="11" t="e">
        <f>Расчет!GA134</f>
        <v>#N/A</v>
      </c>
      <c r="AL134" s="11" t="e">
        <f>Расчет!GB134</f>
        <v>#N/A</v>
      </c>
      <c r="AM134" s="11" t="e">
        <f>Расчет!GC134</f>
        <v>#N/A</v>
      </c>
      <c r="AN134" s="11" t="e">
        <f>Расчет!GD134</f>
        <v>#N/A</v>
      </c>
      <c r="AO134" s="11" t="e">
        <f>Расчет!GE134</f>
        <v>#N/A</v>
      </c>
      <c r="AP134" s="11" t="e">
        <f>Расчет!GF134</f>
        <v>#N/A</v>
      </c>
      <c r="AQ134" s="11" t="e">
        <f>Расчет!GG134</f>
        <v>#N/A</v>
      </c>
      <c r="AR134" s="11" t="e">
        <f>Расчет!GH134</f>
        <v>#N/A</v>
      </c>
      <c r="AS134" s="11" t="e">
        <f>Расчет!GI134</f>
        <v>#N/A</v>
      </c>
      <c r="AT134" s="11" t="e">
        <f>Расчет!GJ134</f>
        <v>#N/A</v>
      </c>
      <c r="AU134" s="198" t="e">
        <f t="shared" si="15"/>
        <v>#N/A</v>
      </c>
      <c r="AV134" s="198" t="e">
        <f t="shared" si="16"/>
        <v>#N/A</v>
      </c>
      <c r="AW134" s="198" t="e">
        <f t="shared" si="17"/>
        <v>#N/A</v>
      </c>
      <c r="AX134" s="11" t="e">
        <f t="shared" si="18"/>
        <v>#N/A</v>
      </c>
      <c r="AY134" s="11" t="e">
        <f t="shared" si="19"/>
        <v>#N/A</v>
      </c>
      <c r="AZ134" s="11" t="e">
        <f t="shared" si="20"/>
        <v>#N/A</v>
      </c>
    </row>
    <row r="135" spans="1:52" x14ac:dyDescent="0.2">
      <c r="A135" s="6">
        <f>Исходн.данные.!A135</f>
        <v>0</v>
      </c>
      <c r="B135" s="6">
        <f>Исходн.данные.!B135</f>
        <v>0</v>
      </c>
      <c r="C135" s="6">
        <f>Исходн.данные.!C135</f>
        <v>0</v>
      </c>
      <c r="D135" s="6">
        <f>Исходн.данные.!D135</f>
        <v>0</v>
      </c>
      <c r="E135" s="6">
        <f>Исходн.данные.!E135</f>
        <v>0</v>
      </c>
      <c r="F135" s="6">
        <f>Исходн.данные.!AH135</f>
        <v>0</v>
      </c>
      <c r="G135" s="6">
        <f>Исходн.данные.!AJ135</f>
        <v>0</v>
      </c>
      <c r="H135" s="6">
        <f>Исходн.данные.!AK135</f>
        <v>0</v>
      </c>
      <c r="I135" s="9">
        <f>IF($F135=0,0,Расчет2!AO135)</f>
        <v>0</v>
      </c>
      <c r="J135" s="9">
        <f>IF(F135=0,0,Расчет2!AP135)</f>
        <v>0</v>
      </c>
      <c r="K135" s="10">
        <f>IF($F135=0,0,Расчет2!AQ135)</f>
        <v>0</v>
      </c>
      <c r="L135" s="10">
        <f>IF($F135=0,0,Расчет2!AR135)</f>
        <v>0</v>
      </c>
      <c r="M135" s="10">
        <f>IF($F135=0,0,Расчет2!AS135)</f>
        <v>0</v>
      </c>
      <c r="N135" s="10">
        <f>IF($F135=0,0,IF(Исходн.данные.!$AP135="Посл.посева",0,Расчет2!AT135))</f>
        <v>0</v>
      </c>
      <c r="O135" s="10">
        <f>IF($F135=0,0,IF(Исходн.данные.!$AP135="Посл.посева",0,IF(Расчет2!AU135&lt;10,10,Расчет2!AU135)))</f>
        <v>0</v>
      </c>
      <c r="P135" s="10">
        <f>IF($F135=0,0,IF(Исходн.данные.!$AP135="Посл.посева",0,Расчет2!AV135))</f>
        <v>0</v>
      </c>
      <c r="Q135" s="10">
        <f>IF($F135=0,0,Расчет2!AW135)</f>
        <v>0</v>
      </c>
      <c r="R135" s="10">
        <f>IF($F135=0,0,Расчет2!AX135)</f>
        <v>0</v>
      </c>
      <c r="S135" s="9">
        <f>IF($F135=0,0,Расчет2!AY135)</f>
        <v>0</v>
      </c>
      <c r="T135" s="10">
        <f>IF($F135=0,0,Расчет2!AZ135)</f>
        <v>0</v>
      </c>
      <c r="U135" s="10">
        <f>IF($F135=0,0,Расчет2!BA135)</f>
        <v>0</v>
      </c>
      <c r="V135" s="10">
        <f>IF($F135=0,0,Расчет2!BB135)</f>
        <v>0</v>
      </c>
      <c r="W135" s="10">
        <f>Расчет!DL135</f>
        <v>0</v>
      </c>
      <c r="X135" s="10">
        <f>Расчет!DN135</f>
        <v>0</v>
      </c>
      <c r="Y135" s="9">
        <f>X135*Исходн.данные.!$AJ135/1000</f>
        <v>0</v>
      </c>
      <c r="Z135" s="10" t="str">
        <f>Расчет!DO135</f>
        <v>Хлор.калий</v>
      </c>
      <c r="AA135" s="10">
        <f>Расчет!DQ135</f>
        <v>0</v>
      </c>
      <c r="AB135" s="12">
        <f>AA135*Исходн.данные.!$AJ135/1000</f>
        <v>0</v>
      </c>
      <c r="AC135" s="9">
        <f>IF($F135=0,0,Расчет2!BC135)</f>
        <v>0</v>
      </c>
      <c r="AD135" s="10">
        <f>IF($F135=0,0,Расчет2!BD135)</f>
        <v>0</v>
      </c>
      <c r="AE135" s="9">
        <f>IF($F135=0,0,Расчет2!BE135)</f>
        <v>0</v>
      </c>
      <c r="AF135" s="9">
        <f>IF($F135=0,0,Расчет2!BF135)</f>
        <v>0</v>
      </c>
      <c r="AG135" s="9">
        <f>IF($F135=0,0,Расчет2!BG135)</f>
        <v>0</v>
      </c>
      <c r="AI135" s="11" t="e">
        <f>Расчет!FY135</f>
        <v>#N/A</v>
      </c>
      <c r="AJ135" s="11" t="e">
        <f>Расчет!FZ135</f>
        <v>#N/A</v>
      </c>
      <c r="AK135" s="11" t="e">
        <f>Расчет!GA135</f>
        <v>#N/A</v>
      </c>
      <c r="AL135" s="11" t="e">
        <f>Расчет!GB135</f>
        <v>#N/A</v>
      </c>
      <c r="AM135" s="11" t="e">
        <f>Расчет!GC135</f>
        <v>#N/A</v>
      </c>
      <c r="AN135" s="11" t="e">
        <f>Расчет!GD135</f>
        <v>#N/A</v>
      </c>
      <c r="AO135" s="11" t="e">
        <f>Расчет!GE135</f>
        <v>#N/A</v>
      </c>
      <c r="AP135" s="11" t="e">
        <f>Расчет!GF135</f>
        <v>#N/A</v>
      </c>
      <c r="AQ135" s="11" t="e">
        <f>Расчет!GG135</f>
        <v>#N/A</v>
      </c>
      <c r="AR135" s="11" t="e">
        <f>Расчет!GH135</f>
        <v>#N/A</v>
      </c>
      <c r="AS135" s="11" t="e">
        <f>Расчет!GI135</f>
        <v>#N/A</v>
      </c>
      <c r="AT135" s="11" t="e">
        <f>Расчет!GJ135</f>
        <v>#N/A</v>
      </c>
      <c r="AU135" s="198" t="e">
        <f t="shared" si="15"/>
        <v>#N/A</v>
      </c>
      <c r="AV135" s="198" t="e">
        <f t="shared" si="16"/>
        <v>#N/A</v>
      </c>
      <c r="AW135" s="198" t="e">
        <f t="shared" si="17"/>
        <v>#N/A</v>
      </c>
      <c r="AX135" s="11" t="e">
        <f t="shared" si="18"/>
        <v>#N/A</v>
      </c>
      <c r="AY135" s="11" t="e">
        <f t="shared" si="19"/>
        <v>#N/A</v>
      </c>
      <c r="AZ135" s="11" t="e">
        <f t="shared" si="20"/>
        <v>#N/A</v>
      </c>
    </row>
    <row r="136" spans="1:52" x14ac:dyDescent="0.2">
      <c r="A136" s="6">
        <f>Исходн.данные.!A136</f>
        <v>0</v>
      </c>
      <c r="B136" s="6">
        <f>Исходн.данные.!B136</f>
        <v>0</v>
      </c>
      <c r="C136" s="6">
        <f>Исходн.данные.!C136</f>
        <v>0</v>
      </c>
      <c r="D136" s="6">
        <f>Исходн.данные.!D136</f>
        <v>0</v>
      </c>
      <c r="E136" s="6">
        <f>Исходн.данные.!E136</f>
        <v>0</v>
      </c>
      <c r="F136" s="6">
        <f>Исходн.данные.!AH136</f>
        <v>0</v>
      </c>
      <c r="G136" s="6">
        <f>Исходн.данные.!AJ136</f>
        <v>0</v>
      </c>
      <c r="H136" s="6">
        <f>Исходн.данные.!AK136</f>
        <v>0</v>
      </c>
      <c r="I136" s="9">
        <f>IF($F136=0,0,Расчет2!AO136)</f>
        <v>0</v>
      </c>
      <c r="J136" s="9">
        <f>IF(F136=0,0,Расчет2!AP136)</f>
        <v>0</v>
      </c>
      <c r="K136" s="10">
        <f>IF($F136=0,0,Расчет2!AQ136)</f>
        <v>0</v>
      </c>
      <c r="L136" s="10">
        <f>IF($F136=0,0,Расчет2!AR136)</f>
        <v>0</v>
      </c>
      <c r="M136" s="10">
        <f>IF($F136=0,0,Расчет2!AS136)</f>
        <v>0</v>
      </c>
      <c r="N136" s="10">
        <f>IF($F136=0,0,IF(Исходн.данные.!$AP136="Посл.посева",0,Расчет2!AT136))</f>
        <v>0</v>
      </c>
      <c r="O136" s="10">
        <f>IF($F136=0,0,IF(Исходн.данные.!$AP136="Посл.посева",0,IF(Расчет2!AU136&lt;10,10,Расчет2!AU136)))</f>
        <v>0</v>
      </c>
      <c r="P136" s="10">
        <f>IF($F136=0,0,IF(Исходн.данные.!$AP136="Посл.посева",0,Расчет2!AV136))</f>
        <v>0</v>
      </c>
      <c r="Q136" s="10">
        <f>IF($F136=0,0,Расчет2!AW136)</f>
        <v>0</v>
      </c>
      <c r="R136" s="10">
        <f>IF($F136=0,0,Расчет2!AX136)</f>
        <v>0</v>
      </c>
      <c r="S136" s="9">
        <f>IF($F136=0,0,Расчет2!AY136)</f>
        <v>0</v>
      </c>
      <c r="T136" s="10">
        <f>IF($F136=0,0,Расчет2!AZ136)</f>
        <v>0</v>
      </c>
      <c r="U136" s="10">
        <f>IF($F136=0,0,Расчет2!BA136)</f>
        <v>0</v>
      </c>
      <c r="V136" s="10">
        <f>IF($F136=0,0,Расчет2!BB136)</f>
        <v>0</v>
      </c>
      <c r="W136" s="10">
        <f>Расчет!DL136</f>
        <v>0</v>
      </c>
      <c r="X136" s="10">
        <f>Расчет!DN136</f>
        <v>0</v>
      </c>
      <c r="Y136" s="9">
        <f>X136*Исходн.данные.!$AJ136/1000</f>
        <v>0</v>
      </c>
      <c r="Z136" s="10" t="str">
        <f>Расчет!DO136</f>
        <v>Хлор.калий</v>
      </c>
      <c r="AA136" s="10">
        <f>Расчет!DQ136</f>
        <v>0</v>
      </c>
      <c r="AB136" s="12">
        <f>AA136*Исходн.данные.!$AJ136/1000</f>
        <v>0</v>
      </c>
      <c r="AC136" s="9">
        <f>IF($F136=0,0,Расчет2!BC136)</f>
        <v>0</v>
      </c>
      <c r="AD136" s="10">
        <f>IF($F136=0,0,Расчет2!BD136)</f>
        <v>0</v>
      </c>
      <c r="AE136" s="9">
        <f>IF($F136=0,0,Расчет2!BE136)</f>
        <v>0</v>
      </c>
      <c r="AF136" s="9">
        <f>IF($F136=0,0,Расчет2!BF136)</f>
        <v>0</v>
      </c>
      <c r="AG136" s="9">
        <f>IF($F136=0,0,Расчет2!BG136)</f>
        <v>0</v>
      </c>
      <c r="AI136" s="11" t="e">
        <f>Расчет!FY136</f>
        <v>#N/A</v>
      </c>
      <c r="AJ136" s="11" t="e">
        <f>Расчет!FZ136</f>
        <v>#N/A</v>
      </c>
      <c r="AK136" s="11" t="e">
        <f>Расчет!GA136</f>
        <v>#N/A</v>
      </c>
      <c r="AL136" s="11" t="e">
        <f>Расчет!GB136</f>
        <v>#N/A</v>
      </c>
      <c r="AM136" s="11" t="e">
        <f>Расчет!GC136</f>
        <v>#N/A</v>
      </c>
      <c r="AN136" s="11" t="e">
        <f>Расчет!GD136</f>
        <v>#N/A</v>
      </c>
      <c r="AO136" s="11" t="e">
        <f>Расчет!GE136</f>
        <v>#N/A</v>
      </c>
      <c r="AP136" s="11" t="e">
        <f>Расчет!GF136</f>
        <v>#N/A</v>
      </c>
      <c r="AQ136" s="11" t="e">
        <f>Расчет!GG136</f>
        <v>#N/A</v>
      </c>
      <c r="AR136" s="11" t="e">
        <f>Расчет!GH136</f>
        <v>#N/A</v>
      </c>
      <c r="AS136" s="11" t="e">
        <f>Расчет!GI136</f>
        <v>#N/A</v>
      </c>
      <c r="AT136" s="11" t="e">
        <f>Расчет!GJ136</f>
        <v>#N/A</v>
      </c>
      <c r="AU136" s="198" t="e">
        <f t="shared" si="15"/>
        <v>#N/A</v>
      </c>
      <c r="AV136" s="198" t="e">
        <f t="shared" si="16"/>
        <v>#N/A</v>
      </c>
      <c r="AW136" s="198" t="e">
        <f t="shared" si="17"/>
        <v>#N/A</v>
      </c>
      <c r="AX136" s="11" t="e">
        <f t="shared" si="18"/>
        <v>#N/A</v>
      </c>
      <c r="AY136" s="11" t="e">
        <f t="shared" si="19"/>
        <v>#N/A</v>
      </c>
      <c r="AZ136" s="11" t="e">
        <f t="shared" si="20"/>
        <v>#N/A</v>
      </c>
    </row>
    <row r="137" spans="1:52" x14ac:dyDescent="0.2">
      <c r="A137" s="6">
        <f>Исходн.данные.!A137</f>
        <v>0</v>
      </c>
      <c r="B137" s="6">
        <f>Исходн.данные.!B137</f>
        <v>0</v>
      </c>
      <c r="C137" s="6">
        <f>Исходн.данные.!C137</f>
        <v>0</v>
      </c>
      <c r="D137" s="6">
        <f>Исходн.данные.!D137</f>
        <v>0</v>
      </c>
      <c r="E137" s="6">
        <f>Исходн.данные.!E137</f>
        <v>0</v>
      </c>
      <c r="F137" s="6">
        <f>Исходн.данные.!AH137</f>
        <v>0</v>
      </c>
      <c r="G137" s="6">
        <f>Исходн.данные.!AJ137</f>
        <v>0</v>
      </c>
      <c r="H137" s="6">
        <f>Исходн.данные.!AK137</f>
        <v>0</v>
      </c>
      <c r="I137" s="9">
        <f>IF($F137=0,0,Расчет2!AO137)</f>
        <v>0</v>
      </c>
      <c r="J137" s="9">
        <f>IF(F137=0,0,Расчет2!AP137)</f>
        <v>0</v>
      </c>
      <c r="K137" s="10">
        <f>IF($F137=0,0,Расчет2!AQ137)</f>
        <v>0</v>
      </c>
      <c r="L137" s="10">
        <f>IF($F137=0,0,Расчет2!AR137)</f>
        <v>0</v>
      </c>
      <c r="M137" s="10">
        <f>IF($F137=0,0,Расчет2!AS137)</f>
        <v>0</v>
      </c>
      <c r="N137" s="10">
        <f>IF($F137=0,0,IF(Исходн.данные.!$AP137="Посл.посева",0,Расчет2!AT137))</f>
        <v>0</v>
      </c>
      <c r="O137" s="10">
        <f>IF($F137=0,0,IF(Исходн.данные.!$AP137="Посл.посева",0,IF(Расчет2!AU137&lt;10,10,Расчет2!AU137)))</f>
        <v>0</v>
      </c>
      <c r="P137" s="10">
        <f>IF($F137=0,0,IF(Исходн.данные.!$AP137="Посл.посева",0,Расчет2!AV137))</f>
        <v>0</v>
      </c>
      <c r="Q137" s="10">
        <f>IF($F137=0,0,Расчет2!AW137)</f>
        <v>0</v>
      </c>
      <c r="R137" s="10">
        <f>IF($F137=0,0,Расчет2!AX137)</f>
        <v>0</v>
      </c>
      <c r="S137" s="9">
        <f>IF($F137=0,0,Расчет2!AY137)</f>
        <v>0</v>
      </c>
      <c r="T137" s="10">
        <f>IF($F137=0,0,Расчет2!AZ137)</f>
        <v>0</v>
      </c>
      <c r="U137" s="10">
        <f>IF($F137=0,0,Расчет2!BA137)</f>
        <v>0</v>
      </c>
      <c r="V137" s="10">
        <f>IF($F137=0,0,Расчет2!BB137)</f>
        <v>0</v>
      </c>
      <c r="W137" s="10">
        <f>Расчет!DL137</f>
        <v>0</v>
      </c>
      <c r="X137" s="10">
        <f>Расчет!DN137</f>
        <v>0</v>
      </c>
      <c r="Y137" s="9">
        <f>X137*Исходн.данные.!$AJ137/1000</f>
        <v>0</v>
      </c>
      <c r="Z137" s="10" t="str">
        <f>Расчет!DO137</f>
        <v>Хлор.калий</v>
      </c>
      <c r="AA137" s="10">
        <f>Расчет!DQ137</f>
        <v>0</v>
      </c>
      <c r="AB137" s="12">
        <f>AA137*Исходн.данные.!$AJ137/1000</f>
        <v>0</v>
      </c>
      <c r="AC137" s="9">
        <f>IF($F137=0,0,Расчет2!BC137)</f>
        <v>0</v>
      </c>
      <c r="AD137" s="10">
        <f>IF($F137=0,0,Расчет2!BD137)</f>
        <v>0</v>
      </c>
      <c r="AE137" s="9">
        <f>IF($F137=0,0,Расчет2!BE137)</f>
        <v>0</v>
      </c>
      <c r="AF137" s="9">
        <f>IF($F137=0,0,Расчет2!BF137)</f>
        <v>0</v>
      </c>
      <c r="AG137" s="9">
        <f>IF($F137=0,0,Расчет2!BG137)</f>
        <v>0</v>
      </c>
      <c r="AI137" s="11" t="e">
        <f>Расчет!FY137</f>
        <v>#N/A</v>
      </c>
      <c r="AJ137" s="11" t="e">
        <f>Расчет!FZ137</f>
        <v>#N/A</v>
      </c>
      <c r="AK137" s="11" t="e">
        <f>Расчет!GA137</f>
        <v>#N/A</v>
      </c>
      <c r="AL137" s="11" t="e">
        <f>Расчет!GB137</f>
        <v>#N/A</v>
      </c>
      <c r="AM137" s="11" t="e">
        <f>Расчет!GC137</f>
        <v>#N/A</v>
      </c>
      <c r="AN137" s="11" t="e">
        <f>Расчет!GD137</f>
        <v>#N/A</v>
      </c>
      <c r="AO137" s="11" t="e">
        <f>Расчет!GE137</f>
        <v>#N/A</v>
      </c>
      <c r="AP137" s="11" t="e">
        <f>Расчет!GF137</f>
        <v>#N/A</v>
      </c>
      <c r="AQ137" s="11" t="e">
        <f>Расчет!GG137</f>
        <v>#N/A</v>
      </c>
      <c r="AR137" s="11" t="e">
        <f>Расчет!GH137</f>
        <v>#N/A</v>
      </c>
      <c r="AS137" s="11" t="e">
        <f>Расчет!GI137</f>
        <v>#N/A</v>
      </c>
      <c r="AT137" s="11" t="e">
        <f>Расчет!GJ137</f>
        <v>#N/A</v>
      </c>
      <c r="AU137" s="198" t="e">
        <f t="shared" si="15"/>
        <v>#N/A</v>
      </c>
      <c r="AV137" s="198" t="e">
        <f t="shared" si="16"/>
        <v>#N/A</v>
      </c>
      <c r="AW137" s="198" t="e">
        <f t="shared" si="17"/>
        <v>#N/A</v>
      </c>
      <c r="AX137" s="11" t="e">
        <f t="shared" si="18"/>
        <v>#N/A</v>
      </c>
      <c r="AY137" s="11" t="e">
        <f t="shared" si="19"/>
        <v>#N/A</v>
      </c>
      <c r="AZ137" s="11" t="e">
        <f t="shared" si="20"/>
        <v>#N/A</v>
      </c>
    </row>
    <row r="138" spans="1:52" x14ac:dyDescent="0.2">
      <c r="A138" s="6">
        <f>Исходн.данные.!A138</f>
        <v>0</v>
      </c>
      <c r="B138" s="6">
        <f>Исходн.данные.!B138</f>
        <v>0</v>
      </c>
      <c r="C138" s="6">
        <f>Исходн.данные.!C138</f>
        <v>0</v>
      </c>
      <c r="D138" s="6">
        <f>Исходн.данные.!D138</f>
        <v>0</v>
      </c>
      <c r="E138" s="6">
        <f>Исходн.данные.!E138</f>
        <v>0</v>
      </c>
      <c r="F138" s="6">
        <f>Исходн.данные.!AH138</f>
        <v>0</v>
      </c>
      <c r="G138" s="6">
        <f>Исходн.данные.!AJ138</f>
        <v>0</v>
      </c>
      <c r="H138" s="6">
        <f>Исходн.данные.!AK138</f>
        <v>0</v>
      </c>
      <c r="I138" s="9">
        <f>IF($F138=0,0,Расчет2!AO138)</f>
        <v>0</v>
      </c>
      <c r="J138" s="9">
        <f>IF(F138=0,0,Расчет2!AP138)</f>
        <v>0</v>
      </c>
      <c r="K138" s="10">
        <f>IF($F138=0,0,Расчет2!AQ138)</f>
        <v>0</v>
      </c>
      <c r="L138" s="10">
        <f>IF($F138=0,0,Расчет2!AR138)</f>
        <v>0</v>
      </c>
      <c r="M138" s="10">
        <f>IF($F138=0,0,Расчет2!AS138)</f>
        <v>0</v>
      </c>
      <c r="N138" s="10">
        <f>IF($F138=0,0,IF(Исходн.данные.!$AP138="Посл.посева",0,Расчет2!AT138))</f>
        <v>0</v>
      </c>
      <c r="O138" s="10">
        <f>IF($F138=0,0,IF(Исходн.данные.!$AP138="Посл.посева",0,IF(Расчет2!AU138&lt;10,10,Расчет2!AU138)))</f>
        <v>0</v>
      </c>
      <c r="P138" s="10">
        <f>IF($F138=0,0,IF(Исходн.данные.!$AP138="Посл.посева",0,Расчет2!AV138))</f>
        <v>0</v>
      </c>
      <c r="Q138" s="10">
        <f>IF($F138=0,0,Расчет2!AW138)</f>
        <v>0</v>
      </c>
      <c r="R138" s="10">
        <f>IF($F138=0,0,Расчет2!AX138)</f>
        <v>0</v>
      </c>
      <c r="S138" s="9">
        <f>IF($F138=0,0,Расчет2!AY138)</f>
        <v>0</v>
      </c>
      <c r="T138" s="10">
        <f>IF($F138=0,0,Расчет2!AZ138)</f>
        <v>0</v>
      </c>
      <c r="U138" s="10">
        <f>IF($F138=0,0,Расчет2!BA138)</f>
        <v>0</v>
      </c>
      <c r="V138" s="10">
        <f>IF($F138=0,0,Расчет2!BB138)</f>
        <v>0</v>
      </c>
      <c r="W138" s="10">
        <f>Расчет!DL138</f>
        <v>0</v>
      </c>
      <c r="X138" s="10">
        <f>Расчет!DN138</f>
        <v>0</v>
      </c>
      <c r="Y138" s="9">
        <f>X138*Исходн.данные.!$AJ138/1000</f>
        <v>0</v>
      </c>
      <c r="Z138" s="10" t="str">
        <f>Расчет!DO138</f>
        <v>Хлор.калий</v>
      </c>
      <c r="AA138" s="10">
        <f>Расчет!DQ138</f>
        <v>0</v>
      </c>
      <c r="AB138" s="12">
        <f>AA138*Исходн.данные.!$AJ138/1000</f>
        <v>0</v>
      </c>
      <c r="AC138" s="9">
        <f>IF($F138=0,0,Расчет2!BC138)</f>
        <v>0</v>
      </c>
      <c r="AD138" s="10">
        <f>IF($F138=0,0,Расчет2!BD138)</f>
        <v>0</v>
      </c>
      <c r="AE138" s="9">
        <f>IF($F138=0,0,Расчет2!BE138)</f>
        <v>0</v>
      </c>
      <c r="AF138" s="9">
        <f>IF($F138=0,0,Расчет2!BF138)</f>
        <v>0</v>
      </c>
      <c r="AG138" s="9">
        <f>IF($F138=0,0,Расчет2!BG138)</f>
        <v>0</v>
      </c>
      <c r="AI138" s="11" t="e">
        <f>Расчет!FY138</f>
        <v>#N/A</v>
      </c>
      <c r="AJ138" s="11" t="e">
        <f>Расчет!FZ138</f>
        <v>#N/A</v>
      </c>
      <c r="AK138" s="11" t="e">
        <f>Расчет!GA138</f>
        <v>#N/A</v>
      </c>
      <c r="AL138" s="11" t="e">
        <f>Расчет!GB138</f>
        <v>#N/A</v>
      </c>
      <c r="AM138" s="11" t="e">
        <f>Расчет!GC138</f>
        <v>#N/A</v>
      </c>
      <c r="AN138" s="11" t="e">
        <f>Расчет!GD138</f>
        <v>#N/A</v>
      </c>
      <c r="AO138" s="11" t="e">
        <f>Расчет!GE138</f>
        <v>#N/A</v>
      </c>
      <c r="AP138" s="11" t="e">
        <f>Расчет!GF138</f>
        <v>#N/A</v>
      </c>
      <c r="AQ138" s="11" t="e">
        <f>Расчет!GG138</f>
        <v>#N/A</v>
      </c>
      <c r="AR138" s="11" t="e">
        <f>Расчет!GH138</f>
        <v>#N/A</v>
      </c>
      <c r="AS138" s="11" t="e">
        <f>Расчет!GI138</f>
        <v>#N/A</v>
      </c>
      <c r="AT138" s="11" t="e">
        <f>Расчет!GJ138</f>
        <v>#N/A</v>
      </c>
      <c r="AU138" s="198" t="e">
        <f t="shared" si="15"/>
        <v>#N/A</v>
      </c>
      <c r="AV138" s="198" t="e">
        <f t="shared" si="16"/>
        <v>#N/A</v>
      </c>
      <c r="AW138" s="198" t="e">
        <f t="shared" si="17"/>
        <v>#N/A</v>
      </c>
      <c r="AX138" s="11" t="e">
        <f t="shared" si="18"/>
        <v>#N/A</v>
      </c>
      <c r="AY138" s="11" t="e">
        <f t="shared" si="19"/>
        <v>#N/A</v>
      </c>
      <c r="AZ138" s="11" t="e">
        <f t="shared" si="20"/>
        <v>#N/A</v>
      </c>
    </row>
    <row r="139" spans="1:52" x14ac:dyDescent="0.2">
      <c r="A139" s="6">
        <f>Исходн.данные.!A139</f>
        <v>0</v>
      </c>
      <c r="B139" s="6">
        <f>Исходн.данные.!B139</f>
        <v>0</v>
      </c>
      <c r="C139" s="6">
        <f>Исходн.данные.!C139</f>
        <v>0</v>
      </c>
      <c r="D139" s="6">
        <f>Исходн.данные.!D139</f>
        <v>0</v>
      </c>
      <c r="E139" s="6">
        <f>Исходн.данные.!E139</f>
        <v>0</v>
      </c>
      <c r="F139" s="6">
        <f>Исходн.данные.!AH139</f>
        <v>0</v>
      </c>
      <c r="G139" s="6">
        <f>Исходн.данные.!AJ139</f>
        <v>0</v>
      </c>
      <c r="H139" s="6">
        <f>Исходн.данные.!AK139</f>
        <v>0</v>
      </c>
      <c r="I139" s="9">
        <f>IF($F139=0,0,Расчет2!AO139)</f>
        <v>0</v>
      </c>
      <c r="J139" s="9">
        <f>IF(F139=0,0,Расчет2!AP139)</f>
        <v>0</v>
      </c>
      <c r="K139" s="10">
        <f>IF($F139=0,0,Расчет2!AQ139)</f>
        <v>0</v>
      </c>
      <c r="L139" s="10">
        <f>IF($F139=0,0,Расчет2!AR139)</f>
        <v>0</v>
      </c>
      <c r="M139" s="10">
        <f>IF($F139=0,0,Расчет2!AS139)</f>
        <v>0</v>
      </c>
      <c r="N139" s="10">
        <f>IF($F139=0,0,IF(Исходн.данные.!$AP139="Посл.посева",0,Расчет2!AT139))</f>
        <v>0</v>
      </c>
      <c r="O139" s="10">
        <f>IF($F139=0,0,IF(Исходн.данные.!$AP139="Посл.посева",0,IF(Расчет2!AU139&lt;10,10,Расчет2!AU139)))</f>
        <v>0</v>
      </c>
      <c r="P139" s="10">
        <f>IF($F139=0,0,IF(Исходн.данные.!$AP139="Посл.посева",0,Расчет2!AV139))</f>
        <v>0</v>
      </c>
      <c r="Q139" s="10">
        <f>IF($F139=0,0,Расчет2!AW139)</f>
        <v>0</v>
      </c>
      <c r="R139" s="10">
        <f>IF($F139=0,0,Расчет2!AX139)</f>
        <v>0</v>
      </c>
      <c r="S139" s="9">
        <f>IF($F139=0,0,Расчет2!AY139)</f>
        <v>0</v>
      </c>
      <c r="T139" s="10">
        <f>IF($F139=0,0,Расчет2!AZ139)</f>
        <v>0</v>
      </c>
      <c r="U139" s="10">
        <f>IF($F139=0,0,Расчет2!BA139)</f>
        <v>0</v>
      </c>
      <c r="V139" s="10">
        <f>IF($F139=0,0,Расчет2!BB139)</f>
        <v>0</v>
      </c>
      <c r="W139" s="10">
        <f>Расчет!DL139</f>
        <v>0</v>
      </c>
      <c r="X139" s="10">
        <f>Расчет!DN139</f>
        <v>0</v>
      </c>
      <c r="Y139" s="9">
        <f>X139*Исходн.данные.!$AJ139/1000</f>
        <v>0</v>
      </c>
      <c r="Z139" s="10" t="str">
        <f>Расчет!DO139</f>
        <v>Хлор.калий</v>
      </c>
      <c r="AA139" s="10">
        <f>Расчет!DQ139</f>
        <v>0</v>
      </c>
      <c r="AB139" s="12">
        <f>AA139*Исходн.данные.!$AJ139/1000</f>
        <v>0</v>
      </c>
      <c r="AC139" s="9">
        <f>IF($F139=0,0,Расчет2!BC139)</f>
        <v>0</v>
      </c>
      <c r="AD139" s="10">
        <f>IF($F139=0,0,Расчет2!BD139)</f>
        <v>0</v>
      </c>
      <c r="AE139" s="9">
        <f>IF($F139=0,0,Расчет2!BE139)</f>
        <v>0</v>
      </c>
      <c r="AF139" s="9">
        <f>IF($F139=0,0,Расчет2!BF139)</f>
        <v>0</v>
      </c>
      <c r="AG139" s="9">
        <f>IF($F139=0,0,Расчет2!BG139)</f>
        <v>0</v>
      </c>
      <c r="AI139" s="11" t="e">
        <f>Расчет!FY139</f>
        <v>#N/A</v>
      </c>
      <c r="AJ139" s="11" t="e">
        <f>Расчет!FZ139</f>
        <v>#N/A</v>
      </c>
      <c r="AK139" s="11" t="e">
        <f>Расчет!GA139</f>
        <v>#N/A</v>
      </c>
      <c r="AL139" s="11" t="e">
        <f>Расчет!GB139</f>
        <v>#N/A</v>
      </c>
      <c r="AM139" s="11" t="e">
        <f>Расчет!GC139</f>
        <v>#N/A</v>
      </c>
      <c r="AN139" s="11" t="e">
        <f>Расчет!GD139</f>
        <v>#N/A</v>
      </c>
      <c r="AO139" s="11" t="e">
        <f>Расчет!GE139</f>
        <v>#N/A</v>
      </c>
      <c r="AP139" s="11" t="e">
        <f>Расчет!GF139</f>
        <v>#N/A</v>
      </c>
      <c r="AQ139" s="11" t="e">
        <f>Расчет!GG139</f>
        <v>#N/A</v>
      </c>
      <c r="AR139" s="11" t="e">
        <f>Расчет!GH139</f>
        <v>#N/A</v>
      </c>
      <c r="AS139" s="11" t="e">
        <f>Расчет!GI139</f>
        <v>#N/A</v>
      </c>
      <c r="AT139" s="11" t="e">
        <f>Расчет!GJ139</f>
        <v>#N/A</v>
      </c>
      <c r="AU139" s="198" t="e">
        <f t="shared" si="15"/>
        <v>#N/A</v>
      </c>
      <c r="AV139" s="198" t="e">
        <f t="shared" si="16"/>
        <v>#N/A</v>
      </c>
      <c r="AW139" s="198" t="e">
        <f t="shared" si="17"/>
        <v>#N/A</v>
      </c>
      <c r="AX139" s="11" t="e">
        <f t="shared" si="18"/>
        <v>#N/A</v>
      </c>
      <c r="AY139" s="11" t="e">
        <f t="shared" si="19"/>
        <v>#N/A</v>
      </c>
      <c r="AZ139" s="11" t="e">
        <f t="shared" si="20"/>
        <v>#N/A</v>
      </c>
    </row>
    <row r="140" spans="1:52" x14ac:dyDescent="0.2">
      <c r="A140" s="6">
        <f>Исходн.данные.!A140</f>
        <v>0</v>
      </c>
      <c r="B140" s="6">
        <f>Исходн.данные.!B140</f>
        <v>0</v>
      </c>
      <c r="C140" s="6">
        <f>Исходн.данные.!C140</f>
        <v>0</v>
      </c>
      <c r="D140" s="6">
        <f>Исходн.данные.!D140</f>
        <v>0</v>
      </c>
      <c r="E140" s="6">
        <f>Исходн.данные.!E140</f>
        <v>0</v>
      </c>
      <c r="F140" s="6">
        <f>Исходн.данные.!AH140</f>
        <v>0</v>
      </c>
      <c r="G140" s="6">
        <f>Исходн.данные.!AJ140</f>
        <v>0</v>
      </c>
      <c r="H140" s="6">
        <f>Исходн.данные.!AK140</f>
        <v>0</v>
      </c>
      <c r="I140" s="9">
        <f>IF($F140=0,0,Расчет2!AO140)</f>
        <v>0</v>
      </c>
      <c r="J140" s="9">
        <f>IF(F140=0,0,Расчет2!AP140)</f>
        <v>0</v>
      </c>
      <c r="K140" s="10">
        <f>IF($F140=0,0,Расчет2!AQ140)</f>
        <v>0</v>
      </c>
      <c r="L140" s="10">
        <f>IF($F140=0,0,Расчет2!AR140)</f>
        <v>0</v>
      </c>
      <c r="M140" s="10">
        <f>IF($F140=0,0,Расчет2!AS140)</f>
        <v>0</v>
      </c>
      <c r="N140" s="10">
        <f>IF($F140=0,0,IF(Исходн.данные.!$AP140="Посл.посева",0,Расчет2!AT140))</f>
        <v>0</v>
      </c>
      <c r="O140" s="10">
        <f>IF($F140=0,0,IF(Исходн.данные.!$AP140="Посл.посева",0,IF(Расчет2!AU140&lt;10,10,Расчет2!AU140)))</f>
        <v>0</v>
      </c>
      <c r="P140" s="10">
        <f>IF($F140=0,0,IF(Исходн.данные.!$AP140="Посл.посева",0,Расчет2!AV140))</f>
        <v>0</v>
      </c>
      <c r="Q140" s="10">
        <f>IF($F140=0,0,Расчет2!AW140)</f>
        <v>0</v>
      </c>
      <c r="R140" s="10">
        <f>IF($F140=0,0,Расчет2!AX140)</f>
        <v>0</v>
      </c>
      <c r="S140" s="9">
        <f>IF($F140=0,0,Расчет2!AY140)</f>
        <v>0</v>
      </c>
      <c r="T140" s="10">
        <f>IF($F140=0,0,Расчет2!AZ140)</f>
        <v>0</v>
      </c>
      <c r="U140" s="10">
        <f>IF($F140=0,0,Расчет2!BA140)</f>
        <v>0</v>
      </c>
      <c r="V140" s="10">
        <f>IF($F140=0,0,Расчет2!BB140)</f>
        <v>0</v>
      </c>
      <c r="W140" s="10">
        <f>Расчет!DL140</f>
        <v>0</v>
      </c>
      <c r="X140" s="10">
        <f>Расчет!DN140</f>
        <v>0</v>
      </c>
      <c r="Y140" s="9">
        <f>X140*Исходн.данные.!$AJ140/1000</f>
        <v>0</v>
      </c>
      <c r="Z140" s="10" t="str">
        <f>Расчет!DO140</f>
        <v>Хлор.калий</v>
      </c>
      <c r="AA140" s="10">
        <f>Расчет!DQ140</f>
        <v>0</v>
      </c>
      <c r="AB140" s="12">
        <f>AA140*Исходн.данные.!$AJ140/1000</f>
        <v>0</v>
      </c>
      <c r="AC140" s="9">
        <f>IF($F140=0,0,Расчет2!BC140)</f>
        <v>0</v>
      </c>
      <c r="AD140" s="10">
        <f>IF($F140=0,0,Расчет2!BD140)</f>
        <v>0</v>
      </c>
      <c r="AE140" s="9">
        <f>IF($F140=0,0,Расчет2!BE140)</f>
        <v>0</v>
      </c>
      <c r="AF140" s="9">
        <f>IF($F140=0,0,Расчет2!BF140)</f>
        <v>0</v>
      </c>
      <c r="AG140" s="9">
        <f>IF($F140=0,0,Расчет2!BG140)</f>
        <v>0</v>
      </c>
      <c r="AI140" s="11" t="e">
        <f>Расчет!FY140</f>
        <v>#N/A</v>
      </c>
      <c r="AJ140" s="11" t="e">
        <f>Расчет!FZ140</f>
        <v>#N/A</v>
      </c>
      <c r="AK140" s="11" t="e">
        <f>Расчет!GA140</f>
        <v>#N/A</v>
      </c>
      <c r="AL140" s="11" t="e">
        <f>Расчет!GB140</f>
        <v>#N/A</v>
      </c>
      <c r="AM140" s="11" t="e">
        <f>Расчет!GC140</f>
        <v>#N/A</v>
      </c>
      <c r="AN140" s="11" t="e">
        <f>Расчет!GD140</f>
        <v>#N/A</v>
      </c>
      <c r="AO140" s="11" t="e">
        <f>Расчет!GE140</f>
        <v>#N/A</v>
      </c>
      <c r="AP140" s="11" t="e">
        <f>Расчет!GF140</f>
        <v>#N/A</v>
      </c>
      <c r="AQ140" s="11" t="e">
        <f>Расчет!GG140</f>
        <v>#N/A</v>
      </c>
      <c r="AR140" s="11" t="e">
        <f>Расчет!GH140</f>
        <v>#N/A</v>
      </c>
      <c r="AS140" s="11" t="e">
        <f>Расчет!GI140</f>
        <v>#N/A</v>
      </c>
      <c r="AT140" s="11" t="e">
        <f>Расчет!GJ140</f>
        <v>#N/A</v>
      </c>
      <c r="AU140" s="198" t="e">
        <f t="shared" si="15"/>
        <v>#N/A</v>
      </c>
      <c r="AV140" s="198" t="e">
        <f t="shared" si="16"/>
        <v>#N/A</v>
      </c>
      <c r="AW140" s="198" t="e">
        <f t="shared" si="17"/>
        <v>#N/A</v>
      </c>
      <c r="AX140" s="11" t="e">
        <f t="shared" si="18"/>
        <v>#N/A</v>
      </c>
      <c r="AY140" s="11" t="e">
        <f t="shared" si="19"/>
        <v>#N/A</v>
      </c>
      <c r="AZ140" s="11" t="e">
        <f t="shared" si="20"/>
        <v>#N/A</v>
      </c>
    </row>
    <row r="141" spans="1:52" x14ac:dyDescent="0.2">
      <c r="A141" s="6">
        <f>Исходн.данные.!A141</f>
        <v>0</v>
      </c>
      <c r="B141" s="6">
        <f>Исходн.данные.!B141</f>
        <v>0</v>
      </c>
      <c r="C141" s="6">
        <f>Исходн.данные.!C141</f>
        <v>0</v>
      </c>
      <c r="D141" s="6">
        <f>Исходн.данные.!D141</f>
        <v>0</v>
      </c>
      <c r="E141" s="6">
        <f>Исходн.данные.!E141</f>
        <v>0</v>
      </c>
      <c r="F141" s="6">
        <f>Исходн.данные.!AH141</f>
        <v>0</v>
      </c>
      <c r="G141" s="6">
        <f>Исходн.данные.!AJ141</f>
        <v>0</v>
      </c>
      <c r="H141" s="6">
        <f>Исходн.данные.!AK141</f>
        <v>0</v>
      </c>
      <c r="I141" s="9">
        <f>IF($F141=0,0,Расчет2!AO141)</f>
        <v>0</v>
      </c>
      <c r="J141" s="9">
        <f>IF(F141=0,0,Расчет2!AP141)</f>
        <v>0</v>
      </c>
      <c r="K141" s="10">
        <f>IF($F141=0,0,Расчет2!AQ141)</f>
        <v>0</v>
      </c>
      <c r="L141" s="10">
        <f>IF($F141=0,0,Расчет2!AR141)</f>
        <v>0</v>
      </c>
      <c r="M141" s="10">
        <f>IF($F141=0,0,Расчет2!AS141)</f>
        <v>0</v>
      </c>
      <c r="N141" s="10">
        <f>IF($F141=0,0,IF(Исходн.данные.!$AP141="Посл.посева",0,Расчет2!AT141))</f>
        <v>0</v>
      </c>
      <c r="O141" s="10">
        <f>IF($F141=0,0,IF(Исходн.данные.!$AP141="Посл.посева",0,IF(Расчет2!AU141&lt;10,10,Расчет2!AU141)))</f>
        <v>0</v>
      </c>
      <c r="P141" s="10">
        <f>IF($F141=0,0,IF(Исходн.данные.!$AP141="Посл.посева",0,Расчет2!AV141))</f>
        <v>0</v>
      </c>
      <c r="Q141" s="10">
        <f>IF($F141=0,0,Расчет2!AW141)</f>
        <v>0</v>
      </c>
      <c r="R141" s="10">
        <f>IF($F141=0,0,Расчет2!AX141)</f>
        <v>0</v>
      </c>
      <c r="S141" s="9">
        <f>IF($F141=0,0,Расчет2!AY141)</f>
        <v>0</v>
      </c>
      <c r="T141" s="10">
        <f>IF($F141=0,0,Расчет2!AZ141)</f>
        <v>0</v>
      </c>
      <c r="U141" s="10">
        <f>IF($F141=0,0,Расчет2!BA141)</f>
        <v>0</v>
      </c>
      <c r="V141" s="10">
        <f>IF($F141=0,0,Расчет2!BB141)</f>
        <v>0</v>
      </c>
      <c r="W141" s="10">
        <f>Расчет!DL141</f>
        <v>0</v>
      </c>
      <c r="X141" s="10">
        <f>Расчет!DN141</f>
        <v>0</v>
      </c>
      <c r="Y141" s="9">
        <f>X141*Исходн.данные.!$AJ141/1000</f>
        <v>0</v>
      </c>
      <c r="Z141" s="10" t="str">
        <f>Расчет!DO141</f>
        <v>Хлор.калий</v>
      </c>
      <c r="AA141" s="10">
        <f>Расчет!DQ141</f>
        <v>0</v>
      </c>
      <c r="AB141" s="12">
        <f>AA141*Исходн.данные.!$AJ141/1000</f>
        <v>0</v>
      </c>
      <c r="AC141" s="9">
        <f>IF($F141=0,0,Расчет2!BC141)</f>
        <v>0</v>
      </c>
      <c r="AD141" s="10">
        <f>IF($F141=0,0,Расчет2!BD141)</f>
        <v>0</v>
      </c>
      <c r="AE141" s="9">
        <f>IF($F141=0,0,Расчет2!BE141)</f>
        <v>0</v>
      </c>
      <c r="AF141" s="9">
        <f>IF($F141=0,0,Расчет2!BF141)</f>
        <v>0</v>
      </c>
      <c r="AG141" s="9">
        <f>IF($F141=0,0,Расчет2!BG141)</f>
        <v>0</v>
      </c>
      <c r="AI141" s="11" t="e">
        <f>Расчет!FY141</f>
        <v>#N/A</v>
      </c>
      <c r="AJ141" s="11" t="e">
        <f>Расчет!FZ141</f>
        <v>#N/A</v>
      </c>
      <c r="AK141" s="11" t="e">
        <f>Расчет!GA141</f>
        <v>#N/A</v>
      </c>
      <c r="AL141" s="11" t="e">
        <f>Расчет!GB141</f>
        <v>#N/A</v>
      </c>
      <c r="AM141" s="11" t="e">
        <f>Расчет!GC141</f>
        <v>#N/A</v>
      </c>
      <c r="AN141" s="11" t="e">
        <f>Расчет!GD141</f>
        <v>#N/A</v>
      </c>
      <c r="AO141" s="11" t="e">
        <f>Расчет!GE141</f>
        <v>#N/A</v>
      </c>
      <c r="AP141" s="11" t="e">
        <f>Расчет!GF141</f>
        <v>#N/A</v>
      </c>
      <c r="AQ141" s="11" t="e">
        <f>Расчет!GG141</f>
        <v>#N/A</v>
      </c>
      <c r="AR141" s="11" t="e">
        <f>Расчет!GH141</f>
        <v>#N/A</v>
      </c>
      <c r="AS141" s="11" t="e">
        <f>Расчет!GI141</f>
        <v>#N/A</v>
      </c>
      <c r="AT141" s="11" t="e">
        <f>Расчет!GJ141</f>
        <v>#N/A</v>
      </c>
      <c r="AU141" s="198" t="e">
        <f t="shared" si="15"/>
        <v>#N/A</v>
      </c>
      <c r="AV141" s="198" t="e">
        <f t="shared" si="16"/>
        <v>#N/A</v>
      </c>
      <c r="AW141" s="198" t="e">
        <f t="shared" si="17"/>
        <v>#N/A</v>
      </c>
      <c r="AX141" s="11" t="e">
        <f t="shared" si="18"/>
        <v>#N/A</v>
      </c>
      <c r="AY141" s="11" t="e">
        <f t="shared" si="19"/>
        <v>#N/A</v>
      </c>
      <c r="AZ141" s="11" t="e">
        <f t="shared" si="20"/>
        <v>#N/A</v>
      </c>
    </row>
    <row r="142" spans="1:52" x14ac:dyDescent="0.2">
      <c r="A142" s="6">
        <f>Исходн.данные.!A142</f>
        <v>0</v>
      </c>
      <c r="B142" s="6">
        <f>Исходн.данные.!B142</f>
        <v>0</v>
      </c>
      <c r="C142" s="6">
        <f>Исходн.данные.!C142</f>
        <v>0</v>
      </c>
      <c r="D142" s="6">
        <f>Исходн.данные.!D142</f>
        <v>0</v>
      </c>
      <c r="E142" s="6">
        <f>Исходн.данные.!E142</f>
        <v>0</v>
      </c>
      <c r="F142" s="6">
        <f>Исходн.данные.!AH142</f>
        <v>0</v>
      </c>
      <c r="G142" s="6">
        <f>Исходн.данные.!AJ142</f>
        <v>0</v>
      </c>
      <c r="H142" s="6">
        <f>Исходн.данные.!AK142</f>
        <v>0</v>
      </c>
      <c r="I142" s="9">
        <f>IF($F142=0,0,Расчет2!AO142)</f>
        <v>0</v>
      </c>
      <c r="J142" s="9">
        <f>IF(F142=0,0,Расчет2!AP142)</f>
        <v>0</v>
      </c>
      <c r="K142" s="10">
        <f>IF($F142=0,0,Расчет2!AQ142)</f>
        <v>0</v>
      </c>
      <c r="L142" s="10">
        <f>IF($F142=0,0,Расчет2!AR142)</f>
        <v>0</v>
      </c>
      <c r="M142" s="10">
        <f>IF($F142=0,0,Расчет2!AS142)</f>
        <v>0</v>
      </c>
      <c r="N142" s="10">
        <f>IF($F142=0,0,IF(Исходн.данные.!$AP142="Посл.посева",0,Расчет2!AT142))</f>
        <v>0</v>
      </c>
      <c r="O142" s="10">
        <f>IF($F142=0,0,IF(Исходн.данные.!$AP142="Посл.посева",0,IF(Расчет2!AU142&lt;10,10,Расчет2!AU142)))</f>
        <v>0</v>
      </c>
      <c r="P142" s="10">
        <f>IF($F142=0,0,IF(Исходн.данные.!$AP142="Посл.посева",0,Расчет2!AV142))</f>
        <v>0</v>
      </c>
      <c r="Q142" s="10">
        <f>IF($F142=0,0,Расчет2!AW142)</f>
        <v>0</v>
      </c>
      <c r="R142" s="10">
        <f>IF($F142=0,0,Расчет2!AX142)</f>
        <v>0</v>
      </c>
      <c r="S142" s="9">
        <f>IF($F142=0,0,Расчет2!AY142)</f>
        <v>0</v>
      </c>
      <c r="T142" s="10">
        <f>IF($F142=0,0,Расчет2!AZ142)</f>
        <v>0</v>
      </c>
      <c r="U142" s="10">
        <f>IF($F142=0,0,Расчет2!BA142)</f>
        <v>0</v>
      </c>
      <c r="V142" s="10">
        <f>IF($F142=0,0,Расчет2!BB142)</f>
        <v>0</v>
      </c>
      <c r="W142" s="10">
        <f>Расчет!DL142</f>
        <v>0</v>
      </c>
      <c r="X142" s="10">
        <f>Расчет!DN142</f>
        <v>0</v>
      </c>
      <c r="Y142" s="9">
        <f>X142*Исходн.данные.!$AJ142/1000</f>
        <v>0</v>
      </c>
      <c r="Z142" s="10" t="str">
        <f>Расчет!DO142</f>
        <v>Хлор.калий</v>
      </c>
      <c r="AA142" s="10">
        <f>Расчет!DQ142</f>
        <v>0</v>
      </c>
      <c r="AB142" s="12">
        <f>AA142*Исходн.данные.!$AJ142/1000</f>
        <v>0</v>
      </c>
      <c r="AC142" s="9">
        <f>IF($F142=0,0,Расчет2!BC142)</f>
        <v>0</v>
      </c>
      <c r="AD142" s="10">
        <f>IF($F142=0,0,Расчет2!BD142)</f>
        <v>0</v>
      </c>
      <c r="AE142" s="9">
        <f>IF($F142=0,0,Расчет2!BE142)</f>
        <v>0</v>
      </c>
      <c r="AF142" s="9">
        <f>IF($F142=0,0,Расчет2!BF142)</f>
        <v>0</v>
      </c>
      <c r="AG142" s="9">
        <f>IF($F142=0,0,Расчет2!BG142)</f>
        <v>0</v>
      </c>
      <c r="AI142" s="11" t="e">
        <f>Расчет!FY142</f>
        <v>#N/A</v>
      </c>
      <c r="AJ142" s="11" t="e">
        <f>Расчет!FZ142</f>
        <v>#N/A</v>
      </c>
      <c r="AK142" s="11" t="e">
        <f>Расчет!GA142</f>
        <v>#N/A</v>
      </c>
      <c r="AL142" s="11" t="e">
        <f>Расчет!GB142</f>
        <v>#N/A</v>
      </c>
      <c r="AM142" s="11" t="e">
        <f>Расчет!GC142</f>
        <v>#N/A</v>
      </c>
      <c r="AN142" s="11" t="e">
        <f>Расчет!GD142</f>
        <v>#N/A</v>
      </c>
      <c r="AO142" s="11" t="e">
        <f>Расчет!GE142</f>
        <v>#N/A</v>
      </c>
      <c r="AP142" s="11" t="e">
        <f>Расчет!GF142</f>
        <v>#N/A</v>
      </c>
      <c r="AQ142" s="11" t="e">
        <f>Расчет!GG142</f>
        <v>#N/A</v>
      </c>
      <c r="AR142" s="11" t="e">
        <f>Расчет!GH142</f>
        <v>#N/A</v>
      </c>
      <c r="AS142" s="11" t="e">
        <f>Расчет!GI142</f>
        <v>#N/A</v>
      </c>
      <c r="AT142" s="11" t="e">
        <f>Расчет!GJ142</f>
        <v>#N/A</v>
      </c>
      <c r="AU142" s="198" t="e">
        <f t="shared" si="15"/>
        <v>#N/A</v>
      </c>
      <c r="AV142" s="198" t="e">
        <f t="shared" si="16"/>
        <v>#N/A</v>
      </c>
      <c r="AW142" s="198" t="e">
        <f t="shared" si="17"/>
        <v>#N/A</v>
      </c>
      <c r="AX142" s="11" t="e">
        <f t="shared" si="18"/>
        <v>#N/A</v>
      </c>
      <c r="AY142" s="11" t="e">
        <f t="shared" si="19"/>
        <v>#N/A</v>
      </c>
      <c r="AZ142" s="11" t="e">
        <f t="shared" si="20"/>
        <v>#N/A</v>
      </c>
    </row>
    <row r="143" spans="1:52" x14ac:dyDescent="0.2">
      <c r="A143" s="6">
        <f>Исходн.данные.!A143</f>
        <v>0</v>
      </c>
      <c r="B143" s="6">
        <f>Исходн.данные.!B143</f>
        <v>0</v>
      </c>
      <c r="C143" s="6">
        <f>Исходн.данные.!C143</f>
        <v>0</v>
      </c>
      <c r="D143" s="6">
        <f>Исходн.данные.!D143</f>
        <v>0</v>
      </c>
      <c r="E143" s="6">
        <f>Исходн.данные.!E143</f>
        <v>0</v>
      </c>
      <c r="F143" s="6">
        <f>Исходн.данные.!AH143</f>
        <v>0</v>
      </c>
      <c r="G143" s="6">
        <f>Исходн.данные.!AJ143</f>
        <v>0</v>
      </c>
      <c r="H143" s="6">
        <f>Исходн.данные.!AK143</f>
        <v>0</v>
      </c>
      <c r="I143" s="9">
        <f>IF($F143=0,0,Расчет2!AO143)</f>
        <v>0</v>
      </c>
      <c r="J143" s="9">
        <f>IF(F143=0,0,Расчет2!AP143)</f>
        <v>0</v>
      </c>
      <c r="K143" s="10">
        <f>IF($F143=0,0,Расчет2!AQ143)</f>
        <v>0</v>
      </c>
      <c r="L143" s="10">
        <f>IF($F143=0,0,Расчет2!AR143)</f>
        <v>0</v>
      </c>
      <c r="M143" s="10">
        <f>IF($F143=0,0,Расчет2!AS143)</f>
        <v>0</v>
      </c>
      <c r="N143" s="10">
        <f>IF($F143=0,0,IF(Исходн.данные.!$AP143="Посл.посева",0,Расчет2!AT143))</f>
        <v>0</v>
      </c>
      <c r="O143" s="10">
        <f>IF($F143=0,0,IF(Исходн.данные.!$AP143="Посл.посева",0,IF(Расчет2!AU143&lt;10,10,Расчет2!AU143)))</f>
        <v>0</v>
      </c>
      <c r="P143" s="10">
        <f>IF($F143=0,0,IF(Исходн.данные.!$AP143="Посл.посева",0,Расчет2!AV143))</f>
        <v>0</v>
      </c>
      <c r="Q143" s="10">
        <f>IF($F143=0,0,Расчет2!AW143)</f>
        <v>0</v>
      </c>
      <c r="R143" s="10">
        <f>IF($F143=0,0,Расчет2!AX143)</f>
        <v>0</v>
      </c>
      <c r="S143" s="9">
        <f>IF($F143=0,0,Расчет2!AY143)</f>
        <v>0</v>
      </c>
      <c r="T143" s="10">
        <f>IF($F143=0,0,Расчет2!AZ143)</f>
        <v>0</v>
      </c>
      <c r="U143" s="10">
        <f>IF($F143=0,0,Расчет2!BA143)</f>
        <v>0</v>
      </c>
      <c r="V143" s="10">
        <f>IF($F143=0,0,Расчет2!BB143)</f>
        <v>0</v>
      </c>
      <c r="W143" s="10">
        <f>Расчет!DL143</f>
        <v>0</v>
      </c>
      <c r="X143" s="10">
        <f>Расчет!DN143</f>
        <v>0</v>
      </c>
      <c r="Y143" s="9">
        <f>X143*Исходн.данные.!$AJ143/1000</f>
        <v>0</v>
      </c>
      <c r="Z143" s="10" t="str">
        <f>Расчет!DO143</f>
        <v>Хлор.калий</v>
      </c>
      <c r="AA143" s="10">
        <f>Расчет!DQ143</f>
        <v>0</v>
      </c>
      <c r="AB143" s="12">
        <f>AA143*Исходн.данные.!$AJ143/1000</f>
        <v>0</v>
      </c>
      <c r="AC143" s="9">
        <f>IF($F143=0,0,Расчет2!BC143)</f>
        <v>0</v>
      </c>
      <c r="AD143" s="10">
        <f>IF($F143=0,0,Расчет2!BD143)</f>
        <v>0</v>
      </c>
      <c r="AE143" s="9">
        <f>IF($F143=0,0,Расчет2!BE143)</f>
        <v>0</v>
      </c>
      <c r="AF143" s="9">
        <f>IF($F143=0,0,Расчет2!BF143)</f>
        <v>0</v>
      </c>
      <c r="AG143" s="9">
        <f>IF($F143=0,0,Расчет2!BG143)</f>
        <v>0</v>
      </c>
      <c r="AI143" s="11" t="e">
        <f>Расчет!FY143</f>
        <v>#N/A</v>
      </c>
      <c r="AJ143" s="11" t="e">
        <f>Расчет!FZ143</f>
        <v>#N/A</v>
      </c>
      <c r="AK143" s="11" t="e">
        <f>Расчет!GA143</f>
        <v>#N/A</v>
      </c>
      <c r="AL143" s="11" t="e">
        <f>Расчет!GB143</f>
        <v>#N/A</v>
      </c>
      <c r="AM143" s="11" t="e">
        <f>Расчет!GC143</f>
        <v>#N/A</v>
      </c>
      <c r="AN143" s="11" t="e">
        <f>Расчет!GD143</f>
        <v>#N/A</v>
      </c>
      <c r="AO143" s="11" t="e">
        <f>Расчет!GE143</f>
        <v>#N/A</v>
      </c>
      <c r="AP143" s="11" t="e">
        <f>Расчет!GF143</f>
        <v>#N/A</v>
      </c>
      <c r="AQ143" s="11" t="e">
        <f>Расчет!GG143</f>
        <v>#N/A</v>
      </c>
      <c r="AR143" s="11" t="e">
        <f>Расчет!GH143</f>
        <v>#N/A</v>
      </c>
      <c r="AS143" s="11" t="e">
        <f>Расчет!GI143</f>
        <v>#N/A</v>
      </c>
      <c r="AT143" s="11" t="e">
        <f>Расчет!GJ143</f>
        <v>#N/A</v>
      </c>
      <c r="AU143" s="198" t="e">
        <f t="shared" si="15"/>
        <v>#N/A</v>
      </c>
      <c r="AV143" s="198" t="e">
        <f t="shared" si="16"/>
        <v>#N/A</v>
      </c>
      <c r="AW143" s="198" t="e">
        <f t="shared" si="17"/>
        <v>#N/A</v>
      </c>
      <c r="AX143" s="11" t="e">
        <f t="shared" si="18"/>
        <v>#N/A</v>
      </c>
      <c r="AY143" s="11" t="e">
        <f t="shared" si="19"/>
        <v>#N/A</v>
      </c>
      <c r="AZ143" s="11" t="e">
        <f t="shared" si="20"/>
        <v>#N/A</v>
      </c>
    </row>
    <row r="144" spans="1:52" x14ac:dyDescent="0.2">
      <c r="A144" s="6">
        <f>Исходн.данные.!A144</f>
        <v>0</v>
      </c>
      <c r="B144" s="6">
        <f>Исходн.данные.!B144</f>
        <v>0</v>
      </c>
      <c r="C144" s="6">
        <f>Исходн.данные.!C144</f>
        <v>0</v>
      </c>
      <c r="D144" s="6">
        <f>Исходн.данные.!D144</f>
        <v>0</v>
      </c>
      <c r="E144" s="6">
        <f>Исходн.данные.!E144</f>
        <v>0</v>
      </c>
      <c r="F144" s="6">
        <f>Исходн.данные.!AH144</f>
        <v>0</v>
      </c>
      <c r="G144" s="6">
        <f>Исходн.данные.!AJ144</f>
        <v>0</v>
      </c>
      <c r="H144" s="6">
        <f>Исходн.данные.!AK144</f>
        <v>0</v>
      </c>
      <c r="I144" s="9">
        <f>IF($F144=0,0,Расчет2!AO144)</f>
        <v>0</v>
      </c>
      <c r="J144" s="9">
        <f>IF(F144=0,0,Расчет2!AP144)</f>
        <v>0</v>
      </c>
      <c r="K144" s="10">
        <f>IF($F144=0,0,Расчет2!AQ144)</f>
        <v>0</v>
      </c>
      <c r="L144" s="10">
        <f>IF($F144=0,0,Расчет2!AR144)</f>
        <v>0</v>
      </c>
      <c r="M144" s="10">
        <f>IF($F144=0,0,Расчет2!AS144)</f>
        <v>0</v>
      </c>
      <c r="N144" s="10">
        <f>IF($F144=0,0,IF(Исходн.данные.!$AP144="Посл.посева",0,Расчет2!AT144))</f>
        <v>0</v>
      </c>
      <c r="O144" s="10">
        <f>IF($F144=0,0,IF(Исходн.данные.!$AP144="Посл.посева",0,IF(Расчет2!AU144&lt;10,10,Расчет2!AU144)))</f>
        <v>0</v>
      </c>
      <c r="P144" s="10">
        <f>IF($F144=0,0,IF(Исходн.данные.!$AP144="Посл.посева",0,Расчет2!AV144))</f>
        <v>0</v>
      </c>
      <c r="Q144" s="10">
        <f>IF($F144=0,0,Расчет2!AW144)</f>
        <v>0</v>
      </c>
      <c r="R144" s="10">
        <f>IF($F144=0,0,Расчет2!AX144)</f>
        <v>0</v>
      </c>
      <c r="S144" s="9">
        <f>IF($F144=0,0,Расчет2!AY144)</f>
        <v>0</v>
      </c>
      <c r="T144" s="10">
        <f>IF($F144=0,0,Расчет2!AZ144)</f>
        <v>0</v>
      </c>
      <c r="U144" s="10">
        <f>IF($F144=0,0,Расчет2!BA144)</f>
        <v>0</v>
      </c>
      <c r="V144" s="10">
        <f>IF($F144=0,0,Расчет2!BB144)</f>
        <v>0</v>
      </c>
      <c r="W144" s="10">
        <f>Расчет!DL144</f>
        <v>0</v>
      </c>
      <c r="X144" s="10">
        <f>Расчет!DN144</f>
        <v>0</v>
      </c>
      <c r="Y144" s="9">
        <f>X144*Исходн.данные.!$AJ144/1000</f>
        <v>0</v>
      </c>
      <c r="Z144" s="10" t="str">
        <f>Расчет!DO144</f>
        <v>Хлор.калий</v>
      </c>
      <c r="AA144" s="10">
        <f>Расчет!DQ144</f>
        <v>0</v>
      </c>
      <c r="AB144" s="12">
        <f>AA144*Исходн.данные.!$AJ144/1000</f>
        <v>0</v>
      </c>
      <c r="AC144" s="9">
        <f>IF($F144=0,0,Расчет2!BC144)</f>
        <v>0</v>
      </c>
      <c r="AD144" s="10">
        <f>IF($F144=0,0,Расчет2!BD144)</f>
        <v>0</v>
      </c>
      <c r="AE144" s="9">
        <f>IF($F144=0,0,Расчет2!BE144)</f>
        <v>0</v>
      </c>
      <c r="AF144" s="9">
        <f>IF($F144=0,0,Расчет2!BF144)</f>
        <v>0</v>
      </c>
      <c r="AG144" s="9">
        <f>IF($F144=0,0,Расчет2!BG144)</f>
        <v>0</v>
      </c>
      <c r="AI144" s="11" t="e">
        <f>Расчет!FY144</f>
        <v>#N/A</v>
      </c>
      <c r="AJ144" s="11" t="e">
        <f>Расчет!FZ144</f>
        <v>#N/A</v>
      </c>
      <c r="AK144" s="11" t="e">
        <f>Расчет!GA144</f>
        <v>#N/A</v>
      </c>
      <c r="AL144" s="11" t="e">
        <f>Расчет!GB144</f>
        <v>#N/A</v>
      </c>
      <c r="AM144" s="11" t="e">
        <f>Расчет!GC144</f>
        <v>#N/A</v>
      </c>
      <c r="AN144" s="11" t="e">
        <f>Расчет!GD144</f>
        <v>#N/A</v>
      </c>
      <c r="AO144" s="11" t="e">
        <f>Расчет!GE144</f>
        <v>#N/A</v>
      </c>
      <c r="AP144" s="11" t="e">
        <f>Расчет!GF144</f>
        <v>#N/A</v>
      </c>
      <c r="AQ144" s="11" t="e">
        <f>Расчет!GG144</f>
        <v>#N/A</v>
      </c>
      <c r="AR144" s="11" t="e">
        <f>Расчет!GH144</f>
        <v>#N/A</v>
      </c>
      <c r="AS144" s="11" t="e">
        <f>Расчет!GI144</f>
        <v>#N/A</v>
      </c>
      <c r="AT144" s="11" t="e">
        <f>Расчет!GJ144</f>
        <v>#N/A</v>
      </c>
      <c r="AU144" s="198" t="e">
        <f t="shared" si="15"/>
        <v>#N/A</v>
      </c>
      <c r="AV144" s="198" t="e">
        <f t="shared" si="16"/>
        <v>#N/A</v>
      </c>
      <c r="AW144" s="198" t="e">
        <f t="shared" si="17"/>
        <v>#N/A</v>
      </c>
      <c r="AX144" s="11" t="e">
        <f t="shared" si="18"/>
        <v>#N/A</v>
      </c>
      <c r="AY144" s="11" t="e">
        <f t="shared" si="19"/>
        <v>#N/A</v>
      </c>
      <c r="AZ144" s="11" t="e">
        <f t="shared" si="20"/>
        <v>#N/A</v>
      </c>
    </row>
    <row r="145" spans="1:52" x14ac:dyDescent="0.2">
      <c r="A145" s="6">
        <f>Исходн.данные.!A145</f>
        <v>0</v>
      </c>
      <c r="B145" s="6">
        <f>Исходн.данные.!B145</f>
        <v>0</v>
      </c>
      <c r="C145" s="6">
        <f>Исходн.данные.!C145</f>
        <v>0</v>
      </c>
      <c r="D145" s="6">
        <f>Исходн.данные.!D145</f>
        <v>0</v>
      </c>
      <c r="E145" s="6">
        <f>Исходн.данные.!E145</f>
        <v>0</v>
      </c>
      <c r="F145" s="6">
        <f>Исходн.данные.!AH145</f>
        <v>0</v>
      </c>
      <c r="G145" s="6">
        <f>Исходн.данные.!AJ145</f>
        <v>0</v>
      </c>
      <c r="H145" s="6">
        <f>Исходн.данные.!AK145</f>
        <v>0</v>
      </c>
      <c r="I145" s="9">
        <f>IF($F145=0,0,Расчет2!AO145)</f>
        <v>0</v>
      </c>
      <c r="J145" s="9">
        <f>IF(F145=0,0,Расчет2!AP145)</f>
        <v>0</v>
      </c>
      <c r="K145" s="10">
        <f>IF($F145=0,0,Расчет2!AQ145)</f>
        <v>0</v>
      </c>
      <c r="L145" s="10">
        <f>IF($F145=0,0,Расчет2!AR145)</f>
        <v>0</v>
      </c>
      <c r="M145" s="10">
        <f>IF($F145=0,0,Расчет2!AS145)</f>
        <v>0</v>
      </c>
      <c r="N145" s="10">
        <f>IF($F145=0,0,IF(Исходн.данные.!$AP145="Посл.посева",0,Расчет2!AT145))</f>
        <v>0</v>
      </c>
      <c r="O145" s="10">
        <f>IF($F145=0,0,IF(Исходн.данные.!$AP145="Посл.посева",0,IF(Расчет2!AU145&lt;10,10,Расчет2!AU145)))</f>
        <v>0</v>
      </c>
      <c r="P145" s="10">
        <f>IF($F145=0,0,IF(Исходн.данные.!$AP145="Посл.посева",0,Расчет2!AV145))</f>
        <v>0</v>
      </c>
      <c r="Q145" s="10">
        <f>IF($F145=0,0,Расчет2!AW145)</f>
        <v>0</v>
      </c>
      <c r="R145" s="10">
        <f>IF($F145=0,0,Расчет2!AX145)</f>
        <v>0</v>
      </c>
      <c r="S145" s="9">
        <f>IF($F145=0,0,Расчет2!AY145)</f>
        <v>0</v>
      </c>
      <c r="T145" s="10">
        <f>IF($F145=0,0,Расчет2!AZ145)</f>
        <v>0</v>
      </c>
      <c r="U145" s="10">
        <f>IF($F145=0,0,Расчет2!BA145)</f>
        <v>0</v>
      </c>
      <c r="V145" s="10">
        <f>IF($F145=0,0,Расчет2!BB145)</f>
        <v>0</v>
      </c>
      <c r="W145" s="10">
        <f>Расчет!DL145</f>
        <v>0</v>
      </c>
      <c r="X145" s="10">
        <f>Расчет!DN145</f>
        <v>0</v>
      </c>
      <c r="Y145" s="9">
        <f>X145*Исходн.данные.!$AJ145/1000</f>
        <v>0</v>
      </c>
      <c r="Z145" s="10" t="str">
        <f>Расчет!DO145</f>
        <v>Хлор.калий</v>
      </c>
      <c r="AA145" s="10">
        <f>Расчет!DQ145</f>
        <v>0</v>
      </c>
      <c r="AB145" s="12">
        <f>AA145*Исходн.данные.!$AJ145/1000</f>
        <v>0</v>
      </c>
      <c r="AC145" s="9">
        <f>IF($F145=0,0,Расчет2!BC145)</f>
        <v>0</v>
      </c>
      <c r="AD145" s="10">
        <f>IF($F145=0,0,Расчет2!BD145)</f>
        <v>0</v>
      </c>
      <c r="AE145" s="9">
        <f>IF($F145=0,0,Расчет2!BE145)</f>
        <v>0</v>
      </c>
      <c r="AF145" s="9">
        <f>IF($F145=0,0,Расчет2!BF145)</f>
        <v>0</v>
      </c>
      <c r="AG145" s="9">
        <f>IF($F145=0,0,Расчет2!BG145)</f>
        <v>0</v>
      </c>
      <c r="AI145" s="11" t="e">
        <f>Расчет!FY145</f>
        <v>#N/A</v>
      </c>
      <c r="AJ145" s="11" t="e">
        <f>Расчет!FZ145</f>
        <v>#N/A</v>
      </c>
      <c r="AK145" s="11" t="e">
        <f>Расчет!GA145</f>
        <v>#N/A</v>
      </c>
      <c r="AL145" s="11" t="e">
        <f>Расчет!GB145</f>
        <v>#N/A</v>
      </c>
      <c r="AM145" s="11" t="e">
        <f>Расчет!GC145</f>
        <v>#N/A</v>
      </c>
      <c r="AN145" s="11" t="e">
        <f>Расчет!GD145</f>
        <v>#N/A</v>
      </c>
      <c r="AO145" s="11" t="e">
        <f>Расчет!GE145</f>
        <v>#N/A</v>
      </c>
      <c r="AP145" s="11" t="e">
        <f>Расчет!GF145</f>
        <v>#N/A</v>
      </c>
      <c r="AQ145" s="11" t="e">
        <f>Расчет!GG145</f>
        <v>#N/A</v>
      </c>
      <c r="AR145" s="11" t="e">
        <f>Расчет!GH145</f>
        <v>#N/A</v>
      </c>
      <c r="AS145" s="11" t="e">
        <f>Расчет!GI145</f>
        <v>#N/A</v>
      </c>
      <c r="AT145" s="11" t="e">
        <f>Расчет!GJ145</f>
        <v>#N/A</v>
      </c>
      <c r="AU145" s="198" t="e">
        <f t="shared" si="15"/>
        <v>#N/A</v>
      </c>
      <c r="AV145" s="198" t="e">
        <f t="shared" si="16"/>
        <v>#N/A</v>
      </c>
      <c r="AW145" s="198" t="e">
        <f t="shared" si="17"/>
        <v>#N/A</v>
      </c>
      <c r="AX145" s="11" t="e">
        <f t="shared" si="18"/>
        <v>#N/A</v>
      </c>
      <c r="AY145" s="11" t="e">
        <f t="shared" si="19"/>
        <v>#N/A</v>
      </c>
      <c r="AZ145" s="11" t="e">
        <f t="shared" si="20"/>
        <v>#N/A</v>
      </c>
    </row>
    <row r="146" spans="1:52" x14ac:dyDescent="0.2">
      <c r="A146" s="6">
        <f>Исходн.данные.!A146</f>
        <v>0</v>
      </c>
      <c r="B146" s="6">
        <f>Исходн.данные.!B146</f>
        <v>0</v>
      </c>
      <c r="C146" s="6">
        <f>Исходн.данные.!C146</f>
        <v>0</v>
      </c>
      <c r="D146" s="6">
        <f>Исходн.данные.!D146</f>
        <v>0</v>
      </c>
      <c r="E146" s="6">
        <f>Исходн.данные.!E146</f>
        <v>0</v>
      </c>
      <c r="F146" s="6">
        <f>Исходн.данные.!AH146</f>
        <v>0</v>
      </c>
      <c r="G146" s="6">
        <f>Исходн.данные.!AJ146</f>
        <v>0</v>
      </c>
      <c r="H146" s="6">
        <f>Исходн.данные.!AK146</f>
        <v>0</v>
      </c>
      <c r="I146" s="9">
        <f>IF($F146=0,0,Расчет2!AO146)</f>
        <v>0</v>
      </c>
      <c r="J146" s="9">
        <f>IF(F146=0,0,Расчет2!AP146)</f>
        <v>0</v>
      </c>
      <c r="K146" s="10">
        <f>IF($F146=0,0,Расчет2!AQ146)</f>
        <v>0</v>
      </c>
      <c r="L146" s="10">
        <f>IF($F146=0,0,Расчет2!AR146)</f>
        <v>0</v>
      </c>
      <c r="M146" s="10">
        <f>IF($F146=0,0,Расчет2!AS146)</f>
        <v>0</v>
      </c>
      <c r="N146" s="10">
        <f>IF($F146=0,0,IF(Исходн.данные.!$AP146="Посл.посева",0,Расчет2!AT146))</f>
        <v>0</v>
      </c>
      <c r="O146" s="10">
        <f>IF($F146=0,0,IF(Исходн.данные.!$AP146="Посл.посева",0,IF(Расчет2!AU146&lt;10,10,Расчет2!AU146)))</f>
        <v>0</v>
      </c>
      <c r="P146" s="10">
        <f>IF($F146=0,0,IF(Исходн.данные.!$AP146="Посл.посева",0,Расчет2!AV146))</f>
        <v>0</v>
      </c>
      <c r="Q146" s="10">
        <f>IF($F146=0,0,Расчет2!AW146)</f>
        <v>0</v>
      </c>
      <c r="R146" s="10">
        <f>IF($F146=0,0,Расчет2!AX146)</f>
        <v>0</v>
      </c>
      <c r="S146" s="9">
        <f>IF($F146=0,0,Расчет2!AY146)</f>
        <v>0</v>
      </c>
      <c r="T146" s="10">
        <f>IF($F146=0,0,Расчет2!AZ146)</f>
        <v>0</v>
      </c>
      <c r="U146" s="10">
        <f>IF($F146=0,0,Расчет2!BA146)</f>
        <v>0</v>
      </c>
      <c r="V146" s="10">
        <f>IF($F146=0,0,Расчет2!BB146)</f>
        <v>0</v>
      </c>
      <c r="W146" s="10">
        <f>Расчет!DL146</f>
        <v>0</v>
      </c>
      <c r="X146" s="10">
        <f>Расчет!DN146</f>
        <v>0</v>
      </c>
      <c r="Y146" s="9">
        <f>X146*Исходн.данные.!$AJ146/1000</f>
        <v>0</v>
      </c>
      <c r="Z146" s="10" t="str">
        <f>Расчет!DO146</f>
        <v>Хлор.калий</v>
      </c>
      <c r="AA146" s="10">
        <f>Расчет!DQ146</f>
        <v>0</v>
      </c>
      <c r="AB146" s="12">
        <f>AA146*Исходн.данные.!$AJ146/1000</f>
        <v>0</v>
      </c>
      <c r="AC146" s="9">
        <f>IF($F146=0,0,Расчет2!BC146)</f>
        <v>0</v>
      </c>
      <c r="AD146" s="10">
        <f>IF($F146=0,0,Расчет2!BD146)</f>
        <v>0</v>
      </c>
      <c r="AE146" s="9">
        <f>IF($F146=0,0,Расчет2!BE146)</f>
        <v>0</v>
      </c>
      <c r="AF146" s="9">
        <f>IF($F146=0,0,Расчет2!BF146)</f>
        <v>0</v>
      </c>
      <c r="AG146" s="9">
        <f>IF($F146=0,0,Расчет2!BG146)</f>
        <v>0</v>
      </c>
      <c r="AI146" s="11" t="e">
        <f>Расчет!FY146</f>
        <v>#N/A</v>
      </c>
      <c r="AJ146" s="11" t="e">
        <f>Расчет!FZ146</f>
        <v>#N/A</v>
      </c>
      <c r="AK146" s="11" t="e">
        <f>Расчет!GA146</f>
        <v>#N/A</v>
      </c>
      <c r="AL146" s="11" t="e">
        <f>Расчет!GB146</f>
        <v>#N/A</v>
      </c>
      <c r="AM146" s="11" t="e">
        <f>Расчет!GC146</f>
        <v>#N/A</v>
      </c>
      <c r="AN146" s="11" t="e">
        <f>Расчет!GD146</f>
        <v>#N/A</v>
      </c>
      <c r="AO146" s="11" t="e">
        <f>Расчет!GE146</f>
        <v>#N/A</v>
      </c>
      <c r="AP146" s="11" t="e">
        <f>Расчет!GF146</f>
        <v>#N/A</v>
      </c>
      <c r="AQ146" s="11" t="e">
        <f>Расчет!GG146</f>
        <v>#N/A</v>
      </c>
      <c r="AR146" s="11" t="e">
        <f>Расчет!GH146</f>
        <v>#N/A</v>
      </c>
      <c r="AS146" s="11" t="e">
        <f>Расчет!GI146</f>
        <v>#N/A</v>
      </c>
      <c r="AT146" s="11" t="e">
        <f>Расчет!GJ146</f>
        <v>#N/A</v>
      </c>
      <c r="AU146" s="198" t="e">
        <f t="shared" si="15"/>
        <v>#N/A</v>
      </c>
      <c r="AV146" s="198" t="e">
        <f t="shared" si="16"/>
        <v>#N/A</v>
      </c>
      <c r="AW146" s="198" t="e">
        <f t="shared" si="17"/>
        <v>#N/A</v>
      </c>
      <c r="AX146" s="11" t="e">
        <f t="shared" si="18"/>
        <v>#N/A</v>
      </c>
      <c r="AY146" s="11" t="e">
        <f t="shared" si="19"/>
        <v>#N/A</v>
      </c>
      <c r="AZ146" s="11" t="e">
        <f t="shared" si="20"/>
        <v>#N/A</v>
      </c>
    </row>
    <row r="147" spans="1:52" x14ac:dyDescent="0.2">
      <c r="A147" s="6">
        <f>Исходн.данные.!A147</f>
        <v>0</v>
      </c>
      <c r="B147" s="6">
        <f>Исходн.данные.!B147</f>
        <v>0</v>
      </c>
      <c r="C147" s="6">
        <f>Исходн.данные.!C147</f>
        <v>0</v>
      </c>
      <c r="D147" s="6">
        <f>Исходн.данные.!D147</f>
        <v>0</v>
      </c>
      <c r="E147" s="6">
        <f>Исходн.данные.!E147</f>
        <v>0</v>
      </c>
      <c r="F147" s="6">
        <f>Исходн.данные.!AH147</f>
        <v>0</v>
      </c>
      <c r="G147" s="6">
        <f>Исходн.данные.!AJ147</f>
        <v>0</v>
      </c>
      <c r="H147" s="6">
        <f>Исходн.данные.!AK147</f>
        <v>0</v>
      </c>
      <c r="I147" s="9">
        <f>IF($F147=0,0,Расчет2!AO147)</f>
        <v>0</v>
      </c>
      <c r="J147" s="9">
        <f>IF(F147=0,0,Расчет2!AP147)</f>
        <v>0</v>
      </c>
      <c r="K147" s="10">
        <f>IF($F147=0,0,Расчет2!AQ147)</f>
        <v>0</v>
      </c>
      <c r="L147" s="10">
        <f>IF($F147=0,0,Расчет2!AR147)</f>
        <v>0</v>
      </c>
      <c r="M147" s="10">
        <f>IF($F147=0,0,Расчет2!AS147)</f>
        <v>0</v>
      </c>
      <c r="N147" s="10">
        <f>IF($F147=0,0,IF(Исходн.данные.!$AP147="Посл.посева",0,Расчет2!AT147))</f>
        <v>0</v>
      </c>
      <c r="O147" s="10">
        <f>IF($F147=0,0,IF(Исходн.данные.!$AP147="Посл.посева",0,IF(Расчет2!AU147&lt;10,10,Расчет2!AU147)))</f>
        <v>0</v>
      </c>
      <c r="P147" s="10">
        <f>IF($F147=0,0,IF(Исходн.данные.!$AP147="Посл.посева",0,Расчет2!AV147))</f>
        <v>0</v>
      </c>
      <c r="Q147" s="10">
        <f>IF($F147=0,0,Расчет2!AW147)</f>
        <v>0</v>
      </c>
      <c r="R147" s="10">
        <f>IF($F147=0,0,Расчет2!AX147)</f>
        <v>0</v>
      </c>
      <c r="S147" s="9">
        <f>IF($F147=0,0,Расчет2!AY147)</f>
        <v>0</v>
      </c>
      <c r="T147" s="10">
        <f>IF($F147=0,0,Расчет2!AZ147)</f>
        <v>0</v>
      </c>
      <c r="U147" s="10">
        <f>IF($F147=0,0,Расчет2!BA147)</f>
        <v>0</v>
      </c>
      <c r="V147" s="10">
        <f>IF($F147=0,0,Расчет2!BB147)</f>
        <v>0</v>
      </c>
      <c r="W147" s="10">
        <f>Расчет!DL147</f>
        <v>0</v>
      </c>
      <c r="X147" s="10">
        <f>Расчет!DN147</f>
        <v>0</v>
      </c>
      <c r="Y147" s="9">
        <f>X147*Исходн.данные.!$AJ147/1000</f>
        <v>0</v>
      </c>
      <c r="Z147" s="10" t="str">
        <f>Расчет!DO147</f>
        <v>Хлор.калий</v>
      </c>
      <c r="AA147" s="10">
        <f>Расчет!DQ147</f>
        <v>0</v>
      </c>
      <c r="AB147" s="12">
        <f>AA147*Исходн.данные.!$AJ147/1000</f>
        <v>0</v>
      </c>
      <c r="AC147" s="9">
        <f>IF($F147=0,0,Расчет2!BC147)</f>
        <v>0</v>
      </c>
      <c r="AD147" s="10">
        <f>IF($F147=0,0,Расчет2!BD147)</f>
        <v>0</v>
      </c>
      <c r="AE147" s="9">
        <f>IF($F147=0,0,Расчет2!BE147)</f>
        <v>0</v>
      </c>
      <c r="AF147" s="9">
        <f>IF($F147=0,0,Расчет2!BF147)</f>
        <v>0</v>
      </c>
      <c r="AG147" s="9">
        <f>IF($F147=0,0,Расчет2!BG147)</f>
        <v>0</v>
      </c>
      <c r="AI147" s="11" t="e">
        <f>Расчет!FY147</f>
        <v>#N/A</v>
      </c>
      <c r="AJ147" s="11" t="e">
        <f>Расчет!FZ147</f>
        <v>#N/A</v>
      </c>
      <c r="AK147" s="11" t="e">
        <f>Расчет!GA147</f>
        <v>#N/A</v>
      </c>
      <c r="AL147" s="11" t="e">
        <f>Расчет!GB147</f>
        <v>#N/A</v>
      </c>
      <c r="AM147" s="11" t="e">
        <f>Расчет!GC147</f>
        <v>#N/A</v>
      </c>
      <c r="AN147" s="11" t="e">
        <f>Расчет!GD147</f>
        <v>#N/A</v>
      </c>
      <c r="AO147" s="11" t="e">
        <f>Расчет!GE147</f>
        <v>#N/A</v>
      </c>
      <c r="AP147" s="11" t="e">
        <f>Расчет!GF147</f>
        <v>#N/A</v>
      </c>
      <c r="AQ147" s="11" t="e">
        <f>Расчет!GG147</f>
        <v>#N/A</v>
      </c>
      <c r="AR147" s="11" t="e">
        <f>Расчет!GH147</f>
        <v>#N/A</v>
      </c>
      <c r="AS147" s="11" t="e">
        <f>Расчет!GI147</f>
        <v>#N/A</v>
      </c>
      <c r="AT147" s="11" t="e">
        <f>Расчет!GJ147</f>
        <v>#N/A</v>
      </c>
      <c r="AU147" s="198" t="e">
        <f t="shared" si="15"/>
        <v>#N/A</v>
      </c>
      <c r="AV147" s="198" t="e">
        <f t="shared" si="16"/>
        <v>#N/A</v>
      </c>
      <c r="AW147" s="198" t="e">
        <f t="shared" si="17"/>
        <v>#N/A</v>
      </c>
      <c r="AX147" s="11" t="e">
        <f t="shared" si="18"/>
        <v>#N/A</v>
      </c>
      <c r="AY147" s="11" t="e">
        <f t="shared" si="19"/>
        <v>#N/A</v>
      </c>
      <c r="AZ147" s="11" t="e">
        <f t="shared" si="20"/>
        <v>#N/A</v>
      </c>
    </row>
    <row r="148" spans="1:52" x14ac:dyDescent="0.2">
      <c r="A148" s="6">
        <f>Исходн.данные.!A148</f>
        <v>0</v>
      </c>
      <c r="B148" s="6">
        <f>Исходн.данные.!B148</f>
        <v>0</v>
      </c>
      <c r="C148" s="6">
        <f>Исходн.данные.!C148</f>
        <v>0</v>
      </c>
      <c r="D148" s="6">
        <f>Исходн.данные.!D148</f>
        <v>0</v>
      </c>
      <c r="E148" s="6">
        <f>Исходн.данные.!E148</f>
        <v>0</v>
      </c>
      <c r="F148" s="6">
        <f>Исходн.данные.!AH148</f>
        <v>0</v>
      </c>
      <c r="G148" s="6">
        <f>Исходн.данные.!AJ148</f>
        <v>0</v>
      </c>
      <c r="H148" s="6">
        <f>Исходн.данные.!AK148</f>
        <v>0</v>
      </c>
      <c r="I148" s="9">
        <f>IF($F148=0,0,Расчет2!AO148)</f>
        <v>0</v>
      </c>
      <c r="J148" s="9">
        <f>IF(F148=0,0,Расчет2!AP148)</f>
        <v>0</v>
      </c>
      <c r="K148" s="10">
        <f>IF($F148=0,0,Расчет2!AQ148)</f>
        <v>0</v>
      </c>
      <c r="L148" s="10">
        <f>IF($F148=0,0,Расчет2!AR148)</f>
        <v>0</v>
      </c>
      <c r="M148" s="10">
        <f>IF($F148=0,0,Расчет2!AS148)</f>
        <v>0</v>
      </c>
      <c r="N148" s="10">
        <f>IF($F148=0,0,IF(Исходн.данные.!$AP148="Посл.посева",0,Расчет2!AT148))</f>
        <v>0</v>
      </c>
      <c r="O148" s="10">
        <f>IF($F148=0,0,IF(Исходн.данные.!$AP148="Посл.посева",0,IF(Расчет2!AU148&lt;10,10,Расчет2!AU148)))</f>
        <v>0</v>
      </c>
      <c r="P148" s="10">
        <f>IF($F148=0,0,IF(Исходн.данные.!$AP148="Посл.посева",0,Расчет2!AV148))</f>
        <v>0</v>
      </c>
      <c r="Q148" s="10">
        <f>IF($F148=0,0,Расчет2!AW148)</f>
        <v>0</v>
      </c>
      <c r="R148" s="10">
        <f>IF($F148=0,0,Расчет2!AX148)</f>
        <v>0</v>
      </c>
      <c r="S148" s="9">
        <f>IF($F148=0,0,Расчет2!AY148)</f>
        <v>0</v>
      </c>
      <c r="T148" s="10">
        <f>IF($F148=0,0,Расчет2!AZ148)</f>
        <v>0</v>
      </c>
      <c r="U148" s="10">
        <f>IF($F148=0,0,Расчет2!BA148)</f>
        <v>0</v>
      </c>
      <c r="V148" s="10">
        <f>IF($F148=0,0,Расчет2!BB148)</f>
        <v>0</v>
      </c>
      <c r="W148" s="10">
        <f>Расчет!DL148</f>
        <v>0</v>
      </c>
      <c r="X148" s="10">
        <f>Расчет!DN148</f>
        <v>0</v>
      </c>
      <c r="Y148" s="9">
        <f>X148*Исходн.данные.!$AJ148/1000</f>
        <v>0</v>
      </c>
      <c r="Z148" s="10" t="str">
        <f>Расчет!DO148</f>
        <v>Хлор.калий</v>
      </c>
      <c r="AA148" s="10">
        <f>Расчет!DQ148</f>
        <v>0</v>
      </c>
      <c r="AB148" s="12">
        <f>AA148*Исходн.данные.!$AJ148/1000</f>
        <v>0</v>
      </c>
      <c r="AC148" s="9">
        <f>IF($F148=0,0,Расчет2!BC148)</f>
        <v>0</v>
      </c>
      <c r="AD148" s="10">
        <f>IF($F148=0,0,Расчет2!BD148)</f>
        <v>0</v>
      </c>
      <c r="AE148" s="9">
        <f>IF($F148=0,0,Расчет2!BE148)</f>
        <v>0</v>
      </c>
      <c r="AF148" s="9">
        <f>IF($F148=0,0,Расчет2!BF148)</f>
        <v>0</v>
      </c>
      <c r="AG148" s="9">
        <f>IF($F148=0,0,Расчет2!BG148)</f>
        <v>0</v>
      </c>
      <c r="AI148" s="11" t="e">
        <f>Расчет!FY148</f>
        <v>#N/A</v>
      </c>
      <c r="AJ148" s="11" t="e">
        <f>Расчет!FZ148</f>
        <v>#N/A</v>
      </c>
      <c r="AK148" s="11" t="e">
        <f>Расчет!GA148</f>
        <v>#N/A</v>
      </c>
      <c r="AL148" s="11" t="e">
        <f>Расчет!GB148</f>
        <v>#N/A</v>
      </c>
      <c r="AM148" s="11" t="e">
        <f>Расчет!GC148</f>
        <v>#N/A</v>
      </c>
      <c r="AN148" s="11" t="e">
        <f>Расчет!GD148</f>
        <v>#N/A</v>
      </c>
      <c r="AO148" s="11" t="e">
        <f>Расчет!GE148</f>
        <v>#N/A</v>
      </c>
      <c r="AP148" s="11" t="e">
        <f>Расчет!GF148</f>
        <v>#N/A</v>
      </c>
      <c r="AQ148" s="11" t="e">
        <f>Расчет!GG148</f>
        <v>#N/A</v>
      </c>
      <c r="AR148" s="11" t="e">
        <f>Расчет!GH148</f>
        <v>#N/A</v>
      </c>
      <c r="AS148" s="11" t="e">
        <f>Расчет!GI148</f>
        <v>#N/A</v>
      </c>
      <c r="AT148" s="11" t="e">
        <f>Расчет!GJ148</f>
        <v>#N/A</v>
      </c>
      <c r="AU148" s="198" t="e">
        <f t="shared" si="15"/>
        <v>#N/A</v>
      </c>
      <c r="AV148" s="198" t="e">
        <f t="shared" si="16"/>
        <v>#N/A</v>
      </c>
      <c r="AW148" s="198" t="e">
        <f t="shared" si="17"/>
        <v>#N/A</v>
      </c>
      <c r="AX148" s="11" t="e">
        <f t="shared" si="18"/>
        <v>#N/A</v>
      </c>
      <c r="AY148" s="11" t="e">
        <f t="shared" si="19"/>
        <v>#N/A</v>
      </c>
      <c r="AZ148" s="11" t="e">
        <f t="shared" si="20"/>
        <v>#N/A</v>
      </c>
    </row>
    <row r="149" spans="1:52" x14ac:dyDescent="0.2">
      <c r="A149" s="6">
        <f>Исходн.данные.!A149</f>
        <v>0</v>
      </c>
      <c r="B149" s="6">
        <f>Исходн.данные.!B149</f>
        <v>0</v>
      </c>
      <c r="C149" s="6">
        <f>Исходн.данные.!C149</f>
        <v>0</v>
      </c>
      <c r="D149" s="6">
        <f>Исходн.данные.!D149</f>
        <v>0</v>
      </c>
      <c r="E149" s="6">
        <f>Исходн.данные.!E149</f>
        <v>0</v>
      </c>
      <c r="F149" s="6">
        <f>Исходн.данные.!AH149</f>
        <v>0</v>
      </c>
      <c r="G149" s="6">
        <f>Исходн.данные.!AJ149</f>
        <v>0</v>
      </c>
      <c r="H149" s="6">
        <f>Исходн.данные.!AK149</f>
        <v>0</v>
      </c>
      <c r="I149" s="9">
        <f>IF($F149=0,0,Расчет2!AO149)</f>
        <v>0</v>
      </c>
      <c r="J149" s="9">
        <f>IF(F149=0,0,Расчет2!AP149)</f>
        <v>0</v>
      </c>
      <c r="K149" s="10">
        <f>IF($F149=0,0,Расчет2!AQ149)</f>
        <v>0</v>
      </c>
      <c r="L149" s="10">
        <f>IF($F149=0,0,Расчет2!AR149)</f>
        <v>0</v>
      </c>
      <c r="M149" s="10">
        <f>IF($F149=0,0,Расчет2!AS149)</f>
        <v>0</v>
      </c>
      <c r="N149" s="10">
        <f>IF($F149=0,0,IF(Исходн.данные.!$AP149="Посл.посева",0,Расчет2!AT149))</f>
        <v>0</v>
      </c>
      <c r="O149" s="10">
        <f>IF($F149=0,0,IF(Исходн.данные.!$AP149="Посл.посева",0,IF(Расчет2!AU149&lt;10,10,Расчет2!AU149)))</f>
        <v>0</v>
      </c>
      <c r="P149" s="10">
        <f>IF($F149=0,0,IF(Исходн.данные.!$AP149="Посл.посева",0,Расчет2!AV149))</f>
        <v>0</v>
      </c>
      <c r="Q149" s="10">
        <f>IF($F149=0,0,Расчет2!AW149)</f>
        <v>0</v>
      </c>
      <c r="R149" s="10">
        <f>IF($F149=0,0,Расчет2!AX149)</f>
        <v>0</v>
      </c>
      <c r="S149" s="9">
        <f>IF($F149=0,0,Расчет2!AY149)</f>
        <v>0</v>
      </c>
      <c r="T149" s="10">
        <f>IF($F149=0,0,Расчет2!AZ149)</f>
        <v>0</v>
      </c>
      <c r="U149" s="10">
        <f>IF($F149=0,0,Расчет2!BA149)</f>
        <v>0</v>
      </c>
      <c r="V149" s="10">
        <f>IF($F149=0,0,Расчет2!BB149)</f>
        <v>0</v>
      </c>
      <c r="W149" s="10">
        <f>Расчет!DL149</f>
        <v>0</v>
      </c>
      <c r="X149" s="10">
        <f>Расчет!DN149</f>
        <v>0</v>
      </c>
      <c r="Y149" s="9">
        <f>X149*Исходн.данные.!$AJ149/1000</f>
        <v>0</v>
      </c>
      <c r="Z149" s="10" t="str">
        <f>Расчет!DO149</f>
        <v>Хлор.калий</v>
      </c>
      <c r="AA149" s="10">
        <f>Расчет!DQ149</f>
        <v>0</v>
      </c>
      <c r="AB149" s="12">
        <f>AA149*Исходн.данные.!$AJ149/1000</f>
        <v>0</v>
      </c>
      <c r="AC149" s="9">
        <f>IF($F149=0,0,Расчет2!BC149)</f>
        <v>0</v>
      </c>
      <c r="AD149" s="10">
        <f>IF($F149=0,0,Расчет2!BD149)</f>
        <v>0</v>
      </c>
      <c r="AE149" s="9">
        <f>IF($F149=0,0,Расчет2!BE149)</f>
        <v>0</v>
      </c>
      <c r="AF149" s="9">
        <f>IF($F149=0,0,Расчет2!BF149)</f>
        <v>0</v>
      </c>
      <c r="AG149" s="9">
        <f>IF($F149=0,0,Расчет2!BG149)</f>
        <v>0</v>
      </c>
      <c r="AI149" s="11" t="e">
        <f>Расчет!FY149</f>
        <v>#N/A</v>
      </c>
      <c r="AJ149" s="11" t="e">
        <f>Расчет!FZ149</f>
        <v>#N/A</v>
      </c>
      <c r="AK149" s="11" t="e">
        <f>Расчет!GA149</f>
        <v>#N/A</v>
      </c>
      <c r="AL149" s="11" t="e">
        <f>Расчет!GB149</f>
        <v>#N/A</v>
      </c>
      <c r="AM149" s="11" t="e">
        <f>Расчет!GC149</f>
        <v>#N/A</v>
      </c>
      <c r="AN149" s="11" t="e">
        <f>Расчет!GD149</f>
        <v>#N/A</v>
      </c>
      <c r="AO149" s="11" t="e">
        <f>Расчет!GE149</f>
        <v>#N/A</v>
      </c>
      <c r="AP149" s="11" t="e">
        <f>Расчет!GF149</f>
        <v>#N/A</v>
      </c>
      <c r="AQ149" s="11" t="e">
        <f>Расчет!GG149</f>
        <v>#N/A</v>
      </c>
      <c r="AR149" s="11" t="e">
        <f>Расчет!GH149</f>
        <v>#N/A</v>
      </c>
      <c r="AS149" s="11" t="e">
        <f>Расчет!GI149</f>
        <v>#N/A</v>
      </c>
      <c r="AT149" s="11" t="e">
        <f>Расчет!GJ149</f>
        <v>#N/A</v>
      </c>
      <c r="AU149" s="198" t="e">
        <f t="shared" si="15"/>
        <v>#N/A</v>
      </c>
      <c r="AV149" s="198" t="e">
        <f t="shared" si="16"/>
        <v>#N/A</v>
      </c>
      <c r="AW149" s="198" t="e">
        <f t="shared" si="17"/>
        <v>#N/A</v>
      </c>
      <c r="AX149" s="11" t="e">
        <f t="shared" si="18"/>
        <v>#N/A</v>
      </c>
      <c r="AY149" s="11" t="e">
        <f t="shared" si="19"/>
        <v>#N/A</v>
      </c>
      <c r="AZ149" s="11" t="e">
        <f t="shared" si="20"/>
        <v>#N/A</v>
      </c>
    </row>
    <row r="150" spans="1:52" x14ac:dyDescent="0.2">
      <c r="A150" s="6">
        <f>Исходн.данные.!A150</f>
        <v>0</v>
      </c>
      <c r="B150" s="6">
        <f>Исходн.данные.!B150</f>
        <v>0</v>
      </c>
      <c r="C150" s="6">
        <f>Исходн.данные.!C150</f>
        <v>0</v>
      </c>
      <c r="D150" s="6">
        <f>Исходн.данные.!D150</f>
        <v>0</v>
      </c>
      <c r="E150" s="6">
        <f>Исходн.данные.!E150</f>
        <v>0</v>
      </c>
      <c r="F150" s="6">
        <f>Исходн.данные.!AH150</f>
        <v>0</v>
      </c>
      <c r="G150" s="6">
        <f>Исходн.данные.!AJ150</f>
        <v>0</v>
      </c>
      <c r="H150" s="6">
        <f>Исходн.данные.!AK150</f>
        <v>0</v>
      </c>
      <c r="I150" s="9">
        <f>IF($F150=0,0,Расчет2!AO150)</f>
        <v>0</v>
      </c>
      <c r="J150" s="9">
        <f>IF(F150=0,0,Расчет2!AP150)</f>
        <v>0</v>
      </c>
      <c r="K150" s="10">
        <f>IF($F150=0,0,Расчет2!AQ150)</f>
        <v>0</v>
      </c>
      <c r="L150" s="10">
        <f>IF($F150=0,0,Расчет2!AR150)</f>
        <v>0</v>
      </c>
      <c r="M150" s="10">
        <f>IF($F150=0,0,Расчет2!AS150)</f>
        <v>0</v>
      </c>
      <c r="N150" s="10">
        <f>IF($F150=0,0,IF(Исходн.данные.!$AP150="Посл.посева",0,Расчет2!AT150))</f>
        <v>0</v>
      </c>
      <c r="O150" s="10">
        <f>IF($F150=0,0,IF(Исходн.данные.!$AP150="Посл.посева",0,IF(Расчет2!AU150&lt;10,10,Расчет2!AU150)))</f>
        <v>0</v>
      </c>
      <c r="P150" s="10">
        <f>IF($F150=0,0,IF(Исходн.данные.!$AP150="Посл.посева",0,Расчет2!AV150))</f>
        <v>0</v>
      </c>
      <c r="Q150" s="10">
        <f>IF($F150=0,0,Расчет2!AW150)</f>
        <v>0</v>
      </c>
      <c r="R150" s="10">
        <f>IF($F150=0,0,Расчет2!AX150)</f>
        <v>0</v>
      </c>
      <c r="S150" s="9">
        <f>IF($F150=0,0,Расчет2!AY150)</f>
        <v>0</v>
      </c>
      <c r="T150" s="10">
        <f>IF($F150=0,0,Расчет2!AZ150)</f>
        <v>0</v>
      </c>
      <c r="U150" s="10">
        <f>IF($F150=0,0,Расчет2!BA150)</f>
        <v>0</v>
      </c>
      <c r="V150" s="10">
        <f>IF($F150=0,0,Расчет2!BB150)</f>
        <v>0</v>
      </c>
      <c r="W150" s="10">
        <f>Расчет!DL150</f>
        <v>0</v>
      </c>
      <c r="X150" s="10">
        <f>Расчет!DN150</f>
        <v>0</v>
      </c>
      <c r="Y150" s="9">
        <f>X150*Исходн.данные.!$AJ150/1000</f>
        <v>0</v>
      </c>
      <c r="Z150" s="10" t="str">
        <f>Расчет!DO150</f>
        <v>Хлор.калий</v>
      </c>
      <c r="AA150" s="10">
        <f>Расчет!DQ150</f>
        <v>0</v>
      </c>
      <c r="AB150" s="12">
        <f>AA150*Исходн.данные.!$AJ150/1000</f>
        <v>0</v>
      </c>
      <c r="AC150" s="9">
        <f>IF($F150=0,0,Расчет2!BC150)</f>
        <v>0</v>
      </c>
      <c r="AD150" s="10">
        <f>IF($F150=0,0,Расчет2!BD150)</f>
        <v>0</v>
      </c>
      <c r="AE150" s="9">
        <f>IF($F150=0,0,Расчет2!BE150)</f>
        <v>0</v>
      </c>
      <c r="AF150" s="9">
        <f>IF($F150=0,0,Расчет2!BF150)</f>
        <v>0</v>
      </c>
      <c r="AG150" s="9">
        <f>IF($F150=0,0,Расчет2!BG150)</f>
        <v>0</v>
      </c>
      <c r="AI150" s="11" t="e">
        <f>Расчет!FY150</f>
        <v>#N/A</v>
      </c>
      <c r="AJ150" s="11" t="e">
        <f>Расчет!FZ150</f>
        <v>#N/A</v>
      </c>
      <c r="AK150" s="11" t="e">
        <f>Расчет!GA150</f>
        <v>#N/A</v>
      </c>
      <c r="AL150" s="11" t="e">
        <f>Расчет!GB150</f>
        <v>#N/A</v>
      </c>
      <c r="AM150" s="11" t="e">
        <f>Расчет!GC150</f>
        <v>#N/A</v>
      </c>
      <c r="AN150" s="11" t="e">
        <f>Расчет!GD150</f>
        <v>#N/A</v>
      </c>
      <c r="AO150" s="11" t="e">
        <f>Расчет!GE150</f>
        <v>#N/A</v>
      </c>
      <c r="AP150" s="11" t="e">
        <f>Расчет!GF150</f>
        <v>#N/A</v>
      </c>
      <c r="AQ150" s="11" t="e">
        <f>Расчет!GG150</f>
        <v>#N/A</v>
      </c>
      <c r="AR150" s="11" t="e">
        <f>Расчет!GH150</f>
        <v>#N/A</v>
      </c>
      <c r="AS150" s="11" t="e">
        <f>Расчет!GI150</f>
        <v>#N/A</v>
      </c>
      <c r="AT150" s="11" t="e">
        <f>Расчет!GJ150</f>
        <v>#N/A</v>
      </c>
      <c r="AU150" s="198" t="e">
        <f t="shared" si="15"/>
        <v>#N/A</v>
      </c>
      <c r="AV150" s="198" t="e">
        <f t="shared" si="16"/>
        <v>#N/A</v>
      </c>
      <c r="AW150" s="198" t="e">
        <f t="shared" si="17"/>
        <v>#N/A</v>
      </c>
      <c r="AX150" s="11" t="e">
        <f t="shared" si="18"/>
        <v>#N/A</v>
      </c>
      <c r="AY150" s="11" t="e">
        <f t="shared" si="19"/>
        <v>#N/A</v>
      </c>
      <c r="AZ150" s="11" t="e">
        <f t="shared" si="20"/>
        <v>#N/A</v>
      </c>
    </row>
    <row r="151" spans="1:52" x14ac:dyDescent="0.2">
      <c r="A151" s="6">
        <f>Исходн.данные.!A151</f>
        <v>0</v>
      </c>
      <c r="B151" s="6">
        <f>Исходн.данные.!B151</f>
        <v>0</v>
      </c>
      <c r="C151" s="6">
        <f>Исходн.данные.!C151</f>
        <v>0</v>
      </c>
      <c r="D151" s="6">
        <f>Исходн.данные.!D151</f>
        <v>0</v>
      </c>
      <c r="E151" s="6">
        <f>Исходн.данные.!E151</f>
        <v>0</v>
      </c>
      <c r="F151" s="6">
        <f>Исходн.данные.!AH151</f>
        <v>0</v>
      </c>
      <c r="G151" s="6">
        <f>Исходн.данные.!AJ151</f>
        <v>0</v>
      </c>
      <c r="H151" s="6">
        <f>Исходн.данные.!AK151</f>
        <v>0</v>
      </c>
      <c r="I151" s="9">
        <f>IF($F151=0,0,Расчет2!AO151)</f>
        <v>0</v>
      </c>
      <c r="J151" s="9">
        <f>IF(F151=0,0,Расчет2!AP151)</f>
        <v>0</v>
      </c>
      <c r="K151" s="10">
        <f>IF($F151=0,0,Расчет2!AQ151)</f>
        <v>0</v>
      </c>
      <c r="L151" s="10">
        <f>IF($F151=0,0,Расчет2!AR151)</f>
        <v>0</v>
      </c>
      <c r="M151" s="10">
        <f>IF($F151=0,0,Расчет2!AS151)</f>
        <v>0</v>
      </c>
      <c r="N151" s="10">
        <f>IF($F151=0,0,IF(Исходн.данные.!$AP151="Посл.посева",0,Расчет2!AT151))</f>
        <v>0</v>
      </c>
      <c r="O151" s="10">
        <f>IF($F151=0,0,IF(Исходн.данные.!$AP151="Посл.посева",0,IF(Расчет2!AU151&lt;10,10,Расчет2!AU151)))</f>
        <v>0</v>
      </c>
      <c r="P151" s="10">
        <f>IF($F151=0,0,IF(Исходн.данные.!$AP151="Посл.посева",0,Расчет2!AV151))</f>
        <v>0</v>
      </c>
      <c r="Q151" s="10">
        <f>IF($F151=0,0,Расчет2!AW151)</f>
        <v>0</v>
      </c>
      <c r="R151" s="10">
        <f>IF($F151=0,0,Расчет2!AX151)</f>
        <v>0</v>
      </c>
      <c r="S151" s="9">
        <f>IF($F151=0,0,Расчет2!AY151)</f>
        <v>0</v>
      </c>
      <c r="T151" s="10">
        <f>IF($F151=0,0,Расчет2!AZ151)</f>
        <v>0</v>
      </c>
      <c r="U151" s="10">
        <f>IF($F151=0,0,Расчет2!BA151)</f>
        <v>0</v>
      </c>
      <c r="V151" s="10">
        <f>IF($F151=0,0,Расчет2!BB151)</f>
        <v>0</v>
      </c>
      <c r="W151" s="10">
        <f>Расчет!DL151</f>
        <v>0</v>
      </c>
      <c r="X151" s="10">
        <f>Расчет!DN151</f>
        <v>0</v>
      </c>
      <c r="Y151" s="9">
        <f>X151*Исходн.данные.!$AJ151/1000</f>
        <v>0</v>
      </c>
      <c r="Z151" s="10" t="str">
        <f>Расчет!DO151</f>
        <v>Хлор.калий</v>
      </c>
      <c r="AA151" s="10">
        <f>Расчет!DQ151</f>
        <v>0</v>
      </c>
      <c r="AB151" s="12">
        <f>AA151*Исходн.данные.!$AJ151/1000</f>
        <v>0</v>
      </c>
      <c r="AC151" s="9">
        <f>IF($F151=0,0,Расчет2!BC151)</f>
        <v>0</v>
      </c>
      <c r="AD151" s="10">
        <f>IF($F151=0,0,Расчет2!BD151)</f>
        <v>0</v>
      </c>
      <c r="AE151" s="9">
        <f>IF($F151=0,0,Расчет2!BE151)</f>
        <v>0</v>
      </c>
      <c r="AF151" s="9">
        <f>IF($F151=0,0,Расчет2!BF151)</f>
        <v>0</v>
      </c>
      <c r="AG151" s="9">
        <f>IF($F151=0,0,Расчет2!BG151)</f>
        <v>0</v>
      </c>
      <c r="AI151" s="11" t="e">
        <f>Расчет!FY151</f>
        <v>#N/A</v>
      </c>
      <c r="AJ151" s="11" t="e">
        <f>Расчет!FZ151</f>
        <v>#N/A</v>
      </c>
      <c r="AK151" s="11" t="e">
        <f>Расчет!GA151</f>
        <v>#N/A</v>
      </c>
      <c r="AL151" s="11" t="e">
        <f>Расчет!GB151</f>
        <v>#N/A</v>
      </c>
      <c r="AM151" s="11" t="e">
        <f>Расчет!GC151</f>
        <v>#N/A</v>
      </c>
      <c r="AN151" s="11" t="e">
        <f>Расчет!GD151</f>
        <v>#N/A</v>
      </c>
      <c r="AO151" s="11" t="e">
        <f>Расчет!GE151</f>
        <v>#N/A</v>
      </c>
      <c r="AP151" s="11" t="e">
        <f>Расчет!GF151</f>
        <v>#N/A</v>
      </c>
      <c r="AQ151" s="11" t="e">
        <f>Расчет!GG151</f>
        <v>#N/A</v>
      </c>
      <c r="AR151" s="11" t="e">
        <f>Расчет!GH151</f>
        <v>#N/A</v>
      </c>
      <c r="AS151" s="11" t="e">
        <f>Расчет!GI151</f>
        <v>#N/A</v>
      </c>
      <c r="AT151" s="11" t="e">
        <f>Расчет!GJ151</f>
        <v>#N/A</v>
      </c>
      <c r="AU151" s="198" t="e">
        <f t="shared" ref="AU151:AU214" si="21">AI151+AL151+AO151+AR151</f>
        <v>#N/A</v>
      </c>
      <c r="AV151" s="198" t="e">
        <f t="shared" ref="AV151:AV214" si="22">AJ151+AM151+AP151+AS151</f>
        <v>#N/A</v>
      </c>
      <c r="AW151" s="198" t="e">
        <f t="shared" ref="AW151:AW214" si="23">AK151+AN151+AQ151+AT151</f>
        <v>#N/A</v>
      </c>
      <c r="AX151" s="11" t="e">
        <f t="shared" ref="AX151:AX214" si="24">MIN(AU151:AW151)</f>
        <v>#N/A</v>
      </c>
      <c r="AY151" s="11" t="e">
        <f t="shared" ref="AY151:AY214" si="25">MAX(AU151:AW151)</f>
        <v>#N/A</v>
      </c>
      <c r="AZ151" s="11" t="e">
        <f t="shared" ref="AZ151:AZ214" si="26">IF(AU151=AX151,MIN(AV151:AW151),IF(AW151=AX151,MIN(AU151:AV151),MIN(AU151,AW151)))</f>
        <v>#N/A</v>
      </c>
    </row>
    <row r="152" spans="1:52" x14ac:dyDescent="0.2">
      <c r="A152" s="6">
        <f>Исходн.данные.!A152</f>
        <v>0</v>
      </c>
      <c r="B152" s="6">
        <f>Исходн.данные.!B152</f>
        <v>0</v>
      </c>
      <c r="C152" s="6">
        <f>Исходн.данные.!C152</f>
        <v>0</v>
      </c>
      <c r="D152" s="6">
        <f>Исходн.данные.!D152</f>
        <v>0</v>
      </c>
      <c r="E152" s="6">
        <f>Исходн.данные.!E152</f>
        <v>0</v>
      </c>
      <c r="F152" s="6">
        <f>Исходн.данные.!AH152</f>
        <v>0</v>
      </c>
      <c r="G152" s="6">
        <f>Исходн.данные.!AJ152</f>
        <v>0</v>
      </c>
      <c r="H152" s="6">
        <f>Исходн.данные.!AK152</f>
        <v>0</v>
      </c>
      <c r="I152" s="9">
        <f>IF($F152=0,0,Расчет2!AO152)</f>
        <v>0</v>
      </c>
      <c r="J152" s="9">
        <f>IF(F152=0,0,Расчет2!AP152)</f>
        <v>0</v>
      </c>
      <c r="K152" s="10">
        <f>IF($F152=0,0,Расчет2!AQ152)</f>
        <v>0</v>
      </c>
      <c r="L152" s="10">
        <f>IF($F152=0,0,Расчет2!AR152)</f>
        <v>0</v>
      </c>
      <c r="M152" s="10">
        <f>IF($F152=0,0,Расчет2!AS152)</f>
        <v>0</v>
      </c>
      <c r="N152" s="10">
        <f>IF($F152=0,0,IF(Исходн.данные.!$AP152="Посл.посева",0,Расчет2!AT152))</f>
        <v>0</v>
      </c>
      <c r="O152" s="10">
        <f>IF($F152=0,0,IF(Исходн.данные.!$AP152="Посл.посева",0,IF(Расчет2!AU152&lt;10,10,Расчет2!AU152)))</f>
        <v>0</v>
      </c>
      <c r="P152" s="10">
        <f>IF($F152=0,0,IF(Исходн.данные.!$AP152="Посл.посева",0,Расчет2!AV152))</f>
        <v>0</v>
      </c>
      <c r="Q152" s="10">
        <f>IF($F152=0,0,Расчет2!AW152)</f>
        <v>0</v>
      </c>
      <c r="R152" s="10">
        <f>IF($F152=0,0,Расчет2!AX152)</f>
        <v>0</v>
      </c>
      <c r="S152" s="9">
        <f>IF($F152=0,0,Расчет2!AY152)</f>
        <v>0</v>
      </c>
      <c r="T152" s="10">
        <f>IF($F152=0,0,Расчет2!AZ152)</f>
        <v>0</v>
      </c>
      <c r="U152" s="10">
        <f>IF($F152=0,0,Расчет2!BA152)</f>
        <v>0</v>
      </c>
      <c r="V152" s="10">
        <f>IF($F152=0,0,Расчет2!BB152)</f>
        <v>0</v>
      </c>
      <c r="W152" s="10">
        <f>Расчет!DL152</f>
        <v>0</v>
      </c>
      <c r="X152" s="10">
        <f>Расчет!DN152</f>
        <v>0</v>
      </c>
      <c r="Y152" s="9">
        <f>X152*Исходн.данные.!$AJ152/1000</f>
        <v>0</v>
      </c>
      <c r="Z152" s="10" t="str">
        <f>Расчет!DO152</f>
        <v>Хлор.калий</v>
      </c>
      <c r="AA152" s="10">
        <f>Расчет!DQ152</f>
        <v>0</v>
      </c>
      <c r="AB152" s="12">
        <f>AA152*Исходн.данные.!$AJ152/1000</f>
        <v>0</v>
      </c>
      <c r="AC152" s="9">
        <f>IF($F152=0,0,Расчет2!BC152)</f>
        <v>0</v>
      </c>
      <c r="AD152" s="10">
        <f>IF($F152=0,0,Расчет2!BD152)</f>
        <v>0</v>
      </c>
      <c r="AE152" s="9">
        <f>IF($F152=0,0,Расчет2!BE152)</f>
        <v>0</v>
      </c>
      <c r="AF152" s="9">
        <f>IF($F152=0,0,Расчет2!BF152)</f>
        <v>0</v>
      </c>
      <c r="AG152" s="9">
        <f>IF($F152=0,0,Расчет2!BG152)</f>
        <v>0</v>
      </c>
      <c r="AI152" s="11" t="e">
        <f>Расчет!FY152</f>
        <v>#N/A</v>
      </c>
      <c r="AJ152" s="11" t="e">
        <f>Расчет!FZ152</f>
        <v>#N/A</v>
      </c>
      <c r="AK152" s="11" t="e">
        <f>Расчет!GA152</f>
        <v>#N/A</v>
      </c>
      <c r="AL152" s="11" t="e">
        <f>Расчет!GB152</f>
        <v>#N/A</v>
      </c>
      <c r="AM152" s="11" t="e">
        <f>Расчет!GC152</f>
        <v>#N/A</v>
      </c>
      <c r="AN152" s="11" t="e">
        <f>Расчет!GD152</f>
        <v>#N/A</v>
      </c>
      <c r="AO152" s="11" t="e">
        <f>Расчет!GE152</f>
        <v>#N/A</v>
      </c>
      <c r="AP152" s="11" t="e">
        <f>Расчет!GF152</f>
        <v>#N/A</v>
      </c>
      <c r="AQ152" s="11" t="e">
        <f>Расчет!GG152</f>
        <v>#N/A</v>
      </c>
      <c r="AR152" s="11" t="e">
        <f>Расчет!GH152</f>
        <v>#N/A</v>
      </c>
      <c r="AS152" s="11" t="e">
        <f>Расчет!GI152</f>
        <v>#N/A</v>
      </c>
      <c r="AT152" s="11" t="e">
        <f>Расчет!GJ152</f>
        <v>#N/A</v>
      </c>
      <c r="AU152" s="198" t="e">
        <f t="shared" si="21"/>
        <v>#N/A</v>
      </c>
      <c r="AV152" s="198" t="e">
        <f t="shared" si="22"/>
        <v>#N/A</v>
      </c>
      <c r="AW152" s="198" t="e">
        <f t="shared" si="23"/>
        <v>#N/A</v>
      </c>
      <c r="AX152" s="11" t="e">
        <f t="shared" si="24"/>
        <v>#N/A</v>
      </c>
      <c r="AY152" s="11" t="e">
        <f t="shared" si="25"/>
        <v>#N/A</v>
      </c>
      <c r="AZ152" s="11" t="e">
        <f t="shared" si="26"/>
        <v>#N/A</v>
      </c>
    </row>
    <row r="153" spans="1:52" x14ac:dyDescent="0.2">
      <c r="A153" s="6">
        <f>Исходн.данные.!A153</f>
        <v>0</v>
      </c>
      <c r="B153" s="6">
        <f>Исходн.данные.!B153</f>
        <v>0</v>
      </c>
      <c r="C153" s="6">
        <f>Исходн.данные.!C153</f>
        <v>0</v>
      </c>
      <c r="D153" s="6">
        <f>Исходн.данные.!D153</f>
        <v>0</v>
      </c>
      <c r="E153" s="6">
        <f>Исходн.данные.!E153</f>
        <v>0</v>
      </c>
      <c r="F153" s="6">
        <f>Исходн.данные.!AH153</f>
        <v>0</v>
      </c>
      <c r="G153" s="6">
        <f>Исходн.данные.!AJ153</f>
        <v>0</v>
      </c>
      <c r="H153" s="6">
        <f>Исходн.данные.!AK153</f>
        <v>0</v>
      </c>
      <c r="I153" s="9">
        <f>IF($F153=0,0,Расчет2!AO153)</f>
        <v>0</v>
      </c>
      <c r="J153" s="9">
        <f>IF(F153=0,0,Расчет2!AP153)</f>
        <v>0</v>
      </c>
      <c r="K153" s="10">
        <f>IF($F153=0,0,Расчет2!AQ153)</f>
        <v>0</v>
      </c>
      <c r="L153" s="10">
        <f>IF($F153=0,0,Расчет2!AR153)</f>
        <v>0</v>
      </c>
      <c r="M153" s="10">
        <f>IF($F153=0,0,Расчет2!AS153)</f>
        <v>0</v>
      </c>
      <c r="N153" s="10">
        <f>IF($F153=0,0,IF(Исходн.данные.!$AP153="Посл.посева",0,Расчет2!AT153))</f>
        <v>0</v>
      </c>
      <c r="O153" s="10">
        <f>IF($F153=0,0,IF(Исходн.данные.!$AP153="Посл.посева",0,IF(Расчет2!AU153&lt;10,10,Расчет2!AU153)))</f>
        <v>0</v>
      </c>
      <c r="P153" s="10">
        <f>IF($F153=0,0,IF(Исходн.данные.!$AP153="Посл.посева",0,Расчет2!AV153))</f>
        <v>0</v>
      </c>
      <c r="Q153" s="10">
        <f>IF($F153=0,0,Расчет2!AW153)</f>
        <v>0</v>
      </c>
      <c r="R153" s="10">
        <f>IF($F153=0,0,Расчет2!AX153)</f>
        <v>0</v>
      </c>
      <c r="S153" s="9">
        <f>IF($F153=0,0,Расчет2!AY153)</f>
        <v>0</v>
      </c>
      <c r="T153" s="10">
        <f>IF($F153=0,0,Расчет2!AZ153)</f>
        <v>0</v>
      </c>
      <c r="U153" s="10">
        <f>IF($F153=0,0,Расчет2!BA153)</f>
        <v>0</v>
      </c>
      <c r="V153" s="10">
        <f>IF($F153=0,0,Расчет2!BB153)</f>
        <v>0</v>
      </c>
      <c r="W153" s="10">
        <f>Расчет!DL153</f>
        <v>0</v>
      </c>
      <c r="X153" s="10">
        <f>Расчет!DN153</f>
        <v>0</v>
      </c>
      <c r="Y153" s="9">
        <f>X153*Исходн.данные.!$AJ153/1000</f>
        <v>0</v>
      </c>
      <c r="Z153" s="10" t="str">
        <f>Расчет!DO153</f>
        <v>Хлор.калий</v>
      </c>
      <c r="AA153" s="10">
        <f>Расчет!DQ153</f>
        <v>0</v>
      </c>
      <c r="AB153" s="12">
        <f>AA153*Исходн.данные.!$AJ153/1000</f>
        <v>0</v>
      </c>
      <c r="AC153" s="9">
        <f>IF($F153=0,0,Расчет2!BC153)</f>
        <v>0</v>
      </c>
      <c r="AD153" s="10">
        <f>IF($F153=0,0,Расчет2!BD153)</f>
        <v>0</v>
      </c>
      <c r="AE153" s="9">
        <f>IF($F153=0,0,Расчет2!BE153)</f>
        <v>0</v>
      </c>
      <c r="AF153" s="9">
        <f>IF($F153=0,0,Расчет2!BF153)</f>
        <v>0</v>
      </c>
      <c r="AG153" s="9">
        <f>IF($F153=0,0,Расчет2!BG153)</f>
        <v>0</v>
      </c>
      <c r="AI153" s="11" t="e">
        <f>Расчет!FY153</f>
        <v>#N/A</v>
      </c>
      <c r="AJ153" s="11" t="e">
        <f>Расчет!FZ153</f>
        <v>#N/A</v>
      </c>
      <c r="AK153" s="11" t="e">
        <f>Расчет!GA153</f>
        <v>#N/A</v>
      </c>
      <c r="AL153" s="11" t="e">
        <f>Расчет!GB153</f>
        <v>#N/A</v>
      </c>
      <c r="AM153" s="11" t="e">
        <f>Расчет!GC153</f>
        <v>#N/A</v>
      </c>
      <c r="AN153" s="11" t="e">
        <f>Расчет!GD153</f>
        <v>#N/A</v>
      </c>
      <c r="AO153" s="11" t="e">
        <f>Расчет!GE153</f>
        <v>#N/A</v>
      </c>
      <c r="AP153" s="11" t="e">
        <f>Расчет!GF153</f>
        <v>#N/A</v>
      </c>
      <c r="AQ153" s="11" t="e">
        <f>Расчет!GG153</f>
        <v>#N/A</v>
      </c>
      <c r="AR153" s="11" t="e">
        <f>Расчет!GH153</f>
        <v>#N/A</v>
      </c>
      <c r="AS153" s="11" t="e">
        <f>Расчет!GI153</f>
        <v>#N/A</v>
      </c>
      <c r="AT153" s="11" t="e">
        <f>Расчет!GJ153</f>
        <v>#N/A</v>
      </c>
      <c r="AU153" s="198" t="e">
        <f t="shared" si="21"/>
        <v>#N/A</v>
      </c>
      <c r="AV153" s="198" t="e">
        <f t="shared" si="22"/>
        <v>#N/A</v>
      </c>
      <c r="AW153" s="198" t="e">
        <f t="shared" si="23"/>
        <v>#N/A</v>
      </c>
      <c r="AX153" s="11" t="e">
        <f t="shared" si="24"/>
        <v>#N/A</v>
      </c>
      <c r="AY153" s="11" t="e">
        <f t="shared" si="25"/>
        <v>#N/A</v>
      </c>
      <c r="AZ153" s="11" t="e">
        <f t="shared" si="26"/>
        <v>#N/A</v>
      </c>
    </row>
    <row r="154" spans="1:52" x14ac:dyDescent="0.2">
      <c r="A154" s="6">
        <f>Исходн.данные.!A154</f>
        <v>0</v>
      </c>
      <c r="B154" s="6">
        <f>Исходн.данные.!B154</f>
        <v>0</v>
      </c>
      <c r="C154" s="6">
        <f>Исходн.данные.!C154</f>
        <v>0</v>
      </c>
      <c r="D154" s="6">
        <f>Исходн.данные.!D154</f>
        <v>0</v>
      </c>
      <c r="E154" s="6">
        <f>Исходн.данные.!E154</f>
        <v>0</v>
      </c>
      <c r="F154" s="6">
        <f>Исходн.данные.!AH154</f>
        <v>0</v>
      </c>
      <c r="G154" s="6">
        <f>Исходн.данные.!AJ154</f>
        <v>0</v>
      </c>
      <c r="H154" s="6">
        <f>Исходн.данные.!AK154</f>
        <v>0</v>
      </c>
      <c r="I154" s="9">
        <f>IF($F154=0,0,Расчет2!AO154)</f>
        <v>0</v>
      </c>
      <c r="J154" s="9">
        <f>IF(F154=0,0,Расчет2!AP154)</f>
        <v>0</v>
      </c>
      <c r="K154" s="10">
        <f>IF($F154=0,0,Расчет2!AQ154)</f>
        <v>0</v>
      </c>
      <c r="L154" s="10">
        <f>IF($F154=0,0,Расчет2!AR154)</f>
        <v>0</v>
      </c>
      <c r="M154" s="10">
        <f>IF($F154=0,0,Расчет2!AS154)</f>
        <v>0</v>
      </c>
      <c r="N154" s="10">
        <f>IF($F154=0,0,IF(Исходн.данные.!$AP154="Посл.посева",0,Расчет2!AT154))</f>
        <v>0</v>
      </c>
      <c r="O154" s="10">
        <f>IF($F154=0,0,IF(Исходн.данные.!$AP154="Посл.посева",0,IF(Расчет2!AU154&lt;10,10,Расчет2!AU154)))</f>
        <v>0</v>
      </c>
      <c r="P154" s="10">
        <f>IF($F154=0,0,IF(Исходн.данные.!$AP154="Посл.посева",0,Расчет2!AV154))</f>
        <v>0</v>
      </c>
      <c r="Q154" s="10">
        <f>IF($F154=0,0,Расчет2!AW154)</f>
        <v>0</v>
      </c>
      <c r="R154" s="10">
        <f>IF($F154=0,0,Расчет2!AX154)</f>
        <v>0</v>
      </c>
      <c r="S154" s="9">
        <f>IF($F154=0,0,Расчет2!AY154)</f>
        <v>0</v>
      </c>
      <c r="T154" s="10">
        <f>IF($F154=0,0,Расчет2!AZ154)</f>
        <v>0</v>
      </c>
      <c r="U154" s="10">
        <f>IF($F154=0,0,Расчет2!BA154)</f>
        <v>0</v>
      </c>
      <c r="V154" s="10">
        <f>IF($F154=0,0,Расчет2!BB154)</f>
        <v>0</v>
      </c>
      <c r="W154" s="10">
        <f>Расчет!DL154</f>
        <v>0</v>
      </c>
      <c r="X154" s="10">
        <f>Расчет!DN154</f>
        <v>0</v>
      </c>
      <c r="Y154" s="9">
        <f>X154*Исходн.данные.!$AJ154/1000</f>
        <v>0</v>
      </c>
      <c r="Z154" s="10" t="str">
        <f>Расчет!DO154</f>
        <v>Хлор.калий</v>
      </c>
      <c r="AA154" s="10">
        <f>Расчет!DQ154</f>
        <v>0</v>
      </c>
      <c r="AB154" s="12">
        <f>AA154*Исходн.данные.!$AJ154/1000</f>
        <v>0</v>
      </c>
      <c r="AC154" s="9">
        <f>IF($F154=0,0,Расчет2!BC154)</f>
        <v>0</v>
      </c>
      <c r="AD154" s="10">
        <f>IF($F154=0,0,Расчет2!BD154)</f>
        <v>0</v>
      </c>
      <c r="AE154" s="9">
        <f>IF($F154=0,0,Расчет2!BE154)</f>
        <v>0</v>
      </c>
      <c r="AF154" s="9">
        <f>IF($F154=0,0,Расчет2!BF154)</f>
        <v>0</v>
      </c>
      <c r="AG154" s="9">
        <f>IF($F154=0,0,Расчет2!BG154)</f>
        <v>0</v>
      </c>
      <c r="AI154" s="11" t="e">
        <f>Расчет!FY154</f>
        <v>#N/A</v>
      </c>
      <c r="AJ154" s="11" t="e">
        <f>Расчет!FZ154</f>
        <v>#N/A</v>
      </c>
      <c r="AK154" s="11" t="e">
        <f>Расчет!GA154</f>
        <v>#N/A</v>
      </c>
      <c r="AL154" s="11" t="e">
        <f>Расчет!GB154</f>
        <v>#N/A</v>
      </c>
      <c r="AM154" s="11" t="e">
        <f>Расчет!GC154</f>
        <v>#N/A</v>
      </c>
      <c r="AN154" s="11" t="e">
        <f>Расчет!GD154</f>
        <v>#N/A</v>
      </c>
      <c r="AO154" s="11" t="e">
        <f>Расчет!GE154</f>
        <v>#N/A</v>
      </c>
      <c r="AP154" s="11" t="e">
        <f>Расчет!GF154</f>
        <v>#N/A</v>
      </c>
      <c r="AQ154" s="11" t="e">
        <f>Расчет!GG154</f>
        <v>#N/A</v>
      </c>
      <c r="AR154" s="11" t="e">
        <f>Расчет!GH154</f>
        <v>#N/A</v>
      </c>
      <c r="AS154" s="11" t="e">
        <f>Расчет!GI154</f>
        <v>#N/A</v>
      </c>
      <c r="AT154" s="11" t="e">
        <f>Расчет!GJ154</f>
        <v>#N/A</v>
      </c>
      <c r="AU154" s="198" t="e">
        <f t="shared" si="21"/>
        <v>#N/A</v>
      </c>
      <c r="AV154" s="198" t="e">
        <f t="shared" si="22"/>
        <v>#N/A</v>
      </c>
      <c r="AW154" s="198" t="e">
        <f t="shared" si="23"/>
        <v>#N/A</v>
      </c>
      <c r="AX154" s="11" t="e">
        <f t="shared" si="24"/>
        <v>#N/A</v>
      </c>
      <c r="AY154" s="11" t="e">
        <f t="shared" si="25"/>
        <v>#N/A</v>
      </c>
      <c r="AZ154" s="11" t="e">
        <f t="shared" si="26"/>
        <v>#N/A</v>
      </c>
    </row>
    <row r="155" spans="1:52" x14ac:dyDescent="0.2">
      <c r="A155" s="6">
        <f>Исходн.данные.!A155</f>
        <v>0</v>
      </c>
      <c r="B155" s="6">
        <f>Исходн.данные.!B155</f>
        <v>0</v>
      </c>
      <c r="C155" s="6">
        <f>Исходн.данные.!C155</f>
        <v>0</v>
      </c>
      <c r="D155" s="6">
        <f>Исходн.данные.!D155</f>
        <v>0</v>
      </c>
      <c r="E155" s="6">
        <f>Исходн.данные.!E155</f>
        <v>0</v>
      </c>
      <c r="F155" s="6">
        <f>Исходн.данные.!AH155</f>
        <v>0</v>
      </c>
      <c r="G155" s="6">
        <f>Исходн.данные.!AJ155</f>
        <v>0</v>
      </c>
      <c r="H155" s="6">
        <f>Исходн.данные.!AK155</f>
        <v>0</v>
      </c>
      <c r="I155" s="9">
        <f>IF($F155=0,0,Расчет2!AO155)</f>
        <v>0</v>
      </c>
      <c r="J155" s="9">
        <f>IF(F155=0,0,Расчет2!AP155)</f>
        <v>0</v>
      </c>
      <c r="K155" s="10">
        <f>IF($F155=0,0,Расчет2!AQ155)</f>
        <v>0</v>
      </c>
      <c r="L155" s="10">
        <f>IF($F155=0,0,Расчет2!AR155)</f>
        <v>0</v>
      </c>
      <c r="M155" s="10">
        <f>IF($F155=0,0,Расчет2!AS155)</f>
        <v>0</v>
      </c>
      <c r="N155" s="10">
        <f>IF($F155=0,0,IF(Исходн.данные.!$AP155="Посл.посева",0,Расчет2!AT155))</f>
        <v>0</v>
      </c>
      <c r="O155" s="10">
        <f>IF($F155=0,0,IF(Исходн.данные.!$AP155="Посл.посева",0,IF(Расчет2!AU155&lt;10,10,Расчет2!AU155)))</f>
        <v>0</v>
      </c>
      <c r="P155" s="10">
        <f>IF($F155=0,0,IF(Исходн.данные.!$AP155="Посл.посева",0,Расчет2!AV155))</f>
        <v>0</v>
      </c>
      <c r="Q155" s="10">
        <f>IF($F155=0,0,Расчет2!AW155)</f>
        <v>0</v>
      </c>
      <c r="R155" s="10">
        <f>IF($F155=0,0,Расчет2!AX155)</f>
        <v>0</v>
      </c>
      <c r="S155" s="9">
        <f>IF($F155=0,0,Расчет2!AY155)</f>
        <v>0</v>
      </c>
      <c r="T155" s="10">
        <f>IF($F155=0,0,Расчет2!AZ155)</f>
        <v>0</v>
      </c>
      <c r="U155" s="10">
        <f>IF($F155=0,0,Расчет2!BA155)</f>
        <v>0</v>
      </c>
      <c r="V155" s="10">
        <f>IF($F155=0,0,Расчет2!BB155)</f>
        <v>0</v>
      </c>
      <c r="W155" s="10">
        <f>Расчет!DL155</f>
        <v>0</v>
      </c>
      <c r="X155" s="10">
        <f>Расчет!DN155</f>
        <v>0</v>
      </c>
      <c r="Y155" s="9">
        <f>X155*Исходн.данные.!$AJ155/1000</f>
        <v>0</v>
      </c>
      <c r="Z155" s="10" t="str">
        <f>Расчет!DO155</f>
        <v>Хлор.калий</v>
      </c>
      <c r="AA155" s="10">
        <f>Расчет!DQ155</f>
        <v>0</v>
      </c>
      <c r="AB155" s="12">
        <f>AA155*Исходн.данные.!$AJ155/1000</f>
        <v>0</v>
      </c>
      <c r="AC155" s="9">
        <f>IF($F155=0,0,Расчет2!BC155)</f>
        <v>0</v>
      </c>
      <c r="AD155" s="10">
        <f>IF($F155=0,0,Расчет2!BD155)</f>
        <v>0</v>
      </c>
      <c r="AE155" s="9">
        <f>IF($F155=0,0,Расчет2!BE155)</f>
        <v>0</v>
      </c>
      <c r="AF155" s="9">
        <f>IF($F155=0,0,Расчет2!BF155)</f>
        <v>0</v>
      </c>
      <c r="AG155" s="9">
        <f>IF($F155=0,0,Расчет2!BG155)</f>
        <v>0</v>
      </c>
      <c r="AI155" s="11" t="e">
        <f>Расчет!FY155</f>
        <v>#N/A</v>
      </c>
      <c r="AJ155" s="11" t="e">
        <f>Расчет!FZ155</f>
        <v>#N/A</v>
      </c>
      <c r="AK155" s="11" t="e">
        <f>Расчет!GA155</f>
        <v>#N/A</v>
      </c>
      <c r="AL155" s="11" t="e">
        <f>Расчет!GB155</f>
        <v>#N/A</v>
      </c>
      <c r="AM155" s="11" t="e">
        <f>Расчет!GC155</f>
        <v>#N/A</v>
      </c>
      <c r="AN155" s="11" t="e">
        <f>Расчет!GD155</f>
        <v>#N/A</v>
      </c>
      <c r="AO155" s="11" t="e">
        <f>Расчет!GE155</f>
        <v>#N/A</v>
      </c>
      <c r="AP155" s="11" t="e">
        <f>Расчет!GF155</f>
        <v>#N/A</v>
      </c>
      <c r="AQ155" s="11" t="e">
        <f>Расчет!GG155</f>
        <v>#N/A</v>
      </c>
      <c r="AR155" s="11" t="e">
        <f>Расчет!GH155</f>
        <v>#N/A</v>
      </c>
      <c r="AS155" s="11" t="e">
        <f>Расчет!GI155</f>
        <v>#N/A</v>
      </c>
      <c r="AT155" s="11" t="e">
        <f>Расчет!GJ155</f>
        <v>#N/A</v>
      </c>
      <c r="AU155" s="198" t="e">
        <f t="shared" si="21"/>
        <v>#N/A</v>
      </c>
      <c r="AV155" s="198" t="e">
        <f t="shared" si="22"/>
        <v>#N/A</v>
      </c>
      <c r="AW155" s="198" t="e">
        <f t="shared" si="23"/>
        <v>#N/A</v>
      </c>
      <c r="AX155" s="11" t="e">
        <f t="shared" si="24"/>
        <v>#N/A</v>
      </c>
      <c r="AY155" s="11" t="e">
        <f t="shared" si="25"/>
        <v>#N/A</v>
      </c>
      <c r="AZ155" s="11" t="e">
        <f t="shared" si="26"/>
        <v>#N/A</v>
      </c>
    </row>
    <row r="156" spans="1:52" x14ac:dyDescent="0.2">
      <c r="A156" s="6">
        <f>Исходн.данные.!A156</f>
        <v>0</v>
      </c>
      <c r="B156" s="6">
        <f>Исходн.данные.!B156</f>
        <v>0</v>
      </c>
      <c r="C156" s="6">
        <f>Исходн.данные.!C156</f>
        <v>0</v>
      </c>
      <c r="D156" s="6">
        <f>Исходн.данные.!D156</f>
        <v>0</v>
      </c>
      <c r="E156" s="6">
        <f>Исходн.данные.!E156</f>
        <v>0</v>
      </c>
      <c r="F156" s="6">
        <f>Исходн.данные.!AH156</f>
        <v>0</v>
      </c>
      <c r="G156" s="6">
        <f>Исходн.данные.!AJ156</f>
        <v>0</v>
      </c>
      <c r="H156" s="6">
        <f>Исходн.данные.!AK156</f>
        <v>0</v>
      </c>
      <c r="I156" s="9">
        <f>IF($F156=0,0,Расчет2!AO156)</f>
        <v>0</v>
      </c>
      <c r="J156" s="9">
        <f>IF(F156=0,0,Расчет2!AP156)</f>
        <v>0</v>
      </c>
      <c r="K156" s="10">
        <f>IF($F156=0,0,Расчет2!AQ156)</f>
        <v>0</v>
      </c>
      <c r="L156" s="10">
        <f>IF($F156=0,0,Расчет2!AR156)</f>
        <v>0</v>
      </c>
      <c r="M156" s="10">
        <f>IF($F156=0,0,Расчет2!AS156)</f>
        <v>0</v>
      </c>
      <c r="N156" s="10">
        <f>IF($F156=0,0,IF(Исходн.данные.!$AP156="Посл.посева",0,Расчет2!AT156))</f>
        <v>0</v>
      </c>
      <c r="O156" s="10">
        <f>IF($F156=0,0,IF(Исходн.данные.!$AP156="Посл.посева",0,IF(Расчет2!AU156&lt;10,10,Расчет2!AU156)))</f>
        <v>0</v>
      </c>
      <c r="P156" s="10">
        <f>IF($F156=0,0,IF(Исходн.данные.!$AP156="Посл.посева",0,Расчет2!AV156))</f>
        <v>0</v>
      </c>
      <c r="Q156" s="10">
        <f>IF($F156=0,0,Расчет2!AW156)</f>
        <v>0</v>
      </c>
      <c r="R156" s="10">
        <f>IF($F156=0,0,Расчет2!AX156)</f>
        <v>0</v>
      </c>
      <c r="S156" s="9">
        <f>IF($F156=0,0,Расчет2!AY156)</f>
        <v>0</v>
      </c>
      <c r="T156" s="10">
        <f>IF($F156=0,0,Расчет2!AZ156)</f>
        <v>0</v>
      </c>
      <c r="U156" s="10">
        <f>IF($F156=0,0,Расчет2!BA156)</f>
        <v>0</v>
      </c>
      <c r="V156" s="10">
        <f>IF($F156=0,0,Расчет2!BB156)</f>
        <v>0</v>
      </c>
      <c r="W156" s="10">
        <f>Расчет!DL156</f>
        <v>0</v>
      </c>
      <c r="X156" s="10">
        <f>Расчет!DN156</f>
        <v>0</v>
      </c>
      <c r="Y156" s="9">
        <f>X156*Исходн.данные.!$AJ156/1000</f>
        <v>0</v>
      </c>
      <c r="Z156" s="10" t="str">
        <f>Расчет!DO156</f>
        <v>Хлор.калий</v>
      </c>
      <c r="AA156" s="10">
        <f>Расчет!DQ156</f>
        <v>0</v>
      </c>
      <c r="AB156" s="12">
        <f>AA156*Исходн.данные.!$AJ156/1000</f>
        <v>0</v>
      </c>
      <c r="AC156" s="9">
        <f>IF($F156=0,0,Расчет2!BC156)</f>
        <v>0</v>
      </c>
      <c r="AD156" s="10">
        <f>IF($F156=0,0,Расчет2!BD156)</f>
        <v>0</v>
      </c>
      <c r="AE156" s="9">
        <f>IF($F156=0,0,Расчет2!BE156)</f>
        <v>0</v>
      </c>
      <c r="AF156" s="9">
        <f>IF($F156=0,0,Расчет2!BF156)</f>
        <v>0</v>
      </c>
      <c r="AG156" s="9">
        <f>IF($F156=0,0,Расчет2!BG156)</f>
        <v>0</v>
      </c>
      <c r="AI156" s="11" t="e">
        <f>Расчет!FY156</f>
        <v>#N/A</v>
      </c>
      <c r="AJ156" s="11" t="e">
        <f>Расчет!FZ156</f>
        <v>#N/A</v>
      </c>
      <c r="AK156" s="11" t="e">
        <f>Расчет!GA156</f>
        <v>#N/A</v>
      </c>
      <c r="AL156" s="11" t="e">
        <f>Расчет!GB156</f>
        <v>#N/A</v>
      </c>
      <c r="AM156" s="11" t="e">
        <f>Расчет!GC156</f>
        <v>#N/A</v>
      </c>
      <c r="AN156" s="11" t="e">
        <f>Расчет!GD156</f>
        <v>#N/A</v>
      </c>
      <c r="AO156" s="11" t="e">
        <f>Расчет!GE156</f>
        <v>#N/A</v>
      </c>
      <c r="AP156" s="11" t="e">
        <f>Расчет!GF156</f>
        <v>#N/A</v>
      </c>
      <c r="AQ156" s="11" t="e">
        <f>Расчет!GG156</f>
        <v>#N/A</v>
      </c>
      <c r="AR156" s="11" t="e">
        <f>Расчет!GH156</f>
        <v>#N/A</v>
      </c>
      <c r="AS156" s="11" t="e">
        <f>Расчет!GI156</f>
        <v>#N/A</v>
      </c>
      <c r="AT156" s="11" t="e">
        <f>Расчет!GJ156</f>
        <v>#N/A</v>
      </c>
      <c r="AU156" s="198" t="e">
        <f t="shared" si="21"/>
        <v>#N/A</v>
      </c>
      <c r="AV156" s="198" t="e">
        <f t="shared" si="22"/>
        <v>#N/A</v>
      </c>
      <c r="AW156" s="198" t="e">
        <f t="shared" si="23"/>
        <v>#N/A</v>
      </c>
      <c r="AX156" s="11" t="e">
        <f t="shared" si="24"/>
        <v>#N/A</v>
      </c>
      <c r="AY156" s="11" t="e">
        <f t="shared" si="25"/>
        <v>#N/A</v>
      </c>
      <c r="AZ156" s="11" t="e">
        <f t="shared" si="26"/>
        <v>#N/A</v>
      </c>
    </row>
    <row r="157" spans="1:52" x14ac:dyDescent="0.2">
      <c r="A157" s="6">
        <f>Исходн.данные.!A157</f>
        <v>0</v>
      </c>
      <c r="B157" s="6">
        <f>Исходн.данные.!B157</f>
        <v>0</v>
      </c>
      <c r="C157" s="6">
        <f>Исходн.данные.!C157</f>
        <v>0</v>
      </c>
      <c r="D157" s="6">
        <f>Исходн.данные.!D157</f>
        <v>0</v>
      </c>
      <c r="E157" s="6">
        <f>Исходн.данные.!E157</f>
        <v>0</v>
      </c>
      <c r="F157" s="6">
        <f>Исходн.данные.!AH157</f>
        <v>0</v>
      </c>
      <c r="G157" s="6">
        <f>Исходн.данные.!AJ157</f>
        <v>0</v>
      </c>
      <c r="H157" s="6">
        <f>Исходн.данные.!AK157</f>
        <v>0</v>
      </c>
      <c r="I157" s="9">
        <f>IF($F157=0,0,Расчет2!AO157)</f>
        <v>0</v>
      </c>
      <c r="J157" s="9">
        <f>IF(F157=0,0,Расчет2!AP157)</f>
        <v>0</v>
      </c>
      <c r="K157" s="10">
        <f>IF($F157=0,0,Расчет2!AQ157)</f>
        <v>0</v>
      </c>
      <c r="L157" s="10">
        <f>IF($F157=0,0,Расчет2!AR157)</f>
        <v>0</v>
      </c>
      <c r="M157" s="10">
        <f>IF($F157=0,0,Расчет2!AS157)</f>
        <v>0</v>
      </c>
      <c r="N157" s="10">
        <f>IF($F157=0,0,IF(Исходн.данные.!$AP157="Посл.посева",0,Расчет2!AT157))</f>
        <v>0</v>
      </c>
      <c r="O157" s="10">
        <f>IF($F157=0,0,IF(Исходн.данные.!$AP157="Посл.посева",0,IF(Расчет2!AU157&lt;10,10,Расчет2!AU157)))</f>
        <v>0</v>
      </c>
      <c r="P157" s="10">
        <f>IF($F157=0,0,IF(Исходн.данные.!$AP157="Посл.посева",0,Расчет2!AV157))</f>
        <v>0</v>
      </c>
      <c r="Q157" s="10">
        <f>IF($F157=0,0,Расчет2!AW157)</f>
        <v>0</v>
      </c>
      <c r="R157" s="10">
        <f>IF($F157=0,0,Расчет2!AX157)</f>
        <v>0</v>
      </c>
      <c r="S157" s="9">
        <f>IF($F157=0,0,Расчет2!AY157)</f>
        <v>0</v>
      </c>
      <c r="T157" s="10">
        <f>IF($F157=0,0,Расчет2!AZ157)</f>
        <v>0</v>
      </c>
      <c r="U157" s="10">
        <f>IF($F157=0,0,Расчет2!BA157)</f>
        <v>0</v>
      </c>
      <c r="V157" s="10">
        <f>IF($F157=0,0,Расчет2!BB157)</f>
        <v>0</v>
      </c>
      <c r="W157" s="10">
        <f>Расчет!DL157</f>
        <v>0</v>
      </c>
      <c r="X157" s="10">
        <f>Расчет!DN157</f>
        <v>0</v>
      </c>
      <c r="Y157" s="9">
        <f>X157*Исходн.данные.!$AJ157/1000</f>
        <v>0</v>
      </c>
      <c r="Z157" s="10" t="str">
        <f>Расчет!DO157</f>
        <v>Хлор.калий</v>
      </c>
      <c r="AA157" s="10">
        <f>Расчет!DQ157</f>
        <v>0</v>
      </c>
      <c r="AB157" s="12">
        <f>AA157*Исходн.данные.!$AJ157/1000</f>
        <v>0</v>
      </c>
      <c r="AC157" s="9">
        <f>IF($F157=0,0,Расчет2!BC157)</f>
        <v>0</v>
      </c>
      <c r="AD157" s="10">
        <f>IF($F157=0,0,Расчет2!BD157)</f>
        <v>0</v>
      </c>
      <c r="AE157" s="9">
        <f>IF($F157=0,0,Расчет2!BE157)</f>
        <v>0</v>
      </c>
      <c r="AF157" s="9">
        <f>IF($F157=0,0,Расчет2!BF157)</f>
        <v>0</v>
      </c>
      <c r="AG157" s="9">
        <f>IF($F157=0,0,Расчет2!BG157)</f>
        <v>0</v>
      </c>
      <c r="AI157" s="11" t="e">
        <f>Расчет!FY157</f>
        <v>#N/A</v>
      </c>
      <c r="AJ157" s="11" t="e">
        <f>Расчет!FZ157</f>
        <v>#N/A</v>
      </c>
      <c r="AK157" s="11" t="e">
        <f>Расчет!GA157</f>
        <v>#N/A</v>
      </c>
      <c r="AL157" s="11" t="e">
        <f>Расчет!GB157</f>
        <v>#N/A</v>
      </c>
      <c r="AM157" s="11" t="e">
        <f>Расчет!GC157</f>
        <v>#N/A</v>
      </c>
      <c r="AN157" s="11" t="e">
        <f>Расчет!GD157</f>
        <v>#N/A</v>
      </c>
      <c r="AO157" s="11" t="e">
        <f>Расчет!GE157</f>
        <v>#N/A</v>
      </c>
      <c r="AP157" s="11" t="e">
        <f>Расчет!GF157</f>
        <v>#N/A</v>
      </c>
      <c r="AQ157" s="11" t="e">
        <f>Расчет!GG157</f>
        <v>#N/A</v>
      </c>
      <c r="AR157" s="11" t="e">
        <f>Расчет!GH157</f>
        <v>#N/A</v>
      </c>
      <c r="AS157" s="11" t="e">
        <f>Расчет!GI157</f>
        <v>#N/A</v>
      </c>
      <c r="AT157" s="11" t="e">
        <f>Расчет!GJ157</f>
        <v>#N/A</v>
      </c>
      <c r="AU157" s="198" t="e">
        <f t="shared" si="21"/>
        <v>#N/A</v>
      </c>
      <c r="AV157" s="198" t="e">
        <f t="shared" si="22"/>
        <v>#N/A</v>
      </c>
      <c r="AW157" s="198" t="e">
        <f t="shared" si="23"/>
        <v>#N/A</v>
      </c>
      <c r="AX157" s="11" t="e">
        <f t="shared" si="24"/>
        <v>#N/A</v>
      </c>
      <c r="AY157" s="11" t="e">
        <f t="shared" si="25"/>
        <v>#N/A</v>
      </c>
      <c r="AZ157" s="11" t="e">
        <f t="shared" si="26"/>
        <v>#N/A</v>
      </c>
    </row>
    <row r="158" spans="1:52" x14ac:dyDescent="0.2">
      <c r="A158" s="6">
        <f>Исходн.данные.!A158</f>
        <v>0</v>
      </c>
      <c r="B158" s="6">
        <f>Исходн.данные.!B158</f>
        <v>0</v>
      </c>
      <c r="C158" s="6">
        <f>Исходн.данные.!C158</f>
        <v>0</v>
      </c>
      <c r="D158" s="6">
        <f>Исходн.данные.!D158</f>
        <v>0</v>
      </c>
      <c r="E158" s="6">
        <f>Исходн.данные.!E158</f>
        <v>0</v>
      </c>
      <c r="F158" s="6">
        <f>Исходн.данные.!AH158</f>
        <v>0</v>
      </c>
      <c r="G158" s="6">
        <f>Исходн.данные.!AJ158</f>
        <v>0</v>
      </c>
      <c r="H158" s="6">
        <f>Исходн.данные.!AK158</f>
        <v>0</v>
      </c>
      <c r="I158" s="9">
        <f>IF($F158=0,0,Расчет2!AO158)</f>
        <v>0</v>
      </c>
      <c r="J158" s="9">
        <f>IF(F158=0,0,Расчет2!AP158)</f>
        <v>0</v>
      </c>
      <c r="K158" s="10">
        <f>IF($F158=0,0,Расчет2!AQ158)</f>
        <v>0</v>
      </c>
      <c r="L158" s="10">
        <f>IF($F158=0,0,Расчет2!AR158)</f>
        <v>0</v>
      </c>
      <c r="M158" s="10">
        <f>IF($F158=0,0,Расчет2!AS158)</f>
        <v>0</v>
      </c>
      <c r="N158" s="10">
        <f>IF($F158=0,0,IF(Исходн.данные.!$AP158="Посл.посева",0,Расчет2!AT158))</f>
        <v>0</v>
      </c>
      <c r="O158" s="10">
        <f>IF($F158=0,0,IF(Исходн.данные.!$AP158="Посл.посева",0,IF(Расчет2!AU158&lt;10,10,Расчет2!AU158)))</f>
        <v>0</v>
      </c>
      <c r="P158" s="10">
        <f>IF($F158=0,0,IF(Исходн.данные.!$AP158="Посл.посева",0,Расчет2!AV158))</f>
        <v>0</v>
      </c>
      <c r="Q158" s="10">
        <f>IF($F158=0,0,Расчет2!AW158)</f>
        <v>0</v>
      </c>
      <c r="R158" s="10">
        <f>IF($F158=0,0,Расчет2!AX158)</f>
        <v>0</v>
      </c>
      <c r="S158" s="9">
        <f>IF($F158=0,0,Расчет2!AY158)</f>
        <v>0</v>
      </c>
      <c r="T158" s="10">
        <f>IF($F158=0,0,Расчет2!AZ158)</f>
        <v>0</v>
      </c>
      <c r="U158" s="10">
        <f>IF($F158=0,0,Расчет2!BA158)</f>
        <v>0</v>
      </c>
      <c r="V158" s="10">
        <f>IF($F158=0,0,Расчет2!BB158)</f>
        <v>0</v>
      </c>
      <c r="W158" s="10">
        <f>Расчет!DL158</f>
        <v>0</v>
      </c>
      <c r="X158" s="10">
        <f>Расчет!DN158</f>
        <v>0</v>
      </c>
      <c r="Y158" s="9">
        <f>X158*Исходн.данные.!$AJ158/1000</f>
        <v>0</v>
      </c>
      <c r="Z158" s="10" t="str">
        <f>Расчет!DO158</f>
        <v>Хлор.калий</v>
      </c>
      <c r="AA158" s="10">
        <f>Расчет!DQ158</f>
        <v>0</v>
      </c>
      <c r="AB158" s="12">
        <f>AA158*Исходн.данные.!$AJ158/1000</f>
        <v>0</v>
      </c>
      <c r="AC158" s="9">
        <f>IF($F158=0,0,Расчет2!BC158)</f>
        <v>0</v>
      </c>
      <c r="AD158" s="10">
        <f>IF($F158=0,0,Расчет2!BD158)</f>
        <v>0</v>
      </c>
      <c r="AE158" s="9">
        <f>IF($F158=0,0,Расчет2!BE158)</f>
        <v>0</v>
      </c>
      <c r="AF158" s="9">
        <f>IF($F158=0,0,Расчет2!BF158)</f>
        <v>0</v>
      </c>
      <c r="AG158" s="9">
        <f>IF($F158=0,0,Расчет2!BG158)</f>
        <v>0</v>
      </c>
      <c r="AI158" s="11" t="e">
        <f>Расчет!FY158</f>
        <v>#N/A</v>
      </c>
      <c r="AJ158" s="11" t="e">
        <f>Расчет!FZ158</f>
        <v>#N/A</v>
      </c>
      <c r="AK158" s="11" t="e">
        <f>Расчет!GA158</f>
        <v>#N/A</v>
      </c>
      <c r="AL158" s="11" t="e">
        <f>Расчет!GB158</f>
        <v>#N/A</v>
      </c>
      <c r="AM158" s="11" t="e">
        <f>Расчет!GC158</f>
        <v>#N/A</v>
      </c>
      <c r="AN158" s="11" t="e">
        <f>Расчет!GD158</f>
        <v>#N/A</v>
      </c>
      <c r="AO158" s="11" t="e">
        <f>Расчет!GE158</f>
        <v>#N/A</v>
      </c>
      <c r="AP158" s="11" t="e">
        <f>Расчет!GF158</f>
        <v>#N/A</v>
      </c>
      <c r="AQ158" s="11" t="e">
        <f>Расчет!GG158</f>
        <v>#N/A</v>
      </c>
      <c r="AR158" s="11" t="e">
        <f>Расчет!GH158</f>
        <v>#N/A</v>
      </c>
      <c r="AS158" s="11" t="e">
        <f>Расчет!GI158</f>
        <v>#N/A</v>
      </c>
      <c r="AT158" s="11" t="e">
        <f>Расчет!GJ158</f>
        <v>#N/A</v>
      </c>
      <c r="AU158" s="198" t="e">
        <f t="shared" si="21"/>
        <v>#N/A</v>
      </c>
      <c r="AV158" s="198" t="e">
        <f t="shared" si="22"/>
        <v>#N/A</v>
      </c>
      <c r="AW158" s="198" t="e">
        <f t="shared" si="23"/>
        <v>#N/A</v>
      </c>
      <c r="AX158" s="11" t="e">
        <f t="shared" si="24"/>
        <v>#N/A</v>
      </c>
      <c r="AY158" s="11" t="e">
        <f t="shared" si="25"/>
        <v>#N/A</v>
      </c>
      <c r="AZ158" s="11" t="e">
        <f t="shared" si="26"/>
        <v>#N/A</v>
      </c>
    </row>
    <row r="159" spans="1:52" x14ac:dyDescent="0.2">
      <c r="A159" s="6">
        <f>Исходн.данные.!A159</f>
        <v>0</v>
      </c>
      <c r="B159" s="6">
        <f>Исходн.данные.!B159</f>
        <v>0</v>
      </c>
      <c r="C159" s="6">
        <f>Исходн.данные.!C159</f>
        <v>0</v>
      </c>
      <c r="D159" s="6">
        <f>Исходн.данные.!D159</f>
        <v>0</v>
      </c>
      <c r="E159" s="6">
        <f>Исходн.данные.!E159</f>
        <v>0</v>
      </c>
      <c r="F159" s="6">
        <f>Исходн.данные.!AH159</f>
        <v>0</v>
      </c>
      <c r="G159" s="6">
        <f>Исходн.данные.!AJ159</f>
        <v>0</v>
      </c>
      <c r="H159" s="6">
        <f>Исходн.данные.!AK159</f>
        <v>0</v>
      </c>
      <c r="I159" s="9">
        <f>IF($F159=0,0,Расчет2!AO159)</f>
        <v>0</v>
      </c>
      <c r="J159" s="9">
        <f>IF(F159=0,0,Расчет2!AP159)</f>
        <v>0</v>
      </c>
      <c r="K159" s="10">
        <f>IF($F159=0,0,Расчет2!AQ159)</f>
        <v>0</v>
      </c>
      <c r="L159" s="10">
        <f>IF($F159=0,0,Расчет2!AR159)</f>
        <v>0</v>
      </c>
      <c r="M159" s="10">
        <f>IF($F159=0,0,Расчет2!AS159)</f>
        <v>0</v>
      </c>
      <c r="N159" s="10">
        <f>IF($F159=0,0,IF(Исходн.данные.!$AP159="Посл.посева",0,Расчет2!AT159))</f>
        <v>0</v>
      </c>
      <c r="O159" s="10">
        <f>IF($F159=0,0,IF(Исходн.данные.!$AP159="Посл.посева",0,IF(Расчет2!AU159&lt;10,10,Расчет2!AU159)))</f>
        <v>0</v>
      </c>
      <c r="P159" s="10">
        <f>IF($F159=0,0,IF(Исходн.данные.!$AP159="Посл.посева",0,Расчет2!AV159))</f>
        <v>0</v>
      </c>
      <c r="Q159" s="10">
        <f>IF($F159=0,0,Расчет2!AW159)</f>
        <v>0</v>
      </c>
      <c r="R159" s="10">
        <f>IF($F159=0,0,Расчет2!AX159)</f>
        <v>0</v>
      </c>
      <c r="S159" s="9">
        <f>IF($F159=0,0,Расчет2!AY159)</f>
        <v>0</v>
      </c>
      <c r="T159" s="10">
        <f>IF($F159=0,0,Расчет2!AZ159)</f>
        <v>0</v>
      </c>
      <c r="U159" s="10">
        <f>IF($F159=0,0,Расчет2!BA159)</f>
        <v>0</v>
      </c>
      <c r="V159" s="10">
        <f>IF($F159=0,0,Расчет2!BB159)</f>
        <v>0</v>
      </c>
      <c r="W159" s="10">
        <f>Расчет!DL159</f>
        <v>0</v>
      </c>
      <c r="X159" s="10">
        <f>Расчет!DN159</f>
        <v>0</v>
      </c>
      <c r="Y159" s="9">
        <f>X159*Исходн.данные.!$AJ159/1000</f>
        <v>0</v>
      </c>
      <c r="Z159" s="10" t="str">
        <f>Расчет!DO159</f>
        <v>Хлор.калий</v>
      </c>
      <c r="AA159" s="10">
        <f>Расчет!DQ159</f>
        <v>0</v>
      </c>
      <c r="AB159" s="12">
        <f>AA159*Исходн.данные.!$AJ159/1000</f>
        <v>0</v>
      </c>
      <c r="AC159" s="9">
        <f>IF($F159=0,0,Расчет2!BC159)</f>
        <v>0</v>
      </c>
      <c r="AD159" s="10">
        <f>IF($F159=0,0,Расчет2!BD159)</f>
        <v>0</v>
      </c>
      <c r="AE159" s="9">
        <f>IF($F159=0,0,Расчет2!BE159)</f>
        <v>0</v>
      </c>
      <c r="AF159" s="9">
        <f>IF($F159=0,0,Расчет2!BF159)</f>
        <v>0</v>
      </c>
      <c r="AG159" s="9">
        <f>IF($F159=0,0,Расчет2!BG159)</f>
        <v>0</v>
      </c>
      <c r="AI159" s="11" t="e">
        <f>Расчет!FY159</f>
        <v>#N/A</v>
      </c>
      <c r="AJ159" s="11" t="e">
        <f>Расчет!FZ159</f>
        <v>#N/A</v>
      </c>
      <c r="AK159" s="11" t="e">
        <f>Расчет!GA159</f>
        <v>#N/A</v>
      </c>
      <c r="AL159" s="11" t="e">
        <f>Расчет!GB159</f>
        <v>#N/A</v>
      </c>
      <c r="AM159" s="11" t="e">
        <f>Расчет!GC159</f>
        <v>#N/A</v>
      </c>
      <c r="AN159" s="11" t="e">
        <f>Расчет!GD159</f>
        <v>#N/A</v>
      </c>
      <c r="AO159" s="11" t="e">
        <f>Расчет!GE159</f>
        <v>#N/A</v>
      </c>
      <c r="AP159" s="11" t="e">
        <f>Расчет!GF159</f>
        <v>#N/A</v>
      </c>
      <c r="AQ159" s="11" t="e">
        <f>Расчет!GG159</f>
        <v>#N/A</v>
      </c>
      <c r="AR159" s="11" t="e">
        <f>Расчет!GH159</f>
        <v>#N/A</v>
      </c>
      <c r="AS159" s="11" t="e">
        <f>Расчет!GI159</f>
        <v>#N/A</v>
      </c>
      <c r="AT159" s="11" t="e">
        <f>Расчет!GJ159</f>
        <v>#N/A</v>
      </c>
      <c r="AU159" s="198" t="e">
        <f t="shared" si="21"/>
        <v>#N/A</v>
      </c>
      <c r="AV159" s="198" t="e">
        <f t="shared" si="22"/>
        <v>#N/A</v>
      </c>
      <c r="AW159" s="198" t="e">
        <f t="shared" si="23"/>
        <v>#N/A</v>
      </c>
      <c r="AX159" s="11" t="e">
        <f t="shared" si="24"/>
        <v>#N/A</v>
      </c>
      <c r="AY159" s="11" t="e">
        <f t="shared" si="25"/>
        <v>#N/A</v>
      </c>
      <c r="AZ159" s="11" t="e">
        <f t="shared" si="26"/>
        <v>#N/A</v>
      </c>
    </row>
    <row r="160" spans="1:52" x14ac:dyDescent="0.2">
      <c r="A160" s="6">
        <f>Исходн.данные.!A160</f>
        <v>0</v>
      </c>
      <c r="B160" s="6">
        <f>Исходн.данные.!B160</f>
        <v>0</v>
      </c>
      <c r="C160" s="6">
        <f>Исходн.данные.!C160</f>
        <v>0</v>
      </c>
      <c r="D160" s="6">
        <f>Исходн.данные.!D160</f>
        <v>0</v>
      </c>
      <c r="E160" s="6">
        <f>Исходн.данные.!E160</f>
        <v>0</v>
      </c>
      <c r="F160" s="6">
        <f>Исходн.данные.!AH160</f>
        <v>0</v>
      </c>
      <c r="G160" s="6">
        <f>Исходн.данные.!AJ160</f>
        <v>0</v>
      </c>
      <c r="H160" s="6">
        <f>Исходн.данные.!AK160</f>
        <v>0</v>
      </c>
      <c r="I160" s="9">
        <f>IF($F160=0,0,Расчет2!AO160)</f>
        <v>0</v>
      </c>
      <c r="J160" s="9">
        <f>IF(F160=0,0,Расчет2!AP160)</f>
        <v>0</v>
      </c>
      <c r="K160" s="10">
        <f>IF($F160=0,0,Расчет2!AQ160)</f>
        <v>0</v>
      </c>
      <c r="L160" s="10">
        <f>IF($F160=0,0,Расчет2!AR160)</f>
        <v>0</v>
      </c>
      <c r="M160" s="10">
        <f>IF($F160=0,0,Расчет2!AS160)</f>
        <v>0</v>
      </c>
      <c r="N160" s="10">
        <f>IF($F160=0,0,IF(Исходн.данные.!$AP160="Посл.посева",0,Расчет2!AT160))</f>
        <v>0</v>
      </c>
      <c r="O160" s="10">
        <f>IF($F160=0,0,IF(Исходн.данные.!$AP160="Посл.посева",0,IF(Расчет2!AU160&lt;10,10,Расчет2!AU160)))</f>
        <v>0</v>
      </c>
      <c r="P160" s="10">
        <f>IF($F160=0,0,IF(Исходн.данные.!$AP160="Посл.посева",0,Расчет2!AV160))</f>
        <v>0</v>
      </c>
      <c r="Q160" s="10">
        <f>IF($F160=0,0,Расчет2!AW160)</f>
        <v>0</v>
      </c>
      <c r="R160" s="10">
        <f>IF($F160=0,0,Расчет2!AX160)</f>
        <v>0</v>
      </c>
      <c r="S160" s="9">
        <f>IF($F160=0,0,Расчет2!AY160)</f>
        <v>0</v>
      </c>
      <c r="T160" s="10">
        <f>IF($F160=0,0,Расчет2!AZ160)</f>
        <v>0</v>
      </c>
      <c r="U160" s="10">
        <f>IF($F160=0,0,Расчет2!BA160)</f>
        <v>0</v>
      </c>
      <c r="V160" s="10">
        <f>IF($F160=0,0,Расчет2!BB160)</f>
        <v>0</v>
      </c>
      <c r="W160" s="10">
        <f>Расчет!DL160</f>
        <v>0</v>
      </c>
      <c r="X160" s="10">
        <f>Расчет!DN160</f>
        <v>0</v>
      </c>
      <c r="Y160" s="9">
        <f>X160*Исходн.данные.!$AJ160/1000</f>
        <v>0</v>
      </c>
      <c r="Z160" s="10" t="str">
        <f>Расчет!DO160</f>
        <v>Хлор.калий</v>
      </c>
      <c r="AA160" s="10">
        <f>Расчет!DQ160</f>
        <v>0</v>
      </c>
      <c r="AB160" s="12">
        <f>AA160*Исходн.данные.!$AJ160/1000</f>
        <v>0</v>
      </c>
      <c r="AC160" s="9">
        <f>IF($F160=0,0,Расчет2!BC160)</f>
        <v>0</v>
      </c>
      <c r="AD160" s="10">
        <f>IF($F160=0,0,Расчет2!BD160)</f>
        <v>0</v>
      </c>
      <c r="AE160" s="9">
        <f>IF($F160=0,0,Расчет2!BE160)</f>
        <v>0</v>
      </c>
      <c r="AF160" s="9">
        <f>IF($F160=0,0,Расчет2!BF160)</f>
        <v>0</v>
      </c>
      <c r="AG160" s="9">
        <f>IF($F160=0,0,Расчет2!BG160)</f>
        <v>0</v>
      </c>
      <c r="AI160" s="11" t="e">
        <f>Расчет!FY160</f>
        <v>#N/A</v>
      </c>
      <c r="AJ160" s="11" t="e">
        <f>Расчет!FZ160</f>
        <v>#N/A</v>
      </c>
      <c r="AK160" s="11" t="e">
        <f>Расчет!GA160</f>
        <v>#N/A</v>
      </c>
      <c r="AL160" s="11" t="e">
        <f>Расчет!GB160</f>
        <v>#N/A</v>
      </c>
      <c r="AM160" s="11" t="e">
        <f>Расчет!GC160</f>
        <v>#N/A</v>
      </c>
      <c r="AN160" s="11" t="e">
        <f>Расчет!GD160</f>
        <v>#N/A</v>
      </c>
      <c r="AO160" s="11" t="e">
        <f>Расчет!GE160</f>
        <v>#N/A</v>
      </c>
      <c r="AP160" s="11" t="e">
        <f>Расчет!GF160</f>
        <v>#N/A</v>
      </c>
      <c r="AQ160" s="11" t="e">
        <f>Расчет!GG160</f>
        <v>#N/A</v>
      </c>
      <c r="AR160" s="11" t="e">
        <f>Расчет!GH160</f>
        <v>#N/A</v>
      </c>
      <c r="AS160" s="11" t="e">
        <f>Расчет!GI160</f>
        <v>#N/A</v>
      </c>
      <c r="AT160" s="11" t="e">
        <f>Расчет!GJ160</f>
        <v>#N/A</v>
      </c>
      <c r="AU160" s="198" t="e">
        <f t="shared" si="21"/>
        <v>#N/A</v>
      </c>
      <c r="AV160" s="198" t="e">
        <f t="shared" si="22"/>
        <v>#N/A</v>
      </c>
      <c r="AW160" s="198" t="e">
        <f t="shared" si="23"/>
        <v>#N/A</v>
      </c>
      <c r="AX160" s="11" t="e">
        <f t="shared" si="24"/>
        <v>#N/A</v>
      </c>
      <c r="AY160" s="11" t="e">
        <f t="shared" si="25"/>
        <v>#N/A</v>
      </c>
      <c r="AZ160" s="11" t="e">
        <f t="shared" si="26"/>
        <v>#N/A</v>
      </c>
    </row>
    <row r="161" spans="1:52" x14ac:dyDescent="0.2">
      <c r="A161" s="6">
        <f>Исходн.данные.!A161</f>
        <v>0</v>
      </c>
      <c r="B161" s="6">
        <f>Исходн.данные.!B161</f>
        <v>0</v>
      </c>
      <c r="C161" s="6">
        <f>Исходн.данные.!C161</f>
        <v>0</v>
      </c>
      <c r="D161" s="6">
        <f>Исходн.данные.!D161</f>
        <v>0</v>
      </c>
      <c r="E161" s="6">
        <f>Исходн.данные.!E161</f>
        <v>0</v>
      </c>
      <c r="F161" s="6">
        <f>Исходн.данные.!AH161</f>
        <v>0</v>
      </c>
      <c r="G161" s="6">
        <f>Исходн.данные.!AJ161</f>
        <v>0</v>
      </c>
      <c r="H161" s="6">
        <f>Исходн.данные.!AK161</f>
        <v>0</v>
      </c>
      <c r="I161" s="9">
        <f>IF($F161=0,0,Расчет2!AO161)</f>
        <v>0</v>
      </c>
      <c r="J161" s="9">
        <f>IF(F161=0,0,Расчет2!AP161)</f>
        <v>0</v>
      </c>
      <c r="K161" s="10">
        <f>IF($F161=0,0,Расчет2!AQ161)</f>
        <v>0</v>
      </c>
      <c r="L161" s="10">
        <f>IF($F161=0,0,Расчет2!AR161)</f>
        <v>0</v>
      </c>
      <c r="M161" s="10">
        <f>IF($F161=0,0,Расчет2!AS161)</f>
        <v>0</v>
      </c>
      <c r="N161" s="10">
        <f>IF($F161=0,0,IF(Исходн.данные.!$AP161="Посл.посева",0,Расчет2!AT161))</f>
        <v>0</v>
      </c>
      <c r="O161" s="10">
        <f>IF($F161=0,0,IF(Исходн.данные.!$AP161="Посл.посева",0,IF(Расчет2!AU161&lt;10,10,Расчет2!AU161)))</f>
        <v>0</v>
      </c>
      <c r="P161" s="10">
        <f>IF($F161=0,0,IF(Исходн.данные.!$AP161="Посл.посева",0,Расчет2!AV161))</f>
        <v>0</v>
      </c>
      <c r="Q161" s="10">
        <f>IF($F161=0,0,Расчет2!AW161)</f>
        <v>0</v>
      </c>
      <c r="R161" s="10">
        <f>IF($F161=0,0,Расчет2!AX161)</f>
        <v>0</v>
      </c>
      <c r="S161" s="9">
        <f>IF($F161=0,0,Расчет2!AY161)</f>
        <v>0</v>
      </c>
      <c r="T161" s="10">
        <f>IF($F161=0,0,Расчет2!AZ161)</f>
        <v>0</v>
      </c>
      <c r="U161" s="10">
        <f>IF($F161=0,0,Расчет2!BA161)</f>
        <v>0</v>
      </c>
      <c r="V161" s="10">
        <f>IF($F161=0,0,Расчет2!BB161)</f>
        <v>0</v>
      </c>
      <c r="W161" s="10">
        <f>Расчет!DL161</f>
        <v>0</v>
      </c>
      <c r="X161" s="10">
        <f>Расчет!DN161</f>
        <v>0</v>
      </c>
      <c r="Y161" s="9">
        <f>X161*Исходн.данные.!$AJ161/1000</f>
        <v>0</v>
      </c>
      <c r="Z161" s="10" t="str">
        <f>Расчет!DO161</f>
        <v>Хлор.калий</v>
      </c>
      <c r="AA161" s="10">
        <f>Расчет!DQ161</f>
        <v>0</v>
      </c>
      <c r="AB161" s="12">
        <f>AA161*Исходн.данные.!$AJ161/1000</f>
        <v>0</v>
      </c>
      <c r="AC161" s="9">
        <f>IF($F161=0,0,Расчет2!BC161)</f>
        <v>0</v>
      </c>
      <c r="AD161" s="10">
        <f>IF($F161=0,0,Расчет2!BD161)</f>
        <v>0</v>
      </c>
      <c r="AE161" s="9">
        <f>IF($F161=0,0,Расчет2!BE161)</f>
        <v>0</v>
      </c>
      <c r="AF161" s="9">
        <f>IF($F161=0,0,Расчет2!BF161)</f>
        <v>0</v>
      </c>
      <c r="AG161" s="9">
        <f>IF($F161=0,0,Расчет2!BG161)</f>
        <v>0</v>
      </c>
      <c r="AI161" s="11" t="e">
        <f>Расчет!FY161</f>
        <v>#N/A</v>
      </c>
      <c r="AJ161" s="11" t="e">
        <f>Расчет!FZ161</f>
        <v>#N/A</v>
      </c>
      <c r="AK161" s="11" t="e">
        <f>Расчет!GA161</f>
        <v>#N/A</v>
      </c>
      <c r="AL161" s="11" t="e">
        <f>Расчет!GB161</f>
        <v>#N/A</v>
      </c>
      <c r="AM161" s="11" t="e">
        <f>Расчет!GC161</f>
        <v>#N/A</v>
      </c>
      <c r="AN161" s="11" t="e">
        <f>Расчет!GD161</f>
        <v>#N/A</v>
      </c>
      <c r="AO161" s="11" t="e">
        <f>Расчет!GE161</f>
        <v>#N/A</v>
      </c>
      <c r="AP161" s="11" t="e">
        <f>Расчет!GF161</f>
        <v>#N/A</v>
      </c>
      <c r="AQ161" s="11" t="e">
        <f>Расчет!GG161</f>
        <v>#N/A</v>
      </c>
      <c r="AR161" s="11" t="e">
        <f>Расчет!GH161</f>
        <v>#N/A</v>
      </c>
      <c r="AS161" s="11" t="e">
        <f>Расчет!GI161</f>
        <v>#N/A</v>
      </c>
      <c r="AT161" s="11" t="e">
        <f>Расчет!GJ161</f>
        <v>#N/A</v>
      </c>
      <c r="AU161" s="198" t="e">
        <f t="shared" si="21"/>
        <v>#N/A</v>
      </c>
      <c r="AV161" s="198" t="e">
        <f t="shared" si="22"/>
        <v>#N/A</v>
      </c>
      <c r="AW161" s="198" t="e">
        <f t="shared" si="23"/>
        <v>#N/A</v>
      </c>
      <c r="AX161" s="11" t="e">
        <f t="shared" si="24"/>
        <v>#N/A</v>
      </c>
      <c r="AY161" s="11" t="e">
        <f t="shared" si="25"/>
        <v>#N/A</v>
      </c>
      <c r="AZ161" s="11" t="e">
        <f t="shared" si="26"/>
        <v>#N/A</v>
      </c>
    </row>
    <row r="162" spans="1:52" x14ac:dyDescent="0.2">
      <c r="A162" s="6">
        <f>Исходн.данные.!A162</f>
        <v>0</v>
      </c>
      <c r="B162" s="6">
        <f>Исходн.данные.!B162</f>
        <v>0</v>
      </c>
      <c r="C162" s="6">
        <f>Исходн.данные.!C162</f>
        <v>0</v>
      </c>
      <c r="D162" s="6">
        <f>Исходн.данные.!D162</f>
        <v>0</v>
      </c>
      <c r="E162" s="6">
        <f>Исходн.данные.!E162</f>
        <v>0</v>
      </c>
      <c r="F162" s="6">
        <f>Исходн.данные.!AH162</f>
        <v>0</v>
      </c>
      <c r="G162" s="6">
        <f>Исходн.данные.!AJ162</f>
        <v>0</v>
      </c>
      <c r="H162" s="6">
        <f>Исходн.данные.!AK162</f>
        <v>0</v>
      </c>
      <c r="I162" s="9">
        <f>IF($F162=0,0,Расчет2!AO162)</f>
        <v>0</v>
      </c>
      <c r="J162" s="9">
        <f>IF(F162=0,0,Расчет2!AP162)</f>
        <v>0</v>
      </c>
      <c r="K162" s="10">
        <f>IF($F162=0,0,Расчет2!AQ162)</f>
        <v>0</v>
      </c>
      <c r="L162" s="10">
        <f>IF($F162=0,0,Расчет2!AR162)</f>
        <v>0</v>
      </c>
      <c r="M162" s="10">
        <f>IF($F162=0,0,Расчет2!AS162)</f>
        <v>0</v>
      </c>
      <c r="N162" s="10">
        <f>IF($F162=0,0,IF(Исходн.данные.!$AP162="Посл.посева",0,Расчет2!AT162))</f>
        <v>0</v>
      </c>
      <c r="O162" s="10">
        <f>IF($F162=0,0,IF(Исходн.данные.!$AP162="Посл.посева",0,IF(Расчет2!AU162&lt;10,10,Расчет2!AU162)))</f>
        <v>0</v>
      </c>
      <c r="P162" s="10">
        <f>IF($F162=0,0,IF(Исходн.данные.!$AP162="Посл.посева",0,Расчет2!AV162))</f>
        <v>0</v>
      </c>
      <c r="Q162" s="10">
        <f>IF($F162=0,0,Расчет2!AW162)</f>
        <v>0</v>
      </c>
      <c r="R162" s="10">
        <f>IF($F162=0,0,Расчет2!AX162)</f>
        <v>0</v>
      </c>
      <c r="S162" s="9">
        <f>IF($F162=0,0,Расчет2!AY162)</f>
        <v>0</v>
      </c>
      <c r="T162" s="10">
        <f>IF($F162=0,0,Расчет2!AZ162)</f>
        <v>0</v>
      </c>
      <c r="U162" s="10">
        <f>IF($F162=0,0,Расчет2!BA162)</f>
        <v>0</v>
      </c>
      <c r="V162" s="10">
        <f>IF($F162=0,0,Расчет2!BB162)</f>
        <v>0</v>
      </c>
      <c r="W162" s="10">
        <f>Расчет!DL162</f>
        <v>0</v>
      </c>
      <c r="X162" s="10">
        <f>Расчет!DN162</f>
        <v>0</v>
      </c>
      <c r="Y162" s="9">
        <f>X162*Исходн.данные.!$AJ162/1000</f>
        <v>0</v>
      </c>
      <c r="Z162" s="10" t="str">
        <f>Расчет!DO162</f>
        <v>Хлор.калий</v>
      </c>
      <c r="AA162" s="10">
        <f>Расчет!DQ162</f>
        <v>0</v>
      </c>
      <c r="AB162" s="12">
        <f>AA162*Исходн.данные.!$AJ162/1000</f>
        <v>0</v>
      </c>
      <c r="AC162" s="9">
        <f>IF($F162=0,0,Расчет2!BC162)</f>
        <v>0</v>
      </c>
      <c r="AD162" s="10">
        <f>IF($F162=0,0,Расчет2!BD162)</f>
        <v>0</v>
      </c>
      <c r="AE162" s="9">
        <f>IF($F162=0,0,Расчет2!BE162)</f>
        <v>0</v>
      </c>
      <c r="AF162" s="9">
        <f>IF($F162=0,0,Расчет2!BF162)</f>
        <v>0</v>
      </c>
      <c r="AG162" s="9">
        <f>IF($F162=0,0,Расчет2!BG162)</f>
        <v>0</v>
      </c>
      <c r="AI162" s="11" t="e">
        <f>Расчет!FY162</f>
        <v>#N/A</v>
      </c>
      <c r="AJ162" s="11" t="e">
        <f>Расчет!FZ162</f>
        <v>#N/A</v>
      </c>
      <c r="AK162" s="11" t="e">
        <f>Расчет!GA162</f>
        <v>#N/A</v>
      </c>
      <c r="AL162" s="11" t="e">
        <f>Расчет!GB162</f>
        <v>#N/A</v>
      </c>
      <c r="AM162" s="11" t="e">
        <f>Расчет!GC162</f>
        <v>#N/A</v>
      </c>
      <c r="AN162" s="11" t="e">
        <f>Расчет!GD162</f>
        <v>#N/A</v>
      </c>
      <c r="AO162" s="11" t="e">
        <f>Расчет!GE162</f>
        <v>#N/A</v>
      </c>
      <c r="AP162" s="11" t="e">
        <f>Расчет!GF162</f>
        <v>#N/A</v>
      </c>
      <c r="AQ162" s="11" t="e">
        <f>Расчет!GG162</f>
        <v>#N/A</v>
      </c>
      <c r="AR162" s="11" t="e">
        <f>Расчет!GH162</f>
        <v>#N/A</v>
      </c>
      <c r="AS162" s="11" t="e">
        <f>Расчет!GI162</f>
        <v>#N/A</v>
      </c>
      <c r="AT162" s="11" t="e">
        <f>Расчет!GJ162</f>
        <v>#N/A</v>
      </c>
      <c r="AU162" s="198" t="e">
        <f t="shared" si="21"/>
        <v>#N/A</v>
      </c>
      <c r="AV162" s="198" t="e">
        <f t="shared" si="22"/>
        <v>#N/A</v>
      </c>
      <c r="AW162" s="198" t="e">
        <f t="shared" si="23"/>
        <v>#N/A</v>
      </c>
      <c r="AX162" s="11" t="e">
        <f t="shared" si="24"/>
        <v>#N/A</v>
      </c>
      <c r="AY162" s="11" t="e">
        <f t="shared" si="25"/>
        <v>#N/A</v>
      </c>
      <c r="AZ162" s="11" t="e">
        <f t="shared" si="26"/>
        <v>#N/A</v>
      </c>
    </row>
    <row r="163" spans="1:52" x14ac:dyDescent="0.2">
      <c r="A163" s="6">
        <f>Исходн.данные.!A163</f>
        <v>0</v>
      </c>
      <c r="B163" s="6">
        <f>Исходн.данные.!B163</f>
        <v>0</v>
      </c>
      <c r="C163" s="6">
        <f>Исходн.данные.!C163</f>
        <v>0</v>
      </c>
      <c r="D163" s="6">
        <f>Исходн.данные.!D163</f>
        <v>0</v>
      </c>
      <c r="E163" s="6">
        <f>Исходн.данные.!E163</f>
        <v>0</v>
      </c>
      <c r="F163" s="6">
        <f>Исходн.данные.!AH163</f>
        <v>0</v>
      </c>
      <c r="G163" s="6">
        <f>Исходн.данные.!AJ163</f>
        <v>0</v>
      </c>
      <c r="H163" s="6">
        <f>Исходн.данные.!AK163</f>
        <v>0</v>
      </c>
      <c r="I163" s="9">
        <f>IF($F163=0,0,Расчет2!AO163)</f>
        <v>0</v>
      </c>
      <c r="J163" s="9">
        <f>IF(F163=0,0,Расчет2!AP163)</f>
        <v>0</v>
      </c>
      <c r="K163" s="10">
        <f>IF($F163=0,0,Расчет2!AQ163)</f>
        <v>0</v>
      </c>
      <c r="L163" s="10">
        <f>IF($F163=0,0,Расчет2!AR163)</f>
        <v>0</v>
      </c>
      <c r="M163" s="10">
        <f>IF($F163=0,0,Расчет2!AS163)</f>
        <v>0</v>
      </c>
      <c r="N163" s="10">
        <f>IF($F163=0,0,IF(Исходн.данные.!$AP163="Посл.посева",0,Расчет2!AT163))</f>
        <v>0</v>
      </c>
      <c r="O163" s="10">
        <f>IF($F163=0,0,IF(Исходн.данные.!$AP163="Посл.посева",0,IF(Расчет2!AU163&lt;10,10,Расчет2!AU163)))</f>
        <v>0</v>
      </c>
      <c r="P163" s="10">
        <f>IF($F163=0,0,IF(Исходн.данные.!$AP163="Посл.посева",0,Расчет2!AV163))</f>
        <v>0</v>
      </c>
      <c r="Q163" s="10">
        <f>IF($F163=0,0,Расчет2!AW163)</f>
        <v>0</v>
      </c>
      <c r="R163" s="10">
        <f>IF($F163=0,0,Расчет2!AX163)</f>
        <v>0</v>
      </c>
      <c r="S163" s="9">
        <f>IF($F163=0,0,Расчет2!AY163)</f>
        <v>0</v>
      </c>
      <c r="T163" s="10">
        <f>IF($F163=0,0,Расчет2!AZ163)</f>
        <v>0</v>
      </c>
      <c r="U163" s="10">
        <f>IF($F163=0,0,Расчет2!BA163)</f>
        <v>0</v>
      </c>
      <c r="V163" s="10">
        <f>IF($F163=0,0,Расчет2!BB163)</f>
        <v>0</v>
      </c>
      <c r="W163" s="10">
        <f>Расчет!DL163</f>
        <v>0</v>
      </c>
      <c r="X163" s="10">
        <f>Расчет!DN163</f>
        <v>0</v>
      </c>
      <c r="Y163" s="9">
        <f>X163*Исходн.данные.!$AJ163/1000</f>
        <v>0</v>
      </c>
      <c r="Z163" s="10" t="str">
        <f>Расчет!DO163</f>
        <v>Хлор.калий</v>
      </c>
      <c r="AA163" s="10">
        <f>Расчет!DQ163</f>
        <v>0</v>
      </c>
      <c r="AB163" s="12">
        <f>AA163*Исходн.данные.!$AJ163/1000</f>
        <v>0</v>
      </c>
      <c r="AC163" s="9">
        <f>IF($F163=0,0,Расчет2!BC163)</f>
        <v>0</v>
      </c>
      <c r="AD163" s="10">
        <f>IF($F163=0,0,Расчет2!BD163)</f>
        <v>0</v>
      </c>
      <c r="AE163" s="9">
        <f>IF($F163=0,0,Расчет2!BE163)</f>
        <v>0</v>
      </c>
      <c r="AF163" s="9">
        <f>IF($F163=0,0,Расчет2!BF163)</f>
        <v>0</v>
      </c>
      <c r="AG163" s="9">
        <f>IF($F163=0,0,Расчет2!BG163)</f>
        <v>0</v>
      </c>
      <c r="AI163" s="11" t="e">
        <f>Расчет!FY163</f>
        <v>#N/A</v>
      </c>
      <c r="AJ163" s="11" t="e">
        <f>Расчет!FZ163</f>
        <v>#N/A</v>
      </c>
      <c r="AK163" s="11" t="e">
        <f>Расчет!GA163</f>
        <v>#N/A</v>
      </c>
      <c r="AL163" s="11" t="e">
        <f>Расчет!GB163</f>
        <v>#N/A</v>
      </c>
      <c r="AM163" s="11" t="e">
        <f>Расчет!GC163</f>
        <v>#N/A</v>
      </c>
      <c r="AN163" s="11" t="e">
        <f>Расчет!GD163</f>
        <v>#N/A</v>
      </c>
      <c r="AO163" s="11" t="e">
        <f>Расчет!GE163</f>
        <v>#N/A</v>
      </c>
      <c r="AP163" s="11" t="e">
        <f>Расчет!GF163</f>
        <v>#N/A</v>
      </c>
      <c r="AQ163" s="11" t="e">
        <f>Расчет!GG163</f>
        <v>#N/A</v>
      </c>
      <c r="AR163" s="11" t="e">
        <f>Расчет!GH163</f>
        <v>#N/A</v>
      </c>
      <c r="AS163" s="11" t="e">
        <f>Расчет!GI163</f>
        <v>#N/A</v>
      </c>
      <c r="AT163" s="11" t="e">
        <f>Расчет!GJ163</f>
        <v>#N/A</v>
      </c>
      <c r="AU163" s="198" t="e">
        <f t="shared" si="21"/>
        <v>#N/A</v>
      </c>
      <c r="AV163" s="198" t="e">
        <f t="shared" si="22"/>
        <v>#N/A</v>
      </c>
      <c r="AW163" s="198" t="e">
        <f t="shared" si="23"/>
        <v>#N/A</v>
      </c>
      <c r="AX163" s="11" t="e">
        <f t="shared" si="24"/>
        <v>#N/A</v>
      </c>
      <c r="AY163" s="11" t="e">
        <f t="shared" si="25"/>
        <v>#N/A</v>
      </c>
      <c r="AZ163" s="11" t="e">
        <f t="shared" si="26"/>
        <v>#N/A</v>
      </c>
    </row>
    <row r="164" spans="1:52" x14ac:dyDescent="0.2">
      <c r="A164" s="6">
        <f>Исходн.данные.!A164</f>
        <v>0</v>
      </c>
      <c r="B164" s="6">
        <f>Исходн.данные.!B164</f>
        <v>0</v>
      </c>
      <c r="C164" s="6">
        <f>Исходн.данные.!C164</f>
        <v>0</v>
      </c>
      <c r="D164" s="6">
        <f>Исходн.данные.!D164</f>
        <v>0</v>
      </c>
      <c r="E164" s="6">
        <f>Исходн.данные.!E164</f>
        <v>0</v>
      </c>
      <c r="F164" s="6">
        <f>Исходн.данные.!AH164</f>
        <v>0</v>
      </c>
      <c r="G164" s="6">
        <f>Исходн.данные.!AJ164</f>
        <v>0</v>
      </c>
      <c r="H164" s="6">
        <f>Исходн.данные.!AK164</f>
        <v>0</v>
      </c>
      <c r="I164" s="9">
        <f>IF($F164=0,0,Расчет2!AO164)</f>
        <v>0</v>
      </c>
      <c r="J164" s="9">
        <f>IF(F164=0,0,Расчет2!AP164)</f>
        <v>0</v>
      </c>
      <c r="K164" s="10">
        <f>IF($F164=0,0,Расчет2!AQ164)</f>
        <v>0</v>
      </c>
      <c r="L164" s="10">
        <f>IF($F164=0,0,Расчет2!AR164)</f>
        <v>0</v>
      </c>
      <c r="M164" s="10">
        <f>IF($F164=0,0,Расчет2!AS164)</f>
        <v>0</v>
      </c>
      <c r="N164" s="10">
        <f>IF($F164=0,0,IF(Исходн.данные.!$AP164="Посл.посева",0,Расчет2!AT164))</f>
        <v>0</v>
      </c>
      <c r="O164" s="10">
        <f>IF($F164=0,0,IF(Исходн.данные.!$AP164="Посл.посева",0,IF(Расчет2!AU164&lt;10,10,Расчет2!AU164)))</f>
        <v>0</v>
      </c>
      <c r="P164" s="10">
        <f>IF($F164=0,0,IF(Исходн.данные.!$AP164="Посл.посева",0,Расчет2!AV164))</f>
        <v>0</v>
      </c>
      <c r="Q164" s="10">
        <f>IF($F164=0,0,Расчет2!AW164)</f>
        <v>0</v>
      </c>
      <c r="R164" s="10">
        <f>IF($F164=0,0,Расчет2!AX164)</f>
        <v>0</v>
      </c>
      <c r="S164" s="9">
        <f>IF($F164=0,0,Расчет2!AY164)</f>
        <v>0</v>
      </c>
      <c r="T164" s="10">
        <f>IF($F164=0,0,Расчет2!AZ164)</f>
        <v>0</v>
      </c>
      <c r="U164" s="10">
        <f>IF($F164=0,0,Расчет2!BA164)</f>
        <v>0</v>
      </c>
      <c r="V164" s="10">
        <f>IF($F164=0,0,Расчет2!BB164)</f>
        <v>0</v>
      </c>
      <c r="W164" s="10">
        <f>Расчет!DL164</f>
        <v>0</v>
      </c>
      <c r="X164" s="10">
        <f>Расчет!DN164</f>
        <v>0</v>
      </c>
      <c r="Y164" s="9">
        <f>X164*Исходн.данные.!$AJ164/1000</f>
        <v>0</v>
      </c>
      <c r="Z164" s="10" t="str">
        <f>Расчет!DO164</f>
        <v>Хлор.калий</v>
      </c>
      <c r="AA164" s="10">
        <f>Расчет!DQ164</f>
        <v>0</v>
      </c>
      <c r="AB164" s="12">
        <f>AA164*Исходн.данные.!$AJ164/1000</f>
        <v>0</v>
      </c>
      <c r="AC164" s="9">
        <f>IF($F164=0,0,Расчет2!BC164)</f>
        <v>0</v>
      </c>
      <c r="AD164" s="10">
        <f>IF($F164=0,0,Расчет2!BD164)</f>
        <v>0</v>
      </c>
      <c r="AE164" s="9">
        <f>IF($F164=0,0,Расчет2!BE164)</f>
        <v>0</v>
      </c>
      <c r="AF164" s="9">
        <f>IF($F164=0,0,Расчет2!BF164)</f>
        <v>0</v>
      </c>
      <c r="AG164" s="9">
        <f>IF($F164=0,0,Расчет2!BG164)</f>
        <v>0</v>
      </c>
      <c r="AI164" s="11" t="e">
        <f>Расчет!FY164</f>
        <v>#N/A</v>
      </c>
      <c r="AJ164" s="11" t="e">
        <f>Расчет!FZ164</f>
        <v>#N/A</v>
      </c>
      <c r="AK164" s="11" t="e">
        <f>Расчет!GA164</f>
        <v>#N/A</v>
      </c>
      <c r="AL164" s="11" t="e">
        <f>Расчет!GB164</f>
        <v>#N/A</v>
      </c>
      <c r="AM164" s="11" t="e">
        <f>Расчет!GC164</f>
        <v>#N/A</v>
      </c>
      <c r="AN164" s="11" t="e">
        <f>Расчет!GD164</f>
        <v>#N/A</v>
      </c>
      <c r="AO164" s="11" t="e">
        <f>Расчет!GE164</f>
        <v>#N/A</v>
      </c>
      <c r="AP164" s="11" t="e">
        <f>Расчет!GF164</f>
        <v>#N/A</v>
      </c>
      <c r="AQ164" s="11" t="e">
        <f>Расчет!GG164</f>
        <v>#N/A</v>
      </c>
      <c r="AR164" s="11" t="e">
        <f>Расчет!GH164</f>
        <v>#N/A</v>
      </c>
      <c r="AS164" s="11" t="e">
        <f>Расчет!GI164</f>
        <v>#N/A</v>
      </c>
      <c r="AT164" s="11" t="e">
        <f>Расчет!GJ164</f>
        <v>#N/A</v>
      </c>
      <c r="AU164" s="198" t="e">
        <f t="shared" si="21"/>
        <v>#N/A</v>
      </c>
      <c r="AV164" s="198" t="e">
        <f t="shared" si="22"/>
        <v>#N/A</v>
      </c>
      <c r="AW164" s="198" t="e">
        <f t="shared" si="23"/>
        <v>#N/A</v>
      </c>
      <c r="AX164" s="11" t="e">
        <f t="shared" si="24"/>
        <v>#N/A</v>
      </c>
      <c r="AY164" s="11" t="e">
        <f t="shared" si="25"/>
        <v>#N/A</v>
      </c>
      <c r="AZ164" s="11" t="e">
        <f t="shared" si="26"/>
        <v>#N/A</v>
      </c>
    </row>
    <row r="165" spans="1:52" x14ac:dyDescent="0.2">
      <c r="A165" s="6">
        <f>Исходн.данные.!A165</f>
        <v>0</v>
      </c>
      <c r="B165" s="6">
        <f>Исходн.данные.!B165</f>
        <v>0</v>
      </c>
      <c r="C165" s="6">
        <f>Исходн.данные.!C165</f>
        <v>0</v>
      </c>
      <c r="D165" s="6">
        <f>Исходн.данные.!D165</f>
        <v>0</v>
      </c>
      <c r="E165" s="6">
        <f>Исходн.данные.!E165</f>
        <v>0</v>
      </c>
      <c r="F165" s="6">
        <f>Исходн.данные.!AH165</f>
        <v>0</v>
      </c>
      <c r="G165" s="6">
        <f>Исходн.данные.!AJ165</f>
        <v>0</v>
      </c>
      <c r="H165" s="6">
        <f>Исходн.данные.!AK165</f>
        <v>0</v>
      </c>
      <c r="I165" s="9">
        <f>IF($F165=0,0,Расчет2!AO165)</f>
        <v>0</v>
      </c>
      <c r="J165" s="9">
        <f>IF(F165=0,0,Расчет2!AP165)</f>
        <v>0</v>
      </c>
      <c r="K165" s="10">
        <f>IF($F165=0,0,Расчет2!AQ165)</f>
        <v>0</v>
      </c>
      <c r="L165" s="10">
        <f>IF($F165=0,0,Расчет2!AR165)</f>
        <v>0</v>
      </c>
      <c r="M165" s="10">
        <f>IF($F165=0,0,Расчет2!AS165)</f>
        <v>0</v>
      </c>
      <c r="N165" s="10">
        <f>IF($F165=0,0,IF(Исходн.данные.!$AP165="Посл.посева",0,Расчет2!AT165))</f>
        <v>0</v>
      </c>
      <c r="O165" s="10">
        <f>IF($F165=0,0,IF(Исходн.данные.!$AP165="Посл.посева",0,IF(Расчет2!AU165&lt;10,10,Расчет2!AU165)))</f>
        <v>0</v>
      </c>
      <c r="P165" s="10">
        <f>IF($F165=0,0,IF(Исходн.данные.!$AP165="Посл.посева",0,Расчет2!AV165))</f>
        <v>0</v>
      </c>
      <c r="Q165" s="10">
        <f>IF($F165=0,0,Расчет2!AW165)</f>
        <v>0</v>
      </c>
      <c r="R165" s="10">
        <f>IF($F165=0,0,Расчет2!AX165)</f>
        <v>0</v>
      </c>
      <c r="S165" s="9">
        <f>IF($F165=0,0,Расчет2!AY165)</f>
        <v>0</v>
      </c>
      <c r="T165" s="10">
        <f>IF($F165=0,0,Расчет2!AZ165)</f>
        <v>0</v>
      </c>
      <c r="U165" s="10">
        <f>IF($F165=0,0,Расчет2!BA165)</f>
        <v>0</v>
      </c>
      <c r="V165" s="10">
        <f>IF($F165=0,0,Расчет2!BB165)</f>
        <v>0</v>
      </c>
      <c r="W165" s="10">
        <f>Расчет!DL165</f>
        <v>0</v>
      </c>
      <c r="X165" s="10">
        <f>Расчет!DN165</f>
        <v>0</v>
      </c>
      <c r="Y165" s="9">
        <f>X165*Исходн.данные.!$AJ165/1000</f>
        <v>0</v>
      </c>
      <c r="Z165" s="10" t="str">
        <f>Расчет!DO165</f>
        <v>Хлор.калий</v>
      </c>
      <c r="AA165" s="10">
        <f>Расчет!DQ165</f>
        <v>0</v>
      </c>
      <c r="AB165" s="12">
        <f>AA165*Исходн.данные.!$AJ165/1000</f>
        <v>0</v>
      </c>
      <c r="AC165" s="9">
        <f>IF($F165=0,0,Расчет2!BC165)</f>
        <v>0</v>
      </c>
      <c r="AD165" s="10">
        <f>IF($F165=0,0,Расчет2!BD165)</f>
        <v>0</v>
      </c>
      <c r="AE165" s="9">
        <f>IF($F165=0,0,Расчет2!BE165)</f>
        <v>0</v>
      </c>
      <c r="AF165" s="9">
        <f>IF($F165=0,0,Расчет2!BF165)</f>
        <v>0</v>
      </c>
      <c r="AG165" s="9">
        <f>IF($F165=0,0,Расчет2!BG165)</f>
        <v>0</v>
      </c>
      <c r="AI165" s="11" t="e">
        <f>Расчет!FY165</f>
        <v>#N/A</v>
      </c>
      <c r="AJ165" s="11" t="e">
        <f>Расчет!FZ165</f>
        <v>#N/A</v>
      </c>
      <c r="AK165" s="11" t="e">
        <f>Расчет!GA165</f>
        <v>#N/A</v>
      </c>
      <c r="AL165" s="11" t="e">
        <f>Расчет!GB165</f>
        <v>#N/A</v>
      </c>
      <c r="AM165" s="11" t="e">
        <f>Расчет!GC165</f>
        <v>#N/A</v>
      </c>
      <c r="AN165" s="11" t="e">
        <f>Расчет!GD165</f>
        <v>#N/A</v>
      </c>
      <c r="AO165" s="11" t="e">
        <f>Расчет!GE165</f>
        <v>#N/A</v>
      </c>
      <c r="AP165" s="11" t="e">
        <f>Расчет!GF165</f>
        <v>#N/A</v>
      </c>
      <c r="AQ165" s="11" t="e">
        <f>Расчет!GG165</f>
        <v>#N/A</v>
      </c>
      <c r="AR165" s="11" t="e">
        <f>Расчет!GH165</f>
        <v>#N/A</v>
      </c>
      <c r="AS165" s="11" t="e">
        <f>Расчет!GI165</f>
        <v>#N/A</v>
      </c>
      <c r="AT165" s="11" t="e">
        <f>Расчет!GJ165</f>
        <v>#N/A</v>
      </c>
      <c r="AU165" s="198" t="e">
        <f t="shared" si="21"/>
        <v>#N/A</v>
      </c>
      <c r="AV165" s="198" t="e">
        <f t="shared" si="22"/>
        <v>#N/A</v>
      </c>
      <c r="AW165" s="198" t="e">
        <f t="shared" si="23"/>
        <v>#N/A</v>
      </c>
      <c r="AX165" s="11" t="e">
        <f t="shared" si="24"/>
        <v>#N/A</v>
      </c>
      <c r="AY165" s="11" t="e">
        <f t="shared" si="25"/>
        <v>#N/A</v>
      </c>
      <c r="AZ165" s="11" t="e">
        <f t="shared" si="26"/>
        <v>#N/A</v>
      </c>
    </row>
    <row r="166" spans="1:52" x14ac:dyDescent="0.2">
      <c r="A166" s="6">
        <f>Исходн.данные.!A166</f>
        <v>0</v>
      </c>
      <c r="B166" s="6">
        <f>Исходн.данные.!B166</f>
        <v>0</v>
      </c>
      <c r="C166" s="6">
        <f>Исходн.данные.!C166</f>
        <v>0</v>
      </c>
      <c r="D166" s="6">
        <f>Исходн.данные.!D166</f>
        <v>0</v>
      </c>
      <c r="E166" s="6">
        <f>Исходн.данные.!E166</f>
        <v>0</v>
      </c>
      <c r="F166" s="6">
        <f>Исходн.данные.!AH166</f>
        <v>0</v>
      </c>
      <c r="G166" s="6">
        <f>Исходн.данные.!AJ166</f>
        <v>0</v>
      </c>
      <c r="H166" s="6">
        <f>Исходн.данные.!AK166</f>
        <v>0</v>
      </c>
      <c r="I166" s="9">
        <f>IF($F166=0,0,Расчет2!AO166)</f>
        <v>0</v>
      </c>
      <c r="J166" s="9">
        <f>IF(F166=0,0,Расчет2!AP166)</f>
        <v>0</v>
      </c>
      <c r="K166" s="10">
        <f>IF($F166=0,0,Расчет2!AQ166)</f>
        <v>0</v>
      </c>
      <c r="L166" s="10">
        <f>IF($F166=0,0,Расчет2!AR166)</f>
        <v>0</v>
      </c>
      <c r="M166" s="10">
        <f>IF($F166=0,0,Расчет2!AS166)</f>
        <v>0</v>
      </c>
      <c r="N166" s="10">
        <f>IF($F166=0,0,IF(Исходн.данные.!$AP166="Посл.посева",0,Расчет2!AT166))</f>
        <v>0</v>
      </c>
      <c r="O166" s="10">
        <f>IF($F166=0,0,IF(Исходн.данные.!$AP166="Посл.посева",0,IF(Расчет2!AU166&lt;10,10,Расчет2!AU166)))</f>
        <v>0</v>
      </c>
      <c r="P166" s="10">
        <f>IF($F166=0,0,IF(Исходн.данные.!$AP166="Посл.посева",0,Расчет2!AV166))</f>
        <v>0</v>
      </c>
      <c r="Q166" s="10">
        <f>IF($F166=0,0,Расчет2!AW166)</f>
        <v>0</v>
      </c>
      <c r="R166" s="10">
        <f>IF($F166=0,0,Расчет2!AX166)</f>
        <v>0</v>
      </c>
      <c r="S166" s="9">
        <f>IF($F166=0,0,Расчет2!AY166)</f>
        <v>0</v>
      </c>
      <c r="T166" s="10">
        <f>IF($F166=0,0,Расчет2!AZ166)</f>
        <v>0</v>
      </c>
      <c r="U166" s="10">
        <f>IF($F166=0,0,Расчет2!BA166)</f>
        <v>0</v>
      </c>
      <c r="V166" s="10">
        <f>IF($F166=0,0,Расчет2!BB166)</f>
        <v>0</v>
      </c>
      <c r="W166" s="10">
        <f>Расчет!DL166</f>
        <v>0</v>
      </c>
      <c r="X166" s="10">
        <f>Расчет!DN166</f>
        <v>0</v>
      </c>
      <c r="Y166" s="9">
        <f>X166*Исходн.данные.!$AJ166/1000</f>
        <v>0</v>
      </c>
      <c r="Z166" s="10" t="str">
        <f>Расчет!DO166</f>
        <v>Хлор.калий</v>
      </c>
      <c r="AA166" s="10">
        <f>Расчет!DQ166</f>
        <v>0</v>
      </c>
      <c r="AB166" s="12">
        <f>AA166*Исходн.данные.!$AJ166/1000</f>
        <v>0</v>
      </c>
      <c r="AC166" s="9">
        <f>IF($F166=0,0,Расчет2!BC166)</f>
        <v>0</v>
      </c>
      <c r="AD166" s="10">
        <f>IF($F166=0,0,Расчет2!BD166)</f>
        <v>0</v>
      </c>
      <c r="AE166" s="9">
        <f>IF($F166=0,0,Расчет2!BE166)</f>
        <v>0</v>
      </c>
      <c r="AF166" s="9">
        <f>IF($F166=0,0,Расчет2!BF166)</f>
        <v>0</v>
      </c>
      <c r="AG166" s="9">
        <f>IF($F166=0,0,Расчет2!BG166)</f>
        <v>0</v>
      </c>
      <c r="AI166" s="11" t="e">
        <f>Расчет!FY166</f>
        <v>#N/A</v>
      </c>
      <c r="AJ166" s="11" t="e">
        <f>Расчет!FZ166</f>
        <v>#N/A</v>
      </c>
      <c r="AK166" s="11" t="e">
        <f>Расчет!GA166</f>
        <v>#N/A</v>
      </c>
      <c r="AL166" s="11" t="e">
        <f>Расчет!GB166</f>
        <v>#N/A</v>
      </c>
      <c r="AM166" s="11" t="e">
        <f>Расчет!GC166</f>
        <v>#N/A</v>
      </c>
      <c r="AN166" s="11" t="e">
        <f>Расчет!GD166</f>
        <v>#N/A</v>
      </c>
      <c r="AO166" s="11" t="e">
        <f>Расчет!GE166</f>
        <v>#N/A</v>
      </c>
      <c r="AP166" s="11" t="e">
        <f>Расчет!GF166</f>
        <v>#N/A</v>
      </c>
      <c r="AQ166" s="11" t="e">
        <f>Расчет!GG166</f>
        <v>#N/A</v>
      </c>
      <c r="AR166" s="11" t="e">
        <f>Расчет!GH166</f>
        <v>#N/A</v>
      </c>
      <c r="AS166" s="11" t="e">
        <f>Расчет!GI166</f>
        <v>#N/A</v>
      </c>
      <c r="AT166" s="11" t="e">
        <f>Расчет!GJ166</f>
        <v>#N/A</v>
      </c>
      <c r="AU166" s="198" t="e">
        <f t="shared" si="21"/>
        <v>#N/A</v>
      </c>
      <c r="AV166" s="198" t="e">
        <f t="shared" si="22"/>
        <v>#N/A</v>
      </c>
      <c r="AW166" s="198" t="e">
        <f t="shared" si="23"/>
        <v>#N/A</v>
      </c>
      <c r="AX166" s="11" t="e">
        <f t="shared" si="24"/>
        <v>#N/A</v>
      </c>
      <c r="AY166" s="11" t="e">
        <f t="shared" si="25"/>
        <v>#N/A</v>
      </c>
      <c r="AZ166" s="11" t="e">
        <f t="shared" si="26"/>
        <v>#N/A</v>
      </c>
    </row>
    <row r="167" spans="1:52" x14ac:dyDescent="0.2">
      <c r="A167" s="6">
        <f>Исходн.данные.!A167</f>
        <v>0</v>
      </c>
      <c r="B167" s="6">
        <f>Исходн.данные.!B167</f>
        <v>0</v>
      </c>
      <c r="C167" s="6">
        <f>Исходн.данные.!C167</f>
        <v>0</v>
      </c>
      <c r="D167" s="6">
        <f>Исходн.данные.!D167</f>
        <v>0</v>
      </c>
      <c r="E167" s="6">
        <f>Исходн.данные.!E167</f>
        <v>0</v>
      </c>
      <c r="F167" s="6">
        <f>Исходн.данные.!AH167</f>
        <v>0</v>
      </c>
      <c r="G167" s="6">
        <f>Исходн.данные.!AJ167</f>
        <v>0</v>
      </c>
      <c r="H167" s="6">
        <f>Исходн.данные.!AK167</f>
        <v>0</v>
      </c>
      <c r="I167" s="9">
        <f>IF($F167=0,0,Расчет2!AO167)</f>
        <v>0</v>
      </c>
      <c r="J167" s="9">
        <f>IF(F167=0,0,Расчет2!AP167)</f>
        <v>0</v>
      </c>
      <c r="K167" s="10">
        <f>IF($F167=0,0,Расчет2!AQ167)</f>
        <v>0</v>
      </c>
      <c r="L167" s="10">
        <f>IF($F167=0,0,Расчет2!AR167)</f>
        <v>0</v>
      </c>
      <c r="M167" s="10">
        <f>IF($F167=0,0,Расчет2!AS167)</f>
        <v>0</v>
      </c>
      <c r="N167" s="10">
        <f>IF($F167=0,0,IF(Исходн.данные.!$AP167="Посл.посева",0,Расчет2!AT167))</f>
        <v>0</v>
      </c>
      <c r="O167" s="10">
        <f>IF($F167=0,0,IF(Исходн.данные.!$AP167="Посл.посева",0,IF(Расчет2!AU167&lt;10,10,Расчет2!AU167)))</f>
        <v>0</v>
      </c>
      <c r="P167" s="10">
        <f>IF($F167=0,0,IF(Исходн.данные.!$AP167="Посл.посева",0,Расчет2!AV167))</f>
        <v>0</v>
      </c>
      <c r="Q167" s="10">
        <f>IF($F167=0,0,Расчет2!AW167)</f>
        <v>0</v>
      </c>
      <c r="R167" s="10">
        <f>IF($F167=0,0,Расчет2!AX167)</f>
        <v>0</v>
      </c>
      <c r="S167" s="9">
        <f>IF($F167=0,0,Расчет2!AY167)</f>
        <v>0</v>
      </c>
      <c r="T167" s="10">
        <f>IF($F167=0,0,Расчет2!AZ167)</f>
        <v>0</v>
      </c>
      <c r="U167" s="10">
        <f>IF($F167=0,0,Расчет2!BA167)</f>
        <v>0</v>
      </c>
      <c r="V167" s="10">
        <f>IF($F167=0,0,Расчет2!BB167)</f>
        <v>0</v>
      </c>
      <c r="W167" s="10">
        <f>Расчет!DL167</f>
        <v>0</v>
      </c>
      <c r="X167" s="10">
        <f>Расчет!DN167</f>
        <v>0</v>
      </c>
      <c r="Y167" s="9">
        <f>X167*Исходн.данные.!$AJ167/1000</f>
        <v>0</v>
      </c>
      <c r="Z167" s="10" t="str">
        <f>Расчет!DO167</f>
        <v>Хлор.калий</v>
      </c>
      <c r="AA167" s="10">
        <f>Расчет!DQ167</f>
        <v>0</v>
      </c>
      <c r="AB167" s="12">
        <f>AA167*Исходн.данные.!$AJ167/1000</f>
        <v>0</v>
      </c>
      <c r="AC167" s="9">
        <f>IF($F167=0,0,Расчет2!BC167)</f>
        <v>0</v>
      </c>
      <c r="AD167" s="10">
        <f>IF($F167=0,0,Расчет2!BD167)</f>
        <v>0</v>
      </c>
      <c r="AE167" s="9">
        <f>IF($F167=0,0,Расчет2!BE167)</f>
        <v>0</v>
      </c>
      <c r="AF167" s="9">
        <f>IF($F167=0,0,Расчет2!BF167)</f>
        <v>0</v>
      </c>
      <c r="AG167" s="9">
        <f>IF($F167=0,0,Расчет2!BG167)</f>
        <v>0</v>
      </c>
      <c r="AI167" s="11" t="e">
        <f>Расчет!FY167</f>
        <v>#N/A</v>
      </c>
      <c r="AJ167" s="11" t="e">
        <f>Расчет!FZ167</f>
        <v>#N/A</v>
      </c>
      <c r="AK167" s="11" t="e">
        <f>Расчет!GA167</f>
        <v>#N/A</v>
      </c>
      <c r="AL167" s="11" t="e">
        <f>Расчет!GB167</f>
        <v>#N/A</v>
      </c>
      <c r="AM167" s="11" t="e">
        <f>Расчет!GC167</f>
        <v>#N/A</v>
      </c>
      <c r="AN167" s="11" t="e">
        <f>Расчет!GD167</f>
        <v>#N/A</v>
      </c>
      <c r="AO167" s="11" t="e">
        <f>Расчет!GE167</f>
        <v>#N/A</v>
      </c>
      <c r="AP167" s="11" t="e">
        <f>Расчет!GF167</f>
        <v>#N/A</v>
      </c>
      <c r="AQ167" s="11" t="e">
        <f>Расчет!GG167</f>
        <v>#N/A</v>
      </c>
      <c r="AR167" s="11" t="e">
        <f>Расчет!GH167</f>
        <v>#N/A</v>
      </c>
      <c r="AS167" s="11" t="e">
        <f>Расчет!GI167</f>
        <v>#N/A</v>
      </c>
      <c r="AT167" s="11" t="e">
        <f>Расчет!GJ167</f>
        <v>#N/A</v>
      </c>
      <c r="AU167" s="198" t="e">
        <f t="shared" si="21"/>
        <v>#N/A</v>
      </c>
      <c r="AV167" s="198" t="e">
        <f t="shared" si="22"/>
        <v>#N/A</v>
      </c>
      <c r="AW167" s="198" t="e">
        <f t="shared" si="23"/>
        <v>#N/A</v>
      </c>
      <c r="AX167" s="11" t="e">
        <f t="shared" si="24"/>
        <v>#N/A</v>
      </c>
      <c r="AY167" s="11" t="e">
        <f t="shared" si="25"/>
        <v>#N/A</v>
      </c>
      <c r="AZ167" s="11" t="e">
        <f t="shared" si="26"/>
        <v>#N/A</v>
      </c>
    </row>
    <row r="168" spans="1:52" x14ac:dyDescent="0.2">
      <c r="A168" s="6">
        <f>Исходн.данные.!A168</f>
        <v>0</v>
      </c>
      <c r="B168" s="6">
        <f>Исходн.данные.!B168</f>
        <v>0</v>
      </c>
      <c r="C168" s="6">
        <f>Исходн.данные.!C168</f>
        <v>0</v>
      </c>
      <c r="D168" s="6">
        <f>Исходн.данные.!D168</f>
        <v>0</v>
      </c>
      <c r="E168" s="6">
        <f>Исходн.данные.!E168</f>
        <v>0</v>
      </c>
      <c r="F168" s="6">
        <f>Исходн.данные.!AH168</f>
        <v>0</v>
      </c>
      <c r="G168" s="6">
        <f>Исходн.данные.!AJ168</f>
        <v>0</v>
      </c>
      <c r="H168" s="6">
        <f>Исходн.данные.!AK168</f>
        <v>0</v>
      </c>
      <c r="I168" s="9">
        <f>IF($F168=0,0,Расчет2!AO168)</f>
        <v>0</v>
      </c>
      <c r="J168" s="9">
        <f>IF(F168=0,0,Расчет2!AP168)</f>
        <v>0</v>
      </c>
      <c r="K168" s="10">
        <f>IF($F168=0,0,Расчет2!AQ168)</f>
        <v>0</v>
      </c>
      <c r="L168" s="10">
        <f>IF($F168=0,0,Расчет2!AR168)</f>
        <v>0</v>
      </c>
      <c r="M168" s="10">
        <f>IF($F168=0,0,Расчет2!AS168)</f>
        <v>0</v>
      </c>
      <c r="N168" s="10">
        <f>IF($F168=0,0,IF(Исходн.данные.!$AP168="Посл.посева",0,Расчет2!AT168))</f>
        <v>0</v>
      </c>
      <c r="O168" s="10">
        <f>IF($F168=0,0,IF(Исходн.данные.!$AP168="Посл.посева",0,IF(Расчет2!AU168&lt;10,10,Расчет2!AU168)))</f>
        <v>0</v>
      </c>
      <c r="P168" s="10">
        <f>IF($F168=0,0,IF(Исходн.данные.!$AP168="Посл.посева",0,Расчет2!AV168))</f>
        <v>0</v>
      </c>
      <c r="Q168" s="10">
        <f>IF($F168=0,0,Расчет2!AW168)</f>
        <v>0</v>
      </c>
      <c r="R168" s="10">
        <f>IF($F168=0,0,Расчет2!AX168)</f>
        <v>0</v>
      </c>
      <c r="S168" s="9">
        <f>IF($F168=0,0,Расчет2!AY168)</f>
        <v>0</v>
      </c>
      <c r="T168" s="10">
        <f>IF($F168=0,0,Расчет2!AZ168)</f>
        <v>0</v>
      </c>
      <c r="U168" s="10">
        <f>IF($F168=0,0,Расчет2!BA168)</f>
        <v>0</v>
      </c>
      <c r="V168" s="10">
        <f>IF($F168=0,0,Расчет2!BB168)</f>
        <v>0</v>
      </c>
      <c r="W168" s="10">
        <f>Расчет!DL168</f>
        <v>0</v>
      </c>
      <c r="X168" s="10">
        <f>Расчет!DN168</f>
        <v>0</v>
      </c>
      <c r="Y168" s="9">
        <f>X168*Исходн.данные.!$AJ168/1000</f>
        <v>0</v>
      </c>
      <c r="Z168" s="10" t="str">
        <f>Расчет!DO168</f>
        <v>Хлор.калий</v>
      </c>
      <c r="AA168" s="10">
        <f>Расчет!DQ168</f>
        <v>0</v>
      </c>
      <c r="AB168" s="12">
        <f>AA168*Исходн.данные.!$AJ168/1000</f>
        <v>0</v>
      </c>
      <c r="AC168" s="9">
        <f>IF($F168=0,0,Расчет2!BC168)</f>
        <v>0</v>
      </c>
      <c r="AD168" s="10">
        <f>IF($F168=0,0,Расчет2!BD168)</f>
        <v>0</v>
      </c>
      <c r="AE168" s="9">
        <f>IF($F168=0,0,Расчет2!BE168)</f>
        <v>0</v>
      </c>
      <c r="AF168" s="9">
        <f>IF($F168=0,0,Расчет2!BF168)</f>
        <v>0</v>
      </c>
      <c r="AG168" s="9">
        <f>IF($F168=0,0,Расчет2!BG168)</f>
        <v>0</v>
      </c>
      <c r="AI168" s="11" t="e">
        <f>Расчет!FY168</f>
        <v>#N/A</v>
      </c>
      <c r="AJ168" s="11" t="e">
        <f>Расчет!FZ168</f>
        <v>#N/A</v>
      </c>
      <c r="AK168" s="11" t="e">
        <f>Расчет!GA168</f>
        <v>#N/A</v>
      </c>
      <c r="AL168" s="11" t="e">
        <f>Расчет!GB168</f>
        <v>#N/A</v>
      </c>
      <c r="AM168" s="11" t="e">
        <f>Расчет!GC168</f>
        <v>#N/A</v>
      </c>
      <c r="AN168" s="11" t="e">
        <f>Расчет!GD168</f>
        <v>#N/A</v>
      </c>
      <c r="AO168" s="11" t="e">
        <f>Расчет!GE168</f>
        <v>#N/A</v>
      </c>
      <c r="AP168" s="11" t="e">
        <f>Расчет!GF168</f>
        <v>#N/A</v>
      </c>
      <c r="AQ168" s="11" t="e">
        <f>Расчет!GG168</f>
        <v>#N/A</v>
      </c>
      <c r="AR168" s="11" t="e">
        <f>Расчет!GH168</f>
        <v>#N/A</v>
      </c>
      <c r="AS168" s="11" t="e">
        <f>Расчет!GI168</f>
        <v>#N/A</v>
      </c>
      <c r="AT168" s="11" t="e">
        <f>Расчет!GJ168</f>
        <v>#N/A</v>
      </c>
      <c r="AU168" s="198" t="e">
        <f t="shared" si="21"/>
        <v>#N/A</v>
      </c>
      <c r="AV168" s="198" t="e">
        <f t="shared" si="22"/>
        <v>#N/A</v>
      </c>
      <c r="AW168" s="198" t="e">
        <f t="shared" si="23"/>
        <v>#N/A</v>
      </c>
      <c r="AX168" s="11" t="e">
        <f t="shared" si="24"/>
        <v>#N/A</v>
      </c>
      <c r="AY168" s="11" t="e">
        <f t="shared" si="25"/>
        <v>#N/A</v>
      </c>
      <c r="AZ168" s="11" t="e">
        <f t="shared" si="26"/>
        <v>#N/A</v>
      </c>
    </row>
    <row r="169" spans="1:52" x14ac:dyDescent="0.2">
      <c r="A169" s="6">
        <f>Исходн.данные.!A169</f>
        <v>0</v>
      </c>
      <c r="B169" s="6">
        <f>Исходн.данные.!B169</f>
        <v>0</v>
      </c>
      <c r="C169" s="6">
        <f>Исходн.данные.!C169</f>
        <v>0</v>
      </c>
      <c r="D169" s="6">
        <f>Исходн.данные.!D169</f>
        <v>0</v>
      </c>
      <c r="E169" s="6">
        <f>Исходн.данные.!E169</f>
        <v>0</v>
      </c>
      <c r="F169" s="6">
        <f>Исходн.данные.!AH169</f>
        <v>0</v>
      </c>
      <c r="G169" s="6">
        <f>Исходн.данные.!AJ169</f>
        <v>0</v>
      </c>
      <c r="H169" s="6">
        <f>Исходн.данные.!AK169</f>
        <v>0</v>
      </c>
      <c r="I169" s="9">
        <f>IF($F169=0,0,Расчет2!AO169)</f>
        <v>0</v>
      </c>
      <c r="J169" s="9">
        <f>IF(F169=0,0,Расчет2!AP169)</f>
        <v>0</v>
      </c>
      <c r="K169" s="10">
        <f>IF($F169=0,0,Расчет2!AQ169)</f>
        <v>0</v>
      </c>
      <c r="L169" s="10">
        <f>IF($F169=0,0,Расчет2!AR169)</f>
        <v>0</v>
      </c>
      <c r="M169" s="10">
        <f>IF($F169=0,0,Расчет2!AS169)</f>
        <v>0</v>
      </c>
      <c r="N169" s="10">
        <f>IF($F169=0,0,IF(Исходн.данные.!$AP169="Посл.посева",0,Расчет2!AT169))</f>
        <v>0</v>
      </c>
      <c r="O169" s="10">
        <f>IF($F169=0,0,IF(Исходн.данные.!$AP169="Посл.посева",0,IF(Расчет2!AU169&lt;10,10,Расчет2!AU169)))</f>
        <v>0</v>
      </c>
      <c r="P169" s="10">
        <f>IF($F169=0,0,IF(Исходн.данные.!$AP169="Посл.посева",0,Расчет2!AV169))</f>
        <v>0</v>
      </c>
      <c r="Q169" s="10">
        <f>IF($F169=0,0,Расчет2!AW169)</f>
        <v>0</v>
      </c>
      <c r="R169" s="10">
        <f>IF($F169=0,0,Расчет2!AX169)</f>
        <v>0</v>
      </c>
      <c r="S169" s="9">
        <f>IF($F169=0,0,Расчет2!AY169)</f>
        <v>0</v>
      </c>
      <c r="T169" s="10">
        <f>IF($F169=0,0,Расчет2!AZ169)</f>
        <v>0</v>
      </c>
      <c r="U169" s="10">
        <f>IF($F169=0,0,Расчет2!BA169)</f>
        <v>0</v>
      </c>
      <c r="V169" s="10">
        <f>IF($F169=0,0,Расчет2!BB169)</f>
        <v>0</v>
      </c>
      <c r="W169" s="10">
        <f>Расчет!DL169</f>
        <v>0</v>
      </c>
      <c r="X169" s="10">
        <f>Расчет!DN169</f>
        <v>0</v>
      </c>
      <c r="Y169" s="9">
        <f>X169*Исходн.данные.!$AJ169/1000</f>
        <v>0</v>
      </c>
      <c r="Z169" s="10" t="str">
        <f>Расчет!DO169</f>
        <v>Хлор.калий</v>
      </c>
      <c r="AA169" s="10">
        <f>Расчет!DQ169</f>
        <v>0</v>
      </c>
      <c r="AB169" s="12">
        <f>AA169*Исходн.данные.!$AJ169/1000</f>
        <v>0</v>
      </c>
      <c r="AC169" s="9">
        <f>IF($F169=0,0,Расчет2!BC169)</f>
        <v>0</v>
      </c>
      <c r="AD169" s="10">
        <f>IF($F169=0,0,Расчет2!BD169)</f>
        <v>0</v>
      </c>
      <c r="AE169" s="9">
        <f>IF($F169=0,0,Расчет2!BE169)</f>
        <v>0</v>
      </c>
      <c r="AF169" s="9">
        <f>IF($F169=0,0,Расчет2!BF169)</f>
        <v>0</v>
      </c>
      <c r="AG169" s="9">
        <f>IF($F169=0,0,Расчет2!BG169)</f>
        <v>0</v>
      </c>
      <c r="AI169" s="11" t="e">
        <f>Расчет!FY169</f>
        <v>#N/A</v>
      </c>
      <c r="AJ169" s="11" t="e">
        <f>Расчет!FZ169</f>
        <v>#N/A</v>
      </c>
      <c r="AK169" s="11" t="e">
        <f>Расчет!GA169</f>
        <v>#N/A</v>
      </c>
      <c r="AL169" s="11" t="e">
        <f>Расчет!GB169</f>
        <v>#N/A</v>
      </c>
      <c r="AM169" s="11" t="e">
        <f>Расчет!GC169</f>
        <v>#N/A</v>
      </c>
      <c r="AN169" s="11" t="e">
        <f>Расчет!GD169</f>
        <v>#N/A</v>
      </c>
      <c r="AO169" s="11" t="e">
        <f>Расчет!GE169</f>
        <v>#N/A</v>
      </c>
      <c r="AP169" s="11" t="e">
        <f>Расчет!GF169</f>
        <v>#N/A</v>
      </c>
      <c r="AQ169" s="11" t="e">
        <f>Расчет!GG169</f>
        <v>#N/A</v>
      </c>
      <c r="AR169" s="11" t="e">
        <f>Расчет!GH169</f>
        <v>#N/A</v>
      </c>
      <c r="AS169" s="11" t="e">
        <f>Расчет!GI169</f>
        <v>#N/A</v>
      </c>
      <c r="AT169" s="11" t="e">
        <f>Расчет!GJ169</f>
        <v>#N/A</v>
      </c>
      <c r="AU169" s="198" t="e">
        <f t="shared" si="21"/>
        <v>#N/A</v>
      </c>
      <c r="AV169" s="198" t="e">
        <f t="shared" si="22"/>
        <v>#N/A</v>
      </c>
      <c r="AW169" s="198" t="e">
        <f t="shared" si="23"/>
        <v>#N/A</v>
      </c>
      <c r="AX169" s="11" t="e">
        <f t="shared" si="24"/>
        <v>#N/A</v>
      </c>
      <c r="AY169" s="11" t="e">
        <f t="shared" si="25"/>
        <v>#N/A</v>
      </c>
      <c r="AZ169" s="11" t="e">
        <f t="shared" si="26"/>
        <v>#N/A</v>
      </c>
    </row>
    <row r="170" spans="1:52" x14ac:dyDescent="0.2">
      <c r="A170" s="6">
        <f>Исходн.данные.!A170</f>
        <v>0</v>
      </c>
      <c r="B170" s="6">
        <f>Исходн.данные.!B170</f>
        <v>0</v>
      </c>
      <c r="C170" s="6">
        <f>Исходн.данные.!C170</f>
        <v>0</v>
      </c>
      <c r="D170" s="6">
        <f>Исходн.данные.!D170</f>
        <v>0</v>
      </c>
      <c r="E170" s="6">
        <f>Исходн.данные.!E170</f>
        <v>0</v>
      </c>
      <c r="F170" s="6">
        <f>Исходн.данные.!AH170</f>
        <v>0</v>
      </c>
      <c r="G170" s="6">
        <f>Исходн.данные.!AJ170</f>
        <v>0</v>
      </c>
      <c r="H170" s="6">
        <f>Исходн.данные.!AK170</f>
        <v>0</v>
      </c>
      <c r="I170" s="9">
        <f>IF($F170=0,0,Расчет2!AO170)</f>
        <v>0</v>
      </c>
      <c r="J170" s="9">
        <f>IF(F170=0,0,Расчет2!AP170)</f>
        <v>0</v>
      </c>
      <c r="K170" s="10">
        <f>IF($F170=0,0,Расчет2!AQ170)</f>
        <v>0</v>
      </c>
      <c r="L170" s="10">
        <f>IF($F170=0,0,Расчет2!AR170)</f>
        <v>0</v>
      </c>
      <c r="M170" s="10">
        <f>IF($F170=0,0,Расчет2!AS170)</f>
        <v>0</v>
      </c>
      <c r="N170" s="10">
        <f>IF($F170=0,0,IF(Исходн.данные.!$AP170="Посл.посева",0,Расчет2!AT170))</f>
        <v>0</v>
      </c>
      <c r="O170" s="10">
        <f>IF($F170=0,0,IF(Исходн.данные.!$AP170="Посл.посева",0,IF(Расчет2!AU170&lt;10,10,Расчет2!AU170)))</f>
        <v>0</v>
      </c>
      <c r="P170" s="10">
        <f>IF($F170=0,0,IF(Исходн.данные.!$AP170="Посл.посева",0,Расчет2!AV170))</f>
        <v>0</v>
      </c>
      <c r="Q170" s="10">
        <f>IF($F170=0,0,Расчет2!AW170)</f>
        <v>0</v>
      </c>
      <c r="R170" s="10">
        <f>IF($F170=0,0,Расчет2!AX170)</f>
        <v>0</v>
      </c>
      <c r="S170" s="9">
        <f>IF($F170=0,0,Расчет2!AY170)</f>
        <v>0</v>
      </c>
      <c r="T170" s="10">
        <f>IF($F170=0,0,Расчет2!AZ170)</f>
        <v>0</v>
      </c>
      <c r="U170" s="10">
        <f>IF($F170=0,0,Расчет2!BA170)</f>
        <v>0</v>
      </c>
      <c r="V170" s="10">
        <f>IF($F170=0,0,Расчет2!BB170)</f>
        <v>0</v>
      </c>
      <c r="W170" s="10">
        <f>Расчет!DL170</f>
        <v>0</v>
      </c>
      <c r="X170" s="10">
        <f>Расчет!DN170</f>
        <v>0</v>
      </c>
      <c r="Y170" s="9">
        <f>X170*Исходн.данные.!$AJ170/1000</f>
        <v>0</v>
      </c>
      <c r="Z170" s="10" t="str">
        <f>Расчет!DO170</f>
        <v>Хлор.калий</v>
      </c>
      <c r="AA170" s="10">
        <f>Расчет!DQ170</f>
        <v>0</v>
      </c>
      <c r="AB170" s="12">
        <f>AA170*Исходн.данные.!$AJ170/1000</f>
        <v>0</v>
      </c>
      <c r="AC170" s="9">
        <f>IF($F170=0,0,Расчет2!BC170)</f>
        <v>0</v>
      </c>
      <c r="AD170" s="10">
        <f>IF($F170=0,0,Расчет2!BD170)</f>
        <v>0</v>
      </c>
      <c r="AE170" s="9">
        <f>IF($F170=0,0,Расчет2!BE170)</f>
        <v>0</v>
      </c>
      <c r="AF170" s="9">
        <f>IF($F170=0,0,Расчет2!BF170)</f>
        <v>0</v>
      </c>
      <c r="AG170" s="9">
        <f>IF($F170=0,0,Расчет2!BG170)</f>
        <v>0</v>
      </c>
      <c r="AI170" s="11" t="e">
        <f>Расчет!FY170</f>
        <v>#N/A</v>
      </c>
      <c r="AJ170" s="11" t="e">
        <f>Расчет!FZ170</f>
        <v>#N/A</v>
      </c>
      <c r="AK170" s="11" t="e">
        <f>Расчет!GA170</f>
        <v>#N/A</v>
      </c>
      <c r="AL170" s="11" t="e">
        <f>Расчет!GB170</f>
        <v>#N/A</v>
      </c>
      <c r="AM170" s="11" t="e">
        <f>Расчет!GC170</f>
        <v>#N/A</v>
      </c>
      <c r="AN170" s="11" t="e">
        <f>Расчет!GD170</f>
        <v>#N/A</v>
      </c>
      <c r="AO170" s="11" t="e">
        <f>Расчет!GE170</f>
        <v>#N/A</v>
      </c>
      <c r="AP170" s="11" t="e">
        <f>Расчет!GF170</f>
        <v>#N/A</v>
      </c>
      <c r="AQ170" s="11" t="e">
        <f>Расчет!GG170</f>
        <v>#N/A</v>
      </c>
      <c r="AR170" s="11" t="e">
        <f>Расчет!GH170</f>
        <v>#N/A</v>
      </c>
      <c r="AS170" s="11" t="e">
        <f>Расчет!GI170</f>
        <v>#N/A</v>
      </c>
      <c r="AT170" s="11" t="e">
        <f>Расчет!GJ170</f>
        <v>#N/A</v>
      </c>
      <c r="AU170" s="198" t="e">
        <f t="shared" si="21"/>
        <v>#N/A</v>
      </c>
      <c r="AV170" s="198" t="e">
        <f t="shared" si="22"/>
        <v>#N/A</v>
      </c>
      <c r="AW170" s="198" t="e">
        <f t="shared" si="23"/>
        <v>#N/A</v>
      </c>
      <c r="AX170" s="11" t="e">
        <f t="shared" si="24"/>
        <v>#N/A</v>
      </c>
      <c r="AY170" s="11" t="e">
        <f t="shared" si="25"/>
        <v>#N/A</v>
      </c>
      <c r="AZ170" s="11" t="e">
        <f t="shared" si="26"/>
        <v>#N/A</v>
      </c>
    </row>
    <row r="171" spans="1:52" x14ac:dyDescent="0.2">
      <c r="A171" s="6">
        <f>Исходн.данные.!A171</f>
        <v>0</v>
      </c>
      <c r="B171" s="6">
        <f>Исходн.данные.!B171</f>
        <v>0</v>
      </c>
      <c r="C171" s="6">
        <f>Исходн.данные.!C171</f>
        <v>0</v>
      </c>
      <c r="D171" s="6">
        <f>Исходн.данные.!D171</f>
        <v>0</v>
      </c>
      <c r="E171" s="6">
        <f>Исходн.данные.!E171</f>
        <v>0</v>
      </c>
      <c r="F171" s="6">
        <f>Исходн.данные.!AH171</f>
        <v>0</v>
      </c>
      <c r="G171" s="6">
        <f>Исходн.данные.!AJ171</f>
        <v>0</v>
      </c>
      <c r="H171" s="6">
        <f>Исходн.данные.!AK171</f>
        <v>0</v>
      </c>
      <c r="I171" s="9">
        <f>IF($F171=0,0,Расчет2!AO171)</f>
        <v>0</v>
      </c>
      <c r="J171" s="9">
        <f>IF(F171=0,0,Расчет2!AP171)</f>
        <v>0</v>
      </c>
      <c r="K171" s="10">
        <f>IF($F171=0,0,Расчет2!AQ171)</f>
        <v>0</v>
      </c>
      <c r="L171" s="10">
        <f>IF($F171=0,0,Расчет2!AR171)</f>
        <v>0</v>
      </c>
      <c r="M171" s="10">
        <f>IF($F171=0,0,Расчет2!AS171)</f>
        <v>0</v>
      </c>
      <c r="N171" s="10">
        <f>IF($F171=0,0,IF(Исходн.данные.!$AP171="Посл.посева",0,Расчет2!AT171))</f>
        <v>0</v>
      </c>
      <c r="O171" s="10">
        <f>IF($F171=0,0,IF(Исходн.данные.!$AP171="Посл.посева",0,IF(Расчет2!AU171&lt;10,10,Расчет2!AU171)))</f>
        <v>0</v>
      </c>
      <c r="P171" s="10">
        <f>IF($F171=0,0,IF(Исходн.данные.!$AP171="Посл.посева",0,Расчет2!AV171))</f>
        <v>0</v>
      </c>
      <c r="Q171" s="10">
        <f>IF($F171=0,0,Расчет2!AW171)</f>
        <v>0</v>
      </c>
      <c r="R171" s="10">
        <f>IF($F171=0,0,Расчет2!AX171)</f>
        <v>0</v>
      </c>
      <c r="S171" s="9">
        <f>IF($F171=0,0,Расчет2!AY171)</f>
        <v>0</v>
      </c>
      <c r="T171" s="10">
        <f>IF($F171=0,0,Расчет2!AZ171)</f>
        <v>0</v>
      </c>
      <c r="U171" s="10">
        <f>IF($F171=0,0,Расчет2!BA171)</f>
        <v>0</v>
      </c>
      <c r="V171" s="10">
        <f>IF($F171=0,0,Расчет2!BB171)</f>
        <v>0</v>
      </c>
      <c r="W171" s="10">
        <f>Расчет!DL171</f>
        <v>0</v>
      </c>
      <c r="X171" s="10">
        <f>Расчет!DN171</f>
        <v>0</v>
      </c>
      <c r="Y171" s="9">
        <f>X171*Исходн.данные.!$AJ171/1000</f>
        <v>0</v>
      </c>
      <c r="Z171" s="10" t="str">
        <f>Расчет!DO171</f>
        <v>Хлор.калий</v>
      </c>
      <c r="AA171" s="10">
        <f>Расчет!DQ171</f>
        <v>0</v>
      </c>
      <c r="AB171" s="12">
        <f>AA171*Исходн.данные.!$AJ171/1000</f>
        <v>0</v>
      </c>
      <c r="AC171" s="9">
        <f>IF($F171=0,0,Расчет2!BC171)</f>
        <v>0</v>
      </c>
      <c r="AD171" s="10">
        <f>IF($F171=0,0,Расчет2!BD171)</f>
        <v>0</v>
      </c>
      <c r="AE171" s="9">
        <f>IF($F171=0,0,Расчет2!BE171)</f>
        <v>0</v>
      </c>
      <c r="AF171" s="9">
        <f>IF($F171=0,0,Расчет2!BF171)</f>
        <v>0</v>
      </c>
      <c r="AG171" s="9">
        <f>IF($F171=0,0,Расчет2!BG171)</f>
        <v>0</v>
      </c>
      <c r="AI171" s="11" t="e">
        <f>Расчет!FY171</f>
        <v>#N/A</v>
      </c>
      <c r="AJ171" s="11" t="e">
        <f>Расчет!FZ171</f>
        <v>#N/A</v>
      </c>
      <c r="AK171" s="11" t="e">
        <f>Расчет!GA171</f>
        <v>#N/A</v>
      </c>
      <c r="AL171" s="11" t="e">
        <f>Расчет!GB171</f>
        <v>#N/A</v>
      </c>
      <c r="AM171" s="11" t="e">
        <f>Расчет!GC171</f>
        <v>#N/A</v>
      </c>
      <c r="AN171" s="11" t="e">
        <f>Расчет!GD171</f>
        <v>#N/A</v>
      </c>
      <c r="AO171" s="11" t="e">
        <f>Расчет!GE171</f>
        <v>#N/A</v>
      </c>
      <c r="AP171" s="11" t="e">
        <f>Расчет!GF171</f>
        <v>#N/A</v>
      </c>
      <c r="AQ171" s="11" t="e">
        <f>Расчет!GG171</f>
        <v>#N/A</v>
      </c>
      <c r="AR171" s="11" t="e">
        <f>Расчет!GH171</f>
        <v>#N/A</v>
      </c>
      <c r="AS171" s="11" t="e">
        <f>Расчет!GI171</f>
        <v>#N/A</v>
      </c>
      <c r="AT171" s="11" t="e">
        <f>Расчет!GJ171</f>
        <v>#N/A</v>
      </c>
      <c r="AU171" s="198" t="e">
        <f t="shared" si="21"/>
        <v>#N/A</v>
      </c>
      <c r="AV171" s="198" t="e">
        <f t="shared" si="22"/>
        <v>#N/A</v>
      </c>
      <c r="AW171" s="198" t="e">
        <f t="shared" si="23"/>
        <v>#N/A</v>
      </c>
      <c r="AX171" s="11" t="e">
        <f t="shared" si="24"/>
        <v>#N/A</v>
      </c>
      <c r="AY171" s="11" t="e">
        <f t="shared" si="25"/>
        <v>#N/A</v>
      </c>
      <c r="AZ171" s="11" t="e">
        <f t="shared" si="26"/>
        <v>#N/A</v>
      </c>
    </row>
    <row r="172" spans="1:52" x14ac:dyDescent="0.2">
      <c r="A172" s="6">
        <f>Исходн.данные.!A172</f>
        <v>0</v>
      </c>
      <c r="B172" s="6">
        <f>Исходн.данные.!B172</f>
        <v>0</v>
      </c>
      <c r="C172" s="6">
        <f>Исходн.данные.!C172</f>
        <v>0</v>
      </c>
      <c r="D172" s="6">
        <f>Исходн.данные.!D172</f>
        <v>0</v>
      </c>
      <c r="E172" s="6">
        <f>Исходн.данные.!E172</f>
        <v>0</v>
      </c>
      <c r="F172" s="6">
        <f>Исходн.данные.!AH172</f>
        <v>0</v>
      </c>
      <c r="G172" s="6">
        <f>Исходн.данные.!AJ172</f>
        <v>0</v>
      </c>
      <c r="H172" s="6">
        <f>Исходн.данные.!AK172</f>
        <v>0</v>
      </c>
      <c r="I172" s="9">
        <f>IF($F172=0,0,Расчет2!AO172)</f>
        <v>0</v>
      </c>
      <c r="J172" s="9">
        <f>IF(F172=0,0,Расчет2!AP172)</f>
        <v>0</v>
      </c>
      <c r="K172" s="10">
        <f>IF($F172=0,0,Расчет2!AQ172)</f>
        <v>0</v>
      </c>
      <c r="L172" s="10">
        <f>IF($F172=0,0,Расчет2!AR172)</f>
        <v>0</v>
      </c>
      <c r="M172" s="10">
        <f>IF($F172=0,0,Расчет2!AS172)</f>
        <v>0</v>
      </c>
      <c r="N172" s="10">
        <f>IF($F172=0,0,IF(Исходн.данные.!$AP172="Посл.посева",0,Расчет2!AT172))</f>
        <v>0</v>
      </c>
      <c r="O172" s="10">
        <f>IF($F172=0,0,IF(Исходн.данные.!$AP172="Посл.посева",0,IF(Расчет2!AU172&lt;10,10,Расчет2!AU172)))</f>
        <v>0</v>
      </c>
      <c r="P172" s="10">
        <f>IF($F172=0,0,IF(Исходн.данные.!$AP172="Посл.посева",0,Расчет2!AV172))</f>
        <v>0</v>
      </c>
      <c r="Q172" s="10">
        <f>IF($F172=0,0,Расчет2!AW172)</f>
        <v>0</v>
      </c>
      <c r="R172" s="10">
        <f>IF($F172=0,0,Расчет2!AX172)</f>
        <v>0</v>
      </c>
      <c r="S172" s="9">
        <f>IF($F172=0,0,Расчет2!AY172)</f>
        <v>0</v>
      </c>
      <c r="T172" s="10">
        <f>IF($F172=0,0,Расчет2!AZ172)</f>
        <v>0</v>
      </c>
      <c r="U172" s="10">
        <f>IF($F172=0,0,Расчет2!BA172)</f>
        <v>0</v>
      </c>
      <c r="V172" s="10">
        <f>IF($F172=0,0,Расчет2!BB172)</f>
        <v>0</v>
      </c>
      <c r="W172" s="10">
        <f>Расчет!DL172</f>
        <v>0</v>
      </c>
      <c r="X172" s="10">
        <f>Расчет!DN172</f>
        <v>0</v>
      </c>
      <c r="Y172" s="9">
        <f>X172*Исходн.данные.!$AJ172/1000</f>
        <v>0</v>
      </c>
      <c r="Z172" s="10" t="str">
        <f>Расчет!DO172</f>
        <v>Хлор.калий</v>
      </c>
      <c r="AA172" s="10">
        <f>Расчет!DQ172</f>
        <v>0</v>
      </c>
      <c r="AB172" s="12">
        <f>AA172*Исходн.данные.!$AJ172/1000</f>
        <v>0</v>
      </c>
      <c r="AC172" s="9">
        <f>IF($F172=0,0,Расчет2!BC172)</f>
        <v>0</v>
      </c>
      <c r="AD172" s="10">
        <f>IF($F172=0,0,Расчет2!BD172)</f>
        <v>0</v>
      </c>
      <c r="AE172" s="9">
        <f>IF($F172=0,0,Расчет2!BE172)</f>
        <v>0</v>
      </c>
      <c r="AF172" s="9">
        <f>IF($F172=0,0,Расчет2!BF172)</f>
        <v>0</v>
      </c>
      <c r="AG172" s="9">
        <f>IF($F172=0,0,Расчет2!BG172)</f>
        <v>0</v>
      </c>
      <c r="AI172" s="11" t="e">
        <f>Расчет!FY172</f>
        <v>#N/A</v>
      </c>
      <c r="AJ172" s="11" t="e">
        <f>Расчет!FZ172</f>
        <v>#N/A</v>
      </c>
      <c r="AK172" s="11" t="e">
        <f>Расчет!GA172</f>
        <v>#N/A</v>
      </c>
      <c r="AL172" s="11" t="e">
        <f>Расчет!GB172</f>
        <v>#N/A</v>
      </c>
      <c r="AM172" s="11" t="e">
        <f>Расчет!GC172</f>
        <v>#N/A</v>
      </c>
      <c r="AN172" s="11" t="e">
        <f>Расчет!GD172</f>
        <v>#N/A</v>
      </c>
      <c r="AO172" s="11" t="e">
        <f>Расчет!GE172</f>
        <v>#N/A</v>
      </c>
      <c r="AP172" s="11" t="e">
        <f>Расчет!GF172</f>
        <v>#N/A</v>
      </c>
      <c r="AQ172" s="11" t="e">
        <f>Расчет!GG172</f>
        <v>#N/A</v>
      </c>
      <c r="AR172" s="11" t="e">
        <f>Расчет!GH172</f>
        <v>#N/A</v>
      </c>
      <c r="AS172" s="11" t="e">
        <f>Расчет!GI172</f>
        <v>#N/A</v>
      </c>
      <c r="AT172" s="11" t="e">
        <f>Расчет!GJ172</f>
        <v>#N/A</v>
      </c>
      <c r="AU172" s="198" t="e">
        <f t="shared" si="21"/>
        <v>#N/A</v>
      </c>
      <c r="AV172" s="198" t="e">
        <f t="shared" si="22"/>
        <v>#N/A</v>
      </c>
      <c r="AW172" s="198" t="e">
        <f t="shared" si="23"/>
        <v>#N/A</v>
      </c>
      <c r="AX172" s="11" t="e">
        <f t="shared" si="24"/>
        <v>#N/A</v>
      </c>
      <c r="AY172" s="11" t="e">
        <f t="shared" si="25"/>
        <v>#N/A</v>
      </c>
      <c r="AZ172" s="11" t="e">
        <f t="shared" si="26"/>
        <v>#N/A</v>
      </c>
    </row>
    <row r="173" spans="1:52" x14ac:dyDescent="0.2">
      <c r="A173" s="6">
        <f>Исходн.данные.!A173</f>
        <v>0</v>
      </c>
      <c r="B173" s="6">
        <f>Исходн.данные.!B173</f>
        <v>0</v>
      </c>
      <c r="C173" s="6">
        <f>Исходн.данные.!C173</f>
        <v>0</v>
      </c>
      <c r="D173" s="6">
        <f>Исходн.данные.!D173</f>
        <v>0</v>
      </c>
      <c r="E173" s="6">
        <f>Исходн.данные.!E173</f>
        <v>0</v>
      </c>
      <c r="F173" s="6">
        <f>Исходн.данные.!AH173</f>
        <v>0</v>
      </c>
      <c r="G173" s="6">
        <f>Исходн.данные.!AJ173</f>
        <v>0</v>
      </c>
      <c r="H173" s="6">
        <f>Исходн.данные.!AK173</f>
        <v>0</v>
      </c>
      <c r="I173" s="9">
        <f>IF($F173=0,0,Расчет2!AO173)</f>
        <v>0</v>
      </c>
      <c r="J173" s="9">
        <f>IF(F173=0,0,Расчет2!AP173)</f>
        <v>0</v>
      </c>
      <c r="K173" s="10">
        <f>IF($F173=0,0,Расчет2!AQ173)</f>
        <v>0</v>
      </c>
      <c r="L173" s="10">
        <f>IF($F173=0,0,Расчет2!AR173)</f>
        <v>0</v>
      </c>
      <c r="M173" s="10">
        <f>IF($F173=0,0,Расчет2!AS173)</f>
        <v>0</v>
      </c>
      <c r="N173" s="10">
        <f>IF($F173=0,0,IF(Исходн.данные.!$AP173="Посл.посева",0,Расчет2!AT173))</f>
        <v>0</v>
      </c>
      <c r="O173" s="10">
        <f>IF($F173=0,0,IF(Исходн.данные.!$AP173="Посл.посева",0,IF(Расчет2!AU173&lt;10,10,Расчет2!AU173)))</f>
        <v>0</v>
      </c>
      <c r="P173" s="10">
        <f>IF($F173=0,0,IF(Исходн.данные.!$AP173="Посл.посева",0,Расчет2!AV173))</f>
        <v>0</v>
      </c>
      <c r="Q173" s="10">
        <f>IF($F173=0,0,Расчет2!AW173)</f>
        <v>0</v>
      </c>
      <c r="R173" s="10">
        <f>IF($F173=0,0,Расчет2!AX173)</f>
        <v>0</v>
      </c>
      <c r="S173" s="9">
        <f>IF($F173=0,0,Расчет2!AY173)</f>
        <v>0</v>
      </c>
      <c r="T173" s="10">
        <f>IF($F173=0,0,Расчет2!AZ173)</f>
        <v>0</v>
      </c>
      <c r="U173" s="10">
        <f>IF($F173=0,0,Расчет2!BA173)</f>
        <v>0</v>
      </c>
      <c r="V173" s="10">
        <f>IF($F173=0,0,Расчет2!BB173)</f>
        <v>0</v>
      </c>
      <c r="W173" s="10">
        <f>Расчет!DL173</f>
        <v>0</v>
      </c>
      <c r="X173" s="10">
        <f>Расчет!DN173</f>
        <v>0</v>
      </c>
      <c r="Y173" s="9">
        <f>X173*Исходн.данные.!$AJ173/1000</f>
        <v>0</v>
      </c>
      <c r="Z173" s="10" t="str">
        <f>Расчет!DO173</f>
        <v>Хлор.калий</v>
      </c>
      <c r="AA173" s="10">
        <f>Расчет!DQ173</f>
        <v>0</v>
      </c>
      <c r="AB173" s="12">
        <f>AA173*Исходн.данные.!$AJ173/1000</f>
        <v>0</v>
      </c>
      <c r="AC173" s="9">
        <f>IF($F173=0,0,Расчет2!BC173)</f>
        <v>0</v>
      </c>
      <c r="AD173" s="10">
        <f>IF($F173=0,0,Расчет2!BD173)</f>
        <v>0</v>
      </c>
      <c r="AE173" s="9">
        <f>IF($F173=0,0,Расчет2!BE173)</f>
        <v>0</v>
      </c>
      <c r="AF173" s="9">
        <f>IF($F173=0,0,Расчет2!BF173)</f>
        <v>0</v>
      </c>
      <c r="AG173" s="9">
        <f>IF($F173=0,0,Расчет2!BG173)</f>
        <v>0</v>
      </c>
      <c r="AI173" s="11" t="e">
        <f>Расчет!FY173</f>
        <v>#N/A</v>
      </c>
      <c r="AJ173" s="11" t="e">
        <f>Расчет!FZ173</f>
        <v>#N/A</v>
      </c>
      <c r="AK173" s="11" t="e">
        <f>Расчет!GA173</f>
        <v>#N/A</v>
      </c>
      <c r="AL173" s="11" t="e">
        <f>Расчет!GB173</f>
        <v>#N/A</v>
      </c>
      <c r="AM173" s="11" t="e">
        <f>Расчет!GC173</f>
        <v>#N/A</v>
      </c>
      <c r="AN173" s="11" t="e">
        <f>Расчет!GD173</f>
        <v>#N/A</v>
      </c>
      <c r="AO173" s="11" t="e">
        <f>Расчет!GE173</f>
        <v>#N/A</v>
      </c>
      <c r="AP173" s="11" t="e">
        <f>Расчет!GF173</f>
        <v>#N/A</v>
      </c>
      <c r="AQ173" s="11" t="e">
        <f>Расчет!GG173</f>
        <v>#N/A</v>
      </c>
      <c r="AR173" s="11" t="e">
        <f>Расчет!GH173</f>
        <v>#N/A</v>
      </c>
      <c r="AS173" s="11" t="e">
        <f>Расчет!GI173</f>
        <v>#N/A</v>
      </c>
      <c r="AT173" s="11" t="e">
        <f>Расчет!GJ173</f>
        <v>#N/A</v>
      </c>
      <c r="AU173" s="198" t="e">
        <f t="shared" si="21"/>
        <v>#N/A</v>
      </c>
      <c r="AV173" s="198" t="e">
        <f t="shared" si="22"/>
        <v>#N/A</v>
      </c>
      <c r="AW173" s="198" t="e">
        <f t="shared" si="23"/>
        <v>#N/A</v>
      </c>
      <c r="AX173" s="11" t="e">
        <f t="shared" si="24"/>
        <v>#N/A</v>
      </c>
      <c r="AY173" s="11" t="e">
        <f t="shared" si="25"/>
        <v>#N/A</v>
      </c>
      <c r="AZ173" s="11" t="e">
        <f t="shared" si="26"/>
        <v>#N/A</v>
      </c>
    </row>
    <row r="174" spans="1:52" x14ac:dyDescent="0.2">
      <c r="A174" s="6">
        <f>Исходн.данные.!A174</f>
        <v>0</v>
      </c>
      <c r="B174" s="6">
        <f>Исходн.данные.!B174</f>
        <v>0</v>
      </c>
      <c r="C174" s="6">
        <f>Исходн.данные.!C174</f>
        <v>0</v>
      </c>
      <c r="D174" s="6">
        <f>Исходн.данные.!D174</f>
        <v>0</v>
      </c>
      <c r="E174" s="6">
        <f>Исходн.данные.!E174</f>
        <v>0</v>
      </c>
      <c r="F174" s="6">
        <f>Исходн.данные.!AH174</f>
        <v>0</v>
      </c>
      <c r="G174" s="6">
        <f>Исходн.данные.!AJ174</f>
        <v>0</v>
      </c>
      <c r="H174" s="6">
        <f>Исходн.данные.!AK174</f>
        <v>0</v>
      </c>
      <c r="I174" s="9">
        <f>IF($F174=0,0,Расчет2!AO174)</f>
        <v>0</v>
      </c>
      <c r="J174" s="9">
        <f>IF(F174=0,0,Расчет2!AP174)</f>
        <v>0</v>
      </c>
      <c r="K174" s="10">
        <f>IF($F174=0,0,Расчет2!AQ174)</f>
        <v>0</v>
      </c>
      <c r="L174" s="10">
        <f>IF($F174=0,0,Расчет2!AR174)</f>
        <v>0</v>
      </c>
      <c r="M174" s="10">
        <f>IF($F174=0,0,Расчет2!AS174)</f>
        <v>0</v>
      </c>
      <c r="N174" s="10">
        <f>IF($F174=0,0,IF(Исходн.данные.!$AP174="Посл.посева",0,Расчет2!AT174))</f>
        <v>0</v>
      </c>
      <c r="O174" s="10">
        <f>IF($F174=0,0,IF(Исходн.данные.!$AP174="Посл.посева",0,IF(Расчет2!AU174&lt;10,10,Расчет2!AU174)))</f>
        <v>0</v>
      </c>
      <c r="P174" s="10">
        <f>IF($F174=0,0,IF(Исходн.данные.!$AP174="Посл.посева",0,Расчет2!AV174))</f>
        <v>0</v>
      </c>
      <c r="Q174" s="10">
        <f>IF($F174=0,0,Расчет2!AW174)</f>
        <v>0</v>
      </c>
      <c r="R174" s="10">
        <f>IF($F174=0,0,Расчет2!AX174)</f>
        <v>0</v>
      </c>
      <c r="S174" s="9">
        <f>IF($F174=0,0,Расчет2!AY174)</f>
        <v>0</v>
      </c>
      <c r="T174" s="10">
        <f>IF($F174=0,0,Расчет2!AZ174)</f>
        <v>0</v>
      </c>
      <c r="U174" s="10">
        <f>IF($F174=0,0,Расчет2!BA174)</f>
        <v>0</v>
      </c>
      <c r="V174" s="10">
        <f>IF($F174=0,0,Расчет2!BB174)</f>
        <v>0</v>
      </c>
      <c r="W174" s="10">
        <f>Расчет!DL174</f>
        <v>0</v>
      </c>
      <c r="X174" s="10">
        <f>Расчет!DN174</f>
        <v>0</v>
      </c>
      <c r="Y174" s="9">
        <f>X174*Исходн.данные.!$AJ174/1000</f>
        <v>0</v>
      </c>
      <c r="Z174" s="10" t="str">
        <f>Расчет!DO174</f>
        <v>Хлор.калий</v>
      </c>
      <c r="AA174" s="10">
        <f>Расчет!DQ174</f>
        <v>0</v>
      </c>
      <c r="AB174" s="12">
        <f>AA174*Исходн.данные.!$AJ174/1000</f>
        <v>0</v>
      </c>
      <c r="AC174" s="9">
        <f>IF($F174=0,0,Расчет2!BC174)</f>
        <v>0</v>
      </c>
      <c r="AD174" s="10">
        <f>IF($F174=0,0,Расчет2!BD174)</f>
        <v>0</v>
      </c>
      <c r="AE174" s="9">
        <f>IF($F174=0,0,Расчет2!BE174)</f>
        <v>0</v>
      </c>
      <c r="AF174" s="9">
        <f>IF($F174=0,0,Расчет2!BF174)</f>
        <v>0</v>
      </c>
      <c r="AG174" s="9">
        <f>IF($F174=0,0,Расчет2!BG174)</f>
        <v>0</v>
      </c>
      <c r="AI174" s="11" t="e">
        <f>Расчет!FY174</f>
        <v>#N/A</v>
      </c>
      <c r="AJ174" s="11" t="e">
        <f>Расчет!FZ174</f>
        <v>#N/A</v>
      </c>
      <c r="AK174" s="11" t="e">
        <f>Расчет!GA174</f>
        <v>#N/A</v>
      </c>
      <c r="AL174" s="11" t="e">
        <f>Расчет!GB174</f>
        <v>#N/A</v>
      </c>
      <c r="AM174" s="11" t="e">
        <f>Расчет!GC174</f>
        <v>#N/A</v>
      </c>
      <c r="AN174" s="11" t="e">
        <f>Расчет!GD174</f>
        <v>#N/A</v>
      </c>
      <c r="AO174" s="11" t="e">
        <f>Расчет!GE174</f>
        <v>#N/A</v>
      </c>
      <c r="AP174" s="11" t="e">
        <f>Расчет!GF174</f>
        <v>#N/A</v>
      </c>
      <c r="AQ174" s="11" t="e">
        <f>Расчет!GG174</f>
        <v>#N/A</v>
      </c>
      <c r="AR174" s="11" t="e">
        <f>Расчет!GH174</f>
        <v>#N/A</v>
      </c>
      <c r="AS174" s="11" t="e">
        <f>Расчет!GI174</f>
        <v>#N/A</v>
      </c>
      <c r="AT174" s="11" t="e">
        <f>Расчет!GJ174</f>
        <v>#N/A</v>
      </c>
      <c r="AU174" s="198" t="e">
        <f t="shared" si="21"/>
        <v>#N/A</v>
      </c>
      <c r="AV174" s="198" t="e">
        <f t="shared" si="22"/>
        <v>#N/A</v>
      </c>
      <c r="AW174" s="198" t="e">
        <f t="shared" si="23"/>
        <v>#N/A</v>
      </c>
      <c r="AX174" s="11" t="e">
        <f t="shared" si="24"/>
        <v>#N/A</v>
      </c>
      <c r="AY174" s="11" t="e">
        <f t="shared" si="25"/>
        <v>#N/A</v>
      </c>
      <c r="AZ174" s="11" t="e">
        <f t="shared" si="26"/>
        <v>#N/A</v>
      </c>
    </row>
    <row r="175" spans="1:52" x14ac:dyDescent="0.2">
      <c r="A175" s="6">
        <f>Исходн.данные.!A175</f>
        <v>0</v>
      </c>
      <c r="B175" s="6">
        <f>Исходн.данные.!B175</f>
        <v>0</v>
      </c>
      <c r="C175" s="6">
        <f>Исходн.данные.!C175</f>
        <v>0</v>
      </c>
      <c r="D175" s="6">
        <f>Исходн.данные.!D175</f>
        <v>0</v>
      </c>
      <c r="E175" s="6">
        <f>Исходн.данные.!E175</f>
        <v>0</v>
      </c>
      <c r="F175" s="6">
        <f>Исходн.данные.!AH175</f>
        <v>0</v>
      </c>
      <c r="G175" s="6">
        <f>Исходн.данные.!AJ175</f>
        <v>0</v>
      </c>
      <c r="H175" s="6">
        <f>Исходн.данные.!AK175</f>
        <v>0</v>
      </c>
      <c r="I175" s="9">
        <f>IF($F175=0,0,Расчет2!AO175)</f>
        <v>0</v>
      </c>
      <c r="J175" s="9">
        <f>IF(F175=0,0,Расчет2!AP175)</f>
        <v>0</v>
      </c>
      <c r="K175" s="10">
        <f>IF($F175=0,0,Расчет2!AQ175)</f>
        <v>0</v>
      </c>
      <c r="L175" s="10">
        <f>IF($F175=0,0,Расчет2!AR175)</f>
        <v>0</v>
      </c>
      <c r="M175" s="10">
        <f>IF($F175=0,0,Расчет2!AS175)</f>
        <v>0</v>
      </c>
      <c r="N175" s="10">
        <f>IF($F175=0,0,IF(Исходн.данные.!$AP175="Посл.посева",0,Расчет2!AT175))</f>
        <v>0</v>
      </c>
      <c r="O175" s="10">
        <f>IF($F175=0,0,IF(Исходн.данные.!$AP175="Посл.посева",0,IF(Расчет2!AU175&lt;10,10,Расчет2!AU175)))</f>
        <v>0</v>
      </c>
      <c r="P175" s="10">
        <f>IF($F175=0,0,IF(Исходн.данные.!$AP175="Посл.посева",0,Расчет2!AV175))</f>
        <v>0</v>
      </c>
      <c r="Q175" s="10">
        <f>IF($F175=0,0,Расчет2!AW175)</f>
        <v>0</v>
      </c>
      <c r="R175" s="10">
        <f>IF($F175=0,0,Расчет2!AX175)</f>
        <v>0</v>
      </c>
      <c r="S175" s="9">
        <f>IF($F175=0,0,Расчет2!AY175)</f>
        <v>0</v>
      </c>
      <c r="T175" s="10">
        <f>IF($F175=0,0,Расчет2!AZ175)</f>
        <v>0</v>
      </c>
      <c r="U175" s="10">
        <f>IF($F175=0,0,Расчет2!BA175)</f>
        <v>0</v>
      </c>
      <c r="V175" s="10">
        <f>IF($F175=0,0,Расчет2!BB175)</f>
        <v>0</v>
      </c>
      <c r="W175" s="10">
        <f>Расчет!DL175</f>
        <v>0</v>
      </c>
      <c r="X175" s="10">
        <f>Расчет!DN175</f>
        <v>0</v>
      </c>
      <c r="Y175" s="9">
        <f>X175*Исходн.данные.!$AJ175/1000</f>
        <v>0</v>
      </c>
      <c r="Z175" s="10" t="str">
        <f>Расчет!DO175</f>
        <v>Хлор.калий</v>
      </c>
      <c r="AA175" s="10">
        <f>Расчет!DQ175</f>
        <v>0</v>
      </c>
      <c r="AB175" s="12">
        <f>AA175*Исходн.данные.!$AJ175/1000</f>
        <v>0</v>
      </c>
      <c r="AC175" s="9">
        <f>IF($F175=0,0,Расчет2!BC175)</f>
        <v>0</v>
      </c>
      <c r="AD175" s="10">
        <f>IF($F175=0,0,Расчет2!BD175)</f>
        <v>0</v>
      </c>
      <c r="AE175" s="9">
        <f>IF($F175=0,0,Расчет2!BE175)</f>
        <v>0</v>
      </c>
      <c r="AF175" s="9">
        <f>IF($F175=0,0,Расчет2!BF175)</f>
        <v>0</v>
      </c>
      <c r="AG175" s="9">
        <f>IF($F175=0,0,Расчет2!BG175)</f>
        <v>0</v>
      </c>
      <c r="AI175" s="11" t="e">
        <f>Расчет!FY175</f>
        <v>#N/A</v>
      </c>
      <c r="AJ175" s="11" t="e">
        <f>Расчет!FZ175</f>
        <v>#N/A</v>
      </c>
      <c r="AK175" s="11" t="e">
        <f>Расчет!GA175</f>
        <v>#N/A</v>
      </c>
      <c r="AL175" s="11" t="e">
        <f>Расчет!GB175</f>
        <v>#N/A</v>
      </c>
      <c r="AM175" s="11" t="e">
        <f>Расчет!GC175</f>
        <v>#N/A</v>
      </c>
      <c r="AN175" s="11" t="e">
        <f>Расчет!GD175</f>
        <v>#N/A</v>
      </c>
      <c r="AO175" s="11" t="e">
        <f>Расчет!GE175</f>
        <v>#N/A</v>
      </c>
      <c r="AP175" s="11" t="e">
        <f>Расчет!GF175</f>
        <v>#N/A</v>
      </c>
      <c r="AQ175" s="11" t="e">
        <f>Расчет!GG175</f>
        <v>#N/A</v>
      </c>
      <c r="AR175" s="11" t="e">
        <f>Расчет!GH175</f>
        <v>#N/A</v>
      </c>
      <c r="AS175" s="11" t="e">
        <f>Расчет!GI175</f>
        <v>#N/A</v>
      </c>
      <c r="AT175" s="11" t="e">
        <f>Расчет!GJ175</f>
        <v>#N/A</v>
      </c>
      <c r="AU175" s="198" t="e">
        <f t="shared" si="21"/>
        <v>#N/A</v>
      </c>
      <c r="AV175" s="198" t="e">
        <f t="shared" si="22"/>
        <v>#N/A</v>
      </c>
      <c r="AW175" s="198" t="e">
        <f t="shared" si="23"/>
        <v>#N/A</v>
      </c>
      <c r="AX175" s="11" t="e">
        <f t="shared" si="24"/>
        <v>#N/A</v>
      </c>
      <c r="AY175" s="11" t="e">
        <f t="shared" si="25"/>
        <v>#N/A</v>
      </c>
      <c r="AZ175" s="11" t="e">
        <f t="shared" si="26"/>
        <v>#N/A</v>
      </c>
    </row>
    <row r="176" spans="1:52" x14ac:dyDescent="0.2">
      <c r="A176" s="6">
        <f>Исходн.данные.!A176</f>
        <v>0</v>
      </c>
      <c r="B176" s="6">
        <f>Исходн.данные.!B176</f>
        <v>0</v>
      </c>
      <c r="C176" s="6">
        <f>Исходн.данные.!C176</f>
        <v>0</v>
      </c>
      <c r="D176" s="6">
        <f>Исходн.данные.!D176</f>
        <v>0</v>
      </c>
      <c r="E176" s="6">
        <f>Исходн.данные.!E176</f>
        <v>0</v>
      </c>
      <c r="F176" s="6">
        <f>Исходн.данные.!AH176</f>
        <v>0</v>
      </c>
      <c r="G176" s="6">
        <f>Исходн.данные.!AJ176</f>
        <v>0</v>
      </c>
      <c r="H176" s="6">
        <f>Исходн.данные.!AK176</f>
        <v>0</v>
      </c>
      <c r="I176" s="9">
        <f>IF($F176=0,0,Расчет2!AO176)</f>
        <v>0</v>
      </c>
      <c r="J176" s="9">
        <f>IF(F176=0,0,Расчет2!AP176)</f>
        <v>0</v>
      </c>
      <c r="K176" s="10">
        <f>IF($F176=0,0,Расчет2!AQ176)</f>
        <v>0</v>
      </c>
      <c r="L176" s="10">
        <f>IF($F176=0,0,Расчет2!AR176)</f>
        <v>0</v>
      </c>
      <c r="M176" s="10">
        <f>IF($F176=0,0,Расчет2!AS176)</f>
        <v>0</v>
      </c>
      <c r="N176" s="10">
        <f>IF($F176=0,0,IF(Исходн.данные.!$AP176="Посл.посева",0,Расчет2!AT176))</f>
        <v>0</v>
      </c>
      <c r="O176" s="10">
        <f>IF($F176=0,0,IF(Исходн.данные.!$AP176="Посл.посева",0,IF(Расчет2!AU176&lt;10,10,Расчет2!AU176)))</f>
        <v>0</v>
      </c>
      <c r="P176" s="10">
        <f>IF($F176=0,0,IF(Исходн.данные.!$AP176="Посл.посева",0,Расчет2!AV176))</f>
        <v>0</v>
      </c>
      <c r="Q176" s="10">
        <f>IF($F176=0,0,Расчет2!AW176)</f>
        <v>0</v>
      </c>
      <c r="R176" s="10">
        <f>IF($F176=0,0,Расчет2!AX176)</f>
        <v>0</v>
      </c>
      <c r="S176" s="9">
        <f>IF($F176=0,0,Расчет2!AY176)</f>
        <v>0</v>
      </c>
      <c r="T176" s="10">
        <f>IF($F176=0,0,Расчет2!AZ176)</f>
        <v>0</v>
      </c>
      <c r="U176" s="10">
        <f>IF($F176=0,0,Расчет2!BA176)</f>
        <v>0</v>
      </c>
      <c r="V176" s="10">
        <f>IF($F176=0,0,Расчет2!BB176)</f>
        <v>0</v>
      </c>
      <c r="W176" s="10">
        <f>Расчет!DL176</f>
        <v>0</v>
      </c>
      <c r="X176" s="10">
        <f>Расчет!DN176</f>
        <v>0</v>
      </c>
      <c r="Y176" s="9">
        <f>X176*Исходн.данные.!$AJ176/1000</f>
        <v>0</v>
      </c>
      <c r="Z176" s="10" t="str">
        <f>Расчет!DO176</f>
        <v>Хлор.калий</v>
      </c>
      <c r="AA176" s="10">
        <f>Расчет!DQ176</f>
        <v>0</v>
      </c>
      <c r="AB176" s="12">
        <f>AA176*Исходн.данные.!$AJ176/1000</f>
        <v>0</v>
      </c>
      <c r="AC176" s="9">
        <f>IF($F176=0,0,Расчет2!BC176)</f>
        <v>0</v>
      </c>
      <c r="AD176" s="10">
        <f>IF($F176=0,0,Расчет2!BD176)</f>
        <v>0</v>
      </c>
      <c r="AE176" s="9">
        <f>IF($F176=0,0,Расчет2!BE176)</f>
        <v>0</v>
      </c>
      <c r="AF176" s="9">
        <f>IF($F176=0,0,Расчет2!BF176)</f>
        <v>0</v>
      </c>
      <c r="AG176" s="9">
        <f>IF($F176=0,0,Расчет2!BG176)</f>
        <v>0</v>
      </c>
      <c r="AI176" s="11" t="e">
        <f>Расчет!FY176</f>
        <v>#N/A</v>
      </c>
      <c r="AJ176" s="11" t="e">
        <f>Расчет!FZ176</f>
        <v>#N/A</v>
      </c>
      <c r="AK176" s="11" t="e">
        <f>Расчет!GA176</f>
        <v>#N/A</v>
      </c>
      <c r="AL176" s="11" t="e">
        <f>Расчет!GB176</f>
        <v>#N/A</v>
      </c>
      <c r="AM176" s="11" t="e">
        <f>Расчет!GC176</f>
        <v>#N/A</v>
      </c>
      <c r="AN176" s="11" t="e">
        <f>Расчет!GD176</f>
        <v>#N/A</v>
      </c>
      <c r="AO176" s="11" t="e">
        <f>Расчет!GE176</f>
        <v>#N/A</v>
      </c>
      <c r="AP176" s="11" t="e">
        <f>Расчет!GF176</f>
        <v>#N/A</v>
      </c>
      <c r="AQ176" s="11" t="e">
        <f>Расчет!GG176</f>
        <v>#N/A</v>
      </c>
      <c r="AR176" s="11" t="e">
        <f>Расчет!GH176</f>
        <v>#N/A</v>
      </c>
      <c r="AS176" s="11" t="e">
        <f>Расчет!GI176</f>
        <v>#N/A</v>
      </c>
      <c r="AT176" s="11" t="e">
        <f>Расчет!GJ176</f>
        <v>#N/A</v>
      </c>
      <c r="AU176" s="198" t="e">
        <f t="shared" si="21"/>
        <v>#N/A</v>
      </c>
      <c r="AV176" s="198" t="e">
        <f t="shared" si="22"/>
        <v>#N/A</v>
      </c>
      <c r="AW176" s="198" t="e">
        <f t="shared" si="23"/>
        <v>#N/A</v>
      </c>
      <c r="AX176" s="11" t="e">
        <f t="shared" si="24"/>
        <v>#N/A</v>
      </c>
      <c r="AY176" s="11" t="e">
        <f t="shared" si="25"/>
        <v>#N/A</v>
      </c>
      <c r="AZ176" s="11" t="e">
        <f t="shared" si="26"/>
        <v>#N/A</v>
      </c>
    </row>
    <row r="177" spans="1:52" x14ac:dyDescent="0.2">
      <c r="A177" s="6">
        <f>Исходн.данные.!A177</f>
        <v>0</v>
      </c>
      <c r="B177" s="6">
        <f>Исходн.данные.!B177</f>
        <v>0</v>
      </c>
      <c r="C177" s="6">
        <f>Исходн.данные.!C177</f>
        <v>0</v>
      </c>
      <c r="D177" s="6">
        <f>Исходн.данные.!D177</f>
        <v>0</v>
      </c>
      <c r="E177" s="6">
        <f>Исходн.данные.!E177</f>
        <v>0</v>
      </c>
      <c r="F177" s="6">
        <f>Исходн.данные.!AH177</f>
        <v>0</v>
      </c>
      <c r="G177" s="6">
        <f>Исходн.данные.!AJ177</f>
        <v>0</v>
      </c>
      <c r="H177" s="6">
        <f>Исходн.данные.!AK177</f>
        <v>0</v>
      </c>
      <c r="I177" s="9">
        <f>IF($F177=0,0,Расчет2!AO177)</f>
        <v>0</v>
      </c>
      <c r="J177" s="9">
        <f>IF(F177=0,0,Расчет2!AP177)</f>
        <v>0</v>
      </c>
      <c r="K177" s="10">
        <f>IF($F177=0,0,Расчет2!AQ177)</f>
        <v>0</v>
      </c>
      <c r="L177" s="10">
        <f>IF($F177=0,0,Расчет2!AR177)</f>
        <v>0</v>
      </c>
      <c r="M177" s="10">
        <f>IF($F177=0,0,Расчет2!AS177)</f>
        <v>0</v>
      </c>
      <c r="N177" s="10">
        <f>IF($F177=0,0,IF(Исходн.данные.!$AP177="Посл.посева",0,Расчет2!AT177))</f>
        <v>0</v>
      </c>
      <c r="O177" s="10">
        <f>IF($F177=0,0,IF(Исходн.данные.!$AP177="Посл.посева",0,IF(Расчет2!AU177&lt;10,10,Расчет2!AU177)))</f>
        <v>0</v>
      </c>
      <c r="P177" s="10">
        <f>IF($F177=0,0,IF(Исходн.данные.!$AP177="Посл.посева",0,Расчет2!AV177))</f>
        <v>0</v>
      </c>
      <c r="Q177" s="10">
        <f>IF($F177=0,0,Расчет2!AW177)</f>
        <v>0</v>
      </c>
      <c r="R177" s="10">
        <f>IF($F177=0,0,Расчет2!AX177)</f>
        <v>0</v>
      </c>
      <c r="S177" s="9">
        <f>IF($F177=0,0,Расчет2!AY177)</f>
        <v>0</v>
      </c>
      <c r="T177" s="10">
        <f>IF($F177=0,0,Расчет2!AZ177)</f>
        <v>0</v>
      </c>
      <c r="U177" s="10">
        <f>IF($F177=0,0,Расчет2!BA177)</f>
        <v>0</v>
      </c>
      <c r="V177" s="10">
        <f>IF($F177=0,0,Расчет2!BB177)</f>
        <v>0</v>
      </c>
      <c r="W177" s="10">
        <f>Расчет!DL177</f>
        <v>0</v>
      </c>
      <c r="X177" s="10">
        <f>Расчет!DN177</f>
        <v>0</v>
      </c>
      <c r="Y177" s="9">
        <f>X177*Исходн.данные.!$AJ177/1000</f>
        <v>0</v>
      </c>
      <c r="Z177" s="10" t="str">
        <f>Расчет!DO177</f>
        <v>Хлор.калий</v>
      </c>
      <c r="AA177" s="10">
        <f>Расчет!DQ177</f>
        <v>0</v>
      </c>
      <c r="AB177" s="12">
        <f>AA177*Исходн.данные.!$AJ177/1000</f>
        <v>0</v>
      </c>
      <c r="AC177" s="9">
        <f>IF($F177=0,0,Расчет2!BC177)</f>
        <v>0</v>
      </c>
      <c r="AD177" s="10">
        <f>IF($F177=0,0,Расчет2!BD177)</f>
        <v>0</v>
      </c>
      <c r="AE177" s="9">
        <f>IF($F177=0,0,Расчет2!BE177)</f>
        <v>0</v>
      </c>
      <c r="AF177" s="9">
        <f>IF($F177=0,0,Расчет2!BF177)</f>
        <v>0</v>
      </c>
      <c r="AG177" s="9">
        <f>IF($F177=0,0,Расчет2!BG177)</f>
        <v>0</v>
      </c>
      <c r="AI177" s="11" t="e">
        <f>Расчет!FY177</f>
        <v>#N/A</v>
      </c>
      <c r="AJ177" s="11" t="e">
        <f>Расчет!FZ177</f>
        <v>#N/A</v>
      </c>
      <c r="AK177" s="11" t="e">
        <f>Расчет!GA177</f>
        <v>#N/A</v>
      </c>
      <c r="AL177" s="11" t="e">
        <f>Расчет!GB177</f>
        <v>#N/A</v>
      </c>
      <c r="AM177" s="11" t="e">
        <f>Расчет!GC177</f>
        <v>#N/A</v>
      </c>
      <c r="AN177" s="11" t="e">
        <f>Расчет!GD177</f>
        <v>#N/A</v>
      </c>
      <c r="AO177" s="11" t="e">
        <f>Расчет!GE177</f>
        <v>#N/A</v>
      </c>
      <c r="AP177" s="11" t="e">
        <f>Расчет!GF177</f>
        <v>#N/A</v>
      </c>
      <c r="AQ177" s="11" t="e">
        <f>Расчет!GG177</f>
        <v>#N/A</v>
      </c>
      <c r="AR177" s="11" t="e">
        <f>Расчет!GH177</f>
        <v>#N/A</v>
      </c>
      <c r="AS177" s="11" t="e">
        <f>Расчет!GI177</f>
        <v>#N/A</v>
      </c>
      <c r="AT177" s="11" t="e">
        <f>Расчет!GJ177</f>
        <v>#N/A</v>
      </c>
      <c r="AU177" s="198" t="e">
        <f t="shared" si="21"/>
        <v>#N/A</v>
      </c>
      <c r="AV177" s="198" t="e">
        <f t="shared" si="22"/>
        <v>#N/A</v>
      </c>
      <c r="AW177" s="198" t="e">
        <f t="shared" si="23"/>
        <v>#N/A</v>
      </c>
      <c r="AX177" s="11" t="e">
        <f t="shared" si="24"/>
        <v>#N/A</v>
      </c>
      <c r="AY177" s="11" t="e">
        <f t="shared" si="25"/>
        <v>#N/A</v>
      </c>
      <c r="AZ177" s="11" t="e">
        <f t="shared" si="26"/>
        <v>#N/A</v>
      </c>
    </row>
    <row r="178" spans="1:52" x14ac:dyDescent="0.2">
      <c r="A178" s="6">
        <f>Исходн.данные.!A178</f>
        <v>0</v>
      </c>
      <c r="B178" s="6">
        <f>Исходн.данные.!B178</f>
        <v>0</v>
      </c>
      <c r="C178" s="6">
        <f>Исходн.данные.!C178</f>
        <v>0</v>
      </c>
      <c r="D178" s="6">
        <f>Исходн.данные.!D178</f>
        <v>0</v>
      </c>
      <c r="E178" s="6">
        <f>Исходн.данные.!E178</f>
        <v>0</v>
      </c>
      <c r="F178" s="6">
        <f>Исходн.данные.!AH178</f>
        <v>0</v>
      </c>
      <c r="G178" s="6">
        <f>Исходн.данные.!AJ178</f>
        <v>0</v>
      </c>
      <c r="H178" s="6">
        <f>Исходн.данные.!AK178</f>
        <v>0</v>
      </c>
      <c r="I178" s="9">
        <f>IF($F178=0,0,Расчет2!AO178)</f>
        <v>0</v>
      </c>
      <c r="J178" s="9">
        <f>IF(F178=0,0,Расчет2!AP178)</f>
        <v>0</v>
      </c>
      <c r="K178" s="10">
        <f>IF($F178=0,0,Расчет2!AQ178)</f>
        <v>0</v>
      </c>
      <c r="L178" s="10">
        <f>IF($F178=0,0,Расчет2!AR178)</f>
        <v>0</v>
      </c>
      <c r="M178" s="10">
        <f>IF($F178=0,0,Расчет2!AS178)</f>
        <v>0</v>
      </c>
      <c r="N178" s="10">
        <f>IF($F178=0,0,IF(Исходн.данные.!$AP178="Посл.посева",0,Расчет2!AT178))</f>
        <v>0</v>
      </c>
      <c r="O178" s="10">
        <f>IF($F178=0,0,IF(Исходн.данные.!$AP178="Посл.посева",0,IF(Расчет2!AU178&lt;10,10,Расчет2!AU178)))</f>
        <v>0</v>
      </c>
      <c r="P178" s="10">
        <f>IF($F178=0,0,IF(Исходн.данные.!$AP178="Посл.посева",0,Расчет2!AV178))</f>
        <v>0</v>
      </c>
      <c r="Q178" s="10">
        <f>IF($F178=0,0,Расчет2!AW178)</f>
        <v>0</v>
      </c>
      <c r="R178" s="10">
        <f>IF($F178=0,0,Расчет2!AX178)</f>
        <v>0</v>
      </c>
      <c r="S178" s="9">
        <f>IF($F178=0,0,Расчет2!AY178)</f>
        <v>0</v>
      </c>
      <c r="T178" s="10">
        <f>IF($F178=0,0,Расчет2!AZ178)</f>
        <v>0</v>
      </c>
      <c r="U178" s="10">
        <f>IF($F178=0,0,Расчет2!BA178)</f>
        <v>0</v>
      </c>
      <c r="V178" s="10">
        <f>IF($F178=0,0,Расчет2!BB178)</f>
        <v>0</v>
      </c>
      <c r="W178" s="10">
        <f>Расчет!DL178</f>
        <v>0</v>
      </c>
      <c r="X178" s="10">
        <f>Расчет!DN178</f>
        <v>0</v>
      </c>
      <c r="Y178" s="9">
        <f>X178*Исходн.данные.!$AJ178/1000</f>
        <v>0</v>
      </c>
      <c r="Z178" s="10" t="str">
        <f>Расчет!DO178</f>
        <v>Хлор.калий</v>
      </c>
      <c r="AA178" s="10">
        <f>Расчет!DQ178</f>
        <v>0</v>
      </c>
      <c r="AB178" s="12">
        <f>AA178*Исходн.данные.!$AJ178/1000</f>
        <v>0</v>
      </c>
      <c r="AC178" s="9">
        <f>IF($F178=0,0,Расчет2!BC178)</f>
        <v>0</v>
      </c>
      <c r="AD178" s="10">
        <f>IF($F178=0,0,Расчет2!BD178)</f>
        <v>0</v>
      </c>
      <c r="AE178" s="9">
        <f>IF($F178=0,0,Расчет2!BE178)</f>
        <v>0</v>
      </c>
      <c r="AF178" s="9">
        <f>IF($F178=0,0,Расчет2!BF178)</f>
        <v>0</v>
      </c>
      <c r="AG178" s="9">
        <f>IF($F178=0,0,Расчет2!BG178)</f>
        <v>0</v>
      </c>
      <c r="AI178" s="11" t="e">
        <f>Расчет!FY178</f>
        <v>#N/A</v>
      </c>
      <c r="AJ178" s="11" t="e">
        <f>Расчет!FZ178</f>
        <v>#N/A</v>
      </c>
      <c r="AK178" s="11" t="e">
        <f>Расчет!GA178</f>
        <v>#N/A</v>
      </c>
      <c r="AL178" s="11" t="e">
        <f>Расчет!GB178</f>
        <v>#N/A</v>
      </c>
      <c r="AM178" s="11" t="e">
        <f>Расчет!GC178</f>
        <v>#N/A</v>
      </c>
      <c r="AN178" s="11" t="e">
        <f>Расчет!GD178</f>
        <v>#N/A</v>
      </c>
      <c r="AO178" s="11" t="e">
        <f>Расчет!GE178</f>
        <v>#N/A</v>
      </c>
      <c r="AP178" s="11" t="e">
        <f>Расчет!GF178</f>
        <v>#N/A</v>
      </c>
      <c r="AQ178" s="11" t="e">
        <f>Расчет!GG178</f>
        <v>#N/A</v>
      </c>
      <c r="AR178" s="11" t="e">
        <f>Расчет!GH178</f>
        <v>#N/A</v>
      </c>
      <c r="AS178" s="11" t="e">
        <f>Расчет!GI178</f>
        <v>#N/A</v>
      </c>
      <c r="AT178" s="11" t="e">
        <f>Расчет!GJ178</f>
        <v>#N/A</v>
      </c>
      <c r="AU178" s="198" t="e">
        <f t="shared" si="21"/>
        <v>#N/A</v>
      </c>
      <c r="AV178" s="198" t="e">
        <f t="shared" si="22"/>
        <v>#N/A</v>
      </c>
      <c r="AW178" s="198" t="e">
        <f t="shared" si="23"/>
        <v>#N/A</v>
      </c>
      <c r="AX178" s="11" t="e">
        <f t="shared" si="24"/>
        <v>#N/A</v>
      </c>
      <c r="AY178" s="11" t="e">
        <f t="shared" si="25"/>
        <v>#N/A</v>
      </c>
      <c r="AZ178" s="11" t="e">
        <f t="shared" si="26"/>
        <v>#N/A</v>
      </c>
    </row>
    <row r="179" spans="1:52" x14ac:dyDescent="0.2">
      <c r="A179" s="6">
        <f>Исходн.данные.!A179</f>
        <v>0</v>
      </c>
      <c r="B179" s="6">
        <f>Исходн.данные.!B179</f>
        <v>0</v>
      </c>
      <c r="C179" s="6">
        <f>Исходн.данные.!C179</f>
        <v>0</v>
      </c>
      <c r="D179" s="6">
        <f>Исходн.данные.!D179</f>
        <v>0</v>
      </c>
      <c r="E179" s="6">
        <f>Исходн.данные.!E179</f>
        <v>0</v>
      </c>
      <c r="F179" s="6">
        <f>Исходн.данные.!AH179</f>
        <v>0</v>
      </c>
      <c r="G179" s="6">
        <f>Исходн.данные.!AJ179</f>
        <v>0</v>
      </c>
      <c r="H179" s="6">
        <f>Исходн.данные.!AK179</f>
        <v>0</v>
      </c>
      <c r="I179" s="9">
        <f>IF($F179=0,0,Расчет2!AO179)</f>
        <v>0</v>
      </c>
      <c r="J179" s="9">
        <f>IF(F179=0,0,Расчет2!AP179)</f>
        <v>0</v>
      </c>
      <c r="K179" s="10">
        <f>IF($F179=0,0,Расчет2!AQ179)</f>
        <v>0</v>
      </c>
      <c r="L179" s="10">
        <f>IF($F179=0,0,Расчет2!AR179)</f>
        <v>0</v>
      </c>
      <c r="M179" s="10">
        <f>IF($F179=0,0,Расчет2!AS179)</f>
        <v>0</v>
      </c>
      <c r="N179" s="10">
        <f>IF($F179=0,0,IF(Исходн.данные.!$AP179="Посл.посева",0,Расчет2!AT179))</f>
        <v>0</v>
      </c>
      <c r="O179" s="10">
        <f>IF($F179=0,0,IF(Исходн.данные.!$AP179="Посл.посева",0,IF(Расчет2!AU179&lt;10,10,Расчет2!AU179)))</f>
        <v>0</v>
      </c>
      <c r="P179" s="10">
        <f>IF($F179=0,0,IF(Исходн.данные.!$AP179="Посл.посева",0,Расчет2!AV179))</f>
        <v>0</v>
      </c>
      <c r="Q179" s="10">
        <f>IF($F179=0,0,Расчет2!AW179)</f>
        <v>0</v>
      </c>
      <c r="R179" s="10">
        <f>IF($F179=0,0,Расчет2!AX179)</f>
        <v>0</v>
      </c>
      <c r="S179" s="9">
        <f>IF($F179=0,0,Расчет2!AY179)</f>
        <v>0</v>
      </c>
      <c r="T179" s="10">
        <f>IF($F179=0,0,Расчет2!AZ179)</f>
        <v>0</v>
      </c>
      <c r="U179" s="10">
        <f>IF($F179=0,0,Расчет2!BA179)</f>
        <v>0</v>
      </c>
      <c r="V179" s="10">
        <f>IF($F179=0,0,Расчет2!BB179)</f>
        <v>0</v>
      </c>
      <c r="W179" s="10">
        <f>Расчет!DL179</f>
        <v>0</v>
      </c>
      <c r="X179" s="10">
        <f>Расчет!DN179</f>
        <v>0</v>
      </c>
      <c r="Y179" s="9">
        <f>X179*Исходн.данные.!$AJ179/1000</f>
        <v>0</v>
      </c>
      <c r="Z179" s="10" t="str">
        <f>Расчет!DO179</f>
        <v>Хлор.калий</v>
      </c>
      <c r="AA179" s="10">
        <f>Расчет!DQ179</f>
        <v>0</v>
      </c>
      <c r="AB179" s="12">
        <f>AA179*Исходн.данные.!$AJ179/1000</f>
        <v>0</v>
      </c>
      <c r="AC179" s="9">
        <f>IF($F179=0,0,Расчет2!BC179)</f>
        <v>0</v>
      </c>
      <c r="AD179" s="10">
        <f>IF($F179=0,0,Расчет2!BD179)</f>
        <v>0</v>
      </c>
      <c r="AE179" s="9">
        <f>IF($F179=0,0,Расчет2!BE179)</f>
        <v>0</v>
      </c>
      <c r="AF179" s="9">
        <f>IF($F179=0,0,Расчет2!BF179)</f>
        <v>0</v>
      </c>
      <c r="AG179" s="9">
        <f>IF($F179=0,0,Расчет2!BG179)</f>
        <v>0</v>
      </c>
      <c r="AI179" s="11" t="e">
        <f>Расчет!FY179</f>
        <v>#N/A</v>
      </c>
      <c r="AJ179" s="11" t="e">
        <f>Расчет!FZ179</f>
        <v>#N/A</v>
      </c>
      <c r="AK179" s="11" t="e">
        <f>Расчет!GA179</f>
        <v>#N/A</v>
      </c>
      <c r="AL179" s="11" t="e">
        <f>Расчет!GB179</f>
        <v>#N/A</v>
      </c>
      <c r="AM179" s="11" t="e">
        <f>Расчет!GC179</f>
        <v>#N/A</v>
      </c>
      <c r="AN179" s="11" t="e">
        <f>Расчет!GD179</f>
        <v>#N/A</v>
      </c>
      <c r="AO179" s="11" t="e">
        <f>Расчет!GE179</f>
        <v>#N/A</v>
      </c>
      <c r="AP179" s="11" t="e">
        <f>Расчет!GF179</f>
        <v>#N/A</v>
      </c>
      <c r="AQ179" s="11" t="e">
        <f>Расчет!GG179</f>
        <v>#N/A</v>
      </c>
      <c r="AR179" s="11" t="e">
        <f>Расчет!GH179</f>
        <v>#N/A</v>
      </c>
      <c r="AS179" s="11" t="e">
        <f>Расчет!GI179</f>
        <v>#N/A</v>
      </c>
      <c r="AT179" s="11" t="e">
        <f>Расчет!GJ179</f>
        <v>#N/A</v>
      </c>
      <c r="AU179" s="198" t="e">
        <f t="shared" si="21"/>
        <v>#N/A</v>
      </c>
      <c r="AV179" s="198" t="e">
        <f t="shared" si="22"/>
        <v>#N/A</v>
      </c>
      <c r="AW179" s="198" t="e">
        <f t="shared" si="23"/>
        <v>#N/A</v>
      </c>
      <c r="AX179" s="11" t="e">
        <f t="shared" si="24"/>
        <v>#N/A</v>
      </c>
      <c r="AY179" s="11" t="e">
        <f t="shared" si="25"/>
        <v>#N/A</v>
      </c>
      <c r="AZ179" s="11" t="e">
        <f t="shared" si="26"/>
        <v>#N/A</v>
      </c>
    </row>
    <row r="180" spans="1:52" x14ac:dyDescent="0.2">
      <c r="A180" s="6">
        <f>Исходн.данные.!A180</f>
        <v>0</v>
      </c>
      <c r="B180" s="6">
        <f>Исходн.данные.!B180</f>
        <v>0</v>
      </c>
      <c r="C180" s="6">
        <f>Исходн.данные.!C180</f>
        <v>0</v>
      </c>
      <c r="D180" s="6">
        <f>Исходн.данные.!D180</f>
        <v>0</v>
      </c>
      <c r="E180" s="6">
        <f>Исходн.данные.!E180</f>
        <v>0</v>
      </c>
      <c r="F180" s="6">
        <f>Исходн.данные.!AH180</f>
        <v>0</v>
      </c>
      <c r="G180" s="6">
        <f>Исходн.данные.!AJ180</f>
        <v>0</v>
      </c>
      <c r="H180" s="6">
        <f>Исходн.данные.!AK180</f>
        <v>0</v>
      </c>
      <c r="I180" s="9">
        <f>IF($F180=0,0,Расчет2!AO180)</f>
        <v>0</v>
      </c>
      <c r="J180" s="9">
        <f>IF(F180=0,0,Расчет2!AP180)</f>
        <v>0</v>
      </c>
      <c r="K180" s="10">
        <f>IF($F180=0,0,Расчет2!AQ180)</f>
        <v>0</v>
      </c>
      <c r="L180" s="10">
        <f>IF($F180=0,0,Расчет2!AR180)</f>
        <v>0</v>
      </c>
      <c r="M180" s="10">
        <f>IF($F180=0,0,Расчет2!AS180)</f>
        <v>0</v>
      </c>
      <c r="N180" s="10">
        <f>IF($F180=0,0,IF(Исходн.данные.!$AP180="Посл.посева",0,Расчет2!AT180))</f>
        <v>0</v>
      </c>
      <c r="O180" s="10">
        <f>IF($F180=0,0,IF(Исходн.данные.!$AP180="Посл.посева",0,IF(Расчет2!AU180&lt;10,10,Расчет2!AU180)))</f>
        <v>0</v>
      </c>
      <c r="P180" s="10">
        <f>IF($F180=0,0,IF(Исходн.данные.!$AP180="Посл.посева",0,Расчет2!AV180))</f>
        <v>0</v>
      </c>
      <c r="Q180" s="10">
        <f>IF($F180=0,0,Расчет2!AW180)</f>
        <v>0</v>
      </c>
      <c r="R180" s="10">
        <f>IF($F180=0,0,Расчет2!AX180)</f>
        <v>0</v>
      </c>
      <c r="S180" s="9">
        <f>IF($F180=0,0,Расчет2!AY180)</f>
        <v>0</v>
      </c>
      <c r="T180" s="10">
        <f>IF($F180=0,0,Расчет2!AZ180)</f>
        <v>0</v>
      </c>
      <c r="U180" s="10">
        <f>IF($F180=0,0,Расчет2!BA180)</f>
        <v>0</v>
      </c>
      <c r="V180" s="10">
        <f>IF($F180=0,0,Расчет2!BB180)</f>
        <v>0</v>
      </c>
      <c r="W180" s="10">
        <f>Расчет!DL180</f>
        <v>0</v>
      </c>
      <c r="X180" s="10">
        <f>Расчет!DN180</f>
        <v>0</v>
      </c>
      <c r="Y180" s="9">
        <f>X180*Исходн.данные.!$AJ180/1000</f>
        <v>0</v>
      </c>
      <c r="Z180" s="10" t="str">
        <f>Расчет!DO180</f>
        <v>Хлор.калий</v>
      </c>
      <c r="AA180" s="10">
        <f>Расчет!DQ180</f>
        <v>0</v>
      </c>
      <c r="AB180" s="12">
        <f>AA180*Исходн.данные.!$AJ180/1000</f>
        <v>0</v>
      </c>
      <c r="AC180" s="9">
        <f>IF($F180=0,0,Расчет2!BC180)</f>
        <v>0</v>
      </c>
      <c r="AD180" s="10">
        <f>IF($F180=0,0,Расчет2!BD180)</f>
        <v>0</v>
      </c>
      <c r="AE180" s="9">
        <f>IF($F180=0,0,Расчет2!BE180)</f>
        <v>0</v>
      </c>
      <c r="AF180" s="9">
        <f>IF($F180=0,0,Расчет2!BF180)</f>
        <v>0</v>
      </c>
      <c r="AG180" s="9">
        <f>IF($F180=0,0,Расчет2!BG180)</f>
        <v>0</v>
      </c>
      <c r="AI180" s="11" t="e">
        <f>Расчет!FY180</f>
        <v>#N/A</v>
      </c>
      <c r="AJ180" s="11" t="e">
        <f>Расчет!FZ180</f>
        <v>#N/A</v>
      </c>
      <c r="AK180" s="11" t="e">
        <f>Расчет!GA180</f>
        <v>#N/A</v>
      </c>
      <c r="AL180" s="11" t="e">
        <f>Расчет!GB180</f>
        <v>#N/A</v>
      </c>
      <c r="AM180" s="11" t="e">
        <f>Расчет!GC180</f>
        <v>#N/A</v>
      </c>
      <c r="AN180" s="11" t="e">
        <f>Расчет!GD180</f>
        <v>#N/A</v>
      </c>
      <c r="AO180" s="11" t="e">
        <f>Расчет!GE180</f>
        <v>#N/A</v>
      </c>
      <c r="AP180" s="11" t="e">
        <f>Расчет!GF180</f>
        <v>#N/A</v>
      </c>
      <c r="AQ180" s="11" t="e">
        <f>Расчет!GG180</f>
        <v>#N/A</v>
      </c>
      <c r="AR180" s="11" t="e">
        <f>Расчет!GH180</f>
        <v>#N/A</v>
      </c>
      <c r="AS180" s="11" t="e">
        <f>Расчет!GI180</f>
        <v>#N/A</v>
      </c>
      <c r="AT180" s="11" t="e">
        <f>Расчет!GJ180</f>
        <v>#N/A</v>
      </c>
      <c r="AU180" s="198" t="e">
        <f t="shared" si="21"/>
        <v>#N/A</v>
      </c>
      <c r="AV180" s="198" t="e">
        <f t="shared" si="22"/>
        <v>#N/A</v>
      </c>
      <c r="AW180" s="198" t="e">
        <f t="shared" si="23"/>
        <v>#N/A</v>
      </c>
      <c r="AX180" s="11" t="e">
        <f t="shared" si="24"/>
        <v>#N/A</v>
      </c>
      <c r="AY180" s="11" t="e">
        <f t="shared" si="25"/>
        <v>#N/A</v>
      </c>
      <c r="AZ180" s="11" t="e">
        <f t="shared" si="26"/>
        <v>#N/A</v>
      </c>
    </row>
    <row r="181" spans="1:52" x14ac:dyDescent="0.2">
      <c r="A181" s="6">
        <f>Исходн.данные.!A181</f>
        <v>0</v>
      </c>
      <c r="B181" s="6">
        <f>Исходн.данные.!B181</f>
        <v>0</v>
      </c>
      <c r="C181" s="6">
        <f>Исходн.данные.!C181</f>
        <v>0</v>
      </c>
      <c r="D181" s="6">
        <f>Исходн.данные.!D181</f>
        <v>0</v>
      </c>
      <c r="E181" s="6">
        <f>Исходн.данные.!E181</f>
        <v>0</v>
      </c>
      <c r="F181" s="6">
        <f>Исходн.данные.!AH181</f>
        <v>0</v>
      </c>
      <c r="G181" s="6">
        <f>Исходн.данные.!AJ181</f>
        <v>0</v>
      </c>
      <c r="H181" s="6">
        <f>Исходн.данные.!AK181</f>
        <v>0</v>
      </c>
      <c r="I181" s="9">
        <f>IF($F181=0,0,Расчет2!AO181)</f>
        <v>0</v>
      </c>
      <c r="J181" s="9">
        <f>IF(F181=0,0,Расчет2!AP181)</f>
        <v>0</v>
      </c>
      <c r="K181" s="10">
        <f>IF($F181=0,0,Расчет2!AQ181)</f>
        <v>0</v>
      </c>
      <c r="L181" s="10">
        <f>IF($F181=0,0,Расчет2!AR181)</f>
        <v>0</v>
      </c>
      <c r="M181" s="10">
        <f>IF($F181=0,0,Расчет2!AS181)</f>
        <v>0</v>
      </c>
      <c r="N181" s="10">
        <f>IF($F181=0,0,IF(Исходн.данные.!$AP181="Посл.посева",0,Расчет2!AT181))</f>
        <v>0</v>
      </c>
      <c r="O181" s="10">
        <f>IF($F181=0,0,IF(Исходн.данные.!$AP181="Посл.посева",0,IF(Расчет2!AU181&lt;10,10,Расчет2!AU181)))</f>
        <v>0</v>
      </c>
      <c r="P181" s="10">
        <f>IF($F181=0,0,IF(Исходн.данные.!$AP181="Посл.посева",0,Расчет2!AV181))</f>
        <v>0</v>
      </c>
      <c r="Q181" s="10">
        <f>IF($F181=0,0,Расчет2!AW181)</f>
        <v>0</v>
      </c>
      <c r="R181" s="10">
        <f>IF($F181=0,0,Расчет2!AX181)</f>
        <v>0</v>
      </c>
      <c r="S181" s="9">
        <f>IF($F181=0,0,Расчет2!AY181)</f>
        <v>0</v>
      </c>
      <c r="T181" s="10">
        <f>IF($F181=0,0,Расчет2!AZ181)</f>
        <v>0</v>
      </c>
      <c r="U181" s="10">
        <f>IF($F181=0,0,Расчет2!BA181)</f>
        <v>0</v>
      </c>
      <c r="V181" s="10">
        <f>IF($F181=0,0,Расчет2!BB181)</f>
        <v>0</v>
      </c>
      <c r="W181" s="10">
        <f>Расчет!DL181</f>
        <v>0</v>
      </c>
      <c r="X181" s="10">
        <f>Расчет!DN181</f>
        <v>0</v>
      </c>
      <c r="Y181" s="9">
        <f>X181*Исходн.данные.!$AJ181/1000</f>
        <v>0</v>
      </c>
      <c r="Z181" s="10" t="str">
        <f>Расчет!DO181</f>
        <v>Хлор.калий</v>
      </c>
      <c r="AA181" s="10">
        <f>Расчет!DQ181</f>
        <v>0</v>
      </c>
      <c r="AB181" s="12">
        <f>AA181*Исходн.данные.!$AJ181/1000</f>
        <v>0</v>
      </c>
      <c r="AC181" s="9">
        <f>IF($F181=0,0,Расчет2!BC181)</f>
        <v>0</v>
      </c>
      <c r="AD181" s="10">
        <f>IF($F181=0,0,Расчет2!BD181)</f>
        <v>0</v>
      </c>
      <c r="AE181" s="9">
        <f>IF($F181=0,0,Расчет2!BE181)</f>
        <v>0</v>
      </c>
      <c r="AF181" s="9">
        <f>IF($F181=0,0,Расчет2!BF181)</f>
        <v>0</v>
      </c>
      <c r="AG181" s="9">
        <f>IF($F181=0,0,Расчет2!BG181)</f>
        <v>0</v>
      </c>
      <c r="AI181" s="11" t="e">
        <f>Расчет!FY181</f>
        <v>#N/A</v>
      </c>
      <c r="AJ181" s="11" t="e">
        <f>Расчет!FZ181</f>
        <v>#N/A</v>
      </c>
      <c r="AK181" s="11" t="e">
        <f>Расчет!GA181</f>
        <v>#N/A</v>
      </c>
      <c r="AL181" s="11" t="e">
        <f>Расчет!GB181</f>
        <v>#N/A</v>
      </c>
      <c r="AM181" s="11" t="e">
        <f>Расчет!GC181</f>
        <v>#N/A</v>
      </c>
      <c r="AN181" s="11" t="e">
        <f>Расчет!GD181</f>
        <v>#N/A</v>
      </c>
      <c r="AO181" s="11" t="e">
        <f>Расчет!GE181</f>
        <v>#N/A</v>
      </c>
      <c r="AP181" s="11" t="e">
        <f>Расчет!GF181</f>
        <v>#N/A</v>
      </c>
      <c r="AQ181" s="11" t="e">
        <f>Расчет!GG181</f>
        <v>#N/A</v>
      </c>
      <c r="AR181" s="11" t="e">
        <f>Расчет!GH181</f>
        <v>#N/A</v>
      </c>
      <c r="AS181" s="11" t="e">
        <f>Расчет!GI181</f>
        <v>#N/A</v>
      </c>
      <c r="AT181" s="11" t="e">
        <f>Расчет!GJ181</f>
        <v>#N/A</v>
      </c>
      <c r="AU181" s="198" t="e">
        <f t="shared" si="21"/>
        <v>#N/A</v>
      </c>
      <c r="AV181" s="198" t="e">
        <f t="shared" si="22"/>
        <v>#N/A</v>
      </c>
      <c r="AW181" s="198" t="e">
        <f t="shared" si="23"/>
        <v>#N/A</v>
      </c>
      <c r="AX181" s="11" t="e">
        <f t="shared" si="24"/>
        <v>#N/A</v>
      </c>
      <c r="AY181" s="11" t="e">
        <f t="shared" si="25"/>
        <v>#N/A</v>
      </c>
      <c r="AZ181" s="11" t="e">
        <f t="shared" si="26"/>
        <v>#N/A</v>
      </c>
    </row>
    <row r="182" spans="1:52" x14ac:dyDescent="0.2">
      <c r="A182" s="6">
        <f>Исходн.данные.!A182</f>
        <v>0</v>
      </c>
      <c r="B182" s="6">
        <f>Исходн.данные.!B182</f>
        <v>0</v>
      </c>
      <c r="C182" s="6">
        <f>Исходн.данные.!C182</f>
        <v>0</v>
      </c>
      <c r="D182" s="6">
        <f>Исходн.данные.!D182</f>
        <v>0</v>
      </c>
      <c r="E182" s="6">
        <f>Исходн.данные.!E182</f>
        <v>0</v>
      </c>
      <c r="F182" s="6">
        <f>Исходн.данные.!AH182</f>
        <v>0</v>
      </c>
      <c r="G182" s="6">
        <f>Исходн.данные.!AJ182</f>
        <v>0</v>
      </c>
      <c r="H182" s="6">
        <f>Исходн.данные.!AK182</f>
        <v>0</v>
      </c>
      <c r="I182" s="9">
        <f>IF($F182=0,0,Расчет2!AO182)</f>
        <v>0</v>
      </c>
      <c r="J182" s="9">
        <f>IF(F182=0,0,Расчет2!AP182)</f>
        <v>0</v>
      </c>
      <c r="K182" s="10">
        <f>IF($F182=0,0,Расчет2!AQ182)</f>
        <v>0</v>
      </c>
      <c r="L182" s="10">
        <f>IF($F182=0,0,Расчет2!AR182)</f>
        <v>0</v>
      </c>
      <c r="M182" s="10">
        <f>IF($F182=0,0,Расчет2!AS182)</f>
        <v>0</v>
      </c>
      <c r="N182" s="10">
        <f>IF($F182=0,0,IF(Исходн.данные.!$AP182="Посл.посева",0,Расчет2!AT182))</f>
        <v>0</v>
      </c>
      <c r="O182" s="10">
        <f>IF($F182=0,0,IF(Исходн.данные.!$AP182="Посл.посева",0,IF(Расчет2!AU182&lt;10,10,Расчет2!AU182)))</f>
        <v>0</v>
      </c>
      <c r="P182" s="10">
        <f>IF($F182=0,0,IF(Исходн.данные.!$AP182="Посл.посева",0,Расчет2!AV182))</f>
        <v>0</v>
      </c>
      <c r="Q182" s="10">
        <f>IF($F182=0,0,Расчет2!AW182)</f>
        <v>0</v>
      </c>
      <c r="R182" s="10">
        <f>IF($F182=0,0,Расчет2!AX182)</f>
        <v>0</v>
      </c>
      <c r="S182" s="9">
        <f>IF($F182=0,0,Расчет2!AY182)</f>
        <v>0</v>
      </c>
      <c r="T182" s="10">
        <f>IF($F182=0,0,Расчет2!AZ182)</f>
        <v>0</v>
      </c>
      <c r="U182" s="10">
        <f>IF($F182=0,0,Расчет2!BA182)</f>
        <v>0</v>
      </c>
      <c r="V182" s="10">
        <f>IF($F182=0,0,Расчет2!BB182)</f>
        <v>0</v>
      </c>
      <c r="W182" s="10">
        <f>Расчет!DL182</f>
        <v>0</v>
      </c>
      <c r="X182" s="10">
        <f>Расчет!DN182</f>
        <v>0</v>
      </c>
      <c r="Y182" s="9">
        <f>X182*Исходн.данные.!$AJ182/1000</f>
        <v>0</v>
      </c>
      <c r="Z182" s="10" t="str">
        <f>Расчет!DO182</f>
        <v>Хлор.калий</v>
      </c>
      <c r="AA182" s="10">
        <f>Расчет!DQ182</f>
        <v>0</v>
      </c>
      <c r="AB182" s="12">
        <f>AA182*Исходн.данные.!$AJ182/1000</f>
        <v>0</v>
      </c>
      <c r="AC182" s="9">
        <f>IF($F182=0,0,Расчет2!BC182)</f>
        <v>0</v>
      </c>
      <c r="AD182" s="10">
        <f>IF($F182=0,0,Расчет2!BD182)</f>
        <v>0</v>
      </c>
      <c r="AE182" s="9">
        <f>IF($F182=0,0,Расчет2!BE182)</f>
        <v>0</v>
      </c>
      <c r="AF182" s="9">
        <f>IF($F182=0,0,Расчет2!BF182)</f>
        <v>0</v>
      </c>
      <c r="AG182" s="9">
        <f>IF($F182=0,0,Расчет2!BG182)</f>
        <v>0</v>
      </c>
      <c r="AI182" s="11" t="e">
        <f>Расчет!FY182</f>
        <v>#N/A</v>
      </c>
      <c r="AJ182" s="11" t="e">
        <f>Расчет!FZ182</f>
        <v>#N/A</v>
      </c>
      <c r="AK182" s="11" t="e">
        <f>Расчет!GA182</f>
        <v>#N/A</v>
      </c>
      <c r="AL182" s="11" t="e">
        <f>Расчет!GB182</f>
        <v>#N/A</v>
      </c>
      <c r="AM182" s="11" t="e">
        <f>Расчет!GC182</f>
        <v>#N/A</v>
      </c>
      <c r="AN182" s="11" t="e">
        <f>Расчет!GD182</f>
        <v>#N/A</v>
      </c>
      <c r="AO182" s="11" t="e">
        <f>Расчет!GE182</f>
        <v>#N/A</v>
      </c>
      <c r="AP182" s="11" t="e">
        <f>Расчет!GF182</f>
        <v>#N/A</v>
      </c>
      <c r="AQ182" s="11" t="e">
        <f>Расчет!GG182</f>
        <v>#N/A</v>
      </c>
      <c r="AR182" s="11" t="e">
        <f>Расчет!GH182</f>
        <v>#N/A</v>
      </c>
      <c r="AS182" s="11" t="e">
        <f>Расчет!GI182</f>
        <v>#N/A</v>
      </c>
      <c r="AT182" s="11" t="e">
        <f>Расчет!GJ182</f>
        <v>#N/A</v>
      </c>
      <c r="AU182" s="198" t="e">
        <f t="shared" si="21"/>
        <v>#N/A</v>
      </c>
      <c r="AV182" s="198" t="e">
        <f t="shared" si="22"/>
        <v>#N/A</v>
      </c>
      <c r="AW182" s="198" t="e">
        <f t="shared" si="23"/>
        <v>#N/A</v>
      </c>
      <c r="AX182" s="11" t="e">
        <f t="shared" si="24"/>
        <v>#N/A</v>
      </c>
      <c r="AY182" s="11" t="e">
        <f t="shared" si="25"/>
        <v>#N/A</v>
      </c>
      <c r="AZ182" s="11" t="e">
        <f t="shared" si="26"/>
        <v>#N/A</v>
      </c>
    </row>
    <row r="183" spans="1:52" x14ac:dyDescent="0.2">
      <c r="A183" s="6">
        <f>Исходн.данные.!A183</f>
        <v>0</v>
      </c>
      <c r="B183" s="6">
        <f>Исходн.данные.!B183</f>
        <v>0</v>
      </c>
      <c r="C183" s="6">
        <f>Исходн.данные.!C183</f>
        <v>0</v>
      </c>
      <c r="D183" s="6">
        <f>Исходн.данные.!D183</f>
        <v>0</v>
      </c>
      <c r="E183" s="6">
        <f>Исходн.данные.!E183</f>
        <v>0</v>
      </c>
      <c r="F183" s="6">
        <f>Исходн.данные.!AH183</f>
        <v>0</v>
      </c>
      <c r="G183" s="6">
        <f>Исходн.данные.!AJ183</f>
        <v>0</v>
      </c>
      <c r="H183" s="6">
        <f>Исходн.данные.!AK183</f>
        <v>0</v>
      </c>
      <c r="I183" s="9">
        <f>IF($F183=0,0,Расчет2!AO183)</f>
        <v>0</v>
      </c>
      <c r="J183" s="9">
        <f>IF(F183=0,0,Расчет2!AP183)</f>
        <v>0</v>
      </c>
      <c r="K183" s="10">
        <f>IF($F183=0,0,Расчет2!AQ183)</f>
        <v>0</v>
      </c>
      <c r="L183" s="10">
        <f>IF($F183=0,0,Расчет2!AR183)</f>
        <v>0</v>
      </c>
      <c r="M183" s="10">
        <f>IF($F183=0,0,Расчет2!AS183)</f>
        <v>0</v>
      </c>
      <c r="N183" s="10">
        <f>IF($F183=0,0,IF(Исходн.данные.!$AP183="Посл.посева",0,Расчет2!AT183))</f>
        <v>0</v>
      </c>
      <c r="O183" s="10">
        <f>IF($F183=0,0,IF(Исходн.данные.!$AP183="Посл.посева",0,IF(Расчет2!AU183&lt;10,10,Расчет2!AU183)))</f>
        <v>0</v>
      </c>
      <c r="P183" s="10">
        <f>IF($F183=0,0,IF(Исходн.данные.!$AP183="Посл.посева",0,Расчет2!AV183))</f>
        <v>0</v>
      </c>
      <c r="Q183" s="10">
        <f>IF($F183=0,0,Расчет2!AW183)</f>
        <v>0</v>
      </c>
      <c r="R183" s="10">
        <f>IF($F183=0,0,Расчет2!AX183)</f>
        <v>0</v>
      </c>
      <c r="S183" s="9">
        <f>IF($F183=0,0,Расчет2!AY183)</f>
        <v>0</v>
      </c>
      <c r="T183" s="10">
        <f>IF($F183=0,0,Расчет2!AZ183)</f>
        <v>0</v>
      </c>
      <c r="U183" s="10">
        <f>IF($F183=0,0,Расчет2!BA183)</f>
        <v>0</v>
      </c>
      <c r="V183" s="10">
        <f>IF($F183=0,0,Расчет2!BB183)</f>
        <v>0</v>
      </c>
      <c r="W183" s="10">
        <f>Расчет!DL183</f>
        <v>0</v>
      </c>
      <c r="X183" s="10">
        <f>Расчет!DN183</f>
        <v>0</v>
      </c>
      <c r="Y183" s="9">
        <f>X183*Исходн.данные.!$AJ183/1000</f>
        <v>0</v>
      </c>
      <c r="Z183" s="10" t="str">
        <f>Расчет!DO183</f>
        <v>Хлор.калий</v>
      </c>
      <c r="AA183" s="10">
        <f>Расчет!DQ183</f>
        <v>0</v>
      </c>
      <c r="AB183" s="12">
        <f>AA183*Исходн.данные.!$AJ183/1000</f>
        <v>0</v>
      </c>
      <c r="AC183" s="9">
        <f>IF($F183=0,0,Расчет2!BC183)</f>
        <v>0</v>
      </c>
      <c r="AD183" s="10">
        <f>IF($F183=0,0,Расчет2!BD183)</f>
        <v>0</v>
      </c>
      <c r="AE183" s="9">
        <f>IF($F183=0,0,Расчет2!BE183)</f>
        <v>0</v>
      </c>
      <c r="AF183" s="9">
        <f>IF($F183=0,0,Расчет2!BF183)</f>
        <v>0</v>
      </c>
      <c r="AG183" s="9">
        <f>IF($F183=0,0,Расчет2!BG183)</f>
        <v>0</v>
      </c>
      <c r="AI183" s="11" t="e">
        <f>Расчет!FY183</f>
        <v>#N/A</v>
      </c>
      <c r="AJ183" s="11" t="e">
        <f>Расчет!FZ183</f>
        <v>#N/A</v>
      </c>
      <c r="AK183" s="11" t="e">
        <f>Расчет!GA183</f>
        <v>#N/A</v>
      </c>
      <c r="AL183" s="11" t="e">
        <f>Расчет!GB183</f>
        <v>#N/A</v>
      </c>
      <c r="AM183" s="11" t="e">
        <f>Расчет!GC183</f>
        <v>#N/A</v>
      </c>
      <c r="AN183" s="11" t="e">
        <f>Расчет!GD183</f>
        <v>#N/A</v>
      </c>
      <c r="AO183" s="11" t="e">
        <f>Расчет!GE183</f>
        <v>#N/A</v>
      </c>
      <c r="AP183" s="11" t="e">
        <f>Расчет!GF183</f>
        <v>#N/A</v>
      </c>
      <c r="AQ183" s="11" t="e">
        <f>Расчет!GG183</f>
        <v>#N/A</v>
      </c>
      <c r="AR183" s="11" t="e">
        <f>Расчет!GH183</f>
        <v>#N/A</v>
      </c>
      <c r="AS183" s="11" t="e">
        <f>Расчет!GI183</f>
        <v>#N/A</v>
      </c>
      <c r="AT183" s="11" t="e">
        <f>Расчет!GJ183</f>
        <v>#N/A</v>
      </c>
      <c r="AU183" s="198" t="e">
        <f t="shared" si="21"/>
        <v>#N/A</v>
      </c>
      <c r="AV183" s="198" t="e">
        <f t="shared" si="22"/>
        <v>#N/A</v>
      </c>
      <c r="AW183" s="198" t="e">
        <f t="shared" si="23"/>
        <v>#N/A</v>
      </c>
      <c r="AX183" s="11" t="e">
        <f t="shared" si="24"/>
        <v>#N/A</v>
      </c>
      <c r="AY183" s="11" t="e">
        <f t="shared" si="25"/>
        <v>#N/A</v>
      </c>
      <c r="AZ183" s="11" t="e">
        <f t="shared" si="26"/>
        <v>#N/A</v>
      </c>
    </row>
    <row r="184" spans="1:52" x14ac:dyDescent="0.2">
      <c r="A184" s="6">
        <f>Исходн.данные.!A184</f>
        <v>0</v>
      </c>
      <c r="B184" s="6">
        <f>Исходн.данные.!B184</f>
        <v>0</v>
      </c>
      <c r="C184" s="6">
        <f>Исходн.данные.!C184</f>
        <v>0</v>
      </c>
      <c r="D184" s="6">
        <f>Исходн.данные.!D184</f>
        <v>0</v>
      </c>
      <c r="E184" s="6">
        <f>Исходн.данные.!E184</f>
        <v>0</v>
      </c>
      <c r="F184" s="6">
        <f>Исходн.данные.!AH184</f>
        <v>0</v>
      </c>
      <c r="G184" s="6">
        <f>Исходн.данные.!AJ184</f>
        <v>0</v>
      </c>
      <c r="H184" s="6">
        <f>Исходн.данные.!AK184</f>
        <v>0</v>
      </c>
      <c r="I184" s="9">
        <f>IF($F184=0,0,Расчет2!AO184)</f>
        <v>0</v>
      </c>
      <c r="J184" s="9">
        <f>IF(F184=0,0,Расчет2!AP184)</f>
        <v>0</v>
      </c>
      <c r="K184" s="10">
        <f>IF($F184=0,0,Расчет2!AQ184)</f>
        <v>0</v>
      </c>
      <c r="L184" s="10">
        <f>IF($F184=0,0,Расчет2!AR184)</f>
        <v>0</v>
      </c>
      <c r="M184" s="10">
        <f>IF($F184=0,0,Расчет2!AS184)</f>
        <v>0</v>
      </c>
      <c r="N184" s="10">
        <f>IF($F184=0,0,IF(Исходн.данные.!$AP184="Посл.посева",0,Расчет2!AT184))</f>
        <v>0</v>
      </c>
      <c r="O184" s="10">
        <f>IF($F184=0,0,IF(Исходн.данные.!$AP184="Посл.посева",0,IF(Расчет2!AU184&lt;10,10,Расчет2!AU184)))</f>
        <v>0</v>
      </c>
      <c r="P184" s="10">
        <f>IF($F184=0,0,IF(Исходн.данные.!$AP184="Посл.посева",0,Расчет2!AV184))</f>
        <v>0</v>
      </c>
      <c r="Q184" s="10">
        <f>IF($F184=0,0,Расчет2!AW184)</f>
        <v>0</v>
      </c>
      <c r="R184" s="10">
        <f>IF($F184=0,0,Расчет2!AX184)</f>
        <v>0</v>
      </c>
      <c r="S184" s="9">
        <f>IF($F184=0,0,Расчет2!AY184)</f>
        <v>0</v>
      </c>
      <c r="T184" s="10">
        <f>IF($F184=0,0,Расчет2!AZ184)</f>
        <v>0</v>
      </c>
      <c r="U184" s="10">
        <f>IF($F184=0,0,Расчет2!BA184)</f>
        <v>0</v>
      </c>
      <c r="V184" s="10">
        <f>IF($F184=0,0,Расчет2!BB184)</f>
        <v>0</v>
      </c>
      <c r="W184" s="10">
        <f>Расчет!DL184</f>
        <v>0</v>
      </c>
      <c r="X184" s="10">
        <f>Расчет!DN184</f>
        <v>0</v>
      </c>
      <c r="Y184" s="9">
        <f>X184*Исходн.данные.!$AJ184/1000</f>
        <v>0</v>
      </c>
      <c r="Z184" s="10" t="str">
        <f>Расчет!DO184</f>
        <v>Хлор.калий</v>
      </c>
      <c r="AA184" s="10">
        <f>Расчет!DQ184</f>
        <v>0</v>
      </c>
      <c r="AB184" s="12">
        <f>AA184*Исходн.данные.!$AJ184/1000</f>
        <v>0</v>
      </c>
      <c r="AC184" s="9">
        <f>IF($F184=0,0,Расчет2!BC184)</f>
        <v>0</v>
      </c>
      <c r="AD184" s="10">
        <f>IF($F184=0,0,Расчет2!BD184)</f>
        <v>0</v>
      </c>
      <c r="AE184" s="9">
        <f>IF($F184=0,0,Расчет2!BE184)</f>
        <v>0</v>
      </c>
      <c r="AF184" s="9">
        <f>IF($F184=0,0,Расчет2!BF184)</f>
        <v>0</v>
      </c>
      <c r="AG184" s="9">
        <f>IF($F184=0,0,Расчет2!BG184)</f>
        <v>0</v>
      </c>
      <c r="AI184" s="11" t="e">
        <f>Расчет!FY184</f>
        <v>#N/A</v>
      </c>
      <c r="AJ184" s="11" t="e">
        <f>Расчет!FZ184</f>
        <v>#N/A</v>
      </c>
      <c r="AK184" s="11" t="e">
        <f>Расчет!GA184</f>
        <v>#N/A</v>
      </c>
      <c r="AL184" s="11" t="e">
        <f>Расчет!GB184</f>
        <v>#N/A</v>
      </c>
      <c r="AM184" s="11" t="e">
        <f>Расчет!GC184</f>
        <v>#N/A</v>
      </c>
      <c r="AN184" s="11" t="e">
        <f>Расчет!GD184</f>
        <v>#N/A</v>
      </c>
      <c r="AO184" s="11" t="e">
        <f>Расчет!GE184</f>
        <v>#N/A</v>
      </c>
      <c r="AP184" s="11" t="e">
        <f>Расчет!GF184</f>
        <v>#N/A</v>
      </c>
      <c r="AQ184" s="11" t="e">
        <f>Расчет!GG184</f>
        <v>#N/A</v>
      </c>
      <c r="AR184" s="11" t="e">
        <f>Расчет!GH184</f>
        <v>#N/A</v>
      </c>
      <c r="AS184" s="11" t="e">
        <f>Расчет!GI184</f>
        <v>#N/A</v>
      </c>
      <c r="AT184" s="11" t="e">
        <f>Расчет!GJ184</f>
        <v>#N/A</v>
      </c>
      <c r="AU184" s="198" t="e">
        <f t="shared" si="21"/>
        <v>#N/A</v>
      </c>
      <c r="AV184" s="198" t="e">
        <f t="shared" si="22"/>
        <v>#N/A</v>
      </c>
      <c r="AW184" s="198" t="e">
        <f t="shared" si="23"/>
        <v>#N/A</v>
      </c>
      <c r="AX184" s="11" t="e">
        <f t="shared" si="24"/>
        <v>#N/A</v>
      </c>
      <c r="AY184" s="11" t="e">
        <f t="shared" si="25"/>
        <v>#N/A</v>
      </c>
      <c r="AZ184" s="11" t="e">
        <f t="shared" si="26"/>
        <v>#N/A</v>
      </c>
    </row>
    <row r="185" spans="1:52" x14ac:dyDescent="0.2">
      <c r="A185" s="6">
        <f>Исходн.данные.!A185</f>
        <v>0</v>
      </c>
      <c r="B185" s="6">
        <f>Исходн.данные.!B185</f>
        <v>0</v>
      </c>
      <c r="C185" s="6">
        <f>Исходн.данные.!C185</f>
        <v>0</v>
      </c>
      <c r="D185" s="6">
        <f>Исходн.данные.!D185</f>
        <v>0</v>
      </c>
      <c r="E185" s="6">
        <f>Исходн.данные.!E185</f>
        <v>0</v>
      </c>
      <c r="F185" s="6">
        <f>Исходн.данные.!AH185</f>
        <v>0</v>
      </c>
      <c r="G185" s="6">
        <f>Исходн.данные.!AJ185</f>
        <v>0</v>
      </c>
      <c r="H185" s="6">
        <f>Исходн.данные.!AK185</f>
        <v>0</v>
      </c>
      <c r="I185" s="9">
        <f>IF($F185=0,0,Расчет2!AO185)</f>
        <v>0</v>
      </c>
      <c r="J185" s="9">
        <f>IF(F185=0,0,Расчет2!AP185)</f>
        <v>0</v>
      </c>
      <c r="K185" s="10">
        <f>IF($F185=0,0,Расчет2!AQ185)</f>
        <v>0</v>
      </c>
      <c r="L185" s="10">
        <f>IF($F185=0,0,Расчет2!AR185)</f>
        <v>0</v>
      </c>
      <c r="M185" s="10">
        <f>IF($F185=0,0,Расчет2!AS185)</f>
        <v>0</v>
      </c>
      <c r="N185" s="10">
        <f>IF($F185=0,0,IF(Исходн.данные.!$AP185="Посл.посева",0,Расчет2!AT185))</f>
        <v>0</v>
      </c>
      <c r="O185" s="10">
        <f>IF($F185=0,0,IF(Исходн.данные.!$AP185="Посл.посева",0,IF(Расчет2!AU185&lt;10,10,Расчет2!AU185)))</f>
        <v>0</v>
      </c>
      <c r="P185" s="10">
        <f>IF($F185=0,0,IF(Исходн.данные.!$AP185="Посл.посева",0,Расчет2!AV185))</f>
        <v>0</v>
      </c>
      <c r="Q185" s="10">
        <f>IF($F185=0,0,Расчет2!AW185)</f>
        <v>0</v>
      </c>
      <c r="R185" s="10">
        <f>IF($F185=0,0,Расчет2!AX185)</f>
        <v>0</v>
      </c>
      <c r="S185" s="9">
        <f>IF($F185=0,0,Расчет2!AY185)</f>
        <v>0</v>
      </c>
      <c r="T185" s="10">
        <f>IF($F185=0,0,Расчет2!AZ185)</f>
        <v>0</v>
      </c>
      <c r="U185" s="10">
        <f>IF($F185=0,0,Расчет2!BA185)</f>
        <v>0</v>
      </c>
      <c r="V185" s="10">
        <f>IF($F185=0,0,Расчет2!BB185)</f>
        <v>0</v>
      </c>
      <c r="W185" s="10">
        <f>Расчет!DL185</f>
        <v>0</v>
      </c>
      <c r="X185" s="10">
        <f>Расчет!DN185</f>
        <v>0</v>
      </c>
      <c r="Y185" s="9">
        <f>X185*Исходн.данные.!$AJ185/1000</f>
        <v>0</v>
      </c>
      <c r="Z185" s="10" t="str">
        <f>Расчет!DO185</f>
        <v>Хлор.калий</v>
      </c>
      <c r="AA185" s="10">
        <f>Расчет!DQ185</f>
        <v>0</v>
      </c>
      <c r="AB185" s="12">
        <f>AA185*Исходн.данные.!$AJ185/1000</f>
        <v>0</v>
      </c>
      <c r="AC185" s="9">
        <f>IF($F185=0,0,Расчет2!BC185)</f>
        <v>0</v>
      </c>
      <c r="AD185" s="10">
        <f>IF($F185=0,0,Расчет2!BD185)</f>
        <v>0</v>
      </c>
      <c r="AE185" s="9">
        <f>IF($F185=0,0,Расчет2!BE185)</f>
        <v>0</v>
      </c>
      <c r="AF185" s="9">
        <f>IF($F185=0,0,Расчет2!BF185)</f>
        <v>0</v>
      </c>
      <c r="AG185" s="9">
        <f>IF($F185=0,0,Расчет2!BG185)</f>
        <v>0</v>
      </c>
      <c r="AI185" s="11" t="e">
        <f>Расчет!FY185</f>
        <v>#N/A</v>
      </c>
      <c r="AJ185" s="11" t="e">
        <f>Расчет!FZ185</f>
        <v>#N/A</v>
      </c>
      <c r="AK185" s="11" t="e">
        <f>Расчет!GA185</f>
        <v>#N/A</v>
      </c>
      <c r="AL185" s="11" t="e">
        <f>Расчет!GB185</f>
        <v>#N/A</v>
      </c>
      <c r="AM185" s="11" t="e">
        <f>Расчет!GC185</f>
        <v>#N/A</v>
      </c>
      <c r="AN185" s="11" t="e">
        <f>Расчет!GD185</f>
        <v>#N/A</v>
      </c>
      <c r="AO185" s="11" t="e">
        <f>Расчет!GE185</f>
        <v>#N/A</v>
      </c>
      <c r="AP185" s="11" t="e">
        <f>Расчет!GF185</f>
        <v>#N/A</v>
      </c>
      <c r="AQ185" s="11" t="e">
        <f>Расчет!GG185</f>
        <v>#N/A</v>
      </c>
      <c r="AR185" s="11" t="e">
        <f>Расчет!GH185</f>
        <v>#N/A</v>
      </c>
      <c r="AS185" s="11" t="e">
        <f>Расчет!GI185</f>
        <v>#N/A</v>
      </c>
      <c r="AT185" s="11" t="e">
        <f>Расчет!GJ185</f>
        <v>#N/A</v>
      </c>
      <c r="AU185" s="198" t="e">
        <f t="shared" si="21"/>
        <v>#N/A</v>
      </c>
      <c r="AV185" s="198" t="e">
        <f t="shared" si="22"/>
        <v>#N/A</v>
      </c>
      <c r="AW185" s="198" t="e">
        <f t="shared" si="23"/>
        <v>#N/A</v>
      </c>
      <c r="AX185" s="11" t="e">
        <f t="shared" si="24"/>
        <v>#N/A</v>
      </c>
      <c r="AY185" s="11" t="e">
        <f t="shared" si="25"/>
        <v>#N/A</v>
      </c>
      <c r="AZ185" s="11" t="e">
        <f t="shared" si="26"/>
        <v>#N/A</v>
      </c>
    </row>
    <row r="186" spans="1:52" x14ac:dyDescent="0.2">
      <c r="A186" s="6">
        <f>Исходн.данные.!A186</f>
        <v>0</v>
      </c>
      <c r="B186" s="6">
        <f>Исходн.данные.!B186</f>
        <v>0</v>
      </c>
      <c r="C186" s="6">
        <f>Исходн.данные.!C186</f>
        <v>0</v>
      </c>
      <c r="D186" s="6">
        <f>Исходн.данные.!D186</f>
        <v>0</v>
      </c>
      <c r="E186" s="6">
        <f>Исходн.данные.!E186</f>
        <v>0</v>
      </c>
      <c r="F186" s="6">
        <f>Исходн.данные.!AH186</f>
        <v>0</v>
      </c>
      <c r="G186" s="6">
        <f>Исходн.данные.!AJ186</f>
        <v>0</v>
      </c>
      <c r="H186" s="6">
        <f>Исходн.данные.!AK186</f>
        <v>0</v>
      </c>
      <c r="I186" s="9">
        <f>IF($F186=0,0,Расчет2!AO186)</f>
        <v>0</v>
      </c>
      <c r="J186" s="9">
        <f>IF(F186=0,0,Расчет2!AP186)</f>
        <v>0</v>
      </c>
      <c r="K186" s="10">
        <f>IF($F186=0,0,Расчет2!AQ186)</f>
        <v>0</v>
      </c>
      <c r="L186" s="10">
        <f>IF($F186=0,0,Расчет2!AR186)</f>
        <v>0</v>
      </c>
      <c r="M186" s="10">
        <f>IF($F186=0,0,Расчет2!AS186)</f>
        <v>0</v>
      </c>
      <c r="N186" s="10">
        <f>IF($F186=0,0,IF(Исходн.данные.!$AP186="Посл.посева",0,Расчет2!AT186))</f>
        <v>0</v>
      </c>
      <c r="O186" s="10">
        <f>IF($F186=0,0,IF(Исходн.данные.!$AP186="Посл.посева",0,IF(Расчет2!AU186&lt;10,10,Расчет2!AU186)))</f>
        <v>0</v>
      </c>
      <c r="P186" s="10">
        <f>IF($F186=0,0,IF(Исходн.данные.!$AP186="Посл.посева",0,Расчет2!AV186))</f>
        <v>0</v>
      </c>
      <c r="Q186" s="10">
        <f>IF($F186=0,0,Расчет2!AW186)</f>
        <v>0</v>
      </c>
      <c r="R186" s="10">
        <f>IF($F186=0,0,Расчет2!AX186)</f>
        <v>0</v>
      </c>
      <c r="S186" s="9">
        <f>IF($F186=0,0,Расчет2!AY186)</f>
        <v>0</v>
      </c>
      <c r="T186" s="10">
        <f>IF($F186=0,0,Расчет2!AZ186)</f>
        <v>0</v>
      </c>
      <c r="U186" s="10">
        <f>IF($F186=0,0,Расчет2!BA186)</f>
        <v>0</v>
      </c>
      <c r="V186" s="10">
        <f>IF($F186=0,0,Расчет2!BB186)</f>
        <v>0</v>
      </c>
      <c r="W186" s="10">
        <f>Расчет!DL186</f>
        <v>0</v>
      </c>
      <c r="X186" s="10">
        <f>Расчет!DN186</f>
        <v>0</v>
      </c>
      <c r="Y186" s="9">
        <f>X186*Исходн.данные.!$AJ186/1000</f>
        <v>0</v>
      </c>
      <c r="Z186" s="10" t="str">
        <f>Расчет!DO186</f>
        <v>Хлор.калий</v>
      </c>
      <c r="AA186" s="10">
        <f>Расчет!DQ186</f>
        <v>0</v>
      </c>
      <c r="AB186" s="12">
        <f>AA186*Исходн.данные.!$AJ186/1000</f>
        <v>0</v>
      </c>
      <c r="AC186" s="9">
        <f>IF($F186=0,0,Расчет2!BC186)</f>
        <v>0</v>
      </c>
      <c r="AD186" s="10">
        <f>IF($F186=0,0,Расчет2!BD186)</f>
        <v>0</v>
      </c>
      <c r="AE186" s="9">
        <f>IF($F186=0,0,Расчет2!BE186)</f>
        <v>0</v>
      </c>
      <c r="AF186" s="9">
        <f>IF($F186=0,0,Расчет2!BF186)</f>
        <v>0</v>
      </c>
      <c r="AG186" s="9">
        <f>IF($F186=0,0,Расчет2!BG186)</f>
        <v>0</v>
      </c>
      <c r="AI186" s="11" t="e">
        <f>Расчет!FY186</f>
        <v>#N/A</v>
      </c>
      <c r="AJ186" s="11" t="e">
        <f>Расчет!FZ186</f>
        <v>#N/A</v>
      </c>
      <c r="AK186" s="11" t="e">
        <f>Расчет!GA186</f>
        <v>#N/A</v>
      </c>
      <c r="AL186" s="11" t="e">
        <f>Расчет!GB186</f>
        <v>#N/A</v>
      </c>
      <c r="AM186" s="11" t="e">
        <f>Расчет!GC186</f>
        <v>#N/A</v>
      </c>
      <c r="AN186" s="11" t="e">
        <f>Расчет!GD186</f>
        <v>#N/A</v>
      </c>
      <c r="AO186" s="11" t="e">
        <f>Расчет!GE186</f>
        <v>#N/A</v>
      </c>
      <c r="AP186" s="11" t="e">
        <f>Расчет!GF186</f>
        <v>#N/A</v>
      </c>
      <c r="AQ186" s="11" t="e">
        <f>Расчет!GG186</f>
        <v>#N/A</v>
      </c>
      <c r="AR186" s="11" t="e">
        <f>Расчет!GH186</f>
        <v>#N/A</v>
      </c>
      <c r="AS186" s="11" t="e">
        <f>Расчет!GI186</f>
        <v>#N/A</v>
      </c>
      <c r="AT186" s="11" t="e">
        <f>Расчет!GJ186</f>
        <v>#N/A</v>
      </c>
      <c r="AU186" s="198" t="e">
        <f t="shared" si="21"/>
        <v>#N/A</v>
      </c>
      <c r="AV186" s="198" t="e">
        <f t="shared" si="22"/>
        <v>#N/A</v>
      </c>
      <c r="AW186" s="198" t="e">
        <f t="shared" si="23"/>
        <v>#N/A</v>
      </c>
      <c r="AX186" s="11" t="e">
        <f t="shared" si="24"/>
        <v>#N/A</v>
      </c>
      <c r="AY186" s="11" t="e">
        <f t="shared" si="25"/>
        <v>#N/A</v>
      </c>
      <c r="AZ186" s="11" t="e">
        <f t="shared" si="26"/>
        <v>#N/A</v>
      </c>
    </row>
    <row r="187" spans="1:52" x14ac:dyDescent="0.2">
      <c r="A187" s="6">
        <f>Исходн.данные.!A187</f>
        <v>0</v>
      </c>
      <c r="B187" s="6">
        <f>Исходн.данные.!B187</f>
        <v>0</v>
      </c>
      <c r="C187" s="6">
        <f>Исходн.данные.!C187</f>
        <v>0</v>
      </c>
      <c r="D187" s="6">
        <f>Исходн.данные.!D187</f>
        <v>0</v>
      </c>
      <c r="E187" s="6">
        <f>Исходн.данные.!E187</f>
        <v>0</v>
      </c>
      <c r="F187" s="6">
        <f>Исходн.данные.!AH187</f>
        <v>0</v>
      </c>
      <c r="G187" s="6">
        <f>Исходн.данные.!AJ187</f>
        <v>0</v>
      </c>
      <c r="H187" s="6">
        <f>Исходн.данные.!AK187</f>
        <v>0</v>
      </c>
      <c r="I187" s="9">
        <f>IF($F187=0,0,Расчет2!AO187)</f>
        <v>0</v>
      </c>
      <c r="J187" s="9">
        <f>IF(F187=0,0,Расчет2!AP187)</f>
        <v>0</v>
      </c>
      <c r="K187" s="10">
        <f>IF($F187=0,0,Расчет2!AQ187)</f>
        <v>0</v>
      </c>
      <c r="L187" s="10">
        <f>IF($F187=0,0,Расчет2!AR187)</f>
        <v>0</v>
      </c>
      <c r="M187" s="10">
        <f>IF($F187=0,0,Расчет2!AS187)</f>
        <v>0</v>
      </c>
      <c r="N187" s="10">
        <f>IF($F187=0,0,IF(Исходн.данные.!$AP187="Посл.посева",0,Расчет2!AT187))</f>
        <v>0</v>
      </c>
      <c r="O187" s="10">
        <f>IF($F187=0,0,IF(Исходн.данные.!$AP187="Посл.посева",0,IF(Расчет2!AU187&lt;10,10,Расчет2!AU187)))</f>
        <v>0</v>
      </c>
      <c r="P187" s="10">
        <f>IF($F187=0,0,IF(Исходн.данные.!$AP187="Посл.посева",0,Расчет2!AV187))</f>
        <v>0</v>
      </c>
      <c r="Q187" s="10">
        <f>IF($F187=0,0,Расчет2!AW187)</f>
        <v>0</v>
      </c>
      <c r="R187" s="10">
        <f>IF($F187=0,0,Расчет2!AX187)</f>
        <v>0</v>
      </c>
      <c r="S187" s="9">
        <f>IF($F187=0,0,Расчет2!AY187)</f>
        <v>0</v>
      </c>
      <c r="T187" s="10">
        <f>IF($F187=0,0,Расчет2!AZ187)</f>
        <v>0</v>
      </c>
      <c r="U187" s="10">
        <f>IF($F187=0,0,Расчет2!BA187)</f>
        <v>0</v>
      </c>
      <c r="V187" s="10">
        <f>IF($F187=0,0,Расчет2!BB187)</f>
        <v>0</v>
      </c>
      <c r="W187" s="10">
        <f>Расчет!DL187</f>
        <v>0</v>
      </c>
      <c r="X187" s="10">
        <f>Расчет!DN187</f>
        <v>0</v>
      </c>
      <c r="Y187" s="9">
        <f>X187*Исходн.данные.!$AJ187/1000</f>
        <v>0</v>
      </c>
      <c r="Z187" s="10" t="str">
        <f>Расчет!DO187</f>
        <v>Хлор.калий</v>
      </c>
      <c r="AA187" s="10">
        <f>Расчет!DQ187</f>
        <v>0</v>
      </c>
      <c r="AB187" s="12">
        <f>AA187*Исходн.данные.!$AJ187/1000</f>
        <v>0</v>
      </c>
      <c r="AC187" s="9">
        <f>IF($F187=0,0,Расчет2!BC187)</f>
        <v>0</v>
      </c>
      <c r="AD187" s="10">
        <f>IF($F187=0,0,Расчет2!BD187)</f>
        <v>0</v>
      </c>
      <c r="AE187" s="9">
        <f>IF($F187=0,0,Расчет2!BE187)</f>
        <v>0</v>
      </c>
      <c r="AF187" s="9">
        <f>IF($F187=0,0,Расчет2!BF187)</f>
        <v>0</v>
      </c>
      <c r="AG187" s="9">
        <f>IF($F187=0,0,Расчет2!BG187)</f>
        <v>0</v>
      </c>
      <c r="AI187" s="11" t="e">
        <f>Расчет!FY187</f>
        <v>#N/A</v>
      </c>
      <c r="AJ187" s="11" t="e">
        <f>Расчет!FZ187</f>
        <v>#N/A</v>
      </c>
      <c r="AK187" s="11" t="e">
        <f>Расчет!GA187</f>
        <v>#N/A</v>
      </c>
      <c r="AL187" s="11" t="e">
        <f>Расчет!GB187</f>
        <v>#N/A</v>
      </c>
      <c r="AM187" s="11" t="e">
        <f>Расчет!GC187</f>
        <v>#N/A</v>
      </c>
      <c r="AN187" s="11" t="e">
        <f>Расчет!GD187</f>
        <v>#N/A</v>
      </c>
      <c r="AO187" s="11" t="e">
        <f>Расчет!GE187</f>
        <v>#N/A</v>
      </c>
      <c r="AP187" s="11" t="e">
        <f>Расчет!GF187</f>
        <v>#N/A</v>
      </c>
      <c r="AQ187" s="11" t="e">
        <f>Расчет!GG187</f>
        <v>#N/A</v>
      </c>
      <c r="AR187" s="11" t="e">
        <f>Расчет!GH187</f>
        <v>#N/A</v>
      </c>
      <c r="AS187" s="11" t="e">
        <f>Расчет!GI187</f>
        <v>#N/A</v>
      </c>
      <c r="AT187" s="11" t="e">
        <f>Расчет!GJ187</f>
        <v>#N/A</v>
      </c>
      <c r="AU187" s="198" t="e">
        <f t="shared" si="21"/>
        <v>#N/A</v>
      </c>
      <c r="AV187" s="198" t="e">
        <f t="shared" si="22"/>
        <v>#N/A</v>
      </c>
      <c r="AW187" s="198" t="e">
        <f t="shared" si="23"/>
        <v>#N/A</v>
      </c>
      <c r="AX187" s="11" t="e">
        <f t="shared" si="24"/>
        <v>#N/A</v>
      </c>
      <c r="AY187" s="11" t="e">
        <f t="shared" si="25"/>
        <v>#N/A</v>
      </c>
      <c r="AZ187" s="11" t="e">
        <f t="shared" si="26"/>
        <v>#N/A</v>
      </c>
    </row>
    <row r="188" spans="1:52" x14ac:dyDescent="0.2">
      <c r="A188" s="6">
        <f>Исходн.данные.!A188</f>
        <v>0</v>
      </c>
      <c r="B188" s="6">
        <f>Исходн.данные.!B188</f>
        <v>0</v>
      </c>
      <c r="C188" s="6">
        <f>Исходн.данные.!C188</f>
        <v>0</v>
      </c>
      <c r="D188" s="6">
        <f>Исходн.данные.!D188</f>
        <v>0</v>
      </c>
      <c r="E188" s="6">
        <f>Исходн.данные.!E188</f>
        <v>0</v>
      </c>
      <c r="F188" s="6">
        <f>Исходн.данные.!AH188</f>
        <v>0</v>
      </c>
      <c r="G188" s="6">
        <f>Исходн.данные.!AJ188</f>
        <v>0</v>
      </c>
      <c r="H188" s="6">
        <f>Исходн.данные.!AK188</f>
        <v>0</v>
      </c>
      <c r="I188" s="9">
        <f>IF($F188=0,0,Расчет2!AO188)</f>
        <v>0</v>
      </c>
      <c r="J188" s="9">
        <f>IF(F188=0,0,Расчет2!AP188)</f>
        <v>0</v>
      </c>
      <c r="K188" s="10">
        <f>IF($F188=0,0,Расчет2!AQ188)</f>
        <v>0</v>
      </c>
      <c r="L188" s="10">
        <f>IF($F188=0,0,Расчет2!AR188)</f>
        <v>0</v>
      </c>
      <c r="M188" s="10">
        <f>IF($F188=0,0,Расчет2!AS188)</f>
        <v>0</v>
      </c>
      <c r="N188" s="10">
        <f>IF($F188=0,0,IF(Исходн.данные.!$AP188="Посл.посева",0,Расчет2!AT188))</f>
        <v>0</v>
      </c>
      <c r="O188" s="10">
        <f>IF($F188=0,0,IF(Исходн.данные.!$AP188="Посл.посева",0,IF(Расчет2!AU188&lt;10,10,Расчет2!AU188)))</f>
        <v>0</v>
      </c>
      <c r="P188" s="10">
        <f>IF($F188=0,0,IF(Исходн.данные.!$AP188="Посл.посева",0,Расчет2!AV188))</f>
        <v>0</v>
      </c>
      <c r="Q188" s="10">
        <f>IF($F188=0,0,Расчет2!AW188)</f>
        <v>0</v>
      </c>
      <c r="R188" s="10">
        <f>IF($F188=0,0,Расчет2!AX188)</f>
        <v>0</v>
      </c>
      <c r="S188" s="9">
        <f>IF($F188=0,0,Расчет2!AY188)</f>
        <v>0</v>
      </c>
      <c r="T188" s="10">
        <f>IF($F188=0,0,Расчет2!AZ188)</f>
        <v>0</v>
      </c>
      <c r="U188" s="10">
        <f>IF($F188=0,0,Расчет2!BA188)</f>
        <v>0</v>
      </c>
      <c r="V188" s="10">
        <f>IF($F188=0,0,Расчет2!BB188)</f>
        <v>0</v>
      </c>
      <c r="W188" s="10">
        <f>Расчет!DL188</f>
        <v>0</v>
      </c>
      <c r="X188" s="10">
        <f>Расчет!DN188</f>
        <v>0</v>
      </c>
      <c r="Y188" s="9">
        <f>X188*Исходн.данные.!$AJ188/1000</f>
        <v>0</v>
      </c>
      <c r="Z188" s="10" t="str">
        <f>Расчет!DO188</f>
        <v>Хлор.калий</v>
      </c>
      <c r="AA188" s="10">
        <f>Расчет!DQ188</f>
        <v>0</v>
      </c>
      <c r="AB188" s="12">
        <f>AA188*Исходн.данные.!$AJ188/1000</f>
        <v>0</v>
      </c>
      <c r="AC188" s="9">
        <f>IF($F188=0,0,Расчет2!BC188)</f>
        <v>0</v>
      </c>
      <c r="AD188" s="10">
        <f>IF($F188=0,0,Расчет2!BD188)</f>
        <v>0</v>
      </c>
      <c r="AE188" s="9">
        <f>IF($F188=0,0,Расчет2!BE188)</f>
        <v>0</v>
      </c>
      <c r="AF188" s="9">
        <f>IF($F188=0,0,Расчет2!BF188)</f>
        <v>0</v>
      </c>
      <c r="AG188" s="9">
        <f>IF($F188=0,0,Расчет2!BG188)</f>
        <v>0</v>
      </c>
      <c r="AI188" s="11" t="e">
        <f>Расчет!FY188</f>
        <v>#N/A</v>
      </c>
      <c r="AJ188" s="11" t="e">
        <f>Расчет!FZ188</f>
        <v>#N/A</v>
      </c>
      <c r="AK188" s="11" t="e">
        <f>Расчет!GA188</f>
        <v>#N/A</v>
      </c>
      <c r="AL188" s="11" t="e">
        <f>Расчет!GB188</f>
        <v>#N/A</v>
      </c>
      <c r="AM188" s="11" t="e">
        <f>Расчет!GC188</f>
        <v>#N/A</v>
      </c>
      <c r="AN188" s="11" t="e">
        <f>Расчет!GD188</f>
        <v>#N/A</v>
      </c>
      <c r="AO188" s="11" t="e">
        <f>Расчет!GE188</f>
        <v>#N/A</v>
      </c>
      <c r="AP188" s="11" t="e">
        <f>Расчет!GF188</f>
        <v>#N/A</v>
      </c>
      <c r="AQ188" s="11" t="e">
        <f>Расчет!GG188</f>
        <v>#N/A</v>
      </c>
      <c r="AR188" s="11" t="e">
        <f>Расчет!GH188</f>
        <v>#N/A</v>
      </c>
      <c r="AS188" s="11" t="e">
        <f>Расчет!GI188</f>
        <v>#N/A</v>
      </c>
      <c r="AT188" s="11" t="e">
        <f>Расчет!GJ188</f>
        <v>#N/A</v>
      </c>
      <c r="AU188" s="198" t="e">
        <f t="shared" si="21"/>
        <v>#N/A</v>
      </c>
      <c r="AV188" s="198" t="e">
        <f t="shared" si="22"/>
        <v>#N/A</v>
      </c>
      <c r="AW188" s="198" t="e">
        <f t="shared" si="23"/>
        <v>#N/A</v>
      </c>
      <c r="AX188" s="11" t="e">
        <f t="shared" si="24"/>
        <v>#N/A</v>
      </c>
      <c r="AY188" s="11" t="e">
        <f t="shared" si="25"/>
        <v>#N/A</v>
      </c>
      <c r="AZ188" s="11" t="e">
        <f t="shared" si="26"/>
        <v>#N/A</v>
      </c>
    </row>
    <row r="189" spans="1:52" x14ac:dyDescent="0.2">
      <c r="A189" s="6">
        <f>Исходн.данные.!A189</f>
        <v>0</v>
      </c>
      <c r="B189" s="6">
        <f>Исходн.данные.!B189</f>
        <v>0</v>
      </c>
      <c r="C189" s="6">
        <f>Исходн.данные.!C189</f>
        <v>0</v>
      </c>
      <c r="D189" s="6">
        <f>Исходн.данные.!D189</f>
        <v>0</v>
      </c>
      <c r="E189" s="6">
        <f>Исходн.данные.!E189</f>
        <v>0</v>
      </c>
      <c r="F189" s="6">
        <f>Исходн.данные.!AH189</f>
        <v>0</v>
      </c>
      <c r="G189" s="6">
        <f>Исходн.данные.!AJ189</f>
        <v>0</v>
      </c>
      <c r="H189" s="6">
        <f>Исходн.данные.!AK189</f>
        <v>0</v>
      </c>
      <c r="I189" s="9">
        <f>IF($F189=0,0,Расчет2!AO189)</f>
        <v>0</v>
      </c>
      <c r="J189" s="9">
        <f>IF(F189=0,0,Расчет2!AP189)</f>
        <v>0</v>
      </c>
      <c r="K189" s="10">
        <f>IF($F189=0,0,Расчет2!AQ189)</f>
        <v>0</v>
      </c>
      <c r="L189" s="10">
        <f>IF($F189=0,0,Расчет2!AR189)</f>
        <v>0</v>
      </c>
      <c r="M189" s="10">
        <f>IF($F189=0,0,Расчет2!AS189)</f>
        <v>0</v>
      </c>
      <c r="N189" s="10">
        <f>IF($F189=0,0,IF(Исходн.данные.!$AP189="Посл.посева",0,Расчет2!AT189))</f>
        <v>0</v>
      </c>
      <c r="O189" s="10">
        <f>IF($F189=0,0,IF(Исходн.данные.!$AP189="Посл.посева",0,IF(Расчет2!AU189&lt;10,10,Расчет2!AU189)))</f>
        <v>0</v>
      </c>
      <c r="P189" s="10">
        <f>IF($F189=0,0,IF(Исходн.данные.!$AP189="Посл.посева",0,Расчет2!AV189))</f>
        <v>0</v>
      </c>
      <c r="Q189" s="10">
        <f>IF($F189=0,0,Расчет2!AW189)</f>
        <v>0</v>
      </c>
      <c r="R189" s="10">
        <f>IF($F189=0,0,Расчет2!AX189)</f>
        <v>0</v>
      </c>
      <c r="S189" s="9">
        <f>IF($F189=0,0,Расчет2!AY189)</f>
        <v>0</v>
      </c>
      <c r="T189" s="10">
        <f>IF($F189=0,0,Расчет2!AZ189)</f>
        <v>0</v>
      </c>
      <c r="U189" s="10">
        <f>IF($F189=0,0,Расчет2!BA189)</f>
        <v>0</v>
      </c>
      <c r="V189" s="10">
        <f>IF($F189=0,0,Расчет2!BB189)</f>
        <v>0</v>
      </c>
      <c r="W189" s="10">
        <f>Расчет!DL189</f>
        <v>0</v>
      </c>
      <c r="X189" s="10">
        <f>Расчет!DN189</f>
        <v>0</v>
      </c>
      <c r="Y189" s="9">
        <f>X189*Исходн.данные.!$AJ189/1000</f>
        <v>0</v>
      </c>
      <c r="Z189" s="10" t="str">
        <f>Расчет!DO189</f>
        <v>Хлор.калий</v>
      </c>
      <c r="AA189" s="10">
        <f>Расчет!DQ189</f>
        <v>0</v>
      </c>
      <c r="AB189" s="12">
        <f>AA189*Исходн.данные.!$AJ189/1000</f>
        <v>0</v>
      </c>
      <c r="AC189" s="9">
        <f>IF($F189=0,0,Расчет2!BC189)</f>
        <v>0</v>
      </c>
      <c r="AD189" s="10">
        <f>IF($F189=0,0,Расчет2!BD189)</f>
        <v>0</v>
      </c>
      <c r="AE189" s="9">
        <f>IF($F189=0,0,Расчет2!BE189)</f>
        <v>0</v>
      </c>
      <c r="AF189" s="9">
        <f>IF($F189=0,0,Расчет2!BF189)</f>
        <v>0</v>
      </c>
      <c r="AG189" s="9">
        <f>IF($F189=0,0,Расчет2!BG189)</f>
        <v>0</v>
      </c>
      <c r="AI189" s="11" t="e">
        <f>Расчет!FY189</f>
        <v>#N/A</v>
      </c>
      <c r="AJ189" s="11" t="e">
        <f>Расчет!FZ189</f>
        <v>#N/A</v>
      </c>
      <c r="AK189" s="11" t="e">
        <f>Расчет!GA189</f>
        <v>#N/A</v>
      </c>
      <c r="AL189" s="11" t="e">
        <f>Расчет!GB189</f>
        <v>#N/A</v>
      </c>
      <c r="AM189" s="11" t="e">
        <f>Расчет!GC189</f>
        <v>#N/A</v>
      </c>
      <c r="AN189" s="11" t="e">
        <f>Расчет!GD189</f>
        <v>#N/A</v>
      </c>
      <c r="AO189" s="11" t="e">
        <f>Расчет!GE189</f>
        <v>#N/A</v>
      </c>
      <c r="AP189" s="11" t="e">
        <f>Расчет!GF189</f>
        <v>#N/A</v>
      </c>
      <c r="AQ189" s="11" t="e">
        <f>Расчет!GG189</f>
        <v>#N/A</v>
      </c>
      <c r="AR189" s="11" t="e">
        <f>Расчет!GH189</f>
        <v>#N/A</v>
      </c>
      <c r="AS189" s="11" t="e">
        <f>Расчет!GI189</f>
        <v>#N/A</v>
      </c>
      <c r="AT189" s="11" t="e">
        <f>Расчет!GJ189</f>
        <v>#N/A</v>
      </c>
      <c r="AU189" s="198" t="e">
        <f t="shared" si="21"/>
        <v>#N/A</v>
      </c>
      <c r="AV189" s="198" t="e">
        <f t="shared" si="22"/>
        <v>#N/A</v>
      </c>
      <c r="AW189" s="198" t="e">
        <f t="shared" si="23"/>
        <v>#N/A</v>
      </c>
      <c r="AX189" s="11" t="e">
        <f t="shared" si="24"/>
        <v>#N/A</v>
      </c>
      <c r="AY189" s="11" t="e">
        <f t="shared" si="25"/>
        <v>#N/A</v>
      </c>
      <c r="AZ189" s="11" t="e">
        <f t="shared" si="26"/>
        <v>#N/A</v>
      </c>
    </row>
    <row r="190" spans="1:52" x14ac:dyDescent="0.2">
      <c r="A190" s="6">
        <f>Исходн.данные.!A190</f>
        <v>0</v>
      </c>
      <c r="B190" s="6">
        <f>Исходн.данные.!B190</f>
        <v>0</v>
      </c>
      <c r="C190" s="6">
        <f>Исходн.данные.!C190</f>
        <v>0</v>
      </c>
      <c r="D190" s="6">
        <f>Исходн.данные.!D190</f>
        <v>0</v>
      </c>
      <c r="E190" s="6">
        <f>Исходн.данные.!E190</f>
        <v>0</v>
      </c>
      <c r="F190" s="6">
        <f>Исходн.данные.!AH190</f>
        <v>0</v>
      </c>
      <c r="G190" s="6">
        <f>Исходн.данные.!AJ190</f>
        <v>0</v>
      </c>
      <c r="H190" s="6">
        <f>Исходн.данные.!AK190</f>
        <v>0</v>
      </c>
      <c r="I190" s="9">
        <f>IF($F190=0,0,Расчет2!AO190)</f>
        <v>0</v>
      </c>
      <c r="J190" s="9">
        <f>IF(F190=0,0,Расчет2!AP190)</f>
        <v>0</v>
      </c>
      <c r="K190" s="10">
        <f>IF($F190=0,0,Расчет2!AQ190)</f>
        <v>0</v>
      </c>
      <c r="L190" s="10">
        <f>IF($F190=0,0,Расчет2!AR190)</f>
        <v>0</v>
      </c>
      <c r="M190" s="10">
        <f>IF($F190=0,0,Расчет2!AS190)</f>
        <v>0</v>
      </c>
      <c r="N190" s="10">
        <f>IF($F190=0,0,IF(Исходн.данные.!$AP190="Посл.посева",0,Расчет2!AT190))</f>
        <v>0</v>
      </c>
      <c r="O190" s="10">
        <f>IF($F190=0,0,IF(Исходн.данные.!$AP190="Посл.посева",0,IF(Расчет2!AU190&lt;10,10,Расчет2!AU190)))</f>
        <v>0</v>
      </c>
      <c r="P190" s="10">
        <f>IF($F190=0,0,IF(Исходн.данные.!$AP190="Посл.посева",0,Расчет2!AV190))</f>
        <v>0</v>
      </c>
      <c r="Q190" s="10">
        <f>IF($F190=0,0,Расчет2!AW190)</f>
        <v>0</v>
      </c>
      <c r="R190" s="10">
        <f>IF($F190=0,0,Расчет2!AX190)</f>
        <v>0</v>
      </c>
      <c r="S190" s="9">
        <f>IF($F190=0,0,Расчет2!AY190)</f>
        <v>0</v>
      </c>
      <c r="T190" s="10">
        <f>IF($F190=0,0,Расчет2!AZ190)</f>
        <v>0</v>
      </c>
      <c r="U190" s="10">
        <f>IF($F190=0,0,Расчет2!BA190)</f>
        <v>0</v>
      </c>
      <c r="V190" s="10">
        <f>IF($F190=0,0,Расчет2!BB190)</f>
        <v>0</v>
      </c>
      <c r="W190" s="10">
        <f>Расчет!DL190</f>
        <v>0</v>
      </c>
      <c r="X190" s="10">
        <f>Расчет!DN190</f>
        <v>0</v>
      </c>
      <c r="Y190" s="9">
        <f>X190*Исходн.данные.!$AJ190/1000</f>
        <v>0</v>
      </c>
      <c r="Z190" s="10" t="str">
        <f>Расчет!DO190</f>
        <v>Хлор.калий</v>
      </c>
      <c r="AA190" s="10">
        <f>Расчет!DQ190</f>
        <v>0</v>
      </c>
      <c r="AB190" s="12">
        <f>AA190*Исходн.данные.!$AJ190/1000</f>
        <v>0</v>
      </c>
      <c r="AC190" s="9">
        <f>IF($F190=0,0,Расчет2!BC190)</f>
        <v>0</v>
      </c>
      <c r="AD190" s="10">
        <f>IF($F190=0,0,Расчет2!BD190)</f>
        <v>0</v>
      </c>
      <c r="AE190" s="9">
        <f>IF($F190=0,0,Расчет2!BE190)</f>
        <v>0</v>
      </c>
      <c r="AF190" s="9">
        <f>IF($F190=0,0,Расчет2!BF190)</f>
        <v>0</v>
      </c>
      <c r="AG190" s="9">
        <f>IF($F190=0,0,Расчет2!BG190)</f>
        <v>0</v>
      </c>
      <c r="AI190" s="11" t="e">
        <f>Расчет!FY190</f>
        <v>#N/A</v>
      </c>
      <c r="AJ190" s="11" t="e">
        <f>Расчет!FZ190</f>
        <v>#N/A</v>
      </c>
      <c r="AK190" s="11" t="e">
        <f>Расчет!GA190</f>
        <v>#N/A</v>
      </c>
      <c r="AL190" s="11" t="e">
        <f>Расчет!GB190</f>
        <v>#N/A</v>
      </c>
      <c r="AM190" s="11" t="e">
        <f>Расчет!GC190</f>
        <v>#N/A</v>
      </c>
      <c r="AN190" s="11" t="e">
        <f>Расчет!GD190</f>
        <v>#N/A</v>
      </c>
      <c r="AO190" s="11" t="e">
        <f>Расчет!GE190</f>
        <v>#N/A</v>
      </c>
      <c r="AP190" s="11" t="e">
        <f>Расчет!GF190</f>
        <v>#N/A</v>
      </c>
      <c r="AQ190" s="11" t="e">
        <f>Расчет!GG190</f>
        <v>#N/A</v>
      </c>
      <c r="AR190" s="11" t="e">
        <f>Расчет!GH190</f>
        <v>#N/A</v>
      </c>
      <c r="AS190" s="11" t="e">
        <f>Расчет!GI190</f>
        <v>#N/A</v>
      </c>
      <c r="AT190" s="11" t="e">
        <f>Расчет!GJ190</f>
        <v>#N/A</v>
      </c>
      <c r="AU190" s="198" t="e">
        <f t="shared" si="21"/>
        <v>#N/A</v>
      </c>
      <c r="AV190" s="198" t="e">
        <f t="shared" si="22"/>
        <v>#N/A</v>
      </c>
      <c r="AW190" s="198" t="e">
        <f t="shared" si="23"/>
        <v>#N/A</v>
      </c>
      <c r="AX190" s="11" t="e">
        <f t="shared" si="24"/>
        <v>#N/A</v>
      </c>
      <c r="AY190" s="11" t="e">
        <f t="shared" si="25"/>
        <v>#N/A</v>
      </c>
      <c r="AZ190" s="11" t="e">
        <f t="shared" si="26"/>
        <v>#N/A</v>
      </c>
    </row>
    <row r="191" spans="1:52" x14ac:dyDescent="0.2">
      <c r="A191" s="6">
        <f>Исходн.данные.!A191</f>
        <v>0</v>
      </c>
      <c r="B191" s="6">
        <f>Исходн.данные.!B191</f>
        <v>0</v>
      </c>
      <c r="C191" s="6">
        <f>Исходн.данные.!C191</f>
        <v>0</v>
      </c>
      <c r="D191" s="6">
        <f>Исходн.данные.!D191</f>
        <v>0</v>
      </c>
      <c r="E191" s="6">
        <f>Исходн.данные.!E191</f>
        <v>0</v>
      </c>
      <c r="F191" s="6">
        <f>Исходн.данные.!AH191</f>
        <v>0</v>
      </c>
      <c r="G191" s="6">
        <f>Исходн.данные.!AJ191</f>
        <v>0</v>
      </c>
      <c r="H191" s="6">
        <f>Исходн.данные.!AK191</f>
        <v>0</v>
      </c>
      <c r="I191" s="9">
        <f>IF($F191=0,0,Расчет2!AO191)</f>
        <v>0</v>
      </c>
      <c r="J191" s="9">
        <f>IF(F191=0,0,Расчет2!AP191)</f>
        <v>0</v>
      </c>
      <c r="K191" s="10">
        <f>IF($F191=0,0,Расчет2!AQ191)</f>
        <v>0</v>
      </c>
      <c r="L191" s="10">
        <f>IF($F191=0,0,Расчет2!AR191)</f>
        <v>0</v>
      </c>
      <c r="M191" s="10">
        <f>IF($F191=0,0,Расчет2!AS191)</f>
        <v>0</v>
      </c>
      <c r="N191" s="10">
        <f>IF($F191=0,0,IF(Исходн.данные.!$AP191="Посл.посева",0,Расчет2!AT191))</f>
        <v>0</v>
      </c>
      <c r="O191" s="10">
        <f>IF($F191=0,0,IF(Исходн.данные.!$AP191="Посл.посева",0,IF(Расчет2!AU191&lt;10,10,Расчет2!AU191)))</f>
        <v>0</v>
      </c>
      <c r="P191" s="10">
        <f>IF($F191=0,0,IF(Исходн.данные.!$AP191="Посл.посева",0,Расчет2!AV191))</f>
        <v>0</v>
      </c>
      <c r="Q191" s="10">
        <f>IF($F191=0,0,Расчет2!AW191)</f>
        <v>0</v>
      </c>
      <c r="R191" s="10">
        <f>IF($F191=0,0,Расчет2!AX191)</f>
        <v>0</v>
      </c>
      <c r="S191" s="9">
        <f>IF($F191=0,0,Расчет2!AY191)</f>
        <v>0</v>
      </c>
      <c r="T191" s="10">
        <f>IF($F191=0,0,Расчет2!AZ191)</f>
        <v>0</v>
      </c>
      <c r="U191" s="10">
        <f>IF($F191=0,0,Расчет2!BA191)</f>
        <v>0</v>
      </c>
      <c r="V191" s="10">
        <f>IF($F191=0,0,Расчет2!BB191)</f>
        <v>0</v>
      </c>
      <c r="W191" s="10">
        <f>Расчет!DL191</f>
        <v>0</v>
      </c>
      <c r="X191" s="10">
        <f>Расчет!DN191</f>
        <v>0</v>
      </c>
      <c r="Y191" s="9">
        <f>X191*Исходн.данные.!$AJ191/1000</f>
        <v>0</v>
      </c>
      <c r="Z191" s="10" t="str">
        <f>Расчет!DO191</f>
        <v>Хлор.калий</v>
      </c>
      <c r="AA191" s="10">
        <f>Расчет!DQ191</f>
        <v>0</v>
      </c>
      <c r="AB191" s="12">
        <f>AA191*Исходн.данные.!$AJ191/1000</f>
        <v>0</v>
      </c>
      <c r="AC191" s="9">
        <f>IF($F191=0,0,Расчет2!BC191)</f>
        <v>0</v>
      </c>
      <c r="AD191" s="10">
        <f>IF($F191=0,0,Расчет2!BD191)</f>
        <v>0</v>
      </c>
      <c r="AE191" s="9">
        <f>IF($F191=0,0,Расчет2!BE191)</f>
        <v>0</v>
      </c>
      <c r="AF191" s="9">
        <f>IF($F191=0,0,Расчет2!BF191)</f>
        <v>0</v>
      </c>
      <c r="AG191" s="9">
        <f>IF($F191=0,0,Расчет2!BG191)</f>
        <v>0</v>
      </c>
      <c r="AI191" s="11" t="e">
        <f>Расчет!FY191</f>
        <v>#N/A</v>
      </c>
      <c r="AJ191" s="11" t="e">
        <f>Расчет!FZ191</f>
        <v>#N/A</v>
      </c>
      <c r="AK191" s="11" t="e">
        <f>Расчет!GA191</f>
        <v>#N/A</v>
      </c>
      <c r="AL191" s="11" t="e">
        <f>Расчет!GB191</f>
        <v>#N/A</v>
      </c>
      <c r="AM191" s="11" t="e">
        <f>Расчет!GC191</f>
        <v>#N/A</v>
      </c>
      <c r="AN191" s="11" t="e">
        <f>Расчет!GD191</f>
        <v>#N/A</v>
      </c>
      <c r="AO191" s="11" t="e">
        <f>Расчет!GE191</f>
        <v>#N/A</v>
      </c>
      <c r="AP191" s="11" t="e">
        <f>Расчет!GF191</f>
        <v>#N/A</v>
      </c>
      <c r="AQ191" s="11" t="e">
        <f>Расчет!GG191</f>
        <v>#N/A</v>
      </c>
      <c r="AR191" s="11" t="e">
        <f>Расчет!GH191</f>
        <v>#N/A</v>
      </c>
      <c r="AS191" s="11" t="e">
        <f>Расчет!GI191</f>
        <v>#N/A</v>
      </c>
      <c r="AT191" s="11" t="e">
        <f>Расчет!GJ191</f>
        <v>#N/A</v>
      </c>
      <c r="AU191" s="198" t="e">
        <f t="shared" si="21"/>
        <v>#N/A</v>
      </c>
      <c r="AV191" s="198" t="e">
        <f t="shared" si="22"/>
        <v>#N/A</v>
      </c>
      <c r="AW191" s="198" t="e">
        <f t="shared" si="23"/>
        <v>#N/A</v>
      </c>
      <c r="AX191" s="11" t="e">
        <f t="shared" si="24"/>
        <v>#N/A</v>
      </c>
      <c r="AY191" s="11" t="e">
        <f t="shared" si="25"/>
        <v>#N/A</v>
      </c>
      <c r="AZ191" s="11" t="e">
        <f t="shared" si="26"/>
        <v>#N/A</v>
      </c>
    </row>
    <row r="192" spans="1:52" x14ac:dyDescent="0.2">
      <c r="A192" s="6">
        <f>Исходн.данные.!A192</f>
        <v>0</v>
      </c>
      <c r="B192" s="6">
        <f>Исходн.данные.!B192</f>
        <v>0</v>
      </c>
      <c r="C192" s="6">
        <f>Исходн.данные.!C192</f>
        <v>0</v>
      </c>
      <c r="D192" s="6">
        <f>Исходн.данные.!D192</f>
        <v>0</v>
      </c>
      <c r="E192" s="6">
        <f>Исходн.данные.!E192</f>
        <v>0</v>
      </c>
      <c r="F192" s="6">
        <f>Исходн.данные.!AH192</f>
        <v>0</v>
      </c>
      <c r="G192" s="6">
        <f>Исходн.данные.!AJ192</f>
        <v>0</v>
      </c>
      <c r="H192" s="6">
        <f>Исходн.данные.!AK192</f>
        <v>0</v>
      </c>
      <c r="I192" s="9">
        <f>IF($F192=0,0,Расчет2!AO192)</f>
        <v>0</v>
      </c>
      <c r="J192" s="9">
        <f>IF(F192=0,0,Расчет2!AP192)</f>
        <v>0</v>
      </c>
      <c r="K192" s="10">
        <f>IF($F192=0,0,Расчет2!AQ192)</f>
        <v>0</v>
      </c>
      <c r="L192" s="10">
        <f>IF($F192=0,0,Расчет2!AR192)</f>
        <v>0</v>
      </c>
      <c r="M192" s="10">
        <f>IF($F192=0,0,Расчет2!AS192)</f>
        <v>0</v>
      </c>
      <c r="N192" s="10">
        <f>IF($F192=0,0,IF(Исходн.данные.!$AP192="Посл.посева",0,Расчет2!AT192))</f>
        <v>0</v>
      </c>
      <c r="O192" s="10">
        <f>IF($F192=0,0,IF(Исходн.данные.!$AP192="Посл.посева",0,IF(Расчет2!AU192&lt;10,10,Расчет2!AU192)))</f>
        <v>0</v>
      </c>
      <c r="P192" s="10">
        <f>IF($F192=0,0,IF(Исходн.данные.!$AP192="Посл.посева",0,Расчет2!AV192))</f>
        <v>0</v>
      </c>
      <c r="Q192" s="10">
        <f>IF($F192=0,0,Расчет2!AW192)</f>
        <v>0</v>
      </c>
      <c r="R192" s="10">
        <f>IF($F192=0,0,Расчет2!AX192)</f>
        <v>0</v>
      </c>
      <c r="S192" s="9">
        <f>IF($F192=0,0,Расчет2!AY192)</f>
        <v>0</v>
      </c>
      <c r="T192" s="10">
        <f>IF($F192=0,0,Расчет2!AZ192)</f>
        <v>0</v>
      </c>
      <c r="U192" s="10">
        <f>IF($F192=0,0,Расчет2!BA192)</f>
        <v>0</v>
      </c>
      <c r="V192" s="10">
        <f>IF($F192=0,0,Расчет2!BB192)</f>
        <v>0</v>
      </c>
      <c r="W192" s="10">
        <f>Расчет!DL192</f>
        <v>0</v>
      </c>
      <c r="X192" s="10">
        <f>Расчет!DN192</f>
        <v>0</v>
      </c>
      <c r="Y192" s="9">
        <f>X192*Исходн.данные.!$AJ192/1000</f>
        <v>0</v>
      </c>
      <c r="Z192" s="10" t="str">
        <f>Расчет!DO192</f>
        <v>Хлор.калий</v>
      </c>
      <c r="AA192" s="10">
        <f>Расчет!DQ192</f>
        <v>0</v>
      </c>
      <c r="AB192" s="12">
        <f>AA192*Исходн.данные.!$AJ192/1000</f>
        <v>0</v>
      </c>
      <c r="AC192" s="9">
        <f>IF($F192=0,0,Расчет2!BC192)</f>
        <v>0</v>
      </c>
      <c r="AD192" s="10">
        <f>IF($F192=0,0,Расчет2!BD192)</f>
        <v>0</v>
      </c>
      <c r="AE192" s="9">
        <f>IF($F192=0,0,Расчет2!BE192)</f>
        <v>0</v>
      </c>
      <c r="AF192" s="9">
        <f>IF($F192=0,0,Расчет2!BF192)</f>
        <v>0</v>
      </c>
      <c r="AG192" s="9">
        <f>IF($F192=0,0,Расчет2!BG192)</f>
        <v>0</v>
      </c>
      <c r="AI192" s="11" t="e">
        <f>Расчет!FY192</f>
        <v>#N/A</v>
      </c>
      <c r="AJ192" s="11" t="e">
        <f>Расчет!FZ192</f>
        <v>#N/A</v>
      </c>
      <c r="AK192" s="11" t="e">
        <f>Расчет!GA192</f>
        <v>#N/A</v>
      </c>
      <c r="AL192" s="11" t="e">
        <f>Расчет!GB192</f>
        <v>#N/A</v>
      </c>
      <c r="AM192" s="11" t="e">
        <f>Расчет!GC192</f>
        <v>#N/A</v>
      </c>
      <c r="AN192" s="11" t="e">
        <f>Расчет!GD192</f>
        <v>#N/A</v>
      </c>
      <c r="AO192" s="11" t="e">
        <f>Расчет!GE192</f>
        <v>#N/A</v>
      </c>
      <c r="AP192" s="11" t="e">
        <f>Расчет!GF192</f>
        <v>#N/A</v>
      </c>
      <c r="AQ192" s="11" t="e">
        <f>Расчет!GG192</f>
        <v>#N/A</v>
      </c>
      <c r="AR192" s="11" t="e">
        <f>Расчет!GH192</f>
        <v>#N/A</v>
      </c>
      <c r="AS192" s="11" t="e">
        <f>Расчет!GI192</f>
        <v>#N/A</v>
      </c>
      <c r="AT192" s="11" t="e">
        <f>Расчет!GJ192</f>
        <v>#N/A</v>
      </c>
      <c r="AU192" s="198" t="e">
        <f t="shared" si="21"/>
        <v>#N/A</v>
      </c>
      <c r="AV192" s="198" t="e">
        <f t="shared" si="22"/>
        <v>#N/A</v>
      </c>
      <c r="AW192" s="198" t="e">
        <f t="shared" si="23"/>
        <v>#N/A</v>
      </c>
      <c r="AX192" s="11" t="e">
        <f t="shared" si="24"/>
        <v>#N/A</v>
      </c>
      <c r="AY192" s="11" t="e">
        <f t="shared" si="25"/>
        <v>#N/A</v>
      </c>
      <c r="AZ192" s="11" t="e">
        <f t="shared" si="26"/>
        <v>#N/A</v>
      </c>
    </row>
    <row r="193" spans="1:52" x14ac:dyDescent="0.2">
      <c r="A193" s="6">
        <f>Исходн.данные.!A193</f>
        <v>0</v>
      </c>
      <c r="B193" s="6">
        <f>Исходн.данные.!B193</f>
        <v>0</v>
      </c>
      <c r="C193" s="6">
        <f>Исходн.данные.!C193</f>
        <v>0</v>
      </c>
      <c r="D193" s="6">
        <f>Исходн.данные.!D193</f>
        <v>0</v>
      </c>
      <c r="E193" s="6">
        <f>Исходн.данные.!E193</f>
        <v>0</v>
      </c>
      <c r="F193" s="6">
        <f>Исходн.данные.!AH193</f>
        <v>0</v>
      </c>
      <c r="G193" s="6">
        <f>Исходн.данные.!AJ193</f>
        <v>0</v>
      </c>
      <c r="H193" s="6">
        <f>Исходн.данные.!AK193</f>
        <v>0</v>
      </c>
      <c r="I193" s="9">
        <f>IF($F193=0,0,Расчет2!AO193)</f>
        <v>0</v>
      </c>
      <c r="J193" s="9">
        <f>IF(F193=0,0,Расчет2!AP193)</f>
        <v>0</v>
      </c>
      <c r="K193" s="10">
        <f>IF($F193=0,0,Расчет2!AQ193)</f>
        <v>0</v>
      </c>
      <c r="L193" s="10">
        <f>IF($F193=0,0,Расчет2!AR193)</f>
        <v>0</v>
      </c>
      <c r="M193" s="10">
        <f>IF($F193=0,0,Расчет2!AS193)</f>
        <v>0</v>
      </c>
      <c r="N193" s="10">
        <f>IF($F193=0,0,IF(Исходн.данные.!$AP193="Посл.посева",0,Расчет2!AT193))</f>
        <v>0</v>
      </c>
      <c r="O193" s="10">
        <f>IF($F193=0,0,IF(Исходн.данные.!$AP193="Посл.посева",0,IF(Расчет2!AU193&lt;10,10,Расчет2!AU193)))</f>
        <v>0</v>
      </c>
      <c r="P193" s="10">
        <f>IF($F193=0,0,IF(Исходн.данные.!$AP193="Посл.посева",0,Расчет2!AV193))</f>
        <v>0</v>
      </c>
      <c r="Q193" s="10">
        <f>IF($F193=0,0,Расчет2!AW193)</f>
        <v>0</v>
      </c>
      <c r="R193" s="10">
        <f>IF($F193=0,0,Расчет2!AX193)</f>
        <v>0</v>
      </c>
      <c r="S193" s="9">
        <f>IF($F193=0,0,Расчет2!AY193)</f>
        <v>0</v>
      </c>
      <c r="T193" s="10">
        <f>IF($F193=0,0,Расчет2!AZ193)</f>
        <v>0</v>
      </c>
      <c r="U193" s="10">
        <f>IF($F193=0,0,Расчет2!BA193)</f>
        <v>0</v>
      </c>
      <c r="V193" s="10">
        <f>IF($F193=0,0,Расчет2!BB193)</f>
        <v>0</v>
      </c>
      <c r="W193" s="10">
        <f>Расчет!DL193</f>
        <v>0</v>
      </c>
      <c r="X193" s="10">
        <f>Расчет!DN193</f>
        <v>0</v>
      </c>
      <c r="Y193" s="9">
        <f>X193*Исходн.данные.!$AJ193/1000</f>
        <v>0</v>
      </c>
      <c r="Z193" s="10" t="str">
        <f>Расчет!DO193</f>
        <v>Хлор.калий</v>
      </c>
      <c r="AA193" s="10">
        <f>Расчет!DQ193</f>
        <v>0</v>
      </c>
      <c r="AB193" s="12">
        <f>AA193*Исходн.данные.!$AJ193/1000</f>
        <v>0</v>
      </c>
      <c r="AC193" s="9">
        <f>IF($F193=0,0,Расчет2!BC193)</f>
        <v>0</v>
      </c>
      <c r="AD193" s="10">
        <f>IF($F193=0,0,Расчет2!BD193)</f>
        <v>0</v>
      </c>
      <c r="AE193" s="9">
        <f>IF($F193=0,0,Расчет2!BE193)</f>
        <v>0</v>
      </c>
      <c r="AF193" s="9">
        <f>IF($F193=0,0,Расчет2!BF193)</f>
        <v>0</v>
      </c>
      <c r="AG193" s="9">
        <f>IF($F193=0,0,Расчет2!BG193)</f>
        <v>0</v>
      </c>
      <c r="AI193" s="11" t="e">
        <f>Расчет!FY193</f>
        <v>#N/A</v>
      </c>
      <c r="AJ193" s="11" t="e">
        <f>Расчет!FZ193</f>
        <v>#N/A</v>
      </c>
      <c r="AK193" s="11" t="e">
        <f>Расчет!GA193</f>
        <v>#N/A</v>
      </c>
      <c r="AL193" s="11" t="e">
        <f>Расчет!GB193</f>
        <v>#N/A</v>
      </c>
      <c r="AM193" s="11" t="e">
        <f>Расчет!GC193</f>
        <v>#N/A</v>
      </c>
      <c r="AN193" s="11" t="e">
        <f>Расчет!GD193</f>
        <v>#N/A</v>
      </c>
      <c r="AO193" s="11" t="e">
        <f>Расчет!GE193</f>
        <v>#N/A</v>
      </c>
      <c r="AP193" s="11" t="e">
        <f>Расчет!GF193</f>
        <v>#N/A</v>
      </c>
      <c r="AQ193" s="11" t="e">
        <f>Расчет!GG193</f>
        <v>#N/A</v>
      </c>
      <c r="AR193" s="11" t="e">
        <f>Расчет!GH193</f>
        <v>#N/A</v>
      </c>
      <c r="AS193" s="11" t="e">
        <f>Расчет!GI193</f>
        <v>#N/A</v>
      </c>
      <c r="AT193" s="11" t="e">
        <f>Расчет!GJ193</f>
        <v>#N/A</v>
      </c>
      <c r="AU193" s="198" t="e">
        <f t="shared" si="21"/>
        <v>#N/A</v>
      </c>
      <c r="AV193" s="198" t="e">
        <f t="shared" si="22"/>
        <v>#N/A</v>
      </c>
      <c r="AW193" s="198" t="e">
        <f t="shared" si="23"/>
        <v>#N/A</v>
      </c>
      <c r="AX193" s="11" t="e">
        <f t="shared" si="24"/>
        <v>#N/A</v>
      </c>
      <c r="AY193" s="11" t="e">
        <f t="shared" si="25"/>
        <v>#N/A</v>
      </c>
      <c r="AZ193" s="11" t="e">
        <f t="shared" si="26"/>
        <v>#N/A</v>
      </c>
    </row>
    <row r="194" spans="1:52" x14ac:dyDescent="0.2">
      <c r="A194" s="6">
        <f>Исходн.данные.!A194</f>
        <v>0</v>
      </c>
      <c r="B194" s="6">
        <f>Исходн.данные.!B194</f>
        <v>0</v>
      </c>
      <c r="C194" s="6">
        <f>Исходн.данные.!C194</f>
        <v>0</v>
      </c>
      <c r="D194" s="6">
        <f>Исходн.данные.!D194</f>
        <v>0</v>
      </c>
      <c r="E194" s="6">
        <f>Исходн.данные.!E194</f>
        <v>0</v>
      </c>
      <c r="F194" s="6">
        <f>Исходн.данные.!AH194</f>
        <v>0</v>
      </c>
      <c r="G194" s="6">
        <f>Исходн.данные.!AJ194</f>
        <v>0</v>
      </c>
      <c r="H194" s="6">
        <f>Исходн.данные.!AK194</f>
        <v>0</v>
      </c>
      <c r="I194" s="9">
        <f>IF($F194=0,0,Расчет2!AO194)</f>
        <v>0</v>
      </c>
      <c r="J194" s="9">
        <f>IF(F194=0,0,Расчет2!AP194)</f>
        <v>0</v>
      </c>
      <c r="K194" s="10">
        <f>IF($F194=0,0,Расчет2!AQ194)</f>
        <v>0</v>
      </c>
      <c r="L194" s="10">
        <f>IF($F194=0,0,Расчет2!AR194)</f>
        <v>0</v>
      </c>
      <c r="M194" s="10">
        <f>IF($F194=0,0,Расчет2!AS194)</f>
        <v>0</v>
      </c>
      <c r="N194" s="10">
        <f>IF($F194=0,0,IF(Исходн.данные.!$AP194="Посл.посева",0,Расчет2!AT194))</f>
        <v>0</v>
      </c>
      <c r="O194" s="10">
        <f>IF($F194=0,0,IF(Исходн.данные.!$AP194="Посл.посева",0,IF(Расчет2!AU194&lt;10,10,Расчет2!AU194)))</f>
        <v>0</v>
      </c>
      <c r="P194" s="10">
        <f>IF($F194=0,0,IF(Исходн.данные.!$AP194="Посл.посева",0,Расчет2!AV194))</f>
        <v>0</v>
      </c>
      <c r="Q194" s="10">
        <f>IF($F194=0,0,Расчет2!AW194)</f>
        <v>0</v>
      </c>
      <c r="R194" s="10">
        <f>IF($F194=0,0,Расчет2!AX194)</f>
        <v>0</v>
      </c>
      <c r="S194" s="9">
        <f>IF($F194=0,0,Расчет2!AY194)</f>
        <v>0</v>
      </c>
      <c r="T194" s="10">
        <f>IF($F194=0,0,Расчет2!AZ194)</f>
        <v>0</v>
      </c>
      <c r="U194" s="10">
        <f>IF($F194=0,0,Расчет2!BA194)</f>
        <v>0</v>
      </c>
      <c r="V194" s="10">
        <f>IF($F194=0,0,Расчет2!BB194)</f>
        <v>0</v>
      </c>
      <c r="W194" s="10">
        <f>Расчет!DL194</f>
        <v>0</v>
      </c>
      <c r="X194" s="10">
        <f>Расчет!DN194</f>
        <v>0</v>
      </c>
      <c r="Y194" s="9">
        <f>X194*Исходн.данные.!$AJ194/1000</f>
        <v>0</v>
      </c>
      <c r="Z194" s="10" t="str">
        <f>Расчет!DO194</f>
        <v>Хлор.калий</v>
      </c>
      <c r="AA194" s="10">
        <f>Расчет!DQ194</f>
        <v>0</v>
      </c>
      <c r="AB194" s="12">
        <f>AA194*Исходн.данные.!$AJ194/1000</f>
        <v>0</v>
      </c>
      <c r="AC194" s="9">
        <f>IF($F194=0,0,Расчет2!BC194)</f>
        <v>0</v>
      </c>
      <c r="AD194" s="10">
        <f>IF($F194=0,0,Расчет2!BD194)</f>
        <v>0</v>
      </c>
      <c r="AE194" s="9">
        <f>IF($F194=0,0,Расчет2!BE194)</f>
        <v>0</v>
      </c>
      <c r="AF194" s="9">
        <f>IF($F194=0,0,Расчет2!BF194)</f>
        <v>0</v>
      </c>
      <c r="AG194" s="9">
        <f>IF($F194=0,0,Расчет2!BG194)</f>
        <v>0</v>
      </c>
      <c r="AI194" s="11" t="e">
        <f>Расчет!FY194</f>
        <v>#N/A</v>
      </c>
      <c r="AJ194" s="11" t="e">
        <f>Расчет!FZ194</f>
        <v>#N/A</v>
      </c>
      <c r="AK194" s="11" t="e">
        <f>Расчет!GA194</f>
        <v>#N/A</v>
      </c>
      <c r="AL194" s="11" t="e">
        <f>Расчет!GB194</f>
        <v>#N/A</v>
      </c>
      <c r="AM194" s="11" t="e">
        <f>Расчет!GC194</f>
        <v>#N/A</v>
      </c>
      <c r="AN194" s="11" t="e">
        <f>Расчет!GD194</f>
        <v>#N/A</v>
      </c>
      <c r="AO194" s="11" t="e">
        <f>Расчет!GE194</f>
        <v>#N/A</v>
      </c>
      <c r="AP194" s="11" t="e">
        <f>Расчет!GF194</f>
        <v>#N/A</v>
      </c>
      <c r="AQ194" s="11" t="e">
        <f>Расчет!GG194</f>
        <v>#N/A</v>
      </c>
      <c r="AR194" s="11" t="e">
        <f>Расчет!GH194</f>
        <v>#N/A</v>
      </c>
      <c r="AS194" s="11" t="e">
        <f>Расчет!GI194</f>
        <v>#N/A</v>
      </c>
      <c r="AT194" s="11" t="e">
        <f>Расчет!GJ194</f>
        <v>#N/A</v>
      </c>
      <c r="AU194" s="198" t="e">
        <f t="shared" si="21"/>
        <v>#N/A</v>
      </c>
      <c r="AV194" s="198" t="e">
        <f t="shared" si="22"/>
        <v>#N/A</v>
      </c>
      <c r="AW194" s="198" t="e">
        <f t="shared" si="23"/>
        <v>#N/A</v>
      </c>
      <c r="AX194" s="11" t="e">
        <f t="shared" si="24"/>
        <v>#N/A</v>
      </c>
      <c r="AY194" s="11" t="e">
        <f t="shared" si="25"/>
        <v>#N/A</v>
      </c>
      <c r="AZ194" s="11" t="e">
        <f t="shared" si="26"/>
        <v>#N/A</v>
      </c>
    </row>
    <row r="195" spans="1:52" x14ac:dyDescent="0.2">
      <c r="A195" s="6">
        <f>Исходн.данные.!A195</f>
        <v>0</v>
      </c>
      <c r="B195" s="6">
        <f>Исходн.данные.!B195</f>
        <v>0</v>
      </c>
      <c r="C195" s="6">
        <f>Исходн.данные.!C195</f>
        <v>0</v>
      </c>
      <c r="D195" s="6">
        <f>Исходн.данные.!D195</f>
        <v>0</v>
      </c>
      <c r="E195" s="6">
        <f>Исходн.данные.!E195</f>
        <v>0</v>
      </c>
      <c r="F195" s="6">
        <f>Исходн.данные.!AH195</f>
        <v>0</v>
      </c>
      <c r="G195" s="6">
        <f>Исходн.данные.!AJ195</f>
        <v>0</v>
      </c>
      <c r="H195" s="6">
        <f>Исходн.данные.!AK195</f>
        <v>0</v>
      </c>
      <c r="I195" s="9">
        <f>IF($F195=0,0,Расчет2!AO195)</f>
        <v>0</v>
      </c>
      <c r="J195" s="9">
        <f>IF(F195=0,0,Расчет2!AP195)</f>
        <v>0</v>
      </c>
      <c r="K195" s="10">
        <f>IF($F195=0,0,Расчет2!AQ195)</f>
        <v>0</v>
      </c>
      <c r="L195" s="10">
        <f>IF($F195=0,0,Расчет2!AR195)</f>
        <v>0</v>
      </c>
      <c r="M195" s="10">
        <f>IF($F195=0,0,Расчет2!AS195)</f>
        <v>0</v>
      </c>
      <c r="N195" s="10">
        <f>IF($F195=0,0,IF(Исходн.данные.!$AP195="Посл.посева",0,Расчет2!AT195))</f>
        <v>0</v>
      </c>
      <c r="O195" s="10">
        <f>IF($F195=0,0,IF(Исходн.данные.!$AP195="Посл.посева",0,IF(Расчет2!AU195&lt;10,10,Расчет2!AU195)))</f>
        <v>0</v>
      </c>
      <c r="P195" s="10">
        <f>IF($F195=0,0,IF(Исходн.данные.!$AP195="Посл.посева",0,Расчет2!AV195))</f>
        <v>0</v>
      </c>
      <c r="Q195" s="10">
        <f>IF($F195=0,0,Расчет2!AW195)</f>
        <v>0</v>
      </c>
      <c r="R195" s="10">
        <f>IF($F195=0,0,Расчет2!AX195)</f>
        <v>0</v>
      </c>
      <c r="S195" s="9">
        <f>IF($F195=0,0,Расчет2!AY195)</f>
        <v>0</v>
      </c>
      <c r="T195" s="10">
        <f>IF($F195=0,0,Расчет2!AZ195)</f>
        <v>0</v>
      </c>
      <c r="U195" s="10">
        <f>IF($F195=0,0,Расчет2!BA195)</f>
        <v>0</v>
      </c>
      <c r="V195" s="10">
        <f>IF($F195=0,0,Расчет2!BB195)</f>
        <v>0</v>
      </c>
      <c r="W195" s="10">
        <f>Расчет!DL195</f>
        <v>0</v>
      </c>
      <c r="X195" s="10">
        <f>Расчет!DN195</f>
        <v>0</v>
      </c>
      <c r="Y195" s="9">
        <f>X195*Исходн.данные.!$AJ195/1000</f>
        <v>0</v>
      </c>
      <c r="Z195" s="10" t="str">
        <f>Расчет!DO195</f>
        <v>Хлор.калий</v>
      </c>
      <c r="AA195" s="10">
        <f>Расчет!DQ195</f>
        <v>0</v>
      </c>
      <c r="AB195" s="12">
        <f>AA195*Исходн.данные.!$AJ195/1000</f>
        <v>0</v>
      </c>
      <c r="AC195" s="9">
        <f>IF($F195=0,0,Расчет2!BC195)</f>
        <v>0</v>
      </c>
      <c r="AD195" s="10">
        <f>IF($F195=0,0,Расчет2!BD195)</f>
        <v>0</v>
      </c>
      <c r="AE195" s="9">
        <f>IF($F195=0,0,Расчет2!BE195)</f>
        <v>0</v>
      </c>
      <c r="AF195" s="9">
        <f>IF($F195=0,0,Расчет2!BF195)</f>
        <v>0</v>
      </c>
      <c r="AG195" s="9">
        <f>IF($F195=0,0,Расчет2!BG195)</f>
        <v>0</v>
      </c>
      <c r="AI195" s="11" t="e">
        <f>Расчет!FY195</f>
        <v>#N/A</v>
      </c>
      <c r="AJ195" s="11" t="e">
        <f>Расчет!FZ195</f>
        <v>#N/A</v>
      </c>
      <c r="AK195" s="11" t="e">
        <f>Расчет!GA195</f>
        <v>#N/A</v>
      </c>
      <c r="AL195" s="11" t="e">
        <f>Расчет!GB195</f>
        <v>#N/A</v>
      </c>
      <c r="AM195" s="11" t="e">
        <f>Расчет!GC195</f>
        <v>#N/A</v>
      </c>
      <c r="AN195" s="11" t="e">
        <f>Расчет!GD195</f>
        <v>#N/A</v>
      </c>
      <c r="AO195" s="11" t="e">
        <f>Расчет!GE195</f>
        <v>#N/A</v>
      </c>
      <c r="AP195" s="11" t="e">
        <f>Расчет!GF195</f>
        <v>#N/A</v>
      </c>
      <c r="AQ195" s="11" t="e">
        <f>Расчет!GG195</f>
        <v>#N/A</v>
      </c>
      <c r="AR195" s="11" t="e">
        <f>Расчет!GH195</f>
        <v>#N/A</v>
      </c>
      <c r="AS195" s="11" t="e">
        <f>Расчет!GI195</f>
        <v>#N/A</v>
      </c>
      <c r="AT195" s="11" t="e">
        <f>Расчет!GJ195</f>
        <v>#N/A</v>
      </c>
      <c r="AU195" s="198" t="e">
        <f t="shared" si="21"/>
        <v>#N/A</v>
      </c>
      <c r="AV195" s="198" t="e">
        <f t="shared" si="22"/>
        <v>#N/A</v>
      </c>
      <c r="AW195" s="198" t="e">
        <f t="shared" si="23"/>
        <v>#N/A</v>
      </c>
      <c r="AX195" s="11" t="e">
        <f t="shared" si="24"/>
        <v>#N/A</v>
      </c>
      <c r="AY195" s="11" t="e">
        <f t="shared" si="25"/>
        <v>#N/A</v>
      </c>
      <c r="AZ195" s="11" t="e">
        <f t="shared" si="26"/>
        <v>#N/A</v>
      </c>
    </row>
    <row r="196" spans="1:52" x14ac:dyDescent="0.2">
      <c r="A196" s="6">
        <f>Исходн.данные.!A196</f>
        <v>0</v>
      </c>
      <c r="B196" s="6">
        <f>Исходн.данные.!B196</f>
        <v>0</v>
      </c>
      <c r="C196" s="6">
        <f>Исходн.данные.!C196</f>
        <v>0</v>
      </c>
      <c r="D196" s="6">
        <f>Исходн.данные.!D196</f>
        <v>0</v>
      </c>
      <c r="E196" s="6">
        <f>Исходн.данные.!E196</f>
        <v>0</v>
      </c>
      <c r="F196" s="6">
        <f>Исходн.данные.!AH196</f>
        <v>0</v>
      </c>
      <c r="G196" s="6">
        <f>Исходн.данные.!AJ196</f>
        <v>0</v>
      </c>
      <c r="H196" s="6">
        <f>Исходн.данные.!AK196</f>
        <v>0</v>
      </c>
      <c r="I196" s="9">
        <f>IF($F196=0,0,Расчет2!AO196)</f>
        <v>0</v>
      </c>
      <c r="J196" s="9">
        <f>IF(F196=0,0,Расчет2!AP196)</f>
        <v>0</v>
      </c>
      <c r="K196" s="10">
        <f>IF($F196=0,0,Расчет2!AQ196)</f>
        <v>0</v>
      </c>
      <c r="L196" s="10">
        <f>IF($F196=0,0,Расчет2!AR196)</f>
        <v>0</v>
      </c>
      <c r="M196" s="10">
        <f>IF($F196=0,0,Расчет2!AS196)</f>
        <v>0</v>
      </c>
      <c r="N196" s="10">
        <f>IF($F196=0,0,IF(Исходн.данные.!$AP196="Посл.посева",0,Расчет2!AT196))</f>
        <v>0</v>
      </c>
      <c r="O196" s="10">
        <f>IF($F196=0,0,IF(Исходн.данные.!$AP196="Посл.посева",0,IF(Расчет2!AU196&lt;10,10,Расчет2!AU196)))</f>
        <v>0</v>
      </c>
      <c r="P196" s="10">
        <f>IF($F196=0,0,IF(Исходн.данные.!$AP196="Посл.посева",0,Расчет2!AV196))</f>
        <v>0</v>
      </c>
      <c r="Q196" s="10">
        <f>IF($F196=0,0,Расчет2!AW196)</f>
        <v>0</v>
      </c>
      <c r="R196" s="10">
        <f>IF($F196=0,0,Расчет2!AX196)</f>
        <v>0</v>
      </c>
      <c r="S196" s="9">
        <f>IF($F196=0,0,Расчет2!AY196)</f>
        <v>0</v>
      </c>
      <c r="T196" s="10">
        <f>IF($F196=0,0,Расчет2!AZ196)</f>
        <v>0</v>
      </c>
      <c r="U196" s="10">
        <f>IF($F196=0,0,Расчет2!BA196)</f>
        <v>0</v>
      </c>
      <c r="V196" s="10">
        <f>IF($F196=0,0,Расчет2!BB196)</f>
        <v>0</v>
      </c>
      <c r="W196" s="10">
        <f>Расчет!DL196</f>
        <v>0</v>
      </c>
      <c r="X196" s="10">
        <f>Расчет!DN196</f>
        <v>0</v>
      </c>
      <c r="Y196" s="9">
        <f>X196*Исходн.данные.!$AJ196/1000</f>
        <v>0</v>
      </c>
      <c r="Z196" s="10" t="str">
        <f>Расчет!DO196</f>
        <v>Хлор.калий</v>
      </c>
      <c r="AA196" s="10">
        <f>Расчет!DQ196</f>
        <v>0</v>
      </c>
      <c r="AB196" s="12">
        <f>AA196*Исходн.данные.!$AJ196/1000</f>
        <v>0</v>
      </c>
      <c r="AC196" s="9">
        <f>IF($F196=0,0,Расчет2!BC196)</f>
        <v>0</v>
      </c>
      <c r="AD196" s="10">
        <f>IF($F196=0,0,Расчет2!BD196)</f>
        <v>0</v>
      </c>
      <c r="AE196" s="9">
        <f>IF($F196=0,0,Расчет2!BE196)</f>
        <v>0</v>
      </c>
      <c r="AF196" s="9">
        <f>IF($F196=0,0,Расчет2!BF196)</f>
        <v>0</v>
      </c>
      <c r="AG196" s="9">
        <f>IF($F196=0,0,Расчет2!BG196)</f>
        <v>0</v>
      </c>
      <c r="AI196" s="11" t="e">
        <f>Расчет!FY196</f>
        <v>#N/A</v>
      </c>
      <c r="AJ196" s="11" t="e">
        <f>Расчет!FZ196</f>
        <v>#N/A</v>
      </c>
      <c r="AK196" s="11" t="e">
        <f>Расчет!GA196</f>
        <v>#N/A</v>
      </c>
      <c r="AL196" s="11" t="e">
        <f>Расчет!GB196</f>
        <v>#N/A</v>
      </c>
      <c r="AM196" s="11" t="e">
        <f>Расчет!GC196</f>
        <v>#N/A</v>
      </c>
      <c r="AN196" s="11" t="e">
        <f>Расчет!GD196</f>
        <v>#N/A</v>
      </c>
      <c r="AO196" s="11" t="e">
        <f>Расчет!GE196</f>
        <v>#N/A</v>
      </c>
      <c r="AP196" s="11" t="e">
        <f>Расчет!GF196</f>
        <v>#N/A</v>
      </c>
      <c r="AQ196" s="11" t="e">
        <f>Расчет!GG196</f>
        <v>#N/A</v>
      </c>
      <c r="AR196" s="11" t="e">
        <f>Расчет!GH196</f>
        <v>#N/A</v>
      </c>
      <c r="AS196" s="11" t="e">
        <f>Расчет!GI196</f>
        <v>#N/A</v>
      </c>
      <c r="AT196" s="11" t="e">
        <f>Расчет!GJ196</f>
        <v>#N/A</v>
      </c>
      <c r="AU196" s="198" t="e">
        <f t="shared" si="21"/>
        <v>#N/A</v>
      </c>
      <c r="AV196" s="198" t="e">
        <f t="shared" si="22"/>
        <v>#N/A</v>
      </c>
      <c r="AW196" s="198" t="e">
        <f t="shared" si="23"/>
        <v>#N/A</v>
      </c>
      <c r="AX196" s="11" t="e">
        <f t="shared" si="24"/>
        <v>#N/A</v>
      </c>
      <c r="AY196" s="11" t="e">
        <f t="shared" si="25"/>
        <v>#N/A</v>
      </c>
      <c r="AZ196" s="11" t="e">
        <f t="shared" si="26"/>
        <v>#N/A</v>
      </c>
    </row>
    <row r="197" spans="1:52" x14ac:dyDescent="0.2">
      <c r="A197" s="6">
        <f>Исходн.данные.!A197</f>
        <v>0</v>
      </c>
      <c r="B197" s="6">
        <f>Исходн.данные.!B197</f>
        <v>0</v>
      </c>
      <c r="C197" s="6">
        <f>Исходн.данные.!C197</f>
        <v>0</v>
      </c>
      <c r="D197" s="6">
        <f>Исходн.данные.!D197</f>
        <v>0</v>
      </c>
      <c r="E197" s="6">
        <f>Исходн.данные.!E197</f>
        <v>0</v>
      </c>
      <c r="F197" s="6">
        <f>Исходн.данные.!AH197</f>
        <v>0</v>
      </c>
      <c r="G197" s="6">
        <f>Исходн.данные.!AJ197</f>
        <v>0</v>
      </c>
      <c r="H197" s="6">
        <f>Исходн.данные.!AK197</f>
        <v>0</v>
      </c>
      <c r="I197" s="9">
        <f>IF($F197=0,0,Расчет2!AO197)</f>
        <v>0</v>
      </c>
      <c r="J197" s="9">
        <f>IF(F197=0,0,Расчет2!AP197)</f>
        <v>0</v>
      </c>
      <c r="K197" s="10">
        <f>IF($F197=0,0,Расчет2!AQ197)</f>
        <v>0</v>
      </c>
      <c r="L197" s="10">
        <f>IF($F197=0,0,Расчет2!AR197)</f>
        <v>0</v>
      </c>
      <c r="M197" s="10">
        <f>IF($F197=0,0,Расчет2!AS197)</f>
        <v>0</v>
      </c>
      <c r="N197" s="10">
        <f>IF($F197=0,0,IF(Исходн.данные.!$AP197="Посл.посева",0,Расчет2!AT197))</f>
        <v>0</v>
      </c>
      <c r="O197" s="10">
        <f>IF($F197=0,0,IF(Исходн.данные.!$AP197="Посл.посева",0,IF(Расчет2!AU197&lt;10,10,Расчет2!AU197)))</f>
        <v>0</v>
      </c>
      <c r="P197" s="10">
        <f>IF($F197=0,0,IF(Исходн.данные.!$AP197="Посл.посева",0,Расчет2!AV197))</f>
        <v>0</v>
      </c>
      <c r="Q197" s="10">
        <f>IF($F197=0,0,Расчет2!AW197)</f>
        <v>0</v>
      </c>
      <c r="R197" s="10">
        <f>IF($F197=0,0,Расчет2!AX197)</f>
        <v>0</v>
      </c>
      <c r="S197" s="9">
        <f>IF($F197=0,0,Расчет2!AY197)</f>
        <v>0</v>
      </c>
      <c r="T197" s="10">
        <f>IF($F197=0,0,Расчет2!AZ197)</f>
        <v>0</v>
      </c>
      <c r="U197" s="10">
        <f>IF($F197=0,0,Расчет2!BA197)</f>
        <v>0</v>
      </c>
      <c r="V197" s="10">
        <f>IF($F197=0,0,Расчет2!BB197)</f>
        <v>0</v>
      </c>
      <c r="W197" s="10">
        <f>Расчет!DL197</f>
        <v>0</v>
      </c>
      <c r="X197" s="10">
        <f>Расчет!DN197</f>
        <v>0</v>
      </c>
      <c r="Y197" s="9">
        <f>X197*Исходн.данные.!$AJ197/1000</f>
        <v>0</v>
      </c>
      <c r="Z197" s="10" t="str">
        <f>Расчет!DO197</f>
        <v>Хлор.калий</v>
      </c>
      <c r="AA197" s="10">
        <f>Расчет!DQ197</f>
        <v>0</v>
      </c>
      <c r="AB197" s="12">
        <f>AA197*Исходн.данные.!$AJ197/1000</f>
        <v>0</v>
      </c>
      <c r="AC197" s="9">
        <f>IF($F197=0,0,Расчет2!BC197)</f>
        <v>0</v>
      </c>
      <c r="AD197" s="10">
        <f>IF($F197=0,0,Расчет2!BD197)</f>
        <v>0</v>
      </c>
      <c r="AE197" s="9">
        <f>IF($F197=0,0,Расчет2!BE197)</f>
        <v>0</v>
      </c>
      <c r="AF197" s="9">
        <f>IF($F197=0,0,Расчет2!BF197)</f>
        <v>0</v>
      </c>
      <c r="AG197" s="9">
        <f>IF($F197=0,0,Расчет2!BG197)</f>
        <v>0</v>
      </c>
      <c r="AI197" s="11" t="e">
        <f>Расчет!FY197</f>
        <v>#N/A</v>
      </c>
      <c r="AJ197" s="11" t="e">
        <f>Расчет!FZ197</f>
        <v>#N/A</v>
      </c>
      <c r="AK197" s="11" t="e">
        <f>Расчет!GA197</f>
        <v>#N/A</v>
      </c>
      <c r="AL197" s="11" t="e">
        <f>Расчет!GB197</f>
        <v>#N/A</v>
      </c>
      <c r="AM197" s="11" t="e">
        <f>Расчет!GC197</f>
        <v>#N/A</v>
      </c>
      <c r="AN197" s="11" t="e">
        <f>Расчет!GD197</f>
        <v>#N/A</v>
      </c>
      <c r="AO197" s="11" t="e">
        <f>Расчет!GE197</f>
        <v>#N/A</v>
      </c>
      <c r="AP197" s="11" t="e">
        <f>Расчет!GF197</f>
        <v>#N/A</v>
      </c>
      <c r="AQ197" s="11" t="e">
        <f>Расчет!GG197</f>
        <v>#N/A</v>
      </c>
      <c r="AR197" s="11" t="e">
        <f>Расчет!GH197</f>
        <v>#N/A</v>
      </c>
      <c r="AS197" s="11" t="e">
        <f>Расчет!GI197</f>
        <v>#N/A</v>
      </c>
      <c r="AT197" s="11" t="e">
        <f>Расчет!GJ197</f>
        <v>#N/A</v>
      </c>
      <c r="AU197" s="198" t="e">
        <f t="shared" si="21"/>
        <v>#N/A</v>
      </c>
      <c r="AV197" s="198" t="e">
        <f t="shared" si="22"/>
        <v>#N/A</v>
      </c>
      <c r="AW197" s="198" t="e">
        <f t="shared" si="23"/>
        <v>#N/A</v>
      </c>
      <c r="AX197" s="11" t="e">
        <f t="shared" si="24"/>
        <v>#N/A</v>
      </c>
      <c r="AY197" s="11" t="e">
        <f t="shared" si="25"/>
        <v>#N/A</v>
      </c>
      <c r="AZ197" s="11" t="e">
        <f t="shared" si="26"/>
        <v>#N/A</v>
      </c>
    </row>
    <row r="198" spans="1:52" x14ac:dyDescent="0.2">
      <c r="A198" s="6">
        <f>Исходн.данные.!A198</f>
        <v>0</v>
      </c>
      <c r="B198" s="6">
        <f>Исходн.данные.!B198</f>
        <v>0</v>
      </c>
      <c r="C198" s="6">
        <f>Исходн.данные.!C198</f>
        <v>0</v>
      </c>
      <c r="D198" s="6">
        <f>Исходн.данные.!D198</f>
        <v>0</v>
      </c>
      <c r="E198" s="6">
        <f>Исходн.данные.!E198</f>
        <v>0</v>
      </c>
      <c r="F198" s="6">
        <f>Исходн.данные.!AH198</f>
        <v>0</v>
      </c>
      <c r="G198" s="6">
        <f>Исходн.данные.!AJ198</f>
        <v>0</v>
      </c>
      <c r="H198" s="6">
        <f>Исходн.данные.!AK198</f>
        <v>0</v>
      </c>
      <c r="I198" s="9">
        <f>IF($F198=0,0,Расчет2!AO198)</f>
        <v>0</v>
      </c>
      <c r="J198" s="9">
        <f>IF(F198=0,0,Расчет2!AP198)</f>
        <v>0</v>
      </c>
      <c r="K198" s="10">
        <f>IF($F198=0,0,Расчет2!AQ198)</f>
        <v>0</v>
      </c>
      <c r="L198" s="10">
        <f>IF($F198=0,0,Расчет2!AR198)</f>
        <v>0</v>
      </c>
      <c r="M198" s="10">
        <f>IF($F198=0,0,Расчет2!AS198)</f>
        <v>0</v>
      </c>
      <c r="N198" s="10">
        <f>IF($F198=0,0,IF(Исходн.данные.!$AP198="Посл.посева",0,Расчет2!AT198))</f>
        <v>0</v>
      </c>
      <c r="O198" s="10">
        <f>IF($F198=0,0,IF(Исходн.данные.!$AP198="Посл.посева",0,IF(Расчет2!AU198&lt;10,10,Расчет2!AU198)))</f>
        <v>0</v>
      </c>
      <c r="P198" s="10">
        <f>IF($F198=0,0,IF(Исходн.данные.!$AP198="Посл.посева",0,Расчет2!AV198))</f>
        <v>0</v>
      </c>
      <c r="Q198" s="10">
        <f>IF($F198=0,0,Расчет2!AW198)</f>
        <v>0</v>
      </c>
      <c r="R198" s="10">
        <f>IF($F198=0,0,Расчет2!AX198)</f>
        <v>0</v>
      </c>
      <c r="S198" s="9">
        <f>IF($F198=0,0,Расчет2!AY198)</f>
        <v>0</v>
      </c>
      <c r="T198" s="10">
        <f>IF($F198=0,0,Расчет2!AZ198)</f>
        <v>0</v>
      </c>
      <c r="U198" s="10">
        <f>IF($F198=0,0,Расчет2!BA198)</f>
        <v>0</v>
      </c>
      <c r="V198" s="10">
        <f>IF($F198=0,0,Расчет2!BB198)</f>
        <v>0</v>
      </c>
      <c r="W198" s="10">
        <f>Расчет!DL198</f>
        <v>0</v>
      </c>
      <c r="X198" s="10">
        <f>Расчет!DN198</f>
        <v>0</v>
      </c>
      <c r="Y198" s="9">
        <f>X198*Исходн.данные.!$AJ198/1000</f>
        <v>0</v>
      </c>
      <c r="Z198" s="10" t="str">
        <f>Расчет!DO198</f>
        <v>Хлор.калий</v>
      </c>
      <c r="AA198" s="10">
        <f>Расчет!DQ198</f>
        <v>0</v>
      </c>
      <c r="AB198" s="12">
        <f>AA198*Исходн.данные.!$AJ198/1000</f>
        <v>0</v>
      </c>
      <c r="AC198" s="9">
        <f>IF($F198=0,0,Расчет2!BC198)</f>
        <v>0</v>
      </c>
      <c r="AD198" s="10">
        <f>IF($F198=0,0,Расчет2!BD198)</f>
        <v>0</v>
      </c>
      <c r="AE198" s="9">
        <f>IF($F198=0,0,Расчет2!BE198)</f>
        <v>0</v>
      </c>
      <c r="AF198" s="9">
        <f>IF($F198=0,0,Расчет2!BF198)</f>
        <v>0</v>
      </c>
      <c r="AG198" s="9">
        <f>IF($F198=0,0,Расчет2!BG198)</f>
        <v>0</v>
      </c>
      <c r="AI198" s="11" t="e">
        <f>Расчет!FY198</f>
        <v>#N/A</v>
      </c>
      <c r="AJ198" s="11" t="e">
        <f>Расчет!FZ198</f>
        <v>#N/A</v>
      </c>
      <c r="AK198" s="11" t="e">
        <f>Расчет!GA198</f>
        <v>#N/A</v>
      </c>
      <c r="AL198" s="11" t="e">
        <f>Расчет!GB198</f>
        <v>#N/A</v>
      </c>
      <c r="AM198" s="11" t="e">
        <f>Расчет!GC198</f>
        <v>#N/A</v>
      </c>
      <c r="AN198" s="11" t="e">
        <f>Расчет!GD198</f>
        <v>#N/A</v>
      </c>
      <c r="AO198" s="11" t="e">
        <f>Расчет!GE198</f>
        <v>#N/A</v>
      </c>
      <c r="AP198" s="11" t="e">
        <f>Расчет!GF198</f>
        <v>#N/A</v>
      </c>
      <c r="AQ198" s="11" t="e">
        <f>Расчет!GG198</f>
        <v>#N/A</v>
      </c>
      <c r="AR198" s="11" t="e">
        <f>Расчет!GH198</f>
        <v>#N/A</v>
      </c>
      <c r="AS198" s="11" t="e">
        <f>Расчет!GI198</f>
        <v>#N/A</v>
      </c>
      <c r="AT198" s="11" t="e">
        <f>Расчет!GJ198</f>
        <v>#N/A</v>
      </c>
      <c r="AU198" s="198" t="e">
        <f t="shared" si="21"/>
        <v>#N/A</v>
      </c>
      <c r="AV198" s="198" t="e">
        <f t="shared" si="22"/>
        <v>#N/A</v>
      </c>
      <c r="AW198" s="198" t="e">
        <f t="shared" si="23"/>
        <v>#N/A</v>
      </c>
      <c r="AX198" s="11" t="e">
        <f t="shared" si="24"/>
        <v>#N/A</v>
      </c>
      <c r="AY198" s="11" t="e">
        <f t="shared" si="25"/>
        <v>#N/A</v>
      </c>
      <c r="AZ198" s="11" t="e">
        <f t="shared" si="26"/>
        <v>#N/A</v>
      </c>
    </row>
    <row r="199" spans="1:52" x14ac:dyDescent="0.2">
      <c r="A199" s="6">
        <f>Исходн.данные.!A199</f>
        <v>0</v>
      </c>
      <c r="B199" s="6">
        <f>Исходн.данные.!B199</f>
        <v>0</v>
      </c>
      <c r="C199" s="6">
        <f>Исходн.данные.!C199</f>
        <v>0</v>
      </c>
      <c r="D199" s="6">
        <f>Исходн.данные.!D199</f>
        <v>0</v>
      </c>
      <c r="E199" s="6">
        <f>Исходн.данные.!E199</f>
        <v>0</v>
      </c>
      <c r="F199" s="6">
        <f>Исходн.данные.!AH199</f>
        <v>0</v>
      </c>
      <c r="G199" s="6">
        <f>Исходн.данные.!AJ199</f>
        <v>0</v>
      </c>
      <c r="H199" s="6">
        <f>Исходн.данные.!AK199</f>
        <v>0</v>
      </c>
      <c r="I199" s="9">
        <f>IF($F199=0,0,Расчет2!AO199)</f>
        <v>0</v>
      </c>
      <c r="J199" s="9">
        <f>IF(F199=0,0,Расчет2!AP199)</f>
        <v>0</v>
      </c>
      <c r="K199" s="10">
        <f>IF($F199=0,0,Расчет2!AQ199)</f>
        <v>0</v>
      </c>
      <c r="L199" s="10">
        <f>IF($F199=0,0,Расчет2!AR199)</f>
        <v>0</v>
      </c>
      <c r="M199" s="10">
        <f>IF($F199=0,0,Расчет2!AS199)</f>
        <v>0</v>
      </c>
      <c r="N199" s="10">
        <f>IF($F199=0,0,IF(Исходн.данные.!$AP199="Посл.посева",0,Расчет2!AT199))</f>
        <v>0</v>
      </c>
      <c r="O199" s="10">
        <f>IF($F199=0,0,IF(Исходн.данные.!$AP199="Посл.посева",0,IF(Расчет2!AU199&lt;10,10,Расчет2!AU199)))</f>
        <v>0</v>
      </c>
      <c r="P199" s="10">
        <f>IF($F199=0,0,IF(Исходн.данные.!$AP199="Посл.посева",0,Расчет2!AV199))</f>
        <v>0</v>
      </c>
      <c r="Q199" s="10">
        <f>IF($F199=0,0,Расчет2!AW199)</f>
        <v>0</v>
      </c>
      <c r="R199" s="10">
        <f>IF($F199=0,0,Расчет2!AX199)</f>
        <v>0</v>
      </c>
      <c r="S199" s="9">
        <f>IF($F199=0,0,Расчет2!AY199)</f>
        <v>0</v>
      </c>
      <c r="T199" s="10">
        <f>IF($F199=0,0,Расчет2!AZ199)</f>
        <v>0</v>
      </c>
      <c r="U199" s="10">
        <f>IF($F199=0,0,Расчет2!BA199)</f>
        <v>0</v>
      </c>
      <c r="V199" s="10">
        <f>IF($F199=0,0,Расчет2!BB199)</f>
        <v>0</v>
      </c>
      <c r="W199" s="10">
        <f>Расчет!DL199</f>
        <v>0</v>
      </c>
      <c r="X199" s="10">
        <f>Расчет!DN199</f>
        <v>0</v>
      </c>
      <c r="Y199" s="9">
        <f>X199*Исходн.данные.!$AJ199/1000</f>
        <v>0</v>
      </c>
      <c r="Z199" s="10" t="str">
        <f>Расчет!DO199</f>
        <v>Хлор.калий</v>
      </c>
      <c r="AA199" s="10">
        <f>Расчет!DQ199</f>
        <v>0</v>
      </c>
      <c r="AB199" s="12">
        <f>AA199*Исходн.данные.!$AJ199/1000</f>
        <v>0</v>
      </c>
      <c r="AC199" s="9">
        <f>IF($F199=0,0,Расчет2!BC199)</f>
        <v>0</v>
      </c>
      <c r="AD199" s="10">
        <f>IF($F199=0,0,Расчет2!BD199)</f>
        <v>0</v>
      </c>
      <c r="AE199" s="9">
        <f>IF($F199=0,0,Расчет2!BE199)</f>
        <v>0</v>
      </c>
      <c r="AF199" s="9">
        <f>IF($F199=0,0,Расчет2!BF199)</f>
        <v>0</v>
      </c>
      <c r="AG199" s="9">
        <f>IF($F199=0,0,Расчет2!BG199)</f>
        <v>0</v>
      </c>
      <c r="AI199" s="11" t="e">
        <f>Расчет!FY199</f>
        <v>#N/A</v>
      </c>
      <c r="AJ199" s="11" t="e">
        <f>Расчет!FZ199</f>
        <v>#N/A</v>
      </c>
      <c r="AK199" s="11" t="e">
        <f>Расчет!GA199</f>
        <v>#N/A</v>
      </c>
      <c r="AL199" s="11" t="e">
        <f>Расчет!GB199</f>
        <v>#N/A</v>
      </c>
      <c r="AM199" s="11" t="e">
        <f>Расчет!GC199</f>
        <v>#N/A</v>
      </c>
      <c r="AN199" s="11" t="e">
        <f>Расчет!GD199</f>
        <v>#N/A</v>
      </c>
      <c r="AO199" s="11" t="e">
        <f>Расчет!GE199</f>
        <v>#N/A</v>
      </c>
      <c r="AP199" s="11" t="e">
        <f>Расчет!GF199</f>
        <v>#N/A</v>
      </c>
      <c r="AQ199" s="11" t="e">
        <f>Расчет!GG199</f>
        <v>#N/A</v>
      </c>
      <c r="AR199" s="11" t="e">
        <f>Расчет!GH199</f>
        <v>#N/A</v>
      </c>
      <c r="AS199" s="11" t="e">
        <f>Расчет!GI199</f>
        <v>#N/A</v>
      </c>
      <c r="AT199" s="11" t="e">
        <f>Расчет!GJ199</f>
        <v>#N/A</v>
      </c>
      <c r="AU199" s="198" t="e">
        <f t="shared" si="21"/>
        <v>#N/A</v>
      </c>
      <c r="AV199" s="198" t="e">
        <f t="shared" si="22"/>
        <v>#N/A</v>
      </c>
      <c r="AW199" s="198" t="e">
        <f t="shared" si="23"/>
        <v>#N/A</v>
      </c>
      <c r="AX199" s="11" t="e">
        <f t="shared" si="24"/>
        <v>#N/A</v>
      </c>
      <c r="AY199" s="11" t="e">
        <f t="shared" si="25"/>
        <v>#N/A</v>
      </c>
      <c r="AZ199" s="11" t="e">
        <f t="shared" si="26"/>
        <v>#N/A</v>
      </c>
    </row>
    <row r="200" spans="1:52" x14ac:dyDescent="0.2">
      <c r="A200" s="6">
        <f>Исходн.данные.!A200</f>
        <v>0</v>
      </c>
      <c r="B200" s="6">
        <f>Исходн.данные.!B200</f>
        <v>0</v>
      </c>
      <c r="C200" s="6">
        <f>Исходн.данные.!C200</f>
        <v>0</v>
      </c>
      <c r="D200" s="6">
        <f>Исходн.данные.!D200</f>
        <v>0</v>
      </c>
      <c r="E200" s="6">
        <f>Исходн.данные.!E200</f>
        <v>0</v>
      </c>
      <c r="F200" s="6">
        <f>Исходн.данные.!AH200</f>
        <v>0</v>
      </c>
      <c r="G200" s="6">
        <f>Исходн.данные.!AJ200</f>
        <v>0</v>
      </c>
      <c r="H200" s="6">
        <f>Исходн.данные.!AK200</f>
        <v>0</v>
      </c>
      <c r="I200" s="9">
        <f>IF($F200=0,0,Расчет2!AO200)</f>
        <v>0</v>
      </c>
      <c r="J200" s="9">
        <f>IF(F200=0,0,Расчет2!AP200)</f>
        <v>0</v>
      </c>
      <c r="K200" s="10">
        <f>IF($F200=0,0,Расчет2!AQ200)</f>
        <v>0</v>
      </c>
      <c r="L200" s="10">
        <f>IF($F200=0,0,Расчет2!AR200)</f>
        <v>0</v>
      </c>
      <c r="M200" s="10">
        <f>IF($F200=0,0,Расчет2!AS200)</f>
        <v>0</v>
      </c>
      <c r="N200" s="10">
        <f>IF($F200=0,0,IF(Исходн.данные.!$AP200="Посл.посева",0,Расчет2!AT200))</f>
        <v>0</v>
      </c>
      <c r="O200" s="10">
        <f>IF($F200=0,0,IF(Исходн.данные.!$AP200="Посл.посева",0,IF(Расчет2!AU200&lt;10,10,Расчет2!AU200)))</f>
        <v>0</v>
      </c>
      <c r="P200" s="10">
        <f>IF($F200=0,0,IF(Исходн.данные.!$AP200="Посл.посева",0,Расчет2!AV200))</f>
        <v>0</v>
      </c>
      <c r="Q200" s="10">
        <f>IF($F200=0,0,Расчет2!AW200)</f>
        <v>0</v>
      </c>
      <c r="R200" s="10">
        <f>IF($F200=0,0,Расчет2!AX200)</f>
        <v>0</v>
      </c>
      <c r="S200" s="9">
        <f>IF($F200=0,0,Расчет2!AY200)</f>
        <v>0</v>
      </c>
      <c r="T200" s="10">
        <f>IF($F200=0,0,Расчет2!AZ200)</f>
        <v>0</v>
      </c>
      <c r="U200" s="10">
        <f>IF($F200=0,0,Расчет2!BA200)</f>
        <v>0</v>
      </c>
      <c r="V200" s="10">
        <f>IF($F200=0,0,Расчет2!BB200)</f>
        <v>0</v>
      </c>
      <c r="W200" s="10">
        <f>Расчет!DL200</f>
        <v>0</v>
      </c>
      <c r="X200" s="10">
        <f>Расчет!DN200</f>
        <v>0</v>
      </c>
      <c r="Y200" s="9">
        <f>X200*Исходн.данные.!$AJ200/1000</f>
        <v>0</v>
      </c>
      <c r="Z200" s="10" t="str">
        <f>Расчет!DO200</f>
        <v>Хлор.калий</v>
      </c>
      <c r="AA200" s="10">
        <f>Расчет!DQ200</f>
        <v>0</v>
      </c>
      <c r="AB200" s="12">
        <f>AA200*Исходн.данные.!$AJ200/1000</f>
        <v>0</v>
      </c>
      <c r="AC200" s="9">
        <f>IF($F200=0,0,Расчет2!BC200)</f>
        <v>0</v>
      </c>
      <c r="AD200" s="10">
        <f>IF($F200=0,0,Расчет2!BD200)</f>
        <v>0</v>
      </c>
      <c r="AE200" s="9">
        <f>IF($F200=0,0,Расчет2!BE200)</f>
        <v>0</v>
      </c>
      <c r="AF200" s="9">
        <f>IF($F200=0,0,Расчет2!BF200)</f>
        <v>0</v>
      </c>
      <c r="AG200" s="9">
        <f>IF($F200=0,0,Расчет2!BG200)</f>
        <v>0</v>
      </c>
      <c r="AI200" s="11" t="e">
        <f>Расчет!FY200</f>
        <v>#N/A</v>
      </c>
      <c r="AJ200" s="11" t="e">
        <f>Расчет!FZ200</f>
        <v>#N/A</v>
      </c>
      <c r="AK200" s="11" t="e">
        <f>Расчет!GA200</f>
        <v>#N/A</v>
      </c>
      <c r="AL200" s="11" t="e">
        <f>Расчет!GB200</f>
        <v>#N/A</v>
      </c>
      <c r="AM200" s="11" t="e">
        <f>Расчет!GC200</f>
        <v>#N/A</v>
      </c>
      <c r="AN200" s="11" t="e">
        <f>Расчет!GD200</f>
        <v>#N/A</v>
      </c>
      <c r="AO200" s="11" t="e">
        <f>Расчет!GE200</f>
        <v>#N/A</v>
      </c>
      <c r="AP200" s="11" t="e">
        <f>Расчет!GF200</f>
        <v>#N/A</v>
      </c>
      <c r="AQ200" s="11" t="e">
        <f>Расчет!GG200</f>
        <v>#N/A</v>
      </c>
      <c r="AR200" s="11" t="e">
        <f>Расчет!GH200</f>
        <v>#N/A</v>
      </c>
      <c r="AS200" s="11" t="e">
        <f>Расчет!GI200</f>
        <v>#N/A</v>
      </c>
      <c r="AT200" s="11" t="e">
        <f>Расчет!GJ200</f>
        <v>#N/A</v>
      </c>
      <c r="AU200" s="198" t="e">
        <f t="shared" si="21"/>
        <v>#N/A</v>
      </c>
      <c r="AV200" s="198" t="e">
        <f t="shared" si="22"/>
        <v>#N/A</v>
      </c>
      <c r="AW200" s="198" t="e">
        <f t="shared" si="23"/>
        <v>#N/A</v>
      </c>
      <c r="AX200" s="11" t="e">
        <f t="shared" si="24"/>
        <v>#N/A</v>
      </c>
      <c r="AY200" s="11" t="e">
        <f t="shared" si="25"/>
        <v>#N/A</v>
      </c>
      <c r="AZ200" s="11" t="e">
        <f t="shared" si="26"/>
        <v>#N/A</v>
      </c>
    </row>
    <row r="201" spans="1:52" x14ac:dyDescent="0.2">
      <c r="A201" s="6">
        <f>Исходн.данные.!A201</f>
        <v>0</v>
      </c>
      <c r="B201" s="6">
        <f>Исходн.данные.!B201</f>
        <v>0</v>
      </c>
      <c r="C201" s="6">
        <f>Исходн.данные.!C201</f>
        <v>0</v>
      </c>
      <c r="D201" s="6">
        <f>Исходн.данные.!D201</f>
        <v>0</v>
      </c>
      <c r="E201" s="6">
        <f>Исходн.данные.!E201</f>
        <v>0</v>
      </c>
      <c r="F201" s="6">
        <f>Исходн.данные.!AH201</f>
        <v>0</v>
      </c>
      <c r="G201" s="6">
        <f>Исходн.данные.!AJ201</f>
        <v>0</v>
      </c>
      <c r="H201" s="6">
        <f>Исходн.данные.!AK201</f>
        <v>0</v>
      </c>
      <c r="I201" s="9">
        <f>IF($F201=0,0,Расчет2!AO201)</f>
        <v>0</v>
      </c>
      <c r="J201" s="9">
        <f>IF(F201=0,0,Расчет2!AP201)</f>
        <v>0</v>
      </c>
      <c r="K201" s="10">
        <f>IF($F201=0,0,Расчет2!AQ201)</f>
        <v>0</v>
      </c>
      <c r="L201" s="10">
        <f>IF($F201=0,0,Расчет2!AR201)</f>
        <v>0</v>
      </c>
      <c r="M201" s="10">
        <f>IF($F201=0,0,Расчет2!AS201)</f>
        <v>0</v>
      </c>
      <c r="N201" s="10">
        <f>IF($F201=0,0,IF(Исходн.данные.!$AP201="Посл.посева",0,Расчет2!AT201))</f>
        <v>0</v>
      </c>
      <c r="O201" s="10">
        <f>IF($F201=0,0,IF(Исходн.данные.!$AP201="Посл.посева",0,IF(Расчет2!AU201&lt;10,10,Расчет2!AU201)))</f>
        <v>0</v>
      </c>
      <c r="P201" s="10">
        <f>IF($F201=0,0,IF(Исходн.данные.!$AP201="Посл.посева",0,Расчет2!AV201))</f>
        <v>0</v>
      </c>
      <c r="Q201" s="10">
        <f>IF($F201=0,0,Расчет2!AW201)</f>
        <v>0</v>
      </c>
      <c r="R201" s="10">
        <f>IF($F201=0,0,Расчет2!AX201)</f>
        <v>0</v>
      </c>
      <c r="S201" s="9">
        <f>IF($F201=0,0,Расчет2!AY201)</f>
        <v>0</v>
      </c>
      <c r="T201" s="10">
        <f>IF($F201=0,0,Расчет2!AZ201)</f>
        <v>0</v>
      </c>
      <c r="U201" s="10">
        <f>IF($F201=0,0,Расчет2!BA201)</f>
        <v>0</v>
      </c>
      <c r="V201" s="10">
        <f>IF($F201=0,0,Расчет2!BB201)</f>
        <v>0</v>
      </c>
      <c r="W201" s="10">
        <f>Расчет!DL201</f>
        <v>0</v>
      </c>
      <c r="X201" s="10">
        <f>Расчет!DN201</f>
        <v>0</v>
      </c>
      <c r="Y201" s="9">
        <f>X201*Исходн.данные.!$AJ201/1000</f>
        <v>0</v>
      </c>
      <c r="Z201" s="10" t="str">
        <f>Расчет!DO201</f>
        <v>Хлор.калий</v>
      </c>
      <c r="AA201" s="10">
        <f>Расчет!DQ201</f>
        <v>0</v>
      </c>
      <c r="AB201" s="12">
        <f>AA201*Исходн.данные.!$AJ201/1000</f>
        <v>0</v>
      </c>
      <c r="AC201" s="9">
        <f>IF($F201=0,0,Расчет2!BC201)</f>
        <v>0</v>
      </c>
      <c r="AD201" s="10">
        <f>IF($F201=0,0,Расчет2!BD201)</f>
        <v>0</v>
      </c>
      <c r="AE201" s="9">
        <f>IF($F201=0,0,Расчет2!BE201)</f>
        <v>0</v>
      </c>
      <c r="AF201" s="9">
        <f>IF($F201=0,0,Расчет2!BF201)</f>
        <v>0</v>
      </c>
      <c r="AG201" s="9">
        <f>IF($F201=0,0,Расчет2!BG201)</f>
        <v>0</v>
      </c>
      <c r="AI201" s="11" t="e">
        <f>Расчет!FY201</f>
        <v>#N/A</v>
      </c>
      <c r="AJ201" s="11" t="e">
        <f>Расчет!FZ201</f>
        <v>#N/A</v>
      </c>
      <c r="AK201" s="11" t="e">
        <f>Расчет!GA201</f>
        <v>#N/A</v>
      </c>
      <c r="AL201" s="11" t="e">
        <f>Расчет!GB201</f>
        <v>#N/A</v>
      </c>
      <c r="AM201" s="11" t="e">
        <f>Расчет!GC201</f>
        <v>#N/A</v>
      </c>
      <c r="AN201" s="11" t="e">
        <f>Расчет!GD201</f>
        <v>#N/A</v>
      </c>
      <c r="AO201" s="11" t="e">
        <f>Расчет!GE201</f>
        <v>#N/A</v>
      </c>
      <c r="AP201" s="11" t="e">
        <f>Расчет!GF201</f>
        <v>#N/A</v>
      </c>
      <c r="AQ201" s="11" t="e">
        <f>Расчет!GG201</f>
        <v>#N/A</v>
      </c>
      <c r="AR201" s="11" t="e">
        <f>Расчет!GH201</f>
        <v>#N/A</v>
      </c>
      <c r="AS201" s="11" t="e">
        <f>Расчет!GI201</f>
        <v>#N/A</v>
      </c>
      <c r="AT201" s="11" t="e">
        <f>Расчет!GJ201</f>
        <v>#N/A</v>
      </c>
      <c r="AU201" s="198" t="e">
        <f t="shared" si="21"/>
        <v>#N/A</v>
      </c>
      <c r="AV201" s="198" t="e">
        <f t="shared" si="22"/>
        <v>#N/A</v>
      </c>
      <c r="AW201" s="198" t="e">
        <f t="shared" si="23"/>
        <v>#N/A</v>
      </c>
      <c r="AX201" s="11" t="e">
        <f t="shared" si="24"/>
        <v>#N/A</v>
      </c>
      <c r="AY201" s="11" t="e">
        <f t="shared" si="25"/>
        <v>#N/A</v>
      </c>
      <c r="AZ201" s="11" t="e">
        <f t="shared" si="26"/>
        <v>#N/A</v>
      </c>
    </row>
    <row r="202" spans="1:52" x14ac:dyDescent="0.2">
      <c r="A202" s="6">
        <f>Исходн.данные.!A202</f>
        <v>0</v>
      </c>
      <c r="B202" s="6">
        <f>Исходн.данные.!B202</f>
        <v>0</v>
      </c>
      <c r="C202" s="6">
        <f>Исходн.данные.!C202</f>
        <v>0</v>
      </c>
      <c r="D202" s="6">
        <f>Исходн.данные.!D202</f>
        <v>0</v>
      </c>
      <c r="E202" s="6">
        <f>Исходн.данные.!E202</f>
        <v>0</v>
      </c>
      <c r="F202" s="6">
        <f>Исходн.данные.!AH202</f>
        <v>0</v>
      </c>
      <c r="G202" s="6">
        <f>Исходн.данные.!AJ202</f>
        <v>0</v>
      </c>
      <c r="H202" s="6">
        <f>Исходн.данные.!AK202</f>
        <v>0</v>
      </c>
      <c r="I202" s="9">
        <f>IF($F202=0,0,Расчет2!AO202)</f>
        <v>0</v>
      </c>
      <c r="J202" s="9">
        <f>IF(F202=0,0,Расчет2!AP202)</f>
        <v>0</v>
      </c>
      <c r="K202" s="10">
        <f>IF($F202=0,0,Расчет2!AQ202)</f>
        <v>0</v>
      </c>
      <c r="L202" s="10">
        <f>IF($F202=0,0,Расчет2!AR202)</f>
        <v>0</v>
      </c>
      <c r="M202" s="10">
        <f>IF($F202=0,0,Расчет2!AS202)</f>
        <v>0</v>
      </c>
      <c r="N202" s="10">
        <f>IF($F202=0,0,IF(Исходн.данные.!$AP202="Посл.посева",0,Расчет2!AT202))</f>
        <v>0</v>
      </c>
      <c r="O202" s="10">
        <f>IF($F202=0,0,IF(Исходн.данные.!$AP202="Посл.посева",0,IF(Расчет2!AU202&lt;10,10,Расчет2!AU202)))</f>
        <v>0</v>
      </c>
      <c r="P202" s="10">
        <f>IF($F202=0,0,IF(Исходн.данные.!$AP202="Посл.посева",0,Расчет2!AV202))</f>
        <v>0</v>
      </c>
      <c r="Q202" s="10">
        <f>IF($F202=0,0,Расчет2!AW202)</f>
        <v>0</v>
      </c>
      <c r="R202" s="10">
        <f>IF($F202=0,0,Расчет2!AX202)</f>
        <v>0</v>
      </c>
      <c r="S202" s="9">
        <f>IF($F202=0,0,Расчет2!AY202)</f>
        <v>0</v>
      </c>
      <c r="T202" s="10">
        <f>IF($F202=0,0,Расчет2!AZ202)</f>
        <v>0</v>
      </c>
      <c r="U202" s="10">
        <f>IF($F202=0,0,Расчет2!BA202)</f>
        <v>0</v>
      </c>
      <c r="V202" s="10">
        <f>IF($F202=0,0,Расчет2!BB202)</f>
        <v>0</v>
      </c>
      <c r="W202" s="10">
        <f>Расчет!DL202</f>
        <v>0</v>
      </c>
      <c r="X202" s="10">
        <f>Расчет!DN202</f>
        <v>0</v>
      </c>
      <c r="Y202" s="9">
        <f>X202*Исходн.данные.!$AJ202/1000</f>
        <v>0</v>
      </c>
      <c r="Z202" s="10" t="str">
        <f>Расчет!DO202</f>
        <v>Хлор.калий</v>
      </c>
      <c r="AA202" s="10">
        <f>Расчет!DQ202</f>
        <v>0</v>
      </c>
      <c r="AB202" s="12">
        <f>AA202*Исходн.данные.!$AJ202/1000</f>
        <v>0</v>
      </c>
      <c r="AC202" s="9">
        <f>IF($F202=0,0,Расчет2!BC202)</f>
        <v>0</v>
      </c>
      <c r="AD202" s="10">
        <f>IF($F202=0,0,Расчет2!BD202)</f>
        <v>0</v>
      </c>
      <c r="AE202" s="9">
        <f>IF($F202=0,0,Расчет2!BE202)</f>
        <v>0</v>
      </c>
      <c r="AF202" s="9">
        <f>IF($F202=0,0,Расчет2!BF202)</f>
        <v>0</v>
      </c>
      <c r="AG202" s="9">
        <f>IF($F202=0,0,Расчет2!BG202)</f>
        <v>0</v>
      </c>
      <c r="AI202" s="11" t="e">
        <f>Расчет!FY202</f>
        <v>#N/A</v>
      </c>
      <c r="AJ202" s="11" t="e">
        <f>Расчет!FZ202</f>
        <v>#N/A</v>
      </c>
      <c r="AK202" s="11" t="e">
        <f>Расчет!GA202</f>
        <v>#N/A</v>
      </c>
      <c r="AL202" s="11" t="e">
        <f>Расчет!GB202</f>
        <v>#N/A</v>
      </c>
      <c r="AM202" s="11" t="e">
        <f>Расчет!GC202</f>
        <v>#N/A</v>
      </c>
      <c r="AN202" s="11" t="e">
        <f>Расчет!GD202</f>
        <v>#N/A</v>
      </c>
      <c r="AO202" s="11" t="e">
        <f>Расчет!GE202</f>
        <v>#N/A</v>
      </c>
      <c r="AP202" s="11" t="e">
        <f>Расчет!GF202</f>
        <v>#N/A</v>
      </c>
      <c r="AQ202" s="11" t="e">
        <f>Расчет!GG202</f>
        <v>#N/A</v>
      </c>
      <c r="AR202" s="11" t="e">
        <f>Расчет!GH202</f>
        <v>#N/A</v>
      </c>
      <c r="AS202" s="11" t="e">
        <f>Расчет!GI202</f>
        <v>#N/A</v>
      </c>
      <c r="AT202" s="11" t="e">
        <f>Расчет!GJ202</f>
        <v>#N/A</v>
      </c>
      <c r="AU202" s="198" t="e">
        <f t="shared" si="21"/>
        <v>#N/A</v>
      </c>
      <c r="AV202" s="198" t="e">
        <f t="shared" si="22"/>
        <v>#N/A</v>
      </c>
      <c r="AW202" s="198" t="e">
        <f t="shared" si="23"/>
        <v>#N/A</v>
      </c>
      <c r="AX202" s="11" t="e">
        <f t="shared" si="24"/>
        <v>#N/A</v>
      </c>
      <c r="AY202" s="11" t="e">
        <f t="shared" si="25"/>
        <v>#N/A</v>
      </c>
      <c r="AZ202" s="11" t="e">
        <f t="shared" si="26"/>
        <v>#N/A</v>
      </c>
    </row>
    <row r="203" spans="1:52" x14ac:dyDescent="0.2">
      <c r="A203" s="6">
        <f>Исходн.данные.!A203</f>
        <v>0</v>
      </c>
      <c r="B203" s="6">
        <f>Исходн.данные.!B203</f>
        <v>0</v>
      </c>
      <c r="C203" s="6">
        <f>Исходн.данные.!C203</f>
        <v>0</v>
      </c>
      <c r="D203" s="6">
        <f>Исходн.данные.!D203</f>
        <v>0</v>
      </c>
      <c r="E203" s="6">
        <f>Исходн.данные.!E203</f>
        <v>0</v>
      </c>
      <c r="F203" s="6">
        <f>Исходн.данные.!AH203</f>
        <v>0</v>
      </c>
      <c r="G203" s="6">
        <f>Исходн.данные.!AJ203</f>
        <v>0</v>
      </c>
      <c r="H203" s="6">
        <f>Исходн.данные.!AK203</f>
        <v>0</v>
      </c>
      <c r="I203" s="9">
        <f>IF($F203=0,0,Расчет2!AO203)</f>
        <v>0</v>
      </c>
      <c r="J203" s="9">
        <f>IF(F203=0,0,Расчет2!AP203)</f>
        <v>0</v>
      </c>
      <c r="K203" s="10">
        <f>IF($F203=0,0,Расчет2!AQ203)</f>
        <v>0</v>
      </c>
      <c r="L203" s="10">
        <f>IF($F203=0,0,Расчет2!AR203)</f>
        <v>0</v>
      </c>
      <c r="M203" s="10">
        <f>IF($F203=0,0,Расчет2!AS203)</f>
        <v>0</v>
      </c>
      <c r="N203" s="10">
        <f>IF($F203=0,0,IF(Исходн.данные.!$AP203="Посл.посева",0,Расчет2!AT203))</f>
        <v>0</v>
      </c>
      <c r="O203" s="10">
        <f>IF($F203=0,0,IF(Исходн.данные.!$AP203="Посл.посева",0,IF(Расчет2!AU203&lt;10,10,Расчет2!AU203)))</f>
        <v>0</v>
      </c>
      <c r="P203" s="10">
        <f>IF($F203=0,0,IF(Исходн.данные.!$AP203="Посл.посева",0,Расчет2!AV203))</f>
        <v>0</v>
      </c>
      <c r="Q203" s="10">
        <f>IF($F203=0,0,Расчет2!AW203)</f>
        <v>0</v>
      </c>
      <c r="R203" s="10">
        <f>IF($F203=0,0,Расчет2!AX203)</f>
        <v>0</v>
      </c>
      <c r="S203" s="9">
        <f>IF($F203=0,0,Расчет2!AY203)</f>
        <v>0</v>
      </c>
      <c r="T203" s="10">
        <f>IF($F203=0,0,Расчет2!AZ203)</f>
        <v>0</v>
      </c>
      <c r="U203" s="10">
        <f>IF($F203=0,0,Расчет2!BA203)</f>
        <v>0</v>
      </c>
      <c r="V203" s="10">
        <f>IF($F203=0,0,Расчет2!BB203)</f>
        <v>0</v>
      </c>
      <c r="W203" s="10">
        <f>Расчет!DL203</f>
        <v>0</v>
      </c>
      <c r="X203" s="10">
        <f>Расчет!DN203</f>
        <v>0</v>
      </c>
      <c r="Y203" s="9">
        <f>X203*Исходн.данные.!$AJ203/1000</f>
        <v>0</v>
      </c>
      <c r="Z203" s="10" t="str">
        <f>Расчет!DO203</f>
        <v>Хлор.калий</v>
      </c>
      <c r="AA203" s="10">
        <f>Расчет!DQ203</f>
        <v>0</v>
      </c>
      <c r="AB203" s="12">
        <f>AA203*Исходн.данные.!$AJ203/1000</f>
        <v>0</v>
      </c>
      <c r="AC203" s="9">
        <f>IF($F203=0,0,Расчет2!BC203)</f>
        <v>0</v>
      </c>
      <c r="AD203" s="10">
        <f>IF($F203=0,0,Расчет2!BD203)</f>
        <v>0</v>
      </c>
      <c r="AE203" s="9">
        <f>IF($F203=0,0,Расчет2!BE203)</f>
        <v>0</v>
      </c>
      <c r="AF203" s="9">
        <f>IF($F203=0,0,Расчет2!BF203)</f>
        <v>0</v>
      </c>
      <c r="AG203" s="9">
        <f>IF($F203=0,0,Расчет2!BG203)</f>
        <v>0</v>
      </c>
      <c r="AI203" s="11" t="e">
        <f>Расчет!FY203</f>
        <v>#N/A</v>
      </c>
      <c r="AJ203" s="11" t="e">
        <f>Расчет!FZ203</f>
        <v>#N/A</v>
      </c>
      <c r="AK203" s="11" t="e">
        <f>Расчет!GA203</f>
        <v>#N/A</v>
      </c>
      <c r="AL203" s="11" t="e">
        <f>Расчет!GB203</f>
        <v>#N/A</v>
      </c>
      <c r="AM203" s="11" t="e">
        <f>Расчет!GC203</f>
        <v>#N/A</v>
      </c>
      <c r="AN203" s="11" t="e">
        <f>Расчет!GD203</f>
        <v>#N/A</v>
      </c>
      <c r="AO203" s="11" t="e">
        <f>Расчет!GE203</f>
        <v>#N/A</v>
      </c>
      <c r="AP203" s="11" t="e">
        <f>Расчет!GF203</f>
        <v>#N/A</v>
      </c>
      <c r="AQ203" s="11" t="e">
        <f>Расчет!GG203</f>
        <v>#N/A</v>
      </c>
      <c r="AR203" s="11" t="e">
        <f>Расчет!GH203</f>
        <v>#N/A</v>
      </c>
      <c r="AS203" s="11" t="e">
        <f>Расчет!GI203</f>
        <v>#N/A</v>
      </c>
      <c r="AT203" s="11" t="e">
        <f>Расчет!GJ203</f>
        <v>#N/A</v>
      </c>
      <c r="AU203" s="198" t="e">
        <f t="shared" si="21"/>
        <v>#N/A</v>
      </c>
      <c r="AV203" s="198" t="e">
        <f t="shared" si="22"/>
        <v>#N/A</v>
      </c>
      <c r="AW203" s="198" t="e">
        <f t="shared" si="23"/>
        <v>#N/A</v>
      </c>
      <c r="AX203" s="11" t="e">
        <f t="shared" si="24"/>
        <v>#N/A</v>
      </c>
      <c r="AY203" s="11" t="e">
        <f t="shared" si="25"/>
        <v>#N/A</v>
      </c>
      <c r="AZ203" s="11" t="e">
        <f t="shared" si="26"/>
        <v>#N/A</v>
      </c>
    </row>
    <row r="204" spans="1:52" x14ac:dyDescent="0.2">
      <c r="A204" s="6">
        <f>Исходн.данные.!A204</f>
        <v>0</v>
      </c>
      <c r="B204" s="6">
        <f>Исходн.данные.!B204</f>
        <v>0</v>
      </c>
      <c r="C204" s="6">
        <f>Исходн.данные.!C204</f>
        <v>0</v>
      </c>
      <c r="D204" s="6">
        <f>Исходн.данные.!D204</f>
        <v>0</v>
      </c>
      <c r="E204" s="6">
        <f>Исходн.данные.!E204</f>
        <v>0</v>
      </c>
      <c r="F204" s="6">
        <f>Исходн.данные.!AH204</f>
        <v>0</v>
      </c>
      <c r="G204" s="6">
        <f>Исходн.данные.!AJ204</f>
        <v>0</v>
      </c>
      <c r="H204" s="6">
        <f>Исходн.данные.!AK204</f>
        <v>0</v>
      </c>
      <c r="I204" s="9">
        <f>IF($F204=0,0,Расчет2!AO204)</f>
        <v>0</v>
      </c>
      <c r="J204" s="9">
        <f>IF(F204=0,0,Расчет2!AP204)</f>
        <v>0</v>
      </c>
      <c r="K204" s="10">
        <f>IF($F204=0,0,Расчет2!AQ204)</f>
        <v>0</v>
      </c>
      <c r="L204" s="10">
        <f>IF($F204=0,0,Расчет2!AR204)</f>
        <v>0</v>
      </c>
      <c r="M204" s="10">
        <f>IF($F204=0,0,Расчет2!AS204)</f>
        <v>0</v>
      </c>
      <c r="N204" s="10">
        <f>IF($F204=0,0,IF(Исходн.данные.!$AP204="Посл.посева",0,Расчет2!AT204))</f>
        <v>0</v>
      </c>
      <c r="O204" s="10">
        <f>IF($F204=0,0,IF(Исходн.данные.!$AP204="Посл.посева",0,IF(Расчет2!AU204&lt;10,10,Расчет2!AU204)))</f>
        <v>0</v>
      </c>
      <c r="P204" s="10">
        <f>IF($F204=0,0,IF(Исходн.данные.!$AP204="Посл.посева",0,Расчет2!AV204))</f>
        <v>0</v>
      </c>
      <c r="Q204" s="10">
        <f>IF($F204=0,0,Расчет2!AW204)</f>
        <v>0</v>
      </c>
      <c r="R204" s="10">
        <f>IF($F204=0,0,Расчет2!AX204)</f>
        <v>0</v>
      </c>
      <c r="S204" s="9">
        <f>IF($F204=0,0,Расчет2!AY204)</f>
        <v>0</v>
      </c>
      <c r="T204" s="10">
        <f>IF($F204=0,0,Расчет2!AZ204)</f>
        <v>0</v>
      </c>
      <c r="U204" s="10">
        <f>IF($F204=0,0,Расчет2!BA204)</f>
        <v>0</v>
      </c>
      <c r="V204" s="10">
        <f>IF($F204=0,0,Расчет2!BB204)</f>
        <v>0</v>
      </c>
      <c r="W204" s="10">
        <f>Расчет!DL204</f>
        <v>0</v>
      </c>
      <c r="X204" s="10">
        <f>Расчет!DN204</f>
        <v>0</v>
      </c>
      <c r="Y204" s="9">
        <f>X204*Исходн.данные.!$AJ204/1000</f>
        <v>0</v>
      </c>
      <c r="Z204" s="10" t="str">
        <f>Расчет!DO204</f>
        <v>Хлор.калий</v>
      </c>
      <c r="AA204" s="10">
        <f>Расчет!DQ204</f>
        <v>0</v>
      </c>
      <c r="AB204" s="12">
        <f>AA204*Исходн.данные.!$AJ204/1000</f>
        <v>0</v>
      </c>
      <c r="AC204" s="9">
        <f>IF($F204=0,0,Расчет2!BC204)</f>
        <v>0</v>
      </c>
      <c r="AD204" s="10">
        <f>IF($F204=0,0,Расчет2!BD204)</f>
        <v>0</v>
      </c>
      <c r="AE204" s="9">
        <f>IF($F204=0,0,Расчет2!BE204)</f>
        <v>0</v>
      </c>
      <c r="AF204" s="9">
        <f>IF($F204=0,0,Расчет2!BF204)</f>
        <v>0</v>
      </c>
      <c r="AG204" s="9">
        <f>IF($F204=0,0,Расчет2!BG204)</f>
        <v>0</v>
      </c>
      <c r="AI204" s="11" t="e">
        <f>Расчет!FY204</f>
        <v>#N/A</v>
      </c>
      <c r="AJ204" s="11" t="e">
        <f>Расчет!FZ204</f>
        <v>#N/A</v>
      </c>
      <c r="AK204" s="11" t="e">
        <f>Расчет!GA204</f>
        <v>#N/A</v>
      </c>
      <c r="AL204" s="11" t="e">
        <f>Расчет!GB204</f>
        <v>#N/A</v>
      </c>
      <c r="AM204" s="11" t="e">
        <f>Расчет!GC204</f>
        <v>#N/A</v>
      </c>
      <c r="AN204" s="11" t="e">
        <f>Расчет!GD204</f>
        <v>#N/A</v>
      </c>
      <c r="AO204" s="11" t="e">
        <f>Расчет!GE204</f>
        <v>#N/A</v>
      </c>
      <c r="AP204" s="11" t="e">
        <f>Расчет!GF204</f>
        <v>#N/A</v>
      </c>
      <c r="AQ204" s="11" t="e">
        <f>Расчет!GG204</f>
        <v>#N/A</v>
      </c>
      <c r="AR204" s="11" t="e">
        <f>Расчет!GH204</f>
        <v>#N/A</v>
      </c>
      <c r="AS204" s="11" t="e">
        <f>Расчет!GI204</f>
        <v>#N/A</v>
      </c>
      <c r="AT204" s="11" t="e">
        <f>Расчет!GJ204</f>
        <v>#N/A</v>
      </c>
      <c r="AU204" s="198" t="e">
        <f t="shared" si="21"/>
        <v>#N/A</v>
      </c>
      <c r="AV204" s="198" t="e">
        <f t="shared" si="22"/>
        <v>#N/A</v>
      </c>
      <c r="AW204" s="198" t="e">
        <f t="shared" si="23"/>
        <v>#N/A</v>
      </c>
      <c r="AX204" s="11" t="e">
        <f t="shared" si="24"/>
        <v>#N/A</v>
      </c>
      <c r="AY204" s="11" t="e">
        <f t="shared" si="25"/>
        <v>#N/A</v>
      </c>
      <c r="AZ204" s="11" t="e">
        <f t="shared" si="26"/>
        <v>#N/A</v>
      </c>
    </row>
    <row r="205" spans="1:52" x14ac:dyDescent="0.2">
      <c r="A205" s="6">
        <f>Исходн.данные.!A205</f>
        <v>0</v>
      </c>
      <c r="B205" s="6">
        <f>Исходн.данные.!B205</f>
        <v>0</v>
      </c>
      <c r="C205" s="6">
        <f>Исходн.данные.!C205</f>
        <v>0</v>
      </c>
      <c r="D205" s="6">
        <f>Исходн.данные.!D205</f>
        <v>0</v>
      </c>
      <c r="E205" s="6">
        <f>Исходн.данные.!E205</f>
        <v>0</v>
      </c>
      <c r="F205" s="6">
        <f>Исходн.данные.!AH205</f>
        <v>0</v>
      </c>
      <c r="G205" s="6">
        <f>Исходн.данные.!AJ205</f>
        <v>0</v>
      </c>
      <c r="H205" s="6">
        <f>Исходн.данные.!AK205</f>
        <v>0</v>
      </c>
      <c r="I205" s="9">
        <f>IF($F205=0,0,Расчет2!AO205)</f>
        <v>0</v>
      </c>
      <c r="J205" s="9">
        <f>IF(F205=0,0,Расчет2!AP205)</f>
        <v>0</v>
      </c>
      <c r="K205" s="10">
        <f>IF($F205=0,0,Расчет2!AQ205)</f>
        <v>0</v>
      </c>
      <c r="L205" s="10">
        <f>IF($F205=0,0,Расчет2!AR205)</f>
        <v>0</v>
      </c>
      <c r="M205" s="10">
        <f>IF($F205=0,0,Расчет2!AS205)</f>
        <v>0</v>
      </c>
      <c r="N205" s="10">
        <f>IF($F205=0,0,IF(Исходн.данные.!$AP205="Посл.посева",0,Расчет2!AT205))</f>
        <v>0</v>
      </c>
      <c r="O205" s="10">
        <f>IF($F205=0,0,IF(Исходн.данные.!$AP205="Посл.посева",0,IF(Расчет2!AU205&lt;10,10,Расчет2!AU205)))</f>
        <v>0</v>
      </c>
      <c r="P205" s="10">
        <f>IF($F205=0,0,IF(Исходн.данные.!$AP205="Посл.посева",0,Расчет2!AV205))</f>
        <v>0</v>
      </c>
      <c r="Q205" s="10">
        <f>IF($F205=0,0,Расчет2!AW205)</f>
        <v>0</v>
      </c>
      <c r="R205" s="10">
        <f>IF($F205=0,0,Расчет2!AX205)</f>
        <v>0</v>
      </c>
      <c r="S205" s="9">
        <f>IF($F205=0,0,Расчет2!AY205)</f>
        <v>0</v>
      </c>
      <c r="T205" s="10">
        <f>IF($F205=0,0,Расчет2!AZ205)</f>
        <v>0</v>
      </c>
      <c r="U205" s="10">
        <f>IF($F205=0,0,Расчет2!BA205)</f>
        <v>0</v>
      </c>
      <c r="V205" s="10">
        <f>IF($F205=0,0,Расчет2!BB205)</f>
        <v>0</v>
      </c>
      <c r="W205" s="10">
        <f>Расчет!DL205</f>
        <v>0</v>
      </c>
      <c r="X205" s="10">
        <f>Расчет!DN205</f>
        <v>0</v>
      </c>
      <c r="Y205" s="9">
        <f>X205*Исходн.данные.!$AJ205/1000</f>
        <v>0</v>
      </c>
      <c r="Z205" s="10" t="str">
        <f>Расчет!DO205</f>
        <v>Хлор.калий</v>
      </c>
      <c r="AA205" s="10">
        <f>Расчет!DQ205</f>
        <v>0</v>
      </c>
      <c r="AB205" s="12">
        <f>AA205*Исходн.данные.!$AJ205/1000</f>
        <v>0</v>
      </c>
      <c r="AC205" s="9">
        <f>IF($F205=0,0,Расчет2!BC205)</f>
        <v>0</v>
      </c>
      <c r="AD205" s="10">
        <f>IF($F205=0,0,Расчет2!BD205)</f>
        <v>0</v>
      </c>
      <c r="AE205" s="9">
        <f>IF($F205=0,0,Расчет2!BE205)</f>
        <v>0</v>
      </c>
      <c r="AF205" s="9">
        <f>IF($F205=0,0,Расчет2!BF205)</f>
        <v>0</v>
      </c>
      <c r="AG205" s="9">
        <f>IF($F205=0,0,Расчет2!BG205)</f>
        <v>0</v>
      </c>
      <c r="AI205" s="11" t="e">
        <f>Расчет!FY205</f>
        <v>#N/A</v>
      </c>
      <c r="AJ205" s="11" t="e">
        <f>Расчет!FZ205</f>
        <v>#N/A</v>
      </c>
      <c r="AK205" s="11" t="e">
        <f>Расчет!GA205</f>
        <v>#N/A</v>
      </c>
      <c r="AL205" s="11" t="e">
        <f>Расчет!GB205</f>
        <v>#N/A</v>
      </c>
      <c r="AM205" s="11" t="e">
        <f>Расчет!GC205</f>
        <v>#N/A</v>
      </c>
      <c r="AN205" s="11" t="e">
        <f>Расчет!GD205</f>
        <v>#N/A</v>
      </c>
      <c r="AO205" s="11" t="e">
        <f>Расчет!GE205</f>
        <v>#N/A</v>
      </c>
      <c r="AP205" s="11" t="e">
        <f>Расчет!GF205</f>
        <v>#N/A</v>
      </c>
      <c r="AQ205" s="11" t="e">
        <f>Расчет!GG205</f>
        <v>#N/A</v>
      </c>
      <c r="AR205" s="11" t="e">
        <f>Расчет!GH205</f>
        <v>#N/A</v>
      </c>
      <c r="AS205" s="11" t="e">
        <f>Расчет!GI205</f>
        <v>#N/A</v>
      </c>
      <c r="AT205" s="11" t="e">
        <f>Расчет!GJ205</f>
        <v>#N/A</v>
      </c>
      <c r="AU205" s="198" t="e">
        <f t="shared" si="21"/>
        <v>#N/A</v>
      </c>
      <c r="AV205" s="198" t="e">
        <f t="shared" si="22"/>
        <v>#N/A</v>
      </c>
      <c r="AW205" s="198" t="e">
        <f t="shared" si="23"/>
        <v>#N/A</v>
      </c>
      <c r="AX205" s="11" t="e">
        <f t="shared" si="24"/>
        <v>#N/A</v>
      </c>
      <c r="AY205" s="11" t="e">
        <f t="shared" si="25"/>
        <v>#N/A</v>
      </c>
      <c r="AZ205" s="11" t="e">
        <f t="shared" si="26"/>
        <v>#N/A</v>
      </c>
    </row>
    <row r="206" spans="1:52" x14ac:dyDescent="0.2">
      <c r="A206" s="6">
        <f>Исходн.данные.!A206</f>
        <v>0</v>
      </c>
      <c r="B206" s="6">
        <f>Исходн.данные.!B206</f>
        <v>0</v>
      </c>
      <c r="C206" s="6">
        <f>Исходн.данные.!C206</f>
        <v>0</v>
      </c>
      <c r="D206" s="6">
        <f>Исходн.данные.!D206</f>
        <v>0</v>
      </c>
      <c r="E206" s="6">
        <f>Исходн.данные.!E206</f>
        <v>0</v>
      </c>
      <c r="F206" s="6">
        <f>Исходн.данные.!AH206</f>
        <v>0</v>
      </c>
      <c r="G206" s="6">
        <f>Исходн.данные.!AJ206</f>
        <v>0</v>
      </c>
      <c r="H206" s="6">
        <f>Исходн.данные.!AK206</f>
        <v>0</v>
      </c>
      <c r="I206" s="9">
        <f>IF($F206=0,0,Расчет2!AO206)</f>
        <v>0</v>
      </c>
      <c r="J206" s="9">
        <f>IF(F206=0,0,Расчет2!AP206)</f>
        <v>0</v>
      </c>
      <c r="K206" s="10">
        <f>IF($F206=0,0,Расчет2!AQ206)</f>
        <v>0</v>
      </c>
      <c r="L206" s="10">
        <f>IF($F206=0,0,Расчет2!AR206)</f>
        <v>0</v>
      </c>
      <c r="M206" s="10">
        <f>IF($F206=0,0,Расчет2!AS206)</f>
        <v>0</v>
      </c>
      <c r="N206" s="10">
        <f>IF($F206=0,0,IF(Исходн.данные.!$AP206="Посл.посева",0,Расчет2!AT206))</f>
        <v>0</v>
      </c>
      <c r="O206" s="10">
        <f>IF($F206=0,0,IF(Исходн.данные.!$AP206="Посл.посева",0,IF(Расчет2!AU206&lt;10,10,Расчет2!AU206)))</f>
        <v>0</v>
      </c>
      <c r="P206" s="10">
        <f>IF($F206=0,0,IF(Исходн.данные.!$AP206="Посл.посева",0,Расчет2!AV206))</f>
        <v>0</v>
      </c>
      <c r="Q206" s="10">
        <f>IF($F206=0,0,Расчет2!AW206)</f>
        <v>0</v>
      </c>
      <c r="R206" s="10">
        <f>IF($F206=0,0,Расчет2!AX206)</f>
        <v>0</v>
      </c>
      <c r="S206" s="9">
        <f>IF($F206=0,0,Расчет2!AY206)</f>
        <v>0</v>
      </c>
      <c r="T206" s="10">
        <f>IF($F206=0,0,Расчет2!AZ206)</f>
        <v>0</v>
      </c>
      <c r="U206" s="10">
        <f>IF($F206=0,0,Расчет2!BA206)</f>
        <v>0</v>
      </c>
      <c r="V206" s="10">
        <f>IF($F206=0,0,Расчет2!BB206)</f>
        <v>0</v>
      </c>
      <c r="W206" s="10">
        <f>Расчет!DL206</f>
        <v>0</v>
      </c>
      <c r="X206" s="10">
        <f>Расчет!DN206</f>
        <v>0</v>
      </c>
      <c r="Y206" s="9">
        <f>X206*Исходн.данные.!$AJ206/1000</f>
        <v>0</v>
      </c>
      <c r="Z206" s="10" t="str">
        <f>Расчет!DO206</f>
        <v>Хлор.калий</v>
      </c>
      <c r="AA206" s="10">
        <f>Расчет!DQ206</f>
        <v>0</v>
      </c>
      <c r="AB206" s="12">
        <f>AA206*Исходн.данные.!$AJ206/1000</f>
        <v>0</v>
      </c>
      <c r="AC206" s="9">
        <f>IF($F206=0,0,Расчет2!BC206)</f>
        <v>0</v>
      </c>
      <c r="AD206" s="10">
        <f>IF($F206=0,0,Расчет2!BD206)</f>
        <v>0</v>
      </c>
      <c r="AE206" s="9">
        <f>IF($F206=0,0,Расчет2!BE206)</f>
        <v>0</v>
      </c>
      <c r="AF206" s="9">
        <f>IF($F206=0,0,Расчет2!BF206)</f>
        <v>0</v>
      </c>
      <c r="AG206" s="9">
        <f>IF($F206=0,0,Расчет2!BG206)</f>
        <v>0</v>
      </c>
      <c r="AI206" s="11" t="e">
        <f>Расчет!FY206</f>
        <v>#N/A</v>
      </c>
      <c r="AJ206" s="11" t="e">
        <f>Расчет!FZ206</f>
        <v>#N/A</v>
      </c>
      <c r="AK206" s="11" t="e">
        <f>Расчет!GA206</f>
        <v>#N/A</v>
      </c>
      <c r="AL206" s="11" t="e">
        <f>Расчет!GB206</f>
        <v>#N/A</v>
      </c>
      <c r="AM206" s="11" t="e">
        <f>Расчет!GC206</f>
        <v>#N/A</v>
      </c>
      <c r="AN206" s="11" t="e">
        <f>Расчет!GD206</f>
        <v>#N/A</v>
      </c>
      <c r="AO206" s="11" t="e">
        <f>Расчет!GE206</f>
        <v>#N/A</v>
      </c>
      <c r="AP206" s="11" t="e">
        <f>Расчет!GF206</f>
        <v>#N/A</v>
      </c>
      <c r="AQ206" s="11" t="e">
        <f>Расчет!GG206</f>
        <v>#N/A</v>
      </c>
      <c r="AR206" s="11" t="e">
        <f>Расчет!GH206</f>
        <v>#N/A</v>
      </c>
      <c r="AS206" s="11" t="e">
        <f>Расчет!GI206</f>
        <v>#N/A</v>
      </c>
      <c r="AT206" s="11" t="e">
        <f>Расчет!GJ206</f>
        <v>#N/A</v>
      </c>
      <c r="AU206" s="198" t="e">
        <f t="shared" si="21"/>
        <v>#N/A</v>
      </c>
      <c r="AV206" s="198" t="e">
        <f t="shared" si="22"/>
        <v>#N/A</v>
      </c>
      <c r="AW206" s="198" t="e">
        <f t="shared" si="23"/>
        <v>#N/A</v>
      </c>
      <c r="AX206" s="11" t="e">
        <f t="shared" si="24"/>
        <v>#N/A</v>
      </c>
      <c r="AY206" s="11" t="e">
        <f t="shared" si="25"/>
        <v>#N/A</v>
      </c>
      <c r="AZ206" s="11" t="e">
        <f t="shared" si="26"/>
        <v>#N/A</v>
      </c>
    </row>
    <row r="207" spans="1:52" x14ac:dyDescent="0.2">
      <c r="A207" s="6">
        <f>Исходн.данные.!A207</f>
        <v>0</v>
      </c>
      <c r="B207" s="6">
        <f>Исходн.данные.!B207</f>
        <v>0</v>
      </c>
      <c r="C207" s="6">
        <f>Исходн.данные.!C207</f>
        <v>0</v>
      </c>
      <c r="D207" s="6">
        <f>Исходн.данные.!D207</f>
        <v>0</v>
      </c>
      <c r="E207" s="6">
        <f>Исходн.данные.!E207</f>
        <v>0</v>
      </c>
      <c r="F207" s="6">
        <f>Исходн.данные.!AH207</f>
        <v>0</v>
      </c>
      <c r="G207" s="6">
        <f>Исходн.данные.!AJ207</f>
        <v>0</v>
      </c>
      <c r="H207" s="6">
        <f>Исходн.данные.!AK207</f>
        <v>0</v>
      </c>
      <c r="I207" s="9">
        <f>IF($F207=0,0,Расчет2!AO207)</f>
        <v>0</v>
      </c>
      <c r="J207" s="9">
        <f>IF(F207=0,0,Расчет2!AP207)</f>
        <v>0</v>
      </c>
      <c r="K207" s="10">
        <f>IF($F207=0,0,Расчет2!AQ207)</f>
        <v>0</v>
      </c>
      <c r="L207" s="10">
        <f>IF($F207=0,0,Расчет2!AR207)</f>
        <v>0</v>
      </c>
      <c r="M207" s="10">
        <f>IF($F207=0,0,Расчет2!AS207)</f>
        <v>0</v>
      </c>
      <c r="N207" s="10">
        <f>IF($F207=0,0,IF(Исходн.данные.!$AP207="Посл.посева",0,Расчет2!AT207))</f>
        <v>0</v>
      </c>
      <c r="O207" s="10">
        <f>IF($F207=0,0,IF(Исходн.данные.!$AP207="Посл.посева",0,IF(Расчет2!AU207&lt;10,10,Расчет2!AU207)))</f>
        <v>0</v>
      </c>
      <c r="P207" s="10">
        <f>IF($F207=0,0,IF(Исходн.данные.!$AP207="Посл.посева",0,Расчет2!AV207))</f>
        <v>0</v>
      </c>
      <c r="Q207" s="10">
        <f>IF($F207=0,0,Расчет2!AW207)</f>
        <v>0</v>
      </c>
      <c r="R207" s="10">
        <f>IF($F207=0,0,Расчет2!AX207)</f>
        <v>0</v>
      </c>
      <c r="S207" s="9">
        <f>IF($F207=0,0,Расчет2!AY207)</f>
        <v>0</v>
      </c>
      <c r="T207" s="10">
        <f>IF($F207=0,0,Расчет2!AZ207)</f>
        <v>0</v>
      </c>
      <c r="U207" s="10">
        <f>IF($F207=0,0,Расчет2!BA207)</f>
        <v>0</v>
      </c>
      <c r="V207" s="10">
        <f>IF($F207=0,0,Расчет2!BB207)</f>
        <v>0</v>
      </c>
      <c r="W207" s="10">
        <f>Расчет!DL207</f>
        <v>0</v>
      </c>
      <c r="X207" s="10">
        <f>Расчет!DN207</f>
        <v>0</v>
      </c>
      <c r="Y207" s="9">
        <f>X207*Исходн.данные.!$AJ207/1000</f>
        <v>0</v>
      </c>
      <c r="Z207" s="10" t="str">
        <f>Расчет!DO207</f>
        <v>Хлор.калий</v>
      </c>
      <c r="AA207" s="10">
        <f>Расчет!DQ207</f>
        <v>0</v>
      </c>
      <c r="AB207" s="12">
        <f>AA207*Исходн.данные.!$AJ207/1000</f>
        <v>0</v>
      </c>
      <c r="AC207" s="9">
        <f>IF($F207=0,0,Расчет2!BC207)</f>
        <v>0</v>
      </c>
      <c r="AD207" s="10">
        <f>IF($F207=0,0,Расчет2!BD207)</f>
        <v>0</v>
      </c>
      <c r="AE207" s="9">
        <f>IF($F207=0,0,Расчет2!BE207)</f>
        <v>0</v>
      </c>
      <c r="AF207" s="9">
        <f>IF($F207=0,0,Расчет2!BF207)</f>
        <v>0</v>
      </c>
      <c r="AG207" s="9">
        <f>IF($F207=0,0,Расчет2!BG207)</f>
        <v>0</v>
      </c>
      <c r="AI207" s="11" t="e">
        <f>Расчет!FY207</f>
        <v>#N/A</v>
      </c>
      <c r="AJ207" s="11" t="e">
        <f>Расчет!FZ207</f>
        <v>#N/A</v>
      </c>
      <c r="AK207" s="11" t="e">
        <f>Расчет!GA207</f>
        <v>#N/A</v>
      </c>
      <c r="AL207" s="11" t="e">
        <f>Расчет!GB207</f>
        <v>#N/A</v>
      </c>
      <c r="AM207" s="11" t="e">
        <f>Расчет!GC207</f>
        <v>#N/A</v>
      </c>
      <c r="AN207" s="11" t="e">
        <f>Расчет!GD207</f>
        <v>#N/A</v>
      </c>
      <c r="AO207" s="11" t="e">
        <f>Расчет!GE207</f>
        <v>#N/A</v>
      </c>
      <c r="AP207" s="11" t="e">
        <f>Расчет!GF207</f>
        <v>#N/A</v>
      </c>
      <c r="AQ207" s="11" t="e">
        <f>Расчет!GG207</f>
        <v>#N/A</v>
      </c>
      <c r="AR207" s="11" t="e">
        <f>Расчет!GH207</f>
        <v>#N/A</v>
      </c>
      <c r="AS207" s="11" t="e">
        <f>Расчет!GI207</f>
        <v>#N/A</v>
      </c>
      <c r="AT207" s="11" t="e">
        <f>Расчет!GJ207</f>
        <v>#N/A</v>
      </c>
      <c r="AU207" s="198" t="e">
        <f t="shared" si="21"/>
        <v>#N/A</v>
      </c>
      <c r="AV207" s="198" t="e">
        <f t="shared" si="22"/>
        <v>#N/A</v>
      </c>
      <c r="AW207" s="198" t="e">
        <f t="shared" si="23"/>
        <v>#N/A</v>
      </c>
      <c r="AX207" s="11" t="e">
        <f t="shared" si="24"/>
        <v>#N/A</v>
      </c>
      <c r="AY207" s="11" t="e">
        <f t="shared" si="25"/>
        <v>#N/A</v>
      </c>
      <c r="AZ207" s="11" t="e">
        <f t="shared" si="26"/>
        <v>#N/A</v>
      </c>
    </row>
    <row r="208" spans="1:52" x14ac:dyDescent="0.2">
      <c r="A208" s="6">
        <f>Исходн.данные.!A208</f>
        <v>0</v>
      </c>
      <c r="B208" s="6">
        <f>Исходн.данные.!B208</f>
        <v>0</v>
      </c>
      <c r="C208" s="6">
        <f>Исходн.данные.!C208</f>
        <v>0</v>
      </c>
      <c r="D208" s="6">
        <f>Исходн.данные.!D208</f>
        <v>0</v>
      </c>
      <c r="E208" s="6">
        <f>Исходн.данные.!E208</f>
        <v>0</v>
      </c>
      <c r="F208" s="6">
        <f>Исходн.данные.!AH208</f>
        <v>0</v>
      </c>
      <c r="G208" s="6">
        <f>Исходн.данные.!AJ208</f>
        <v>0</v>
      </c>
      <c r="H208" s="6">
        <f>Исходн.данные.!AK208</f>
        <v>0</v>
      </c>
      <c r="I208" s="9">
        <f>IF($F208=0,0,Расчет2!AO208)</f>
        <v>0</v>
      </c>
      <c r="J208" s="9">
        <f>IF(F208=0,0,Расчет2!AP208)</f>
        <v>0</v>
      </c>
      <c r="K208" s="10">
        <f>IF($F208=0,0,Расчет2!AQ208)</f>
        <v>0</v>
      </c>
      <c r="L208" s="10">
        <f>IF($F208=0,0,Расчет2!AR208)</f>
        <v>0</v>
      </c>
      <c r="M208" s="10">
        <f>IF($F208=0,0,Расчет2!AS208)</f>
        <v>0</v>
      </c>
      <c r="N208" s="10">
        <f>IF($F208=0,0,IF(Исходн.данные.!$AP208="Посл.посева",0,Расчет2!AT208))</f>
        <v>0</v>
      </c>
      <c r="O208" s="10">
        <f>IF($F208=0,0,IF(Исходн.данные.!$AP208="Посл.посева",0,IF(Расчет2!AU208&lt;10,10,Расчет2!AU208)))</f>
        <v>0</v>
      </c>
      <c r="P208" s="10">
        <f>IF($F208=0,0,IF(Исходн.данные.!$AP208="Посл.посева",0,Расчет2!AV208))</f>
        <v>0</v>
      </c>
      <c r="Q208" s="10">
        <f>IF($F208=0,0,Расчет2!AW208)</f>
        <v>0</v>
      </c>
      <c r="R208" s="10">
        <f>IF($F208=0,0,Расчет2!AX208)</f>
        <v>0</v>
      </c>
      <c r="S208" s="9">
        <f>IF($F208=0,0,Расчет2!AY208)</f>
        <v>0</v>
      </c>
      <c r="T208" s="10">
        <f>IF($F208=0,0,Расчет2!AZ208)</f>
        <v>0</v>
      </c>
      <c r="U208" s="10">
        <f>IF($F208=0,0,Расчет2!BA208)</f>
        <v>0</v>
      </c>
      <c r="V208" s="10">
        <f>IF($F208=0,0,Расчет2!BB208)</f>
        <v>0</v>
      </c>
      <c r="W208" s="10">
        <f>Расчет!DL208</f>
        <v>0</v>
      </c>
      <c r="X208" s="10">
        <f>Расчет!DN208</f>
        <v>0</v>
      </c>
      <c r="Y208" s="9">
        <f>X208*Исходн.данные.!$AJ208/1000</f>
        <v>0</v>
      </c>
      <c r="Z208" s="10" t="str">
        <f>Расчет!DO208</f>
        <v>Хлор.калий</v>
      </c>
      <c r="AA208" s="10">
        <f>Расчет!DQ208</f>
        <v>0</v>
      </c>
      <c r="AB208" s="12">
        <f>AA208*Исходн.данные.!$AJ208/1000</f>
        <v>0</v>
      </c>
      <c r="AC208" s="9">
        <f>IF($F208=0,0,Расчет2!BC208)</f>
        <v>0</v>
      </c>
      <c r="AD208" s="10">
        <f>IF($F208=0,0,Расчет2!BD208)</f>
        <v>0</v>
      </c>
      <c r="AE208" s="9">
        <f>IF($F208=0,0,Расчет2!BE208)</f>
        <v>0</v>
      </c>
      <c r="AF208" s="9">
        <f>IF($F208=0,0,Расчет2!BF208)</f>
        <v>0</v>
      </c>
      <c r="AG208" s="9">
        <f>IF($F208=0,0,Расчет2!BG208)</f>
        <v>0</v>
      </c>
      <c r="AI208" s="11" t="e">
        <f>Расчет!FY208</f>
        <v>#N/A</v>
      </c>
      <c r="AJ208" s="11" t="e">
        <f>Расчет!FZ208</f>
        <v>#N/A</v>
      </c>
      <c r="AK208" s="11" t="e">
        <f>Расчет!GA208</f>
        <v>#N/A</v>
      </c>
      <c r="AL208" s="11" t="e">
        <f>Расчет!GB208</f>
        <v>#N/A</v>
      </c>
      <c r="AM208" s="11" t="e">
        <f>Расчет!GC208</f>
        <v>#N/A</v>
      </c>
      <c r="AN208" s="11" t="e">
        <f>Расчет!GD208</f>
        <v>#N/A</v>
      </c>
      <c r="AO208" s="11" t="e">
        <f>Расчет!GE208</f>
        <v>#N/A</v>
      </c>
      <c r="AP208" s="11" t="e">
        <f>Расчет!GF208</f>
        <v>#N/A</v>
      </c>
      <c r="AQ208" s="11" t="e">
        <f>Расчет!GG208</f>
        <v>#N/A</v>
      </c>
      <c r="AR208" s="11" t="e">
        <f>Расчет!GH208</f>
        <v>#N/A</v>
      </c>
      <c r="AS208" s="11" t="e">
        <f>Расчет!GI208</f>
        <v>#N/A</v>
      </c>
      <c r="AT208" s="11" t="e">
        <f>Расчет!GJ208</f>
        <v>#N/A</v>
      </c>
      <c r="AU208" s="198" t="e">
        <f t="shared" si="21"/>
        <v>#N/A</v>
      </c>
      <c r="AV208" s="198" t="e">
        <f t="shared" si="22"/>
        <v>#N/A</v>
      </c>
      <c r="AW208" s="198" t="e">
        <f t="shared" si="23"/>
        <v>#N/A</v>
      </c>
      <c r="AX208" s="11" t="e">
        <f t="shared" si="24"/>
        <v>#N/A</v>
      </c>
      <c r="AY208" s="11" t="e">
        <f t="shared" si="25"/>
        <v>#N/A</v>
      </c>
      <c r="AZ208" s="11" t="e">
        <f t="shared" si="26"/>
        <v>#N/A</v>
      </c>
    </row>
    <row r="209" spans="1:52" x14ac:dyDescent="0.2">
      <c r="A209" s="6">
        <f>Исходн.данные.!A209</f>
        <v>0</v>
      </c>
      <c r="B209" s="6">
        <f>Исходн.данные.!B209</f>
        <v>0</v>
      </c>
      <c r="C209" s="6">
        <f>Исходн.данные.!C209</f>
        <v>0</v>
      </c>
      <c r="D209" s="6">
        <f>Исходн.данные.!D209</f>
        <v>0</v>
      </c>
      <c r="E209" s="6">
        <f>Исходн.данные.!E209</f>
        <v>0</v>
      </c>
      <c r="F209" s="6">
        <f>Исходн.данные.!AH209</f>
        <v>0</v>
      </c>
      <c r="G209" s="6">
        <f>Исходн.данные.!AJ209</f>
        <v>0</v>
      </c>
      <c r="H209" s="6">
        <f>Исходн.данные.!AK209</f>
        <v>0</v>
      </c>
      <c r="I209" s="9">
        <f>IF($F209=0,0,Расчет2!AO209)</f>
        <v>0</v>
      </c>
      <c r="J209" s="9">
        <f>IF(F209=0,0,Расчет2!AP209)</f>
        <v>0</v>
      </c>
      <c r="K209" s="10">
        <f>IF($F209=0,0,Расчет2!AQ209)</f>
        <v>0</v>
      </c>
      <c r="L209" s="10">
        <f>IF($F209=0,0,Расчет2!AR209)</f>
        <v>0</v>
      </c>
      <c r="M209" s="10">
        <f>IF($F209=0,0,Расчет2!AS209)</f>
        <v>0</v>
      </c>
      <c r="N209" s="10">
        <f>IF($F209=0,0,IF(Исходн.данные.!$AP209="Посл.посева",0,Расчет2!AT209))</f>
        <v>0</v>
      </c>
      <c r="O209" s="10">
        <f>IF($F209=0,0,IF(Исходн.данные.!$AP209="Посл.посева",0,IF(Расчет2!AU209&lt;10,10,Расчет2!AU209)))</f>
        <v>0</v>
      </c>
      <c r="P209" s="10">
        <f>IF($F209=0,0,IF(Исходн.данные.!$AP209="Посл.посева",0,Расчет2!AV209))</f>
        <v>0</v>
      </c>
      <c r="Q209" s="10">
        <f>IF($F209=0,0,Расчет2!AW209)</f>
        <v>0</v>
      </c>
      <c r="R209" s="10">
        <f>IF($F209=0,0,Расчет2!AX209)</f>
        <v>0</v>
      </c>
      <c r="S209" s="9">
        <f>IF($F209=0,0,Расчет2!AY209)</f>
        <v>0</v>
      </c>
      <c r="T209" s="10">
        <f>IF($F209=0,0,Расчет2!AZ209)</f>
        <v>0</v>
      </c>
      <c r="U209" s="10">
        <f>IF($F209=0,0,Расчет2!BA209)</f>
        <v>0</v>
      </c>
      <c r="V209" s="10">
        <f>IF($F209=0,0,Расчет2!BB209)</f>
        <v>0</v>
      </c>
      <c r="W209" s="10">
        <f>Расчет!DL209</f>
        <v>0</v>
      </c>
      <c r="X209" s="10">
        <f>Расчет!DN209</f>
        <v>0</v>
      </c>
      <c r="Y209" s="9">
        <f>X209*Исходн.данные.!$AJ209/1000</f>
        <v>0</v>
      </c>
      <c r="Z209" s="10" t="str">
        <f>Расчет!DO209</f>
        <v>Хлор.калий</v>
      </c>
      <c r="AA209" s="10">
        <f>Расчет!DQ209</f>
        <v>0</v>
      </c>
      <c r="AB209" s="12">
        <f>AA209*Исходн.данные.!$AJ209/1000</f>
        <v>0</v>
      </c>
      <c r="AC209" s="9">
        <f>IF($F209=0,0,Расчет2!BC209)</f>
        <v>0</v>
      </c>
      <c r="AD209" s="10">
        <f>IF($F209=0,0,Расчет2!BD209)</f>
        <v>0</v>
      </c>
      <c r="AE209" s="9">
        <f>IF($F209=0,0,Расчет2!BE209)</f>
        <v>0</v>
      </c>
      <c r="AF209" s="9">
        <f>IF($F209=0,0,Расчет2!BF209)</f>
        <v>0</v>
      </c>
      <c r="AG209" s="9">
        <f>IF($F209=0,0,Расчет2!BG209)</f>
        <v>0</v>
      </c>
      <c r="AI209" s="11" t="e">
        <f>Расчет!FY209</f>
        <v>#N/A</v>
      </c>
      <c r="AJ209" s="11" t="e">
        <f>Расчет!FZ209</f>
        <v>#N/A</v>
      </c>
      <c r="AK209" s="11" t="e">
        <f>Расчет!GA209</f>
        <v>#N/A</v>
      </c>
      <c r="AL209" s="11" t="e">
        <f>Расчет!GB209</f>
        <v>#N/A</v>
      </c>
      <c r="AM209" s="11" t="e">
        <f>Расчет!GC209</f>
        <v>#N/A</v>
      </c>
      <c r="AN209" s="11" t="e">
        <f>Расчет!GD209</f>
        <v>#N/A</v>
      </c>
      <c r="AO209" s="11" t="e">
        <f>Расчет!GE209</f>
        <v>#N/A</v>
      </c>
      <c r="AP209" s="11" t="e">
        <f>Расчет!GF209</f>
        <v>#N/A</v>
      </c>
      <c r="AQ209" s="11" t="e">
        <f>Расчет!GG209</f>
        <v>#N/A</v>
      </c>
      <c r="AR209" s="11" t="e">
        <f>Расчет!GH209</f>
        <v>#N/A</v>
      </c>
      <c r="AS209" s="11" t="e">
        <f>Расчет!GI209</f>
        <v>#N/A</v>
      </c>
      <c r="AT209" s="11" t="e">
        <f>Расчет!GJ209</f>
        <v>#N/A</v>
      </c>
      <c r="AU209" s="198" t="e">
        <f t="shared" si="21"/>
        <v>#N/A</v>
      </c>
      <c r="AV209" s="198" t="e">
        <f t="shared" si="22"/>
        <v>#N/A</v>
      </c>
      <c r="AW209" s="198" t="e">
        <f t="shared" si="23"/>
        <v>#N/A</v>
      </c>
      <c r="AX209" s="11" t="e">
        <f t="shared" si="24"/>
        <v>#N/A</v>
      </c>
      <c r="AY209" s="11" t="e">
        <f t="shared" si="25"/>
        <v>#N/A</v>
      </c>
      <c r="AZ209" s="11" t="e">
        <f t="shared" si="26"/>
        <v>#N/A</v>
      </c>
    </row>
    <row r="210" spans="1:52" x14ac:dyDescent="0.2">
      <c r="A210" s="6">
        <f>Исходн.данные.!A210</f>
        <v>0</v>
      </c>
      <c r="B210" s="6">
        <f>Исходн.данные.!B210</f>
        <v>0</v>
      </c>
      <c r="C210" s="6">
        <f>Исходн.данные.!C210</f>
        <v>0</v>
      </c>
      <c r="D210" s="6">
        <f>Исходн.данные.!D210</f>
        <v>0</v>
      </c>
      <c r="E210" s="6">
        <f>Исходн.данные.!E210</f>
        <v>0</v>
      </c>
      <c r="F210" s="6">
        <f>Исходн.данные.!AH210</f>
        <v>0</v>
      </c>
      <c r="G210" s="6">
        <f>Исходн.данные.!AJ210</f>
        <v>0</v>
      </c>
      <c r="H210" s="6">
        <f>Исходн.данные.!AK210</f>
        <v>0</v>
      </c>
      <c r="I210" s="9">
        <f>IF($F210=0,0,Расчет2!AO210)</f>
        <v>0</v>
      </c>
      <c r="J210" s="9">
        <f>IF(F210=0,0,Расчет2!AP210)</f>
        <v>0</v>
      </c>
      <c r="K210" s="10">
        <f>IF($F210=0,0,Расчет2!AQ210)</f>
        <v>0</v>
      </c>
      <c r="L210" s="10">
        <f>IF($F210=0,0,Расчет2!AR210)</f>
        <v>0</v>
      </c>
      <c r="M210" s="10">
        <f>IF($F210=0,0,Расчет2!AS210)</f>
        <v>0</v>
      </c>
      <c r="N210" s="10">
        <f>IF($F210=0,0,IF(Исходн.данные.!$AP210="Посл.посева",0,Расчет2!AT210))</f>
        <v>0</v>
      </c>
      <c r="O210" s="10">
        <f>IF($F210=0,0,IF(Исходн.данные.!$AP210="Посл.посева",0,IF(Расчет2!AU210&lt;10,10,Расчет2!AU210)))</f>
        <v>0</v>
      </c>
      <c r="P210" s="10">
        <f>IF($F210=0,0,IF(Исходн.данные.!$AP210="Посл.посева",0,Расчет2!AV210))</f>
        <v>0</v>
      </c>
      <c r="Q210" s="10">
        <f>IF($F210=0,0,Расчет2!AW210)</f>
        <v>0</v>
      </c>
      <c r="R210" s="10">
        <f>IF($F210=0,0,Расчет2!AX210)</f>
        <v>0</v>
      </c>
      <c r="S210" s="9">
        <f>IF($F210=0,0,Расчет2!AY210)</f>
        <v>0</v>
      </c>
      <c r="T210" s="10">
        <f>IF($F210=0,0,Расчет2!AZ210)</f>
        <v>0</v>
      </c>
      <c r="U210" s="10">
        <f>IF($F210=0,0,Расчет2!BA210)</f>
        <v>0</v>
      </c>
      <c r="V210" s="10">
        <f>IF($F210=0,0,Расчет2!BB210)</f>
        <v>0</v>
      </c>
      <c r="W210" s="10">
        <f>Расчет!DL210</f>
        <v>0</v>
      </c>
      <c r="X210" s="10">
        <f>Расчет!DN210</f>
        <v>0</v>
      </c>
      <c r="Y210" s="9">
        <f>X210*Исходн.данные.!$AJ210/1000</f>
        <v>0</v>
      </c>
      <c r="Z210" s="10" t="str">
        <f>Расчет!DO210</f>
        <v>Хлор.калий</v>
      </c>
      <c r="AA210" s="10">
        <f>Расчет!DQ210</f>
        <v>0</v>
      </c>
      <c r="AB210" s="12">
        <f>AA210*Исходн.данные.!$AJ210/1000</f>
        <v>0</v>
      </c>
      <c r="AC210" s="9">
        <f>IF($F210=0,0,Расчет2!BC210)</f>
        <v>0</v>
      </c>
      <c r="AD210" s="10">
        <f>IF($F210=0,0,Расчет2!BD210)</f>
        <v>0</v>
      </c>
      <c r="AE210" s="9">
        <f>IF($F210=0,0,Расчет2!BE210)</f>
        <v>0</v>
      </c>
      <c r="AF210" s="9">
        <f>IF($F210=0,0,Расчет2!BF210)</f>
        <v>0</v>
      </c>
      <c r="AG210" s="9">
        <f>IF($F210=0,0,Расчет2!BG210)</f>
        <v>0</v>
      </c>
      <c r="AI210" s="11" t="e">
        <f>Расчет!FY210</f>
        <v>#N/A</v>
      </c>
      <c r="AJ210" s="11" t="e">
        <f>Расчет!FZ210</f>
        <v>#N/A</v>
      </c>
      <c r="AK210" s="11" t="e">
        <f>Расчет!GA210</f>
        <v>#N/A</v>
      </c>
      <c r="AL210" s="11" t="e">
        <f>Расчет!GB210</f>
        <v>#N/A</v>
      </c>
      <c r="AM210" s="11" t="e">
        <f>Расчет!GC210</f>
        <v>#N/A</v>
      </c>
      <c r="AN210" s="11" t="e">
        <f>Расчет!GD210</f>
        <v>#N/A</v>
      </c>
      <c r="AO210" s="11" t="e">
        <f>Расчет!GE210</f>
        <v>#N/A</v>
      </c>
      <c r="AP210" s="11" t="e">
        <f>Расчет!GF210</f>
        <v>#N/A</v>
      </c>
      <c r="AQ210" s="11" t="e">
        <f>Расчет!GG210</f>
        <v>#N/A</v>
      </c>
      <c r="AR210" s="11" t="e">
        <f>Расчет!GH210</f>
        <v>#N/A</v>
      </c>
      <c r="AS210" s="11" t="e">
        <f>Расчет!GI210</f>
        <v>#N/A</v>
      </c>
      <c r="AT210" s="11" t="e">
        <f>Расчет!GJ210</f>
        <v>#N/A</v>
      </c>
      <c r="AU210" s="198" t="e">
        <f t="shared" si="21"/>
        <v>#N/A</v>
      </c>
      <c r="AV210" s="198" t="e">
        <f t="shared" si="22"/>
        <v>#N/A</v>
      </c>
      <c r="AW210" s="198" t="e">
        <f t="shared" si="23"/>
        <v>#N/A</v>
      </c>
      <c r="AX210" s="11" t="e">
        <f t="shared" si="24"/>
        <v>#N/A</v>
      </c>
      <c r="AY210" s="11" t="e">
        <f t="shared" si="25"/>
        <v>#N/A</v>
      </c>
      <c r="AZ210" s="11" t="e">
        <f t="shared" si="26"/>
        <v>#N/A</v>
      </c>
    </row>
    <row r="211" spans="1:52" x14ac:dyDescent="0.2">
      <c r="A211" s="6">
        <f>Исходн.данные.!A211</f>
        <v>0</v>
      </c>
      <c r="B211" s="6">
        <f>Исходн.данные.!B211</f>
        <v>0</v>
      </c>
      <c r="C211" s="6">
        <f>Исходн.данные.!C211</f>
        <v>0</v>
      </c>
      <c r="D211" s="6">
        <f>Исходн.данные.!D211</f>
        <v>0</v>
      </c>
      <c r="E211" s="6">
        <f>Исходн.данные.!E211</f>
        <v>0</v>
      </c>
      <c r="F211" s="6">
        <f>Исходн.данные.!AH211</f>
        <v>0</v>
      </c>
      <c r="G211" s="6">
        <f>Исходн.данные.!AJ211</f>
        <v>0</v>
      </c>
      <c r="H211" s="6">
        <f>Исходн.данные.!AK211</f>
        <v>0</v>
      </c>
      <c r="I211" s="9">
        <f>IF($F211=0,0,Расчет2!AO211)</f>
        <v>0</v>
      </c>
      <c r="J211" s="9">
        <f>IF(F211=0,0,Расчет2!AP211)</f>
        <v>0</v>
      </c>
      <c r="K211" s="10">
        <f>IF($F211=0,0,Расчет2!AQ211)</f>
        <v>0</v>
      </c>
      <c r="L211" s="10">
        <f>IF($F211=0,0,Расчет2!AR211)</f>
        <v>0</v>
      </c>
      <c r="M211" s="10">
        <f>IF($F211=0,0,Расчет2!AS211)</f>
        <v>0</v>
      </c>
      <c r="N211" s="10">
        <f>IF($F211=0,0,IF(Исходн.данные.!$AP211="Посл.посева",0,Расчет2!AT211))</f>
        <v>0</v>
      </c>
      <c r="O211" s="10">
        <f>IF($F211=0,0,IF(Исходн.данные.!$AP211="Посл.посева",0,IF(Расчет2!AU211&lt;10,10,Расчет2!AU211)))</f>
        <v>0</v>
      </c>
      <c r="P211" s="10">
        <f>IF($F211=0,0,IF(Исходн.данные.!$AP211="Посл.посева",0,Расчет2!AV211))</f>
        <v>0</v>
      </c>
      <c r="Q211" s="10">
        <f>IF($F211=0,0,Расчет2!AW211)</f>
        <v>0</v>
      </c>
      <c r="R211" s="10">
        <f>IF($F211=0,0,Расчет2!AX211)</f>
        <v>0</v>
      </c>
      <c r="S211" s="9">
        <f>IF($F211=0,0,Расчет2!AY211)</f>
        <v>0</v>
      </c>
      <c r="T211" s="10">
        <f>IF($F211=0,0,Расчет2!AZ211)</f>
        <v>0</v>
      </c>
      <c r="U211" s="10">
        <f>IF($F211=0,0,Расчет2!BA211)</f>
        <v>0</v>
      </c>
      <c r="V211" s="10">
        <f>IF($F211=0,0,Расчет2!BB211)</f>
        <v>0</v>
      </c>
      <c r="W211" s="10">
        <f>Расчет!DL211</f>
        <v>0</v>
      </c>
      <c r="X211" s="10">
        <f>Расчет!DN211</f>
        <v>0</v>
      </c>
      <c r="Y211" s="9">
        <f>X211*Исходн.данные.!$AJ211/1000</f>
        <v>0</v>
      </c>
      <c r="Z211" s="10" t="str">
        <f>Расчет!DO211</f>
        <v>Хлор.калий</v>
      </c>
      <c r="AA211" s="10">
        <f>Расчет!DQ211</f>
        <v>0</v>
      </c>
      <c r="AB211" s="12">
        <f>AA211*Исходн.данные.!$AJ211/1000</f>
        <v>0</v>
      </c>
      <c r="AC211" s="9">
        <f>IF($F211=0,0,Расчет2!BC211)</f>
        <v>0</v>
      </c>
      <c r="AD211" s="10">
        <f>IF($F211=0,0,Расчет2!BD211)</f>
        <v>0</v>
      </c>
      <c r="AE211" s="9">
        <f>IF($F211=0,0,Расчет2!BE211)</f>
        <v>0</v>
      </c>
      <c r="AF211" s="9">
        <f>IF($F211=0,0,Расчет2!BF211)</f>
        <v>0</v>
      </c>
      <c r="AG211" s="9">
        <f>IF($F211=0,0,Расчет2!BG211)</f>
        <v>0</v>
      </c>
      <c r="AI211" s="11" t="e">
        <f>Расчет!FY211</f>
        <v>#N/A</v>
      </c>
      <c r="AJ211" s="11" t="e">
        <f>Расчет!FZ211</f>
        <v>#N/A</v>
      </c>
      <c r="AK211" s="11" t="e">
        <f>Расчет!GA211</f>
        <v>#N/A</v>
      </c>
      <c r="AL211" s="11" t="e">
        <f>Расчет!GB211</f>
        <v>#N/A</v>
      </c>
      <c r="AM211" s="11" t="e">
        <f>Расчет!GC211</f>
        <v>#N/A</v>
      </c>
      <c r="AN211" s="11" t="e">
        <f>Расчет!GD211</f>
        <v>#N/A</v>
      </c>
      <c r="AO211" s="11" t="e">
        <f>Расчет!GE211</f>
        <v>#N/A</v>
      </c>
      <c r="AP211" s="11" t="e">
        <f>Расчет!GF211</f>
        <v>#N/A</v>
      </c>
      <c r="AQ211" s="11" t="e">
        <f>Расчет!GG211</f>
        <v>#N/A</v>
      </c>
      <c r="AR211" s="11" t="e">
        <f>Расчет!GH211</f>
        <v>#N/A</v>
      </c>
      <c r="AS211" s="11" t="e">
        <f>Расчет!GI211</f>
        <v>#N/A</v>
      </c>
      <c r="AT211" s="11" t="e">
        <f>Расчет!GJ211</f>
        <v>#N/A</v>
      </c>
      <c r="AU211" s="198" t="e">
        <f t="shared" si="21"/>
        <v>#N/A</v>
      </c>
      <c r="AV211" s="198" t="e">
        <f t="shared" si="22"/>
        <v>#N/A</v>
      </c>
      <c r="AW211" s="198" t="e">
        <f t="shared" si="23"/>
        <v>#N/A</v>
      </c>
      <c r="AX211" s="11" t="e">
        <f t="shared" si="24"/>
        <v>#N/A</v>
      </c>
      <c r="AY211" s="11" t="e">
        <f t="shared" si="25"/>
        <v>#N/A</v>
      </c>
      <c r="AZ211" s="11" t="e">
        <f t="shared" si="26"/>
        <v>#N/A</v>
      </c>
    </row>
    <row r="212" spans="1:52" x14ac:dyDescent="0.2">
      <c r="A212" s="6">
        <f>Исходн.данные.!A212</f>
        <v>0</v>
      </c>
      <c r="B212" s="6">
        <f>Исходн.данные.!B212</f>
        <v>0</v>
      </c>
      <c r="C212" s="6">
        <f>Исходн.данные.!C212</f>
        <v>0</v>
      </c>
      <c r="D212" s="6">
        <f>Исходн.данные.!D212</f>
        <v>0</v>
      </c>
      <c r="E212" s="6">
        <f>Исходн.данные.!E212</f>
        <v>0</v>
      </c>
      <c r="F212" s="6">
        <f>Исходн.данные.!AH212</f>
        <v>0</v>
      </c>
      <c r="G212" s="6">
        <f>Исходн.данные.!AJ212</f>
        <v>0</v>
      </c>
      <c r="H212" s="6">
        <f>Исходн.данные.!AK212</f>
        <v>0</v>
      </c>
      <c r="I212" s="9">
        <f>IF($F212=0,0,Расчет2!AO212)</f>
        <v>0</v>
      </c>
      <c r="J212" s="9">
        <f>IF(F212=0,0,Расчет2!AP212)</f>
        <v>0</v>
      </c>
      <c r="K212" s="10">
        <f>IF($F212=0,0,Расчет2!AQ212)</f>
        <v>0</v>
      </c>
      <c r="L212" s="10">
        <f>IF($F212=0,0,Расчет2!AR212)</f>
        <v>0</v>
      </c>
      <c r="M212" s="10">
        <f>IF($F212=0,0,Расчет2!AS212)</f>
        <v>0</v>
      </c>
      <c r="N212" s="10">
        <f>IF($F212=0,0,IF(Исходн.данные.!$AP212="Посл.посева",0,Расчет2!AT212))</f>
        <v>0</v>
      </c>
      <c r="O212" s="10">
        <f>IF($F212=0,0,IF(Исходн.данные.!$AP212="Посл.посева",0,IF(Расчет2!AU212&lt;10,10,Расчет2!AU212)))</f>
        <v>0</v>
      </c>
      <c r="P212" s="10">
        <f>IF($F212=0,0,IF(Исходн.данные.!$AP212="Посл.посева",0,Расчет2!AV212))</f>
        <v>0</v>
      </c>
      <c r="Q212" s="10">
        <f>IF($F212=0,0,Расчет2!AW212)</f>
        <v>0</v>
      </c>
      <c r="R212" s="10">
        <f>IF($F212=0,0,Расчет2!AX212)</f>
        <v>0</v>
      </c>
      <c r="S212" s="9">
        <f>IF($F212=0,0,Расчет2!AY212)</f>
        <v>0</v>
      </c>
      <c r="T212" s="10">
        <f>IF($F212=0,0,Расчет2!AZ212)</f>
        <v>0</v>
      </c>
      <c r="U212" s="10">
        <f>IF($F212=0,0,Расчет2!BA212)</f>
        <v>0</v>
      </c>
      <c r="V212" s="10">
        <f>IF($F212=0,0,Расчет2!BB212)</f>
        <v>0</v>
      </c>
      <c r="W212" s="10">
        <f>Расчет!DL212</f>
        <v>0</v>
      </c>
      <c r="X212" s="10">
        <f>Расчет!DN212</f>
        <v>0</v>
      </c>
      <c r="Y212" s="9">
        <f>X212*Исходн.данные.!$AJ212/1000</f>
        <v>0</v>
      </c>
      <c r="Z212" s="10" t="str">
        <f>Расчет!DO212</f>
        <v>Хлор.калий</v>
      </c>
      <c r="AA212" s="10">
        <f>Расчет!DQ212</f>
        <v>0</v>
      </c>
      <c r="AB212" s="12">
        <f>AA212*Исходн.данные.!$AJ212/1000</f>
        <v>0</v>
      </c>
      <c r="AC212" s="9">
        <f>IF($F212=0,0,Расчет2!BC212)</f>
        <v>0</v>
      </c>
      <c r="AD212" s="10">
        <f>IF($F212=0,0,Расчет2!BD212)</f>
        <v>0</v>
      </c>
      <c r="AE212" s="9">
        <f>IF($F212=0,0,Расчет2!BE212)</f>
        <v>0</v>
      </c>
      <c r="AF212" s="9">
        <f>IF($F212=0,0,Расчет2!BF212)</f>
        <v>0</v>
      </c>
      <c r="AG212" s="9">
        <f>IF($F212=0,0,Расчет2!BG212)</f>
        <v>0</v>
      </c>
      <c r="AI212" s="11" t="e">
        <f>Расчет!FY212</f>
        <v>#N/A</v>
      </c>
      <c r="AJ212" s="11" t="e">
        <f>Расчет!FZ212</f>
        <v>#N/A</v>
      </c>
      <c r="AK212" s="11" t="e">
        <f>Расчет!GA212</f>
        <v>#N/A</v>
      </c>
      <c r="AL212" s="11" t="e">
        <f>Расчет!GB212</f>
        <v>#N/A</v>
      </c>
      <c r="AM212" s="11" t="e">
        <f>Расчет!GC212</f>
        <v>#N/A</v>
      </c>
      <c r="AN212" s="11" t="e">
        <f>Расчет!GD212</f>
        <v>#N/A</v>
      </c>
      <c r="AO212" s="11" t="e">
        <f>Расчет!GE212</f>
        <v>#N/A</v>
      </c>
      <c r="AP212" s="11" t="e">
        <f>Расчет!GF212</f>
        <v>#N/A</v>
      </c>
      <c r="AQ212" s="11" t="e">
        <f>Расчет!GG212</f>
        <v>#N/A</v>
      </c>
      <c r="AR212" s="11" t="e">
        <f>Расчет!GH212</f>
        <v>#N/A</v>
      </c>
      <c r="AS212" s="11" t="e">
        <f>Расчет!GI212</f>
        <v>#N/A</v>
      </c>
      <c r="AT212" s="11" t="e">
        <f>Расчет!GJ212</f>
        <v>#N/A</v>
      </c>
      <c r="AU212" s="198" t="e">
        <f t="shared" si="21"/>
        <v>#N/A</v>
      </c>
      <c r="AV212" s="198" t="e">
        <f t="shared" si="22"/>
        <v>#N/A</v>
      </c>
      <c r="AW212" s="198" t="e">
        <f t="shared" si="23"/>
        <v>#N/A</v>
      </c>
      <c r="AX212" s="11" t="e">
        <f t="shared" si="24"/>
        <v>#N/A</v>
      </c>
      <c r="AY212" s="11" t="e">
        <f t="shared" si="25"/>
        <v>#N/A</v>
      </c>
      <c r="AZ212" s="11" t="e">
        <f t="shared" si="26"/>
        <v>#N/A</v>
      </c>
    </row>
    <row r="213" spans="1:52" x14ac:dyDescent="0.2">
      <c r="A213" s="6">
        <f>Исходн.данные.!A213</f>
        <v>0</v>
      </c>
      <c r="B213" s="6">
        <f>Исходн.данные.!B213</f>
        <v>0</v>
      </c>
      <c r="C213" s="6">
        <f>Исходн.данные.!C213</f>
        <v>0</v>
      </c>
      <c r="D213" s="6">
        <f>Исходн.данные.!D213</f>
        <v>0</v>
      </c>
      <c r="E213" s="6">
        <f>Исходн.данные.!E213</f>
        <v>0</v>
      </c>
      <c r="F213" s="6">
        <f>Исходн.данные.!AH213</f>
        <v>0</v>
      </c>
      <c r="G213" s="6">
        <f>Исходн.данные.!AJ213</f>
        <v>0</v>
      </c>
      <c r="H213" s="6">
        <f>Исходн.данные.!AK213</f>
        <v>0</v>
      </c>
      <c r="I213" s="9">
        <f>IF($F213=0,0,Расчет2!AO213)</f>
        <v>0</v>
      </c>
      <c r="J213" s="9">
        <f>IF(F213=0,0,Расчет2!AP213)</f>
        <v>0</v>
      </c>
      <c r="K213" s="10">
        <f>IF($F213=0,0,Расчет2!AQ213)</f>
        <v>0</v>
      </c>
      <c r="L213" s="10">
        <f>IF($F213=0,0,Расчет2!AR213)</f>
        <v>0</v>
      </c>
      <c r="M213" s="10">
        <f>IF($F213=0,0,Расчет2!AS213)</f>
        <v>0</v>
      </c>
      <c r="N213" s="10">
        <f>IF($F213=0,0,IF(Исходн.данные.!$AP213="Посл.посева",0,Расчет2!AT213))</f>
        <v>0</v>
      </c>
      <c r="O213" s="10">
        <f>IF($F213=0,0,IF(Исходн.данные.!$AP213="Посл.посева",0,IF(Расчет2!AU213&lt;10,10,Расчет2!AU213)))</f>
        <v>0</v>
      </c>
      <c r="P213" s="10">
        <f>IF($F213=0,0,IF(Исходн.данные.!$AP213="Посл.посева",0,Расчет2!AV213))</f>
        <v>0</v>
      </c>
      <c r="Q213" s="10">
        <f>IF($F213=0,0,Расчет2!AW213)</f>
        <v>0</v>
      </c>
      <c r="R213" s="10">
        <f>IF($F213=0,0,Расчет2!AX213)</f>
        <v>0</v>
      </c>
      <c r="S213" s="9">
        <f>IF($F213=0,0,Расчет2!AY213)</f>
        <v>0</v>
      </c>
      <c r="T213" s="10">
        <f>IF($F213=0,0,Расчет2!AZ213)</f>
        <v>0</v>
      </c>
      <c r="U213" s="10">
        <f>IF($F213=0,0,Расчет2!BA213)</f>
        <v>0</v>
      </c>
      <c r="V213" s="10">
        <f>IF($F213=0,0,Расчет2!BB213)</f>
        <v>0</v>
      </c>
      <c r="W213" s="10">
        <f>Расчет!DL213</f>
        <v>0</v>
      </c>
      <c r="X213" s="10">
        <f>Расчет!DN213</f>
        <v>0</v>
      </c>
      <c r="Y213" s="9">
        <f>X213*Исходн.данные.!$AJ213/1000</f>
        <v>0</v>
      </c>
      <c r="Z213" s="10" t="str">
        <f>Расчет!DO213</f>
        <v>Хлор.калий</v>
      </c>
      <c r="AA213" s="10">
        <f>Расчет!DQ213</f>
        <v>0</v>
      </c>
      <c r="AB213" s="12">
        <f>AA213*Исходн.данные.!$AJ213/1000</f>
        <v>0</v>
      </c>
      <c r="AC213" s="9">
        <f>IF($F213=0,0,Расчет2!BC213)</f>
        <v>0</v>
      </c>
      <c r="AD213" s="10">
        <f>IF($F213=0,0,Расчет2!BD213)</f>
        <v>0</v>
      </c>
      <c r="AE213" s="9">
        <f>IF($F213=0,0,Расчет2!BE213)</f>
        <v>0</v>
      </c>
      <c r="AF213" s="9">
        <f>IF($F213=0,0,Расчет2!BF213)</f>
        <v>0</v>
      </c>
      <c r="AG213" s="9">
        <f>IF($F213=0,0,Расчет2!BG213)</f>
        <v>0</v>
      </c>
      <c r="AI213" s="11" t="e">
        <f>Расчет!FY213</f>
        <v>#N/A</v>
      </c>
      <c r="AJ213" s="11" t="e">
        <f>Расчет!FZ213</f>
        <v>#N/A</v>
      </c>
      <c r="AK213" s="11" t="e">
        <f>Расчет!GA213</f>
        <v>#N/A</v>
      </c>
      <c r="AL213" s="11" t="e">
        <f>Расчет!GB213</f>
        <v>#N/A</v>
      </c>
      <c r="AM213" s="11" t="e">
        <f>Расчет!GC213</f>
        <v>#N/A</v>
      </c>
      <c r="AN213" s="11" t="e">
        <f>Расчет!GD213</f>
        <v>#N/A</v>
      </c>
      <c r="AO213" s="11" t="e">
        <f>Расчет!GE213</f>
        <v>#N/A</v>
      </c>
      <c r="AP213" s="11" t="e">
        <f>Расчет!GF213</f>
        <v>#N/A</v>
      </c>
      <c r="AQ213" s="11" t="e">
        <f>Расчет!GG213</f>
        <v>#N/A</v>
      </c>
      <c r="AR213" s="11" t="e">
        <f>Расчет!GH213</f>
        <v>#N/A</v>
      </c>
      <c r="AS213" s="11" t="e">
        <f>Расчет!GI213</f>
        <v>#N/A</v>
      </c>
      <c r="AT213" s="11" t="e">
        <f>Расчет!GJ213</f>
        <v>#N/A</v>
      </c>
      <c r="AU213" s="198" t="e">
        <f t="shared" si="21"/>
        <v>#N/A</v>
      </c>
      <c r="AV213" s="198" t="e">
        <f t="shared" si="22"/>
        <v>#N/A</v>
      </c>
      <c r="AW213" s="198" t="e">
        <f t="shared" si="23"/>
        <v>#N/A</v>
      </c>
      <c r="AX213" s="11" t="e">
        <f t="shared" si="24"/>
        <v>#N/A</v>
      </c>
      <c r="AY213" s="11" t="e">
        <f t="shared" si="25"/>
        <v>#N/A</v>
      </c>
      <c r="AZ213" s="11" t="e">
        <f t="shared" si="26"/>
        <v>#N/A</v>
      </c>
    </row>
    <row r="214" spans="1:52" x14ac:dyDescent="0.2">
      <c r="A214" s="6">
        <f>Исходн.данные.!A214</f>
        <v>0</v>
      </c>
      <c r="B214" s="6">
        <f>Исходн.данные.!B214</f>
        <v>0</v>
      </c>
      <c r="C214" s="6">
        <f>Исходн.данные.!C214</f>
        <v>0</v>
      </c>
      <c r="D214" s="6">
        <f>Исходн.данные.!D214</f>
        <v>0</v>
      </c>
      <c r="E214" s="6">
        <f>Исходн.данные.!E214</f>
        <v>0</v>
      </c>
      <c r="F214" s="6">
        <f>Исходн.данные.!AH214</f>
        <v>0</v>
      </c>
      <c r="G214" s="6">
        <f>Исходн.данные.!AJ214</f>
        <v>0</v>
      </c>
      <c r="H214" s="6">
        <f>Исходн.данные.!AK214</f>
        <v>0</v>
      </c>
      <c r="I214" s="9">
        <f>IF($F214=0,0,Расчет2!AO214)</f>
        <v>0</v>
      </c>
      <c r="J214" s="9">
        <f>IF(F214=0,0,Расчет2!AP214)</f>
        <v>0</v>
      </c>
      <c r="K214" s="10">
        <f>IF($F214=0,0,Расчет2!AQ214)</f>
        <v>0</v>
      </c>
      <c r="L214" s="10">
        <f>IF($F214=0,0,Расчет2!AR214)</f>
        <v>0</v>
      </c>
      <c r="M214" s="10">
        <f>IF($F214=0,0,Расчет2!AS214)</f>
        <v>0</v>
      </c>
      <c r="N214" s="10">
        <f>IF($F214=0,0,IF(Исходн.данные.!$AP214="Посл.посева",0,Расчет2!AT214))</f>
        <v>0</v>
      </c>
      <c r="O214" s="10">
        <f>IF($F214=0,0,IF(Исходн.данные.!$AP214="Посл.посева",0,IF(Расчет2!AU214&lt;10,10,Расчет2!AU214)))</f>
        <v>0</v>
      </c>
      <c r="P214" s="10">
        <f>IF($F214=0,0,IF(Исходн.данные.!$AP214="Посл.посева",0,Расчет2!AV214))</f>
        <v>0</v>
      </c>
      <c r="Q214" s="10">
        <f>IF($F214=0,0,Расчет2!AW214)</f>
        <v>0</v>
      </c>
      <c r="R214" s="10">
        <f>IF($F214=0,0,Расчет2!AX214)</f>
        <v>0</v>
      </c>
      <c r="S214" s="9">
        <f>IF($F214=0,0,Расчет2!AY214)</f>
        <v>0</v>
      </c>
      <c r="T214" s="10">
        <f>IF($F214=0,0,Расчет2!AZ214)</f>
        <v>0</v>
      </c>
      <c r="U214" s="10">
        <f>IF($F214=0,0,Расчет2!BA214)</f>
        <v>0</v>
      </c>
      <c r="V214" s="10">
        <f>IF($F214=0,0,Расчет2!BB214)</f>
        <v>0</v>
      </c>
      <c r="W214" s="10">
        <f>Расчет!DL214</f>
        <v>0</v>
      </c>
      <c r="X214" s="10">
        <f>Расчет!DN214</f>
        <v>0</v>
      </c>
      <c r="Y214" s="9">
        <f>X214*Исходн.данные.!$AJ214/1000</f>
        <v>0</v>
      </c>
      <c r="Z214" s="10" t="str">
        <f>Расчет!DO214</f>
        <v>Хлор.калий</v>
      </c>
      <c r="AA214" s="10">
        <f>Расчет!DQ214</f>
        <v>0</v>
      </c>
      <c r="AB214" s="12">
        <f>AA214*Исходн.данные.!$AJ214/1000</f>
        <v>0</v>
      </c>
      <c r="AC214" s="9">
        <f>IF($F214=0,0,Расчет2!BC214)</f>
        <v>0</v>
      </c>
      <c r="AD214" s="10">
        <f>IF($F214=0,0,Расчет2!BD214)</f>
        <v>0</v>
      </c>
      <c r="AE214" s="9">
        <f>IF($F214=0,0,Расчет2!BE214)</f>
        <v>0</v>
      </c>
      <c r="AF214" s="9">
        <f>IF($F214=0,0,Расчет2!BF214)</f>
        <v>0</v>
      </c>
      <c r="AG214" s="9">
        <f>IF($F214=0,0,Расчет2!BG214)</f>
        <v>0</v>
      </c>
      <c r="AI214" s="11" t="e">
        <f>Расчет!FY214</f>
        <v>#N/A</v>
      </c>
      <c r="AJ214" s="11" t="e">
        <f>Расчет!FZ214</f>
        <v>#N/A</v>
      </c>
      <c r="AK214" s="11" t="e">
        <f>Расчет!GA214</f>
        <v>#N/A</v>
      </c>
      <c r="AL214" s="11" t="e">
        <f>Расчет!GB214</f>
        <v>#N/A</v>
      </c>
      <c r="AM214" s="11" t="e">
        <f>Расчет!GC214</f>
        <v>#N/A</v>
      </c>
      <c r="AN214" s="11" t="e">
        <f>Расчет!GD214</f>
        <v>#N/A</v>
      </c>
      <c r="AO214" s="11" t="e">
        <f>Расчет!GE214</f>
        <v>#N/A</v>
      </c>
      <c r="AP214" s="11" t="e">
        <f>Расчет!GF214</f>
        <v>#N/A</v>
      </c>
      <c r="AQ214" s="11" t="e">
        <f>Расчет!GG214</f>
        <v>#N/A</v>
      </c>
      <c r="AR214" s="11" t="e">
        <f>Расчет!GH214</f>
        <v>#N/A</v>
      </c>
      <c r="AS214" s="11" t="e">
        <f>Расчет!GI214</f>
        <v>#N/A</v>
      </c>
      <c r="AT214" s="11" t="e">
        <f>Расчет!GJ214</f>
        <v>#N/A</v>
      </c>
      <c r="AU214" s="198" t="e">
        <f t="shared" si="21"/>
        <v>#N/A</v>
      </c>
      <c r="AV214" s="198" t="e">
        <f t="shared" si="22"/>
        <v>#N/A</v>
      </c>
      <c r="AW214" s="198" t="e">
        <f t="shared" si="23"/>
        <v>#N/A</v>
      </c>
      <c r="AX214" s="11" t="e">
        <f t="shared" si="24"/>
        <v>#N/A</v>
      </c>
      <c r="AY214" s="11" t="e">
        <f t="shared" si="25"/>
        <v>#N/A</v>
      </c>
      <c r="AZ214" s="11" t="e">
        <f t="shared" si="26"/>
        <v>#N/A</v>
      </c>
    </row>
    <row r="215" spans="1:52" x14ac:dyDescent="0.2">
      <c r="A215" s="6">
        <f>Исходн.данные.!A215</f>
        <v>0</v>
      </c>
      <c r="B215" s="6">
        <f>Исходн.данные.!B215</f>
        <v>0</v>
      </c>
      <c r="C215" s="6">
        <f>Исходн.данные.!C215</f>
        <v>0</v>
      </c>
      <c r="D215" s="6">
        <f>Исходн.данные.!D215</f>
        <v>0</v>
      </c>
      <c r="E215" s="6">
        <f>Исходн.данные.!E215</f>
        <v>0</v>
      </c>
      <c r="F215" s="6">
        <f>Исходн.данные.!AH215</f>
        <v>0</v>
      </c>
      <c r="G215" s="6">
        <f>Исходн.данные.!AJ215</f>
        <v>0</v>
      </c>
      <c r="H215" s="6">
        <f>Исходн.данные.!AK215</f>
        <v>0</v>
      </c>
      <c r="I215" s="9">
        <f>IF($F215=0,0,Расчет2!AO215)</f>
        <v>0</v>
      </c>
      <c r="J215" s="9">
        <f>IF(F215=0,0,Расчет2!AP215)</f>
        <v>0</v>
      </c>
      <c r="K215" s="10">
        <f>IF($F215=0,0,Расчет2!AQ215)</f>
        <v>0</v>
      </c>
      <c r="L215" s="10">
        <f>IF($F215=0,0,Расчет2!AR215)</f>
        <v>0</v>
      </c>
      <c r="M215" s="10">
        <f>IF($F215=0,0,Расчет2!AS215)</f>
        <v>0</v>
      </c>
      <c r="N215" s="10">
        <f>IF($F215=0,0,IF(Исходн.данные.!$AP215="Посл.посева",0,Расчет2!AT215))</f>
        <v>0</v>
      </c>
      <c r="O215" s="10">
        <f>IF($F215=0,0,IF(Исходн.данные.!$AP215="Посл.посева",0,IF(Расчет2!AU215&lt;10,10,Расчет2!AU215)))</f>
        <v>0</v>
      </c>
      <c r="P215" s="10">
        <f>IF($F215=0,0,IF(Исходн.данные.!$AP215="Посл.посева",0,Расчет2!AV215))</f>
        <v>0</v>
      </c>
      <c r="Q215" s="10">
        <f>IF($F215=0,0,Расчет2!AW215)</f>
        <v>0</v>
      </c>
      <c r="R215" s="10">
        <f>IF($F215=0,0,Расчет2!AX215)</f>
        <v>0</v>
      </c>
      <c r="S215" s="9">
        <f>IF($F215=0,0,Расчет2!AY215)</f>
        <v>0</v>
      </c>
      <c r="T215" s="10">
        <f>IF($F215=0,0,Расчет2!AZ215)</f>
        <v>0</v>
      </c>
      <c r="U215" s="10">
        <f>IF($F215=0,0,Расчет2!BA215)</f>
        <v>0</v>
      </c>
      <c r="V215" s="10">
        <f>IF($F215=0,0,Расчет2!BB215)</f>
        <v>0</v>
      </c>
      <c r="W215" s="10">
        <f>Расчет!DL215</f>
        <v>0</v>
      </c>
      <c r="X215" s="10">
        <f>Расчет!DN215</f>
        <v>0</v>
      </c>
      <c r="Y215" s="9">
        <f>X215*Исходн.данные.!$AJ215/1000</f>
        <v>0</v>
      </c>
      <c r="Z215" s="10" t="str">
        <f>Расчет!DO215</f>
        <v>Хлор.калий</v>
      </c>
      <c r="AA215" s="10">
        <f>Расчет!DQ215</f>
        <v>0</v>
      </c>
      <c r="AB215" s="12">
        <f>AA215*Исходн.данные.!$AJ215/1000</f>
        <v>0</v>
      </c>
      <c r="AC215" s="9">
        <f>IF($F215=0,0,Расчет2!BC215)</f>
        <v>0</v>
      </c>
      <c r="AD215" s="10">
        <f>IF($F215=0,0,Расчет2!BD215)</f>
        <v>0</v>
      </c>
      <c r="AE215" s="9">
        <f>IF($F215=0,0,Расчет2!BE215)</f>
        <v>0</v>
      </c>
      <c r="AF215" s="9">
        <f>IF($F215=0,0,Расчет2!BF215)</f>
        <v>0</v>
      </c>
      <c r="AG215" s="9">
        <f>IF($F215=0,0,Расчет2!BG215)</f>
        <v>0</v>
      </c>
      <c r="AI215" s="11" t="e">
        <f>Расчет!FY215</f>
        <v>#N/A</v>
      </c>
      <c r="AJ215" s="11" t="e">
        <f>Расчет!FZ215</f>
        <v>#N/A</v>
      </c>
      <c r="AK215" s="11" t="e">
        <f>Расчет!GA215</f>
        <v>#N/A</v>
      </c>
      <c r="AL215" s="11" t="e">
        <f>Расчет!GB215</f>
        <v>#N/A</v>
      </c>
      <c r="AM215" s="11" t="e">
        <f>Расчет!GC215</f>
        <v>#N/A</v>
      </c>
      <c r="AN215" s="11" t="e">
        <f>Расчет!GD215</f>
        <v>#N/A</v>
      </c>
      <c r="AO215" s="11" t="e">
        <f>Расчет!GE215</f>
        <v>#N/A</v>
      </c>
      <c r="AP215" s="11" t="e">
        <f>Расчет!GF215</f>
        <v>#N/A</v>
      </c>
      <c r="AQ215" s="11" t="e">
        <f>Расчет!GG215</f>
        <v>#N/A</v>
      </c>
      <c r="AR215" s="11" t="e">
        <f>Расчет!GH215</f>
        <v>#N/A</v>
      </c>
      <c r="AS215" s="11" t="e">
        <f>Расчет!GI215</f>
        <v>#N/A</v>
      </c>
      <c r="AT215" s="11" t="e">
        <f>Расчет!GJ215</f>
        <v>#N/A</v>
      </c>
      <c r="AU215" s="198" t="e">
        <f t="shared" ref="AU215:AU278" si="27">AI215+AL215+AO215+AR215</f>
        <v>#N/A</v>
      </c>
      <c r="AV215" s="198" t="e">
        <f t="shared" ref="AV215:AV278" si="28">AJ215+AM215+AP215+AS215</f>
        <v>#N/A</v>
      </c>
      <c r="AW215" s="198" t="e">
        <f t="shared" ref="AW215:AW278" si="29">AK215+AN215+AQ215+AT215</f>
        <v>#N/A</v>
      </c>
      <c r="AX215" s="11" t="e">
        <f t="shared" ref="AX215:AX278" si="30">MIN(AU215:AW215)</f>
        <v>#N/A</v>
      </c>
      <c r="AY215" s="11" t="e">
        <f t="shared" ref="AY215:AY278" si="31">MAX(AU215:AW215)</f>
        <v>#N/A</v>
      </c>
      <c r="AZ215" s="11" t="e">
        <f t="shared" ref="AZ215:AZ278" si="32">IF(AU215=AX215,MIN(AV215:AW215),IF(AW215=AX215,MIN(AU215:AV215),MIN(AU215,AW215)))</f>
        <v>#N/A</v>
      </c>
    </row>
    <row r="216" spans="1:52" x14ac:dyDescent="0.2">
      <c r="A216" s="6">
        <f>Исходн.данные.!A216</f>
        <v>0</v>
      </c>
      <c r="B216" s="6">
        <f>Исходн.данные.!B216</f>
        <v>0</v>
      </c>
      <c r="C216" s="6">
        <f>Исходн.данные.!C216</f>
        <v>0</v>
      </c>
      <c r="D216" s="6">
        <f>Исходн.данные.!D216</f>
        <v>0</v>
      </c>
      <c r="E216" s="6">
        <f>Исходн.данные.!E216</f>
        <v>0</v>
      </c>
      <c r="F216" s="6">
        <f>Исходн.данные.!AH216</f>
        <v>0</v>
      </c>
      <c r="G216" s="6">
        <f>Исходн.данные.!AJ216</f>
        <v>0</v>
      </c>
      <c r="H216" s="6">
        <f>Исходн.данные.!AK216</f>
        <v>0</v>
      </c>
      <c r="I216" s="9">
        <f>IF($F216=0,0,Расчет2!AO216)</f>
        <v>0</v>
      </c>
      <c r="J216" s="9">
        <f>IF(F216=0,0,Расчет2!AP216)</f>
        <v>0</v>
      </c>
      <c r="K216" s="10">
        <f>IF($F216=0,0,Расчет2!AQ216)</f>
        <v>0</v>
      </c>
      <c r="L216" s="10">
        <f>IF($F216=0,0,Расчет2!AR216)</f>
        <v>0</v>
      </c>
      <c r="M216" s="10">
        <f>IF($F216=0,0,Расчет2!AS216)</f>
        <v>0</v>
      </c>
      <c r="N216" s="10">
        <f>IF($F216=0,0,IF(Исходн.данные.!$AP216="Посл.посева",0,Расчет2!AT216))</f>
        <v>0</v>
      </c>
      <c r="O216" s="10">
        <f>IF($F216=0,0,IF(Исходн.данные.!$AP216="Посл.посева",0,IF(Расчет2!AU216&lt;10,10,Расчет2!AU216)))</f>
        <v>0</v>
      </c>
      <c r="P216" s="10">
        <f>IF($F216=0,0,IF(Исходн.данные.!$AP216="Посл.посева",0,Расчет2!AV216))</f>
        <v>0</v>
      </c>
      <c r="Q216" s="10">
        <f>IF($F216=0,0,Расчет2!AW216)</f>
        <v>0</v>
      </c>
      <c r="R216" s="10">
        <f>IF($F216=0,0,Расчет2!AX216)</f>
        <v>0</v>
      </c>
      <c r="S216" s="9">
        <f>IF($F216=0,0,Расчет2!AY216)</f>
        <v>0</v>
      </c>
      <c r="T216" s="10">
        <f>IF($F216=0,0,Расчет2!AZ216)</f>
        <v>0</v>
      </c>
      <c r="U216" s="10">
        <f>IF($F216=0,0,Расчет2!BA216)</f>
        <v>0</v>
      </c>
      <c r="V216" s="10">
        <f>IF($F216=0,0,Расчет2!BB216)</f>
        <v>0</v>
      </c>
      <c r="W216" s="10">
        <f>Расчет!DL216</f>
        <v>0</v>
      </c>
      <c r="X216" s="10">
        <f>Расчет!DN216</f>
        <v>0</v>
      </c>
      <c r="Y216" s="9">
        <f>X216*Исходн.данные.!$AJ216/1000</f>
        <v>0</v>
      </c>
      <c r="Z216" s="10" t="str">
        <f>Расчет!DO216</f>
        <v>Хлор.калий</v>
      </c>
      <c r="AA216" s="10">
        <f>Расчет!DQ216</f>
        <v>0</v>
      </c>
      <c r="AB216" s="12">
        <f>AA216*Исходн.данные.!$AJ216/1000</f>
        <v>0</v>
      </c>
      <c r="AC216" s="9">
        <f>IF($F216=0,0,Расчет2!BC216)</f>
        <v>0</v>
      </c>
      <c r="AD216" s="10">
        <f>IF($F216=0,0,Расчет2!BD216)</f>
        <v>0</v>
      </c>
      <c r="AE216" s="9">
        <f>IF($F216=0,0,Расчет2!BE216)</f>
        <v>0</v>
      </c>
      <c r="AF216" s="9">
        <f>IF($F216=0,0,Расчет2!BF216)</f>
        <v>0</v>
      </c>
      <c r="AG216" s="9">
        <f>IF($F216=0,0,Расчет2!BG216)</f>
        <v>0</v>
      </c>
      <c r="AI216" s="11" t="e">
        <f>Расчет!FY216</f>
        <v>#N/A</v>
      </c>
      <c r="AJ216" s="11" t="e">
        <f>Расчет!FZ216</f>
        <v>#N/A</v>
      </c>
      <c r="AK216" s="11" t="e">
        <f>Расчет!GA216</f>
        <v>#N/A</v>
      </c>
      <c r="AL216" s="11" t="e">
        <f>Расчет!GB216</f>
        <v>#N/A</v>
      </c>
      <c r="AM216" s="11" t="e">
        <f>Расчет!GC216</f>
        <v>#N/A</v>
      </c>
      <c r="AN216" s="11" t="e">
        <f>Расчет!GD216</f>
        <v>#N/A</v>
      </c>
      <c r="AO216" s="11" t="e">
        <f>Расчет!GE216</f>
        <v>#N/A</v>
      </c>
      <c r="AP216" s="11" t="e">
        <f>Расчет!GF216</f>
        <v>#N/A</v>
      </c>
      <c r="AQ216" s="11" t="e">
        <f>Расчет!GG216</f>
        <v>#N/A</v>
      </c>
      <c r="AR216" s="11" t="e">
        <f>Расчет!GH216</f>
        <v>#N/A</v>
      </c>
      <c r="AS216" s="11" t="e">
        <f>Расчет!GI216</f>
        <v>#N/A</v>
      </c>
      <c r="AT216" s="11" t="e">
        <f>Расчет!GJ216</f>
        <v>#N/A</v>
      </c>
      <c r="AU216" s="198" t="e">
        <f t="shared" si="27"/>
        <v>#N/A</v>
      </c>
      <c r="AV216" s="198" t="e">
        <f t="shared" si="28"/>
        <v>#N/A</v>
      </c>
      <c r="AW216" s="198" t="e">
        <f t="shared" si="29"/>
        <v>#N/A</v>
      </c>
      <c r="AX216" s="11" t="e">
        <f t="shared" si="30"/>
        <v>#N/A</v>
      </c>
      <c r="AY216" s="11" t="e">
        <f t="shared" si="31"/>
        <v>#N/A</v>
      </c>
      <c r="AZ216" s="11" t="e">
        <f t="shared" si="32"/>
        <v>#N/A</v>
      </c>
    </row>
    <row r="217" spans="1:52" x14ac:dyDescent="0.2">
      <c r="A217" s="6">
        <f>Исходн.данные.!A217</f>
        <v>0</v>
      </c>
      <c r="B217" s="6">
        <f>Исходн.данные.!B217</f>
        <v>0</v>
      </c>
      <c r="C217" s="6">
        <f>Исходн.данные.!C217</f>
        <v>0</v>
      </c>
      <c r="D217" s="6">
        <f>Исходн.данные.!D217</f>
        <v>0</v>
      </c>
      <c r="E217" s="6">
        <f>Исходн.данные.!E217</f>
        <v>0</v>
      </c>
      <c r="F217" s="6">
        <f>Исходн.данные.!AH217</f>
        <v>0</v>
      </c>
      <c r="G217" s="6">
        <f>Исходн.данные.!AJ217</f>
        <v>0</v>
      </c>
      <c r="H217" s="6">
        <f>Исходн.данные.!AK217</f>
        <v>0</v>
      </c>
      <c r="I217" s="9">
        <f>IF($F217=0,0,Расчет2!AO217)</f>
        <v>0</v>
      </c>
      <c r="J217" s="9">
        <f>IF(F217=0,0,Расчет2!AP217)</f>
        <v>0</v>
      </c>
      <c r="K217" s="10">
        <f>IF($F217=0,0,Расчет2!AQ217)</f>
        <v>0</v>
      </c>
      <c r="L217" s="10">
        <f>IF($F217=0,0,Расчет2!AR217)</f>
        <v>0</v>
      </c>
      <c r="M217" s="10">
        <f>IF($F217=0,0,Расчет2!AS217)</f>
        <v>0</v>
      </c>
      <c r="N217" s="10">
        <f>IF($F217=0,0,IF(Исходн.данные.!$AP217="Посл.посева",0,Расчет2!AT217))</f>
        <v>0</v>
      </c>
      <c r="O217" s="10">
        <f>IF($F217=0,0,IF(Исходн.данные.!$AP217="Посл.посева",0,IF(Расчет2!AU217&lt;10,10,Расчет2!AU217)))</f>
        <v>0</v>
      </c>
      <c r="P217" s="10">
        <f>IF($F217=0,0,IF(Исходн.данные.!$AP217="Посл.посева",0,Расчет2!AV217))</f>
        <v>0</v>
      </c>
      <c r="Q217" s="10">
        <f>IF($F217=0,0,Расчет2!AW217)</f>
        <v>0</v>
      </c>
      <c r="R217" s="10">
        <f>IF($F217=0,0,Расчет2!AX217)</f>
        <v>0</v>
      </c>
      <c r="S217" s="9">
        <f>IF($F217=0,0,Расчет2!AY217)</f>
        <v>0</v>
      </c>
      <c r="T217" s="10">
        <f>IF($F217=0,0,Расчет2!AZ217)</f>
        <v>0</v>
      </c>
      <c r="U217" s="10">
        <f>IF($F217=0,0,Расчет2!BA217)</f>
        <v>0</v>
      </c>
      <c r="V217" s="10">
        <f>IF($F217=0,0,Расчет2!BB217)</f>
        <v>0</v>
      </c>
      <c r="W217" s="10">
        <f>Расчет!DL217</f>
        <v>0</v>
      </c>
      <c r="X217" s="10">
        <f>Расчет!DN217</f>
        <v>0</v>
      </c>
      <c r="Y217" s="9">
        <f>X217*Исходн.данные.!$AJ217/1000</f>
        <v>0</v>
      </c>
      <c r="Z217" s="10" t="str">
        <f>Расчет!DO217</f>
        <v>Хлор.калий</v>
      </c>
      <c r="AA217" s="10">
        <f>Расчет!DQ217</f>
        <v>0</v>
      </c>
      <c r="AB217" s="12">
        <f>AA217*Исходн.данные.!$AJ217/1000</f>
        <v>0</v>
      </c>
      <c r="AC217" s="9">
        <f>IF($F217=0,0,Расчет2!BC217)</f>
        <v>0</v>
      </c>
      <c r="AD217" s="10">
        <f>IF($F217=0,0,Расчет2!BD217)</f>
        <v>0</v>
      </c>
      <c r="AE217" s="9">
        <f>IF($F217=0,0,Расчет2!BE217)</f>
        <v>0</v>
      </c>
      <c r="AF217" s="9">
        <f>IF($F217=0,0,Расчет2!BF217)</f>
        <v>0</v>
      </c>
      <c r="AG217" s="9">
        <f>IF($F217=0,0,Расчет2!BG217)</f>
        <v>0</v>
      </c>
      <c r="AI217" s="11" t="e">
        <f>Расчет!FY217</f>
        <v>#N/A</v>
      </c>
      <c r="AJ217" s="11" t="e">
        <f>Расчет!FZ217</f>
        <v>#N/A</v>
      </c>
      <c r="AK217" s="11" t="e">
        <f>Расчет!GA217</f>
        <v>#N/A</v>
      </c>
      <c r="AL217" s="11" t="e">
        <f>Расчет!GB217</f>
        <v>#N/A</v>
      </c>
      <c r="AM217" s="11" t="e">
        <f>Расчет!GC217</f>
        <v>#N/A</v>
      </c>
      <c r="AN217" s="11" t="e">
        <f>Расчет!GD217</f>
        <v>#N/A</v>
      </c>
      <c r="AO217" s="11" t="e">
        <f>Расчет!GE217</f>
        <v>#N/A</v>
      </c>
      <c r="AP217" s="11" t="e">
        <f>Расчет!GF217</f>
        <v>#N/A</v>
      </c>
      <c r="AQ217" s="11" t="e">
        <f>Расчет!GG217</f>
        <v>#N/A</v>
      </c>
      <c r="AR217" s="11" t="e">
        <f>Расчет!GH217</f>
        <v>#N/A</v>
      </c>
      <c r="AS217" s="11" t="e">
        <f>Расчет!GI217</f>
        <v>#N/A</v>
      </c>
      <c r="AT217" s="11" t="e">
        <f>Расчет!GJ217</f>
        <v>#N/A</v>
      </c>
      <c r="AU217" s="198" t="e">
        <f t="shared" si="27"/>
        <v>#N/A</v>
      </c>
      <c r="AV217" s="198" t="e">
        <f t="shared" si="28"/>
        <v>#N/A</v>
      </c>
      <c r="AW217" s="198" t="e">
        <f t="shared" si="29"/>
        <v>#N/A</v>
      </c>
      <c r="AX217" s="11" t="e">
        <f t="shared" si="30"/>
        <v>#N/A</v>
      </c>
      <c r="AY217" s="11" t="e">
        <f t="shared" si="31"/>
        <v>#N/A</v>
      </c>
      <c r="AZ217" s="11" t="e">
        <f t="shared" si="32"/>
        <v>#N/A</v>
      </c>
    </row>
    <row r="218" spans="1:52" x14ac:dyDescent="0.2">
      <c r="A218" s="6">
        <f>Исходн.данные.!A218</f>
        <v>0</v>
      </c>
      <c r="B218" s="6">
        <f>Исходн.данные.!B218</f>
        <v>0</v>
      </c>
      <c r="C218" s="6">
        <f>Исходн.данные.!C218</f>
        <v>0</v>
      </c>
      <c r="D218" s="6">
        <f>Исходн.данные.!D218</f>
        <v>0</v>
      </c>
      <c r="E218" s="6">
        <f>Исходн.данные.!E218</f>
        <v>0</v>
      </c>
      <c r="F218" s="6">
        <f>Исходн.данные.!AH218</f>
        <v>0</v>
      </c>
      <c r="G218" s="6">
        <f>Исходн.данные.!AJ218</f>
        <v>0</v>
      </c>
      <c r="H218" s="6">
        <f>Исходн.данные.!AK218</f>
        <v>0</v>
      </c>
      <c r="I218" s="9">
        <f>IF($F218=0,0,Расчет2!AO218)</f>
        <v>0</v>
      </c>
      <c r="J218" s="9">
        <f>IF(F218=0,0,Расчет2!AP218)</f>
        <v>0</v>
      </c>
      <c r="K218" s="10">
        <f>IF($F218=0,0,Расчет2!AQ218)</f>
        <v>0</v>
      </c>
      <c r="L218" s="10">
        <f>IF($F218=0,0,Расчет2!AR218)</f>
        <v>0</v>
      </c>
      <c r="M218" s="10">
        <f>IF($F218=0,0,Расчет2!AS218)</f>
        <v>0</v>
      </c>
      <c r="N218" s="10">
        <f>IF($F218=0,0,IF(Исходн.данные.!$AP218="Посл.посева",0,Расчет2!AT218))</f>
        <v>0</v>
      </c>
      <c r="O218" s="10">
        <f>IF($F218=0,0,IF(Исходн.данные.!$AP218="Посл.посева",0,IF(Расчет2!AU218&lt;10,10,Расчет2!AU218)))</f>
        <v>0</v>
      </c>
      <c r="P218" s="10">
        <f>IF($F218=0,0,IF(Исходн.данные.!$AP218="Посл.посева",0,Расчет2!AV218))</f>
        <v>0</v>
      </c>
      <c r="Q218" s="10">
        <f>IF($F218=0,0,Расчет2!AW218)</f>
        <v>0</v>
      </c>
      <c r="R218" s="10">
        <f>IF($F218=0,0,Расчет2!AX218)</f>
        <v>0</v>
      </c>
      <c r="S218" s="9">
        <f>IF($F218=0,0,Расчет2!AY218)</f>
        <v>0</v>
      </c>
      <c r="T218" s="10">
        <f>IF($F218=0,0,Расчет2!AZ218)</f>
        <v>0</v>
      </c>
      <c r="U218" s="10">
        <f>IF($F218=0,0,Расчет2!BA218)</f>
        <v>0</v>
      </c>
      <c r="V218" s="10">
        <f>IF($F218=0,0,Расчет2!BB218)</f>
        <v>0</v>
      </c>
      <c r="W218" s="10">
        <f>Расчет!DL218</f>
        <v>0</v>
      </c>
      <c r="X218" s="10">
        <f>Расчет!DN218</f>
        <v>0</v>
      </c>
      <c r="Y218" s="9">
        <f>X218*Исходн.данные.!$AJ218/1000</f>
        <v>0</v>
      </c>
      <c r="Z218" s="10" t="str">
        <f>Расчет!DO218</f>
        <v>Хлор.калий</v>
      </c>
      <c r="AA218" s="10">
        <f>Расчет!DQ218</f>
        <v>0</v>
      </c>
      <c r="AB218" s="12">
        <f>AA218*Исходн.данные.!$AJ218/1000</f>
        <v>0</v>
      </c>
      <c r="AC218" s="9">
        <f>IF($F218=0,0,Расчет2!BC218)</f>
        <v>0</v>
      </c>
      <c r="AD218" s="10">
        <f>IF($F218=0,0,Расчет2!BD218)</f>
        <v>0</v>
      </c>
      <c r="AE218" s="9">
        <f>IF($F218=0,0,Расчет2!BE218)</f>
        <v>0</v>
      </c>
      <c r="AF218" s="9">
        <f>IF($F218=0,0,Расчет2!BF218)</f>
        <v>0</v>
      </c>
      <c r="AG218" s="9">
        <f>IF($F218=0,0,Расчет2!BG218)</f>
        <v>0</v>
      </c>
      <c r="AI218" s="11" t="e">
        <f>Расчет!FY218</f>
        <v>#N/A</v>
      </c>
      <c r="AJ218" s="11" t="e">
        <f>Расчет!FZ218</f>
        <v>#N/A</v>
      </c>
      <c r="AK218" s="11" t="e">
        <f>Расчет!GA218</f>
        <v>#N/A</v>
      </c>
      <c r="AL218" s="11" t="e">
        <f>Расчет!GB218</f>
        <v>#N/A</v>
      </c>
      <c r="AM218" s="11" t="e">
        <f>Расчет!GC218</f>
        <v>#N/A</v>
      </c>
      <c r="AN218" s="11" t="e">
        <f>Расчет!GD218</f>
        <v>#N/A</v>
      </c>
      <c r="AO218" s="11" t="e">
        <f>Расчет!GE218</f>
        <v>#N/A</v>
      </c>
      <c r="AP218" s="11" t="e">
        <f>Расчет!GF218</f>
        <v>#N/A</v>
      </c>
      <c r="AQ218" s="11" t="e">
        <f>Расчет!GG218</f>
        <v>#N/A</v>
      </c>
      <c r="AR218" s="11" t="e">
        <f>Расчет!GH218</f>
        <v>#N/A</v>
      </c>
      <c r="AS218" s="11" t="e">
        <f>Расчет!GI218</f>
        <v>#N/A</v>
      </c>
      <c r="AT218" s="11" t="e">
        <f>Расчет!GJ218</f>
        <v>#N/A</v>
      </c>
      <c r="AU218" s="198" t="e">
        <f t="shared" si="27"/>
        <v>#N/A</v>
      </c>
      <c r="AV218" s="198" t="e">
        <f t="shared" si="28"/>
        <v>#N/A</v>
      </c>
      <c r="AW218" s="198" t="e">
        <f t="shared" si="29"/>
        <v>#N/A</v>
      </c>
      <c r="AX218" s="11" t="e">
        <f t="shared" si="30"/>
        <v>#N/A</v>
      </c>
      <c r="AY218" s="11" t="e">
        <f t="shared" si="31"/>
        <v>#N/A</v>
      </c>
      <c r="AZ218" s="11" t="e">
        <f t="shared" si="32"/>
        <v>#N/A</v>
      </c>
    </row>
    <row r="219" spans="1:52" x14ac:dyDescent="0.2">
      <c r="A219" s="6">
        <f>Исходн.данные.!A219</f>
        <v>0</v>
      </c>
      <c r="B219" s="6">
        <f>Исходн.данные.!B219</f>
        <v>0</v>
      </c>
      <c r="C219" s="6">
        <f>Исходн.данные.!C219</f>
        <v>0</v>
      </c>
      <c r="D219" s="6">
        <f>Исходн.данные.!D219</f>
        <v>0</v>
      </c>
      <c r="E219" s="6">
        <f>Исходн.данные.!E219</f>
        <v>0</v>
      </c>
      <c r="F219" s="6">
        <f>Исходн.данные.!AH219</f>
        <v>0</v>
      </c>
      <c r="G219" s="6">
        <f>Исходн.данные.!AJ219</f>
        <v>0</v>
      </c>
      <c r="H219" s="6">
        <f>Исходн.данные.!AK219</f>
        <v>0</v>
      </c>
      <c r="I219" s="9">
        <f>IF($F219=0,0,Расчет2!AO219)</f>
        <v>0</v>
      </c>
      <c r="J219" s="9">
        <f>IF(F219=0,0,Расчет2!AP219)</f>
        <v>0</v>
      </c>
      <c r="K219" s="10">
        <f>IF($F219=0,0,Расчет2!AQ219)</f>
        <v>0</v>
      </c>
      <c r="L219" s="10">
        <f>IF($F219=0,0,Расчет2!AR219)</f>
        <v>0</v>
      </c>
      <c r="M219" s="10">
        <f>IF($F219=0,0,Расчет2!AS219)</f>
        <v>0</v>
      </c>
      <c r="N219" s="10">
        <f>IF($F219=0,0,IF(Исходн.данные.!$AP219="Посл.посева",0,Расчет2!AT219))</f>
        <v>0</v>
      </c>
      <c r="O219" s="10">
        <f>IF($F219=0,0,IF(Исходн.данные.!$AP219="Посл.посева",0,IF(Расчет2!AU219&lt;10,10,Расчет2!AU219)))</f>
        <v>0</v>
      </c>
      <c r="P219" s="10">
        <f>IF($F219=0,0,IF(Исходн.данные.!$AP219="Посл.посева",0,Расчет2!AV219))</f>
        <v>0</v>
      </c>
      <c r="Q219" s="10">
        <f>IF($F219=0,0,Расчет2!AW219)</f>
        <v>0</v>
      </c>
      <c r="R219" s="10">
        <f>IF($F219=0,0,Расчет2!AX219)</f>
        <v>0</v>
      </c>
      <c r="S219" s="9">
        <f>IF($F219=0,0,Расчет2!AY219)</f>
        <v>0</v>
      </c>
      <c r="T219" s="10">
        <f>IF($F219=0,0,Расчет2!AZ219)</f>
        <v>0</v>
      </c>
      <c r="U219" s="10">
        <f>IF($F219=0,0,Расчет2!BA219)</f>
        <v>0</v>
      </c>
      <c r="V219" s="10">
        <f>IF($F219=0,0,Расчет2!BB219)</f>
        <v>0</v>
      </c>
      <c r="W219" s="10">
        <f>Расчет!DL219</f>
        <v>0</v>
      </c>
      <c r="X219" s="10">
        <f>Расчет!DN219</f>
        <v>0</v>
      </c>
      <c r="Y219" s="9">
        <f>X219*Исходн.данные.!$AJ219/1000</f>
        <v>0</v>
      </c>
      <c r="Z219" s="10" t="str">
        <f>Расчет!DO219</f>
        <v>Хлор.калий</v>
      </c>
      <c r="AA219" s="10">
        <f>Расчет!DQ219</f>
        <v>0</v>
      </c>
      <c r="AB219" s="12">
        <f>AA219*Исходн.данные.!$AJ219/1000</f>
        <v>0</v>
      </c>
      <c r="AC219" s="9">
        <f>IF($F219=0,0,Расчет2!BC219)</f>
        <v>0</v>
      </c>
      <c r="AD219" s="10">
        <f>IF($F219=0,0,Расчет2!BD219)</f>
        <v>0</v>
      </c>
      <c r="AE219" s="9">
        <f>IF($F219=0,0,Расчет2!BE219)</f>
        <v>0</v>
      </c>
      <c r="AF219" s="9">
        <f>IF($F219=0,0,Расчет2!BF219)</f>
        <v>0</v>
      </c>
      <c r="AG219" s="9">
        <f>IF($F219=0,0,Расчет2!BG219)</f>
        <v>0</v>
      </c>
      <c r="AI219" s="11" t="e">
        <f>Расчет!FY219</f>
        <v>#N/A</v>
      </c>
      <c r="AJ219" s="11" t="e">
        <f>Расчет!FZ219</f>
        <v>#N/A</v>
      </c>
      <c r="AK219" s="11" t="e">
        <f>Расчет!GA219</f>
        <v>#N/A</v>
      </c>
      <c r="AL219" s="11" t="e">
        <f>Расчет!GB219</f>
        <v>#N/A</v>
      </c>
      <c r="AM219" s="11" t="e">
        <f>Расчет!GC219</f>
        <v>#N/A</v>
      </c>
      <c r="AN219" s="11" t="e">
        <f>Расчет!GD219</f>
        <v>#N/A</v>
      </c>
      <c r="AO219" s="11" t="e">
        <f>Расчет!GE219</f>
        <v>#N/A</v>
      </c>
      <c r="AP219" s="11" t="e">
        <f>Расчет!GF219</f>
        <v>#N/A</v>
      </c>
      <c r="AQ219" s="11" t="e">
        <f>Расчет!GG219</f>
        <v>#N/A</v>
      </c>
      <c r="AR219" s="11" t="e">
        <f>Расчет!GH219</f>
        <v>#N/A</v>
      </c>
      <c r="AS219" s="11" t="e">
        <f>Расчет!GI219</f>
        <v>#N/A</v>
      </c>
      <c r="AT219" s="11" t="e">
        <f>Расчет!GJ219</f>
        <v>#N/A</v>
      </c>
      <c r="AU219" s="198" t="e">
        <f t="shared" si="27"/>
        <v>#N/A</v>
      </c>
      <c r="AV219" s="198" t="e">
        <f t="shared" si="28"/>
        <v>#N/A</v>
      </c>
      <c r="AW219" s="198" t="e">
        <f t="shared" si="29"/>
        <v>#N/A</v>
      </c>
      <c r="AX219" s="11" t="e">
        <f t="shared" si="30"/>
        <v>#N/A</v>
      </c>
      <c r="AY219" s="11" t="e">
        <f t="shared" si="31"/>
        <v>#N/A</v>
      </c>
      <c r="AZ219" s="11" t="e">
        <f t="shared" si="32"/>
        <v>#N/A</v>
      </c>
    </row>
    <row r="220" spans="1:52" x14ac:dyDescent="0.2">
      <c r="A220" s="6">
        <f>Исходн.данные.!A220</f>
        <v>0</v>
      </c>
      <c r="B220" s="6">
        <f>Исходн.данные.!B220</f>
        <v>0</v>
      </c>
      <c r="C220" s="6">
        <f>Исходн.данные.!C220</f>
        <v>0</v>
      </c>
      <c r="D220" s="6">
        <f>Исходн.данные.!D220</f>
        <v>0</v>
      </c>
      <c r="E220" s="6">
        <f>Исходн.данные.!E220</f>
        <v>0</v>
      </c>
      <c r="F220" s="6">
        <f>Исходн.данные.!AH220</f>
        <v>0</v>
      </c>
      <c r="G220" s="6">
        <f>Исходн.данные.!AJ220</f>
        <v>0</v>
      </c>
      <c r="H220" s="6">
        <f>Исходн.данные.!AK220</f>
        <v>0</v>
      </c>
      <c r="I220" s="9">
        <f>IF($F220=0,0,Расчет2!AO220)</f>
        <v>0</v>
      </c>
      <c r="J220" s="9">
        <f>IF(F220=0,0,Расчет2!AP220)</f>
        <v>0</v>
      </c>
      <c r="K220" s="10">
        <f>IF($F220=0,0,Расчет2!AQ220)</f>
        <v>0</v>
      </c>
      <c r="L220" s="10">
        <f>IF($F220=0,0,Расчет2!AR220)</f>
        <v>0</v>
      </c>
      <c r="M220" s="10">
        <f>IF($F220=0,0,Расчет2!AS220)</f>
        <v>0</v>
      </c>
      <c r="N220" s="10">
        <f>IF($F220=0,0,IF(Исходн.данные.!$AP220="Посл.посева",0,Расчет2!AT220))</f>
        <v>0</v>
      </c>
      <c r="O220" s="10">
        <f>IF($F220=0,0,IF(Исходн.данные.!$AP220="Посл.посева",0,IF(Расчет2!AU220&lt;10,10,Расчет2!AU220)))</f>
        <v>0</v>
      </c>
      <c r="P220" s="10">
        <f>IF($F220=0,0,IF(Исходн.данные.!$AP220="Посл.посева",0,Расчет2!AV220))</f>
        <v>0</v>
      </c>
      <c r="Q220" s="10">
        <f>IF($F220=0,0,Расчет2!AW220)</f>
        <v>0</v>
      </c>
      <c r="R220" s="10">
        <f>IF($F220=0,0,Расчет2!AX220)</f>
        <v>0</v>
      </c>
      <c r="S220" s="9">
        <f>IF($F220=0,0,Расчет2!AY220)</f>
        <v>0</v>
      </c>
      <c r="T220" s="10">
        <f>IF($F220=0,0,Расчет2!AZ220)</f>
        <v>0</v>
      </c>
      <c r="U220" s="10">
        <f>IF($F220=0,0,Расчет2!BA220)</f>
        <v>0</v>
      </c>
      <c r="V220" s="10">
        <f>IF($F220=0,0,Расчет2!BB220)</f>
        <v>0</v>
      </c>
      <c r="W220" s="10">
        <f>Расчет!DL220</f>
        <v>0</v>
      </c>
      <c r="X220" s="10">
        <f>Расчет!DN220</f>
        <v>0</v>
      </c>
      <c r="Y220" s="9">
        <f>X220*Исходн.данные.!$AJ220/1000</f>
        <v>0</v>
      </c>
      <c r="Z220" s="10" t="str">
        <f>Расчет!DO220</f>
        <v>Хлор.калий</v>
      </c>
      <c r="AA220" s="10">
        <f>Расчет!DQ220</f>
        <v>0</v>
      </c>
      <c r="AB220" s="12">
        <f>AA220*Исходн.данные.!$AJ220/1000</f>
        <v>0</v>
      </c>
      <c r="AC220" s="9">
        <f>IF($F220=0,0,Расчет2!BC220)</f>
        <v>0</v>
      </c>
      <c r="AD220" s="10">
        <f>IF($F220=0,0,Расчет2!BD220)</f>
        <v>0</v>
      </c>
      <c r="AE220" s="9">
        <f>IF($F220=0,0,Расчет2!BE220)</f>
        <v>0</v>
      </c>
      <c r="AF220" s="9">
        <f>IF($F220=0,0,Расчет2!BF220)</f>
        <v>0</v>
      </c>
      <c r="AG220" s="9">
        <f>IF($F220=0,0,Расчет2!BG220)</f>
        <v>0</v>
      </c>
      <c r="AI220" s="11" t="e">
        <f>Расчет!FY220</f>
        <v>#N/A</v>
      </c>
      <c r="AJ220" s="11" t="e">
        <f>Расчет!FZ220</f>
        <v>#N/A</v>
      </c>
      <c r="AK220" s="11" t="e">
        <f>Расчет!GA220</f>
        <v>#N/A</v>
      </c>
      <c r="AL220" s="11" t="e">
        <f>Расчет!GB220</f>
        <v>#N/A</v>
      </c>
      <c r="AM220" s="11" t="e">
        <f>Расчет!GC220</f>
        <v>#N/A</v>
      </c>
      <c r="AN220" s="11" t="e">
        <f>Расчет!GD220</f>
        <v>#N/A</v>
      </c>
      <c r="AO220" s="11" t="e">
        <f>Расчет!GE220</f>
        <v>#N/A</v>
      </c>
      <c r="AP220" s="11" t="e">
        <f>Расчет!GF220</f>
        <v>#N/A</v>
      </c>
      <c r="AQ220" s="11" t="e">
        <f>Расчет!GG220</f>
        <v>#N/A</v>
      </c>
      <c r="AR220" s="11" t="e">
        <f>Расчет!GH220</f>
        <v>#N/A</v>
      </c>
      <c r="AS220" s="11" t="e">
        <f>Расчет!GI220</f>
        <v>#N/A</v>
      </c>
      <c r="AT220" s="11" t="e">
        <f>Расчет!GJ220</f>
        <v>#N/A</v>
      </c>
      <c r="AU220" s="198" t="e">
        <f t="shared" si="27"/>
        <v>#N/A</v>
      </c>
      <c r="AV220" s="198" t="e">
        <f t="shared" si="28"/>
        <v>#N/A</v>
      </c>
      <c r="AW220" s="198" t="e">
        <f t="shared" si="29"/>
        <v>#N/A</v>
      </c>
      <c r="AX220" s="11" t="e">
        <f t="shared" si="30"/>
        <v>#N/A</v>
      </c>
      <c r="AY220" s="11" t="e">
        <f t="shared" si="31"/>
        <v>#N/A</v>
      </c>
      <c r="AZ220" s="11" t="e">
        <f t="shared" si="32"/>
        <v>#N/A</v>
      </c>
    </row>
    <row r="221" spans="1:52" x14ac:dyDescent="0.2">
      <c r="A221" s="6">
        <f>Исходн.данные.!A221</f>
        <v>0</v>
      </c>
      <c r="B221" s="6">
        <f>Исходн.данные.!B221</f>
        <v>0</v>
      </c>
      <c r="C221" s="6">
        <f>Исходн.данные.!C221</f>
        <v>0</v>
      </c>
      <c r="D221" s="6">
        <f>Исходн.данные.!D221</f>
        <v>0</v>
      </c>
      <c r="E221" s="6">
        <f>Исходн.данные.!E221</f>
        <v>0</v>
      </c>
      <c r="F221" s="6">
        <f>Исходн.данные.!AH221</f>
        <v>0</v>
      </c>
      <c r="G221" s="6">
        <f>Исходн.данные.!AJ221</f>
        <v>0</v>
      </c>
      <c r="H221" s="6">
        <f>Исходн.данные.!AK221</f>
        <v>0</v>
      </c>
      <c r="I221" s="9">
        <f>IF($F221=0,0,Расчет2!AO221)</f>
        <v>0</v>
      </c>
      <c r="J221" s="9">
        <f>IF(F221=0,0,Расчет2!AP221)</f>
        <v>0</v>
      </c>
      <c r="K221" s="10">
        <f>IF($F221=0,0,Расчет2!AQ221)</f>
        <v>0</v>
      </c>
      <c r="L221" s="10">
        <f>IF($F221=0,0,Расчет2!AR221)</f>
        <v>0</v>
      </c>
      <c r="M221" s="10">
        <f>IF($F221=0,0,Расчет2!AS221)</f>
        <v>0</v>
      </c>
      <c r="N221" s="10">
        <f>IF($F221=0,0,IF(Исходн.данные.!$AP221="Посл.посева",0,Расчет2!AT221))</f>
        <v>0</v>
      </c>
      <c r="O221" s="10">
        <f>IF($F221=0,0,IF(Исходн.данные.!$AP221="Посл.посева",0,IF(Расчет2!AU221&lt;10,10,Расчет2!AU221)))</f>
        <v>0</v>
      </c>
      <c r="P221" s="10">
        <f>IF($F221=0,0,IF(Исходн.данные.!$AP221="Посл.посева",0,Расчет2!AV221))</f>
        <v>0</v>
      </c>
      <c r="Q221" s="10">
        <f>IF($F221=0,0,Расчет2!AW221)</f>
        <v>0</v>
      </c>
      <c r="R221" s="10">
        <f>IF($F221=0,0,Расчет2!AX221)</f>
        <v>0</v>
      </c>
      <c r="S221" s="9">
        <f>IF($F221=0,0,Расчет2!AY221)</f>
        <v>0</v>
      </c>
      <c r="T221" s="10">
        <f>IF($F221=0,0,Расчет2!AZ221)</f>
        <v>0</v>
      </c>
      <c r="U221" s="10">
        <f>IF($F221=0,0,Расчет2!BA221)</f>
        <v>0</v>
      </c>
      <c r="V221" s="10">
        <f>IF($F221=0,0,Расчет2!BB221)</f>
        <v>0</v>
      </c>
      <c r="W221" s="10">
        <f>Расчет!DL221</f>
        <v>0</v>
      </c>
      <c r="X221" s="10">
        <f>Расчет!DN221</f>
        <v>0</v>
      </c>
      <c r="Y221" s="9">
        <f>X221*Исходн.данные.!$AJ221/1000</f>
        <v>0</v>
      </c>
      <c r="Z221" s="10" t="str">
        <f>Расчет!DO221</f>
        <v>Хлор.калий</v>
      </c>
      <c r="AA221" s="10">
        <f>Расчет!DQ221</f>
        <v>0</v>
      </c>
      <c r="AB221" s="12">
        <f>AA221*Исходн.данные.!$AJ221/1000</f>
        <v>0</v>
      </c>
      <c r="AC221" s="9">
        <f>IF($F221=0,0,Расчет2!BC221)</f>
        <v>0</v>
      </c>
      <c r="AD221" s="10">
        <f>IF($F221=0,0,Расчет2!BD221)</f>
        <v>0</v>
      </c>
      <c r="AE221" s="9">
        <f>IF($F221=0,0,Расчет2!BE221)</f>
        <v>0</v>
      </c>
      <c r="AF221" s="9">
        <f>IF($F221=0,0,Расчет2!BF221)</f>
        <v>0</v>
      </c>
      <c r="AG221" s="9">
        <f>IF($F221=0,0,Расчет2!BG221)</f>
        <v>0</v>
      </c>
      <c r="AI221" s="11" t="e">
        <f>Расчет!FY221</f>
        <v>#N/A</v>
      </c>
      <c r="AJ221" s="11" t="e">
        <f>Расчет!FZ221</f>
        <v>#N/A</v>
      </c>
      <c r="AK221" s="11" t="e">
        <f>Расчет!GA221</f>
        <v>#N/A</v>
      </c>
      <c r="AL221" s="11" t="e">
        <f>Расчет!GB221</f>
        <v>#N/A</v>
      </c>
      <c r="AM221" s="11" t="e">
        <f>Расчет!GC221</f>
        <v>#N/A</v>
      </c>
      <c r="AN221" s="11" t="e">
        <f>Расчет!GD221</f>
        <v>#N/A</v>
      </c>
      <c r="AO221" s="11" t="e">
        <f>Расчет!GE221</f>
        <v>#N/A</v>
      </c>
      <c r="AP221" s="11" t="e">
        <f>Расчет!GF221</f>
        <v>#N/A</v>
      </c>
      <c r="AQ221" s="11" t="e">
        <f>Расчет!GG221</f>
        <v>#N/A</v>
      </c>
      <c r="AR221" s="11" t="e">
        <f>Расчет!GH221</f>
        <v>#N/A</v>
      </c>
      <c r="AS221" s="11" t="e">
        <f>Расчет!GI221</f>
        <v>#N/A</v>
      </c>
      <c r="AT221" s="11" t="e">
        <f>Расчет!GJ221</f>
        <v>#N/A</v>
      </c>
      <c r="AU221" s="198" t="e">
        <f t="shared" si="27"/>
        <v>#N/A</v>
      </c>
      <c r="AV221" s="198" t="e">
        <f t="shared" si="28"/>
        <v>#N/A</v>
      </c>
      <c r="AW221" s="198" t="e">
        <f t="shared" si="29"/>
        <v>#N/A</v>
      </c>
      <c r="AX221" s="11" t="e">
        <f t="shared" si="30"/>
        <v>#N/A</v>
      </c>
      <c r="AY221" s="11" t="e">
        <f t="shared" si="31"/>
        <v>#N/A</v>
      </c>
      <c r="AZ221" s="11" t="e">
        <f t="shared" si="32"/>
        <v>#N/A</v>
      </c>
    </row>
    <row r="222" spans="1:52" x14ac:dyDescent="0.2">
      <c r="A222" s="6">
        <f>Исходн.данные.!A222</f>
        <v>0</v>
      </c>
      <c r="B222" s="6">
        <f>Исходн.данные.!B222</f>
        <v>0</v>
      </c>
      <c r="C222" s="6">
        <f>Исходн.данные.!C222</f>
        <v>0</v>
      </c>
      <c r="D222" s="6">
        <f>Исходн.данные.!D222</f>
        <v>0</v>
      </c>
      <c r="E222" s="6">
        <f>Исходн.данные.!E222</f>
        <v>0</v>
      </c>
      <c r="F222" s="6">
        <f>Исходн.данные.!AH222</f>
        <v>0</v>
      </c>
      <c r="G222" s="6">
        <f>Исходн.данные.!AJ222</f>
        <v>0</v>
      </c>
      <c r="H222" s="6">
        <f>Исходн.данные.!AK222</f>
        <v>0</v>
      </c>
      <c r="I222" s="9">
        <f>IF($F222=0,0,Расчет2!AO222)</f>
        <v>0</v>
      </c>
      <c r="J222" s="9">
        <f>IF(F222=0,0,Расчет2!AP222)</f>
        <v>0</v>
      </c>
      <c r="K222" s="10">
        <f>IF($F222=0,0,Расчет2!AQ222)</f>
        <v>0</v>
      </c>
      <c r="L222" s="10">
        <f>IF($F222=0,0,Расчет2!AR222)</f>
        <v>0</v>
      </c>
      <c r="M222" s="10">
        <f>IF($F222=0,0,Расчет2!AS222)</f>
        <v>0</v>
      </c>
      <c r="N222" s="10">
        <f>IF($F222=0,0,IF(Исходн.данные.!$AP222="Посл.посева",0,Расчет2!AT222))</f>
        <v>0</v>
      </c>
      <c r="O222" s="10">
        <f>IF($F222=0,0,IF(Исходн.данные.!$AP222="Посл.посева",0,IF(Расчет2!AU222&lt;10,10,Расчет2!AU222)))</f>
        <v>0</v>
      </c>
      <c r="P222" s="10">
        <f>IF($F222=0,0,IF(Исходн.данные.!$AP222="Посл.посева",0,Расчет2!AV222))</f>
        <v>0</v>
      </c>
      <c r="Q222" s="10">
        <f>IF($F222=0,0,Расчет2!AW222)</f>
        <v>0</v>
      </c>
      <c r="R222" s="10">
        <f>IF($F222=0,0,Расчет2!AX222)</f>
        <v>0</v>
      </c>
      <c r="S222" s="9">
        <f>IF($F222=0,0,Расчет2!AY222)</f>
        <v>0</v>
      </c>
      <c r="T222" s="10">
        <f>IF($F222=0,0,Расчет2!AZ222)</f>
        <v>0</v>
      </c>
      <c r="U222" s="10">
        <f>IF($F222=0,0,Расчет2!BA222)</f>
        <v>0</v>
      </c>
      <c r="V222" s="10">
        <f>IF($F222=0,0,Расчет2!BB222)</f>
        <v>0</v>
      </c>
      <c r="W222" s="10">
        <f>Расчет!DL222</f>
        <v>0</v>
      </c>
      <c r="X222" s="10">
        <f>Расчет!DN222</f>
        <v>0</v>
      </c>
      <c r="Y222" s="9">
        <f>X222*Исходн.данные.!$AJ222/1000</f>
        <v>0</v>
      </c>
      <c r="Z222" s="10" t="str">
        <f>Расчет!DO222</f>
        <v>Хлор.калий</v>
      </c>
      <c r="AA222" s="10">
        <f>Расчет!DQ222</f>
        <v>0</v>
      </c>
      <c r="AB222" s="12">
        <f>AA222*Исходн.данные.!$AJ222/1000</f>
        <v>0</v>
      </c>
      <c r="AC222" s="9">
        <f>IF($F222=0,0,Расчет2!BC222)</f>
        <v>0</v>
      </c>
      <c r="AD222" s="10">
        <f>IF($F222=0,0,Расчет2!BD222)</f>
        <v>0</v>
      </c>
      <c r="AE222" s="9">
        <f>IF($F222=0,0,Расчет2!BE222)</f>
        <v>0</v>
      </c>
      <c r="AF222" s="9">
        <f>IF($F222=0,0,Расчет2!BF222)</f>
        <v>0</v>
      </c>
      <c r="AG222" s="9">
        <f>IF($F222=0,0,Расчет2!BG222)</f>
        <v>0</v>
      </c>
      <c r="AI222" s="11" t="e">
        <f>Расчет!FY222</f>
        <v>#N/A</v>
      </c>
      <c r="AJ222" s="11" t="e">
        <f>Расчет!FZ222</f>
        <v>#N/A</v>
      </c>
      <c r="AK222" s="11" t="e">
        <f>Расчет!GA222</f>
        <v>#N/A</v>
      </c>
      <c r="AL222" s="11" t="e">
        <f>Расчет!GB222</f>
        <v>#N/A</v>
      </c>
      <c r="AM222" s="11" t="e">
        <f>Расчет!GC222</f>
        <v>#N/A</v>
      </c>
      <c r="AN222" s="11" t="e">
        <f>Расчет!GD222</f>
        <v>#N/A</v>
      </c>
      <c r="AO222" s="11" t="e">
        <f>Расчет!GE222</f>
        <v>#N/A</v>
      </c>
      <c r="AP222" s="11" t="e">
        <f>Расчет!GF222</f>
        <v>#N/A</v>
      </c>
      <c r="AQ222" s="11" t="e">
        <f>Расчет!GG222</f>
        <v>#N/A</v>
      </c>
      <c r="AR222" s="11" t="e">
        <f>Расчет!GH222</f>
        <v>#N/A</v>
      </c>
      <c r="AS222" s="11" t="e">
        <f>Расчет!GI222</f>
        <v>#N/A</v>
      </c>
      <c r="AT222" s="11" t="e">
        <f>Расчет!GJ222</f>
        <v>#N/A</v>
      </c>
      <c r="AU222" s="198" t="e">
        <f t="shared" si="27"/>
        <v>#N/A</v>
      </c>
      <c r="AV222" s="198" t="e">
        <f t="shared" si="28"/>
        <v>#N/A</v>
      </c>
      <c r="AW222" s="198" t="e">
        <f t="shared" si="29"/>
        <v>#N/A</v>
      </c>
      <c r="AX222" s="11" t="e">
        <f t="shared" si="30"/>
        <v>#N/A</v>
      </c>
      <c r="AY222" s="11" t="e">
        <f t="shared" si="31"/>
        <v>#N/A</v>
      </c>
      <c r="AZ222" s="11" t="e">
        <f t="shared" si="32"/>
        <v>#N/A</v>
      </c>
    </row>
    <row r="223" spans="1:52" x14ac:dyDescent="0.2">
      <c r="A223" s="6">
        <f>Исходн.данные.!A223</f>
        <v>0</v>
      </c>
      <c r="B223" s="6">
        <f>Исходн.данные.!B223</f>
        <v>0</v>
      </c>
      <c r="C223" s="6">
        <f>Исходн.данные.!C223</f>
        <v>0</v>
      </c>
      <c r="D223" s="6">
        <f>Исходн.данные.!D223</f>
        <v>0</v>
      </c>
      <c r="E223" s="6">
        <f>Исходн.данные.!E223</f>
        <v>0</v>
      </c>
      <c r="F223" s="6">
        <f>Исходн.данные.!AH223</f>
        <v>0</v>
      </c>
      <c r="G223" s="6">
        <f>Исходн.данные.!AJ223</f>
        <v>0</v>
      </c>
      <c r="H223" s="6">
        <f>Исходн.данные.!AK223</f>
        <v>0</v>
      </c>
      <c r="I223" s="9">
        <f>IF($F223=0,0,Расчет2!AO223)</f>
        <v>0</v>
      </c>
      <c r="J223" s="9">
        <f>IF(F223=0,0,Расчет2!AP223)</f>
        <v>0</v>
      </c>
      <c r="K223" s="10">
        <f>IF($F223=0,0,Расчет2!AQ223)</f>
        <v>0</v>
      </c>
      <c r="L223" s="10">
        <f>IF($F223=0,0,Расчет2!AR223)</f>
        <v>0</v>
      </c>
      <c r="M223" s="10">
        <f>IF($F223=0,0,Расчет2!AS223)</f>
        <v>0</v>
      </c>
      <c r="N223" s="10">
        <f>IF($F223=0,0,IF(Исходн.данные.!$AP223="Посл.посева",0,Расчет2!AT223))</f>
        <v>0</v>
      </c>
      <c r="O223" s="10">
        <f>IF($F223=0,0,IF(Исходн.данные.!$AP223="Посл.посева",0,IF(Расчет2!AU223&lt;10,10,Расчет2!AU223)))</f>
        <v>0</v>
      </c>
      <c r="P223" s="10">
        <f>IF($F223=0,0,IF(Исходн.данные.!$AP223="Посл.посева",0,Расчет2!AV223))</f>
        <v>0</v>
      </c>
      <c r="Q223" s="10">
        <f>IF($F223=0,0,Расчет2!AW223)</f>
        <v>0</v>
      </c>
      <c r="R223" s="10">
        <f>IF($F223=0,0,Расчет2!AX223)</f>
        <v>0</v>
      </c>
      <c r="S223" s="9">
        <f>IF($F223=0,0,Расчет2!AY223)</f>
        <v>0</v>
      </c>
      <c r="T223" s="10">
        <f>IF($F223=0,0,Расчет2!AZ223)</f>
        <v>0</v>
      </c>
      <c r="U223" s="10">
        <f>IF($F223=0,0,Расчет2!BA223)</f>
        <v>0</v>
      </c>
      <c r="V223" s="10">
        <f>IF($F223=0,0,Расчет2!BB223)</f>
        <v>0</v>
      </c>
      <c r="W223" s="10">
        <f>Расчет!DL223</f>
        <v>0</v>
      </c>
      <c r="X223" s="10">
        <f>Расчет!DN223</f>
        <v>0</v>
      </c>
      <c r="Y223" s="9">
        <f>X223*Исходн.данные.!$AJ223/1000</f>
        <v>0</v>
      </c>
      <c r="Z223" s="10" t="str">
        <f>Расчет!DO223</f>
        <v>Хлор.калий</v>
      </c>
      <c r="AA223" s="10">
        <f>Расчет!DQ223</f>
        <v>0</v>
      </c>
      <c r="AB223" s="12">
        <f>AA223*Исходн.данные.!$AJ223/1000</f>
        <v>0</v>
      </c>
      <c r="AC223" s="9">
        <f>IF($F223=0,0,Расчет2!BC223)</f>
        <v>0</v>
      </c>
      <c r="AD223" s="10">
        <f>IF($F223=0,0,Расчет2!BD223)</f>
        <v>0</v>
      </c>
      <c r="AE223" s="9">
        <f>IF($F223=0,0,Расчет2!BE223)</f>
        <v>0</v>
      </c>
      <c r="AF223" s="9">
        <f>IF($F223=0,0,Расчет2!BF223)</f>
        <v>0</v>
      </c>
      <c r="AG223" s="9">
        <f>IF($F223=0,0,Расчет2!BG223)</f>
        <v>0</v>
      </c>
      <c r="AI223" s="11" t="e">
        <f>Расчет!FY223</f>
        <v>#N/A</v>
      </c>
      <c r="AJ223" s="11" t="e">
        <f>Расчет!FZ223</f>
        <v>#N/A</v>
      </c>
      <c r="AK223" s="11" t="e">
        <f>Расчет!GA223</f>
        <v>#N/A</v>
      </c>
      <c r="AL223" s="11" t="e">
        <f>Расчет!GB223</f>
        <v>#N/A</v>
      </c>
      <c r="AM223" s="11" t="e">
        <f>Расчет!GC223</f>
        <v>#N/A</v>
      </c>
      <c r="AN223" s="11" t="e">
        <f>Расчет!GD223</f>
        <v>#N/A</v>
      </c>
      <c r="AO223" s="11" t="e">
        <f>Расчет!GE223</f>
        <v>#N/A</v>
      </c>
      <c r="AP223" s="11" t="e">
        <f>Расчет!GF223</f>
        <v>#N/A</v>
      </c>
      <c r="AQ223" s="11" t="e">
        <f>Расчет!GG223</f>
        <v>#N/A</v>
      </c>
      <c r="AR223" s="11" t="e">
        <f>Расчет!GH223</f>
        <v>#N/A</v>
      </c>
      <c r="AS223" s="11" t="e">
        <f>Расчет!GI223</f>
        <v>#N/A</v>
      </c>
      <c r="AT223" s="11" t="e">
        <f>Расчет!GJ223</f>
        <v>#N/A</v>
      </c>
      <c r="AU223" s="198" t="e">
        <f t="shared" si="27"/>
        <v>#N/A</v>
      </c>
      <c r="AV223" s="198" t="e">
        <f t="shared" si="28"/>
        <v>#N/A</v>
      </c>
      <c r="AW223" s="198" t="e">
        <f t="shared" si="29"/>
        <v>#N/A</v>
      </c>
      <c r="AX223" s="11" t="e">
        <f t="shared" si="30"/>
        <v>#N/A</v>
      </c>
      <c r="AY223" s="11" t="e">
        <f t="shared" si="31"/>
        <v>#N/A</v>
      </c>
      <c r="AZ223" s="11" t="e">
        <f t="shared" si="32"/>
        <v>#N/A</v>
      </c>
    </row>
    <row r="224" spans="1:52" x14ac:dyDescent="0.2">
      <c r="A224" s="6">
        <f>Исходн.данные.!A224</f>
        <v>0</v>
      </c>
      <c r="B224" s="6">
        <f>Исходн.данные.!B224</f>
        <v>0</v>
      </c>
      <c r="C224" s="6">
        <f>Исходн.данные.!C224</f>
        <v>0</v>
      </c>
      <c r="D224" s="6">
        <f>Исходн.данные.!D224</f>
        <v>0</v>
      </c>
      <c r="E224" s="6">
        <f>Исходн.данные.!E224</f>
        <v>0</v>
      </c>
      <c r="F224" s="6">
        <f>Исходн.данные.!AH224</f>
        <v>0</v>
      </c>
      <c r="G224" s="6">
        <f>Исходн.данные.!AJ224</f>
        <v>0</v>
      </c>
      <c r="H224" s="6">
        <f>Исходн.данные.!AK224</f>
        <v>0</v>
      </c>
      <c r="I224" s="9">
        <f>IF($F224=0,0,Расчет2!AO224)</f>
        <v>0</v>
      </c>
      <c r="J224" s="9">
        <f>IF(F224=0,0,Расчет2!AP224)</f>
        <v>0</v>
      </c>
      <c r="K224" s="10">
        <f>IF($F224=0,0,Расчет2!AQ224)</f>
        <v>0</v>
      </c>
      <c r="L224" s="10">
        <f>IF($F224=0,0,Расчет2!AR224)</f>
        <v>0</v>
      </c>
      <c r="M224" s="10">
        <f>IF($F224=0,0,Расчет2!AS224)</f>
        <v>0</v>
      </c>
      <c r="N224" s="10">
        <f>IF($F224=0,0,IF(Исходн.данные.!$AP224="Посл.посева",0,Расчет2!AT224))</f>
        <v>0</v>
      </c>
      <c r="O224" s="10">
        <f>IF($F224=0,0,IF(Исходн.данные.!$AP224="Посл.посева",0,IF(Расчет2!AU224&lt;10,10,Расчет2!AU224)))</f>
        <v>0</v>
      </c>
      <c r="P224" s="10">
        <f>IF($F224=0,0,IF(Исходн.данные.!$AP224="Посл.посева",0,Расчет2!AV224))</f>
        <v>0</v>
      </c>
      <c r="Q224" s="10">
        <f>IF($F224=0,0,Расчет2!AW224)</f>
        <v>0</v>
      </c>
      <c r="R224" s="10">
        <f>IF($F224=0,0,Расчет2!AX224)</f>
        <v>0</v>
      </c>
      <c r="S224" s="9">
        <f>IF($F224=0,0,Расчет2!AY224)</f>
        <v>0</v>
      </c>
      <c r="T224" s="10">
        <f>IF($F224=0,0,Расчет2!AZ224)</f>
        <v>0</v>
      </c>
      <c r="U224" s="10">
        <f>IF($F224=0,0,Расчет2!BA224)</f>
        <v>0</v>
      </c>
      <c r="V224" s="10">
        <f>IF($F224=0,0,Расчет2!BB224)</f>
        <v>0</v>
      </c>
      <c r="W224" s="10">
        <f>Расчет!DL224</f>
        <v>0</v>
      </c>
      <c r="X224" s="10">
        <f>Расчет!DN224</f>
        <v>0</v>
      </c>
      <c r="Y224" s="9">
        <f>X224*Исходн.данные.!$AJ224/1000</f>
        <v>0</v>
      </c>
      <c r="Z224" s="10" t="str">
        <f>Расчет!DO224</f>
        <v>Хлор.калий</v>
      </c>
      <c r="AA224" s="10">
        <f>Расчет!DQ224</f>
        <v>0</v>
      </c>
      <c r="AB224" s="12">
        <f>AA224*Исходн.данные.!$AJ224/1000</f>
        <v>0</v>
      </c>
      <c r="AC224" s="9">
        <f>IF($F224=0,0,Расчет2!BC224)</f>
        <v>0</v>
      </c>
      <c r="AD224" s="10">
        <f>IF($F224=0,0,Расчет2!BD224)</f>
        <v>0</v>
      </c>
      <c r="AE224" s="9">
        <f>IF($F224=0,0,Расчет2!BE224)</f>
        <v>0</v>
      </c>
      <c r="AF224" s="9">
        <f>IF($F224=0,0,Расчет2!BF224)</f>
        <v>0</v>
      </c>
      <c r="AG224" s="9">
        <f>IF($F224=0,0,Расчет2!BG224)</f>
        <v>0</v>
      </c>
      <c r="AI224" s="11" t="e">
        <f>Расчет!FY224</f>
        <v>#N/A</v>
      </c>
      <c r="AJ224" s="11" t="e">
        <f>Расчет!FZ224</f>
        <v>#N/A</v>
      </c>
      <c r="AK224" s="11" t="e">
        <f>Расчет!GA224</f>
        <v>#N/A</v>
      </c>
      <c r="AL224" s="11" t="e">
        <f>Расчет!GB224</f>
        <v>#N/A</v>
      </c>
      <c r="AM224" s="11" t="e">
        <f>Расчет!GC224</f>
        <v>#N/A</v>
      </c>
      <c r="AN224" s="11" t="e">
        <f>Расчет!GD224</f>
        <v>#N/A</v>
      </c>
      <c r="AO224" s="11" t="e">
        <f>Расчет!GE224</f>
        <v>#N/A</v>
      </c>
      <c r="AP224" s="11" t="e">
        <f>Расчет!GF224</f>
        <v>#N/A</v>
      </c>
      <c r="AQ224" s="11" t="e">
        <f>Расчет!GG224</f>
        <v>#N/A</v>
      </c>
      <c r="AR224" s="11" t="e">
        <f>Расчет!GH224</f>
        <v>#N/A</v>
      </c>
      <c r="AS224" s="11" t="e">
        <f>Расчет!GI224</f>
        <v>#N/A</v>
      </c>
      <c r="AT224" s="11" t="e">
        <f>Расчет!GJ224</f>
        <v>#N/A</v>
      </c>
      <c r="AU224" s="198" t="e">
        <f t="shared" si="27"/>
        <v>#N/A</v>
      </c>
      <c r="AV224" s="198" t="e">
        <f t="shared" si="28"/>
        <v>#N/A</v>
      </c>
      <c r="AW224" s="198" t="e">
        <f t="shared" si="29"/>
        <v>#N/A</v>
      </c>
      <c r="AX224" s="11" t="e">
        <f t="shared" si="30"/>
        <v>#N/A</v>
      </c>
      <c r="AY224" s="11" t="e">
        <f t="shared" si="31"/>
        <v>#N/A</v>
      </c>
      <c r="AZ224" s="11" t="e">
        <f t="shared" si="32"/>
        <v>#N/A</v>
      </c>
    </row>
    <row r="225" spans="1:52" x14ac:dyDescent="0.2">
      <c r="A225" s="6">
        <f>Исходн.данные.!A225</f>
        <v>0</v>
      </c>
      <c r="B225" s="6">
        <f>Исходн.данные.!B225</f>
        <v>0</v>
      </c>
      <c r="C225" s="6">
        <f>Исходн.данные.!C225</f>
        <v>0</v>
      </c>
      <c r="D225" s="6">
        <f>Исходн.данные.!D225</f>
        <v>0</v>
      </c>
      <c r="E225" s="6">
        <f>Исходн.данные.!E225</f>
        <v>0</v>
      </c>
      <c r="F225" s="6">
        <f>Исходн.данные.!AH225</f>
        <v>0</v>
      </c>
      <c r="G225" s="6">
        <f>Исходн.данные.!AJ225</f>
        <v>0</v>
      </c>
      <c r="H225" s="6">
        <f>Исходн.данные.!AK225</f>
        <v>0</v>
      </c>
      <c r="I225" s="9">
        <f>IF($F225=0,0,Расчет2!AO225)</f>
        <v>0</v>
      </c>
      <c r="J225" s="9">
        <f>IF(F225=0,0,Расчет2!AP225)</f>
        <v>0</v>
      </c>
      <c r="K225" s="10">
        <f>IF($F225=0,0,Расчет2!AQ225)</f>
        <v>0</v>
      </c>
      <c r="L225" s="10">
        <f>IF($F225=0,0,Расчет2!AR225)</f>
        <v>0</v>
      </c>
      <c r="M225" s="10">
        <f>IF($F225=0,0,Расчет2!AS225)</f>
        <v>0</v>
      </c>
      <c r="N225" s="10">
        <f>IF($F225=0,0,IF(Исходн.данные.!$AP225="Посл.посева",0,Расчет2!AT225))</f>
        <v>0</v>
      </c>
      <c r="O225" s="10">
        <f>IF($F225=0,0,IF(Исходн.данные.!$AP225="Посл.посева",0,IF(Расчет2!AU225&lt;10,10,Расчет2!AU225)))</f>
        <v>0</v>
      </c>
      <c r="P225" s="10">
        <f>IF($F225=0,0,IF(Исходн.данные.!$AP225="Посл.посева",0,Расчет2!AV225))</f>
        <v>0</v>
      </c>
      <c r="Q225" s="10">
        <f>IF($F225=0,0,Расчет2!AW225)</f>
        <v>0</v>
      </c>
      <c r="R225" s="10">
        <f>IF($F225=0,0,Расчет2!AX225)</f>
        <v>0</v>
      </c>
      <c r="S225" s="9">
        <f>IF($F225=0,0,Расчет2!AY225)</f>
        <v>0</v>
      </c>
      <c r="T225" s="10">
        <f>IF($F225=0,0,Расчет2!AZ225)</f>
        <v>0</v>
      </c>
      <c r="U225" s="10">
        <f>IF($F225=0,0,Расчет2!BA225)</f>
        <v>0</v>
      </c>
      <c r="V225" s="10">
        <f>IF($F225=0,0,Расчет2!BB225)</f>
        <v>0</v>
      </c>
      <c r="W225" s="10">
        <f>Расчет!DL225</f>
        <v>0</v>
      </c>
      <c r="X225" s="10">
        <f>Расчет!DN225</f>
        <v>0</v>
      </c>
      <c r="Y225" s="9">
        <f>X225*Исходн.данные.!$AJ225/1000</f>
        <v>0</v>
      </c>
      <c r="Z225" s="10" t="str">
        <f>Расчет!DO225</f>
        <v>Хлор.калий</v>
      </c>
      <c r="AA225" s="10">
        <f>Расчет!DQ225</f>
        <v>0</v>
      </c>
      <c r="AB225" s="12">
        <f>AA225*Исходн.данные.!$AJ225/1000</f>
        <v>0</v>
      </c>
      <c r="AC225" s="9">
        <f>IF($F225=0,0,Расчет2!BC225)</f>
        <v>0</v>
      </c>
      <c r="AD225" s="10">
        <f>IF($F225=0,0,Расчет2!BD225)</f>
        <v>0</v>
      </c>
      <c r="AE225" s="9">
        <f>IF($F225=0,0,Расчет2!BE225)</f>
        <v>0</v>
      </c>
      <c r="AF225" s="9">
        <f>IF($F225=0,0,Расчет2!BF225)</f>
        <v>0</v>
      </c>
      <c r="AG225" s="9">
        <f>IF($F225=0,0,Расчет2!BG225)</f>
        <v>0</v>
      </c>
      <c r="AI225" s="11" t="e">
        <f>Расчет!FY225</f>
        <v>#N/A</v>
      </c>
      <c r="AJ225" s="11" t="e">
        <f>Расчет!FZ225</f>
        <v>#N/A</v>
      </c>
      <c r="AK225" s="11" t="e">
        <f>Расчет!GA225</f>
        <v>#N/A</v>
      </c>
      <c r="AL225" s="11" t="e">
        <f>Расчет!GB225</f>
        <v>#N/A</v>
      </c>
      <c r="AM225" s="11" t="e">
        <f>Расчет!GC225</f>
        <v>#N/A</v>
      </c>
      <c r="AN225" s="11" t="e">
        <f>Расчет!GD225</f>
        <v>#N/A</v>
      </c>
      <c r="AO225" s="11" t="e">
        <f>Расчет!GE225</f>
        <v>#N/A</v>
      </c>
      <c r="AP225" s="11" t="e">
        <f>Расчет!GF225</f>
        <v>#N/A</v>
      </c>
      <c r="AQ225" s="11" t="e">
        <f>Расчет!GG225</f>
        <v>#N/A</v>
      </c>
      <c r="AR225" s="11" t="e">
        <f>Расчет!GH225</f>
        <v>#N/A</v>
      </c>
      <c r="AS225" s="11" t="e">
        <f>Расчет!GI225</f>
        <v>#N/A</v>
      </c>
      <c r="AT225" s="11" t="e">
        <f>Расчет!GJ225</f>
        <v>#N/A</v>
      </c>
      <c r="AU225" s="198" t="e">
        <f t="shared" si="27"/>
        <v>#N/A</v>
      </c>
      <c r="AV225" s="198" t="e">
        <f t="shared" si="28"/>
        <v>#N/A</v>
      </c>
      <c r="AW225" s="198" t="e">
        <f t="shared" si="29"/>
        <v>#N/A</v>
      </c>
      <c r="AX225" s="11" t="e">
        <f t="shared" si="30"/>
        <v>#N/A</v>
      </c>
      <c r="AY225" s="11" t="e">
        <f t="shared" si="31"/>
        <v>#N/A</v>
      </c>
      <c r="AZ225" s="11" t="e">
        <f t="shared" si="32"/>
        <v>#N/A</v>
      </c>
    </row>
    <row r="226" spans="1:52" x14ac:dyDescent="0.2">
      <c r="A226" s="6">
        <f>Исходн.данные.!A226</f>
        <v>0</v>
      </c>
      <c r="B226" s="6">
        <f>Исходн.данные.!B226</f>
        <v>0</v>
      </c>
      <c r="C226" s="6">
        <f>Исходн.данные.!C226</f>
        <v>0</v>
      </c>
      <c r="D226" s="6">
        <f>Исходн.данные.!D226</f>
        <v>0</v>
      </c>
      <c r="E226" s="6">
        <f>Исходн.данные.!E226</f>
        <v>0</v>
      </c>
      <c r="F226" s="6">
        <f>Исходн.данные.!AH226</f>
        <v>0</v>
      </c>
      <c r="G226" s="6">
        <f>Исходн.данные.!AJ226</f>
        <v>0</v>
      </c>
      <c r="H226" s="6">
        <f>Исходн.данные.!AK226</f>
        <v>0</v>
      </c>
      <c r="I226" s="9">
        <f>IF($F226=0,0,Расчет2!AO226)</f>
        <v>0</v>
      </c>
      <c r="J226" s="9">
        <f>IF(F226=0,0,Расчет2!AP226)</f>
        <v>0</v>
      </c>
      <c r="K226" s="10">
        <f>IF($F226=0,0,Расчет2!AQ226)</f>
        <v>0</v>
      </c>
      <c r="L226" s="10">
        <f>IF($F226=0,0,Расчет2!AR226)</f>
        <v>0</v>
      </c>
      <c r="M226" s="10">
        <f>IF($F226=0,0,Расчет2!AS226)</f>
        <v>0</v>
      </c>
      <c r="N226" s="10">
        <f>IF($F226=0,0,IF(Исходн.данные.!$AP226="Посл.посева",0,Расчет2!AT226))</f>
        <v>0</v>
      </c>
      <c r="O226" s="10">
        <f>IF($F226=0,0,IF(Исходн.данные.!$AP226="Посл.посева",0,IF(Расчет2!AU226&lt;10,10,Расчет2!AU226)))</f>
        <v>0</v>
      </c>
      <c r="P226" s="10">
        <f>IF($F226=0,0,IF(Исходн.данные.!$AP226="Посл.посева",0,Расчет2!AV226))</f>
        <v>0</v>
      </c>
      <c r="Q226" s="10">
        <f>IF($F226=0,0,Расчет2!AW226)</f>
        <v>0</v>
      </c>
      <c r="R226" s="10">
        <f>IF($F226=0,0,Расчет2!AX226)</f>
        <v>0</v>
      </c>
      <c r="S226" s="9">
        <f>IF($F226=0,0,Расчет2!AY226)</f>
        <v>0</v>
      </c>
      <c r="T226" s="10">
        <f>IF($F226=0,0,Расчет2!AZ226)</f>
        <v>0</v>
      </c>
      <c r="U226" s="10">
        <f>IF($F226=0,0,Расчет2!BA226)</f>
        <v>0</v>
      </c>
      <c r="V226" s="10">
        <f>IF($F226=0,0,Расчет2!BB226)</f>
        <v>0</v>
      </c>
      <c r="W226" s="10">
        <f>Расчет!DL226</f>
        <v>0</v>
      </c>
      <c r="X226" s="10">
        <f>Расчет!DN226</f>
        <v>0</v>
      </c>
      <c r="Y226" s="9">
        <f>X226*Исходн.данные.!$AJ226/1000</f>
        <v>0</v>
      </c>
      <c r="Z226" s="10" t="str">
        <f>Расчет!DO226</f>
        <v>Хлор.калий</v>
      </c>
      <c r="AA226" s="10">
        <f>Расчет!DQ226</f>
        <v>0</v>
      </c>
      <c r="AB226" s="12">
        <f>AA226*Исходн.данные.!$AJ226/1000</f>
        <v>0</v>
      </c>
      <c r="AC226" s="9">
        <f>IF($F226=0,0,Расчет2!BC226)</f>
        <v>0</v>
      </c>
      <c r="AD226" s="10">
        <f>IF($F226=0,0,Расчет2!BD226)</f>
        <v>0</v>
      </c>
      <c r="AE226" s="9">
        <f>IF($F226=0,0,Расчет2!BE226)</f>
        <v>0</v>
      </c>
      <c r="AF226" s="9">
        <f>IF($F226=0,0,Расчет2!BF226)</f>
        <v>0</v>
      </c>
      <c r="AG226" s="9">
        <f>IF($F226=0,0,Расчет2!BG226)</f>
        <v>0</v>
      </c>
      <c r="AI226" s="11" t="e">
        <f>Расчет!FY226</f>
        <v>#N/A</v>
      </c>
      <c r="AJ226" s="11" t="e">
        <f>Расчет!FZ226</f>
        <v>#N/A</v>
      </c>
      <c r="AK226" s="11" t="e">
        <f>Расчет!GA226</f>
        <v>#N/A</v>
      </c>
      <c r="AL226" s="11" t="e">
        <f>Расчет!GB226</f>
        <v>#N/A</v>
      </c>
      <c r="AM226" s="11" t="e">
        <f>Расчет!GC226</f>
        <v>#N/A</v>
      </c>
      <c r="AN226" s="11" t="e">
        <f>Расчет!GD226</f>
        <v>#N/A</v>
      </c>
      <c r="AO226" s="11" t="e">
        <f>Расчет!GE226</f>
        <v>#N/A</v>
      </c>
      <c r="AP226" s="11" t="e">
        <f>Расчет!GF226</f>
        <v>#N/A</v>
      </c>
      <c r="AQ226" s="11" t="e">
        <f>Расчет!GG226</f>
        <v>#N/A</v>
      </c>
      <c r="AR226" s="11" t="e">
        <f>Расчет!GH226</f>
        <v>#N/A</v>
      </c>
      <c r="AS226" s="11" t="e">
        <f>Расчет!GI226</f>
        <v>#N/A</v>
      </c>
      <c r="AT226" s="11" t="e">
        <f>Расчет!GJ226</f>
        <v>#N/A</v>
      </c>
      <c r="AU226" s="198" t="e">
        <f t="shared" si="27"/>
        <v>#N/A</v>
      </c>
      <c r="AV226" s="198" t="e">
        <f t="shared" si="28"/>
        <v>#N/A</v>
      </c>
      <c r="AW226" s="198" t="e">
        <f t="shared" si="29"/>
        <v>#N/A</v>
      </c>
      <c r="AX226" s="11" t="e">
        <f t="shared" si="30"/>
        <v>#N/A</v>
      </c>
      <c r="AY226" s="11" t="e">
        <f t="shared" si="31"/>
        <v>#N/A</v>
      </c>
      <c r="AZ226" s="11" t="e">
        <f t="shared" si="32"/>
        <v>#N/A</v>
      </c>
    </row>
    <row r="227" spans="1:52" x14ac:dyDescent="0.2">
      <c r="A227" s="6">
        <f>Исходн.данные.!A227</f>
        <v>0</v>
      </c>
      <c r="B227" s="6">
        <f>Исходн.данные.!B227</f>
        <v>0</v>
      </c>
      <c r="C227" s="6">
        <f>Исходн.данные.!C227</f>
        <v>0</v>
      </c>
      <c r="D227" s="6">
        <f>Исходн.данные.!D227</f>
        <v>0</v>
      </c>
      <c r="E227" s="6">
        <f>Исходн.данные.!E227</f>
        <v>0</v>
      </c>
      <c r="F227" s="6">
        <f>Исходн.данные.!AH227</f>
        <v>0</v>
      </c>
      <c r="G227" s="6">
        <f>Исходн.данные.!AJ227</f>
        <v>0</v>
      </c>
      <c r="H227" s="6">
        <f>Исходн.данные.!AK227</f>
        <v>0</v>
      </c>
      <c r="I227" s="9">
        <f>IF($F227=0,0,Расчет2!AO227)</f>
        <v>0</v>
      </c>
      <c r="J227" s="9">
        <f>IF(F227=0,0,Расчет2!AP227)</f>
        <v>0</v>
      </c>
      <c r="K227" s="10">
        <f>IF($F227=0,0,Расчет2!AQ227)</f>
        <v>0</v>
      </c>
      <c r="L227" s="10">
        <f>IF($F227=0,0,Расчет2!AR227)</f>
        <v>0</v>
      </c>
      <c r="M227" s="10">
        <f>IF($F227=0,0,Расчет2!AS227)</f>
        <v>0</v>
      </c>
      <c r="N227" s="10">
        <f>IF($F227=0,0,IF(Исходн.данные.!$AP227="Посл.посева",0,Расчет2!AT227))</f>
        <v>0</v>
      </c>
      <c r="O227" s="10">
        <f>IF($F227=0,0,IF(Исходн.данные.!$AP227="Посл.посева",0,IF(Расчет2!AU227&lt;10,10,Расчет2!AU227)))</f>
        <v>0</v>
      </c>
      <c r="P227" s="10">
        <f>IF($F227=0,0,IF(Исходн.данные.!$AP227="Посл.посева",0,Расчет2!AV227))</f>
        <v>0</v>
      </c>
      <c r="Q227" s="10">
        <f>IF($F227=0,0,Расчет2!AW227)</f>
        <v>0</v>
      </c>
      <c r="R227" s="10">
        <f>IF($F227=0,0,Расчет2!AX227)</f>
        <v>0</v>
      </c>
      <c r="S227" s="9">
        <f>IF($F227=0,0,Расчет2!AY227)</f>
        <v>0</v>
      </c>
      <c r="T227" s="10">
        <f>IF($F227=0,0,Расчет2!AZ227)</f>
        <v>0</v>
      </c>
      <c r="U227" s="10">
        <f>IF($F227=0,0,Расчет2!BA227)</f>
        <v>0</v>
      </c>
      <c r="V227" s="10">
        <f>IF($F227=0,0,Расчет2!BB227)</f>
        <v>0</v>
      </c>
      <c r="W227" s="10">
        <f>Расчет!DL227</f>
        <v>0</v>
      </c>
      <c r="X227" s="10">
        <f>Расчет!DN227</f>
        <v>0</v>
      </c>
      <c r="Y227" s="9">
        <f>X227*Исходн.данные.!$AJ227/1000</f>
        <v>0</v>
      </c>
      <c r="Z227" s="10" t="str">
        <f>Расчет!DO227</f>
        <v>Хлор.калий</v>
      </c>
      <c r="AA227" s="10">
        <f>Расчет!DQ227</f>
        <v>0</v>
      </c>
      <c r="AB227" s="12">
        <f>AA227*Исходн.данные.!$AJ227/1000</f>
        <v>0</v>
      </c>
      <c r="AC227" s="9">
        <f>IF($F227=0,0,Расчет2!BC227)</f>
        <v>0</v>
      </c>
      <c r="AD227" s="10">
        <f>IF($F227=0,0,Расчет2!BD227)</f>
        <v>0</v>
      </c>
      <c r="AE227" s="9">
        <f>IF($F227=0,0,Расчет2!BE227)</f>
        <v>0</v>
      </c>
      <c r="AF227" s="9">
        <f>IF($F227=0,0,Расчет2!BF227)</f>
        <v>0</v>
      </c>
      <c r="AG227" s="9">
        <f>IF($F227=0,0,Расчет2!BG227)</f>
        <v>0</v>
      </c>
      <c r="AI227" s="11" t="e">
        <f>Расчет!FY227</f>
        <v>#N/A</v>
      </c>
      <c r="AJ227" s="11" t="e">
        <f>Расчет!FZ227</f>
        <v>#N/A</v>
      </c>
      <c r="AK227" s="11" t="e">
        <f>Расчет!GA227</f>
        <v>#N/A</v>
      </c>
      <c r="AL227" s="11" t="e">
        <f>Расчет!GB227</f>
        <v>#N/A</v>
      </c>
      <c r="AM227" s="11" t="e">
        <f>Расчет!GC227</f>
        <v>#N/A</v>
      </c>
      <c r="AN227" s="11" t="e">
        <f>Расчет!GD227</f>
        <v>#N/A</v>
      </c>
      <c r="AO227" s="11" t="e">
        <f>Расчет!GE227</f>
        <v>#N/A</v>
      </c>
      <c r="AP227" s="11" t="e">
        <f>Расчет!GF227</f>
        <v>#N/A</v>
      </c>
      <c r="AQ227" s="11" t="e">
        <f>Расчет!GG227</f>
        <v>#N/A</v>
      </c>
      <c r="AR227" s="11" t="e">
        <f>Расчет!GH227</f>
        <v>#N/A</v>
      </c>
      <c r="AS227" s="11" t="e">
        <f>Расчет!GI227</f>
        <v>#N/A</v>
      </c>
      <c r="AT227" s="11" t="e">
        <f>Расчет!GJ227</f>
        <v>#N/A</v>
      </c>
      <c r="AU227" s="198" t="e">
        <f t="shared" si="27"/>
        <v>#N/A</v>
      </c>
      <c r="AV227" s="198" t="e">
        <f t="shared" si="28"/>
        <v>#N/A</v>
      </c>
      <c r="AW227" s="198" t="e">
        <f t="shared" si="29"/>
        <v>#N/A</v>
      </c>
      <c r="AX227" s="11" t="e">
        <f t="shared" si="30"/>
        <v>#N/A</v>
      </c>
      <c r="AY227" s="11" t="e">
        <f t="shared" si="31"/>
        <v>#N/A</v>
      </c>
      <c r="AZ227" s="11" t="e">
        <f t="shared" si="32"/>
        <v>#N/A</v>
      </c>
    </row>
    <row r="228" spans="1:52" x14ac:dyDescent="0.2">
      <c r="A228" s="6">
        <f>Исходн.данные.!A228</f>
        <v>0</v>
      </c>
      <c r="B228" s="6">
        <f>Исходн.данные.!B228</f>
        <v>0</v>
      </c>
      <c r="C228" s="6">
        <f>Исходн.данные.!C228</f>
        <v>0</v>
      </c>
      <c r="D228" s="6">
        <f>Исходн.данные.!D228</f>
        <v>0</v>
      </c>
      <c r="E228" s="6">
        <f>Исходн.данные.!E228</f>
        <v>0</v>
      </c>
      <c r="F228" s="6">
        <f>Исходн.данные.!AH228</f>
        <v>0</v>
      </c>
      <c r="G228" s="6">
        <f>Исходн.данные.!AJ228</f>
        <v>0</v>
      </c>
      <c r="H228" s="6">
        <f>Исходн.данные.!AK228</f>
        <v>0</v>
      </c>
      <c r="I228" s="9">
        <f>IF($F228=0,0,Расчет2!AO228)</f>
        <v>0</v>
      </c>
      <c r="J228" s="9">
        <f>IF(F228=0,0,Расчет2!AP228)</f>
        <v>0</v>
      </c>
      <c r="K228" s="10">
        <f>IF($F228=0,0,Расчет2!AQ228)</f>
        <v>0</v>
      </c>
      <c r="L228" s="10">
        <f>IF($F228=0,0,Расчет2!AR228)</f>
        <v>0</v>
      </c>
      <c r="M228" s="10">
        <f>IF($F228=0,0,Расчет2!AS228)</f>
        <v>0</v>
      </c>
      <c r="N228" s="10">
        <f>IF($F228=0,0,IF(Исходн.данные.!$AP228="Посл.посева",0,Расчет2!AT228))</f>
        <v>0</v>
      </c>
      <c r="O228" s="10">
        <f>IF($F228=0,0,IF(Исходн.данные.!$AP228="Посл.посева",0,IF(Расчет2!AU228&lt;10,10,Расчет2!AU228)))</f>
        <v>0</v>
      </c>
      <c r="P228" s="10">
        <f>IF($F228=0,0,IF(Исходн.данные.!$AP228="Посл.посева",0,Расчет2!AV228))</f>
        <v>0</v>
      </c>
      <c r="Q228" s="10">
        <f>IF($F228=0,0,Расчет2!AW228)</f>
        <v>0</v>
      </c>
      <c r="R228" s="10">
        <f>IF($F228=0,0,Расчет2!AX228)</f>
        <v>0</v>
      </c>
      <c r="S228" s="9">
        <f>IF($F228=0,0,Расчет2!AY228)</f>
        <v>0</v>
      </c>
      <c r="T228" s="10">
        <f>IF($F228=0,0,Расчет2!AZ228)</f>
        <v>0</v>
      </c>
      <c r="U228" s="10">
        <f>IF($F228=0,0,Расчет2!BA228)</f>
        <v>0</v>
      </c>
      <c r="V228" s="10">
        <f>IF($F228=0,0,Расчет2!BB228)</f>
        <v>0</v>
      </c>
      <c r="W228" s="10">
        <f>Расчет!DL228</f>
        <v>0</v>
      </c>
      <c r="X228" s="10">
        <f>Расчет!DN228</f>
        <v>0</v>
      </c>
      <c r="Y228" s="9">
        <f>X228*Исходн.данные.!$AJ228/1000</f>
        <v>0</v>
      </c>
      <c r="Z228" s="10" t="str">
        <f>Расчет!DO228</f>
        <v>Хлор.калий</v>
      </c>
      <c r="AA228" s="10">
        <f>Расчет!DQ228</f>
        <v>0</v>
      </c>
      <c r="AB228" s="12">
        <f>AA228*Исходн.данные.!$AJ228/1000</f>
        <v>0</v>
      </c>
      <c r="AC228" s="9">
        <f>IF($F228=0,0,Расчет2!BC228)</f>
        <v>0</v>
      </c>
      <c r="AD228" s="10">
        <f>IF($F228=0,0,Расчет2!BD228)</f>
        <v>0</v>
      </c>
      <c r="AE228" s="9">
        <f>IF($F228=0,0,Расчет2!BE228)</f>
        <v>0</v>
      </c>
      <c r="AF228" s="9">
        <f>IF($F228=0,0,Расчет2!BF228)</f>
        <v>0</v>
      </c>
      <c r="AG228" s="9">
        <f>IF($F228=0,0,Расчет2!BG228)</f>
        <v>0</v>
      </c>
      <c r="AI228" s="11" t="e">
        <f>Расчет!FY228</f>
        <v>#N/A</v>
      </c>
      <c r="AJ228" s="11" t="e">
        <f>Расчет!FZ228</f>
        <v>#N/A</v>
      </c>
      <c r="AK228" s="11" t="e">
        <f>Расчет!GA228</f>
        <v>#N/A</v>
      </c>
      <c r="AL228" s="11" t="e">
        <f>Расчет!GB228</f>
        <v>#N/A</v>
      </c>
      <c r="AM228" s="11" t="e">
        <f>Расчет!GC228</f>
        <v>#N/A</v>
      </c>
      <c r="AN228" s="11" t="e">
        <f>Расчет!GD228</f>
        <v>#N/A</v>
      </c>
      <c r="AO228" s="11" t="e">
        <f>Расчет!GE228</f>
        <v>#N/A</v>
      </c>
      <c r="AP228" s="11" t="e">
        <f>Расчет!GF228</f>
        <v>#N/A</v>
      </c>
      <c r="AQ228" s="11" t="e">
        <f>Расчет!GG228</f>
        <v>#N/A</v>
      </c>
      <c r="AR228" s="11" t="e">
        <f>Расчет!GH228</f>
        <v>#N/A</v>
      </c>
      <c r="AS228" s="11" t="e">
        <f>Расчет!GI228</f>
        <v>#N/A</v>
      </c>
      <c r="AT228" s="11" t="e">
        <f>Расчет!GJ228</f>
        <v>#N/A</v>
      </c>
      <c r="AU228" s="198" t="e">
        <f t="shared" si="27"/>
        <v>#N/A</v>
      </c>
      <c r="AV228" s="198" t="e">
        <f t="shared" si="28"/>
        <v>#N/A</v>
      </c>
      <c r="AW228" s="198" t="e">
        <f t="shared" si="29"/>
        <v>#N/A</v>
      </c>
      <c r="AX228" s="11" t="e">
        <f t="shared" si="30"/>
        <v>#N/A</v>
      </c>
      <c r="AY228" s="11" t="e">
        <f t="shared" si="31"/>
        <v>#N/A</v>
      </c>
      <c r="AZ228" s="11" t="e">
        <f t="shared" si="32"/>
        <v>#N/A</v>
      </c>
    </row>
    <row r="229" spans="1:52" x14ac:dyDescent="0.2">
      <c r="A229" s="6">
        <f>Исходн.данные.!A229</f>
        <v>0</v>
      </c>
      <c r="B229" s="6">
        <f>Исходн.данные.!B229</f>
        <v>0</v>
      </c>
      <c r="C229" s="6">
        <f>Исходн.данные.!C229</f>
        <v>0</v>
      </c>
      <c r="D229" s="6">
        <f>Исходн.данные.!D229</f>
        <v>0</v>
      </c>
      <c r="E229" s="6">
        <f>Исходн.данные.!E229</f>
        <v>0</v>
      </c>
      <c r="F229" s="6">
        <f>Исходн.данные.!AH229</f>
        <v>0</v>
      </c>
      <c r="G229" s="6">
        <f>Исходн.данные.!AJ229</f>
        <v>0</v>
      </c>
      <c r="H229" s="6">
        <f>Исходн.данные.!AK229</f>
        <v>0</v>
      </c>
      <c r="I229" s="9">
        <f>IF($F229=0,0,Расчет2!AO229)</f>
        <v>0</v>
      </c>
      <c r="J229" s="9">
        <f>IF(F229=0,0,Расчет2!AP229)</f>
        <v>0</v>
      </c>
      <c r="K229" s="10">
        <f>IF($F229=0,0,Расчет2!AQ229)</f>
        <v>0</v>
      </c>
      <c r="L229" s="10">
        <f>IF($F229=0,0,Расчет2!AR229)</f>
        <v>0</v>
      </c>
      <c r="M229" s="10">
        <f>IF($F229=0,0,Расчет2!AS229)</f>
        <v>0</v>
      </c>
      <c r="N229" s="10">
        <f>IF($F229=0,0,IF(Исходн.данные.!$AP229="Посл.посева",0,Расчет2!AT229))</f>
        <v>0</v>
      </c>
      <c r="O229" s="10">
        <f>IF($F229=0,0,IF(Исходн.данные.!$AP229="Посл.посева",0,IF(Расчет2!AU229&lt;10,10,Расчет2!AU229)))</f>
        <v>0</v>
      </c>
      <c r="P229" s="10">
        <f>IF($F229=0,0,IF(Исходн.данные.!$AP229="Посл.посева",0,Расчет2!AV229))</f>
        <v>0</v>
      </c>
      <c r="Q229" s="10">
        <f>IF($F229=0,0,Расчет2!AW229)</f>
        <v>0</v>
      </c>
      <c r="R229" s="10">
        <f>IF($F229=0,0,Расчет2!AX229)</f>
        <v>0</v>
      </c>
      <c r="S229" s="9">
        <f>IF($F229=0,0,Расчет2!AY229)</f>
        <v>0</v>
      </c>
      <c r="T229" s="10">
        <f>IF($F229=0,0,Расчет2!AZ229)</f>
        <v>0</v>
      </c>
      <c r="U229" s="10">
        <f>IF($F229=0,0,Расчет2!BA229)</f>
        <v>0</v>
      </c>
      <c r="V229" s="10">
        <f>IF($F229=0,0,Расчет2!BB229)</f>
        <v>0</v>
      </c>
      <c r="W229" s="10">
        <f>Расчет!DL229</f>
        <v>0</v>
      </c>
      <c r="X229" s="10">
        <f>Расчет!DN229</f>
        <v>0</v>
      </c>
      <c r="Y229" s="9">
        <f>X229*Исходн.данные.!$AJ229/1000</f>
        <v>0</v>
      </c>
      <c r="Z229" s="10" t="str">
        <f>Расчет!DO229</f>
        <v>Хлор.калий</v>
      </c>
      <c r="AA229" s="10">
        <f>Расчет!DQ229</f>
        <v>0</v>
      </c>
      <c r="AB229" s="12">
        <f>AA229*Исходн.данные.!$AJ229/1000</f>
        <v>0</v>
      </c>
      <c r="AC229" s="9">
        <f>IF($F229=0,0,Расчет2!BC229)</f>
        <v>0</v>
      </c>
      <c r="AD229" s="10">
        <f>IF($F229=0,0,Расчет2!BD229)</f>
        <v>0</v>
      </c>
      <c r="AE229" s="9">
        <f>IF($F229=0,0,Расчет2!BE229)</f>
        <v>0</v>
      </c>
      <c r="AF229" s="9">
        <f>IF($F229=0,0,Расчет2!BF229)</f>
        <v>0</v>
      </c>
      <c r="AG229" s="9">
        <f>IF($F229=0,0,Расчет2!BG229)</f>
        <v>0</v>
      </c>
      <c r="AI229" s="11" t="e">
        <f>Расчет!FY229</f>
        <v>#N/A</v>
      </c>
      <c r="AJ229" s="11" t="e">
        <f>Расчет!FZ229</f>
        <v>#N/A</v>
      </c>
      <c r="AK229" s="11" t="e">
        <f>Расчет!GA229</f>
        <v>#N/A</v>
      </c>
      <c r="AL229" s="11" t="e">
        <f>Расчет!GB229</f>
        <v>#N/A</v>
      </c>
      <c r="AM229" s="11" t="e">
        <f>Расчет!GC229</f>
        <v>#N/A</v>
      </c>
      <c r="AN229" s="11" t="e">
        <f>Расчет!GD229</f>
        <v>#N/A</v>
      </c>
      <c r="AO229" s="11" t="e">
        <f>Расчет!GE229</f>
        <v>#N/A</v>
      </c>
      <c r="AP229" s="11" t="e">
        <f>Расчет!GF229</f>
        <v>#N/A</v>
      </c>
      <c r="AQ229" s="11" t="e">
        <f>Расчет!GG229</f>
        <v>#N/A</v>
      </c>
      <c r="AR229" s="11" t="e">
        <f>Расчет!GH229</f>
        <v>#N/A</v>
      </c>
      <c r="AS229" s="11" t="e">
        <f>Расчет!GI229</f>
        <v>#N/A</v>
      </c>
      <c r="AT229" s="11" t="e">
        <f>Расчет!GJ229</f>
        <v>#N/A</v>
      </c>
      <c r="AU229" s="198" t="e">
        <f t="shared" si="27"/>
        <v>#N/A</v>
      </c>
      <c r="AV229" s="198" t="e">
        <f t="shared" si="28"/>
        <v>#N/A</v>
      </c>
      <c r="AW229" s="198" t="e">
        <f t="shared" si="29"/>
        <v>#N/A</v>
      </c>
      <c r="AX229" s="11" t="e">
        <f t="shared" si="30"/>
        <v>#N/A</v>
      </c>
      <c r="AY229" s="11" t="e">
        <f t="shared" si="31"/>
        <v>#N/A</v>
      </c>
      <c r="AZ229" s="11" t="e">
        <f t="shared" si="32"/>
        <v>#N/A</v>
      </c>
    </row>
    <row r="230" spans="1:52" x14ac:dyDescent="0.2">
      <c r="A230" s="6">
        <f>Исходн.данные.!A230</f>
        <v>0</v>
      </c>
      <c r="B230" s="6">
        <f>Исходн.данные.!B230</f>
        <v>0</v>
      </c>
      <c r="C230" s="6">
        <f>Исходн.данные.!C230</f>
        <v>0</v>
      </c>
      <c r="D230" s="6">
        <f>Исходн.данные.!D230</f>
        <v>0</v>
      </c>
      <c r="E230" s="6">
        <f>Исходн.данные.!E230</f>
        <v>0</v>
      </c>
      <c r="F230" s="6">
        <f>Исходн.данные.!AH230</f>
        <v>0</v>
      </c>
      <c r="G230" s="6">
        <f>Исходн.данные.!AJ230</f>
        <v>0</v>
      </c>
      <c r="H230" s="6">
        <f>Исходн.данные.!AK230</f>
        <v>0</v>
      </c>
      <c r="I230" s="9">
        <f>IF($F230=0,0,Расчет2!AO230)</f>
        <v>0</v>
      </c>
      <c r="J230" s="9">
        <f>IF(F230=0,0,Расчет2!AP230)</f>
        <v>0</v>
      </c>
      <c r="K230" s="10">
        <f>IF($F230=0,0,Расчет2!AQ230)</f>
        <v>0</v>
      </c>
      <c r="L230" s="10">
        <f>IF($F230=0,0,Расчет2!AR230)</f>
        <v>0</v>
      </c>
      <c r="M230" s="10">
        <f>IF($F230=0,0,Расчет2!AS230)</f>
        <v>0</v>
      </c>
      <c r="N230" s="10">
        <f>IF($F230=0,0,IF(Исходн.данные.!$AP230="Посл.посева",0,Расчет2!AT230))</f>
        <v>0</v>
      </c>
      <c r="O230" s="10">
        <f>IF($F230=0,0,IF(Исходн.данные.!$AP230="Посл.посева",0,IF(Расчет2!AU230&lt;10,10,Расчет2!AU230)))</f>
        <v>0</v>
      </c>
      <c r="P230" s="10">
        <f>IF($F230=0,0,IF(Исходн.данные.!$AP230="Посл.посева",0,Расчет2!AV230))</f>
        <v>0</v>
      </c>
      <c r="Q230" s="10">
        <f>IF($F230=0,0,Расчет2!AW230)</f>
        <v>0</v>
      </c>
      <c r="R230" s="10">
        <f>IF($F230=0,0,Расчет2!AX230)</f>
        <v>0</v>
      </c>
      <c r="S230" s="9">
        <f>IF($F230=0,0,Расчет2!AY230)</f>
        <v>0</v>
      </c>
      <c r="T230" s="10">
        <f>IF($F230=0,0,Расчет2!AZ230)</f>
        <v>0</v>
      </c>
      <c r="U230" s="10">
        <f>IF($F230=0,0,Расчет2!BA230)</f>
        <v>0</v>
      </c>
      <c r="V230" s="10">
        <f>IF($F230=0,0,Расчет2!BB230)</f>
        <v>0</v>
      </c>
      <c r="W230" s="10">
        <f>Расчет!DL230</f>
        <v>0</v>
      </c>
      <c r="X230" s="10">
        <f>Расчет!DN230</f>
        <v>0</v>
      </c>
      <c r="Y230" s="9">
        <f>X230*Исходн.данные.!$AJ230/1000</f>
        <v>0</v>
      </c>
      <c r="Z230" s="10" t="str">
        <f>Расчет!DO230</f>
        <v>Хлор.калий</v>
      </c>
      <c r="AA230" s="10">
        <f>Расчет!DQ230</f>
        <v>0</v>
      </c>
      <c r="AB230" s="12">
        <f>AA230*Исходн.данные.!$AJ230/1000</f>
        <v>0</v>
      </c>
      <c r="AC230" s="9">
        <f>IF($F230=0,0,Расчет2!BC230)</f>
        <v>0</v>
      </c>
      <c r="AD230" s="10">
        <f>IF($F230=0,0,Расчет2!BD230)</f>
        <v>0</v>
      </c>
      <c r="AE230" s="9">
        <f>IF($F230=0,0,Расчет2!BE230)</f>
        <v>0</v>
      </c>
      <c r="AF230" s="9">
        <f>IF($F230=0,0,Расчет2!BF230)</f>
        <v>0</v>
      </c>
      <c r="AG230" s="9">
        <f>IF($F230=0,0,Расчет2!BG230)</f>
        <v>0</v>
      </c>
      <c r="AI230" s="11" t="e">
        <f>Расчет!FY230</f>
        <v>#N/A</v>
      </c>
      <c r="AJ230" s="11" t="e">
        <f>Расчет!FZ230</f>
        <v>#N/A</v>
      </c>
      <c r="AK230" s="11" t="e">
        <f>Расчет!GA230</f>
        <v>#N/A</v>
      </c>
      <c r="AL230" s="11" t="e">
        <f>Расчет!GB230</f>
        <v>#N/A</v>
      </c>
      <c r="AM230" s="11" t="e">
        <f>Расчет!GC230</f>
        <v>#N/A</v>
      </c>
      <c r="AN230" s="11" t="e">
        <f>Расчет!GD230</f>
        <v>#N/A</v>
      </c>
      <c r="AO230" s="11" t="e">
        <f>Расчет!GE230</f>
        <v>#N/A</v>
      </c>
      <c r="AP230" s="11" t="e">
        <f>Расчет!GF230</f>
        <v>#N/A</v>
      </c>
      <c r="AQ230" s="11" t="e">
        <f>Расчет!GG230</f>
        <v>#N/A</v>
      </c>
      <c r="AR230" s="11" t="e">
        <f>Расчет!GH230</f>
        <v>#N/A</v>
      </c>
      <c r="AS230" s="11" t="e">
        <f>Расчет!GI230</f>
        <v>#N/A</v>
      </c>
      <c r="AT230" s="11" t="e">
        <f>Расчет!GJ230</f>
        <v>#N/A</v>
      </c>
      <c r="AU230" s="198" t="e">
        <f t="shared" si="27"/>
        <v>#N/A</v>
      </c>
      <c r="AV230" s="198" t="e">
        <f t="shared" si="28"/>
        <v>#N/A</v>
      </c>
      <c r="AW230" s="198" t="e">
        <f t="shared" si="29"/>
        <v>#N/A</v>
      </c>
      <c r="AX230" s="11" t="e">
        <f t="shared" si="30"/>
        <v>#N/A</v>
      </c>
      <c r="AY230" s="11" t="e">
        <f t="shared" si="31"/>
        <v>#N/A</v>
      </c>
      <c r="AZ230" s="11" t="e">
        <f t="shared" si="32"/>
        <v>#N/A</v>
      </c>
    </row>
    <row r="231" spans="1:52" x14ac:dyDescent="0.2">
      <c r="A231" s="6">
        <f>Исходн.данные.!A231</f>
        <v>0</v>
      </c>
      <c r="B231" s="6">
        <f>Исходн.данные.!B231</f>
        <v>0</v>
      </c>
      <c r="C231" s="6">
        <f>Исходн.данные.!C231</f>
        <v>0</v>
      </c>
      <c r="D231" s="6">
        <f>Исходн.данные.!D231</f>
        <v>0</v>
      </c>
      <c r="E231" s="6">
        <f>Исходн.данные.!E231</f>
        <v>0</v>
      </c>
      <c r="F231" s="6">
        <f>Исходн.данные.!AH231</f>
        <v>0</v>
      </c>
      <c r="G231" s="6">
        <f>Исходн.данные.!AJ231</f>
        <v>0</v>
      </c>
      <c r="H231" s="6">
        <f>Исходн.данные.!AK231</f>
        <v>0</v>
      </c>
      <c r="I231" s="9">
        <f>IF($F231=0,0,Расчет2!AO231)</f>
        <v>0</v>
      </c>
      <c r="J231" s="9">
        <f>IF(F231=0,0,Расчет2!AP231)</f>
        <v>0</v>
      </c>
      <c r="K231" s="10">
        <f>IF($F231=0,0,Расчет2!AQ231)</f>
        <v>0</v>
      </c>
      <c r="L231" s="10">
        <f>IF($F231=0,0,Расчет2!AR231)</f>
        <v>0</v>
      </c>
      <c r="M231" s="10">
        <f>IF($F231=0,0,Расчет2!AS231)</f>
        <v>0</v>
      </c>
      <c r="N231" s="10">
        <f>IF($F231=0,0,IF(Исходн.данные.!$AP231="Посл.посева",0,Расчет2!AT231))</f>
        <v>0</v>
      </c>
      <c r="O231" s="10">
        <f>IF($F231=0,0,IF(Исходн.данные.!$AP231="Посл.посева",0,IF(Расчет2!AU231&lt;10,10,Расчет2!AU231)))</f>
        <v>0</v>
      </c>
      <c r="P231" s="10">
        <f>IF($F231=0,0,IF(Исходн.данные.!$AP231="Посл.посева",0,Расчет2!AV231))</f>
        <v>0</v>
      </c>
      <c r="Q231" s="10">
        <f>IF($F231=0,0,Расчет2!AW231)</f>
        <v>0</v>
      </c>
      <c r="R231" s="10">
        <f>IF($F231=0,0,Расчет2!AX231)</f>
        <v>0</v>
      </c>
      <c r="S231" s="9">
        <f>IF($F231=0,0,Расчет2!AY231)</f>
        <v>0</v>
      </c>
      <c r="T231" s="10">
        <f>IF($F231=0,0,Расчет2!AZ231)</f>
        <v>0</v>
      </c>
      <c r="U231" s="10">
        <f>IF($F231=0,0,Расчет2!BA231)</f>
        <v>0</v>
      </c>
      <c r="V231" s="10">
        <f>IF($F231=0,0,Расчет2!BB231)</f>
        <v>0</v>
      </c>
      <c r="W231" s="10">
        <f>Расчет!DL231</f>
        <v>0</v>
      </c>
      <c r="X231" s="10">
        <f>Расчет!DN231</f>
        <v>0</v>
      </c>
      <c r="Y231" s="9">
        <f>X231*Исходн.данные.!$AJ231/1000</f>
        <v>0</v>
      </c>
      <c r="Z231" s="10" t="str">
        <f>Расчет!DO231</f>
        <v>Хлор.калий</v>
      </c>
      <c r="AA231" s="10">
        <f>Расчет!DQ231</f>
        <v>0</v>
      </c>
      <c r="AB231" s="12">
        <f>AA231*Исходн.данные.!$AJ231/1000</f>
        <v>0</v>
      </c>
      <c r="AC231" s="9">
        <f>IF($F231=0,0,Расчет2!BC231)</f>
        <v>0</v>
      </c>
      <c r="AD231" s="10">
        <f>IF($F231=0,0,Расчет2!BD231)</f>
        <v>0</v>
      </c>
      <c r="AE231" s="9">
        <f>IF($F231=0,0,Расчет2!BE231)</f>
        <v>0</v>
      </c>
      <c r="AF231" s="9">
        <f>IF($F231=0,0,Расчет2!BF231)</f>
        <v>0</v>
      </c>
      <c r="AG231" s="9">
        <f>IF($F231=0,0,Расчет2!BG231)</f>
        <v>0</v>
      </c>
      <c r="AI231" s="11" t="e">
        <f>Расчет!FY231</f>
        <v>#N/A</v>
      </c>
      <c r="AJ231" s="11" t="e">
        <f>Расчет!FZ231</f>
        <v>#N/A</v>
      </c>
      <c r="AK231" s="11" t="e">
        <f>Расчет!GA231</f>
        <v>#N/A</v>
      </c>
      <c r="AL231" s="11" t="e">
        <f>Расчет!GB231</f>
        <v>#N/A</v>
      </c>
      <c r="AM231" s="11" t="e">
        <f>Расчет!GC231</f>
        <v>#N/A</v>
      </c>
      <c r="AN231" s="11" t="e">
        <f>Расчет!GD231</f>
        <v>#N/A</v>
      </c>
      <c r="AO231" s="11" t="e">
        <f>Расчет!GE231</f>
        <v>#N/A</v>
      </c>
      <c r="AP231" s="11" t="e">
        <f>Расчет!GF231</f>
        <v>#N/A</v>
      </c>
      <c r="AQ231" s="11" t="e">
        <f>Расчет!GG231</f>
        <v>#N/A</v>
      </c>
      <c r="AR231" s="11" t="e">
        <f>Расчет!GH231</f>
        <v>#N/A</v>
      </c>
      <c r="AS231" s="11" t="e">
        <f>Расчет!GI231</f>
        <v>#N/A</v>
      </c>
      <c r="AT231" s="11" t="e">
        <f>Расчет!GJ231</f>
        <v>#N/A</v>
      </c>
      <c r="AU231" s="198" t="e">
        <f t="shared" si="27"/>
        <v>#N/A</v>
      </c>
      <c r="AV231" s="198" t="e">
        <f t="shared" si="28"/>
        <v>#N/A</v>
      </c>
      <c r="AW231" s="198" t="e">
        <f t="shared" si="29"/>
        <v>#N/A</v>
      </c>
      <c r="AX231" s="11" t="e">
        <f t="shared" si="30"/>
        <v>#N/A</v>
      </c>
      <c r="AY231" s="11" t="e">
        <f t="shared" si="31"/>
        <v>#N/A</v>
      </c>
      <c r="AZ231" s="11" t="e">
        <f t="shared" si="32"/>
        <v>#N/A</v>
      </c>
    </row>
    <row r="232" spans="1:52" x14ac:dyDescent="0.2">
      <c r="A232" s="6">
        <f>Исходн.данные.!A232</f>
        <v>0</v>
      </c>
      <c r="B232" s="6">
        <f>Исходн.данные.!B232</f>
        <v>0</v>
      </c>
      <c r="C232" s="6">
        <f>Исходн.данные.!C232</f>
        <v>0</v>
      </c>
      <c r="D232" s="6">
        <f>Исходн.данные.!D232</f>
        <v>0</v>
      </c>
      <c r="E232" s="6">
        <f>Исходн.данные.!E232</f>
        <v>0</v>
      </c>
      <c r="F232" s="6">
        <f>Исходн.данные.!AH232</f>
        <v>0</v>
      </c>
      <c r="G232" s="6">
        <f>Исходн.данные.!AJ232</f>
        <v>0</v>
      </c>
      <c r="H232" s="6">
        <f>Исходн.данные.!AK232</f>
        <v>0</v>
      </c>
      <c r="I232" s="9">
        <f>IF($F232=0,0,Расчет2!AO232)</f>
        <v>0</v>
      </c>
      <c r="J232" s="9">
        <f>IF(F232=0,0,Расчет2!AP232)</f>
        <v>0</v>
      </c>
      <c r="K232" s="10">
        <f>IF($F232=0,0,Расчет2!AQ232)</f>
        <v>0</v>
      </c>
      <c r="L232" s="10">
        <f>IF($F232=0,0,Расчет2!AR232)</f>
        <v>0</v>
      </c>
      <c r="M232" s="10">
        <f>IF($F232=0,0,Расчет2!AS232)</f>
        <v>0</v>
      </c>
      <c r="N232" s="10">
        <f>IF($F232=0,0,IF(Исходн.данные.!$AP232="Посл.посева",0,Расчет2!AT232))</f>
        <v>0</v>
      </c>
      <c r="O232" s="10">
        <f>IF($F232=0,0,IF(Исходн.данные.!$AP232="Посл.посева",0,IF(Расчет2!AU232&lt;10,10,Расчет2!AU232)))</f>
        <v>0</v>
      </c>
      <c r="P232" s="10">
        <f>IF($F232=0,0,IF(Исходн.данные.!$AP232="Посл.посева",0,Расчет2!AV232))</f>
        <v>0</v>
      </c>
      <c r="Q232" s="10">
        <f>IF($F232=0,0,Расчет2!AW232)</f>
        <v>0</v>
      </c>
      <c r="R232" s="10">
        <f>IF($F232=0,0,Расчет2!AX232)</f>
        <v>0</v>
      </c>
      <c r="S232" s="9">
        <f>IF($F232=0,0,Расчет2!AY232)</f>
        <v>0</v>
      </c>
      <c r="T232" s="10">
        <f>IF($F232=0,0,Расчет2!AZ232)</f>
        <v>0</v>
      </c>
      <c r="U232" s="10">
        <f>IF($F232=0,0,Расчет2!BA232)</f>
        <v>0</v>
      </c>
      <c r="V232" s="10">
        <f>IF($F232=0,0,Расчет2!BB232)</f>
        <v>0</v>
      </c>
      <c r="W232" s="10">
        <f>Расчет!DL232</f>
        <v>0</v>
      </c>
      <c r="X232" s="10">
        <f>Расчет!DN232</f>
        <v>0</v>
      </c>
      <c r="Y232" s="9">
        <f>X232*Исходн.данные.!$AJ232/1000</f>
        <v>0</v>
      </c>
      <c r="Z232" s="10" t="str">
        <f>Расчет!DO232</f>
        <v>Хлор.калий</v>
      </c>
      <c r="AA232" s="10">
        <f>Расчет!DQ232</f>
        <v>0</v>
      </c>
      <c r="AB232" s="12">
        <f>AA232*Исходн.данные.!$AJ232/1000</f>
        <v>0</v>
      </c>
      <c r="AC232" s="9">
        <f>IF($F232=0,0,Расчет2!BC232)</f>
        <v>0</v>
      </c>
      <c r="AD232" s="10">
        <f>IF($F232=0,0,Расчет2!BD232)</f>
        <v>0</v>
      </c>
      <c r="AE232" s="9">
        <f>IF($F232=0,0,Расчет2!BE232)</f>
        <v>0</v>
      </c>
      <c r="AF232" s="9">
        <f>IF($F232=0,0,Расчет2!BF232)</f>
        <v>0</v>
      </c>
      <c r="AG232" s="9">
        <f>IF($F232=0,0,Расчет2!BG232)</f>
        <v>0</v>
      </c>
      <c r="AI232" s="11" t="e">
        <f>Расчет!FY232</f>
        <v>#N/A</v>
      </c>
      <c r="AJ232" s="11" t="e">
        <f>Расчет!FZ232</f>
        <v>#N/A</v>
      </c>
      <c r="AK232" s="11" t="e">
        <f>Расчет!GA232</f>
        <v>#N/A</v>
      </c>
      <c r="AL232" s="11" t="e">
        <f>Расчет!GB232</f>
        <v>#N/A</v>
      </c>
      <c r="AM232" s="11" t="e">
        <f>Расчет!GC232</f>
        <v>#N/A</v>
      </c>
      <c r="AN232" s="11" t="e">
        <f>Расчет!GD232</f>
        <v>#N/A</v>
      </c>
      <c r="AO232" s="11" t="e">
        <f>Расчет!GE232</f>
        <v>#N/A</v>
      </c>
      <c r="AP232" s="11" t="e">
        <f>Расчет!GF232</f>
        <v>#N/A</v>
      </c>
      <c r="AQ232" s="11" t="e">
        <f>Расчет!GG232</f>
        <v>#N/A</v>
      </c>
      <c r="AR232" s="11" t="e">
        <f>Расчет!GH232</f>
        <v>#N/A</v>
      </c>
      <c r="AS232" s="11" t="e">
        <f>Расчет!GI232</f>
        <v>#N/A</v>
      </c>
      <c r="AT232" s="11" t="e">
        <f>Расчет!GJ232</f>
        <v>#N/A</v>
      </c>
      <c r="AU232" s="198" t="e">
        <f t="shared" si="27"/>
        <v>#N/A</v>
      </c>
      <c r="AV232" s="198" t="e">
        <f t="shared" si="28"/>
        <v>#N/A</v>
      </c>
      <c r="AW232" s="198" t="e">
        <f t="shared" si="29"/>
        <v>#N/A</v>
      </c>
      <c r="AX232" s="11" t="e">
        <f t="shared" si="30"/>
        <v>#N/A</v>
      </c>
      <c r="AY232" s="11" t="e">
        <f t="shared" si="31"/>
        <v>#N/A</v>
      </c>
      <c r="AZ232" s="11" t="e">
        <f t="shared" si="32"/>
        <v>#N/A</v>
      </c>
    </row>
    <row r="233" spans="1:52" x14ac:dyDescent="0.2">
      <c r="A233" s="6">
        <f>Исходн.данные.!A233</f>
        <v>0</v>
      </c>
      <c r="B233" s="6">
        <f>Исходн.данные.!B233</f>
        <v>0</v>
      </c>
      <c r="C233" s="6">
        <f>Исходн.данные.!C233</f>
        <v>0</v>
      </c>
      <c r="D233" s="6">
        <f>Исходн.данные.!D233</f>
        <v>0</v>
      </c>
      <c r="E233" s="6">
        <f>Исходн.данные.!E233</f>
        <v>0</v>
      </c>
      <c r="F233" s="6">
        <f>Исходн.данные.!AH233</f>
        <v>0</v>
      </c>
      <c r="G233" s="6">
        <f>Исходн.данные.!AJ233</f>
        <v>0</v>
      </c>
      <c r="H233" s="6">
        <f>Исходн.данные.!AK233</f>
        <v>0</v>
      </c>
      <c r="I233" s="9">
        <f>IF($F233=0,0,Расчет2!AO233)</f>
        <v>0</v>
      </c>
      <c r="J233" s="9">
        <f>IF(F233=0,0,Расчет2!AP233)</f>
        <v>0</v>
      </c>
      <c r="K233" s="10">
        <f>IF($F233=0,0,Расчет2!AQ233)</f>
        <v>0</v>
      </c>
      <c r="L233" s="10">
        <f>IF($F233=0,0,Расчет2!AR233)</f>
        <v>0</v>
      </c>
      <c r="M233" s="10">
        <f>IF($F233=0,0,Расчет2!AS233)</f>
        <v>0</v>
      </c>
      <c r="N233" s="10">
        <f>IF($F233=0,0,IF(Исходн.данные.!$AP233="Посл.посева",0,Расчет2!AT233))</f>
        <v>0</v>
      </c>
      <c r="O233" s="10">
        <f>IF($F233=0,0,IF(Исходн.данные.!$AP233="Посл.посева",0,IF(Расчет2!AU233&lt;10,10,Расчет2!AU233)))</f>
        <v>0</v>
      </c>
      <c r="P233" s="10">
        <f>IF($F233=0,0,IF(Исходн.данные.!$AP233="Посл.посева",0,Расчет2!AV233))</f>
        <v>0</v>
      </c>
      <c r="Q233" s="10">
        <f>IF($F233=0,0,Расчет2!AW233)</f>
        <v>0</v>
      </c>
      <c r="R233" s="10">
        <f>IF($F233=0,0,Расчет2!AX233)</f>
        <v>0</v>
      </c>
      <c r="S233" s="9">
        <f>IF($F233=0,0,Расчет2!AY233)</f>
        <v>0</v>
      </c>
      <c r="T233" s="10">
        <f>IF($F233=0,0,Расчет2!AZ233)</f>
        <v>0</v>
      </c>
      <c r="U233" s="10">
        <f>IF($F233=0,0,Расчет2!BA233)</f>
        <v>0</v>
      </c>
      <c r="V233" s="10">
        <f>IF($F233=0,0,Расчет2!BB233)</f>
        <v>0</v>
      </c>
      <c r="W233" s="10">
        <f>Расчет!DL233</f>
        <v>0</v>
      </c>
      <c r="X233" s="10">
        <f>Расчет!DN233</f>
        <v>0</v>
      </c>
      <c r="Y233" s="9">
        <f>X233*Исходн.данные.!$AJ233/1000</f>
        <v>0</v>
      </c>
      <c r="Z233" s="10" t="str">
        <f>Расчет!DO233</f>
        <v>Хлор.калий</v>
      </c>
      <c r="AA233" s="10">
        <f>Расчет!DQ233</f>
        <v>0</v>
      </c>
      <c r="AB233" s="12">
        <f>AA233*Исходн.данные.!$AJ233/1000</f>
        <v>0</v>
      </c>
      <c r="AC233" s="9">
        <f>IF($F233=0,0,Расчет2!BC233)</f>
        <v>0</v>
      </c>
      <c r="AD233" s="10">
        <f>IF($F233=0,0,Расчет2!BD233)</f>
        <v>0</v>
      </c>
      <c r="AE233" s="9">
        <f>IF($F233=0,0,Расчет2!BE233)</f>
        <v>0</v>
      </c>
      <c r="AF233" s="9">
        <f>IF($F233=0,0,Расчет2!BF233)</f>
        <v>0</v>
      </c>
      <c r="AG233" s="9">
        <f>IF($F233=0,0,Расчет2!BG233)</f>
        <v>0</v>
      </c>
      <c r="AI233" s="11" t="e">
        <f>Расчет!FY233</f>
        <v>#N/A</v>
      </c>
      <c r="AJ233" s="11" t="e">
        <f>Расчет!FZ233</f>
        <v>#N/A</v>
      </c>
      <c r="AK233" s="11" t="e">
        <f>Расчет!GA233</f>
        <v>#N/A</v>
      </c>
      <c r="AL233" s="11" t="e">
        <f>Расчет!GB233</f>
        <v>#N/A</v>
      </c>
      <c r="AM233" s="11" t="e">
        <f>Расчет!GC233</f>
        <v>#N/A</v>
      </c>
      <c r="AN233" s="11" t="e">
        <f>Расчет!GD233</f>
        <v>#N/A</v>
      </c>
      <c r="AO233" s="11" t="e">
        <f>Расчет!GE233</f>
        <v>#N/A</v>
      </c>
      <c r="AP233" s="11" t="e">
        <f>Расчет!GF233</f>
        <v>#N/A</v>
      </c>
      <c r="AQ233" s="11" t="e">
        <f>Расчет!GG233</f>
        <v>#N/A</v>
      </c>
      <c r="AR233" s="11" t="e">
        <f>Расчет!GH233</f>
        <v>#N/A</v>
      </c>
      <c r="AS233" s="11" t="e">
        <f>Расчет!GI233</f>
        <v>#N/A</v>
      </c>
      <c r="AT233" s="11" t="e">
        <f>Расчет!GJ233</f>
        <v>#N/A</v>
      </c>
      <c r="AU233" s="198" t="e">
        <f t="shared" si="27"/>
        <v>#N/A</v>
      </c>
      <c r="AV233" s="198" t="e">
        <f t="shared" si="28"/>
        <v>#N/A</v>
      </c>
      <c r="AW233" s="198" t="e">
        <f t="shared" si="29"/>
        <v>#N/A</v>
      </c>
      <c r="AX233" s="11" t="e">
        <f t="shared" si="30"/>
        <v>#N/A</v>
      </c>
      <c r="AY233" s="11" t="e">
        <f t="shared" si="31"/>
        <v>#N/A</v>
      </c>
      <c r="AZ233" s="11" t="e">
        <f t="shared" si="32"/>
        <v>#N/A</v>
      </c>
    </row>
    <row r="234" spans="1:52" x14ac:dyDescent="0.2">
      <c r="A234" s="6">
        <f>Исходн.данные.!A234</f>
        <v>0</v>
      </c>
      <c r="B234" s="6">
        <f>Исходн.данные.!B234</f>
        <v>0</v>
      </c>
      <c r="C234" s="6">
        <f>Исходн.данные.!C234</f>
        <v>0</v>
      </c>
      <c r="D234" s="6">
        <f>Исходн.данные.!D234</f>
        <v>0</v>
      </c>
      <c r="E234" s="6">
        <f>Исходн.данные.!E234</f>
        <v>0</v>
      </c>
      <c r="F234" s="6">
        <f>Исходн.данные.!AH234</f>
        <v>0</v>
      </c>
      <c r="G234" s="6">
        <f>Исходн.данные.!AJ234</f>
        <v>0</v>
      </c>
      <c r="H234" s="6">
        <f>Исходн.данные.!AK234</f>
        <v>0</v>
      </c>
      <c r="I234" s="9">
        <f>IF($F234=0,0,Расчет2!AO234)</f>
        <v>0</v>
      </c>
      <c r="J234" s="9">
        <f>IF(F234=0,0,Расчет2!AP234)</f>
        <v>0</v>
      </c>
      <c r="K234" s="10">
        <f>IF($F234=0,0,Расчет2!AQ234)</f>
        <v>0</v>
      </c>
      <c r="L234" s="10">
        <f>IF($F234=0,0,Расчет2!AR234)</f>
        <v>0</v>
      </c>
      <c r="M234" s="10">
        <f>IF($F234=0,0,Расчет2!AS234)</f>
        <v>0</v>
      </c>
      <c r="N234" s="10">
        <f>IF($F234=0,0,IF(Исходн.данные.!$AP234="Посл.посева",0,Расчет2!AT234))</f>
        <v>0</v>
      </c>
      <c r="O234" s="10">
        <f>IF($F234=0,0,IF(Исходн.данные.!$AP234="Посл.посева",0,IF(Расчет2!AU234&lt;10,10,Расчет2!AU234)))</f>
        <v>0</v>
      </c>
      <c r="P234" s="10">
        <f>IF($F234=0,0,IF(Исходн.данные.!$AP234="Посл.посева",0,Расчет2!AV234))</f>
        <v>0</v>
      </c>
      <c r="Q234" s="10">
        <f>IF($F234=0,0,Расчет2!AW234)</f>
        <v>0</v>
      </c>
      <c r="R234" s="10">
        <f>IF($F234=0,0,Расчет2!AX234)</f>
        <v>0</v>
      </c>
      <c r="S234" s="9">
        <f>IF($F234=0,0,Расчет2!AY234)</f>
        <v>0</v>
      </c>
      <c r="T234" s="10">
        <f>IF($F234=0,0,Расчет2!AZ234)</f>
        <v>0</v>
      </c>
      <c r="U234" s="10">
        <f>IF($F234=0,0,Расчет2!BA234)</f>
        <v>0</v>
      </c>
      <c r="V234" s="10">
        <f>IF($F234=0,0,Расчет2!BB234)</f>
        <v>0</v>
      </c>
      <c r="W234" s="10">
        <f>Расчет!DL234</f>
        <v>0</v>
      </c>
      <c r="X234" s="10">
        <f>Расчет!DN234</f>
        <v>0</v>
      </c>
      <c r="Y234" s="9">
        <f>X234*Исходн.данные.!$AJ234/1000</f>
        <v>0</v>
      </c>
      <c r="Z234" s="10" t="str">
        <f>Расчет!DO234</f>
        <v>Хлор.калий</v>
      </c>
      <c r="AA234" s="10">
        <f>Расчет!DQ234</f>
        <v>0</v>
      </c>
      <c r="AB234" s="12">
        <f>AA234*Исходн.данные.!$AJ234/1000</f>
        <v>0</v>
      </c>
      <c r="AC234" s="9">
        <f>IF($F234=0,0,Расчет2!BC234)</f>
        <v>0</v>
      </c>
      <c r="AD234" s="10">
        <f>IF($F234=0,0,Расчет2!BD234)</f>
        <v>0</v>
      </c>
      <c r="AE234" s="9">
        <f>IF($F234=0,0,Расчет2!BE234)</f>
        <v>0</v>
      </c>
      <c r="AF234" s="9">
        <f>IF($F234=0,0,Расчет2!BF234)</f>
        <v>0</v>
      </c>
      <c r="AG234" s="9">
        <f>IF($F234=0,0,Расчет2!BG234)</f>
        <v>0</v>
      </c>
      <c r="AI234" s="11" t="e">
        <f>Расчет!FY234</f>
        <v>#N/A</v>
      </c>
      <c r="AJ234" s="11" t="e">
        <f>Расчет!FZ234</f>
        <v>#N/A</v>
      </c>
      <c r="AK234" s="11" t="e">
        <f>Расчет!GA234</f>
        <v>#N/A</v>
      </c>
      <c r="AL234" s="11" t="e">
        <f>Расчет!GB234</f>
        <v>#N/A</v>
      </c>
      <c r="AM234" s="11" t="e">
        <f>Расчет!GC234</f>
        <v>#N/A</v>
      </c>
      <c r="AN234" s="11" t="e">
        <f>Расчет!GD234</f>
        <v>#N/A</v>
      </c>
      <c r="AO234" s="11" t="e">
        <f>Расчет!GE234</f>
        <v>#N/A</v>
      </c>
      <c r="AP234" s="11" t="e">
        <f>Расчет!GF234</f>
        <v>#N/A</v>
      </c>
      <c r="AQ234" s="11" t="e">
        <f>Расчет!GG234</f>
        <v>#N/A</v>
      </c>
      <c r="AR234" s="11" t="e">
        <f>Расчет!GH234</f>
        <v>#N/A</v>
      </c>
      <c r="AS234" s="11" t="e">
        <f>Расчет!GI234</f>
        <v>#N/A</v>
      </c>
      <c r="AT234" s="11" t="e">
        <f>Расчет!GJ234</f>
        <v>#N/A</v>
      </c>
      <c r="AU234" s="198" t="e">
        <f t="shared" si="27"/>
        <v>#N/A</v>
      </c>
      <c r="AV234" s="198" t="e">
        <f t="shared" si="28"/>
        <v>#N/A</v>
      </c>
      <c r="AW234" s="198" t="e">
        <f t="shared" si="29"/>
        <v>#N/A</v>
      </c>
      <c r="AX234" s="11" t="e">
        <f t="shared" si="30"/>
        <v>#N/A</v>
      </c>
      <c r="AY234" s="11" t="e">
        <f t="shared" si="31"/>
        <v>#N/A</v>
      </c>
      <c r="AZ234" s="11" t="e">
        <f t="shared" si="32"/>
        <v>#N/A</v>
      </c>
    </row>
    <row r="235" spans="1:52" x14ac:dyDescent="0.2">
      <c r="A235" s="6">
        <f>Исходн.данные.!A235</f>
        <v>0</v>
      </c>
      <c r="B235" s="6">
        <f>Исходн.данные.!B235</f>
        <v>0</v>
      </c>
      <c r="C235" s="6">
        <f>Исходн.данные.!C235</f>
        <v>0</v>
      </c>
      <c r="D235" s="6">
        <f>Исходн.данные.!D235</f>
        <v>0</v>
      </c>
      <c r="E235" s="6">
        <f>Исходн.данные.!E235</f>
        <v>0</v>
      </c>
      <c r="F235" s="6">
        <f>Исходн.данные.!AH235</f>
        <v>0</v>
      </c>
      <c r="G235" s="6">
        <f>Исходн.данные.!AJ235</f>
        <v>0</v>
      </c>
      <c r="H235" s="6">
        <f>Исходн.данные.!AK235</f>
        <v>0</v>
      </c>
      <c r="I235" s="9">
        <f>IF($F235=0,0,Расчет2!AO235)</f>
        <v>0</v>
      </c>
      <c r="J235" s="9">
        <f>IF(F235=0,0,Расчет2!AP235)</f>
        <v>0</v>
      </c>
      <c r="K235" s="10">
        <f>IF($F235=0,0,Расчет2!AQ235)</f>
        <v>0</v>
      </c>
      <c r="L235" s="10">
        <f>IF($F235=0,0,Расчет2!AR235)</f>
        <v>0</v>
      </c>
      <c r="M235" s="10">
        <f>IF($F235=0,0,Расчет2!AS235)</f>
        <v>0</v>
      </c>
      <c r="N235" s="10">
        <f>IF($F235=0,0,IF(Исходн.данные.!$AP235="Посл.посева",0,Расчет2!AT235))</f>
        <v>0</v>
      </c>
      <c r="O235" s="10">
        <f>IF($F235=0,0,IF(Исходн.данные.!$AP235="Посл.посева",0,IF(Расчет2!AU235&lt;10,10,Расчет2!AU235)))</f>
        <v>0</v>
      </c>
      <c r="P235" s="10">
        <f>IF($F235=0,0,IF(Исходн.данные.!$AP235="Посл.посева",0,Расчет2!AV235))</f>
        <v>0</v>
      </c>
      <c r="Q235" s="10">
        <f>IF($F235=0,0,Расчет2!AW235)</f>
        <v>0</v>
      </c>
      <c r="R235" s="10">
        <f>IF($F235=0,0,Расчет2!AX235)</f>
        <v>0</v>
      </c>
      <c r="S235" s="9">
        <f>IF($F235=0,0,Расчет2!AY235)</f>
        <v>0</v>
      </c>
      <c r="T235" s="10">
        <f>IF($F235=0,0,Расчет2!AZ235)</f>
        <v>0</v>
      </c>
      <c r="U235" s="10">
        <f>IF($F235=0,0,Расчет2!BA235)</f>
        <v>0</v>
      </c>
      <c r="V235" s="10">
        <f>IF($F235=0,0,Расчет2!BB235)</f>
        <v>0</v>
      </c>
      <c r="W235" s="10">
        <f>Расчет!DL235</f>
        <v>0</v>
      </c>
      <c r="X235" s="10">
        <f>Расчет!DN235</f>
        <v>0</v>
      </c>
      <c r="Y235" s="9">
        <f>X235*Исходн.данные.!$AJ235/1000</f>
        <v>0</v>
      </c>
      <c r="Z235" s="10" t="str">
        <f>Расчет!DO235</f>
        <v>Хлор.калий</v>
      </c>
      <c r="AA235" s="10">
        <f>Расчет!DQ235</f>
        <v>0</v>
      </c>
      <c r="AB235" s="12">
        <f>AA235*Исходн.данные.!$AJ235/1000</f>
        <v>0</v>
      </c>
      <c r="AC235" s="9">
        <f>IF($F235=0,0,Расчет2!BC235)</f>
        <v>0</v>
      </c>
      <c r="AD235" s="10">
        <f>IF($F235=0,0,Расчет2!BD235)</f>
        <v>0</v>
      </c>
      <c r="AE235" s="9">
        <f>IF($F235=0,0,Расчет2!BE235)</f>
        <v>0</v>
      </c>
      <c r="AF235" s="9">
        <f>IF($F235=0,0,Расчет2!BF235)</f>
        <v>0</v>
      </c>
      <c r="AG235" s="9">
        <f>IF($F235=0,0,Расчет2!BG235)</f>
        <v>0</v>
      </c>
      <c r="AI235" s="11" t="e">
        <f>Расчет!FY235</f>
        <v>#N/A</v>
      </c>
      <c r="AJ235" s="11" t="e">
        <f>Расчет!FZ235</f>
        <v>#N/A</v>
      </c>
      <c r="AK235" s="11" t="e">
        <f>Расчет!GA235</f>
        <v>#N/A</v>
      </c>
      <c r="AL235" s="11" t="e">
        <f>Расчет!GB235</f>
        <v>#N/A</v>
      </c>
      <c r="AM235" s="11" t="e">
        <f>Расчет!GC235</f>
        <v>#N/A</v>
      </c>
      <c r="AN235" s="11" t="e">
        <f>Расчет!GD235</f>
        <v>#N/A</v>
      </c>
      <c r="AO235" s="11" t="e">
        <f>Расчет!GE235</f>
        <v>#N/A</v>
      </c>
      <c r="AP235" s="11" t="e">
        <f>Расчет!GF235</f>
        <v>#N/A</v>
      </c>
      <c r="AQ235" s="11" t="e">
        <f>Расчет!GG235</f>
        <v>#N/A</v>
      </c>
      <c r="AR235" s="11" t="e">
        <f>Расчет!GH235</f>
        <v>#N/A</v>
      </c>
      <c r="AS235" s="11" t="e">
        <f>Расчет!GI235</f>
        <v>#N/A</v>
      </c>
      <c r="AT235" s="11" t="e">
        <f>Расчет!GJ235</f>
        <v>#N/A</v>
      </c>
      <c r="AU235" s="198" t="e">
        <f t="shared" si="27"/>
        <v>#N/A</v>
      </c>
      <c r="AV235" s="198" t="e">
        <f t="shared" si="28"/>
        <v>#N/A</v>
      </c>
      <c r="AW235" s="198" t="e">
        <f t="shared" si="29"/>
        <v>#N/A</v>
      </c>
      <c r="AX235" s="11" t="e">
        <f t="shared" si="30"/>
        <v>#N/A</v>
      </c>
      <c r="AY235" s="11" t="e">
        <f t="shared" si="31"/>
        <v>#N/A</v>
      </c>
      <c r="AZ235" s="11" t="e">
        <f t="shared" si="32"/>
        <v>#N/A</v>
      </c>
    </row>
    <row r="236" spans="1:52" x14ac:dyDescent="0.2">
      <c r="A236" s="6">
        <f>Исходн.данные.!A236</f>
        <v>0</v>
      </c>
      <c r="B236" s="6">
        <f>Исходн.данные.!B236</f>
        <v>0</v>
      </c>
      <c r="C236" s="6">
        <f>Исходн.данные.!C236</f>
        <v>0</v>
      </c>
      <c r="D236" s="6">
        <f>Исходн.данные.!D236</f>
        <v>0</v>
      </c>
      <c r="E236" s="6">
        <f>Исходн.данные.!E236</f>
        <v>0</v>
      </c>
      <c r="F236" s="6">
        <f>Исходн.данные.!AH236</f>
        <v>0</v>
      </c>
      <c r="G236" s="6">
        <f>Исходн.данные.!AJ236</f>
        <v>0</v>
      </c>
      <c r="H236" s="6">
        <f>Исходн.данные.!AK236</f>
        <v>0</v>
      </c>
      <c r="I236" s="9">
        <f>IF($F236=0,0,Расчет2!AO236)</f>
        <v>0</v>
      </c>
      <c r="J236" s="9">
        <f>IF(F236=0,0,Расчет2!AP236)</f>
        <v>0</v>
      </c>
      <c r="K236" s="10">
        <f>IF($F236=0,0,Расчет2!AQ236)</f>
        <v>0</v>
      </c>
      <c r="L236" s="10">
        <f>IF($F236=0,0,Расчет2!AR236)</f>
        <v>0</v>
      </c>
      <c r="M236" s="10">
        <f>IF($F236=0,0,Расчет2!AS236)</f>
        <v>0</v>
      </c>
      <c r="N236" s="10">
        <f>IF($F236=0,0,IF(Исходн.данные.!$AP236="Посл.посева",0,Расчет2!AT236))</f>
        <v>0</v>
      </c>
      <c r="O236" s="10">
        <f>IF($F236=0,0,IF(Исходн.данные.!$AP236="Посл.посева",0,IF(Расчет2!AU236&lt;10,10,Расчет2!AU236)))</f>
        <v>0</v>
      </c>
      <c r="P236" s="10">
        <f>IF($F236=0,0,IF(Исходн.данные.!$AP236="Посл.посева",0,Расчет2!AV236))</f>
        <v>0</v>
      </c>
      <c r="Q236" s="10">
        <f>IF($F236=0,0,Расчет2!AW236)</f>
        <v>0</v>
      </c>
      <c r="R236" s="10">
        <f>IF($F236=0,0,Расчет2!AX236)</f>
        <v>0</v>
      </c>
      <c r="S236" s="9">
        <f>IF($F236=0,0,Расчет2!AY236)</f>
        <v>0</v>
      </c>
      <c r="T236" s="10">
        <f>IF($F236=0,0,Расчет2!AZ236)</f>
        <v>0</v>
      </c>
      <c r="U236" s="10">
        <f>IF($F236=0,0,Расчет2!BA236)</f>
        <v>0</v>
      </c>
      <c r="V236" s="10">
        <f>IF($F236=0,0,Расчет2!BB236)</f>
        <v>0</v>
      </c>
      <c r="W236" s="10">
        <f>Расчет!DL236</f>
        <v>0</v>
      </c>
      <c r="X236" s="10">
        <f>Расчет!DN236</f>
        <v>0</v>
      </c>
      <c r="Y236" s="9">
        <f>X236*Исходн.данные.!$AJ236/1000</f>
        <v>0</v>
      </c>
      <c r="Z236" s="10" t="str">
        <f>Расчет!DO236</f>
        <v>Хлор.калий</v>
      </c>
      <c r="AA236" s="10">
        <f>Расчет!DQ236</f>
        <v>0</v>
      </c>
      <c r="AB236" s="12">
        <f>AA236*Исходн.данные.!$AJ236/1000</f>
        <v>0</v>
      </c>
      <c r="AC236" s="9">
        <f>IF($F236=0,0,Расчет2!BC236)</f>
        <v>0</v>
      </c>
      <c r="AD236" s="10">
        <f>IF($F236=0,0,Расчет2!BD236)</f>
        <v>0</v>
      </c>
      <c r="AE236" s="9">
        <f>IF($F236=0,0,Расчет2!BE236)</f>
        <v>0</v>
      </c>
      <c r="AF236" s="9">
        <f>IF($F236=0,0,Расчет2!BF236)</f>
        <v>0</v>
      </c>
      <c r="AG236" s="9">
        <f>IF($F236=0,0,Расчет2!BG236)</f>
        <v>0</v>
      </c>
      <c r="AI236" s="11" t="e">
        <f>Расчет!FY236</f>
        <v>#N/A</v>
      </c>
      <c r="AJ236" s="11" t="e">
        <f>Расчет!FZ236</f>
        <v>#N/A</v>
      </c>
      <c r="AK236" s="11" t="e">
        <f>Расчет!GA236</f>
        <v>#N/A</v>
      </c>
      <c r="AL236" s="11" t="e">
        <f>Расчет!GB236</f>
        <v>#N/A</v>
      </c>
      <c r="AM236" s="11" t="e">
        <f>Расчет!GC236</f>
        <v>#N/A</v>
      </c>
      <c r="AN236" s="11" t="e">
        <f>Расчет!GD236</f>
        <v>#N/A</v>
      </c>
      <c r="AO236" s="11" t="e">
        <f>Расчет!GE236</f>
        <v>#N/A</v>
      </c>
      <c r="AP236" s="11" t="e">
        <f>Расчет!GF236</f>
        <v>#N/A</v>
      </c>
      <c r="AQ236" s="11" t="e">
        <f>Расчет!GG236</f>
        <v>#N/A</v>
      </c>
      <c r="AR236" s="11" t="e">
        <f>Расчет!GH236</f>
        <v>#N/A</v>
      </c>
      <c r="AS236" s="11" t="e">
        <f>Расчет!GI236</f>
        <v>#N/A</v>
      </c>
      <c r="AT236" s="11" t="e">
        <f>Расчет!GJ236</f>
        <v>#N/A</v>
      </c>
      <c r="AU236" s="198" t="e">
        <f t="shared" si="27"/>
        <v>#N/A</v>
      </c>
      <c r="AV236" s="198" t="e">
        <f t="shared" si="28"/>
        <v>#N/A</v>
      </c>
      <c r="AW236" s="198" t="e">
        <f t="shared" si="29"/>
        <v>#N/A</v>
      </c>
      <c r="AX236" s="11" t="e">
        <f t="shared" si="30"/>
        <v>#N/A</v>
      </c>
      <c r="AY236" s="11" t="e">
        <f t="shared" si="31"/>
        <v>#N/A</v>
      </c>
      <c r="AZ236" s="11" t="e">
        <f t="shared" si="32"/>
        <v>#N/A</v>
      </c>
    </row>
    <row r="237" spans="1:52" x14ac:dyDescent="0.2">
      <c r="A237" s="6">
        <f>Исходн.данные.!A237</f>
        <v>0</v>
      </c>
      <c r="B237" s="6">
        <f>Исходн.данные.!B237</f>
        <v>0</v>
      </c>
      <c r="C237" s="6">
        <f>Исходн.данные.!C237</f>
        <v>0</v>
      </c>
      <c r="D237" s="6">
        <f>Исходн.данные.!D237</f>
        <v>0</v>
      </c>
      <c r="E237" s="6">
        <f>Исходн.данные.!E237</f>
        <v>0</v>
      </c>
      <c r="F237" s="6">
        <f>Исходн.данные.!AH237</f>
        <v>0</v>
      </c>
      <c r="G237" s="6">
        <f>Исходн.данные.!AJ237</f>
        <v>0</v>
      </c>
      <c r="H237" s="6">
        <f>Исходн.данные.!AK237</f>
        <v>0</v>
      </c>
      <c r="I237" s="9">
        <f>IF($F237=0,0,Расчет2!AO237)</f>
        <v>0</v>
      </c>
      <c r="J237" s="9">
        <f>IF(F237=0,0,Расчет2!AP237)</f>
        <v>0</v>
      </c>
      <c r="K237" s="10">
        <f>IF($F237=0,0,Расчет2!AQ237)</f>
        <v>0</v>
      </c>
      <c r="L237" s="10">
        <f>IF($F237=0,0,Расчет2!AR237)</f>
        <v>0</v>
      </c>
      <c r="M237" s="10">
        <f>IF($F237=0,0,Расчет2!AS237)</f>
        <v>0</v>
      </c>
      <c r="N237" s="10">
        <f>IF($F237=0,0,IF(Исходн.данные.!$AP237="Посл.посева",0,Расчет2!AT237))</f>
        <v>0</v>
      </c>
      <c r="O237" s="10">
        <f>IF($F237=0,0,IF(Исходн.данные.!$AP237="Посл.посева",0,IF(Расчет2!AU237&lt;10,10,Расчет2!AU237)))</f>
        <v>0</v>
      </c>
      <c r="P237" s="10">
        <f>IF($F237=0,0,IF(Исходн.данные.!$AP237="Посл.посева",0,Расчет2!AV237))</f>
        <v>0</v>
      </c>
      <c r="Q237" s="10">
        <f>IF($F237=0,0,Расчет2!AW237)</f>
        <v>0</v>
      </c>
      <c r="R237" s="10">
        <f>IF($F237=0,0,Расчет2!AX237)</f>
        <v>0</v>
      </c>
      <c r="S237" s="9">
        <f>IF($F237=0,0,Расчет2!AY237)</f>
        <v>0</v>
      </c>
      <c r="T237" s="10">
        <f>IF($F237=0,0,Расчет2!AZ237)</f>
        <v>0</v>
      </c>
      <c r="U237" s="10">
        <f>IF($F237=0,0,Расчет2!BA237)</f>
        <v>0</v>
      </c>
      <c r="V237" s="10">
        <f>IF($F237=0,0,Расчет2!BB237)</f>
        <v>0</v>
      </c>
      <c r="W237" s="10">
        <f>Расчет!DL237</f>
        <v>0</v>
      </c>
      <c r="X237" s="10">
        <f>Расчет!DN237</f>
        <v>0</v>
      </c>
      <c r="Y237" s="9">
        <f>X237*Исходн.данные.!$AJ237/1000</f>
        <v>0</v>
      </c>
      <c r="Z237" s="10" t="str">
        <f>Расчет!DO237</f>
        <v>Хлор.калий</v>
      </c>
      <c r="AA237" s="10">
        <f>Расчет!DQ237</f>
        <v>0</v>
      </c>
      <c r="AB237" s="12">
        <f>AA237*Исходн.данные.!$AJ237/1000</f>
        <v>0</v>
      </c>
      <c r="AC237" s="9">
        <f>IF($F237=0,0,Расчет2!BC237)</f>
        <v>0</v>
      </c>
      <c r="AD237" s="10">
        <f>IF($F237=0,0,Расчет2!BD237)</f>
        <v>0</v>
      </c>
      <c r="AE237" s="9">
        <f>IF($F237=0,0,Расчет2!BE237)</f>
        <v>0</v>
      </c>
      <c r="AF237" s="9">
        <f>IF($F237=0,0,Расчет2!BF237)</f>
        <v>0</v>
      </c>
      <c r="AG237" s="9">
        <f>IF($F237=0,0,Расчет2!BG237)</f>
        <v>0</v>
      </c>
      <c r="AI237" s="11" t="e">
        <f>Расчет!FY237</f>
        <v>#N/A</v>
      </c>
      <c r="AJ237" s="11" t="e">
        <f>Расчет!FZ237</f>
        <v>#N/A</v>
      </c>
      <c r="AK237" s="11" t="e">
        <f>Расчет!GA237</f>
        <v>#N/A</v>
      </c>
      <c r="AL237" s="11" t="e">
        <f>Расчет!GB237</f>
        <v>#N/A</v>
      </c>
      <c r="AM237" s="11" t="e">
        <f>Расчет!GC237</f>
        <v>#N/A</v>
      </c>
      <c r="AN237" s="11" t="e">
        <f>Расчет!GD237</f>
        <v>#N/A</v>
      </c>
      <c r="AO237" s="11" t="e">
        <f>Расчет!GE237</f>
        <v>#N/A</v>
      </c>
      <c r="AP237" s="11" t="e">
        <f>Расчет!GF237</f>
        <v>#N/A</v>
      </c>
      <c r="AQ237" s="11" t="e">
        <f>Расчет!GG237</f>
        <v>#N/A</v>
      </c>
      <c r="AR237" s="11" t="e">
        <f>Расчет!GH237</f>
        <v>#N/A</v>
      </c>
      <c r="AS237" s="11" t="e">
        <f>Расчет!GI237</f>
        <v>#N/A</v>
      </c>
      <c r="AT237" s="11" t="e">
        <f>Расчет!GJ237</f>
        <v>#N/A</v>
      </c>
      <c r="AU237" s="198" t="e">
        <f t="shared" si="27"/>
        <v>#N/A</v>
      </c>
      <c r="AV237" s="198" t="e">
        <f t="shared" si="28"/>
        <v>#N/A</v>
      </c>
      <c r="AW237" s="198" t="e">
        <f t="shared" si="29"/>
        <v>#N/A</v>
      </c>
      <c r="AX237" s="11" t="e">
        <f t="shared" si="30"/>
        <v>#N/A</v>
      </c>
      <c r="AY237" s="11" t="e">
        <f t="shared" si="31"/>
        <v>#N/A</v>
      </c>
      <c r="AZ237" s="11" t="e">
        <f t="shared" si="32"/>
        <v>#N/A</v>
      </c>
    </row>
    <row r="238" spans="1:52" x14ac:dyDescent="0.2">
      <c r="A238" s="6">
        <f>Исходн.данные.!A238</f>
        <v>0</v>
      </c>
      <c r="B238" s="6">
        <f>Исходн.данные.!B238</f>
        <v>0</v>
      </c>
      <c r="C238" s="6">
        <f>Исходн.данные.!C238</f>
        <v>0</v>
      </c>
      <c r="D238" s="6">
        <f>Исходн.данные.!D238</f>
        <v>0</v>
      </c>
      <c r="E238" s="6">
        <f>Исходн.данные.!E238</f>
        <v>0</v>
      </c>
      <c r="F238" s="6">
        <f>Исходн.данные.!AH238</f>
        <v>0</v>
      </c>
      <c r="G238" s="6">
        <f>Исходн.данные.!AJ238</f>
        <v>0</v>
      </c>
      <c r="H238" s="6">
        <f>Исходн.данные.!AK238</f>
        <v>0</v>
      </c>
      <c r="I238" s="9">
        <f>IF($F238=0,0,Расчет2!AO238)</f>
        <v>0</v>
      </c>
      <c r="J238" s="9">
        <f>IF(F238=0,0,Расчет2!AP238)</f>
        <v>0</v>
      </c>
      <c r="K238" s="10">
        <f>IF($F238=0,0,Расчет2!AQ238)</f>
        <v>0</v>
      </c>
      <c r="L238" s="10">
        <f>IF($F238=0,0,Расчет2!AR238)</f>
        <v>0</v>
      </c>
      <c r="M238" s="10">
        <f>IF($F238=0,0,Расчет2!AS238)</f>
        <v>0</v>
      </c>
      <c r="N238" s="10">
        <f>IF($F238=0,0,IF(Исходн.данные.!$AP238="Посл.посева",0,Расчет2!AT238))</f>
        <v>0</v>
      </c>
      <c r="O238" s="10">
        <f>IF($F238=0,0,IF(Исходн.данные.!$AP238="Посл.посева",0,IF(Расчет2!AU238&lt;10,10,Расчет2!AU238)))</f>
        <v>0</v>
      </c>
      <c r="P238" s="10">
        <f>IF($F238=0,0,IF(Исходн.данные.!$AP238="Посл.посева",0,Расчет2!AV238))</f>
        <v>0</v>
      </c>
      <c r="Q238" s="10">
        <f>IF($F238=0,0,Расчет2!AW238)</f>
        <v>0</v>
      </c>
      <c r="R238" s="10">
        <f>IF($F238=0,0,Расчет2!AX238)</f>
        <v>0</v>
      </c>
      <c r="S238" s="9">
        <f>IF($F238=0,0,Расчет2!AY238)</f>
        <v>0</v>
      </c>
      <c r="T238" s="10">
        <f>IF($F238=0,0,Расчет2!AZ238)</f>
        <v>0</v>
      </c>
      <c r="U238" s="10">
        <f>IF($F238=0,0,Расчет2!BA238)</f>
        <v>0</v>
      </c>
      <c r="V238" s="10">
        <f>IF($F238=0,0,Расчет2!BB238)</f>
        <v>0</v>
      </c>
      <c r="W238" s="10">
        <f>Расчет!DL238</f>
        <v>0</v>
      </c>
      <c r="X238" s="10">
        <f>Расчет!DN238</f>
        <v>0</v>
      </c>
      <c r="Y238" s="9">
        <f>X238*Исходн.данные.!$AJ238/1000</f>
        <v>0</v>
      </c>
      <c r="Z238" s="10" t="str">
        <f>Расчет!DO238</f>
        <v>Хлор.калий</v>
      </c>
      <c r="AA238" s="10">
        <f>Расчет!DQ238</f>
        <v>0</v>
      </c>
      <c r="AB238" s="12">
        <f>AA238*Исходн.данные.!$AJ238/1000</f>
        <v>0</v>
      </c>
      <c r="AC238" s="9">
        <f>IF($F238=0,0,Расчет2!BC238)</f>
        <v>0</v>
      </c>
      <c r="AD238" s="10">
        <f>IF($F238=0,0,Расчет2!BD238)</f>
        <v>0</v>
      </c>
      <c r="AE238" s="9">
        <f>IF($F238=0,0,Расчет2!BE238)</f>
        <v>0</v>
      </c>
      <c r="AF238" s="9">
        <f>IF($F238=0,0,Расчет2!BF238)</f>
        <v>0</v>
      </c>
      <c r="AG238" s="9">
        <f>IF($F238=0,0,Расчет2!BG238)</f>
        <v>0</v>
      </c>
      <c r="AI238" s="11" t="e">
        <f>Расчет!FY238</f>
        <v>#N/A</v>
      </c>
      <c r="AJ238" s="11" t="e">
        <f>Расчет!FZ238</f>
        <v>#N/A</v>
      </c>
      <c r="AK238" s="11" t="e">
        <f>Расчет!GA238</f>
        <v>#N/A</v>
      </c>
      <c r="AL238" s="11" t="e">
        <f>Расчет!GB238</f>
        <v>#N/A</v>
      </c>
      <c r="AM238" s="11" t="e">
        <f>Расчет!GC238</f>
        <v>#N/A</v>
      </c>
      <c r="AN238" s="11" t="e">
        <f>Расчет!GD238</f>
        <v>#N/A</v>
      </c>
      <c r="AO238" s="11" t="e">
        <f>Расчет!GE238</f>
        <v>#N/A</v>
      </c>
      <c r="AP238" s="11" t="e">
        <f>Расчет!GF238</f>
        <v>#N/A</v>
      </c>
      <c r="AQ238" s="11" t="e">
        <f>Расчет!GG238</f>
        <v>#N/A</v>
      </c>
      <c r="AR238" s="11" t="e">
        <f>Расчет!GH238</f>
        <v>#N/A</v>
      </c>
      <c r="AS238" s="11" t="e">
        <f>Расчет!GI238</f>
        <v>#N/A</v>
      </c>
      <c r="AT238" s="11" t="e">
        <f>Расчет!GJ238</f>
        <v>#N/A</v>
      </c>
      <c r="AU238" s="198" t="e">
        <f t="shared" si="27"/>
        <v>#N/A</v>
      </c>
      <c r="AV238" s="198" t="e">
        <f t="shared" si="28"/>
        <v>#N/A</v>
      </c>
      <c r="AW238" s="198" t="e">
        <f t="shared" si="29"/>
        <v>#N/A</v>
      </c>
      <c r="AX238" s="11" t="e">
        <f t="shared" si="30"/>
        <v>#N/A</v>
      </c>
      <c r="AY238" s="11" t="e">
        <f t="shared" si="31"/>
        <v>#N/A</v>
      </c>
      <c r="AZ238" s="11" t="e">
        <f t="shared" si="32"/>
        <v>#N/A</v>
      </c>
    </row>
    <row r="239" spans="1:52" x14ac:dyDescent="0.2">
      <c r="A239" s="6">
        <f>Исходн.данные.!A239</f>
        <v>0</v>
      </c>
      <c r="B239" s="6">
        <f>Исходн.данные.!B239</f>
        <v>0</v>
      </c>
      <c r="C239" s="6">
        <f>Исходн.данные.!C239</f>
        <v>0</v>
      </c>
      <c r="D239" s="6">
        <f>Исходн.данные.!D239</f>
        <v>0</v>
      </c>
      <c r="E239" s="6">
        <f>Исходн.данные.!E239</f>
        <v>0</v>
      </c>
      <c r="F239" s="6">
        <f>Исходн.данные.!AH239</f>
        <v>0</v>
      </c>
      <c r="G239" s="6">
        <f>Исходн.данные.!AJ239</f>
        <v>0</v>
      </c>
      <c r="H239" s="6">
        <f>Исходн.данные.!AK239</f>
        <v>0</v>
      </c>
      <c r="I239" s="9">
        <f>IF($F239=0,0,Расчет2!AO239)</f>
        <v>0</v>
      </c>
      <c r="J239" s="9">
        <f>IF(F239=0,0,Расчет2!AP239)</f>
        <v>0</v>
      </c>
      <c r="K239" s="10">
        <f>IF($F239=0,0,Расчет2!AQ239)</f>
        <v>0</v>
      </c>
      <c r="L239" s="10">
        <f>IF($F239=0,0,Расчет2!AR239)</f>
        <v>0</v>
      </c>
      <c r="M239" s="10">
        <f>IF($F239=0,0,Расчет2!AS239)</f>
        <v>0</v>
      </c>
      <c r="N239" s="10">
        <f>IF($F239=0,0,IF(Исходн.данные.!$AP239="Посл.посева",0,Расчет2!AT239))</f>
        <v>0</v>
      </c>
      <c r="O239" s="10">
        <f>IF($F239=0,0,IF(Исходн.данные.!$AP239="Посл.посева",0,IF(Расчет2!AU239&lt;10,10,Расчет2!AU239)))</f>
        <v>0</v>
      </c>
      <c r="P239" s="10">
        <f>IF($F239=0,0,IF(Исходн.данные.!$AP239="Посл.посева",0,Расчет2!AV239))</f>
        <v>0</v>
      </c>
      <c r="Q239" s="10">
        <f>IF($F239=0,0,Расчет2!AW239)</f>
        <v>0</v>
      </c>
      <c r="R239" s="10">
        <f>IF($F239=0,0,Расчет2!AX239)</f>
        <v>0</v>
      </c>
      <c r="S239" s="9">
        <f>IF($F239=0,0,Расчет2!AY239)</f>
        <v>0</v>
      </c>
      <c r="T239" s="10">
        <f>IF($F239=0,0,Расчет2!AZ239)</f>
        <v>0</v>
      </c>
      <c r="U239" s="10">
        <f>IF($F239=0,0,Расчет2!BA239)</f>
        <v>0</v>
      </c>
      <c r="V239" s="10">
        <f>IF($F239=0,0,Расчет2!BB239)</f>
        <v>0</v>
      </c>
      <c r="W239" s="10">
        <f>Расчет!DL239</f>
        <v>0</v>
      </c>
      <c r="X239" s="10">
        <f>Расчет!DN239</f>
        <v>0</v>
      </c>
      <c r="Y239" s="9">
        <f>X239*Исходн.данные.!$AJ239/1000</f>
        <v>0</v>
      </c>
      <c r="Z239" s="10" t="str">
        <f>Расчет!DO239</f>
        <v>Хлор.калий</v>
      </c>
      <c r="AA239" s="10">
        <f>Расчет!DQ239</f>
        <v>0</v>
      </c>
      <c r="AB239" s="12">
        <f>AA239*Исходн.данные.!$AJ239/1000</f>
        <v>0</v>
      </c>
      <c r="AC239" s="9">
        <f>IF($F239=0,0,Расчет2!BC239)</f>
        <v>0</v>
      </c>
      <c r="AD239" s="10">
        <f>IF($F239=0,0,Расчет2!BD239)</f>
        <v>0</v>
      </c>
      <c r="AE239" s="9">
        <f>IF($F239=0,0,Расчет2!BE239)</f>
        <v>0</v>
      </c>
      <c r="AF239" s="9">
        <f>IF($F239=0,0,Расчет2!BF239)</f>
        <v>0</v>
      </c>
      <c r="AG239" s="9">
        <f>IF($F239=0,0,Расчет2!BG239)</f>
        <v>0</v>
      </c>
      <c r="AI239" s="11" t="e">
        <f>Расчет!FY239</f>
        <v>#N/A</v>
      </c>
      <c r="AJ239" s="11" t="e">
        <f>Расчет!FZ239</f>
        <v>#N/A</v>
      </c>
      <c r="AK239" s="11" t="e">
        <f>Расчет!GA239</f>
        <v>#N/A</v>
      </c>
      <c r="AL239" s="11" t="e">
        <f>Расчет!GB239</f>
        <v>#N/A</v>
      </c>
      <c r="AM239" s="11" t="e">
        <f>Расчет!GC239</f>
        <v>#N/A</v>
      </c>
      <c r="AN239" s="11" t="e">
        <f>Расчет!GD239</f>
        <v>#N/A</v>
      </c>
      <c r="AO239" s="11" t="e">
        <f>Расчет!GE239</f>
        <v>#N/A</v>
      </c>
      <c r="AP239" s="11" t="e">
        <f>Расчет!GF239</f>
        <v>#N/A</v>
      </c>
      <c r="AQ239" s="11" t="e">
        <f>Расчет!GG239</f>
        <v>#N/A</v>
      </c>
      <c r="AR239" s="11" t="e">
        <f>Расчет!GH239</f>
        <v>#N/A</v>
      </c>
      <c r="AS239" s="11" t="e">
        <f>Расчет!GI239</f>
        <v>#N/A</v>
      </c>
      <c r="AT239" s="11" t="e">
        <f>Расчет!GJ239</f>
        <v>#N/A</v>
      </c>
      <c r="AU239" s="198" t="e">
        <f t="shared" si="27"/>
        <v>#N/A</v>
      </c>
      <c r="AV239" s="198" t="e">
        <f t="shared" si="28"/>
        <v>#N/A</v>
      </c>
      <c r="AW239" s="198" t="e">
        <f t="shared" si="29"/>
        <v>#N/A</v>
      </c>
      <c r="AX239" s="11" t="e">
        <f t="shared" si="30"/>
        <v>#N/A</v>
      </c>
      <c r="AY239" s="11" t="e">
        <f t="shared" si="31"/>
        <v>#N/A</v>
      </c>
      <c r="AZ239" s="11" t="e">
        <f t="shared" si="32"/>
        <v>#N/A</v>
      </c>
    </row>
    <row r="240" spans="1:52" x14ac:dyDescent="0.2">
      <c r="A240" s="6">
        <f>Исходн.данные.!A240</f>
        <v>0</v>
      </c>
      <c r="B240" s="6">
        <f>Исходн.данные.!B240</f>
        <v>0</v>
      </c>
      <c r="C240" s="6">
        <f>Исходн.данные.!C240</f>
        <v>0</v>
      </c>
      <c r="D240" s="6">
        <f>Исходн.данные.!D240</f>
        <v>0</v>
      </c>
      <c r="E240" s="6">
        <f>Исходн.данные.!E240</f>
        <v>0</v>
      </c>
      <c r="F240" s="6">
        <f>Исходн.данные.!AH240</f>
        <v>0</v>
      </c>
      <c r="G240" s="6">
        <f>Исходн.данные.!AJ240</f>
        <v>0</v>
      </c>
      <c r="H240" s="6">
        <f>Исходн.данные.!AK240</f>
        <v>0</v>
      </c>
      <c r="I240" s="9">
        <f>IF($F240=0,0,Расчет2!AO240)</f>
        <v>0</v>
      </c>
      <c r="J240" s="9">
        <f>IF(F240=0,0,Расчет2!AP240)</f>
        <v>0</v>
      </c>
      <c r="K240" s="10">
        <f>IF($F240=0,0,Расчет2!AQ240)</f>
        <v>0</v>
      </c>
      <c r="L240" s="10">
        <f>IF($F240=0,0,Расчет2!AR240)</f>
        <v>0</v>
      </c>
      <c r="M240" s="10">
        <f>IF($F240=0,0,Расчет2!AS240)</f>
        <v>0</v>
      </c>
      <c r="N240" s="10">
        <f>IF($F240=0,0,IF(Исходн.данные.!$AP240="Посл.посева",0,Расчет2!AT240))</f>
        <v>0</v>
      </c>
      <c r="O240" s="10">
        <f>IF($F240=0,0,IF(Исходн.данные.!$AP240="Посл.посева",0,IF(Расчет2!AU240&lt;10,10,Расчет2!AU240)))</f>
        <v>0</v>
      </c>
      <c r="P240" s="10">
        <f>IF($F240=0,0,IF(Исходн.данные.!$AP240="Посл.посева",0,Расчет2!AV240))</f>
        <v>0</v>
      </c>
      <c r="Q240" s="10">
        <f>IF($F240=0,0,Расчет2!AW240)</f>
        <v>0</v>
      </c>
      <c r="R240" s="10">
        <f>IF($F240=0,0,Расчет2!AX240)</f>
        <v>0</v>
      </c>
      <c r="S240" s="9">
        <f>IF($F240=0,0,Расчет2!AY240)</f>
        <v>0</v>
      </c>
      <c r="T240" s="10">
        <f>IF($F240=0,0,Расчет2!AZ240)</f>
        <v>0</v>
      </c>
      <c r="U240" s="10">
        <f>IF($F240=0,0,Расчет2!BA240)</f>
        <v>0</v>
      </c>
      <c r="V240" s="10">
        <f>IF($F240=0,0,Расчет2!BB240)</f>
        <v>0</v>
      </c>
      <c r="W240" s="10">
        <f>Расчет!DL240</f>
        <v>0</v>
      </c>
      <c r="X240" s="10">
        <f>Расчет!DN240</f>
        <v>0</v>
      </c>
      <c r="Y240" s="9">
        <f>X240*Исходн.данные.!$AJ240/1000</f>
        <v>0</v>
      </c>
      <c r="Z240" s="10" t="str">
        <f>Расчет!DO240</f>
        <v>Хлор.калий</v>
      </c>
      <c r="AA240" s="10">
        <f>Расчет!DQ240</f>
        <v>0</v>
      </c>
      <c r="AB240" s="12">
        <f>AA240*Исходн.данные.!$AJ240/1000</f>
        <v>0</v>
      </c>
      <c r="AC240" s="9">
        <f>IF($F240=0,0,Расчет2!BC240)</f>
        <v>0</v>
      </c>
      <c r="AD240" s="10">
        <f>IF($F240=0,0,Расчет2!BD240)</f>
        <v>0</v>
      </c>
      <c r="AE240" s="9">
        <f>IF($F240=0,0,Расчет2!BE240)</f>
        <v>0</v>
      </c>
      <c r="AF240" s="9">
        <f>IF($F240=0,0,Расчет2!BF240)</f>
        <v>0</v>
      </c>
      <c r="AG240" s="9">
        <f>IF($F240=0,0,Расчет2!BG240)</f>
        <v>0</v>
      </c>
      <c r="AI240" s="11" t="e">
        <f>Расчет!FY240</f>
        <v>#N/A</v>
      </c>
      <c r="AJ240" s="11" t="e">
        <f>Расчет!FZ240</f>
        <v>#N/A</v>
      </c>
      <c r="AK240" s="11" t="e">
        <f>Расчет!GA240</f>
        <v>#N/A</v>
      </c>
      <c r="AL240" s="11" t="e">
        <f>Расчет!GB240</f>
        <v>#N/A</v>
      </c>
      <c r="AM240" s="11" t="e">
        <f>Расчет!GC240</f>
        <v>#N/A</v>
      </c>
      <c r="AN240" s="11" t="e">
        <f>Расчет!GD240</f>
        <v>#N/A</v>
      </c>
      <c r="AO240" s="11" t="e">
        <f>Расчет!GE240</f>
        <v>#N/A</v>
      </c>
      <c r="AP240" s="11" t="e">
        <f>Расчет!GF240</f>
        <v>#N/A</v>
      </c>
      <c r="AQ240" s="11" t="e">
        <f>Расчет!GG240</f>
        <v>#N/A</v>
      </c>
      <c r="AR240" s="11" t="e">
        <f>Расчет!GH240</f>
        <v>#N/A</v>
      </c>
      <c r="AS240" s="11" t="e">
        <f>Расчет!GI240</f>
        <v>#N/A</v>
      </c>
      <c r="AT240" s="11" t="e">
        <f>Расчет!GJ240</f>
        <v>#N/A</v>
      </c>
      <c r="AU240" s="198" t="e">
        <f t="shared" si="27"/>
        <v>#N/A</v>
      </c>
      <c r="AV240" s="198" t="e">
        <f t="shared" si="28"/>
        <v>#N/A</v>
      </c>
      <c r="AW240" s="198" t="e">
        <f t="shared" si="29"/>
        <v>#N/A</v>
      </c>
      <c r="AX240" s="11" t="e">
        <f t="shared" si="30"/>
        <v>#N/A</v>
      </c>
      <c r="AY240" s="11" t="e">
        <f t="shared" si="31"/>
        <v>#N/A</v>
      </c>
      <c r="AZ240" s="11" t="e">
        <f t="shared" si="32"/>
        <v>#N/A</v>
      </c>
    </row>
    <row r="241" spans="1:52" x14ac:dyDescent="0.2">
      <c r="A241" s="6">
        <f>Исходн.данные.!A241</f>
        <v>0</v>
      </c>
      <c r="B241" s="6">
        <f>Исходн.данные.!B241</f>
        <v>0</v>
      </c>
      <c r="C241" s="6">
        <f>Исходн.данные.!C241</f>
        <v>0</v>
      </c>
      <c r="D241" s="6">
        <f>Исходн.данные.!D241</f>
        <v>0</v>
      </c>
      <c r="E241" s="6">
        <f>Исходн.данные.!E241</f>
        <v>0</v>
      </c>
      <c r="F241" s="6">
        <f>Исходн.данные.!AH241</f>
        <v>0</v>
      </c>
      <c r="G241" s="6">
        <f>Исходн.данные.!AJ241</f>
        <v>0</v>
      </c>
      <c r="H241" s="6">
        <f>Исходн.данные.!AK241</f>
        <v>0</v>
      </c>
      <c r="I241" s="9">
        <f>IF($F241=0,0,Расчет2!AO241)</f>
        <v>0</v>
      </c>
      <c r="J241" s="9">
        <f>IF(F241=0,0,Расчет2!AP241)</f>
        <v>0</v>
      </c>
      <c r="K241" s="10">
        <f>IF($F241=0,0,Расчет2!AQ241)</f>
        <v>0</v>
      </c>
      <c r="L241" s="10">
        <f>IF($F241=0,0,Расчет2!AR241)</f>
        <v>0</v>
      </c>
      <c r="M241" s="10">
        <f>IF($F241=0,0,Расчет2!AS241)</f>
        <v>0</v>
      </c>
      <c r="N241" s="10">
        <f>IF($F241=0,0,IF(Исходн.данные.!$AP241="Посл.посева",0,Расчет2!AT241))</f>
        <v>0</v>
      </c>
      <c r="O241" s="10">
        <f>IF($F241=0,0,IF(Исходн.данные.!$AP241="Посл.посева",0,IF(Расчет2!AU241&lt;10,10,Расчет2!AU241)))</f>
        <v>0</v>
      </c>
      <c r="P241" s="10">
        <f>IF($F241=0,0,IF(Исходн.данные.!$AP241="Посл.посева",0,Расчет2!AV241))</f>
        <v>0</v>
      </c>
      <c r="Q241" s="10">
        <f>IF($F241=0,0,Расчет2!AW241)</f>
        <v>0</v>
      </c>
      <c r="R241" s="10">
        <f>IF($F241=0,0,Расчет2!AX241)</f>
        <v>0</v>
      </c>
      <c r="S241" s="9">
        <f>IF($F241=0,0,Расчет2!AY241)</f>
        <v>0</v>
      </c>
      <c r="T241" s="10">
        <f>IF($F241=0,0,Расчет2!AZ241)</f>
        <v>0</v>
      </c>
      <c r="U241" s="10">
        <f>IF($F241=0,0,Расчет2!BA241)</f>
        <v>0</v>
      </c>
      <c r="V241" s="10">
        <f>IF($F241=0,0,Расчет2!BB241)</f>
        <v>0</v>
      </c>
      <c r="W241" s="10">
        <f>Расчет!DL241</f>
        <v>0</v>
      </c>
      <c r="X241" s="10">
        <f>Расчет!DN241</f>
        <v>0</v>
      </c>
      <c r="Y241" s="9">
        <f>X241*Исходн.данные.!$AJ241/1000</f>
        <v>0</v>
      </c>
      <c r="Z241" s="10" t="str">
        <f>Расчет!DO241</f>
        <v>Хлор.калий</v>
      </c>
      <c r="AA241" s="10">
        <f>Расчет!DQ241</f>
        <v>0</v>
      </c>
      <c r="AB241" s="12">
        <f>AA241*Исходн.данные.!$AJ241/1000</f>
        <v>0</v>
      </c>
      <c r="AC241" s="9">
        <f>IF($F241=0,0,Расчет2!BC241)</f>
        <v>0</v>
      </c>
      <c r="AD241" s="10">
        <f>IF($F241=0,0,Расчет2!BD241)</f>
        <v>0</v>
      </c>
      <c r="AE241" s="9">
        <f>IF($F241=0,0,Расчет2!BE241)</f>
        <v>0</v>
      </c>
      <c r="AF241" s="9">
        <f>IF($F241=0,0,Расчет2!BF241)</f>
        <v>0</v>
      </c>
      <c r="AG241" s="9">
        <f>IF($F241=0,0,Расчет2!BG241)</f>
        <v>0</v>
      </c>
      <c r="AI241" s="11" t="e">
        <f>Расчет!FY241</f>
        <v>#N/A</v>
      </c>
      <c r="AJ241" s="11" t="e">
        <f>Расчет!FZ241</f>
        <v>#N/A</v>
      </c>
      <c r="AK241" s="11" t="e">
        <f>Расчет!GA241</f>
        <v>#N/A</v>
      </c>
      <c r="AL241" s="11" t="e">
        <f>Расчет!GB241</f>
        <v>#N/A</v>
      </c>
      <c r="AM241" s="11" t="e">
        <f>Расчет!GC241</f>
        <v>#N/A</v>
      </c>
      <c r="AN241" s="11" t="e">
        <f>Расчет!GD241</f>
        <v>#N/A</v>
      </c>
      <c r="AO241" s="11" t="e">
        <f>Расчет!GE241</f>
        <v>#N/A</v>
      </c>
      <c r="AP241" s="11" t="e">
        <f>Расчет!GF241</f>
        <v>#N/A</v>
      </c>
      <c r="AQ241" s="11" t="e">
        <f>Расчет!GG241</f>
        <v>#N/A</v>
      </c>
      <c r="AR241" s="11" t="e">
        <f>Расчет!GH241</f>
        <v>#N/A</v>
      </c>
      <c r="AS241" s="11" t="e">
        <f>Расчет!GI241</f>
        <v>#N/A</v>
      </c>
      <c r="AT241" s="11" t="e">
        <f>Расчет!GJ241</f>
        <v>#N/A</v>
      </c>
      <c r="AU241" s="198" t="e">
        <f t="shared" si="27"/>
        <v>#N/A</v>
      </c>
      <c r="AV241" s="198" t="e">
        <f t="shared" si="28"/>
        <v>#N/A</v>
      </c>
      <c r="AW241" s="198" t="e">
        <f t="shared" si="29"/>
        <v>#N/A</v>
      </c>
      <c r="AX241" s="11" t="e">
        <f t="shared" si="30"/>
        <v>#N/A</v>
      </c>
      <c r="AY241" s="11" t="e">
        <f t="shared" si="31"/>
        <v>#N/A</v>
      </c>
      <c r="AZ241" s="11" t="e">
        <f t="shared" si="32"/>
        <v>#N/A</v>
      </c>
    </row>
    <row r="242" spans="1:52" x14ac:dyDescent="0.2">
      <c r="A242" s="6">
        <f>Исходн.данные.!A242</f>
        <v>0</v>
      </c>
      <c r="B242" s="6">
        <f>Исходн.данные.!B242</f>
        <v>0</v>
      </c>
      <c r="C242" s="6">
        <f>Исходн.данные.!C242</f>
        <v>0</v>
      </c>
      <c r="D242" s="6">
        <f>Исходн.данные.!D242</f>
        <v>0</v>
      </c>
      <c r="E242" s="6">
        <f>Исходн.данные.!E242</f>
        <v>0</v>
      </c>
      <c r="F242" s="6">
        <f>Исходн.данные.!AH242</f>
        <v>0</v>
      </c>
      <c r="G242" s="6">
        <f>Исходн.данные.!AJ242</f>
        <v>0</v>
      </c>
      <c r="H242" s="6">
        <f>Исходн.данные.!AK242</f>
        <v>0</v>
      </c>
      <c r="I242" s="9">
        <f>IF($F242=0,0,Расчет2!AO242)</f>
        <v>0</v>
      </c>
      <c r="J242" s="9">
        <f>IF(F242=0,0,Расчет2!AP242)</f>
        <v>0</v>
      </c>
      <c r="K242" s="10">
        <f>IF($F242=0,0,Расчет2!AQ242)</f>
        <v>0</v>
      </c>
      <c r="L242" s="10">
        <f>IF($F242=0,0,Расчет2!AR242)</f>
        <v>0</v>
      </c>
      <c r="M242" s="10">
        <f>IF($F242=0,0,Расчет2!AS242)</f>
        <v>0</v>
      </c>
      <c r="N242" s="10">
        <f>IF($F242=0,0,IF(Исходн.данные.!$AP242="Посл.посева",0,Расчет2!AT242))</f>
        <v>0</v>
      </c>
      <c r="O242" s="10">
        <f>IF($F242=0,0,IF(Исходн.данные.!$AP242="Посл.посева",0,IF(Расчет2!AU242&lt;10,10,Расчет2!AU242)))</f>
        <v>0</v>
      </c>
      <c r="P242" s="10">
        <f>IF($F242=0,0,IF(Исходн.данные.!$AP242="Посл.посева",0,Расчет2!AV242))</f>
        <v>0</v>
      </c>
      <c r="Q242" s="10">
        <f>IF($F242=0,0,Расчет2!AW242)</f>
        <v>0</v>
      </c>
      <c r="R242" s="10">
        <f>IF($F242=0,0,Расчет2!AX242)</f>
        <v>0</v>
      </c>
      <c r="S242" s="9">
        <f>IF($F242=0,0,Расчет2!AY242)</f>
        <v>0</v>
      </c>
      <c r="T242" s="10">
        <f>IF($F242=0,0,Расчет2!AZ242)</f>
        <v>0</v>
      </c>
      <c r="U242" s="10">
        <f>IF($F242=0,0,Расчет2!BA242)</f>
        <v>0</v>
      </c>
      <c r="V242" s="10">
        <f>IF($F242=0,0,Расчет2!BB242)</f>
        <v>0</v>
      </c>
      <c r="W242" s="10">
        <f>Расчет!DL242</f>
        <v>0</v>
      </c>
      <c r="X242" s="10">
        <f>Расчет!DN242</f>
        <v>0</v>
      </c>
      <c r="Y242" s="9">
        <f>X242*Исходн.данные.!$AJ242/1000</f>
        <v>0</v>
      </c>
      <c r="Z242" s="10" t="str">
        <f>Расчет!DO242</f>
        <v>Хлор.калий</v>
      </c>
      <c r="AA242" s="10">
        <f>Расчет!DQ242</f>
        <v>0</v>
      </c>
      <c r="AB242" s="12">
        <f>AA242*Исходн.данные.!$AJ242/1000</f>
        <v>0</v>
      </c>
      <c r="AC242" s="9">
        <f>IF($F242=0,0,Расчет2!BC242)</f>
        <v>0</v>
      </c>
      <c r="AD242" s="10">
        <f>IF($F242=0,0,Расчет2!BD242)</f>
        <v>0</v>
      </c>
      <c r="AE242" s="9">
        <f>IF($F242=0,0,Расчет2!BE242)</f>
        <v>0</v>
      </c>
      <c r="AF242" s="9">
        <f>IF($F242=0,0,Расчет2!BF242)</f>
        <v>0</v>
      </c>
      <c r="AG242" s="9">
        <f>IF($F242=0,0,Расчет2!BG242)</f>
        <v>0</v>
      </c>
      <c r="AI242" s="11" t="e">
        <f>Расчет!FY242</f>
        <v>#N/A</v>
      </c>
      <c r="AJ242" s="11" t="e">
        <f>Расчет!FZ242</f>
        <v>#N/A</v>
      </c>
      <c r="AK242" s="11" t="e">
        <f>Расчет!GA242</f>
        <v>#N/A</v>
      </c>
      <c r="AL242" s="11" t="e">
        <f>Расчет!GB242</f>
        <v>#N/A</v>
      </c>
      <c r="AM242" s="11" t="e">
        <f>Расчет!GC242</f>
        <v>#N/A</v>
      </c>
      <c r="AN242" s="11" t="e">
        <f>Расчет!GD242</f>
        <v>#N/A</v>
      </c>
      <c r="AO242" s="11" t="e">
        <f>Расчет!GE242</f>
        <v>#N/A</v>
      </c>
      <c r="AP242" s="11" t="e">
        <f>Расчет!GF242</f>
        <v>#N/A</v>
      </c>
      <c r="AQ242" s="11" t="e">
        <f>Расчет!GG242</f>
        <v>#N/A</v>
      </c>
      <c r="AR242" s="11" t="e">
        <f>Расчет!GH242</f>
        <v>#N/A</v>
      </c>
      <c r="AS242" s="11" t="e">
        <f>Расчет!GI242</f>
        <v>#N/A</v>
      </c>
      <c r="AT242" s="11" t="e">
        <f>Расчет!GJ242</f>
        <v>#N/A</v>
      </c>
      <c r="AU242" s="198" t="e">
        <f t="shared" si="27"/>
        <v>#N/A</v>
      </c>
      <c r="AV242" s="198" t="e">
        <f t="shared" si="28"/>
        <v>#N/A</v>
      </c>
      <c r="AW242" s="198" t="e">
        <f t="shared" si="29"/>
        <v>#N/A</v>
      </c>
      <c r="AX242" s="11" t="e">
        <f t="shared" si="30"/>
        <v>#N/A</v>
      </c>
      <c r="AY242" s="11" t="e">
        <f t="shared" si="31"/>
        <v>#N/A</v>
      </c>
      <c r="AZ242" s="11" t="e">
        <f t="shared" si="32"/>
        <v>#N/A</v>
      </c>
    </row>
    <row r="243" spans="1:52" x14ac:dyDescent="0.2">
      <c r="A243" s="6">
        <f>Исходн.данные.!A243</f>
        <v>0</v>
      </c>
      <c r="B243" s="6">
        <f>Исходн.данные.!B243</f>
        <v>0</v>
      </c>
      <c r="C243" s="6">
        <f>Исходн.данные.!C243</f>
        <v>0</v>
      </c>
      <c r="D243" s="6">
        <f>Исходн.данные.!D243</f>
        <v>0</v>
      </c>
      <c r="E243" s="6">
        <f>Исходн.данные.!E243</f>
        <v>0</v>
      </c>
      <c r="F243" s="6">
        <f>Исходн.данные.!AH243</f>
        <v>0</v>
      </c>
      <c r="G243" s="6">
        <f>Исходн.данные.!AJ243</f>
        <v>0</v>
      </c>
      <c r="H243" s="6">
        <f>Исходн.данные.!AK243</f>
        <v>0</v>
      </c>
      <c r="I243" s="9">
        <f>IF($F243=0,0,Расчет2!AO243)</f>
        <v>0</v>
      </c>
      <c r="J243" s="9">
        <f>IF(F243=0,0,Расчет2!AP243)</f>
        <v>0</v>
      </c>
      <c r="K243" s="10">
        <f>IF($F243=0,0,Расчет2!AQ243)</f>
        <v>0</v>
      </c>
      <c r="L243" s="10">
        <f>IF($F243=0,0,Расчет2!AR243)</f>
        <v>0</v>
      </c>
      <c r="M243" s="10">
        <f>IF($F243=0,0,Расчет2!AS243)</f>
        <v>0</v>
      </c>
      <c r="N243" s="10">
        <f>IF($F243=0,0,IF(Исходн.данные.!$AP243="Посл.посева",0,Расчет2!AT243))</f>
        <v>0</v>
      </c>
      <c r="O243" s="10">
        <f>IF($F243=0,0,IF(Исходн.данные.!$AP243="Посл.посева",0,IF(Расчет2!AU243&lt;10,10,Расчет2!AU243)))</f>
        <v>0</v>
      </c>
      <c r="P243" s="10">
        <f>IF($F243=0,0,IF(Исходн.данные.!$AP243="Посл.посева",0,Расчет2!AV243))</f>
        <v>0</v>
      </c>
      <c r="Q243" s="10">
        <f>IF($F243=0,0,Расчет2!AW243)</f>
        <v>0</v>
      </c>
      <c r="R243" s="10">
        <f>IF($F243=0,0,Расчет2!AX243)</f>
        <v>0</v>
      </c>
      <c r="S243" s="9">
        <f>IF($F243=0,0,Расчет2!AY243)</f>
        <v>0</v>
      </c>
      <c r="T243" s="10">
        <f>IF($F243=0,0,Расчет2!AZ243)</f>
        <v>0</v>
      </c>
      <c r="U243" s="10">
        <f>IF($F243=0,0,Расчет2!BA243)</f>
        <v>0</v>
      </c>
      <c r="V243" s="10">
        <f>IF($F243=0,0,Расчет2!BB243)</f>
        <v>0</v>
      </c>
      <c r="W243" s="10">
        <f>Расчет!DL243</f>
        <v>0</v>
      </c>
      <c r="X243" s="10">
        <f>Расчет!DN243</f>
        <v>0</v>
      </c>
      <c r="Y243" s="9">
        <f>X243*Исходн.данные.!$AJ243/1000</f>
        <v>0</v>
      </c>
      <c r="Z243" s="10" t="str">
        <f>Расчет!DO243</f>
        <v>Хлор.калий</v>
      </c>
      <c r="AA243" s="10">
        <f>Расчет!DQ243</f>
        <v>0</v>
      </c>
      <c r="AB243" s="12">
        <f>AA243*Исходн.данные.!$AJ243/1000</f>
        <v>0</v>
      </c>
      <c r="AC243" s="9">
        <f>IF($F243=0,0,Расчет2!BC243)</f>
        <v>0</v>
      </c>
      <c r="AD243" s="10">
        <f>IF($F243=0,0,Расчет2!BD243)</f>
        <v>0</v>
      </c>
      <c r="AE243" s="9">
        <f>IF($F243=0,0,Расчет2!BE243)</f>
        <v>0</v>
      </c>
      <c r="AF243" s="9">
        <f>IF($F243=0,0,Расчет2!BF243)</f>
        <v>0</v>
      </c>
      <c r="AG243" s="9">
        <f>IF($F243=0,0,Расчет2!BG243)</f>
        <v>0</v>
      </c>
      <c r="AI243" s="11" t="e">
        <f>Расчет!FY243</f>
        <v>#N/A</v>
      </c>
      <c r="AJ243" s="11" t="e">
        <f>Расчет!FZ243</f>
        <v>#N/A</v>
      </c>
      <c r="AK243" s="11" t="e">
        <f>Расчет!GA243</f>
        <v>#N/A</v>
      </c>
      <c r="AL243" s="11" t="e">
        <f>Расчет!GB243</f>
        <v>#N/A</v>
      </c>
      <c r="AM243" s="11" t="e">
        <f>Расчет!GC243</f>
        <v>#N/A</v>
      </c>
      <c r="AN243" s="11" t="e">
        <f>Расчет!GD243</f>
        <v>#N/A</v>
      </c>
      <c r="AO243" s="11" t="e">
        <f>Расчет!GE243</f>
        <v>#N/A</v>
      </c>
      <c r="AP243" s="11" t="e">
        <f>Расчет!GF243</f>
        <v>#N/A</v>
      </c>
      <c r="AQ243" s="11" t="e">
        <f>Расчет!GG243</f>
        <v>#N/A</v>
      </c>
      <c r="AR243" s="11" t="e">
        <f>Расчет!GH243</f>
        <v>#N/A</v>
      </c>
      <c r="AS243" s="11" t="e">
        <f>Расчет!GI243</f>
        <v>#N/A</v>
      </c>
      <c r="AT243" s="11" t="e">
        <f>Расчет!GJ243</f>
        <v>#N/A</v>
      </c>
      <c r="AU243" s="198" t="e">
        <f t="shared" si="27"/>
        <v>#N/A</v>
      </c>
      <c r="AV243" s="198" t="e">
        <f t="shared" si="28"/>
        <v>#N/A</v>
      </c>
      <c r="AW243" s="198" t="e">
        <f t="shared" si="29"/>
        <v>#N/A</v>
      </c>
      <c r="AX243" s="11" t="e">
        <f t="shared" si="30"/>
        <v>#N/A</v>
      </c>
      <c r="AY243" s="11" t="e">
        <f t="shared" si="31"/>
        <v>#N/A</v>
      </c>
      <c r="AZ243" s="11" t="e">
        <f t="shared" si="32"/>
        <v>#N/A</v>
      </c>
    </row>
    <row r="244" spans="1:52" x14ac:dyDescent="0.2">
      <c r="A244" s="6">
        <f>Исходн.данные.!A244</f>
        <v>0</v>
      </c>
      <c r="B244" s="6">
        <f>Исходн.данные.!B244</f>
        <v>0</v>
      </c>
      <c r="C244" s="6">
        <f>Исходн.данные.!C244</f>
        <v>0</v>
      </c>
      <c r="D244" s="6">
        <f>Исходн.данные.!D244</f>
        <v>0</v>
      </c>
      <c r="E244" s="6">
        <f>Исходн.данные.!E244</f>
        <v>0</v>
      </c>
      <c r="F244" s="6">
        <f>Исходн.данные.!AH244</f>
        <v>0</v>
      </c>
      <c r="G244" s="6">
        <f>Исходн.данные.!AJ244</f>
        <v>0</v>
      </c>
      <c r="H244" s="6">
        <f>Исходн.данные.!AK244</f>
        <v>0</v>
      </c>
      <c r="I244" s="9">
        <f>IF($F244=0,0,Расчет2!AO244)</f>
        <v>0</v>
      </c>
      <c r="J244" s="9">
        <f>IF(F244=0,0,Расчет2!AP244)</f>
        <v>0</v>
      </c>
      <c r="K244" s="10">
        <f>IF($F244=0,0,Расчет2!AQ244)</f>
        <v>0</v>
      </c>
      <c r="L244" s="10">
        <f>IF($F244=0,0,Расчет2!AR244)</f>
        <v>0</v>
      </c>
      <c r="M244" s="10">
        <f>IF($F244=0,0,Расчет2!AS244)</f>
        <v>0</v>
      </c>
      <c r="N244" s="10">
        <f>IF($F244=0,0,IF(Исходн.данные.!$AP244="Посл.посева",0,Расчет2!AT244))</f>
        <v>0</v>
      </c>
      <c r="O244" s="10">
        <f>IF($F244=0,0,IF(Исходн.данные.!$AP244="Посл.посева",0,IF(Расчет2!AU244&lt;10,10,Расчет2!AU244)))</f>
        <v>0</v>
      </c>
      <c r="P244" s="10">
        <f>IF($F244=0,0,IF(Исходн.данные.!$AP244="Посл.посева",0,Расчет2!AV244))</f>
        <v>0</v>
      </c>
      <c r="Q244" s="10">
        <f>IF($F244=0,0,Расчет2!AW244)</f>
        <v>0</v>
      </c>
      <c r="R244" s="10">
        <f>IF($F244=0,0,Расчет2!AX244)</f>
        <v>0</v>
      </c>
      <c r="S244" s="9">
        <f>IF($F244=0,0,Расчет2!AY244)</f>
        <v>0</v>
      </c>
      <c r="T244" s="10">
        <f>IF($F244=0,0,Расчет2!AZ244)</f>
        <v>0</v>
      </c>
      <c r="U244" s="10">
        <f>IF($F244=0,0,Расчет2!BA244)</f>
        <v>0</v>
      </c>
      <c r="V244" s="10">
        <f>IF($F244=0,0,Расчет2!BB244)</f>
        <v>0</v>
      </c>
      <c r="W244" s="10">
        <f>Расчет!DL244</f>
        <v>0</v>
      </c>
      <c r="X244" s="10">
        <f>Расчет!DN244</f>
        <v>0</v>
      </c>
      <c r="Y244" s="9">
        <f>X244*Исходн.данные.!$AJ244/1000</f>
        <v>0</v>
      </c>
      <c r="Z244" s="10" t="str">
        <f>Расчет!DO244</f>
        <v>Хлор.калий</v>
      </c>
      <c r="AA244" s="10">
        <f>Расчет!DQ244</f>
        <v>0</v>
      </c>
      <c r="AB244" s="12">
        <f>AA244*Исходн.данные.!$AJ244/1000</f>
        <v>0</v>
      </c>
      <c r="AC244" s="9">
        <f>IF($F244=0,0,Расчет2!BC244)</f>
        <v>0</v>
      </c>
      <c r="AD244" s="10">
        <f>IF($F244=0,0,Расчет2!BD244)</f>
        <v>0</v>
      </c>
      <c r="AE244" s="9">
        <f>IF($F244=0,0,Расчет2!BE244)</f>
        <v>0</v>
      </c>
      <c r="AF244" s="9">
        <f>IF($F244=0,0,Расчет2!BF244)</f>
        <v>0</v>
      </c>
      <c r="AG244" s="9">
        <f>IF($F244=0,0,Расчет2!BG244)</f>
        <v>0</v>
      </c>
      <c r="AI244" s="11" t="e">
        <f>Расчет!FY244</f>
        <v>#N/A</v>
      </c>
      <c r="AJ244" s="11" t="e">
        <f>Расчет!FZ244</f>
        <v>#N/A</v>
      </c>
      <c r="AK244" s="11" t="e">
        <f>Расчет!GA244</f>
        <v>#N/A</v>
      </c>
      <c r="AL244" s="11" t="e">
        <f>Расчет!GB244</f>
        <v>#N/A</v>
      </c>
      <c r="AM244" s="11" t="e">
        <f>Расчет!GC244</f>
        <v>#N/A</v>
      </c>
      <c r="AN244" s="11" t="e">
        <f>Расчет!GD244</f>
        <v>#N/A</v>
      </c>
      <c r="AO244" s="11" t="e">
        <f>Расчет!GE244</f>
        <v>#N/A</v>
      </c>
      <c r="AP244" s="11" t="e">
        <f>Расчет!GF244</f>
        <v>#N/A</v>
      </c>
      <c r="AQ244" s="11" t="e">
        <f>Расчет!GG244</f>
        <v>#N/A</v>
      </c>
      <c r="AR244" s="11" t="e">
        <f>Расчет!GH244</f>
        <v>#N/A</v>
      </c>
      <c r="AS244" s="11" t="e">
        <f>Расчет!GI244</f>
        <v>#N/A</v>
      </c>
      <c r="AT244" s="11" t="e">
        <f>Расчет!GJ244</f>
        <v>#N/A</v>
      </c>
      <c r="AU244" s="198" t="e">
        <f t="shared" si="27"/>
        <v>#N/A</v>
      </c>
      <c r="AV244" s="198" t="e">
        <f t="shared" si="28"/>
        <v>#N/A</v>
      </c>
      <c r="AW244" s="198" t="e">
        <f t="shared" si="29"/>
        <v>#N/A</v>
      </c>
      <c r="AX244" s="11" t="e">
        <f t="shared" si="30"/>
        <v>#N/A</v>
      </c>
      <c r="AY244" s="11" t="e">
        <f t="shared" si="31"/>
        <v>#N/A</v>
      </c>
      <c r="AZ244" s="11" t="e">
        <f t="shared" si="32"/>
        <v>#N/A</v>
      </c>
    </row>
    <row r="245" spans="1:52" x14ac:dyDescent="0.2">
      <c r="A245" s="6">
        <f>Исходн.данные.!A245</f>
        <v>0</v>
      </c>
      <c r="B245" s="6">
        <f>Исходн.данные.!B245</f>
        <v>0</v>
      </c>
      <c r="C245" s="6">
        <f>Исходн.данные.!C245</f>
        <v>0</v>
      </c>
      <c r="D245" s="6">
        <f>Исходн.данные.!D245</f>
        <v>0</v>
      </c>
      <c r="E245" s="6">
        <f>Исходн.данные.!E245</f>
        <v>0</v>
      </c>
      <c r="F245" s="6">
        <f>Исходн.данные.!AH245</f>
        <v>0</v>
      </c>
      <c r="G245" s="6">
        <f>Исходн.данные.!AJ245</f>
        <v>0</v>
      </c>
      <c r="H245" s="6">
        <f>Исходн.данные.!AK245</f>
        <v>0</v>
      </c>
      <c r="I245" s="9">
        <f>IF($F245=0,0,Расчет2!AO245)</f>
        <v>0</v>
      </c>
      <c r="J245" s="9">
        <f>IF(F245=0,0,Расчет2!AP245)</f>
        <v>0</v>
      </c>
      <c r="K245" s="10">
        <f>IF($F245=0,0,Расчет2!AQ245)</f>
        <v>0</v>
      </c>
      <c r="L245" s="10">
        <f>IF($F245=0,0,Расчет2!AR245)</f>
        <v>0</v>
      </c>
      <c r="M245" s="10">
        <f>IF($F245=0,0,Расчет2!AS245)</f>
        <v>0</v>
      </c>
      <c r="N245" s="10">
        <f>IF($F245=0,0,IF(Исходн.данные.!$AP245="Посл.посева",0,Расчет2!AT245))</f>
        <v>0</v>
      </c>
      <c r="O245" s="10">
        <f>IF($F245=0,0,IF(Исходн.данные.!$AP245="Посл.посева",0,IF(Расчет2!AU245&lt;10,10,Расчет2!AU245)))</f>
        <v>0</v>
      </c>
      <c r="P245" s="10">
        <f>IF($F245=0,0,IF(Исходн.данные.!$AP245="Посл.посева",0,Расчет2!AV245))</f>
        <v>0</v>
      </c>
      <c r="Q245" s="10">
        <f>IF($F245=0,0,Расчет2!AW245)</f>
        <v>0</v>
      </c>
      <c r="R245" s="10">
        <f>IF($F245=0,0,Расчет2!AX245)</f>
        <v>0</v>
      </c>
      <c r="S245" s="9">
        <f>IF($F245=0,0,Расчет2!AY245)</f>
        <v>0</v>
      </c>
      <c r="T245" s="10">
        <f>IF($F245=0,0,Расчет2!AZ245)</f>
        <v>0</v>
      </c>
      <c r="U245" s="10">
        <f>IF($F245=0,0,Расчет2!BA245)</f>
        <v>0</v>
      </c>
      <c r="V245" s="10">
        <f>IF($F245=0,0,Расчет2!BB245)</f>
        <v>0</v>
      </c>
      <c r="W245" s="10">
        <f>Расчет!DL245</f>
        <v>0</v>
      </c>
      <c r="X245" s="10">
        <f>Расчет!DN245</f>
        <v>0</v>
      </c>
      <c r="Y245" s="9">
        <f>X245*Исходн.данные.!$AJ245/1000</f>
        <v>0</v>
      </c>
      <c r="Z245" s="10" t="str">
        <f>Расчет!DO245</f>
        <v>Хлор.калий</v>
      </c>
      <c r="AA245" s="10">
        <f>Расчет!DQ245</f>
        <v>0</v>
      </c>
      <c r="AB245" s="12">
        <f>AA245*Исходн.данные.!$AJ245/1000</f>
        <v>0</v>
      </c>
      <c r="AC245" s="9">
        <f>IF($F245=0,0,Расчет2!BC245)</f>
        <v>0</v>
      </c>
      <c r="AD245" s="10">
        <f>IF($F245=0,0,Расчет2!BD245)</f>
        <v>0</v>
      </c>
      <c r="AE245" s="9">
        <f>IF($F245=0,0,Расчет2!BE245)</f>
        <v>0</v>
      </c>
      <c r="AF245" s="9">
        <f>IF($F245=0,0,Расчет2!BF245)</f>
        <v>0</v>
      </c>
      <c r="AG245" s="9">
        <f>IF($F245=0,0,Расчет2!BG245)</f>
        <v>0</v>
      </c>
      <c r="AI245" s="11" t="e">
        <f>Расчет!FY245</f>
        <v>#N/A</v>
      </c>
      <c r="AJ245" s="11" t="e">
        <f>Расчет!FZ245</f>
        <v>#N/A</v>
      </c>
      <c r="AK245" s="11" t="e">
        <f>Расчет!GA245</f>
        <v>#N/A</v>
      </c>
      <c r="AL245" s="11" t="e">
        <f>Расчет!GB245</f>
        <v>#N/A</v>
      </c>
      <c r="AM245" s="11" t="e">
        <f>Расчет!GC245</f>
        <v>#N/A</v>
      </c>
      <c r="AN245" s="11" t="e">
        <f>Расчет!GD245</f>
        <v>#N/A</v>
      </c>
      <c r="AO245" s="11" t="e">
        <f>Расчет!GE245</f>
        <v>#N/A</v>
      </c>
      <c r="AP245" s="11" t="e">
        <f>Расчет!GF245</f>
        <v>#N/A</v>
      </c>
      <c r="AQ245" s="11" t="e">
        <f>Расчет!GG245</f>
        <v>#N/A</v>
      </c>
      <c r="AR245" s="11" t="e">
        <f>Расчет!GH245</f>
        <v>#N/A</v>
      </c>
      <c r="AS245" s="11" t="e">
        <f>Расчет!GI245</f>
        <v>#N/A</v>
      </c>
      <c r="AT245" s="11" t="e">
        <f>Расчет!GJ245</f>
        <v>#N/A</v>
      </c>
      <c r="AU245" s="198" t="e">
        <f t="shared" si="27"/>
        <v>#N/A</v>
      </c>
      <c r="AV245" s="198" t="e">
        <f t="shared" si="28"/>
        <v>#N/A</v>
      </c>
      <c r="AW245" s="198" t="e">
        <f t="shared" si="29"/>
        <v>#N/A</v>
      </c>
      <c r="AX245" s="11" t="e">
        <f t="shared" si="30"/>
        <v>#N/A</v>
      </c>
      <c r="AY245" s="11" t="e">
        <f t="shared" si="31"/>
        <v>#N/A</v>
      </c>
      <c r="AZ245" s="11" t="e">
        <f t="shared" si="32"/>
        <v>#N/A</v>
      </c>
    </row>
    <row r="246" spans="1:52" x14ac:dyDescent="0.2">
      <c r="A246" s="6">
        <f>Исходн.данные.!A246</f>
        <v>0</v>
      </c>
      <c r="B246" s="6">
        <f>Исходн.данные.!B246</f>
        <v>0</v>
      </c>
      <c r="C246" s="6">
        <f>Исходн.данные.!C246</f>
        <v>0</v>
      </c>
      <c r="D246" s="6">
        <f>Исходн.данные.!D246</f>
        <v>0</v>
      </c>
      <c r="E246" s="6">
        <f>Исходн.данные.!E246</f>
        <v>0</v>
      </c>
      <c r="F246" s="6">
        <f>Исходн.данные.!AH246</f>
        <v>0</v>
      </c>
      <c r="G246" s="6">
        <f>Исходн.данные.!AJ246</f>
        <v>0</v>
      </c>
      <c r="H246" s="6">
        <f>Исходн.данные.!AK246</f>
        <v>0</v>
      </c>
      <c r="I246" s="9">
        <f>IF($F246=0,0,Расчет2!AO246)</f>
        <v>0</v>
      </c>
      <c r="J246" s="9">
        <f>IF(F246=0,0,Расчет2!AP246)</f>
        <v>0</v>
      </c>
      <c r="K246" s="10">
        <f>IF($F246=0,0,Расчет2!AQ246)</f>
        <v>0</v>
      </c>
      <c r="L246" s="10">
        <f>IF($F246=0,0,Расчет2!AR246)</f>
        <v>0</v>
      </c>
      <c r="M246" s="10">
        <f>IF($F246=0,0,Расчет2!AS246)</f>
        <v>0</v>
      </c>
      <c r="N246" s="10">
        <f>IF($F246=0,0,IF(Исходн.данные.!$AP246="Посл.посева",0,Расчет2!AT246))</f>
        <v>0</v>
      </c>
      <c r="O246" s="10">
        <f>IF($F246=0,0,IF(Исходн.данные.!$AP246="Посл.посева",0,IF(Расчет2!AU246&lt;10,10,Расчет2!AU246)))</f>
        <v>0</v>
      </c>
      <c r="P246" s="10">
        <f>IF($F246=0,0,IF(Исходн.данные.!$AP246="Посл.посева",0,Расчет2!AV246))</f>
        <v>0</v>
      </c>
      <c r="Q246" s="10">
        <f>IF($F246=0,0,Расчет2!AW246)</f>
        <v>0</v>
      </c>
      <c r="R246" s="10">
        <f>IF($F246=0,0,Расчет2!AX246)</f>
        <v>0</v>
      </c>
      <c r="S246" s="9">
        <f>IF($F246=0,0,Расчет2!AY246)</f>
        <v>0</v>
      </c>
      <c r="T246" s="10">
        <f>IF($F246=0,0,Расчет2!AZ246)</f>
        <v>0</v>
      </c>
      <c r="U246" s="10">
        <f>IF($F246=0,0,Расчет2!BA246)</f>
        <v>0</v>
      </c>
      <c r="V246" s="10">
        <f>IF($F246=0,0,Расчет2!BB246)</f>
        <v>0</v>
      </c>
      <c r="W246" s="10">
        <f>Расчет!DL246</f>
        <v>0</v>
      </c>
      <c r="X246" s="10">
        <f>Расчет!DN246</f>
        <v>0</v>
      </c>
      <c r="Y246" s="9">
        <f>X246*Исходн.данные.!$AJ246/1000</f>
        <v>0</v>
      </c>
      <c r="Z246" s="10" t="str">
        <f>Расчет!DO246</f>
        <v>Хлор.калий</v>
      </c>
      <c r="AA246" s="10">
        <f>Расчет!DQ246</f>
        <v>0</v>
      </c>
      <c r="AB246" s="12">
        <f>AA246*Исходн.данные.!$AJ246/1000</f>
        <v>0</v>
      </c>
      <c r="AC246" s="9">
        <f>IF($F246=0,0,Расчет2!BC246)</f>
        <v>0</v>
      </c>
      <c r="AD246" s="10">
        <f>IF($F246=0,0,Расчет2!BD246)</f>
        <v>0</v>
      </c>
      <c r="AE246" s="9">
        <f>IF($F246=0,0,Расчет2!BE246)</f>
        <v>0</v>
      </c>
      <c r="AF246" s="9">
        <f>IF($F246=0,0,Расчет2!BF246)</f>
        <v>0</v>
      </c>
      <c r="AG246" s="9">
        <f>IF($F246=0,0,Расчет2!BG246)</f>
        <v>0</v>
      </c>
      <c r="AI246" s="11" t="e">
        <f>Расчет!FY246</f>
        <v>#N/A</v>
      </c>
      <c r="AJ246" s="11" t="e">
        <f>Расчет!FZ246</f>
        <v>#N/A</v>
      </c>
      <c r="AK246" s="11" t="e">
        <f>Расчет!GA246</f>
        <v>#N/A</v>
      </c>
      <c r="AL246" s="11" t="e">
        <f>Расчет!GB246</f>
        <v>#N/A</v>
      </c>
      <c r="AM246" s="11" t="e">
        <f>Расчет!GC246</f>
        <v>#N/A</v>
      </c>
      <c r="AN246" s="11" t="e">
        <f>Расчет!GD246</f>
        <v>#N/A</v>
      </c>
      <c r="AO246" s="11" t="e">
        <f>Расчет!GE246</f>
        <v>#N/A</v>
      </c>
      <c r="AP246" s="11" t="e">
        <f>Расчет!GF246</f>
        <v>#N/A</v>
      </c>
      <c r="AQ246" s="11" t="e">
        <f>Расчет!GG246</f>
        <v>#N/A</v>
      </c>
      <c r="AR246" s="11" t="e">
        <f>Расчет!GH246</f>
        <v>#N/A</v>
      </c>
      <c r="AS246" s="11" t="e">
        <f>Расчет!GI246</f>
        <v>#N/A</v>
      </c>
      <c r="AT246" s="11" t="e">
        <f>Расчет!GJ246</f>
        <v>#N/A</v>
      </c>
      <c r="AU246" s="198" t="e">
        <f t="shared" si="27"/>
        <v>#N/A</v>
      </c>
      <c r="AV246" s="198" t="e">
        <f t="shared" si="28"/>
        <v>#N/A</v>
      </c>
      <c r="AW246" s="198" t="e">
        <f t="shared" si="29"/>
        <v>#N/A</v>
      </c>
      <c r="AX246" s="11" t="e">
        <f t="shared" si="30"/>
        <v>#N/A</v>
      </c>
      <c r="AY246" s="11" t="e">
        <f t="shared" si="31"/>
        <v>#N/A</v>
      </c>
      <c r="AZ246" s="11" t="e">
        <f t="shared" si="32"/>
        <v>#N/A</v>
      </c>
    </row>
    <row r="247" spans="1:52" x14ac:dyDescent="0.2">
      <c r="A247" s="6">
        <f>Исходн.данные.!A247</f>
        <v>0</v>
      </c>
      <c r="B247" s="6">
        <f>Исходн.данные.!B247</f>
        <v>0</v>
      </c>
      <c r="C247" s="6">
        <f>Исходн.данные.!C247</f>
        <v>0</v>
      </c>
      <c r="D247" s="6">
        <f>Исходн.данные.!D247</f>
        <v>0</v>
      </c>
      <c r="E247" s="6">
        <f>Исходн.данные.!E247</f>
        <v>0</v>
      </c>
      <c r="F247" s="6">
        <f>Исходн.данные.!AH247</f>
        <v>0</v>
      </c>
      <c r="G247" s="6">
        <f>Исходн.данные.!AJ247</f>
        <v>0</v>
      </c>
      <c r="H247" s="6">
        <f>Исходн.данные.!AK247</f>
        <v>0</v>
      </c>
      <c r="I247" s="9">
        <f>IF($F247=0,0,Расчет2!AO247)</f>
        <v>0</v>
      </c>
      <c r="J247" s="9">
        <f>IF(F247=0,0,Расчет2!AP247)</f>
        <v>0</v>
      </c>
      <c r="K247" s="10">
        <f>IF($F247=0,0,Расчет2!AQ247)</f>
        <v>0</v>
      </c>
      <c r="L247" s="10">
        <f>IF($F247=0,0,Расчет2!AR247)</f>
        <v>0</v>
      </c>
      <c r="M247" s="10">
        <f>IF($F247=0,0,Расчет2!AS247)</f>
        <v>0</v>
      </c>
      <c r="N247" s="10">
        <f>IF($F247=0,0,IF(Исходн.данные.!$AP247="Посл.посева",0,Расчет2!AT247))</f>
        <v>0</v>
      </c>
      <c r="O247" s="10">
        <f>IF($F247=0,0,IF(Исходн.данные.!$AP247="Посл.посева",0,IF(Расчет2!AU247&lt;10,10,Расчет2!AU247)))</f>
        <v>0</v>
      </c>
      <c r="P247" s="10">
        <f>IF($F247=0,0,IF(Исходн.данные.!$AP247="Посл.посева",0,Расчет2!AV247))</f>
        <v>0</v>
      </c>
      <c r="Q247" s="10">
        <f>IF($F247=0,0,Расчет2!AW247)</f>
        <v>0</v>
      </c>
      <c r="R247" s="10">
        <f>IF($F247=0,0,Расчет2!AX247)</f>
        <v>0</v>
      </c>
      <c r="S247" s="9">
        <f>IF($F247=0,0,Расчет2!AY247)</f>
        <v>0</v>
      </c>
      <c r="T247" s="10">
        <f>IF($F247=0,0,Расчет2!AZ247)</f>
        <v>0</v>
      </c>
      <c r="U247" s="10">
        <f>IF($F247=0,0,Расчет2!BA247)</f>
        <v>0</v>
      </c>
      <c r="V247" s="10">
        <f>IF($F247=0,0,Расчет2!BB247)</f>
        <v>0</v>
      </c>
      <c r="W247" s="10">
        <f>Расчет!DL247</f>
        <v>0</v>
      </c>
      <c r="X247" s="10">
        <f>Расчет!DN247</f>
        <v>0</v>
      </c>
      <c r="Y247" s="9">
        <f>X247*Исходн.данные.!$AJ247/1000</f>
        <v>0</v>
      </c>
      <c r="Z247" s="10" t="str">
        <f>Расчет!DO247</f>
        <v>Хлор.калий</v>
      </c>
      <c r="AA247" s="10">
        <f>Расчет!DQ247</f>
        <v>0</v>
      </c>
      <c r="AB247" s="12">
        <f>AA247*Исходн.данные.!$AJ247/1000</f>
        <v>0</v>
      </c>
      <c r="AC247" s="9">
        <f>IF($F247=0,0,Расчет2!BC247)</f>
        <v>0</v>
      </c>
      <c r="AD247" s="10">
        <f>IF($F247=0,0,Расчет2!BD247)</f>
        <v>0</v>
      </c>
      <c r="AE247" s="9">
        <f>IF($F247=0,0,Расчет2!BE247)</f>
        <v>0</v>
      </c>
      <c r="AF247" s="9">
        <f>IF($F247=0,0,Расчет2!BF247)</f>
        <v>0</v>
      </c>
      <c r="AG247" s="9">
        <f>IF($F247=0,0,Расчет2!BG247)</f>
        <v>0</v>
      </c>
      <c r="AI247" s="11" t="e">
        <f>Расчет!FY247</f>
        <v>#N/A</v>
      </c>
      <c r="AJ247" s="11" t="e">
        <f>Расчет!FZ247</f>
        <v>#N/A</v>
      </c>
      <c r="AK247" s="11" t="e">
        <f>Расчет!GA247</f>
        <v>#N/A</v>
      </c>
      <c r="AL247" s="11" t="e">
        <f>Расчет!GB247</f>
        <v>#N/A</v>
      </c>
      <c r="AM247" s="11" t="e">
        <f>Расчет!GC247</f>
        <v>#N/A</v>
      </c>
      <c r="AN247" s="11" t="e">
        <f>Расчет!GD247</f>
        <v>#N/A</v>
      </c>
      <c r="AO247" s="11" t="e">
        <f>Расчет!GE247</f>
        <v>#N/A</v>
      </c>
      <c r="AP247" s="11" t="e">
        <f>Расчет!GF247</f>
        <v>#N/A</v>
      </c>
      <c r="AQ247" s="11" t="e">
        <f>Расчет!GG247</f>
        <v>#N/A</v>
      </c>
      <c r="AR247" s="11" t="e">
        <f>Расчет!GH247</f>
        <v>#N/A</v>
      </c>
      <c r="AS247" s="11" t="e">
        <f>Расчет!GI247</f>
        <v>#N/A</v>
      </c>
      <c r="AT247" s="11" t="e">
        <f>Расчет!GJ247</f>
        <v>#N/A</v>
      </c>
      <c r="AU247" s="198" t="e">
        <f t="shared" si="27"/>
        <v>#N/A</v>
      </c>
      <c r="AV247" s="198" t="e">
        <f t="shared" si="28"/>
        <v>#N/A</v>
      </c>
      <c r="AW247" s="198" t="e">
        <f t="shared" si="29"/>
        <v>#N/A</v>
      </c>
      <c r="AX247" s="11" t="e">
        <f t="shared" si="30"/>
        <v>#N/A</v>
      </c>
      <c r="AY247" s="11" t="e">
        <f t="shared" si="31"/>
        <v>#N/A</v>
      </c>
      <c r="AZ247" s="11" t="e">
        <f t="shared" si="32"/>
        <v>#N/A</v>
      </c>
    </row>
    <row r="248" spans="1:52" x14ac:dyDescent="0.2">
      <c r="A248" s="6">
        <f>Исходн.данные.!A248</f>
        <v>0</v>
      </c>
      <c r="B248" s="6">
        <f>Исходн.данные.!B248</f>
        <v>0</v>
      </c>
      <c r="C248" s="6">
        <f>Исходн.данные.!C248</f>
        <v>0</v>
      </c>
      <c r="D248" s="6">
        <f>Исходн.данные.!D248</f>
        <v>0</v>
      </c>
      <c r="E248" s="6">
        <f>Исходн.данные.!E248</f>
        <v>0</v>
      </c>
      <c r="F248" s="6">
        <f>Исходн.данные.!AH248</f>
        <v>0</v>
      </c>
      <c r="G248" s="6">
        <f>Исходн.данные.!AJ248</f>
        <v>0</v>
      </c>
      <c r="H248" s="6">
        <f>Исходн.данные.!AK248</f>
        <v>0</v>
      </c>
      <c r="I248" s="9">
        <f>IF($F248=0,0,Расчет2!AO248)</f>
        <v>0</v>
      </c>
      <c r="J248" s="9">
        <f>IF(F248=0,0,Расчет2!AP248)</f>
        <v>0</v>
      </c>
      <c r="K248" s="10">
        <f>IF($F248=0,0,Расчет2!AQ248)</f>
        <v>0</v>
      </c>
      <c r="L248" s="10">
        <f>IF($F248=0,0,Расчет2!AR248)</f>
        <v>0</v>
      </c>
      <c r="M248" s="10">
        <f>IF($F248=0,0,Расчет2!AS248)</f>
        <v>0</v>
      </c>
      <c r="N248" s="10">
        <f>IF($F248=0,0,IF(Исходн.данные.!$AP248="Посл.посева",0,Расчет2!AT248))</f>
        <v>0</v>
      </c>
      <c r="O248" s="10">
        <f>IF($F248=0,0,IF(Исходн.данные.!$AP248="Посл.посева",0,IF(Расчет2!AU248&lt;10,10,Расчет2!AU248)))</f>
        <v>0</v>
      </c>
      <c r="P248" s="10">
        <f>IF($F248=0,0,IF(Исходн.данные.!$AP248="Посл.посева",0,Расчет2!AV248))</f>
        <v>0</v>
      </c>
      <c r="Q248" s="10">
        <f>IF($F248=0,0,Расчет2!AW248)</f>
        <v>0</v>
      </c>
      <c r="R248" s="10">
        <f>IF($F248=0,0,Расчет2!AX248)</f>
        <v>0</v>
      </c>
      <c r="S248" s="9">
        <f>IF($F248=0,0,Расчет2!AY248)</f>
        <v>0</v>
      </c>
      <c r="T248" s="10">
        <f>IF($F248=0,0,Расчет2!AZ248)</f>
        <v>0</v>
      </c>
      <c r="U248" s="10">
        <f>IF($F248=0,0,Расчет2!BA248)</f>
        <v>0</v>
      </c>
      <c r="V248" s="10">
        <f>IF($F248=0,0,Расчет2!BB248)</f>
        <v>0</v>
      </c>
      <c r="W248" s="10">
        <f>Расчет!DL248</f>
        <v>0</v>
      </c>
      <c r="X248" s="10">
        <f>Расчет!DN248</f>
        <v>0</v>
      </c>
      <c r="Y248" s="9">
        <f>X248*Исходн.данные.!$AJ248/1000</f>
        <v>0</v>
      </c>
      <c r="Z248" s="10" t="str">
        <f>Расчет!DO248</f>
        <v>Хлор.калий</v>
      </c>
      <c r="AA248" s="10">
        <f>Расчет!DQ248</f>
        <v>0</v>
      </c>
      <c r="AB248" s="12">
        <f>AA248*Исходн.данные.!$AJ248/1000</f>
        <v>0</v>
      </c>
      <c r="AC248" s="9">
        <f>IF($F248=0,0,Расчет2!BC248)</f>
        <v>0</v>
      </c>
      <c r="AD248" s="10">
        <f>IF($F248=0,0,Расчет2!BD248)</f>
        <v>0</v>
      </c>
      <c r="AE248" s="9">
        <f>IF($F248=0,0,Расчет2!BE248)</f>
        <v>0</v>
      </c>
      <c r="AF248" s="9">
        <f>IF($F248=0,0,Расчет2!BF248)</f>
        <v>0</v>
      </c>
      <c r="AG248" s="9">
        <f>IF($F248=0,0,Расчет2!BG248)</f>
        <v>0</v>
      </c>
      <c r="AI248" s="11" t="e">
        <f>Расчет!FY248</f>
        <v>#N/A</v>
      </c>
      <c r="AJ248" s="11" t="e">
        <f>Расчет!FZ248</f>
        <v>#N/A</v>
      </c>
      <c r="AK248" s="11" t="e">
        <f>Расчет!GA248</f>
        <v>#N/A</v>
      </c>
      <c r="AL248" s="11" t="e">
        <f>Расчет!GB248</f>
        <v>#N/A</v>
      </c>
      <c r="AM248" s="11" t="e">
        <f>Расчет!GC248</f>
        <v>#N/A</v>
      </c>
      <c r="AN248" s="11" t="e">
        <f>Расчет!GD248</f>
        <v>#N/A</v>
      </c>
      <c r="AO248" s="11" t="e">
        <f>Расчет!GE248</f>
        <v>#N/A</v>
      </c>
      <c r="AP248" s="11" t="e">
        <f>Расчет!GF248</f>
        <v>#N/A</v>
      </c>
      <c r="AQ248" s="11" t="e">
        <f>Расчет!GG248</f>
        <v>#N/A</v>
      </c>
      <c r="AR248" s="11" t="e">
        <f>Расчет!GH248</f>
        <v>#N/A</v>
      </c>
      <c r="AS248" s="11" t="e">
        <f>Расчет!GI248</f>
        <v>#N/A</v>
      </c>
      <c r="AT248" s="11" t="e">
        <f>Расчет!GJ248</f>
        <v>#N/A</v>
      </c>
      <c r="AU248" s="198" t="e">
        <f t="shared" si="27"/>
        <v>#N/A</v>
      </c>
      <c r="AV248" s="198" t="e">
        <f t="shared" si="28"/>
        <v>#N/A</v>
      </c>
      <c r="AW248" s="198" t="e">
        <f t="shared" si="29"/>
        <v>#N/A</v>
      </c>
      <c r="AX248" s="11" t="e">
        <f t="shared" si="30"/>
        <v>#N/A</v>
      </c>
      <c r="AY248" s="11" t="e">
        <f t="shared" si="31"/>
        <v>#N/A</v>
      </c>
      <c r="AZ248" s="11" t="e">
        <f t="shared" si="32"/>
        <v>#N/A</v>
      </c>
    </row>
    <row r="249" spans="1:52" x14ac:dyDescent="0.2">
      <c r="A249" s="6">
        <f>Исходн.данные.!A249</f>
        <v>0</v>
      </c>
      <c r="B249" s="6">
        <f>Исходн.данные.!B249</f>
        <v>0</v>
      </c>
      <c r="C249" s="6">
        <f>Исходн.данные.!C249</f>
        <v>0</v>
      </c>
      <c r="D249" s="6">
        <f>Исходн.данные.!D249</f>
        <v>0</v>
      </c>
      <c r="E249" s="6">
        <f>Исходн.данные.!E249</f>
        <v>0</v>
      </c>
      <c r="F249" s="6">
        <f>Исходн.данные.!AH249</f>
        <v>0</v>
      </c>
      <c r="G249" s="6">
        <f>Исходн.данные.!AJ249</f>
        <v>0</v>
      </c>
      <c r="H249" s="6">
        <f>Исходн.данные.!AK249</f>
        <v>0</v>
      </c>
      <c r="I249" s="9">
        <f>IF($F249=0,0,Расчет2!AO249)</f>
        <v>0</v>
      </c>
      <c r="J249" s="9">
        <f>IF(F249=0,0,Расчет2!AP249)</f>
        <v>0</v>
      </c>
      <c r="K249" s="10">
        <f>IF($F249=0,0,Расчет2!AQ249)</f>
        <v>0</v>
      </c>
      <c r="L249" s="10">
        <f>IF($F249=0,0,Расчет2!AR249)</f>
        <v>0</v>
      </c>
      <c r="M249" s="10">
        <f>IF($F249=0,0,Расчет2!AS249)</f>
        <v>0</v>
      </c>
      <c r="N249" s="10">
        <f>IF($F249=0,0,IF(Исходн.данные.!$AP249="Посл.посева",0,Расчет2!AT249))</f>
        <v>0</v>
      </c>
      <c r="O249" s="10">
        <f>IF($F249=0,0,IF(Исходн.данные.!$AP249="Посл.посева",0,IF(Расчет2!AU249&lt;10,10,Расчет2!AU249)))</f>
        <v>0</v>
      </c>
      <c r="P249" s="10">
        <f>IF($F249=0,0,IF(Исходн.данные.!$AP249="Посл.посева",0,Расчет2!AV249))</f>
        <v>0</v>
      </c>
      <c r="Q249" s="10">
        <f>IF($F249=0,0,Расчет2!AW249)</f>
        <v>0</v>
      </c>
      <c r="R249" s="10">
        <f>IF($F249=0,0,Расчет2!AX249)</f>
        <v>0</v>
      </c>
      <c r="S249" s="9">
        <f>IF($F249=0,0,Расчет2!AY249)</f>
        <v>0</v>
      </c>
      <c r="T249" s="10">
        <f>IF($F249=0,0,Расчет2!AZ249)</f>
        <v>0</v>
      </c>
      <c r="U249" s="10">
        <f>IF($F249=0,0,Расчет2!BA249)</f>
        <v>0</v>
      </c>
      <c r="V249" s="10">
        <f>IF($F249=0,0,Расчет2!BB249)</f>
        <v>0</v>
      </c>
      <c r="W249" s="10">
        <f>Расчет!DL249</f>
        <v>0</v>
      </c>
      <c r="X249" s="10">
        <f>Расчет!DN249</f>
        <v>0</v>
      </c>
      <c r="Y249" s="9">
        <f>X249*Исходн.данные.!$AJ249/1000</f>
        <v>0</v>
      </c>
      <c r="Z249" s="10" t="str">
        <f>Расчет!DO249</f>
        <v>Хлор.калий</v>
      </c>
      <c r="AA249" s="10">
        <f>Расчет!DQ249</f>
        <v>0</v>
      </c>
      <c r="AB249" s="12">
        <f>AA249*Исходн.данные.!$AJ249/1000</f>
        <v>0</v>
      </c>
      <c r="AC249" s="9">
        <f>IF($F249=0,0,Расчет2!BC249)</f>
        <v>0</v>
      </c>
      <c r="AD249" s="10">
        <f>IF($F249=0,0,Расчет2!BD249)</f>
        <v>0</v>
      </c>
      <c r="AE249" s="9">
        <f>IF($F249=0,0,Расчет2!BE249)</f>
        <v>0</v>
      </c>
      <c r="AF249" s="9">
        <f>IF($F249=0,0,Расчет2!BF249)</f>
        <v>0</v>
      </c>
      <c r="AG249" s="9">
        <f>IF($F249=0,0,Расчет2!BG249)</f>
        <v>0</v>
      </c>
      <c r="AI249" s="11" t="e">
        <f>Расчет!FY249</f>
        <v>#N/A</v>
      </c>
      <c r="AJ249" s="11" t="e">
        <f>Расчет!FZ249</f>
        <v>#N/A</v>
      </c>
      <c r="AK249" s="11" t="e">
        <f>Расчет!GA249</f>
        <v>#N/A</v>
      </c>
      <c r="AL249" s="11" t="e">
        <f>Расчет!GB249</f>
        <v>#N/A</v>
      </c>
      <c r="AM249" s="11" t="e">
        <f>Расчет!GC249</f>
        <v>#N/A</v>
      </c>
      <c r="AN249" s="11" t="e">
        <f>Расчет!GD249</f>
        <v>#N/A</v>
      </c>
      <c r="AO249" s="11" t="e">
        <f>Расчет!GE249</f>
        <v>#N/A</v>
      </c>
      <c r="AP249" s="11" t="e">
        <f>Расчет!GF249</f>
        <v>#N/A</v>
      </c>
      <c r="AQ249" s="11" t="e">
        <f>Расчет!GG249</f>
        <v>#N/A</v>
      </c>
      <c r="AR249" s="11" t="e">
        <f>Расчет!GH249</f>
        <v>#N/A</v>
      </c>
      <c r="AS249" s="11" t="e">
        <f>Расчет!GI249</f>
        <v>#N/A</v>
      </c>
      <c r="AT249" s="11" t="e">
        <f>Расчет!GJ249</f>
        <v>#N/A</v>
      </c>
      <c r="AU249" s="198" t="e">
        <f t="shared" si="27"/>
        <v>#N/A</v>
      </c>
      <c r="AV249" s="198" t="e">
        <f t="shared" si="28"/>
        <v>#N/A</v>
      </c>
      <c r="AW249" s="198" t="e">
        <f t="shared" si="29"/>
        <v>#N/A</v>
      </c>
      <c r="AX249" s="11" t="e">
        <f t="shared" si="30"/>
        <v>#N/A</v>
      </c>
      <c r="AY249" s="11" t="e">
        <f t="shared" si="31"/>
        <v>#N/A</v>
      </c>
      <c r="AZ249" s="11" t="e">
        <f t="shared" si="32"/>
        <v>#N/A</v>
      </c>
    </row>
    <row r="250" spans="1:52" x14ac:dyDescent="0.2">
      <c r="A250" s="6">
        <f>Исходн.данные.!A250</f>
        <v>0</v>
      </c>
      <c r="B250" s="6">
        <f>Исходн.данные.!B250</f>
        <v>0</v>
      </c>
      <c r="C250" s="6">
        <f>Исходн.данные.!C250</f>
        <v>0</v>
      </c>
      <c r="D250" s="6">
        <f>Исходн.данные.!D250</f>
        <v>0</v>
      </c>
      <c r="E250" s="6">
        <f>Исходн.данные.!E250</f>
        <v>0</v>
      </c>
      <c r="F250" s="6">
        <f>Исходн.данные.!AH250</f>
        <v>0</v>
      </c>
      <c r="G250" s="6">
        <f>Исходн.данные.!AJ250</f>
        <v>0</v>
      </c>
      <c r="H250" s="6">
        <f>Исходн.данные.!AK250</f>
        <v>0</v>
      </c>
      <c r="I250" s="9">
        <f>IF($F250=0,0,Расчет2!AO250)</f>
        <v>0</v>
      </c>
      <c r="J250" s="9">
        <f>IF(F250=0,0,Расчет2!AP250)</f>
        <v>0</v>
      </c>
      <c r="K250" s="10">
        <f>IF($F250=0,0,Расчет2!AQ250)</f>
        <v>0</v>
      </c>
      <c r="L250" s="10">
        <f>IF($F250=0,0,Расчет2!AR250)</f>
        <v>0</v>
      </c>
      <c r="M250" s="10">
        <f>IF($F250=0,0,Расчет2!AS250)</f>
        <v>0</v>
      </c>
      <c r="N250" s="10">
        <f>IF($F250=0,0,IF(Исходн.данные.!$AP250="Посл.посева",0,Расчет2!AT250))</f>
        <v>0</v>
      </c>
      <c r="O250" s="10">
        <f>IF($F250=0,0,IF(Исходн.данные.!$AP250="Посл.посева",0,IF(Расчет2!AU250&lt;10,10,Расчет2!AU250)))</f>
        <v>0</v>
      </c>
      <c r="P250" s="10">
        <f>IF($F250=0,0,IF(Исходн.данные.!$AP250="Посл.посева",0,Расчет2!AV250))</f>
        <v>0</v>
      </c>
      <c r="Q250" s="10">
        <f>IF($F250=0,0,Расчет2!AW250)</f>
        <v>0</v>
      </c>
      <c r="R250" s="10">
        <f>IF($F250=0,0,Расчет2!AX250)</f>
        <v>0</v>
      </c>
      <c r="S250" s="9">
        <f>IF($F250=0,0,Расчет2!AY250)</f>
        <v>0</v>
      </c>
      <c r="T250" s="10">
        <f>IF($F250=0,0,Расчет2!AZ250)</f>
        <v>0</v>
      </c>
      <c r="U250" s="10">
        <f>IF($F250=0,0,Расчет2!BA250)</f>
        <v>0</v>
      </c>
      <c r="V250" s="10">
        <f>IF($F250=0,0,Расчет2!BB250)</f>
        <v>0</v>
      </c>
      <c r="W250" s="10">
        <f>Расчет!DL250</f>
        <v>0</v>
      </c>
      <c r="X250" s="10">
        <f>Расчет!DN250</f>
        <v>0</v>
      </c>
      <c r="Y250" s="9">
        <f>X250*Исходн.данные.!$AJ250/1000</f>
        <v>0</v>
      </c>
      <c r="Z250" s="10" t="str">
        <f>Расчет!DO250</f>
        <v>Хлор.калий</v>
      </c>
      <c r="AA250" s="10">
        <f>Расчет!DQ250</f>
        <v>0</v>
      </c>
      <c r="AB250" s="12">
        <f>AA250*Исходн.данные.!$AJ250/1000</f>
        <v>0</v>
      </c>
      <c r="AC250" s="9">
        <f>IF($F250=0,0,Расчет2!BC250)</f>
        <v>0</v>
      </c>
      <c r="AD250" s="10">
        <f>IF($F250=0,0,Расчет2!BD250)</f>
        <v>0</v>
      </c>
      <c r="AE250" s="9">
        <f>IF($F250=0,0,Расчет2!BE250)</f>
        <v>0</v>
      </c>
      <c r="AF250" s="9">
        <f>IF($F250=0,0,Расчет2!BF250)</f>
        <v>0</v>
      </c>
      <c r="AG250" s="9">
        <f>IF($F250=0,0,Расчет2!BG250)</f>
        <v>0</v>
      </c>
      <c r="AI250" s="11" t="e">
        <f>Расчет!FY250</f>
        <v>#N/A</v>
      </c>
      <c r="AJ250" s="11" t="e">
        <f>Расчет!FZ250</f>
        <v>#N/A</v>
      </c>
      <c r="AK250" s="11" t="e">
        <f>Расчет!GA250</f>
        <v>#N/A</v>
      </c>
      <c r="AL250" s="11" t="e">
        <f>Расчет!GB250</f>
        <v>#N/A</v>
      </c>
      <c r="AM250" s="11" t="e">
        <f>Расчет!GC250</f>
        <v>#N/A</v>
      </c>
      <c r="AN250" s="11" t="e">
        <f>Расчет!GD250</f>
        <v>#N/A</v>
      </c>
      <c r="AO250" s="11" t="e">
        <f>Расчет!GE250</f>
        <v>#N/A</v>
      </c>
      <c r="AP250" s="11" t="e">
        <f>Расчет!GF250</f>
        <v>#N/A</v>
      </c>
      <c r="AQ250" s="11" t="e">
        <f>Расчет!GG250</f>
        <v>#N/A</v>
      </c>
      <c r="AR250" s="11" t="e">
        <f>Расчет!GH250</f>
        <v>#N/A</v>
      </c>
      <c r="AS250" s="11" t="e">
        <f>Расчет!GI250</f>
        <v>#N/A</v>
      </c>
      <c r="AT250" s="11" t="e">
        <f>Расчет!GJ250</f>
        <v>#N/A</v>
      </c>
      <c r="AU250" s="198" t="e">
        <f t="shared" si="27"/>
        <v>#N/A</v>
      </c>
      <c r="AV250" s="198" t="e">
        <f t="shared" si="28"/>
        <v>#N/A</v>
      </c>
      <c r="AW250" s="198" t="e">
        <f t="shared" si="29"/>
        <v>#N/A</v>
      </c>
      <c r="AX250" s="11" t="e">
        <f t="shared" si="30"/>
        <v>#N/A</v>
      </c>
      <c r="AY250" s="11" t="e">
        <f t="shared" si="31"/>
        <v>#N/A</v>
      </c>
      <c r="AZ250" s="11" t="e">
        <f t="shared" si="32"/>
        <v>#N/A</v>
      </c>
    </row>
    <row r="251" spans="1:52" x14ac:dyDescent="0.2">
      <c r="A251" s="6">
        <f>Исходн.данные.!A251</f>
        <v>0</v>
      </c>
      <c r="B251" s="6">
        <f>Исходн.данные.!B251</f>
        <v>0</v>
      </c>
      <c r="C251" s="6">
        <f>Исходн.данные.!C251</f>
        <v>0</v>
      </c>
      <c r="D251" s="6">
        <f>Исходн.данные.!D251</f>
        <v>0</v>
      </c>
      <c r="E251" s="6">
        <f>Исходн.данные.!E251</f>
        <v>0</v>
      </c>
      <c r="F251" s="6">
        <f>Исходн.данные.!AH251</f>
        <v>0</v>
      </c>
      <c r="G251" s="6">
        <f>Исходн.данные.!AJ251</f>
        <v>0</v>
      </c>
      <c r="H251" s="6">
        <f>Исходн.данные.!AK251</f>
        <v>0</v>
      </c>
      <c r="I251" s="9">
        <f>IF($F251=0,0,Расчет2!AO251)</f>
        <v>0</v>
      </c>
      <c r="J251" s="9">
        <f>IF(F251=0,0,Расчет2!AP251)</f>
        <v>0</v>
      </c>
      <c r="K251" s="10">
        <f>IF($F251=0,0,Расчет2!AQ251)</f>
        <v>0</v>
      </c>
      <c r="L251" s="10">
        <f>IF($F251=0,0,Расчет2!AR251)</f>
        <v>0</v>
      </c>
      <c r="M251" s="10">
        <f>IF($F251=0,0,Расчет2!AS251)</f>
        <v>0</v>
      </c>
      <c r="N251" s="10">
        <f>IF($F251=0,0,IF(Исходн.данные.!$AP251="Посл.посева",0,Расчет2!AT251))</f>
        <v>0</v>
      </c>
      <c r="O251" s="10">
        <f>IF($F251=0,0,IF(Исходн.данные.!$AP251="Посл.посева",0,IF(Расчет2!AU251&lt;10,10,Расчет2!AU251)))</f>
        <v>0</v>
      </c>
      <c r="P251" s="10">
        <f>IF($F251=0,0,IF(Исходн.данные.!$AP251="Посл.посева",0,Расчет2!AV251))</f>
        <v>0</v>
      </c>
      <c r="Q251" s="10">
        <f>IF($F251=0,0,Расчет2!AW251)</f>
        <v>0</v>
      </c>
      <c r="R251" s="10">
        <f>IF($F251=0,0,Расчет2!AX251)</f>
        <v>0</v>
      </c>
      <c r="S251" s="9">
        <f>IF($F251=0,0,Расчет2!AY251)</f>
        <v>0</v>
      </c>
      <c r="T251" s="10">
        <f>IF($F251=0,0,Расчет2!AZ251)</f>
        <v>0</v>
      </c>
      <c r="U251" s="10">
        <f>IF($F251=0,0,Расчет2!BA251)</f>
        <v>0</v>
      </c>
      <c r="V251" s="10">
        <f>IF($F251=0,0,Расчет2!BB251)</f>
        <v>0</v>
      </c>
      <c r="W251" s="10">
        <f>Расчет!DL251</f>
        <v>0</v>
      </c>
      <c r="X251" s="10">
        <f>Расчет!DN251</f>
        <v>0</v>
      </c>
      <c r="Y251" s="9">
        <f>X251*Исходн.данные.!$AJ251/1000</f>
        <v>0</v>
      </c>
      <c r="Z251" s="10" t="str">
        <f>Расчет!DO251</f>
        <v>Хлор.калий</v>
      </c>
      <c r="AA251" s="10">
        <f>Расчет!DQ251</f>
        <v>0</v>
      </c>
      <c r="AB251" s="12">
        <f>AA251*Исходн.данные.!$AJ251/1000</f>
        <v>0</v>
      </c>
      <c r="AC251" s="9">
        <f>IF($F251=0,0,Расчет2!BC251)</f>
        <v>0</v>
      </c>
      <c r="AD251" s="10">
        <f>IF($F251=0,0,Расчет2!BD251)</f>
        <v>0</v>
      </c>
      <c r="AE251" s="9">
        <f>IF($F251=0,0,Расчет2!BE251)</f>
        <v>0</v>
      </c>
      <c r="AF251" s="9">
        <f>IF($F251=0,0,Расчет2!BF251)</f>
        <v>0</v>
      </c>
      <c r="AG251" s="9">
        <f>IF($F251=0,0,Расчет2!BG251)</f>
        <v>0</v>
      </c>
      <c r="AI251" s="11" t="e">
        <f>Расчет!FY251</f>
        <v>#N/A</v>
      </c>
      <c r="AJ251" s="11" t="e">
        <f>Расчет!FZ251</f>
        <v>#N/A</v>
      </c>
      <c r="AK251" s="11" t="e">
        <f>Расчет!GA251</f>
        <v>#N/A</v>
      </c>
      <c r="AL251" s="11" t="e">
        <f>Расчет!GB251</f>
        <v>#N/A</v>
      </c>
      <c r="AM251" s="11" t="e">
        <f>Расчет!GC251</f>
        <v>#N/A</v>
      </c>
      <c r="AN251" s="11" t="e">
        <f>Расчет!GD251</f>
        <v>#N/A</v>
      </c>
      <c r="AO251" s="11" t="e">
        <f>Расчет!GE251</f>
        <v>#N/A</v>
      </c>
      <c r="AP251" s="11" t="e">
        <f>Расчет!GF251</f>
        <v>#N/A</v>
      </c>
      <c r="AQ251" s="11" t="e">
        <f>Расчет!GG251</f>
        <v>#N/A</v>
      </c>
      <c r="AR251" s="11" t="e">
        <f>Расчет!GH251</f>
        <v>#N/A</v>
      </c>
      <c r="AS251" s="11" t="e">
        <f>Расчет!GI251</f>
        <v>#N/A</v>
      </c>
      <c r="AT251" s="11" t="e">
        <f>Расчет!GJ251</f>
        <v>#N/A</v>
      </c>
      <c r="AU251" s="198" t="e">
        <f t="shared" si="27"/>
        <v>#N/A</v>
      </c>
      <c r="AV251" s="198" t="e">
        <f t="shared" si="28"/>
        <v>#N/A</v>
      </c>
      <c r="AW251" s="198" t="e">
        <f t="shared" si="29"/>
        <v>#N/A</v>
      </c>
      <c r="AX251" s="11" t="e">
        <f t="shared" si="30"/>
        <v>#N/A</v>
      </c>
      <c r="AY251" s="11" t="e">
        <f t="shared" si="31"/>
        <v>#N/A</v>
      </c>
      <c r="AZ251" s="11" t="e">
        <f t="shared" si="32"/>
        <v>#N/A</v>
      </c>
    </row>
    <row r="252" spans="1:52" x14ac:dyDescent="0.2">
      <c r="A252" s="6">
        <f>Исходн.данные.!A252</f>
        <v>0</v>
      </c>
      <c r="B252" s="6">
        <f>Исходн.данные.!B252</f>
        <v>0</v>
      </c>
      <c r="C252" s="6">
        <f>Исходн.данные.!C252</f>
        <v>0</v>
      </c>
      <c r="D252" s="6">
        <f>Исходн.данные.!D252</f>
        <v>0</v>
      </c>
      <c r="E252" s="6">
        <f>Исходн.данные.!E252</f>
        <v>0</v>
      </c>
      <c r="F252" s="6">
        <f>Исходн.данные.!AH252</f>
        <v>0</v>
      </c>
      <c r="G252" s="6">
        <f>Исходн.данные.!AJ252</f>
        <v>0</v>
      </c>
      <c r="H252" s="6">
        <f>Исходн.данные.!AK252</f>
        <v>0</v>
      </c>
      <c r="I252" s="9">
        <f>IF($F252=0,0,Расчет2!AO252)</f>
        <v>0</v>
      </c>
      <c r="J252" s="9">
        <f>IF(F252=0,0,Расчет2!AP252)</f>
        <v>0</v>
      </c>
      <c r="K252" s="10">
        <f>IF($F252=0,0,Расчет2!AQ252)</f>
        <v>0</v>
      </c>
      <c r="L252" s="10">
        <f>IF($F252=0,0,Расчет2!AR252)</f>
        <v>0</v>
      </c>
      <c r="M252" s="10">
        <f>IF($F252=0,0,Расчет2!AS252)</f>
        <v>0</v>
      </c>
      <c r="N252" s="10">
        <f>IF($F252=0,0,IF(Исходн.данные.!$AP252="Посл.посева",0,Расчет2!AT252))</f>
        <v>0</v>
      </c>
      <c r="O252" s="10">
        <f>IF($F252=0,0,IF(Исходн.данные.!$AP252="Посл.посева",0,IF(Расчет2!AU252&lt;10,10,Расчет2!AU252)))</f>
        <v>0</v>
      </c>
      <c r="P252" s="10">
        <f>IF($F252=0,0,IF(Исходн.данные.!$AP252="Посл.посева",0,Расчет2!AV252))</f>
        <v>0</v>
      </c>
      <c r="Q252" s="10">
        <f>IF($F252=0,0,Расчет2!AW252)</f>
        <v>0</v>
      </c>
      <c r="R252" s="10">
        <f>IF($F252=0,0,Расчет2!AX252)</f>
        <v>0</v>
      </c>
      <c r="S252" s="9">
        <f>IF($F252=0,0,Расчет2!AY252)</f>
        <v>0</v>
      </c>
      <c r="T252" s="10">
        <f>IF($F252=0,0,Расчет2!AZ252)</f>
        <v>0</v>
      </c>
      <c r="U252" s="10">
        <f>IF($F252=0,0,Расчет2!BA252)</f>
        <v>0</v>
      </c>
      <c r="V252" s="10">
        <f>IF($F252=0,0,Расчет2!BB252)</f>
        <v>0</v>
      </c>
      <c r="W252" s="10">
        <f>Расчет!DL252</f>
        <v>0</v>
      </c>
      <c r="X252" s="10">
        <f>Расчет!DN252</f>
        <v>0</v>
      </c>
      <c r="Y252" s="9">
        <f>X252*Исходн.данные.!$AJ252/1000</f>
        <v>0</v>
      </c>
      <c r="Z252" s="10" t="str">
        <f>Расчет!DO252</f>
        <v>Хлор.калий</v>
      </c>
      <c r="AA252" s="10">
        <f>Расчет!DQ252</f>
        <v>0</v>
      </c>
      <c r="AB252" s="12">
        <f>AA252*Исходн.данные.!$AJ252/1000</f>
        <v>0</v>
      </c>
      <c r="AC252" s="9">
        <f>IF($F252=0,0,Расчет2!BC252)</f>
        <v>0</v>
      </c>
      <c r="AD252" s="10">
        <f>IF($F252=0,0,Расчет2!BD252)</f>
        <v>0</v>
      </c>
      <c r="AE252" s="9">
        <f>IF($F252=0,0,Расчет2!BE252)</f>
        <v>0</v>
      </c>
      <c r="AF252" s="9">
        <f>IF($F252=0,0,Расчет2!BF252)</f>
        <v>0</v>
      </c>
      <c r="AG252" s="9">
        <f>IF($F252=0,0,Расчет2!BG252)</f>
        <v>0</v>
      </c>
      <c r="AI252" s="11" t="e">
        <f>Расчет!FY252</f>
        <v>#N/A</v>
      </c>
      <c r="AJ252" s="11" t="e">
        <f>Расчет!FZ252</f>
        <v>#N/A</v>
      </c>
      <c r="AK252" s="11" t="e">
        <f>Расчет!GA252</f>
        <v>#N/A</v>
      </c>
      <c r="AL252" s="11" t="e">
        <f>Расчет!GB252</f>
        <v>#N/A</v>
      </c>
      <c r="AM252" s="11" t="e">
        <f>Расчет!GC252</f>
        <v>#N/A</v>
      </c>
      <c r="AN252" s="11" t="e">
        <f>Расчет!GD252</f>
        <v>#N/A</v>
      </c>
      <c r="AO252" s="11" t="e">
        <f>Расчет!GE252</f>
        <v>#N/A</v>
      </c>
      <c r="AP252" s="11" t="e">
        <f>Расчет!GF252</f>
        <v>#N/A</v>
      </c>
      <c r="AQ252" s="11" t="e">
        <f>Расчет!GG252</f>
        <v>#N/A</v>
      </c>
      <c r="AR252" s="11" t="e">
        <f>Расчет!GH252</f>
        <v>#N/A</v>
      </c>
      <c r="AS252" s="11" t="e">
        <f>Расчет!GI252</f>
        <v>#N/A</v>
      </c>
      <c r="AT252" s="11" t="e">
        <f>Расчет!GJ252</f>
        <v>#N/A</v>
      </c>
      <c r="AU252" s="198" t="e">
        <f t="shared" si="27"/>
        <v>#N/A</v>
      </c>
      <c r="AV252" s="198" t="e">
        <f t="shared" si="28"/>
        <v>#N/A</v>
      </c>
      <c r="AW252" s="198" t="e">
        <f t="shared" si="29"/>
        <v>#N/A</v>
      </c>
      <c r="AX252" s="11" t="e">
        <f t="shared" si="30"/>
        <v>#N/A</v>
      </c>
      <c r="AY252" s="11" t="e">
        <f t="shared" si="31"/>
        <v>#N/A</v>
      </c>
      <c r="AZ252" s="11" t="e">
        <f t="shared" si="32"/>
        <v>#N/A</v>
      </c>
    </row>
    <row r="253" spans="1:52" x14ac:dyDescent="0.2">
      <c r="A253" s="6">
        <f>Исходн.данные.!A253</f>
        <v>0</v>
      </c>
      <c r="B253" s="6">
        <f>Исходн.данные.!B253</f>
        <v>0</v>
      </c>
      <c r="C253" s="6">
        <f>Исходн.данные.!C253</f>
        <v>0</v>
      </c>
      <c r="D253" s="6">
        <f>Исходн.данные.!D253</f>
        <v>0</v>
      </c>
      <c r="E253" s="6">
        <f>Исходн.данные.!E253</f>
        <v>0</v>
      </c>
      <c r="F253" s="6">
        <f>Исходн.данные.!AH253</f>
        <v>0</v>
      </c>
      <c r="G253" s="6">
        <f>Исходн.данные.!AJ253</f>
        <v>0</v>
      </c>
      <c r="H253" s="6">
        <f>Исходн.данные.!AK253</f>
        <v>0</v>
      </c>
      <c r="I253" s="9">
        <f>IF($F253=0,0,Расчет2!AO253)</f>
        <v>0</v>
      </c>
      <c r="J253" s="9">
        <f>IF(F253=0,0,Расчет2!AP253)</f>
        <v>0</v>
      </c>
      <c r="K253" s="10">
        <f>IF($F253=0,0,Расчет2!AQ253)</f>
        <v>0</v>
      </c>
      <c r="L253" s="10">
        <f>IF($F253=0,0,Расчет2!AR253)</f>
        <v>0</v>
      </c>
      <c r="M253" s="10">
        <f>IF($F253=0,0,Расчет2!AS253)</f>
        <v>0</v>
      </c>
      <c r="N253" s="10">
        <f>IF($F253=0,0,IF(Исходн.данные.!$AP253="Посл.посева",0,Расчет2!AT253))</f>
        <v>0</v>
      </c>
      <c r="O253" s="10">
        <f>IF($F253=0,0,IF(Исходн.данные.!$AP253="Посл.посева",0,IF(Расчет2!AU253&lt;10,10,Расчет2!AU253)))</f>
        <v>0</v>
      </c>
      <c r="P253" s="10">
        <f>IF($F253=0,0,IF(Исходн.данные.!$AP253="Посл.посева",0,Расчет2!AV253))</f>
        <v>0</v>
      </c>
      <c r="Q253" s="10">
        <f>IF($F253=0,0,Расчет2!AW253)</f>
        <v>0</v>
      </c>
      <c r="R253" s="10">
        <f>IF($F253=0,0,Расчет2!AX253)</f>
        <v>0</v>
      </c>
      <c r="S253" s="9">
        <f>IF($F253=0,0,Расчет2!AY253)</f>
        <v>0</v>
      </c>
      <c r="T253" s="10">
        <f>IF($F253=0,0,Расчет2!AZ253)</f>
        <v>0</v>
      </c>
      <c r="U253" s="10">
        <f>IF($F253=0,0,Расчет2!BA253)</f>
        <v>0</v>
      </c>
      <c r="V253" s="10">
        <f>IF($F253=0,0,Расчет2!BB253)</f>
        <v>0</v>
      </c>
      <c r="W253" s="10">
        <f>Расчет!DL253</f>
        <v>0</v>
      </c>
      <c r="X253" s="10">
        <f>Расчет!DN253</f>
        <v>0</v>
      </c>
      <c r="Y253" s="9">
        <f>X253*Исходн.данные.!$AJ253/1000</f>
        <v>0</v>
      </c>
      <c r="Z253" s="10" t="str">
        <f>Расчет!DO253</f>
        <v>Хлор.калий</v>
      </c>
      <c r="AA253" s="10">
        <f>Расчет!DQ253</f>
        <v>0</v>
      </c>
      <c r="AB253" s="12">
        <f>AA253*Исходн.данные.!$AJ253/1000</f>
        <v>0</v>
      </c>
      <c r="AC253" s="9">
        <f>IF($F253=0,0,Расчет2!BC253)</f>
        <v>0</v>
      </c>
      <c r="AD253" s="10">
        <f>IF($F253=0,0,Расчет2!BD253)</f>
        <v>0</v>
      </c>
      <c r="AE253" s="9">
        <f>IF($F253=0,0,Расчет2!BE253)</f>
        <v>0</v>
      </c>
      <c r="AF253" s="9">
        <f>IF($F253=0,0,Расчет2!BF253)</f>
        <v>0</v>
      </c>
      <c r="AG253" s="9">
        <f>IF($F253=0,0,Расчет2!BG253)</f>
        <v>0</v>
      </c>
      <c r="AI253" s="11" t="e">
        <f>Расчет!FY253</f>
        <v>#N/A</v>
      </c>
      <c r="AJ253" s="11" t="e">
        <f>Расчет!FZ253</f>
        <v>#N/A</v>
      </c>
      <c r="AK253" s="11" t="e">
        <f>Расчет!GA253</f>
        <v>#N/A</v>
      </c>
      <c r="AL253" s="11" t="e">
        <f>Расчет!GB253</f>
        <v>#N/A</v>
      </c>
      <c r="AM253" s="11" t="e">
        <f>Расчет!GC253</f>
        <v>#N/A</v>
      </c>
      <c r="AN253" s="11" t="e">
        <f>Расчет!GD253</f>
        <v>#N/A</v>
      </c>
      <c r="AO253" s="11" t="e">
        <f>Расчет!GE253</f>
        <v>#N/A</v>
      </c>
      <c r="AP253" s="11" t="e">
        <f>Расчет!GF253</f>
        <v>#N/A</v>
      </c>
      <c r="AQ253" s="11" t="e">
        <f>Расчет!GG253</f>
        <v>#N/A</v>
      </c>
      <c r="AR253" s="11" t="e">
        <f>Расчет!GH253</f>
        <v>#N/A</v>
      </c>
      <c r="AS253" s="11" t="e">
        <f>Расчет!GI253</f>
        <v>#N/A</v>
      </c>
      <c r="AT253" s="11" t="e">
        <f>Расчет!GJ253</f>
        <v>#N/A</v>
      </c>
      <c r="AU253" s="198" t="e">
        <f t="shared" si="27"/>
        <v>#N/A</v>
      </c>
      <c r="AV253" s="198" t="e">
        <f t="shared" si="28"/>
        <v>#N/A</v>
      </c>
      <c r="AW253" s="198" t="e">
        <f t="shared" si="29"/>
        <v>#N/A</v>
      </c>
      <c r="AX253" s="11" t="e">
        <f t="shared" si="30"/>
        <v>#N/A</v>
      </c>
      <c r="AY253" s="11" t="e">
        <f t="shared" si="31"/>
        <v>#N/A</v>
      </c>
      <c r="AZ253" s="11" t="e">
        <f t="shared" si="32"/>
        <v>#N/A</v>
      </c>
    </row>
    <row r="254" spans="1:52" x14ac:dyDescent="0.2">
      <c r="A254" s="6">
        <f>Исходн.данные.!A254</f>
        <v>0</v>
      </c>
      <c r="B254" s="6">
        <f>Исходн.данные.!B254</f>
        <v>0</v>
      </c>
      <c r="C254" s="6">
        <f>Исходн.данные.!C254</f>
        <v>0</v>
      </c>
      <c r="D254" s="6">
        <f>Исходн.данные.!D254</f>
        <v>0</v>
      </c>
      <c r="E254" s="6">
        <f>Исходн.данные.!E254</f>
        <v>0</v>
      </c>
      <c r="F254" s="6">
        <f>Исходн.данные.!AH254</f>
        <v>0</v>
      </c>
      <c r="G254" s="6">
        <f>Исходн.данные.!AJ254</f>
        <v>0</v>
      </c>
      <c r="H254" s="6">
        <f>Исходн.данные.!AK254</f>
        <v>0</v>
      </c>
      <c r="I254" s="9">
        <f>IF($F254=0,0,Расчет2!AO254)</f>
        <v>0</v>
      </c>
      <c r="J254" s="9">
        <f>IF(F254=0,0,Расчет2!AP254)</f>
        <v>0</v>
      </c>
      <c r="K254" s="10">
        <f>IF($F254=0,0,Расчет2!AQ254)</f>
        <v>0</v>
      </c>
      <c r="L254" s="10">
        <f>IF($F254=0,0,Расчет2!AR254)</f>
        <v>0</v>
      </c>
      <c r="M254" s="10">
        <f>IF($F254=0,0,Расчет2!AS254)</f>
        <v>0</v>
      </c>
      <c r="N254" s="10">
        <f>IF($F254=0,0,IF(Исходн.данные.!$AP254="Посл.посева",0,Расчет2!AT254))</f>
        <v>0</v>
      </c>
      <c r="O254" s="10">
        <f>IF($F254=0,0,IF(Исходн.данные.!$AP254="Посл.посева",0,IF(Расчет2!AU254&lt;10,10,Расчет2!AU254)))</f>
        <v>0</v>
      </c>
      <c r="P254" s="10">
        <f>IF($F254=0,0,IF(Исходн.данные.!$AP254="Посл.посева",0,Расчет2!AV254))</f>
        <v>0</v>
      </c>
      <c r="Q254" s="10">
        <f>IF($F254=0,0,Расчет2!AW254)</f>
        <v>0</v>
      </c>
      <c r="R254" s="10">
        <f>IF($F254=0,0,Расчет2!AX254)</f>
        <v>0</v>
      </c>
      <c r="S254" s="9">
        <f>IF($F254=0,0,Расчет2!AY254)</f>
        <v>0</v>
      </c>
      <c r="T254" s="10">
        <f>IF($F254=0,0,Расчет2!AZ254)</f>
        <v>0</v>
      </c>
      <c r="U254" s="10">
        <f>IF($F254=0,0,Расчет2!BA254)</f>
        <v>0</v>
      </c>
      <c r="V254" s="10">
        <f>IF($F254=0,0,Расчет2!BB254)</f>
        <v>0</v>
      </c>
      <c r="W254" s="10">
        <f>Расчет!DL254</f>
        <v>0</v>
      </c>
      <c r="X254" s="10">
        <f>Расчет!DN254</f>
        <v>0</v>
      </c>
      <c r="Y254" s="9">
        <f>X254*Исходн.данные.!$AJ254/1000</f>
        <v>0</v>
      </c>
      <c r="Z254" s="10" t="str">
        <f>Расчет!DO254</f>
        <v>Хлор.калий</v>
      </c>
      <c r="AA254" s="10">
        <f>Расчет!DQ254</f>
        <v>0</v>
      </c>
      <c r="AB254" s="12">
        <f>AA254*Исходн.данные.!$AJ254/1000</f>
        <v>0</v>
      </c>
      <c r="AC254" s="9">
        <f>IF($F254=0,0,Расчет2!BC254)</f>
        <v>0</v>
      </c>
      <c r="AD254" s="10">
        <f>IF($F254=0,0,Расчет2!BD254)</f>
        <v>0</v>
      </c>
      <c r="AE254" s="9">
        <f>IF($F254=0,0,Расчет2!BE254)</f>
        <v>0</v>
      </c>
      <c r="AF254" s="9">
        <f>IF($F254=0,0,Расчет2!BF254)</f>
        <v>0</v>
      </c>
      <c r="AG254" s="9">
        <f>IF($F254=0,0,Расчет2!BG254)</f>
        <v>0</v>
      </c>
      <c r="AI254" s="11" t="e">
        <f>Расчет!FY254</f>
        <v>#N/A</v>
      </c>
      <c r="AJ254" s="11" t="e">
        <f>Расчет!FZ254</f>
        <v>#N/A</v>
      </c>
      <c r="AK254" s="11" t="e">
        <f>Расчет!GA254</f>
        <v>#N/A</v>
      </c>
      <c r="AL254" s="11" t="e">
        <f>Расчет!GB254</f>
        <v>#N/A</v>
      </c>
      <c r="AM254" s="11" t="e">
        <f>Расчет!GC254</f>
        <v>#N/A</v>
      </c>
      <c r="AN254" s="11" t="e">
        <f>Расчет!GD254</f>
        <v>#N/A</v>
      </c>
      <c r="AO254" s="11" t="e">
        <f>Расчет!GE254</f>
        <v>#N/A</v>
      </c>
      <c r="AP254" s="11" t="e">
        <f>Расчет!GF254</f>
        <v>#N/A</v>
      </c>
      <c r="AQ254" s="11" t="e">
        <f>Расчет!GG254</f>
        <v>#N/A</v>
      </c>
      <c r="AR254" s="11" t="e">
        <f>Расчет!GH254</f>
        <v>#N/A</v>
      </c>
      <c r="AS254" s="11" t="e">
        <f>Расчет!GI254</f>
        <v>#N/A</v>
      </c>
      <c r="AT254" s="11" t="e">
        <f>Расчет!GJ254</f>
        <v>#N/A</v>
      </c>
      <c r="AU254" s="198" t="e">
        <f t="shared" si="27"/>
        <v>#N/A</v>
      </c>
      <c r="AV254" s="198" t="e">
        <f t="shared" si="28"/>
        <v>#N/A</v>
      </c>
      <c r="AW254" s="198" t="e">
        <f t="shared" si="29"/>
        <v>#N/A</v>
      </c>
      <c r="AX254" s="11" t="e">
        <f t="shared" si="30"/>
        <v>#N/A</v>
      </c>
      <c r="AY254" s="11" t="e">
        <f t="shared" si="31"/>
        <v>#N/A</v>
      </c>
      <c r="AZ254" s="11" t="e">
        <f t="shared" si="32"/>
        <v>#N/A</v>
      </c>
    </row>
    <row r="255" spans="1:52" x14ac:dyDescent="0.2">
      <c r="A255" s="6">
        <f>Исходн.данные.!A255</f>
        <v>0</v>
      </c>
      <c r="B255" s="6">
        <f>Исходн.данные.!B255</f>
        <v>0</v>
      </c>
      <c r="C255" s="6">
        <f>Исходн.данные.!C255</f>
        <v>0</v>
      </c>
      <c r="D255" s="6">
        <f>Исходн.данные.!D255</f>
        <v>0</v>
      </c>
      <c r="E255" s="6">
        <f>Исходн.данные.!E255</f>
        <v>0</v>
      </c>
      <c r="F255" s="6">
        <f>Исходн.данные.!AH255</f>
        <v>0</v>
      </c>
      <c r="G255" s="6">
        <f>Исходн.данные.!AJ255</f>
        <v>0</v>
      </c>
      <c r="H255" s="6">
        <f>Исходн.данные.!AK255</f>
        <v>0</v>
      </c>
      <c r="I255" s="9">
        <f>IF($F255=0,0,Расчет2!AO255)</f>
        <v>0</v>
      </c>
      <c r="J255" s="9">
        <f>IF(F255=0,0,Расчет2!AP255)</f>
        <v>0</v>
      </c>
      <c r="K255" s="10">
        <f>IF($F255=0,0,Расчет2!AQ255)</f>
        <v>0</v>
      </c>
      <c r="L255" s="10">
        <f>IF($F255=0,0,Расчет2!AR255)</f>
        <v>0</v>
      </c>
      <c r="M255" s="10">
        <f>IF($F255=0,0,Расчет2!AS255)</f>
        <v>0</v>
      </c>
      <c r="N255" s="10">
        <f>IF($F255=0,0,IF(Исходн.данные.!$AP255="Посл.посева",0,Расчет2!AT255))</f>
        <v>0</v>
      </c>
      <c r="O255" s="10">
        <f>IF($F255=0,0,IF(Исходн.данные.!$AP255="Посл.посева",0,IF(Расчет2!AU255&lt;10,10,Расчет2!AU255)))</f>
        <v>0</v>
      </c>
      <c r="P255" s="10">
        <f>IF($F255=0,0,IF(Исходн.данные.!$AP255="Посл.посева",0,Расчет2!AV255))</f>
        <v>0</v>
      </c>
      <c r="Q255" s="10">
        <f>IF($F255=0,0,Расчет2!AW255)</f>
        <v>0</v>
      </c>
      <c r="R255" s="10">
        <f>IF($F255=0,0,Расчет2!AX255)</f>
        <v>0</v>
      </c>
      <c r="S255" s="9">
        <f>IF($F255=0,0,Расчет2!AY255)</f>
        <v>0</v>
      </c>
      <c r="T255" s="10">
        <f>IF($F255=0,0,Расчет2!AZ255)</f>
        <v>0</v>
      </c>
      <c r="U255" s="10">
        <f>IF($F255=0,0,Расчет2!BA255)</f>
        <v>0</v>
      </c>
      <c r="V255" s="10">
        <f>IF($F255=0,0,Расчет2!BB255)</f>
        <v>0</v>
      </c>
      <c r="W255" s="10">
        <f>Расчет!DL255</f>
        <v>0</v>
      </c>
      <c r="X255" s="10">
        <f>Расчет!DN255</f>
        <v>0</v>
      </c>
      <c r="Y255" s="9">
        <f>X255*Исходн.данные.!$AJ255/1000</f>
        <v>0</v>
      </c>
      <c r="Z255" s="10" t="str">
        <f>Расчет!DO255</f>
        <v>Хлор.калий</v>
      </c>
      <c r="AA255" s="10">
        <f>Расчет!DQ255</f>
        <v>0</v>
      </c>
      <c r="AB255" s="12">
        <f>AA255*Исходн.данные.!$AJ255/1000</f>
        <v>0</v>
      </c>
      <c r="AC255" s="9">
        <f>IF($F255=0,0,Расчет2!BC255)</f>
        <v>0</v>
      </c>
      <c r="AD255" s="10">
        <f>IF($F255=0,0,Расчет2!BD255)</f>
        <v>0</v>
      </c>
      <c r="AE255" s="9">
        <f>IF($F255=0,0,Расчет2!BE255)</f>
        <v>0</v>
      </c>
      <c r="AF255" s="9">
        <f>IF($F255=0,0,Расчет2!BF255)</f>
        <v>0</v>
      </c>
      <c r="AG255" s="9">
        <f>IF($F255=0,0,Расчет2!BG255)</f>
        <v>0</v>
      </c>
      <c r="AI255" s="11" t="e">
        <f>Расчет!FY255</f>
        <v>#N/A</v>
      </c>
      <c r="AJ255" s="11" t="e">
        <f>Расчет!FZ255</f>
        <v>#N/A</v>
      </c>
      <c r="AK255" s="11" t="e">
        <f>Расчет!GA255</f>
        <v>#N/A</v>
      </c>
      <c r="AL255" s="11" t="e">
        <f>Расчет!GB255</f>
        <v>#N/A</v>
      </c>
      <c r="AM255" s="11" t="e">
        <f>Расчет!GC255</f>
        <v>#N/A</v>
      </c>
      <c r="AN255" s="11" t="e">
        <f>Расчет!GD255</f>
        <v>#N/A</v>
      </c>
      <c r="AO255" s="11" t="e">
        <f>Расчет!GE255</f>
        <v>#N/A</v>
      </c>
      <c r="AP255" s="11" t="e">
        <f>Расчет!GF255</f>
        <v>#N/A</v>
      </c>
      <c r="AQ255" s="11" t="e">
        <f>Расчет!GG255</f>
        <v>#N/A</v>
      </c>
      <c r="AR255" s="11" t="e">
        <f>Расчет!GH255</f>
        <v>#N/A</v>
      </c>
      <c r="AS255" s="11" t="e">
        <f>Расчет!GI255</f>
        <v>#N/A</v>
      </c>
      <c r="AT255" s="11" t="e">
        <f>Расчет!GJ255</f>
        <v>#N/A</v>
      </c>
      <c r="AU255" s="198" t="e">
        <f t="shared" si="27"/>
        <v>#N/A</v>
      </c>
      <c r="AV255" s="198" t="e">
        <f t="shared" si="28"/>
        <v>#N/A</v>
      </c>
      <c r="AW255" s="198" t="e">
        <f t="shared" si="29"/>
        <v>#N/A</v>
      </c>
      <c r="AX255" s="11" t="e">
        <f t="shared" si="30"/>
        <v>#N/A</v>
      </c>
      <c r="AY255" s="11" t="e">
        <f t="shared" si="31"/>
        <v>#N/A</v>
      </c>
      <c r="AZ255" s="11" t="e">
        <f t="shared" si="32"/>
        <v>#N/A</v>
      </c>
    </row>
    <row r="256" spans="1:52" x14ac:dyDescent="0.2">
      <c r="A256" s="6">
        <f>Исходн.данные.!A256</f>
        <v>0</v>
      </c>
      <c r="B256" s="6">
        <f>Исходн.данные.!B256</f>
        <v>0</v>
      </c>
      <c r="C256" s="6">
        <f>Исходн.данные.!C256</f>
        <v>0</v>
      </c>
      <c r="D256" s="6">
        <f>Исходн.данные.!D256</f>
        <v>0</v>
      </c>
      <c r="E256" s="6">
        <f>Исходн.данные.!E256</f>
        <v>0</v>
      </c>
      <c r="F256" s="6">
        <f>Исходн.данные.!AH256</f>
        <v>0</v>
      </c>
      <c r="G256" s="6">
        <f>Исходн.данные.!AJ256</f>
        <v>0</v>
      </c>
      <c r="H256" s="6">
        <f>Исходн.данные.!AK256</f>
        <v>0</v>
      </c>
      <c r="I256" s="9">
        <f>IF($F256=0,0,Расчет2!AO256)</f>
        <v>0</v>
      </c>
      <c r="J256" s="9">
        <f>IF(F256=0,0,Расчет2!AP256)</f>
        <v>0</v>
      </c>
      <c r="K256" s="10">
        <f>IF($F256=0,0,Расчет2!AQ256)</f>
        <v>0</v>
      </c>
      <c r="L256" s="10">
        <f>IF($F256=0,0,Расчет2!AR256)</f>
        <v>0</v>
      </c>
      <c r="M256" s="10">
        <f>IF($F256=0,0,Расчет2!AS256)</f>
        <v>0</v>
      </c>
      <c r="N256" s="10">
        <f>IF($F256=0,0,IF(Исходн.данные.!$AP256="Посл.посева",0,Расчет2!AT256))</f>
        <v>0</v>
      </c>
      <c r="O256" s="10">
        <f>IF($F256=0,0,IF(Исходн.данные.!$AP256="Посл.посева",0,IF(Расчет2!AU256&lt;10,10,Расчет2!AU256)))</f>
        <v>0</v>
      </c>
      <c r="P256" s="10">
        <f>IF($F256=0,0,IF(Исходн.данные.!$AP256="Посл.посева",0,Расчет2!AV256))</f>
        <v>0</v>
      </c>
      <c r="Q256" s="10">
        <f>IF($F256=0,0,Расчет2!AW256)</f>
        <v>0</v>
      </c>
      <c r="R256" s="10">
        <f>IF($F256=0,0,Расчет2!AX256)</f>
        <v>0</v>
      </c>
      <c r="S256" s="9">
        <f>IF($F256=0,0,Расчет2!AY256)</f>
        <v>0</v>
      </c>
      <c r="T256" s="10">
        <f>IF($F256=0,0,Расчет2!AZ256)</f>
        <v>0</v>
      </c>
      <c r="U256" s="10">
        <f>IF($F256=0,0,Расчет2!BA256)</f>
        <v>0</v>
      </c>
      <c r="V256" s="10">
        <f>IF($F256=0,0,Расчет2!BB256)</f>
        <v>0</v>
      </c>
      <c r="W256" s="10">
        <f>Расчет!DL256</f>
        <v>0</v>
      </c>
      <c r="X256" s="10">
        <f>Расчет!DN256</f>
        <v>0</v>
      </c>
      <c r="Y256" s="9">
        <f>X256*Исходн.данные.!$AJ256/1000</f>
        <v>0</v>
      </c>
      <c r="Z256" s="10" t="str">
        <f>Расчет!DO256</f>
        <v>Хлор.калий</v>
      </c>
      <c r="AA256" s="10">
        <f>Расчет!DQ256</f>
        <v>0</v>
      </c>
      <c r="AB256" s="12">
        <f>AA256*Исходн.данные.!$AJ256/1000</f>
        <v>0</v>
      </c>
      <c r="AC256" s="9">
        <f>IF($F256=0,0,Расчет2!BC256)</f>
        <v>0</v>
      </c>
      <c r="AD256" s="10">
        <f>IF($F256=0,0,Расчет2!BD256)</f>
        <v>0</v>
      </c>
      <c r="AE256" s="9">
        <f>IF($F256=0,0,Расчет2!BE256)</f>
        <v>0</v>
      </c>
      <c r="AF256" s="9">
        <f>IF($F256=0,0,Расчет2!BF256)</f>
        <v>0</v>
      </c>
      <c r="AG256" s="9">
        <f>IF($F256=0,0,Расчет2!BG256)</f>
        <v>0</v>
      </c>
      <c r="AI256" s="11" t="e">
        <f>Расчет!FY256</f>
        <v>#N/A</v>
      </c>
      <c r="AJ256" s="11" t="e">
        <f>Расчет!FZ256</f>
        <v>#N/A</v>
      </c>
      <c r="AK256" s="11" t="e">
        <f>Расчет!GA256</f>
        <v>#N/A</v>
      </c>
      <c r="AL256" s="11" t="e">
        <f>Расчет!GB256</f>
        <v>#N/A</v>
      </c>
      <c r="AM256" s="11" t="e">
        <f>Расчет!GC256</f>
        <v>#N/A</v>
      </c>
      <c r="AN256" s="11" t="e">
        <f>Расчет!GD256</f>
        <v>#N/A</v>
      </c>
      <c r="AO256" s="11" t="e">
        <f>Расчет!GE256</f>
        <v>#N/A</v>
      </c>
      <c r="AP256" s="11" t="e">
        <f>Расчет!GF256</f>
        <v>#N/A</v>
      </c>
      <c r="AQ256" s="11" t="e">
        <f>Расчет!GG256</f>
        <v>#N/A</v>
      </c>
      <c r="AR256" s="11" t="e">
        <f>Расчет!GH256</f>
        <v>#N/A</v>
      </c>
      <c r="AS256" s="11" t="e">
        <f>Расчет!GI256</f>
        <v>#N/A</v>
      </c>
      <c r="AT256" s="11" t="e">
        <f>Расчет!GJ256</f>
        <v>#N/A</v>
      </c>
      <c r="AU256" s="198" t="e">
        <f t="shared" si="27"/>
        <v>#N/A</v>
      </c>
      <c r="AV256" s="198" t="e">
        <f t="shared" si="28"/>
        <v>#N/A</v>
      </c>
      <c r="AW256" s="198" t="e">
        <f t="shared" si="29"/>
        <v>#N/A</v>
      </c>
      <c r="AX256" s="11" t="e">
        <f t="shared" si="30"/>
        <v>#N/A</v>
      </c>
      <c r="AY256" s="11" t="e">
        <f t="shared" si="31"/>
        <v>#N/A</v>
      </c>
      <c r="AZ256" s="11" t="e">
        <f t="shared" si="32"/>
        <v>#N/A</v>
      </c>
    </row>
    <row r="257" spans="1:52" x14ac:dyDescent="0.2">
      <c r="A257" s="6">
        <f>Исходн.данные.!A257</f>
        <v>0</v>
      </c>
      <c r="B257" s="6">
        <f>Исходн.данные.!B257</f>
        <v>0</v>
      </c>
      <c r="C257" s="6">
        <f>Исходн.данные.!C257</f>
        <v>0</v>
      </c>
      <c r="D257" s="6">
        <f>Исходн.данные.!D257</f>
        <v>0</v>
      </c>
      <c r="E257" s="6">
        <f>Исходн.данные.!E257</f>
        <v>0</v>
      </c>
      <c r="F257" s="6">
        <f>Исходн.данные.!AH257</f>
        <v>0</v>
      </c>
      <c r="G257" s="6">
        <f>Исходн.данные.!AJ257</f>
        <v>0</v>
      </c>
      <c r="H257" s="6">
        <f>Исходн.данные.!AK257</f>
        <v>0</v>
      </c>
      <c r="I257" s="9">
        <f>IF($F257=0,0,Расчет2!AO257)</f>
        <v>0</v>
      </c>
      <c r="J257" s="9">
        <f>IF(F257=0,0,Расчет2!AP257)</f>
        <v>0</v>
      </c>
      <c r="K257" s="10">
        <f>IF($F257=0,0,Расчет2!AQ257)</f>
        <v>0</v>
      </c>
      <c r="L257" s="10">
        <f>IF($F257=0,0,Расчет2!AR257)</f>
        <v>0</v>
      </c>
      <c r="M257" s="10">
        <f>IF($F257=0,0,Расчет2!AS257)</f>
        <v>0</v>
      </c>
      <c r="N257" s="10">
        <f>IF($F257=0,0,IF(Исходн.данные.!$AP257="Посл.посева",0,Расчет2!AT257))</f>
        <v>0</v>
      </c>
      <c r="O257" s="10">
        <f>IF($F257=0,0,IF(Исходн.данные.!$AP257="Посл.посева",0,IF(Расчет2!AU257&lt;10,10,Расчет2!AU257)))</f>
        <v>0</v>
      </c>
      <c r="P257" s="10">
        <f>IF($F257=0,0,IF(Исходн.данные.!$AP257="Посл.посева",0,Расчет2!AV257))</f>
        <v>0</v>
      </c>
      <c r="Q257" s="10">
        <f>IF($F257=0,0,Расчет2!AW257)</f>
        <v>0</v>
      </c>
      <c r="R257" s="10">
        <f>IF($F257=0,0,Расчет2!AX257)</f>
        <v>0</v>
      </c>
      <c r="S257" s="9">
        <f>IF($F257=0,0,Расчет2!AY257)</f>
        <v>0</v>
      </c>
      <c r="T257" s="10">
        <f>IF($F257=0,0,Расчет2!AZ257)</f>
        <v>0</v>
      </c>
      <c r="U257" s="10">
        <f>IF($F257=0,0,Расчет2!BA257)</f>
        <v>0</v>
      </c>
      <c r="V257" s="10">
        <f>IF($F257=0,0,Расчет2!BB257)</f>
        <v>0</v>
      </c>
      <c r="W257" s="10">
        <f>Расчет!DL257</f>
        <v>0</v>
      </c>
      <c r="X257" s="10">
        <f>Расчет!DN257</f>
        <v>0</v>
      </c>
      <c r="Y257" s="9">
        <f>X257*Исходн.данные.!$AJ257/1000</f>
        <v>0</v>
      </c>
      <c r="Z257" s="10" t="str">
        <f>Расчет!DO257</f>
        <v>Хлор.калий</v>
      </c>
      <c r="AA257" s="10">
        <f>Расчет!DQ257</f>
        <v>0</v>
      </c>
      <c r="AB257" s="12">
        <f>AA257*Исходн.данные.!$AJ257/1000</f>
        <v>0</v>
      </c>
      <c r="AC257" s="9">
        <f>IF($F257=0,0,Расчет2!BC257)</f>
        <v>0</v>
      </c>
      <c r="AD257" s="10">
        <f>IF($F257=0,0,Расчет2!BD257)</f>
        <v>0</v>
      </c>
      <c r="AE257" s="9">
        <f>IF($F257=0,0,Расчет2!BE257)</f>
        <v>0</v>
      </c>
      <c r="AF257" s="9">
        <f>IF($F257=0,0,Расчет2!BF257)</f>
        <v>0</v>
      </c>
      <c r="AG257" s="9">
        <f>IF($F257=0,0,Расчет2!BG257)</f>
        <v>0</v>
      </c>
      <c r="AI257" s="11" t="e">
        <f>Расчет!FY257</f>
        <v>#N/A</v>
      </c>
      <c r="AJ257" s="11" t="e">
        <f>Расчет!FZ257</f>
        <v>#N/A</v>
      </c>
      <c r="AK257" s="11" t="e">
        <f>Расчет!GA257</f>
        <v>#N/A</v>
      </c>
      <c r="AL257" s="11" t="e">
        <f>Расчет!GB257</f>
        <v>#N/A</v>
      </c>
      <c r="AM257" s="11" t="e">
        <f>Расчет!GC257</f>
        <v>#N/A</v>
      </c>
      <c r="AN257" s="11" t="e">
        <f>Расчет!GD257</f>
        <v>#N/A</v>
      </c>
      <c r="AO257" s="11" t="e">
        <f>Расчет!GE257</f>
        <v>#N/A</v>
      </c>
      <c r="AP257" s="11" t="e">
        <f>Расчет!GF257</f>
        <v>#N/A</v>
      </c>
      <c r="AQ257" s="11" t="e">
        <f>Расчет!GG257</f>
        <v>#N/A</v>
      </c>
      <c r="AR257" s="11" t="e">
        <f>Расчет!GH257</f>
        <v>#N/A</v>
      </c>
      <c r="AS257" s="11" t="e">
        <f>Расчет!GI257</f>
        <v>#N/A</v>
      </c>
      <c r="AT257" s="11" t="e">
        <f>Расчет!GJ257</f>
        <v>#N/A</v>
      </c>
      <c r="AU257" s="198" t="e">
        <f t="shared" si="27"/>
        <v>#N/A</v>
      </c>
      <c r="AV257" s="198" t="e">
        <f t="shared" si="28"/>
        <v>#N/A</v>
      </c>
      <c r="AW257" s="198" t="e">
        <f t="shared" si="29"/>
        <v>#N/A</v>
      </c>
      <c r="AX257" s="11" t="e">
        <f t="shared" si="30"/>
        <v>#N/A</v>
      </c>
      <c r="AY257" s="11" t="e">
        <f t="shared" si="31"/>
        <v>#N/A</v>
      </c>
      <c r="AZ257" s="11" t="e">
        <f t="shared" si="32"/>
        <v>#N/A</v>
      </c>
    </row>
    <row r="258" spans="1:52" x14ac:dyDescent="0.2">
      <c r="A258" s="6">
        <f>Исходн.данные.!A258</f>
        <v>0</v>
      </c>
      <c r="B258" s="6">
        <f>Исходн.данные.!B258</f>
        <v>0</v>
      </c>
      <c r="C258" s="6">
        <f>Исходн.данные.!C258</f>
        <v>0</v>
      </c>
      <c r="D258" s="6">
        <f>Исходн.данные.!D258</f>
        <v>0</v>
      </c>
      <c r="E258" s="6">
        <f>Исходн.данные.!E258</f>
        <v>0</v>
      </c>
      <c r="F258" s="6">
        <f>Исходн.данные.!AH258</f>
        <v>0</v>
      </c>
      <c r="G258" s="6">
        <f>Исходн.данные.!AJ258</f>
        <v>0</v>
      </c>
      <c r="H258" s="6">
        <f>Исходн.данные.!AK258</f>
        <v>0</v>
      </c>
      <c r="I258" s="9">
        <f>IF($F258=0,0,Расчет2!AO258)</f>
        <v>0</v>
      </c>
      <c r="J258" s="9">
        <f>IF(F258=0,0,Расчет2!AP258)</f>
        <v>0</v>
      </c>
      <c r="K258" s="10">
        <f>IF($F258=0,0,Расчет2!AQ258)</f>
        <v>0</v>
      </c>
      <c r="L258" s="10">
        <f>IF($F258=0,0,Расчет2!AR258)</f>
        <v>0</v>
      </c>
      <c r="M258" s="10">
        <f>IF($F258=0,0,Расчет2!AS258)</f>
        <v>0</v>
      </c>
      <c r="N258" s="10">
        <f>IF($F258=0,0,IF(Исходн.данные.!$AP258="Посл.посева",0,Расчет2!AT258))</f>
        <v>0</v>
      </c>
      <c r="O258" s="10">
        <f>IF($F258=0,0,IF(Исходн.данные.!$AP258="Посл.посева",0,IF(Расчет2!AU258&lt;10,10,Расчет2!AU258)))</f>
        <v>0</v>
      </c>
      <c r="P258" s="10">
        <f>IF($F258=0,0,IF(Исходн.данные.!$AP258="Посл.посева",0,Расчет2!AV258))</f>
        <v>0</v>
      </c>
      <c r="Q258" s="10">
        <f>IF($F258=0,0,Расчет2!AW258)</f>
        <v>0</v>
      </c>
      <c r="R258" s="10">
        <f>IF($F258=0,0,Расчет2!AX258)</f>
        <v>0</v>
      </c>
      <c r="S258" s="9">
        <f>IF($F258=0,0,Расчет2!AY258)</f>
        <v>0</v>
      </c>
      <c r="T258" s="10">
        <f>IF($F258=0,0,Расчет2!AZ258)</f>
        <v>0</v>
      </c>
      <c r="U258" s="10">
        <f>IF($F258=0,0,Расчет2!BA258)</f>
        <v>0</v>
      </c>
      <c r="V258" s="10">
        <f>IF($F258=0,0,Расчет2!BB258)</f>
        <v>0</v>
      </c>
      <c r="W258" s="10">
        <f>Расчет!DL258</f>
        <v>0</v>
      </c>
      <c r="X258" s="10">
        <f>Расчет!DN258</f>
        <v>0</v>
      </c>
      <c r="Y258" s="9">
        <f>X258*Исходн.данные.!$AJ258/1000</f>
        <v>0</v>
      </c>
      <c r="Z258" s="10" t="str">
        <f>Расчет!DO258</f>
        <v>Хлор.калий</v>
      </c>
      <c r="AA258" s="10">
        <f>Расчет!DQ258</f>
        <v>0</v>
      </c>
      <c r="AB258" s="12">
        <f>AA258*Исходн.данные.!$AJ258/1000</f>
        <v>0</v>
      </c>
      <c r="AC258" s="9">
        <f>IF($F258=0,0,Расчет2!BC258)</f>
        <v>0</v>
      </c>
      <c r="AD258" s="10">
        <f>IF($F258=0,0,Расчет2!BD258)</f>
        <v>0</v>
      </c>
      <c r="AE258" s="9">
        <f>IF($F258=0,0,Расчет2!BE258)</f>
        <v>0</v>
      </c>
      <c r="AF258" s="9">
        <f>IF($F258=0,0,Расчет2!BF258)</f>
        <v>0</v>
      </c>
      <c r="AG258" s="9">
        <f>IF($F258=0,0,Расчет2!BG258)</f>
        <v>0</v>
      </c>
      <c r="AI258" s="11" t="e">
        <f>Расчет!FY258</f>
        <v>#N/A</v>
      </c>
      <c r="AJ258" s="11" t="e">
        <f>Расчет!FZ258</f>
        <v>#N/A</v>
      </c>
      <c r="AK258" s="11" t="e">
        <f>Расчет!GA258</f>
        <v>#N/A</v>
      </c>
      <c r="AL258" s="11" t="e">
        <f>Расчет!GB258</f>
        <v>#N/A</v>
      </c>
      <c r="AM258" s="11" t="e">
        <f>Расчет!GC258</f>
        <v>#N/A</v>
      </c>
      <c r="AN258" s="11" t="e">
        <f>Расчет!GD258</f>
        <v>#N/A</v>
      </c>
      <c r="AO258" s="11" t="e">
        <f>Расчет!GE258</f>
        <v>#N/A</v>
      </c>
      <c r="AP258" s="11" t="e">
        <f>Расчет!GF258</f>
        <v>#N/A</v>
      </c>
      <c r="AQ258" s="11" t="e">
        <f>Расчет!GG258</f>
        <v>#N/A</v>
      </c>
      <c r="AR258" s="11" t="e">
        <f>Расчет!GH258</f>
        <v>#N/A</v>
      </c>
      <c r="AS258" s="11" t="e">
        <f>Расчет!GI258</f>
        <v>#N/A</v>
      </c>
      <c r="AT258" s="11" t="e">
        <f>Расчет!GJ258</f>
        <v>#N/A</v>
      </c>
      <c r="AU258" s="198" t="e">
        <f t="shared" si="27"/>
        <v>#N/A</v>
      </c>
      <c r="AV258" s="198" t="e">
        <f t="shared" si="28"/>
        <v>#N/A</v>
      </c>
      <c r="AW258" s="198" t="e">
        <f t="shared" si="29"/>
        <v>#N/A</v>
      </c>
      <c r="AX258" s="11" t="e">
        <f t="shared" si="30"/>
        <v>#N/A</v>
      </c>
      <c r="AY258" s="11" t="e">
        <f t="shared" si="31"/>
        <v>#N/A</v>
      </c>
      <c r="AZ258" s="11" t="e">
        <f t="shared" si="32"/>
        <v>#N/A</v>
      </c>
    </row>
    <row r="259" spans="1:52" x14ac:dyDescent="0.2">
      <c r="A259" s="6">
        <f>Исходн.данные.!A259</f>
        <v>0</v>
      </c>
      <c r="B259" s="6">
        <f>Исходн.данные.!B259</f>
        <v>0</v>
      </c>
      <c r="C259" s="6">
        <f>Исходн.данные.!C259</f>
        <v>0</v>
      </c>
      <c r="D259" s="6">
        <f>Исходн.данные.!D259</f>
        <v>0</v>
      </c>
      <c r="E259" s="6">
        <f>Исходн.данные.!E259</f>
        <v>0</v>
      </c>
      <c r="F259" s="6">
        <f>Исходн.данные.!AH259</f>
        <v>0</v>
      </c>
      <c r="G259" s="6">
        <f>Исходн.данные.!AJ259</f>
        <v>0</v>
      </c>
      <c r="H259" s="6">
        <f>Исходн.данные.!AK259</f>
        <v>0</v>
      </c>
      <c r="I259" s="9">
        <f>IF($F259=0,0,Расчет2!AO259)</f>
        <v>0</v>
      </c>
      <c r="J259" s="9">
        <f>IF(F259=0,0,Расчет2!AP259)</f>
        <v>0</v>
      </c>
      <c r="K259" s="10">
        <f>IF($F259=0,0,Расчет2!AQ259)</f>
        <v>0</v>
      </c>
      <c r="L259" s="10">
        <f>IF($F259=0,0,Расчет2!AR259)</f>
        <v>0</v>
      </c>
      <c r="M259" s="10">
        <f>IF($F259=0,0,Расчет2!AS259)</f>
        <v>0</v>
      </c>
      <c r="N259" s="10">
        <f>IF($F259=0,0,IF(Исходн.данные.!$AP259="Посл.посева",0,Расчет2!AT259))</f>
        <v>0</v>
      </c>
      <c r="O259" s="10">
        <f>IF($F259=0,0,IF(Исходн.данные.!$AP259="Посл.посева",0,IF(Расчет2!AU259&lt;10,10,Расчет2!AU259)))</f>
        <v>0</v>
      </c>
      <c r="P259" s="10">
        <f>IF($F259=0,0,IF(Исходн.данные.!$AP259="Посл.посева",0,Расчет2!AV259))</f>
        <v>0</v>
      </c>
      <c r="Q259" s="10">
        <f>IF($F259=0,0,Расчет2!AW259)</f>
        <v>0</v>
      </c>
      <c r="R259" s="10">
        <f>IF($F259=0,0,Расчет2!AX259)</f>
        <v>0</v>
      </c>
      <c r="S259" s="9">
        <f>IF($F259=0,0,Расчет2!AY259)</f>
        <v>0</v>
      </c>
      <c r="T259" s="10">
        <f>IF($F259=0,0,Расчет2!AZ259)</f>
        <v>0</v>
      </c>
      <c r="U259" s="10">
        <f>IF($F259=0,0,Расчет2!BA259)</f>
        <v>0</v>
      </c>
      <c r="V259" s="10">
        <f>IF($F259=0,0,Расчет2!BB259)</f>
        <v>0</v>
      </c>
      <c r="W259" s="10">
        <f>Расчет!DL259</f>
        <v>0</v>
      </c>
      <c r="X259" s="10">
        <f>Расчет!DN259</f>
        <v>0</v>
      </c>
      <c r="Y259" s="9">
        <f>X259*Исходн.данные.!$AJ259/1000</f>
        <v>0</v>
      </c>
      <c r="Z259" s="10" t="str">
        <f>Расчет!DO259</f>
        <v>Хлор.калий</v>
      </c>
      <c r="AA259" s="10">
        <f>Расчет!DQ259</f>
        <v>0</v>
      </c>
      <c r="AB259" s="12">
        <f>AA259*Исходн.данные.!$AJ259/1000</f>
        <v>0</v>
      </c>
      <c r="AC259" s="9">
        <f>IF($F259=0,0,Расчет2!BC259)</f>
        <v>0</v>
      </c>
      <c r="AD259" s="10">
        <f>IF($F259=0,0,Расчет2!BD259)</f>
        <v>0</v>
      </c>
      <c r="AE259" s="9">
        <f>IF($F259=0,0,Расчет2!BE259)</f>
        <v>0</v>
      </c>
      <c r="AF259" s="9">
        <f>IF($F259=0,0,Расчет2!BF259)</f>
        <v>0</v>
      </c>
      <c r="AG259" s="9">
        <f>IF($F259=0,0,Расчет2!BG259)</f>
        <v>0</v>
      </c>
      <c r="AI259" s="11" t="e">
        <f>Расчет!FY259</f>
        <v>#N/A</v>
      </c>
      <c r="AJ259" s="11" t="e">
        <f>Расчет!FZ259</f>
        <v>#N/A</v>
      </c>
      <c r="AK259" s="11" t="e">
        <f>Расчет!GA259</f>
        <v>#N/A</v>
      </c>
      <c r="AL259" s="11" t="e">
        <f>Расчет!GB259</f>
        <v>#N/A</v>
      </c>
      <c r="AM259" s="11" t="e">
        <f>Расчет!GC259</f>
        <v>#N/A</v>
      </c>
      <c r="AN259" s="11" t="e">
        <f>Расчет!GD259</f>
        <v>#N/A</v>
      </c>
      <c r="AO259" s="11" t="e">
        <f>Расчет!GE259</f>
        <v>#N/A</v>
      </c>
      <c r="AP259" s="11" t="e">
        <f>Расчет!GF259</f>
        <v>#N/A</v>
      </c>
      <c r="AQ259" s="11" t="e">
        <f>Расчет!GG259</f>
        <v>#N/A</v>
      </c>
      <c r="AR259" s="11" t="e">
        <f>Расчет!GH259</f>
        <v>#N/A</v>
      </c>
      <c r="AS259" s="11" t="e">
        <f>Расчет!GI259</f>
        <v>#N/A</v>
      </c>
      <c r="AT259" s="11" t="e">
        <f>Расчет!GJ259</f>
        <v>#N/A</v>
      </c>
      <c r="AU259" s="198" t="e">
        <f t="shared" si="27"/>
        <v>#N/A</v>
      </c>
      <c r="AV259" s="198" t="e">
        <f t="shared" si="28"/>
        <v>#N/A</v>
      </c>
      <c r="AW259" s="198" t="e">
        <f t="shared" si="29"/>
        <v>#N/A</v>
      </c>
      <c r="AX259" s="11" t="e">
        <f t="shared" si="30"/>
        <v>#N/A</v>
      </c>
      <c r="AY259" s="11" t="e">
        <f t="shared" si="31"/>
        <v>#N/A</v>
      </c>
      <c r="AZ259" s="11" t="e">
        <f t="shared" si="32"/>
        <v>#N/A</v>
      </c>
    </row>
    <row r="260" spans="1:52" x14ac:dyDescent="0.2">
      <c r="A260" s="6">
        <f>Исходн.данные.!A260</f>
        <v>0</v>
      </c>
      <c r="B260" s="6">
        <f>Исходн.данные.!B260</f>
        <v>0</v>
      </c>
      <c r="C260" s="6">
        <f>Исходн.данные.!C260</f>
        <v>0</v>
      </c>
      <c r="D260" s="6">
        <f>Исходн.данные.!D260</f>
        <v>0</v>
      </c>
      <c r="E260" s="6">
        <f>Исходн.данные.!E260</f>
        <v>0</v>
      </c>
      <c r="F260" s="6">
        <f>Исходн.данные.!AH260</f>
        <v>0</v>
      </c>
      <c r="G260" s="6">
        <f>Исходн.данные.!AJ260</f>
        <v>0</v>
      </c>
      <c r="H260" s="6">
        <f>Исходн.данные.!AK260</f>
        <v>0</v>
      </c>
      <c r="I260" s="9">
        <f>IF($F260=0,0,Расчет2!AO260)</f>
        <v>0</v>
      </c>
      <c r="J260" s="9">
        <f>IF(F260=0,0,Расчет2!AP260)</f>
        <v>0</v>
      </c>
      <c r="K260" s="10">
        <f>IF($F260=0,0,Расчет2!AQ260)</f>
        <v>0</v>
      </c>
      <c r="L260" s="10">
        <f>IF($F260=0,0,Расчет2!AR260)</f>
        <v>0</v>
      </c>
      <c r="M260" s="10">
        <f>IF($F260=0,0,Расчет2!AS260)</f>
        <v>0</v>
      </c>
      <c r="N260" s="10">
        <f>IF($F260=0,0,IF(Исходн.данные.!$AP260="Посл.посева",0,Расчет2!AT260))</f>
        <v>0</v>
      </c>
      <c r="O260" s="10">
        <f>IF($F260=0,0,IF(Исходн.данные.!$AP260="Посл.посева",0,IF(Расчет2!AU260&lt;10,10,Расчет2!AU260)))</f>
        <v>0</v>
      </c>
      <c r="P260" s="10">
        <f>IF($F260=0,0,IF(Исходн.данные.!$AP260="Посл.посева",0,Расчет2!AV260))</f>
        <v>0</v>
      </c>
      <c r="Q260" s="10">
        <f>IF($F260=0,0,Расчет2!AW260)</f>
        <v>0</v>
      </c>
      <c r="R260" s="10">
        <f>IF($F260=0,0,Расчет2!AX260)</f>
        <v>0</v>
      </c>
      <c r="S260" s="9">
        <f>IF($F260=0,0,Расчет2!AY260)</f>
        <v>0</v>
      </c>
      <c r="T260" s="10">
        <f>IF($F260=0,0,Расчет2!AZ260)</f>
        <v>0</v>
      </c>
      <c r="U260" s="10">
        <f>IF($F260=0,0,Расчет2!BA260)</f>
        <v>0</v>
      </c>
      <c r="V260" s="10">
        <f>IF($F260=0,0,Расчет2!BB260)</f>
        <v>0</v>
      </c>
      <c r="W260" s="10">
        <f>Расчет!DL260</f>
        <v>0</v>
      </c>
      <c r="X260" s="10">
        <f>Расчет!DN260</f>
        <v>0</v>
      </c>
      <c r="Y260" s="9">
        <f>X260*Исходн.данные.!$AJ260/1000</f>
        <v>0</v>
      </c>
      <c r="Z260" s="10" t="str">
        <f>Расчет!DO260</f>
        <v>Хлор.калий</v>
      </c>
      <c r="AA260" s="10">
        <f>Расчет!DQ260</f>
        <v>0</v>
      </c>
      <c r="AB260" s="12">
        <f>AA260*Исходн.данные.!$AJ260/1000</f>
        <v>0</v>
      </c>
      <c r="AC260" s="9">
        <f>IF($F260=0,0,Расчет2!BC260)</f>
        <v>0</v>
      </c>
      <c r="AD260" s="10">
        <f>IF($F260=0,0,Расчет2!BD260)</f>
        <v>0</v>
      </c>
      <c r="AE260" s="9">
        <f>IF($F260=0,0,Расчет2!BE260)</f>
        <v>0</v>
      </c>
      <c r="AF260" s="9">
        <f>IF($F260=0,0,Расчет2!BF260)</f>
        <v>0</v>
      </c>
      <c r="AG260" s="9">
        <f>IF($F260=0,0,Расчет2!BG260)</f>
        <v>0</v>
      </c>
      <c r="AI260" s="11" t="e">
        <f>Расчет!FY260</f>
        <v>#N/A</v>
      </c>
      <c r="AJ260" s="11" t="e">
        <f>Расчет!FZ260</f>
        <v>#N/A</v>
      </c>
      <c r="AK260" s="11" t="e">
        <f>Расчет!GA260</f>
        <v>#N/A</v>
      </c>
      <c r="AL260" s="11" t="e">
        <f>Расчет!GB260</f>
        <v>#N/A</v>
      </c>
      <c r="AM260" s="11" t="e">
        <f>Расчет!GC260</f>
        <v>#N/A</v>
      </c>
      <c r="AN260" s="11" t="e">
        <f>Расчет!GD260</f>
        <v>#N/A</v>
      </c>
      <c r="AO260" s="11" t="e">
        <f>Расчет!GE260</f>
        <v>#N/A</v>
      </c>
      <c r="AP260" s="11" t="e">
        <f>Расчет!GF260</f>
        <v>#N/A</v>
      </c>
      <c r="AQ260" s="11" t="e">
        <f>Расчет!GG260</f>
        <v>#N/A</v>
      </c>
      <c r="AR260" s="11" t="e">
        <f>Расчет!GH260</f>
        <v>#N/A</v>
      </c>
      <c r="AS260" s="11" t="e">
        <f>Расчет!GI260</f>
        <v>#N/A</v>
      </c>
      <c r="AT260" s="11" t="e">
        <f>Расчет!GJ260</f>
        <v>#N/A</v>
      </c>
      <c r="AU260" s="198" t="e">
        <f t="shared" si="27"/>
        <v>#N/A</v>
      </c>
      <c r="AV260" s="198" t="e">
        <f t="shared" si="28"/>
        <v>#N/A</v>
      </c>
      <c r="AW260" s="198" t="e">
        <f t="shared" si="29"/>
        <v>#N/A</v>
      </c>
      <c r="AX260" s="11" t="e">
        <f t="shared" si="30"/>
        <v>#N/A</v>
      </c>
      <c r="AY260" s="11" t="e">
        <f t="shared" si="31"/>
        <v>#N/A</v>
      </c>
      <c r="AZ260" s="11" t="e">
        <f t="shared" si="32"/>
        <v>#N/A</v>
      </c>
    </row>
    <row r="261" spans="1:52" x14ac:dyDescent="0.2">
      <c r="A261" s="6">
        <f>Исходн.данные.!A261</f>
        <v>0</v>
      </c>
      <c r="B261" s="6">
        <f>Исходн.данные.!B261</f>
        <v>0</v>
      </c>
      <c r="C261" s="6">
        <f>Исходн.данные.!C261</f>
        <v>0</v>
      </c>
      <c r="D261" s="6">
        <f>Исходн.данные.!D261</f>
        <v>0</v>
      </c>
      <c r="E261" s="6">
        <f>Исходн.данные.!E261</f>
        <v>0</v>
      </c>
      <c r="F261" s="6">
        <f>Исходн.данные.!AH261</f>
        <v>0</v>
      </c>
      <c r="G261" s="6">
        <f>Исходн.данные.!AJ261</f>
        <v>0</v>
      </c>
      <c r="H261" s="6">
        <f>Исходн.данные.!AK261</f>
        <v>0</v>
      </c>
      <c r="I261" s="9">
        <f>IF($F261=0,0,Расчет2!AO261)</f>
        <v>0</v>
      </c>
      <c r="J261" s="9">
        <f>IF(F261=0,0,Расчет2!AP261)</f>
        <v>0</v>
      </c>
      <c r="K261" s="10">
        <f>IF($F261=0,0,Расчет2!AQ261)</f>
        <v>0</v>
      </c>
      <c r="L261" s="10">
        <f>IF($F261=0,0,Расчет2!AR261)</f>
        <v>0</v>
      </c>
      <c r="M261" s="10">
        <f>IF($F261=0,0,Расчет2!AS261)</f>
        <v>0</v>
      </c>
      <c r="N261" s="10">
        <f>IF($F261=0,0,IF(Исходн.данные.!$AP261="Посл.посева",0,Расчет2!AT261))</f>
        <v>0</v>
      </c>
      <c r="O261" s="10">
        <f>IF($F261=0,0,IF(Исходн.данные.!$AP261="Посл.посева",0,IF(Расчет2!AU261&lt;10,10,Расчет2!AU261)))</f>
        <v>0</v>
      </c>
      <c r="P261" s="10">
        <f>IF($F261=0,0,IF(Исходн.данные.!$AP261="Посл.посева",0,Расчет2!AV261))</f>
        <v>0</v>
      </c>
      <c r="Q261" s="10">
        <f>IF($F261=0,0,Расчет2!AW261)</f>
        <v>0</v>
      </c>
      <c r="R261" s="10">
        <f>IF($F261=0,0,Расчет2!AX261)</f>
        <v>0</v>
      </c>
      <c r="S261" s="9">
        <f>IF($F261=0,0,Расчет2!AY261)</f>
        <v>0</v>
      </c>
      <c r="T261" s="10">
        <f>IF($F261=0,0,Расчет2!AZ261)</f>
        <v>0</v>
      </c>
      <c r="U261" s="10">
        <f>IF($F261=0,0,Расчет2!BA261)</f>
        <v>0</v>
      </c>
      <c r="V261" s="10">
        <f>IF($F261=0,0,Расчет2!BB261)</f>
        <v>0</v>
      </c>
      <c r="W261" s="10">
        <f>Расчет!DL261</f>
        <v>0</v>
      </c>
      <c r="X261" s="10">
        <f>Расчет!DN261</f>
        <v>0</v>
      </c>
      <c r="Y261" s="9">
        <f>X261*Исходн.данные.!$AJ261/1000</f>
        <v>0</v>
      </c>
      <c r="Z261" s="10" t="str">
        <f>Расчет!DO261</f>
        <v>Хлор.калий</v>
      </c>
      <c r="AA261" s="10">
        <f>Расчет!DQ261</f>
        <v>0</v>
      </c>
      <c r="AB261" s="12">
        <f>AA261*Исходн.данные.!$AJ261/1000</f>
        <v>0</v>
      </c>
      <c r="AC261" s="9">
        <f>IF($F261=0,0,Расчет2!BC261)</f>
        <v>0</v>
      </c>
      <c r="AD261" s="10">
        <f>IF($F261=0,0,Расчет2!BD261)</f>
        <v>0</v>
      </c>
      <c r="AE261" s="9">
        <f>IF($F261=0,0,Расчет2!BE261)</f>
        <v>0</v>
      </c>
      <c r="AF261" s="9">
        <f>IF($F261=0,0,Расчет2!BF261)</f>
        <v>0</v>
      </c>
      <c r="AG261" s="9">
        <f>IF($F261=0,0,Расчет2!BG261)</f>
        <v>0</v>
      </c>
      <c r="AI261" s="11" t="e">
        <f>Расчет!FY261</f>
        <v>#N/A</v>
      </c>
      <c r="AJ261" s="11" t="e">
        <f>Расчет!FZ261</f>
        <v>#N/A</v>
      </c>
      <c r="AK261" s="11" t="e">
        <f>Расчет!GA261</f>
        <v>#N/A</v>
      </c>
      <c r="AL261" s="11" t="e">
        <f>Расчет!GB261</f>
        <v>#N/A</v>
      </c>
      <c r="AM261" s="11" t="e">
        <f>Расчет!GC261</f>
        <v>#N/A</v>
      </c>
      <c r="AN261" s="11" t="e">
        <f>Расчет!GD261</f>
        <v>#N/A</v>
      </c>
      <c r="AO261" s="11" t="e">
        <f>Расчет!GE261</f>
        <v>#N/A</v>
      </c>
      <c r="AP261" s="11" t="e">
        <f>Расчет!GF261</f>
        <v>#N/A</v>
      </c>
      <c r="AQ261" s="11" t="e">
        <f>Расчет!GG261</f>
        <v>#N/A</v>
      </c>
      <c r="AR261" s="11" t="e">
        <f>Расчет!GH261</f>
        <v>#N/A</v>
      </c>
      <c r="AS261" s="11" t="e">
        <f>Расчет!GI261</f>
        <v>#N/A</v>
      </c>
      <c r="AT261" s="11" t="e">
        <f>Расчет!GJ261</f>
        <v>#N/A</v>
      </c>
      <c r="AU261" s="198" t="e">
        <f t="shared" si="27"/>
        <v>#N/A</v>
      </c>
      <c r="AV261" s="198" t="e">
        <f t="shared" si="28"/>
        <v>#N/A</v>
      </c>
      <c r="AW261" s="198" t="e">
        <f t="shared" si="29"/>
        <v>#N/A</v>
      </c>
      <c r="AX261" s="11" t="e">
        <f t="shared" si="30"/>
        <v>#N/A</v>
      </c>
      <c r="AY261" s="11" t="e">
        <f t="shared" si="31"/>
        <v>#N/A</v>
      </c>
      <c r="AZ261" s="11" t="e">
        <f t="shared" si="32"/>
        <v>#N/A</v>
      </c>
    </row>
    <row r="262" spans="1:52" x14ac:dyDescent="0.2">
      <c r="A262" s="6">
        <f>Исходн.данные.!A262</f>
        <v>0</v>
      </c>
      <c r="B262" s="6">
        <f>Исходн.данные.!B262</f>
        <v>0</v>
      </c>
      <c r="C262" s="6">
        <f>Исходн.данные.!C262</f>
        <v>0</v>
      </c>
      <c r="D262" s="6">
        <f>Исходн.данные.!D262</f>
        <v>0</v>
      </c>
      <c r="E262" s="6">
        <f>Исходн.данные.!E262</f>
        <v>0</v>
      </c>
      <c r="F262" s="6">
        <f>Исходн.данные.!AH262</f>
        <v>0</v>
      </c>
      <c r="G262" s="6">
        <f>Исходн.данные.!AJ262</f>
        <v>0</v>
      </c>
      <c r="H262" s="6">
        <f>Исходн.данные.!AK262</f>
        <v>0</v>
      </c>
      <c r="I262" s="9">
        <f>IF($F262=0,0,Расчет2!AO262)</f>
        <v>0</v>
      </c>
      <c r="J262" s="9">
        <f>IF(F262=0,0,Расчет2!AP262)</f>
        <v>0</v>
      </c>
      <c r="K262" s="10">
        <f>IF($F262=0,0,Расчет2!AQ262)</f>
        <v>0</v>
      </c>
      <c r="L262" s="10">
        <f>IF($F262=0,0,Расчет2!AR262)</f>
        <v>0</v>
      </c>
      <c r="M262" s="10">
        <f>IF($F262=0,0,Расчет2!AS262)</f>
        <v>0</v>
      </c>
      <c r="N262" s="10">
        <f>IF($F262=0,0,IF(Исходн.данные.!$AP262="Посл.посева",0,Расчет2!AT262))</f>
        <v>0</v>
      </c>
      <c r="O262" s="10">
        <f>IF($F262=0,0,IF(Исходн.данные.!$AP262="Посл.посева",0,IF(Расчет2!AU262&lt;10,10,Расчет2!AU262)))</f>
        <v>0</v>
      </c>
      <c r="P262" s="10">
        <f>IF($F262=0,0,IF(Исходн.данные.!$AP262="Посл.посева",0,Расчет2!AV262))</f>
        <v>0</v>
      </c>
      <c r="Q262" s="10">
        <f>IF($F262=0,0,Расчет2!AW262)</f>
        <v>0</v>
      </c>
      <c r="R262" s="10">
        <f>IF($F262=0,0,Расчет2!AX262)</f>
        <v>0</v>
      </c>
      <c r="S262" s="9">
        <f>IF($F262=0,0,Расчет2!AY262)</f>
        <v>0</v>
      </c>
      <c r="T262" s="10">
        <f>IF($F262=0,0,Расчет2!AZ262)</f>
        <v>0</v>
      </c>
      <c r="U262" s="10">
        <f>IF($F262=0,0,Расчет2!BA262)</f>
        <v>0</v>
      </c>
      <c r="V262" s="10">
        <f>IF($F262=0,0,Расчет2!BB262)</f>
        <v>0</v>
      </c>
      <c r="W262" s="10">
        <f>Расчет!DL262</f>
        <v>0</v>
      </c>
      <c r="X262" s="10">
        <f>Расчет!DN262</f>
        <v>0</v>
      </c>
      <c r="Y262" s="9">
        <f>X262*Исходн.данные.!$AJ262/1000</f>
        <v>0</v>
      </c>
      <c r="Z262" s="10" t="str">
        <f>Расчет!DO262</f>
        <v>Хлор.калий</v>
      </c>
      <c r="AA262" s="10">
        <f>Расчет!DQ262</f>
        <v>0</v>
      </c>
      <c r="AB262" s="12">
        <f>AA262*Исходн.данные.!$AJ262/1000</f>
        <v>0</v>
      </c>
      <c r="AC262" s="9">
        <f>IF($F262=0,0,Расчет2!BC262)</f>
        <v>0</v>
      </c>
      <c r="AD262" s="10">
        <f>IF($F262=0,0,Расчет2!BD262)</f>
        <v>0</v>
      </c>
      <c r="AE262" s="9">
        <f>IF($F262=0,0,Расчет2!BE262)</f>
        <v>0</v>
      </c>
      <c r="AF262" s="9">
        <f>IF($F262=0,0,Расчет2!BF262)</f>
        <v>0</v>
      </c>
      <c r="AG262" s="9">
        <f>IF($F262=0,0,Расчет2!BG262)</f>
        <v>0</v>
      </c>
      <c r="AI262" s="11" t="e">
        <f>Расчет!FY262</f>
        <v>#N/A</v>
      </c>
      <c r="AJ262" s="11" t="e">
        <f>Расчет!FZ262</f>
        <v>#N/A</v>
      </c>
      <c r="AK262" s="11" t="e">
        <f>Расчет!GA262</f>
        <v>#N/A</v>
      </c>
      <c r="AL262" s="11" t="e">
        <f>Расчет!GB262</f>
        <v>#N/A</v>
      </c>
      <c r="AM262" s="11" t="e">
        <f>Расчет!GC262</f>
        <v>#N/A</v>
      </c>
      <c r="AN262" s="11" t="e">
        <f>Расчет!GD262</f>
        <v>#N/A</v>
      </c>
      <c r="AO262" s="11" t="e">
        <f>Расчет!GE262</f>
        <v>#N/A</v>
      </c>
      <c r="AP262" s="11" t="e">
        <f>Расчет!GF262</f>
        <v>#N/A</v>
      </c>
      <c r="AQ262" s="11" t="e">
        <f>Расчет!GG262</f>
        <v>#N/A</v>
      </c>
      <c r="AR262" s="11" t="e">
        <f>Расчет!GH262</f>
        <v>#N/A</v>
      </c>
      <c r="AS262" s="11" t="e">
        <f>Расчет!GI262</f>
        <v>#N/A</v>
      </c>
      <c r="AT262" s="11" t="e">
        <f>Расчет!GJ262</f>
        <v>#N/A</v>
      </c>
      <c r="AU262" s="198" t="e">
        <f t="shared" si="27"/>
        <v>#N/A</v>
      </c>
      <c r="AV262" s="198" t="e">
        <f t="shared" si="28"/>
        <v>#N/A</v>
      </c>
      <c r="AW262" s="198" t="e">
        <f t="shared" si="29"/>
        <v>#N/A</v>
      </c>
      <c r="AX262" s="11" t="e">
        <f t="shared" si="30"/>
        <v>#N/A</v>
      </c>
      <c r="AY262" s="11" t="e">
        <f t="shared" si="31"/>
        <v>#N/A</v>
      </c>
      <c r="AZ262" s="11" t="e">
        <f t="shared" si="32"/>
        <v>#N/A</v>
      </c>
    </row>
    <row r="263" spans="1:52" x14ac:dyDescent="0.2">
      <c r="A263" s="6">
        <f>Исходн.данные.!A263</f>
        <v>0</v>
      </c>
      <c r="B263" s="6">
        <f>Исходн.данные.!B263</f>
        <v>0</v>
      </c>
      <c r="C263" s="6">
        <f>Исходн.данные.!C263</f>
        <v>0</v>
      </c>
      <c r="D263" s="6">
        <f>Исходн.данные.!D263</f>
        <v>0</v>
      </c>
      <c r="E263" s="6">
        <f>Исходн.данные.!E263</f>
        <v>0</v>
      </c>
      <c r="F263" s="6">
        <f>Исходн.данные.!AH263</f>
        <v>0</v>
      </c>
      <c r="G263" s="6">
        <f>Исходн.данные.!AJ263</f>
        <v>0</v>
      </c>
      <c r="H263" s="6">
        <f>Исходн.данные.!AK263</f>
        <v>0</v>
      </c>
      <c r="I263" s="9">
        <f>IF($F263=0,0,Расчет2!AO263)</f>
        <v>0</v>
      </c>
      <c r="J263" s="9">
        <f>IF(F263=0,0,Расчет2!AP263)</f>
        <v>0</v>
      </c>
      <c r="K263" s="10">
        <f>IF($F263=0,0,Расчет2!AQ263)</f>
        <v>0</v>
      </c>
      <c r="L263" s="10">
        <f>IF($F263=0,0,Расчет2!AR263)</f>
        <v>0</v>
      </c>
      <c r="M263" s="10">
        <f>IF($F263=0,0,Расчет2!AS263)</f>
        <v>0</v>
      </c>
      <c r="N263" s="10">
        <f>IF($F263=0,0,IF(Исходн.данные.!$AP263="Посл.посева",0,Расчет2!AT263))</f>
        <v>0</v>
      </c>
      <c r="O263" s="10">
        <f>IF($F263=0,0,IF(Исходн.данные.!$AP263="Посл.посева",0,IF(Расчет2!AU263&lt;10,10,Расчет2!AU263)))</f>
        <v>0</v>
      </c>
      <c r="P263" s="10">
        <f>IF($F263=0,0,IF(Исходн.данные.!$AP263="Посл.посева",0,Расчет2!AV263))</f>
        <v>0</v>
      </c>
      <c r="Q263" s="10">
        <f>IF($F263=0,0,Расчет2!AW263)</f>
        <v>0</v>
      </c>
      <c r="R263" s="10">
        <f>IF($F263=0,0,Расчет2!AX263)</f>
        <v>0</v>
      </c>
      <c r="S263" s="9">
        <f>IF($F263=0,0,Расчет2!AY263)</f>
        <v>0</v>
      </c>
      <c r="T263" s="10">
        <f>IF($F263=0,0,Расчет2!AZ263)</f>
        <v>0</v>
      </c>
      <c r="U263" s="10">
        <f>IF($F263=0,0,Расчет2!BA263)</f>
        <v>0</v>
      </c>
      <c r="V263" s="10">
        <f>IF($F263=0,0,Расчет2!BB263)</f>
        <v>0</v>
      </c>
      <c r="W263" s="10">
        <f>Расчет!DL263</f>
        <v>0</v>
      </c>
      <c r="X263" s="10">
        <f>Расчет!DN263</f>
        <v>0</v>
      </c>
      <c r="Y263" s="9">
        <f>X263*Исходн.данные.!$AJ263/1000</f>
        <v>0</v>
      </c>
      <c r="Z263" s="10" t="str">
        <f>Расчет!DO263</f>
        <v>Хлор.калий</v>
      </c>
      <c r="AA263" s="10">
        <f>Расчет!DQ263</f>
        <v>0</v>
      </c>
      <c r="AB263" s="12">
        <f>AA263*Исходн.данные.!$AJ263/1000</f>
        <v>0</v>
      </c>
      <c r="AC263" s="9">
        <f>IF($F263=0,0,Расчет2!BC263)</f>
        <v>0</v>
      </c>
      <c r="AD263" s="10">
        <f>IF($F263=0,0,Расчет2!BD263)</f>
        <v>0</v>
      </c>
      <c r="AE263" s="9">
        <f>IF($F263=0,0,Расчет2!BE263)</f>
        <v>0</v>
      </c>
      <c r="AF263" s="9">
        <f>IF($F263=0,0,Расчет2!BF263)</f>
        <v>0</v>
      </c>
      <c r="AG263" s="9">
        <f>IF($F263=0,0,Расчет2!BG263)</f>
        <v>0</v>
      </c>
      <c r="AI263" s="11" t="e">
        <f>Расчет!FY263</f>
        <v>#N/A</v>
      </c>
      <c r="AJ263" s="11" t="e">
        <f>Расчет!FZ263</f>
        <v>#N/A</v>
      </c>
      <c r="AK263" s="11" t="e">
        <f>Расчет!GA263</f>
        <v>#N/A</v>
      </c>
      <c r="AL263" s="11" t="e">
        <f>Расчет!GB263</f>
        <v>#N/A</v>
      </c>
      <c r="AM263" s="11" t="e">
        <f>Расчет!GC263</f>
        <v>#N/A</v>
      </c>
      <c r="AN263" s="11" t="e">
        <f>Расчет!GD263</f>
        <v>#N/A</v>
      </c>
      <c r="AO263" s="11" t="e">
        <f>Расчет!GE263</f>
        <v>#N/A</v>
      </c>
      <c r="AP263" s="11" t="e">
        <f>Расчет!GF263</f>
        <v>#N/A</v>
      </c>
      <c r="AQ263" s="11" t="e">
        <f>Расчет!GG263</f>
        <v>#N/A</v>
      </c>
      <c r="AR263" s="11" t="e">
        <f>Расчет!GH263</f>
        <v>#N/A</v>
      </c>
      <c r="AS263" s="11" t="e">
        <f>Расчет!GI263</f>
        <v>#N/A</v>
      </c>
      <c r="AT263" s="11" t="e">
        <f>Расчет!GJ263</f>
        <v>#N/A</v>
      </c>
      <c r="AU263" s="198" t="e">
        <f t="shared" si="27"/>
        <v>#N/A</v>
      </c>
      <c r="AV263" s="198" t="e">
        <f t="shared" si="28"/>
        <v>#N/A</v>
      </c>
      <c r="AW263" s="198" t="e">
        <f t="shared" si="29"/>
        <v>#N/A</v>
      </c>
      <c r="AX263" s="11" t="e">
        <f t="shared" si="30"/>
        <v>#N/A</v>
      </c>
      <c r="AY263" s="11" t="e">
        <f t="shared" si="31"/>
        <v>#N/A</v>
      </c>
      <c r="AZ263" s="11" t="e">
        <f t="shared" si="32"/>
        <v>#N/A</v>
      </c>
    </row>
    <row r="264" spans="1:52" x14ac:dyDescent="0.2">
      <c r="A264" s="6">
        <f>Исходн.данные.!A264</f>
        <v>0</v>
      </c>
      <c r="B264" s="6">
        <f>Исходн.данные.!B264</f>
        <v>0</v>
      </c>
      <c r="C264" s="6">
        <f>Исходн.данные.!C264</f>
        <v>0</v>
      </c>
      <c r="D264" s="6">
        <f>Исходн.данные.!D264</f>
        <v>0</v>
      </c>
      <c r="E264" s="6">
        <f>Исходн.данные.!E264</f>
        <v>0</v>
      </c>
      <c r="F264" s="6">
        <f>Исходн.данные.!AH264</f>
        <v>0</v>
      </c>
      <c r="G264" s="6">
        <f>Исходн.данные.!AJ264</f>
        <v>0</v>
      </c>
      <c r="H264" s="6">
        <f>Исходн.данные.!AK264</f>
        <v>0</v>
      </c>
      <c r="I264" s="9">
        <f>IF($F264=0,0,Расчет2!AO264)</f>
        <v>0</v>
      </c>
      <c r="J264" s="9">
        <f>IF(F264=0,0,Расчет2!AP264)</f>
        <v>0</v>
      </c>
      <c r="K264" s="10">
        <f>IF($F264=0,0,Расчет2!AQ264)</f>
        <v>0</v>
      </c>
      <c r="L264" s="10">
        <f>IF($F264=0,0,Расчет2!AR264)</f>
        <v>0</v>
      </c>
      <c r="M264" s="10">
        <f>IF($F264=0,0,Расчет2!AS264)</f>
        <v>0</v>
      </c>
      <c r="N264" s="10">
        <f>IF($F264=0,0,IF(Исходн.данные.!$AP264="Посл.посева",0,Расчет2!AT264))</f>
        <v>0</v>
      </c>
      <c r="O264" s="10">
        <f>IF($F264=0,0,IF(Исходн.данные.!$AP264="Посл.посева",0,IF(Расчет2!AU264&lt;10,10,Расчет2!AU264)))</f>
        <v>0</v>
      </c>
      <c r="P264" s="10">
        <f>IF($F264=0,0,IF(Исходн.данные.!$AP264="Посл.посева",0,Расчет2!AV264))</f>
        <v>0</v>
      </c>
      <c r="Q264" s="10">
        <f>IF($F264=0,0,Расчет2!AW264)</f>
        <v>0</v>
      </c>
      <c r="R264" s="10">
        <f>IF($F264=0,0,Расчет2!AX264)</f>
        <v>0</v>
      </c>
      <c r="S264" s="9">
        <f>IF($F264=0,0,Расчет2!AY264)</f>
        <v>0</v>
      </c>
      <c r="T264" s="10">
        <f>IF($F264=0,0,Расчет2!AZ264)</f>
        <v>0</v>
      </c>
      <c r="U264" s="10">
        <f>IF($F264=0,0,Расчет2!BA264)</f>
        <v>0</v>
      </c>
      <c r="V264" s="10">
        <f>IF($F264=0,0,Расчет2!BB264)</f>
        <v>0</v>
      </c>
      <c r="W264" s="10">
        <f>Расчет!DL264</f>
        <v>0</v>
      </c>
      <c r="X264" s="10">
        <f>Расчет!DN264</f>
        <v>0</v>
      </c>
      <c r="Y264" s="9">
        <f>X264*Исходн.данные.!$AJ264/1000</f>
        <v>0</v>
      </c>
      <c r="Z264" s="10" t="str">
        <f>Расчет!DO264</f>
        <v>Хлор.калий</v>
      </c>
      <c r="AA264" s="10">
        <f>Расчет!DQ264</f>
        <v>0</v>
      </c>
      <c r="AB264" s="12">
        <f>AA264*Исходн.данные.!$AJ264/1000</f>
        <v>0</v>
      </c>
      <c r="AC264" s="9">
        <f>IF($F264=0,0,Расчет2!BC264)</f>
        <v>0</v>
      </c>
      <c r="AD264" s="10">
        <f>IF($F264=0,0,Расчет2!BD264)</f>
        <v>0</v>
      </c>
      <c r="AE264" s="9">
        <f>IF($F264=0,0,Расчет2!BE264)</f>
        <v>0</v>
      </c>
      <c r="AF264" s="9">
        <f>IF($F264=0,0,Расчет2!BF264)</f>
        <v>0</v>
      </c>
      <c r="AG264" s="9">
        <f>IF($F264=0,0,Расчет2!BG264)</f>
        <v>0</v>
      </c>
      <c r="AI264" s="11" t="e">
        <f>Расчет!FY264</f>
        <v>#N/A</v>
      </c>
      <c r="AJ264" s="11" t="e">
        <f>Расчет!FZ264</f>
        <v>#N/A</v>
      </c>
      <c r="AK264" s="11" t="e">
        <f>Расчет!GA264</f>
        <v>#N/A</v>
      </c>
      <c r="AL264" s="11" t="e">
        <f>Расчет!GB264</f>
        <v>#N/A</v>
      </c>
      <c r="AM264" s="11" t="e">
        <f>Расчет!GC264</f>
        <v>#N/A</v>
      </c>
      <c r="AN264" s="11" t="e">
        <f>Расчет!GD264</f>
        <v>#N/A</v>
      </c>
      <c r="AO264" s="11" t="e">
        <f>Расчет!GE264</f>
        <v>#N/A</v>
      </c>
      <c r="AP264" s="11" t="e">
        <f>Расчет!GF264</f>
        <v>#N/A</v>
      </c>
      <c r="AQ264" s="11" t="e">
        <f>Расчет!GG264</f>
        <v>#N/A</v>
      </c>
      <c r="AR264" s="11" t="e">
        <f>Расчет!GH264</f>
        <v>#N/A</v>
      </c>
      <c r="AS264" s="11" t="e">
        <f>Расчет!GI264</f>
        <v>#N/A</v>
      </c>
      <c r="AT264" s="11" t="e">
        <f>Расчет!GJ264</f>
        <v>#N/A</v>
      </c>
      <c r="AU264" s="198" t="e">
        <f t="shared" si="27"/>
        <v>#N/A</v>
      </c>
      <c r="AV264" s="198" t="e">
        <f t="shared" si="28"/>
        <v>#N/A</v>
      </c>
      <c r="AW264" s="198" t="e">
        <f t="shared" si="29"/>
        <v>#N/A</v>
      </c>
      <c r="AX264" s="11" t="e">
        <f t="shared" si="30"/>
        <v>#N/A</v>
      </c>
      <c r="AY264" s="11" t="e">
        <f t="shared" si="31"/>
        <v>#N/A</v>
      </c>
      <c r="AZ264" s="11" t="e">
        <f t="shared" si="32"/>
        <v>#N/A</v>
      </c>
    </row>
    <row r="265" spans="1:52" x14ac:dyDescent="0.2">
      <c r="A265" s="6">
        <f>Исходн.данные.!A265</f>
        <v>0</v>
      </c>
      <c r="B265" s="6">
        <f>Исходн.данные.!B265</f>
        <v>0</v>
      </c>
      <c r="C265" s="6">
        <f>Исходн.данные.!C265</f>
        <v>0</v>
      </c>
      <c r="D265" s="6">
        <f>Исходн.данные.!D265</f>
        <v>0</v>
      </c>
      <c r="E265" s="6">
        <f>Исходн.данные.!E265</f>
        <v>0</v>
      </c>
      <c r="F265" s="6">
        <f>Исходн.данные.!AH265</f>
        <v>0</v>
      </c>
      <c r="G265" s="6">
        <f>Исходн.данные.!AJ265</f>
        <v>0</v>
      </c>
      <c r="H265" s="6">
        <f>Исходн.данные.!AK265</f>
        <v>0</v>
      </c>
      <c r="I265" s="9">
        <f>IF($F265=0,0,Расчет2!AO265)</f>
        <v>0</v>
      </c>
      <c r="J265" s="9">
        <f>IF(F265=0,0,Расчет2!AP265)</f>
        <v>0</v>
      </c>
      <c r="K265" s="10">
        <f>IF($F265=0,0,Расчет2!AQ265)</f>
        <v>0</v>
      </c>
      <c r="L265" s="10">
        <f>IF($F265=0,0,Расчет2!AR265)</f>
        <v>0</v>
      </c>
      <c r="M265" s="10">
        <f>IF($F265=0,0,Расчет2!AS265)</f>
        <v>0</v>
      </c>
      <c r="N265" s="10">
        <f>IF($F265=0,0,IF(Исходн.данные.!$AP265="Посл.посева",0,Расчет2!AT265))</f>
        <v>0</v>
      </c>
      <c r="O265" s="10">
        <f>IF($F265=0,0,IF(Исходн.данные.!$AP265="Посл.посева",0,IF(Расчет2!AU265&lt;10,10,Расчет2!AU265)))</f>
        <v>0</v>
      </c>
      <c r="P265" s="10">
        <f>IF($F265=0,0,IF(Исходн.данные.!$AP265="Посл.посева",0,Расчет2!AV265))</f>
        <v>0</v>
      </c>
      <c r="Q265" s="10">
        <f>IF($F265=0,0,Расчет2!AW265)</f>
        <v>0</v>
      </c>
      <c r="R265" s="10">
        <f>IF($F265=0,0,Расчет2!AX265)</f>
        <v>0</v>
      </c>
      <c r="S265" s="9">
        <f>IF($F265=0,0,Расчет2!AY265)</f>
        <v>0</v>
      </c>
      <c r="T265" s="10">
        <f>IF($F265=0,0,Расчет2!AZ265)</f>
        <v>0</v>
      </c>
      <c r="U265" s="10">
        <f>IF($F265=0,0,Расчет2!BA265)</f>
        <v>0</v>
      </c>
      <c r="V265" s="10">
        <f>IF($F265=0,0,Расчет2!BB265)</f>
        <v>0</v>
      </c>
      <c r="W265" s="10">
        <f>Расчет!DL265</f>
        <v>0</v>
      </c>
      <c r="X265" s="10">
        <f>Расчет!DN265</f>
        <v>0</v>
      </c>
      <c r="Y265" s="9">
        <f>X265*Исходн.данные.!$AJ265/1000</f>
        <v>0</v>
      </c>
      <c r="Z265" s="10" t="str">
        <f>Расчет!DO265</f>
        <v>Хлор.калий</v>
      </c>
      <c r="AA265" s="10">
        <f>Расчет!DQ265</f>
        <v>0</v>
      </c>
      <c r="AB265" s="12">
        <f>AA265*Исходн.данные.!$AJ265/1000</f>
        <v>0</v>
      </c>
      <c r="AC265" s="9">
        <f>IF($F265=0,0,Расчет2!BC265)</f>
        <v>0</v>
      </c>
      <c r="AD265" s="10">
        <f>IF($F265=0,0,Расчет2!BD265)</f>
        <v>0</v>
      </c>
      <c r="AE265" s="9">
        <f>IF($F265=0,0,Расчет2!BE265)</f>
        <v>0</v>
      </c>
      <c r="AF265" s="9">
        <f>IF($F265=0,0,Расчет2!BF265)</f>
        <v>0</v>
      </c>
      <c r="AG265" s="9">
        <f>IF($F265=0,0,Расчет2!BG265)</f>
        <v>0</v>
      </c>
      <c r="AI265" s="11" t="e">
        <f>Расчет!FY265</f>
        <v>#N/A</v>
      </c>
      <c r="AJ265" s="11" t="e">
        <f>Расчет!FZ265</f>
        <v>#N/A</v>
      </c>
      <c r="AK265" s="11" t="e">
        <f>Расчет!GA265</f>
        <v>#N/A</v>
      </c>
      <c r="AL265" s="11" t="e">
        <f>Расчет!GB265</f>
        <v>#N/A</v>
      </c>
      <c r="AM265" s="11" t="e">
        <f>Расчет!GC265</f>
        <v>#N/A</v>
      </c>
      <c r="AN265" s="11" t="e">
        <f>Расчет!GD265</f>
        <v>#N/A</v>
      </c>
      <c r="AO265" s="11" t="e">
        <f>Расчет!GE265</f>
        <v>#N/A</v>
      </c>
      <c r="AP265" s="11" t="e">
        <f>Расчет!GF265</f>
        <v>#N/A</v>
      </c>
      <c r="AQ265" s="11" t="e">
        <f>Расчет!GG265</f>
        <v>#N/A</v>
      </c>
      <c r="AR265" s="11" t="e">
        <f>Расчет!GH265</f>
        <v>#N/A</v>
      </c>
      <c r="AS265" s="11" t="e">
        <f>Расчет!GI265</f>
        <v>#N/A</v>
      </c>
      <c r="AT265" s="11" t="e">
        <f>Расчет!GJ265</f>
        <v>#N/A</v>
      </c>
      <c r="AU265" s="198" t="e">
        <f t="shared" si="27"/>
        <v>#N/A</v>
      </c>
      <c r="AV265" s="198" t="e">
        <f t="shared" si="28"/>
        <v>#N/A</v>
      </c>
      <c r="AW265" s="198" t="e">
        <f t="shared" si="29"/>
        <v>#N/A</v>
      </c>
      <c r="AX265" s="11" t="e">
        <f t="shared" si="30"/>
        <v>#N/A</v>
      </c>
      <c r="AY265" s="11" t="e">
        <f t="shared" si="31"/>
        <v>#N/A</v>
      </c>
      <c r="AZ265" s="11" t="e">
        <f t="shared" si="32"/>
        <v>#N/A</v>
      </c>
    </row>
    <row r="266" spans="1:52" x14ac:dyDescent="0.2">
      <c r="A266" s="6">
        <f>Исходн.данные.!A266</f>
        <v>0</v>
      </c>
      <c r="B266" s="6">
        <f>Исходн.данные.!B266</f>
        <v>0</v>
      </c>
      <c r="C266" s="6">
        <f>Исходн.данные.!C266</f>
        <v>0</v>
      </c>
      <c r="D266" s="6">
        <f>Исходн.данные.!D266</f>
        <v>0</v>
      </c>
      <c r="E266" s="6">
        <f>Исходн.данные.!E266</f>
        <v>0</v>
      </c>
      <c r="F266" s="6">
        <f>Исходн.данные.!AH266</f>
        <v>0</v>
      </c>
      <c r="G266" s="6">
        <f>Исходн.данные.!AJ266</f>
        <v>0</v>
      </c>
      <c r="H266" s="6">
        <f>Исходн.данные.!AK266</f>
        <v>0</v>
      </c>
      <c r="I266" s="9">
        <f>IF($F266=0,0,Расчет2!AO266)</f>
        <v>0</v>
      </c>
      <c r="J266" s="9">
        <f>IF(F266=0,0,Расчет2!AP266)</f>
        <v>0</v>
      </c>
      <c r="K266" s="10">
        <f>IF($F266=0,0,Расчет2!AQ266)</f>
        <v>0</v>
      </c>
      <c r="L266" s="10">
        <f>IF($F266=0,0,Расчет2!AR266)</f>
        <v>0</v>
      </c>
      <c r="M266" s="10">
        <f>IF($F266=0,0,Расчет2!AS266)</f>
        <v>0</v>
      </c>
      <c r="N266" s="10">
        <f>IF($F266=0,0,IF(Исходн.данные.!$AP266="Посл.посева",0,Расчет2!AT266))</f>
        <v>0</v>
      </c>
      <c r="O266" s="10">
        <f>IF($F266=0,0,IF(Исходн.данные.!$AP266="Посл.посева",0,IF(Расчет2!AU266&lt;10,10,Расчет2!AU266)))</f>
        <v>0</v>
      </c>
      <c r="P266" s="10">
        <f>IF($F266=0,0,IF(Исходн.данные.!$AP266="Посл.посева",0,Расчет2!AV266))</f>
        <v>0</v>
      </c>
      <c r="Q266" s="10">
        <f>IF($F266=0,0,Расчет2!AW266)</f>
        <v>0</v>
      </c>
      <c r="R266" s="10">
        <f>IF($F266=0,0,Расчет2!AX266)</f>
        <v>0</v>
      </c>
      <c r="S266" s="9">
        <f>IF($F266=0,0,Расчет2!AY266)</f>
        <v>0</v>
      </c>
      <c r="T266" s="10">
        <f>IF($F266=0,0,Расчет2!AZ266)</f>
        <v>0</v>
      </c>
      <c r="U266" s="10">
        <f>IF($F266=0,0,Расчет2!BA266)</f>
        <v>0</v>
      </c>
      <c r="V266" s="10">
        <f>IF($F266=0,0,Расчет2!BB266)</f>
        <v>0</v>
      </c>
      <c r="W266" s="10">
        <f>Расчет!DL266</f>
        <v>0</v>
      </c>
      <c r="X266" s="10">
        <f>Расчет!DN266</f>
        <v>0</v>
      </c>
      <c r="Y266" s="9">
        <f>X266*Исходн.данные.!$AJ266/1000</f>
        <v>0</v>
      </c>
      <c r="Z266" s="10" t="str">
        <f>Расчет!DO266</f>
        <v>Хлор.калий</v>
      </c>
      <c r="AA266" s="10">
        <f>Расчет!DQ266</f>
        <v>0</v>
      </c>
      <c r="AB266" s="12">
        <f>AA266*Исходн.данные.!$AJ266/1000</f>
        <v>0</v>
      </c>
      <c r="AC266" s="9">
        <f>IF($F266=0,0,Расчет2!BC266)</f>
        <v>0</v>
      </c>
      <c r="AD266" s="10">
        <f>IF($F266=0,0,Расчет2!BD266)</f>
        <v>0</v>
      </c>
      <c r="AE266" s="9">
        <f>IF($F266=0,0,Расчет2!BE266)</f>
        <v>0</v>
      </c>
      <c r="AF266" s="9">
        <f>IF($F266=0,0,Расчет2!BF266)</f>
        <v>0</v>
      </c>
      <c r="AG266" s="9">
        <f>IF($F266=0,0,Расчет2!BG266)</f>
        <v>0</v>
      </c>
      <c r="AI266" s="11" t="e">
        <f>Расчет!FY266</f>
        <v>#N/A</v>
      </c>
      <c r="AJ266" s="11" t="e">
        <f>Расчет!FZ266</f>
        <v>#N/A</v>
      </c>
      <c r="AK266" s="11" t="e">
        <f>Расчет!GA266</f>
        <v>#N/A</v>
      </c>
      <c r="AL266" s="11" t="e">
        <f>Расчет!GB266</f>
        <v>#N/A</v>
      </c>
      <c r="AM266" s="11" t="e">
        <f>Расчет!GC266</f>
        <v>#N/A</v>
      </c>
      <c r="AN266" s="11" t="e">
        <f>Расчет!GD266</f>
        <v>#N/A</v>
      </c>
      <c r="AO266" s="11" t="e">
        <f>Расчет!GE266</f>
        <v>#N/A</v>
      </c>
      <c r="AP266" s="11" t="e">
        <f>Расчет!GF266</f>
        <v>#N/A</v>
      </c>
      <c r="AQ266" s="11" t="e">
        <f>Расчет!GG266</f>
        <v>#N/A</v>
      </c>
      <c r="AR266" s="11" t="e">
        <f>Расчет!GH266</f>
        <v>#N/A</v>
      </c>
      <c r="AS266" s="11" t="e">
        <f>Расчет!GI266</f>
        <v>#N/A</v>
      </c>
      <c r="AT266" s="11" t="e">
        <f>Расчет!GJ266</f>
        <v>#N/A</v>
      </c>
      <c r="AU266" s="198" t="e">
        <f t="shared" si="27"/>
        <v>#N/A</v>
      </c>
      <c r="AV266" s="198" t="e">
        <f t="shared" si="28"/>
        <v>#N/A</v>
      </c>
      <c r="AW266" s="198" t="e">
        <f t="shared" si="29"/>
        <v>#N/A</v>
      </c>
      <c r="AX266" s="11" t="e">
        <f t="shared" si="30"/>
        <v>#N/A</v>
      </c>
      <c r="AY266" s="11" t="e">
        <f t="shared" si="31"/>
        <v>#N/A</v>
      </c>
      <c r="AZ266" s="11" t="e">
        <f t="shared" si="32"/>
        <v>#N/A</v>
      </c>
    </row>
    <row r="267" spans="1:52" x14ac:dyDescent="0.2">
      <c r="A267" s="6">
        <f>Исходн.данные.!A267</f>
        <v>0</v>
      </c>
      <c r="B267" s="6">
        <f>Исходн.данные.!B267</f>
        <v>0</v>
      </c>
      <c r="C267" s="6">
        <f>Исходн.данные.!C267</f>
        <v>0</v>
      </c>
      <c r="D267" s="6">
        <f>Исходн.данные.!D267</f>
        <v>0</v>
      </c>
      <c r="E267" s="6">
        <f>Исходн.данные.!E267</f>
        <v>0</v>
      </c>
      <c r="F267" s="6">
        <f>Исходн.данные.!AH267</f>
        <v>0</v>
      </c>
      <c r="G267" s="6">
        <f>Исходн.данные.!AJ267</f>
        <v>0</v>
      </c>
      <c r="H267" s="6">
        <f>Исходн.данные.!AK267</f>
        <v>0</v>
      </c>
      <c r="I267" s="9">
        <f>IF($F267=0,0,Расчет2!AO267)</f>
        <v>0</v>
      </c>
      <c r="J267" s="9">
        <f>IF(F267=0,0,Расчет2!AP267)</f>
        <v>0</v>
      </c>
      <c r="K267" s="10">
        <f>IF($F267=0,0,Расчет2!AQ267)</f>
        <v>0</v>
      </c>
      <c r="L267" s="10">
        <f>IF($F267=0,0,Расчет2!AR267)</f>
        <v>0</v>
      </c>
      <c r="M267" s="10">
        <f>IF($F267=0,0,Расчет2!AS267)</f>
        <v>0</v>
      </c>
      <c r="N267" s="10">
        <f>IF($F267=0,0,IF(Исходн.данные.!$AP267="Посл.посева",0,Расчет2!AT267))</f>
        <v>0</v>
      </c>
      <c r="O267" s="10">
        <f>IF($F267=0,0,IF(Исходн.данные.!$AP267="Посл.посева",0,IF(Расчет2!AU267&lt;10,10,Расчет2!AU267)))</f>
        <v>0</v>
      </c>
      <c r="P267" s="10">
        <f>IF($F267=0,0,IF(Исходн.данные.!$AP267="Посл.посева",0,Расчет2!AV267))</f>
        <v>0</v>
      </c>
      <c r="Q267" s="10">
        <f>IF($F267=0,0,Расчет2!AW267)</f>
        <v>0</v>
      </c>
      <c r="R267" s="10">
        <f>IF($F267=0,0,Расчет2!AX267)</f>
        <v>0</v>
      </c>
      <c r="S267" s="9">
        <f>IF($F267=0,0,Расчет2!AY267)</f>
        <v>0</v>
      </c>
      <c r="T267" s="10">
        <f>IF($F267=0,0,Расчет2!AZ267)</f>
        <v>0</v>
      </c>
      <c r="U267" s="10">
        <f>IF($F267=0,0,Расчет2!BA267)</f>
        <v>0</v>
      </c>
      <c r="V267" s="10">
        <f>IF($F267=0,0,Расчет2!BB267)</f>
        <v>0</v>
      </c>
      <c r="W267" s="10">
        <f>Расчет!DL267</f>
        <v>0</v>
      </c>
      <c r="X267" s="10">
        <f>Расчет!DN267</f>
        <v>0</v>
      </c>
      <c r="Y267" s="9">
        <f>X267*Исходн.данные.!$AJ267/1000</f>
        <v>0</v>
      </c>
      <c r="Z267" s="10" t="str">
        <f>Расчет!DO267</f>
        <v>Хлор.калий</v>
      </c>
      <c r="AA267" s="10">
        <f>Расчет!DQ267</f>
        <v>0</v>
      </c>
      <c r="AB267" s="12">
        <f>AA267*Исходн.данные.!$AJ267/1000</f>
        <v>0</v>
      </c>
      <c r="AC267" s="9">
        <f>IF($F267=0,0,Расчет2!BC267)</f>
        <v>0</v>
      </c>
      <c r="AD267" s="10">
        <f>IF($F267=0,0,Расчет2!BD267)</f>
        <v>0</v>
      </c>
      <c r="AE267" s="9">
        <f>IF($F267=0,0,Расчет2!BE267)</f>
        <v>0</v>
      </c>
      <c r="AF267" s="9">
        <f>IF($F267=0,0,Расчет2!BF267)</f>
        <v>0</v>
      </c>
      <c r="AG267" s="9">
        <f>IF($F267=0,0,Расчет2!BG267)</f>
        <v>0</v>
      </c>
      <c r="AI267" s="11" t="e">
        <f>Расчет!FY267</f>
        <v>#N/A</v>
      </c>
      <c r="AJ267" s="11" t="e">
        <f>Расчет!FZ267</f>
        <v>#N/A</v>
      </c>
      <c r="AK267" s="11" t="e">
        <f>Расчет!GA267</f>
        <v>#N/A</v>
      </c>
      <c r="AL267" s="11" t="e">
        <f>Расчет!GB267</f>
        <v>#N/A</v>
      </c>
      <c r="AM267" s="11" t="e">
        <f>Расчет!GC267</f>
        <v>#N/A</v>
      </c>
      <c r="AN267" s="11" t="e">
        <f>Расчет!GD267</f>
        <v>#N/A</v>
      </c>
      <c r="AO267" s="11" t="e">
        <f>Расчет!GE267</f>
        <v>#N/A</v>
      </c>
      <c r="AP267" s="11" t="e">
        <f>Расчет!GF267</f>
        <v>#N/A</v>
      </c>
      <c r="AQ267" s="11" t="e">
        <f>Расчет!GG267</f>
        <v>#N/A</v>
      </c>
      <c r="AR267" s="11" t="e">
        <f>Расчет!GH267</f>
        <v>#N/A</v>
      </c>
      <c r="AS267" s="11" t="e">
        <f>Расчет!GI267</f>
        <v>#N/A</v>
      </c>
      <c r="AT267" s="11" t="e">
        <f>Расчет!GJ267</f>
        <v>#N/A</v>
      </c>
      <c r="AU267" s="198" t="e">
        <f t="shared" si="27"/>
        <v>#N/A</v>
      </c>
      <c r="AV267" s="198" t="e">
        <f t="shared" si="28"/>
        <v>#N/A</v>
      </c>
      <c r="AW267" s="198" t="e">
        <f t="shared" si="29"/>
        <v>#N/A</v>
      </c>
      <c r="AX267" s="11" t="e">
        <f t="shared" si="30"/>
        <v>#N/A</v>
      </c>
      <c r="AY267" s="11" t="e">
        <f t="shared" si="31"/>
        <v>#N/A</v>
      </c>
      <c r="AZ267" s="11" t="e">
        <f t="shared" si="32"/>
        <v>#N/A</v>
      </c>
    </row>
    <row r="268" spans="1:52" x14ac:dyDescent="0.2">
      <c r="A268" s="6">
        <f>Исходн.данные.!A268</f>
        <v>0</v>
      </c>
      <c r="B268" s="6">
        <f>Исходн.данные.!B268</f>
        <v>0</v>
      </c>
      <c r="C268" s="6">
        <f>Исходн.данные.!C268</f>
        <v>0</v>
      </c>
      <c r="D268" s="6">
        <f>Исходн.данные.!D268</f>
        <v>0</v>
      </c>
      <c r="E268" s="6">
        <f>Исходн.данные.!E268</f>
        <v>0</v>
      </c>
      <c r="F268" s="6">
        <f>Исходн.данные.!AH268</f>
        <v>0</v>
      </c>
      <c r="G268" s="6">
        <f>Исходн.данные.!AJ268</f>
        <v>0</v>
      </c>
      <c r="H268" s="6">
        <f>Исходн.данные.!AK268</f>
        <v>0</v>
      </c>
      <c r="I268" s="9">
        <f>IF($F268=0,0,Расчет2!AO268)</f>
        <v>0</v>
      </c>
      <c r="J268" s="9">
        <f>IF(F268=0,0,Расчет2!AP268)</f>
        <v>0</v>
      </c>
      <c r="K268" s="10">
        <f>IF($F268=0,0,Расчет2!AQ268)</f>
        <v>0</v>
      </c>
      <c r="L268" s="10">
        <f>IF($F268=0,0,Расчет2!AR268)</f>
        <v>0</v>
      </c>
      <c r="M268" s="10">
        <f>IF($F268=0,0,Расчет2!AS268)</f>
        <v>0</v>
      </c>
      <c r="N268" s="10">
        <f>IF($F268=0,0,IF(Исходн.данные.!$AP268="Посл.посева",0,Расчет2!AT268))</f>
        <v>0</v>
      </c>
      <c r="O268" s="10">
        <f>IF($F268=0,0,IF(Исходн.данные.!$AP268="Посл.посева",0,IF(Расчет2!AU268&lt;10,10,Расчет2!AU268)))</f>
        <v>0</v>
      </c>
      <c r="P268" s="10">
        <f>IF($F268=0,0,IF(Исходн.данные.!$AP268="Посл.посева",0,Расчет2!AV268))</f>
        <v>0</v>
      </c>
      <c r="Q268" s="10">
        <f>IF($F268=0,0,Расчет2!AW268)</f>
        <v>0</v>
      </c>
      <c r="R268" s="10">
        <f>IF($F268=0,0,Расчет2!AX268)</f>
        <v>0</v>
      </c>
      <c r="S268" s="9">
        <f>IF($F268=0,0,Расчет2!AY268)</f>
        <v>0</v>
      </c>
      <c r="T268" s="10">
        <f>IF($F268=0,0,Расчет2!AZ268)</f>
        <v>0</v>
      </c>
      <c r="U268" s="10">
        <f>IF($F268=0,0,Расчет2!BA268)</f>
        <v>0</v>
      </c>
      <c r="V268" s="10">
        <f>IF($F268=0,0,Расчет2!BB268)</f>
        <v>0</v>
      </c>
      <c r="W268" s="10">
        <f>Расчет!DL268</f>
        <v>0</v>
      </c>
      <c r="X268" s="10">
        <f>Расчет!DN268</f>
        <v>0</v>
      </c>
      <c r="Y268" s="9">
        <f>X268*Исходн.данные.!$AJ268/1000</f>
        <v>0</v>
      </c>
      <c r="Z268" s="10" t="str">
        <f>Расчет!DO268</f>
        <v>Хлор.калий</v>
      </c>
      <c r="AA268" s="10">
        <f>Расчет!DQ268</f>
        <v>0</v>
      </c>
      <c r="AB268" s="12">
        <f>AA268*Исходн.данные.!$AJ268/1000</f>
        <v>0</v>
      </c>
      <c r="AC268" s="9">
        <f>IF($F268=0,0,Расчет2!BC268)</f>
        <v>0</v>
      </c>
      <c r="AD268" s="10">
        <f>IF($F268=0,0,Расчет2!BD268)</f>
        <v>0</v>
      </c>
      <c r="AE268" s="9">
        <f>IF($F268=0,0,Расчет2!BE268)</f>
        <v>0</v>
      </c>
      <c r="AF268" s="9">
        <f>IF($F268=0,0,Расчет2!BF268)</f>
        <v>0</v>
      </c>
      <c r="AG268" s="9">
        <f>IF($F268=0,0,Расчет2!BG268)</f>
        <v>0</v>
      </c>
      <c r="AI268" s="11" t="e">
        <f>Расчет!FY268</f>
        <v>#N/A</v>
      </c>
      <c r="AJ268" s="11" t="e">
        <f>Расчет!FZ268</f>
        <v>#N/A</v>
      </c>
      <c r="AK268" s="11" t="e">
        <f>Расчет!GA268</f>
        <v>#N/A</v>
      </c>
      <c r="AL268" s="11" t="e">
        <f>Расчет!GB268</f>
        <v>#N/A</v>
      </c>
      <c r="AM268" s="11" t="e">
        <f>Расчет!GC268</f>
        <v>#N/A</v>
      </c>
      <c r="AN268" s="11" t="e">
        <f>Расчет!GD268</f>
        <v>#N/A</v>
      </c>
      <c r="AO268" s="11" t="e">
        <f>Расчет!GE268</f>
        <v>#N/A</v>
      </c>
      <c r="AP268" s="11" t="e">
        <f>Расчет!GF268</f>
        <v>#N/A</v>
      </c>
      <c r="AQ268" s="11" t="e">
        <f>Расчет!GG268</f>
        <v>#N/A</v>
      </c>
      <c r="AR268" s="11" t="e">
        <f>Расчет!GH268</f>
        <v>#N/A</v>
      </c>
      <c r="AS268" s="11" t="e">
        <f>Расчет!GI268</f>
        <v>#N/A</v>
      </c>
      <c r="AT268" s="11" t="e">
        <f>Расчет!GJ268</f>
        <v>#N/A</v>
      </c>
      <c r="AU268" s="198" t="e">
        <f t="shared" si="27"/>
        <v>#N/A</v>
      </c>
      <c r="AV268" s="198" t="e">
        <f t="shared" si="28"/>
        <v>#N/A</v>
      </c>
      <c r="AW268" s="198" t="e">
        <f t="shared" si="29"/>
        <v>#N/A</v>
      </c>
      <c r="AX268" s="11" t="e">
        <f t="shared" si="30"/>
        <v>#N/A</v>
      </c>
      <c r="AY268" s="11" t="e">
        <f t="shared" si="31"/>
        <v>#N/A</v>
      </c>
      <c r="AZ268" s="11" t="e">
        <f t="shared" si="32"/>
        <v>#N/A</v>
      </c>
    </row>
    <row r="269" spans="1:52" x14ac:dyDescent="0.2">
      <c r="A269" s="6">
        <f>Исходн.данные.!A269</f>
        <v>0</v>
      </c>
      <c r="B269" s="6">
        <f>Исходн.данные.!B269</f>
        <v>0</v>
      </c>
      <c r="C269" s="6">
        <f>Исходн.данные.!C269</f>
        <v>0</v>
      </c>
      <c r="D269" s="6">
        <f>Исходн.данные.!D269</f>
        <v>0</v>
      </c>
      <c r="E269" s="6">
        <f>Исходн.данные.!E269</f>
        <v>0</v>
      </c>
      <c r="F269" s="6">
        <f>Исходн.данные.!AH269</f>
        <v>0</v>
      </c>
      <c r="G269" s="6">
        <f>Исходн.данные.!AJ269</f>
        <v>0</v>
      </c>
      <c r="H269" s="6">
        <f>Исходн.данные.!AK269</f>
        <v>0</v>
      </c>
      <c r="I269" s="9">
        <f>IF($F269=0,0,Расчет2!AO269)</f>
        <v>0</v>
      </c>
      <c r="J269" s="9">
        <f>IF(F269=0,0,Расчет2!AP269)</f>
        <v>0</v>
      </c>
      <c r="K269" s="10">
        <f>IF($F269=0,0,Расчет2!AQ269)</f>
        <v>0</v>
      </c>
      <c r="L269" s="10">
        <f>IF($F269=0,0,Расчет2!AR269)</f>
        <v>0</v>
      </c>
      <c r="M269" s="10">
        <f>IF($F269=0,0,Расчет2!AS269)</f>
        <v>0</v>
      </c>
      <c r="N269" s="10">
        <f>IF($F269=0,0,IF(Исходн.данные.!$AP269="Посл.посева",0,Расчет2!AT269))</f>
        <v>0</v>
      </c>
      <c r="O269" s="10">
        <f>IF($F269=0,0,IF(Исходн.данные.!$AP269="Посл.посева",0,IF(Расчет2!AU269&lt;10,10,Расчет2!AU269)))</f>
        <v>0</v>
      </c>
      <c r="P269" s="10">
        <f>IF($F269=0,0,IF(Исходн.данные.!$AP269="Посл.посева",0,Расчет2!AV269))</f>
        <v>0</v>
      </c>
      <c r="Q269" s="10">
        <f>IF($F269=0,0,Расчет2!AW269)</f>
        <v>0</v>
      </c>
      <c r="R269" s="10">
        <f>IF($F269=0,0,Расчет2!AX269)</f>
        <v>0</v>
      </c>
      <c r="S269" s="9">
        <f>IF($F269=0,0,Расчет2!AY269)</f>
        <v>0</v>
      </c>
      <c r="T269" s="10">
        <f>IF($F269=0,0,Расчет2!AZ269)</f>
        <v>0</v>
      </c>
      <c r="U269" s="10">
        <f>IF($F269=0,0,Расчет2!BA269)</f>
        <v>0</v>
      </c>
      <c r="V269" s="10">
        <f>IF($F269=0,0,Расчет2!BB269)</f>
        <v>0</v>
      </c>
      <c r="W269" s="10">
        <f>Расчет!DL269</f>
        <v>0</v>
      </c>
      <c r="X269" s="10">
        <f>Расчет!DN269</f>
        <v>0</v>
      </c>
      <c r="Y269" s="9">
        <f>X269*Исходн.данные.!$AJ269/1000</f>
        <v>0</v>
      </c>
      <c r="Z269" s="10" t="str">
        <f>Расчет!DO269</f>
        <v>Хлор.калий</v>
      </c>
      <c r="AA269" s="10">
        <f>Расчет!DQ269</f>
        <v>0</v>
      </c>
      <c r="AB269" s="12">
        <f>AA269*Исходн.данные.!$AJ269/1000</f>
        <v>0</v>
      </c>
      <c r="AC269" s="9">
        <f>IF($F269=0,0,Расчет2!BC269)</f>
        <v>0</v>
      </c>
      <c r="AD269" s="10">
        <f>IF($F269=0,0,Расчет2!BD269)</f>
        <v>0</v>
      </c>
      <c r="AE269" s="9">
        <f>IF($F269=0,0,Расчет2!BE269)</f>
        <v>0</v>
      </c>
      <c r="AF269" s="9">
        <f>IF($F269=0,0,Расчет2!BF269)</f>
        <v>0</v>
      </c>
      <c r="AG269" s="9">
        <f>IF($F269=0,0,Расчет2!BG269)</f>
        <v>0</v>
      </c>
      <c r="AI269" s="11" t="e">
        <f>Расчет!FY269</f>
        <v>#N/A</v>
      </c>
      <c r="AJ269" s="11" t="e">
        <f>Расчет!FZ269</f>
        <v>#N/A</v>
      </c>
      <c r="AK269" s="11" t="e">
        <f>Расчет!GA269</f>
        <v>#N/A</v>
      </c>
      <c r="AL269" s="11" t="e">
        <f>Расчет!GB269</f>
        <v>#N/A</v>
      </c>
      <c r="AM269" s="11" t="e">
        <f>Расчет!GC269</f>
        <v>#N/A</v>
      </c>
      <c r="AN269" s="11" t="e">
        <f>Расчет!GD269</f>
        <v>#N/A</v>
      </c>
      <c r="AO269" s="11" t="e">
        <f>Расчет!GE269</f>
        <v>#N/A</v>
      </c>
      <c r="AP269" s="11" t="e">
        <f>Расчет!GF269</f>
        <v>#N/A</v>
      </c>
      <c r="AQ269" s="11" t="e">
        <f>Расчет!GG269</f>
        <v>#N/A</v>
      </c>
      <c r="AR269" s="11" t="e">
        <f>Расчет!GH269</f>
        <v>#N/A</v>
      </c>
      <c r="AS269" s="11" t="e">
        <f>Расчет!GI269</f>
        <v>#N/A</v>
      </c>
      <c r="AT269" s="11" t="e">
        <f>Расчет!GJ269</f>
        <v>#N/A</v>
      </c>
      <c r="AU269" s="198" t="e">
        <f t="shared" si="27"/>
        <v>#N/A</v>
      </c>
      <c r="AV269" s="198" t="e">
        <f t="shared" si="28"/>
        <v>#N/A</v>
      </c>
      <c r="AW269" s="198" t="e">
        <f t="shared" si="29"/>
        <v>#N/A</v>
      </c>
      <c r="AX269" s="11" t="e">
        <f t="shared" si="30"/>
        <v>#N/A</v>
      </c>
      <c r="AY269" s="11" t="e">
        <f t="shared" si="31"/>
        <v>#N/A</v>
      </c>
      <c r="AZ269" s="11" t="e">
        <f t="shared" si="32"/>
        <v>#N/A</v>
      </c>
    </row>
    <row r="270" spans="1:52" x14ac:dyDescent="0.2">
      <c r="A270" s="6">
        <f>Исходн.данные.!A270</f>
        <v>0</v>
      </c>
      <c r="B270" s="6">
        <f>Исходн.данные.!B270</f>
        <v>0</v>
      </c>
      <c r="C270" s="6">
        <f>Исходн.данные.!C270</f>
        <v>0</v>
      </c>
      <c r="D270" s="6">
        <f>Исходн.данные.!D270</f>
        <v>0</v>
      </c>
      <c r="E270" s="6">
        <f>Исходн.данные.!E270</f>
        <v>0</v>
      </c>
      <c r="F270" s="6">
        <f>Исходн.данные.!AH270</f>
        <v>0</v>
      </c>
      <c r="G270" s="6">
        <f>Исходн.данные.!AJ270</f>
        <v>0</v>
      </c>
      <c r="H270" s="6">
        <f>Исходн.данные.!AK270</f>
        <v>0</v>
      </c>
      <c r="I270" s="9">
        <f>IF($F270=0,0,Расчет2!AO270)</f>
        <v>0</v>
      </c>
      <c r="J270" s="9">
        <f>IF(F270=0,0,Расчет2!AP270)</f>
        <v>0</v>
      </c>
      <c r="K270" s="10">
        <f>IF($F270=0,0,Расчет2!AQ270)</f>
        <v>0</v>
      </c>
      <c r="L270" s="10">
        <f>IF($F270=0,0,Расчет2!AR270)</f>
        <v>0</v>
      </c>
      <c r="M270" s="10">
        <f>IF($F270=0,0,Расчет2!AS270)</f>
        <v>0</v>
      </c>
      <c r="N270" s="10">
        <f>IF($F270=0,0,IF(Исходн.данные.!$AP270="Посл.посева",0,Расчет2!AT270))</f>
        <v>0</v>
      </c>
      <c r="O270" s="10">
        <f>IF($F270=0,0,IF(Исходн.данные.!$AP270="Посл.посева",0,IF(Расчет2!AU270&lt;10,10,Расчет2!AU270)))</f>
        <v>0</v>
      </c>
      <c r="P270" s="10">
        <f>IF($F270=0,0,IF(Исходн.данные.!$AP270="Посл.посева",0,Расчет2!AV270))</f>
        <v>0</v>
      </c>
      <c r="Q270" s="10">
        <f>IF($F270=0,0,Расчет2!AW270)</f>
        <v>0</v>
      </c>
      <c r="R270" s="10">
        <f>IF($F270=0,0,Расчет2!AX270)</f>
        <v>0</v>
      </c>
      <c r="S270" s="9">
        <f>IF($F270=0,0,Расчет2!AY270)</f>
        <v>0</v>
      </c>
      <c r="T270" s="10">
        <f>IF($F270=0,0,Расчет2!AZ270)</f>
        <v>0</v>
      </c>
      <c r="U270" s="10">
        <f>IF($F270=0,0,Расчет2!BA270)</f>
        <v>0</v>
      </c>
      <c r="V270" s="10">
        <f>IF($F270=0,0,Расчет2!BB270)</f>
        <v>0</v>
      </c>
      <c r="W270" s="10">
        <f>Расчет!DL270</f>
        <v>0</v>
      </c>
      <c r="X270" s="10">
        <f>Расчет!DN270</f>
        <v>0</v>
      </c>
      <c r="Y270" s="9">
        <f>X270*Исходн.данные.!$AJ270/1000</f>
        <v>0</v>
      </c>
      <c r="Z270" s="10" t="str">
        <f>Расчет!DO270</f>
        <v>Хлор.калий</v>
      </c>
      <c r="AA270" s="10">
        <f>Расчет!DQ270</f>
        <v>0</v>
      </c>
      <c r="AB270" s="12">
        <f>AA270*Исходн.данные.!$AJ270/1000</f>
        <v>0</v>
      </c>
      <c r="AC270" s="9">
        <f>IF($F270=0,0,Расчет2!BC270)</f>
        <v>0</v>
      </c>
      <c r="AD270" s="10">
        <f>IF($F270=0,0,Расчет2!BD270)</f>
        <v>0</v>
      </c>
      <c r="AE270" s="9">
        <f>IF($F270=0,0,Расчет2!BE270)</f>
        <v>0</v>
      </c>
      <c r="AF270" s="9">
        <f>IF($F270=0,0,Расчет2!BF270)</f>
        <v>0</v>
      </c>
      <c r="AG270" s="9">
        <f>IF($F270=0,0,Расчет2!BG270)</f>
        <v>0</v>
      </c>
      <c r="AI270" s="11" t="e">
        <f>Расчет!FY270</f>
        <v>#N/A</v>
      </c>
      <c r="AJ270" s="11" t="e">
        <f>Расчет!FZ270</f>
        <v>#N/A</v>
      </c>
      <c r="AK270" s="11" t="e">
        <f>Расчет!GA270</f>
        <v>#N/A</v>
      </c>
      <c r="AL270" s="11" t="e">
        <f>Расчет!GB270</f>
        <v>#N/A</v>
      </c>
      <c r="AM270" s="11" t="e">
        <f>Расчет!GC270</f>
        <v>#N/A</v>
      </c>
      <c r="AN270" s="11" t="e">
        <f>Расчет!GD270</f>
        <v>#N/A</v>
      </c>
      <c r="AO270" s="11" t="e">
        <f>Расчет!GE270</f>
        <v>#N/A</v>
      </c>
      <c r="AP270" s="11" t="e">
        <f>Расчет!GF270</f>
        <v>#N/A</v>
      </c>
      <c r="AQ270" s="11" t="e">
        <f>Расчет!GG270</f>
        <v>#N/A</v>
      </c>
      <c r="AR270" s="11" t="e">
        <f>Расчет!GH270</f>
        <v>#N/A</v>
      </c>
      <c r="AS270" s="11" t="e">
        <f>Расчет!GI270</f>
        <v>#N/A</v>
      </c>
      <c r="AT270" s="11" t="e">
        <f>Расчет!GJ270</f>
        <v>#N/A</v>
      </c>
      <c r="AU270" s="198" t="e">
        <f t="shared" si="27"/>
        <v>#N/A</v>
      </c>
      <c r="AV270" s="198" t="e">
        <f t="shared" si="28"/>
        <v>#N/A</v>
      </c>
      <c r="AW270" s="198" t="e">
        <f t="shared" si="29"/>
        <v>#N/A</v>
      </c>
      <c r="AX270" s="11" t="e">
        <f t="shared" si="30"/>
        <v>#N/A</v>
      </c>
      <c r="AY270" s="11" t="e">
        <f t="shared" si="31"/>
        <v>#N/A</v>
      </c>
      <c r="AZ270" s="11" t="e">
        <f t="shared" si="32"/>
        <v>#N/A</v>
      </c>
    </row>
    <row r="271" spans="1:52" x14ac:dyDescent="0.2">
      <c r="A271" s="6">
        <f>Исходн.данные.!A271</f>
        <v>0</v>
      </c>
      <c r="B271" s="6">
        <f>Исходн.данные.!B271</f>
        <v>0</v>
      </c>
      <c r="C271" s="6">
        <f>Исходн.данные.!C271</f>
        <v>0</v>
      </c>
      <c r="D271" s="6">
        <f>Исходн.данные.!D271</f>
        <v>0</v>
      </c>
      <c r="E271" s="6">
        <f>Исходн.данные.!E271</f>
        <v>0</v>
      </c>
      <c r="F271" s="6">
        <f>Исходн.данные.!AH271</f>
        <v>0</v>
      </c>
      <c r="G271" s="6">
        <f>Исходн.данные.!AJ271</f>
        <v>0</v>
      </c>
      <c r="H271" s="6">
        <f>Исходн.данные.!AK271</f>
        <v>0</v>
      </c>
      <c r="I271" s="9">
        <f>IF($F271=0,0,Расчет2!AO271)</f>
        <v>0</v>
      </c>
      <c r="J271" s="9">
        <f>IF(F271=0,0,Расчет2!AP271)</f>
        <v>0</v>
      </c>
      <c r="K271" s="10">
        <f>IF($F271=0,0,Расчет2!AQ271)</f>
        <v>0</v>
      </c>
      <c r="L271" s="10">
        <f>IF($F271=0,0,Расчет2!AR271)</f>
        <v>0</v>
      </c>
      <c r="M271" s="10">
        <f>IF($F271=0,0,Расчет2!AS271)</f>
        <v>0</v>
      </c>
      <c r="N271" s="10">
        <f>IF($F271=0,0,IF(Исходн.данные.!$AP271="Посл.посева",0,Расчет2!AT271))</f>
        <v>0</v>
      </c>
      <c r="O271" s="10">
        <f>IF($F271=0,0,IF(Исходн.данные.!$AP271="Посл.посева",0,IF(Расчет2!AU271&lt;10,10,Расчет2!AU271)))</f>
        <v>0</v>
      </c>
      <c r="P271" s="10">
        <f>IF($F271=0,0,IF(Исходн.данные.!$AP271="Посл.посева",0,Расчет2!AV271))</f>
        <v>0</v>
      </c>
      <c r="Q271" s="10">
        <f>IF($F271=0,0,Расчет2!AW271)</f>
        <v>0</v>
      </c>
      <c r="R271" s="10">
        <f>IF($F271=0,0,Расчет2!AX271)</f>
        <v>0</v>
      </c>
      <c r="S271" s="9">
        <f>IF($F271=0,0,Расчет2!AY271)</f>
        <v>0</v>
      </c>
      <c r="T271" s="10">
        <f>IF($F271=0,0,Расчет2!AZ271)</f>
        <v>0</v>
      </c>
      <c r="U271" s="10">
        <f>IF($F271=0,0,Расчет2!BA271)</f>
        <v>0</v>
      </c>
      <c r="V271" s="10">
        <f>IF($F271=0,0,Расчет2!BB271)</f>
        <v>0</v>
      </c>
      <c r="W271" s="10">
        <f>Расчет!DL271</f>
        <v>0</v>
      </c>
      <c r="X271" s="10">
        <f>Расчет!DN271</f>
        <v>0</v>
      </c>
      <c r="Y271" s="9">
        <f>X271*Исходн.данные.!$AJ271/1000</f>
        <v>0</v>
      </c>
      <c r="Z271" s="10" t="str">
        <f>Расчет!DO271</f>
        <v>Хлор.калий</v>
      </c>
      <c r="AA271" s="10">
        <f>Расчет!DQ271</f>
        <v>0</v>
      </c>
      <c r="AB271" s="12">
        <f>AA271*Исходн.данные.!$AJ271/1000</f>
        <v>0</v>
      </c>
      <c r="AC271" s="9">
        <f>IF($F271=0,0,Расчет2!BC271)</f>
        <v>0</v>
      </c>
      <c r="AD271" s="10">
        <f>IF($F271=0,0,Расчет2!BD271)</f>
        <v>0</v>
      </c>
      <c r="AE271" s="9">
        <f>IF($F271=0,0,Расчет2!BE271)</f>
        <v>0</v>
      </c>
      <c r="AF271" s="9">
        <f>IF($F271=0,0,Расчет2!BF271)</f>
        <v>0</v>
      </c>
      <c r="AG271" s="9">
        <f>IF($F271=0,0,Расчет2!BG271)</f>
        <v>0</v>
      </c>
      <c r="AI271" s="11" t="e">
        <f>Расчет!FY271</f>
        <v>#N/A</v>
      </c>
      <c r="AJ271" s="11" t="e">
        <f>Расчет!FZ271</f>
        <v>#N/A</v>
      </c>
      <c r="AK271" s="11" t="e">
        <f>Расчет!GA271</f>
        <v>#N/A</v>
      </c>
      <c r="AL271" s="11" t="e">
        <f>Расчет!GB271</f>
        <v>#N/A</v>
      </c>
      <c r="AM271" s="11" t="e">
        <f>Расчет!GC271</f>
        <v>#N/A</v>
      </c>
      <c r="AN271" s="11" t="e">
        <f>Расчет!GD271</f>
        <v>#N/A</v>
      </c>
      <c r="AO271" s="11" t="e">
        <f>Расчет!GE271</f>
        <v>#N/A</v>
      </c>
      <c r="AP271" s="11" t="e">
        <f>Расчет!GF271</f>
        <v>#N/A</v>
      </c>
      <c r="AQ271" s="11" t="e">
        <f>Расчет!GG271</f>
        <v>#N/A</v>
      </c>
      <c r="AR271" s="11" t="e">
        <f>Расчет!GH271</f>
        <v>#N/A</v>
      </c>
      <c r="AS271" s="11" t="e">
        <f>Расчет!GI271</f>
        <v>#N/A</v>
      </c>
      <c r="AT271" s="11" t="e">
        <f>Расчет!GJ271</f>
        <v>#N/A</v>
      </c>
      <c r="AU271" s="198" t="e">
        <f t="shared" si="27"/>
        <v>#N/A</v>
      </c>
      <c r="AV271" s="198" t="e">
        <f t="shared" si="28"/>
        <v>#N/A</v>
      </c>
      <c r="AW271" s="198" t="e">
        <f t="shared" si="29"/>
        <v>#N/A</v>
      </c>
      <c r="AX271" s="11" t="e">
        <f t="shared" si="30"/>
        <v>#N/A</v>
      </c>
      <c r="AY271" s="11" t="e">
        <f t="shared" si="31"/>
        <v>#N/A</v>
      </c>
      <c r="AZ271" s="11" t="e">
        <f t="shared" si="32"/>
        <v>#N/A</v>
      </c>
    </row>
    <row r="272" spans="1:52" x14ac:dyDescent="0.2">
      <c r="A272" s="6">
        <f>Исходн.данные.!A272</f>
        <v>0</v>
      </c>
      <c r="B272" s="6">
        <f>Исходн.данные.!B272</f>
        <v>0</v>
      </c>
      <c r="C272" s="6">
        <f>Исходн.данные.!C272</f>
        <v>0</v>
      </c>
      <c r="D272" s="6">
        <f>Исходн.данные.!D272</f>
        <v>0</v>
      </c>
      <c r="E272" s="6">
        <f>Исходн.данные.!E272</f>
        <v>0</v>
      </c>
      <c r="F272" s="6">
        <f>Исходн.данные.!AH272</f>
        <v>0</v>
      </c>
      <c r="G272" s="6">
        <f>Исходн.данные.!AJ272</f>
        <v>0</v>
      </c>
      <c r="H272" s="6">
        <f>Исходн.данные.!AK272</f>
        <v>0</v>
      </c>
      <c r="I272" s="9">
        <f>IF($F272=0,0,Расчет2!AO272)</f>
        <v>0</v>
      </c>
      <c r="J272" s="9">
        <f>IF(F272=0,0,Расчет2!AP272)</f>
        <v>0</v>
      </c>
      <c r="K272" s="10">
        <f>IF($F272=0,0,Расчет2!AQ272)</f>
        <v>0</v>
      </c>
      <c r="L272" s="10">
        <f>IF($F272=0,0,Расчет2!AR272)</f>
        <v>0</v>
      </c>
      <c r="M272" s="10">
        <f>IF($F272=0,0,Расчет2!AS272)</f>
        <v>0</v>
      </c>
      <c r="N272" s="10">
        <f>IF($F272=0,0,IF(Исходн.данные.!$AP272="Посл.посева",0,Расчет2!AT272))</f>
        <v>0</v>
      </c>
      <c r="O272" s="10">
        <f>IF($F272=0,0,IF(Исходн.данные.!$AP272="Посл.посева",0,IF(Расчет2!AU272&lt;10,10,Расчет2!AU272)))</f>
        <v>0</v>
      </c>
      <c r="P272" s="10">
        <f>IF($F272=0,0,IF(Исходн.данные.!$AP272="Посл.посева",0,Расчет2!AV272))</f>
        <v>0</v>
      </c>
      <c r="Q272" s="10">
        <f>IF($F272=0,0,Расчет2!AW272)</f>
        <v>0</v>
      </c>
      <c r="R272" s="10">
        <f>IF($F272=0,0,Расчет2!AX272)</f>
        <v>0</v>
      </c>
      <c r="S272" s="9">
        <f>IF($F272=0,0,Расчет2!AY272)</f>
        <v>0</v>
      </c>
      <c r="T272" s="10">
        <f>IF($F272=0,0,Расчет2!AZ272)</f>
        <v>0</v>
      </c>
      <c r="U272" s="10">
        <f>IF($F272=0,0,Расчет2!BA272)</f>
        <v>0</v>
      </c>
      <c r="V272" s="10">
        <f>IF($F272=0,0,Расчет2!BB272)</f>
        <v>0</v>
      </c>
      <c r="W272" s="10">
        <f>Расчет!DL272</f>
        <v>0</v>
      </c>
      <c r="X272" s="10">
        <f>Расчет!DN272</f>
        <v>0</v>
      </c>
      <c r="Y272" s="9">
        <f>X272*Исходн.данные.!$AJ272/1000</f>
        <v>0</v>
      </c>
      <c r="Z272" s="10" t="str">
        <f>Расчет!DO272</f>
        <v>Хлор.калий</v>
      </c>
      <c r="AA272" s="10">
        <f>Расчет!DQ272</f>
        <v>0</v>
      </c>
      <c r="AB272" s="12">
        <f>AA272*Исходн.данные.!$AJ272/1000</f>
        <v>0</v>
      </c>
      <c r="AC272" s="9">
        <f>IF($F272=0,0,Расчет2!BC272)</f>
        <v>0</v>
      </c>
      <c r="AD272" s="10">
        <f>IF($F272=0,0,Расчет2!BD272)</f>
        <v>0</v>
      </c>
      <c r="AE272" s="9">
        <f>IF($F272=0,0,Расчет2!BE272)</f>
        <v>0</v>
      </c>
      <c r="AF272" s="9">
        <f>IF($F272=0,0,Расчет2!BF272)</f>
        <v>0</v>
      </c>
      <c r="AG272" s="9">
        <f>IF($F272=0,0,Расчет2!BG272)</f>
        <v>0</v>
      </c>
      <c r="AI272" s="11" t="e">
        <f>Расчет!FY272</f>
        <v>#N/A</v>
      </c>
      <c r="AJ272" s="11" t="e">
        <f>Расчет!FZ272</f>
        <v>#N/A</v>
      </c>
      <c r="AK272" s="11" t="e">
        <f>Расчет!GA272</f>
        <v>#N/A</v>
      </c>
      <c r="AL272" s="11" t="e">
        <f>Расчет!GB272</f>
        <v>#N/A</v>
      </c>
      <c r="AM272" s="11" t="e">
        <f>Расчет!GC272</f>
        <v>#N/A</v>
      </c>
      <c r="AN272" s="11" t="e">
        <f>Расчет!GD272</f>
        <v>#N/A</v>
      </c>
      <c r="AO272" s="11" t="e">
        <f>Расчет!GE272</f>
        <v>#N/A</v>
      </c>
      <c r="AP272" s="11" t="e">
        <f>Расчет!GF272</f>
        <v>#N/A</v>
      </c>
      <c r="AQ272" s="11" t="e">
        <f>Расчет!GG272</f>
        <v>#N/A</v>
      </c>
      <c r="AR272" s="11" t="e">
        <f>Расчет!GH272</f>
        <v>#N/A</v>
      </c>
      <c r="AS272" s="11" t="e">
        <f>Расчет!GI272</f>
        <v>#N/A</v>
      </c>
      <c r="AT272" s="11" t="e">
        <f>Расчет!GJ272</f>
        <v>#N/A</v>
      </c>
      <c r="AU272" s="198" t="e">
        <f t="shared" si="27"/>
        <v>#N/A</v>
      </c>
      <c r="AV272" s="198" t="e">
        <f t="shared" si="28"/>
        <v>#N/A</v>
      </c>
      <c r="AW272" s="198" t="e">
        <f t="shared" si="29"/>
        <v>#N/A</v>
      </c>
      <c r="AX272" s="11" t="e">
        <f t="shared" si="30"/>
        <v>#N/A</v>
      </c>
      <c r="AY272" s="11" t="e">
        <f t="shared" si="31"/>
        <v>#N/A</v>
      </c>
      <c r="AZ272" s="11" t="e">
        <f t="shared" si="32"/>
        <v>#N/A</v>
      </c>
    </row>
    <row r="273" spans="1:52" x14ac:dyDescent="0.2">
      <c r="A273" s="6">
        <f>Исходн.данные.!A273</f>
        <v>0</v>
      </c>
      <c r="B273" s="6">
        <f>Исходн.данные.!B273</f>
        <v>0</v>
      </c>
      <c r="C273" s="6">
        <f>Исходн.данные.!C273</f>
        <v>0</v>
      </c>
      <c r="D273" s="6">
        <f>Исходн.данные.!D273</f>
        <v>0</v>
      </c>
      <c r="E273" s="6">
        <f>Исходн.данные.!E273</f>
        <v>0</v>
      </c>
      <c r="F273" s="6">
        <f>Исходн.данные.!AH273</f>
        <v>0</v>
      </c>
      <c r="G273" s="6">
        <f>Исходн.данные.!AJ273</f>
        <v>0</v>
      </c>
      <c r="H273" s="6">
        <f>Исходн.данные.!AK273</f>
        <v>0</v>
      </c>
      <c r="I273" s="9">
        <f>IF($F273=0,0,Расчет2!AO273)</f>
        <v>0</v>
      </c>
      <c r="J273" s="9">
        <f>IF(F273=0,0,Расчет2!AP273)</f>
        <v>0</v>
      </c>
      <c r="K273" s="10">
        <f>IF($F273=0,0,Расчет2!AQ273)</f>
        <v>0</v>
      </c>
      <c r="L273" s="10">
        <f>IF($F273=0,0,Расчет2!AR273)</f>
        <v>0</v>
      </c>
      <c r="M273" s="10">
        <f>IF($F273=0,0,Расчет2!AS273)</f>
        <v>0</v>
      </c>
      <c r="N273" s="10">
        <f>IF($F273=0,0,IF(Исходн.данные.!$AP273="Посл.посева",0,Расчет2!AT273))</f>
        <v>0</v>
      </c>
      <c r="O273" s="10">
        <f>IF($F273=0,0,IF(Исходн.данные.!$AP273="Посл.посева",0,IF(Расчет2!AU273&lt;10,10,Расчет2!AU273)))</f>
        <v>0</v>
      </c>
      <c r="P273" s="10">
        <f>IF($F273=0,0,IF(Исходн.данные.!$AP273="Посл.посева",0,Расчет2!AV273))</f>
        <v>0</v>
      </c>
      <c r="Q273" s="10">
        <f>IF($F273=0,0,Расчет2!AW273)</f>
        <v>0</v>
      </c>
      <c r="R273" s="10">
        <f>IF($F273=0,0,Расчет2!AX273)</f>
        <v>0</v>
      </c>
      <c r="S273" s="9">
        <f>IF($F273=0,0,Расчет2!AY273)</f>
        <v>0</v>
      </c>
      <c r="T273" s="10">
        <f>IF($F273=0,0,Расчет2!AZ273)</f>
        <v>0</v>
      </c>
      <c r="U273" s="10">
        <f>IF($F273=0,0,Расчет2!BA273)</f>
        <v>0</v>
      </c>
      <c r="V273" s="10">
        <f>IF($F273=0,0,Расчет2!BB273)</f>
        <v>0</v>
      </c>
      <c r="W273" s="10">
        <f>Расчет!DL273</f>
        <v>0</v>
      </c>
      <c r="X273" s="10">
        <f>Расчет!DN273</f>
        <v>0</v>
      </c>
      <c r="Y273" s="9">
        <f>X273*Исходн.данные.!$AJ273/1000</f>
        <v>0</v>
      </c>
      <c r="Z273" s="10" t="str">
        <f>Расчет!DO273</f>
        <v>Хлор.калий</v>
      </c>
      <c r="AA273" s="10">
        <f>Расчет!DQ273</f>
        <v>0</v>
      </c>
      <c r="AB273" s="12">
        <f>AA273*Исходн.данные.!$AJ273/1000</f>
        <v>0</v>
      </c>
      <c r="AC273" s="9">
        <f>IF($F273=0,0,Расчет2!BC273)</f>
        <v>0</v>
      </c>
      <c r="AD273" s="10">
        <f>IF($F273=0,0,Расчет2!BD273)</f>
        <v>0</v>
      </c>
      <c r="AE273" s="9">
        <f>IF($F273=0,0,Расчет2!BE273)</f>
        <v>0</v>
      </c>
      <c r="AF273" s="9">
        <f>IF($F273=0,0,Расчет2!BF273)</f>
        <v>0</v>
      </c>
      <c r="AG273" s="9">
        <f>IF($F273=0,0,Расчет2!BG273)</f>
        <v>0</v>
      </c>
      <c r="AI273" s="11" t="e">
        <f>Расчет!FY273</f>
        <v>#N/A</v>
      </c>
      <c r="AJ273" s="11" t="e">
        <f>Расчет!FZ273</f>
        <v>#N/A</v>
      </c>
      <c r="AK273" s="11" t="e">
        <f>Расчет!GA273</f>
        <v>#N/A</v>
      </c>
      <c r="AL273" s="11" t="e">
        <f>Расчет!GB273</f>
        <v>#N/A</v>
      </c>
      <c r="AM273" s="11" t="e">
        <f>Расчет!GC273</f>
        <v>#N/A</v>
      </c>
      <c r="AN273" s="11" t="e">
        <f>Расчет!GD273</f>
        <v>#N/A</v>
      </c>
      <c r="AO273" s="11" t="e">
        <f>Расчет!GE273</f>
        <v>#N/A</v>
      </c>
      <c r="AP273" s="11" t="e">
        <f>Расчет!GF273</f>
        <v>#N/A</v>
      </c>
      <c r="AQ273" s="11" t="e">
        <f>Расчет!GG273</f>
        <v>#N/A</v>
      </c>
      <c r="AR273" s="11" t="e">
        <f>Расчет!GH273</f>
        <v>#N/A</v>
      </c>
      <c r="AS273" s="11" t="e">
        <f>Расчет!GI273</f>
        <v>#N/A</v>
      </c>
      <c r="AT273" s="11" t="e">
        <f>Расчет!GJ273</f>
        <v>#N/A</v>
      </c>
      <c r="AU273" s="198" t="e">
        <f t="shared" si="27"/>
        <v>#N/A</v>
      </c>
      <c r="AV273" s="198" t="e">
        <f t="shared" si="28"/>
        <v>#N/A</v>
      </c>
      <c r="AW273" s="198" t="e">
        <f t="shared" si="29"/>
        <v>#N/A</v>
      </c>
      <c r="AX273" s="11" t="e">
        <f t="shared" si="30"/>
        <v>#N/A</v>
      </c>
      <c r="AY273" s="11" t="e">
        <f t="shared" si="31"/>
        <v>#N/A</v>
      </c>
      <c r="AZ273" s="11" t="e">
        <f t="shared" si="32"/>
        <v>#N/A</v>
      </c>
    </row>
    <row r="274" spans="1:52" x14ac:dyDescent="0.2">
      <c r="A274" s="6">
        <f>Исходн.данные.!A274</f>
        <v>0</v>
      </c>
      <c r="B274" s="6">
        <f>Исходн.данные.!B274</f>
        <v>0</v>
      </c>
      <c r="C274" s="6">
        <f>Исходн.данные.!C274</f>
        <v>0</v>
      </c>
      <c r="D274" s="6">
        <f>Исходн.данные.!D274</f>
        <v>0</v>
      </c>
      <c r="E274" s="6">
        <f>Исходн.данные.!E274</f>
        <v>0</v>
      </c>
      <c r="F274" s="6">
        <f>Исходн.данные.!AH274</f>
        <v>0</v>
      </c>
      <c r="G274" s="6">
        <f>Исходн.данные.!AJ274</f>
        <v>0</v>
      </c>
      <c r="H274" s="6">
        <f>Исходн.данные.!AK274</f>
        <v>0</v>
      </c>
      <c r="I274" s="9">
        <f>IF($F274=0,0,Расчет2!AO274)</f>
        <v>0</v>
      </c>
      <c r="J274" s="9">
        <f>IF(F274=0,0,Расчет2!AP274)</f>
        <v>0</v>
      </c>
      <c r="K274" s="10">
        <f>IF($F274=0,0,Расчет2!AQ274)</f>
        <v>0</v>
      </c>
      <c r="L274" s="10">
        <f>IF($F274=0,0,Расчет2!AR274)</f>
        <v>0</v>
      </c>
      <c r="M274" s="10">
        <f>IF($F274=0,0,Расчет2!AS274)</f>
        <v>0</v>
      </c>
      <c r="N274" s="10">
        <f>IF($F274=0,0,IF(Исходн.данные.!$AP274="Посл.посева",0,Расчет2!AT274))</f>
        <v>0</v>
      </c>
      <c r="O274" s="10">
        <f>IF($F274=0,0,IF(Исходн.данные.!$AP274="Посл.посева",0,IF(Расчет2!AU274&lt;10,10,Расчет2!AU274)))</f>
        <v>0</v>
      </c>
      <c r="P274" s="10">
        <f>IF($F274=0,0,IF(Исходн.данные.!$AP274="Посл.посева",0,Расчет2!AV274))</f>
        <v>0</v>
      </c>
      <c r="Q274" s="10">
        <f>IF($F274=0,0,Расчет2!AW274)</f>
        <v>0</v>
      </c>
      <c r="R274" s="10">
        <f>IF($F274=0,0,Расчет2!AX274)</f>
        <v>0</v>
      </c>
      <c r="S274" s="9">
        <f>IF($F274=0,0,Расчет2!AY274)</f>
        <v>0</v>
      </c>
      <c r="T274" s="10">
        <f>IF($F274=0,0,Расчет2!AZ274)</f>
        <v>0</v>
      </c>
      <c r="U274" s="10">
        <f>IF($F274=0,0,Расчет2!BA274)</f>
        <v>0</v>
      </c>
      <c r="V274" s="10">
        <f>IF($F274=0,0,Расчет2!BB274)</f>
        <v>0</v>
      </c>
      <c r="W274" s="10">
        <f>Расчет!DL274</f>
        <v>0</v>
      </c>
      <c r="X274" s="10">
        <f>Расчет!DN274</f>
        <v>0</v>
      </c>
      <c r="Y274" s="9">
        <f>X274*Исходн.данные.!$AJ274/1000</f>
        <v>0</v>
      </c>
      <c r="Z274" s="10" t="str">
        <f>Расчет!DO274</f>
        <v>Хлор.калий</v>
      </c>
      <c r="AA274" s="10">
        <f>Расчет!DQ274</f>
        <v>0</v>
      </c>
      <c r="AB274" s="12">
        <f>AA274*Исходн.данные.!$AJ274/1000</f>
        <v>0</v>
      </c>
      <c r="AC274" s="9">
        <f>IF($F274=0,0,Расчет2!BC274)</f>
        <v>0</v>
      </c>
      <c r="AD274" s="10">
        <f>IF($F274=0,0,Расчет2!BD274)</f>
        <v>0</v>
      </c>
      <c r="AE274" s="9">
        <f>IF($F274=0,0,Расчет2!BE274)</f>
        <v>0</v>
      </c>
      <c r="AF274" s="9">
        <f>IF($F274=0,0,Расчет2!BF274)</f>
        <v>0</v>
      </c>
      <c r="AG274" s="9">
        <f>IF($F274=0,0,Расчет2!BG274)</f>
        <v>0</v>
      </c>
      <c r="AI274" s="11" t="e">
        <f>Расчет!FY274</f>
        <v>#N/A</v>
      </c>
      <c r="AJ274" s="11" t="e">
        <f>Расчет!FZ274</f>
        <v>#N/A</v>
      </c>
      <c r="AK274" s="11" t="e">
        <f>Расчет!GA274</f>
        <v>#N/A</v>
      </c>
      <c r="AL274" s="11" t="e">
        <f>Расчет!GB274</f>
        <v>#N/A</v>
      </c>
      <c r="AM274" s="11" t="e">
        <f>Расчет!GC274</f>
        <v>#N/A</v>
      </c>
      <c r="AN274" s="11" t="e">
        <f>Расчет!GD274</f>
        <v>#N/A</v>
      </c>
      <c r="AO274" s="11" t="e">
        <f>Расчет!GE274</f>
        <v>#N/A</v>
      </c>
      <c r="AP274" s="11" t="e">
        <f>Расчет!GF274</f>
        <v>#N/A</v>
      </c>
      <c r="AQ274" s="11" t="e">
        <f>Расчет!GG274</f>
        <v>#N/A</v>
      </c>
      <c r="AR274" s="11" t="e">
        <f>Расчет!GH274</f>
        <v>#N/A</v>
      </c>
      <c r="AS274" s="11" t="e">
        <f>Расчет!GI274</f>
        <v>#N/A</v>
      </c>
      <c r="AT274" s="11" t="e">
        <f>Расчет!GJ274</f>
        <v>#N/A</v>
      </c>
      <c r="AU274" s="198" t="e">
        <f t="shared" si="27"/>
        <v>#N/A</v>
      </c>
      <c r="AV274" s="198" t="e">
        <f t="shared" si="28"/>
        <v>#N/A</v>
      </c>
      <c r="AW274" s="198" t="e">
        <f t="shared" si="29"/>
        <v>#N/A</v>
      </c>
      <c r="AX274" s="11" t="e">
        <f t="shared" si="30"/>
        <v>#N/A</v>
      </c>
      <c r="AY274" s="11" t="e">
        <f t="shared" si="31"/>
        <v>#N/A</v>
      </c>
      <c r="AZ274" s="11" t="e">
        <f t="shared" si="32"/>
        <v>#N/A</v>
      </c>
    </row>
    <row r="275" spans="1:52" x14ac:dyDescent="0.2">
      <c r="A275" s="6">
        <f>Исходн.данные.!A275</f>
        <v>0</v>
      </c>
      <c r="B275" s="6">
        <f>Исходн.данные.!B275</f>
        <v>0</v>
      </c>
      <c r="C275" s="6">
        <f>Исходн.данные.!C275</f>
        <v>0</v>
      </c>
      <c r="D275" s="6">
        <f>Исходн.данные.!D275</f>
        <v>0</v>
      </c>
      <c r="E275" s="6">
        <f>Исходн.данные.!E275</f>
        <v>0</v>
      </c>
      <c r="F275" s="6">
        <f>Исходн.данные.!AH275</f>
        <v>0</v>
      </c>
      <c r="G275" s="6">
        <f>Исходн.данные.!AJ275</f>
        <v>0</v>
      </c>
      <c r="H275" s="6">
        <f>Исходн.данные.!AK275</f>
        <v>0</v>
      </c>
      <c r="I275" s="9">
        <f>IF($F275=0,0,Расчет2!AO275)</f>
        <v>0</v>
      </c>
      <c r="J275" s="9">
        <f>IF(F275=0,0,Расчет2!AP275)</f>
        <v>0</v>
      </c>
      <c r="K275" s="10">
        <f>IF($F275=0,0,Расчет2!AQ275)</f>
        <v>0</v>
      </c>
      <c r="L275" s="10">
        <f>IF($F275=0,0,Расчет2!AR275)</f>
        <v>0</v>
      </c>
      <c r="M275" s="10">
        <f>IF($F275=0,0,Расчет2!AS275)</f>
        <v>0</v>
      </c>
      <c r="N275" s="10">
        <f>IF($F275=0,0,IF(Исходн.данные.!$AP275="Посл.посева",0,Расчет2!AT275))</f>
        <v>0</v>
      </c>
      <c r="O275" s="10">
        <f>IF($F275=0,0,IF(Исходн.данные.!$AP275="Посл.посева",0,IF(Расчет2!AU275&lt;10,10,Расчет2!AU275)))</f>
        <v>0</v>
      </c>
      <c r="P275" s="10">
        <f>IF($F275=0,0,IF(Исходн.данные.!$AP275="Посл.посева",0,Расчет2!AV275))</f>
        <v>0</v>
      </c>
      <c r="Q275" s="10">
        <f>IF($F275=0,0,Расчет2!AW275)</f>
        <v>0</v>
      </c>
      <c r="R275" s="10">
        <f>IF($F275=0,0,Расчет2!AX275)</f>
        <v>0</v>
      </c>
      <c r="S275" s="9">
        <f>IF($F275=0,0,Расчет2!AY275)</f>
        <v>0</v>
      </c>
      <c r="T275" s="10">
        <f>IF($F275=0,0,Расчет2!AZ275)</f>
        <v>0</v>
      </c>
      <c r="U275" s="10">
        <f>IF($F275=0,0,Расчет2!BA275)</f>
        <v>0</v>
      </c>
      <c r="V275" s="10">
        <f>IF($F275=0,0,Расчет2!BB275)</f>
        <v>0</v>
      </c>
      <c r="W275" s="10">
        <f>Расчет!DL275</f>
        <v>0</v>
      </c>
      <c r="X275" s="10">
        <f>Расчет!DN275</f>
        <v>0</v>
      </c>
      <c r="Y275" s="9">
        <f>X275*Исходн.данные.!$AJ275/1000</f>
        <v>0</v>
      </c>
      <c r="Z275" s="10" t="str">
        <f>Расчет!DO275</f>
        <v>Хлор.калий</v>
      </c>
      <c r="AA275" s="10">
        <f>Расчет!DQ275</f>
        <v>0</v>
      </c>
      <c r="AB275" s="12">
        <f>AA275*Исходн.данные.!$AJ275/1000</f>
        <v>0</v>
      </c>
      <c r="AC275" s="9">
        <f>IF($F275=0,0,Расчет2!BC275)</f>
        <v>0</v>
      </c>
      <c r="AD275" s="10">
        <f>IF($F275=0,0,Расчет2!BD275)</f>
        <v>0</v>
      </c>
      <c r="AE275" s="9">
        <f>IF($F275=0,0,Расчет2!BE275)</f>
        <v>0</v>
      </c>
      <c r="AF275" s="9">
        <f>IF($F275=0,0,Расчет2!BF275)</f>
        <v>0</v>
      </c>
      <c r="AG275" s="9">
        <f>IF($F275=0,0,Расчет2!BG275)</f>
        <v>0</v>
      </c>
      <c r="AI275" s="11" t="e">
        <f>Расчет!FY275</f>
        <v>#N/A</v>
      </c>
      <c r="AJ275" s="11" t="e">
        <f>Расчет!FZ275</f>
        <v>#N/A</v>
      </c>
      <c r="AK275" s="11" t="e">
        <f>Расчет!GA275</f>
        <v>#N/A</v>
      </c>
      <c r="AL275" s="11" t="e">
        <f>Расчет!GB275</f>
        <v>#N/A</v>
      </c>
      <c r="AM275" s="11" t="e">
        <f>Расчет!GC275</f>
        <v>#N/A</v>
      </c>
      <c r="AN275" s="11" t="e">
        <f>Расчет!GD275</f>
        <v>#N/A</v>
      </c>
      <c r="AO275" s="11" t="e">
        <f>Расчет!GE275</f>
        <v>#N/A</v>
      </c>
      <c r="AP275" s="11" t="e">
        <f>Расчет!GF275</f>
        <v>#N/A</v>
      </c>
      <c r="AQ275" s="11" t="e">
        <f>Расчет!GG275</f>
        <v>#N/A</v>
      </c>
      <c r="AR275" s="11" t="e">
        <f>Расчет!GH275</f>
        <v>#N/A</v>
      </c>
      <c r="AS275" s="11" t="e">
        <f>Расчет!GI275</f>
        <v>#N/A</v>
      </c>
      <c r="AT275" s="11" t="e">
        <f>Расчет!GJ275</f>
        <v>#N/A</v>
      </c>
      <c r="AU275" s="198" t="e">
        <f t="shared" si="27"/>
        <v>#N/A</v>
      </c>
      <c r="AV275" s="198" t="e">
        <f t="shared" si="28"/>
        <v>#N/A</v>
      </c>
      <c r="AW275" s="198" t="e">
        <f t="shared" si="29"/>
        <v>#N/A</v>
      </c>
      <c r="AX275" s="11" t="e">
        <f t="shared" si="30"/>
        <v>#N/A</v>
      </c>
      <c r="AY275" s="11" t="e">
        <f t="shared" si="31"/>
        <v>#N/A</v>
      </c>
      <c r="AZ275" s="11" t="e">
        <f t="shared" si="32"/>
        <v>#N/A</v>
      </c>
    </row>
    <row r="276" spans="1:52" x14ac:dyDescent="0.2">
      <c r="A276" s="6">
        <f>Исходн.данные.!A276</f>
        <v>0</v>
      </c>
      <c r="B276" s="6">
        <f>Исходн.данные.!B276</f>
        <v>0</v>
      </c>
      <c r="C276" s="6">
        <f>Исходн.данные.!C276</f>
        <v>0</v>
      </c>
      <c r="D276" s="6">
        <f>Исходн.данные.!D276</f>
        <v>0</v>
      </c>
      <c r="E276" s="6">
        <f>Исходн.данные.!E276</f>
        <v>0</v>
      </c>
      <c r="F276" s="6">
        <f>Исходн.данные.!AH276</f>
        <v>0</v>
      </c>
      <c r="G276" s="6">
        <f>Исходн.данные.!AJ276</f>
        <v>0</v>
      </c>
      <c r="H276" s="6">
        <f>Исходн.данные.!AK276</f>
        <v>0</v>
      </c>
      <c r="I276" s="9">
        <f>IF($F276=0,0,Расчет2!AO276)</f>
        <v>0</v>
      </c>
      <c r="J276" s="9">
        <f>IF(F276=0,0,Расчет2!AP276)</f>
        <v>0</v>
      </c>
      <c r="K276" s="10">
        <f>IF($F276=0,0,Расчет2!AQ276)</f>
        <v>0</v>
      </c>
      <c r="L276" s="10">
        <f>IF($F276=0,0,Расчет2!AR276)</f>
        <v>0</v>
      </c>
      <c r="M276" s="10">
        <f>IF($F276=0,0,Расчет2!AS276)</f>
        <v>0</v>
      </c>
      <c r="N276" s="10">
        <f>IF($F276=0,0,IF(Исходн.данные.!$AP276="Посл.посева",0,Расчет2!AT276))</f>
        <v>0</v>
      </c>
      <c r="O276" s="10">
        <f>IF($F276=0,0,IF(Исходн.данные.!$AP276="Посл.посева",0,IF(Расчет2!AU276&lt;10,10,Расчет2!AU276)))</f>
        <v>0</v>
      </c>
      <c r="P276" s="10">
        <f>IF($F276=0,0,IF(Исходн.данные.!$AP276="Посл.посева",0,Расчет2!AV276))</f>
        <v>0</v>
      </c>
      <c r="Q276" s="10">
        <f>IF($F276=0,0,Расчет2!AW276)</f>
        <v>0</v>
      </c>
      <c r="R276" s="10">
        <f>IF($F276=0,0,Расчет2!AX276)</f>
        <v>0</v>
      </c>
      <c r="S276" s="9">
        <f>IF($F276=0,0,Расчет2!AY276)</f>
        <v>0</v>
      </c>
      <c r="T276" s="10">
        <f>IF($F276=0,0,Расчет2!AZ276)</f>
        <v>0</v>
      </c>
      <c r="U276" s="10">
        <f>IF($F276=0,0,Расчет2!BA276)</f>
        <v>0</v>
      </c>
      <c r="V276" s="10">
        <f>IF($F276=0,0,Расчет2!BB276)</f>
        <v>0</v>
      </c>
      <c r="W276" s="10">
        <f>Расчет!DL276</f>
        <v>0</v>
      </c>
      <c r="X276" s="10">
        <f>Расчет!DN276</f>
        <v>0</v>
      </c>
      <c r="Y276" s="9">
        <f>X276*Исходн.данные.!$AJ276/1000</f>
        <v>0</v>
      </c>
      <c r="Z276" s="10" t="str">
        <f>Расчет!DO276</f>
        <v>Хлор.калий</v>
      </c>
      <c r="AA276" s="10">
        <f>Расчет!DQ276</f>
        <v>0</v>
      </c>
      <c r="AB276" s="12">
        <f>AA276*Исходн.данные.!$AJ276/1000</f>
        <v>0</v>
      </c>
      <c r="AC276" s="9">
        <f>IF($F276=0,0,Расчет2!BC276)</f>
        <v>0</v>
      </c>
      <c r="AD276" s="10">
        <f>IF($F276=0,0,Расчет2!BD276)</f>
        <v>0</v>
      </c>
      <c r="AE276" s="9">
        <f>IF($F276=0,0,Расчет2!BE276)</f>
        <v>0</v>
      </c>
      <c r="AF276" s="9">
        <f>IF($F276=0,0,Расчет2!BF276)</f>
        <v>0</v>
      </c>
      <c r="AG276" s="9">
        <f>IF($F276=0,0,Расчет2!BG276)</f>
        <v>0</v>
      </c>
      <c r="AI276" s="11" t="e">
        <f>Расчет!FY276</f>
        <v>#N/A</v>
      </c>
      <c r="AJ276" s="11" t="e">
        <f>Расчет!FZ276</f>
        <v>#N/A</v>
      </c>
      <c r="AK276" s="11" t="e">
        <f>Расчет!GA276</f>
        <v>#N/A</v>
      </c>
      <c r="AL276" s="11" t="e">
        <f>Расчет!GB276</f>
        <v>#N/A</v>
      </c>
      <c r="AM276" s="11" t="e">
        <f>Расчет!GC276</f>
        <v>#N/A</v>
      </c>
      <c r="AN276" s="11" t="e">
        <f>Расчет!GD276</f>
        <v>#N/A</v>
      </c>
      <c r="AO276" s="11" t="e">
        <f>Расчет!GE276</f>
        <v>#N/A</v>
      </c>
      <c r="AP276" s="11" t="e">
        <f>Расчет!GF276</f>
        <v>#N/A</v>
      </c>
      <c r="AQ276" s="11" t="e">
        <f>Расчет!GG276</f>
        <v>#N/A</v>
      </c>
      <c r="AR276" s="11" t="e">
        <f>Расчет!GH276</f>
        <v>#N/A</v>
      </c>
      <c r="AS276" s="11" t="e">
        <f>Расчет!GI276</f>
        <v>#N/A</v>
      </c>
      <c r="AT276" s="11" t="e">
        <f>Расчет!GJ276</f>
        <v>#N/A</v>
      </c>
      <c r="AU276" s="198" t="e">
        <f t="shared" si="27"/>
        <v>#N/A</v>
      </c>
      <c r="AV276" s="198" t="e">
        <f t="shared" si="28"/>
        <v>#N/A</v>
      </c>
      <c r="AW276" s="198" t="e">
        <f t="shared" si="29"/>
        <v>#N/A</v>
      </c>
      <c r="AX276" s="11" t="e">
        <f t="shared" si="30"/>
        <v>#N/A</v>
      </c>
      <c r="AY276" s="11" t="e">
        <f t="shared" si="31"/>
        <v>#N/A</v>
      </c>
      <c r="AZ276" s="11" t="e">
        <f t="shared" si="32"/>
        <v>#N/A</v>
      </c>
    </row>
    <row r="277" spans="1:52" x14ac:dyDescent="0.2">
      <c r="A277" s="6">
        <f>Исходн.данные.!A277</f>
        <v>0</v>
      </c>
      <c r="B277" s="6">
        <f>Исходн.данные.!B277</f>
        <v>0</v>
      </c>
      <c r="C277" s="6">
        <f>Исходн.данные.!C277</f>
        <v>0</v>
      </c>
      <c r="D277" s="6">
        <f>Исходн.данные.!D277</f>
        <v>0</v>
      </c>
      <c r="E277" s="6">
        <f>Исходн.данные.!E277</f>
        <v>0</v>
      </c>
      <c r="F277" s="6">
        <f>Исходн.данные.!AH277</f>
        <v>0</v>
      </c>
      <c r="G277" s="6">
        <f>Исходн.данные.!AJ277</f>
        <v>0</v>
      </c>
      <c r="H277" s="6">
        <f>Исходн.данные.!AK277</f>
        <v>0</v>
      </c>
      <c r="I277" s="9">
        <f>IF($F277=0,0,Расчет2!AO277)</f>
        <v>0</v>
      </c>
      <c r="J277" s="9">
        <f>IF(F277=0,0,Расчет2!AP277)</f>
        <v>0</v>
      </c>
      <c r="K277" s="10">
        <f>IF($F277=0,0,Расчет2!AQ277)</f>
        <v>0</v>
      </c>
      <c r="L277" s="10">
        <f>IF($F277=0,0,Расчет2!AR277)</f>
        <v>0</v>
      </c>
      <c r="M277" s="10">
        <f>IF($F277=0,0,Расчет2!AS277)</f>
        <v>0</v>
      </c>
      <c r="N277" s="10">
        <f>IF($F277=0,0,IF(Исходн.данные.!$AP277="Посл.посева",0,Расчет2!AT277))</f>
        <v>0</v>
      </c>
      <c r="O277" s="10">
        <f>IF($F277=0,0,IF(Исходн.данные.!$AP277="Посл.посева",0,IF(Расчет2!AU277&lt;10,10,Расчет2!AU277)))</f>
        <v>0</v>
      </c>
      <c r="P277" s="10">
        <f>IF($F277=0,0,IF(Исходн.данные.!$AP277="Посл.посева",0,Расчет2!AV277))</f>
        <v>0</v>
      </c>
      <c r="Q277" s="10">
        <f>IF($F277=0,0,Расчет2!AW277)</f>
        <v>0</v>
      </c>
      <c r="R277" s="10">
        <f>IF($F277=0,0,Расчет2!AX277)</f>
        <v>0</v>
      </c>
      <c r="S277" s="9">
        <f>IF($F277=0,0,Расчет2!AY277)</f>
        <v>0</v>
      </c>
      <c r="T277" s="10">
        <f>IF($F277=0,0,Расчет2!AZ277)</f>
        <v>0</v>
      </c>
      <c r="U277" s="10">
        <f>IF($F277=0,0,Расчет2!BA277)</f>
        <v>0</v>
      </c>
      <c r="V277" s="10">
        <f>IF($F277=0,0,Расчет2!BB277)</f>
        <v>0</v>
      </c>
      <c r="W277" s="10">
        <f>Расчет!DL277</f>
        <v>0</v>
      </c>
      <c r="X277" s="10">
        <f>Расчет!DN277</f>
        <v>0</v>
      </c>
      <c r="Y277" s="9">
        <f>X277*Исходн.данные.!$AJ277/1000</f>
        <v>0</v>
      </c>
      <c r="Z277" s="10" t="str">
        <f>Расчет!DO277</f>
        <v>Хлор.калий</v>
      </c>
      <c r="AA277" s="10">
        <f>Расчет!DQ277</f>
        <v>0</v>
      </c>
      <c r="AB277" s="12">
        <f>AA277*Исходн.данные.!$AJ277/1000</f>
        <v>0</v>
      </c>
      <c r="AC277" s="9">
        <f>IF($F277=0,0,Расчет2!BC277)</f>
        <v>0</v>
      </c>
      <c r="AD277" s="10">
        <f>IF($F277=0,0,Расчет2!BD277)</f>
        <v>0</v>
      </c>
      <c r="AE277" s="9">
        <f>IF($F277=0,0,Расчет2!BE277)</f>
        <v>0</v>
      </c>
      <c r="AF277" s="9">
        <f>IF($F277=0,0,Расчет2!BF277)</f>
        <v>0</v>
      </c>
      <c r="AG277" s="9">
        <f>IF($F277=0,0,Расчет2!BG277)</f>
        <v>0</v>
      </c>
      <c r="AI277" s="11" t="e">
        <f>Расчет!FY277</f>
        <v>#N/A</v>
      </c>
      <c r="AJ277" s="11" t="e">
        <f>Расчет!FZ277</f>
        <v>#N/A</v>
      </c>
      <c r="AK277" s="11" t="e">
        <f>Расчет!GA277</f>
        <v>#N/A</v>
      </c>
      <c r="AL277" s="11" t="e">
        <f>Расчет!GB277</f>
        <v>#N/A</v>
      </c>
      <c r="AM277" s="11" t="e">
        <f>Расчет!GC277</f>
        <v>#N/A</v>
      </c>
      <c r="AN277" s="11" t="e">
        <f>Расчет!GD277</f>
        <v>#N/A</v>
      </c>
      <c r="AO277" s="11" t="e">
        <f>Расчет!GE277</f>
        <v>#N/A</v>
      </c>
      <c r="AP277" s="11" t="e">
        <f>Расчет!GF277</f>
        <v>#N/A</v>
      </c>
      <c r="AQ277" s="11" t="e">
        <f>Расчет!GG277</f>
        <v>#N/A</v>
      </c>
      <c r="AR277" s="11" t="e">
        <f>Расчет!GH277</f>
        <v>#N/A</v>
      </c>
      <c r="AS277" s="11" t="e">
        <f>Расчет!GI277</f>
        <v>#N/A</v>
      </c>
      <c r="AT277" s="11" t="e">
        <f>Расчет!GJ277</f>
        <v>#N/A</v>
      </c>
      <c r="AU277" s="198" t="e">
        <f t="shared" si="27"/>
        <v>#N/A</v>
      </c>
      <c r="AV277" s="198" t="e">
        <f t="shared" si="28"/>
        <v>#N/A</v>
      </c>
      <c r="AW277" s="198" t="e">
        <f t="shared" si="29"/>
        <v>#N/A</v>
      </c>
      <c r="AX277" s="11" t="e">
        <f t="shared" si="30"/>
        <v>#N/A</v>
      </c>
      <c r="AY277" s="11" t="e">
        <f t="shared" si="31"/>
        <v>#N/A</v>
      </c>
      <c r="AZ277" s="11" t="e">
        <f t="shared" si="32"/>
        <v>#N/A</v>
      </c>
    </row>
    <row r="278" spans="1:52" x14ac:dyDescent="0.2">
      <c r="A278" s="6">
        <f>Исходн.данные.!A278</f>
        <v>0</v>
      </c>
      <c r="B278" s="6">
        <f>Исходн.данные.!B278</f>
        <v>0</v>
      </c>
      <c r="C278" s="6">
        <f>Исходн.данные.!C278</f>
        <v>0</v>
      </c>
      <c r="D278" s="6">
        <f>Исходн.данные.!D278</f>
        <v>0</v>
      </c>
      <c r="E278" s="6">
        <f>Исходн.данные.!E278</f>
        <v>0</v>
      </c>
      <c r="F278" s="6">
        <f>Исходн.данные.!AH278</f>
        <v>0</v>
      </c>
      <c r="G278" s="6">
        <f>Исходн.данные.!AJ278</f>
        <v>0</v>
      </c>
      <c r="H278" s="6">
        <f>Исходн.данные.!AK278</f>
        <v>0</v>
      </c>
      <c r="I278" s="9">
        <f>IF($F278=0,0,Расчет2!AO278)</f>
        <v>0</v>
      </c>
      <c r="J278" s="9">
        <f>IF(F278=0,0,Расчет2!AP278)</f>
        <v>0</v>
      </c>
      <c r="K278" s="10">
        <f>IF($F278=0,0,Расчет2!AQ278)</f>
        <v>0</v>
      </c>
      <c r="L278" s="10">
        <f>IF($F278=0,0,Расчет2!AR278)</f>
        <v>0</v>
      </c>
      <c r="M278" s="10">
        <f>IF($F278=0,0,Расчет2!AS278)</f>
        <v>0</v>
      </c>
      <c r="N278" s="10">
        <f>IF($F278=0,0,IF(Исходн.данные.!$AP278="Посл.посева",0,Расчет2!AT278))</f>
        <v>0</v>
      </c>
      <c r="O278" s="10">
        <f>IF($F278=0,0,IF(Исходн.данные.!$AP278="Посл.посева",0,IF(Расчет2!AU278&lt;10,10,Расчет2!AU278)))</f>
        <v>0</v>
      </c>
      <c r="P278" s="10">
        <f>IF($F278=0,0,IF(Исходн.данные.!$AP278="Посл.посева",0,Расчет2!AV278))</f>
        <v>0</v>
      </c>
      <c r="Q278" s="10">
        <f>IF($F278=0,0,Расчет2!AW278)</f>
        <v>0</v>
      </c>
      <c r="R278" s="10">
        <f>IF($F278=0,0,Расчет2!AX278)</f>
        <v>0</v>
      </c>
      <c r="S278" s="9">
        <f>IF($F278=0,0,Расчет2!AY278)</f>
        <v>0</v>
      </c>
      <c r="T278" s="10">
        <f>IF($F278=0,0,Расчет2!AZ278)</f>
        <v>0</v>
      </c>
      <c r="U278" s="10">
        <f>IF($F278=0,0,Расчет2!BA278)</f>
        <v>0</v>
      </c>
      <c r="V278" s="10">
        <f>IF($F278=0,0,Расчет2!BB278)</f>
        <v>0</v>
      </c>
      <c r="W278" s="10">
        <f>Расчет!DL278</f>
        <v>0</v>
      </c>
      <c r="X278" s="10">
        <f>Расчет!DN278</f>
        <v>0</v>
      </c>
      <c r="Y278" s="9">
        <f>X278*Исходн.данные.!$AJ278/1000</f>
        <v>0</v>
      </c>
      <c r="Z278" s="10" t="str">
        <f>Расчет!DO278</f>
        <v>Хлор.калий</v>
      </c>
      <c r="AA278" s="10">
        <f>Расчет!DQ278</f>
        <v>0</v>
      </c>
      <c r="AB278" s="12">
        <f>AA278*Исходн.данные.!$AJ278/1000</f>
        <v>0</v>
      </c>
      <c r="AC278" s="9">
        <f>IF($F278=0,0,Расчет2!BC278)</f>
        <v>0</v>
      </c>
      <c r="AD278" s="10">
        <f>IF($F278=0,0,Расчет2!BD278)</f>
        <v>0</v>
      </c>
      <c r="AE278" s="9">
        <f>IF($F278=0,0,Расчет2!BE278)</f>
        <v>0</v>
      </c>
      <c r="AF278" s="9">
        <f>IF($F278=0,0,Расчет2!BF278)</f>
        <v>0</v>
      </c>
      <c r="AG278" s="9">
        <f>IF($F278=0,0,Расчет2!BG278)</f>
        <v>0</v>
      </c>
      <c r="AI278" s="11" t="e">
        <f>Расчет!FY278</f>
        <v>#N/A</v>
      </c>
      <c r="AJ278" s="11" t="e">
        <f>Расчет!FZ278</f>
        <v>#N/A</v>
      </c>
      <c r="AK278" s="11" t="e">
        <f>Расчет!GA278</f>
        <v>#N/A</v>
      </c>
      <c r="AL278" s="11" t="e">
        <f>Расчет!GB278</f>
        <v>#N/A</v>
      </c>
      <c r="AM278" s="11" t="e">
        <f>Расчет!GC278</f>
        <v>#N/A</v>
      </c>
      <c r="AN278" s="11" t="e">
        <f>Расчет!GD278</f>
        <v>#N/A</v>
      </c>
      <c r="AO278" s="11" t="e">
        <f>Расчет!GE278</f>
        <v>#N/A</v>
      </c>
      <c r="AP278" s="11" t="e">
        <f>Расчет!GF278</f>
        <v>#N/A</v>
      </c>
      <c r="AQ278" s="11" t="e">
        <f>Расчет!GG278</f>
        <v>#N/A</v>
      </c>
      <c r="AR278" s="11" t="e">
        <f>Расчет!GH278</f>
        <v>#N/A</v>
      </c>
      <c r="AS278" s="11" t="e">
        <f>Расчет!GI278</f>
        <v>#N/A</v>
      </c>
      <c r="AT278" s="11" t="e">
        <f>Расчет!GJ278</f>
        <v>#N/A</v>
      </c>
      <c r="AU278" s="198" t="e">
        <f t="shared" si="27"/>
        <v>#N/A</v>
      </c>
      <c r="AV278" s="198" t="e">
        <f t="shared" si="28"/>
        <v>#N/A</v>
      </c>
      <c r="AW278" s="198" t="e">
        <f t="shared" si="29"/>
        <v>#N/A</v>
      </c>
      <c r="AX278" s="11" t="e">
        <f t="shared" si="30"/>
        <v>#N/A</v>
      </c>
      <c r="AY278" s="11" t="e">
        <f t="shared" si="31"/>
        <v>#N/A</v>
      </c>
      <c r="AZ278" s="11" t="e">
        <f t="shared" si="32"/>
        <v>#N/A</v>
      </c>
    </row>
    <row r="279" spans="1:52" x14ac:dyDescent="0.2">
      <c r="A279" s="6">
        <f>Исходн.данные.!A279</f>
        <v>0</v>
      </c>
      <c r="B279" s="6">
        <f>Исходн.данные.!B279</f>
        <v>0</v>
      </c>
      <c r="C279" s="6">
        <f>Исходн.данные.!C279</f>
        <v>0</v>
      </c>
      <c r="D279" s="6">
        <f>Исходн.данные.!D279</f>
        <v>0</v>
      </c>
      <c r="E279" s="6">
        <f>Исходн.данные.!E279</f>
        <v>0</v>
      </c>
      <c r="F279" s="6">
        <f>Исходн.данные.!AH279</f>
        <v>0</v>
      </c>
      <c r="G279" s="6">
        <f>Исходн.данные.!AJ279</f>
        <v>0</v>
      </c>
      <c r="H279" s="6">
        <f>Исходн.данные.!AK279</f>
        <v>0</v>
      </c>
      <c r="I279" s="9">
        <f>IF($F279=0,0,Расчет2!AO279)</f>
        <v>0</v>
      </c>
      <c r="J279" s="9">
        <f>IF(F279=0,0,Расчет2!AP279)</f>
        <v>0</v>
      </c>
      <c r="K279" s="10">
        <f>IF($F279=0,0,Расчет2!AQ279)</f>
        <v>0</v>
      </c>
      <c r="L279" s="10">
        <f>IF($F279=0,0,Расчет2!AR279)</f>
        <v>0</v>
      </c>
      <c r="M279" s="10">
        <f>IF($F279=0,0,Расчет2!AS279)</f>
        <v>0</v>
      </c>
      <c r="N279" s="10">
        <f>IF($F279=0,0,IF(Исходн.данные.!$AP279="Посл.посева",0,Расчет2!AT279))</f>
        <v>0</v>
      </c>
      <c r="O279" s="10">
        <f>IF($F279=0,0,IF(Исходн.данные.!$AP279="Посл.посева",0,IF(Расчет2!AU279&lt;10,10,Расчет2!AU279)))</f>
        <v>0</v>
      </c>
      <c r="P279" s="10">
        <f>IF($F279=0,0,IF(Исходн.данные.!$AP279="Посл.посева",0,Расчет2!AV279))</f>
        <v>0</v>
      </c>
      <c r="Q279" s="10">
        <f>IF($F279=0,0,Расчет2!AW279)</f>
        <v>0</v>
      </c>
      <c r="R279" s="10">
        <f>IF($F279=0,0,Расчет2!AX279)</f>
        <v>0</v>
      </c>
      <c r="S279" s="9">
        <f>IF($F279=0,0,Расчет2!AY279)</f>
        <v>0</v>
      </c>
      <c r="T279" s="10">
        <f>IF($F279=0,0,Расчет2!AZ279)</f>
        <v>0</v>
      </c>
      <c r="U279" s="10">
        <f>IF($F279=0,0,Расчет2!BA279)</f>
        <v>0</v>
      </c>
      <c r="V279" s="10">
        <f>IF($F279=0,0,Расчет2!BB279)</f>
        <v>0</v>
      </c>
      <c r="W279" s="10">
        <f>Расчет!DL279</f>
        <v>0</v>
      </c>
      <c r="X279" s="10">
        <f>Расчет!DN279</f>
        <v>0</v>
      </c>
      <c r="Y279" s="9">
        <f>X279*Исходн.данные.!$AJ279/1000</f>
        <v>0</v>
      </c>
      <c r="Z279" s="10" t="str">
        <f>Расчет!DO279</f>
        <v>Хлор.калий</v>
      </c>
      <c r="AA279" s="10">
        <f>Расчет!DQ279</f>
        <v>0</v>
      </c>
      <c r="AB279" s="12">
        <f>AA279*Исходн.данные.!$AJ279/1000</f>
        <v>0</v>
      </c>
      <c r="AC279" s="9">
        <f>IF($F279=0,0,Расчет2!BC279)</f>
        <v>0</v>
      </c>
      <c r="AD279" s="10">
        <f>IF($F279=0,0,Расчет2!BD279)</f>
        <v>0</v>
      </c>
      <c r="AE279" s="9">
        <f>IF($F279=0,0,Расчет2!BE279)</f>
        <v>0</v>
      </c>
      <c r="AF279" s="9">
        <f>IF($F279=0,0,Расчет2!BF279)</f>
        <v>0</v>
      </c>
      <c r="AG279" s="9">
        <f>IF($F279=0,0,Расчет2!BG279)</f>
        <v>0</v>
      </c>
      <c r="AI279" s="11" t="e">
        <f>Расчет!FY279</f>
        <v>#N/A</v>
      </c>
      <c r="AJ279" s="11" t="e">
        <f>Расчет!FZ279</f>
        <v>#N/A</v>
      </c>
      <c r="AK279" s="11" t="e">
        <f>Расчет!GA279</f>
        <v>#N/A</v>
      </c>
      <c r="AL279" s="11" t="e">
        <f>Расчет!GB279</f>
        <v>#N/A</v>
      </c>
      <c r="AM279" s="11" t="e">
        <f>Расчет!GC279</f>
        <v>#N/A</v>
      </c>
      <c r="AN279" s="11" t="e">
        <f>Расчет!GD279</f>
        <v>#N/A</v>
      </c>
      <c r="AO279" s="11" t="e">
        <f>Расчет!GE279</f>
        <v>#N/A</v>
      </c>
      <c r="AP279" s="11" t="e">
        <f>Расчет!GF279</f>
        <v>#N/A</v>
      </c>
      <c r="AQ279" s="11" t="e">
        <f>Расчет!GG279</f>
        <v>#N/A</v>
      </c>
      <c r="AR279" s="11" t="e">
        <f>Расчет!GH279</f>
        <v>#N/A</v>
      </c>
      <c r="AS279" s="11" t="e">
        <f>Расчет!GI279</f>
        <v>#N/A</v>
      </c>
      <c r="AT279" s="11" t="e">
        <f>Расчет!GJ279</f>
        <v>#N/A</v>
      </c>
      <c r="AU279" s="198" t="e">
        <f t="shared" ref="AU279:AU342" si="33">AI279+AL279+AO279+AR279</f>
        <v>#N/A</v>
      </c>
      <c r="AV279" s="198" t="e">
        <f t="shared" ref="AV279:AV342" si="34">AJ279+AM279+AP279+AS279</f>
        <v>#N/A</v>
      </c>
      <c r="AW279" s="198" t="e">
        <f t="shared" ref="AW279:AW342" si="35">AK279+AN279+AQ279+AT279</f>
        <v>#N/A</v>
      </c>
      <c r="AX279" s="11" t="e">
        <f t="shared" ref="AX279:AX342" si="36">MIN(AU279:AW279)</f>
        <v>#N/A</v>
      </c>
      <c r="AY279" s="11" t="e">
        <f t="shared" ref="AY279:AY342" si="37">MAX(AU279:AW279)</f>
        <v>#N/A</v>
      </c>
      <c r="AZ279" s="11" t="e">
        <f t="shared" ref="AZ279:AZ342" si="38">IF(AU279=AX279,MIN(AV279:AW279),IF(AW279=AX279,MIN(AU279:AV279),MIN(AU279,AW279)))</f>
        <v>#N/A</v>
      </c>
    </row>
    <row r="280" spans="1:52" x14ac:dyDescent="0.2">
      <c r="A280" s="6">
        <f>Исходн.данные.!A280</f>
        <v>0</v>
      </c>
      <c r="B280" s="6">
        <f>Исходн.данные.!B280</f>
        <v>0</v>
      </c>
      <c r="C280" s="6">
        <f>Исходн.данные.!C280</f>
        <v>0</v>
      </c>
      <c r="D280" s="6">
        <f>Исходн.данные.!D280</f>
        <v>0</v>
      </c>
      <c r="E280" s="6">
        <f>Исходн.данные.!E280</f>
        <v>0</v>
      </c>
      <c r="F280" s="6">
        <f>Исходн.данные.!AH280</f>
        <v>0</v>
      </c>
      <c r="G280" s="6">
        <f>Исходн.данные.!AJ280</f>
        <v>0</v>
      </c>
      <c r="H280" s="6">
        <f>Исходн.данные.!AK280</f>
        <v>0</v>
      </c>
      <c r="I280" s="9">
        <f>IF($F280=0,0,Расчет2!AO280)</f>
        <v>0</v>
      </c>
      <c r="J280" s="9">
        <f>IF(F280=0,0,Расчет2!AP280)</f>
        <v>0</v>
      </c>
      <c r="K280" s="10">
        <f>IF($F280=0,0,Расчет2!AQ280)</f>
        <v>0</v>
      </c>
      <c r="L280" s="10">
        <f>IF($F280=0,0,Расчет2!AR280)</f>
        <v>0</v>
      </c>
      <c r="M280" s="10">
        <f>IF($F280=0,0,Расчет2!AS280)</f>
        <v>0</v>
      </c>
      <c r="N280" s="10">
        <f>IF($F280=0,0,IF(Исходн.данные.!$AP280="Посл.посева",0,Расчет2!AT280))</f>
        <v>0</v>
      </c>
      <c r="O280" s="10">
        <f>IF($F280=0,0,IF(Исходн.данные.!$AP280="Посл.посева",0,IF(Расчет2!AU280&lt;10,10,Расчет2!AU280)))</f>
        <v>0</v>
      </c>
      <c r="P280" s="10">
        <f>IF($F280=0,0,IF(Исходн.данные.!$AP280="Посл.посева",0,Расчет2!AV280))</f>
        <v>0</v>
      </c>
      <c r="Q280" s="10">
        <f>IF($F280=0,0,Расчет2!AW280)</f>
        <v>0</v>
      </c>
      <c r="R280" s="10">
        <f>IF($F280=0,0,Расчет2!AX280)</f>
        <v>0</v>
      </c>
      <c r="S280" s="9">
        <f>IF($F280=0,0,Расчет2!AY280)</f>
        <v>0</v>
      </c>
      <c r="T280" s="10">
        <f>IF($F280=0,0,Расчет2!AZ280)</f>
        <v>0</v>
      </c>
      <c r="U280" s="10">
        <f>IF($F280=0,0,Расчет2!BA280)</f>
        <v>0</v>
      </c>
      <c r="V280" s="10">
        <f>IF($F280=0,0,Расчет2!BB280)</f>
        <v>0</v>
      </c>
      <c r="W280" s="10">
        <f>Расчет!DL280</f>
        <v>0</v>
      </c>
      <c r="X280" s="10">
        <f>Расчет!DN280</f>
        <v>0</v>
      </c>
      <c r="Y280" s="9">
        <f>X280*Исходн.данные.!$AJ280/1000</f>
        <v>0</v>
      </c>
      <c r="Z280" s="10" t="str">
        <f>Расчет!DO280</f>
        <v>Хлор.калий</v>
      </c>
      <c r="AA280" s="10">
        <f>Расчет!DQ280</f>
        <v>0</v>
      </c>
      <c r="AB280" s="12">
        <f>AA280*Исходн.данные.!$AJ280/1000</f>
        <v>0</v>
      </c>
      <c r="AC280" s="9">
        <f>IF($F280=0,0,Расчет2!BC280)</f>
        <v>0</v>
      </c>
      <c r="AD280" s="10">
        <f>IF($F280=0,0,Расчет2!BD280)</f>
        <v>0</v>
      </c>
      <c r="AE280" s="9">
        <f>IF($F280=0,0,Расчет2!BE280)</f>
        <v>0</v>
      </c>
      <c r="AF280" s="9">
        <f>IF($F280=0,0,Расчет2!BF280)</f>
        <v>0</v>
      </c>
      <c r="AG280" s="9">
        <f>IF($F280=0,0,Расчет2!BG280)</f>
        <v>0</v>
      </c>
      <c r="AI280" s="11" t="e">
        <f>Расчет!FY280</f>
        <v>#N/A</v>
      </c>
      <c r="AJ280" s="11" t="e">
        <f>Расчет!FZ280</f>
        <v>#N/A</v>
      </c>
      <c r="AK280" s="11" t="e">
        <f>Расчет!GA280</f>
        <v>#N/A</v>
      </c>
      <c r="AL280" s="11" t="e">
        <f>Расчет!GB280</f>
        <v>#N/A</v>
      </c>
      <c r="AM280" s="11" t="e">
        <f>Расчет!GC280</f>
        <v>#N/A</v>
      </c>
      <c r="AN280" s="11" t="e">
        <f>Расчет!GD280</f>
        <v>#N/A</v>
      </c>
      <c r="AO280" s="11" t="e">
        <f>Расчет!GE280</f>
        <v>#N/A</v>
      </c>
      <c r="AP280" s="11" t="e">
        <f>Расчет!GF280</f>
        <v>#N/A</v>
      </c>
      <c r="AQ280" s="11" t="e">
        <f>Расчет!GG280</f>
        <v>#N/A</v>
      </c>
      <c r="AR280" s="11" t="e">
        <f>Расчет!GH280</f>
        <v>#N/A</v>
      </c>
      <c r="AS280" s="11" t="e">
        <f>Расчет!GI280</f>
        <v>#N/A</v>
      </c>
      <c r="AT280" s="11" t="e">
        <f>Расчет!GJ280</f>
        <v>#N/A</v>
      </c>
      <c r="AU280" s="198" t="e">
        <f t="shared" si="33"/>
        <v>#N/A</v>
      </c>
      <c r="AV280" s="198" t="e">
        <f t="shared" si="34"/>
        <v>#N/A</v>
      </c>
      <c r="AW280" s="198" t="e">
        <f t="shared" si="35"/>
        <v>#N/A</v>
      </c>
      <c r="AX280" s="11" t="e">
        <f t="shared" si="36"/>
        <v>#N/A</v>
      </c>
      <c r="AY280" s="11" t="e">
        <f t="shared" si="37"/>
        <v>#N/A</v>
      </c>
      <c r="AZ280" s="11" t="e">
        <f t="shared" si="38"/>
        <v>#N/A</v>
      </c>
    </row>
    <row r="281" spans="1:52" x14ac:dyDescent="0.2">
      <c r="A281" s="6">
        <f>Исходн.данные.!A281</f>
        <v>0</v>
      </c>
      <c r="B281" s="6">
        <f>Исходн.данные.!B281</f>
        <v>0</v>
      </c>
      <c r="C281" s="6">
        <f>Исходн.данные.!C281</f>
        <v>0</v>
      </c>
      <c r="D281" s="6">
        <f>Исходн.данные.!D281</f>
        <v>0</v>
      </c>
      <c r="E281" s="6">
        <f>Исходн.данные.!E281</f>
        <v>0</v>
      </c>
      <c r="F281" s="6">
        <f>Исходн.данные.!AH281</f>
        <v>0</v>
      </c>
      <c r="G281" s="6">
        <f>Исходн.данные.!AJ281</f>
        <v>0</v>
      </c>
      <c r="H281" s="6">
        <f>Исходн.данные.!AK281</f>
        <v>0</v>
      </c>
      <c r="I281" s="9">
        <f>IF($F281=0,0,Расчет2!AO281)</f>
        <v>0</v>
      </c>
      <c r="J281" s="9">
        <f>IF(F281=0,0,Расчет2!AP281)</f>
        <v>0</v>
      </c>
      <c r="K281" s="10">
        <f>IF($F281=0,0,Расчет2!AQ281)</f>
        <v>0</v>
      </c>
      <c r="L281" s="10">
        <f>IF($F281=0,0,Расчет2!AR281)</f>
        <v>0</v>
      </c>
      <c r="M281" s="10">
        <f>IF($F281=0,0,Расчет2!AS281)</f>
        <v>0</v>
      </c>
      <c r="N281" s="10">
        <f>IF($F281=0,0,IF(Исходн.данные.!$AP281="Посл.посева",0,Расчет2!AT281))</f>
        <v>0</v>
      </c>
      <c r="O281" s="10">
        <f>IF($F281=0,0,IF(Исходн.данные.!$AP281="Посл.посева",0,IF(Расчет2!AU281&lt;10,10,Расчет2!AU281)))</f>
        <v>0</v>
      </c>
      <c r="P281" s="10">
        <f>IF($F281=0,0,IF(Исходн.данные.!$AP281="Посл.посева",0,Расчет2!AV281))</f>
        <v>0</v>
      </c>
      <c r="Q281" s="10">
        <f>IF($F281=0,0,Расчет2!AW281)</f>
        <v>0</v>
      </c>
      <c r="R281" s="10">
        <f>IF($F281=0,0,Расчет2!AX281)</f>
        <v>0</v>
      </c>
      <c r="S281" s="9">
        <f>IF($F281=0,0,Расчет2!AY281)</f>
        <v>0</v>
      </c>
      <c r="T281" s="10">
        <f>IF($F281=0,0,Расчет2!AZ281)</f>
        <v>0</v>
      </c>
      <c r="U281" s="10">
        <f>IF($F281=0,0,Расчет2!BA281)</f>
        <v>0</v>
      </c>
      <c r="V281" s="10">
        <f>IF($F281=0,0,Расчет2!BB281)</f>
        <v>0</v>
      </c>
      <c r="W281" s="10">
        <f>Расчет!DL281</f>
        <v>0</v>
      </c>
      <c r="X281" s="10">
        <f>Расчет!DN281</f>
        <v>0</v>
      </c>
      <c r="Y281" s="9">
        <f>X281*Исходн.данные.!$AJ281/1000</f>
        <v>0</v>
      </c>
      <c r="Z281" s="10" t="str">
        <f>Расчет!DO281</f>
        <v>Хлор.калий</v>
      </c>
      <c r="AA281" s="10">
        <f>Расчет!DQ281</f>
        <v>0</v>
      </c>
      <c r="AB281" s="12">
        <f>AA281*Исходн.данные.!$AJ281/1000</f>
        <v>0</v>
      </c>
      <c r="AC281" s="9">
        <f>IF($F281=0,0,Расчет2!BC281)</f>
        <v>0</v>
      </c>
      <c r="AD281" s="10">
        <f>IF($F281=0,0,Расчет2!BD281)</f>
        <v>0</v>
      </c>
      <c r="AE281" s="9">
        <f>IF($F281=0,0,Расчет2!BE281)</f>
        <v>0</v>
      </c>
      <c r="AF281" s="9">
        <f>IF($F281=0,0,Расчет2!BF281)</f>
        <v>0</v>
      </c>
      <c r="AG281" s="9">
        <f>IF($F281=0,0,Расчет2!BG281)</f>
        <v>0</v>
      </c>
      <c r="AI281" s="11" t="e">
        <f>Расчет!FY281</f>
        <v>#N/A</v>
      </c>
      <c r="AJ281" s="11" t="e">
        <f>Расчет!FZ281</f>
        <v>#N/A</v>
      </c>
      <c r="AK281" s="11" t="e">
        <f>Расчет!GA281</f>
        <v>#N/A</v>
      </c>
      <c r="AL281" s="11" t="e">
        <f>Расчет!GB281</f>
        <v>#N/A</v>
      </c>
      <c r="AM281" s="11" t="e">
        <f>Расчет!GC281</f>
        <v>#N/A</v>
      </c>
      <c r="AN281" s="11" t="e">
        <f>Расчет!GD281</f>
        <v>#N/A</v>
      </c>
      <c r="AO281" s="11" t="e">
        <f>Расчет!GE281</f>
        <v>#N/A</v>
      </c>
      <c r="AP281" s="11" t="e">
        <f>Расчет!GF281</f>
        <v>#N/A</v>
      </c>
      <c r="AQ281" s="11" t="e">
        <f>Расчет!GG281</f>
        <v>#N/A</v>
      </c>
      <c r="AR281" s="11" t="e">
        <f>Расчет!GH281</f>
        <v>#N/A</v>
      </c>
      <c r="AS281" s="11" t="e">
        <f>Расчет!GI281</f>
        <v>#N/A</v>
      </c>
      <c r="AT281" s="11" t="e">
        <f>Расчет!GJ281</f>
        <v>#N/A</v>
      </c>
      <c r="AU281" s="198" t="e">
        <f t="shared" si="33"/>
        <v>#N/A</v>
      </c>
      <c r="AV281" s="198" t="e">
        <f t="shared" si="34"/>
        <v>#N/A</v>
      </c>
      <c r="AW281" s="198" t="e">
        <f t="shared" si="35"/>
        <v>#N/A</v>
      </c>
      <c r="AX281" s="11" t="e">
        <f t="shared" si="36"/>
        <v>#N/A</v>
      </c>
      <c r="AY281" s="11" t="e">
        <f t="shared" si="37"/>
        <v>#N/A</v>
      </c>
      <c r="AZ281" s="11" t="e">
        <f t="shared" si="38"/>
        <v>#N/A</v>
      </c>
    </row>
    <row r="282" spans="1:52" x14ac:dyDescent="0.2">
      <c r="A282" s="6">
        <f>Исходн.данные.!A282</f>
        <v>0</v>
      </c>
      <c r="B282" s="6">
        <f>Исходн.данные.!B282</f>
        <v>0</v>
      </c>
      <c r="C282" s="6">
        <f>Исходн.данные.!C282</f>
        <v>0</v>
      </c>
      <c r="D282" s="6">
        <f>Исходн.данные.!D282</f>
        <v>0</v>
      </c>
      <c r="E282" s="6">
        <f>Исходн.данные.!E282</f>
        <v>0</v>
      </c>
      <c r="F282" s="6">
        <f>Исходн.данные.!AH282</f>
        <v>0</v>
      </c>
      <c r="G282" s="6">
        <f>Исходн.данные.!AJ282</f>
        <v>0</v>
      </c>
      <c r="H282" s="6">
        <f>Исходн.данные.!AK282</f>
        <v>0</v>
      </c>
      <c r="I282" s="9">
        <f>IF($F282=0,0,Расчет2!AO282)</f>
        <v>0</v>
      </c>
      <c r="J282" s="9">
        <f>IF(F282=0,0,Расчет2!AP282)</f>
        <v>0</v>
      </c>
      <c r="K282" s="10">
        <f>IF($F282=0,0,Расчет2!AQ282)</f>
        <v>0</v>
      </c>
      <c r="L282" s="10">
        <f>IF($F282=0,0,Расчет2!AR282)</f>
        <v>0</v>
      </c>
      <c r="M282" s="10">
        <f>IF($F282=0,0,Расчет2!AS282)</f>
        <v>0</v>
      </c>
      <c r="N282" s="10">
        <f>IF($F282=0,0,IF(Исходн.данные.!$AP282="Посл.посева",0,Расчет2!AT282))</f>
        <v>0</v>
      </c>
      <c r="O282" s="10">
        <f>IF($F282=0,0,IF(Исходн.данные.!$AP282="Посл.посева",0,IF(Расчет2!AU282&lt;10,10,Расчет2!AU282)))</f>
        <v>0</v>
      </c>
      <c r="P282" s="10">
        <f>IF($F282=0,0,IF(Исходн.данные.!$AP282="Посл.посева",0,Расчет2!AV282))</f>
        <v>0</v>
      </c>
      <c r="Q282" s="10">
        <f>IF($F282=0,0,Расчет2!AW282)</f>
        <v>0</v>
      </c>
      <c r="R282" s="10">
        <f>IF($F282=0,0,Расчет2!AX282)</f>
        <v>0</v>
      </c>
      <c r="S282" s="9">
        <f>IF($F282=0,0,Расчет2!AY282)</f>
        <v>0</v>
      </c>
      <c r="T282" s="10">
        <f>IF($F282=0,0,Расчет2!AZ282)</f>
        <v>0</v>
      </c>
      <c r="U282" s="10">
        <f>IF($F282=0,0,Расчет2!BA282)</f>
        <v>0</v>
      </c>
      <c r="V282" s="10">
        <f>IF($F282=0,0,Расчет2!BB282)</f>
        <v>0</v>
      </c>
      <c r="W282" s="10">
        <f>Расчет!DL282</f>
        <v>0</v>
      </c>
      <c r="X282" s="10">
        <f>Расчет!DN282</f>
        <v>0</v>
      </c>
      <c r="Y282" s="9">
        <f>X282*Исходн.данные.!$AJ282/1000</f>
        <v>0</v>
      </c>
      <c r="Z282" s="10" t="str">
        <f>Расчет!DO282</f>
        <v>Хлор.калий</v>
      </c>
      <c r="AA282" s="10">
        <f>Расчет!DQ282</f>
        <v>0</v>
      </c>
      <c r="AB282" s="12">
        <f>AA282*Исходн.данные.!$AJ282/1000</f>
        <v>0</v>
      </c>
      <c r="AC282" s="9">
        <f>IF($F282=0,0,Расчет2!BC282)</f>
        <v>0</v>
      </c>
      <c r="AD282" s="10">
        <f>IF($F282=0,0,Расчет2!BD282)</f>
        <v>0</v>
      </c>
      <c r="AE282" s="9">
        <f>IF($F282=0,0,Расчет2!BE282)</f>
        <v>0</v>
      </c>
      <c r="AF282" s="9">
        <f>IF($F282=0,0,Расчет2!BF282)</f>
        <v>0</v>
      </c>
      <c r="AG282" s="9">
        <f>IF($F282=0,0,Расчет2!BG282)</f>
        <v>0</v>
      </c>
      <c r="AI282" s="11" t="e">
        <f>Расчет!FY282</f>
        <v>#N/A</v>
      </c>
      <c r="AJ282" s="11" t="e">
        <f>Расчет!FZ282</f>
        <v>#N/A</v>
      </c>
      <c r="AK282" s="11" t="e">
        <f>Расчет!GA282</f>
        <v>#N/A</v>
      </c>
      <c r="AL282" s="11" t="e">
        <f>Расчет!GB282</f>
        <v>#N/A</v>
      </c>
      <c r="AM282" s="11" t="e">
        <f>Расчет!GC282</f>
        <v>#N/A</v>
      </c>
      <c r="AN282" s="11" t="e">
        <f>Расчет!GD282</f>
        <v>#N/A</v>
      </c>
      <c r="AO282" s="11" t="e">
        <f>Расчет!GE282</f>
        <v>#N/A</v>
      </c>
      <c r="AP282" s="11" t="e">
        <f>Расчет!GF282</f>
        <v>#N/A</v>
      </c>
      <c r="AQ282" s="11" t="e">
        <f>Расчет!GG282</f>
        <v>#N/A</v>
      </c>
      <c r="AR282" s="11" t="e">
        <f>Расчет!GH282</f>
        <v>#N/A</v>
      </c>
      <c r="AS282" s="11" t="e">
        <f>Расчет!GI282</f>
        <v>#N/A</v>
      </c>
      <c r="AT282" s="11" t="e">
        <f>Расчет!GJ282</f>
        <v>#N/A</v>
      </c>
      <c r="AU282" s="198" t="e">
        <f t="shared" si="33"/>
        <v>#N/A</v>
      </c>
      <c r="AV282" s="198" t="e">
        <f t="shared" si="34"/>
        <v>#N/A</v>
      </c>
      <c r="AW282" s="198" t="e">
        <f t="shared" si="35"/>
        <v>#N/A</v>
      </c>
      <c r="AX282" s="11" t="e">
        <f t="shared" si="36"/>
        <v>#N/A</v>
      </c>
      <c r="AY282" s="11" t="e">
        <f t="shared" si="37"/>
        <v>#N/A</v>
      </c>
      <c r="AZ282" s="11" t="e">
        <f t="shared" si="38"/>
        <v>#N/A</v>
      </c>
    </row>
    <row r="283" spans="1:52" x14ac:dyDescent="0.2">
      <c r="A283" s="6">
        <f>Исходн.данные.!A283</f>
        <v>0</v>
      </c>
      <c r="B283" s="6">
        <f>Исходн.данные.!B283</f>
        <v>0</v>
      </c>
      <c r="C283" s="6">
        <f>Исходн.данные.!C283</f>
        <v>0</v>
      </c>
      <c r="D283" s="6">
        <f>Исходн.данные.!D283</f>
        <v>0</v>
      </c>
      <c r="E283" s="6">
        <f>Исходн.данные.!E283</f>
        <v>0</v>
      </c>
      <c r="F283" s="6">
        <f>Исходн.данные.!AH283</f>
        <v>0</v>
      </c>
      <c r="G283" s="6">
        <f>Исходн.данные.!AJ283</f>
        <v>0</v>
      </c>
      <c r="H283" s="6">
        <f>Исходн.данные.!AK283</f>
        <v>0</v>
      </c>
      <c r="I283" s="9">
        <f>IF($F283=0,0,Расчет2!AO283)</f>
        <v>0</v>
      </c>
      <c r="J283" s="9">
        <f>IF(F283=0,0,Расчет2!AP283)</f>
        <v>0</v>
      </c>
      <c r="K283" s="10">
        <f>IF($F283=0,0,Расчет2!AQ283)</f>
        <v>0</v>
      </c>
      <c r="L283" s="10">
        <f>IF($F283=0,0,Расчет2!AR283)</f>
        <v>0</v>
      </c>
      <c r="M283" s="10">
        <f>IF($F283=0,0,Расчет2!AS283)</f>
        <v>0</v>
      </c>
      <c r="N283" s="10">
        <f>IF($F283=0,0,IF(Исходн.данные.!$AP283="Посл.посева",0,Расчет2!AT283))</f>
        <v>0</v>
      </c>
      <c r="O283" s="10">
        <f>IF($F283=0,0,IF(Исходн.данные.!$AP283="Посл.посева",0,IF(Расчет2!AU283&lt;10,10,Расчет2!AU283)))</f>
        <v>0</v>
      </c>
      <c r="P283" s="10">
        <f>IF($F283=0,0,IF(Исходн.данные.!$AP283="Посл.посева",0,Расчет2!AV283))</f>
        <v>0</v>
      </c>
      <c r="Q283" s="10">
        <f>IF($F283=0,0,Расчет2!AW283)</f>
        <v>0</v>
      </c>
      <c r="R283" s="10">
        <f>IF($F283=0,0,Расчет2!AX283)</f>
        <v>0</v>
      </c>
      <c r="S283" s="9">
        <f>IF($F283=0,0,Расчет2!AY283)</f>
        <v>0</v>
      </c>
      <c r="T283" s="10">
        <f>IF($F283=0,0,Расчет2!AZ283)</f>
        <v>0</v>
      </c>
      <c r="U283" s="10">
        <f>IF($F283=0,0,Расчет2!BA283)</f>
        <v>0</v>
      </c>
      <c r="V283" s="10">
        <f>IF($F283=0,0,Расчет2!BB283)</f>
        <v>0</v>
      </c>
      <c r="W283" s="10">
        <f>Расчет!DL283</f>
        <v>0</v>
      </c>
      <c r="X283" s="10">
        <f>Расчет!DN283</f>
        <v>0</v>
      </c>
      <c r="Y283" s="9">
        <f>X283*Исходн.данные.!$AJ283/1000</f>
        <v>0</v>
      </c>
      <c r="Z283" s="10" t="str">
        <f>Расчет!DO283</f>
        <v>Хлор.калий</v>
      </c>
      <c r="AA283" s="10">
        <f>Расчет!DQ283</f>
        <v>0</v>
      </c>
      <c r="AB283" s="12">
        <f>AA283*Исходн.данные.!$AJ283/1000</f>
        <v>0</v>
      </c>
      <c r="AC283" s="9">
        <f>IF($F283=0,0,Расчет2!BC283)</f>
        <v>0</v>
      </c>
      <c r="AD283" s="10">
        <f>IF($F283=0,0,Расчет2!BD283)</f>
        <v>0</v>
      </c>
      <c r="AE283" s="9">
        <f>IF($F283=0,0,Расчет2!BE283)</f>
        <v>0</v>
      </c>
      <c r="AF283" s="9">
        <f>IF($F283=0,0,Расчет2!BF283)</f>
        <v>0</v>
      </c>
      <c r="AG283" s="9">
        <f>IF($F283=0,0,Расчет2!BG283)</f>
        <v>0</v>
      </c>
      <c r="AI283" s="11" t="e">
        <f>Расчет!FY283</f>
        <v>#N/A</v>
      </c>
      <c r="AJ283" s="11" t="e">
        <f>Расчет!FZ283</f>
        <v>#N/A</v>
      </c>
      <c r="AK283" s="11" t="e">
        <f>Расчет!GA283</f>
        <v>#N/A</v>
      </c>
      <c r="AL283" s="11" t="e">
        <f>Расчет!GB283</f>
        <v>#N/A</v>
      </c>
      <c r="AM283" s="11" t="e">
        <f>Расчет!GC283</f>
        <v>#N/A</v>
      </c>
      <c r="AN283" s="11" t="e">
        <f>Расчет!GD283</f>
        <v>#N/A</v>
      </c>
      <c r="AO283" s="11" t="e">
        <f>Расчет!GE283</f>
        <v>#N/A</v>
      </c>
      <c r="AP283" s="11" t="e">
        <f>Расчет!GF283</f>
        <v>#N/A</v>
      </c>
      <c r="AQ283" s="11" t="e">
        <f>Расчет!GG283</f>
        <v>#N/A</v>
      </c>
      <c r="AR283" s="11" t="e">
        <f>Расчет!GH283</f>
        <v>#N/A</v>
      </c>
      <c r="AS283" s="11" t="e">
        <f>Расчет!GI283</f>
        <v>#N/A</v>
      </c>
      <c r="AT283" s="11" t="e">
        <f>Расчет!GJ283</f>
        <v>#N/A</v>
      </c>
      <c r="AU283" s="198" t="e">
        <f t="shared" si="33"/>
        <v>#N/A</v>
      </c>
      <c r="AV283" s="198" t="e">
        <f t="shared" si="34"/>
        <v>#N/A</v>
      </c>
      <c r="AW283" s="198" t="e">
        <f t="shared" si="35"/>
        <v>#N/A</v>
      </c>
      <c r="AX283" s="11" t="e">
        <f t="shared" si="36"/>
        <v>#N/A</v>
      </c>
      <c r="AY283" s="11" t="e">
        <f t="shared" si="37"/>
        <v>#N/A</v>
      </c>
      <c r="AZ283" s="11" t="e">
        <f t="shared" si="38"/>
        <v>#N/A</v>
      </c>
    </row>
    <row r="284" spans="1:52" x14ac:dyDescent="0.2">
      <c r="A284" s="6">
        <f>Исходн.данные.!A284</f>
        <v>0</v>
      </c>
      <c r="B284" s="6">
        <f>Исходн.данные.!B284</f>
        <v>0</v>
      </c>
      <c r="C284" s="6">
        <f>Исходн.данные.!C284</f>
        <v>0</v>
      </c>
      <c r="D284" s="6">
        <f>Исходн.данные.!D284</f>
        <v>0</v>
      </c>
      <c r="E284" s="6">
        <f>Исходн.данные.!E284</f>
        <v>0</v>
      </c>
      <c r="F284" s="6">
        <f>Исходн.данные.!AH284</f>
        <v>0</v>
      </c>
      <c r="G284" s="6">
        <f>Исходн.данные.!AJ284</f>
        <v>0</v>
      </c>
      <c r="H284" s="6">
        <f>Исходн.данные.!AK284</f>
        <v>0</v>
      </c>
      <c r="I284" s="9">
        <f>IF($F284=0,0,Расчет2!AO284)</f>
        <v>0</v>
      </c>
      <c r="J284" s="9">
        <f>IF(F284=0,0,Расчет2!AP284)</f>
        <v>0</v>
      </c>
      <c r="K284" s="10">
        <f>IF($F284=0,0,Расчет2!AQ284)</f>
        <v>0</v>
      </c>
      <c r="L284" s="10">
        <f>IF($F284=0,0,Расчет2!AR284)</f>
        <v>0</v>
      </c>
      <c r="M284" s="10">
        <f>IF($F284=0,0,Расчет2!AS284)</f>
        <v>0</v>
      </c>
      <c r="N284" s="10">
        <f>IF($F284=0,0,IF(Исходн.данные.!$AP284="Посл.посева",0,Расчет2!AT284))</f>
        <v>0</v>
      </c>
      <c r="O284" s="10">
        <f>IF($F284=0,0,IF(Исходн.данные.!$AP284="Посл.посева",0,IF(Расчет2!AU284&lt;10,10,Расчет2!AU284)))</f>
        <v>0</v>
      </c>
      <c r="P284" s="10">
        <f>IF($F284=0,0,IF(Исходн.данные.!$AP284="Посл.посева",0,Расчет2!AV284))</f>
        <v>0</v>
      </c>
      <c r="Q284" s="10">
        <f>IF($F284=0,0,Расчет2!AW284)</f>
        <v>0</v>
      </c>
      <c r="R284" s="10">
        <f>IF($F284=0,0,Расчет2!AX284)</f>
        <v>0</v>
      </c>
      <c r="S284" s="9">
        <f>IF($F284=0,0,Расчет2!AY284)</f>
        <v>0</v>
      </c>
      <c r="T284" s="10">
        <f>IF($F284=0,0,Расчет2!AZ284)</f>
        <v>0</v>
      </c>
      <c r="U284" s="10">
        <f>IF($F284=0,0,Расчет2!BA284)</f>
        <v>0</v>
      </c>
      <c r="V284" s="10">
        <f>IF($F284=0,0,Расчет2!BB284)</f>
        <v>0</v>
      </c>
      <c r="W284" s="10">
        <f>Расчет!DL284</f>
        <v>0</v>
      </c>
      <c r="X284" s="10">
        <f>Расчет!DN284</f>
        <v>0</v>
      </c>
      <c r="Y284" s="9">
        <f>X284*Исходн.данные.!$AJ284/1000</f>
        <v>0</v>
      </c>
      <c r="Z284" s="10" t="str">
        <f>Расчет!DO284</f>
        <v>Хлор.калий</v>
      </c>
      <c r="AA284" s="10">
        <f>Расчет!DQ284</f>
        <v>0</v>
      </c>
      <c r="AB284" s="12">
        <f>AA284*Исходн.данные.!$AJ284/1000</f>
        <v>0</v>
      </c>
      <c r="AC284" s="9">
        <f>IF($F284=0,0,Расчет2!BC284)</f>
        <v>0</v>
      </c>
      <c r="AD284" s="10">
        <f>IF($F284=0,0,Расчет2!BD284)</f>
        <v>0</v>
      </c>
      <c r="AE284" s="9">
        <f>IF($F284=0,0,Расчет2!BE284)</f>
        <v>0</v>
      </c>
      <c r="AF284" s="9">
        <f>IF($F284=0,0,Расчет2!BF284)</f>
        <v>0</v>
      </c>
      <c r="AG284" s="9">
        <f>IF($F284=0,0,Расчет2!BG284)</f>
        <v>0</v>
      </c>
      <c r="AI284" s="11" t="e">
        <f>Расчет!FY284</f>
        <v>#N/A</v>
      </c>
      <c r="AJ284" s="11" t="e">
        <f>Расчет!FZ284</f>
        <v>#N/A</v>
      </c>
      <c r="AK284" s="11" t="e">
        <f>Расчет!GA284</f>
        <v>#N/A</v>
      </c>
      <c r="AL284" s="11" t="e">
        <f>Расчет!GB284</f>
        <v>#N/A</v>
      </c>
      <c r="AM284" s="11" t="e">
        <f>Расчет!GC284</f>
        <v>#N/A</v>
      </c>
      <c r="AN284" s="11" t="e">
        <f>Расчет!GD284</f>
        <v>#N/A</v>
      </c>
      <c r="AO284" s="11" t="e">
        <f>Расчет!GE284</f>
        <v>#N/A</v>
      </c>
      <c r="AP284" s="11" t="e">
        <f>Расчет!GF284</f>
        <v>#N/A</v>
      </c>
      <c r="AQ284" s="11" t="e">
        <f>Расчет!GG284</f>
        <v>#N/A</v>
      </c>
      <c r="AR284" s="11" t="e">
        <f>Расчет!GH284</f>
        <v>#N/A</v>
      </c>
      <c r="AS284" s="11" t="e">
        <f>Расчет!GI284</f>
        <v>#N/A</v>
      </c>
      <c r="AT284" s="11" t="e">
        <f>Расчет!GJ284</f>
        <v>#N/A</v>
      </c>
      <c r="AU284" s="198" t="e">
        <f t="shared" si="33"/>
        <v>#N/A</v>
      </c>
      <c r="AV284" s="198" t="e">
        <f t="shared" si="34"/>
        <v>#N/A</v>
      </c>
      <c r="AW284" s="198" t="e">
        <f t="shared" si="35"/>
        <v>#N/A</v>
      </c>
      <c r="AX284" s="11" t="e">
        <f t="shared" si="36"/>
        <v>#N/A</v>
      </c>
      <c r="AY284" s="11" t="e">
        <f t="shared" si="37"/>
        <v>#N/A</v>
      </c>
      <c r="AZ284" s="11" t="e">
        <f t="shared" si="38"/>
        <v>#N/A</v>
      </c>
    </row>
    <row r="285" spans="1:52" x14ac:dyDescent="0.2">
      <c r="A285" s="6">
        <f>Исходн.данные.!A285</f>
        <v>0</v>
      </c>
      <c r="B285" s="6">
        <f>Исходн.данные.!B285</f>
        <v>0</v>
      </c>
      <c r="C285" s="6">
        <f>Исходн.данные.!C285</f>
        <v>0</v>
      </c>
      <c r="D285" s="6">
        <f>Исходн.данные.!D285</f>
        <v>0</v>
      </c>
      <c r="E285" s="6">
        <f>Исходн.данные.!E285</f>
        <v>0</v>
      </c>
      <c r="F285" s="6">
        <f>Исходн.данные.!AH285</f>
        <v>0</v>
      </c>
      <c r="G285" s="6">
        <f>Исходн.данные.!AJ285</f>
        <v>0</v>
      </c>
      <c r="H285" s="6">
        <f>Исходн.данные.!AK285</f>
        <v>0</v>
      </c>
      <c r="I285" s="9">
        <f>IF($F285=0,0,Расчет2!AO285)</f>
        <v>0</v>
      </c>
      <c r="J285" s="9">
        <f>IF(F285=0,0,Расчет2!AP285)</f>
        <v>0</v>
      </c>
      <c r="K285" s="10">
        <f>IF($F285=0,0,Расчет2!AQ285)</f>
        <v>0</v>
      </c>
      <c r="L285" s="10">
        <f>IF($F285=0,0,Расчет2!AR285)</f>
        <v>0</v>
      </c>
      <c r="M285" s="10">
        <f>IF($F285=0,0,Расчет2!AS285)</f>
        <v>0</v>
      </c>
      <c r="N285" s="10">
        <f>IF($F285=0,0,IF(Исходн.данные.!$AP285="Посл.посева",0,Расчет2!AT285))</f>
        <v>0</v>
      </c>
      <c r="O285" s="10">
        <f>IF($F285=0,0,IF(Исходн.данные.!$AP285="Посл.посева",0,IF(Расчет2!AU285&lt;10,10,Расчет2!AU285)))</f>
        <v>0</v>
      </c>
      <c r="P285" s="10">
        <f>IF($F285=0,0,IF(Исходн.данные.!$AP285="Посл.посева",0,Расчет2!AV285))</f>
        <v>0</v>
      </c>
      <c r="Q285" s="10">
        <f>IF($F285=0,0,Расчет2!AW285)</f>
        <v>0</v>
      </c>
      <c r="R285" s="10">
        <f>IF($F285=0,0,Расчет2!AX285)</f>
        <v>0</v>
      </c>
      <c r="S285" s="9">
        <f>IF($F285=0,0,Расчет2!AY285)</f>
        <v>0</v>
      </c>
      <c r="T285" s="10">
        <f>IF($F285=0,0,Расчет2!AZ285)</f>
        <v>0</v>
      </c>
      <c r="U285" s="10">
        <f>IF($F285=0,0,Расчет2!BA285)</f>
        <v>0</v>
      </c>
      <c r="V285" s="10">
        <f>IF($F285=0,0,Расчет2!BB285)</f>
        <v>0</v>
      </c>
      <c r="W285" s="10">
        <f>Расчет!DL285</f>
        <v>0</v>
      </c>
      <c r="X285" s="10">
        <f>Расчет!DN285</f>
        <v>0</v>
      </c>
      <c r="Y285" s="9">
        <f>X285*Исходн.данные.!$AJ285/1000</f>
        <v>0</v>
      </c>
      <c r="Z285" s="10" t="str">
        <f>Расчет!DO285</f>
        <v>Хлор.калий</v>
      </c>
      <c r="AA285" s="10">
        <f>Расчет!DQ285</f>
        <v>0</v>
      </c>
      <c r="AB285" s="12">
        <f>AA285*Исходн.данные.!$AJ285/1000</f>
        <v>0</v>
      </c>
      <c r="AC285" s="9">
        <f>IF($F285=0,0,Расчет2!BC285)</f>
        <v>0</v>
      </c>
      <c r="AD285" s="10">
        <f>IF($F285=0,0,Расчет2!BD285)</f>
        <v>0</v>
      </c>
      <c r="AE285" s="9">
        <f>IF($F285=0,0,Расчет2!BE285)</f>
        <v>0</v>
      </c>
      <c r="AF285" s="9">
        <f>IF($F285=0,0,Расчет2!BF285)</f>
        <v>0</v>
      </c>
      <c r="AG285" s="9">
        <f>IF($F285=0,0,Расчет2!BG285)</f>
        <v>0</v>
      </c>
      <c r="AI285" s="11" t="e">
        <f>Расчет!FY285</f>
        <v>#N/A</v>
      </c>
      <c r="AJ285" s="11" t="e">
        <f>Расчет!FZ285</f>
        <v>#N/A</v>
      </c>
      <c r="AK285" s="11" t="e">
        <f>Расчет!GA285</f>
        <v>#N/A</v>
      </c>
      <c r="AL285" s="11" t="e">
        <f>Расчет!GB285</f>
        <v>#N/A</v>
      </c>
      <c r="AM285" s="11" t="e">
        <f>Расчет!GC285</f>
        <v>#N/A</v>
      </c>
      <c r="AN285" s="11" t="e">
        <f>Расчет!GD285</f>
        <v>#N/A</v>
      </c>
      <c r="AO285" s="11" t="e">
        <f>Расчет!GE285</f>
        <v>#N/A</v>
      </c>
      <c r="AP285" s="11" t="e">
        <f>Расчет!GF285</f>
        <v>#N/A</v>
      </c>
      <c r="AQ285" s="11" t="e">
        <f>Расчет!GG285</f>
        <v>#N/A</v>
      </c>
      <c r="AR285" s="11" t="e">
        <f>Расчет!GH285</f>
        <v>#N/A</v>
      </c>
      <c r="AS285" s="11" t="e">
        <f>Расчет!GI285</f>
        <v>#N/A</v>
      </c>
      <c r="AT285" s="11" t="e">
        <f>Расчет!GJ285</f>
        <v>#N/A</v>
      </c>
      <c r="AU285" s="198" t="e">
        <f t="shared" si="33"/>
        <v>#N/A</v>
      </c>
      <c r="AV285" s="198" t="e">
        <f t="shared" si="34"/>
        <v>#N/A</v>
      </c>
      <c r="AW285" s="198" t="e">
        <f t="shared" si="35"/>
        <v>#N/A</v>
      </c>
      <c r="AX285" s="11" t="e">
        <f t="shared" si="36"/>
        <v>#N/A</v>
      </c>
      <c r="AY285" s="11" t="e">
        <f t="shared" si="37"/>
        <v>#N/A</v>
      </c>
      <c r="AZ285" s="11" t="e">
        <f t="shared" si="38"/>
        <v>#N/A</v>
      </c>
    </row>
    <row r="286" spans="1:52" x14ac:dyDescent="0.2">
      <c r="A286" s="6">
        <f>Исходн.данные.!A286</f>
        <v>0</v>
      </c>
      <c r="B286" s="6">
        <f>Исходн.данные.!B286</f>
        <v>0</v>
      </c>
      <c r="C286" s="6">
        <f>Исходн.данные.!C286</f>
        <v>0</v>
      </c>
      <c r="D286" s="6">
        <f>Исходн.данные.!D286</f>
        <v>0</v>
      </c>
      <c r="E286" s="6">
        <f>Исходн.данные.!E286</f>
        <v>0</v>
      </c>
      <c r="F286" s="6">
        <f>Исходн.данные.!AH286</f>
        <v>0</v>
      </c>
      <c r="G286" s="6">
        <f>Исходн.данные.!AJ286</f>
        <v>0</v>
      </c>
      <c r="H286" s="6">
        <f>Исходн.данные.!AK286</f>
        <v>0</v>
      </c>
      <c r="I286" s="9">
        <f>IF($F286=0,0,Расчет2!AO286)</f>
        <v>0</v>
      </c>
      <c r="J286" s="9">
        <f>IF(F286=0,0,Расчет2!AP286)</f>
        <v>0</v>
      </c>
      <c r="K286" s="10">
        <f>IF($F286=0,0,Расчет2!AQ286)</f>
        <v>0</v>
      </c>
      <c r="L286" s="10">
        <f>IF($F286=0,0,Расчет2!AR286)</f>
        <v>0</v>
      </c>
      <c r="M286" s="10">
        <f>IF($F286=0,0,Расчет2!AS286)</f>
        <v>0</v>
      </c>
      <c r="N286" s="10">
        <f>IF($F286=0,0,IF(Исходн.данные.!$AP286="Посл.посева",0,Расчет2!AT286))</f>
        <v>0</v>
      </c>
      <c r="O286" s="10">
        <f>IF($F286=0,0,IF(Исходн.данные.!$AP286="Посл.посева",0,IF(Расчет2!AU286&lt;10,10,Расчет2!AU286)))</f>
        <v>0</v>
      </c>
      <c r="P286" s="10">
        <f>IF($F286=0,0,IF(Исходн.данные.!$AP286="Посл.посева",0,Расчет2!AV286))</f>
        <v>0</v>
      </c>
      <c r="Q286" s="10">
        <f>IF($F286=0,0,Расчет2!AW286)</f>
        <v>0</v>
      </c>
      <c r="R286" s="10">
        <f>IF($F286=0,0,Расчет2!AX286)</f>
        <v>0</v>
      </c>
      <c r="S286" s="9">
        <f>IF($F286=0,0,Расчет2!AY286)</f>
        <v>0</v>
      </c>
      <c r="T286" s="10">
        <f>IF($F286=0,0,Расчет2!AZ286)</f>
        <v>0</v>
      </c>
      <c r="U286" s="10">
        <f>IF($F286=0,0,Расчет2!BA286)</f>
        <v>0</v>
      </c>
      <c r="V286" s="10">
        <f>IF($F286=0,0,Расчет2!BB286)</f>
        <v>0</v>
      </c>
      <c r="W286" s="10">
        <f>Расчет!DL286</f>
        <v>0</v>
      </c>
      <c r="X286" s="10">
        <f>Расчет!DN286</f>
        <v>0</v>
      </c>
      <c r="Y286" s="9">
        <f>X286*Исходн.данные.!$AJ286/1000</f>
        <v>0</v>
      </c>
      <c r="Z286" s="10" t="str">
        <f>Расчет!DO286</f>
        <v>Хлор.калий</v>
      </c>
      <c r="AA286" s="10">
        <f>Расчет!DQ286</f>
        <v>0</v>
      </c>
      <c r="AB286" s="12">
        <f>AA286*Исходн.данные.!$AJ286/1000</f>
        <v>0</v>
      </c>
      <c r="AC286" s="9">
        <f>IF($F286=0,0,Расчет2!BC286)</f>
        <v>0</v>
      </c>
      <c r="AD286" s="10">
        <f>IF($F286=0,0,Расчет2!BD286)</f>
        <v>0</v>
      </c>
      <c r="AE286" s="9">
        <f>IF($F286=0,0,Расчет2!BE286)</f>
        <v>0</v>
      </c>
      <c r="AF286" s="9">
        <f>IF($F286=0,0,Расчет2!BF286)</f>
        <v>0</v>
      </c>
      <c r="AG286" s="9">
        <f>IF($F286=0,0,Расчет2!BG286)</f>
        <v>0</v>
      </c>
      <c r="AI286" s="11" t="e">
        <f>Расчет!FY286</f>
        <v>#N/A</v>
      </c>
      <c r="AJ286" s="11" t="e">
        <f>Расчет!FZ286</f>
        <v>#N/A</v>
      </c>
      <c r="AK286" s="11" t="e">
        <f>Расчет!GA286</f>
        <v>#N/A</v>
      </c>
      <c r="AL286" s="11" t="e">
        <f>Расчет!GB286</f>
        <v>#N/A</v>
      </c>
      <c r="AM286" s="11" t="e">
        <f>Расчет!GC286</f>
        <v>#N/A</v>
      </c>
      <c r="AN286" s="11" t="e">
        <f>Расчет!GD286</f>
        <v>#N/A</v>
      </c>
      <c r="AO286" s="11" t="e">
        <f>Расчет!GE286</f>
        <v>#N/A</v>
      </c>
      <c r="AP286" s="11" t="e">
        <f>Расчет!GF286</f>
        <v>#N/A</v>
      </c>
      <c r="AQ286" s="11" t="e">
        <f>Расчет!GG286</f>
        <v>#N/A</v>
      </c>
      <c r="AR286" s="11" t="e">
        <f>Расчет!GH286</f>
        <v>#N/A</v>
      </c>
      <c r="AS286" s="11" t="e">
        <f>Расчет!GI286</f>
        <v>#N/A</v>
      </c>
      <c r="AT286" s="11" t="e">
        <f>Расчет!GJ286</f>
        <v>#N/A</v>
      </c>
      <c r="AU286" s="198" t="e">
        <f t="shared" si="33"/>
        <v>#N/A</v>
      </c>
      <c r="AV286" s="198" t="e">
        <f t="shared" si="34"/>
        <v>#N/A</v>
      </c>
      <c r="AW286" s="198" t="e">
        <f t="shared" si="35"/>
        <v>#N/A</v>
      </c>
      <c r="AX286" s="11" t="e">
        <f t="shared" si="36"/>
        <v>#N/A</v>
      </c>
      <c r="AY286" s="11" t="e">
        <f t="shared" si="37"/>
        <v>#N/A</v>
      </c>
      <c r="AZ286" s="11" t="e">
        <f t="shared" si="38"/>
        <v>#N/A</v>
      </c>
    </row>
    <row r="287" spans="1:52" x14ac:dyDescent="0.2">
      <c r="A287" s="6">
        <f>Исходн.данные.!A287</f>
        <v>0</v>
      </c>
      <c r="B287" s="6">
        <f>Исходн.данные.!B287</f>
        <v>0</v>
      </c>
      <c r="C287" s="6">
        <f>Исходн.данные.!C287</f>
        <v>0</v>
      </c>
      <c r="D287" s="6">
        <f>Исходн.данные.!D287</f>
        <v>0</v>
      </c>
      <c r="E287" s="6">
        <f>Исходн.данные.!E287</f>
        <v>0</v>
      </c>
      <c r="F287" s="6">
        <f>Исходн.данные.!AH287</f>
        <v>0</v>
      </c>
      <c r="G287" s="6">
        <f>Исходн.данные.!AJ287</f>
        <v>0</v>
      </c>
      <c r="H287" s="6">
        <f>Исходн.данные.!AK287</f>
        <v>0</v>
      </c>
      <c r="I287" s="9">
        <f>IF($F287=0,0,Расчет2!AO287)</f>
        <v>0</v>
      </c>
      <c r="J287" s="9">
        <f>IF(F287=0,0,Расчет2!AP287)</f>
        <v>0</v>
      </c>
      <c r="K287" s="10">
        <f>IF($F287=0,0,Расчет2!AQ287)</f>
        <v>0</v>
      </c>
      <c r="L287" s="10">
        <f>IF($F287=0,0,Расчет2!AR287)</f>
        <v>0</v>
      </c>
      <c r="M287" s="10">
        <f>IF($F287=0,0,Расчет2!AS287)</f>
        <v>0</v>
      </c>
      <c r="N287" s="10">
        <f>IF($F287=0,0,IF(Исходн.данные.!$AP287="Посл.посева",0,Расчет2!AT287))</f>
        <v>0</v>
      </c>
      <c r="O287" s="10">
        <f>IF($F287=0,0,IF(Исходн.данные.!$AP287="Посл.посева",0,IF(Расчет2!AU287&lt;10,10,Расчет2!AU287)))</f>
        <v>0</v>
      </c>
      <c r="P287" s="10">
        <f>IF($F287=0,0,IF(Исходн.данные.!$AP287="Посл.посева",0,Расчет2!AV287))</f>
        <v>0</v>
      </c>
      <c r="Q287" s="10">
        <f>IF($F287=0,0,Расчет2!AW287)</f>
        <v>0</v>
      </c>
      <c r="R287" s="10">
        <f>IF($F287=0,0,Расчет2!AX287)</f>
        <v>0</v>
      </c>
      <c r="S287" s="9">
        <f>IF($F287=0,0,Расчет2!AY287)</f>
        <v>0</v>
      </c>
      <c r="T287" s="10">
        <f>IF($F287=0,0,Расчет2!AZ287)</f>
        <v>0</v>
      </c>
      <c r="U287" s="10">
        <f>IF($F287=0,0,Расчет2!BA287)</f>
        <v>0</v>
      </c>
      <c r="V287" s="10">
        <f>IF($F287=0,0,Расчет2!BB287)</f>
        <v>0</v>
      </c>
      <c r="W287" s="10">
        <f>Расчет!DL287</f>
        <v>0</v>
      </c>
      <c r="X287" s="10">
        <f>Расчет!DN287</f>
        <v>0</v>
      </c>
      <c r="Y287" s="9">
        <f>X287*Исходн.данные.!$AJ287/1000</f>
        <v>0</v>
      </c>
      <c r="Z287" s="10" t="str">
        <f>Расчет!DO287</f>
        <v>Хлор.калий</v>
      </c>
      <c r="AA287" s="10">
        <f>Расчет!DQ287</f>
        <v>0</v>
      </c>
      <c r="AB287" s="12">
        <f>AA287*Исходн.данные.!$AJ287/1000</f>
        <v>0</v>
      </c>
      <c r="AC287" s="9">
        <f>IF($F287=0,0,Расчет2!BC287)</f>
        <v>0</v>
      </c>
      <c r="AD287" s="10">
        <f>IF($F287=0,0,Расчет2!BD287)</f>
        <v>0</v>
      </c>
      <c r="AE287" s="9">
        <f>IF($F287=0,0,Расчет2!BE287)</f>
        <v>0</v>
      </c>
      <c r="AF287" s="9">
        <f>IF($F287=0,0,Расчет2!BF287)</f>
        <v>0</v>
      </c>
      <c r="AG287" s="9">
        <f>IF($F287=0,0,Расчет2!BG287)</f>
        <v>0</v>
      </c>
      <c r="AI287" s="11" t="e">
        <f>Расчет!FY287</f>
        <v>#N/A</v>
      </c>
      <c r="AJ287" s="11" t="e">
        <f>Расчет!FZ287</f>
        <v>#N/A</v>
      </c>
      <c r="AK287" s="11" t="e">
        <f>Расчет!GA287</f>
        <v>#N/A</v>
      </c>
      <c r="AL287" s="11" t="e">
        <f>Расчет!GB287</f>
        <v>#N/A</v>
      </c>
      <c r="AM287" s="11" t="e">
        <f>Расчет!GC287</f>
        <v>#N/A</v>
      </c>
      <c r="AN287" s="11" t="e">
        <f>Расчет!GD287</f>
        <v>#N/A</v>
      </c>
      <c r="AO287" s="11" t="e">
        <f>Расчет!GE287</f>
        <v>#N/A</v>
      </c>
      <c r="AP287" s="11" t="e">
        <f>Расчет!GF287</f>
        <v>#N/A</v>
      </c>
      <c r="AQ287" s="11" t="e">
        <f>Расчет!GG287</f>
        <v>#N/A</v>
      </c>
      <c r="AR287" s="11" t="e">
        <f>Расчет!GH287</f>
        <v>#N/A</v>
      </c>
      <c r="AS287" s="11" t="e">
        <f>Расчет!GI287</f>
        <v>#N/A</v>
      </c>
      <c r="AT287" s="11" t="e">
        <f>Расчет!GJ287</f>
        <v>#N/A</v>
      </c>
      <c r="AU287" s="198" t="e">
        <f t="shared" si="33"/>
        <v>#N/A</v>
      </c>
      <c r="AV287" s="198" t="e">
        <f t="shared" si="34"/>
        <v>#N/A</v>
      </c>
      <c r="AW287" s="198" t="e">
        <f t="shared" si="35"/>
        <v>#N/A</v>
      </c>
      <c r="AX287" s="11" t="e">
        <f t="shared" si="36"/>
        <v>#N/A</v>
      </c>
      <c r="AY287" s="11" t="e">
        <f t="shared" si="37"/>
        <v>#N/A</v>
      </c>
      <c r="AZ287" s="11" t="e">
        <f t="shared" si="38"/>
        <v>#N/A</v>
      </c>
    </row>
    <row r="288" spans="1:52" x14ac:dyDescent="0.2">
      <c r="A288" s="6">
        <f>Исходн.данные.!A288</f>
        <v>0</v>
      </c>
      <c r="B288" s="6">
        <f>Исходн.данные.!B288</f>
        <v>0</v>
      </c>
      <c r="C288" s="6">
        <f>Исходн.данные.!C288</f>
        <v>0</v>
      </c>
      <c r="D288" s="6">
        <f>Исходн.данные.!D288</f>
        <v>0</v>
      </c>
      <c r="E288" s="6">
        <f>Исходн.данные.!E288</f>
        <v>0</v>
      </c>
      <c r="F288" s="6">
        <f>Исходн.данные.!AH288</f>
        <v>0</v>
      </c>
      <c r="G288" s="6">
        <f>Исходн.данные.!AJ288</f>
        <v>0</v>
      </c>
      <c r="H288" s="6">
        <f>Исходн.данные.!AK288</f>
        <v>0</v>
      </c>
      <c r="I288" s="9">
        <f>IF($F288=0,0,Расчет2!AO288)</f>
        <v>0</v>
      </c>
      <c r="J288" s="9">
        <f>IF(F288=0,0,Расчет2!AP288)</f>
        <v>0</v>
      </c>
      <c r="K288" s="10">
        <f>IF($F288=0,0,Расчет2!AQ288)</f>
        <v>0</v>
      </c>
      <c r="L288" s="10">
        <f>IF($F288=0,0,Расчет2!AR288)</f>
        <v>0</v>
      </c>
      <c r="M288" s="10">
        <f>IF($F288=0,0,Расчет2!AS288)</f>
        <v>0</v>
      </c>
      <c r="N288" s="10">
        <f>IF($F288=0,0,IF(Исходн.данные.!$AP288="Посл.посева",0,Расчет2!AT288))</f>
        <v>0</v>
      </c>
      <c r="O288" s="10">
        <f>IF($F288=0,0,IF(Исходн.данные.!$AP288="Посл.посева",0,IF(Расчет2!AU288&lt;10,10,Расчет2!AU288)))</f>
        <v>0</v>
      </c>
      <c r="P288" s="10">
        <f>IF($F288=0,0,IF(Исходн.данные.!$AP288="Посл.посева",0,Расчет2!AV288))</f>
        <v>0</v>
      </c>
      <c r="Q288" s="10">
        <f>IF($F288=0,0,Расчет2!AW288)</f>
        <v>0</v>
      </c>
      <c r="R288" s="10">
        <f>IF($F288=0,0,Расчет2!AX288)</f>
        <v>0</v>
      </c>
      <c r="S288" s="9">
        <f>IF($F288=0,0,Расчет2!AY288)</f>
        <v>0</v>
      </c>
      <c r="T288" s="10">
        <f>IF($F288=0,0,Расчет2!AZ288)</f>
        <v>0</v>
      </c>
      <c r="U288" s="10">
        <f>IF($F288=0,0,Расчет2!BA288)</f>
        <v>0</v>
      </c>
      <c r="V288" s="10">
        <f>IF($F288=0,0,Расчет2!BB288)</f>
        <v>0</v>
      </c>
      <c r="W288" s="10">
        <f>Расчет!DL288</f>
        <v>0</v>
      </c>
      <c r="X288" s="10">
        <f>Расчет!DN288</f>
        <v>0</v>
      </c>
      <c r="Y288" s="9">
        <f>X288*Исходн.данные.!$AJ288/1000</f>
        <v>0</v>
      </c>
      <c r="Z288" s="10" t="str">
        <f>Расчет!DO288</f>
        <v>Хлор.калий</v>
      </c>
      <c r="AA288" s="10">
        <f>Расчет!DQ288</f>
        <v>0</v>
      </c>
      <c r="AB288" s="12">
        <f>AA288*Исходн.данные.!$AJ288/1000</f>
        <v>0</v>
      </c>
      <c r="AC288" s="9">
        <f>IF($F288=0,0,Расчет2!BC288)</f>
        <v>0</v>
      </c>
      <c r="AD288" s="10">
        <f>IF($F288=0,0,Расчет2!BD288)</f>
        <v>0</v>
      </c>
      <c r="AE288" s="9">
        <f>IF($F288=0,0,Расчет2!BE288)</f>
        <v>0</v>
      </c>
      <c r="AF288" s="9">
        <f>IF($F288=0,0,Расчет2!BF288)</f>
        <v>0</v>
      </c>
      <c r="AG288" s="9">
        <f>IF($F288=0,0,Расчет2!BG288)</f>
        <v>0</v>
      </c>
      <c r="AI288" s="11" t="e">
        <f>Расчет!FY288</f>
        <v>#N/A</v>
      </c>
      <c r="AJ288" s="11" t="e">
        <f>Расчет!FZ288</f>
        <v>#N/A</v>
      </c>
      <c r="AK288" s="11" t="e">
        <f>Расчет!GA288</f>
        <v>#N/A</v>
      </c>
      <c r="AL288" s="11" t="e">
        <f>Расчет!GB288</f>
        <v>#N/A</v>
      </c>
      <c r="AM288" s="11" t="e">
        <f>Расчет!GC288</f>
        <v>#N/A</v>
      </c>
      <c r="AN288" s="11" t="e">
        <f>Расчет!GD288</f>
        <v>#N/A</v>
      </c>
      <c r="AO288" s="11" t="e">
        <f>Расчет!GE288</f>
        <v>#N/A</v>
      </c>
      <c r="AP288" s="11" t="e">
        <f>Расчет!GF288</f>
        <v>#N/A</v>
      </c>
      <c r="AQ288" s="11" t="e">
        <f>Расчет!GG288</f>
        <v>#N/A</v>
      </c>
      <c r="AR288" s="11" t="e">
        <f>Расчет!GH288</f>
        <v>#N/A</v>
      </c>
      <c r="AS288" s="11" t="e">
        <f>Расчет!GI288</f>
        <v>#N/A</v>
      </c>
      <c r="AT288" s="11" t="e">
        <f>Расчет!GJ288</f>
        <v>#N/A</v>
      </c>
      <c r="AU288" s="198" t="e">
        <f t="shared" si="33"/>
        <v>#N/A</v>
      </c>
      <c r="AV288" s="198" t="e">
        <f t="shared" si="34"/>
        <v>#N/A</v>
      </c>
      <c r="AW288" s="198" t="e">
        <f t="shared" si="35"/>
        <v>#N/A</v>
      </c>
      <c r="AX288" s="11" t="e">
        <f t="shared" si="36"/>
        <v>#N/A</v>
      </c>
      <c r="AY288" s="11" t="e">
        <f t="shared" si="37"/>
        <v>#N/A</v>
      </c>
      <c r="AZ288" s="11" t="e">
        <f t="shared" si="38"/>
        <v>#N/A</v>
      </c>
    </row>
    <row r="289" spans="1:52" x14ac:dyDescent="0.2">
      <c r="A289" s="6">
        <f>Исходн.данные.!A289</f>
        <v>0</v>
      </c>
      <c r="B289" s="6">
        <f>Исходн.данные.!B289</f>
        <v>0</v>
      </c>
      <c r="C289" s="6">
        <f>Исходн.данные.!C289</f>
        <v>0</v>
      </c>
      <c r="D289" s="6">
        <f>Исходн.данные.!D289</f>
        <v>0</v>
      </c>
      <c r="E289" s="6">
        <f>Исходн.данные.!E289</f>
        <v>0</v>
      </c>
      <c r="F289" s="6">
        <f>Исходн.данные.!AH289</f>
        <v>0</v>
      </c>
      <c r="G289" s="6">
        <f>Исходн.данные.!AJ289</f>
        <v>0</v>
      </c>
      <c r="H289" s="6">
        <f>Исходн.данные.!AK289</f>
        <v>0</v>
      </c>
      <c r="I289" s="9">
        <f>IF($F289=0,0,Расчет2!AO289)</f>
        <v>0</v>
      </c>
      <c r="J289" s="9">
        <f>IF(F289=0,0,Расчет2!AP289)</f>
        <v>0</v>
      </c>
      <c r="K289" s="10">
        <f>IF($F289=0,0,Расчет2!AQ289)</f>
        <v>0</v>
      </c>
      <c r="L289" s="10">
        <f>IF($F289=0,0,Расчет2!AR289)</f>
        <v>0</v>
      </c>
      <c r="M289" s="10">
        <f>IF($F289=0,0,Расчет2!AS289)</f>
        <v>0</v>
      </c>
      <c r="N289" s="10">
        <f>IF($F289=0,0,IF(Исходн.данные.!$AP289="Посл.посева",0,Расчет2!AT289))</f>
        <v>0</v>
      </c>
      <c r="O289" s="10">
        <f>IF($F289=0,0,IF(Исходн.данные.!$AP289="Посл.посева",0,IF(Расчет2!AU289&lt;10,10,Расчет2!AU289)))</f>
        <v>0</v>
      </c>
      <c r="P289" s="10">
        <f>IF($F289=0,0,IF(Исходн.данные.!$AP289="Посл.посева",0,Расчет2!AV289))</f>
        <v>0</v>
      </c>
      <c r="Q289" s="10">
        <f>IF($F289=0,0,Расчет2!AW289)</f>
        <v>0</v>
      </c>
      <c r="R289" s="10">
        <f>IF($F289=0,0,Расчет2!AX289)</f>
        <v>0</v>
      </c>
      <c r="S289" s="9">
        <f>IF($F289=0,0,Расчет2!AY289)</f>
        <v>0</v>
      </c>
      <c r="T289" s="10">
        <f>IF($F289=0,0,Расчет2!AZ289)</f>
        <v>0</v>
      </c>
      <c r="U289" s="10">
        <f>IF($F289=0,0,Расчет2!BA289)</f>
        <v>0</v>
      </c>
      <c r="V289" s="10">
        <f>IF($F289=0,0,Расчет2!BB289)</f>
        <v>0</v>
      </c>
      <c r="W289" s="10">
        <f>Расчет!DL289</f>
        <v>0</v>
      </c>
      <c r="X289" s="10">
        <f>Расчет!DN289</f>
        <v>0</v>
      </c>
      <c r="Y289" s="9">
        <f>X289*Исходн.данные.!$AJ289/1000</f>
        <v>0</v>
      </c>
      <c r="Z289" s="10" t="str">
        <f>Расчет!DO289</f>
        <v>Хлор.калий</v>
      </c>
      <c r="AA289" s="10">
        <f>Расчет!DQ289</f>
        <v>0</v>
      </c>
      <c r="AB289" s="12">
        <f>AA289*Исходн.данные.!$AJ289/1000</f>
        <v>0</v>
      </c>
      <c r="AC289" s="9">
        <f>IF($F289=0,0,Расчет2!BC289)</f>
        <v>0</v>
      </c>
      <c r="AD289" s="10">
        <f>IF($F289=0,0,Расчет2!BD289)</f>
        <v>0</v>
      </c>
      <c r="AE289" s="9">
        <f>IF($F289=0,0,Расчет2!BE289)</f>
        <v>0</v>
      </c>
      <c r="AF289" s="9">
        <f>IF($F289=0,0,Расчет2!BF289)</f>
        <v>0</v>
      </c>
      <c r="AG289" s="9">
        <f>IF($F289=0,0,Расчет2!BG289)</f>
        <v>0</v>
      </c>
      <c r="AI289" s="11" t="e">
        <f>Расчет!FY289</f>
        <v>#N/A</v>
      </c>
      <c r="AJ289" s="11" t="e">
        <f>Расчет!FZ289</f>
        <v>#N/A</v>
      </c>
      <c r="AK289" s="11" t="e">
        <f>Расчет!GA289</f>
        <v>#N/A</v>
      </c>
      <c r="AL289" s="11" t="e">
        <f>Расчет!GB289</f>
        <v>#N/A</v>
      </c>
      <c r="AM289" s="11" t="e">
        <f>Расчет!GC289</f>
        <v>#N/A</v>
      </c>
      <c r="AN289" s="11" t="e">
        <f>Расчет!GD289</f>
        <v>#N/A</v>
      </c>
      <c r="AO289" s="11" t="e">
        <f>Расчет!GE289</f>
        <v>#N/A</v>
      </c>
      <c r="AP289" s="11" t="e">
        <f>Расчет!GF289</f>
        <v>#N/A</v>
      </c>
      <c r="AQ289" s="11" t="e">
        <f>Расчет!GG289</f>
        <v>#N/A</v>
      </c>
      <c r="AR289" s="11" t="e">
        <f>Расчет!GH289</f>
        <v>#N/A</v>
      </c>
      <c r="AS289" s="11" t="e">
        <f>Расчет!GI289</f>
        <v>#N/A</v>
      </c>
      <c r="AT289" s="11" t="e">
        <f>Расчет!GJ289</f>
        <v>#N/A</v>
      </c>
      <c r="AU289" s="198" t="e">
        <f t="shared" si="33"/>
        <v>#N/A</v>
      </c>
      <c r="AV289" s="198" t="e">
        <f t="shared" si="34"/>
        <v>#N/A</v>
      </c>
      <c r="AW289" s="198" t="e">
        <f t="shared" si="35"/>
        <v>#N/A</v>
      </c>
      <c r="AX289" s="11" t="e">
        <f t="shared" si="36"/>
        <v>#N/A</v>
      </c>
      <c r="AY289" s="11" t="e">
        <f t="shared" si="37"/>
        <v>#N/A</v>
      </c>
      <c r="AZ289" s="11" t="e">
        <f t="shared" si="38"/>
        <v>#N/A</v>
      </c>
    </row>
    <row r="290" spans="1:52" x14ac:dyDescent="0.2">
      <c r="A290" s="6">
        <f>Исходн.данные.!A290</f>
        <v>0</v>
      </c>
      <c r="B290" s="6">
        <f>Исходн.данные.!B290</f>
        <v>0</v>
      </c>
      <c r="C290" s="6">
        <f>Исходн.данные.!C290</f>
        <v>0</v>
      </c>
      <c r="D290" s="6">
        <f>Исходн.данные.!D290</f>
        <v>0</v>
      </c>
      <c r="E290" s="6">
        <f>Исходн.данные.!E290</f>
        <v>0</v>
      </c>
      <c r="F290" s="6">
        <f>Исходн.данные.!AH290</f>
        <v>0</v>
      </c>
      <c r="G290" s="6">
        <f>Исходн.данные.!AJ290</f>
        <v>0</v>
      </c>
      <c r="H290" s="6">
        <f>Исходн.данные.!AK290</f>
        <v>0</v>
      </c>
      <c r="I290" s="9">
        <f>IF($F290=0,0,Расчет2!AO290)</f>
        <v>0</v>
      </c>
      <c r="J290" s="9">
        <f>IF(F290=0,0,Расчет2!AP290)</f>
        <v>0</v>
      </c>
      <c r="K290" s="10">
        <f>IF($F290=0,0,Расчет2!AQ290)</f>
        <v>0</v>
      </c>
      <c r="L290" s="10">
        <f>IF($F290=0,0,Расчет2!AR290)</f>
        <v>0</v>
      </c>
      <c r="M290" s="10">
        <f>IF($F290=0,0,Расчет2!AS290)</f>
        <v>0</v>
      </c>
      <c r="N290" s="10">
        <f>IF($F290=0,0,IF(Исходн.данные.!$AP290="Посл.посева",0,Расчет2!AT290))</f>
        <v>0</v>
      </c>
      <c r="O290" s="10">
        <f>IF($F290=0,0,IF(Исходн.данные.!$AP290="Посл.посева",0,IF(Расчет2!AU290&lt;10,10,Расчет2!AU290)))</f>
        <v>0</v>
      </c>
      <c r="P290" s="10">
        <f>IF($F290=0,0,IF(Исходн.данные.!$AP290="Посл.посева",0,Расчет2!AV290))</f>
        <v>0</v>
      </c>
      <c r="Q290" s="10">
        <f>IF($F290=0,0,Расчет2!AW290)</f>
        <v>0</v>
      </c>
      <c r="R290" s="10">
        <f>IF($F290=0,0,Расчет2!AX290)</f>
        <v>0</v>
      </c>
      <c r="S290" s="9">
        <f>IF($F290=0,0,Расчет2!AY290)</f>
        <v>0</v>
      </c>
      <c r="T290" s="10">
        <f>IF($F290=0,0,Расчет2!AZ290)</f>
        <v>0</v>
      </c>
      <c r="U290" s="10">
        <f>IF($F290=0,0,Расчет2!BA290)</f>
        <v>0</v>
      </c>
      <c r="V290" s="10">
        <f>IF($F290=0,0,Расчет2!BB290)</f>
        <v>0</v>
      </c>
      <c r="W290" s="10">
        <f>Расчет!DL290</f>
        <v>0</v>
      </c>
      <c r="X290" s="10">
        <f>Расчет!DN290</f>
        <v>0</v>
      </c>
      <c r="Y290" s="9">
        <f>X290*Исходн.данные.!$AJ290/1000</f>
        <v>0</v>
      </c>
      <c r="Z290" s="10" t="str">
        <f>Расчет!DO290</f>
        <v>Хлор.калий</v>
      </c>
      <c r="AA290" s="10">
        <f>Расчет!DQ290</f>
        <v>0</v>
      </c>
      <c r="AB290" s="12">
        <f>AA290*Исходн.данные.!$AJ290/1000</f>
        <v>0</v>
      </c>
      <c r="AC290" s="9">
        <f>IF($F290=0,0,Расчет2!BC290)</f>
        <v>0</v>
      </c>
      <c r="AD290" s="10">
        <f>IF($F290=0,0,Расчет2!BD290)</f>
        <v>0</v>
      </c>
      <c r="AE290" s="9">
        <f>IF($F290=0,0,Расчет2!BE290)</f>
        <v>0</v>
      </c>
      <c r="AF290" s="9">
        <f>IF($F290=0,0,Расчет2!BF290)</f>
        <v>0</v>
      </c>
      <c r="AG290" s="9">
        <f>IF($F290=0,0,Расчет2!BG290)</f>
        <v>0</v>
      </c>
      <c r="AI290" s="11" t="e">
        <f>Расчет!FY290</f>
        <v>#N/A</v>
      </c>
      <c r="AJ290" s="11" t="e">
        <f>Расчет!FZ290</f>
        <v>#N/A</v>
      </c>
      <c r="AK290" s="11" t="e">
        <f>Расчет!GA290</f>
        <v>#N/A</v>
      </c>
      <c r="AL290" s="11" t="e">
        <f>Расчет!GB290</f>
        <v>#N/A</v>
      </c>
      <c r="AM290" s="11" t="e">
        <f>Расчет!GC290</f>
        <v>#N/A</v>
      </c>
      <c r="AN290" s="11" t="e">
        <f>Расчет!GD290</f>
        <v>#N/A</v>
      </c>
      <c r="AO290" s="11" t="e">
        <f>Расчет!GE290</f>
        <v>#N/A</v>
      </c>
      <c r="AP290" s="11" t="e">
        <f>Расчет!GF290</f>
        <v>#N/A</v>
      </c>
      <c r="AQ290" s="11" t="e">
        <f>Расчет!GG290</f>
        <v>#N/A</v>
      </c>
      <c r="AR290" s="11" t="e">
        <f>Расчет!GH290</f>
        <v>#N/A</v>
      </c>
      <c r="AS290" s="11" t="e">
        <f>Расчет!GI290</f>
        <v>#N/A</v>
      </c>
      <c r="AT290" s="11" t="e">
        <f>Расчет!GJ290</f>
        <v>#N/A</v>
      </c>
      <c r="AU290" s="198" t="e">
        <f t="shared" si="33"/>
        <v>#N/A</v>
      </c>
      <c r="AV290" s="198" t="e">
        <f t="shared" si="34"/>
        <v>#N/A</v>
      </c>
      <c r="AW290" s="198" t="e">
        <f t="shared" si="35"/>
        <v>#N/A</v>
      </c>
      <c r="AX290" s="11" t="e">
        <f t="shared" si="36"/>
        <v>#N/A</v>
      </c>
      <c r="AY290" s="11" t="e">
        <f t="shared" si="37"/>
        <v>#N/A</v>
      </c>
      <c r="AZ290" s="11" t="e">
        <f t="shared" si="38"/>
        <v>#N/A</v>
      </c>
    </row>
    <row r="291" spans="1:52" x14ac:dyDescent="0.2">
      <c r="A291" s="6">
        <f>Исходн.данные.!A291</f>
        <v>0</v>
      </c>
      <c r="B291" s="6">
        <f>Исходн.данные.!B291</f>
        <v>0</v>
      </c>
      <c r="C291" s="6">
        <f>Исходн.данные.!C291</f>
        <v>0</v>
      </c>
      <c r="D291" s="6">
        <f>Исходн.данные.!D291</f>
        <v>0</v>
      </c>
      <c r="E291" s="6">
        <f>Исходн.данные.!E291</f>
        <v>0</v>
      </c>
      <c r="F291" s="6">
        <f>Исходн.данные.!AH291</f>
        <v>0</v>
      </c>
      <c r="G291" s="6">
        <f>Исходн.данные.!AJ291</f>
        <v>0</v>
      </c>
      <c r="H291" s="6">
        <f>Исходн.данные.!AK291</f>
        <v>0</v>
      </c>
      <c r="I291" s="9">
        <f>IF($F291=0,0,Расчет2!AO291)</f>
        <v>0</v>
      </c>
      <c r="J291" s="9">
        <f>IF(F291=0,0,Расчет2!AP291)</f>
        <v>0</v>
      </c>
      <c r="K291" s="10">
        <f>IF($F291=0,0,Расчет2!AQ291)</f>
        <v>0</v>
      </c>
      <c r="L291" s="10">
        <f>IF($F291=0,0,Расчет2!AR291)</f>
        <v>0</v>
      </c>
      <c r="M291" s="10">
        <f>IF($F291=0,0,Расчет2!AS291)</f>
        <v>0</v>
      </c>
      <c r="N291" s="10">
        <f>IF($F291=0,0,IF(Исходн.данные.!$AP291="Посл.посева",0,Расчет2!AT291))</f>
        <v>0</v>
      </c>
      <c r="O291" s="10">
        <f>IF($F291=0,0,IF(Исходн.данные.!$AP291="Посл.посева",0,IF(Расчет2!AU291&lt;10,10,Расчет2!AU291)))</f>
        <v>0</v>
      </c>
      <c r="P291" s="10">
        <f>IF($F291=0,0,IF(Исходн.данные.!$AP291="Посл.посева",0,Расчет2!AV291))</f>
        <v>0</v>
      </c>
      <c r="Q291" s="10">
        <f>IF($F291=0,0,Расчет2!AW291)</f>
        <v>0</v>
      </c>
      <c r="R291" s="10">
        <f>IF($F291=0,0,Расчет2!AX291)</f>
        <v>0</v>
      </c>
      <c r="S291" s="9">
        <f>IF($F291=0,0,Расчет2!AY291)</f>
        <v>0</v>
      </c>
      <c r="T291" s="10">
        <f>IF($F291=0,0,Расчет2!AZ291)</f>
        <v>0</v>
      </c>
      <c r="U291" s="10">
        <f>IF($F291=0,0,Расчет2!BA291)</f>
        <v>0</v>
      </c>
      <c r="V291" s="10">
        <f>IF($F291=0,0,Расчет2!BB291)</f>
        <v>0</v>
      </c>
      <c r="W291" s="10">
        <f>Расчет!DL291</f>
        <v>0</v>
      </c>
      <c r="X291" s="10">
        <f>Расчет!DN291</f>
        <v>0</v>
      </c>
      <c r="Y291" s="9">
        <f>X291*Исходн.данные.!$AJ291/1000</f>
        <v>0</v>
      </c>
      <c r="Z291" s="10" t="str">
        <f>Расчет!DO291</f>
        <v>Хлор.калий</v>
      </c>
      <c r="AA291" s="10">
        <f>Расчет!DQ291</f>
        <v>0</v>
      </c>
      <c r="AB291" s="12">
        <f>AA291*Исходн.данные.!$AJ291/1000</f>
        <v>0</v>
      </c>
      <c r="AC291" s="9">
        <f>IF($F291=0,0,Расчет2!BC291)</f>
        <v>0</v>
      </c>
      <c r="AD291" s="10">
        <f>IF($F291=0,0,Расчет2!BD291)</f>
        <v>0</v>
      </c>
      <c r="AE291" s="9">
        <f>IF($F291=0,0,Расчет2!BE291)</f>
        <v>0</v>
      </c>
      <c r="AF291" s="9">
        <f>IF($F291=0,0,Расчет2!BF291)</f>
        <v>0</v>
      </c>
      <c r="AG291" s="9">
        <f>IF($F291=0,0,Расчет2!BG291)</f>
        <v>0</v>
      </c>
      <c r="AI291" s="11" t="e">
        <f>Расчет!FY291</f>
        <v>#N/A</v>
      </c>
      <c r="AJ291" s="11" t="e">
        <f>Расчет!FZ291</f>
        <v>#N/A</v>
      </c>
      <c r="AK291" s="11" t="e">
        <f>Расчет!GA291</f>
        <v>#N/A</v>
      </c>
      <c r="AL291" s="11" t="e">
        <f>Расчет!GB291</f>
        <v>#N/A</v>
      </c>
      <c r="AM291" s="11" t="e">
        <f>Расчет!GC291</f>
        <v>#N/A</v>
      </c>
      <c r="AN291" s="11" t="e">
        <f>Расчет!GD291</f>
        <v>#N/A</v>
      </c>
      <c r="AO291" s="11" t="e">
        <f>Расчет!GE291</f>
        <v>#N/A</v>
      </c>
      <c r="AP291" s="11" t="e">
        <f>Расчет!GF291</f>
        <v>#N/A</v>
      </c>
      <c r="AQ291" s="11" t="e">
        <f>Расчет!GG291</f>
        <v>#N/A</v>
      </c>
      <c r="AR291" s="11" t="e">
        <f>Расчет!GH291</f>
        <v>#N/A</v>
      </c>
      <c r="AS291" s="11" t="e">
        <f>Расчет!GI291</f>
        <v>#N/A</v>
      </c>
      <c r="AT291" s="11" t="e">
        <f>Расчет!GJ291</f>
        <v>#N/A</v>
      </c>
      <c r="AU291" s="198" t="e">
        <f t="shared" si="33"/>
        <v>#N/A</v>
      </c>
      <c r="AV291" s="198" t="e">
        <f t="shared" si="34"/>
        <v>#N/A</v>
      </c>
      <c r="AW291" s="198" t="e">
        <f t="shared" si="35"/>
        <v>#N/A</v>
      </c>
      <c r="AX291" s="11" t="e">
        <f t="shared" si="36"/>
        <v>#N/A</v>
      </c>
      <c r="AY291" s="11" t="e">
        <f t="shared" si="37"/>
        <v>#N/A</v>
      </c>
      <c r="AZ291" s="11" t="e">
        <f t="shared" si="38"/>
        <v>#N/A</v>
      </c>
    </row>
    <row r="292" spans="1:52" x14ac:dyDescent="0.2">
      <c r="A292" s="6">
        <f>Исходн.данные.!A292</f>
        <v>0</v>
      </c>
      <c r="B292" s="6">
        <f>Исходн.данные.!B292</f>
        <v>0</v>
      </c>
      <c r="C292" s="6">
        <f>Исходн.данные.!C292</f>
        <v>0</v>
      </c>
      <c r="D292" s="6">
        <f>Исходн.данные.!D292</f>
        <v>0</v>
      </c>
      <c r="E292" s="6">
        <f>Исходн.данные.!E292</f>
        <v>0</v>
      </c>
      <c r="F292" s="6">
        <f>Исходн.данные.!AH292</f>
        <v>0</v>
      </c>
      <c r="G292" s="6">
        <f>Исходн.данные.!AJ292</f>
        <v>0</v>
      </c>
      <c r="H292" s="6">
        <f>Исходн.данные.!AK292</f>
        <v>0</v>
      </c>
      <c r="I292" s="9">
        <f>IF($F292=0,0,Расчет2!AO292)</f>
        <v>0</v>
      </c>
      <c r="J292" s="9">
        <f>IF(F292=0,0,Расчет2!AP292)</f>
        <v>0</v>
      </c>
      <c r="K292" s="10">
        <f>IF($F292=0,0,Расчет2!AQ292)</f>
        <v>0</v>
      </c>
      <c r="L292" s="10">
        <f>IF($F292=0,0,Расчет2!AR292)</f>
        <v>0</v>
      </c>
      <c r="M292" s="10">
        <f>IF($F292=0,0,Расчет2!AS292)</f>
        <v>0</v>
      </c>
      <c r="N292" s="10">
        <f>IF($F292=0,0,IF(Исходн.данные.!$AP292="Посл.посева",0,Расчет2!AT292))</f>
        <v>0</v>
      </c>
      <c r="O292" s="10">
        <f>IF($F292=0,0,IF(Исходн.данные.!$AP292="Посл.посева",0,IF(Расчет2!AU292&lt;10,10,Расчет2!AU292)))</f>
        <v>0</v>
      </c>
      <c r="P292" s="10">
        <f>IF($F292=0,0,IF(Исходн.данные.!$AP292="Посл.посева",0,Расчет2!AV292))</f>
        <v>0</v>
      </c>
      <c r="Q292" s="10">
        <f>IF($F292=0,0,Расчет2!AW292)</f>
        <v>0</v>
      </c>
      <c r="R292" s="10">
        <f>IF($F292=0,0,Расчет2!AX292)</f>
        <v>0</v>
      </c>
      <c r="S292" s="9">
        <f>IF($F292=0,0,Расчет2!AY292)</f>
        <v>0</v>
      </c>
      <c r="T292" s="10">
        <f>IF($F292=0,0,Расчет2!AZ292)</f>
        <v>0</v>
      </c>
      <c r="U292" s="10">
        <f>IF($F292=0,0,Расчет2!BA292)</f>
        <v>0</v>
      </c>
      <c r="V292" s="10">
        <f>IF($F292=0,0,Расчет2!BB292)</f>
        <v>0</v>
      </c>
      <c r="W292" s="10">
        <f>Расчет!DL292</f>
        <v>0</v>
      </c>
      <c r="X292" s="10">
        <f>Расчет!DN292</f>
        <v>0</v>
      </c>
      <c r="Y292" s="9">
        <f>X292*Исходн.данные.!$AJ292/1000</f>
        <v>0</v>
      </c>
      <c r="Z292" s="10" t="str">
        <f>Расчет!DO292</f>
        <v>Хлор.калий</v>
      </c>
      <c r="AA292" s="10">
        <f>Расчет!DQ292</f>
        <v>0</v>
      </c>
      <c r="AB292" s="12">
        <f>AA292*Исходн.данные.!$AJ292/1000</f>
        <v>0</v>
      </c>
      <c r="AC292" s="9">
        <f>IF($F292=0,0,Расчет2!BC292)</f>
        <v>0</v>
      </c>
      <c r="AD292" s="10">
        <f>IF($F292=0,0,Расчет2!BD292)</f>
        <v>0</v>
      </c>
      <c r="AE292" s="9">
        <f>IF($F292=0,0,Расчет2!BE292)</f>
        <v>0</v>
      </c>
      <c r="AF292" s="9">
        <f>IF($F292=0,0,Расчет2!BF292)</f>
        <v>0</v>
      </c>
      <c r="AG292" s="9">
        <f>IF($F292=0,0,Расчет2!BG292)</f>
        <v>0</v>
      </c>
      <c r="AI292" s="11" t="e">
        <f>Расчет!FY292</f>
        <v>#N/A</v>
      </c>
      <c r="AJ292" s="11" t="e">
        <f>Расчет!FZ292</f>
        <v>#N/A</v>
      </c>
      <c r="AK292" s="11" t="e">
        <f>Расчет!GA292</f>
        <v>#N/A</v>
      </c>
      <c r="AL292" s="11" t="e">
        <f>Расчет!GB292</f>
        <v>#N/A</v>
      </c>
      <c r="AM292" s="11" t="e">
        <f>Расчет!GC292</f>
        <v>#N/A</v>
      </c>
      <c r="AN292" s="11" t="e">
        <f>Расчет!GD292</f>
        <v>#N/A</v>
      </c>
      <c r="AO292" s="11" t="e">
        <f>Расчет!GE292</f>
        <v>#N/A</v>
      </c>
      <c r="AP292" s="11" t="e">
        <f>Расчет!GF292</f>
        <v>#N/A</v>
      </c>
      <c r="AQ292" s="11" t="e">
        <f>Расчет!GG292</f>
        <v>#N/A</v>
      </c>
      <c r="AR292" s="11" t="e">
        <f>Расчет!GH292</f>
        <v>#N/A</v>
      </c>
      <c r="AS292" s="11" t="e">
        <f>Расчет!GI292</f>
        <v>#N/A</v>
      </c>
      <c r="AT292" s="11" t="e">
        <f>Расчет!GJ292</f>
        <v>#N/A</v>
      </c>
      <c r="AU292" s="198" t="e">
        <f t="shared" si="33"/>
        <v>#N/A</v>
      </c>
      <c r="AV292" s="198" t="e">
        <f t="shared" si="34"/>
        <v>#N/A</v>
      </c>
      <c r="AW292" s="198" t="e">
        <f t="shared" si="35"/>
        <v>#N/A</v>
      </c>
      <c r="AX292" s="11" t="e">
        <f t="shared" si="36"/>
        <v>#N/A</v>
      </c>
      <c r="AY292" s="11" t="e">
        <f t="shared" si="37"/>
        <v>#N/A</v>
      </c>
      <c r="AZ292" s="11" t="e">
        <f t="shared" si="38"/>
        <v>#N/A</v>
      </c>
    </row>
    <row r="293" spans="1:52" x14ac:dyDescent="0.2">
      <c r="A293" s="6">
        <f>Исходн.данные.!A293</f>
        <v>0</v>
      </c>
      <c r="B293" s="6">
        <f>Исходн.данные.!B293</f>
        <v>0</v>
      </c>
      <c r="C293" s="6">
        <f>Исходн.данные.!C293</f>
        <v>0</v>
      </c>
      <c r="D293" s="6">
        <f>Исходн.данные.!D293</f>
        <v>0</v>
      </c>
      <c r="E293" s="6">
        <f>Исходн.данные.!E293</f>
        <v>0</v>
      </c>
      <c r="F293" s="6">
        <f>Исходн.данные.!AH293</f>
        <v>0</v>
      </c>
      <c r="G293" s="6">
        <f>Исходн.данные.!AJ293</f>
        <v>0</v>
      </c>
      <c r="H293" s="6">
        <f>Исходн.данные.!AK293</f>
        <v>0</v>
      </c>
      <c r="I293" s="9">
        <f>IF($F293=0,0,Расчет2!AO293)</f>
        <v>0</v>
      </c>
      <c r="J293" s="9">
        <f>IF(F293=0,0,Расчет2!AP293)</f>
        <v>0</v>
      </c>
      <c r="K293" s="10">
        <f>IF($F293=0,0,Расчет2!AQ293)</f>
        <v>0</v>
      </c>
      <c r="L293" s="10">
        <f>IF($F293=0,0,Расчет2!AR293)</f>
        <v>0</v>
      </c>
      <c r="M293" s="10">
        <f>IF($F293=0,0,Расчет2!AS293)</f>
        <v>0</v>
      </c>
      <c r="N293" s="10">
        <f>IF($F293=0,0,IF(Исходн.данные.!$AP293="Посл.посева",0,Расчет2!AT293))</f>
        <v>0</v>
      </c>
      <c r="O293" s="10">
        <f>IF($F293=0,0,IF(Исходн.данные.!$AP293="Посл.посева",0,IF(Расчет2!AU293&lt;10,10,Расчет2!AU293)))</f>
        <v>0</v>
      </c>
      <c r="P293" s="10">
        <f>IF($F293=0,0,IF(Исходн.данные.!$AP293="Посл.посева",0,Расчет2!AV293))</f>
        <v>0</v>
      </c>
      <c r="Q293" s="10">
        <f>IF($F293=0,0,Расчет2!AW293)</f>
        <v>0</v>
      </c>
      <c r="R293" s="10">
        <f>IF($F293=0,0,Расчет2!AX293)</f>
        <v>0</v>
      </c>
      <c r="S293" s="9">
        <f>IF($F293=0,0,Расчет2!AY293)</f>
        <v>0</v>
      </c>
      <c r="T293" s="10">
        <f>IF($F293=0,0,Расчет2!AZ293)</f>
        <v>0</v>
      </c>
      <c r="U293" s="10">
        <f>IF($F293=0,0,Расчет2!BA293)</f>
        <v>0</v>
      </c>
      <c r="V293" s="10">
        <f>IF($F293=0,0,Расчет2!BB293)</f>
        <v>0</v>
      </c>
      <c r="W293" s="10">
        <f>Расчет!DL293</f>
        <v>0</v>
      </c>
      <c r="X293" s="10">
        <f>Расчет!DN293</f>
        <v>0</v>
      </c>
      <c r="Y293" s="9">
        <f>X293*Исходн.данные.!$AJ293/1000</f>
        <v>0</v>
      </c>
      <c r="Z293" s="10" t="str">
        <f>Расчет!DO293</f>
        <v>Хлор.калий</v>
      </c>
      <c r="AA293" s="10">
        <f>Расчет!DQ293</f>
        <v>0</v>
      </c>
      <c r="AB293" s="12">
        <f>AA293*Исходн.данные.!$AJ293/1000</f>
        <v>0</v>
      </c>
      <c r="AC293" s="9">
        <f>IF($F293=0,0,Расчет2!BC293)</f>
        <v>0</v>
      </c>
      <c r="AD293" s="10">
        <f>IF($F293=0,0,Расчет2!BD293)</f>
        <v>0</v>
      </c>
      <c r="AE293" s="9">
        <f>IF($F293=0,0,Расчет2!BE293)</f>
        <v>0</v>
      </c>
      <c r="AF293" s="9">
        <f>IF($F293=0,0,Расчет2!BF293)</f>
        <v>0</v>
      </c>
      <c r="AG293" s="9">
        <f>IF($F293=0,0,Расчет2!BG293)</f>
        <v>0</v>
      </c>
      <c r="AI293" s="11" t="e">
        <f>Расчет!FY293</f>
        <v>#N/A</v>
      </c>
      <c r="AJ293" s="11" t="e">
        <f>Расчет!FZ293</f>
        <v>#N/A</v>
      </c>
      <c r="AK293" s="11" t="e">
        <f>Расчет!GA293</f>
        <v>#N/A</v>
      </c>
      <c r="AL293" s="11" t="e">
        <f>Расчет!GB293</f>
        <v>#N/A</v>
      </c>
      <c r="AM293" s="11" t="e">
        <f>Расчет!GC293</f>
        <v>#N/A</v>
      </c>
      <c r="AN293" s="11" t="e">
        <f>Расчет!GD293</f>
        <v>#N/A</v>
      </c>
      <c r="AO293" s="11" t="e">
        <f>Расчет!GE293</f>
        <v>#N/A</v>
      </c>
      <c r="AP293" s="11" t="e">
        <f>Расчет!GF293</f>
        <v>#N/A</v>
      </c>
      <c r="AQ293" s="11" t="e">
        <f>Расчет!GG293</f>
        <v>#N/A</v>
      </c>
      <c r="AR293" s="11" t="e">
        <f>Расчет!GH293</f>
        <v>#N/A</v>
      </c>
      <c r="AS293" s="11" t="e">
        <f>Расчет!GI293</f>
        <v>#N/A</v>
      </c>
      <c r="AT293" s="11" t="e">
        <f>Расчет!GJ293</f>
        <v>#N/A</v>
      </c>
      <c r="AU293" s="198" t="e">
        <f t="shared" si="33"/>
        <v>#N/A</v>
      </c>
      <c r="AV293" s="198" t="e">
        <f t="shared" si="34"/>
        <v>#N/A</v>
      </c>
      <c r="AW293" s="198" t="e">
        <f t="shared" si="35"/>
        <v>#N/A</v>
      </c>
      <c r="AX293" s="11" t="e">
        <f t="shared" si="36"/>
        <v>#N/A</v>
      </c>
      <c r="AY293" s="11" t="e">
        <f t="shared" si="37"/>
        <v>#N/A</v>
      </c>
      <c r="AZ293" s="11" t="e">
        <f t="shared" si="38"/>
        <v>#N/A</v>
      </c>
    </row>
    <row r="294" spans="1:52" x14ac:dyDescent="0.2">
      <c r="A294" s="6">
        <f>Исходн.данные.!A294</f>
        <v>0</v>
      </c>
      <c r="B294" s="6">
        <f>Исходн.данные.!B294</f>
        <v>0</v>
      </c>
      <c r="C294" s="6">
        <f>Исходн.данные.!C294</f>
        <v>0</v>
      </c>
      <c r="D294" s="6">
        <f>Исходн.данные.!D294</f>
        <v>0</v>
      </c>
      <c r="E294" s="6">
        <f>Исходн.данные.!E294</f>
        <v>0</v>
      </c>
      <c r="F294" s="6">
        <f>Исходн.данные.!AH294</f>
        <v>0</v>
      </c>
      <c r="G294" s="6">
        <f>Исходн.данные.!AJ294</f>
        <v>0</v>
      </c>
      <c r="H294" s="6">
        <f>Исходн.данные.!AK294</f>
        <v>0</v>
      </c>
      <c r="I294" s="9">
        <f>IF($F294=0,0,Расчет2!AO294)</f>
        <v>0</v>
      </c>
      <c r="J294" s="9">
        <f>IF(F294=0,0,Расчет2!AP294)</f>
        <v>0</v>
      </c>
      <c r="K294" s="10">
        <f>IF($F294=0,0,Расчет2!AQ294)</f>
        <v>0</v>
      </c>
      <c r="L294" s="10">
        <f>IF($F294=0,0,Расчет2!AR294)</f>
        <v>0</v>
      </c>
      <c r="M294" s="10">
        <f>IF($F294=0,0,Расчет2!AS294)</f>
        <v>0</v>
      </c>
      <c r="N294" s="10">
        <f>IF($F294=0,0,IF(Исходн.данные.!$AP294="Посл.посева",0,Расчет2!AT294))</f>
        <v>0</v>
      </c>
      <c r="O294" s="10">
        <f>IF($F294=0,0,IF(Исходн.данные.!$AP294="Посл.посева",0,IF(Расчет2!AU294&lt;10,10,Расчет2!AU294)))</f>
        <v>0</v>
      </c>
      <c r="P294" s="10">
        <f>IF($F294=0,0,IF(Исходн.данные.!$AP294="Посл.посева",0,Расчет2!AV294))</f>
        <v>0</v>
      </c>
      <c r="Q294" s="10">
        <f>IF($F294=0,0,Расчет2!AW294)</f>
        <v>0</v>
      </c>
      <c r="R294" s="10">
        <f>IF($F294=0,0,Расчет2!AX294)</f>
        <v>0</v>
      </c>
      <c r="S294" s="9">
        <f>IF($F294=0,0,Расчет2!AY294)</f>
        <v>0</v>
      </c>
      <c r="T294" s="10">
        <f>IF($F294=0,0,Расчет2!AZ294)</f>
        <v>0</v>
      </c>
      <c r="U294" s="10">
        <f>IF($F294=0,0,Расчет2!BA294)</f>
        <v>0</v>
      </c>
      <c r="V294" s="10">
        <f>IF($F294=0,0,Расчет2!BB294)</f>
        <v>0</v>
      </c>
      <c r="W294" s="10">
        <f>Расчет!DL294</f>
        <v>0</v>
      </c>
      <c r="X294" s="10">
        <f>Расчет!DN294</f>
        <v>0</v>
      </c>
      <c r="Y294" s="9">
        <f>X294*Исходн.данные.!$AJ294/1000</f>
        <v>0</v>
      </c>
      <c r="Z294" s="10" t="str">
        <f>Расчет!DO294</f>
        <v>Хлор.калий</v>
      </c>
      <c r="AA294" s="10">
        <f>Расчет!DQ294</f>
        <v>0</v>
      </c>
      <c r="AB294" s="12">
        <f>AA294*Исходн.данные.!$AJ294/1000</f>
        <v>0</v>
      </c>
      <c r="AC294" s="9">
        <f>IF($F294=0,0,Расчет2!BC294)</f>
        <v>0</v>
      </c>
      <c r="AD294" s="10">
        <f>IF($F294=0,0,Расчет2!BD294)</f>
        <v>0</v>
      </c>
      <c r="AE294" s="9">
        <f>IF($F294=0,0,Расчет2!BE294)</f>
        <v>0</v>
      </c>
      <c r="AF294" s="9">
        <f>IF($F294=0,0,Расчет2!BF294)</f>
        <v>0</v>
      </c>
      <c r="AG294" s="9">
        <f>IF($F294=0,0,Расчет2!BG294)</f>
        <v>0</v>
      </c>
      <c r="AI294" s="11" t="e">
        <f>Расчет!FY294</f>
        <v>#N/A</v>
      </c>
      <c r="AJ294" s="11" t="e">
        <f>Расчет!FZ294</f>
        <v>#N/A</v>
      </c>
      <c r="AK294" s="11" t="e">
        <f>Расчет!GA294</f>
        <v>#N/A</v>
      </c>
      <c r="AL294" s="11" t="e">
        <f>Расчет!GB294</f>
        <v>#N/A</v>
      </c>
      <c r="AM294" s="11" t="e">
        <f>Расчет!GC294</f>
        <v>#N/A</v>
      </c>
      <c r="AN294" s="11" t="e">
        <f>Расчет!GD294</f>
        <v>#N/A</v>
      </c>
      <c r="AO294" s="11" t="e">
        <f>Расчет!GE294</f>
        <v>#N/A</v>
      </c>
      <c r="AP294" s="11" t="e">
        <f>Расчет!GF294</f>
        <v>#N/A</v>
      </c>
      <c r="AQ294" s="11" t="e">
        <f>Расчет!GG294</f>
        <v>#N/A</v>
      </c>
      <c r="AR294" s="11" t="e">
        <f>Расчет!GH294</f>
        <v>#N/A</v>
      </c>
      <c r="AS294" s="11" t="e">
        <f>Расчет!GI294</f>
        <v>#N/A</v>
      </c>
      <c r="AT294" s="11" t="e">
        <f>Расчет!GJ294</f>
        <v>#N/A</v>
      </c>
      <c r="AU294" s="198" t="e">
        <f t="shared" si="33"/>
        <v>#N/A</v>
      </c>
      <c r="AV294" s="198" t="e">
        <f t="shared" si="34"/>
        <v>#N/A</v>
      </c>
      <c r="AW294" s="198" t="e">
        <f t="shared" si="35"/>
        <v>#N/A</v>
      </c>
      <c r="AX294" s="11" t="e">
        <f t="shared" si="36"/>
        <v>#N/A</v>
      </c>
      <c r="AY294" s="11" t="e">
        <f t="shared" si="37"/>
        <v>#N/A</v>
      </c>
      <c r="AZ294" s="11" t="e">
        <f t="shared" si="38"/>
        <v>#N/A</v>
      </c>
    </row>
    <row r="295" spans="1:52" x14ac:dyDescent="0.2">
      <c r="A295" s="6">
        <f>Исходн.данные.!A295</f>
        <v>0</v>
      </c>
      <c r="B295" s="6">
        <f>Исходн.данные.!B295</f>
        <v>0</v>
      </c>
      <c r="C295" s="6">
        <f>Исходн.данные.!C295</f>
        <v>0</v>
      </c>
      <c r="D295" s="6">
        <f>Исходн.данные.!D295</f>
        <v>0</v>
      </c>
      <c r="E295" s="6">
        <f>Исходн.данные.!E295</f>
        <v>0</v>
      </c>
      <c r="F295" s="6">
        <f>Исходн.данные.!AH295</f>
        <v>0</v>
      </c>
      <c r="G295" s="6">
        <f>Исходн.данные.!AJ295</f>
        <v>0</v>
      </c>
      <c r="H295" s="6">
        <f>Исходн.данные.!AK295</f>
        <v>0</v>
      </c>
      <c r="I295" s="9">
        <f>IF($F295=0,0,Расчет2!AO295)</f>
        <v>0</v>
      </c>
      <c r="J295" s="9">
        <f>IF(F295=0,0,Расчет2!AP295)</f>
        <v>0</v>
      </c>
      <c r="K295" s="10">
        <f>IF($F295=0,0,Расчет2!AQ295)</f>
        <v>0</v>
      </c>
      <c r="L295" s="10">
        <f>IF($F295=0,0,Расчет2!AR295)</f>
        <v>0</v>
      </c>
      <c r="M295" s="10">
        <f>IF($F295=0,0,Расчет2!AS295)</f>
        <v>0</v>
      </c>
      <c r="N295" s="10">
        <f>IF($F295=0,0,IF(Исходн.данные.!$AP295="Посл.посева",0,Расчет2!AT295))</f>
        <v>0</v>
      </c>
      <c r="O295" s="10">
        <f>IF($F295=0,0,IF(Исходн.данные.!$AP295="Посл.посева",0,IF(Расчет2!AU295&lt;10,10,Расчет2!AU295)))</f>
        <v>0</v>
      </c>
      <c r="P295" s="10">
        <f>IF($F295=0,0,IF(Исходн.данные.!$AP295="Посл.посева",0,Расчет2!AV295))</f>
        <v>0</v>
      </c>
      <c r="Q295" s="10">
        <f>IF($F295=0,0,Расчет2!AW295)</f>
        <v>0</v>
      </c>
      <c r="R295" s="10">
        <f>IF($F295=0,0,Расчет2!AX295)</f>
        <v>0</v>
      </c>
      <c r="S295" s="9">
        <f>IF($F295=0,0,Расчет2!AY295)</f>
        <v>0</v>
      </c>
      <c r="T295" s="10">
        <f>IF($F295=0,0,Расчет2!AZ295)</f>
        <v>0</v>
      </c>
      <c r="U295" s="10">
        <f>IF($F295=0,0,Расчет2!BA295)</f>
        <v>0</v>
      </c>
      <c r="V295" s="10">
        <f>IF($F295=0,0,Расчет2!BB295)</f>
        <v>0</v>
      </c>
      <c r="W295" s="10">
        <f>Расчет!DL295</f>
        <v>0</v>
      </c>
      <c r="X295" s="10">
        <f>Расчет!DN295</f>
        <v>0</v>
      </c>
      <c r="Y295" s="9">
        <f>X295*Исходн.данные.!$AJ295/1000</f>
        <v>0</v>
      </c>
      <c r="Z295" s="10" t="str">
        <f>Расчет!DO295</f>
        <v>Хлор.калий</v>
      </c>
      <c r="AA295" s="10">
        <f>Расчет!DQ295</f>
        <v>0</v>
      </c>
      <c r="AB295" s="12">
        <f>AA295*Исходн.данные.!$AJ295/1000</f>
        <v>0</v>
      </c>
      <c r="AC295" s="9">
        <f>IF($F295=0,0,Расчет2!BC295)</f>
        <v>0</v>
      </c>
      <c r="AD295" s="10">
        <f>IF($F295=0,0,Расчет2!BD295)</f>
        <v>0</v>
      </c>
      <c r="AE295" s="9">
        <f>IF($F295=0,0,Расчет2!BE295)</f>
        <v>0</v>
      </c>
      <c r="AF295" s="9">
        <f>IF($F295=0,0,Расчет2!BF295)</f>
        <v>0</v>
      </c>
      <c r="AG295" s="9">
        <f>IF($F295=0,0,Расчет2!BG295)</f>
        <v>0</v>
      </c>
      <c r="AI295" s="11" t="e">
        <f>Расчет!FY295</f>
        <v>#N/A</v>
      </c>
      <c r="AJ295" s="11" t="e">
        <f>Расчет!FZ295</f>
        <v>#N/A</v>
      </c>
      <c r="AK295" s="11" t="e">
        <f>Расчет!GA295</f>
        <v>#N/A</v>
      </c>
      <c r="AL295" s="11" t="e">
        <f>Расчет!GB295</f>
        <v>#N/A</v>
      </c>
      <c r="AM295" s="11" t="e">
        <f>Расчет!GC295</f>
        <v>#N/A</v>
      </c>
      <c r="AN295" s="11" t="e">
        <f>Расчет!GD295</f>
        <v>#N/A</v>
      </c>
      <c r="AO295" s="11" t="e">
        <f>Расчет!GE295</f>
        <v>#N/A</v>
      </c>
      <c r="AP295" s="11" t="e">
        <f>Расчет!GF295</f>
        <v>#N/A</v>
      </c>
      <c r="AQ295" s="11" t="e">
        <f>Расчет!GG295</f>
        <v>#N/A</v>
      </c>
      <c r="AR295" s="11" t="e">
        <f>Расчет!GH295</f>
        <v>#N/A</v>
      </c>
      <c r="AS295" s="11" t="e">
        <f>Расчет!GI295</f>
        <v>#N/A</v>
      </c>
      <c r="AT295" s="11" t="e">
        <f>Расчет!GJ295</f>
        <v>#N/A</v>
      </c>
      <c r="AU295" s="198" t="e">
        <f t="shared" si="33"/>
        <v>#N/A</v>
      </c>
      <c r="AV295" s="198" t="e">
        <f t="shared" si="34"/>
        <v>#N/A</v>
      </c>
      <c r="AW295" s="198" t="e">
        <f t="shared" si="35"/>
        <v>#N/A</v>
      </c>
      <c r="AX295" s="11" t="e">
        <f t="shared" si="36"/>
        <v>#N/A</v>
      </c>
      <c r="AY295" s="11" t="e">
        <f t="shared" si="37"/>
        <v>#N/A</v>
      </c>
      <c r="AZ295" s="11" t="e">
        <f t="shared" si="38"/>
        <v>#N/A</v>
      </c>
    </row>
    <row r="296" spans="1:52" x14ac:dyDescent="0.2">
      <c r="A296" s="6">
        <f>Исходн.данные.!A296</f>
        <v>0</v>
      </c>
      <c r="B296" s="6">
        <f>Исходн.данные.!B296</f>
        <v>0</v>
      </c>
      <c r="C296" s="6">
        <f>Исходн.данные.!C296</f>
        <v>0</v>
      </c>
      <c r="D296" s="6">
        <f>Исходн.данные.!D296</f>
        <v>0</v>
      </c>
      <c r="E296" s="6">
        <f>Исходн.данные.!E296</f>
        <v>0</v>
      </c>
      <c r="F296" s="6">
        <f>Исходн.данные.!AH296</f>
        <v>0</v>
      </c>
      <c r="G296" s="6">
        <f>Исходн.данные.!AJ296</f>
        <v>0</v>
      </c>
      <c r="H296" s="6">
        <f>Исходн.данные.!AK296</f>
        <v>0</v>
      </c>
      <c r="I296" s="9">
        <f>IF($F296=0,0,Расчет2!AO296)</f>
        <v>0</v>
      </c>
      <c r="J296" s="9">
        <f>IF(F296=0,0,Расчет2!AP296)</f>
        <v>0</v>
      </c>
      <c r="K296" s="10">
        <f>IF($F296=0,0,Расчет2!AQ296)</f>
        <v>0</v>
      </c>
      <c r="L296" s="10">
        <f>IF($F296=0,0,Расчет2!AR296)</f>
        <v>0</v>
      </c>
      <c r="M296" s="10">
        <f>IF($F296=0,0,Расчет2!AS296)</f>
        <v>0</v>
      </c>
      <c r="N296" s="10">
        <f>IF($F296=0,0,IF(Исходн.данные.!$AP296="Посл.посева",0,Расчет2!AT296))</f>
        <v>0</v>
      </c>
      <c r="O296" s="10">
        <f>IF($F296=0,0,IF(Исходн.данные.!$AP296="Посл.посева",0,IF(Расчет2!AU296&lt;10,10,Расчет2!AU296)))</f>
        <v>0</v>
      </c>
      <c r="P296" s="10">
        <f>IF($F296=0,0,IF(Исходн.данные.!$AP296="Посл.посева",0,Расчет2!AV296))</f>
        <v>0</v>
      </c>
      <c r="Q296" s="10">
        <f>IF($F296=0,0,Расчет2!AW296)</f>
        <v>0</v>
      </c>
      <c r="R296" s="10">
        <f>IF($F296=0,0,Расчет2!AX296)</f>
        <v>0</v>
      </c>
      <c r="S296" s="9">
        <f>IF($F296=0,0,Расчет2!AY296)</f>
        <v>0</v>
      </c>
      <c r="T296" s="10">
        <f>IF($F296=0,0,Расчет2!AZ296)</f>
        <v>0</v>
      </c>
      <c r="U296" s="10">
        <f>IF($F296=0,0,Расчет2!BA296)</f>
        <v>0</v>
      </c>
      <c r="V296" s="10">
        <f>IF($F296=0,0,Расчет2!BB296)</f>
        <v>0</v>
      </c>
      <c r="W296" s="10">
        <f>Расчет!DL296</f>
        <v>0</v>
      </c>
      <c r="X296" s="10">
        <f>Расчет!DN296</f>
        <v>0</v>
      </c>
      <c r="Y296" s="9">
        <f>X296*Исходн.данные.!$AJ296/1000</f>
        <v>0</v>
      </c>
      <c r="Z296" s="10" t="str">
        <f>Расчет!DO296</f>
        <v>Хлор.калий</v>
      </c>
      <c r="AA296" s="10">
        <f>Расчет!DQ296</f>
        <v>0</v>
      </c>
      <c r="AB296" s="12">
        <f>AA296*Исходн.данные.!$AJ296/1000</f>
        <v>0</v>
      </c>
      <c r="AC296" s="9">
        <f>IF($F296=0,0,Расчет2!BC296)</f>
        <v>0</v>
      </c>
      <c r="AD296" s="10">
        <f>IF($F296=0,0,Расчет2!BD296)</f>
        <v>0</v>
      </c>
      <c r="AE296" s="9">
        <f>IF($F296=0,0,Расчет2!BE296)</f>
        <v>0</v>
      </c>
      <c r="AF296" s="9">
        <f>IF($F296=0,0,Расчет2!BF296)</f>
        <v>0</v>
      </c>
      <c r="AG296" s="9">
        <f>IF($F296=0,0,Расчет2!BG296)</f>
        <v>0</v>
      </c>
      <c r="AI296" s="11" t="e">
        <f>Расчет!FY296</f>
        <v>#N/A</v>
      </c>
      <c r="AJ296" s="11" t="e">
        <f>Расчет!FZ296</f>
        <v>#N/A</v>
      </c>
      <c r="AK296" s="11" t="e">
        <f>Расчет!GA296</f>
        <v>#N/A</v>
      </c>
      <c r="AL296" s="11" t="e">
        <f>Расчет!GB296</f>
        <v>#N/A</v>
      </c>
      <c r="AM296" s="11" t="e">
        <f>Расчет!GC296</f>
        <v>#N/A</v>
      </c>
      <c r="AN296" s="11" t="e">
        <f>Расчет!GD296</f>
        <v>#N/A</v>
      </c>
      <c r="AO296" s="11" t="e">
        <f>Расчет!GE296</f>
        <v>#N/A</v>
      </c>
      <c r="AP296" s="11" t="e">
        <f>Расчет!GF296</f>
        <v>#N/A</v>
      </c>
      <c r="AQ296" s="11" t="e">
        <f>Расчет!GG296</f>
        <v>#N/A</v>
      </c>
      <c r="AR296" s="11" t="e">
        <f>Расчет!GH296</f>
        <v>#N/A</v>
      </c>
      <c r="AS296" s="11" t="e">
        <f>Расчет!GI296</f>
        <v>#N/A</v>
      </c>
      <c r="AT296" s="11" t="e">
        <f>Расчет!GJ296</f>
        <v>#N/A</v>
      </c>
      <c r="AU296" s="198" t="e">
        <f t="shared" si="33"/>
        <v>#N/A</v>
      </c>
      <c r="AV296" s="198" t="e">
        <f t="shared" si="34"/>
        <v>#N/A</v>
      </c>
      <c r="AW296" s="198" t="e">
        <f t="shared" si="35"/>
        <v>#N/A</v>
      </c>
      <c r="AX296" s="11" t="e">
        <f t="shared" si="36"/>
        <v>#N/A</v>
      </c>
      <c r="AY296" s="11" t="e">
        <f t="shared" si="37"/>
        <v>#N/A</v>
      </c>
      <c r="AZ296" s="11" t="e">
        <f t="shared" si="38"/>
        <v>#N/A</v>
      </c>
    </row>
    <row r="297" spans="1:52" x14ac:dyDescent="0.2">
      <c r="A297" s="6">
        <f>Исходн.данные.!A297</f>
        <v>0</v>
      </c>
      <c r="B297" s="6">
        <f>Исходн.данные.!B297</f>
        <v>0</v>
      </c>
      <c r="C297" s="6">
        <f>Исходн.данные.!C297</f>
        <v>0</v>
      </c>
      <c r="D297" s="6">
        <f>Исходн.данные.!D297</f>
        <v>0</v>
      </c>
      <c r="E297" s="6">
        <f>Исходн.данные.!E297</f>
        <v>0</v>
      </c>
      <c r="F297" s="6">
        <f>Исходн.данные.!AH297</f>
        <v>0</v>
      </c>
      <c r="G297" s="6">
        <f>Исходн.данные.!AJ297</f>
        <v>0</v>
      </c>
      <c r="H297" s="6">
        <f>Исходн.данные.!AK297</f>
        <v>0</v>
      </c>
      <c r="I297" s="9">
        <f>IF($F297=0,0,Расчет2!AO297)</f>
        <v>0</v>
      </c>
      <c r="J297" s="9">
        <f>IF(F297=0,0,Расчет2!AP297)</f>
        <v>0</v>
      </c>
      <c r="K297" s="10">
        <f>IF($F297=0,0,Расчет2!AQ297)</f>
        <v>0</v>
      </c>
      <c r="L297" s="10">
        <f>IF($F297=0,0,Расчет2!AR297)</f>
        <v>0</v>
      </c>
      <c r="M297" s="10">
        <f>IF($F297=0,0,Расчет2!AS297)</f>
        <v>0</v>
      </c>
      <c r="N297" s="10">
        <f>IF($F297=0,0,IF(Исходн.данные.!$AP297="Посл.посева",0,Расчет2!AT297))</f>
        <v>0</v>
      </c>
      <c r="O297" s="10">
        <f>IF($F297=0,0,IF(Исходн.данные.!$AP297="Посл.посева",0,IF(Расчет2!AU297&lt;10,10,Расчет2!AU297)))</f>
        <v>0</v>
      </c>
      <c r="P297" s="10">
        <f>IF($F297=0,0,IF(Исходн.данные.!$AP297="Посл.посева",0,Расчет2!AV297))</f>
        <v>0</v>
      </c>
      <c r="Q297" s="10">
        <f>IF($F297=0,0,Расчет2!AW297)</f>
        <v>0</v>
      </c>
      <c r="R297" s="10">
        <f>IF($F297=0,0,Расчет2!AX297)</f>
        <v>0</v>
      </c>
      <c r="S297" s="9">
        <f>IF($F297=0,0,Расчет2!AY297)</f>
        <v>0</v>
      </c>
      <c r="T297" s="10">
        <f>IF($F297=0,0,Расчет2!AZ297)</f>
        <v>0</v>
      </c>
      <c r="U297" s="10">
        <f>IF($F297=0,0,Расчет2!BA297)</f>
        <v>0</v>
      </c>
      <c r="V297" s="10">
        <f>IF($F297=0,0,Расчет2!BB297)</f>
        <v>0</v>
      </c>
      <c r="W297" s="10">
        <f>Расчет!DL297</f>
        <v>0</v>
      </c>
      <c r="X297" s="10">
        <f>Расчет!DN297</f>
        <v>0</v>
      </c>
      <c r="Y297" s="9">
        <f>X297*Исходн.данные.!$AJ297/1000</f>
        <v>0</v>
      </c>
      <c r="Z297" s="10" t="str">
        <f>Расчет!DO297</f>
        <v>Хлор.калий</v>
      </c>
      <c r="AA297" s="10">
        <f>Расчет!DQ297</f>
        <v>0</v>
      </c>
      <c r="AB297" s="12">
        <f>AA297*Исходн.данные.!$AJ297/1000</f>
        <v>0</v>
      </c>
      <c r="AC297" s="9">
        <f>IF($F297=0,0,Расчет2!BC297)</f>
        <v>0</v>
      </c>
      <c r="AD297" s="10">
        <f>IF($F297=0,0,Расчет2!BD297)</f>
        <v>0</v>
      </c>
      <c r="AE297" s="9">
        <f>IF($F297=0,0,Расчет2!BE297)</f>
        <v>0</v>
      </c>
      <c r="AF297" s="9">
        <f>IF($F297=0,0,Расчет2!BF297)</f>
        <v>0</v>
      </c>
      <c r="AG297" s="9">
        <f>IF($F297=0,0,Расчет2!BG297)</f>
        <v>0</v>
      </c>
      <c r="AI297" s="11" t="e">
        <f>Расчет!FY297</f>
        <v>#N/A</v>
      </c>
      <c r="AJ297" s="11" t="e">
        <f>Расчет!FZ297</f>
        <v>#N/A</v>
      </c>
      <c r="AK297" s="11" t="e">
        <f>Расчет!GA297</f>
        <v>#N/A</v>
      </c>
      <c r="AL297" s="11" t="e">
        <f>Расчет!GB297</f>
        <v>#N/A</v>
      </c>
      <c r="AM297" s="11" t="e">
        <f>Расчет!GC297</f>
        <v>#N/A</v>
      </c>
      <c r="AN297" s="11" t="e">
        <f>Расчет!GD297</f>
        <v>#N/A</v>
      </c>
      <c r="AO297" s="11" t="e">
        <f>Расчет!GE297</f>
        <v>#N/A</v>
      </c>
      <c r="AP297" s="11" t="e">
        <f>Расчет!GF297</f>
        <v>#N/A</v>
      </c>
      <c r="AQ297" s="11" t="e">
        <f>Расчет!GG297</f>
        <v>#N/A</v>
      </c>
      <c r="AR297" s="11" t="e">
        <f>Расчет!GH297</f>
        <v>#N/A</v>
      </c>
      <c r="AS297" s="11" t="e">
        <f>Расчет!GI297</f>
        <v>#N/A</v>
      </c>
      <c r="AT297" s="11" t="e">
        <f>Расчет!GJ297</f>
        <v>#N/A</v>
      </c>
      <c r="AU297" s="198" t="e">
        <f t="shared" si="33"/>
        <v>#N/A</v>
      </c>
      <c r="AV297" s="198" t="e">
        <f t="shared" si="34"/>
        <v>#N/A</v>
      </c>
      <c r="AW297" s="198" t="e">
        <f t="shared" si="35"/>
        <v>#N/A</v>
      </c>
      <c r="AX297" s="11" t="e">
        <f t="shared" si="36"/>
        <v>#N/A</v>
      </c>
      <c r="AY297" s="11" t="e">
        <f t="shared" si="37"/>
        <v>#N/A</v>
      </c>
      <c r="AZ297" s="11" t="e">
        <f t="shared" si="38"/>
        <v>#N/A</v>
      </c>
    </row>
    <row r="298" spans="1:52" x14ac:dyDescent="0.2">
      <c r="A298" s="6">
        <f>Исходн.данные.!A298</f>
        <v>0</v>
      </c>
      <c r="B298" s="6">
        <f>Исходн.данные.!B298</f>
        <v>0</v>
      </c>
      <c r="C298" s="6">
        <f>Исходн.данные.!C298</f>
        <v>0</v>
      </c>
      <c r="D298" s="6">
        <f>Исходн.данные.!D298</f>
        <v>0</v>
      </c>
      <c r="E298" s="6">
        <f>Исходн.данные.!E298</f>
        <v>0</v>
      </c>
      <c r="F298" s="6">
        <f>Исходн.данные.!AH298</f>
        <v>0</v>
      </c>
      <c r="G298" s="6">
        <f>Исходн.данные.!AJ298</f>
        <v>0</v>
      </c>
      <c r="H298" s="6">
        <f>Исходн.данные.!AK298</f>
        <v>0</v>
      </c>
      <c r="I298" s="9">
        <f>IF($F298=0,0,Расчет2!AO298)</f>
        <v>0</v>
      </c>
      <c r="J298" s="9">
        <f>IF(F298=0,0,Расчет2!AP298)</f>
        <v>0</v>
      </c>
      <c r="K298" s="10">
        <f>IF($F298=0,0,Расчет2!AQ298)</f>
        <v>0</v>
      </c>
      <c r="L298" s="10">
        <f>IF($F298=0,0,Расчет2!AR298)</f>
        <v>0</v>
      </c>
      <c r="M298" s="10">
        <f>IF($F298=0,0,Расчет2!AS298)</f>
        <v>0</v>
      </c>
      <c r="N298" s="10">
        <f>IF($F298=0,0,IF(Исходн.данные.!$AP298="Посл.посева",0,Расчет2!AT298))</f>
        <v>0</v>
      </c>
      <c r="O298" s="10">
        <f>IF($F298=0,0,IF(Исходн.данные.!$AP298="Посл.посева",0,IF(Расчет2!AU298&lt;10,10,Расчет2!AU298)))</f>
        <v>0</v>
      </c>
      <c r="P298" s="10">
        <f>IF($F298=0,0,IF(Исходн.данные.!$AP298="Посл.посева",0,Расчет2!AV298))</f>
        <v>0</v>
      </c>
      <c r="Q298" s="10">
        <f>IF($F298=0,0,Расчет2!AW298)</f>
        <v>0</v>
      </c>
      <c r="R298" s="10">
        <f>IF($F298=0,0,Расчет2!AX298)</f>
        <v>0</v>
      </c>
      <c r="S298" s="9">
        <f>IF($F298=0,0,Расчет2!AY298)</f>
        <v>0</v>
      </c>
      <c r="T298" s="10">
        <f>IF($F298=0,0,Расчет2!AZ298)</f>
        <v>0</v>
      </c>
      <c r="U298" s="10">
        <f>IF($F298=0,0,Расчет2!BA298)</f>
        <v>0</v>
      </c>
      <c r="V298" s="10">
        <f>IF($F298=0,0,Расчет2!BB298)</f>
        <v>0</v>
      </c>
      <c r="W298" s="10">
        <f>Расчет!DL298</f>
        <v>0</v>
      </c>
      <c r="X298" s="10">
        <f>Расчет!DN298</f>
        <v>0</v>
      </c>
      <c r="Y298" s="9">
        <f>X298*Исходн.данные.!$AJ298/1000</f>
        <v>0</v>
      </c>
      <c r="Z298" s="10" t="str">
        <f>Расчет!DO298</f>
        <v>Хлор.калий</v>
      </c>
      <c r="AA298" s="10">
        <f>Расчет!DQ298</f>
        <v>0</v>
      </c>
      <c r="AB298" s="12">
        <f>AA298*Исходн.данные.!$AJ298/1000</f>
        <v>0</v>
      </c>
      <c r="AC298" s="9">
        <f>IF($F298=0,0,Расчет2!BC298)</f>
        <v>0</v>
      </c>
      <c r="AD298" s="10">
        <f>IF($F298=0,0,Расчет2!BD298)</f>
        <v>0</v>
      </c>
      <c r="AE298" s="9">
        <f>IF($F298=0,0,Расчет2!BE298)</f>
        <v>0</v>
      </c>
      <c r="AF298" s="9">
        <f>IF($F298=0,0,Расчет2!BF298)</f>
        <v>0</v>
      </c>
      <c r="AG298" s="9">
        <f>IF($F298=0,0,Расчет2!BG298)</f>
        <v>0</v>
      </c>
      <c r="AI298" s="11" t="e">
        <f>Расчет!FY298</f>
        <v>#N/A</v>
      </c>
      <c r="AJ298" s="11" t="e">
        <f>Расчет!FZ298</f>
        <v>#N/A</v>
      </c>
      <c r="AK298" s="11" t="e">
        <f>Расчет!GA298</f>
        <v>#N/A</v>
      </c>
      <c r="AL298" s="11" t="e">
        <f>Расчет!GB298</f>
        <v>#N/A</v>
      </c>
      <c r="AM298" s="11" t="e">
        <f>Расчет!GC298</f>
        <v>#N/A</v>
      </c>
      <c r="AN298" s="11" t="e">
        <f>Расчет!GD298</f>
        <v>#N/A</v>
      </c>
      <c r="AO298" s="11" t="e">
        <f>Расчет!GE298</f>
        <v>#N/A</v>
      </c>
      <c r="AP298" s="11" t="e">
        <f>Расчет!GF298</f>
        <v>#N/A</v>
      </c>
      <c r="AQ298" s="11" t="e">
        <f>Расчет!GG298</f>
        <v>#N/A</v>
      </c>
      <c r="AR298" s="11" t="e">
        <f>Расчет!GH298</f>
        <v>#N/A</v>
      </c>
      <c r="AS298" s="11" t="e">
        <f>Расчет!GI298</f>
        <v>#N/A</v>
      </c>
      <c r="AT298" s="11" t="e">
        <f>Расчет!GJ298</f>
        <v>#N/A</v>
      </c>
      <c r="AU298" s="198" t="e">
        <f t="shared" si="33"/>
        <v>#N/A</v>
      </c>
      <c r="AV298" s="198" t="e">
        <f t="shared" si="34"/>
        <v>#N/A</v>
      </c>
      <c r="AW298" s="198" t="e">
        <f t="shared" si="35"/>
        <v>#N/A</v>
      </c>
      <c r="AX298" s="11" t="e">
        <f t="shared" si="36"/>
        <v>#N/A</v>
      </c>
      <c r="AY298" s="11" t="e">
        <f t="shared" si="37"/>
        <v>#N/A</v>
      </c>
      <c r="AZ298" s="11" t="e">
        <f t="shared" si="38"/>
        <v>#N/A</v>
      </c>
    </row>
    <row r="299" spans="1:52" x14ac:dyDescent="0.2">
      <c r="A299" s="6">
        <f>Исходн.данные.!A299</f>
        <v>0</v>
      </c>
      <c r="B299" s="6">
        <f>Исходн.данные.!B299</f>
        <v>0</v>
      </c>
      <c r="C299" s="6">
        <f>Исходн.данные.!C299</f>
        <v>0</v>
      </c>
      <c r="D299" s="6">
        <f>Исходн.данные.!D299</f>
        <v>0</v>
      </c>
      <c r="E299" s="6">
        <f>Исходн.данные.!E299</f>
        <v>0</v>
      </c>
      <c r="F299" s="6">
        <f>Исходн.данные.!AH299</f>
        <v>0</v>
      </c>
      <c r="G299" s="6">
        <f>Исходн.данные.!AJ299</f>
        <v>0</v>
      </c>
      <c r="H299" s="6">
        <f>Исходн.данные.!AK299</f>
        <v>0</v>
      </c>
      <c r="I299" s="9">
        <f>IF($F299=0,0,Расчет2!AO299)</f>
        <v>0</v>
      </c>
      <c r="J299" s="9">
        <f>IF(F299=0,0,Расчет2!AP299)</f>
        <v>0</v>
      </c>
      <c r="K299" s="10">
        <f>IF($F299=0,0,Расчет2!AQ299)</f>
        <v>0</v>
      </c>
      <c r="L299" s="10">
        <f>IF($F299=0,0,Расчет2!AR299)</f>
        <v>0</v>
      </c>
      <c r="M299" s="10">
        <f>IF($F299=0,0,Расчет2!AS299)</f>
        <v>0</v>
      </c>
      <c r="N299" s="10">
        <f>IF($F299=0,0,IF(Исходн.данные.!$AP299="Посл.посева",0,Расчет2!AT299))</f>
        <v>0</v>
      </c>
      <c r="O299" s="10">
        <f>IF($F299=0,0,IF(Исходн.данные.!$AP299="Посл.посева",0,IF(Расчет2!AU299&lt;10,10,Расчет2!AU299)))</f>
        <v>0</v>
      </c>
      <c r="P299" s="10">
        <f>IF($F299=0,0,IF(Исходн.данные.!$AP299="Посл.посева",0,Расчет2!AV299))</f>
        <v>0</v>
      </c>
      <c r="Q299" s="10">
        <f>IF($F299=0,0,Расчет2!AW299)</f>
        <v>0</v>
      </c>
      <c r="R299" s="10">
        <f>IF($F299=0,0,Расчет2!AX299)</f>
        <v>0</v>
      </c>
      <c r="S299" s="9">
        <f>IF($F299=0,0,Расчет2!AY299)</f>
        <v>0</v>
      </c>
      <c r="T299" s="10">
        <f>IF($F299=0,0,Расчет2!AZ299)</f>
        <v>0</v>
      </c>
      <c r="U299" s="10">
        <f>IF($F299=0,0,Расчет2!BA299)</f>
        <v>0</v>
      </c>
      <c r="V299" s="10">
        <f>IF($F299=0,0,Расчет2!BB299)</f>
        <v>0</v>
      </c>
      <c r="W299" s="10">
        <f>Расчет!DL299</f>
        <v>0</v>
      </c>
      <c r="X299" s="10">
        <f>Расчет!DN299</f>
        <v>0</v>
      </c>
      <c r="Y299" s="9">
        <f>X299*Исходн.данные.!$AJ299/1000</f>
        <v>0</v>
      </c>
      <c r="Z299" s="10" t="str">
        <f>Расчет!DO299</f>
        <v>Хлор.калий</v>
      </c>
      <c r="AA299" s="10">
        <f>Расчет!DQ299</f>
        <v>0</v>
      </c>
      <c r="AB299" s="12">
        <f>AA299*Исходн.данные.!$AJ299/1000</f>
        <v>0</v>
      </c>
      <c r="AC299" s="9">
        <f>IF($F299=0,0,Расчет2!BC299)</f>
        <v>0</v>
      </c>
      <c r="AD299" s="10">
        <f>IF($F299=0,0,Расчет2!BD299)</f>
        <v>0</v>
      </c>
      <c r="AE299" s="9">
        <f>IF($F299=0,0,Расчет2!BE299)</f>
        <v>0</v>
      </c>
      <c r="AF299" s="9">
        <f>IF($F299=0,0,Расчет2!BF299)</f>
        <v>0</v>
      </c>
      <c r="AG299" s="9">
        <f>IF($F299=0,0,Расчет2!BG299)</f>
        <v>0</v>
      </c>
      <c r="AI299" s="11" t="e">
        <f>Расчет!FY299</f>
        <v>#N/A</v>
      </c>
      <c r="AJ299" s="11" t="e">
        <f>Расчет!FZ299</f>
        <v>#N/A</v>
      </c>
      <c r="AK299" s="11" t="e">
        <f>Расчет!GA299</f>
        <v>#N/A</v>
      </c>
      <c r="AL299" s="11" t="e">
        <f>Расчет!GB299</f>
        <v>#N/A</v>
      </c>
      <c r="AM299" s="11" t="e">
        <f>Расчет!GC299</f>
        <v>#N/A</v>
      </c>
      <c r="AN299" s="11" t="e">
        <f>Расчет!GD299</f>
        <v>#N/A</v>
      </c>
      <c r="AO299" s="11" t="e">
        <f>Расчет!GE299</f>
        <v>#N/A</v>
      </c>
      <c r="AP299" s="11" t="e">
        <f>Расчет!GF299</f>
        <v>#N/A</v>
      </c>
      <c r="AQ299" s="11" t="e">
        <f>Расчет!GG299</f>
        <v>#N/A</v>
      </c>
      <c r="AR299" s="11" t="e">
        <f>Расчет!GH299</f>
        <v>#N/A</v>
      </c>
      <c r="AS299" s="11" t="e">
        <f>Расчет!GI299</f>
        <v>#N/A</v>
      </c>
      <c r="AT299" s="11" t="e">
        <f>Расчет!GJ299</f>
        <v>#N/A</v>
      </c>
      <c r="AU299" s="198" t="e">
        <f t="shared" si="33"/>
        <v>#N/A</v>
      </c>
      <c r="AV299" s="198" t="e">
        <f t="shared" si="34"/>
        <v>#N/A</v>
      </c>
      <c r="AW299" s="198" t="e">
        <f t="shared" si="35"/>
        <v>#N/A</v>
      </c>
      <c r="AX299" s="11" t="e">
        <f t="shared" si="36"/>
        <v>#N/A</v>
      </c>
      <c r="AY299" s="11" t="e">
        <f t="shared" si="37"/>
        <v>#N/A</v>
      </c>
      <c r="AZ299" s="11" t="e">
        <f t="shared" si="38"/>
        <v>#N/A</v>
      </c>
    </row>
    <row r="300" spans="1:52" x14ac:dyDescent="0.2">
      <c r="A300" s="6">
        <f>Исходн.данные.!A300</f>
        <v>0</v>
      </c>
      <c r="B300" s="6">
        <f>Исходн.данные.!B300</f>
        <v>0</v>
      </c>
      <c r="C300" s="6">
        <f>Исходн.данные.!C300</f>
        <v>0</v>
      </c>
      <c r="D300" s="6">
        <f>Исходн.данные.!D300</f>
        <v>0</v>
      </c>
      <c r="E300" s="6">
        <f>Исходн.данные.!E300</f>
        <v>0</v>
      </c>
      <c r="F300" s="6">
        <f>Исходн.данные.!AH300</f>
        <v>0</v>
      </c>
      <c r="G300" s="6">
        <f>Исходн.данные.!AJ300</f>
        <v>0</v>
      </c>
      <c r="H300" s="6">
        <f>Исходн.данные.!AK300</f>
        <v>0</v>
      </c>
      <c r="I300" s="9">
        <f>IF($F300=0,0,Расчет2!AO300)</f>
        <v>0</v>
      </c>
      <c r="J300" s="9">
        <f>IF(F300=0,0,Расчет2!AP300)</f>
        <v>0</v>
      </c>
      <c r="K300" s="10">
        <f>IF($F300=0,0,Расчет2!AQ300)</f>
        <v>0</v>
      </c>
      <c r="L300" s="10">
        <f>IF($F300=0,0,Расчет2!AR300)</f>
        <v>0</v>
      </c>
      <c r="M300" s="10">
        <f>IF($F300=0,0,Расчет2!AS300)</f>
        <v>0</v>
      </c>
      <c r="N300" s="10">
        <f>IF($F300=0,0,IF(Исходн.данные.!$AP300="Посл.посева",0,Расчет2!AT300))</f>
        <v>0</v>
      </c>
      <c r="O300" s="10">
        <f>IF($F300=0,0,IF(Исходн.данные.!$AP300="Посл.посева",0,IF(Расчет2!AU300&lt;10,10,Расчет2!AU300)))</f>
        <v>0</v>
      </c>
      <c r="P300" s="10">
        <f>IF($F300=0,0,IF(Исходн.данные.!$AP300="Посл.посева",0,Расчет2!AV300))</f>
        <v>0</v>
      </c>
      <c r="Q300" s="10">
        <f>IF($F300=0,0,Расчет2!AW300)</f>
        <v>0</v>
      </c>
      <c r="R300" s="10">
        <f>IF($F300=0,0,Расчет2!AX300)</f>
        <v>0</v>
      </c>
      <c r="S300" s="9">
        <f>IF($F300=0,0,Расчет2!AY300)</f>
        <v>0</v>
      </c>
      <c r="T300" s="10">
        <f>IF($F300=0,0,Расчет2!AZ300)</f>
        <v>0</v>
      </c>
      <c r="U300" s="10">
        <f>IF($F300=0,0,Расчет2!BA300)</f>
        <v>0</v>
      </c>
      <c r="V300" s="10">
        <f>IF($F300=0,0,Расчет2!BB300)</f>
        <v>0</v>
      </c>
      <c r="W300" s="10">
        <f>Расчет!DL300</f>
        <v>0</v>
      </c>
      <c r="X300" s="10">
        <f>Расчет!DN300</f>
        <v>0</v>
      </c>
      <c r="Y300" s="9">
        <f>X300*Исходн.данные.!$AJ300/1000</f>
        <v>0</v>
      </c>
      <c r="Z300" s="10" t="str">
        <f>Расчет!DO300</f>
        <v>Хлор.калий</v>
      </c>
      <c r="AA300" s="10">
        <f>Расчет!DQ300</f>
        <v>0</v>
      </c>
      <c r="AB300" s="12">
        <f>AA300*Исходн.данные.!$AJ300/1000</f>
        <v>0</v>
      </c>
      <c r="AC300" s="9">
        <f>IF($F300=0,0,Расчет2!BC300)</f>
        <v>0</v>
      </c>
      <c r="AD300" s="10">
        <f>IF($F300=0,0,Расчет2!BD300)</f>
        <v>0</v>
      </c>
      <c r="AE300" s="9">
        <f>IF($F300=0,0,Расчет2!BE300)</f>
        <v>0</v>
      </c>
      <c r="AF300" s="9">
        <f>IF($F300=0,0,Расчет2!BF300)</f>
        <v>0</v>
      </c>
      <c r="AG300" s="9">
        <f>IF($F300=0,0,Расчет2!BG300)</f>
        <v>0</v>
      </c>
      <c r="AI300" s="11" t="e">
        <f>Расчет!FY300</f>
        <v>#N/A</v>
      </c>
      <c r="AJ300" s="11" t="e">
        <f>Расчет!FZ300</f>
        <v>#N/A</v>
      </c>
      <c r="AK300" s="11" t="e">
        <f>Расчет!GA300</f>
        <v>#N/A</v>
      </c>
      <c r="AL300" s="11" t="e">
        <f>Расчет!GB300</f>
        <v>#N/A</v>
      </c>
      <c r="AM300" s="11" t="e">
        <f>Расчет!GC300</f>
        <v>#N/A</v>
      </c>
      <c r="AN300" s="11" t="e">
        <f>Расчет!GD300</f>
        <v>#N/A</v>
      </c>
      <c r="AO300" s="11" t="e">
        <f>Расчет!GE300</f>
        <v>#N/A</v>
      </c>
      <c r="AP300" s="11" t="e">
        <f>Расчет!GF300</f>
        <v>#N/A</v>
      </c>
      <c r="AQ300" s="11" t="e">
        <f>Расчет!GG300</f>
        <v>#N/A</v>
      </c>
      <c r="AR300" s="11" t="e">
        <f>Расчет!GH300</f>
        <v>#N/A</v>
      </c>
      <c r="AS300" s="11" t="e">
        <f>Расчет!GI300</f>
        <v>#N/A</v>
      </c>
      <c r="AT300" s="11" t="e">
        <f>Расчет!GJ300</f>
        <v>#N/A</v>
      </c>
      <c r="AU300" s="198" t="e">
        <f t="shared" si="33"/>
        <v>#N/A</v>
      </c>
      <c r="AV300" s="198" t="e">
        <f t="shared" si="34"/>
        <v>#N/A</v>
      </c>
      <c r="AW300" s="198" t="e">
        <f t="shared" si="35"/>
        <v>#N/A</v>
      </c>
      <c r="AX300" s="11" t="e">
        <f t="shared" si="36"/>
        <v>#N/A</v>
      </c>
      <c r="AY300" s="11" t="e">
        <f t="shared" si="37"/>
        <v>#N/A</v>
      </c>
      <c r="AZ300" s="11" t="e">
        <f t="shared" si="38"/>
        <v>#N/A</v>
      </c>
    </row>
    <row r="301" spans="1:52" x14ac:dyDescent="0.2">
      <c r="A301" s="6">
        <f>Исходн.данные.!A301</f>
        <v>0</v>
      </c>
      <c r="B301" s="6">
        <f>Исходн.данные.!B301</f>
        <v>0</v>
      </c>
      <c r="C301" s="6">
        <f>Исходн.данные.!C301</f>
        <v>0</v>
      </c>
      <c r="D301" s="6">
        <f>Исходн.данные.!D301</f>
        <v>0</v>
      </c>
      <c r="E301" s="6">
        <f>Исходн.данные.!E301</f>
        <v>0</v>
      </c>
      <c r="F301" s="6">
        <f>Исходн.данные.!AH301</f>
        <v>0</v>
      </c>
      <c r="G301" s="6">
        <f>Исходн.данные.!AJ301</f>
        <v>0</v>
      </c>
      <c r="H301" s="6">
        <f>Исходн.данные.!AK301</f>
        <v>0</v>
      </c>
      <c r="I301" s="9">
        <f>IF($F301=0,0,Расчет2!AO301)</f>
        <v>0</v>
      </c>
      <c r="J301" s="9">
        <f>IF(F301=0,0,Расчет2!AP301)</f>
        <v>0</v>
      </c>
      <c r="K301" s="10">
        <f>IF($F301=0,0,Расчет2!AQ301)</f>
        <v>0</v>
      </c>
      <c r="L301" s="10">
        <f>IF($F301=0,0,Расчет2!AR301)</f>
        <v>0</v>
      </c>
      <c r="M301" s="10">
        <f>IF($F301=0,0,Расчет2!AS301)</f>
        <v>0</v>
      </c>
      <c r="N301" s="10">
        <f>IF($F301=0,0,IF(Исходн.данные.!$AP301="Посл.посева",0,Расчет2!AT301))</f>
        <v>0</v>
      </c>
      <c r="O301" s="10">
        <f>IF($F301=0,0,IF(Исходн.данные.!$AP301="Посл.посева",0,IF(Расчет2!AU301&lt;10,10,Расчет2!AU301)))</f>
        <v>0</v>
      </c>
      <c r="P301" s="10">
        <f>IF($F301=0,0,IF(Исходн.данные.!$AP301="Посл.посева",0,Расчет2!AV301))</f>
        <v>0</v>
      </c>
      <c r="Q301" s="10">
        <f>IF($F301=0,0,Расчет2!AW301)</f>
        <v>0</v>
      </c>
      <c r="R301" s="10">
        <f>IF($F301=0,0,Расчет2!AX301)</f>
        <v>0</v>
      </c>
      <c r="S301" s="9">
        <f>IF($F301=0,0,Расчет2!AY301)</f>
        <v>0</v>
      </c>
      <c r="T301" s="10">
        <f>IF($F301=0,0,Расчет2!AZ301)</f>
        <v>0</v>
      </c>
      <c r="U301" s="10">
        <f>IF($F301=0,0,Расчет2!BA301)</f>
        <v>0</v>
      </c>
      <c r="V301" s="10">
        <f>IF($F301=0,0,Расчет2!BB301)</f>
        <v>0</v>
      </c>
      <c r="W301" s="10">
        <f>Расчет!DL301</f>
        <v>0</v>
      </c>
      <c r="X301" s="10">
        <f>Расчет!DN301</f>
        <v>0</v>
      </c>
      <c r="Y301" s="9">
        <f>X301*Исходн.данные.!$AJ301/1000</f>
        <v>0</v>
      </c>
      <c r="Z301" s="10" t="str">
        <f>Расчет!DO301</f>
        <v>Хлор.калий</v>
      </c>
      <c r="AA301" s="10">
        <f>Расчет!DQ301</f>
        <v>0</v>
      </c>
      <c r="AB301" s="12">
        <f>AA301*Исходн.данные.!$AJ301/1000</f>
        <v>0</v>
      </c>
      <c r="AC301" s="9">
        <f>IF($F301=0,0,Расчет2!BC301)</f>
        <v>0</v>
      </c>
      <c r="AD301" s="10">
        <f>IF($F301=0,0,Расчет2!BD301)</f>
        <v>0</v>
      </c>
      <c r="AE301" s="9">
        <f>IF($F301=0,0,Расчет2!BE301)</f>
        <v>0</v>
      </c>
      <c r="AF301" s="9">
        <f>IF($F301=0,0,Расчет2!BF301)</f>
        <v>0</v>
      </c>
      <c r="AG301" s="9">
        <f>IF($F301=0,0,Расчет2!BG301)</f>
        <v>0</v>
      </c>
      <c r="AI301" s="11" t="e">
        <f>Расчет!FY301</f>
        <v>#N/A</v>
      </c>
      <c r="AJ301" s="11" t="e">
        <f>Расчет!FZ301</f>
        <v>#N/A</v>
      </c>
      <c r="AK301" s="11" t="e">
        <f>Расчет!GA301</f>
        <v>#N/A</v>
      </c>
      <c r="AL301" s="11" t="e">
        <f>Расчет!GB301</f>
        <v>#N/A</v>
      </c>
      <c r="AM301" s="11" t="e">
        <f>Расчет!GC301</f>
        <v>#N/A</v>
      </c>
      <c r="AN301" s="11" t="e">
        <f>Расчет!GD301</f>
        <v>#N/A</v>
      </c>
      <c r="AO301" s="11" t="e">
        <f>Расчет!GE301</f>
        <v>#N/A</v>
      </c>
      <c r="AP301" s="11" t="e">
        <f>Расчет!GF301</f>
        <v>#N/A</v>
      </c>
      <c r="AQ301" s="11" t="e">
        <f>Расчет!GG301</f>
        <v>#N/A</v>
      </c>
      <c r="AR301" s="11" t="e">
        <f>Расчет!GH301</f>
        <v>#N/A</v>
      </c>
      <c r="AS301" s="11" t="e">
        <f>Расчет!GI301</f>
        <v>#N/A</v>
      </c>
      <c r="AT301" s="11" t="e">
        <f>Расчет!GJ301</f>
        <v>#N/A</v>
      </c>
      <c r="AU301" s="198" t="e">
        <f t="shared" si="33"/>
        <v>#N/A</v>
      </c>
      <c r="AV301" s="198" t="e">
        <f t="shared" si="34"/>
        <v>#N/A</v>
      </c>
      <c r="AW301" s="198" t="e">
        <f t="shared" si="35"/>
        <v>#N/A</v>
      </c>
      <c r="AX301" s="11" t="e">
        <f t="shared" si="36"/>
        <v>#N/A</v>
      </c>
      <c r="AY301" s="11" t="e">
        <f t="shared" si="37"/>
        <v>#N/A</v>
      </c>
      <c r="AZ301" s="11" t="e">
        <f t="shared" si="38"/>
        <v>#N/A</v>
      </c>
    </row>
    <row r="302" spans="1:52" x14ac:dyDescent="0.2">
      <c r="A302" s="6">
        <f>Исходн.данные.!A302</f>
        <v>0</v>
      </c>
      <c r="B302" s="6">
        <f>Исходн.данные.!B302</f>
        <v>0</v>
      </c>
      <c r="C302" s="6">
        <f>Исходн.данные.!C302</f>
        <v>0</v>
      </c>
      <c r="D302" s="6">
        <f>Исходн.данные.!D302</f>
        <v>0</v>
      </c>
      <c r="E302" s="6">
        <f>Исходн.данные.!E302</f>
        <v>0</v>
      </c>
      <c r="F302" s="6">
        <f>Исходн.данные.!AH302</f>
        <v>0</v>
      </c>
      <c r="G302" s="6">
        <f>Исходн.данные.!AJ302</f>
        <v>0</v>
      </c>
      <c r="H302" s="6">
        <f>Исходн.данные.!AK302</f>
        <v>0</v>
      </c>
      <c r="I302" s="9">
        <f>IF($F302=0,0,Расчет2!AO302)</f>
        <v>0</v>
      </c>
      <c r="J302" s="9">
        <f>IF(F302=0,0,Расчет2!AP302)</f>
        <v>0</v>
      </c>
      <c r="K302" s="10">
        <f>IF($F302=0,0,Расчет2!AQ302)</f>
        <v>0</v>
      </c>
      <c r="L302" s="10">
        <f>IF($F302=0,0,Расчет2!AR302)</f>
        <v>0</v>
      </c>
      <c r="M302" s="10">
        <f>IF($F302=0,0,Расчет2!AS302)</f>
        <v>0</v>
      </c>
      <c r="N302" s="10">
        <f>IF($F302=0,0,IF(Исходн.данные.!$AP302="Посл.посева",0,Расчет2!AT302))</f>
        <v>0</v>
      </c>
      <c r="O302" s="10">
        <f>IF($F302=0,0,IF(Исходн.данные.!$AP302="Посл.посева",0,IF(Расчет2!AU302&lt;10,10,Расчет2!AU302)))</f>
        <v>0</v>
      </c>
      <c r="P302" s="10">
        <f>IF($F302=0,0,IF(Исходн.данные.!$AP302="Посл.посева",0,Расчет2!AV302))</f>
        <v>0</v>
      </c>
      <c r="Q302" s="10">
        <f>IF($F302=0,0,Расчет2!AW302)</f>
        <v>0</v>
      </c>
      <c r="R302" s="10">
        <f>IF($F302=0,0,Расчет2!AX302)</f>
        <v>0</v>
      </c>
      <c r="S302" s="9">
        <f>IF($F302=0,0,Расчет2!AY302)</f>
        <v>0</v>
      </c>
      <c r="T302" s="10">
        <f>IF($F302=0,0,Расчет2!AZ302)</f>
        <v>0</v>
      </c>
      <c r="U302" s="10">
        <f>IF($F302=0,0,Расчет2!BA302)</f>
        <v>0</v>
      </c>
      <c r="V302" s="10">
        <f>IF($F302=0,0,Расчет2!BB302)</f>
        <v>0</v>
      </c>
      <c r="W302" s="10">
        <f>Расчет!DL302</f>
        <v>0</v>
      </c>
      <c r="X302" s="10">
        <f>Расчет!DN302</f>
        <v>0</v>
      </c>
      <c r="Y302" s="9">
        <f>X302*Исходн.данные.!$AJ302/1000</f>
        <v>0</v>
      </c>
      <c r="Z302" s="10" t="str">
        <f>Расчет!DO302</f>
        <v>Хлор.калий</v>
      </c>
      <c r="AA302" s="10">
        <f>Расчет!DQ302</f>
        <v>0</v>
      </c>
      <c r="AB302" s="12">
        <f>AA302*Исходн.данные.!$AJ302/1000</f>
        <v>0</v>
      </c>
      <c r="AC302" s="9">
        <f>IF($F302=0,0,Расчет2!BC302)</f>
        <v>0</v>
      </c>
      <c r="AD302" s="10">
        <f>IF($F302=0,0,Расчет2!BD302)</f>
        <v>0</v>
      </c>
      <c r="AE302" s="9">
        <f>IF($F302=0,0,Расчет2!BE302)</f>
        <v>0</v>
      </c>
      <c r="AF302" s="9">
        <f>IF($F302=0,0,Расчет2!BF302)</f>
        <v>0</v>
      </c>
      <c r="AG302" s="9">
        <f>IF($F302=0,0,Расчет2!BG302)</f>
        <v>0</v>
      </c>
      <c r="AI302" s="11" t="e">
        <f>Расчет!FY302</f>
        <v>#N/A</v>
      </c>
      <c r="AJ302" s="11" t="e">
        <f>Расчет!FZ302</f>
        <v>#N/A</v>
      </c>
      <c r="AK302" s="11" t="e">
        <f>Расчет!GA302</f>
        <v>#N/A</v>
      </c>
      <c r="AL302" s="11" t="e">
        <f>Расчет!GB302</f>
        <v>#N/A</v>
      </c>
      <c r="AM302" s="11" t="e">
        <f>Расчет!GC302</f>
        <v>#N/A</v>
      </c>
      <c r="AN302" s="11" t="e">
        <f>Расчет!GD302</f>
        <v>#N/A</v>
      </c>
      <c r="AO302" s="11" t="e">
        <f>Расчет!GE302</f>
        <v>#N/A</v>
      </c>
      <c r="AP302" s="11" t="e">
        <f>Расчет!GF302</f>
        <v>#N/A</v>
      </c>
      <c r="AQ302" s="11" t="e">
        <f>Расчет!GG302</f>
        <v>#N/A</v>
      </c>
      <c r="AR302" s="11" t="e">
        <f>Расчет!GH302</f>
        <v>#N/A</v>
      </c>
      <c r="AS302" s="11" t="e">
        <f>Расчет!GI302</f>
        <v>#N/A</v>
      </c>
      <c r="AT302" s="11" t="e">
        <f>Расчет!GJ302</f>
        <v>#N/A</v>
      </c>
      <c r="AU302" s="198" t="e">
        <f t="shared" si="33"/>
        <v>#N/A</v>
      </c>
      <c r="AV302" s="198" t="e">
        <f t="shared" si="34"/>
        <v>#N/A</v>
      </c>
      <c r="AW302" s="198" t="e">
        <f t="shared" si="35"/>
        <v>#N/A</v>
      </c>
      <c r="AX302" s="11" t="e">
        <f t="shared" si="36"/>
        <v>#N/A</v>
      </c>
      <c r="AY302" s="11" t="e">
        <f t="shared" si="37"/>
        <v>#N/A</v>
      </c>
      <c r="AZ302" s="11" t="e">
        <f t="shared" si="38"/>
        <v>#N/A</v>
      </c>
    </row>
    <row r="303" spans="1:52" x14ac:dyDescent="0.2">
      <c r="A303" s="6">
        <f>Исходн.данные.!A303</f>
        <v>0</v>
      </c>
      <c r="B303" s="6">
        <f>Исходн.данные.!B303</f>
        <v>0</v>
      </c>
      <c r="C303" s="6">
        <f>Исходн.данные.!C303</f>
        <v>0</v>
      </c>
      <c r="D303" s="6">
        <f>Исходн.данные.!D303</f>
        <v>0</v>
      </c>
      <c r="E303" s="6">
        <f>Исходн.данные.!E303</f>
        <v>0</v>
      </c>
      <c r="F303" s="6">
        <f>Исходн.данные.!AH303</f>
        <v>0</v>
      </c>
      <c r="G303" s="6">
        <f>Исходн.данные.!AJ303</f>
        <v>0</v>
      </c>
      <c r="H303" s="6">
        <f>Исходн.данные.!AK303</f>
        <v>0</v>
      </c>
      <c r="I303" s="9">
        <f>IF($F303=0,0,Расчет2!AO303)</f>
        <v>0</v>
      </c>
      <c r="J303" s="9">
        <f>IF(F303=0,0,Расчет2!AP303)</f>
        <v>0</v>
      </c>
      <c r="K303" s="10">
        <f>IF($F303=0,0,Расчет2!AQ303)</f>
        <v>0</v>
      </c>
      <c r="L303" s="10">
        <f>IF($F303=0,0,Расчет2!AR303)</f>
        <v>0</v>
      </c>
      <c r="M303" s="10">
        <f>IF($F303=0,0,Расчет2!AS303)</f>
        <v>0</v>
      </c>
      <c r="N303" s="10">
        <f>IF($F303=0,0,IF(Исходн.данные.!$AP303="Посл.посева",0,Расчет2!AT303))</f>
        <v>0</v>
      </c>
      <c r="O303" s="10">
        <f>IF($F303=0,0,IF(Исходн.данные.!$AP303="Посл.посева",0,IF(Расчет2!AU303&lt;10,10,Расчет2!AU303)))</f>
        <v>0</v>
      </c>
      <c r="P303" s="10">
        <f>IF($F303=0,0,IF(Исходн.данные.!$AP303="Посл.посева",0,Расчет2!AV303))</f>
        <v>0</v>
      </c>
      <c r="Q303" s="10">
        <f>IF($F303=0,0,Расчет2!AW303)</f>
        <v>0</v>
      </c>
      <c r="R303" s="10">
        <f>IF($F303=0,0,Расчет2!AX303)</f>
        <v>0</v>
      </c>
      <c r="S303" s="9">
        <f>IF($F303=0,0,Расчет2!AY303)</f>
        <v>0</v>
      </c>
      <c r="T303" s="10">
        <f>IF($F303=0,0,Расчет2!AZ303)</f>
        <v>0</v>
      </c>
      <c r="U303" s="10">
        <f>IF($F303=0,0,Расчет2!BA303)</f>
        <v>0</v>
      </c>
      <c r="V303" s="10">
        <f>IF($F303=0,0,Расчет2!BB303)</f>
        <v>0</v>
      </c>
      <c r="W303" s="10">
        <f>Расчет!DL303</f>
        <v>0</v>
      </c>
      <c r="X303" s="10">
        <f>Расчет!DN303</f>
        <v>0</v>
      </c>
      <c r="Y303" s="9">
        <f>X303*Исходн.данные.!$AJ303/1000</f>
        <v>0</v>
      </c>
      <c r="Z303" s="10" t="str">
        <f>Расчет!DO303</f>
        <v>Хлор.калий</v>
      </c>
      <c r="AA303" s="10">
        <f>Расчет!DQ303</f>
        <v>0</v>
      </c>
      <c r="AB303" s="12">
        <f>AA303*Исходн.данные.!$AJ303/1000</f>
        <v>0</v>
      </c>
      <c r="AC303" s="9">
        <f>IF($F303=0,0,Расчет2!BC303)</f>
        <v>0</v>
      </c>
      <c r="AD303" s="10">
        <f>IF($F303=0,0,Расчет2!BD303)</f>
        <v>0</v>
      </c>
      <c r="AE303" s="9">
        <f>IF($F303=0,0,Расчет2!BE303)</f>
        <v>0</v>
      </c>
      <c r="AF303" s="9">
        <f>IF($F303=0,0,Расчет2!BF303)</f>
        <v>0</v>
      </c>
      <c r="AG303" s="9">
        <f>IF($F303=0,0,Расчет2!BG303)</f>
        <v>0</v>
      </c>
      <c r="AI303" s="11" t="e">
        <f>Расчет!FY303</f>
        <v>#N/A</v>
      </c>
      <c r="AJ303" s="11" t="e">
        <f>Расчет!FZ303</f>
        <v>#N/A</v>
      </c>
      <c r="AK303" s="11" t="e">
        <f>Расчет!GA303</f>
        <v>#N/A</v>
      </c>
      <c r="AL303" s="11" t="e">
        <f>Расчет!GB303</f>
        <v>#N/A</v>
      </c>
      <c r="AM303" s="11" t="e">
        <f>Расчет!GC303</f>
        <v>#N/A</v>
      </c>
      <c r="AN303" s="11" t="e">
        <f>Расчет!GD303</f>
        <v>#N/A</v>
      </c>
      <c r="AO303" s="11" t="e">
        <f>Расчет!GE303</f>
        <v>#N/A</v>
      </c>
      <c r="AP303" s="11" t="e">
        <f>Расчет!GF303</f>
        <v>#N/A</v>
      </c>
      <c r="AQ303" s="11" t="e">
        <f>Расчет!GG303</f>
        <v>#N/A</v>
      </c>
      <c r="AR303" s="11" t="e">
        <f>Расчет!GH303</f>
        <v>#N/A</v>
      </c>
      <c r="AS303" s="11" t="e">
        <f>Расчет!GI303</f>
        <v>#N/A</v>
      </c>
      <c r="AT303" s="11" t="e">
        <f>Расчет!GJ303</f>
        <v>#N/A</v>
      </c>
      <c r="AU303" s="198" t="e">
        <f t="shared" si="33"/>
        <v>#N/A</v>
      </c>
      <c r="AV303" s="198" t="e">
        <f t="shared" si="34"/>
        <v>#N/A</v>
      </c>
      <c r="AW303" s="198" t="e">
        <f t="shared" si="35"/>
        <v>#N/A</v>
      </c>
      <c r="AX303" s="11" t="e">
        <f t="shared" si="36"/>
        <v>#N/A</v>
      </c>
      <c r="AY303" s="11" t="e">
        <f t="shared" si="37"/>
        <v>#N/A</v>
      </c>
      <c r="AZ303" s="11" t="e">
        <f t="shared" si="38"/>
        <v>#N/A</v>
      </c>
    </row>
    <row r="304" spans="1:52" x14ac:dyDescent="0.2">
      <c r="A304" s="6">
        <f>Исходн.данные.!A304</f>
        <v>0</v>
      </c>
      <c r="B304" s="6">
        <f>Исходн.данные.!B304</f>
        <v>0</v>
      </c>
      <c r="C304" s="6">
        <f>Исходн.данные.!C304</f>
        <v>0</v>
      </c>
      <c r="D304" s="6">
        <f>Исходн.данные.!D304</f>
        <v>0</v>
      </c>
      <c r="E304" s="6">
        <f>Исходн.данные.!E304</f>
        <v>0</v>
      </c>
      <c r="F304" s="6">
        <f>Исходн.данные.!AH304</f>
        <v>0</v>
      </c>
      <c r="G304" s="6">
        <f>Исходн.данные.!AJ304</f>
        <v>0</v>
      </c>
      <c r="H304" s="6">
        <f>Исходн.данные.!AK304</f>
        <v>0</v>
      </c>
      <c r="I304" s="9">
        <f>IF($F304=0,0,Расчет2!AO304)</f>
        <v>0</v>
      </c>
      <c r="J304" s="9">
        <f>IF(F304=0,0,Расчет2!AP304)</f>
        <v>0</v>
      </c>
      <c r="K304" s="10">
        <f>IF($F304=0,0,Расчет2!AQ304)</f>
        <v>0</v>
      </c>
      <c r="L304" s="10">
        <f>IF($F304=0,0,Расчет2!AR304)</f>
        <v>0</v>
      </c>
      <c r="M304" s="10">
        <f>IF($F304=0,0,Расчет2!AS304)</f>
        <v>0</v>
      </c>
      <c r="N304" s="10">
        <f>IF($F304=0,0,IF(Исходн.данные.!$AP304="Посл.посева",0,Расчет2!AT304))</f>
        <v>0</v>
      </c>
      <c r="O304" s="10">
        <f>IF($F304=0,0,IF(Исходн.данные.!$AP304="Посл.посева",0,IF(Расчет2!AU304&lt;10,10,Расчет2!AU304)))</f>
        <v>0</v>
      </c>
      <c r="P304" s="10">
        <f>IF($F304=0,0,IF(Исходн.данные.!$AP304="Посл.посева",0,Расчет2!AV304))</f>
        <v>0</v>
      </c>
      <c r="Q304" s="10">
        <f>IF($F304=0,0,Расчет2!AW304)</f>
        <v>0</v>
      </c>
      <c r="R304" s="10">
        <f>IF($F304=0,0,Расчет2!AX304)</f>
        <v>0</v>
      </c>
      <c r="S304" s="9">
        <f>IF($F304=0,0,Расчет2!AY304)</f>
        <v>0</v>
      </c>
      <c r="T304" s="10">
        <f>IF($F304=0,0,Расчет2!AZ304)</f>
        <v>0</v>
      </c>
      <c r="U304" s="10">
        <f>IF($F304=0,0,Расчет2!BA304)</f>
        <v>0</v>
      </c>
      <c r="V304" s="10">
        <f>IF($F304=0,0,Расчет2!BB304)</f>
        <v>0</v>
      </c>
      <c r="W304" s="10">
        <f>Расчет!DL304</f>
        <v>0</v>
      </c>
      <c r="X304" s="10">
        <f>Расчет!DN304</f>
        <v>0</v>
      </c>
      <c r="Y304" s="9">
        <f>X304*Исходн.данные.!$AJ304/1000</f>
        <v>0</v>
      </c>
      <c r="Z304" s="10" t="str">
        <f>Расчет!DO304</f>
        <v>Хлор.калий</v>
      </c>
      <c r="AA304" s="10">
        <f>Расчет!DQ304</f>
        <v>0</v>
      </c>
      <c r="AB304" s="12">
        <f>AA304*Исходн.данные.!$AJ304/1000</f>
        <v>0</v>
      </c>
      <c r="AC304" s="9">
        <f>IF($F304=0,0,Расчет2!BC304)</f>
        <v>0</v>
      </c>
      <c r="AD304" s="10">
        <f>IF($F304=0,0,Расчет2!BD304)</f>
        <v>0</v>
      </c>
      <c r="AE304" s="9">
        <f>IF($F304=0,0,Расчет2!BE304)</f>
        <v>0</v>
      </c>
      <c r="AF304" s="9">
        <f>IF($F304=0,0,Расчет2!BF304)</f>
        <v>0</v>
      </c>
      <c r="AG304" s="9">
        <f>IF($F304=0,0,Расчет2!BG304)</f>
        <v>0</v>
      </c>
      <c r="AI304" s="11" t="e">
        <f>Расчет!FY304</f>
        <v>#N/A</v>
      </c>
      <c r="AJ304" s="11" t="e">
        <f>Расчет!FZ304</f>
        <v>#N/A</v>
      </c>
      <c r="AK304" s="11" t="e">
        <f>Расчет!GA304</f>
        <v>#N/A</v>
      </c>
      <c r="AL304" s="11" t="e">
        <f>Расчет!GB304</f>
        <v>#N/A</v>
      </c>
      <c r="AM304" s="11" t="e">
        <f>Расчет!GC304</f>
        <v>#N/A</v>
      </c>
      <c r="AN304" s="11" t="e">
        <f>Расчет!GD304</f>
        <v>#N/A</v>
      </c>
      <c r="AO304" s="11" t="e">
        <f>Расчет!GE304</f>
        <v>#N/A</v>
      </c>
      <c r="AP304" s="11" t="e">
        <f>Расчет!GF304</f>
        <v>#N/A</v>
      </c>
      <c r="AQ304" s="11" t="e">
        <f>Расчет!GG304</f>
        <v>#N/A</v>
      </c>
      <c r="AR304" s="11" t="e">
        <f>Расчет!GH304</f>
        <v>#N/A</v>
      </c>
      <c r="AS304" s="11" t="e">
        <f>Расчет!GI304</f>
        <v>#N/A</v>
      </c>
      <c r="AT304" s="11" t="e">
        <f>Расчет!GJ304</f>
        <v>#N/A</v>
      </c>
      <c r="AU304" s="198" t="e">
        <f t="shared" si="33"/>
        <v>#N/A</v>
      </c>
      <c r="AV304" s="198" t="e">
        <f t="shared" si="34"/>
        <v>#N/A</v>
      </c>
      <c r="AW304" s="198" t="e">
        <f t="shared" si="35"/>
        <v>#N/A</v>
      </c>
      <c r="AX304" s="11" t="e">
        <f t="shared" si="36"/>
        <v>#N/A</v>
      </c>
      <c r="AY304" s="11" t="e">
        <f t="shared" si="37"/>
        <v>#N/A</v>
      </c>
      <c r="AZ304" s="11" t="e">
        <f t="shared" si="38"/>
        <v>#N/A</v>
      </c>
    </row>
    <row r="305" spans="1:52" x14ac:dyDescent="0.2">
      <c r="A305" s="6">
        <f>Исходн.данные.!A305</f>
        <v>0</v>
      </c>
      <c r="B305" s="6">
        <f>Исходн.данные.!B305</f>
        <v>0</v>
      </c>
      <c r="C305" s="6">
        <f>Исходн.данные.!C305</f>
        <v>0</v>
      </c>
      <c r="D305" s="6">
        <f>Исходн.данные.!D305</f>
        <v>0</v>
      </c>
      <c r="E305" s="6">
        <f>Исходн.данные.!E305</f>
        <v>0</v>
      </c>
      <c r="F305" s="6">
        <f>Исходн.данные.!AH305</f>
        <v>0</v>
      </c>
      <c r="G305" s="6">
        <f>Исходн.данные.!AJ305</f>
        <v>0</v>
      </c>
      <c r="H305" s="6">
        <f>Исходн.данные.!AK305</f>
        <v>0</v>
      </c>
      <c r="I305" s="9">
        <f>IF($F305=0,0,Расчет2!AO305)</f>
        <v>0</v>
      </c>
      <c r="J305" s="9">
        <f>IF(F305=0,0,Расчет2!AP305)</f>
        <v>0</v>
      </c>
      <c r="K305" s="10">
        <f>IF($F305=0,0,Расчет2!AQ305)</f>
        <v>0</v>
      </c>
      <c r="L305" s="10">
        <f>IF($F305=0,0,Расчет2!AR305)</f>
        <v>0</v>
      </c>
      <c r="M305" s="10">
        <f>IF($F305=0,0,Расчет2!AS305)</f>
        <v>0</v>
      </c>
      <c r="N305" s="10">
        <f>IF($F305=0,0,IF(Исходн.данные.!$AP305="Посл.посева",0,Расчет2!AT305))</f>
        <v>0</v>
      </c>
      <c r="O305" s="10">
        <f>IF($F305=0,0,IF(Исходн.данные.!$AP305="Посл.посева",0,IF(Расчет2!AU305&lt;10,10,Расчет2!AU305)))</f>
        <v>0</v>
      </c>
      <c r="P305" s="10">
        <f>IF($F305=0,0,IF(Исходн.данные.!$AP305="Посл.посева",0,Расчет2!AV305))</f>
        <v>0</v>
      </c>
      <c r="Q305" s="10">
        <f>IF($F305=0,0,Расчет2!AW305)</f>
        <v>0</v>
      </c>
      <c r="R305" s="10">
        <f>IF($F305=0,0,Расчет2!AX305)</f>
        <v>0</v>
      </c>
      <c r="S305" s="9">
        <f>IF($F305=0,0,Расчет2!AY305)</f>
        <v>0</v>
      </c>
      <c r="T305" s="10">
        <f>IF($F305=0,0,Расчет2!AZ305)</f>
        <v>0</v>
      </c>
      <c r="U305" s="10">
        <f>IF($F305=0,0,Расчет2!BA305)</f>
        <v>0</v>
      </c>
      <c r="V305" s="10">
        <f>IF($F305=0,0,Расчет2!BB305)</f>
        <v>0</v>
      </c>
      <c r="W305" s="10">
        <f>Расчет!DL305</f>
        <v>0</v>
      </c>
      <c r="X305" s="10">
        <f>Расчет!DN305</f>
        <v>0</v>
      </c>
      <c r="Y305" s="9">
        <f>X305*Исходн.данные.!$AJ305/1000</f>
        <v>0</v>
      </c>
      <c r="Z305" s="10" t="str">
        <f>Расчет!DO305</f>
        <v>Хлор.калий</v>
      </c>
      <c r="AA305" s="10">
        <f>Расчет!DQ305</f>
        <v>0</v>
      </c>
      <c r="AB305" s="12">
        <f>AA305*Исходн.данные.!$AJ305/1000</f>
        <v>0</v>
      </c>
      <c r="AC305" s="9">
        <f>IF($F305=0,0,Расчет2!BC305)</f>
        <v>0</v>
      </c>
      <c r="AD305" s="10">
        <f>IF($F305=0,0,Расчет2!BD305)</f>
        <v>0</v>
      </c>
      <c r="AE305" s="9">
        <f>IF($F305=0,0,Расчет2!BE305)</f>
        <v>0</v>
      </c>
      <c r="AF305" s="9">
        <f>IF($F305=0,0,Расчет2!BF305)</f>
        <v>0</v>
      </c>
      <c r="AG305" s="9">
        <f>IF($F305=0,0,Расчет2!BG305)</f>
        <v>0</v>
      </c>
      <c r="AI305" s="11" t="e">
        <f>Расчет!FY305</f>
        <v>#N/A</v>
      </c>
      <c r="AJ305" s="11" t="e">
        <f>Расчет!FZ305</f>
        <v>#N/A</v>
      </c>
      <c r="AK305" s="11" t="e">
        <f>Расчет!GA305</f>
        <v>#N/A</v>
      </c>
      <c r="AL305" s="11" t="e">
        <f>Расчет!GB305</f>
        <v>#N/A</v>
      </c>
      <c r="AM305" s="11" t="e">
        <f>Расчет!GC305</f>
        <v>#N/A</v>
      </c>
      <c r="AN305" s="11" t="e">
        <f>Расчет!GD305</f>
        <v>#N/A</v>
      </c>
      <c r="AO305" s="11" t="e">
        <f>Расчет!GE305</f>
        <v>#N/A</v>
      </c>
      <c r="AP305" s="11" t="e">
        <f>Расчет!GF305</f>
        <v>#N/A</v>
      </c>
      <c r="AQ305" s="11" t="e">
        <f>Расчет!GG305</f>
        <v>#N/A</v>
      </c>
      <c r="AR305" s="11" t="e">
        <f>Расчет!GH305</f>
        <v>#N/A</v>
      </c>
      <c r="AS305" s="11" t="e">
        <f>Расчет!GI305</f>
        <v>#N/A</v>
      </c>
      <c r="AT305" s="11" t="e">
        <f>Расчет!GJ305</f>
        <v>#N/A</v>
      </c>
      <c r="AU305" s="198" t="e">
        <f t="shared" si="33"/>
        <v>#N/A</v>
      </c>
      <c r="AV305" s="198" t="e">
        <f t="shared" si="34"/>
        <v>#N/A</v>
      </c>
      <c r="AW305" s="198" t="e">
        <f t="shared" si="35"/>
        <v>#N/A</v>
      </c>
      <c r="AX305" s="11" t="e">
        <f t="shared" si="36"/>
        <v>#N/A</v>
      </c>
      <c r="AY305" s="11" t="e">
        <f t="shared" si="37"/>
        <v>#N/A</v>
      </c>
      <c r="AZ305" s="11" t="e">
        <f t="shared" si="38"/>
        <v>#N/A</v>
      </c>
    </row>
    <row r="306" spans="1:52" x14ac:dyDescent="0.2">
      <c r="A306" s="6">
        <f>Исходн.данные.!A306</f>
        <v>0</v>
      </c>
      <c r="B306" s="6">
        <f>Исходн.данные.!B306</f>
        <v>0</v>
      </c>
      <c r="C306" s="6">
        <f>Исходн.данные.!C306</f>
        <v>0</v>
      </c>
      <c r="D306" s="6">
        <f>Исходн.данные.!D306</f>
        <v>0</v>
      </c>
      <c r="E306" s="6">
        <f>Исходн.данные.!E306</f>
        <v>0</v>
      </c>
      <c r="F306" s="6">
        <f>Исходн.данные.!AH306</f>
        <v>0</v>
      </c>
      <c r="G306" s="6">
        <f>Исходн.данные.!AJ306</f>
        <v>0</v>
      </c>
      <c r="H306" s="6">
        <f>Исходн.данные.!AK306</f>
        <v>0</v>
      </c>
      <c r="I306" s="9">
        <f>IF($F306=0,0,Расчет2!AO306)</f>
        <v>0</v>
      </c>
      <c r="J306" s="9">
        <f>IF(F306=0,0,Расчет2!AP306)</f>
        <v>0</v>
      </c>
      <c r="K306" s="10">
        <f>IF($F306=0,0,Расчет2!AQ306)</f>
        <v>0</v>
      </c>
      <c r="L306" s="10">
        <f>IF($F306=0,0,Расчет2!AR306)</f>
        <v>0</v>
      </c>
      <c r="M306" s="10">
        <f>IF($F306=0,0,Расчет2!AS306)</f>
        <v>0</v>
      </c>
      <c r="N306" s="10">
        <f>IF($F306=0,0,IF(Исходн.данные.!$AP306="Посл.посева",0,Расчет2!AT306))</f>
        <v>0</v>
      </c>
      <c r="O306" s="10">
        <f>IF($F306=0,0,IF(Исходн.данные.!$AP306="Посл.посева",0,IF(Расчет2!AU306&lt;10,10,Расчет2!AU306)))</f>
        <v>0</v>
      </c>
      <c r="P306" s="10">
        <f>IF($F306=0,0,IF(Исходн.данные.!$AP306="Посл.посева",0,Расчет2!AV306))</f>
        <v>0</v>
      </c>
      <c r="Q306" s="10">
        <f>IF($F306=0,0,Расчет2!AW306)</f>
        <v>0</v>
      </c>
      <c r="R306" s="10">
        <f>IF($F306=0,0,Расчет2!AX306)</f>
        <v>0</v>
      </c>
      <c r="S306" s="9">
        <f>IF($F306=0,0,Расчет2!AY306)</f>
        <v>0</v>
      </c>
      <c r="T306" s="10">
        <f>IF($F306=0,0,Расчет2!AZ306)</f>
        <v>0</v>
      </c>
      <c r="U306" s="10">
        <f>IF($F306=0,0,Расчет2!BA306)</f>
        <v>0</v>
      </c>
      <c r="V306" s="10">
        <f>IF($F306=0,0,Расчет2!BB306)</f>
        <v>0</v>
      </c>
      <c r="W306" s="10">
        <f>Расчет!DL306</f>
        <v>0</v>
      </c>
      <c r="X306" s="10">
        <f>Расчет!DN306</f>
        <v>0</v>
      </c>
      <c r="Y306" s="9">
        <f>X306*Исходн.данные.!$AJ306/1000</f>
        <v>0</v>
      </c>
      <c r="Z306" s="10" t="str">
        <f>Расчет!DO306</f>
        <v>Хлор.калий</v>
      </c>
      <c r="AA306" s="10">
        <f>Расчет!DQ306</f>
        <v>0</v>
      </c>
      <c r="AB306" s="12">
        <f>AA306*Исходн.данные.!$AJ306/1000</f>
        <v>0</v>
      </c>
      <c r="AC306" s="9">
        <f>IF($F306=0,0,Расчет2!BC306)</f>
        <v>0</v>
      </c>
      <c r="AD306" s="10">
        <f>IF($F306=0,0,Расчет2!BD306)</f>
        <v>0</v>
      </c>
      <c r="AE306" s="9">
        <f>IF($F306=0,0,Расчет2!BE306)</f>
        <v>0</v>
      </c>
      <c r="AF306" s="9">
        <f>IF($F306=0,0,Расчет2!BF306)</f>
        <v>0</v>
      </c>
      <c r="AG306" s="9">
        <f>IF($F306=0,0,Расчет2!BG306)</f>
        <v>0</v>
      </c>
      <c r="AI306" s="11" t="e">
        <f>Расчет!FY306</f>
        <v>#N/A</v>
      </c>
      <c r="AJ306" s="11" t="e">
        <f>Расчет!FZ306</f>
        <v>#N/A</v>
      </c>
      <c r="AK306" s="11" t="e">
        <f>Расчет!GA306</f>
        <v>#N/A</v>
      </c>
      <c r="AL306" s="11" t="e">
        <f>Расчет!GB306</f>
        <v>#N/A</v>
      </c>
      <c r="AM306" s="11" t="e">
        <f>Расчет!GC306</f>
        <v>#N/A</v>
      </c>
      <c r="AN306" s="11" t="e">
        <f>Расчет!GD306</f>
        <v>#N/A</v>
      </c>
      <c r="AO306" s="11" t="e">
        <f>Расчет!GE306</f>
        <v>#N/A</v>
      </c>
      <c r="AP306" s="11" t="e">
        <f>Расчет!GF306</f>
        <v>#N/A</v>
      </c>
      <c r="AQ306" s="11" t="e">
        <f>Расчет!GG306</f>
        <v>#N/A</v>
      </c>
      <c r="AR306" s="11" t="e">
        <f>Расчет!GH306</f>
        <v>#N/A</v>
      </c>
      <c r="AS306" s="11" t="e">
        <f>Расчет!GI306</f>
        <v>#N/A</v>
      </c>
      <c r="AT306" s="11" t="e">
        <f>Расчет!GJ306</f>
        <v>#N/A</v>
      </c>
      <c r="AU306" s="198" t="e">
        <f t="shared" si="33"/>
        <v>#N/A</v>
      </c>
      <c r="AV306" s="198" t="e">
        <f t="shared" si="34"/>
        <v>#N/A</v>
      </c>
      <c r="AW306" s="198" t="e">
        <f t="shared" si="35"/>
        <v>#N/A</v>
      </c>
      <c r="AX306" s="11" t="e">
        <f t="shared" si="36"/>
        <v>#N/A</v>
      </c>
      <c r="AY306" s="11" t="e">
        <f t="shared" si="37"/>
        <v>#N/A</v>
      </c>
      <c r="AZ306" s="11" t="e">
        <f t="shared" si="38"/>
        <v>#N/A</v>
      </c>
    </row>
    <row r="307" spans="1:52" x14ac:dyDescent="0.2">
      <c r="A307" s="6">
        <f>Исходн.данные.!A307</f>
        <v>0</v>
      </c>
      <c r="B307" s="6">
        <f>Исходн.данные.!B307</f>
        <v>0</v>
      </c>
      <c r="C307" s="6">
        <f>Исходн.данные.!C307</f>
        <v>0</v>
      </c>
      <c r="D307" s="6">
        <f>Исходн.данные.!D307</f>
        <v>0</v>
      </c>
      <c r="E307" s="6">
        <f>Исходн.данные.!E307</f>
        <v>0</v>
      </c>
      <c r="F307" s="6">
        <f>Исходн.данные.!AH307</f>
        <v>0</v>
      </c>
      <c r="G307" s="6">
        <f>Исходн.данные.!AJ307</f>
        <v>0</v>
      </c>
      <c r="H307" s="6">
        <f>Исходн.данные.!AK307</f>
        <v>0</v>
      </c>
      <c r="I307" s="9">
        <f>IF($F307=0,0,Расчет2!AO307)</f>
        <v>0</v>
      </c>
      <c r="J307" s="9">
        <f>IF(F307=0,0,Расчет2!AP307)</f>
        <v>0</v>
      </c>
      <c r="K307" s="10">
        <f>IF($F307=0,0,Расчет2!AQ307)</f>
        <v>0</v>
      </c>
      <c r="L307" s="10">
        <f>IF($F307=0,0,Расчет2!AR307)</f>
        <v>0</v>
      </c>
      <c r="M307" s="10">
        <f>IF($F307=0,0,Расчет2!AS307)</f>
        <v>0</v>
      </c>
      <c r="N307" s="10">
        <f>IF($F307=0,0,IF(Исходн.данные.!$AP307="Посл.посева",0,Расчет2!AT307))</f>
        <v>0</v>
      </c>
      <c r="O307" s="10">
        <f>IF($F307=0,0,IF(Исходн.данные.!$AP307="Посл.посева",0,IF(Расчет2!AU307&lt;10,10,Расчет2!AU307)))</f>
        <v>0</v>
      </c>
      <c r="P307" s="10">
        <f>IF($F307=0,0,IF(Исходн.данные.!$AP307="Посл.посева",0,Расчет2!AV307))</f>
        <v>0</v>
      </c>
      <c r="Q307" s="10">
        <f>IF($F307=0,0,Расчет2!AW307)</f>
        <v>0</v>
      </c>
      <c r="R307" s="10">
        <f>IF($F307=0,0,Расчет2!AX307)</f>
        <v>0</v>
      </c>
      <c r="S307" s="9">
        <f>IF($F307=0,0,Расчет2!AY307)</f>
        <v>0</v>
      </c>
      <c r="T307" s="10">
        <f>IF($F307=0,0,Расчет2!AZ307)</f>
        <v>0</v>
      </c>
      <c r="U307" s="10">
        <f>IF($F307=0,0,Расчет2!BA307)</f>
        <v>0</v>
      </c>
      <c r="V307" s="10">
        <f>IF($F307=0,0,Расчет2!BB307)</f>
        <v>0</v>
      </c>
      <c r="W307" s="10">
        <f>Расчет!DL307</f>
        <v>0</v>
      </c>
      <c r="X307" s="10">
        <f>Расчет!DN307</f>
        <v>0</v>
      </c>
      <c r="Y307" s="9">
        <f>X307*Исходн.данные.!$AJ307/1000</f>
        <v>0</v>
      </c>
      <c r="Z307" s="10" t="str">
        <f>Расчет!DO307</f>
        <v>Хлор.калий</v>
      </c>
      <c r="AA307" s="10">
        <f>Расчет!DQ307</f>
        <v>0</v>
      </c>
      <c r="AB307" s="12">
        <f>AA307*Исходн.данные.!$AJ307/1000</f>
        <v>0</v>
      </c>
      <c r="AC307" s="9">
        <f>IF($F307=0,0,Расчет2!BC307)</f>
        <v>0</v>
      </c>
      <c r="AD307" s="10">
        <f>IF($F307=0,0,Расчет2!BD307)</f>
        <v>0</v>
      </c>
      <c r="AE307" s="9">
        <f>IF($F307=0,0,Расчет2!BE307)</f>
        <v>0</v>
      </c>
      <c r="AF307" s="9">
        <f>IF($F307=0,0,Расчет2!BF307)</f>
        <v>0</v>
      </c>
      <c r="AG307" s="9">
        <f>IF($F307=0,0,Расчет2!BG307)</f>
        <v>0</v>
      </c>
      <c r="AI307" s="11" t="e">
        <f>Расчет!FY307</f>
        <v>#N/A</v>
      </c>
      <c r="AJ307" s="11" t="e">
        <f>Расчет!FZ307</f>
        <v>#N/A</v>
      </c>
      <c r="AK307" s="11" t="e">
        <f>Расчет!GA307</f>
        <v>#N/A</v>
      </c>
      <c r="AL307" s="11" t="e">
        <f>Расчет!GB307</f>
        <v>#N/A</v>
      </c>
      <c r="AM307" s="11" t="e">
        <f>Расчет!GC307</f>
        <v>#N/A</v>
      </c>
      <c r="AN307" s="11" t="e">
        <f>Расчет!GD307</f>
        <v>#N/A</v>
      </c>
      <c r="AO307" s="11" t="e">
        <f>Расчет!GE307</f>
        <v>#N/A</v>
      </c>
      <c r="AP307" s="11" t="e">
        <f>Расчет!GF307</f>
        <v>#N/A</v>
      </c>
      <c r="AQ307" s="11" t="e">
        <f>Расчет!GG307</f>
        <v>#N/A</v>
      </c>
      <c r="AR307" s="11" t="e">
        <f>Расчет!GH307</f>
        <v>#N/A</v>
      </c>
      <c r="AS307" s="11" t="e">
        <f>Расчет!GI307</f>
        <v>#N/A</v>
      </c>
      <c r="AT307" s="11" t="e">
        <f>Расчет!GJ307</f>
        <v>#N/A</v>
      </c>
      <c r="AU307" s="198" t="e">
        <f t="shared" si="33"/>
        <v>#N/A</v>
      </c>
      <c r="AV307" s="198" t="e">
        <f t="shared" si="34"/>
        <v>#N/A</v>
      </c>
      <c r="AW307" s="198" t="e">
        <f t="shared" si="35"/>
        <v>#N/A</v>
      </c>
      <c r="AX307" s="11" t="e">
        <f t="shared" si="36"/>
        <v>#N/A</v>
      </c>
      <c r="AY307" s="11" t="e">
        <f t="shared" si="37"/>
        <v>#N/A</v>
      </c>
      <c r="AZ307" s="11" t="e">
        <f t="shared" si="38"/>
        <v>#N/A</v>
      </c>
    </row>
    <row r="308" spans="1:52" x14ac:dyDescent="0.2">
      <c r="A308" s="6">
        <f>Исходн.данные.!A308</f>
        <v>0</v>
      </c>
      <c r="B308" s="6">
        <f>Исходн.данные.!B308</f>
        <v>0</v>
      </c>
      <c r="C308" s="6">
        <f>Исходн.данные.!C308</f>
        <v>0</v>
      </c>
      <c r="D308" s="6">
        <f>Исходн.данные.!D308</f>
        <v>0</v>
      </c>
      <c r="E308" s="6">
        <f>Исходн.данные.!E308</f>
        <v>0</v>
      </c>
      <c r="F308" s="6">
        <f>Исходн.данные.!AH308</f>
        <v>0</v>
      </c>
      <c r="G308" s="6">
        <f>Исходн.данные.!AJ308</f>
        <v>0</v>
      </c>
      <c r="H308" s="6">
        <f>Исходн.данные.!AK308</f>
        <v>0</v>
      </c>
      <c r="I308" s="9">
        <f>IF($F308=0,0,Расчет2!AO308)</f>
        <v>0</v>
      </c>
      <c r="J308" s="9">
        <f>IF(F308=0,0,Расчет2!AP308)</f>
        <v>0</v>
      </c>
      <c r="K308" s="10">
        <f>IF($F308=0,0,Расчет2!AQ308)</f>
        <v>0</v>
      </c>
      <c r="L308" s="10">
        <f>IF($F308=0,0,Расчет2!AR308)</f>
        <v>0</v>
      </c>
      <c r="M308" s="10">
        <f>IF($F308=0,0,Расчет2!AS308)</f>
        <v>0</v>
      </c>
      <c r="N308" s="10">
        <f>IF($F308=0,0,IF(Исходн.данные.!$AP308="Посл.посева",0,Расчет2!AT308))</f>
        <v>0</v>
      </c>
      <c r="O308" s="10">
        <f>IF($F308=0,0,IF(Исходн.данные.!$AP308="Посл.посева",0,IF(Расчет2!AU308&lt;10,10,Расчет2!AU308)))</f>
        <v>0</v>
      </c>
      <c r="P308" s="10">
        <f>IF($F308=0,0,IF(Исходн.данные.!$AP308="Посл.посева",0,Расчет2!AV308))</f>
        <v>0</v>
      </c>
      <c r="Q308" s="10">
        <f>IF($F308=0,0,Расчет2!AW308)</f>
        <v>0</v>
      </c>
      <c r="R308" s="10">
        <f>IF($F308=0,0,Расчет2!AX308)</f>
        <v>0</v>
      </c>
      <c r="S308" s="9">
        <f>IF($F308=0,0,Расчет2!AY308)</f>
        <v>0</v>
      </c>
      <c r="T308" s="10">
        <f>IF($F308=0,0,Расчет2!AZ308)</f>
        <v>0</v>
      </c>
      <c r="U308" s="10">
        <f>IF($F308=0,0,Расчет2!BA308)</f>
        <v>0</v>
      </c>
      <c r="V308" s="10">
        <f>IF($F308=0,0,Расчет2!BB308)</f>
        <v>0</v>
      </c>
      <c r="W308" s="10">
        <f>Расчет!DL308</f>
        <v>0</v>
      </c>
      <c r="X308" s="10">
        <f>Расчет!DN308</f>
        <v>0</v>
      </c>
      <c r="Y308" s="9">
        <f>X308*Исходн.данные.!$AJ308/1000</f>
        <v>0</v>
      </c>
      <c r="Z308" s="10" t="str">
        <f>Расчет!DO308</f>
        <v>Хлор.калий</v>
      </c>
      <c r="AA308" s="10">
        <f>Расчет!DQ308</f>
        <v>0</v>
      </c>
      <c r="AB308" s="12">
        <f>AA308*Исходн.данные.!$AJ308/1000</f>
        <v>0</v>
      </c>
      <c r="AC308" s="9">
        <f>IF($F308=0,0,Расчет2!BC308)</f>
        <v>0</v>
      </c>
      <c r="AD308" s="10">
        <f>IF($F308=0,0,Расчет2!BD308)</f>
        <v>0</v>
      </c>
      <c r="AE308" s="9">
        <f>IF($F308=0,0,Расчет2!BE308)</f>
        <v>0</v>
      </c>
      <c r="AF308" s="9">
        <f>IF($F308=0,0,Расчет2!BF308)</f>
        <v>0</v>
      </c>
      <c r="AG308" s="9">
        <f>IF($F308=0,0,Расчет2!BG308)</f>
        <v>0</v>
      </c>
      <c r="AI308" s="11" t="e">
        <f>Расчет!FY308</f>
        <v>#N/A</v>
      </c>
      <c r="AJ308" s="11" t="e">
        <f>Расчет!FZ308</f>
        <v>#N/A</v>
      </c>
      <c r="AK308" s="11" t="e">
        <f>Расчет!GA308</f>
        <v>#N/A</v>
      </c>
      <c r="AL308" s="11" t="e">
        <f>Расчет!GB308</f>
        <v>#N/A</v>
      </c>
      <c r="AM308" s="11" t="e">
        <f>Расчет!GC308</f>
        <v>#N/A</v>
      </c>
      <c r="AN308" s="11" t="e">
        <f>Расчет!GD308</f>
        <v>#N/A</v>
      </c>
      <c r="AO308" s="11" t="e">
        <f>Расчет!GE308</f>
        <v>#N/A</v>
      </c>
      <c r="AP308" s="11" t="e">
        <f>Расчет!GF308</f>
        <v>#N/A</v>
      </c>
      <c r="AQ308" s="11" t="e">
        <f>Расчет!GG308</f>
        <v>#N/A</v>
      </c>
      <c r="AR308" s="11" t="e">
        <f>Расчет!GH308</f>
        <v>#N/A</v>
      </c>
      <c r="AS308" s="11" t="e">
        <f>Расчет!GI308</f>
        <v>#N/A</v>
      </c>
      <c r="AT308" s="11" t="e">
        <f>Расчет!GJ308</f>
        <v>#N/A</v>
      </c>
      <c r="AU308" s="198" t="e">
        <f t="shared" si="33"/>
        <v>#N/A</v>
      </c>
      <c r="AV308" s="198" t="e">
        <f t="shared" si="34"/>
        <v>#N/A</v>
      </c>
      <c r="AW308" s="198" t="e">
        <f t="shared" si="35"/>
        <v>#N/A</v>
      </c>
      <c r="AX308" s="11" t="e">
        <f t="shared" si="36"/>
        <v>#N/A</v>
      </c>
      <c r="AY308" s="11" t="e">
        <f t="shared" si="37"/>
        <v>#N/A</v>
      </c>
      <c r="AZ308" s="11" t="e">
        <f t="shared" si="38"/>
        <v>#N/A</v>
      </c>
    </row>
    <row r="309" spans="1:52" x14ac:dyDescent="0.2">
      <c r="A309" s="6">
        <f>Исходн.данные.!A309</f>
        <v>0</v>
      </c>
      <c r="B309" s="6">
        <f>Исходн.данные.!B309</f>
        <v>0</v>
      </c>
      <c r="C309" s="6">
        <f>Исходн.данные.!C309</f>
        <v>0</v>
      </c>
      <c r="D309" s="6">
        <f>Исходн.данные.!D309</f>
        <v>0</v>
      </c>
      <c r="E309" s="6">
        <f>Исходн.данные.!E309</f>
        <v>0</v>
      </c>
      <c r="F309" s="6">
        <f>Исходн.данные.!AH309</f>
        <v>0</v>
      </c>
      <c r="G309" s="6">
        <f>Исходн.данные.!AJ309</f>
        <v>0</v>
      </c>
      <c r="H309" s="6">
        <f>Исходн.данные.!AK309</f>
        <v>0</v>
      </c>
      <c r="I309" s="9">
        <f>IF($F309=0,0,Расчет2!AO309)</f>
        <v>0</v>
      </c>
      <c r="J309" s="9">
        <f>IF(F309=0,0,Расчет2!AP309)</f>
        <v>0</v>
      </c>
      <c r="K309" s="10">
        <f>IF($F309=0,0,Расчет2!AQ309)</f>
        <v>0</v>
      </c>
      <c r="L309" s="10">
        <f>IF($F309=0,0,Расчет2!AR309)</f>
        <v>0</v>
      </c>
      <c r="M309" s="10">
        <f>IF($F309=0,0,Расчет2!AS309)</f>
        <v>0</v>
      </c>
      <c r="N309" s="10">
        <f>IF($F309=0,0,IF(Исходн.данные.!$AP309="Посл.посева",0,Расчет2!AT309))</f>
        <v>0</v>
      </c>
      <c r="O309" s="10">
        <f>IF($F309=0,0,IF(Исходн.данные.!$AP309="Посл.посева",0,IF(Расчет2!AU309&lt;10,10,Расчет2!AU309)))</f>
        <v>0</v>
      </c>
      <c r="P309" s="10">
        <f>IF($F309=0,0,IF(Исходн.данные.!$AP309="Посл.посева",0,Расчет2!AV309))</f>
        <v>0</v>
      </c>
      <c r="Q309" s="10">
        <f>IF($F309=0,0,Расчет2!AW309)</f>
        <v>0</v>
      </c>
      <c r="R309" s="10">
        <f>IF($F309=0,0,Расчет2!AX309)</f>
        <v>0</v>
      </c>
      <c r="S309" s="9">
        <f>IF($F309=0,0,Расчет2!AY309)</f>
        <v>0</v>
      </c>
      <c r="T309" s="10">
        <f>IF($F309=0,0,Расчет2!AZ309)</f>
        <v>0</v>
      </c>
      <c r="U309" s="10">
        <f>IF($F309=0,0,Расчет2!BA309)</f>
        <v>0</v>
      </c>
      <c r="V309" s="10">
        <f>IF($F309=0,0,Расчет2!BB309)</f>
        <v>0</v>
      </c>
      <c r="W309" s="10">
        <f>Расчет!DL309</f>
        <v>0</v>
      </c>
      <c r="X309" s="10">
        <f>Расчет!DN309</f>
        <v>0</v>
      </c>
      <c r="Y309" s="9">
        <f>X309*Исходн.данные.!$AJ309/1000</f>
        <v>0</v>
      </c>
      <c r="Z309" s="10" t="str">
        <f>Расчет!DO309</f>
        <v>Хлор.калий</v>
      </c>
      <c r="AA309" s="10">
        <f>Расчет!DQ309</f>
        <v>0</v>
      </c>
      <c r="AB309" s="12">
        <f>AA309*Исходн.данные.!$AJ309/1000</f>
        <v>0</v>
      </c>
      <c r="AC309" s="9">
        <f>IF($F309=0,0,Расчет2!BC309)</f>
        <v>0</v>
      </c>
      <c r="AD309" s="10">
        <f>IF($F309=0,0,Расчет2!BD309)</f>
        <v>0</v>
      </c>
      <c r="AE309" s="9">
        <f>IF($F309=0,0,Расчет2!BE309)</f>
        <v>0</v>
      </c>
      <c r="AF309" s="9">
        <f>IF($F309=0,0,Расчет2!BF309)</f>
        <v>0</v>
      </c>
      <c r="AG309" s="9">
        <f>IF($F309=0,0,Расчет2!BG309)</f>
        <v>0</v>
      </c>
      <c r="AI309" s="11" t="e">
        <f>Расчет!FY309</f>
        <v>#N/A</v>
      </c>
      <c r="AJ309" s="11" t="e">
        <f>Расчет!FZ309</f>
        <v>#N/A</v>
      </c>
      <c r="AK309" s="11" t="e">
        <f>Расчет!GA309</f>
        <v>#N/A</v>
      </c>
      <c r="AL309" s="11" t="e">
        <f>Расчет!GB309</f>
        <v>#N/A</v>
      </c>
      <c r="AM309" s="11" t="e">
        <f>Расчет!GC309</f>
        <v>#N/A</v>
      </c>
      <c r="AN309" s="11" t="e">
        <f>Расчет!GD309</f>
        <v>#N/A</v>
      </c>
      <c r="AO309" s="11" t="e">
        <f>Расчет!GE309</f>
        <v>#N/A</v>
      </c>
      <c r="AP309" s="11" t="e">
        <f>Расчет!GF309</f>
        <v>#N/A</v>
      </c>
      <c r="AQ309" s="11" t="e">
        <f>Расчет!GG309</f>
        <v>#N/A</v>
      </c>
      <c r="AR309" s="11" t="e">
        <f>Расчет!GH309</f>
        <v>#N/A</v>
      </c>
      <c r="AS309" s="11" t="e">
        <f>Расчет!GI309</f>
        <v>#N/A</v>
      </c>
      <c r="AT309" s="11" t="e">
        <f>Расчет!GJ309</f>
        <v>#N/A</v>
      </c>
      <c r="AU309" s="198" t="e">
        <f t="shared" si="33"/>
        <v>#N/A</v>
      </c>
      <c r="AV309" s="198" t="e">
        <f t="shared" si="34"/>
        <v>#N/A</v>
      </c>
      <c r="AW309" s="198" t="e">
        <f t="shared" si="35"/>
        <v>#N/A</v>
      </c>
      <c r="AX309" s="11" t="e">
        <f t="shared" si="36"/>
        <v>#N/A</v>
      </c>
      <c r="AY309" s="11" t="e">
        <f t="shared" si="37"/>
        <v>#N/A</v>
      </c>
      <c r="AZ309" s="11" t="e">
        <f t="shared" si="38"/>
        <v>#N/A</v>
      </c>
    </row>
    <row r="310" spans="1:52" x14ac:dyDescent="0.2">
      <c r="A310" s="6">
        <f>Исходн.данные.!A310</f>
        <v>0</v>
      </c>
      <c r="B310" s="6">
        <f>Исходн.данные.!B310</f>
        <v>0</v>
      </c>
      <c r="C310" s="6">
        <f>Исходн.данные.!C310</f>
        <v>0</v>
      </c>
      <c r="D310" s="6">
        <f>Исходн.данные.!D310</f>
        <v>0</v>
      </c>
      <c r="E310" s="6">
        <f>Исходн.данные.!E310</f>
        <v>0</v>
      </c>
      <c r="F310" s="6">
        <f>Исходн.данные.!AH310</f>
        <v>0</v>
      </c>
      <c r="G310" s="6">
        <f>Исходн.данные.!AJ310</f>
        <v>0</v>
      </c>
      <c r="H310" s="6">
        <f>Исходн.данные.!AK310</f>
        <v>0</v>
      </c>
      <c r="I310" s="9">
        <f>IF($F310=0,0,Расчет2!AO310)</f>
        <v>0</v>
      </c>
      <c r="J310" s="9">
        <f>IF(F310=0,0,Расчет2!AP310)</f>
        <v>0</v>
      </c>
      <c r="K310" s="10">
        <f>IF($F310=0,0,Расчет2!AQ310)</f>
        <v>0</v>
      </c>
      <c r="L310" s="10">
        <f>IF($F310=0,0,Расчет2!AR310)</f>
        <v>0</v>
      </c>
      <c r="M310" s="10">
        <f>IF($F310=0,0,Расчет2!AS310)</f>
        <v>0</v>
      </c>
      <c r="N310" s="10">
        <f>IF($F310=0,0,IF(Исходн.данные.!$AP310="Посл.посева",0,Расчет2!AT310))</f>
        <v>0</v>
      </c>
      <c r="O310" s="10">
        <f>IF($F310=0,0,IF(Исходн.данные.!$AP310="Посл.посева",0,IF(Расчет2!AU310&lt;10,10,Расчет2!AU310)))</f>
        <v>0</v>
      </c>
      <c r="P310" s="10">
        <f>IF($F310=0,0,IF(Исходн.данные.!$AP310="Посл.посева",0,Расчет2!AV310))</f>
        <v>0</v>
      </c>
      <c r="Q310" s="10">
        <f>IF($F310=0,0,Расчет2!AW310)</f>
        <v>0</v>
      </c>
      <c r="R310" s="10">
        <f>IF($F310=0,0,Расчет2!AX310)</f>
        <v>0</v>
      </c>
      <c r="S310" s="9">
        <f>IF($F310=0,0,Расчет2!AY310)</f>
        <v>0</v>
      </c>
      <c r="T310" s="10">
        <f>IF($F310=0,0,Расчет2!AZ310)</f>
        <v>0</v>
      </c>
      <c r="U310" s="10">
        <f>IF($F310=0,0,Расчет2!BA310)</f>
        <v>0</v>
      </c>
      <c r="V310" s="10">
        <f>IF($F310=0,0,Расчет2!BB310)</f>
        <v>0</v>
      </c>
      <c r="W310" s="10">
        <f>Расчет!DL310</f>
        <v>0</v>
      </c>
      <c r="X310" s="10">
        <f>Расчет!DN310</f>
        <v>0</v>
      </c>
      <c r="Y310" s="9">
        <f>X310*Исходн.данные.!$AJ310/1000</f>
        <v>0</v>
      </c>
      <c r="Z310" s="10" t="str">
        <f>Расчет!DO310</f>
        <v>Хлор.калий</v>
      </c>
      <c r="AA310" s="10">
        <f>Расчет!DQ310</f>
        <v>0</v>
      </c>
      <c r="AB310" s="12">
        <f>AA310*Исходн.данные.!$AJ310/1000</f>
        <v>0</v>
      </c>
      <c r="AC310" s="9">
        <f>IF($F310=0,0,Расчет2!BC310)</f>
        <v>0</v>
      </c>
      <c r="AD310" s="10">
        <f>IF($F310=0,0,Расчет2!BD310)</f>
        <v>0</v>
      </c>
      <c r="AE310" s="9">
        <f>IF($F310=0,0,Расчет2!BE310)</f>
        <v>0</v>
      </c>
      <c r="AF310" s="9">
        <f>IF($F310=0,0,Расчет2!BF310)</f>
        <v>0</v>
      </c>
      <c r="AG310" s="9">
        <f>IF($F310=0,0,Расчет2!BG310)</f>
        <v>0</v>
      </c>
      <c r="AI310" s="11" t="e">
        <f>Расчет!FY310</f>
        <v>#N/A</v>
      </c>
      <c r="AJ310" s="11" t="e">
        <f>Расчет!FZ310</f>
        <v>#N/A</v>
      </c>
      <c r="AK310" s="11" t="e">
        <f>Расчет!GA310</f>
        <v>#N/A</v>
      </c>
      <c r="AL310" s="11" t="e">
        <f>Расчет!GB310</f>
        <v>#N/A</v>
      </c>
      <c r="AM310" s="11" t="e">
        <f>Расчет!GC310</f>
        <v>#N/A</v>
      </c>
      <c r="AN310" s="11" t="e">
        <f>Расчет!GD310</f>
        <v>#N/A</v>
      </c>
      <c r="AO310" s="11" t="e">
        <f>Расчет!GE310</f>
        <v>#N/A</v>
      </c>
      <c r="AP310" s="11" t="e">
        <f>Расчет!GF310</f>
        <v>#N/A</v>
      </c>
      <c r="AQ310" s="11" t="e">
        <f>Расчет!GG310</f>
        <v>#N/A</v>
      </c>
      <c r="AR310" s="11" t="e">
        <f>Расчет!GH310</f>
        <v>#N/A</v>
      </c>
      <c r="AS310" s="11" t="e">
        <f>Расчет!GI310</f>
        <v>#N/A</v>
      </c>
      <c r="AT310" s="11" t="e">
        <f>Расчет!GJ310</f>
        <v>#N/A</v>
      </c>
      <c r="AU310" s="198" t="e">
        <f t="shared" si="33"/>
        <v>#N/A</v>
      </c>
      <c r="AV310" s="198" t="e">
        <f t="shared" si="34"/>
        <v>#N/A</v>
      </c>
      <c r="AW310" s="198" t="e">
        <f t="shared" si="35"/>
        <v>#N/A</v>
      </c>
      <c r="AX310" s="11" t="e">
        <f t="shared" si="36"/>
        <v>#N/A</v>
      </c>
      <c r="AY310" s="11" t="e">
        <f t="shared" si="37"/>
        <v>#N/A</v>
      </c>
      <c r="AZ310" s="11" t="e">
        <f t="shared" si="38"/>
        <v>#N/A</v>
      </c>
    </row>
    <row r="311" spans="1:52" x14ac:dyDescent="0.2">
      <c r="A311" s="6">
        <f>Исходн.данные.!A311</f>
        <v>0</v>
      </c>
      <c r="B311" s="6">
        <f>Исходн.данные.!B311</f>
        <v>0</v>
      </c>
      <c r="C311" s="6">
        <f>Исходн.данные.!C311</f>
        <v>0</v>
      </c>
      <c r="D311" s="6">
        <f>Исходн.данные.!D311</f>
        <v>0</v>
      </c>
      <c r="E311" s="6">
        <f>Исходн.данные.!E311</f>
        <v>0</v>
      </c>
      <c r="F311" s="6">
        <f>Исходн.данные.!AH311</f>
        <v>0</v>
      </c>
      <c r="G311" s="6">
        <f>Исходн.данные.!AJ311</f>
        <v>0</v>
      </c>
      <c r="H311" s="6">
        <f>Исходн.данные.!AK311</f>
        <v>0</v>
      </c>
      <c r="I311" s="9">
        <f>IF($F311=0,0,Расчет2!AO311)</f>
        <v>0</v>
      </c>
      <c r="J311" s="9">
        <f>IF(F311=0,0,Расчет2!AP311)</f>
        <v>0</v>
      </c>
      <c r="K311" s="10">
        <f>IF($F311=0,0,Расчет2!AQ311)</f>
        <v>0</v>
      </c>
      <c r="L311" s="10">
        <f>IF($F311=0,0,Расчет2!AR311)</f>
        <v>0</v>
      </c>
      <c r="M311" s="10">
        <f>IF($F311=0,0,Расчет2!AS311)</f>
        <v>0</v>
      </c>
      <c r="N311" s="10">
        <f>IF($F311=0,0,IF(Исходн.данные.!$AP311="Посл.посева",0,Расчет2!AT311))</f>
        <v>0</v>
      </c>
      <c r="O311" s="10">
        <f>IF($F311=0,0,IF(Исходн.данные.!$AP311="Посл.посева",0,IF(Расчет2!AU311&lt;10,10,Расчет2!AU311)))</f>
        <v>0</v>
      </c>
      <c r="P311" s="10">
        <f>IF($F311=0,0,IF(Исходн.данные.!$AP311="Посл.посева",0,Расчет2!AV311))</f>
        <v>0</v>
      </c>
      <c r="Q311" s="10">
        <f>IF($F311=0,0,Расчет2!AW311)</f>
        <v>0</v>
      </c>
      <c r="R311" s="10">
        <f>IF($F311=0,0,Расчет2!AX311)</f>
        <v>0</v>
      </c>
      <c r="S311" s="9">
        <f>IF($F311=0,0,Расчет2!AY311)</f>
        <v>0</v>
      </c>
      <c r="T311" s="10">
        <f>IF($F311=0,0,Расчет2!AZ311)</f>
        <v>0</v>
      </c>
      <c r="U311" s="10">
        <f>IF($F311=0,0,Расчет2!BA311)</f>
        <v>0</v>
      </c>
      <c r="V311" s="10">
        <f>IF($F311=0,0,Расчет2!BB311)</f>
        <v>0</v>
      </c>
      <c r="W311" s="10">
        <f>Расчет!DL311</f>
        <v>0</v>
      </c>
      <c r="X311" s="10">
        <f>Расчет!DN311</f>
        <v>0</v>
      </c>
      <c r="Y311" s="9">
        <f>X311*Исходн.данные.!$AJ311/1000</f>
        <v>0</v>
      </c>
      <c r="Z311" s="10" t="str">
        <f>Расчет!DO311</f>
        <v>Хлор.калий</v>
      </c>
      <c r="AA311" s="10">
        <f>Расчет!DQ311</f>
        <v>0</v>
      </c>
      <c r="AB311" s="12">
        <f>AA311*Исходн.данные.!$AJ311/1000</f>
        <v>0</v>
      </c>
      <c r="AC311" s="9">
        <f>IF($F311=0,0,Расчет2!BC311)</f>
        <v>0</v>
      </c>
      <c r="AD311" s="10">
        <f>IF($F311=0,0,Расчет2!BD311)</f>
        <v>0</v>
      </c>
      <c r="AE311" s="9">
        <f>IF($F311=0,0,Расчет2!BE311)</f>
        <v>0</v>
      </c>
      <c r="AF311" s="9">
        <f>IF($F311=0,0,Расчет2!BF311)</f>
        <v>0</v>
      </c>
      <c r="AG311" s="9">
        <f>IF($F311=0,0,Расчет2!BG311)</f>
        <v>0</v>
      </c>
      <c r="AI311" s="11" t="e">
        <f>Расчет!FY311</f>
        <v>#N/A</v>
      </c>
      <c r="AJ311" s="11" t="e">
        <f>Расчет!FZ311</f>
        <v>#N/A</v>
      </c>
      <c r="AK311" s="11" t="e">
        <f>Расчет!GA311</f>
        <v>#N/A</v>
      </c>
      <c r="AL311" s="11" t="e">
        <f>Расчет!GB311</f>
        <v>#N/A</v>
      </c>
      <c r="AM311" s="11" t="e">
        <f>Расчет!GC311</f>
        <v>#N/A</v>
      </c>
      <c r="AN311" s="11" t="e">
        <f>Расчет!GD311</f>
        <v>#N/A</v>
      </c>
      <c r="AO311" s="11" t="e">
        <f>Расчет!GE311</f>
        <v>#N/A</v>
      </c>
      <c r="AP311" s="11" t="e">
        <f>Расчет!GF311</f>
        <v>#N/A</v>
      </c>
      <c r="AQ311" s="11" t="e">
        <f>Расчет!GG311</f>
        <v>#N/A</v>
      </c>
      <c r="AR311" s="11" t="e">
        <f>Расчет!GH311</f>
        <v>#N/A</v>
      </c>
      <c r="AS311" s="11" t="e">
        <f>Расчет!GI311</f>
        <v>#N/A</v>
      </c>
      <c r="AT311" s="11" t="e">
        <f>Расчет!GJ311</f>
        <v>#N/A</v>
      </c>
      <c r="AU311" s="198" t="e">
        <f t="shared" si="33"/>
        <v>#N/A</v>
      </c>
      <c r="AV311" s="198" t="e">
        <f t="shared" si="34"/>
        <v>#N/A</v>
      </c>
      <c r="AW311" s="198" t="e">
        <f t="shared" si="35"/>
        <v>#N/A</v>
      </c>
      <c r="AX311" s="11" t="e">
        <f t="shared" si="36"/>
        <v>#N/A</v>
      </c>
      <c r="AY311" s="11" t="e">
        <f t="shared" si="37"/>
        <v>#N/A</v>
      </c>
      <c r="AZ311" s="11" t="e">
        <f t="shared" si="38"/>
        <v>#N/A</v>
      </c>
    </row>
    <row r="312" spans="1:52" x14ac:dyDescent="0.2">
      <c r="A312" s="6">
        <f>Исходн.данные.!A312</f>
        <v>0</v>
      </c>
      <c r="B312" s="6">
        <f>Исходн.данные.!B312</f>
        <v>0</v>
      </c>
      <c r="C312" s="6">
        <f>Исходн.данные.!C312</f>
        <v>0</v>
      </c>
      <c r="D312" s="6">
        <f>Исходн.данные.!D312</f>
        <v>0</v>
      </c>
      <c r="E312" s="6">
        <f>Исходн.данные.!E312</f>
        <v>0</v>
      </c>
      <c r="F312" s="6">
        <f>Исходн.данные.!AH312</f>
        <v>0</v>
      </c>
      <c r="G312" s="6">
        <f>Исходн.данные.!AJ312</f>
        <v>0</v>
      </c>
      <c r="H312" s="6">
        <f>Исходн.данные.!AK312</f>
        <v>0</v>
      </c>
      <c r="I312" s="9">
        <f>IF($F312=0,0,Расчет2!AO312)</f>
        <v>0</v>
      </c>
      <c r="J312" s="9">
        <f>IF(F312=0,0,Расчет2!AP312)</f>
        <v>0</v>
      </c>
      <c r="K312" s="10">
        <f>IF($F312=0,0,Расчет2!AQ312)</f>
        <v>0</v>
      </c>
      <c r="L312" s="10">
        <f>IF($F312=0,0,Расчет2!AR312)</f>
        <v>0</v>
      </c>
      <c r="M312" s="10">
        <f>IF($F312=0,0,Расчет2!AS312)</f>
        <v>0</v>
      </c>
      <c r="N312" s="10">
        <f>IF($F312=0,0,IF(Исходн.данные.!$AP312="Посл.посева",0,Расчет2!AT312))</f>
        <v>0</v>
      </c>
      <c r="O312" s="10">
        <f>IF($F312=0,0,IF(Исходн.данные.!$AP312="Посл.посева",0,IF(Расчет2!AU312&lt;10,10,Расчет2!AU312)))</f>
        <v>0</v>
      </c>
      <c r="P312" s="10">
        <f>IF($F312=0,0,IF(Исходн.данные.!$AP312="Посл.посева",0,Расчет2!AV312))</f>
        <v>0</v>
      </c>
      <c r="Q312" s="10">
        <f>IF($F312=0,0,Расчет2!AW312)</f>
        <v>0</v>
      </c>
      <c r="R312" s="10">
        <f>IF($F312=0,0,Расчет2!AX312)</f>
        <v>0</v>
      </c>
      <c r="S312" s="9">
        <f>IF($F312=0,0,Расчет2!AY312)</f>
        <v>0</v>
      </c>
      <c r="T312" s="10">
        <f>IF($F312=0,0,Расчет2!AZ312)</f>
        <v>0</v>
      </c>
      <c r="U312" s="10">
        <f>IF($F312=0,0,Расчет2!BA312)</f>
        <v>0</v>
      </c>
      <c r="V312" s="10">
        <f>IF($F312=0,0,Расчет2!BB312)</f>
        <v>0</v>
      </c>
      <c r="W312" s="10">
        <f>Расчет!DL312</f>
        <v>0</v>
      </c>
      <c r="X312" s="10">
        <f>Расчет!DN312</f>
        <v>0</v>
      </c>
      <c r="Y312" s="9">
        <f>X312*Исходн.данные.!$AJ312/1000</f>
        <v>0</v>
      </c>
      <c r="Z312" s="10" t="str">
        <f>Расчет!DO312</f>
        <v>Хлор.калий</v>
      </c>
      <c r="AA312" s="10">
        <f>Расчет!DQ312</f>
        <v>0</v>
      </c>
      <c r="AB312" s="12">
        <f>AA312*Исходн.данные.!$AJ312/1000</f>
        <v>0</v>
      </c>
      <c r="AC312" s="9">
        <f>IF($F312=0,0,Расчет2!BC312)</f>
        <v>0</v>
      </c>
      <c r="AD312" s="10">
        <f>IF($F312=0,0,Расчет2!BD312)</f>
        <v>0</v>
      </c>
      <c r="AE312" s="9">
        <f>IF($F312=0,0,Расчет2!BE312)</f>
        <v>0</v>
      </c>
      <c r="AF312" s="9">
        <f>IF($F312=0,0,Расчет2!BF312)</f>
        <v>0</v>
      </c>
      <c r="AG312" s="9">
        <f>IF($F312=0,0,Расчет2!BG312)</f>
        <v>0</v>
      </c>
      <c r="AI312" s="11" t="e">
        <f>Расчет!FY312</f>
        <v>#N/A</v>
      </c>
      <c r="AJ312" s="11" t="e">
        <f>Расчет!FZ312</f>
        <v>#N/A</v>
      </c>
      <c r="AK312" s="11" t="e">
        <f>Расчет!GA312</f>
        <v>#N/A</v>
      </c>
      <c r="AL312" s="11" t="e">
        <f>Расчет!GB312</f>
        <v>#N/A</v>
      </c>
      <c r="AM312" s="11" t="e">
        <f>Расчет!GC312</f>
        <v>#N/A</v>
      </c>
      <c r="AN312" s="11" t="e">
        <f>Расчет!GD312</f>
        <v>#N/A</v>
      </c>
      <c r="AO312" s="11" t="e">
        <f>Расчет!GE312</f>
        <v>#N/A</v>
      </c>
      <c r="AP312" s="11" t="e">
        <f>Расчет!GF312</f>
        <v>#N/A</v>
      </c>
      <c r="AQ312" s="11" t="e">
        <f>Расчет!GG312</f>
        <v>#N/A</v>
      </c>
      <c r="AR312" s="11" t="e">
        <f>Расчет!GH312</f>
        <v>#N/A</v>
      </c>
      <c r="AS312" s="11" t="e">
        <f>Расчет!GI312</f>
        <v>#N/A</v>
      </c>
      <c r="AT312" s="11" t="e">
        <f>Расчет!GJ312</f>
        <v>#N/A</v>
      </c>
      <c r="AU312" s="198" t="e">
        <f t="shared" si="33"/>
        <v>#N/A</v>
      </c>
      <c r="AV312" s="198" t="e">
        <f t="shared" si="34"/>
        <v>#N/A</v>
      </c>
      <c r="AW312" s="198" t="e">
        <f t="shared" si="35"/>
        <v>#N/A</v>
      </c>
      <c r="AX312" s="11" t="e">
        <f t="shared" si="36"/>
        <v>#N/A</v>
      </c>
      <c r="AY312" s="11" t="e">
        <f t="shared" si="37"/>
        <v>#N/A</v>
      </c>
      <c r="AZ312" s="11" t="e">
        <f t="shared" si="38"/>
        <v>#N/A</v>
      </c>
    </row>
    <row r="313" spans="1:52" x14ac:dyDescent="0.2">
      <c r="A313" s="6">
        <f>Исходн.данные.!A313</f>
        <v>0</v>
      </c>
      <c r="B313" s="6">
        <f>Исходн.данные.!B313</f>
        <v>0</v>
      </c>
      <c r="C313" s="6">
        <f>Исходн.данные.!C313</f>
        <v>0</v>
      </c>
      <c r="D313" s="6">
        <f>Исходн.данные.!D313</f>
        <v>0</v>
      </c>
      <c r="E313" s="6">
        <f>Исходн.данные.!E313</f>
        <v>0</v>
      </c>
      <c r="F313" s="6">
        <f>Исходн.данные.!AH313</f>
        <v>0</v>
      </c>
      <c r="G313" s="6">
        <f>Исходн.данные.!AJ313</f>
        <v>0</v>
      </c>
      <c r="H313" s="6">
        <f>Исходн.данные.!AK313</f>
        <v>0</v>
      </c>
      <c r="I313" s="9">
        <f>IF($F313=0,0,Расчет2!AO313)</f>
        <v>0</v>
      </c>
      <c r="J313" s="9">
        <f>IF(F313=0,0,Расчет2!AP313)</f>
        <v>0</v>
      </c>
      <c r="K313" s="10">
        <f>IF($F313=0,0,Расчет2!AQ313)</f>
        <v>0</v>
      </c>
      <c r="L313" s="10">
        <f>IF($F313=0,0,Расчет2!AR313)</f>
        <v>0</v>
      </c>
      <c r="M313" s="10">
        <f>IF($F313=0,0,Расчет2!AS313)</f>
        <v>0</v>
      </c>
      <c r="N313" s="10">
        <f>IF($F313=0,0,IF(Исходн.данные.!$AP313="Посл.посева",0,Расчет2!AT313))</f>
        <v>0</v>
      </c>
      <c r="O313" s="10">
        <f>IF($F313=0,0,IF(Исходн.данные.!$AP313="Посл.посева",0,IF(Расчет2!AU313&lt;10,10,Расчет2!AU313)))</f>
        <v>0</v>
      </c>
      <c r="P313" s="10">
        <f>IF($F313=0,0,IF(Исходн.данные.!$AP313="Посл.посева",0,Расчет2!AV313))</f>
        <v>0</v>
      </c>
      <c r="Q313" s="10">
        <f>IF($F313=0,0,Расчет2!AW313)</f>
        <v>0</v>
      </c>
      <c r="R313" s="10">
        <f>IF($F313=0,0,Расчет2!AX313)</f>
        <v>0</v>
      </c>
      <c r="S313" s="9">
        <f>IF($F313=0,0,Расчет2!AY313)</f>
        <v>0</v>
      </c>
      <c r="T313" s="10">
        <f>IF($F313=0,0,Расчет2!AZ313)</f>
        <v>0</v>
      </c>
      <c r="U313" s="10">
        <f>IF($F313=0,0,Расчет2!BA313)</f>
        <v>0</v>
      </c>
      <c r="V313" s="10">
        <f>IF($F313=0,0,Расчет2!BB313)</f>
        <v>0</v>
      </c>
      <c r="W313" s="10">
        <f>Расчет!DL313</f>
        <v>0</v>
      </c>
      <c r="X313" s="10">
        <f>Расчет!DN313</f>
        <v>0</v>
      </c>
      <c r="Y313" s="9">
        <f>X313*Исходн.данные.!$AJ313/1000</f>
        <v>0</v>
      </c>
      <c r="Z313" s="10" t="str">
        <f>Расчет!DO313</f>
        <v>Хлор.калий</v>
      </c>
      <c r="AA313" s="10">
        <f>Расчет!DQ313</f>
        <v>0</v>
      </c>
      <c r="AB313" s="12">
        <f>AA313*Исходн.данные.!$AJ313/1000</f>
        <v>0</v>
      </c>
      <c r="AC313" s="9">
        <f>IF($F313=0,0,Расчет2!BC313)</f>
        <v>0</v>
      </c>
      <c r="AD313" s="10">
        <f>IF($F313=0,0,Расчет2!BD313)</f>
        <v>0</v>
      </c>
      <c r="AE313" s="9">
        <f>IF($F313=0,0,Расчет2!BE313)</f>
        <v>0</v>
      </c>
      <c r="AF313" s="9">
        <f>IF($F313=0,0,Расчет2!BF313)</f>
        <v>0</v>
      </c>
      <c r="AG313" s="9">
        <f>IF($F313=0,0,Расчет2!BG313)</f>
        <v>0</v>
      </c>
      <c r="AI313" s="11" t="e">
        <f>Расчет!FY313</f>
        <v>#N/A</v>
      </c>
      <c r="AJ313" s="11" t="e">
        <f>Расчет!FZ313</f>
        <v>#N/A</v>
      </c>
      <c r="AK313" s="11" t="e">
        <f>Расчет!GA313</f>
        <v>#N/A</v>
      </c>
      <c r="AL313" s="11" t="e">
        <f>Расчет!GB313</f>
        <v>#N/A</v>
      </c>
      <c r="AM313" s="11" t="e">
        <f>Расчет!GC313</f>
        <v>#N/A</v>
      </c>
      <c r="AN313" s="11" t="e">
        <f>Расчет!GD313</f>
        <v>#N/A</v>
      </c>
      <c r="AO313" s="11" t="e">
        <f>Расчет!GE313</f>
        <v>#N/A</v>
      </c>
      <c r="AP313" s="11" t="e">
        <f>Расчет!GF313</f>
        <v>#N/A</v>
      </c>
      <c r="AQ313" s="11" t="e">
        <f>Расчет!GG313</f>
        <v>#N/A</v>
      </c>
      <c r="AR313" s="11" t="e">
        <f>Расчет!GH313</f>
        <v>#N/A</v>
      </c>
      <c r="AS313" s="11" t="e">
        <f>Расчет!GI313</f>
        <v>#N/A</v>
      </c>
      <c r="AT313" s="11" t="e">
        <f>Расчет!GJ313</f>
        <v>#N/A</v>
      </c>
      <c r="AU313" s="198" t="e">
        <f t="shared" si="33"/>
        <v>#N/A</v>
      </c>
      <c r="AV313" s="198" t="e">
        <f t="shared" si="34"/>
        <v>#N/A</v>
      </c>
      <c r="AW313" s="198" t="e">
        <f t="shared" si="35"/>
        <v>#N/A</v>
      </c>
      <c r="AX313" s="11" t="e">
        <f t="shared" si="36"/>
        <v>#N/A</v>
      </c>
      <c r="AY313" s="11" t="e">
        <f t="shared" si="37"/>
        <v>#N/A</v>
      </c>
      <c r="AZ313" s="11" t="e">
        <f t="shared" si="38"/>
        <v>#N/A</v>
      </c>
    </row>
    <row r="314" spans="1:52" x14ac:dyDescent="0.2">
      <c r="A314" s="6">
        <f>Исходн.данные.!A314</f>
        <v>0</v>
      </c>
      <c r="B314" s="6">
        <f>Исходн.данные.!B314</f>
        <v>0</v>
      </c>
      <c r="C314" s="6">
        <f>Исходн.данные.!C314</f>
        <v>0</v>
      </c>
      <c r="D314" s="6">
        <f>Исходн.данные.!D314</f>
        <v>0</v>
      </c>
      <c r="E314" s="6">
        <f>Исходн.данные.!E314</f>
        <v>0</v>
      </c>
      <c r="F314" s="6">
        <f>Исходн.данные.!AH314</f>
        <v>0</v>
      </c>
      <c r="G314" s="6">
        <f>Исходн.данные.!AJ314</f>
        <v>0</v>
      </c>
      <c r="H314" s="6">
        <f>Исходн.данные.!AK314</f>
        <v>0</v>
      </c>
      <c r="I314" s="9">
        <f>IF($F314=0,0,Расчет2!AO314)</f>
        <v>0</v>
      </c>
      <c r="J314" s="9">
        <f>IF(F314=0,0,Расчет2!AP314)</f>
        <v>0</v>
      </c>
      <c r="K314" s="10">
        <f>IF($F314=0,0,Расчет2!AQ314)</f>
        <v>0</v>
      </c>
      <c r="L314" s="10">
        <f>IF($F314=0,0,Расчет2!AR314)</f>
        <v>0</v>
      </c>
      <c r="M314" s="10">
        <f>IF($F314=0,0,Расчет2!AS314)</f>
        <v>0</v>
      </c>
      <c r="N314" s="10">
        <f>IF($F314=0,0,IF(Исходн.данные.!$AP314="Посл.посева",0,Расчет2!AT314))</f>
        <v>0</v>
      </c>
      <c r="O314" s="10">
        <f>IF($F314=0,0,IF(Исходн.данные.!$AP314="Посл.посева",0,IF(Расчет2!AU314&lt;10,10,Расчет2!AU314)))</f>
        <v>0</v>
      </c>
      <c r="P314" s="10">
        <f>IF($F314=0,0,IF(Исходн.данные.!$AP314="Посл.посева",0,Расчет2!AV314))</f>
        <v>0</v>
      </c>
      <c r="Q314" s="10">
        <f>IF($F314=0,0,Расчет2!AW314)</f>
        <v>0</v>
      </c>
      <c r="R314" s="10">
        <f>IF($F314=0,0,Расчет2!AX314)</f>
        <v>0</v>
      </c>
      <c r="S314" s="9">
        <f>IF($F314=0,0,Расчет2!AY314)</f>
        <v>0</v>
      </c>
      <c r="T314" s="10">
        <f>IF($F314=0,0,Расчет2!AZ314)</f>
        <v>0</v>
      </c>
      <c r="U314" s="10">
        <f>IF($F314=0,0,Расчет2!BA314)</f>
        <v>0</v>
      </c>
      <c r="V314" s="10">
        <f>IF($F314=0,0,Расчет2!BB314)</f>
        <v>0</v>
      </c>
      <c r="W314" s="10">
        <f>Расчет!DL314</f>
        <v>0</v>
      </c>
      <c r="X314" s="10">
        <f>Расчет!DN314</f>
        <v>0</v>
      </c>
      <c r="Y314" s="9">
        <f>X314*Исходн.данные.!$AJ314/1000</f>
        <v>0</v>
      </c>
      <c r="Z314" s="10" t="str">
        <f>Расчет!DO314</f>
        <v>Хлор.калий</v>
      </c>
      <c r="AA314" s="10">
        <f>Расчет!DQ314</f>
        <v>0</v>
      </c>
      <c r="AB314" s="12">
        <f>AA314*Исходн.данные.!$AJ314/1000</f>
        <v>0</v>
      </c>
      <c r="AC314" s="9">
        <f>IF($F314=0,0,Расчет2!BC314)</f>
        <v>0</v>
      </c>
      <c r="AD314" s="10">
        <f>IF($F314=0,0,Расчет2!BD314)</f>
        <v>0</v>
      </c>
      <c r="AE314" s="9">
        <f>IF($F314=0,0,Расчет2!BE314)</f>
        <v>0</v>
      </c>
      <c r="AF314" s="9">
        <f>IF($F314=0,0,Расчет2!BF314)</f>
        <v>0</v>
      </c>
      <c r="AG314" s="9">
        <f>IF($F314=0,0,Расчет2!BG314)</f>
        <v>0</v>
      </c>
      <c r="AI314" s="11" t="e">
        <f>Расчет!FY314</f>
        <v>#N/A</v>
      </c>
      <c r="AJ314" s="11" t="e">
        <f>Расчет!FZ314</f>
        <v>#N/A</v>
      </c>
      <c r="AK314" s="11" t="e">
        <f>Расчет!GA314</f>
        <v>#N/A</v>
      </c>
      <c r="AL314" s="11" t="e">
        <f>Расчет!GB314</f>
        <v>#N/A</v>
      </c>
      <c r="AM314" s="11" t="e">
        <f>Расчет!GC314</f>
        <v>#N/A</v>
      </c>
      <c r="AN314" s="11" t="e">
        <f>Расчет!GD314</f>
        <v>#N/A</v>
      </c>
      <c r="AO314" s="11" t="e">
        <f>Расчет!GE314</f>
        <v>#N/A</v>
      </c>
      <c r="AP314" s="11" t="e">
        <f>Расчет!GF314</f>
        <v>#N/A</v>
      </c>
      <c r="AQ314" s="11" t="e">
        <f>Расчет!GG314</f>
        <v>#N/A</v>
      </c>
      <c r="AR314" s="11" t="e">
        <f>Расчет!GH314</f>
        <v>#N/A</v>
      </c>
      <c r="AS314" s="11" t="e">
        <f>Расчет!GI314</f>
        <v>#N/A</v>
      </c>
      <c r="AT314" s="11" t="e">
        <f>Расчет!GJ314</f>
        <v>#N/A</v>
      </c>
      <c r="AU314" s="198" t="e">
        <f t="shared" si="33"/>
        <v>#N/A</v>
      </c>
      <c r="AV314" s="198" t="e">
        <f t="shared" si="34"/>
        <v>#N/A</v>
      </c>
      <c r="AW314" s="198" t="e">
        <f t="shared" si="35"/>
        <v>#N/A</v>
      </c>
      <c r="AX314" s="11" t="e">
        <f t="shared" si="36"/>
        <v>#N/A</v>
      </c>
      <c r="AY314" s="11" t="e">
        <f t="shared" si="37"/>
        <v>#N/A</v>
      </c>
      <c r="AZ314" s="11" t="e">
        <f t="shared" si="38"/>
        <v>#N/A</v>
      </c>
    </row>
    <row r="315" spans="1:52" x14ac:dyDescent="0.2">
      <c r="A315" s="6">
        <f>Исходн.данные.!A315</f>
        <v>0</v>
      </c>
      <c r="B315" s="6">
        <f>Исходн.данные.!B315</f>
        <v>0</v>
      </c>
      <c r="C315" s="6">
        <f>Исходн.данные.!C315</f>
        <v>0</v>
      </c>
      <c r="D315" s="6">
        <f>Исходн.данные.!D315</f>
        <v>0</v>
      </c>
      <c r="E315" s="6">
        <f>Исходн.данные.!E315</f>
        <v>0</v>
      </c>
      <c r="F315" s="6">
        <f>Исходн.данные.!AH315</f>
        <v>0</v>
      </c>
      <c r="G315" s="6">
        <f>Исходн.данные.!AJ315</f>
        <v>0</v>
      </c>
      <c r="H315" s="6">
        <f>Исходн.данные.!AK315</f>
        <v>0</v>
      </c>
      <c r="I315" s="9">
        <f>IF($F315=0,0,Расчет2!AO315)</f>
        <v>0</v>
      </c>
      <c r="J315" s="9">
        <f>IF(F315=0,0,Расчет2!AP315)</f>
        <v>0</v>
      </c>
      <c r="K315" s="10">
        <f>IF($F315=0,0,Расчет2!AQ315)</f>
        <v>0</v>
      </c>
      <c r="L315" s="10">
        <f>IF($F315=0,0,Расчет2!AR315)</f>
        <v>0</v>
      </c>
      <c r="M315" s="10">
        <f>IF($F315=0,0,Расчет2!AS315)</f>
        <v>0</v>
      </c>
      <c r="N315" s="10">
        <f>IF($F315=0,0,IF(Исходн.данные.!$AP315="Посл.посева",0,Расчет2!AT315))</f>
        <v>0</v>
      </c>
      <c r="O315" s="10">
        <f>IF($F315=0,0,IF(Исходн.данные.!$AP315="Посл.посева",0,IF(Расчет2!AU315&lt;10,10,Расчет2!AU315)))</f>
        <v>0</v>
      </c>
      <c r="P315" s="10">
        <f>IF($F315=0,0,IF(Исходн.данные.!$AP315="Посл.посева",0,Расчет2!AV315))</f>
        <v>0</v>
      </c>
      <c r="Q315" s="10">
        <f>IF($F315=0,0,Расчет2!AW315)</f>
        <v>0</v>
      </c>
      <c r="R315" s="10">
        <f>IF($F315=0,0,Расчет2!AX315)</f>
        <v>0</v>
      </c>
      <c r="S315" s="9">
        <f>IF($F315=0,0,Расчет2!AY315)</f>
        <v>0</v>
      </c>
      <c r="T315" s="10">
        <f>IF($F315=0,0,Расчет2!AZ315)</f>
        <v>0</v>
      </c>
      <c r="U315" s="10">
        <f>IF($F315=0,0,Расчет2!BA315)</f>
        <v>0</v>
      </c>
      <c r="V315" s="10">
        <f>IF($F315=0,0,Расчет2!BB315)</f>
        <v>0</v>
      </c>
      <c r="W315" s="10">
        <f>Расчет!DL315</f>
        <v>0</v>
      </c>
      <c r="X315" s="10">
        <f>Расчет!DN315</f>
        <v>0</v>
      </c>
      <c r="Y315" s="9">
        <f>X315*Исходн.данные.!$AJ315/1000</f>
        <v>0</v>
      </c>
      <c r="Z315" s="10" t="str">
        <f>Расчет!DO315</f>
        <v>Хлор.калий</v>
      </c>
      <c r="AA315" s="10">
        <f>Расчет!DQ315</f>
        <v>0</v>
      </c>
      <c r="AB315" s="12">
        <f>AA315*Исходн.данные.!$AJ315/1000</f>
        <v>0</v>
      </c>
      <c r="AC315" s="9">
        <f>IF($F315=0,0,Расчет2!BC315)</f>
        <v>0</v>
      </c>
      <c r="AD315" s="10">
        <f>IF($F315=0,0,Расчет2!BD315)</f>
        <v>0</v>
      </c>
      <c r="AE315" s="9">
        <f>IF($F315=0,0,Расчет2!BE315)</f>
        <v>0</v>
      </c>
      <c r="AF315" s="9">
        <f>IF($F315=0,0,Расчет2!BF315)</f>
        <v>0</v>
      </c>
      <c r="AG315" s="9">
        <f>IF($F315=0,0,Расчет2!BG315)</f>
        <v>0</v>
      </c>
      <c r="AI315" s="11" t="e">
        <f>Расчет!FY315</f>
        <v>#N/A</v>
      </c>
      <c r="AJ315" s="11" t="e">
        <f>Расчет!FZ315</f>
        <v>#N/A</v>
      </c>
      <c r="AK315" s="11" t="e">
        <f>Расчет!GA315</f>
        <v>#N/A</v>
      </c>
      <c r="AL315" s="11" t="e">
        <f>Расчет!GB315</f>
        <v>#N/A</v>
      </c>
      <c r="AM315" s="11" t="e">
        <f>Расчет!GC315</f>
        <v>#N/A</v>
      </c>
      <c r="AN315" s="11" t="e">
        <f>Расчет!GD315</f>
        <v>#N/A</v>
      </c>
      <c r="AO315" s="11" t="e">
        <f>Расчет!GE315</f>
        <v>#N/A</v>
      </c>
      <c r="AP315" s="11" t="e">
        <f>Расчет!GF315</f>
        <v>#N/A</v>
      </c>
      <c r="AQ315" s="11" t="e">
        <f>Расчет!GG315</f>
        <v>#N/A</v>
      </c>
      <c r="AR315" s="11" t="e">
        <f>Расчет!GH315</f>
        <v>#N/A</v>
      </c>
      <c r="AS315" s="11" t="e">
        <f>Расчет!GI315</f>
        <v>#N/A</v>
      </c>
      <c r="AT315" s="11" t="e">
        <f>Расчет!GJ315</f>
        <v>#N/A</v>
      </c>
      <c r="AU315" s="198" t="e">
        <f t="shared" si="33"/>
        <v>#N/A</v>
      </c>
      <c r="AV315" s="198" t="e">
        <f t="shared" si="34"/>
        <v>#N/A</v>
      </c>
      <c r="AW315" s="198" t="e">
        <f t="shared" si="35"/>
        <v>#N/A</v>
      </c>
      <c r="AX315" s="11" t="e">
        <f t="shared" si="36"/>
        <v>#N/A</v>
      </c>
      <c r="AY315" s="11" t="e">
        <f t="shared" si="37"/>
        <v>#N/A</v>
      </c>
      <c r="AZ315" s="11" t="e">
        <f t="shared" si="38"/>
        <v>#N/A</v>
      </c>
    </row>
    <row r="316" spans="1:52" x14ac:dyDescent="0.2">
      <c r="A316" s="6">
        <f>Исходн.данные.!A316</f>
        <v>0</v>
      </c>
      <c r="B316" s="6">
        <f>Исходн.данные.!B316</f>
        <v>0</v>
      </c>
      <c r="C316" s="6">
        <f>Исходн.данные.!C316</f>
        <v>0</v>
      </c>
      <c r="D316" s="6">
        <f>Исходн.данные.!D316</f>
        <v>0</v>
      </c>
      <c r="E316" s="6">
        <f>Исходн.данные.!E316</f>
        <v>0</v>
      </c>
      <c r="F316" s="6">
        <f>Исходн.данные.!AH316</f>
        <v>0</v>
      </c>
      <c r="G316" s="6">
        <f>Исходн.данные.!AJ316</f>
        <v>0</v>
      </c>
      <c r="H316" s="6">
        <f>Исходн.данные.!AK316</f>
        <v>0</v>
      </c>
      <c r="I316" s="9">
        <f>IF($F316=0,0,Расчет2!AO316)</f>
        <v>0</v>
      </c>
      <c r="J316" s="9">
        <f>IF(F316=0,0,Расчет2!AP316)</f>
        <v>0</v>
      </c>
      <c r="K316" s="10">
        <f>IF($F316=0,0,Расчет2!AQ316)</f>
        <v>0</v>
      </c>
      <c r="L316" s="10">
        <f>IF($F316=0,0,Расчет2!AR316)</f>
        <v>0</v>
      </c>
      <c r="M316" s="10">
        <f>IF($F316=0,0,Расчет2!AS316)</f>
        <v>0</v>
      </c>
      <c r="N316" s="10">
        <f>IF($F316=0,0,IF(Исходн.данные.!$AP316="Посл.посева",0,Расчет2!AT316))</f>
        <v>0</v>
      </c>
      <c r="O316" s="10">
        <f>IF($F316=0,0,IF(Исходн.данные.!$AP316="Посл.посева",0,IF(Расчет2!AU316&lt;10,10,Расчет2!AU316)))</f>
        <v>0</v>
      </c>
      <c r="P316" s="10">
        <f>IF($F316=0,0,IF(Исходн.данные.!$AP316="Посл.посева",0,Расчет2!AV316))</f>
        <v>0</v>
      </c>
      <c r="Q316" s="10">
        <f>IF($F316=0,0,Расчет2!AW316)</f>
        <v>0</v>
      </c>
      <c r="R316" s="10">
        <f>IF($F316=0,0,Расчет2!AX316)</f>
        <v>0</v>
      </c>
      <c r="S316" s="9">
        <f>IF($F316=0,0,Расчет2!AY316)</f>
        <v>0</v>
      </c>
      <c r="T316" s="10">
        <f>IF($F316=0,0,Расчет2!AZ316)</f>
        <v>0</v>
      </c>
      <c r="U316" s="10">
        <f>IF($F316=0,0,Расчет2!BA316)</f>
        <v>0</v>
      </c>
      <c r="V316" s="10">
        <f>IF($F316=0,0,Расчет2!BB316)</f>
        <v>0</v>
      </c>
      <c r="W316" s="10">
        <f>Расчет!DL316</f>
        <v>0</v>
      </c>
      <c r="X316" s="10">
        <f>Расчет!DN316</f>
        <v>0</v>
      </c>
      <c r="Y316" s="9">
        <f>X316*Исходн.данные.!$AJ316/1000</f>
        <v>0</v>
      </c>
      <c r="Z316" s="10" t="str">
        <f>Расчет!DO316</f>
        <v>Хлор.калий</v>
      </c>
      <c r="AA316" s="10">
        <f>Расчет!DQ316</f>
        <v>0</v>
      </c>
      <c r="AB316" s="12">
        <f>AA316*Исходн.данные.!$AJ316/1000</f>
        <v>0</v>
      </c>
      <c r="AC316" s="9">
        <f>IF($F316=0,0,Расчет2!BC316)</f>
        <v>0</v>
      </c>
      <c r="AD316" s="10">
        <f>IF($F316=0,0,Расчет2!BD316)</f>
        <v>0</v>
      </c>
      <c r="AE316" s="9">
        <f>IF($F316=0,0,Расчет2!BE316)</f>
        <v>0</v>
      </c>
      <c r="AF316" s="9">
        <f>IF($F316=0,0,Расчет2!BF316)</f>
        <v>0</v>
      </c>
      <c r="AG316" s="9">
        <f>IF($F316=0,0,Расчет2!BG316)</f>
        <v>0</v>
      </c>
      <c r="AI316" s="11" t="e">
        <f>Расчет!FY316</f>
        <v>#N/A</v>
      </c>
      <c r="AJ316" s="11" t="e">
        <f>Расчет!FZ316</f>
        <v>#N/A</v>
      </c>
      <c r="AK316" s="11" t="e">
        <f>Расчет!GA316</f>
        <v>#N/A</v>
      </c>
      <c r="AL316" s="11" t="e">
        <f>Расчет!GB316</f>
        <v>#N/A</v>
      </c>
      <c r="AM316" s="11" t="e">
        <f>Расчет!GC316</f>
        <v>#N/A</v>
      </c>
      <c r="AN316" s="11" t="e">
        <f>Расчет!GD316</f>
        <v>#N/A</v>
      </c>
      <c r="AO316" s="11" t="e">
        <f>Расчет!GE316</f>
        <v>#N/A</v>
      </c>
      <c r="AP316" s="11" t="e">
        <f>Расчет!GF316</f>
        <v>#N/A</v>
      </c>
      <c r="AQ316" s="11" t="e">
        <f>Расчет!GG316</f>
        <v>#N/A</v>
      </c>
      <c r="AR316" s="11" t="e">
        <f>Расчет!GH316</f>
        <v>#N/A</v>
      </c>
      <c r="AS316" s="11" t="e">
        <f>Расчет!GI316</f>
        <v>#N/A</v>
      </c>
      <c r="AT316" s="11" t="e">
        <f>Расчет!GJ316</f>
        <v>#N/A</v>
      </c>
      <c r="AU316" s="198" t="e">
        <f t="shared" si="33"/>
        <v>#N/A</v>
      </c>
      <c r="AV316" s="198" t="e">
        <f t="shared" si="34"/>
        <v>#N/A</v>
      </c>
      <c r="AW316" s="198" t="e">
        <f t="shared" si="35"/>
        <v>#N/A</v>
      </c>
      <c r="AX316" s="11" t="e">
        <f t="shared" si="36"/>
        <v>#N/A</v>
      </c>
      <c r="AY316" s="11" t="e">
        <f t="shared" si="37"/>
        <v>#N/A</v>
      </c>
      <c r="AZ316" s="11" t="e">
        <f t="shared" si="38"/>
        <v>#N/A</v>
      </c>
    </row>
    <row r="317" spans="1:52" x14ac:dyDescent="0.2">
      <c r="A317" s="6">
        <f>Исходн.данные.!A317</f>
        <v>0</v>
      </c>
      <c r="B317" s="6">
        <f>Исходн.данные.!B317</f>
        <v>0</v>
      </c>
      <c r="C317" s="6">
        <f>Исходн.данные.!C317</f>
        <v>0</v>
      </c>
      <c r="D317" s="6">
        <f>Исходн.данные.!D317</f>
        <v>0</v>
      </c>
      <c r="E317" s="6">
        <f>Исходн.данные.!E317</f>
        <v>0</v>
      </c>
      <c r="F317" s="6">
        <f>Исходн.данные.!AH317</f>
        <v>0</v>
      </c>
      <c r="G317" s="6">
        <f>Исходн.данные.!AJ317</f>
        <v>0</v>
      </c>
      <c r="H317" s="6">
        <f>Исходн.данные.!AK317</f>
        <v>0</v>
      </c>
      <c r="I317" s="9">
        <f>IF($F317=0,0,Расчет2!AO317)</f>
        <v>0</v>
      </c>
      <c r="J317" s="9">
        <f>IF(F317=0,0,Расчет2!AP317)</f>
        <v>0</v>
      </c>
      <c r="K317" s="10">
        <f>IF($F317=0,0,Расчет2!AQ317)</f>
        <v>0</v>
      </c>
      <c r="L317" s="10">
        <f>IF($F317=0,0,Расчет2!AR317)</f>
        <v>0</v>
      </c>
      <c r="M317" s="10">
        <f>IF($F317=0,0,Расчет2!AS317)</f>
        <v>0</v>
      </c>
      <c r="N317" s="10">
        <f>IF($F317=0,0,IF(Исходн.данные.!$AP317="Посл.посева",0,Расчет2!AT317))</f>
        <v>0</v>
      </c>
      <c r="O317" s="10">
        <f>IF($F317=0,0,IF(Исходн.данные.!$AP317="Посл.посева",0,IF(Расчет2!AU317&lt;10,10,Расчет2!AU317)))</f>
        <v>0</v>
      </c>
      <c r="P317" s="10">
        <f>IF($F317=0,0,IF(Исходн.данные.!$AP317="Посл.посева",0,Расчет2!AV317))</f>
        <v>0</v>
      </c>
      <c r="Q317" s="10">
        <f>IF($F317=0,0,Расчет2!AW317)</f>
        <v>0</v>
      </c>
      <c r="R317" s="10">
        <f>IF($F317=0,0,Расчет2!AX317)</f>
        <v>0</v>
      </c>
      <c r="S317" s="9">
        <f>IF($F317=0,0,Расчет2!AY317)</f>
        <v>0</v>
      </c>
      <c r="T317" s="10">
        <f>IF($F317=0,0,Расчет2!AZ317)</f>
        <v>0</v>
      </c>
      <c r="U317" s="10">
        <f>IF($F317=0,0,Расчет2!BA317)</f>
        <v>0</v>
      </c>
      <c r="V317" s="10">
        <f>IF($F317=0,0,Расчет2!BB317)</f>
        <v>0</v>
      </c>
      <c r="W317" s="10">
        <f>Расчет!DL317</f>
        <v>0</v>
      </c>
      <c r="X317" s="10">
        <f>Расчет!DN317</f>
        <v>0</v>
      </c>
      <c r="Y317" s="9">
        <f>X317*Исходн.данные.!$AJ317/1000</f>
        <v>0</v>
      </c>
      <c r="Z317" s="10" t="str">
        <f>Расчет!DO317</f>
        <v>Хлор.калий</v>
      </c>
      <c r="AA317" s="10">
        <f>Расчет!DQ317</f>
        <v>0</v>
      </c>
      <c r="AB317" s="12">
        <f>AA317*Исходн.данные.!$AJ317/1000</f>
        <v>0</v>
      </c>
      <c r="AC317" s="9">
        <f>IF($F317=0,0,Расчет2!BC317)</f>
        <v>0</v>
      </c>
      <c r="AD317" s="10">
        <f>IF($F317=0,0,Расчет2!BD317)</f>
        <v>0</v>
      </c>
      <c r="AE317" s="9">
        <f>IF($F317=0,0,Расчет2!BE317)</f>
        <v>0</v>
      </c>
      <c r="AF317" s="9">
        <f>IF($F317=0,0,Расчет2!BF317)</f>
        <v>0</v>
      </c>
      <c r="AG317" s="9">
        <f>IF($F317=0,0,Расчет2!BG317)</f>
        <v>0</v>
      </c>
      <c r="AI317" s="11" t="e">
        <f>Расчет!FY317</f>
        <v>#N/A</v>
      </c>
      <c r="AJ317" s="11" t="e">
        <f>Расчет!FZ317</f>
        <v>#N/A</v>
      </c>
      <c r="AK317" s="11" t="e">
        <f>Расчет!GA317</f>
        <v>#N/A</v>
      </c>
      <c r="AL317" s="11" t="e">
        <f>Расчет!GB317</f>
        <v>#N/A</v>
      </c>
      <c r="AM317" s="11" t="e">
        <f>Расчет!GC317</f>
        <v>#N/A</v>
      </c>
      <c r="AN317" s="11" t="e">
        <f>Расчет!GD317</f>
        <v>#N/A</v>
      </c>
      <c r="AO317" s="11" t="e">
        <f>Расчет!GE317</f>
        <v>#N/A</v>
      </c>
      <c r="AP317" s="11" t="e">
        <f>Расчет!GF317</f>
        <v>#N/A</v>
      </c>
      <c r="AQ317" s="11" t="e">
        <f>Расчет!GG317</f>
        <v>#N/A</v>
      </c>
      <c r="AR317" s="11" t="e">
        <f>Расчет!GH317</f>
        <v>#N/A</v>
      </c>
      <c r="AS317" s="11" t="e">
        <f>Расчет!GI317</f>
        <v>#N/A</v>
      </c>
      <c r="AT317" s="11" t="e">
        <f>Расчет!GJ317</f>
        <v>#N/A</v>
      </c>
      <c r="AU317" s="198" t="e">
        <f t="shared" si="33"/>
        <v>#N/A</v>
      </c>
      <c r="AV317" s="198" t="e">
        <f t="shared" si="34"/>
        <v>#N/A</v>
      </c>
      <c r="AW317" s="198" t="e">
        <f t="shared" si="35"/>
        <v>#N/A</v>
      </c>
      <c r="AX317" s="11" t="e">
        <f t="shared" si="36"/>
        <v>#N/A</v>
      </c>
      <c r="AY317" s="11" t="e">
        <f t="shared" si="37"/>
        <v>#N/A</v>
      </c>
      <c r="AZ317" s="11" t="e">
        <f t="shared" si="38"/>
        <v>#N/A</v>
      </c>
    </row>
    <row r="318" spans="1:52" x14ac:dyDescent="0.2">
      <c r="A318" s="6">
        <f>Исходн.данные.!A318</f>
        <v>0</v>
      </c>
      <c r="B318" s="6">
        <f>Исходн.данные.!B318</f>
        <v>0</v>
      </c>
      <c r="C318" s="6">
        <f>Исходн.данные.!C318</f>
        <v>0</v>
      </c>
      <c r="D318" s="6">
        <f>Исходн.данные.!D318</f>
        <v>0</v>
      </c>
      <c r="E318" s="6">
        <f>Исходн.данные.!E318</f>
        <v>0</v>
      </c>
      <c r="F318" s="6">
        <f>Исходн.данные.!AH318</f>
        <v>0</v>
      </c>
      <c r="G318" s="6">
        <f>Исходн.данные.!AJ318</f>
        <v>0</v>
      </c>
      <c r="H318" s="6">
        <f>Исходн.данные.!AK318</f>
        <v>0</v>
      </c>
      <c r="I318" s="9">
        <f>IF($F318=0,0,Расчет2!AO318)</f>
        <v>0</v>
      </c>
      <c r="J318" s="9">
        <f>IF(F318=0,0,Расчет2!AP318)</f>
        <v>0</v>
      </c>
      <c r="K318" s="10">
        <f>IF($F318=0,0,Расчет2!AQ318)</f>
        <v>0</v>
      </c>
      <c r="L318" s="10">
        <f>IF($F318=0,0,Расчет2!AR318)</f>
        <v>0</v>
      </c>
      <c r="M318" s="10">
        <f>IF($F318=0,0,Расчет2!AS318)</f>
        <v>0</v>
      </c>
      <c r="N318" s="10">
        <f>IF($F318=0,0,IF(Исходн.данные.!$AP318="Посл.посева",0,Расчет2!AT318))</f>
        <v>0</v>
      </c>
      <c r="O318" s="10">
        <f>IF($F318=0,0,IF(Исходн.данные.!$AP318="Посл.посева",0,IF(Расчет2!AU318&lt;10,10,Расчет2!AU318)))</f>
        <v>0</v>
      </c>
      <c r="P318" s="10">
        <f>IF($F318=0,0,IF(Исходн.данные.!$AP318="Посл.посева",0,Расчет2!AV318))</f>
        <v>0</v>
      </c>
      <c r="Q318" s="10">
        <f>IF($F318=0,0,Расчет2!AW318)</f>
        <v>0</v>
      </c>
      <c r="R318" s="10">
        <f>IF($F318=0,0,Расчет2!AX318)</f>
        <v>0</v>
      </c>
      <c r="S318" s="9">
        <f>IF($F318=0,0,Расчет2!AY318)</f>
        <v>0</v>
      </c>
      <c r="T318" s="10">
        <f>IF($F318=0,0,Расчет2!AZ318)</f>
        <v>0</v>
      </c>
      <c r="U318" s="10">
        <f>IF($F318=0,0,Расчет2!BA318)</f>
        <v>0</v>
      </c>
      <c r="V318" s="10">
        <f>IF($F318=0,0,Расчет2!BB318)</f>
        <v>0</v>
      </c>
      <c r="W318" s="10">
        <f>Расчет!DL318</f>
        <v>0</v>
      </c>
      <c r="X318" s="10">
        <f>Расчет!DN318</f>
        <v>0</v>
      </c>
      <c r="Y318" s="9">
        <f>X318*Исходн.данные.!$AJ318/1000</f>
        <v>0</v>
      </c>
      <c r="Z318" s="10" t="str">
        <f>Расчет!DO318</f>
        <v>Хлор.калий</v>
      </c>
      <c r="AA318" s="10">
        <f>Расчет!DQ318</f>
        <v>0</v>
      </c>
      <c r="AB318" s="12">
        <f>AA318*Исходн.данные.!$AJ318/1000</f>
        <v>0</v>
      </c>
      <c r="AC318" s="9">
        <f>IF($F318=0,0,Расчет2!BC318)</f>
        <v>0</v>
      </c>
      <c r="AD318" s="10">
        <f>IF($F318=0,0,Расчет2!BD318)</f>
        <v>0</v>
      </c>
      <c r="AE318" s="9">
        <f>IF($F318=0,0,Расчет2!BE318)</f>
        <v>0</v>
      </c>
      <c r="AF318" s="9">
        <f>IF($F318=0,0,Расчет2!BF318)</f>
        <v>0</v>
      </c>
      <c r="AG318" s="9">
        <f>IF($F318=0,0,Расчет2!BG318)</f>
        <v>0</v>
      </c>
      <c r="AI318" s="11" t="e">
        <f>Расчет!FY318</f>
        <v>#N/A</v>
      </c>
      <c r="AJ318" s="11" t="e">
        <f>Расчет!FZ318</f>
        <v>#N/A</v>
      </c>
      <c r="AK318" s="11" t="e">
        <f>Расчет!GA318</f>
        <v>#N/A</v>
      </c>
      <c r="AL318" s="11" t="e">
        <f>Расчет!GB318</f>
        <v>#N/A</v>
      </c>
      <c r="AM318" s="11" t="e">
        <f>Расчет!GC318</f>
        <v>#N/A</v>
      </c>
      <c r="AN318" s="11" t="e">
        <f>Расчет!GD318</f>
        <v>#N/A</v>
      </c>
      <c r="AO318" s="11" t="e">
        <f>Расчет!GE318</f>
        <v>#N/A</v>
      </c>
      <c r="AP318" s="11" t="e">
        <f>Расчет!GF318</f>
        <v>#N/A</v>
      </c>
      <c r="AQ318" s="11" t="e">
        <f>Расчет!GG318</f>
        <v>#N/A</v>
      </c>
      <c r="AR318" s="11" t="e">
        <f>Расчет!GH318</f>
        <v>#N/A</v>
      </c>
      <c r="AS318" s="11" t="e">
        <f>Расчет!GI318</f>
        <v>#N/A</v>
      </c>
      <c r="AT318" s="11" t="e">
        <f>Расчет!GJ318</f>
        <v>#N/A</v>
      </c>
      <c r="AU318" s="198" t="e">
        <f t="shared" si="33"/>
        <v>#N/A</v>
      </c>
      <c r="AV318" s="198" t="e">
        <f t="shared" si="34"/>
        <v>#N/A</v>
      </c>
      <c r="AW318" s="198" t="e">
        <f t="shared" si="35"/>
        <v>#N/A</v>
      </c>
      <c r="AX318" s="11" t="e">
        <f t="shared" si="36"/>
        <v>#N/A</v>
      </c>
      <c r="AY318" s="11" t="e">
        <f t="shared" si="37"/>
        <v>#N/A</v>
      </c>
      <c r="AZ318" s="11" t="e">
        <f t="shared" si="38"/>
        <v>#N/A</v>
      </c>
    </row>
    <row r="319" spans="1:52" x14ac:dyDescent="0.2">
      <c r="A319" s="6">
        <f>Исходн.данные.!A319</f>
        <v>0</v>
      </c>
      <c r="B319" s="6">
        <f>Исходн.данные.!B319</f>
        <v>0</v>
      </c>
      <c r="C319" s="6">
        <f>Исходн.данные.!C319</f>
        <v>0</v>
      </c>
      <c r="D319" s="6">
        <f>Исходн.данные.!D319</f>
        <v>0</v>
      </c>
      <c r="E319" s="6">
        <f>Исходн.данные.!E319</f>
        <v>0</v>
      </c>
      <c r="F319" s="6">
        <f>Исходн.данные.!AH319</f>
        <v>0</v>
      </c>
      <c r="G319" s="6">
        <f>Исходн.данные.!AJ319</f>
        <v>0</v>
      </c>
      <c r="H319" s="6">
        <f>Исходн.данные.!AK319</f>
        <v>0</v>
      </c>
      <c r="I319" s="9">
        <f>IF($F319=0,0,Расчет2!AO319)</f>
        <v>0</v>
      </c>
      <c r="J319" s="9">
        <f>IF(F319=0,0,Расчет2!AP319)</f>
        <v>0</v>
      </c>
      <c r="K319" s="10">
        <f>IF($F319=0,0,Расчет2!AQ319)</f>
        <v>0</v>
      </c>
      <c r="L319" s="10">
        <f>IF($F319=0,0,Расчет2!AR319)</f>
        <v>0</v>
      </c>
      <c r="M319" s="10">
        <f>IF($F319=0,0,Расчет2!AS319)</f>
        <v>0</v>
      </c>
      <c r="N319" s="10">
        <f>IF($F319=0,0,IF(Исходн.данные.!$AP319="Посл.посева",0,Расчет2!AT319))</f>
        <v>0</v>
      </c>
      <c r="O319" s="10">
        <f>IF($F319=0,0,IF(Исходн.данные.!$AP319="Посл.посева",0,IF(Расчет2!AU319&lt;10,10,Расчет2!AU319)))</f>
        <v>0</v>
      </c>
      <c r="P319" s="10">
        <f>IF($F319=0,0,IF(Исходн.данные.!$AP319="Посл.посева",0,Расчет2!AV319))</f>
        <v>0</v>
      </c>
      <c r="Q319" s="10">
        <f>IF($F319=0,0,Расчет2!AW319)</f>
        <v>0</v>
      </c>
      <c r="R319" s="10">
        <f>IF($F319=0,0,Расчет2!AX319)</f>
        <v>0</v>
      </c>
      <c r="S319" s="9">
        <f>IF($F319=0,0,Расчет2!AY319)</f>
        <v>0</v>
      </c>
      <c r="T319" s="10">
        <f>IF($F319=0,0,Расчет2!AZ319)</f>
        <v>0</v>
      </c>
      <c r="U319" s="10">
        <f>IF($F319=0,0,Расчет2!BA319)</f>
        <v>0</v>
      </c>
      <c r="V319" s="10">
        <f>IF($F319=0,0,Расчет2!BB319)</f>
        <v>0</v>
      </c>
      <c r="W319" s="10">
        <f>Расчет!DL319</f>
        <v>0</v>
      </c>
      <c r="X319" s="10">
        <f>Расчет!DN319</f>
        <v>0</v>
      </c>
      <c r="Y319" s="9">
        <f>X319*Исходн.данные.!$AJ319/1000</f>
        <v>0</v>
      </c>
      <c r="Z319" s="10" t="str">
        <f>Расчет!DO319</f>
        <v>Хлор.калий</v>
      </c>
      <c r="AA319" s="10">
        <f>Расчет!DQ319</f>
        <v>0</v>
      </c>
      <c r="AB319" s="12">
        <f>AA319*Исходн.данные.!$AJ319/1000</f>
        <v>0</v>
      </c>
      <c r="AC319" s="9">
        <f>IF($F319=0,0,Расчет2!BC319)</f>
        <v>0</v>
      </c>
      <c r="AD319" s="10">
        <f>IF($F319=0,0,Расчет2!BD319)</f>
        <v>0</v>
      </c>
      <c r="AE319" s="9">
        <f>IF($F319=0,0,Расчет2!BE319)</f>
        <v>0</v>
      </c>
      <c r="AF319" s="9">
        <f>IF($F319=0,0,Расчет2!BF319)</f>
        <v>0</v>
      </c>
      <c r="AG319" s="9">
        <f>IF($F319=0,0,Расчет2!BG319)</f>
        <v>0</v>
      </c>
      <c r="AI319" s="11" t="e">
        <f>Расчет!FY319</f>
        <v>#N/A</v>
      </c>
      <c r="AJ319" s="11" t="e">
        <f>Расчет!FZ319</f>
        <v>#N/A</v>
      </c>
      <c r="AK319" s="11" t="e">
        <f>Расчет!GA319</f>
        <v>#N/A</v>
      </c>
      <c r="AL319" s="11" t="e">
        <f>Расчет!GB319</f>
        <v>#N/A</v>
      </c>
      <c r="AM319" s="11" t="e">
        <f>Расчет!GC319</f>
        <v>#N/A</v>
      </c>
      <c r="AN319" s="11" t="e">
        <f>Расчет!GD319</f>
        <v>#N/A</v>
      </c>
      <c r="AO319" s="11" t="e">
        <f>Расчет!GE319</f>
        <v>#N/A</v>
      </c>
      <c r="AP319" s="11" t="e">
        <f>Расчет!GF319</f>
        <v>#N/A</v>
      </c>
      <c r="AQ319" s="11" t="e">
        <f>Расчет!GG319</f>
        <v>#N/A</v>
      </c>
      <c r="AR319" s="11" t="e">
        <f>Расчет!GH319</f>
        <v>#N/A</v>
      </c>
      <c r="AS319" s="11" t="e">
        <f>Расчет!GI319</f>
        <v>#N/A</v>
      </c>
      <c r="AT319" s="11" t="e">
        <f>Расчет!GJ319</f>
        <v>#N/A</v>
      </c>
      <c r="AU319" s="198" t="e">
        <f t="shared" si="33"/>
        <v>#N/A</v>
      </c>
      <c r="AV319" s="198" t="e">
        <f t="shared" si="34"/>
        <v>#N/A</v>
      </c>
      <c r="AW319" s="198" t="e">
        <f t="shared" si="35"/>
        <v>#N/A</v>
      </c>
      <c r="AX319" s="11" t="e">
        <f t="shared" si="36"/>
        <v>#N/A</v>
      </c>
      <c r="AY319" s="11" t="e">
        <f t="shared" si="37"/>
        <v>#N/A</v>
      </c>
      <c r="AZ319" s="11" t="e">
        <f t="shared" si="38"/>
        <v>#N/A</v>
      </c>
    </row>
    <row r="320" spans="1:52" x14ac:dyDescent="0.2">
      <c r="A320" s="6">
        <f>Исходн.данные.!A320</f>
        <v>0</v>
      </c>
      <c r="B320" s="6">
        <f>Исходн.данные.!B320</f>
        <v>0</v>
      </c>
      <c r="C320" s="6">
        <f>Исходн.данные.!C320</f>
        <v>0</v>
      </c>
      <c r="D320" s="6">
        <f>Исходн.данные.!D320</f>
        <v>0</v>
      </c>
      <c r="E320" s="6">
        <f>Исходн.данные.!E320</f>
        <v>0</v>
      </c>
      <c r="F320" s="6">
        <f>Исходн.данные.!AH320</f>
        <v>0</v>
      </c>
      <c r="G320" s="6">
        <f>Исходн.данные.!AJ320</f>
        <v>0</v>
      </c>
      <c r="H320" s="6">
        <f>Исходн.данные.!AK320</f>
        <v>0</v>
      </c>
      <c r="I320" s="9">
        <f>IF($F320=0,0,Расчет2!AO320)</f>
        <v>0</v>
      </c>
      <c r="J320" s="9">
        <f>IF(F320=0,0,Расчет2!AP320)</f>
        <v>0</v>
      </c>
      <c r="K320" s="10">
        <f>IF($F320=0,0,Расчет2!AQ320)</f>
        <v>0</v>
      </c>
      <c r="L320" s="10">
        <f>IF($F320=0,0,Расчет2!AR320)</f>
        <v>0</v>
      </c>
      <c r="M320" s="10">
        <f>IF($F320=0,0,Расчет2!AS320)</f>
        <v>0</v>
      </c>
      <c r="N320" s="10">
        <f>IF($F320=0,0,IF(Исходн.данные.!$AP320="Посл.посева",0,Расчет2!AT320))</f>
        <v>0</v>
      </c>
      <c r="O320" s="10">
        <f>IF($F320=0,0,IF(Исходн.данные.!$AP320="Посл.посева",0,IF(Расчет2!AU320&lt;10,10,Расчет2!AU320)))</f>
        <v>0</v>
      </c>
      <c r="P320" s="10">
        <f>IF($F320=0,0,IF(Исходн.данные.!$AP320="Посл.посева",0,Расчет2!AV320))</f>
        <v>0</v>
      </c>
      <c r="Q320" s="10">
        <f>IF($F320=0,0,Расчет2!AW320)</f>
        <v>0</v>
      </c>
      <c r="R320" s="10">
        <f>IF($F320=0,0,Расчет2!AX320)</f>
        <v>0</v>
      </c>
      <c r="S320" s="9">
        <f>IF($F320=0,0,Расчет2!AY320)</f>
        <v>0</v>
      </c>
      <c r="T320" s="10">
        <f>IF($F320=0,0,Расчет2!AZ320)</f>
        <v>0</v>
      </c>
      <c r="U320" s="10">
        <f>IF($F320=0,0,Расчет2!BA320)</f>
        <v>0</v>
      </c>
      <c r="V320" s="10">
        <f>IF($F320=0,0,Расчет2!BB320)</f>
        <v>0</v>
      </c>
      <c r="W320" s="10">
        <f>Расчет!DL320</f>
        <v>0</v>
      </c>
      <c r="X320" s="10">
        <f>Расчет!DN320</f>
        <v>0</v>
      </c>
      <c r="Y320" s="9">
        <f>X320*Исходн.данные.!$AJ320/1000</f>
        <v>0</v>
      </c>
      <c r="Z320" s="10" t="str">
        <f>Расчет!DO320</f>
        <v>Хлор.калий</v>
      </c>
      <c r="AA320" s="10">
        <f>Расчет!DQ320</f>
        <v>0</v>
      </c>
      <c r="AB320" s="12">
        <f>AA320*Исходн.данные.!$AJ320/1000</f>
        <v>0</v>
      </c>
      <c r="AC320" s="9">
        <f>IF($F320=0,0,Расчет2!BC320)</f>
        <v>0</v>
      </c>
      <c r="AD320" s="10">
        <f>IF($F320=0,0,Расчет2!BD320)</f>
        <v>0</v>
      </c>
      <c r="AE320" s="9">
        <f>IF($F320=0,0,Расчет2!BE320)</f>
        <v>0</v>
      </c>
      <c r="AF320" s="9">
        <f>IF($F320=0,0,Расчет2!BF320)</f>
        <v>0</v>
      </c>
      <c r="AG320" s="9">
        <f>IF($F320=0,0,Расчет2!BG320)</f>
        <v>0</v>
      </c>
      <c r="AI320" s="11" t="e">
        <f>Расчет!FY320</f>
        <v>#N/A</v>
      </c>
      <c r="AJ320" s="11" t="e">
        <f>Расчет!FZ320</f>
        <v>#N/A</v>
      </c>
      <c r="AK320" s="11" t="e">
        <f>Расчет!GA320</f>
        <v>#N/A</v>
      </c>
      <c r="AL320" s="11" t="e">
        <f>Расчет!GB320</f>
        <v>#N/A</v>
      </c>
      <c r="AM320" s="11" t="e">
        <f>Расчет!GC320</f>
        <v>#N/A</v>
      </c>
      <c r="AN320" s="11" t="e">
        <f>Расчет!GD320</f>
        <v>#N/A</v>
      </c>
      <c r="AO320" s="11" t="e">
        <f>Расчет!GE320</f>
        <v>#N/A</v>
      </c>
      <c r="AP320" s="11" t="e">
        <f>Расчет!GF320</f>
        <v>#N/A</v>
      </c>
      <c r="AQ320" s="11" t="e">
        <f>Расчет!GG320</f>
        <v>#N/A</v>
      </c>
      <c r="AR320" s="11" t="e">
        <f>Расчет!GH320</f>
        <v>#N/A</v>
      </c>
      <c r="AS320" s="11" t="e">
        <f>Расчет!GI320</f>
        <v>#N/A</v>
      </c>
      <c r="AT320" s="11" t="e">
        <f>Расчет!GJ320</f>
        <v>#N/A</v>
      </c>
      <c r="AU320" s="198" t="e">
        <f t="shared" si="33"/>
        <v>#N/A</v>
      </c>
      <c r="AV320" s="198" t="e">
        <f t="shared" si="34"/>
        <v>#N/A</v>
      </c>
      <c r="AW320" s="198" t="e">
        <f t="shared" si="35"/>
        <v>#N/A</v>
      </c>
      <c r="AX320" s="11" t="e">
        <f t="shared" si="36"/>
        <v>#N/A</v>
      </c>
      <c r="AY320" s="11" t="e">
        <f t="shared" si="37"/>
        <v>#N/A</v>
      </c>
      <c r="AZ320" s="11" t="e">
        <f t="shared" si="38"/>
        <v>#N/A</v>
      </c>
    </row>
    <row r="321" spans="1:52" x14ac:dyDescent="0.2">
      <c r="A321" s="6">
        <f>Исходн.данные.!A321</f>
        <v>0</v>
      </c>
      <c r="B321" s="6">
        <f>Исходн.данные.!B321</f>
        <v>0</v>
      </c>
      <c r="C321" s="6">
        <f>Исходн.данные.!C321</f>
        <v>0</v>
      </c>
      <c r="D321" s="6">
        <f>Исходн.данные.!D321</f>
        <v>0</v>
      </c>
      <c r="E321" s="6">
        <f>Исходн.данные.!E321</f>
        <v>0</v>
      </c>
      <c r="F321" s="6">
        <f>Исходн.данные.!AH321</f>
        <v>0</v>
      </c>
      <c r="G321" s="6">
        <f>Исходн.данные.!AJ321</f>
        <v>0</v>
      </c>
      <c r="H321" s="6">
        <f>Исходн.данные.!AK321</f>
        <v>0</v>
      </c>
      <c r="I321" s="9">
        <f>IF($F321=0,0,Расчет2!AO321)</f>
        <v>0</v>
      </c>
      <c r="J321" s="9">
        <f>IF(F321=0,0,Расчет2!AP321)</f>
        <v>0</v>
      </c>
      <c r="K321" s="10">
        <f>IF($F321=0,0,Расчет2!AQ321)</f>
        <v>0</v>
      </c>
      <c r="L321" s="10">
        <f>IF($F321=0,0,Расчет2!AR321)</f>
        <v>0</v>
      </c>
      <c r="M321" s="10">
        <f>IF($F321=0,0,Расчет2!AS321)</f>
        <v>0</v>
      </c>
      <c r="N321" s="10">
        <f>IF($F321=0,0,IF(Исходн.данные.!$AP321="Посл.посева",0,Расчет2!AT321))</f>
        <v>0</v>
      </c>
      <c r="O321" s="10">
        <f>IF($F321=0,0,IF(Исходн.данные.!$AP321="Посл.посева",0,IF(Расчет2!AU321&lt;10,10,Расчет2!AU321)))</f>
        <v>0</v>
      </c>
      <c r="P321" s="10">
        <f>IF($F321=0,0,IF(Исходн.данные.!$AP321="Посл.посева",0,Расчет2!AV321))</f>
        <v>0</v>
      </c>
      <c r="Q321" s="10">
        <f>IF($F321=0,0,Расчет2!AW321)</f>
        <v>0</v>
      </c>
      <c r="R321" s="10">
        <f>IF($F321=0,0,Расчет2!AX321)</f>
        <v>0</v>
      </c>
      <c r="S321" s="9">
        <f>IF($F321=0,0,Расчет2!AY321)</f>
        <v>0</v>
      </c>
      <c r="T321" s="10">
        <f>IF($F321=0,0,Расчет2!AZ321)</f>
        <v>0</v>
      </c>
      <c r="U321" s="10">
        <f>IF($F321=0,0,Расчет2!BA321)</f>
        <v>0</v>
      </c>
      <c r="V321" s="10">
        <f>IF($F321=0,0,Расчет2!BB321)</f>
        <v>0</v>
      </c>
      <c r="W321" s="10">
        <f>Расчет!DL321</f>
        <v>0</v>
      </c>
      <c r="X321" s="10">
        <f>Расчет!DN321</f>
        <v>0</v>
      </c>
      <c r="Y321" s="9">
        <f>X321*Исходн.данные.!$AJ321/1000</f>
        <v>0</v>
      </c>
      <c r="Z321" s="10" t="str">
        <f>Расчет!DO321</f>
        <v>Хлор.калий</v>
      </c>
      <c r="AA321" s="10">
        <f>Расчет!DQ321</f>
        <v>0</v>
      </c>
      <c r="AB321" s="12">
        <f>AA321*Исходн.данные.!$AJ321/1000</f>
        <v>0</v>
      </c>
      <c r="AC321" s="9">
        <f>IF($F321=0,0,Расчет2!BC321)</f>
        <v>0</v>
      </c>
      <c r="AD321" s="10">
        <f>IF($F321=0,0,Расчет2!BD321)</f>
        <v>0</v>
      </c>
      <c r="AE321" s="9">
        <f>IF($F321=0,0,Расчет2!BE321)</f>
        <v>0</v>
      </c>
      <c r="AF321" s="9">
        <f>IF($F321=0,0,Расчет2!BF321)</f>
        <v>0</v>
      </c>
      <c r="AG321" s="9">
        <f>IF($F321=0,0,Расчет2!BG321)</f>
        <v>0</v>
      </c>
      <c r="AI321" s="11" t="e">
        <f>Расчет!FY321</f>
        <v>#N/A</v>
      </c>
      <c r="AJ321" s="11" t="e">
        <f>Расчет!FZ321</f>
        <v>#N/A</v>
      </c>
      <c r="AK321" s="11" t="e">
        <f>Расчет!GA321</f>
        <v>#N/A</v>
      </c>
      <c r="AL321" s="11" t="e">
        <f>Расчет!GB321</f>
        <v>#N/A</v>
      </c>
      <c r="AM321" s="11" t="e">
        <f>Расчет!GC321</f>
        <v>#N/A</v>
      </c>
      <c r="AN321" s="11" t="e">
        <f>Расчет!GD321</f>
        <v>#N/A</v>
      </c>
      <c r="AO321" s="11" t="e">
        <f>Расчет!GE321</f>
        <v>#N/A</v>
      </c>
      <c r="AP321" s="11" t="e">
        <f>Расчет!GF321</f>
        <v>#N/A</v>
      </c>
      <c r="AQ321" s="11" t="e">
        <f>Расчет!GG321</f>
        <v>#N/A</v>
      </c>
      <c r="AR321" s="11" t="e">
        <f>Расчет!GH321</f>
        <v>#N/A</v>
      </c>
      <c r="AS321" s="11" t="e">
        <f>Расчет!GI321</f>
        <v>#N/A</v>
      </c>
      <c r="AT321" s="11" t="e">
        <f>Расчет!GJ321</f>
        <v>#N/A</v>
      </c>
      <c r="AU321" s="198" t="e">
        <f t="shared" si="33"/>
        <v>#N/A</v>
      </c>
      <c r="AV321" s="198" t="e">
        <f t="shared" si="34"/>
        <v>#N/A</v>
      </c>
      <c r="AW321" s="198" t="e">
        <f t="shared" si="35"/>
        <v>#N/A</v>
      </c>
      <c r="AX321" s="11" t="e">
        <f t="shared" si="36"/>
        <v>#N/A</v>
      </c>
      <c r="AY321" s="11" t="e">
        <f t="shared" si="37"/>
        <v>#N/A</v>
      </c>
      <c r="AZ321" s="11" t="e">
        <f t="shared" si="38"/>
        <v>#N/A</v>
      </c>
    </row>
    <row r="322" spans="1:52" x14ac:dyDescent="0.2">
      <c r="A322" s="6">
        <f>Исходн.данные.!A322</f>
        <v>0</v>
      </c>
      <c r="B322" s="6">
        <f>Исходн.данные.!B322</f>
        <v>0</v>
      </c>
      <c r="C322" s="6">
        <f>Исходн.данные.!C322</f>
        <v>0</v>
      </c>
      <c r="D322" s="6">
        <f>Исходн.данные.!D322</f>
        <v>0</v>
      </c>
      <c r="E322" s="6">
        <f>Исходн.данные.!E322</f>
        <v>0</v>
      </c>
      <c r="F322" s="6">
        <f>Исходн.данные.!AH322</f>
        <v>0</v>
      </c>
      <c r="G322" s="6">
        <f>Исходн.данные.!AJ322</f>
        <v>0</v>
      </c>
      <c r="H322" s="6">
        <f>Исходн.данные.!AK322</f>
        <v>0</v>
      </c>
      <c r="I322" s="9">
        <f>IF($F322=0,0,Расчет2!AO322)</f>
        <v>0</v>
      </c>
      <c r="J322" s="9">
        <f>IF(F322=0,0,Расчет2!AP322)</f>
        <v>0</v>
      </c>
      <c r="K322" s="10">
        <f>IF($F322=0,0,Расчет2!AQ322)</f>
        <v>0</v>
      </c>
      <c r="L322" s="10">
        <f>IF($F322=0,0,Расчет2!AR322)</f>
        <v>0</v>
      </c>
      <c r="M322" s="10">
        <f>IF($F322=0,0,Расчет2!AS322)</f>
        <v>0</v>
      </c>
      <c r="N322" s="10">
        <f>IF($F322=0,0,IF(Исходн.данные.!$AP322="Посл.посева",0,Расчет2!AT322))</f>
        <v>0</v>
      </c>
      <c r="O322" s="10">
        <f>IF($F322=0,0,IF(Исходн.данные.!$AP322="Посл.посева",0,IF(Расчет2!AU322&lt;10,10,Расчет2!AU322)))</f>
        <v>0</v>
      </c>
      <c r="P322" s="10">
        <f>IF($F322=0,0,IF(Исходн.данные.!$AP322="Посл.посева",0,Расчет2!AV322))</f>
        <v>0</v>
      </c>
      <c r="Q322" s="10">
        <f>IF($F322=0,0,Расчет2!AW322)</f>
        <v>0</v>
      </c>
      <c r="R322" s="10">
        <f>IF($F322=0,0,Расчет2!AX322)</f>
        <v>0</v>
      </c>
      <c r="S322" s="9">
        <f>IF($F322=0,0,Расчет2!AY322)</f>
        <v>0</v>
      </c>
      <c r="T322" s="10">
        <f>IF($F322=0,0,Расчет2!AZ322)</f>
        <v>0</v>
      </c>
      <c r="U322" s="10">
        <f>IF($F322=0,0,Расчет2!BA322)</f>
        <v>0</v>
      </c>
      <c r="V322" s="10">
        <f>IF($F322=0,0,Расчет2!BB322)</f>
        <v>0</v>
      </c>
      <c r="W322" s="10">
        <f>Расчет!DL322</f>
        <v>0</v>
      </c>
      <c r="X322" s="10">
        <f>Расчет!DN322</f>
        <v>0</v>
      </c>
      <c r="Y322" s="9">
        <f>X322*Исходн.данные.!$AJ322/1000</f>
        <v>0</v>
      </c>
      <c r="Z322" s="10" t="str">
        <f>Расчет!DO322</f>
        <v>Хлор.калий</v>
      </c>
      <c r="AA322" s="10">
        <f>Расчет!DQ322</f>
        <v>0</v>
      </c>
      <c r="AB322" s="12">
        <f>AA322*Исходн.данные.!$AJ322/1000</f>
        <v>0</v>
      </c>
      <c r="AC322" s="9">
        <f>IF($F322=0,0,Расчет2!BC322)</f>
        <v>0</v>
      </c>
      <c r="AD322" s="10">
        <f>IF($F322=0,0,Расчет2!BD322)</f>
        <v>0</v>
      </c>
      <c r="AE322" s="9">
        <f>IF($F322=0,0,Расчет2!BE322)</f>
        <v>0</v>
      </c>
      <c r="AF322" s="9">
        <f>IF($F322=0,0,Расчет2!BF322)</f>
        <v>0</v>
      </c>
      <c r="AG322" s="9">
        <f>IF($F322=0,0,Расчет2!BG322)</f>
        <v>0</v>
      </c>
      <c r="AI322" s="11" t="e">
        <f>Расчет!FY322</f>
        <v>#N/A</v>
      </c>
      <c r="AJ322" s="11" t="e">
        <f>Расчет!FZ322</f>
        <v>#N/A</v>
      </c>
      <c r="AK322" s="11" t="e">
        <f>Расчет!GA322</f>
        <v>#N/A</v>
      </c>
      <c r="AL322" s="11" t="e">
        <f>Расчет!GB322</f>
        <v>#N/A</v>
      </c>
      <c r="AM322" s="11" t="e">
        <f>Расчет!GC322</f>
        <v>#N/A</v>
      </c>
      <c r="AN322" s="11" t="e">
        <f>Расчет!GD322</f>
        <v>#N/A</v>
      </c>
      <c r="AO322" s="11" t="e">
        <f>Расчет!GE322</f>
        <v>#N/A</v>
      </c>
      <c r="AP322" s="11" t="e">
        <f>Расчет!GF322</f>
        <v>#N/A</v>
      </c>
      <c r="AQ322" s="11" t="e">
        <f>Расчет!GG322</f>
        <v>#N/A</v>
      </c>
      <c r="AR322" s="11" t="e">
        <f>Расчет!GH322</f>
        <v>#N/A</v>
      </c>
      <c r="AS322" s="11" t="e">
        <f>Расчет!GI322</f>
        <v>#N/A</v>
      </c>
      <c r="AT322" s="11" t="e">
        <f>Расчет!GJ322</f>
        <v>#N/A</v>
      </c>
      <c r="AU322" s="198" t="e">
        <f t="shared" si="33"/>
        <v>#N/A</v>
      </c>
      <c r="AV322" s="198" t="e">
        <f t="shared" si="34"/>
        <v>#N/A</v>
      </c>
      <c r="AW322" s="198" t="e">
        <f t="shared" si="35"/>
        <v>#N/A</v>
      </c>
      <c r="AX322" s="11" t="e">
        <f t="shared" si="36"/>
        <v>#N/A</v>
      </c>
      <c r="AY322" s="11" t="e">
        <f t="shared" si="37"/>
        <v>#N/A</v>
      </c>
      <c r="AZ322" s="11" t="e">
        <f t="shared" si="38"/>
        <v>#N/A</v>
      </c>
    </row>
    <row r="323" spans="1:52" x14ac:dyDescent="0.2">
      <c r="A323" s="6">
        <f>Исходн.данные.!A323</f>
        <v>0</v>
      </c>
      <c r="B323" s="6">
        <f>Исходн.данные.!B323</f>
        <v>0</v>
      </c>
      <c r="C323" s="6">
        <f>Исходн.данные.!C323</f>
        <v>0</v>
      </c>
      <c r="D323" s="6">
        <f>Исходн.данные.!D323</f>
        <v>0</v>
      </c>
      <c r="E323" s="6">
        <f>Исходн.данные.!E323</f>
        <v>0</v>
      </c>
      <c r="F323" s="6">
        <f>Исходн.данные.!AH323</f>
        <v>0</v>
      </c>
      <c r="G323" s="6">
        <f>Исходн.данные.!AJ323</f>
        <v>0</v>
      </c>
      <c r="H323" s="6">
        <f>Исходн.данные.!AK323</f>
        <v>0</v>
      </c>
      <c r="I323" s="9">
        <f>IF($F323=0,0,Расчет2!AO323)</f>
        <v>0</v>
      </c>
      <c r="J323" s="9">
        <f>IF(F323=0,0,Расчет2!AP323)</f>
        <v>0</v>
      </c>
      <c r="K323" s="10">
        <f>IF($F323=0,0,Расчет2!AQ323)</f>
        <v>0</v>
      </c>
      <c r="L323" s="10">
        <f>IF($F323=0,0,Расчет2!AR323)</f>
        <v>0</v>
      </c>
      <c r="M323" s="10">
        <f>IF($F323=0,0,Расчет2!AS323)</f>
        <v>0</v>
      </c>
      <c r="N323" s="10">
        <f>IF($F323=0,0,IF(Исходн.данные.!$AP323="Посл.посева",0,Расчет2!AT323))</f>
        <v>0</v>
      </c>
      <c r="O323" s="10">
        <f>IF($F323=0,0,IF(Исходн.данные.!$AP323="Посл.посева",0,IF(Расчет2!AU323&lt;10,10,Расчет2!AU323)))</f>
        <v>0</v>
      </c>
      <c r="P323" s="10">
        <f>IF($F323=0,0,IF(Исходн.данные.!$AP323="Посл.посева",0,Расчет2!AV323))</f>
        <v>0</v>
      </c>
      <c r="Q323" s="10">
        <f>IF($F323=0,0,Расчет2!AW323)</f>
        <v>0</v>
      </c>
      <c r="R323" s="10">
        <f>IF($F323=0,0,Расчет2!AX323)</f>
        <v>0</v>
      </c>
      <c r="S323" s="9">
        <f>IF($F323=0,0,Расчет2!AY323)</f>
        <v>0</v>
      </c>
      <c r="T323" s="10">
        <f>IF($F323=0,0,Расчет2!AZ323)</f>
        <v>0</v>
      </c>
      <c r="U323" s="10">
        <f>IF($F323=0,0,Расчет2!BA323)</f>
        <v>0</v>
      </c>
      <c r="V323" s="10">
        <f>IF($F323=0,0,Расчет2!BB323)</f>
        <v>0</v>
      </c>
      <c r="W323" s="10">
        <f>Расчет!DL323</f>
        <v>0</v>
      </c>
      <c r="X323" s="10">
        <f>Расчет!DN323</f>
        <v>0</v>
      </c>
      <c r="Y323" s="9">
        <f>X323*Исходн.данные.!$AJ323/1000</f>
        <v>0</v>
      </c>
      <c r="Z323" s="10" t="str">
        <f>Расчет!DO323</f>
        <v>Хлор.калий</v>
      </c>
      <c r="AA323" s="10">
        <f>Расчет!DQ323</f>
        <v>0</v>
      </c>
      <c r="AB323" s="12">
        <f>AA323*Исходн.данные.!$AJ323/1000</f>
        <v>0</v>
      </c>
      <c r="AC323" s="9">
        <f>IF($F323=0,0,Расчет2!BC323)</f>
        <v>0</v>
      </c>
      <c r="AD323" s="10">
        <f>IF($F323=0,0,Расчет2!BD323)</f>
        <v>0</v>
      </c>
      <c r="AE323" s="9">
        <f>IF($F323=0,0,Расчет2!BE323)</f>
        <v>0</v>
      </c>
      <c r="AF323" s="9">
        <f>IF($F323=0,0,Расчет2!BF323)</f>
        <v>0</v>
      </c>
      <c r="AG323" s="9">
        <f>IF($F323=0,0,Расчет2!BG323)</f>
        <v>0</v>
      </c>
      <c r="AI323" s="11" t="e">
        <f>Расчет!FY323</f>
        <v>#N/A</v>
      </c>
      <c r="AJ323" s="11" t="e">
        <f>Расчет!FZ323</f>
        <v>#N/A</v>
      </c>
      <c r="AK323" s="11" t="e">
        <f>Расчет!GA323</f>
        <v>#N/A</v>
      </c>
      <c r="AL323" s="11" t="e">
        <f>Расчет!GB323</f>
        <v>#N/A</v>
      </c>
      <c r="AM323" s="11" t="e">
        <f>Расчет!GC323</f>
        <v>#N/A</v>
      </c>
      <c r="AN323" s="11" t="e">
        <f>Расчет!GD323</f>
        <v>#N/A</v>
      </c>
      <c r="AO323" s="11" t="e">
        <f>Расчет!GE323</f>
        <v>#N/A</v>
      </c>
      <c r="AP323" s="11" t="e">
        <f>Расчет!GF323</f>
        <v>#N/A</v>
      </c>
      <c r="AQ323" s="11" t="e">
        <f>Расчет!GG323</f>
        <v>#N/A</v>
      </c>
      <c r="AR323" s="11" t="e">
        <f>Расчет!GH323</f>
        <v>#N/A</v>
      </c>
      <c r="AS323" s="11" t="e">
        <f>Расчет!GI323</f>
        <v>#N/A</v>
      </c>
      <c r="AT323" s="11" t="e">
        <f>Расчет!GJ323</f>
        <v>#N/A</v>
      </c>
      <c r="AU323" s="198" t="e">
        <f t="shared" si="33"/>
        <v>#N/A</v>
      </c>
      <c r="AV323" s="198" t="e">
        <f t="shared" si="34"/>
        <v>#N/A</v>
      </c>
      <c r="AW323" s="198" t="e">
        <f t="shared" si="35"/>
        <v>#N/A</v>
      </c>
      <c r="AX323" s="11" t="e">
        <f t="shared" si="36"/>
        <v>#N/A</v>
      </c>
      <c r="AY323" s="11" t="e">
        <f t="shared" si="37"/>
        <v>#N/A</v>
      </c>
      <c r="AZ323" s="11" t="e">
        <f t="shared" si="38"/>
        <v>#N/A</v>
      </c>
    </row>
    <row r="324" spans="1:52" x14ac:dyDescent="0.2">
      <c r="A324" s="6">
        <f>Исходн.данные.!A324</f>
        <v>0</v>
      </c>
      <c r="B324" s="6">
        <f>Исходн.данные.!B324</f>
        <v>0</v>
      </c>
      <c r="C324" s="6">
        <f>Исходн.данные.!C324</f>
        <v>0</v>
      </c>
      <c r="D324" s="6">
        <f>Исходн.данные.!D324</f>
        <v>0</v>
      </c>
      <c r="E324" s="6">
        <f>Исходн.данные.!E324</f>
        <v>0</v>
      </c>
      <c r="F324" s="6">
        <f>Исходн.данные.!AH324</f>
        <v>0</v>
      </c>
      <c r="G324" s="6">
        <f>Исходн.данные.!AJ324</f>
        <v>0</v>
      </c>
      <c r="H324" s="6">
        <f>Исходн.данные.!AK324</f>
        <v>0</v>
      </c>
      <c r="I324" s="9">
        <f>IF($F324=0,0,Расчет2!AO324)</f>
        <v>0</v>
      </c>
      <c r="J324" s="9">
        <f>IF(F324=0,0,Расчет2!AP324)</f>
        <v>0</v>
      </c>
      <c r="K324" s="10">
        <f>IF($F324=0,0,Расчет2!AQ324)</f>
        <v>0</v>
      </c>
      <c r="L324" s="10">
        <f>IF($F324=0,0,Расчет2!AR324)</f>
        <v>0</v>
      </c>
      <c r="M324" s="10">
        <f>IF($F324=0,0,Расчет2!AS324)</f>
        <v>0</v>
      </c>
      <c r="N324" s="10">
        <f>IF($F324=0,0,IF(Исходн.данные.!$AP324="Посл.посева",0,Расчет2!AT324))</f>
        <v>0</v>
      </c>
      <c r="O324" s="10">
        <f>IF($F324=0,0,IF(Исходн.данные.!$AP324="Посл.посева",0,IF(Расчет2!AU324&lt;10,10,Расчет2!AU324)))</f>
        <v>0</v>
      </c>
      <c r="P324" s="10">
        <f>IF($F324=0,0,IF(Исходн.данные.!$AP324="Посл.посева",0,Расчет2!AV324))</f>
        <v>0</v>
      </c>
      <c r="Q324" s="10">
        <f>IF($F324=0,0,Расчет2!AW324)</f>
        <v>0</v>
      </c>
      <c r="R324" s="10">
        <f>IF($F324=0,0,Расчет2!AX324)</f>
        <v>0</v>
      </c>
      <c r="S324" s="9">
        <f>IF($F324=0,0,Расчет2!AY324)</f>
        <v>0</v>
      </c>
      <c r="T324" s="10">
        <f>IF($F324=0,0,Расчет2!AZ324)</f>
        <v>0</v>
      </c>
      <c r="U324" s="10">
        <f>IF($F324=0,0,Расчет2!BA324)</f>
        <v>0</v>
      </c>
      <c r="V324" s="10">
        <f>IF($F324=0,0,Расчет2!BB324)</f>
        <v>0</v>
      </c>
      <c r="W324" s="10">
        <f>Расчет!DL324</f>
        <v>0</v>
      </c>
      <c r="X324" s="10">
        <f>Расчет!DN324</f>
        <v>0</v>
      </c>
      <c r="Y324" s="9">
        <f>X324*Исходн.данные.!$AJ324/1000</f>
        <v>0</v>
      </c>
      <c r="Z324" s="10" t="str">
        <f>Расчет!DO324</f>
        <v>Хлор.калий</v>
      </c>
      <c r="AA324" s="10">
        <f>Расчет!DQ324</f>
        <v>0</v>
      </c>
      <c r="AB324" s="12">
        <f>AA324*Исходн.данные.!$AJ324/1000</f>
        <v>0</v>
      </c>
      <c r="AC324" s="9">
        <f>IF($F324=0,0,Расчет2!BC324)</f>
        <v>0</v>
      </c>
      <c r="AD324" s="10">
        <f>IF($F324=0,0,Расчет2!BD324)</f>
        <v>0</v>
      </c>
      <c r="AE324" s="9">
        <f>IF($F324=0,0,Расчет2!BE324)</f>
        <v>0</v>
      </c>
      <c r="AF324" s="9">
        <f>IF($F324=0,0,Расчет2!BF324)</f>
        <v>0</v>
      </c>
      <c r="AG324" s="9">
        <f>IF($F324=0,0,Расчет2!BG324)</f>
        <v>0</v>
      </c>
      <c r="AI324" s="11" t="e">
        <f>Расчет!FY324</f>
        <v>#N/A</v>
      </c>
      <c r="AJ324" s="11" t="e">
        <f>Расчет!FZ324</f>
        <v>#N/A</v>
      </c>
      <c r="AK324" s="11" t="e">
        <f>Расчет!GA324</f>
        <v>#N/A</v>
      </c>
      <c r="AL324" s="11" t="e">
        <f>Расчет!GB324</f>
        <v>#N/A</v>
      </c>
      <c r="AM324" s="11" t="e">
        <f>Расчет!GC324</f>
        <v>#N/A</v>
      </c>
      <c r="AN324" s="11" t="e">
        <f>Расчет!GD324</f>
        <v>#N/A</v>
      </c>
      <c r="AO324" s="11" t="e">
        <f>Расчет!GE324</f>
        <v>#N/A</v>
      </c>
      <c r="AP324" s="11" t="e">
        <f>Расчет!GF324</f>
        <v>#N/A</v>
      </c>
      <c r="AQ324" s="11" t="e">
        <f>Расчет!GG324</f>
        <v>#N/A</v>
      </c>
      <c r="AR324" s="11" t="e">
        <f>Расчет!GH324</f>
        <v>#N/A</v>
      </c>
      <c r="AS324" s="11" t="e">
        <f>Расчет!GI324</f>
        <v>#N/A</v>
      </c>
      <c r="AT324" s="11" t="e">
        <f>Расчет!GJ324</f>
        <v>#N/A</v>
      </c>
      <c r="AU324" s="198" t="e">
        <f t="shared" si="33"/>
        <v>#N/A</v>
      </c>
      <c r="AV324" s="198" t="e">
        <f t="shared" si="34"/>
        <v>#N/A</v>
      </c>
      <c r="AW324" s="198" t="e">
        <f t="shared" si="35"/>
        <v>#N/A</v>
      </c>
      <c r="AX324" s="11" t="e">
        <f t="shared" si="36"/>
        <v>#N/A</v>
      </c>
      <c r="AY324" s="11" t="e">
        <f t="shared" si="37"/>
        <v>#N/A</v>
      </c>
      <c r="AZ324" s="11" t="e">
        <f t="shared" si="38"/>
        <v>#N/A</v>
      </c>
    </row>
    <row r="325" spans="1:52" x14ac:dyDescent="0.2">
      <c r="A325" s="6">
        <f>Исходн.данные.!A325</f>
        <v>0</v>
      </c>
      <c r="B325" s="6">
        <f>Исходн.данные.!B325</f>
        <v>0</v>
      </c>
      <c r="C325" s="6">
        <f>Исходн.данные.!C325</f>
        <v>0</v>
      </c>
      <c r="D325" s="6">
        <f>Исходн.данные.!D325</f>
        <v>0</v>
      </c>
      <c r="E325" s="6">
        <f>Исходн.данные.!E325</f>
        <v>0</v>
      </c>
      <c r="F325" s="6">
        <f>Исходн.данные.!AH325</f>
        <v>0</v>
      </c>
      <c r="G325" s="6">
        <f>Исходн.данные.!AJ325</f>
        <v>0</v>
      </c>
      <c r="H325" s="6">
        <f>Исходн.данные.!AK325</f>
        <v>0</v>
      </c>
      <c r="I325" s="9">
        <f>IF($F325=0,0,Расчет2!AO325)</f>
        <v>0</v>
      </c>
      <c r="J325" s="9">
        <f>IF(F325=0,0,Расчет2!AP325)</f>
        <v>0</v>
      </c>
      <c r="K325" s="10">
        <f>IF($F325=0,0,Расчет2!AQ325)</f>
        <v>0</v>
      </c>
      <c r="L325" s="10">
        <f>IF($F325=0,0,Расчет2!AR325)</f>
        <v>0</v>
      </c>
      <c r="M325" s="10">
        <f>IF($F325=0,0,Расчет2!AS325)</f>
        <v>0</v>
      </c>
      <c r="N325" s="10">
        <f>IF($F325=0,0,IF(Исходн.данные.!$AP325="Посл.посева",0,Расчет2!AT325))</f>
        <v>0</v>
      </c>
      <c r="O325" s="10">
        <f>IF($F325=0,0,IF(Исходн.данные.!$AP325="Посл.посева",0,IF(Расчет2!AU325&lt;10,10,Расчет2!AU325)))</f>
        <v>0</v>
      </c>
      <c r="P325" s="10">
        <f>IF($F325=0,0,IF(Исходн.данные.!$AP325="Посл.посева",0,Расчет2!AV325))</f>
        <v>0</v>
      </c>
      <c r="Q325" s="10">
        <f>IF($F325=0,0,Расчет2!AW325)</f>
        <v>0</v>
      </c>
      <c r="R325" s="10">
        <f>IF($F325=0,0,Расчет2!AX325)</f>
        <v>0</v>
      </c>
      <c r="S325" s="9">
        <f>IF($F325=0,0,Расчет2!AY325)</f>
        <v>0</v>
      </c>
      <c r="T325" s="10">
        <f>IF($F325=0,0,Расчет2!AZ325)</f>
        <v>0</v>
      </c>
      <c r="U325" s="10">
        <f>IF($F325=0,0,Расчет2!BA325)</f>
        <v>0</v>
      </c>
      <c r="V325" s="10">
        <f>IF($F325=0,0,Расчет2!BB325)</f>
        <v>0</v>
      </c>
      <c r="W325" s="10">
        <f>Расчет!DL325</f>
        <v>0</v>
      </c>
      <c r="X325" s="10">
        <f>Расчет!DN325</f>
        <v>0</v>
      </c>
      <c r="Y325" s="9">
        <f>X325*Исходн.данные.!$AJ325/1000</f>
        <v>0</v>
      </c>
      <c r="Z325" s="10" t="str">
        <f>Расчет!DO325</f>
        <v>Хлор.калий</v>
      </c>
      <c r="AA325" s="10">
        <f>Расчет!DQ325</f>
        <v>0</v>
      </c>
      <c r="AB325" s="12">
        <f>AA325*Исходн.данные.!$AJ325/1000</f>
        <v>0</v>
      </c>
      <c r="AC325" s="9">
        <f>IF($F325=0,0,Расчет2!BC325)</f>
        <v>0</v>
      </c>
      <c r="AD325" s="10">
        <f>IF($F325=0,0,Расчет2!BD325)</f>
        <v>0</v>
      </c>
      <c r="AE325" s="9">
        <f>IF($F325=0,0,Расчет2!BE325)</f>
        <v>0</v>
      </c>
      <c r="AF325" s="9">
        <f>IF($F325=0,0,Расчет2!BF325)</f>
        <v>0</v>
      </c>
      <c r="AG325" s="9">
        <f>IF($F325=0,0,Расчет2!BG325)</f>
        <v>0</v>
      </c>
      <c r="AI325" s="11" t="e">
        <f>Расчет!FY325</f>
        <v>#N/A</v>
      </c>
      <c r="AJ325" s="11" t="e">
        <f>Расчет!FZ325</f>
        <v>#N/A</v>
      </c>
      <c r="AK325" s="11" t="e">
        <f>Расчет!GA325</f>
        <v>#N/A</v>
      </c>
      <c r="AL325" s="11" t="e">
        <f>Расчет!GB325</f>
        <v>#N/A</v>
      </c>
      <c r="AM325" s="11" t="e">
        <f>Расчет!GC325</f>
        <v>#N/A</v>
      </c>
      <c r="AN325" s="11" t="e">
        <f>Расчет!GD325</f>
        <v>#N/A</v>
      </c>
      <c r="AO325" s="11" t="e">
        <f>Расчет!GE325</f>
        <v>#N/A</v>
      </c>
      <c r="AP325" s="11" t="e">
        <f>Расчет!GF325</f>
        <v>#N/A</v>
      </c>
      <c r="AQ325" s="11" t="e">
        <f>Расчет!GG325</f>
        <v>#N/A</v>
      </c>
      <c r="AR325" s="11" t="e">
        <f>Расчет!GH325</f>
        <v>#N/A</v>
      </c>
      <c r="AS325" s="11" t="e">
        <f>Расчет!GI325</f>
        <v>#N/A</v>
      </c>
      <c r="AT325" s="11" t="e">
        <f>Расчет!GJ325</f>
        <v>#N/A</v>
      </c>
      <c r="AU325" s="198" t="e">
        <f t="shared" si="33"/>
        <v>#N/A</v>
      </c>
      <c r="AV325" s="198" t="e">
        <f t="shared" si="34"/>
        <v>#N/A</v>
      </c>
      <c r="AW325" s="198" t="e">
        <f t="shared" si="35"/>
        <v>#N/A</v>
      </c>
      <c r="AX325" s="11" t="e">
        <f t="shared" si="36"/>
        <v>#N/A</v>
      </c>
      <c r="AY325" s="11" t="e">
        <f t="shared" si="37"/>
        <v>#N/A</v>
      </c>
      <c r="AZ325" s="11" t="e">
        <f t="shared" si="38"/>
        <v>#N/A</v>
      </c>
    </row>
    <row r="326" spans="1:52" x14ac:dyDescent="0.2">
      <c r="A326" s="6">
        <f>Исходн.данные.!A326</f>
        <v>0</v>
      </c>
      <c r="B326" s="6">
        <f>Исходн.данные.!B326</f>
        <v>0</v>
      </c>
      <c r="C326" s="6">
        <f>Исходн.данные.!C326</f>
        <v>0</v>
      </c>
      <c r="D326" s="6">
        <f>Исходн.данные.!D326</f>
        <v>0</v>
      </c>
      <c r="E326" s="6">
        <f>Исходн.данные.!E326</f>
        <v>0</v>
      </c>
      <c r="F326" s="6">
        <f>Исходн.данные.!AH326</f>
        <v>0</v>
      </c>
      <c r="G326" s="6">
        <f>Исходн.данные.!AJ326</f>
        <v>0</v>
      </c>
      <c r="H326" s="6">
        <f>Исходн.данные.!AK326</f>
        <v>0</v>
      </c>
      <c r="I326" s="9">
        <f>IF($F326=0,0,Расчет2!AO326)</f>
        <v>0</v>
      </c>
      <c r="J326" s="9">
        <f>IF(F326=0,0,Расчет2!AP326)</f>
        <v>0</v>
      </c>
      <c r="K326" s="10">
        <f>IF($F326=0,0,Расчет2!AQ326)</f>
        <v>0</v>
      </c>
      <c r="L326" s="10">
        <f>IF($F326=0,0,Расчет2!AR326)</f>
        <v>0</v>
      </c>
      <c r="M326" s="10">
        <f>IF($F326=0,0,Расчет2!AS326)</f>
        <v>0</v>
      </c>
      <c r="N326" s="10">
        <f>IF($F326=0,0,IF(Исходн.данные.!$AP326="Посл.посева",0,Расчет2!AT326))</f>
        <v>0</v>
      </c>
      <c r="O326" s="10">
        <f>IF($F326=0,0,IF(Исходн.данные.!$AP326="Посл.посева",0,IF(Расчет2!AU326&lt;10,10,Расчет2!AU326)))</f>
        <v>0</v>
      </c>
      <c r="P326" s="10">
        <f>IF($F326=0,0,IF(Исходн.данные.!$AP326="Посл.посева",0,Расчет2!AV326))</f>
        <v>0</v>
      </c>
      <c r="Q326" s="10">
        <f>IF($F326=0,0,Расчет2!AW326)</f>
        <v>0</v>
      </c>
      <c r="R326" s="10">
        <f>IF($F326=0,0,Расчет2!AX326)</f>
        <v>0</v>
      </c>
      <c r="S326" s="9">
        <f>IF($F326=0,0,Расчет2!AY326)</f>
        <v>0</v>
      </c>
      <c r="T326" s="10">
        <f>IF($F326=0,0,Расчет2!AZ326)</f>
        <v>0</v>
      </c>
      <c r="U326" s="10">
        <f>IF($F326=0,0,Расчет2!BA326)</f>
        <v>0</v>
      </c>
      <c r="V326" s="10">
        <f>IF($F326=0,0,Расчет2!BB326)</f>
        <v>0</v>
      </c>
      <c r="W326" s="10">
        <f>Расчет!DL326</f>
        <v>0</v>
      </c>
      <c r="X326" s="10">
        <f>Расчет!DN326</f>
        <v>0</v>
      </c>
      <c r="Y326" s="9">
        <f>X326*Исходн.данные.!$AJ326/1000</f>
        <v>0</v>
      </c>
      <c r="Z326" s="10" t="str">
        <f>Расчет!DO326</f>
        <v>Хлор.калий</v>
      </c>
      <c r="AA326" s="10">
        <f>Расчет!DQ326</f>
        <v>0</v>
      </c>
      <c r="AB326" s="12">
        <f>AA326*Исходн.данные.!$AJ326/1000</f>
        <v>0</v>
      </c>
      <c r="AC326" s="9">
        <f>IF($F326=0,0,Расчет2!BC326)</f>
        <v>0</v>
      </c>
      <c r="AD326" s="10">
        <f>IF($F326=0,0,Расчет2!BD326)</f>
        <v>0</v>
      </c>
      <c r="AE326" s="9">
        <f>IF($F326=0,0,Расчет2!BE326)</f>
        <v>0</v>
      </c>
      <c r="AF326" s="9">
        <f>IF($F326=0,0,Расчет2!BF326)</f>
        <v>0</v>
      </c>
      <c r="AG326" s="9">
        <f>IF($F326=0,0,Расчет2!BG326)</f>
        <v>0</v>
      </c>
      <c r="AI326" s="11" t="e">
        <f>Расчет!FY326</f>
        <v>#N/A</v>
      </c>
      <c r="AJ326" s="11" t="e">
        <f>Расчет!FZ326</f>
        <v>#N/A</v>
      </c>
      <c r="AK326" s="11" t="e">
        <f>Расчет!GA326</f>
        <v>#N/A</v>
      </c>
      <c r="AL326" s="11" t="e">
        <f>Расчет!GB326</f>
        <v>#N/A</v>
      </c>
      <c r="AM326" s="11" t="e">
        <f>Расчет!GC326</f>
        <v>#N/A</v>
      </c>
      <c r="AN326" s="11" t="e">
        <f>Расчет!GD326</f>
        <v>#N/A</v>
      </c>
      <c r="AO326" s="11" t="e">
        <f>Расчет!GE326</f>
        <v>#N/A</v>
      </c>
      <c r="AP326" s="11" t="e">
        <f>Расчет!GF326</f>
        <v>#N/A</v>
      </c>
      <c r="AQ326" s="11" t="e">
        <f>Расчет!GG326</f>
        <v>#N/A</v>
      </c>
      <c r="AR326" s="11" t="e">
        <f>Расчет!GH326</f>
        <v>#N/A</v>
      </c>
      <c r="AS326" s="11" t="e">
        <f>Расчет!GI326</f>
        <v>#N/A</v>
      </c>
      <c r="AT326" s="11" t="e">
        <f>Расчет!GJ326</f>
        <v>#N/A</v>
      </c>
      <c r="AU326" s="198" t="e">
        <f t="shared" si="33"/>
        <v>#N/A</v>
      </c>
      <c r="AV326" s="198" t="e">
        <f t="shared" si="34"/>
        <v>#N/A</v>
      </c>
      <c r="AW326" s="198" t="e">
        <f t="shared" si="35"/>
        <v>#N/A</v>
      </c>
      <c r="AX326" s="11" t="e">
        <f t="shared" si="36"/>
        <v>#N/A</v>
      </c>
      <c r="AY326" s="11" t="e">
        <f t="shared" si="37"/>
        <v>#N/A</v>
      </c>
      <c r="AZ326" s="11" t="e">
        <f t="shared" si="38"/>
        <v>#N/A</v>
      </c>
    </row>
    <row r="327" spans="1:52" x14ac:dyDescent="0.2">
      <c r="A327" s="6">
        <f>Исходн.данные.!A327</f>
        <v>0</v>
      </c>
      <c r="B327" s="6">
        <f>Исходн.данные.!B327</f>
        <v>0</v>
      </c>
      <c r="C327" s="6">
        <f>Исходн.данные.!C327</f>
        <v>0</v>
      </c>
      <c r="D327" s="6">
        <f>Исходн.данные.!D327</f>
        <v>0</v>
      </c>
      <c r="E327" s="6">
        <f>Исходн.данные.!E327</f>
        <v>0</v>
      </c>
      <c r="F327" s="6">
        <f>Исходн.данные.!AH327</f>
        <v>0</v>
      </c>
      <c r="G327" s="6">
        <f>Исходн.данные.!AJ327</f>
        <v>0</v>
      </c>
      <c r="H327" s="6">
        <f>Исходн.данные.!AK327</f>
        <v>0</v>
      </c>
      <c r="I327" s="9">
        <f>IF($F327=0,0,Расчет2!AO327)</f>
        <v>0</v>
      </c>
      <c r="J327" s="9">
        <f>IF(F327=0,0,Расчет2!AP327)</f>
        <v>0</v>
      </c>
      <c r="K327" s="10">
        <f>IF($F327=0,0,Расчет2!AQ327)</f>
        <v>0</v>
      </c>
      <c r="L327" s="10">
        <f>IF($F327=0,0,Расчет2!AR327)</f>
        <v>0</v>
      </c>
      <c r="M327" s="10">
        <f>IF($F327=0,0,Расчет2!AS327)</f>
        <v>0</v>
      </c>
      <c r="N327" s="10">
        <f>IF($F327=0,0,IF(Исходн.данные.!$AP327="Посл.посева",0,Расчет2!AT327))</f>
        <v>0</v>
      </c>
      <c r="O327" s="10">
        <f>IF($F327=0,0,IF(Исходн.данные.!$AP327="Посл.посева",0,IF(Расчет2!AU327&lt;10,10,Расчет2!AU327)))</f>
        <v>0</v>
      </c>
      <c r="P327" s="10">
        <f>IF($F327=0,0,IF(Исходн.данные.!$AP327="Посл.посева",0,Расчет2!AV327))</f>
        <v>0</v>
      </c>
      <c r="Q327" s="10">
        <f>IF($F327=0,0,Расчет2!AW327)</f>
        <v>0</v>
      </c>
      <c r="R327" s="10">
        <f>IF($F327=0,0,Расчет2!AX327)</f>
        <v>0</v>
      </c>
      <c r="S327" s="9">
        <f>IF($F327=0,0,Расчет2!AY327)</f>
        <v>0</v>
      </c>
      <c r="T327" s="10">
        <f>IF($F327=0,0,Расчет2!AZ327)</f>
        <v>0</v>
      </c>
      <c r="U327" s="10">
        <f>IF($F327=0,0,Расчет2!BA327)</f>
        <v>0</v>
      </c>
      <c r="V327" s="10">
        <f>IF($F327=0,0,Расчет2!BB327)</f>
        <v>0</v>
      </c>
      <c r="W327" s="10">
        <f>Расчет!DL327</f>
        <v>0</v>
      </c>
      <c r="X327" s="10">
        <f>Расчет!DN327</f>
        <v>0</v>
      </c>
      <c r="Y327" s="9">
        <f>X327*Исходн.данные.!$AJ327/1000</f>
        <v>0</v>
      </c>
      <c r="Z327" s="10" t="str">
        <f>Расчет!DO327</f>
        <v>Хлор.калий</v>
      </c>
      <c r="AA327" s="10">
        <f>Расчет!DQ327</f>
        <v>0</v>
      </c>
      <c r="AB327" s="12">
        <f>AA327*Исходн.данные.!$AJ327/1000</f>
        <v>0</v>
      </c>
      <c r="AC327" s="9">
        <f>IF($F327=0,0,Расчет2!BC327)</f>
        <v>0</v>
      </c>
      <c r="AD327" s="10">
        <f>IF($F327=0,0,Расчет2!BD327)</f>
        <v>0</v>
      </c>
      <c r="AE327" s="9">
        <f>IF($F327=0,0,Расчет2!BE327)</f>
        <v>0</v>
      </c>
      <c r="AF327" s="9">
        <f>IF($F327=0,0,Расчет2!BF327)</f>
        <v>0</v>
      </c>
      <c r="AG327" s="9">
        <f>IF($F327=0,0,Расчет2!BG327)</f>
        <v>0</v>
      </c>
      <c r="AI327" s="11" t="e">
        <f>Расчет!FY327</f>
        <v>#N/A</v>
      </c>
      <c r="AJ327" s="11" t="e">
        <f>Расчет!FZ327</f>
        <v>#N/A</v>
      </c>
      <c r="AK327" s="11" t="e">
        <f>Расчет!GA327</f>
        <v>#N/A</v>
      </c>
      <c r="AL327" s="11" t="e">
        <f>Расчет!GB327</f>
        <v>#N/A</v>
      </c>
      <c r="AM327" s="11" t="e">
        <f>Расчет!GC327</f>
        <v>#N/A</v>
      </c>
      <c r="AN327" s="11" t="e">
        <f>Расчет!GD327</f>
        <v>#N/A</v>
      </c>
      <c r="AO327" s="11" t="e">
        <f>Расчет!GE327</f>
        <v>#N/A</v>
      </c>
      <c r="AP327" s="11" t="e">
        <f>Расчет!GF327</f>
        <v>#N/A</v>
      </c>
      <c r="AQ327" s="11" t="e">
        <f>Расчет!GG327</f>
        <v>#N/A</v>
      </c>
      <c r="AR327" s="11" t="e">
        <f>Расчет!GH327</f>
        <v>#N/A</v>
      </c>
      <c r="AS327" s="11" t="e">
        <f>Расчет!GI327</f>
        <v>#N/A</v>
      </c>
      <c r="AT327" s="11" t="e">
        <f>Расчет!GJ327</f>
        <v>#N/A</v>
      </c>
      <c r="AU327" s="198" t="e">
        <f t="shared" si="33"/>
        <v>#N/A</v>
      </c>
      <c r="AV327" s="198" t="e">
        <f t="shared" si="34"/>
        <v>#N/A</v>
      </c>
      <c r="AW327" s="198" t="e">
        <f t="shared" si="35"/>
        <v>#N/A</v>
      </c>
      <c r="AX327" s="11" t="e">
        <f t="shared" si="36"/>
        <v>#N/A</v>
      </c>
      <c r="AY327" s="11" t="e">
        <f t="shared" si="37"/>
        <v>#N/A</v>
      </c>
      <c r="AZ327" s="11" t="e">
        <f t="shared" si="38"/>
        <v>#N/A</v>
      </c>
    </row>
    <row r="328" spans="1:52" x14ac:dyDescent="0.2">
      <c r="A328" s="6">
        <f>Исходн.данные.!A328</f>
        <v>0</v>
      </c>
      <c r="B328" s="6">
        <f>Исходн.данные.!B328</f>
        <v>0</v>
      </c>
      <c r="C328" s="6">
        <f>Исходн.данные.!C328</f>
        <v>0</v>
      </c>
      <c r="D328" s="6">
        <f>Исходн.данные.!D328</f>
        <v>0</v>
      </c>
      <c r="E328" s="6">
        <f>Исходн.данные.!E328</f>
        <v>0</v>
      </c>
      <c r="F328" s="6">
        <f>Исходн.данные.!AH328</f>
        <v>0</v>
      </c>
      <c r="G328" s="6">
        <f>Исходн.данные.!AJ328</f>
        <v>0</v>
      </c>
      <c r="H328" s="6">
        <f>Исходн.данные.!AK328</f>
        <v>0</v>
      </c>
      <c r="I328" s="9">
        <f>IF($F328=0,0,Расчет2!AO328)</f>
        <v>0</v>
      </c>
      <c r="J328" s="9">
        <f>IF(F328=0,0,Расчет2!AP328)</f>
        <v>0</v>
      </c>
      <c r="K328" s="10">
        <f>IF($F328=0,0,Расчет2!AQ328)</f>
        <v>0</v>
      </c>
      <c r="L328" s="10">
        <f>IF($F328=0,0,Расчет2!AR328)</f>
        <v>0</v>
      </c>
      <c r="M328" s="10">
        <f>IF($F328=0,0,Расчет2!AS328)</f>
        <v>0</v>
      </c>
      <c r="N328" s="10">
        <f>IF($F328=0,0,IF(Исходн.данные.!$AP328="Посл.посева",0,Расчет2!AT328))</f>
        <v>0</v>
      </c>
      <c r="O328" s="10">
        <f>IF($F328=0,0,IF(Исходн.данные.!$AP328="Посл.посева",0,IF(Расчет2!AU328&lt;10,10,Расчет2!AU328)))</f>
        <v>0</v>
      </c>
      <c r="P328" s="10">
        <f>IF($F328=0,0,IF(Исходн.данные.!$AP328="Посл.посева",0,Расчет2!AV328))</f>
        <v>0</v>
      </c>
      <c r="Q328" s="10">
        <f>IF($F328=0,0,Расчет2!AW328)</f>
        <v>0</v>
      </c>
      <c r="R328" s="10">
        <f>IF($F328=0,0,Расчет2!AX328)</f>
        <v>0</v>
      </c>
      <c r="S328" s="9">
        <f>IF($F328=0,0,Расчет2!AY328)</f>
        <v>0</v>
      </c>
      <c r="T328" s="10">
        <f>IF($F328=0,0,Расчет2!AZ328)</f>
        <v>0</v>
      </c>
      <c r="U328" s="10">
        <f>IF($F328=0,0,Расчет2!BA328)</f>
        <v>0</v>
      </c>
      <c r="V328" s="10">
        <f>IF($F328=0,0,Расчет2!BB328)</f>
        <v>0</v>
      </c>
      <c r="W328" s="10">
        <f>Расчет!DL328</f>
        <v>0</v>
      </c>
      <c r="X328" s="10">
        <f>Расчет!DN328</f>
        <v>0</v>
      </c>
      <c r="Y328" s="9">
        <f>X328*Исходн.данные.!$AJ328/1000</f>
        <v>0</v>
      </c>
      <c r="Z328" s="10" t="str">
        <f>Расчет!DO328</f>
        <v>Хлор.калий</v>
      </c>
      <c r="AA328" s="10">
        <f>Расчет!DQ328</f>
        <v>0</v>
      </c>
      <c r="AB328" s="12">
        <f>AA328*Исходн.данные.!$AJ328/1000</f>
        <v>0</v>
      </c>
      <c r="AC328" s="9">
        <f>IF($F328=0,0,Расчет2!BC328)</f>
        <v>0</v>
      </c>
      <c r="AD328" s="10">
        <f>IF($F328=0,0,Расчет2!BD328)</f>
        <v>0</v>
      </c>
      <c r="AE328" s="9">
        <f>IF($F328=0,0,Расчет2!BE328)</f>
        <v>0</v>
      </c>
      <c r="AF328" s="9">
        <f>IF($F328=0,0,Расчет2!BF328)</f>
        <v>0</v>
      </c>
      <c r="AG328" s="9">
        <f>IF($F328=0,0,Расчет2!BG328)</f>
        <v>0</v>
      </c>
      <c r="AI328" s="11" t="e">
        <f>Расчет!FY328</f>
        <v>#N/A</v>
      </c>
      <c r="AJ328" s="11" t="e">
        <f>Расчет!FZ328</f>
        <v>#N/A</v>
      </c>
      <c r="AK328" s="11" t="e">
        <f>Расчет!GA328</f>
        <v>#N/A</v>
      </c>
      <c r="AL328" s="11" t="e">
        <f>Расчет!GB328</f>
        <v>#N/A</v>
      </c>
      <c r="AM328" s="11" t="e">
        <f>Расчет!GC328</f>
        <v>#N/A</v>
      </c>
      <c r="AN328" s="11" t="e">
        <f>Расчет!GD328</f>
        <v>#N/A</v>
      </c>
      <c r="AO328" s="11" t="e">
        <f>Расчет!GE328</f>
        <v>#N/A</v>
      </c>
      <c r="AP328" s="11" t="e">
        <f>Расчет!GF328</f>
        <v>#N/A</v>
      </c>
      <c r="AQ328" s="11" t="e">
        <f>Расчет!GG328</f>
        <v>#N/A</v>
      </c>
      <c r="AR328" s="11" t="e">
        <f>Расчет!GH328</f>
        <v>#N/A</v>
      </c>
      <c r="AS328" s="11" t="e">
        <f>Расчет!GI328</f>
        <v>#N/A</v>
      </c>
      <c r="AT328" s="11" t="e">
        <f>Расчет!GJ328</f>
        <v>#N/A</v>
      </c>
      <c r="AU328" s="198" t="e">
        <f t="shared" si="33"/>
        <v>#N/A</v>
      </c>
      <c r="AV328" s="198" t="e">
        <f t="shared" si="34"/>
        <v>#N/A</v>
      </c>
      <c r="AW328" s="198" t="e">
        <f t="shared" si="35"/>
        <v>#N/A</v>
      </c>
      <c r="AX328" s="11" t="e">
        <f t="shared" si="36"/>
        <v>#N/A</v>
      </c>
      <c r="AY328" s="11" t="e">
        <f t="shared" si="37"/>
        <v>#N/A</v>
      </c>
      <c r="AZ328" s="11" t="e">
        <f t="shared" si="38"/>
        <v>#N/A</v>
      </c>
    </row>
    <row r="329" spans="1:52" x14ac:dyDescent="0.2">
      <c r="A329" s="6">
        <f>Исходн.данные.!A329</f>
        <v>0</v>
      </c>
      <c r="B329" s="6">
        <f>Исходн.данные.!B329</f>
        <v>0</v>
      </c>
      <c r="C329" s="6">
        <f>Исходн.данные.!C329</f>
        <v>0</v>
      </c>
      <c r="D329" s="6">
        <f>Исходн.данные.!D329</f>
        <v>0</v>
      </c>
      <c r="E329" s="6">
        <f>Исходн.данные.!E329</f>
        <v>0</v>
      </c>
      <c r="F329" s="6">
        <f>Исходн.данные.!AH329</f>
        <v>0</v>
      </c>
      <c r="G329" s="6">
        <f>Исходн.данные.!AJ329</f>
        <v>0</v>
      </c>
      <c r="H329" s="6">
        <f>Исходн.данные.!AK329</f>
        <v>0</v>
      </c>
      <c r="I329" s="9">
        <f>IF($F329=0,0,Расчет2!AO329)</f>
        <v>0</v>
      </c>
      <c r="J329" s="9">
        <f>IF(F329=0,0,Расчет2!AP329)</f>
        <v>0</v>
      </c>
      <c r="K329" s="10">
        <f>IF($F329=0,0,Расчет2!AQ329)</f>
        <v>0</v>
      </c>
      <c r="L329" s="10">
        <f>IF($F329=0,0,Расчет2!AR329)</f>
        <v>0</v>
      </c>
      <c r="M329" s="10">
        <f>IF($F329=0,0,Расчет2!AS329)</f>
        <v>0</v>
      </c>
      <c r="N329" s="10">
        <f>IF($F329=0,0,IF(Исходн.данные.!$AP329="Посл.посева",0,Расчет2!AT329))</f>
        <v>0</v>
      </c>
      <c r="O329" s="10">
        <f>IF($F329=0,0,IF(Исходн.данные.!$AP329="Посл.посева",0,IF(Расчет2!AU329&lt;10,10,Расчет2!AU329)))</f>
        <v>0</v>
      </c>
      <c r="P329" s="10">
        <f>IF($F329=0,0,IF(Исходн.данные.!$AP329="Посл.посева",0,Расчет2!AV329))</f>
        <v>0</v>
      </c>
      <c r="Q329" s="10">
        <f>IF($F329=0,0,Расчет2!AW329)</f>
        <v>0</v>
      </c>
      <c r="R329" s="10">
        <f>IF($F329=0,0,Расчет2!AX329)</f>
        <v>0</v>
      </c>
      <c r="S329" s="9">
        <f>IF($F329=0,0,Расчет2!AY329)</f>
        <v>0</v>
      </c>
      <c r="T329" s="10">
        <f>IF($F329=0,0,Расчет2!AZ329)</f>
        <v>0</v>
      </c>
      <c r="U329" s="10">
        <f>IF($F329=0,0,Расчет2!BA329)</f>
        <v>0</v>
      </c>
      <c r="V329" s="10">
        <f>IF($F329=0,0,Расчет2!BB329)</f>
        <v>0</v>
      </c>
      <c r="W329" s="10">
        <f>Расчет!DL329</f>
        <v>0</v>
      </c>
      <c r="X329" s="10">
        <f>Расчет!DN329</f>
        <v>0</v>
      </c>
      <c r="Y329" s="9">
        <f>X329*Исходн.данные.!$AJ329/1000</f>
        <v>0</v>
      </c>
      <c r="Z329" s="10" t="str">
        <f>Расчет!DO329</f>
        <v>Хлор.калий</v>
      </c>
      <c r="AA329" s="10">
        <f>Расчет!DQ329</f>
        <v>0</v>
      </c>
      <c r="AB329" s="12">
        <f>AA329*Исходн.данные.!$AJ329/1000</f>
        <v>0</v>
      </c>
      <c r="AC329" s="9">
        <f>IF($F329=0,0,Расчет2!BC329)</f>
        <v>0</v>
      </c>
      <c r="AD329" s="10">
        <f>IF($F329=0,0,Расчет2!BD329)</f>
        <v>0</v>
      </c>
      <c r="AE329" s="9">
        <f>IF($F329=0,0,Расчет2!BE329)</f>
        <v>0</v>
      </c>
      <c r="AF329" s="9">
        <f>IF($F329=0,0,Расчет2!BF329)</f>
        <v>0</v>
      </c>
      <c r="AG329" s="9">
        <f>IF($F329=0,0,Расчет2!BG329)</f>
        <v>0</v>
      </c>
      <c r="AI329" s="11" t="e">
        <f>Расчет!FY329</f>
        <v>#N/A</v>
      </c>
      <c r="AJ329" s="11" t="e">
        <f>Расчет!FZ329</f>
        <v>#N/A</v>
      </c>
      <c r="AK329" s="11" t="e">
        <f>Расчет!GA329</f>
        <v>#N/A</v>
      </c>
      <c r="AL329" s="11" t="e">
        <f>Расчет!GB329</f>
        <v>#N/A</v>
      </c>
      <c r="AM329" s="11" t="e">
        <f>Расчет!GC329</f>
        <v>#N/A</v>
      </c>
      <c r="AN329" s="11" t="e">
        <f>Расчет!GD329</f>
        <v>#N/A</v>
      </c>
      <c r="AO329" s="11" t="e">
        <f>Расчет!GE329</f>
        <v>#N/A</v>
      </c>
      <c r="AP329" s="11" t="e">
        <f>Расчет!GF329</f>
        <v>#N/A</v>
      </c>
      <c r="AQ329" s="11" t="e">
        <f>Расчет!GG329</f>
        <v>#N/A</v>
      </c>
      <c r="AR329" s="11" t="e">
        <f>Расчет!GH329</f>
        <v>#N/A</v>
      </c>
      <c r="AS329" s="11" t="e">
        <f>Расчет!GI329</f>
        <v>#N/A</v>
      </c>
      <c r="AT329" s="11" t="e">
        <f>Расчет!GJ329</f>
        <v>#N/A</v>
      </c>
      <c r="AU329" s="198" t="e">
        <f t="shared" si="33"/>
        <v>#N/A</v>
      </c>
      <c r="AV329" s="198" t="e">
        <f t="shared" si="34"/>
        <v>#N/A</v>
      </c>
      <c r="AW329" s="198" t="e">
        <f t="shared" si="35"/>
        <v>#N/A</v>
      </c>
      <c r="AX329" s="11" t="e">
        <f t="shared" si="36"/>
        <v>#N/A</v>
      </c>
      <c r="AY329" s="11" t="e">
        <f t="shared" si="37"/>
        <v>#N/A</v>
      </c>
      <c r="AZ329" s="11" t="e">
        <f t="shared" si="38"/>
        <v>#N/A</v>
      </c>
    </row>
    <row r="330" spans="1:52" x14ac:dyDescent="0.2">
      <c r="A330" s="6">
        <f>Исходн.данные.!A330</f>
        <v>0</v>
      </c>
      <c r="B330" s="6">
        <f>Исходн.данные.!B330</f>
        <v>0</v>
      </c>
      <c r="C330" s="6">
        <f>Исходн.данные.!C330</f>
        <v>0</v>
      </c>
      <c r="D330" s="6">
        <f>Исходн.данные.!D330</f>
        <v>0</v>
      </c>
      <c r="E330" s="6">
        <f>Исходн.данные.!E330</f>
        <v>0</v>
      </c>
      <c r="F330" s="6">
        <f>Исходн.данные.!AH330</f>
        <v>0</v>
      </c>
      <c r="G330" s="6">
        <f>Исходн.данные.!AJ330</f>
        <v>0</v>
      </c>
      <c r="H330" s="6">
        <f>Исходн.данные.!AK330</f>
        <v>0</v>
      </c>
      <c r="I330" s="9">
        <f>IF($F330=0,0,Расчет2!AO330)</f>
        <v>0</v>
      </c>
      <c r="J330" s="9">
        <f>IF(F330=0,0,Расчет2!AP330)</f>
        <v>0</v>
      </c>
      <c r="K330" s="10">
        <f>IF($F330=0,0,Расчет2!AQ330)</f>
        <v>0</v>
      </c>
      <c r="L330" s="10">
        <f>IF($F330=0,0,Расчет2!AR330)</f>
        <v>0</v>
      </c>
      <c r="M330" s="10">
        <f>IF($F330=0,0,Расчет2!AS330)</f>
        <v>0</v>
      </c>
      <c r="N330" s="10">
        <f>IF($F330=0,0,IF(Исходн.данные.!$AP330="Посл.посева",0,Расчет2!AT330))</f>
        <v>0</v>
      </c>
      <c r="O330" s="10">
        <f>IF($F330=0,0,IF(Исходн.данные.!$AP330="Посл.посева",0,IF(Расчет2!AU330&lt;10,10,Расчет2!AU330)))</f>
        <v>0</v>
      </c>
      <c r="P330" s="10">
        <f>IF($F330=0,0,IF(Исходн.данные.!$AP330="Посл.посева",0,Расчет2!AV330))</f>
        <v>0</v>
      </c>
      <c r="Q330" s="10">
        <f>IF($F330=0,0,Расчет2!AW330)</f>
        <v>0</v>
      </c>
      <c r="R330" s="10">
        <f>IF($F330=0,0,Расчет2!AX330)</f>
        <v>0</v>
      </c>
      <c r="S330" s="9">
        <f>IF($F330=0,0,Расчет2!AY330)</f>
        <v>0</v>
      </c>
      <c r="T330" s="10">
        <f>IF($F330=0,0,Расчет2!AZ330)</f>
        <v>0</v>
      </c>
      <c r="U330" s="10">
        <f>IF($F330=0,0,Расчет2!BA330)</f>
        <v>0</v>
      </c>
      <c r="V330" s="10">
        <f>IF($F330=0,0,Расчет2!BB330)</f>
        <v>0</v>
      </c>
      <c r="W330" s="10">
        <f>Расчет!DL330</f>
        <v>0</v>
      </c>
      <c r="X330" s="10">
        <f>Расчет!DN330</f>
        <v>0</v>
      </c>
      <c r="Y330" s="9">
        <f>X330*Исходн.данные.!$AJ330/1000</f>
        <v>0</v>
      </c>
      <c r="Z330" s="10" t="str">
        <f>Расчет!DO330</f>
        <v>Хлор.калий</v>
      </c>
      <c r="AA330" s="10">
        <f>Расчет!DQ330</f>
        <v>0</v>
      </c>
      <c r="AB330" s="12">
        <f>AA330*Исходн.данные.!$AJ330/1000</f>
        <v>0</v>
      </c>
      <c r="AC330" s="9">
        <f>IF($F330=0,0,Расчет2!BC330)</f>
        <v>0</v>
      </c>
      <c r="AD330" s="10">
        <f>IF($F330=0,0,Расчет2!BD330)</f>
        <v>0</v>
      </c>
      <c r="AE330" s="9">
        <f>IF($F330=0,0,Расчет2!BE330)</f>
        <v>0</v>
      </c>
      <c r="AF330" s="9">
        <f>IF($F330=0,0,Расчет2!BF330)</f>
        <v>0</v>
      </c>
      <c r="AG330" s="9">
        <f>IF($F330=0,0,Расчет2!BG330)</f>
        <v>0</v>
      </c>
      <c r="AI330" s="11" t="e">
        <f>Расчет!FY330</f>
        <v>#N/A</v>
      </c>
      <c r="AJ330" s="11" t="e">
        <f>Расчет!FZ330</f>
        <v>#N/A</v>
      </c>
      <c r="AK330" s="11" t="e">
        <f>Расчет!GA330</f>
        <v>#N/A</v>
      </c>
      <c r="AL330" s="11" t="e">
        <f>Расчет!GB330</f>
        <v>#N/A</v>
      </c>
      <c r="AM330" s="11" t="e">
        <f>Расчет!GC330</f>
        <v>#N/A</v>
      </c>
      <c r="AN330" s="11" t="e">
        <f>Расчет!GD330</f>
        <v>#N/A</v>
      </c>
      <c r="AO330" s="11" t="e">
        <f>Расчет!GE330</f>
        <v>#N/A</v>
      </c>
      <c r="AP330" s="11" t="e">
        <f>Расчет!GF330</f>
        <v>#N/A</v>
      </c>
      <c r="AQ330" s="11" t="e">
        <f>Расчет!GG330</f>
        <v>#N/A</v>
      </c>
      <c r="AR330" s="11" t="e">
        <f>Расчет!GH330</f>
        <v>#N/A</v>
      </c>
      <c r="AS330" s="11" t="e">
        <f>Расчет!GI330</f>
        <v>#N/A</v>
      </c>
      <c r="AT330" s="11" t="e">
        <f>Расчет!GJ330</f>
        <v>#N/A</v>
      </c>
      <c r="AU330" s="198" t="e">
        <f t="shared" si="33"/>
        <v>#N/A</v>
      </c>
      <c r="AV330" s="198" t="e">
        <f t="shared" si="34"/>
        <v>#N/A</v>
      </c>
      <c r="AW330" s="198" t="e">
        <f t="shared" si="35"/>
        <v>#N/A</v>
      </c>
      <c r="AX330" s="11" t="e">
        <f t="shared" si="36"/>
        <v>#N/A</v>
      </c>
      <c r="AY330" s="11" t="e">
        <f t="shared" si="37"/>
        <v>#N/A</v>
      </c>
      <c r="AZ330" s="11" t="e">
        <f t="shared" si="38"/>
        <v>#N/A</v>
      </c>
    </row>
    <row r="331" spans="1:52" x14ac:dyDescent="0.2">
      <c r="A331" s="6">
        <f>Исходн.данные.!A331</f>
        <v>0</v>
      </c>
      <c r="B331" s="6">
        <f>Исходн.данные.!B331</f>
        <v>0</v>
      </c>
      <c r="C331" s="6">
        <f>Исходн.данные.!C331</f>
        <v>0</v>
      </c>
      <c r="D331" s="6">
        <f>Исходн.данные.!D331</f>
        <v>0</v>
      </c>
      <c r="E331" s="6">
        <f>Исходн.данные.!E331</f>
        <v>0</v>
      </c>
      <c r="F331" s="6">
        <f>Исходн.данные.!AH331</f>
        <v>0</v>
      </c>
      <c r="G331" s="6">
        <f>Исходн.данные.!AJ331</f>
        <v>0</v>
      </c>
      <c r="H331" s="6">
        <f>Исходн.данные.!AK331</f>
        <v>0</v>
      </c>
      <c r="I331" s="9">
        <f>IF($F331=0,0,Расчет2!AO331)</f>
        <v>0</v>
      </c>
      <c r="J331" s="9">
        <f>IF(F331=0,0,Расчет2!AP331)</f>
        <v>0</v>
      </c>
      <c r="K331" s="10">
        <f>IF($F331=0,0,Расчет2!AQ331)</f>
        <v>0</v>
      </c>
      <c r="L331" s="10">
        <f>IF($F331=0,0,Расчет2!AR331)</f>
        <v>0</v>
      </c>
      <c r="M331" s="10">
        <f>IF($F331=0,0,Расчет2!AS331)</f>
        <v>0</v>
      </c>
      <c r="N331" s="10">
        <f>IF($F331=0,0,IF(Исходн.данные.!$AP331="Посл.посева",0,Расчет2!AT331))</f>
        <v>0</v>
      </c>
      <c r="O331" s="10">
        <f>IF($F331=0,0,IF(Исходн.данные.!$AP331="Посл.посева",0,IF(Расчет2!AU331&lt;10,10,Расчет2!AU331)))</f>
        <v>0</v>
      </c>
      <c r="P331" s="10">
        <f>IF($F331=0,0,IF(Исходн.данные.!$AP331="Посл.посева",0,Расчет2!AV331))</f>
        <v>0</v>
      </c>
      <c r="Q331" s="10">
        <f>IF($F331=0,0,Расчет2!AW331)</f>
        <v>0</v>
      </c>
      <c r="R331" s="10">
        <f>IF($F331=0,0,Расчет2!AX331)</f>
        <v>0</v>
      </c>
      <c r="S331" s="9">
        <f>IF($F331=0,0,Расчет2!AY331)</f>
        <v>0</v>
      </c>
      <c r="T331" s="10">
        <f>IF($F331=0,0,Расчет2!AZ331)</f>
        <v>0</v>
      </c>
      <c r="U331" s="10">
        <f>IF($F331=0,0,Расчет2!BA331)</f>
        <v>0</v>
      </c>
      <c r="V331" s="10">
        <f>IF($F331=0,0,Расчет2!BB331)</f>
        <v>0</v>
      </c>
      <c r="W331" s="10">
        <f>Расчет!DL331</f>
        <v>0</v>
      </c>
      <c r="X331" s="10">
        <f>Расчет!DN331</f>
        <v>0</v>
      </c>
      <c r="Y331" s="9">
        <f>X331*Исходн.данные.!$AJ331/1000</f>
        <v>0</v>
      </c>
      <c r="Z331" s="10" t="str">
        <f>Расчет!DO331</f>
        <v>Хлор.калий</v>
      </c>
      <c r="AA331" s="10">
        <f>Расчет!DQ331</f>
        <v>0</v>
      </c>
      <c r="AB331" s="12">
        <f>AA331*Исходн.данные.!$AJ331/1000</f>
        <v>0</v>
      </c>
      <c r="AC331" s="9">
        <f>IF($F331=0,0,Расчет2!BC331)</f>
        <v>0</v>
      </c>
      <c r="AD331" s="10">
        <f>IF($F331=0,0,Расчет2!BD331)</f>
        <v>0</v>
      </c>
      <c r="AE331" s="9">
        <f>IF($F331=0,0,Расчет2!BE331)</f>
        <v>0</v>
      </c>
      <c r="AF331" s="9">
        <f>IF($F331=0,0,Расчет2!BF331)</f>
        <v>0</v>
      </c>
      <c r="AG331" s="9">
        <f>IF($F331=0,0,Расчет2!BG331)</f>
        <v>0</v>
      </c>
      <c r="AI331" s="11" t="e">
        <f>Расчет!FY331</f>
        <v>#N/A</v>
      </c>
      <c r="AJ331" s="11" t="e">
        <f>Расчет!FZ331</f>
        <v>#N/A</v>
      </c>
      <c r="AK331" s="11" t="e">
        <f>Расчет!GA331</f>
        <v>#N/A</v>
      </c>
      <c r="AL331" s="11" t="e">
        <f>Расчет!GB331</f>
        <v>#N/A</v>
      </c>
      <c r="AM331" s="11" t="e">
        <f>Расчет!GC331</f>
        <v>#N/A</v>
      </c>
      <c r="AN331" s="11" t="e">
        <f>Расчет!GD331</f>
        <v>#N/A</v>
      </c>
      <c r="AO331" s="11" t="e">
        <f>Расчет!GE331</f>
        <v>#N/A</v>
      </c>
      <c r="AP331" s="11" t="e">
        <f>Расчет!GF331</f>
        <v>#N/A</v>
      </c>
      <c r="AQ331" s="11" t="e">
        <f>Расчет!GG331</f>
        <v>#N/A</v>
      </c>
      <c r="AR331" s="11" t="e">
        <f>Расчет!GH331</f>
        <v>#N/A</v>
      </c>
      <c r="AS331" s="11" t="e">
        <f>Расчет!GI331</f>
        <v>#N/A</v>
      </c>
      <c r="AT331" s="11" t="e">
        <f>Расчет!GJ331</f>
        <v>#N/A</v>
      </c>
      <c r="AU331" s="198" t="e">
        <f t="shared" si="33"/>
        <v>#N/A</v>
      </c>
      <c r="AV331" s="198" t="e">
        <f t="shared" si="34"/>
        <v>#N/A</v>
      </c>
      <c r="AW331" s="198" t="e">
        <f t="shared" si="35"/>
        <v>#N/A</v>
      </c>
      <c r="AX331" s="11" t="e">
        <f t="shared" si="36"/>
        <v>#N/A</v>
      </c>
      <c r="AY331" s="11" t="e">
        <f t="shared" si="37"/>
        <v>#N/A</v>
      </c>
      <c r="AZ331" s="11" t="e">
        <f t="shared" si="38"/>
        <v>#N/A</v>
      </c>
    </row>
    <row r="332" spans="1:52" x14ac:dyDescent="0.2">
      <c r="A332" s="6">
        <f>Исходн.данные.!A332</f>
        <v>0</v>
      </c>
      <c r="B332" s="6">
        <f>Исходн.данные.!B332</f>
        <v>0</v>
      </c>
      <c r="C332" s="6">
        <f>Исходн.данные.!C332</f>
        <v>0</v>
      </c>
      <c r="D332" s="6">
        <f>Исходн.данные.!D332</f>
        <v>0</v>
      </c>
      <c r="E332" s="6">
        <f>Исходн.данные.!E332</f>
        <v>0</v>
      </c>
      <c r="F332" s="6">
        <f>Исходн.данные.!AH332</f>
        <v>0</v>
      </c>
      <c r="G332" s="6">
        <f>Исходн.данные.!AJ332</f>
        <v>0</v>
      </c>
      <c r="H332" s="6">
        <f>Исходн.данные.!AK332</f>
        <v>0</v>
      </c>
      <c r="I332" s="9">
        <f>IF($F332=0,0,Расчет2!AO332)</f>
        <v>0</v>
      </c>
      <c r="J332" s="9">
        <f>IF(F332=0,0,Расчет2!AP332)</f>
        <v>0</v>
      </c>
      <c r="K332" s="10">
        <f>IF($F332=0,0,Расчет2!AQ332)</f>
        <v>0</v>
      </c>
      <c r="L332" s="10">
        <f>IF($F332=0,0,Расчет2!AR332)</f>
        <v>0</v>
      </c>
      <c r="M332" s="10">
        <f>IF($F332=0,0,Расчет2!AS332)</f>
        <v>0</v>
      </c>
      <c r="N332" s="10">
        <f>IF($F332=0,0,IF(Исходн.данные.!$AP332="Посл.посева",0,Расчет2!AT332))</f>
        <v>0</v>
      </c>
      <c r="O332" s="10">
        <f>IF($F332=0,0,IF(Исходн.данные.!$AP332="Посл.посева",0,IF(Расчет2!AU332&lt;10,10,Расчет2!AU332)))</f>
        <v>0</v>
      </c>
      <c r="P332" s="10">
        <f>IF($F332=0,0,IF(Исходн.данные.!$AP332="Посл.посева",0,Расчет2!AV332))</f>
        <v>0</v>
      </c>
      <c r="Q332" s="10">
        <f>IF($F332=0,0,Расчет2!AW332)</f>
        <v>0</v>
      </c>
      <c r="R332" s="10">
        <f>IF($F332=0,0,Расчет2!AX332)</f>
        <v>0</v>
      </c>
      <c r="S332" s="9">
        <f>IF($F332=0,0,Расчет2!AY332)</f>
        <v>0</v>
      </c>
      <c r="T332" s="10">
        <f>IF($F332=0,0,Расчет2!AZ332)</f>
        <v>0</v>
      </c>
      <c r="U332" s="10">
        <f>IF($F332=0,0,Расчет2!BA332)</f>
        <v>0</v>
      </c>
      <c r="V332" s="10">
        <f>IF($F332=0,0,Расчет2!BB332)</f>
        <v>0</v>
      </c>
      <c r="W332" s="10">
        <f>Расчет!DL332</f>
        <v>0</v>
      </c>
      <c r="X332" s="10">
        <f>Расчет!DN332</f>
        <v>0</v>
      </c>
      <c r="Y332" s="9">
        <f>X332*Исходн.данные.!$AJ332/1000</f>
        <v>0</v>
      </c>
      <c r="Z332" s="10" t="str">
        <f>Расчет!DO332</f>
        <v>Хлор.калий</v>
      </c>
      <c r="AA332" s="10">
        <f>Расчет!DQ332</f>
        <v>0</v>
      </c>
      <c r="AB332" s="12">
        <f>AA332*Исходн.данные.!$AJ332/1000</f>
        <v>0</v>
      </c>
      <c r="AC332" s="9">
        <f>IF($F332=0,0,Расчет2!BC332)</f>
        <v>0</v>
      </c>
      <c r="AD332" s="10">
        <f>IF($F332=0,0,Расчет2!BD332)</f>
        <v>0</v>
      </c>
      <c r="AE332" s="9">
        <f>IF($F332=0,0,Расчет2!BE332)</f>
        <v>0</v>
      </c>
      <c r="AF332" s="9">
        <f>IF($F332=0,0,Расчет2!BF332)</f>
        <v>0</v>
      </c>
      <c r="AG332" s="9">
        <f>IF($F332=0,0,Расчет2!BG332)</f>
        <v>0</v>
      </c>
      <c r="AI332" s="11" t="e">
        <f>Расчет!FY332</f>
        <v>#N/A</v>
      </c>
      <c r="AJ332" s="11" t="e">
        <f>Расчет!FZ332</f>
        <v>#N/A</v>
      </c>
      <c r="AK332" s="11" t="e">
        <f>Расчет!GA332</f>
        <v>#N/A</v>
      </c>
      <c r="AL332" s="11" t="e">
        <f>Расчет!GB332</f>
        <v>#N/A</v>
      </c>
      <c r="AM332" s="11" t="e">
        <f>Расчет!GC332</f>
        <v>#N/A</v>
      </c>
      <c r="AN332" s="11" t="e">
        <f>Расчет!GD332</f>
        <v>#N/A</v>
      </c>
      <c r="AO332" s="11" t="e">
        <f>Расчет!GE332</f>
        <v>#N/A</v>
      </c>
      <c r="AP332" s="11" t="e">
        <f>Расчет!GF332</f>
        <v>#N/A</v>
      </c>
      <c r="AQ332" s="11" t="e">
        <f>Расчет!GG332</f>
        <v>#N/A</v>
      </c>
      <c r="AR332" s="11" t="e">
        <f>Расчет!GH332</f>
        <v>#N/A</v>
      </c>
      <c r="AS332" s="11" t="e">
        <f>Расчет!GI332</f>
        <v>#N/A</v>
      </c>
      <c r="AT332" s="11" t="e">
        <f>Расчет!GJ332</f>
        <v>#N/A</v>
      </c>
      <c r="AU332" s="198" t="e">
        <f t="shared" si="33"/>
        <v>#N/A</v>
      </c>
      <c r="AV332" s="198" t="e">
        <f t="shared" si="34"/>
        <v>#N/A</v>
      </c>
      <c r="AW332" s="198" t="e">
        <f t="shared" si="35"/>
        <v>#N/A</v>
      </c>
      <c r="AX332" s="11" t="e">
        <f t="shared" si="36"/>
        <v>#N/A</v>
      </c>
      <c r="AY332" s="11" t="e">
        <f t="shared" si="37"/>
        <v>#N/A</v>
      </c>
      <c r="AZ332" s="11" t="e">
        <f t="shared" si="38"/>
        <v>#N/A</v>
      </c>
    </row>
    <row r="333" spans="1:52" x14ac:dyDescent="0.2">
      <c r="A333" s="6">
        <f>Исходн.данные.!A333</f>
        <v>0</v>
      </c>
      <c r="B333" s="6">
        <f>Исходн.данные.!B333</f>
        <v>0</v>
      </c>
      <c r="C333" s="6">
        <f>Исходн.данные.!C333</f>
        <v>0</v>
      </c>
      <c r="D333" s="6">
        <f>Исходн.данные.!D333</f>
        <v>0</v>
      </c>
      <c r="E333" s="6">
        <f>Исходн.данные.!E333</f>
        <v>0</v>
      </c>
      <c r="F333" s="6">
        <f>Исходн.данные.!AH333</f>
        <v>0</v>
      </c>
      <c r="G333" s="6">
        <f>Исходн.данные.!AJ333</f>
        <v>0</v>
      </c>
      <c r="H333" s="6">
        <f>Исходн.данные.!AK333</f>
        <v>0</v>
      </c>
      <c r="I333" s="9">
        <f>IF($F333=0,0,Расчет2!AO333)</f>
        <v>0</v>
      </c>
      <c r="J333" s="9">
        <f>IF(F333=0,0,Расчет2!AP333)</f>
        <v>0</v>
      </c>
      <c r="K333" s="10">
        <f>IF($F333=0,0,Расчет2!AQ333)</f>
        <v>0</v>
      </c>
      <c r="L333" s="10">
        <f>IF($F333=0,0,Расчет2!AR333)</f>
        <v>0</v>
      </c>
      <c r="M333" s="10">
        <f>IF($F333=0,0,Расчет2!AS333)</f>
        <v>0</v>
      </c>
      <c r="N333" s="10">
        <f>IF($F333=0,0,IF(Исходн.данные.!$AP333="Посл.посева",0,Расчет2!AT333))</f>
        <v>0</v>
      </c>
      <c r="O333" s="10">
        <f>IF($F333=0,0,IF(Исходн.данные.!$AP333="Посл.посева",0,IF(Расчет2!AU333&lt;10,10,Расчет2!AU333)))</f>
        <v>0</v>
      </c>
      <c r="P333" s="10">
        <f>IF($F333=0,0,IF(Исходн.данные.!$AP333="Посл.посева",0,Расчет2!AV333))</f>
        <v>0</v>
      </c>
      <c r="Q333" s="10">
        <f>IF($F333=0,0,Расчет2!AW333)</f>
        <v>0</v>
      </c>
      <c r="R333" s="10">
        <f>IF($F333=0,0,Расчет2!AX333)</f>
        <v>0</v>
      </c>
      <c r="S333" s="9">
        <f>IF($F333=0,0,Расчет2!AY333)</f>
        <v>0</v>
      </c>
      <c r="T333" s="10">
        <f>IF($F333=0,0,Расчет2!AZ333)</f>
        <v>0</v>
      </c>
      <c r="U333" s="10">
        <f>IF($F333=0,0,Расчет2!BA333)</f>
        <v>0</v>
      </c>
      <c r="V333" s="10">
        <f>IF($F333=0,0,Расчет2!BB333)</f>
        <v>0</v>
      </c>
      <c r="W333" s="10">
        <f>Расчет!DL333</f>
        <v>0</v>
      </c>
      <c r="X333" s="10">
        <f>Расчет!DN333</f>
        <v>0</v>
      </c>
      <c r="Y333" s="9">
        <f>X333*Исходн.данные.!$AJ333/1000</f>
        <v>0</v>
      </c>
      <c r="Z333" s="10" t="str">
        <f>Расчет!DO333</f>
        <v>Хлор.калий</v>
      </c>
      <c r="AA333" s="10">
        <f>Расчет!DQ333</f>
        <v>0</v>
      </c>
      <c r="AB333" s="12">
        <f>AA333*Исходн.данные.!$AJ333/1000</f>
        <v>0</v>
      </c>
      <c r="AC333" s="9">
        <f>IF($F333=0,0,Расчет2!BC333)</f>
        <v>0</v>
      </c>
      <c r="AD333" s="10">
        <f>IF($F333=0,0,Расчет2!BD333)</f>
        <v>0</v>
      </c>
      <c r="AE333" s="9">
        <f>IF($F333=0,0,Расчет2!BE333)</f>
        <v>0</v>
      </c>
      <c r="AF333" s="9">
        <f>IF($F333=0,0,Расчет2!BF333)</f>
        <v>0</v>
      </c>
      <c r="AG333" s="9">
        <f>IF($F333=0,0,Расчет2!BG333)</f>
        <v>0</v>
      </c>
      <c r="AI333" s="11" t="e">
        <f>Расчет!FY333</f>
        <v>#N/A</v>
      </c>
      <c r="AJ333" s="11" t="e">
        <f>Расчет!FZ333</f>
        <v>#N/A</v>
      </c>
      <c r="AK333" s="11" t="e">
        <f>Расчет!GA333</f>
        <v>#N/A</v>
      </c>
      <c r="AL333" s="11" t="e">
        <f>Расчет!GB333</f>
        <v>#N/A</v>
      </c>
      <c r="AM333" s="11" t="e">
        <f>Расчет!GC333</f>
        <v>#N/A</v>
      </c>
      <c r="AN333" s="11" t="e">
        <f>Расчет!GD333</f>
        <v>#N/A</v>
      </c>
      <c r="AO333" s="11" t="e">
        <f>Расчет!GE333</f>
        <v>#N/A</v>
      </c>
      <c r="AP333" s="11" t="e">
        <f>Расчет!GF333</f>
        <v>#N/A</v>
      </c>
      <c r="AQ333" s="11" t="e">
        <f>Расчет!GG333</f>
        <v>#N/A</v>
      </c>
      <c r="AR333" s="11" t="e">
        <f>Расчет!GH333</f>
        <v>#N/A</v>
      </c>
      <c r="AS333" s="11" t="e">
        <f>Расчет!GI333</f>
        <v>#N/A</v>
      </c>
      <c r="AT333" s="11" t="e">
        <f>Расчет!GJ333</f>
        <v>#N/A</v>
      </c>
      <c r="AU333" s="198" t="e">
        <f t="shared" si="33"/>
        <v>#N/A</v>
      </c>
      <c r="AV333" s="198" t="e">
        <f t="shared" si="34"/>
        <v>#N/A</v>
      </c>
      <c r="AW333" s="198" t="e">
        <f t="shared" si="35"/>
        <v>#N/A</v>
      </c>
      <c r="AX333" s="11" t="e">
        <f t="shared" si="36"/>
        <v>#N/A</v>
      </c>
      <c r="AY333" s="11" t="e">
        <f t="shared" si="37"/>
        <v>#N/A</v>
      </c>
      <c r="AZ333" s="11" t="e">
        <f t="shared" si="38"/>
        <v>#N/A</v>
      </c>
    </row>
    <row r="334" spans="1:52" x14ac:dyDescent="0.2">
      <c r="A334" s="6">
        <f>Исходн.данные.!A334</f>
        <v>0</v>
      </c>
      <c r="B334" s="6">
        <f>Исходн.данные.!B334</f>
        <v>0</v>
      </c>
      <c r="C334" s="6">
        <f>Исходн.данные.!C334</f>
        <v>0</v>
      </c>
      <c r="D334" s="6">
        <f>Исходн.данные.!D334</f>
        <v>0</v>
      </c>
      <c r="E334" s="6">
        <f>Исходн.данные.!E334</f>
        <v>0</v>
      </c>
      <c r="F334" s="6">
        <f>Исходн.данные.!AH334</f>
        <v>0</v>
      </c>
      <c r="G334" s="6">
        <f>Исходн.данные.!AJ334</f>
        <v>0</v>
      </c>
      <c r="H334" s="6">
        <f>Исходн.данные.!AK334</f>
        <v>0</v>
      </c>
      <c r="I334" s="9">
        <f>IF($F334=0,0,Расчет2!AO334)</f>
        <v>0</v>
      </c>
      <c r="J334" s="9">
        <f>IF(F334=0,0,Расчет2!AP334)</f>
        <v>0</v>
      </c>
      <c r="K334" s="10">
        <f>IF($F334=0,0,Расчет2!AQ334)</f>
        <v>0</v>
      </c>
      <c r="L334" s="10">
        <f>IF($F334=0,0,Расчет2!AR334)</f>
        <v>0</v>
      </c>
      <c r="M334" s="10">
        <f>IF($F334=0,0,Расчет2!AS334)</f>
        <v>0</v>
      </c>
      <c r="N334" s="10">
        <f>IF($F334=0,0,IF(Исходн.данные.!$AP334="Посл.посева",0,Расчет2!AT334))</f>
        <v>0</v>
      </c>
      <c r="O334" s="10">
        <f>IF($F334=0,0,IF(Исходн.данные.!$AP334="Посл.посева",0,IF(Расчет2!AU334&lt;10,10,Расчет2!AU334)))</f>
        <v>0</v>
      </c>
      <c r="P334" s="10">
        <f>IF($F334=0,0,IF(Исходн.данные.!$AP334="Посл.посева",0,Расчет2!AV334))</f>
        <v>0</v>
      </c>
      <c r="Q334" s="10">
        <f>IF($F334=0,0,Расчет2!AW334)</f>
        <v>0</v>
      </c>
      <c r="R334" s="10">
        <f>IF($F334=0,0,Расчет2!AX334)</f>
        <v>0</v>
      </c>
      <c r="S334" s="9">
        <f>IF($F334=0,0,Расчет2!AY334)</f>
        <v>0</v>
      </c>
      <c r="T334" s="10">
        <f>IF($F334=0,0,Расчет2!AZ334)</f>
        <v>0</v>
      </c>
      <c r="U334" s="10">
        <f>IF($F334=0,0,Расчет2!BA334)</f>
        <v>0</v>
      </c>
      <c r="V334" s="10">
        <f>IF($F334=0,0,Расчет2!BB334)</f>
        <v>0</v>
      </c>
      <c r="W334" s="10">
        <f>Расчет!DL334</f>
        <v>0</v>
      </c>
      <c r="X334" s="10">
        <f>Расчет!DN334</f>
        <v>0</v>
      </c>
      <c r="Y334" s="9">
        <f>X334*Исходн.данные.!$AJ334/1000</f>
        <v>0</v>
      </c>
      <c r="Z334" s="10" t="str">
        <f>Расчет!DO334</f>
        <v>Хлор.калий</v>
      </c>
      <c r="AA334" s="10">
        <f>Расчет!DQ334</f>
        <v>0</v>
      </c>
      <c r="AB334" s="12">
        <f>AA334*Исходн.данные.!$AJ334/1000</f>
        <v>0</v>
      </c>
      <c r="AC334" s="9">
        <f>IF($F334=0,0,Расчет2!BC334)</f>
        <v>0</v>
      </c>
      <c r="AD334" s="10">
        <f>IF($F334=0,0,Расчет2!BD334)</f>
        <v>0</v>
      </c>
      <c r="AE334" s="9">
        <f>IF($F334=0,0,Расчет2!BE334)</f>
        <v>0</v>
      </c>
      <c r="AF334" s="9">
        <f>IF($F334=0,0,Расчет2!BF334)</f>
        <v>0</v>
      </c>
      <c r="AG334" s="9">
        <f>IF($F334=0,0,Расчет2!BG334)</f>
        <v>0</v>
      </c>
      <c r="AI334" s="11" t="e">
        <f>Расчет!FY334</f>
        <v>#N/A</v>
      </c>
      <c r="AJ334" s="11" t="e">
        <f>Расчет!FZ334</f>
        <v>#N/A</v>
      </c>
      <c r="AK334" s="11" t="e">
        <f>Расчет!GA334</f>
        <v>#N/A</v>
      </c>
      <c r="AL334" s="11" t="e">
        <f>Расчет!GB334</f>
        <v>#N/A</v>
      </c>
      <c r="AM334" s="11" t="e">
        <f>Расчет!GC334</f>
        <v>#N/A</v>
      </c>
      <c r="AN334" s="11" t="e">
        <f>Расчет!GD334</f>
        <v>#N/A</v>
      </c>
      <c r="AO334" s="11" t="e">
        <f>Расчет!GE334</f>
        <v>#N/A</v>
      </c>
      <c r="AP334" s="11" t="e">
        <f>Расчет!GF334</f>
        <v>#N/A</v>
      </c>
      <c r="AQ334" s="11" t="e">
        <f>Расчет!GG334</f>
        <v>#N/A</v>
      </c>
      <c r="AR334" s="11" t="e">
        <f>Расчет!GH334</f>
        <v>#N/A</v>
      </c>
      <c r="AS334" s="11" t="e">
        <f>Расчет!GI334</f>
        <v>#N/A</v>
      </c>
      <c r="AT334" s="11" t="e">
        <f>Расчет!GJ334</f>
        <v>#N/A</v>
      </c>
      <c r="AU334" s="198" t="e">
        <f t="shared" si="33"/>
        <v>#N/A</v>
      </c>
      <c r="AV334" s="198" t="e">
        <f t="shared" si="34"/>
        <v>#N/A</v>
      </c>
      <c r="AW334" s="198" t="e">
        <f t="shared" si="35"/>
        <v>#N/A</v>
      </c>
      <c r="AX334" s="11" t="e">
        <f t="shared" si="36"/>
        <v>#N/A</v>
      </c>
      <c r="AY334" s="11" t="e">
        <f t="shared" si="37"/>
        <v>#N/A</v>
      </c>
      <c r="AZ334" s="11" t="e">
        <f t="shared" si="38"/>
        <v>#N/A</v>
      </c>
    </row>
    <row r="335" spans="1:52" x14ac:dyDescent="0.2">
      <c r="A335" s="6">
        <f>Исходн.данные.!A335</f>
        <v>0</v>
      </c>
      <c r="B335" s="6">
        <f>Исходн.данные.!B335</f>
        <v>0</v>
      </c>
      <c r="C335" s="6">
        <f>Исходн.данные.!C335</f>
        <v>0</v>
      </c>
      <c r="D335" s="6">
        <f>Исходн.данные.!D335</f>
        <v>0</v>
      </c>
      <c r="E335" s="6">
        <f>Исходн.данные.!E335</f>
        <v>0</v>
      </c>
      <c r="F335" s="6">
        <f>Исходн.данные.!AH335</f>
        <v>0</v>
      </c>
      <c r="G335" s="6">
        <f>Исходн.данные.!AJ335</f>
        <v>0</v>
      </c>
      <c r="H335" s="6">
        <f>Исходн.данные.!AK335</f>
        <v>0</v>
      </c>
      <c r="I335" s="9">
        <f>IF($F335=0,0,Расчет2!AO335)</f>
        <v>0</v>
      </c>
      <c r="J335" s="9">
        <f>IF(F335=0,0,Расчет2!AP335)</f>
        <v>0</v>
      </c>
      <c r="K335" s="10">
        <f>IF($F335=0,0,Расчет2!AQ335)</f>
        <v>0</v>
      </c>
      <c r="L335" s="10">
        <f>IF($F335=0,0,Расчет2!AR335)</f>
        <v>0</v>
      </c>
      <c r="M335" s="10">
        <f>IF($F335=0,0,Расчет2!AS335)</f>
        <v>0</v>
      </c>
      <c r="N335" s="10">
        <f>IF($F335=0,0,IF(Исходн.данные.!$AP335="Посл.посева",0,Расчет2!AT335))</f>
        <v>0</v>
      </c>
      <c r="O335" s="10">
        <f>IF($F335=0,0,IF(Исходн.данные.!$AP335="Посл.посева",0,IF(Расчет2!AU335&lt;10,10,Расчет2!AU335)))</f>
        <v>0</v>
      </c>
      <c r="P335" s="10">
        <f>IF($F335=0,0,IF(Исходн.данные.!$AP335="Посл.посева",0,Расчет2!AV335))</f>
        <v>0</v>
      </c>
      <c r="Q335" s="10">
        <f>IF($F335=0,0,Расчет2!AW335)</f>
        <v>0</v>
      </c>
      <c r="R335" s="10">
        <f>IF($F335=0,0,Расчет2!AX335)</f>
        <v>0</v>
      </c>
      <c r="S335" s="9">
        <f>IF($F335=0,0,Расчет2!AY335)</f>
        <v>0</v>
      </c>
      <c r="T335" s="10">
        <f>IF($F335=0,0,Расчет2!AZ335)</f>
        <v>0</v>
      </c>
      <c r="U335" s="10">
        <f>IF($F335=0,0,Расчет2!BA335)</f>
        <v>0</v>
      </c>
      <c r="V335" s="10">
        <f>IF($F335=0,0,Расчет2!BB335)</f>
        <v>0</v>
      </c>
      <c r="W335" s="10">
        <f>Расчет!DL335</f>
        <v>0</v>
      </c>
      <c r="X335" s="10">
        <f>Расчет!DN335</f>
        <v>0</v>
      </c>
      <c r="Y335" s="9">
        <f>X335*Исходн.данные.!$AJ335/1000</f>
        <v>0</v>
      </c>
      <c r="Z335" s="10" t="str">
        <f>Расчет!DO335</f>
        <v>Хлор.калий</v>
      </c>
      <c r="AA335" s="10">
        <f>Расчет!DQ335</f>
        <v>0</v>
      </c>
      <c r="AB335" s="12">
        <f>AA335*Исходн.данные.!$AJ335/1000</f>
        <v>0</v>
      </c>
      <c r="AC335" s="9">
        <f>IF($F335=0,0,Расчет2!BC335)</f>
        <v>0</v>
      </c>
      <c r="AD335" s="10">
        <f>IF($F335=0,0,Расчет2!BD335)</f>
        <v>0</v>
      </c>
      <c r="AE335" s="9">
        <f>IF($F335=0,0,Расчет2!BE335)</f>
        <v>0</v>
      </c>
      <c r="AF335" s="9">
        <f>IF($F335=0,0,Расчет2!BF335)</f>
        <v>0</v>
      </c>
      <c r="AG335" s="9">
        <f>IF($F335=0,0,Расчет2!BG335)</f>
        <v>0</v>
      </c>
      <c r="AI335" s="11" t="e">
        <f>Расчет!FY335</f>
        <v>#N/A</v>
      </c>
      <c r="AJ335" s="11" t="e">
        <f>Расчет!FZ335</f>
        <v>#N/A</v>
      </c>
      <c r="AK335" s="11" t="e">
        <f>Расчет!GA335</f>
        <v>#N/A</v>
      </c>
      <c r="AL335" s="11" t="e">
        <f>Расчет!GB335</f>
        <v>#N/A</v>
      </c>
      <c r="AM335" s="11" t="e">
        <f>Расчет!GC335</f>
        <v>#N/A</v>
      </c>
      <c r="AN335" s="11" t="e">
        <f>Расчет!GD335</f>
        <v>#N/A</v>
      </c>
      <c r="AO335" s="11" t="e">
        <f>Расчет!GE335</f>
        <v>#N/A</v>
      </c>
      <c r="AP335" s="11" t="e">
        <f>Расчет!GF335</f>
        <v>#N/A</v>
      </c>
      <c r="AQ335" s="11" t="e">
        <f>Расчет!GG335</f>
        <v>#N/A</v>
      </c>
      <c r="AR335" s="11" t="e">
        <f>Расчет!GH335</f>
        <v>#N/A</v>
      </c>
      <c r="AS335" s="11" t="e">
        <f>Расчет!GI335</f>
        <v>#N/A</v>
      </c>
      <c r="AT335" s="11" t="e">
        <f>Расчет!GJ335</f>
        <v>#N/A</v>
      </c>
      <c r="AU335" s="198" t="e">
        <f t="shared" si="33"/>
        <v>#N/A</v>
      </c>
      <c r="AV335" s="198" t="e">
        <f t="shared" si="34"/>
        <v>#N/A</v>
      </c>
      <c r="AW335" s="198" t="e">
        <f t="shared" si="35"/>
        <v>#N/A</v>
      </c>
      <c r="AX335" s="11" t="e">
        <f t="shared" si="36"/>
        <v>#N/A</v>
      </c>
      <c r="AY335" s="11" t="e">
        <f t="shared" si="37"/>
        <v>#N/A</v>
      </c>
      <c r="AZ335" s="11" t="e">
        <f t="shared" si="38"/>
        <v>#N/A</v>
      </c>
    </row>
    <row r="336" spans="1:52" x14ac:dyDescent="0.2">
      <c r="A336" s="6">
        <f>Исходн.данные.!A336</f>
        <v>0</v>
      </c>
      <c r="B336" s="6">
        <f>Исходн.данные.!B336</f>
        <v>0</v>
      </c>
      <c r="C336" s="6">
        <f>Исходн.данные.!C336</f>
        <v>0</v>
      </c>
      <c r="D336" s="6">
        <f>Исходн.данные.!D336</f>
        <v>0</v>
      </c>
      <c r="E336" s="6">
        <f>Исходн.данные.!E336</f>
        <v>0</v>
      </c>
      <c r="F336" s="6">
        <f>Исходн.данные.!AH336</f>
        <v>0</v>
      </c>
      <c r="G336" s="6">
        <f>Исходн.данные.!AJ336</f>
        <v>0</v>
      </c>
      <c r="H336" s="6">
        <f>Исходн.данные.!AK336</f>
        <v>0</v>
      </c>
      <c r="I336" s="9">
        <f>IF($F336=0,0,Расчет2!AO336)</f>
        <v>0</v>
      </c>
      <c r="J336" s="9">
        <f>IF(F336=0,0,Расчет2!AP336)</f>
        <v>0</v>
      </c>
      <c r="K336" s="10">
        <f>IF($F336=0,0,Расчет2!AQ336)</f>
        <v>0</v>
      </c>
      <c r="L336" s="10">
        <f>IF($F336=0,0,Расчет2!AR336)</f>
        <v>0</v>
      </c>
      <c r="M336" s="10">
        <f>IF($F336=0,0,Расчет2!AS336)</f>
        <v>0</v>
      </c>
      <c r="N336" s="10">
        <f>IF($F336=0,0,IF(Исходн.данные.!$AP336="Посл.посева",0,Расчет2!AT336))</f>
        <v>0</v>
      </c>
      <c r="O336" s="10">
        <f>IF($F336=0,0,IF(Исходн.данные.!$AP336="Посл.посева",0,IF(Расчет2!AU336&lt;10,10,Расчет2!AU336)))</f>
        <v>0</v>
      </c>
      <c r="P336" s="10">
        <f>IF($F336=0,0,IF(Исходн.данные.!$AP336="Посл.посева",0,Расчет2!AV336))</f>
        <v>0</v>
      </c>
      <c r="Q336" s="10">
        <f>IF($F336=0,0,Расчет2!AW336)</f>
        <v>0</v>
      </c>
      <c r="R336" s="10">
        <f>IF($F336=0,0,Расчет2!AX336)</f>
        <v>0</v>
      </c>
      <c r="S336" s="9">
        <f>IF($F336=0,0,Расчет2!AY336)</f>
        <v>0</v>
      </c>
      <c r="T336" s="10">
        <f>IF($F336=0,0,Расчет2!AZ336)</f>
        <v>0</v>
      </c>
      <c r="U336" s="10">
        <f>IF($F336=0,0,Расчет2!BA336)</f>
        <v>0</v>
      </c>
      <c r="V336" s="10">
        <f>IF($F336=0,0,Расчет2!BB336)</f>
        <v>0</v>
      </c>
      <c r="W336" s="10">
        <f>Расчет!DL336</f>
        <v>0</v>
      </c>
      <c r="X336" s="10">
        <f>Расчет!DN336</f>
        <v>0</v>
      </c>
      <c r="Y336" s="9">
        <f>X336*Исходн.данные.!$AJ336/1000</f>
        <v>0</v>
      </c>
      <c r="Z336" s="10" t="str">
        <f>Расчет!DO336</f>
        <v>Хлор.калий</v>
      </c>
      <c r="AA336" s="10">
        <f>Расчет!DQ336</f>
        <v>0</v>
      </c>
      <c r="AB336" s="12">
        <f>AA336*Исходн.данные.!$AJ336/1000</f>
        <v>0</v>
      </c>
      <c r="AC336" s="9">
        <f>IF($F336=0,0,Расчет2!BC336)</f>
        <v>0</v>
      </c>
      <c r="AD336" s="10">
        <f>IF($F336=0,0,Расчет2!BD336)</f>
        <v>0</v>
      </c>
      <c r="AE336" s="9">
        <f>IF($F336=0,0,Расчет2!BE336)</f>
        <v>0</v>
      </c>
      <c r="AF336" s="9">
        <f>IF($F336=0,0,Расчет2!BF336)</f>
        <v>0</v>
      </c>
      <c r="AG336" s="9">
        <f>IF($F336=0,0,Расчет2!BG336)</f>
        <v>0</v>
      </c>
      <c r="AI336" s="11" t="e">
        <f>Расчет!FY336</f>
        <v>#N/A</v>
      </c>
      <c r="AJ336" s="11" t="e">
        <f>Расчет!FZ336</f>
        <v>#N/A</v>
      </c>
      <c r="AK336" s="11" t="e">
        <f>Расчет!GA336</f>
        <v>#N/A</v>
      </c>
      <c r="AL336" s="11" t="e">
        <f>Расчет!GB336</f>
        <v>#N/A</v>
      </c>
      <c r="AM336" s="11" t="e">
        <f>Расчет!GC336</f>
        <v>#N/A</v>
      </c>
      <c r="AN336" s="11" t="e">
        <f>Расчет!GD336</f>
        <v>#N/A</v>
      </c>
      <c r="AO336" s="11" t="e">
        <f>Расчет!GE336</f>
        <v>#N/A</v>
      </c>
      <c r="AP336" s="11" t="e">
        <f>Расчет!GF336</f>
        <v>#N/A</v>
      </c>
      <c r="AQ336" s="11" t="e">
        <f>Расчет!GG336</f>
        <v>#N/A</v>
      </c>
      <c r="AR336" s="11" t="e">
        <f>Расчет!GH336</f>
        <v>#N/A</v>
      </c>
      <c r="AS336" s="11" t="e">
        <f>Расчет!GI336</f>
        <v>#N/A</v>
      </c>
      <c r="AT336" s="11" t="e">
        <f>Расчет!GJ336</f>
        <v>#N/A</v>
      </c>
      <c r="AU336" s="198" t="e">
        <f t="shared" si="33"/>
        <v>#N/A</v>
      </c>
      <c r="AV336" s="198" t="e">
        <f t="shared" si="34"/>
        <v>#N/A</v>
      </c>
      <c r="AW336" s="198" t="e">
        <f t="shared" si="35"/>
        <v>#N/A</v>
      </c>
      <c r="AX336" s="11" t="e">
        <f t="shared" si="36"/>
        <v>#N/A</v>
      </c>
      <c r="AY336" s="11" t="e">
        <f t="shared" si="37"/>
        <v>#N/A</v>
      </c>
      <c r="AZ336" s="11" t="e">
        <f t="shared" si="38"/>
        <v>#N/A</v>
      </c>
    </row>
    <row r="337" spans="1:52" x14ac:dyDescent="0.2">
      <c r="A337" s="6">
        <f>Исходн.данные.!A337</f>
        <v>0</v>
      </c>
      <c r="B337" s="6">
        <f>Исходн.данные.!B337</f>
        <v>0</v>
      </c>
      <c r="C337" s="6">
        <f>Исходн.данные.!C337</f>
        <v>0</v>
      </c>
      <c r="D337" s="6">
        <f>Исходн.данные.!D337</f>
        <v>0</v>
      </c>
      <c r="E337" s="6">
        <f>Исходн.данные.!E337</f>
        <v>0</v>
      </c>
      <c r="F337" s="6">
        <f>Исходн.данные.!AH337</f>
        <v>0</v>
      </c>
      <c r="G337" s="6">
        <f>Исходн.данные.!AJ337</f>
        <v>0</v>
      </c>
      <c r="H337" s="6">
        <f>Исходн.данные.!AK337</f>
        <v>0</v>
      </c>
      <c r="I337" s="9">
        <f>IF($F337=0,0,Расчет2!AO337)</f>
        <v>0</v>
      </c>
      <c r="J337" s="9">
        <f>IF(F337=0,0,Расчет2!AP337)</f>
        <v>0</v>
      </c>
      <c r="K337" s="10">
        <f>IF($F337=0,0,Расчет2!AQ337)</f>
        <v>0</v>
      </c>
      <c r="L337" s="10">
        <f>IF($F337=0,0,Расчет2!AR337)</f>
        <v>0</v>
      </c>
      <c r="M337" s="10">
        <f>IF($F337=0,0,Расчет2!AS337)</f>
        <v>0</v>
      </c>
      <c r="N337" s="10">
        <f>IF($F337=0,0,IF(Исходн.данные.!$AP337="Посл.посева",0,Расчет2!AT337))</f>
        <v>0</v>
      </c>
      <c r="O337" s="10">
        <f>IF($F337=0,0,IF(Исходн.данные.!$AP337="Посл.посева",0,IF(Расчет2!AU337&lt;10,10,Расчет2!AU337)))</f>
        <v>0</v>
      </c>
      <c r="P337" s="10">
        <f>IF($F337=0,0,IF(Исходн.данные.!$AP337="Посл.посева",0,Расчет2!AV337))</f>
        <v>0</v>
      </c>
      <c r="Q337" s="10">
        <f>IF($F337=0,0,Расчет2!AW337)</f>
        <v>0</v>
      </c>
      <c r="R337" s="10">
        <f>IF($F337=0,0,Расчет2!AX337)</f>
        <v>0</v>
      </c>
      <c r="S337" s="9">
        <f>IF($F337=0,0,Расчет2!AY337)</f>
        <v>0</v>
      </c>
      <c r="T337" s="10">
        <f>IF($F337=0,0,Расчет2!AZ337)</f>
        <v>0</v>
      </c>
      <c r="U337" s="10">
        <f>IF($F337=0,0,Расчет2!BA337)</f>
        <v>0</v>
      </c>
      <c r="V337" s="10">
        <f>IF($F337=0,0,Расчет2!BB337)</f>
        <v>0</v>
      </c>
      <c r="W337" s="10">
        <f>Расчет!DL337</f>
        <v>0</v>
      </c>
      <c r="X337" s="10">
        <f>Расчет!DN337</f>
        <v>0</v>
      </c>
      <c r="Y337" s="9">
        <f>X337*Исходн.данные.!$AJ337/1000</f>
        <v>0</v>
      </c>
      <c r="Z337" s="10" t="str">
        <f>Расчет!DO337</f>
        <v>Хлор.калий</v>
      </c>
      <c r="AA337" s="10">
        <f>Расчет!DQ337</f>
        <v>0</v>
      </c>
      <c r="AB337" s="12">
        <f>AA337*Исходн.данные.!$AJ337/1000</f>
        <v>0</v>
      </c>
      <c r="AC337" s="9">
        <f>IF($F337=0,0,Расчет2!BC337)</f>
        <v>0</v>
      </c>
      <c r="AD337" s="10">
        <f>IF($F337=0,0,Расчет2!BD337)</f>
        <v>0</v>
      </c>
      <c r="AE337" s="9">
        <f>IF($F337=0,0,Расчет2!BE337)</f>
        <v>0</v>
      </c>
      <c r="AF337" s="9">
        <f>IF($F337=0,0,Расчет2!BF337)</f>
        <v>0</v>
      </c>
      <c r="AG337" s="9">
        <f>IF($F337=0,0,Расчет2!BG337)</f>
        <v>0</v>
      </c>
      <c r="AI337" s="11" t="e">
        <f>Расчет!FY337</f>
        <v>#N/A</v>
      </c>
      <c r="AJ337" s="11" t="e">
        <f>Расчет!FZ337</f>
        <v>#N/A</v>
      </c>
      <c r="AK337" s="11" t="e">
        <f>Расчет!GA337</f>
        <v>#N/A</v>
      </c>
      <c r="AL337" s="11" t="e">
        <f>Расчет!GB337</f>
        <v>#N/A</v>
      </c>
      <c r="AM337" s="11" t="e">
        <f>Расчет!GC337</f>
        <v>#N/A</v>
      </c>
      <c r="AN337" s="11" t="e">
        <f>Расчет!GD337</f>
        <v>#N/A</v>
      </c>
      <c r="AO337" s="11" t="e">
        <f>Расчет!GE337</f>
        <v>#N/A</v>
      </c>
      <c r="AP337" s="11" t="e">
        <f>Расчет!GF337</f>
        <v>#N/A</v>
      </c>
      <c r="AQ337" s="11" t="e">
        <f>Расчет!GG337</f>
        <v>#N/A</v>
      </c>
      <c r="AR337" s="11" t="e">
        <f>Расчет!GH337</f>
        <v>#N/A</v>
      </c>
      <c r="AS337" s="11" t="e">
        <f>Расчет!GI337</f>
        <v>#N/A</v>
      </c>
      <c r="AT337" s="11" t="e">
        <f>Расчет!GJ337</f>
        <v>#N/A</v>
      </c>
      <c r="AU337" s="198" t="e">
        <f t="shared" si="33"/>
        <v>#N/A</v>
      </c>
      <c r="AV337" s="198" t="e">
        <f t="shared" si="34"/>
        <v>#N/A</v>
      </c>
      <c r="AW337" s="198" t="e">
        <f t="shared" si="35"/>
        <v>#N/A</v>
      </c>
      <c r="AX337" s="11" t="e">
        <f t="shared" si="36"/>
        <v>#N/A</v>
      </c>
      <c r="AY337" s="11" t="e">
        <f t="shared" si="37"/>
        <v>#N/A</v>
      </c>
      <c r="AZ337" s="11" t="e">
        <f t="shared" si="38"/>
        <v>#N/A</v>
      </c>
    </row>
    <row r="338" spans="1:52" x14ac:dyDescent="0.2">
      <c r="A338" s="6">
        <f>Исходн.данные.!A338</f>
        <v>0</v>
      </c>
      <c r="B338" s="6">
        <f>Исходн.данные.!B338</f>
        <v>0</v>
      </c>
      <c r="C338" s="6">
        <f>Исходн.данные.!C338</f>
        <v>0</v>
      </c>
      <c r="D338" s="6">
        <f>Исходн.данные.!D338</f>
        <v>0</v>
      </c>
      <c r="E338" s="6">
        <f>Исходн.данные.!E338</f>
        <v>0</v>
      </c>
      <c r="F338" s="6">
        <f>Исходн.данные.!AH338</f>
        <v>0</v>
      </c>
      <c r="G338" s="6">
        <f>Исходн.данные.!AJ338</f>
        <v>0</v>
      </c>
      <c r="H338" s="6">
        <f>Исходн.данные.!AK338</f>
        <v>0</v>
      </c>
      <c r="I338" s="9">
        <f>IF($F338=0,0,Расчет2!AO338)</f>
        <v>0</v>
      </c>
      <c r="J338" s="9">
        <f>IF(F338=0,0,Расчет2!AP338)</f>
        <v>0</v>
      </c>
      <c r="K338" s="10">
        <f>IF($F338=0,0,Расчет2!AQ338)</f>
        <v>0</v>
      </c>
      <c r="L338" s="10">
        <f>IF($F338=0,0,Расчет2!AR338)</f>
        <v>0</v>
      </c>
      <c r="M338" s="10">
        <f>IF($F338=0,0,Расчет2!AS338)</f>
        <v>0</v>
      </c>
      <c r="N338" s="10">
        <f>IF($F338=0,0,IF(Исходн.данные.!$AP338="Посл.посева",0,Расчет2!AT338))</f>
        <v>0</v>
      </c>
      <c r="O338" s="10">
        <f>IF($F338=0,0,IF(Исходн.данные.!$AP338="Посл.посева",0,IF(Расчет2!AU338&lt;10,10,Расчет2!AU338)))</f>
        <v>0</v>
      </c>
      <c r="P338" s="10">
        <f>IF($F338=0,0,IF(Исходн.данные.!$AP338="Посл.посева",0,Расчет2!AV338))</f>
        <v>0</v>
      </c>
      <c r="Q338" s="10">
        <f>IF($F338=0,0,Расчет2!AW338)</f>
        <v>0</v>
      </c>
      <c r="R338" s="10">
        <f>IF($F338=0,0,Расчет2!AX338)</f>
        <v>0</v>
      </c>
      <c r="S338" s="9">
        <f>IF($F338=0,0,Расчет2!AY338)</f>
        <v>0</v>
      </c>
      <c r="T338" s="10">
        <f>IF($F338=0,0,Расчет2!AZ338)</f>
        <v>0</v>
      </c>
      <c r="U338" s="10">
        <f>IF($F338=0,0,Расчет2!BA338)</f>
        <v>0</v>
      </c>
      <c r="V338" s="10">
        <f>IF($F338=0,0,Расчет2!BB338)</f>
        <v>0</v>
      </c>
      <c r="W338" s="10">
        <f>Расчет!DL338</f>
        <v>0</v>
      </c>
      <c r="X338" s="10">
        <f>Расчет!DN338</f>
        <v>0</v>
      </c>
      <c r="Y338" s="9">
        <f>X338*Исходн.данные.!$AJ338/1000</f>
        <v>0</v>
      </c>
      <c r="Z338" s="10" t="str">
        <f>Расчет!DO338</f>
        <v>Хлор.калий</v>
      </c>
      <c r="AA338" s="10">
        <f>Расчет!DQ338</f>
        <v>0</v>
      </c>
      <c r="AB338" s="12">
        <f>AA338*Исходн.данные.!$AJ338/1000</f>
        <v>0</v>
      </c>
      <c r="AC338" s="9">
        <f>IF($F338=0,0,Расчет2!BC338)</f>
        <v>0</v>
      </c>
      <c r="AD338" s="10">
        <f>IF($F338=0,0,Расчет2!BD338)</f>
        <v>0</v>
      </c>
      <c r="AE338" s="9">
        <f>IF($F338=0,0,Расчет2!BE338)</f>
        <v>0</v>
      </c>
      <c r="AF338" s="9">
        <f>IF($F338=0,0,Расчет2!BF338)</f>
        <v>0</v>
      </c>
      <c r="AG338" s="9">
        <f>IF($F338=0,0,Расчет2!BG338)</f>
        <v>0</v>
      </c>
      <c r="AI338" s="11" t="e">
        <f>Расчет!FY338</f>
        <v>#N/A</v>
      </c>
      <c r="AJ338" s="11" t="e">
        <f>Расчет!FZ338</f>
        <v>#N/A</v>
      </c>
      <c r="AK338" s="11" t="e">
        <f>Расчет!GA338</f>
        <v>#N/A</v>
      </c>
      <c r="AL338" s="11" t="e">
        <f>Расчет!GB338</f>
        <v>#N/A</v>
      </c>
      <c r="AM338" s="11" t="e">
        <f>Расчет!GC338</f>
        <v>#N/A</v>
      </c>
      <c r="AN338" s="11" t="e">
        <f>Расчет!GD338</f>
        <v>#N/A</v>
      </c>
      <c r="AO338" s="11" t="e">
        <f>Расчет!GE338</f>
        <v>#N/A</v>
      </c>
      <c r="AP338" s="11" t="e">
        <f>Расчет!GF338</f>
        <v>#N/A</v>
      </c>
      <c r="AQ338" s="11" t="e">
        <f>Расчет!GG338</f>
        <v>#N/A</v>
      </c>
      <c r="AR338" s="11" t="e">
        <f>Расчет!GH338</f>
        <v>#N/A</v>
      </c>
      <c r="AS338" s="11" t="e">
        <f>Расчет!GI338</f>
        <v>#N/A</v>
      </c>
      <c r="AT338" s="11" t="e">
        <f>Расчет!GJ338</f>
        <v>#N/A</v>
      </c>
      <c r="AU338" s="198" t="e">
        <f t="shared" si="33"/>
        <v>#N/A</v>
      </c>
      <c r="AV338" s="198" t="e">
        <f t="shared" si="34"/>
        <v>#N/A</v>
      </c>
      <c r="AW338" s="198" t="e">
        <f t="shared" si="35"/>
        <v>#N/A</v>
      </c>
      <c r="AX338" s="11" t="e">
        <f t="shared" si="36"/>
        <v>#N/A</v>
      </c>
      <c r="AY338" s="11" t="e">
        <f t="shared" si="37"/>
        <v>#N/A</v>
      </c>
      <c r="AZ338" s="11" t="e">
        <f t="shared" si="38"/>
        <v>#N/A</v>
      </c>
    </row>
    <row r="339" spans="1:52" x14ac:dyDescent="0.2">
      <c r="A339" s="6">
        <f>Исходн.данные.!A339</f>
        <v>0</v>
      </c>
      <c r="B339" s="6">
        <f>Исходн.данные.!B339</f>
        <v>0</v>
      </c>
      <c r="C339" s="6">
        <f>Исходн.данные.!C339</f>
        <v>0</v>
      </c>
      <c r="D339" s="6">
        <f>Исходн.данные.!D339</f>
        <v>0</v>
      </c>
      <c r="E339" s="6">
        <f>Исходн.данные.!E339</f>
        <v>0</v>
      </c>
      <c r="F339" s="6">
        <f>Исходн.данные.!AH339</f>
        <v>0</v>
      </c>
      <c r="G339" s="6">
        <f>Исходн.данные.!AJ339</f>
        <v>0</v>
      </c>
      <c r="H339" s="6">
        <f>Исходн.данные.!AK339</f>
        <v>0</v>
      </c>
      <c r="I339" s="9">
        <f>IF($F339=0,0,Расчет2!AO339)</f>
        <v>0</v>
      </c>
      <c r="J339" s="9">
        <f>IF(F339=0,0,Расчет2!AP339)</f>
        <v>0</v>
      </c>
      <c r="K339" s="10">
        <f>IF($F339=0,0,Расчет2!AQ339)</f>
        <v>0</v>
      </c>
      <c r="L339" s="10">
        <f>IF($F339=0,0,Расчет2!AR339)</f>
        <v>0</v>
      </c>
      <c r="M339" s="10">
        <f>IF($F339=0,0,Расчет2!AS339)</f>
        <v>0</v>
      </c>
      <c r="N339" s="10">
        <f>IF($F339=0,0,IF(Исходн.данные.!$AP339="Посл.посева",0,Расчет2!AT339))</f>
        <v>0</v>
      </c>
      <c r="O339" s="10">
        <f>IF($F339=0,0,IF(Исходн.данные.!$AP339="Посл.посева",0,IF(Расчет2!AU339&lt;10,10,Расчет2!AU339)))</f>
        <v>0</v>
      </c>
      <c r="P339" s="10">
        <f>IF($F339=0,0,IF(Исходн.данные.!$AP339="Посл.посева",0,Расчет2!AV339))</f>
        <v>0</v>
      </c>
      <c r="Q339" s="10">
        <f>IF($F339=0,0,Расчет2!AW339)</f>
        <v>0</v>
      </c>
      <c r="R339" s="10">
        <f>IF($F339=0,0,Расчет2!AX339)</f>
        <v>0</v>
      </c>
      <c r="S339" s="9">
        <f>IF($F339=0,0,Расчет2!AY339)</f>
        <v>0</v>
      </c>
      <c r="T339" s="10">
        <f>IF($F339=0,0,Расчет2!AZ339)</f>
        <v>0</v>
      </c>
      <c r="U339" s="10">
        <f>IF($F339=0,0,Расчет2!BA339)</f>
        <v>0</v>
      </c>
      <c r="V339" s="10">
        <f>IF($F339=0,0,Расчет2!BB339)</f>
        <v>0</v>
      </c>
      <c r="W339" s="10">
        <f>Расчет!DL339</f>
        <v>0</v>
      </c>
      <c r="X339" s="10">
        <f>Расчет!DN339</f>
        <v>0</v>
      </c>
      <c r="Y339" s="9">
        <f>X339*Исходн.данные.!$AJ339/1000</f>
        <v>0</v>
      </c>
      <c r="Z339" s="10" t="str">
        <f>Расчет!DO339</f>
        <v>Хлор.калий</v>
      </c>
      <c r="AA339" s="10">
        <f>Расчет!DQ339</f>
        <v>0</v>
      </c>
      <c r="AB339" s="12">
        <f>AA339*Исходн.данные.!$AJ339/1000</f>
        <v>0</v>
      </c>
      <c r="AC339" s="9">
        <f>IF($F339=0,0,Расчет2!BC339)</f>
        <v>0</v>
      </c>
      <c r="AD339" s="10">
        <f>IF($F339=0,0,Расчет2!BD339)</f>
        <v>0</v>
      </c>
      <c r="AE339" s="9">
        <f>IF($F339=0,0,Расчет2!BE339)</f>
        <v>0</v>
      </c>
      <c r="AF339" s="9">
        <f>IF($F339=0,0,Расчет2!BF339)</f>
        <v>0</v>
      </c>
      <c r="AG339" s="9">
        <f>IF($F339=0,0,Расчет2!BG339)</f>
        <v>0</v>
      </c>
      <c r="AI339" s="11" t="e">
        <f>Расчет!FY339</f>
        <v>#N/A</v>
      </c>
      <c r="AJ339" s="11" t="e">
        <f>Расчет!FZ339</f>
        <v>#N/A</v>
      </c>
      <c r="AK339" s="11" t="e">
        <f>Расчет!GA339</f>
        <v>#N/A</v>
      </c>
      <c r="AL339" s="11" t="e">
        <f>Расчет!GB339</f>
        <v>#N/A</v>
      </c>
      <c r="AM339" s="11" t="e">
        <f>Расчет!GC339</f>
        <v>#N/A</v>
      </c>
      <c r="AN339" s="11" t="e">
        <f>Расчет!GD339</f>
        <v>#N/A</v>
      </c>
      <c r="AO339" s="11" t="e">
        <f>Расчет!GE339</f>
        <v>#N/A</v>
      </c>
      <c r="AP339" s="11" t="e">
        <f>Расчет!GF339</f>
        <v>#N/A</v>
      </c>
      <c r="AQ339" s="11" t="e">
        <f>Расчет!GG339</f>
        <v>#N/A</v>
      </c>
      <c r="AR339" s="11" t="e">
        <f>Расчет!GH339</f>
        <v>#N/A</v>
      </c>
      <c r="AS339" s="11" t="e">
        <f>Расчет!GI339</f>
        <v>#N/A</v>
      </c>
      <c r="AT339" s="11" t="e">
        <f>Расчет!GJ339</f>
        <v>#N/A</v>
      </c>
      <c r="AU339" s="198" t="e">
        <f t="shared" si="33"/>
        <v>#N/A</v>
      </c>
      <c r="AV339" s="198" t="e">
        <f t="shared" si="34"/>
        <v>#N/A</v>
      </c>
      <c r="AW339" s="198" t="e">
        <f t="shared" si="35"/>
        <v>#N/A</v>
      </c>
      <c r="AX339" s="11" t="e">
        <f t="shared" si="36"/>
        <v>#N/A</v>
      </c>
      <c r="AY339" s="11" t="e">
        <f t="shared" si="37"/>
        <v>#N/A</v>
      </c>
      <c r="AZ339" s="11" t="e">
        <f t="shared" si="38"/>
        <v>#N/A</v>
      </c>
    </row>
    <row r="340" spans="1:52" x14ac:dyDescent="0.2">
      <c r="A340" s="6">
        <f>Исходн.данные.!A340</f>
        <v>0</v>
      </c>
      <c r="B340" s="6">
        <f>Исходн.данные.!B340</f>
        <v>0</v>
      </c>
      <c r="C340" s="6">
        <f>Исходн.данные.!C340</f>
        <v>0</v>
      </c>
      <c r="D340" s="6">
        <f>Исходн.данные.!D340</f>
        <v>0</v>
      </c>
      <c r="E340" s="6">
        <f>Исходн.данные.!E340</f>
        <v>0</v>
      </c>
      <c r="F340" s="6">
        <f>Исходн.данные.!AH340</f>
        <v>0</v>
      </c>
      <c r="G340" s="6">
        <f>Исходн.данные.!AJ340</f>
        <v>0</v>
      </c>
      <c r="H340" s="6">
        <f>Исходн.данные.!AK340</f>
        <v>0</v>
      </c>
      <c r="I340" s="9">
        <f>IF($F340=0,0,Расчет2!AO340)</f>
        <v>0</v>
      </c>
      <c r="J340" s="9">
        <f>IF(F340=0,0,Расчет2!AP340)</f>
        <v>0</v>
      </c>
      <c r="K340" s="10">
        <f>IF($F340=0,0,Расчет2!AQ340)</f>
        <v>0</v>
      </c>
      <c r="L340" s="10">
        <f>IF($F340=0,0,Расчет2!AR340)</f>
        <v>0</v>
      </c>
      <c r="M340" s="10">
        <f>IF($F340=0,0,Расчет2!AS340)</f>
        <v>0</v>
      </c>
      <c r="N340" s="10">
        <f>IF($F340=0,0,IF(Исходн.данные.!$AP340="Посл.посева",0,Расчет2!AT340))</f>
        <v>0</v>
      </c>
      <c r="O340" s="10">
        <f>IF($F340=0,0,IF(Исходн.данные.!$AP340="Посл.посева",0,IF(Расчет2!AU340&lt;10,10,Расчет2!AU340)))</f>
        <v>0</v>
      </c>
      <c r="P340" s="10">
        <f>IF($F340=0,0,IF(Исходн.данные.!$AP340="Посл.посева",0,Расчет2!AV340))</f>
        <v>0</v>
      </c>
      <c r="Q340" s="10">
        <f>IF($F340=0,0,Расчет2!AW340)</f>
        <v>0</v>
      </c>
      <c r="R340" s="10">
        <f>IF($F340=0,0,Расчет2!AX340)</f>
        <v>0</v>
      </c>
      <c r="S340" s="9">
        <f>IF($F340=0,0,Расчет2!AY340)</f>
        <v>0</v>
      </c>
      <c r="T340" s="10">
        <f>IF($F340=0,0,Расчет2!AZ340)</f>
        <v>0</v>
      </c>
      <c r="U340" s="10">
        <f>IF($F340=0,0,Расчет2!BA340)</f>
        <v>0</v>
      </c>
      <c r="V340" s="10">
        <f>IF($F340=0,0,Расчет2!BB340)</f>
        <v>0</v>
      </c>
      <c r="W340" s="10">
        <f>Расчет!DL340</f>
        <v>0</v>
      </c>
      <c r="X340" s="10">
        <f>Расчет!DN340</f>
        <v>0</v>
      </c>
      <c r="Y340" s="9">
        <f>X340*Исходн.данные.!$AJ340/1000</f>
        <v>0</v>
      </c>
      <c r="Z340" s="10" t="str">
        <f>Расчет!DO340</f>
        <v>Хлор.калий</v>
      </c>
      <c r="AA340" s="10">
        <f>Расчет!DQ340</f>
        <v>0</v>
      </c>
      <c r="AB340" s="12">
        <f>AA340*Исходн.данные.!$AJ340/1000</f>
        <v>0</v>
      </c>
      <c r="AC340" s="9">
        <f>IF($F340=0,0,Расчет2!BC340)</f>
        <v>0</v>
      </c>
      <c r="AD340" s="10">
        <f>IF($F340=0,0,Расчет2!BD340)</f>
        <v>0</v>
      </c>
      <c r="AE340" s="9">
        <f>IF($F340=0,0,Расчет2!BE340)</f>
        <v>0</v>
      </c>
      <c r="AF340" s="9">
        <f>IF($F340=0,0,Расчет2!BF340)</f>
        <v>0</v>
      </c>
      <c r="AG340" s="9">
        <f>IF($F340=0,0,Расчет2!BG340)</f>
        <v>0</v>
      </c>
      <c r="AI340" s="11" t="e">
        <f>Расчет!FY340</f>
        <v>#N/A</v>
      </c>
      <c r="AJ340" s="11" t="e">
        <f>Расчет!FZ340</f>
        <v>#N/A</v>
      </c>
      <c r="AK340" s="11" t="e">
        <f>Расчет!GA340</f>
        <v>#N/A</v>
      </c>
      <c r="AL340" s="11" t="e">
        <f>Расчет!GB340</f>
        <v>#N/A</v>
      </c>
      <c r="AM340" s="11" t="e">
        <f>Расчет!GC340</f>
        <v>#N/A</v>
      </c>
      <c r="AN340" s="11" t="e">
        <f>Расчет!GD340</f>
        <v>#N/A</v>
      </c>
      <c r="AO340" s="11" t="e">
        <f>Расчет!GE340</f>
        <v>#N/A</v>
      </c>
      <c r="AP340" s="11" t="e">
        <f>Расчет!GF340</f>
        <v>#N/A</v>
      </c>
      <c r="AQ340" s="11" t="e">
        <f>Расчет!GG340</f>
        <v>#N/A</v>
      </c>
      <c r="AR340" s="11" t="e">
        <f>Расчет!GH340</f>
        <v>#N/A</v>
      </c>
      <c r="AS340" s="11" t="e">
        <f>Расчет!GI340</f>
        <v>#N/A</v>
      </c>
      <c r="AT340" s="11" t="e">
        <f>Расчет!GJ340</f>
        <v>#N/A</v>
      </c>
      <c r="AU340" s="198" t="e">
        <f t="shared" si="33"/>
        <v>#N/A</v>
      </c>
      <c r="AV340" s="198" t="e">
        <f t="shared" si="34"/>
        <v>#N/A</v>
      </c>
      <c r="AW340" s="198" t="e">
        <f t="shared" si="35"/>
        <v>#N/A</v>
      </c>
      <c r="AX340" s="11" t="e">
        <f t="shared" si="36"/>
        <v>#N/A</v>
      </c>
      <c r="AY340" s="11" t="e">
        <f t="shared" si="37"/>
        <v>#N/A</v>
      </c>
      <c r="AZ340" s="11" t="e">
        <f t="shared" si="38"/>
        <v>#N/A</v>
      </c>
    </row>
    <row r="341" spans="1:52" x14ac:dyDescent="0.2">
      <c r="A341" s="6">
        <f>Исходн.данные.!A341</f>
        <v>0</v>
      </c>
      <c r="B341" s="6">
        <f>Исходн.данные.!B341</f>
        <v>0</v>
      </c>
      <c r="C341" s="6">
        <f>Исходн.данные.!C341</f>
        <v>0</v>
      </c>
      <c r="D341" s="6">
        <f>Исходн.данные.!D341</f>
        <v>0</v>
      </c>
      <c r="E341" s="6">
        <f>Исходн.данные.!E341</f>
        <v>0</v>
      </c>
      <c r="F341" s="6">
        <f>Исходн.данные.!AH341</f>
        <v>0</v>
      </c>
      <c r="G341" s="6">
        <f>Исходн.данные.!AJ341</f>
        <v>0</v>
      </c>
      <c r="H341" s="6">
        <f>Исходн.данные.!AK341</f>
        <v>0</v>
      </c>
      <c r="I341" s="9">
        <f>IF($F341=0,0,Расчет2!AO341)</f>
        <v>0</v>
      </c>
      <c r="J341" s="9">
        <f>IF(F341=0,0,Расчет2!AP341)</f>
        <v>0</v>
      </c>
      <c r="K341" s="10">
        <f>IF($F341=0,0,Расчет2!AQ341)</f>
        <v>0</v>
      </c>
      <c r="L341" s="10">
        <f>IF($F341=0,0,Расчет2!AR341)</f>
        <v>0</v>
      </c>
      <c r="M341" s="10">
        <f>IF($F341=0,0,Расчет2!AS341)</f>
        <v>0</v>
      </c>
      <c r="N341" s="10">
        <f>IF($F341=0,0,IF(Исходн.данные.!$AP341="Посл.посева",0,Расчет2!AT341))</f>
        <v>0</v>
      </c>
      <c r="O341" s="10">
        <f>IF($F341=0,0,IF(Исходн.данные.!$AP341="Посл.посева",0,IF(Расчет2!AU341&lt;10,10,Расчет2!AU341)))</f>
        <v>0</v>
      </c>
      <c r="P341" s="10">
        <f>IF($F341=0,0,IF(Исходн.данные.!$AP341="Посл.посева",0,Расчет2!AV341))</f>
        <v>0</v>
      </c>
      <c r="Q341" s="10">
        <f>IF($F341=0,0,Расчет2!AW341)</f>
        <v>0</v>
      </c>
      <c r="R341" s="10">
        <f>IF($F341=0,0,Расчет2!AX341)</f>
        <v>0</v>
      </c>
      <c r="S341" s="9">
        <f>IF($F341=0,0,Расчет2!AY341)</f>
        <v>0</v>
      </c>
      <c r="T341" s="10">
        <f>IF($F341=0,0,Расчет2!AZ341)</f>
        <v>0</v>
      </c>
      <c r="U341" s="10">
        <f>IF($F341=0,0,Расчет2!BA341)</f>
        <v>0</v>
      </c>
      <c r="V341" s="10">
        <f>IF($F341=0,0,Расчет2!BB341)</f>
        <v>0</v>
      </c>
      <c r="W341" s="10">
        <f>Расчет!DL341</f>
        <v>0</v>
      </c>
      <c r="X341" s="10">
        <f>Расчет!DN341</f>
        <v>0</v>
      </c>
      <c r="Y341" s="9">
        <f>X341*Исходн.данные.!$AJ341/1000</f>
        <v>0</v>
      </c>
      <c r="Z341" s="10" t="str">
        <f>Расчет!DO341</f>
        <v>Хлор.калий</v>
      </c>
      <c r="AA341" s="10">
        <f>Расчет!DQ341</f>
        <v>0</v>
      </c>
      <c r="AB341" s="12">
        <f>AA341*Исходн.данные.!$AJ341/1000</f>
        <v>0</v>
      </c>
      <c r="AC341" s="9">
        <f>IF($F341=0,0,Расчет2!BC341)</f>
        <v>0</v>
      </c>
      <c r="AD341" s="10">
        <f>IF($F341=0,0,Расчет2!BD341)</f>
        <v>0</v>
      </c>
      <c r="AE341" s="9">
        <f>IF($F341=0,0,Расчет2!BE341)</f>
        <v>0</v>
      </c>
      <c r="AF341" s="9">
        <f>IF($F341=0,0,Расчет2!BF341)</f>
        <v>0</v>
      </c>
      <c r="AG341" s="9">
        <f>IF($F341=0,0,Расчет2!BG341)</f>
        <v>0</v>
      </c>
      <c r="AI341" s="11" t="e">
        <f>Расчет!FY341</f>
        <v>#N/A</v>
      </c>
      <c r="AJ341" s="11" t="e">
        <f>Расчет!FZ341</f>
        <v>#N/A</v>
      </c>
      <c r="AK341" s="11" t="e">
        <f>Расчет!GA341</f>
        <v>#N/A</v>
      </c>
      <c r="AL341" s="11" t="e">
        <f>Расчет!GB341</f>
        <v>#N/A</v>
      </c>
      <c r="AM341" s="11" t="e">
        <f>Расчет!GC341</f>
        <v>#N/A</v>
      </c>
      <c r="AN341" s="11" t="e">
        <f>Расчет!GD341</f>
        <v>#N/A</v>
      </c>
      <c r="AO341" s="11" t="e">
        <f>Расчет!GE341</f>
        <v>#N/A</v>
      </c>
      <c r="AP341" s="11" t="e">
        <f>Расчет!GF341</f>
        <v>#N/A</v>
      </c>
      <c r="AQ341" s="11" t="e">
        <f>Расчет!GG341</f>
        <v>#N/A</v>
      </c>
      <c r="AR341" s="11" t="e">
        <f>Расчет!GH341</f>
        <v>#N/A</v>
      </c>
      <c r="AS341" s="11" t="e">
        <f>Расчет!GI341</f>
        <v>#N/A</v>
      </c>
      <c r="AT341" s="11" t="e">
        <f>Расчет!GJ341</f>
        <v>#N/A</v>
      </c>
      <c r="AU341" s="198" t="e">
        <f t="shared" si="33"/>
        <v>#N/A</v>
      </c>
      <c r="AV341" s="198" t="e">
        <f t="shared" si="34"/>
        <v>#N/A</v>
      </c>
      <c r="AW341" s="198" t="e">
        <f t="shared" si="35"/>
        <v>#N/A</v>
      </c>
      <c r="AX341" s="11" t="e">
        <f t="shared" si="36"/>
        <v>#N/A</v>
      </c>
      <c r="AY341" s="11" t="e">
        <f t="shared" si="37"/>
        <v>#N/A</v>
      </c>
      <c r="AZ341" s="11" t="e">
        <f t="shared" si="38"/>
        <v>#N/A</v>
      </c>
    </row>
    <row r="342" spans="1:52" x14ac:dyDescent="0.2">
      <c r="A342" s="6">
        <f>Исходн.данные.!A342</f>
        <v>0</v>
      </c>
      <c r="B342" s="6">
        <f>Исходн.данные.!B342</f>
        <v>0</v>
      </c>
      <c r="C342" s="6">
        <f>Исходн.данные.!C342</f>
        <v>0</v>
      </c>
      <c r="D342" s="6">
        <f>Исходн.данные.!D342</f>
        <v>0</v>
      </c>
      <c r="E342" s="6">
        <f>Исходн.данные.!E342</f>
        <v>0</v>
      </c>
      <c r="F342" s="6">
        <f>Исходн.данные.!AH342</f>
        <v>0</v>
      </c>
      <c r="G342" s="6">
        <f>Исходн.данные.!AJ342</f>
        <v>0</v>
      </c>
      <c r="H342" s="6">
        <f>Исходн.данные.!AK342</f>
        <v>0</v>
      </c>
      <c r="I342" s="9">
        <f>IF($F342=0,0,Расчет2!AO342)</f>
        <v>0</v>
      </c>
      <c r="J342" s="9">
        <f>IF(F342=0,0,Расчет2!AP342)</f>
        <v>0</v>
      </c>
      <c r="K342" s="10">
        <f>IF($F342=0,0,Расчет2!AQ342)</f>
        <v>0</v>
      </c>
      <c r="L342" s="10">
        <f>IF($F342=0,0,Расчет2!AR342)</f>
        <v>0</v>
      </c>
      <c r="M342" s="10">
        <f>IF($F342=0,0,Расчет2!AS342)</f>
        <v>0</v>
      </c>
      <c r="N342" s="10">
        <f>IF($F342=0,0,IF(Исходн.данные.!$AP342="Посл.посева",0,Расчет2!AT342))</f>
        <v>0</v>
      </c>
      <c r="O342" s="10">
        <f>IF($F342=0,0,IF(Исходн.данные.!$AP342="Посл.посева",0,IF(Расчет2!AU342&lt;10,10,Расчет2!AU342)))</f>
        <v>0</v>
      </c>
      <c r="P342" s="10">
        <f>IF($F342=0,0,IF(Исходн.данные.!$AP342="Посл.посева",0,Расчет2!AV342))</f>
        <v>0</v>
      </c>
      <c r="Q342" s="10">
        <f>IF($F342=0,0,Расчет2!AW342)</f>
        <v>0</v>
      </c>
      <c r="R342" s="10">
        <f>IF($F342=0,0,Расчет2!AX342)</f>
        <v>0</v>
      </c>
      <c r="S342" s="9">
        <f>IF($F342=0,0,Расчет2!AY342)</f>
        <v>0</v>
      </c>
      <c r="T342" s="10">
        <f>IF($F342=0,0,Расчет2!AZ342)</f>
        <v>0</v>
      </c>
      <c r="U342" s="10">
        <f>IF($F342=0,0,Расчет2!BA342)</f>
        <v>0</v>
      </c>
      <c r="V342" s="10">
        <f>IF($F342=0,0,Расчет2!BB342)</f>
        <v>0</v>
      </c>
      <c r="W342" s="10">
        <f>Расчет!DL342</f>
        <v>0</v>
      </c>
      <c r="X342" s="10">
        <f>Расчет!DN342</f>
        <v>0</v>
      </c>
      <c r="Y342" s="9">
        <f>X342*Исходн.данные.!$AJ342/1000</f>
        <v>0</v>
      </c>
      <c r="Z342" s="10" t="str">
        <f>Расчет!DO342</f>
        <v>Хлор.калий</v>
      </c>
      <c r="AA342" s="10">
        <f>Расчет!DQ342</f>
        <v>0</v>
      </c>
      <c r="AB342" s="12">
        <f>AA342*Исходн.данные.!$AJ342/1000</f>
        <v>0</v>
      </c>
      <c r="AC342" s="9">
        <f>IF($F342=0,0,Расчет2!BC342)</f>
        <v>0</v>
      </c>
      <c r="AD342" s="10">
        <f>IF($F342=0,0,Расчет2!BD342)</f>
        <v>0</v>
      </c>
      <c r="AE342" s="9">
        <f>IF($F342=0,0,Расчет2!BE342)</f>
        <v>0</v>
      </c>
      <c r="AF342" s="9">
        <f>IF($F342=0,0,Расчет2!BF342)</f>
        <v>0</v>
      </c>
      <c r="AG342" s="9">
        <f>IF($F342=0,0,Расчет2!BG342)</f>
        <v>0</v>
      </c>
      <c r="AI342" s="11" t="e">
        <f>Расчет!FY342</f>
        <v>#N/A</v>
      </c>
      <c r="AJ342" s="11" t="e">
        <f>Расчет!FZ342</f>
        <v>#N/A</v>
      </c>
      <c r="AK342" s="11" t="e">
        <f>Расчет!GA342</f>
        <v>#N/A</v>
      </c>
      <c r="AL342" s="11" t="e">
        <f>Расчет!GB342</f>
        <v>#N/A</v>
      </c>
      <c r="AM342" s="11" t="e">
        <f>Расчет!GC342</f>
        <v>#N/A</v>
      </c>
      <c r="AN342" s="11" t="e">
        <f>Расчет!GD342</f>
        <v>#N/A</v>
      </c>
      <c r="AO342" s="11" t="e">
        <f>Расчет!GE342</f>
        <v>#N/A</v>
      </c>
      <c r="AP342" s="11" t="e">
        <f>Расчет!GF342</f>
        <v>#N/A</v>
      </c>
      <c r="AQ342" s="11" t="e">
        <f>Расчет!GG342</f>
        <v>#N/A</v>
      </c>
      <c r="AR342" s="11" t="e">
        <f>Расчет!GH342</f>
        <v>#N/A</v>
      </c>
      <c r="AS342" s="11" t="e">
        <f>Расчет!GI342</f>
        <v>#N/A</v>
      </c>
      <c r="AT342" s="11" t="e">
        <f>Расчет!GJ342</f>
        <v>#N/A</v>
      </c>
      <c r="AU342" s="198" t="e">
        <f t="shared" si="33"/>
        <v>#N/A</v>
      </c>
      <c r="AV342" s="198" t="e">
        <f t="shared" si="34"/>
        <v>#N/A</v>
      </c>
      <c r="AW342" s="198" t="e">
        <f t="shared" si="35"/>
        <v>#N/A</v>
      </c>
      <c r="AX342" s="11" t="e">
        <f t="shared" si="36"/>
        <v>#N/A</v>
      </c>
      <c r="AY342" s="11" t="e">
        <f t="shared" si="37"/>
        <v>#N/A</v>
      </c>
      <c r="AZ342" s="11" t="e">
        <f t="shared" si="38"/>
        <v>#N/A</v>
      </c>
    </row>
    <row r="343" spans="1:52" x14ac:dyDescent="0.2">
      <c r="A343" s="6">
        <f>Исходн.данные.!A343</f>
        <v>0</v>
      </c>
      <c r="B343" s="6">
        <f>Исходн.данные.!B343</f>
        <v>0</v>
      </c>
      <c r="C343" s="6">
        <f>Исходн.данные.!C343</f>
        <v>0</v>
      </c>
      <c r="D343" s="6">
        <f>Исходн.данные.!D343</f>
        <v>0</v>
      </c>
      <c r="E343" s="6">
        <f>Исходн.данные.!E343</f>
        <v>0</v>
      </c>
      <c r="F343" s="6">
        <f>Исходн.данные.!AH343</f>
        <v>0</v>
      </c>
      <c r="G343" s="6">
        <f>Исходн.данные.!AJ343</f>
        <v>0</v>
      </c>
      <c r="H343" s="6">
        <f>Исходн.данные.!AK343</f>
        <v>0</v>
      </c>
      <c r="I343" s="9">
        <f>IF($F343=0,0,Расчет2!AO343)</f>
        <v>0</v>
      </c>
      <c r="J343" s="9">
        <f>IF(F343=0,0,Расчет2!AP343)</f>
        <v>0</v>
      </c>
      <c r="K343" s="10">
        <f>IF($F343=0,0,Расчет2!AQ343)</f>
        <v>0</v>
      </c>
      <c r="L343" s="10">
        <f>IF($F343=0,0,Расчет2!AR343)</f>
        <v>0</v>
      </c>
      <c r="M343" s="10">
        <f>IF($F343=0,0,Расчет2!AS343)</f>
        <v>0</v>
      </c>
      <c r="N343" s="10">
        <f>IF($F343=0,0,IF(Исходн.данные.!$AP343="Посл.посева",0,Расчет2!AT343))</f>
        <v>0</v>
      </c>
      <c r="O343" s="10">
        <f>IF($F343=0,0,IF(Исходн.данные.!$AP343="Посл.посева",0,IF(Расчет2!AU343&lt;10,10,Расчет2!AU343)))</f>
        <v>0</v>
      </c>
      <c r="P343" s="10">
        <f>IF($F343=0,0,IF(Исходн.данные.!$AP343="Посл.посева",0,Расчет2!AV343))</f>
        <v>0</v>
      </c>
      <c r="Q343" s="10">
        <f>IF($F343=0,0,Расчет2!AW343)</f>
        <v>0</v>
      </c>
      <c r="R343" s="10">
        <f>IF($F343=0,0,Расчет2!AX343)</f>
        <v>0</v>
      </c>
      <c r="S343" s="9">
        <f>IF($F343=0,0,Расчет2!AY343)</f>
        <v>0</v>
      </c>
      <c r="T343" s="10">
        <f>IF($F343=0,0,Расчет2!AZ343)</f>
        <v>0</v>
      </c>
      <c r="U343" s="10">
        <f>IF($F343=0,0,Расчет2!BA343)</f>
        <v>0</v>
      </c>
      <c r="V343" s="10">
        <f>IF($F343=0,0,Расчет2!BB343)</f>
        <v>0</v>
      </c>
      <c r="W343" s="10">
        <f>Расчет!DL343</f>
        <v>0</v>
      </c>
      <c r="X343" s="10">
        <f>Расчет!DN343</f>
        <v>0</v>
      </c>
      <c r="Y343" s="9">
        <f>X343*Исходн.данные.!$AJ343/1000</f>
        <v>0</v>
      </c>
      <c r="Z343" s="10" t="str">
        <f>Расчет!DO343</f>
        <v>Хлор.калий</v>
      </c>
      <c r="AA343" s="10">
        <f>Расчет!DQ343</f>
        <v>0</v>
      </c>
      <c r="AB343" s="12">
        <f>AA343*Исходн.данные.!$AJ343/1000</f>
        <v>0</v>
      </c>
      <c r="AC343" s="9">
        <f>IF($F343=0,0,Расчет2!BC343)</f>
        <v>0</v>
      </c>
      <c r="AD343" s="10">
        <f>IF($F343=0,0,Расчет2!BD343)</f>
        <v>0</v>
      </c>
      <c r="AE343" s="9">
        <f>IF($F343=0,0,Расчет2!BE343)</f>
        <v>0</v>
      </c>
      <c r="AF343" s="9">
        <f>IF($F343=0,0,Расчет2!BF343)</f>
        <v>0</v>
      </c>
      <c r="AG343" s="9">
        <f>IF($F343=0,0,Расчет2!BG343)</f>
        <v>0</v>
      </c>
      <c r="AI343" s="11" t="e">
        <f>Расчет!FY343</f>
        <v>#N/A</v>
      </c>
      <c r="AJ343" s="11" t="e">
        <f>Расчет!FZ343</f>
        <v>#N/A</v>
      </c>
      <c r="AK343" s="11" t="e">
        <f>Расчет!GA343</f>
        <v>#N/A</v>
      </c>
      <c r="AL343" s="11" t="e">
        <f>Расчет!GB343</f>
        <v>#N/A</v>
      </c>
      <c r="AM343" s="11" t="e">
        <f>Расчет!GC343</f>
        <v>#N/A</v>
      </c>
      <c r="AN343" s="11" t="e">
        <f>Расчет!GD343</f>
        <v>#N/A</v>
      </c>
      <c r="AO343" s="11" t="e">
        <f>Расчет!GE343</f>
        <v>#N/A</v>
      </c>
      <c r="AP343" s="11" t="e">
        <f>Расчет!GF343</f>
        <v>#N/A</v>
      </c>
      <c r="AQ343" s="11" t="e">
        <f>Расчет!GG343</f>
        <v>#N/A</v>
      </c>
      <c r="AR343" s="11" t="e">
        <f>Расчет!GH343</f>
        <v>#N/A</v>
      </c>
      <c r="AS343" s="11" t="e">
        <f>Расчет!GI343</f>
        <v>#N/A</v>
      </c>
      <c r="AT343" s="11" t="e">
        <f>Расчет!GJ343</f>
        <v>#N/A</v>
      </c>
      <c r="AU343" s="198" t="e">
        <f t="shared" ref="AU343:AU349" si="39">AI343+AL343+AO343+AR343</f>
        <v>#N/A</v>
      </c>
      <c r="AV343" s="198" t="e">
        <f t="shared" ref="AV343:AV349" si="40">AJ343+AM343+AP343+AS343</f>
        <v>#N/A</v>
      </c>
      <c r="AW343" s="198" t="e">
        <f t="shared" ref="AW343:AW349" si="41">AK343+AN343+AQ343+AT343</f>
        <v>#N/A</v>
      </c>
      <c r="AX343" s="11" t="e">
        <f t="shared" ref="AX343:AX349" si="42">MIN(AU343:AW343)</f>
        <v>#N/A</v>
      </c>
      <c r="AY343" s="11" t="e">
        <f t="shared" ref="AY343:AY349" si="43">MAX(AU343:AW343)</f>
        <v>#N/A</v>
      </c>
      <c r="AZ343" s="11" t="e">
        <f t="shared" ref="AZ343:AZ349" si="44">IF(AU343=AX343,MIN(AV343:AW343),IF(AW343=AX343,MIN(AU343:AV343),MIN(AU343,AW343)))</f>
        <v>#N/A</v>
      </c>
    </row>
    <row r="344" spans="1:52" x14ac:dyDescent="0.2">
      <c r="A344" s="6">
        <f>Исходн.данные.!A344</f>
        <v>0</v>
      </c>
      <c r="B344" s="6">
        <f>Исходн.данные.!B344</f>
        <v>0</v>
      </c>
      <c r="C344" s="6">
        <f>Исходн.данные.!C344</f>
        <v>0</v>
      </c>
      <c r="D344" s="6">
        <f>Исходн.данные.!D344</f>
        <v>0</v>
      </c>
      <c r="E344" s="6">
        <f>Исходн.данные.!E344</f>
        <v>0</v>
      </c>
      <c r="F344" s="6">
        <f>Исходн.данные.!AH344</f>
        <v>0</v>
      </c>
      <c r="G344" s="6">
        <f>Исходн.данные.!AJ344</f>
        <v>0</v>
      </c>
      <c r="H344" s="6">
        <f>Исходн.данные.!AK344</f>
        <v>0</v>
      </c>
      <c r="I344" s="9">
        <f>IF($F344=0,0,Расчет2!AO344)</f>
        <v>0</v>
      </c>
      <c r="J344" s="9">
        <f>IF(F344=0,0,Расчет2!AP344)</f>
        <v>0</v>
      </c>
      <c r="K344" s="10">
        <f>IF($F344=0,0,Расчет2!AQ344)</f>
        <v>0</v>
      </c>
      <c r="L344" s="10">
        <f>IF($F344=0,0,Расчет2!AR344)</f>
        <v>0</v>
      </c>
      <c r="M344" s="10">
        <f>IF($F344=0,0,Расчет2!AS344)</f>
        <v>0</v>
      </c>
      <c r="N344" s="10">
        <f>IF($F344=0,0,IF(Исходн.данные.!$AP344="Посл.посева",0,Расчет2!AT344))</f>
        <v>0</v>
      </c>
      <c r="O344" s="10">
        <f>IF($F344=0,0,IF(Исходн.данные.!$AP344="Посл.посева",0,IF(Расчет2!AU344&lt;10,10,Расчет2!AU344)))</f>
        <v>0</v>
      </c>
      <c r="P344" s="10">
        <f>IF($F344=0,0,IF(Исходн.данные.!$AP344="Посл.посева",0,Расчет2!AV344))</f>
        <v>0</v>
      </c>
      <c r="Q344" s="10">
        <f>IF($F344=0,0,Расчет2!AW344)</f>
        <v>0</v>
      </c>
      <c r="R344" s="10">
        <f>IF($F344=0,0,Расчет2!AX344)</f>
        <v>0</v>
      </c>
      <c r="S344" s="9">
        <f>IF($F344=0,0,Расчет2!AY344)</f>
        <v>0</v>
      </c>
      <c r="T344" s="10">
        <f>IF($F344=0,0,Расчет2!AZ344)</f>
        <v>0</v>
      </c>
      <c r="U344" s="10">
        <f>IF($F344=0,0,Расчет2!BA344)</f>
        <v>0</v>
      </c>
      <c r="V344" s="10">
        <f>IF($F344=0,0,Расчет2!BB344)</f>
        <v>0</v>
      </c>
      <c r="W344" s="10">
        <f>Расчет!DL344</f>
        <v>0</v>
      </c>
      <c r="X344" s="10">
        <f>Расчет!DN344</f>
        <v>0</v>
      </c>
      <c r="Y344" s="9">
        <f>X344*Исходн.данные.!$AJ344/1000</f>
        <v>0</v>
      </c>
      <c r="Z344" s="10" t="str">
        <f>Расчет!DO344</f>
        <v>Хлор.калий</v>
      </c>
      <c r="AA344" s="10">
        <f>Расчет!DQ344</f>
        <v>0</v>
      </c>
      <c r="AB344" s="12">
        <f>AA344*Исходн.данные.!$AJ344/1000</f>
        <v>0</v>
      </c>
      <c r="AC344" s="9">
        <f>IF($F344=0,0,Расчет2!BC344)</f>
        <v>0</v>
      </c>
      <c r="AD344" s="10">
        <f>IF($F344=0,0,Расчет2!BD344)</f>
        <v>0</v>
      </c>
      <c r="AE344" s="9">
        <f>IF($F344=0,0,Расчет2!BE344)</f>
        <v>0</v>
      </c>
      <c r="AF344" s="9">
        <f>IF($F344=0,0,Расчет2!BF344)</f>
        <v>0</v>
      </c>
      <c r="AG344" s="9">
        <f>IF($F344=0,0,Расчет2!BG344)</f>
        <v>0</v>
      </c>
      <c r="AI344" s="11" t="e">
        <f>Расчет!FY344</f>
        <v>#N/A</v>
      </c>
      <c r="AJ344" s="11" t="e">
        <f>Расчет!FZ344</f>
        <v>#N/A</v>
      </c>
      <c r="AK344" s="11" t="e">
        <f>Расчет!GA344</f>
        <v>#N/A</v>
      </c>
      <c r="AL344" s="11" t="e">
        <f>Расчет!GB344</f>
        <v>#N/A</v>
      </c>
      <c r="AM344" s="11" t="e">
        <f>Расчет!GC344</f>
        <v>#N/A</v>
      </c>
      <c r="AN344" s="11" t="e">
        <f>Расчет!GD344</f>
        <v>#N/A</v>
      </c>
      <c r="AO344" s="11" t="e">
        <f>Расчет!GE344</f>
        <v>#N/A</v>
      </c>
      <c r="AP344" s="11" t="e">
        <f>Расчет!GF344</f>
        <v>#N/A</v>
      </c>
      <c r="AQ344" s="11" t="e">
        <f>Расчет!GG344</f>
        <v>#N/A</v>
      </c>
      <c r="AR344" s="11" t="e">
        <f>Расчет!GH344</f>
        <v>#N/A</v>
      </c>
      <c r="AS344" s="11" t="e">
        <f>Расчет!GI344</f>
        <v>#N/A</v>
      </c>
      <c r="AT344" s="11" t="e">
        <f>Расчет!GJ344</f>
        <v>#N/A</v>
      </c>
      <c r="AU344" s="198" t="e">
        <f t="shared" si="39"/>
        <v>#N/A</v>
      </c>
      <c r="AV344" s="198" t="e">
        <f t="shared" si="40"/>
        <v>#N/A</v>
      </c>
      <c r="AW344" s="198" t="e">
        <f t="shared" si="41"/>
        <v>#N/A</v>
      </c>
      <c r="AX344" s="11" t="e">
        <f t="shared" si="42"/>
        <v>#N/A</v>
      </c>
      <c r="AY344" s="11" t="e">
        <f t="shared" si="43"/>
        <v>#N/A</v>
      </c>
      <c r="AZ344" s="11" t="e">
        <f t="shared" si="44"/>
        <v>#N/A</v>
      </c>
    </row>
    <row r="345" spans="1:52" x14ac:dyDescent="0.2">
      <c r="A345" s="6">
        <f>Исходн.данные.!A345</f>
        <v>0</v>
      </c>
      <c r="B345" s="6">
        <f>Исходн.данные.!B345</f>
        <v>0</v>
      </c>
      <c r="C345" s="6">
        <f>Исходн.данные.!C345</f>
        <v>0</v>
      </c>
      <c r="D345" s="6">
        <f>Исходн.данные.!D345</f>
        <v>0</v>
      </c>
      <c r="E345" s="6">
        <f>Исходн.данные.!E345</f>
        <v>0</v>
      </c>
      <c r="F345" s="6">
        <f>Исходн.данные.!AH345</f>
        <v>0</v>
      </c>
      <c r="G345" s="6">
        <f>Исходн.данные.!AJ345</f>
        <v>0</v>
      </c>
      <c r="H345" s="6">
        <f>Исходн.данные.!AK345</f>
        <v>0</v>
      </c>
      <c r="I345" s="9">
        <f>IF($F345=0,0,Расчет2!AO345)</f>
        <v>0</v>
      </c>
      <c r="J345" s="9">
        <f>IF(F345=0,0,Расчет2!AP345)</f>
        <v>0</v>
      </c>
      <c r="K345" s="10">
        <f>IF($F345=0,0,Расчет2!AQ345)</f>
        <v>0</v>
      </c>
      <c r="L345" s="10">
        <f>IF($F345=0,0,Расчет2!AR345)</f>
        <v>0</v>
      </c>
      <c r="M345" s="10">
        <f>IF($F345=0,0,Расчет2!AS345)</f>
        <v>0</v>
      </c>
      <c r="N345" s="10">
        <f>IF($F345=0,0,IF(Исходн.данные.!$AP345="Посл.посева",0,Расчет2!AT345))</f>
        <v>0</v>
      </c>
      <c r="O345" s="10">
        <f>IF($F345=0,0,IF(Исходн.данные.!$AP345="Посл.посева",0,IF(Расчет2!AU345&lt;10,10,Расчет2!AU345)))</f>
        <v>0</v>
      </c>
      <c r="P345" s="10">
        <f>IF($F345=0,0,IF(Исходн.данные.!$AP345="Посл.посева",0,Расчет2!AV345))</f>
        <v>0</v>
      </c>
      <c r="Q345" s="10">
        <f>IF($F345=0,0,Расчет2!AW345)</f>
        <v>0</v>
      </c>
      <c r="R345" s="10">
        <f>IF($F345=0,0,Расчет2!AX345)</f>
        <v>0</v>
      </c>
      <c r="S345" s="9">
        <f>IF($F345=0,0,Расчет2!AY345)</f>
        <v>0</v>
      </c>
      <c r="T345" s="10">
        <f>IF($F345=0,0,Расчет2!AZ345)</f>
        <v>0</v>
      </c>
      <c r="U345" s="10">
        <f>IF($F345=0,0,Расчет2!BA345)</f>
        <v>0</v>
      </c>
      <c r="V345" s="10">
        <f>IF($F345=0,0,Расчет2!BB345)</f>
        <v>0</v>
      </c>
      <c r="W345" s="10">
        <f>Расчет!DL345</f>
        <v>0</v>
      </c>
      <c r="X345" s="10">
        <f>Расчет!DN345</f>
        <v>0</v>
      </c>
      <c r="Y345" s="9">
        <f>X345*Исходн.данные.!$AJ345/1000</f>
        <v>0</v>
      </c>
      <c r="Z345" s="10" t="str">
        <f>Расчет!DO345</f>
        <v>Хлор.калий</v>
      </c>
      <c r="AA345" s="10">
        <f>Расчет!DQ345</f>
        <v>0</v>
      </c>
      <c r="AB345" s="12">
        <f>AA345*Исходн.данные.!$AJ345/1000</f>
        <v>0</v>
      </c>
      <c r="AC345" s="9">
        <f>IF($F345=0,0,Расчет2!BC345)</f>
        <v>0</v>
      </c>
      <c r="AD345" s="10">
        <f>IF($F345=0,0,Расчет2!BD345)</f>
        <v>0</v>
      </c>
      <c r="AE345" s="9">
        <f>IF($F345=0,0,Расчет2!BE345)</f>
        <v>0</v>
      </c>
      <c r="AF345" s="9">
        <f>IF($F345=0,0,Расчет2!BF345)</f>
        <v>0</v>
      </c>
      <c r="AG345" s="9">
        <f>IF($F345=0,0,Расчет2!BG345)</f>
        <v>0</v>
      </c>
      <c r="AI345" s="11" t="e">
        <f>Расчет!FY345</f>
        <v>#N/A</v>
      </c>
      <c r="AJ345" s="11" t="e">
        <f>Расчет!FZ345</f>
        <v>#N/A</v>
      </c>
      <c r="AK345" s="11" t="e">
        <f>Расчет!GA345</f>
        <v>#N/A</v>
      </c>
      <c r="AL345" s="11" t="e">
        <f>Расчет!GB345</f>
        <v>#N/A</v>
      </c>
      <c r="AM345" s="11" t="e">
        <f>Расчет!GC345</f>
        <v>#N/A</v>
      </c>
      <c r="AN345" s="11" t="e">
        <f>Расчет!GD345</f>
        <v>#N/A</v>
      </c>
      <c r="AO345" s="11" t="e">
        <f>Расчет!GE345</f>
        <v>#N/A</v>
      </c>
      <c r="AP345" s="11" t="e">
        <f>Расчет!GF345</f>
        <v>#N/A</v>
      </c>
      <c r="AQ345" s="11" t="e">
        <f>Расчет!GG345</f>
        <v>#N/A</v>
      </c>
      <c r="AR345" s="11" t="e">
        <f>Расчет!GH345</f>
        <v>#N/A</v>
      </c>
      <c r="AS345" s="11" t="e">
        <f>Расчет!GI345</f>
        <v>#N/A</v>
      </c>
      <c r="AT345" s="11" t="e">
        <f>Расчет!GJ345</f>
        <v>#N/A</v>
      </c>
      <c r="AU345" s="198" t="e">
        <f t="shared" si="39"/>
        <v>#N/A</v>
      </c>
      <c r="AV345" s="198" t="e">
        <f t="shared" si="40"/>
        <v>#N/A</v>
      </c>
      <c r="AW345" s="198" t="e">
        <f t="shared" si="41"/>
        <v>#N/A</v>
      </c>
      <c r="AX345" s="11" t="e">
        <f t="shared" si="42"/>
        <v>#N/A</v>
      </c>
      <c r="AY345" s="11" t="e">
        <f t="shared" si="43"/>
        <v>#N/A</v>
      </c>
      <c r="AZ345" s="11" t="e">
        <f t="shared" si="44"/>
        <v>#N/A</v>
      </c>
    </row>
    <row r="346" spans="1:52" x14ac:dyDescent="0.2">
      <c r="A346" s="6">
        <f>Исходн.данные.!A346</f>
        <v>0</v>
      </c>
      <c r="B346" s="6">
        <f>Исходн.данные.!B346</f>
        <v>0</v>
      </c>
      <c r="C346" s="6">
        <f>Исходн.данные.!C346</f>
        <v>0</v>
      </c>
      <c r="D346" s="6">
        <f>Исходн.данные.!D346</f>
        <v>0</v>
      </c>
      <c r="E346" s="6">
        <f>Исходн.данные.!E346</f>
        <v>0</v>
      </c>
      <c r="F346" s="6">
        <f>Исходн.данные.!AH346</f>
        <v>0</v>
      </c>
      <c r="G346" s="6">
        <f>Исходн.данные.!AJ346</f>
        <v>0</v>
      </c>
      <c r="H346" s="6">
        <f>Исходн.данные.!AK346</f>
        <v>0</v>
      </c>
      <c r="I346" s="9">
        <f>IF($F346=0,0,Расчет2!AO346)</f>
        <v>0</v>
      </c>
      <c r="J346" s="9">
        <f>IF(F346=0,0,Расчет2!AP346)</f>
        <v>0</v>
      </c>
      <c r="K346" s="10">
        <f>IF($F346=0,0,Расчет2!AQ346)</f>
        <v>0</v>
      </c>
      <c r="L346" s="10">
        <f>IF($F346=0,0,Расчет2!AR346)</f>
        <v>0</v>
      </c>
      <c r="M346" s="10">
        <f>IF($F346=0,0,Расчет2!AS346)</f>
        <v>0</v>
      </c>
      <c r="N346" s="10">
        <f>IF($F346=0,0,IF(Исходн.данные.!$AP346="Посл.посева",0,Расчет2!AT346))</f>
        <v>0</v>
      </c>
      <c r="O346" s="10">
        <f>IF($F346=0,0,IF(Исходн.данные.!$AP346="Посл.посева",0,IF(Расчет2!AU346&lt;10,10,Расчет2!AU346)))</f>
        <v>0</v>
      </c>
      <c r="P346" s="10">
        <f>IF($F346=0,0,IF(Исходн.данные.!$AP346="Посл.посева",0,Расчет2!AV346))</f>
        <v>0</v>
      </c>
      <c r="Q346" s="10">
        <f>IF($F346=0,0,Расчет2!AW346)</f>
        <v>0</v>
      </c>
      <c r="R346" s="10">
        <f>IF($F346=0,0,Расчет2!AX346)</f>
        <v>0</v>
      </c>
      <c r="S346" s="9">
        <f>IF($F346=0,0,Расчет2!AY346)</f>
        <v>0</v>
      </c>
      <c r="T346" s="10">
        <f>IF($F346=0,0,Расчет2!AZ346)</f>
        <v>0</v>
      </c>
      <c r="U346" s="10">
        <f>IF($F346=0,0,Расчет2!BA346)</f>
        <v>0</v>
      </c>
      <c r="V346" s="10">
        <f>IF($F346=0,0,Расчет2!BB346)</f>
        <v>0</v>
      </c>
      <c r="W346" s="10">
        <f>Расчет!DL346</f>
        <v>0</v>
      </c>
      <c r="X346" s="10">
        <f>Расчет!DN346</f>
        <v>0</v>
      </c>
      <c r="Y346" s="9">
        <f>X346*Исходн.данные.!$AJ346/1000</f>
        <v>0</v>
      </c>
      <c r="Z346" s="10" t="str">
        <f>Расчет!DO346</f>
        <v>Хлор.калий</v>
      </c>
      <c r="AA346" s="10">
        <f>Расчет!DQ346</f>
        <v>0</v>
      </c>
      <c r="AB346" s="12">
        <f>AA346*Исходн.данные.!$AJ346/1000</f>
        <v>0</v>
      </c>
      <c r="AC346" s="9">
        <f>IF($F346=0,0,Расчет2!BC346)</f>
        <v>0</v>
      </c>
      <c r="AD346" s="10">
        <f>IF($F346=0,0,Расчет2!BD346)</f>
        <v>0</v>
      </c>
      <c r="AE346" s="9">
        <f>IF($F346=0,0,Расчет2!BE346)</f>
        <v>0</v>
      </c>
      <c r="AF346" s="9">
        <f>IF($F346=0,0,Расчет2!BF346)</f>
        <v>0</v>
      </c>
      <c r="AG346" s="9">
        <f>IF($F346=0,0,Расчет2!BG346)</f>
        <v>0</v>
      </c>
      <c r="AI346" s="11" t="e">
        <f>Расчет!FY346</f>
        <v>#N/A</v>
      </c>
      <c r="AJ346" s="11" t="e">
        <f>Расчет!FZ346</f>
        <v>#N/A</v>
      </c>
      <c r="AK346" s="11" t="e">
        <f>Расчет!GA346</f>
        <v>#N/A</v>
      </c>
      <c r="AL346" s="11" t="e">
        <f>Расчет!GB346</f>
        <v>#N/A</v>
      </c>
      <c r="AM346" s="11" t="e">
        <f>Расчет!GC346</f>
        <v>#N/A</v>
      </c>
      <c r="AN346" s="11" t="e">
        <f>Расчет!GD346</f>
        <v>#N/A</v>
      </c>
      <c r="AO346" s="11" t="e">
        <f>Расчет!GE346</f>
        <v>#N/A</v>
      </c>
      <c r="AP346" s="11" t="e">
        <f>Расчет!GF346</f>
        <v>#N/A</v>
      </c>
      <c r="AQ346" s="11" t="e">
        <f>Расчет!GG346</f>
        <v>#N/A</v>
      </c>
      <c r="AR346" s="11" t="e">
        <f>Расчет!GH346</f>
        <v>#N/A</v>
      </c>
      <c r="AS346" s="11" t="e">
        <f>Расчет!GI346</f>
        <v>#N/A</v>
      </c>
      <c r="AT346" s="11" t="e">
        <f>Расчет!GJ346</f>
        <v>#N/A</v>
      </c>
      <c r="AU346" s="198" t="e">
        <f t="shared" si="39"/>
        <v>#N/A</v>
      </c>
      <c r="AV346" s="198" t="e">
        <f t="shared" si="40"/>
        <v>#N/A</v>
      </c>
      <c r="AW346" s="198" t="e">
        <f t="shared" si="41"/>
        <v>#N/A</v>
      </c>
      <c r="AX346" s="11" t="e">
        <f t="shared" si="42"/>
        <v>#N/A</v>
      </c>
      <c r="AY346" s="11" t="e">
        <f t="shared" si="43"/>
        <v>#N/A</v>
      </c>
      <c r="AZ346" s="11" t="e">
        <f t="shared" si="44"/>
        <v>#N/A</v>
      </c>
    </row>
    <row r="347" spans="1:52" x14ac:dyDescent="0.2">
      <c r="A347" s="6">
        <f>Исходн.данные.!A347</f>
        <v>0</v>
      </c>
      <c r="B347" s="6">
        <f>Исходн.данные.!B347</f>
        <v>0</v>
      </c>
      <c r="C347" s="6">
        <f>Исходн.данные.!C347</f>
        <v>0</v>
      </c>
      <c r="D347" s="6">
        <f>Исходн.данные.!D347</f>
        <v>0</v>
      </c>
      <c r="E347" s="6">
        <f>Исходн.данные.!E347</f>
        <v>0</v>
      </c>
      <c r="F347" s="6">
        <f>Исходн.данные.!AH347</f>
        <v>0</v>
      </c>
      <c r="G347" s="6">
        <f>Исходн.данные.!AJ347</f>
        <v>0</v>
      </c>
      <c r="H347" s="6">
        <f>Исходн.данные.!AK347</f>
        <v>0</v>
      </c>
      <c r="I347" s="9">
        <f>IF($F347=0,0,Расчет2!AO347)</f>
        <v>0</v>
      </c>
      <c r="J347" s="9">
        <f>IF(F347=0,0,Расчет2!AP347)</f>
        <v>0</v>
      </c>
      <c r="K347" s="10">
        <f>IF($F347=0,0,Расчет2!AQ347)</f>
        <v>0</v>
      </c>
      <c r="L347" s="10">
        <f>IF($F347=0,0,Расчет2!AR347)</f>
        <v>0</v>
      </c>
      <c r="M347" s="10">
        <f>IF($F347=0,0,Расчет2!AS347)</f>
        <v>0</v>
      </c>
      <c r="N347" s="10">
        <f>IF($F347=0,0,IF(Исходн.данные.!$AP347="Посл.посева",0,Расчет2!AT347))</f>
        <v>0</v>
      </c>
      <c r="O347" s="10">
        <f>IF($F347=0,0,IF(Исходн.данные.!$AP347="Посл.посева",0,IF(Расчет2!AU347&lt;10,10,Расчет2!AU347)))</f>
        <v>0</v>
      </c>
      <c r="P347" s="10">
        <f>IF($F347=0,0,IF(Исходн.данные.!$AP347="Посл.посева",0,Расчет2!AV347))</f>
        <v>0</v>
      </c>
      <c r="Q347" s="10">
        <f>IF($F347=0,0,Расчет2!AW347)</f>
        <v>0</v>
      </c>
      <c r="R347" s="10">
        <f>IF($F347=0,0,Расчет2!AX347)</f>
        <v>0</v>
      </c>
      <c r="S347" s="9">
        <f>IF($F347=0,0,Расчет2!AY347)</f>
        <v>0</v>
      </c>
      <c r="T347" s="10">
        <f>IF($F347=0,0,Расчет2!AZ347)</f>
        <v>0</v>
      </c>
      <c r="U347" s="10">
        <f>IF($F347=0,0,Расчет2!BA347)</f>
        <v>0</v>
      </c>
      <c r="V347" s="10">
        <f>IF($F347=0,0,Расчет2!BB347)</f>
        <v>0</v>
      </c>
      <c r="W347" s="10">
        <f>Расчет!DL347</f>
        <v>0</v>
      </c>
      <c r="X347" s="10">
        <f>Расчет!DN347</f>
        <v>0</v>
      </c>
      <c r="Y347" s="9">
        <f>X347*Исходн.данные.!$AJ347/1000</f>
        <v>0</v>
      </c>
      <c r="Z347" s="10" t="str">
        <f>Расчет!DO347</f>
        <v>Хлор.калий</v>
      </c>
      <c r="AA347" s="10">
        <f>Расчет!DQ347</f>
        <v>0</v>
      </c>
      <c r="AB347" s="12">
        <f>AA347*Исходн.данные.!$AJ347/1000</f>
        <v>0</v>
      </c>
      <c r="AC347" s="9">
        <f>IF($F347=0,0,Расчет2!BC347)</f>
        <v>0</v>
      </c>
      <c r="AD347" s="10">
        <f>IF($F347=0,0,Расчет2!BD347)</f>
        <v>0</v>
      </c>
      <c r="AE347" s="9">
        <f>IF($F347=0,0,Расчет2!BE347)</f>
        <v>0</v>
      </c>
      <c r="AF347" s="9">
        <f>IF($F347=0,0,Расчет2!BF347)</f>
        <v>0</v>
      </c>
      <c r="AG347" s="9">
        <f>IF($F347=0,0,Расчет2!BG347)</f>
        <v>0</v>
      </c>
      <c r="AI347" s="11" t="e">
        <f>Расчет!FY347</f>
        <v>#N/A</v>
      </c>
      <c r="AJ347" s="11" t="e">
        <f>Расчет!FZ347</f>
        <v>#N/A</v>
      </c>
      <c r="AK347" s="11" t="e">
        <f>Расчет!GA347</f>
        <v>#N/A</v>
      </c>
      <c r="AL347" s="11" t="e">
        <f>Расчет!GB347</f>
        <v>#N/A</v>
      </c>
      <c r="AM347" s="11" t="e">
        <f>Расчет!GC347</f>
        <v>#N/A</v>
      </c>
      <c r="AN347" s="11" t="e">
        <f>Расчет!GD347</f>
        <v>#N/A</v>
      </c>
      <c r="AO347" s="11" t="e">
        <f>Расчет!GE347</f>
        <v>#N/A</v>
      </c>
      <c r="AP347" s="11" t="e">
        <f>Расчет!GF347</f>
        <v>#N/A</v>
      </c>
      <c r="AQ347" s="11" t="e">
        <f>Расчет!GG347</f>
        <v>#N/A</v>
      </c>
      <c r="AR347" s="11" t="e">
        <f>Расчет!GH347</f>
        <v>#N/A</v>
      </c>
      <c r="AS347" s="11" t="e">
        <f>Расчет!GI347</f>
        <v>#N/A</v>
      </c>
      <c r="AT347" s="11" t="e">
        <f>Расчет!GJ347</f>
        <v>#N/A</v>
      </c>
      <c r="AU347" s="198" t="e">
        <f t="shared" si="39"/>
        <v>#N/A</v>
      </c>
      <c r="AV347" s="198" t="e">
        <f t="shared" si="40"/>
        <v>#N/A</v>
      </c>
      <c r="AW347" s="198" t="e">
        <f t="shared" si="41"/>
        <v>#N/A</v>
      </c>
      <c r="AX347" s="11" t="e">
        <f t="shared" si="42"/>
        <v>#N/A</v>
      </c>
      <c r="AY347" s="11" t="e">
        <f t="shared" si="43"/>
        <v>#N/A</v>
      </c>
      <c r="AZ347" s="11" t="e">
        <f t="shared" si="44"/>
        <v>#N/A</v>
      </c>
    </row>
    <row r="348" spans="1:52" x14ac:dyDescent="0.2">
      <c r="A348" s="6">
        <f>Исходн.данные.!A348</f>
        <v>0</v>
      </c>
      <c r="B348" s="6">
        <f>Исходн.данные.!B348</f>
        <v>0</v>
      </c>
      <c r="C348" s="6">
        <f>Исходн.данные.!C348</f>
        <v>0</v>
      </c>
      <c r="D348" s="6">
        <f>Исходн.данные.!D348</f>
        <v>0</v>
      </c>
      <c r="E348" s="6">
        <f>Исходн.данные.!E348</f>
        <v>0</v>
      </c>
      <c r="F348" s="6">
        <f>Исходн.данные.!AH348</f>
        <v>0</v>
      </c>
      <c r="G348" s="6">
        <f>Исходн.данные.!AJ348</f>
        <v>0</v>
      </c>
      <c r="H348" s="6">
        <f>Исходн.данные.!AK348</f>
        <v>0</v>
      </c>
      <c r="I348" s="9">
        <f>IF($F348=0,0,Расчет2!AO348)</f>
        <v>0</v>
      </c>
      <c r="J348" s="9">
        <f>IF(F348=0,0,Расчет2!AP348)</f>
        <v>0</v>
      </c>
      <c r="K348" s="10">
        <f>IF($F348=0,0,Расчет2!AQ348)</f>
        <v>0</v>
      </c>
      <c r="L348" s="10">
        <f>IF($F348=0,0,Расчет2!AR348)</f>
        <v>0</v>
      </c>
      <c r="M348" s="10">
        <f>IF($F348=0,0,Расчет2!AS348)</f>
        <v>0</v>
      </c>
      <c r="N348" s="10">
        <f>IF($F348=0,0,IF(Исходн.данные.!$AP348="Посл.посева",0,Расчет2!AT348))</f>
        <v>0</v>
      </c>
      <c r="O348" s="10">
        <f>IF($F348=0,0,IF(Исходн.данные.!$AP348="Посл.посева",0,IF(Расчет2!AU348&lt;10,10,Расчет2!AU348)))</f>
        <v>0</v>
      </c>
      <c r="P348" s="10">
        <f>IF($F348=0,0,IF(Исходн.данные.!$AP348="Посл.посева",0,Расчет2!AV348))</f>
        <v>0</v>
      </c>
      <c r="Q348" s="10">
        <f>IF($F348=0,0,Расчет2!AW348)</f>
        <v>0</v>
      </c>
      <c r="R348" s="10">
        <f>IF($F348=0,0,Расчет2!AX348)</f>
        <v>0</v>
      </c>
      <c r="S348" s="9">
        <f>IF($F348=0,0,Расчет2!AY348)</f>
        <v>0</v>
      </c>
      <c r="T348" s="10">
        <f>IF($F348=0,0,Расчет2!AZ348)</f>
        <v>0</v>
      </c>
      <c r="U348" s="10">
        <f>IF($F348=0,0,Расчет2!BA348)</f>
        <v>0</v>
      </c>
      <c r="V348" s="10">
        <f>IF($F348=0,0,Расчет2!BB348)</f>
        <v>0</v>
      </c>
      <c r="W348" s="10">
        <f>Расчет!DL348</f>
        <v>0</v>
      </c>
      <c r="X348" s="10">
        <f>Расчет!DN348</f>
        <v>0</v>
      </c>
      <c r="Y348" s="9">
        <f>X348*Исходн.данные.!$AJ348/1000</f>
        <v>0</v>
      </c>
      <c r="Z348" s="10" t="str">
        <f>Расчет!DO348</f>
        <v>Хлор.калий</v>
      </c>
      <c r="AA348" s="10">
        <f>Расчет!DQ348</f>
        <v>0</v>
      </c>
      <c r="AB348" s="12">
        <f>AA348*Исходн.данные.!$AJ348/1000</f>
        <v>0</v>
      </c>
      <c r="AC348" s="9">
        <f>IF($F348=0,0,Расчет2!BC348)</f>
        <v>0</v>
      </c>
      <c r="AD348" s="10">
        <f>IF($F348=0,0,Расчет2!BD348)</f>
        <v>0</v>
      </c>
      <c r="AE348" s="9">
        <f>IF($F348=0,0,Расчет2!BE348)</f>
        <v>0</v>
      </c>
      <c r="AF348" s="9">
        <f>IF($F348=0,0,Расчет2!BF348)</f>
        <v>0</v>
      </c>
      <c r="AG348" s="9">
        <f>IF($F348=0,0,Расчет2!BG348)</f>
        <v>0</v>
      </c>
      <c r="AI348" s="11" t="e">
        <f>Расчет!FY348</f>
        <v>#N/A</v>
      </c>
      <c r="AJ348" s="11" t="e">
        <f>Расчет!FZ348</f>
        <v>#N/A</v>
      </c>
      <c r="AK348" s="11" t="e">
        <f>Расчет!GA348</f>
        <v>#N/A</v>
      </c>
      <c r="AL348" s="11" t="e">
        <f>Расчет!GB348</f>
        <v>#N/A</v>
      </c>
      <c r="AM348" s="11" t="e">
        <f>Расчет!GC348</f>
        <v>#N/A</v>
      </c>
      <c r="AN348" s="11" t="e">
        <f>Расчет!GD348</f>
        <v>#N/A</v>
      </c>
      <c r="AO348" s="11" t="e">
        <f>Расчет!GE348</f>
        <v>#N/A</v>
      </c>
      <c r="AP348" s="11" t="e">
        <f>Расчет!GF348</f>
        <v>#N/A</v>
      </c>
      <c r="AQ348" s="11" t="e">
        <f>Расчет!GG348</f>
        <v>#N/A</v>
      </c>
      <c r="AR348" s="11" t="e">
        <f>Расчет!GH348</f>
        <v>#N/A</v>
      </c>
      <c r="AS348" s="11" t="e">
        <f>Расчет!GI348</f>
        <v>#N/A</v>
      </c>
      <c r="AT348" s="11" t="e">
        <f>Расчет!GJ348</f>
        <v>#N/A</v>
      </c>
      <c r="AU348" s="198" t="e">
        <f t="shared" si="39"/>
        <v>#N/A</v>
      </c>
      <c r="AV348" s="198" t="e">
        <f t="shared" si="40"/>
        <v>#N/A</v>
      </c>
      <c r="AW348" s="198" t="e">
        <f t="shared" si="41"/>
        <v>#N/A</v>
      </c>
      <c r="AX348" s="11" t="e">
        <f t="shared" si="42"/>
        <v>#N/A</v>
      </c>
      <c r="AY348" s="11" t="e">
        <f t="shared" si="43"/>
        <v>#N/A</v>
      </c>
      <c r="AZ348" s="11" t="e">
        <f t="shared" si="44"/>
        <v>#N/A</v>
      </c>
    </row>
    <row r="349" spans="1:52" x14ac:dyDescent="0.2">
      <c r="A349" s="6">
        <f>Исходн.данные.!A349</f>
        <v>0</v>
      </c>
      <c r="B349" s="6">
        <f>Исходн.данные.!B349</f>
        <v>0</v>
      </c>
      <c r="C349" s="6">
        <f>Исходн.данные.!C349</f>
        <v>0</v>
      </c>
      <c r="D349" s="6">
        <f>Исходн.данные.!D349</f>
        <v>0</v>
      </c>
      <c r="E349" s="6">
        <f>Исходн.данные.!E349</f>
        <v>0</v>
      </c>
      <c r="F349" s="6">
        <f>Исходн.данные.!AH349</f>
        <v>0</v>
      </c>
      <c r="G349" s="6">
        <f>Исходн.данные.!AJ349</f>
        <v>0</v>
      </c>
      <c r="H349" s="6">
        <f>Исходн.данные.!AK349</f>
        <v>0</v>
      </c>
      <c r="I349" s="9">
        <f>IF($F349=0,0,Расчет2!AO349)</f>
        <v>0</v>
      </c>
      <c r="J349" s="9">
        <f>IF(F349=0,0,Расчет2!AP349)</f>
        <v>0</v>
      </c>
      <c r="K349" s="10">
        <f>IF($F349=0,0,Расчет2!AQ349)</f>
        <v>0</v>
      </c>
      <c r="L349" s="10">
        <f>IF($F349=0,0,Расчет2!AR349)</f>
        <v>0</v>
      </c>
      <c r="M349" s="10">
        <f>IF($F349=0,0,Расчет2!AS349)</f>
        <v>0</v>
      </c>
      <c r="N349" s="10">
        <f>IF($F349=0,0,IF(Исходн.данные.!$AP349="Посл.посева",0,Расчет2!AT349))</f>
        <v>0</v>
      </c>
      <c r="O349" s="10">
        <f>IF($F349=0,0,IF(Исходн.данные.!$AP349="Посл.посева",0,IF(Расчет2!AU349&lt;10,10,Расчет2!AU349)))</f>
        <v>0</v>
      </c>
      <c r="P349" s="10">
        <f>IF($F349=0,0,IF(Исходн.данные.!$AP349="Посл.посева",0,Расчет2!AV349))</f>
        <v>0</v>
      </c>
      <c r="Q349" s="10">
        <f>IF($F349=0,0,Расчет2!AW349)</f>
        <v>0</v>
      </c>
      <c r="R349" s="10">
        <f>IF($F349=0,0,Расчет2!AX349)</f>
        <v>0</v>
      </c>
      <c r="S349" s="9">
        <f>IF($F349=0,0,Расчет2!AY349)</f>
        <v>0</v>
      </c>
      <c r="T349" s="10">
        <f>IF($F349=0,0,Расчет2!AZ349)</f>
        <v>0</v>
      </c>
      <c r="U349" s="10">
        <f>IF($F349=0,0,Расчет2!BA349)</f>
        <v>0</v>
      </c>
      <c r="V349" s="10">
        <f>IF($F349=0,0,Расчет2!BB349)</f>
        <v>0</v>
      </c>
      <c r="W349" s="10">
        <f>Расчет!DL349</f>
        <v>0</v>
      </c>
      <c r="X349" s="10">
        <f>Расчет!DN349</f>
        <v>0</v>
      </c>
      <c r="Y349" s="9">
        <f>X349*Исходн.данные.!$AJ349/1000</f>
        <v>0</v>
      </c>
      <c r="Z349" s="10" t="str">
        <f>Расчет!DO349</f>
        <v>Хлор.калий</v>
      </c>
      <c r="AA349" s="10">
        <f>Расчет!DQ349</f>
        <v>0</v>
      </c>
      <c r="AB349" s="12">
        <f>AA349*Исходн.данные.!$AJ349/1000</f>
        <v>0</v>
      </c>
      <c r="AC349" s="9">
        <f>IF($F349=0,0,Расчет2!BC349)</f>
        <v>0</v>
      </c>
      <c r="AD349" s="10">
        <f>IF($F349=0,0,Расчет2!BD349)</f>
        <v>0</v>
      </c>
      <c r="AE349" s="9">
        <f>IF($F349=0,0,Расчет2!BE349)</f>
        <v>0</v>
      </c>
      <c r="AF349" s="9">
        <f>IF($F349=0,0,Расчет2!BF349)</f>
        <v>0</v>
      </c>
      <c r="AG349" s="9">
        <f>IF($F349=0,0,Расчет2!BG349)</f>
        <v>0</v>
      </c>
      <c r="AI349" s="11" t="e">
        <f>Расчет!FY349</f>
        <v>#N/A</v>
      </c>
      <c r="AJ349" s="11" t="e">
        <f>Расчет!FZ349</f>
        <v>#N/A</v>
      </c>
      <c r="AK349" s="11" t="e">
        <f>Расчет!GA349</f>
        <v>#N/A</v>
      </c>
      <c r="AL349" s="11" t="e">
        <f>Расчет!GB349</f>
        <v>#N/A</v>
      </c>
      <c r="AM349" s="11" t="e">
        <f>Расчет!GC349</f>
        <v>#N/A</v>
      </c>
      <c r="AN349" s="11" t="e">
        <f>Расчет!GD349</f>
        <v>#N/A</v>
      </c>
      <c r="AO349" s="11" t="e">
        <f>Расчет!GE349</f>
        <v>#N/A</v>
      </c>
      <c r="AP349" s="11" t="e">
        <f>Расчет!GF349</f>
        <v>#N/A</v>
      </c>
      <c r="AQ349" s="11" t="e">
        <f>Расчет!GG349</f>
        <v>#N/A</v>
      </c>
      <c r="AR349" s="11" t="e">
        <f>Расчет!GH349</f>
        <v>#N/A</v>
      </c>
      <c r="AS349" s="11" t="e">
        <f>Расчет!GI349</f>
        <v>#N/A</v>
      </c>
      <c r="AT349" s="11" t="e">
        <f>Расчет!GJ349</f>
        <v>#N/A</v>
      </c>
      <c r="AU349" s="198" t="e">
        <f t="shared" si="39"/>
        <v>#N/A</v>
      </c>
      <c r="AV349" s="198" t="e">
        <f t="shared" si="40"/>
        <v>#N/A</v>
      </c>
      <c r="AW349" s="198" t="e">
        <f t="shared" si="41"/>
        <v>#N/A</v>
      </c>
      <c r="AX349" s="11" t="e">
        <f t="shared" si="42"/>
        <v>#N/A</v>
      </c>
      <c r="AY349" s="11" t="e">
        <f t="shared" si="43"/>
        <v>#N/A</v>
      </c>
      <c r="AZ349" s="11" t="e">
        <f t="shared" si="44"/>
        <v>#N/A</v>
      </c>
    </row>
  </sheetData>
  <sheetProtection password="D25D" sheet="1" objects="1" scenarios="1" formatColumns="0" formatRows="0" pivotTables="0"/>
  <mergeCells count="21">
    <mergeCell ref="AU19:AW19"/>
    <mergeCell ref="AI20:AK20"/>
    <mergeCell ref="AO20:AQ20"/>
    <mergeCell ref="AR20:AT20"/>
    <mergeCell ref="AU20:AW20"/>
    <mergeCell ref="AI19:AK19"/>
    <mergeCell ref="AL19:AN19"/>
    <mergeCell ref="AO19:AQ19"/>
    <mergeCell ref="AR19:AT19"/>
    <mergeCell ref="AB2:AD2"/>
    <mergeCell ref="H12:J12"/>
    <mergeCell ref="W3:Y3"/>
    <mergeCell ref="V2:Z2"/>
    <mergeCell ref="R2:U2"/>
    <mergeCell ref="F5:J5"/>
    <mergeCell ref="K19:M19"/>
    <mergeCell ref="N19:AE19"/>
    <mergeCell ref="AF3:AG3"/>
    <mergeCell ref="N20:S20"/>
    <mergeCell ref="T20:AE20"/>
    <mergeCell ref="AD9:AF9"/>
  </mergeCells>
  <phoneticPr fontId="0" type="noConversion"/>
  <pageMargins left="0.09" right="0.08" top="0.05" bottom="0.18" header="0.09" footer="0.09"/>
  <pageSetup paperSize="9" scale="51" orientation="landscape" horizontalDpi="120" verticalDpi="144" r:id="rId1"/>
  <headerFooter alignWithMargins="0"/>
  <rowBreaks count="1" manualBreakCount="1">
    <brk id="55" max="125" man="1"/>
  </rowBreaks>
  <colBreaks count="1" manualBreakCount="1">
    <brk id="33" max="81" man="1"/>
  </colBreaks>
  <cellWatches>
    <cellWatch r="O22"/>
    <cellWatch r="O23"/>
    <cellWatch r="O24"/>
    <cellWatch r="O25"/>
    <cellWatch r="O26"/>
    <cellWatch r="O27"/>
    <cellWatch r="O28"/>
    <cellWatch r="O29"/>
    <cellWatch r="O30"/>
    <cellWatch r="O31"/>
    <cellWatch r="O32"/>
    <cellWatch r="O33"/>
  </cellWatch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E8:BK349"/>
  <sheetViews>
    <sheetView topLeftCell="AE6" zoomScale="71" zoomScaleNormal="71" zoomScaleSheetLayoutView="100" workbookViewId="0">
      <pane ySplit="16" topLeftCell="A22" activePane="bottomLeft" state="frozen"/>
      <selection activeCell="AL6" sqref="AL6"/>
      <selection pane="bottomLeft" activeCell="AI22" sqref="AI22:AJ349"/>
    </sheetView>
  </sheetViews>
  <sheetFormatPr defaultRowHeight="12.75" x14ac:dyDescent="0.2"/>
  <cols>
    <col min="41" max="41" width="10" customWidth="1"/>
    <col min="42" max="42" width="11.7109375" customWidth="1"/>
    <col min="43" max="43" width="6.5703125" customWidth="1"/>
    <col min="44" max="45" width="5.85546875" customWidth="1"/>
    <col min="49" max="49" width="9.5703125" customWidth="1"/>
    <col min="50" max="50" width="8" customWidth="1"/>
    <col min="51" max="51" width="8.42578125" customWidth="1"/>
    <col min="52" max="52" width="6" customWidth="1"/>
    <col min="53" max="53" width="5.85546875" customWidth="1"/>
    <col min="54" max="54" width="5.5703125" customWidth="1"/>
    <col min="57" max="57" width="10.85546875" customWidth="1"/>
    <col min="58" max="58" width="12.28515625" customWidth="1"/>
    <col min="59" max="59" width="13.140625" customWidth="1"/>
  </cols>
  <sheetData>
    <row r="8" spans="37:59" x14ac:dyDescent="0.2">
      <c r="AM8" s="26" t="s">
        <v>313</v>
      </c>
      <c r="AN8" s="26"/>
      <c r="AO8" s="353" t="s">
        <v>312</v>
      </c>
      <c r="AP8" s="353"/>
    </row>
    <row r="10" spans="37:59" x14ac:dyDescent="0.2">
      <c r="AK10">
        <f>Потребность!G14</f>
        <v>0</v>
      </c>
      <c r="AL10">
        <f>SUMIF(Исходн.данные.!AI22:AI349,Исходн.данные.!AI6,AL22:AL349)</f>
        <v>0</v>
      </c>
      <c r="AM10">
        <f>SUMIF(Исходн.данные.!AI22:AI349,Исходн.данные.!AI6,AM22:AM349)</f>
        <v>0</v>
      </c>
      <c r="AN10">
        <f>SUMIF(Исходн.данные.!AI22:AI349,Исходн.данные.!AI6,AN22:AN349)</f>
        <v>0</v>
      </c>
      <c r="AO10" t="e">
        <f>AM10/$AK10</f>
        <v>#DIV/0!</v>
      </c>
      <c r="AP10" t="e">
        <f>AN10/$AK10</f>
        <v>#DIV/0!</v>
      </c>
    </row>
    <row r="12" spans="37:59" x14ac:dyDescent="0.2">
      <c r="AK12">
        <f>Потребность!G15</f>
        <v>50</v>
      </c>
      <c r="AL12">
        <f>SUMIF(Исходн.данные.!AI22:AI349,Исходн.данные.!AI7,AL22:AL349)</f>
        <v>1250</v>
      </c>
      <c r="AM12">
        <f>SUMIF(Исходн.данные.!AI22:AI349,Исходн.данные.!AI7,AM22:AM349)</f>
        <v>483.87096774193549</v>
      </c>
      <c r="AN12">
        <f>SUMIF(Исходн.данные.!AI22:AI349,Исходн.данные.!AI7,AN22:AN349)</f>
        <v>1192.6969696969697</v>
      </c>
      <c r="AO12" s="11">
        <f>AM12/$AK12</f>
        <v>9.67741935483871</v>
      </c>
      <c r="AP12" s="11">
        <f>AN12/$AK12</f>
        <v>23.853939393939395</v>
      </c>
    </row>
    <row r="14" spans="37:59" x14ac:dyDescent="0.2">
      <c r="AK14">
        <f>Потребность!G16</f>
        <v>0</v>
      </c>
      <c r="AL14">
        <f>SUMIF(Исходн.данные.!AI22:AI349,Исходн.данные.!AI8,AL22:AL349)</f>
        <v>0</v>
      </c>
      <c r="AM14">
        <f>SUMIF(Исходн.данные.!AI22:AI349,Исходн.данные.!AI8,AM22:AM349)</f>
        <v>0</v>
      </c>
      <c r="AN14">
        <f>SUMIF(Исходн.данные.!AI22:AI349,Исходн.данные.!AI8,AN22:AN349)</f>
        <v>0</v>
      </c>
      <c r="AO14" s="11" t="e">
        <f>AM14/$AK14</f>
        <v>#DIV/0!</v>
      </c>
      <c r="AP14" s="11" t="e">
        <f>AN14/$AK14</f>
        <v>#DIV/0!</v>
      </c>
    </row>
    <row r="16" spans="37:59" x14ac:dyDescent="0.2">
      <c r="AK16">
        <f>Потребность!G17</f>
        <v>50</v>
      </c>
      <c r="AL16">
        <f>SUM(AL10:AL14)</f>
        <v>1250</v>
      </c>
      <c r="AM16">
        <f>SUM(AM10:AM14)</f>
        <v>483.87096774193549</v>
      </c>
      <c r="AN16">
        <f>SUM(AN10:AN14)</f>
        <v>1192.6969696969697</v>
      </c>
      <c r="AO16" s="11">
        <f>AM16/$AK16</f>
        <v>9.67741935483871</v>
      </c>
      <c r="AP16" s="11">
        <f>AN16/$AK16</f>
        <v>23.853939393939395</v>
      </c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</row>
    <row r="17" spans="31:63" x14ac:dyDescent="0.2"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</row>
    <row r="19" spans="31:63" x14ac:dyDescent="0.2">
      <c r="AF19" s="343" t="s">
        <v>608</v>
      </c>
      <c r="AG19" s="343"/>
      <c r="AH19" s="343"/>
      <c r="AI19" s="364" t="s">
        <v>610</v>
      </c>
      <c r="AJ19" s="364"/>
      <c r="AK19" s="312"/>
      <c r="AL19" s="117"/>
      <c r="AM19" s="20" t="s">
        <v>308</v>
      </c>
      <c r="AN19" s="118"/>
      <c r="AO19" s="22" t="s">
        <v>23</v>
      </c>
      <c r="AP19" s="16" t="s">
        <v>24</v>
      </c>
      <c r="AQ19" s="326" t="s">
        <v>199</v>
      </c>
      <c r="AR19" s="327"/>
      <c r="AS19" s="328"/>
      <c r="AT19" s="326" t="s">
        <v>172</v>
      </c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8"/>
      <c r="BF19" s="16" t="s">
        <v>119</v>
      </c>
      <c r="BG19" s="3" t="s">
        <v>123</v>
      </c>
      <c r="BI19" s="143" t="s">
        <v>370</v>
      </c>
      <c r="BJ19" s="365" t="s">
        <v>371</v>
      </c>
      <c r="BK19" s="366"/>
    </row>
    <row r="20" spans="31:63" x14ac:dyDescent="0.2">
      <c r="AF20" s="343"/>
      <c r="AG20" s="343"/>
      <c r="AH20" s="343"/>
      <c r="AI20" s="364"/>
      <c r="AJ20" s="364"/>
      <c r="AK20" s="312"/>
      <c r="AL20" s="3" t="s">
        <v>318</v>
      </c>
      <c r="AM20" s="4" t="s">
        <v>309</v>
      </c>
      <c r="AN20" s="4" t="s">
        <v>311</v>
      </c>
      <c r="AO20" s="17" t="s">
        <v>41</v>
      </c>
      <c r="AP20" s="17" t="s">
        <v>42</v>
      </c>
      <c r="AQ20" s="28" t="s">
        <v>29</v>
      </c>
      <c r="AR20" s="16"/>
      <c r="AS20" s="16"/>
      <c r="AT20" s="343" t="s">
        <v>257</v>
      </c>
      <c r="AU20" s="343"/>
      <c r="AV20" s="343"/>
      <c r="AW20" s="343"/>
      <c r="AX20" s="343"/>
      <c r="AY20" s="343"/>
      <c r="AZ20" s="343" t="s">
        <v>204</v>
      </c>
      <c r="BA20" s="343"/>
      <c r="BB20" s="343"/>
      <c r="BC20" s="343"/>
      <c r="BD20" s="343"/>
      <c r="BE20" s="343"/>
      <c r="BF20" s="17" t="s">
        <v>120</v>
      </c>
      <c r="BG20" s="4" t="s">
        <v>165</v>
      </c>
      <c r="BI20" s="144" t="s">
        <v>372</v>
      </c>
      <c r="BJ20" s="145"/>
      <c r="BK20" s="146"/>
    </row>
    <row r="21" spans="31:63" ht="15.75" x14ac:dyDescent="0.3">
      <c r="AF21" s="6" t="s">
        <v>609</v>
      </c>
      <c r="AG21" s="6" t="s">
        <v>263</v>
      </c>
      <c r="AH21" s="6" t="s">
        <v>271</v>
      </c>
      <c r="AI21" s="6" t="s">
        <v>599</v>
      </c>
      <c r="AJ21" s="6" t="s">
        <v>600</v>
      </c>
      <c r="AL21" s="5" t="s">
        <v>319</v>
      </c>
      <c r="AM21" s="5" t="s">
        <v>310</v>
      </c>
      <c r="AN21" s="5" t="s">
        <v>310</v>
      </c>
      <c r="AO21" s="8" t="s">
        <v>50</v>
      </c>
      <c r="AP21" s="8" t="s">
        <v>51</v>
      </c>
      <c r="AQ21" s="127" t="s">
        <v>52</v>
      </c>
      <c r="AR21" s="8" t="s">
        <v>30</v>
      </c>
      <c r="AS21" s="1" t="s">
        <v>31</v>
      </c>
      <c r="AT21" s="13" t="s">
        <v>166</v>
      </c>
      <c r="AU21" s="13" t="s">
        <v>167</v>
      </c>
      <c r="AV21" s="13" t="s">
        <v>168</v>
      </c>
      <c r="AW21" s="8" t="s">
        <v>170</v>
      </c>
      <c r="AX21" s="5" t="s">
        <v>117</v>
      </c>
      <c r="AY21" s="5" t="s">
        <v>188</v>
      </c>
      <c r="AZ21" s="7" t="s">
        <v>205</v>
      </c>
      <c r="BA21" s="7" t="s">
        <v>206</v>
      </c>
      <c r="BB21" s="7" t="s">
        <v>207</v>
      </c>
      <c r="BC21" s="8" t="s">
        <v>170</v>
      </c>
      <c r="BD21" s="7" t="s">
        <v>171</v>
      </c>
      <c r="BE21" s="7" t="s">
        <v>253</v>
      </c>
      <c r="BF21" s="8" t="s">
        <v>121</v>
      </c>
      <c r="BG21" s="4"/>
      <c r="BI21" s="102" t="s">
        <v>373</v>
      </c>
      <c r="BJ21" s="147" t="s">
        <v>373</v>
      </c>
      <c r="BK21" s="147" t="s">
        <v>374</v>
      </c>
    </row>
    <row r="22" spans="31:63" x14ac:dyDescent="0.2">
      <c r="AF22">
        <f>SUM(Исходн.данные.!AD22:AF22)</f>
        <v>0</v>
      </c>
      <c r="AG22" s="60">
        <f>SUM(Расчет!CI22:CK22)</f>
        <v>0</v>
      </c>
      <c r="AH22" s="60">
        <f>SUM(Расчет!DS22:DU22)</f>
        <v>0.41000000000000003</v>
      </c>
      <c r="AI22">
        <f t="shared" ref="AI22:AI85" si="0">VLOOKUP(МетОпрФос,ПопрКоМетАн,2,FALSE)</f>
        <v>1</v>
      </c>
      <c r="AJ22">
        <f t="shared" ref="AJ22:AJ85" si="1">VLOOKUP(МетОпрКал,ПопрКоМетАн,3,FALSE)</f>
        <v>1</v>
      </c>
      <c r="AL22">
        <f>Потребность!G22*Потребность!H22</f>
        <v>1250</v>
      </c>
      <c r="AM22" s="11">
        <f>Исходн.данные.!$AJ22*Расчет2!AO22</f>
        <v>483.87096774193549</v>
      </c>
      <c r="AN22" s="11">
        <f>Исходн.данные.!$AJ22*Расчет2!AP22</f>
        <v>1192.6969696969697</v>
      </c>
      <c r="AO22" s="25">
        <f>IF(Расчет!BF22=0,"X",Расчет!BF22)</f>
        <v>9.67741935483871</v>
      </c>
      <c r="AP22" s="25">
        <f>Расчет!BG22</f>
        <v>23.853939393939395</v>
      </c>
      <c r="AQ22" s="9">
        <f>IF(Расчет!BL22&lt;0,0,Расчет!BL22)</f>
        <v>62.747771428571447</v>
      </c>
      <c r="AR22" s="25">
        <f>IF(Расчет!BM22&lt;0,0,Расчет!BM22)</f>
        <v>19.718007466666663</v>
      </c>
      <c r="AS22" s="25">
        <f>IF(Расчет!BN22&lt;0,0,Расчет!BN22)</f>
        <v>29.70077493542205</v>
      </c>
      <c r="AT22" s="25">
        <f>Расчет!BY22</f>
        <v>18.824331428571433</v>
      </c>
      <c r="AU22" s="25">
        <f>Расчет!BZ22</f>
        <v>19.718007466666663</v>
      </c>
      <c r="AV22" s="25">
        <f>Расчет!CA22</f>
        <v>29.70077493542205</v>
      </c>
      <c r="AW22" s="25" t="str">
        <f>Расчет!CH22</f>
        <v>Нет</v>
      </c>
      <c r="AX22" s="25">
        <f>Расчет!DB22</f>
        <v>0</v>
      </c>
      <c r="AY22" s="25">
        <f>Расчет!DC22</f>
        <v>0</v>
      </c>
      <c r="AZ22" s="25">
        <f>Расчет!DG22</f>
        <v>62.747771428571447</v>
      </c>
      <c r="BA22" s="25">
        <f>Расчет!DH22</f>
        <v>19.718007466666663</v>
      </c>
      <c r="BB22" s="25">
        <f>Расчет!DI22</f>
        <v>29.70077493542205</v>
      </c>
      <c r="BC22" s="25" t="str">
        <f>Расчет!DR22</f>
        <v>Нитроаммофоска</v>
      </c>
      <c r="BD22" s="25">
        <f>Расчет!EB22</f>
        <v>281.68582095238088</v>
      </c>
      <c r="BE22" s="25">
        <f>Расчет!EF22</f>
        <v>14.084291047619045</v>
      </c>
      <c r="BF22" s="25">
        <f>Расчет!EI22</f>
        <v>13.178665190438744</v>
      </c>
      <c r="BG22" s="25" t="str">
        <f>Расчет!FA22</f>
        <v>Не требуется</v>
      </c>
      <c r="BI22">
        <f>IF(Исходн.данные.!AH22=Исходн.данные.!$AC$4,0.6,1)</f>
        <v>1</v>
      </c>
      <c r="BJ22">
        <f>IF(Исходн.данные.!AH22=Исходн.данные.!$AC$4,0.8,IF(OR(Потребность!F22=Расчет2!$BI$10,Потребность!F22=Расчет2!$BI$7,Потребность!F22=Расчет2!$BK$14,Исходн.данные.!AI22=Исходн.данные.!$AI$11),1.3,1))</f>
        <v>1</v>
      </c>
      <c r="BK22">
        <f>IF(OR(Исходн.данные.!AH22=Исходн.данные.!$AD$7,Исходн.данные.!AH22=Исходн.данные.!$AD$8),0.75,1)</f>
        <v>1</v>
      </c>
    </row>
    <row r="23" spans="31:63" x14ac:dyDescent="0.2">
      <c r="AF23">
        <f>SUM(Исходн.данные.!AD23:AF23)</f>
        <v>0</v>
      </c>
      <c r="AG23" s="60">
        <f>SUM(Расчет!CI23:CK23)</f>
        <v>0.64</v>
      </c>
      <c r="AH23" s="60">
        <f>SUM(Расчет!DS23:DU23)</f>
        <v>0</v>
      </c>
      <c r="AI23" t="e">
        <f t="shared" si="0"/>
        <v>#N/A</v>
      </c>
      <c r="AJ23" t="e">
        <f t="shared" si="1"/>
        <v>#N/A</v>
      </c>
      <c r="AL23">
        <f>Потребность!G23*Потребность!H23</f>
        <v>0</v>
      </c>
      <c r="AM23" s="11" t="e">
        <f>Исходн.данные.!$AJ23*Расчет2!AO23</f>
        <v>#VALUE!</v>
      </c>
      <c r="AN23" s="11">
        <f>Исходн.данные.!$AJ23*Расчет2!AP23</f>
        <v>0</v>
      </c>
      <c r="AO23" s="25" t="str">
        <f>IF(Расчет!BF23=0,"X",Расчет!BF23)</f>
        <v>X</v>
      </c>
      <c r="AP23" s="25">
        <f>Расчет!BG23</f>
        <v>0</v>
      </c>
      <c r="AQ23" s="9">
        <f>IF(Расчет!BL23&lt;0,0,Расчет!BL23)</f>
        <v>0</v>
      </c>
      <c r="AR23" s="25">
        <f>IF(Расчет!BM23&lt;0,0,Расчет!BM23)</f>
        <v>0</v>
      </c>
      <c r="AS23" s="25">
        <f>IF(Расчет!BN23&lt;0,0,Расчет!BN23)</f>
        <v>0</v>
      </c>
      <c r="AT23" s="25">
        <f>Расчет!BY23</f>
        <v>0</v>
      </c>
      <c r="AU23" s="25">
        <f>Расчет!BZ23</f>
        <v>10</v>
      </c>
      <c r="AV23" s="25">
        <f>Расчет!CA23</f>
        <v>0</v>
      </c>
      <c r="AW23" s="25" t="str">
        <f>Расчет!CH23</f>
        <v>Аммофос 12:52:00</v>
      </c>
      <c r="AX23" s="25">
        <f>Расчет!DB23</f>
        <v>0</v>
      </c>
      <c r="AY23" s="25">
        <f>Расчет!DC23</f>
        <v>0</v>
      </c>
      <c r="AZ23" s="25">
        <f>Расчет!DG23</f>
        <v>0</v>
      </c>
      <c r="BA23" s="25">
        <f>Расчет!DH23</f>
        <v>0</v>
      </c>
      <c r="BB23" s="25">
        <f>Расчет!DI23</f>
        <v>0</v>
      </c>
      <c r="BC23" s="25" t="str">
        <f>Расчет!DR23</f>
        <v>Нет</v>
      </c>
      <c r="BD23" s="25">
        <f>Расчет!EB23</f>
        <v>0</v>
      </c>
      <c r="BE23" s="25">
        <f>Расчет!EF23</f>
        <v>0</v>
      </c>
      <c r="BF23" s="25" t="e">
        <f>Расчет!EI23</f>
        <v>#DIV/0!</v>
      </c>
      <c r="BG23" s="25" t="e">
        <f>Расчет!FA23</f>
        <v>#N/A</v>
      </c>
      <c r="BI23">
        <f>IF(Исходн.данные.!AH23=Исходн.данные.!$AC$4,0.6,1)</f>
        <v>1</v>
      </c>
      <c r="BJ23">
        <f>IF(Исходн.данные.!AH23=Исходн.данные.!$AC$4,0.8,IF(OR(Потребность!F23=Расчет2!$BI$10,Потребность!F23=Расчет2!$BI$7,Потребность!F23=Расчет2!$BK$14,Исходн.данные.!AI23=Исходн.данные.!$AI$11),1.3,1))</f>
        <v>1.3</v>
      </c>
      <c r="BK23">
        <f>IF(OR(Исходн.данные.!AH23=Исходн.данные.!$AD$7,Исходн.данные.!AH23=Исходн.данные.!$AD$8),0.75,1)</f>
        <v>1</v>
      </c>
    </row>
    <row r="24" spans="31:63" x14ac:dyDescent="0.2">
      <c r="AF24">
        <f>SUM(Исходн.данные.!AD24:AF24)</f>
        <v>0</v>
      </c>
      <c r="AG24" s="60">
        <f>SUM(Расчет!CI24:CK24)</f>
        <v>0.64</v>
      </c>
      <c r="AH24" s="60">
        <f>SUM(Расчет!DS24:DU24)</f>
        <v>0</v>
      </c>
      <c r="AI24" t="e">
        <f t="shared" si="0"/>
        <v>#N/A</v>
      </c>
      <c r="AJ24" t="e">
        <f t="shared" si="1"/>
        <v>#N/A</v>
      </c>
      <c r="AL24">
        <f>Потребность!G24*Потребность!H24</f>
        <v>0</v>
      </c>
      <c r="AM24" s="11" t="e">
        <f>Исходн.данные.!$AJ24*Расчет2!AO24</f>
        <v>#VALUE!</v>
      </c>
      <c r="AN24" s="11">
        <f>Исходн.данные.!$AJ24*Расчет2!AP24</f>
        <v>0</v>
      </c>
      <c r="AO24" s="25" t="str">
        <f>IF(Расчет!BF24=0,"X",Расчет!BF24)</f>
        <v>X</v>
      </c>
      <c r="AP24" s="25">
        <f>Расчет!BG24</f>
        <v>0</v>
      </c>
      <c r="AQ24" s="9">
        <f>IF(Расчет!BL24&lt;0,0,Расчет!BL24)</f>
        <v>0</v>
      </c>
      <c r="AR24" s="25">
        <f>IF(Расчет!BM24&lt;0,0,Расчет!BM24)</f>
        <v>0</v>
      </c>
      <c r="AS24" s="25">
        <f>IF(Расчет!BN24&lt;0,0,Расчет!BN24)</f>
        <v>0</v>
      </c>
      <c r="AT24" s="25">
        <f>Расчет!BY24</f>
        <v>0</v>
      </c>
      <c r="AU24" s="25">
        <f>Расчет!BZ24</f>
        <v>10</v>
      </c>
      <c r="AV24" s="25">
        <f>Расчет!CA24</f>
        <v>0</v>
      </c>
      <c r="AW24" s="25" t="str">
        <f>Расчет!CH24</f>
        <v>Аммофос 12:52:00</v>
      </c>
      <c r="AX24" s="25">
        <f>Расчет!DB24</f>
        <v>0</v>
      </c>
      <c r="AY24" s="25">
        <f>Расчет!DC24</f>
        <v>0</v>
      </c>
      <c r="AZ24" s="25">
        <f>Расчет!DG24</f>
        <v>0</v>
      </c>
      <c r="BA24" s="25">
        <f>Расчет!DH24</f>
        <v>0</v>
      </c>
      <c r="BB24" s="25">
        <f>Расчет!DI24</f>
        <v>0</v>
      </c>
      <c r="BC24" s="25" t="str">
        <f>Расчет!DR24</f>
        <v>Нет</v>
      </c>
      <c r="BD24" s="25">
        <f>Расчет!EB24</f>
        <v>0</v>
      </c>
      <c r="BE24" s="25">
        <f>Расчет!EF24</f>
        <v>0</v>
      </c>
      <c r="BF24" s="25" t="e">
        <f>Расчет!EI24</f>
        <v>#DIV/0!</v>
      </c>
      <c r="BG24" s="25" t="e">
        <f>Расчет!FA24</f>
        <v>#N/A</v>
      </c>
      <c r="BI24">
        <f>IF(Исходн.данные.!AH24=Исходн.данные.!$AC$4,0.6,1)</f>
        <v>1</v>
      </c>
      <c r="BJ24">
        <f>IF(Исходн.данные.!AH24=Исходн.данные.!$AC$4,0.8,IF(OR(Потребность!F24=Расчет2!$BI$10,Потребность!F24=Расчет2!$BI$7,Потребность!F24=Расчет2!$BK$14,Исходн.данные.!AI24=Исходн.данные.!$AI$11),1.3,1))</f>
        <v>1.3</v>
      </c>
      <c r="BK24">
        <f>IF(OR(Исходн.данные.!AH24=Исходн.данные.!$AD$7,Исходн.данные.!AH24=Исходн.данные.!$AD$8),0.75,1)</f>
        <v>1</v>
      </c>
    </row>
    <row r="25" spans="31:63" x14ac:dyDescent="0.2">
      <c r="AF25">
        <f>SUM(Исходн.данные.!AD25:AF25)</f>
        <v>0</v>
      </c>
      <c r="AG25" s="60">
        <f>SUM(Расчет!CI25:CK25)</f>
        <v>0.64</v>
      </c>
      <c r="AH25" s="60">
        <f>SUM(Расчет!DS25:DU25)</f>
        <v>0</v>
      </c>
      <c r="AI25" t="e">
        <f t="shared" si="0"/>
        <v>#N/A</v>
      </c>
      <c r="AJ25" t="e">
        <f t="shared" si="1"/>
        <v>#N/A</v>
      </c>
      <c r="AL25">
        <f>Потребность!G25*Потребность!H25</f>
        <v>0</v>
      </c>
      <c r="AM25" s="11" t="e">
        <f>Исходн.данные.!$AJ25*Расчет2!AO25</f>
        <v>#VALUE!</v>
      </c>
      <c r="AN25" s="11">
        <f>Исходн.данные.!$AJ25*Расчет2!AP25</f>
        <v>0</v>
      </c>
      <c r="AO25" s="25" t="str">
        <f>IF(Расчет!BF25=0,"X",Расчет!BF25)</f>
        <v>X</v>
      </c>
      <c r="AP25" s="25">
        <f>Расчет!BG25</f>
        <v>0</v>
      </c>
      <c r="AQ25" s="9">
        <f>IF(Расчет!BL25&lt;0,0,Расчет!BL25)</f>
        <v>0</v>
      </c>
      <c r="AR25" s="25">
        <f>IF(Расчет!BM25&lt;0,0,Расчет!BM25)</f>
        <v>0</v>
      </c>
      <c r="AS25" s="25">
        <f>IF(Расчет!BN25&lt;0,0,Расчет!BN25)</f>
        <v>0</v>
      </c>
      <c r="AT25" s="25">
        <f>Расчет!BY25</f>
        <v>0</v>
      </c>
      <c r="AU25" s="25">
        <f>Расчет!BZ25</f>
        <v>10</v>
      </c>
      <c r="AV25" s="25">
        <f>Расчет!CA25</f>
        <v>0</v>
      </c>
      <c r="AW25" s="25" t="str">
        <f>Расчет!CH25</f>
        <v>Аммофос 12:52:00</v>
      </c>
      <c r="AX25" s="25">
        <f>Расчет!DB25</f>
        <v>0</v>
      </c>
      <c r="AY25" s="25">
        <f>Расчет!DC25</f>
        <v>0</v>
      </c>
      <c r="AZ25" s="25">
        <f>Расчет!DG25</f>
        <v>0</v>
      </c>
      <c r="BA25" s="25">
        <f>Расчет!DH25</f>
        <v>0</v>
      </c>
      <c r="BB25" s="25">
        <f>Расчет!DI25</f>
        <v>0</v>
      </c>
      <c r="BC25" s="25" t="str">
        <f>Расчет!DR25</f>
        <v>Нет</v>
      </c>
      <c r="BD25" s="25">
        <f>Расчет!EB25</f>
        <v>0</v>
      </c>
      <c r="BE25" s="25">
        <f>Расчет!EF25</f>
        <v>0</v>
      </c>
      <c r="BF25" s="25" t="e">
        <f>Расчет!EI25</f>
        <v>#DIV/0!</v>
      </c>
      <c r="BG25" s="25" t="e">
        <f>Расчет!FA25</f>
        <v>#N/A</v>
      </c>
      <c r="BI25">
        <f>IF(Исходн.данные.!AH25=Исходн.данные.!$AC$4,0.6,1)</f>
        <v>1</v>
      </c>
      <c r="BJ25">
        <f>IF(Исходн.данные.!AH25=Исходн.данные.!$AC$4,0.8,IF(OR(Потребность!F25=Расчет2!$BI$10,Потребность!F25=Расчет2!$BI$7,Потребность!F25=Расчет2!$BK$14,Исходн.данные.!AI25=Исходн.данные.!$AI$11),1.3,1))</f>
        <v>1.3</v>
      </c>
      <c r="BK25">
        <f>IF(OR(Исходн.данные.!AH25=Исходн.данные.!$AD$7,Исходн.данные.!AH25=Исходн.данные.!$AD$8),0.75,1)</f>
        <v>1</v>
      </c>
    </row>
    <row r="26" spans="31:63" x14ac:dyDescent="0.2">
      <c r="AE26" t="str">
        <f>УдКал</f>
        <v>Хлор.калий</v>
      </c>
      <c r="AF26">
        <f>SUM(Исходн.данные.!AD26:AF26)</f>
        <v>0</v>
      </c>
      <c r="AG26" s="60">
        <f>SUM(Расчет!CI26:CK26)</f>
        <v>0.64</v>
      </c>
      <c r="AH26" s="60">
        <f>SUM(Расчет!DS26:DU26)</f>
        <v>0</v>
      </c>
      <c r="AI26" t="e">
        <f t="shared" si="0"/>
        <v>#N/A</v>
      </c>
      <c r="AJ26" t="e">
        <f t="shared" si="1"/>
        <v>#N/A</v>
      </c>
      <c r="AL26">
        <f>Потребность!G26*Потребность!H26</f>
        <v>0</v>
      </c>
      <c r="AM26" s="11" t="e">
        <f>Исходн.данные.!$AJ26*Расчет2!AO26</f>
        <v>#VALUE!</v>
      </c>
      <c r="AN26" s="11">
        <f>Исходн.данные.!$AJ26*Расчет2!AP26</f>
        <v>0</v>
      </c>
      <c r="AO26" s="25" t="str">
        <f>IF(Расчет!BF26=0,"X",Расчет!BF26)</f>
        <v>X</v>
      </c>
      <c r="AP26" s="25">
        <f>Расчет!BG26</f>
        <v>0</v>
      </c>
      <c r="AQ26" s="9">
        <f>IF(Расчет!BL26&lt;0,0,Расчет!BL26)</f>
        <v>0</v>
      </c>
      <c r="AR26" s="25">
        <f>IF(Расчет!BM26&lt;0,0,Расчет!BM26)</f>
        <v>0</v>
      </c>
      <c r="AS26" s="25">
        <f>IF(Расчет!BN26&lt;0,0,Расчет!BN26)</f>
        <v>0</v>
      </c>
      <c r="AT26" s="25">
        <f>Расчет!BY26</f>
        <v>0</v>
      </c>
      <c r="AU26" s="25">
        <f>Расчет!BZ26</f>
        <v>10</v>
      </c>
      <c r="AV26" s="25">
        <f>Расчет!CA26</f>
        <v>0</v>
      </c>
      <c r="AW26" s="25" t="str">
        <f>Расчет!CH26</f>
        <v>Аммофос 12:52:00</v>
      </c>
      <c r="AX26" s="25">
        <f>Расчет!DB26</f>
        <v>0</v>
      </c>
      <c r="AY26" s="25">
        <f>Расчет!DC26</f>
        <v>0</v>
      </c>
      <c r="AZ26" s="25">
        <f>Расчет!DG26</f>
        <v>0</v>
      </c>
      <c r="BA26" s="25">
        <f>Расчет!DH26</f>
        <v>0</v>
      </c>
      <c r="BB26" s="25">
        <f>Расчет!DI26</f>
        <v>0</v>
      </c>
      <c r="BC26" s="25" t="str">
        <f>Расчет!DR26</f>
        <v>Нет</v>
      </c>
      <c r="BD26" s="25">
        <f>Расчет!EB26</f>
        <v>0</v>
      </c>
      <c r="BE26" s="25">
        <f>Расчет!EF26</f>
        <v>0</v>
      </c>
      <c r="BF26" s="25" t="e">
        <f>Расчет!EI26</f>
        <v>#DIV/0!</v>
      </c>
      <c r="BG26" s="25" t="e">
        <f>Расчет!FA26</f>
        <v>#N/A</v>
      </c>
      <c r="BI26">
        <f>IF(Исходн.данные.!AH26=Исходн.данные.!$AC$4,0.6,1)</f>
        <v>1</v>
      </c>
      <c r="BJ26">
        <f>IF(Исходн.данные.!AH26=Исходн.данные.!$AC$4,0.8,IF(OR(Потребность!F26=Расчет2!$BI$10,Потребность!F26=Расчет2!$BI$7,Потребность!F26=Расчет2!$BK$14,Исходн.данные.!AI26=Исходн.данные.!$AI$11),1.3,1))</f>
        <v>1.3</v>
      </c>
      <c r="BK26">
        <f>IF(OR(Исходн.данные.!AH26=Исходн.данные.!$AD$7,Исходн.данные.!AH26=Исходн.данные.!$AD$8),0.75,1)</f>
        <v>1</v>
      </c>
    </row>
    <row r="27" spans="31:63" x14ac:dyDescent="0.2">
      <c r="AF27">
        <f>SUM(Исходн.данные.!AD27:AF27)</f>
        <v>0</v>
      </c>
      <c r="AG27" s="60">
        <f>SUM(Расчет!CI27:CK27)</f>
        <v>0.64</v>
      </c>
      <c r="AH27" s="60">
        <f>SUM(Расчет!DS27:DU27)</f>
        <v>0</v>
      </c>
      <c r="AI27" t="e">
        <f t="shared" si="0"/>
        <v>#N/A</v>
      </c>
      <c r="AJ27" t="e">
        <f t="shared" si="1"/>
        <v>#N/A</v>
      </c>
      <c r="AL27">
        <f>Потребность!G27*Потребность!H27</f>
        <v>0</v>
      </c>
      <c r="AM27" s="11" t="e">
        <f>Исходн.данные.!$AJ27*Расчет2!AO27</f>
        <v>#VALUE!</v>
      </c>
      <c r="AN27" s="11">
        <f>Исходн.данные.!$AJ27*Расчет2!AP27</f>
        <v>0</v>
      </c>
      <c r="AO27" s="25" t="str">
        <f>IF(Расчет!BF27=0,"X",Расчет!BF27)</f>
        <v>X</v>
      </c>
      <c r="AP27" s="25">
        <f>Расчет!BG27</f>
        <v>0</v>
      </c>
      <c r="AQ27" s="9">
        <f>IF(Расчет!BL27&lt;0,0,Расчет!BL27)</f>
        <v>0</v>
      </c>
      <c r="AR27" s="25">
        <f>IF(Расчет!BM27&lt;0,0,Расчет!BM27)</f>
        <v>0</v>
      </c>
      <c r="AS27" s="25">
        <f>IF(Расчет!BN27&lt;0,0,Расчет!BN27)</f>
        <v>0</v>
      </c>
      <c r="AT27" s="25">
        <f>Расчет!BY27</f>
        <v>0</v>
      </c>
      <c r="AU27" s="25">
        <f>Расчет!BZ27</f>
        <v>10</v>
      </c>
      <c r="AV27" s="25">
        <f>Расчет!CA27</f>
        <v>0</v>
      </c>
      <c r="AW27" s="25" t="str">
        <f>Расчет!CH27</f>
        <v>Аммофос 12:52:00</v>
      </c>
      <c r="AX27" s="25">
        <f>Расчет!DB27</f>
        <v>0</v>
      </c>
      <c r="AY27" s="25">
        <f>Расчет!DC27</f>
        <v>0</v>
      </c>
      <c r="AZ27" s="25">
        <f>Расчет!DG27</f>
        <v>0</v>
      </c>
      <c r="BA27" s="25">
        <f>Расчет!DH27</f>
        <v>0</v>
      </c>
      <c r="BB27" s="25">
        <f>Расчет!DI27</f>
        <v>0</v>
      </c>
      <c r="BC27" s="25" t="str">
        <f>Расчет!DR27</f>
        <v>Нет</v>
      </c>
      <c r="BD27" s="25">
        <f>Расчет!EB27</f>
        <v>0</v>
      </c>
      <c r="BE27" s="25">
        <f>Расчет!EF27</f>
        <v>0</v>
      </c>
      <c r="BF27" s="25" t="e">
        <f>Расчет!EI27</f>
        <v>#DIV/0!</v>
      </c>
      <c r="BG27" s="25" t="e">
        <f>Расчет!FA27</f>
        <v>#N/A</v>
      </c>
      <c r="BI27">
        <f>IF(Исходн.данные.!AH27=Исходн.данные.!$AC$4,0.6,1)</f>
        <v>1</v>
      </c>
      <c r="BJ27">
        <f>IF(Исходн.данные.!AH27=Исходн.данные.!$AC$4,0.8,IF(OR(Потребность!F27=Расчет2!$BI$10,Потребность!F27=Расчет2!$BI$7,Потребность!F27=Расчет2!$BK$14,Исходн.данные.!AI27=Исходн.данные.!$AI$11),1.3,1))</f>
        <v>1.3</v>
      </c>
      <c r="BK27">
        <f>IF(OR(Исходн.данные.!AH27=Исходн.данные.!$AD$7,Исходн.данные.!AH27=Исходн.данные.!$AD$8),0.75,1)</f>
        <v>1</v>
      </c>
    </row>
    <row r="28" spans="31:63" x14ac:dyDescent="0.2">
      <c r="AF28">
        <f>SUM(Исходн.данные.!AD28:AF28)</f>
        <v>0</v>
      </c>
      <c r="AG28" s="60">
        <f>SUM(Расчет!CI28:CK28)</f>
        <v>0.64</v>
      </c>
      <c r="AH28" s="60">
        <f>SUM(Расчет!DS28:DU28)</f>
        <v>0</v>
      </c>
      <c r="AI28" t="e">
        <f t="shared" si="0"/>
        <v>#N/A</v>
      </c>
      <c r="AJ28" t="e">
        <f t="shared" si="1"/>
        <v>#N/A</v>
      </c>
      <c r="AL28">
        <f>Потребность!G28*Потребность!H28</f>
        <v>0</v>
      </c>
      <c r="AM28" s="11" t="e">
        <f>Исходн.данные.!$AJ28*Расчет2!AO28</f>
        <v>#VALUE!</v>
      </c>
      <c r="AN28" s="11">
        <f>Исходн.данные.!$AJ28*Расчет2!AP28</f>
        <v>0</v>
      </c>
      <c r="AO28" s="25" t="str">
        <f>IF(Расчет!BF28=0,"X",Расчет!BF28)</f>
        <v>X</v>
      </c>
      <c r="AP28" s="25">
        <f>Расчет!BG28</f>
        <v>0</v>
      </c>
      <c r="AQ28" s="9">
        <f>IF(Расчет!BL28&lt;0,0,Расчет!BL28)</f>
        <v>0</v>
      </c>
      <c r="AR28" s="25">
        <f>IF(Расчет!BM28&lt;0,0,Расчет!BM28)</f>
        <v>0</v>
      </c>
      <c r="AS28" s="25">
        <f>IF(Расчет!BN28&lt;0,0,Расчет!BN28)</f>
        <v>0</v>
      </c>
      <c r="AT28" s="25">
        <f>Расчет!BY28</f>
        <v>0</v>
      </c>
      <c r="AU28" s="25">
        <f>Расчет!BZ28</f>
        <v>10</v>
      </c>
      <c r="AV28" s="25">
        <f>Расчет!CA28</f>
        <v>0</v>
      </c>
      <c r="AW28" s="25" t="str">
        <f>Расчет!CH28</f>
        <v>Аммофос 12:52:00</v>
      </c>
      <c r="AX28" s="25">
        <f>Расчет!DB28</f>
        <v>0</v>
      </c>
      <c r="AY28" s="25">
        <f>Расчет!DC28</f>
        <v>0</v>
      </c>
      <c r="AZ28" s="25">
        <f>Расчет!DG28</f>
        <v>0</v>
      </c>
      <c r="BA28" s="25">
        <f>Расчет!DH28</f>
        <v>0</v>
      </c>
      <c r="BB28" s="25">
        <f>Расчет!DI28</f>
        <v>0</v>
      </c>
      <c r="BC28" s="25" t="str">
        <f>Расчет!DR28</f>
        <v>Нет</v>
      </c>
      <c r="BD28" s="25">
        <f>Расчет!EB28</f>
        <v>0</v>
      </c>
      <c r="BE28" s="25">
        <f>Расчет!EF28</f>
        <v>0</v>
      </c>
      <c r="BF28" s="25" t="e">
        <f>Расчет!EI28</f>
        <v>#DIV/0!</v>
      </c>
      <c r="BG28" s="25" t="e">
        <f>Расчет!FA28</f>
        <v>#N/A</v>
      </c>
      <c r="BI28">
        <f>IF(Исходн.данные.!AH28=Исходн.данные.!$AC$4,0.6,1)</f>
        <v>1</v>
      </c>
      <c r="BJ28">
        <f>IF(Исходн.данные.!AH28=Исходн.данные.!$AC$4,0.8,IF(OR(Потребность!F28=Расчет2!$BI$10,Потребность!F28=Расчет2!$BI$7,Потребность!F28=Расчет2!$BK$14,Исходн.данные.!AI28=Исходн.данные.!$AI$11),1.3,1))</f>
        <v>1.3</v>
      </c>
      <c r="BK28">
        <f>IF(OR(Исходн.данные.!AH28=Исходн.данные.!$AD$7,Исходн.данные.!AH28=Исходн.данные.!$AD$8),0.75,1)</f>
        <v>1</v>
      </c>
    </row>
    <row r="29" spans="31:63" x14ac:dyDescent="0.2">
      <c r="AF29">
        <f>SUM(Исходн.данные.!AD29:AF29)</f>
        <v>0</v>
      </c>
      <c r="AG29" s="60">
        <f>SUM(Расчет!CI29:CK29)</f>
        <v>0.64</v>
      </c>
      <c r="AH29" s="60">
        <f>SUM(Расчет!DS29:DU29)</f>
        <v>0</v>
      </c>
      <c r="AI29" t="e">
        <f t="shared" si="0"/>
        <v>#N/A</v>
      </c>
      <c r="AJ29" t="e">
        <f t="shared" si="1"/>
        <v>#N/A</v>
      </c>
      <c r="AL29">
        <f>Потребность!G29*Потребность!H29</f>
        <v>0</v>
      </c>
      <c r="AM29" s="11" t="e">
        <f>Исходн.данные.!$AJ29*Расчет2!AO29</f>
        <v>#VALUE!</v>
      </c>
      <c r="AN29" s="11">
        <f>Исходн.данные.!$AJ29*Расчет2!AP29</f>
        <v>0</v>
      </c>
      <c r="AO29" s="25" t="str">
        <f>IF(Расчет!BF29=0,"X",Расчет!BF29)</f>
        <v>X</v>
      </c>
      <c r="AP29" s="25">
        <f>Расчет!BG29</f>
        <v>0</v>
      </c>
      <c r="AQ29" s="9">
        <f>IF(Расчет!BL29&lt;0,0,Расчет!BL29)</f>
        <v>0</v>
      </c>
      <c r="AR29" s="25">
        <f>IF(Расчет!BM29&lt;0,0,Расчет!BM29)</f>
        <v>0</v>
      </c>
      <c r="AS29" s="25">
        <f>IF(Расчет!BN29&lt;0,0,Расчет!BN29)</f>
        <v>0</v>
      </c>
      <c r="AT29" s="25">
        <f>Расчет!BY29</f>
        <v>0</v>
      </c>
      <c r="AU29" s="25">
        <f>Расчет!BZ29</f>
        <v>10</v>
      </c>
      <c r="AV29" s="25">
        <f>Расчет!CA29</f>
        <v>0</v>
      </c>
      <c r="AW29" s="25" t="str">
        <f>Расчет!CH29</f>
        <v>Аммофос 12:52:00</v>
      </c>
      <c r="AX29" s="25">
        <f>Расчет!DB29</f>
        <v>0</v>
      </c>
      <c r="AY29" s="25">
        <f>Расчет!DC29</f>
        <v>0</v>
      </c>
      <c r="AZ29" s="25">
        <f>Расчет!DG29</f>
        <v>0</v>
      </c>
      <c r="BA29" s="25">
        <f>Расчет!DH29</f>
        <v>0</v>
      </c>
      <c r="BB29" s="25">
        <f>Расчет!DI29</f>
        <v>0</v>
      </c>
      <c r="BC29" s="25" t="str">
        <f>Расчет!DR29</f>
        <v>Нет</v>
      </c>
      <c r="BD29" s="25">
        <f>Расчет!EB29</f>
        <v>0</v>
      </c>
      <c r="BE29" s="25">
        <f>Расчет!EF29</f>
        <v>0</v>
      </c>
      <c r="BF29" s="25" t="e">
        <f>Расчет!EI29</f>
        <v>#DIV/0!</v>
      </c>
      <c r="BG29" s="25" t="e">
        <f>Расчет!FA29</f>
        <v>#N/A</v>
      </c>
      <c r="BI29">
        <f>IF(Исходн.данные.!AH29=Исходн.данные.!$AC$4,0.6,1)</f>
        <v>1</v>
      </c>
      <c r="BJ29">
        <f>IF(Исходн.данные.!AH29=Исходн.данные.!$AC$4,0.8,IF(OR(Потребность!F29=Расчет2!$BI$10,Потребность!F29=Расчет2!$BI$7,Потребность!F29=Расчет2!$BK$14,Исходн.данные.!AI29=Исходн.данные.!$AI$11),1.3,1))</f>
        <v>1.3</v>
      </c>
      <c r="BK29">
        <f>IF(OR(Исходн.данные.!AH29=Исходн.данные.!$AD$7,Исходн.данные.!AH29=Исходн.данные.!$AD$8),0.75,1)</f>
        <v>1</v>
      </c>
    </row>
    <row r="30" spans="31:63" x14ac:dyDescent="0.2">
      <c r="AF30">
        <f>SUM(Исходн.данные.!AD30:AF30)</f>
        <v>0</v>
      </c>
      <c r="AG30" s="60">
        <f>SUM(Расчет!CI30:CK30)</f>
        <v>0.64</v>
      </c>
      <c r="AH30" s="60">
        <f>SUM(Расчет!DS30:DU30)</f>
        <v>0</v>
      </c>
      <c r="AI30" t="e">
        <f t="shared" si="0"/>
        <v>#N/A</v>
      </c>
      <c r="AJ30" t="e">
        <f t="shared" si="1"/>
        <v>#N/A</v>
      </c>
      <c r="AL30">
        <f>Потребность!G30*Потребность!H30</f>
        <v>0</v>
      </c>
      <c r="AM30" s="11" t="e">
        <f>Исходн.данные.!$AJ30*Расчет2!AO30</f>
        <v>#VALUE!</v>
      </c>
      <c r="AN30" s="11">
        <f>Исходн.данные.!$AJ30*Расчет2!AP30</f>
        <v>0</v>
      </c>
      <c r="AO30" s="25" t="str">
        <f>IF(Расчет!BF30=0,"X",Расчет!BF30)</f>
        <v>X</v>
      </c>
      <c r="AP30" s="25">
        <f>Расчет!BG30</f>
        <v>0</v>
      </c>
      <c r="AQ30" s="9">
        <f>IF(Расчет!BL30&lt;0,0,Расчет!BL30)</f>
        <v>0</v>
      </c>
      <c r="AR30" s="25">
        <f>IF(Расчет!BM30&lt;0,0,Расчет!BM30)</f>
        <v>0</v>
      </c>
      <c r="AS30" s="25">
        <f>IF(Расчет!BN30&lt;0,0,Расчет!BN30)</f>
        <v>0</v>
      </c>
      <c r="AT30" s="25">
        <f>Расчет!BY30</f>
        <v>0</v>
      </c>
      <c r="AU30" s="25">
        <f>Расчет!BZ30</f>
        <v>10</v>
      </c>
      <c r="AV30" s="25">
        <f>Расчет!CA30</f>
        <v>0</v>
      </c>
      <c r="AW30" s="25" t="str">
        <f>Расчет!CH30</f>
        <v>Аммофос 12:52:00</v>
      </c>
      <c r="AX30" s="25">
        <f>Расчет!DB30</f>
        <v>0</v>
      </c>
      <c r="AY30" s="25">
        <f>Расчет!DC30</f>
        <v>0</v>
      </c>
      <c r="AZ30" s="25">
        <f>Расчет!DG30</f>
        <v>0</v>
      </c>
      <c r="BA30" s="25">
        <f>Расчет!DH30</f>
        <v>0</v>
      </c>
      <c r="BB30" s="25">
        <f>Расчет!DI30</f>
        <v>0</v>
      </c>
      <c r="BC30" s="25" t="str">
        <f>Расчет!DR30</f>
        <v>Нет</v>
      </c>
      <c r="BD30" s="25">
        <f>Расчет!EB30</f>
        <v>0</v>
      </c>
      <c r="BE30" s="25">
        <f>Расчет!EF30</f>
        <v>0</v>
      </c>
      <c r="BF30" s="25" t="e">
        <f>Расчет!EI30</f>
        <v>#DIV/0!</v>
      </c>
      <c r="BG30" s="25" t="e">
        <f>Расчет!FA30</f>
        <v>#N/A</v>
      </c>
      <c r="BI30">
        <f>IF(Исходн.данные.!AH30=Исходн.данные.!$AC$4,0.6,1)</f>
        <v>1</v>
      </c>
      <c r="BJ30">
        <f>IF(Исходн.данные.!AH30=Исходн.данные.!$AC$4,0.8,IF(OR(Потребность!F30=Расчет2!$BI$10,Потребность!F30=Расчет2!$BI$7,Потребность!F30=Расчет2!$BK$14,Исходн.данные.!AI30=Исходн.данные.!$AI$11),1.3,1))</f>
        <v>1.3</v>
      </c>
      <c r="BK30">
        <f>IF(OR(Исходн.данные.!AH30=Исходн.данные.!$AD$7,Исходн.данные.!AH30=Исходн.данные.!$AD$8),0.75,1)</f>
        <v>1</v>
      </c>
    </row>
    <row r="31" spans="31:63" x14ac:dyDescent="0.2">
      <c r="AF31">
        <f>SUM(Исходн.данные.!AD31:AF31)</f>
        <v>0</v>
      </c>
      <c r="AG31" s="60">
        <f>SUM(Расчет!CI31:CK31)</f>
        <v>0.64</v>
      </c>
      <c r="AH31" s="60">
        <f>SUM(Расчет!DS31:DU31)</f>
        <v>0</v>
      </c>
      <c r="AI31" t="e">
        <f t="shared" si="0"/>
        <v>#N/A</v>
      </c>
      <c r="AJ31" t="e">
        <f t="shared" si="1"/>
        <v>#N/A</v>
      </c>
      <c r="AL31">
        <f>Потребность!G31*Потребность!H31</f>
        <v>0</v>
      </c>
      <c r="AM31" s="11" t="e">
        <f>Исходн.данные.!$AJ31*Расчет2!AO31</f>
        <v>#VALUE!</v>
      </c>
      <c r="AN31" s="11">
        <f>Исходн.данные.!$AJ31*Расчет2!AP31</f>
        <v>0</v>
      </c>
      <c r="AO31" s="25" t="str">
        <f>IF(Расчет!BF31=0,"X",Расчет!BF31)</f>
        <v>X</v>
      </c>
      <c r="AP31" s="25">
        <f>Расчет!BG31</f>
        <v>0</v>
      </c>
      <c r="AQ31" s="9">
        <f>IF(Расчет!BL31&lt;0,0,Расчет!BL31)</f>
        <v>0</v>
      </c>
      <c r="AR31" s="25">
        <f>IF(Расчет!BM31&lt;0,0,Расчет!BM31)</f>
        <v>0</v>
      </c>
      <c r="AS31" s="25">
        <f>IF(Расчет!BN31&lt;0,0,Расчет!BN31)</f>
        <v>0</v>
      </c>
      <c r="AT31" s="25">
        <f>Расчет!BY31</f>
        <v>0</v>
      </c>
      <c r="AU31" s="25">
        <f>Расчет!BZ31</f>
        <v>10</v>
      </c>
      <c r="AV31" s="25">
        <f>Расчет!CA31</f>
        <v>0</v>
      </c>
      <c r="AW31" s="25" t="str">
        <f>Расчет!CH31</f>
        <v>Аммофос 12:52:00</v>
      </c>
      <c r="AX31" s="25">
        <f>Расчет!DB31</f>
        <v>0</v>
      </c>
      <c r="AY31" s="25">
        <f>Расчет!DC31</f>
        <v>0</v>
      </c>
      <c r="AZ31" s="25">
        <f>Расчет!DG31</f>
        <v>0</v>
      </c>
      <c r="BA31" s="25">
        <f>Расчет!DH31</f>
        <v>0</v>
      </c>
      <c r="BB31" s="25">
        <f>Расчет!DI31</f>
        <v>0</v>
      </c>
      <c r="BC31" s="25" t="str">
        <f>Расчет!DR31</f>
        <v>Нет</v>
      </c>
      <c r="BD31" s="25">
        <f>Расчет!EB31</f>
        <v>0</v>
      </c>
      <c r="BE31" s="25">
        <f>Расчет!EF31</f>
        <v>0</v>
      </c>
      <c r="BF31" s="25" t="e">
        <f>Расчет!EI31</f>
        <v>#DIV/0!</v>
      </c>
      <c r="BG31" s="25" t="e">
        <f>Расчет!FA31</f>
        <v>#N/A</v>
      </c>
      <c r="BI31">
        <f>IF(Исходн.данные.!AH31=Исходн.данные.!$AC$4,0.6,1)</f>
        <v>1</v>
      </c>
      <c r="BJ31">
        <f>IF(Исходн.данные.!AH31=Исходн.данные.!$AC$4,0.8,IF(OR(Потребность!F31=Расчет2!$BI$10,Потребность!F31=Расчет2!$BI$7,Потребность!F31=Расчет2!$BK$14,Исходн.данные.!AI31=Исходн.данные.!$AI$11),1.3,1))</f>
        <v>1.3</v>
      </c>
      <c r="BK31">
        <f>IF(OR(Исходн.данные.!AH31=Исходн.данные.!$AD$7,Исходн.данные.!AH31=Исходн.данные.!$AD$8),0.75,1)</f>
        <v>1</v>
      </c>
    </row>
    <row r="32" spans="31:63" x14ac:dyDescent="0.2">
      <c r="AF32">
        <f>SUM(Исходн.данные.!AD32:AF32)</f>
        <v>0</v>
      </c>
      <c r="AG32" s="60">
        <f>SUM(Расчет!CI32:CK32)</f>
        <v>0.64</v>
      </c>
      <c r="AH32" s="60">
        <f>SUM(Расчет!DS32:DU32)</f>
        <v>0</v>
      </c>
      <c r="AI32" t="e">
        <f t="shared" si="0"/>
        <v>#N/A</v>
      </c>
      <c r="AJ32" t="e">
        <f t="shared" si="1"/>
        <v>#N/A</v>
      </c>
      <c r="AL32">
        <f>Потребность!G32*Потребность!H32</f>
        <v>0</v>
      </c>
      <c r="AM32" s="11" t="e">
        <f>Исходн.данные.!$AJ32*Расчет2!AO32</f>
        <v>#VALUE!</v>
      </c>
      <c r="AN32" s="11">
        <f>Исходн.данные.!$AJ32*Расчет2!AP32</f>
        <v>0</v>
      </c>
      <c r="AO32" s="25" t="str">
        <f>IF(Расчет!BF32=0,"X",Расчет!BF32)</f>
        <v>X</v>
      </c>
      <c r="AP32" s="25">
        <f>Расчет!BG32</f>
        <v>0</v>
      </c>
      <c r="AQ32" s="9">
        <f>IF(Расчет!BL32&lt;0,0,Расчет!BL32)</f>
        <v>0</v>
      </c>
      <c r="AR32" s="25">
        <f>IF(Расчет!BM32&lt;0,0,Расчет!BM32)</f>
        <v>0</v>
      </c>
      <c r="AS32" s="25">
        <f>IF(Расчет!BN32&lt;0,0,Расчет!BN32)</f>
        <v>0</v>
      </c>
      <c r="AT32" s="25">
        <f>Расчет!BY32</f>
        <v>0</v>
      </c>
      <c r="AU32" s="25">
        <f>Расчет!BZ32</f>
        <v>10</v>
      </c>
      <c r="AV32" s="25">
        <f>Расчет!CA32</f>
        <v>0</v>
      </c>
      <c r="AW32" s="25" t="str">
        <f>Расчет!CH32</f>
        <v>Аммофос 12:52:00</v>
      </c>
      <c r="AX32" s="25">
        <f>Расчет!DB32</f>
        <v>0</v>
      </c>
      <c r="AY32" s="25">
        <f>Расчет!DC32</f>
        <v>0</v>
      </c>
      <c r="AZ32" s="25">
        <f>Расчет!DG32</f>
        <v>0</v>
      </c>
      <c r="BA32" s="25">
        <f>Расчет!DH32</f>
        <v>0</v>
      </c>
      <c r="BB32" s="25">
        <f>Расчет!DI32</f>
        <v>0</v>
      </c>
      <c r="BC32" s="25" t="str">
        <f>Расчет!DR32</f>
        <v>Нет</v>
      </c>
      <c r="BD32" s="25">
        <f>Расчет!EB32</f>
        <v>0</v>
      </c>
      <c r="BE32" s="25">
        <f>Расчет!EF32</f>
        <v>0</v>
      </c>
      <c r="BF32" s="25" t="e">
        <f>Расчет!EI32</f>
        <v>#DIV/0!</v>
      </c>
      <c r="BG32" s="25" t="e">
        <f>Расчет!FA32</f>
        <v>#N/A</v>
      </c>
      <c r="BI32">
        <f>IF(Исходн.данные.!AH32=Исходн.данные.!$AC$4,0.6,1)</f>
        <v>1</v>
      </c>
      <c r="BJ32">
        <f>IF(Исходн.данные.!AH32=Исходн.данные.!$AC$4,0.8,IF(OR(Потребность!F32=Расчет2!$BI$10,Потребность!F32=Расчет2!$BI$7,Потребность!F32=Расчет2!$BK$14,Исходн.данные.!AI32=Исходн.данные.!$AI$11),1.3,1))</f>
        <v>1.3</v>
      </c>
      <c r="BK32">
        <f>IF(OR(Исходн.данные.!AH32=Исходн.данные.!$AD$7,Исходн.данные.!AH32=Исходн.данные.!$AD$8),0.75,1)</f>
        <v>1</v>
      </c>
    </row>
    <row r="33" spans="32:63" x14ac:dyDescent="0.2">
      <c r="AF33">
        <f>SUM(Исходн.данные.!AD33:AF33)</f>
        <v>0</v>
      </c>
      <c r="AG33" s="60">
        <f>SUM(Расчет!CI33:CK33)</f>
        <v>0.64</v>
      </c>
      <c r="AH33" s="60">
        <f>SUM(Расчет!DS33:DU33)</f>
        <v>0</v>
      </c>
      <c r="AI33" t="e">
        <f t="shared" si="0"/>
        <v>#N/A</v>
      </c>
      <c r="AJ33" t="e">
        <f t="shared" si="1"/>
        <v>#N/A</v>
      </c>
      <c r="AL33">
        <f>Потребность!G33*Потребность!H33</f>
        <v>0</v>
      </c>
      <c r="AM33" s="11" t="e">
        <f>Исходн.данные.!$AJ33*Расчет2!AO33</f>
        <v>#VALUE!</v>
      </c>
      <c r="AN33" s="11">
        <f>Исходн.данные.!$AJ33*Расчет2!AP33</f>
        <v>0</v>
      </c>
      <c r="AO33" s="25" t="str">
        <f>IF(Расчет!BF33=0,"X",Расчет!BF33)</f>
        <v>X</v>
      </c>
      <c r="AP33" s="25">
        <f>Расчет!BG33</f>
        <v>0</v>
      </c>
      <c r="AQ33" s="9">
        <f>IF(Расчет!BL33&lt;0,0,Расчет!BL33)</f>
        <v>0</v>
      </c>
      <c r="AR33" s="25">
        <f>IF(Расчет!BM33&lt;0,0,Расчет!BM33)</f>
        <v>0</v>
      </c>
      <c r="AS33" s="25">
        <f>IF(Расчет!BN33&lt;0,0,Расчет!BN33)</f>
        <v>0</v>
      </c>
      <c r="AT33" s="25">
        <f>Расчет!BY33</f>
        <v>0</v>
      </c>
      <c r="AU33" s="25">
        <f>Расчет!BZ33</f>
        <v>10</v>
      </c>
      <c r="AV33" s="25">
        <f>Расчет!CA33</f>
        <v>0</v>
      </c>
      <c r="AW33" s="25" t="str">
        <f>Расчет!CH33</f>
        <v>Аммофос 12:52:00</v>
      </c>
      <c r="AX33" s="25">
        <f>Расчет!DB33</f>
        <v>0</v>
      </c>
      <c r="AY33" s="25">
        <f>Расчет!DC33</f>
        <v>0</v>
      </c>
      <c r="AZ33" s="25">
        <f>Расчет!DG33</f>
        <v>0</v>
      </c>
      <c r="BA33" s="25">
        <f>Расчет!DH33</f>
        <v>0</v>
      </c>
      <c r="BB33" s="25">
        <f>Расчет!DI33</f>
        <v>0</v>
      </c>
      <c r="BC33" s="25" t="str">
        <f>Расчет!DR33</f>
        <v>Нет</v>
      </c>
      <c r="BD33" s="25">
        <f>Расчет!EB33</f>
        <v>0</v>
      </c>
      <c r="BE33" s="25">
        <f>Расчет!EF33</f>
        <v>0</v>
      </c>
      <c r="BF33" s="25" t="e">
        <f>Расчет!EI33</f>
        <v>#DIV/0!</v>
      </c>
      <c r="BG33" s="25" t="e">
        <f>Расчет!FA33</f>
        <v>#N/A</v>
      </c>
      <c r="BI33">
        <f>IF(Исходн.данные.!AH33=Исходн.данные.!$AC$4,0.6,1)</f>
        <v>1</v>
      </c>
      <c r="BJ33">
        <f>IF(Исходн.данные.!AH33=Исходн.данные.!$AC$4,0.8,IF(OR(Потребность!F33=Расчет2!$BI$10,Потребность!F33=Расчет2!$BI$7,Потребность!F33=Расчет2!$BK$14,Исходн.данные.!AI33=Исходн.данные.!$AI$11),1.3,1))</f>
        <v>1.3</v>
      </c>
      <c r="BK33">
        <f>IF(OR(Исходн.данные.!AH33=Исходн.данные.!$AD$7,Исходн.данные.!AH33=Исходн.данные.!$AD$8),0.75,1)</f>
        <v>1</v>
      </c>
    </row>
    <row r="34" spans="32:63" x14ac:dyDescent="0.2">
      <c r="AF34">
        <f>SUM(Исходн.данные.!AD34:AF34)</f>
        <v>0</v>
      </c>
      <c r="AG34" s="60">
        <f>SUM(Расчет!CI34:CK34)</f>
        <v>0.64</v>
      </c>
      <c r="AH34" s="60">
        <f>SUM(Расчет!DS34:DU34)</f>
        <v>0</v>
      </c>
      <c r="AI34" t="e">
        <f t="shared" si="0"/>
        <v>#N/A</v>
      </c>
      <c r="AJ34" t="e">
        <f t="shared" si="1"/>
        <v>#N/A</v>
      </c>
      <c r="AL34">
        <f>Потребность!G34*Потребность!H34</f>
        <v>0</v>
      </c>
      <c r="AM34" s="11" t="e">
        <f>Исходн.данные.!$AJ34*Расчет2!AO34</f>
        <v>#VALUE!</v>
      </c>
      <c r="AN34" s="11">
        <f>Исходн.данные.!$AJ34*Расчет2!AP34</f>
        <v>0</v>
      </c>
      <c r="AO34" s="25" t="str">
        <f>IF(Расчет!BF34=0,"X",Расчет!BF34)</f>
        <v>X</v>
      </c>
      <c r="AP34" s="25">
        <f>Расчет!BG34</f>
        <v>0</v>
      </c>
      <c r="AQ34" s="9">
        <f>IF(Расчет!BL34&lt;0,0,Расчет!BL34)</f>
        <v>0</v>
      </c>
      <c r="AR34" s="25">
        <f>IF(Расчет!BM34&lt;0,0,Расчет!BM34)</f>
        <v>0</v>
      </c>
      <c r="AS34" s="25">
        <f>IF(Расчет!BN34&lt;0,0,Расчет!BN34)</f>
        <v>0</v>
      </c>
      <c r="AT34" s="25">
        <f>Расчет!BY34</f>
        <v>0</v>
      </c>
      <c r="AU34" s="25">
        <f>Расчет!BZ34</f>
        <v>10</v>
      </c>
      <c r="AV34" s="25">
        <f>Расчет!CA34</f>
        <v>0</v>
      </c>
      <c r="AW34" s="25" t="str">
        <f>Расчет!CH34</f>
        <v>Аммофос 12:52:00</v>
      </c>
      <c r="AX34" s="25">
        <f>Расчет!DB34</f>
        <v>0</v>
      </c>
      <c r="AY34" s="25">
        <f>Расчет!DC34</f>
        <v>0</v>
      </c>
      <c r="AZ34" s="25">
        <f>Расчет!DG34</f>
        <v>0</v>
      </c>
      <c r="BA34" s="25">
        <f>Расчет!DH34</f>
        <v>0</v>
      </c>
      <c r="BB34" s="25">
        <f>Расчет!DI34</f>
        <v>0</v>
      </c>
      <c r="BC34" s="25" t="str">
        <f>Расчет!DR34</f>
        <v>Нет</v>
      </c>
      <c r="BD34" s="25">
        <f>Расчет!EB34</f>
        <v>0</v>
      </c>
      <c r="BE34" s="25">
        <f>Расчет!EF34</f>
        <v>0</v>
      </c>
      <c r="BF34" s="25" t="e">
        <f>Расчет!EI34</f>
        <v>#DIV/0!</v>
      </c>
      <c r="BG34" s="25" t="e">
        <f>Расчет!FA34</f>
        <v>#N/A</v>
      </c>
      <c r="BI34">
        <f>IF(Исходн.данные.!AH34=Исходн.данные.!$AC$4,0.6,1)</f>
        <v>1</v>
      </c>
      <c r="BJ34">
        <f>IF(Исходн.данные.!AH34=Исходн.данные.!$AC$4,0.8,IF(OR(Потребность!F34=Расчет2!$BI$10,Потребность!F34=Расчет2!$BI$7,Потребность!F34=Расчет2!$BK$14,Исходн.данные.!AI34=Исходн.данные.!$AI$11),1.3,1))</f>
        <v>1.3</v>
      </c>
      <c r="BK34">
        <f>IF(OR(Исходн.данные.!AH34=Исходн.данные.!$AD$7,Исходн.данные.!AH34=Исходн.данные.!$AD$8),0.75,1)</f>
        <v>1</v>
      </c>
    </row>
    <row r="35" spans="32:63" x14ac:dyDescent="0.2">
      <c r="AF35">
        <f>SUM(Исходн.данные.!AD35:AF35)</f>
        <v>0</v>
      </c>
      <c r="AG35" s="60">
        <f>SUM(Расчет!CI35:CK35)</f>
        <v>0.64</v>
      </c>
      <c r="AH35" s="60">
        <f>SUM(Расчет!DS35:DU35)</f>
        <v>0</v>
      </c>
      <c r="AI35" t="e">
        <f t="shared" si="0"/>
        <v>#N/A</v>
      </c>
      <c r="AJ35" t="e">
        <f t="shared" si="1"/>
        <v>#N/A</v>
      </c>
      <c r="AL35">
        <f>Потребность!G35*Потребность!H35</f>
        <v>0</v>
      </c>
      <c r="AM35" s="11" t="e">
        <f>Исходн.данные.!$AJ35*Расчет2!AO35</f>
        <v>#VALUE!</v>
      </c>
      <c r="AN35" s="11">
        <f>Исходн.данные.!$AJ35*Расчет2!AP35</f>
        <v>0</v>
      </c>
      <c r="AO35" s="25" t="str">
        <f>IF(Расчет!BF35=0,"X",Расчет!BF35)</f>
        <v>X</v>
      </c>
      <c r="AP35" s="25">
        <f>Расчет!BG35</f>
        <v>0</v>
      </c>
      <c r="AQ35" s="9">
        <f>IF(Расчет!BL35&lt;0,0,Расчет!BL35)</f>
        <v>0</v>
      </c>
      <c r="AR35" s="25">
        <f>IF(Расчет!BM35&lt;0,0,Расчет!BM35)</f>
        <v>0</v>
      </c>
      <c r="AS35" s="25">
        <f>IF(Расчет!BN35&lt;0,0,Расчет!BN35)</f>
        <v>0</v>
      </c>
      <c r="AT35" s="25">
        <f>Расчет!BY35</f>
        <v>0</v>
      </c>
      <c r="AU35" s="25">
        <f>Расчет!BZ35</f>
        <v>10</v>
      </c>
      <c r="AV35" s="25">
        <f>Расчет!CA35</f>
        <v>0</v>
      </c>
      <c r="AW35" s="25" t="str">
        <f>Расчет!CH35</f>
        <v>Аммофос 12:52:00</v>
      </c>
      <c r="AX35" s="25">
        <f>Расчет!DB35</f>
        <v>0</v>
      </c>
      <c r="AY35" s="25">
        <f>Расчет!DC35</f>
        <v>0</v>
      </c>
      <c r="AZ35" s="25">
        <f>Расчет!DG35</f>
        <v>0</v>
      </c>
      <c r="BA35" s="25">
        <f>Расчет!DH35</f>
        <v>0</v>
      </c>
      <c r="BB35" s="25">
        <f>Расчет!DI35</f>
        <v>0</v>
      </c>
      <c r="BC35" s="25" t="str">
        <f>Расчет!DR35</f>
        <v>Нет</v>
      </c>
      <c r="BD35" s="25">
        <f>Расчет!EB35</f>
        <v>0</v>
      </c>
      <c r="BE35" s="25">
        <f>Расчет!EF35</f>
        <v>0</v>
      </c>
      <c r="BF35" s="25" t="e">
        <f>Расчет!EI35</f>
        <v>#DIV/0!</v>
      </c>
      <c r="BG35" s="25" t="e">
        <f>Расчет!FA35</f>
        <v>#N/A</v>
      </c>
      <c r="BI35">
        <f>IF(Исходн.данные.!AH35=Исходн.данные.!$AC$4,0.6,1)</f>
        <v>1</v>
      </c>
      <c r="BJ35">
        <f>IF(Исходн.данные.!AH35=Исходн.данные.!$AC$4,0.8,IF(OR(Потребность!F35=Расчет2!$BI$10,Потребность!F35=Расчет2!$BI$7,Потребность!F35=Расчет2!$BK$14,Исходн.данные.!AI35=Исходн.данные.!$AI$11),1.3,1))</f>
        <v>1.3</v>
      </c>
      <c r="BK35">
        <f>IF(OR(Исходн.данные.!AH35=Исходн.данные.!$AD$7,Исходн.данные.!AH35=Исходн.данные.!$AD$8),0.75,1)</f>
        <v>1</v>
      </c>
    </row>
    <row r="36" spans="32:63" x14ac:dyDescent="0.2">
      <c r="AF36">
        <f>SUM(Исходн.данные.!AD36:AF36)</f>
        <v>0</v>
      </c>
      <c r="AG36" s="60">
        <f>SUM(Расчет!CI36:CK36)</f>
        <v>0.64</v>
      </c>
      <c r="AH36" s="60">
        <f>SUM(Расчет!DS36:DU36)</f>
        <v>0</v>
      </c>
      <c r="AI36" t="e">
        <f t="shared" si="0"/>
        <v>#N/A</v>
      </c>
      <c r="AJ36" t="e">
        <f t="shared" si="1"/>
        <v>#N/A</v>
      </c>
      <c r="AL36">
        <f>Потребность!G36*Потребность!H36</f>
        <v>0</v>
      </c>
      <c r="AM36" s="11" t="e">
        <f>Исходн.данные.!$AJ36*Расчет2!AO36</f>
        <v>#VALUE!</v>
      </c>
      <c r="AN36" s="11">
        <f>Исходн.данные.!$AJ36*Расчет2!AP36</f>
        <v>0</v>
      </c>
      <c r="AO36" s="25" t="str">
        <f>IF(Расчет!BF36=0,"X",Расчет!BF36)</f>
        <v>X</v>
      </c>
      <c r="AP36" s="25">
        <f>Расчет!BG36</f>
        <v>0</v>
      </c>
      <c r="AQ36" s="9">
        <f>IF(Расчет!BL36&lt;0,0,Расчет!BL36)</f>
        <v>0</v>
      </c>
      <c r="AR36" s="25">
        <f>IF(Расчет!BM36&lt;0,0,Расчет!BM36)</f>
        <v>0</v>
      </c>
      <c r="AS36" s="25">
        <f>IF(Расчет!BN36&lt;0,0,Расчет!BN36)</f>
        <v>0</v>
      </c>
      <c r="AT36" s="25">
        <f>Расчет!BY36</f>
        <v>0</v>
      </c>
      <c r="AU36" s="25">
        <f>Расчет!BZ36</f>
        <v>10</v>
      </c>
      <c r="AV36" s="25">
        <f>Расчет!CA36</f>
        <v>0</v>
      </c>
      <c r="AW36" s="25" t="str">
        <f>Расчет!CH36</f>
        <v>Аммофос 12:52:00</v>
      </c>
      <c r="AX36" s="25">
        <f>Расчет!DB36</f>
        <v>0</v>
      </c>
      <c r="AY36" s="25">
        <f>Расчет!DC36</f>
        <v>0</v>
      </c>
      <c r="AZ36" s="25">
        <f>Расчет!DG36</f>
        <v>0</v>
      </c>
      <c r="BA36" s="25">
        <f>Расчет!DH36</f>
        <v>0</v>
      </c>
      <c r="BB36" s="25">
        <f>Расчет!DI36</f>
        <v>0</v>
      </c>
      <c r="BC36" s="25" t="str">
        <f>Расчет!DR36</f>
        <v>Нет</v>
      </c>
      <c r="BD36" s="25">
        <f>Расчет!EB36</f>
        <v>0</v>
      </c>
      <c r="BE36" s="25">
        <f>Расчет!EF36</f>
        <v>0</v>
      </c>
      <c r="BF36" s="25" t="e">
        <f>Расчет!EI36</f>
        <v>#DIV/0!</v>
      </c>
      <c r="BG36" s="25" t="e">
        <f>Расчет!FA36</f>
        <v>#N/A</v>
      </c>
      <c r="BI36">
        <f>IF(Исходн.данные.!AH36=Исходн.данные.!$AC$4,0.6,1)</f>
        <v>1</v>
      </c>
      <c r="BJ36">
        <f>IF(Исходн.данные.!AH36=Исходн.данные.!$AC$4,0.8,IF(OR(Потребность!F36=Расчет2!$BI$10,Потребность!F36=Расчет2!$BI$7,Потребность!F36=Расчет2!$BK$14,Исходн.данные.!AI36=Исходн.данные.!$AI$11),1.3,1))</f>
        <v>1.3</v>
      </c>
      <c r="BK36">
        <f>IF(OR(Исходн.данные.!AH36=Исходн.данные.!$AD$7,Исходн.данные.!AH36=Исходн.данные.!$AD$8),0.75,1)</f>
        <v>1</v>
      </c>
    </row>
    <row r="37" spans="32:63" x14ac:dyDescent="0.2">
      <c r="AF37">
        <f>SUM(Исходн.данные.!AD37:AF37)</f>
        <v>0</v>
      </c>
      <c r="AG37" s="60">
        <f>SUM(Расчет!CI37:CK37)</f>
        <v>0.64</v>
      </c>
      <c r="AH37" s="60">
        <f>SUM(Расчет!DS37:DU37)</f>
        <v>0</v>
      </c>
      <c r="AI37" t="e">
        <f t="shared" si="0"/>
        <v>#N/A</v>
      </c>
      <c r="AJ37" t="e">
        <f t="shared" si="1"/>
        <v>#N/A</v>
      </c>
      <c r="AL37">
        <f>Потребность!G37*Потребность!H37</f>
        <v>0</v>
      </c>
      <c r="AM37" s="11" t="e">
        <f>Исходн.данные.!$AJ37*Расчет2!AO37</f>
        <v>#VALUE!</v>
      </c>
      <c r="AN37" s="11">
        <f>Исходн.данные.!$AJ37*Расчет2!AP37</f>
        <v>0</v>
      </c>
      <c r="AO37" s="25" t="str">
        <f>IF(Расчет!BF37=0,"X",Расчет!BF37)</f>
        <v>X</v>
      </c>
      <c r="AP37" s="25">
        <f>Расчет!BG37</f>
        <v>0</v>
      </c>
      <c r="AQ37" s="9">
        <f>IF(Расчет!BL37&lt;0,0,Расчет!BL37)</f>
        <v>0</v>
      </c>
      <c r="AR37" s="25">
        <f>IF(Расчет!BM37&lt;0,0,Расчет!BM37)</f>
        <v>0</v>
      </c>
      <c r="AS37" s="25">
        <f>IF(Расчет!BN37&lt;0,0,Расчет!BN37)</f>
        <v>0</v>
      </c>
      <c r="AT37" s="25">
        <f>Расчет!BY37</f>
        <v>0</v>
      </c>
      <c r="AU37" s="25">
        <f>Расчет!BZ37</f>
        <v>10</v>
      </c>
      <c r="AV37" s="25">
        <f>Расчет!CA37</f>
        <v>0</v>
      </c>
      <c r="AW37" s="25" t="str">
        <f>Расчет!CH37</f>
        <v>Аммофос 12:52:00</v>
      </c>
      <c r="AX37" s="25">
        <f>Расчет!DB37</f>
        <v>0</v>
      </c>
      <c r="AY37" s="25">
        <f>Расчет!DC37</f>
        <v>0</v>
      </c>
      <c r="AZ37" s="25">
        <f>Расчет!DG37</f>
        <v>0</v>
      </c>
      <c r="BA37" s="25">
        <f>Расчет!DH37</f>
        <v>0</v>
      </c>
      <c r="BB37" s="25">
        <f>Расчет!DI37</f>
        <v>0</v>
      </c>
      <c r="BC37" s="25" t="str">
        <f>Расчет!DR37</f>
        <v>Нет</v>
      </c>
      <c r="BD37" s="25">
        <f>Расчет!EB37</f>
        <v>0</v>
      </c>
      <c r="BE37" s="25">
        <f>Расчет!EF37</f>
        <v>0</v>
      </c>
      <c r="BF37" s="25" t="e">
        <f>Расчет!EI37</f>
        <v>#DIV/0!</v>
      </c>
      <c r="BG37" s="25" t="e">
        <f>Расчет!FA37</f>
        <v>#N/A</v>
      </c>
      <c r="BI37">
        <f>IF(Исходн.данные.!AH37=Исходн.данные.!$AC$4,0.6,1)</f>
        <v>1</v>
      </c>
      <c r="BJ37">
        <f>IF(Исходн.данные.!AH37=Исходн.данные.!$AC$4,0.8,IF(OR(Потребность!F37=Расчет2!$BI$10,Потребность!F37=Расчет2!$BI$7,Потребность!F37=Расчет2!$BK$14,Исходн.данные.!AI37=Исходн.данные.!$AI$11),1.3,1))</f>
        <v>1.3</v>
      </c>
      <c r="BK37">
        <f>IF(OR(Исходн.данные.!AH37=Исходн.данные.!$AD$7,Исходн.данные.!AH37=Исходн.данные.!$AD$8),0.75,1)</f>
        <v>1</v>
      </c>
    </row>
    <row r="38" spans="32:63" x14ac:dyDescent="0.2">
      <c r="AF38">
        <f>SUM(Исходн.данные.!AD38:AF38)</f>
        <v>0</v>
      </c>
      <c r="AG38" s="60">
        <f>SUM(Расчет!CI38:CK38)</f>
        <v>0.64</v>
      </c>
      <c r="AH38" s="60">
        <f>SUM(Расчет!DS38:DU38)</f>
        <v>0</v>
      </c>
      <c r="AI38" t="e">
        <f t="shared" si="0"/>
        <v>#N/A</v>
      </c>
      <c r="AJ38" t="e">
        <f t="shared" si="1"/>
        <v>#N/A</v>
      </c>
      <c r="AL38">
        <f>Потребность!G38*Потребность!H38</f>
        <v>0</v>
      </c>
      <c r="AM38" s="11" t="e">
        <f>Исходн.данные.!$AJ38*Расчет2!AO38</f>
        <v>#VALUE!</v>
      </c>
      <c r="AN38" s="11">
        <f>Исходн.данные.!$AJ38*Расчет2!AP38</f>
        <v>0</v>
      </c>
      <c r="AO38" s="25" t="str">
        <f>IF(Расчет!BF38=0,"X",Расчет!BF38)</f>
        <v>X</v>
      </c>
      <c r="AP38" s="25">
        <f>Расчет!BG38</f>
        <v>0</v>
      </c>
      <c r="AQ38" s="9">
        <f>IF(Расчет!BL38&lt;0,0,Расчет!BL38)</f>
        <v>0</v>
      </c>
      <c r="AR38" s="25">
        <f>IF(Расчет!BM38&lt;0,0,Расчет!BM38)</f>
        <v>0</v>
      </c>
      <c r="AS38" s="25">
        <f>IF(Расчет!BN38&lt;0,0,Расчет!BN38)</f>
        <v>0</v>
      </c>
      <c r="AT38" s="25">
        <f>Расчет!BY38</f>
        <v>0</v>
      </c>
      <c r="AU38" s="25">
        <f>Расчет!BZ38</f>
        <v>10</v>
      </c>
      <c r="AV38" s="25">
        <f>Расчет!CA38</f>
        <v>0</v>
      </c>
      <c r="AW38" s="25" t="str">
        <f>Расчет!CH38</f>
        <v>Аммофос 12:52:00</v>
      </c>
      <c r="AX38" s="25">
        <f>Расчет!DB38</f>
        <v>0</v>
      </c>
      <c r="AY38" s="25">
        <f>Расчет!DC38</f>
        <v>0</v>
      </c>
      <c r="AZ38" s="25">
        <f>Расчет!DG38</f>
        <v>0</v>
      </c>
      <c r="BA38" s="25">
        <f>Расчет!DH38</f>
        <v>0</v>
      </c>
      <c r="BB38" s="25">
        <f>Расчет!DI38</f>
        <v>0</v>
      </c>
      <c r="BC38" s="25" t="str">
        <f>Расчет!DR38</f>
        <v>Нет</v>
      </c>
      <c r="BD38" s="25">
        <f>Расчет!EB38</f>
        <v>0</v>
      </c>
      <c r="BE38" s="25">
        <f>Расчет!EF38</f>
        <v>0</v>
      </c>
      <c r="BF38" s="25" t="e">
        <f>Расчет!EI38</f>
        <v>#DIV/0!</v>
      </c>
      <c r="BG38" s="25" t="e">
        <f>Расчет!FA38</f>
        <v>#N/A</v>
      </c>
      <c r="BI38">
        <f>IF(Исходн.данные.!AH38=Исходн.данные.!$AC$4,0.6,1)</f>
        <v>1</v>
      </c>
      <c r="BJ38">
        <f>IF(Исходн.данные.!AH38=Исходн.данные.!$AC$4,0.8,IF(OR(Потребность!F38=Расчет2!$BI$10,Потребность!F38=Расчет2!$BI$7,Потребность!F38=Расчет2!$BK$14,Исходн.данные.!AI38=Исходн.данные.!$AI$11),1.3,1))</f>
        <v>1.3</v>
      </c>
      <c r="BK38">
        <f>IF(OR(Исходн.данные.!AH38=Исходн.данные.!$AD$7,Исходн.данные.!AH38=Исходн.данные.!$AD$8),0.75,1)</f>
        <v>1</v>
      </c>
    </row>
    <row r="39" spans="32:63" x14ac:dyDescent="0.2">
      <c r="AF39">
        <f>SUM(Исходн.данные.!AD39:AF39)</f>
        <v>0</v>
      </c>
      <c r="AG39" s="60">
        <f>SUM(Расчет!CI39:CK39)</f>
        <v>0.64</v>
      </c>
      <c r="AH39" s="60">
        <f>SUM(Расчет!DS39:DU39)</f>
        <v>0</v>
      </c>
      <c r="AI39" t="e">
        <f t="shared" si="0"/>
        <v>#N/A</v>
      </c>
      <c r="AJ39" t="e">
        <f t="shared" si="1"/>
        <v>#N/A</v>
      </c>
      <c r="AL39">
        <f>Потребность!G39*Потребность!H39</f>
        <v>0</v>
      </c>
      <c r="AM39" s="11" t="e">
        <f>Исходн.данные.!$AJ39*Расчет2!AO39</f>
        <v>#VALUE!</v>
      </c>
      <c r="AN39" s="11">
        <f>Исходн.данные.!$AJ39*Расчет2!AP39</f>
        <v>0</v>
      </c>
      <c r="AO39" s="25" t="str">
        <f>IF(Расчет!BF39=0,"X",Расчет!BF39)</f>
        <v>X</v>
      </c>
      <c r="AP39" s="25">
        <f>Расчет!BG39</f>
        <v>0</v>
      </c>
      <c r="AQ39" s="9">
        <f>IF(Расчет!BL39&lt;0,0,Расчет!BL39)</f>
        <v>0</v>
      </c>
      <c r="AR39" s="25">
        <f>IF(Расчет!BM39&lt;0,0,Расчет!BM39)</f>
        <v>0</v>
      </c>
      <c r="AS39" s="25">
        <f>IF(Расчет!BN39&lt;0,0,Расчет!BN39)</f>
        <v>0</v>
      </c>
      <c r="AT39" s="25">
        <f>Расчет!BY39</f>
        <v>0</v>
      </c>
      <c r="AU39" s="25">
        <f>Расчет!BZ39</f>
        <v>10</v>
      </c>
      <c r="AV39" s="25">
        <f>Расчет!CA39</f>
        <v>0</v>
      </c>
      <c r="AW39" s="25" t="str">
        <f>Расчет!CH39</f>
        <v>Аммофос 12:52:00</v>
      </c>
      <c r="AX39" s="25">
        <f>Расчет!DB39</f>
        <v>0</v>
      </c>
      <c r="AY39" s="25">
        <f>Расчет!DC39</f>
        <v>0</v>
      </c>
      <c r="AZ39" s="25">
        <f>Расчет!DG39</f>
        <v>0</v>
      </c>
      <c r="BA39" s="25">
        <f>Расчет!DH39</f>
        <v>0</v>
      </c>
      <c r="BB39" s="25">
        <f>Расчет!DI39</f>
        <v>0</v>
      </c>
      <c r="BC39" s="25" t="str">
        <f>Расчет!DR39</f>
        <v>Нет</v>
      </c>
      <c r="BD39" s="25">
        <f>Расчет!EB39</f>
        <v>0</v>
      </c>
      <c r="BE39" s="25">
        <f>Расчет!EF39</f>
        <v>0</v>
      </c>
      <c r="BF39" s="25" t="e">
        <f>Расчет!EI39</f>
        <v>#DIV/0!</v>
      </c>
      <c r="BG39" s="25" t="e">
        <f>Расчет!FA39</f>
        <v>#N/A</v>
      </c>
      <c r="BI39">
        <f>IF(Исходн.данные.!AH39=Исходн.данные.!$AC$4,0.6,1)</f>
        <v>1</v>
      </c>
      <c r="BJ39">
        <f>IF(Исходн.данные.!AH39=Исходн.данные.!$AC$4,0.8,IF(OR(Потребность!F39=Расчет2!$BI$10,Потребность!F39=Расчет2!$BI$7,Потребность!F39=Расчет2!$BK$14,Исходн.данные.!AI39=Исходн.данные.!$AI$11),1.3,1))</f>
        <v>1.3</v>
      </c>
      <c r="BK39">
        <f>IF(OR(Исходн.данные.!AH39=Исходн.данные.!$AD$7,Исходн.данные.!AH39=Исходн.данные.!$AD$8),0.75,1)</f>
        <v>1</v>
      </c>
    </row>
    <row r="40" spans="32:63" x14ac:dyDescent="0.2">
      <c r="AF40">
        <f>SUM(Исходн.данные.!AD40:AF40)</f>
        <v>0</v>
      </c>
      <c r="AG40" s="60">
        <f>SUM(Расчет!CI40:CK40)</f>
        <v>0.64</v>
      </c>
      <c r="AH40" s="60">
        <f>SUM(Расчет!DS40:DU40)</f>
        <v>0</v>
      </c>
      <c r="AI40" t="e">
        <f t="shared" si="0"/>
        <v>#N/A</v>
      </c>
      <c r="AJ40" t="e">
        <f t="shared" si="1"/>
        <v>#N/A</v>
      </c>
      <c r="AL40">
        <f>Потребность!G40*Потребность!H40</f>
        <v>0</v>
      </c>
      <c r="AM40" s="11" t="e">
        <f>Исходн.данные.!$AJ40*Расчет2!AO40</f>
        <v>#VALUE!</v>
      </c>
      <c r="AN40" s="11">
        <f>Исходн.данные.!$AJ40*Расчет2!AP40</f>
        <v>0</v>
      </c>
      <c r="AO40" s="25" t="str">
        <f>IF(Расчет!BF40=0,"X",Расчет!BF40)</f>
        <v>X</v>
      </c>
      <c r="AP40" s="25">
        <f>Расчет!BG40</f>
        <v>0</v>
      </c>
      <c r="AQ40" s="9">
        <f>IF(Расчет!BL40&lt;0,0,Расчет!BL40)</f>
        <v>0</v>
      </c>
      <c r="AR40" s="25">
        <f>IF(Расчет!BM40&lt;0,0,Расчет!BM40)</f>
        <v>0</v>
      </c>
      <c r="AS40" s="25">
        <f>IF(Расчет!BN40&lt;0,0,Расчет!BN40)</f>
        <v>0</v>
      </c>
      <c r="AT40" s="25">
        <f>Расчет!BY40</f>
        <v>0</v>
      </c>
      <c r="AU40" s="25">
        <f>Расчет!BZ40</f>
        <v>10</v>
      </c>
      <c r="AV40" s="25">
        <f>Расчет!CA40</f>
        <v>0</v>
      </c>
      <c r="AW40" s="25" t="str">
        <f>Расчет!CH40</f>
        <v>Аммофос 12:52:00</v>
      </c>
      <c r="AX40" s="25">
        <f>Расчет!DB40</f>
        <v>0</v>
      </c>
      <c r="AY40" s="25">
        <f>Расчет!DC40</f>
        <v>0</v>
      </c>
      <c r="AZ40" s="25">
        <f>Расчет!DG40</f>
        <v>0</v>
      </c>
      <c r="BA40" s="25">
        <f>Расчет!DH40</f>
        <v>0</v>
      </c>
      <c r="BB40" s="25">
        <f>Расчет!DI40</f>
        <v>0</v>
      </c>
      <c r="BC40" s="25" t="str">
        <f>Расчет!DR40</f>
        <v>Нет</v>
      </c>
      <c r="BD40" s="25">
        <f>Расчет!EB40</f>
        <v>0</v>
      </c>
      <c r="BE40" s="25">
        <f>Расчет!EF40</f>
        <v>0</v>
      </c>
      <c r="BF40" s="25" t="e">
        <f>Расчет!EI40</f>
        <v>#DIV/0!</v>
      </c>
      <c r="BG40" s="25" t="e">
        <f>Расчет!FA40</f>
        <v>#N/A</v>
      </c>
      <c r="BI40">
        <f>IF(Исходн.данные.!AH40=Исходн.данные.!$AC$4,0.6,1)</f>
        <v>1</v>
      </c>
      <c r="BJ40">
        <f>IF(Исходн.данные.!AH40=Исходн.данные.!$AC$4,0.8,IF(OR(Потребность!F40=Расчет2!$BI$10,Потребность!F40=Расчет2!$BI$7,Потребность!F40=Расчет2!$BK$14,Исходн.данные.!AI40=Исходн.данные.!$AI$11),1.3,1))</f>
        <v>1.3</v>
      </c>
      <c r="BK40">
        <f>IF(OR(Исходн.данные.!AH40=Исходн.данные.!$AD$7,Исходн.данные.!AH40=Исходн.данные.!$AD$8),0.75,1)</f>
        <v>1</v>
      </c>
    </row>
    <row r="41" spans="32:63" x14ac:dyDescent="0.2">
      <c r="AF41">
        <f>SUM(Исходн.данные.!AD41:AF41)</f>
        <v>0</v>
      </c>
      <c r="AG41" s="60">
        <f>SUM(Расчет!CI41:CK41)</f>
        <v>0.64</v>
      </c>
      <c r="AH41" s="60">
        <f>SUM(Расчет!DS41:DU41)</f>
        <v>0</v>
      </c>
      <c r="AI41" t="e">
        <f t="shared" si="0"/>
        <v>#N/A</v>
      </c>
      <c r="AJ41" t="e">
        <f t="shared" si="1"/>
        <v>#N/A</v>
      </c>
      <c r="AL41">
        <f>Потребность!G41*Потребность!H41</f>
        <v>0</v>
      </c>
      <c r="AM41" s="11" t="e">
        <f>Исходн.данные.!$AJ41*Расчет2!AO41</f>
        <v>#VALUE!</v>
      </c>
      <c r="AN41" s="11">
        <f>Исходн.данные.!$AJ41*Расчет2!AP41</f>
        <v>0</v>
      </c>
      <c r="AO41" s="25" t="str">
        <f>IF(Расчет!BF41=0,"X",Расчет!BF41)</f>
        <v>X</v>
      </c>
      <c r="AP41" s="25">
        <f>Расчет!BG41</f>
        <v>0</v>
      </c>
      <c r="AQ41" s="9">
        <f>IF(Расчет!BL41&lt;0,0,Расчет!BL41)</f>
        <v>0</v>
      </c>
      <c r="AR41" s="25">
        <f>IF(Расчет!BM41&lt;0,0,Расчет!BM41)</f>
        <v>0</v>
      </c>
      <c r="AS41" s="25">
        <f>IF(Расчет!BN41&lt;0,0,Расчет!BN41)</f>
        <v>0</v>
      </c>
      <c r="AT41" s="25">
        <f>Расчет!BY41</f>
        <v>0</v>
      </c>
      <c r="AU41" s="25">
        <f>Расчет!BZ41</f>
        <v>10</v>
      </c>
      <c r="AV41" s="25">
        <f>Расчет!CA41</f>
        <v>0</v>
      </c>
      <c r="AW41" s="25" t="str">
        <f>Расчет!CH41</f>
        <v>Аммофос 12:52:00</v>
      </c>
      <c r="AX41" s="25">
        <f>Расчет!DB41</f>
        <v>0</v>
      </c>
      <c r="AY41" s="25">
        <f>Расчет!DC41</f>
        <v>0</v>
      </c>
      <c r="AZ41" s="25">
        <f>Расчет!DG41</f>
        <v>0</v>
      </c>
      <c r="BA41" s="25">
        <f>Расчет!DH41</f>
        <v>0</v>
      </c>
      <c r="BB41" s="25">
        <f>Расчет!DI41</f>
        <v>0</v>
      </c>
      <c r="BC41" s="25" t="str">
        <f>Расчет!DR41</f>
        <v>Нет</v>
      </c>
      <c r="BD41" s="25">
        <f>Расчет!EB41</f>
        <v>0</v>
      </c>
      <c r="BE41" s="25">
        <f>Расчет!EF41</f>
        <v>0</v>
      </c>
      <c r="BF41" s="25" t="e">
        <f>Расчет!EI41</f>
        <v>#DIV/0!</v>
      </c>
      <c r="BG41" s="25" t="e">
        <f>Расчет!FA41</f>
        <v>#N/A</v>
      </c>
      <c r="BI41">
        <f>IF(Исходн.данные.!AH41=Исходн.данные.!$AC$4,0.6,1)</f>
        <v>1</v>
      </c>
      <c r="BJ41">
        <f>IF(Исходн.данные.!AH41=Исходн.данные.!$AC$4,0.8,IF(OR(Потребность!F41=Расчет2!$BI$10,Потребность!F41=Расчет2!$BI$7,Потребность!F41=Расчет2!$BK$14,Исходн.данные.!AI41=Исходн.данные.!$AI$11),1.3,1))</f>
        <v>1.3</v>
      </c>
      <c r="BK41">
        <f>IF(OR(Исходн.данные.!AH41=Исходн.данные.!$AD$7,Исходн.данные.!AH41=Исходн.данные.!$AD$8),0.75,1)</f>
        <v>1</v>
      </c>
    </row>
    <row r="42" spans="32:63" x14ac:dyDescent="0.2">
      <c r="AF42">
        <f>SUM(Исходн.данные.!AD42:AF42)</f>
        <v>0</v>
      </c>
      <c r="AG42" s="60">
        <f>SUM(Расчет!CI42:CK42)</f>
        <v>0.64</v>
      </c>
      <c r="AH42" s="60">
        <f>SUM(Расчет!DS42:DU42)</f>
        <v>0</v>
      </c>
      <c r="AI42" t="e">
        <f t="shared" si="0"/>
        <v>#N/A</v>
      </c>
      <c r="AJ42" t="e">
        <f t="shared" si="1"/>
        <v>#N/A</v>
      </c>
      <c r="AL42">
        <f>Потребность!G42*Потребность!H42</f>
        <v>0</v>
      </c>
      <c r="AM42" s="11" t="e">
        <f>Исходн.данные.!$AJ42*Расчет2!AO42</f>
        <v>#VALUE!</v>
      </c>
      <c r="AN42" s="11">
        <f>Исходн.данные.!$AJ42*Расчет2!AP42</f>
        <v>0</v>
      </c>
      <c r="AO42" s="25" t="str">
        <f>IF(Расчет!BF42=0,"X",Расчет!BF42)</f>
        <v>X</v>
      </c>
      <c r="AP42" s="25">
        <f>Расчет!BG42</f>
        <v>0</v>
      </c>
      <c r="AQ42" s="9">
        <f>IF(Расчет!BL42&lt;0,0,Расчет!BL42)</f>
        <v>0</v>
      </c>
      <c r="AR42" s="25">
        <f>IF(Расчет!BM42&lt;0,0,Расчет!BM42)</f>
        <v>0</v>
      </c>
      <c r="AS42" s="25">
        <f>IF(Расчет!BN42&lt;0,0,Расчет!BN42)</f>
        <v>0</v>
      </c>
      <c r="AT42" s="25">
        <f>Расчет!BY42</f>
        <v>0</v>
      </c>
      <c r="AU42" s="25">
        <f>Расчет!BZ42</f>
        <v>10</v>
      </c>
      <c r="AV42" s="25">
        <f>Расчет!CA42</f>
        <v>0</v>
      </c>
      <c r="AW42" s="25" t="str">
        <f>Расчет!CH42</f>
        <v>Аммофос 12:52:00</v>
      </c>
      <c r="AX42" s="25">
        <f>Расчет!DB42</f>
        <v>0</v>
      </c>
      <c r="AY42" s="25">
        <f>Расчет!DC42</f>
        <v>0</v>
      </c>
      <c r="AZ42" s="25">
        <f>Расчет!DG42</f>
        <v>0</v>
      </c>
      <c r="BA42" s="25">
        <f>Расчет!DH42</f>
        <v>0</v>
      </c>
      <c r="BB42" s="25">
        <f>Расчет!DI42</f>
        <v>0</v>
      </c>
      <c r="BC42" s="25" t="str">
        <f>Расчет!DR42</f>
        <v>Нет</v>
      </c>
      <c r="BD42" s="25">
        <f>Расчет!EB42</f>
        <v>0</v>
      </c>
      <c r="BE42" s="25">
        <f>Расчет!EF42</f>
        <v>0</v>
      </c>
      <c r="BF42" s="25" t="e">
        <f>Расчет!EI42</f>
        <v>#DIV/0!</v>
      </c>
      <c r="BG42" s="25" t="e">
        <f>Расчет!FA42</f>
        <v>#N/A</v>
      </c>
      <c r="BI42">
        <f>IF(Исходн.данные.!AH42=Исходн.данные.!$AC$4,0.6,1)</f>
        <v>1</v>
      </c>
      <c r="BJ42">
        <f>IF(Исходн.данные.!AH42=Исходн.данные.!$AC$4,0.8,IF(OR(Потребность!F42=Расчет2!$BI$10,Потребность!F42=Расчет2!$BI$7,Потребность!F42=Расчет2!$BK$14,Исходн.данные.!AI42=Исходн.данные.!$AI$11),1.3,1))</f>
        <v>1.3</v>
      </c>
      <c r="BK42">
        <f>IF(OR(Исходн.данные.!AH42=Исходн.данные.!$AD$7,Исходн.данные.!AH42=Исходн.данные.!$AD$8),0.75,1)</f>
        <v>1</v>
      </c>
    </row>
    <row r="43" spans="32:63" x14ac:dyDescent="0.2">
      <c r="AF43">
        <f>SUM(Исходн.данные.!AD43:AF43)</f>
        <v>0</v>
      </c>
      <c r="AG43" s="60">
        <f>SUM(Расчет!CI43:CK43)</f>
        <v>0.64</v>
      </c>
      <c r="AH43" s="60">
        <f>SUM(Расчет!DS43:DU43)</f>
        <v>0</v>
      </c>
      <c r="AI43" t="e">
        <f t="shared" si="0"/>
        <v>#N/A</v>
      </c>
      <c r="AJ43" t="e">
        <f t="shared" si="1"/>
        <v>#N/A</v>
      </c>
      <c r="AL43">
        <f>Потребность!G43*Потребность!H43</f>
        <v>0</v>
      </c>
      <c r="AM43" s="11" t="e">
        <f>Исходн.данные.!$AJ43*Расчет2!AO43</f>
        <v>#VALUE!</v>
      </c>
      <c r="AN43" s="11">
        <f>Исходн.данные.!$AJ43*Расчет2!AP43</f>
        <v>0</v>
      </c>
      <c r="AO43" s="25" t="str">
        <f>IF(Расчет!BF43=0,"X",Расчет!BF43)</f>
        <v>X</v>
      </c>
      <c r="AP43" s="25">
        <f>Расчет!BG43</f>
        <v>0</v>
      </c>
      <c r="AQ43" s="9">
        <f>IF(Расчет!BL43&lt;0,0,Расчет!BL43)</f>
        <v>0</v>
      </c>
      <c r="AR43" s="25">
        <f>IF(Расчет!BM43&lt;0,0,Расчет!BM43)</f>
        <v>0</v>
      </c>
      <c r="AS43" s="25">
        <f>IF(Расчет!BN43&lt;0,0,Расчет!BN43)</f>
        <v>0</v>
      </c>
      <c r="AT43" s="25">
        <f>Расчет!BY43</f>
        <v>0</v>
      </c>
      <c r="AU43" s="25">
        <f>Расчет!BZ43</f>
        <v>10</v>
      </c>
      <c r="AV43" s="25">
        <f>Расчет!CA43</f>
        <v>0</v>
      </c>
      <c r="AW43" s="25" t="str">
        <f>Расчет!CH43</f>
        <v>Аммофос 12:52:00</v>
      </c>
      <c r="AX43" s="25">
        <f>Расчет!DB43</f>
        <v>0</v>
      </c>
      <c r="AY43" s="25">
        <f>Расчет!DC43</f>
        <v>0</v>
      </c>
      <c r="AZ43" s="25">
        <f>Расчет!DG43</f>
        <v>0</v>
      </c>
      <c r="BA43" s="25">
        <f>Расчет!DH43</f>
        <v>0</v>
      </c>
      <c r="BB43" s="25">
        <f>Расчет!DI43</f>
        <v>0</v>
      </c>
      <c r="BC43" s="25" t="str">
        <f>Расчет!DR43</f>
        <v>Нет</v>
      </c>
      <c r="BD43" s="25">
        <f>Расчет!EB43</f>
        <v>0</v>
      </c>
      <c r="BE43" s="25">
        <f>Расчет!EF43</f>
        <v>0</v>
      </c>
      <c r="BF43" s="25" t="e">
        <f>Расчет!EI43</f>
        <v>#DIV/0!</v>
      </c>
      <c r="BG43" s="25" t="e">
        <f>Расчет!FA43</f>
        <v>#N/A</v>
      </c>
      <c r="BI43">
        <f>IF(Исходн.данные.!AH43=Исходн.данные.!$AC$4,0.6,1)</f>
        <v>1</v>
      </c>
      <c r="BJ43">
        <f>IF(Исходн.данные.!AH43=Исходн.данные.!$AC$4,0.8,IF(OR(Потребность!F43=Расчет2!$BI$10,Потребность!F43=Расчет2!$BI$7,Потребность!F43=Расчет2!$BK$14,Исходн.данные.!AI43=Исходн.данные.!$AI$11),1.3,1))</f>
        <v>1.3</v>
      </c>
      <c r="BK43">
        <f>IF(OR(Исходн.данные.!AH43=Исходн.данные.!$AD$7,Исходн.данные.!AH43=Исходн.данные.!$AD$8),0.75,1)</f>
        <v>1</v>
      </c>
    </row>
    <row r="44" spans="32:63" x14ac:dyDescent="0.2">
      <c r="AF44">
        <f>SUM(Исходн.данные.!AD44:AF44)</f>
        <v>0</v>
      </c>
      <c r="AG44" s="60">
        <f>SUM(Расчет!CI44:CK44)</f>
        <v>0.64</v>
      </c>
      <c r="AH44" s="60">
        <f>SUM(Расчет!DS44:DU44)</f>
        <v>0</v>
      </c>
      <c r="AI44" t="e">
        <f t="shared" si="0"/>
        <v>#N/A</v>
      </c>
      <c r="AJ44" t="e">
        <f t="shared" si="1"/>
        <v>#N/A</v>
      </c>
      <c r="AL44">
        <f>Потребность!G44*Потребность!H44</f>
        <v>0</v>
      </c>
      <c r="AM44" s="11" t="e">
        <f>Исходн.данные.!$AJ44*Расчет2!AO44</f>
        <v>#VALUE!</v>
      </c>
      <c r="AN44" s="11">
        <f>Исходн.данные.!$AJ44*Расчет2!AP44</f>
        <v>0</v>
      </c>
      <c r="AO44" s="25" t="str">
        <f>IF(Расчет!BF44=0,"X",Расчет!BF44)</f>
        <v>X</v>
      </c>
      <c r="AP44" s="25">
        <f>Расчет!BG44</f>
        <v>0</v>
      </c>
      <c r="AQ44" s="9">
        <f>IF(Расчет!BL44&lt;0,0,Расчет!BL44)</f>
        <v>0</v>
      </c>
      <c r="AR44" s="25">
        <f>IF(Расчет!BM44&lt;0,0,Расчет!BM44)</f>
        <v>0</v>
      </c>
      <c r="AS44" s="25">
        <f>IF(Расчет!BN44&lt;0,0,Расчет!BN44)</f>
        <v>0</v>
      </c>
      <c r="AT44" s="25">
        <f>Расчет!BY44</f>
        <v>0</v>
      </c>
      <c r="AU44" s="25">
        <f>Расчет!BZ44</f>
        <v>10</v>
      </c>
      <c r="AV44" s="25">
        <f>Расчет!CA44</f>
        <v>0</v>
      </c>
      <c r="AW44" s="25" t="str">
        <f>Расчет!CH44</f>
        <v>Аммофос 12:52:00</v>
      </c>
      <c r="AX44" s="25">
        <f>Расчет!DB44</f>
        <v>0</v>
      </c>
      <c r="AY44" s="25">
        <f>Расчет!DC44</f>
        <v>0</v>
      </c>
      <c r="AZ44" s="25">
        <f>Расчет!DG44</f>
        <v>0</v>
      </c>
      <c r="BA44" s="25">
        <f>Расчет!DH44</f>
        <v>0</v>
      </c>
      <c r="BB44" s="25">
        <f>Расчет!DI44</f>
        <v>0</v>
      </c>
      <c r="BC44" s="25" t="str">
        <f>Расчет!DR44</f>
        <v>Нет</v>
      </c>
      <c r="BD44" s="25">
        <f>Расчет!EB44</f>
        <v>0</v>
      </c>
      <c r="BE44" s="25">
        <f>Расчет!EF44</f>
        <v>0</v>
      </c>
      <c r="BF44" s="25" t="e">
        <f>Расчет!EI44</f>
        <v>#DIV/0!</v>
      </c>
      <c r="BG44" s="25" t="e">
        <f>Расчет!FA44</f>
        <v>#N/A</v>
      </c>
      <c r="BI44">
        <f>IF(Исходн.данные.!AH44=Исходн.данные.!$AC$4,0.6,1)</f>
        <v>1</v>
      </c>
      <c r="BJ44">
        <f>IF(Исходн.данные.!AH44=Исходн.данные.!$AC$4,0.8,IF(OR(Потребность!F44=Расчет2!$BI$10,Потребность!F44=Расчет2!$BI$7,Потребность!F44=Расчет2!$BK$14,Исходн.данные.!AI44=Исходн.данные.!$AI$11),1.3,1))</f>
        <v>1.3</v>
      </c>
      <c r="BK44">
        <f>IF(OR(Исходн.данные.!AH44=Исходн.данные.!$AD$7,Исходн.данные.!AH44=Исходн.данные.!$AD$8),0.75,1)</f>
        <v>1</v>
      </c>
    </row>
    <row r="45" spans="32:63" x14ac:dyDescent="0.2">
      <c r="AF45">
        <f>SUM(Исходн.данные.!AD45:AF45)</f>
        <v>0</v>
      </c>
      <c r="AG45" s="60">
        <f>SUM(Расчет!CI45:CK45)</f>
        <v>0.64</v>
      </c>
      <c r="AH45" s="60">
        <f>SUM(Расчет!DS45:DU45)</f>
        <v>0</v>
      </c>
      <c r="AI45" t="e">
        <f t="shared" si="0"/>
        <v>#N/A</v>
      </c>
      <c r="AJ45" t="e">
        <f t="shared" si="1"/>
        <v>#N/A</v>
      </c>
      <c r="AL45">
        <f>Потребность!G45*Потребность!H45</f>
        <v>0</v>
      </c>
      <c r="AM45" s="11" t="e">
        <f>Исходн.данные.!$AJ45*Расчет2!AO45</f>
        <v>#VALUE!</v>
      </c>
      <c r="AN45" s="11">
        <f>Исходн.данные.!$AJ45*Расчет2!AP45</f>
        <v>0</v>
      </c>
      <c r="AO45" s="25" t="str">
        <f>IF(Расчет!BF45=0,"X",Расчет!BF45)</f>
        <v>X</v>
      </c>
      <c r="AP45" s="25">
        <f>Расчет!BG45</f>
        <v>0</v>
      </c>
      <c r="AQ45" s="9">
        <f>IF(Расчет!BL45&lt;0,0,Расчет!BL45)</f>
        <v>0</v>
      </c>
      <c r="AR45" s="25">
        <f>IF(Расчет!BM45&lt;0,0,Расчет!BM45)</f>
        <v>0</v>
      </c>
      <c r="AS45" s="25">
        <f>IF(Расчет!BN45&lt;0,0,Расчет!BN45)</f>
        <v>0</v>
      </c>
      <c r="AT45" s="25">
        <f>Расчет!BY45</f>
        <v>0</v>
      </c>
      <c r="AU45" s="25">
        <f>Расчет!BZ45</f>
        <v>10</v>
      </c>
      <c r="AV45" s="25">
        <f>Расчет!CA45</f>
        <v>0</v>
      </c>
      <c r="AW45" s="25" t="str">
        <f>Расчет!CH45</f>
        <v>Аммофос 12:52:00</v>
      </c>
      <c r="AX45" s="25">
        <f>Расчет!DB45</f>
        <v>0</v>
      </c>
      <c r="AY45" s="25">
        <f>Расчет!DC45</f>
        <v>0</v>
      </c>
      <c r="AZ45" s="25">
        <f>Расчет!DG45</f>
        <v>0</v>
      </c>
      <c r="BA45" s="25">
        <f>Расчет!DH45</f>
        <v>0</v>
      </c>
      <c r="BB45" s="25">
        <f>Расчет!DI45</f>
        <v>0</v>
      </c>
      <c r="BC45" s="25" t="str">
        <f>Расчет!DR45</f>
        <v>Нет</v>
      </c>
      <c r="BD45" s="25">
        <f>Расчет!EB45</f>
        <v>0</v>
      </c>
      <c r="BE45" s="25">
        <f>Расчет!EF45</f>
        <v>0</v>
      </c>
      <c r="BF45" s="25" t="e">
        <f>Расчет!EI45</f>
        <v>#DIV/0!</v>
      </c>
      <c r="BG45" s="25" t="e">
        <f>Расчет!FA45</f>
        <v>#N/A</v>
      </c>
      <c r="BI45">
        <f>IF(Исходн.данные.!AH45=Исходн.данные.!$AC$4,0.6,1)</f>
        <v>1</v>
      </c>
      <c r="BJ45">
        <f>IF(Исходн.данные.!AH45=Исходн.данные.!$AC$4,0.8,IF(OR(Потребность!F45=Расчет2!$BI$10,Потребность!F45=Расчет2!$BI$7,Потребность!F45=Расчет2!$BK$14,Исходн.данные.!AI45=Исходн.данные.!$AI$11),1.3,1))</f>
        <v>1.3</v>
      </c>
      <c r="BK45">
        <f>IF(OR(Исходн.данные.!AH45=Исходн.данные.!$AD$7,Исходн.данные.!AH45=Исходн.данные.!$AD$8),0.75,1)</f>
        <v>1</v>
      </c>
    </row>
    <row r="46" spans="32:63" x14ac:dyDescent="0.2">
      <c r="AF46">
        <f>SUM(Исходн.данные.!AD46:AF46)</f>
        <v>0</v>
      </c>
      <c r="AG46" s="60">
        <f>SUM(Расчет!CI46:CK46)</f>
        <v>0.64</v>
      </c>
      <c r="AH46" s="60">
        <f>SUM(Расчет!DS46:DU46)</f>
        <v>0</v>
      </c>
      <c r="AI46" t="e">
        <f t="shared" si="0"/>
        <v>#N/A</v>
      </c>
      <c r="AJ46" t="e">
        <f t="shared" si="1"/>
        <v>#N/A</v>
      </c>
      <c r="AL46">
        <f>Потребность!G46*Потребность!H46</f>
        <v>0</v>
      </c>
      <c r="AM46" s="11" t="e">
        <f>Исходн.данные.!$AJ46*Расчет2!AO46</f>
        <v>#VALUE!</v>
      </c>
      <c r="AN46" s="11">
        <f>Исходн.данные.!$AJ46*Расчет2!AP46</f>
        <v>0</v>
      </c>
      <c r="AO46" s="25" t="str">
        <f>IF(Расчет!BF46=0,"X",Расчет!BF46)</f>
        <v>X</v>
      </c>
      <c r="AP46" s="25">
        <f>Расчет!BG46</f>
        <v>0</v>
      </c>
      <c r="AQ46" s="9">
        <f>IF(Расчет!BL46&lt;0,0,Расчет!BL46)</f>
        <v>0</v>
      </c>
      <c r="AR46" s="25">
        <f>IF(Расчет!BM46&lt;0,0,Расчет!BM46)</f>
        <v>0</v>
      </c>
      <c r="AS46" s="25">
        <f>IF(Расчет!BN46&lt;0,0,Расчет!BN46)</f>
        <v>0</v>
      </c>
      <c r="AT46" s="25">
        <f>Расчет!BY46</f>
        <v>0</v>
      </c>
      <c r="AU46" s="25">
        <f>Расчет!BZ46</f>
        <v>10</v>
      </c>
      <c r="AV46" s="25">
        <f>Расчет!CA46</f>
        <v>0</v>
      </c>
      <c r="AW46" s="25" t="str">
        <f>Расчет!CH46</f>
        <v>Аммофос 12:52:00</v>
      </c>
      <c r="AX46" s="25">
        <f>Расчет!DB46</f>
        <v>0</v>
      </c>
      <c r="AY46" s="25">
        <f>Расчет!DC46</f>
        <v>0</v>
      </c>
      <c r="AZ46" s="25">
        <f>Расчет!DG46</f>
        <v>0</v>
      </c>
      <c r="BA46" s="25">
        <f>Расчет!DH46</f>
        <v>0</v>
      </c>
      <c r="BB46" s="25">
        <f>Расчет!DI46</f>
        <v>0</v>
      </c>
      <c r="BC46" s="25" t="str">
        <f>Расчет!DR46</f>
        <v>Нет</v>
      </c>
      <c r="BD46" s="25">
        <f>Расчет!EB46</f>
        <v>0</v>
      </c>
      <c r="BE46" s="25">
        <f>Расчет!EF46</f>
        <v>0</v>
      </c>
      <c r="BF46" s="25" t="e">
        <f>Расчет!EI46</f>
        <v>#DIV/0!</v>
      </c>
      <c r="BG46" s="25" t="e">
        <f>Расчет!FA46</f>
        <v>#N/A</v>
      </c>
      <c r="BI46">
        <f>IF(Исходн.данные.!AH46=Исходн.данные.!$AC$4,0.6,1)</f>
        <v>1</v>
      </c>
      <c r="BJ46">
        <f>IF(Исходн.данные.!AH46=Исходн.данные.!$AC$4,0.8,IF(OR(Потребность!F46=Расчет2!$BI$10,Потребность!F46=Расчет2!$BI$7,Потребность!F46=Расчет2!$BK$14,Исходн.данные.!AI46=Исходн.данные.!$AI$11),1.3,1))</f>
        <v>1.3</v>
      </c>
      <c r="BK46">
        <f>IF(OR(Исходн.данные.!AH46=Исходн.данные.!$AD$7,Исходн.данные.!AH46=Исходн.данные.!$AD$8),0.75,1)</f>
        <v>1</v>
      </c>
    </row>
    <row r="47" spans="32:63" x14ac:dyDescent="0.2">
      <c r="AF47">
        <f>SUM(Исходн.данные.!AD47:AF47)</f>
        <v>0</v>
      </c>
      <c r="AG47" s="60">
        <f>SUM(Расчет!CI47:CK47)</f>
        <v>0.64</v>
      </c>
      <c r="AH47" s="60">
        <f>SUM(Расчет!DS47:DU47)</f>
        <v>0</v>
      </c>
      <c r="AI47" t="e">
        <f t="shared" si="0"/>
        <v>#N/A</v>
      </c>
      <c r="AJ47" t="e">
        <f t="shared" si="1"/>
        <v>#N/A</v>
      </c>
      <c r="AL47">
        <f>Потребность!G47*Потребность!H47</f>
        <v>0</v>
      </c>
      <c r="AM47" s="11" t="e">
        <f>Исходн.данные.!$AJ47*Расчет2!AO47</f>
        <v>#VALUE!</v>
      </c>
      <c r="AN47" s="11">
        <f>Исходн.данные.!$AJ47*Расчет2!AP47</f>
        <v>0</v>
      </c>
      <c r="AO47" s="25" t="str">
        <f>IF(Расчет!BF47=0,"X",Расчет!BF47)</f>
        <v>X</v>
      </c>
      <c r="AP47" s="25">
        <f>Расчет!BG47</f>
        <v>0</v>
      </c>
      <c r="AQ47" s="9">
        <f>IF(Расчет!BL47&lt;0,0,Расчет!BL47)</f>
        <v>0</v>
      </c>
      <c r="AR47" s="25">
        <f>IF(Расчет!BM47&lt;0,0,Расчет!BM47)</f>
        <v>0</v>
      </c>
      <c r="AS47" s="25">
        <f>IF(Расчет!BN47&lt;0,0,Расчет!BN47)</f>
        <v>0</v>
      </c>
      <c r="AT47" s="25">
        <f>Расчет!BY47</f>
        <v>0</v>
      </c>
      <c r="AU47" s="25">
        <f>Расчет!BZ47</f>
        <v>10</v>
      </c>
      <c r="AV47" s="25">
        <f>Расчет!CA47</f>
        <v>0</v>
      </c>
      <c r="AW47" s="25" t="str">
        <f>Расчет!CH47</f>
        <v>Аммофос 12:52:00</v>
      </c>
      <c r="AX47" s="25">
        <f>Расчет!DB47</f>
        <v>0</v>
      </c>
      <c r="AY47" s="25">
        <f>Расчет!DC47</f>
        <v>0</v>
      </c>
      <c r="AZ47" s="25">
        <f>Расчет!DG47</f>
        <v>0</v>
      </c>
      <c r="BA47" s="25">
        <f>Расчет!DH47</f>
        <v>0</v>
      </c>
      <c r="BB47" s="25">
        <f>Расчет!DI47</f>
        <v>0</v>
      </c>
      <c r="BC47" s="25" t="str">
        <f>Расчет!DR47</f>
        <v>Нет</v>
      </c>
      <c r="BD47" s="25">
        <f>Расчет!EB47</f>
        <v>0</v>
      </c>
      <c r="BE47" s="25">
        <f>Расчет!EF47</f>
        <v>0</v>
      </c>
      <c r="BF47" s="25" t="e">
        <f>Расчет!EI47</f>
        <v>#DIV/0!</v>
      </c>
      <c r="BG47" s="25" t="e">
        <f>Расчет!FA47</f>
        <v>#N/A</v>
      </c>
      <c r="BI47">
        <f>IF(Исходн.данные.!AH47=Исходн.данные.!$AC$4,0.6,1)</f>
        <v>1</v>
      </c>
      <c r="BJ47">
        <f>IF(Исходн.данные.!AH47=Исходн.данные.!$AC$4,0.8,IF(OR(Потребность!F47=Расчет2!$BI$10,Потребность!F47=Расчет2!$BI$7,Потребность!F47=Расчет2!$BK$14,Исходн.данные.!AI47=Исходн.данные.!$AI$11),1.3,1))</f>
        <v>1.3</v>
      </c>
      <c r="BK47">
        <f>IF(OR(Исходн.данные.!AH47=Исходн.данные.!$AD$7,Исходн.данные.!AH47=Исходн.данные.!$AD$8),0.75,1)</f>
        <v>1</v>
      </c>
    </row>
    <row r="48" spans="32:63" x14ac:dyDescent="0.2">
      <c r="AF48">
        <f>SUM(Исходн.данные.!AD48:AF48)</f>
        <v>0</v>
      </c>
      <c r="AG48" s="60">
        <f>SUM(Расчет!CI48:CK48)</f>
        <v>0.64</v>
      </c>
      <c r="AH48" s="60">
        <f>SUM(Расчет!DS48:DU48)</f>
        <v>0</v>
      </c>
      <c r="AI48" t="e">
        <f t="shared" si="0"/>
        <v>#N/A</v>
      </c>
      <c r="AJ48" t="e">
        <f t="shared" si="1"/>
        <v>#N/A</v>
      </c>
      <c r="AL48">
        <f>Потребность!G48*Потребность!H48</f>
        <v>0</v>
      </c>
      <c r="AM48" s="11" t="e">
        <f>Исходн.данные.!$AJ48*Расчет2!AO48</f>
        <v>#VALUE!</v>
      </c>
      <c r="AN48" s="11">
        <f>Исходн.данные.!$AJ48*Расчет2!AP48</f>
        <v>0</v>
      </c>
      <c r="AO48" s="25" t="str">
        <f>IF(Расчет!BF48=0,"X",Расчет!BF48)</f>
        <v>X</v>
      </c>
      <c r="AP48" s="25">
        <f>Расчет!BG48</f>
        <v>0</v>
      </c>
      <c r="AQ48" s="9">
        <f>IF(Расчет!BL48&lt;0,0,Расчет!BL48)</f>
        <v>0</v>
      </c>
      <c r="AR48" s="25">
        <f>IF(Расчет!BM48&lt;0,0,Расчет!BM48)</f>
        <v>0</v>
      </c>
      <c r="AS48" s="25">
        <f>IF(Расчет!BN48&lt;0,0,Расчет!BN48)</f>
        <v>0</v>
      </c>
      <c r="AT48" s="25">
        <f>Расчет!BY48</f>
        <v>0</v>
      </c>
      <c r="AU48" s="25">
        <f>Расчет!BZ48</f>
        <v>10</v>
      </c>
      <c r="AV48" s="25">
        <f>Расчет!CA48</f>
        <v>0</v>
      </c>
      <c r="AW48" s="25" t="str">
        <f>Расчет!CH48</f>
        <v>Аммофос 12:52:00</v>
      </c>
      <c r="AX48" s="25">
        <f>Расчет!DB48</f>
        <v>0</v>
      </c>
      <c r="AY48" s="25">
        <f>Расчет!DC48</f>
        <v>0</v>
      </c>
      <c r="AZ48" s="25">
        <f>Расчет!DG48</f>
        <v>0</v>
      </c>
      <c r="BA48" s="25">
        <f>Расчет!DH48</f>
        <v>0</v>
      </c>
      <c r="BB48" s="25">
        <f>Расчет!DI48</f>
        <v>0</v>
      </c>
      <c r="BC48" s="25" t="str">
        <f>Расчет!DR48</f>
        <v>Нет</v>
      </c>
      <c r="BD48" s="25">
        <f>Расчет!EB48</f>
        <v>0</v>
      </c>
      <c r="BE48" s="25">
        <f>Расчет!EF48</f>
        <v>0</v>
      </c>
      <c r="BF48" s="25" t="e">
        <f>Расчет!EI48</f>
        <v>#DIV/0!</v>
      </c>
      <c r="BG48" s="25" t="e">
        <f>Расчет!FA48</f>
        <v>#N/A</v>
      </c>
      <c r="BI48">
        <f>IF(Исходн.данные.!AH48=Исходн.данные.!$AC$4,0.6,1)</f>
        <v>1</v>
      </c>
      <c r="BJ48">
        <f>IF(Исходн.данные.!AH48=Исходн.данные.!$AC$4,0.8,IF(OR(Потребность!F48=Расчет2!$BI$10,Потребность!F48=Расчет2!$BI$7,Потребность!F48=Расчет2!$BK$14,Исходн.данные.!AI48=Исходн.данные.!$AI$11),1.3,1))</f>
        <v>1.3</v>
      </c>
      <c r="BK48">
        <f>IF(OR(Исходн.данные.!AH48=Исходн.данные.!$AD$7,Исходн.данные.!AH48=Исходн.данные.!$AD$8),0.75,1)</f>
        <v>1</v>
      </c>
    </row>
    <row r="49" spans="32:63" x14ac:dyDescent="0.2">
      <c r="AF49">
        <f>SUM(Исходн.данные.!AD49:AF49)</f>
        <v>0</v>
      </c>
      <c r="AG49" s="60">
        <f>SUM(Расчет!CI49:CK49)</f>
        <v>0.64</v>
      </c>
      <c r="AH49" s="60">
        <f>SUM(Расчет!DS49:DU49)</f>
        <v>0</v>
      </c>
      <c r="AI49" t="e">
        <f t="shared" si="0"/>
        <v>#N/A</v>
      </c>
      <c r="AJ49" t="e">
        <f t="shared" si="1"/>
        <v>#N/A</v>
      </c>
      <c r="AL49">
        <f>Потребность!G49*Потребность!H49</f>
        <v>0</v>
      </c>
      <c r="AM49" s="11" t="e">
        <f>Исходн.данные.!$AJ49*Расчет2!AO49</f>
        <v>#VALUE!</v>
      </c>
      <c r="AN49" s="11">
        <f>Исходн.данные.!$AJ49*Расчет2!AP49</f>
        <v>0</v>
      </c>
      <c r="AO49" s="25" t="str">
        <f>IF(Расчет!BF49=0,"X",Расчет!BF49)</f>
        <v>X</v>
      </c>
      <c r="AP49" s="25">
        <f>Расчет!BG49</f>
        <v>0</v>
      </c>
      <c r="AQ49" s="9">
        <f>IF(Расчет!BL49&lt;0,0,Расчет!BL49)</f>
        <v>0</v>
      </c>
      <c r="AR49" s="25">
        <f>IF(Расчет!BM49&lt;0,0,Расчет!BM49)</f>
        <v>0</v>
      </c>
      <c r="AS49" s="25">
        <f>IF(Расчет!BN49&lt;0,0,Расчет!BN49)</f>
        <v>0</v>
      </c>
      <c r="AT49" s="25">
        <f>Расчет!BY49</f>
        <v>0</v>
      </c>
      <c r="AU49" s="25">
        <f>Расчет!BZ49</f>
        <v>10</v>
      </c>
      <c r="AV49" s="25">
        <f>Расчет!CA49</f>
        <v>0</v>
      </c>
      <c r="AW49" s="25" t="str">
        <f>Расчет!CH49</f>
        <v>Аммофос 12:52:00</v>
      </c>
      <c r="AX49" s="25">
        <f>Расчет!DB49</f>
        <v>0</v>
      </c>
      <c r="AY49" s="25">
        <f>Расчет!DC49</f>
        <v>0</v>
      </c>
      <c r="AZ49" s="25">
        <f>Расчет!DG49</f>
        <v>0</v>
      </c>
      <c r="BA49" s="25">
        <f>Расчет!DH49</f>
        <v>0</v>
      </c>
      <c r="BB49" s="25">
        <f>Расчет!DI49</f>
        <v>0</v>
      </c>
      <c r="BC49" s="25" t="str">
        <f>Расчет!DR49</f>
        <v>Нет</v>
      </c>
      <c r="BD49" s="25">
        <f>Расчет!EB49</f>
        <v>0</v>
      </c>
      <c r="BE49" s="25">
        <f>Расчет!EF49</f>
        <v>0</v>
      </c>
      <c r="BF49" s="25" t="e">
        <f>Расчет!EI49</f>
        <v>#DIV/0!</v>
      </c>
      <c r="BG49" s="25" t="e">
        <f>Расчет!FA49</f>
        <v>#N/A</v>
      </c>
      <c r="BI49">
        <f>IF(Исходн.данные.!AH49=Исходн.данные.!$AC$4,0.6,1)</f>
        <v>1</v>
      </c>
      <c r="BJ49">
        <f>IF(Исходн.данные.!AH49=Исходн.данные.!$AC$4,0.8,IF(OR(Потребность!F49=Расчет2!$BI$10,Потребность!F49=Расчет2!$BI$7,Потребность!F49=Расчет2!$BK$14,Исходн.данные.!AI49=Исходн.данные.!$AI$11),1.3,1))</f>
        <v>1.3</v>
      </c>
      <c r="BK49">
        <f>IF(OR(Исходн.данные.!AH49=Исходн.данные.!$AD$7,Исходн.данные.!AH49=Исходн.данные.!$AD$8),0.75,1)</f>
        <v>1</v>
      </c>
    </row>
    <row r="50" spans="32:63" x14ac:dyDescent="0.2">
      <c r="AF50">
        <f>SUM(Исходн.данные.!AD50:AF50)</f>
        <v>0</v>
      </c>
      <c r="AG50" s="60">
        <f>SUM(Расчет!CI50:CK50)</f>
        <v>0.64</v>
      </c>
      <c r="AH50" s="60">
        <f>SUM(Расчет!DS50:DU50)</f>
        <v>0</v>
      </c>
      <c r="AI50" t="e">
        <f t="shared" si="0"/>
        <v>#N/A</v>
      </c>
      <c r="AJ50" t="e">
        <f t="shared" si="1"/>
        <v>#N/A</v>
      </c>
      <c r="AL50">
        <f>Потребность!G50*Потребность!H50</f>
        <v>0</v>
      </c>
      <c r="AM50" s="11" t="e">
        <f>Исходн.данные.!$AJ50*Расчет2!AO50</f>
        <v>#VALUE!</v>
      </c>
      <c r="AN50" s="11">
        <f>Исходн.данные.!$AJ50*Расчет2!AP50</f>
        <v>0</v>
      </c>
      <c r="AO50" s="25" t="str">
        <f>IF(Расчет!BF50=0,"X",Расчет!BF50)</f>
        <v>X</v>
      </c>
      <c r="AP50" s="25">
        <f>Расчет!BG50</f>
        <v>0</v>
      </c>
      <c r="AQ50" s="9">
        <f>IF(Расчет!BL50&lt;0,0,Расчет!BL50)</f>
        <v>0</v>
      </c>
      <c r="AR50" s="25">
        <f>IF(Расчет!BM50&lt;0,0,Расчет!BM50)</f>
        <v>0</v>
      </c>
      <c r="AS50" s="25">
        <f>IF(Расчет!BN50&lt;0,0,Расчет!BN50)</f>
        <v>0</v>
      </c>
      <c r="AT50" s="25">
        <f>Расчет!BY50</f>
        <v>0</v>
      </c>
      <c r="AU50" s="25">
        <f>Расчет!BZ50</f>
        <v>10</v>
      </c>
      <c r="AV50" s="25">
        <f>Расчет!CA50</f>
        <v>0</v>
      </c>
      <c r="AW50" s="25" t="str">
        <f>Расчет!CH50</f>
        <v>Аммофос 12:52:00</v>
      </c>
      <c r="AX50" s="25">
        <f>Расчет!DB50</f>
        <v>0</v>
      </c>
      <c r="AY50" s="25">
        <f>Расчет!DC50</f>
        <v>0</v>
      </c>
      <c r="AZ50" s="25">
        <f>Расчет!DG50</f>
        <v>0</v>
      </c>
      <c r="BA50" s="25">
        <f>Расчет!DH50</f>
        <v>0</v>
      </c>
      <c r="BB50" s="25">
        <f>Расчет!DI50</f>
        <v>0</v>
      </c>
      <c r="BC50" s="25" t="str">
        <f>Расчет!DR50</f>
        <v>Нет</v>
      </c>
      <c r="BD50" s="25">
        <f>Расчет!EB50</f>
        <v>0</v>
      </c>
      <c r="BE50" s="25">
        <f>Расчет!EF50</f>
        <v>0</v>
      </c>
      <c r="BF50" s="25" t="e">
        <f>Расчет!EI50</f>
        <v>#DIV/0!</v>
      </c>
      <c r="BG50" s="25" t="e">
        <f>Расчет!FA50</f>
        <v>#N/A</v>
      </c>
      <c r="BI50">
        <f>IF(Исходн.данные.!AH50=Исходн.данные.!$AC$4,0.6,1)</f>
        <v>1</v>
      </c>
      <c r="BJ50">
        <f>IF(Исходн.данные.!AH50=Исходн.данные.!$AC$4,0.8,IF(OR(Потребность!F50=Расчет2!$BI$10,Потребность!F50=Расчет2!$BI$7,Потребность!F50=Расчет2!$BK$14,Исходн.данные.!AI50=Исходн.данные.!$AI$11),1.3,1))</f>
        <v>1.3</v>
      </c>
      <c r="BK50">
        <f>IF(OR(Исходн.данные.!AH50=Исходн.данные.!$AD$7,Исходн.данные.!AH50=Исходн.данные.!$AD$8),0.75,1)</f>
        <v>1</v>
      </c>
    </row>
    <row r="51" spans="32:63" x14ac:dyDescent="0.2">
      <c r="AF51">
        <f>SUM(Исходн.данные.!AD51:AF51)</f>
        <v>0</v>
      </c>
      <c r="AG51" s="60">
        <f>SUM(Расчет!CI51:CK51)</f>
        <v>0.64</v>
      </c>
      <c r="AH51" s="60">
        <f>SUM(Расчет!DS51:DU51)</f>
        <v>0</v>
      </c>
      <c r="AI51" t="e">
        <f t="shared" si="0"/>
        <v>#N/A</v>
      </c>
      <c r="AJ51" t="e">
        <f t="shared" si="1"/>
        <v>#N/A</v>
      </c>
      <c r="AL51">
        <f>Потребность!G51*Потребность!H51</f>
        <v>0</v>
      </c>
      <c r="AM51" s="11" t="e">
        <f>Исходн.данные.!$AJ51*Расчет2!AO51</f>
        <v>#VALUE!</v>
      </c>
      <c r="AN51" s="11">
        <f>Исходн.данные.!$AJ51*Расчет2!AP51</f>
        <v>0</v>
      </c>
      <c r="AO51" s="25" t="str">
        <f>IF(Расчет!BF51=0,"X",Расчет!BF51)</f>
        <v>X</v>
      </c>
      <c r="AP51" s="25">
        <f>Расчет!BG51</f>
        <v>0</v>
      </c>
      <c r="AQ51" s="9">
        <f>IF(Расчет!BL51&lt;0,0,Расчет!BL51)</f>
        <v>0</v>
      </c>
      <c r="AR51" s="25">
        <f>IF(Расчет!BM51&lt;0,0,Расчет!BM51)</f>
        <v>0</v>
      </c>
      <c r="AS51" s="25">
        <f>IF(Расчет!BN51&lt;0,0,Расчет!BN51)</f>
        <v>0</v>
      </c>
      <c r="AT51" s="25">
        <f>Расчет!BY51</f>
        <v>0</v>
      </c>
      <c r="AU51" s="25">
        <f>Расчет!BZ51</f>
        <v>10</v>
      </c>
      <c r="AV51" s="25">
        <f>Расчет!CA51</f>
        <v>0</v>
      </c>
      <c r="AW51" s="25" t="str">
        <f>Расчет!CH51</f>
        <v>Аммофос 12:52:00</v>
      </c>
      <c r="AX51" s="25">
        <f>Расчет!DB51</f>
        <v>0</v>
      </c>
      <c r="AY51" s="25">
        <f>Расчет!DC51</f>
        <v>0</v>
      </c>
      <c r="AZ51" s="25">
        <f>Расчет!DG51</f>
        <v>0</v>
      </c>
      <c r="BA51" s="25">
        <f>Расчет!DH51</f>
        <v>0</v>
      </c>
      <c r="BB51" s="25">
        <f>Расчет!DI51</f>
        <v>0</v>
      </c>
      <c r="BC51" s="25" t="str">
        <f>Расчет!DR51</f>
        <v>Нет</v>
      </c>
      <c r="BD51" s="25">
        <f>Расчет!EB51</f>
        <v>0</v>
      </c>
      <c r="BE51" s="25">
        <f>Расчет!EF51</f>
        <v>0</v>
      </c>
      <c r="BF51" s="25" t="e">
        <f>Расчет!EI51</f>
        <v>#DIV/0!</v>
      </c>
      <c r="BG51" s="25" t="e">
        <f>Расчет!FA51</f>
        <v>#N/A</v>
      </c>
      <c r="BI51">
        <f>IF(Исходн.данные.!AH51=Исходн.данные.!$AC$4,0.6,1)</f>
        <v>1</v>
      </c>
      <c r="BJ51">
        <f>IF(Исходн.данные.!AH51=Исходн.данные.!$AC$4,0.8,IF(OR(Потребность!F51=Расчет2!$BI$10,Потребность!F51=Расчет2!$BI$7,Потребность!F51=Расчет2!$BK$14,Исходн.данные.!AI51=Исходн.данные.!$AI$11),1.3,1))</f>
        <v>1.3</v>
      </c>
      <c r="BK51">
        <f>IF(OR(Исходн.данные.!AH51=Исходн.данные.!$AD$7,Исходн.данные.!AH51=Исходн.данные.!$AD$8),0.75,1)</f>
        <v>1</v>
      </c>
    </row>
    <row r="52" spans="32:63" x14ac:dyDescent="0.2">
      <c r="AF52">
        <f>SUM(Исходн.данные.!AD52:AF52)</f>
        <v>0</v>
      </c>
      <c r="AG52" s="60">
        <f>SUM(Расчет!CI52:CK52)</f>
        <v>0.64</v>
      </c>
      <c r="AH52" s="60">
        <f>SUM(Расчет!DS52:DU52)</f>
        <v>0</v>
      </c>
      <c r="AI52" t="e">
        <f t="shared" si="0"/>
        <v>#N/A</v>
      </c>
      <c r="AJ52" t="e">
        <f t="shared" si="1"/>
        <v>#N/A</v>
      </c>
      <c r="AL52">
        <f>Потребность!G52*Потребность!H52</f>
        <v>0</v>
      </c>
      <c r="AM52" s="11" t="e">
        <f>Исходн.данные.!$AJ52*Расчет2!AO52</f>
        <v>#VALUE!</v>
      </c>
      <c r="AN52" s="11">
        <f>Исходн.данные.!$AJ52*Расчет2!AP52</f>
        <v>0</v>
      </c>
      <c r="AO52" s="25" t="str">
        <f>IF(Расчет!BF52=0,"X",Расчет!BF52)</f>
        <v>X</v>
      </c>
      <c r="AP52" s="25">
        <f>Расчет!BG52</f>
        <v>0</v>
      </c>
      <c r="AQ52" s="9">
        <f>IF(Расчет!BL52&lt;0,0,Расчет!BL52)</f>
        <v>0</v>
      </c>
      <c r="AR52" s="25">
        <f>IF(Расчет!BM52&lt;0,0,Расчет!BM52)</f>
        <v>0</v>
      </c>
      <c r="AS52" s="25">
        <f>IF(Расчет!BN52&lt;0,0,Расчет!BN52)</f>
        <v>0</v>
      </c>
      <c r="AT52" s="25">
        <f>Расчет!BY52</f>
        <v>0</v>
      </c>
      <c r="AU52" s="25">
        <f>Расчет!BZ52</f>
        <v>10</v>
      </c>
      <c r="AV52" s="25">
        <f>Расчет!CA52</f>
        <v>0</v>
      </c>
      <c r="AW52" s="25" t="str">
        <f>Расчет!CH52</f>
        <v>Аммофос 12:52:00</v>
      </c>
      <c r="AX52" s="25">
        <f>Расчет!DB52</f>
        <v>0</v>
      </c>
      <c r="AY52" s="25">
        <f>Расчет!DC52</f>
        <v>0</v>
      </c>
      <c r="AZ52" s="25">
        <f>Расчет!DG52</f>
        <v>0</v>
      </c>
      <c r="BA52" s="25">
        <f>Расчет!DH52</f>
        <v>0</v>
      </c>
      <c r="BB52" s="25">
        <f>Расчет!DI52</f>
        <v>0</v>
      </c>
      <c r="BC52" s="25" t="str">
        <f>Расчет!DR52</f>
        <v>Нет</v>
      </c>
      <c r="BD52" s="25">
        <f>Расчет!EB52</f>
        <v>0</v>
      </c>
      <c r="BE52" s="25">
        <f>Расчет!EF52</f>
        <v>0</v>
      </c>
      <c r="BF52" s="25" t="e">
        <f>Расчет!EI52</f>
        <v>#DIV/0!</v>
      </c>
      <c r="BG52" s="25" t="e">
        <f>Расчет!FA52</f>
        <v>#N/A</v>
      </c>
      <c r="BI52">
        <f>IF(Исходн.данные.!AH52=Исходн.данные.!$AC$4,0.6,1)</f>
        <v>1</v>
      </c>
      <c r="BJ52">
        <f>IF(Исходн.данные.!AH52=Исходн.данные.!$AC$4,0.8,IF(OR(Потребность!F52=Расчет2!$BI$10,Потребность!F52=Расчет2!$BI$7,Потребность!F52=Расчет2!$BK$14,Исходн.данные.!AI52=Исходн.данные.!$AI$11),1.3,1))</f>
        <v>1.3</v>
      </c>
      <c r="BK52">
        <f>IF(OR(Исходн.данные.!AH52=Исходн.данные.!$AD$7,Исходн.данные.!AH52=Исходн.данные.!$AD$8),0.75,1)</f>
        <v>1</v>
      </c>
    </row>
    <row r="53" spans="32:63" x14ac:dyDescent="0.2">
      <c r="AF53">
        <f>SUM(Исходн.данные.!AD53:AF53)</f>
        <v>0</v>
      </c>
      <c r="AG53" s="60">
        <f>SUM(Расчет!CI53:CK53)</f>
        <v>0.64</v>
      </c>
      <c r="AH53" s="60">
        <f>SUM(Расчет!DS53:DU53)</f>
        <v>0</v>
      </c>
      <c r="AI53" t="e">
        <f t="shared" si="0"/>
        <v>#N/A</v>
      </c>
      <c r="AJ53" t="e">
        <f t="shared" si="1"/>
        <v>#N/A</v>
      </c>
      <c r="AL53">
        <f>Потребность!G53*Потребность!H53</f>
        <v>0</v>
      </c>
      <c r="AM53" s="11" t="e">
        <f>Исходн.данные.!$AJ53*Расчет2!AO53</f>
        <v>#VALUE!</v>
      </c>
      <c r="AN53" s="11">
        <f>Исходн.данные.!$AJ53*Расчет2!AP53</f>
        <v>0</v>
      </c>
      <c r="AO53" s="25" t="str">
        <f>IF(Расчет!BF53=0,"X",Расчет!BF53)</f>
        <v>X</v>
      </c>
      <c r="AP53" s="25">
        <f>Расчет!BG53</f>
        <v>0</v>
      </c>
      <c r="AQ53" s="9">
        <f>IF(Расчет!BL53&lt;0,0,Расчет!BL53)</f>
        <v>0</v>
      </c>
      <c r="AR53" s="25">
        <f>IF(Расчет!BM53&lt;0,0,Расчет!BM53)</f>
        <v>0</v>
      </c>
      <c r="AS53" s="25">
        <f>IF(Расчет!BN53&lt;0,0,Расчет!BN53)</f>
        <v>0</v>
      </c>
      <c r="AT53" s="25">
        <f>Расчет!BY53</f>
        <v>0</v>
      </c>
      <c r="AU53" s="25">
        <f>Расчет!BZ53</f>
        <v>10</v>
      </c>
      <c r="AV53" s="25">
        <f>Расчет!CA53</f>
        <v>0</v>
      </c>
      <c r="AW53" s="25" t="str">
        <f>Расчет!CH53</f>
        <v>Аммофос 12:52:00</v>
      </c>
      <c r="AX53" s="25">
        <f>Расчет!DB53</f>
        <v>0</v>
      </c>
      <c r="AY53" s="25">
        <f>Расчет!DC53</f>
        <v>0</v>
      </c>
      <c r="AZ53" s="25">
        <f>Расчет!DG53</f>
        <v>0</v>
      </c>
      <c r="BA53" s="25">
        <f>Расчет!DH53</f>
        <v>0</v>
      </c>
      <c r="BB53" s="25">
        <f>Расчет!DI53</f>
        <v>0</v>
      </c>
      <c r="BC53" s="25" t="str">
        <f>Расчет!DR53</f>
        <v>Нет</v>
      </c>
      <c r="BD53" s="25">
        <f>Расчет!EB53</f>
        <v>0</v>
      </c>
      <c r="BE53" s="25">
        <f>Расчет!EF53</f>
        <v>0</v>
      </c>
      <c r="BF53" s="25" t="e">
        <f>Расчет!EI53</f>
        <v>#DIV/0!</v>
      </c>
      <c r="BG53" s="25" t="e">
        <f>Расчет!FA53</f>
        <v>#N/A</v>
      </c>
      <c r="BI53">
        <f>IF(Исходн.данные.!AH53=Исходн.данные.!$AC$4,0.6,1)</f>
        <v>1</v>
      </c>
      <c r="BJ53">
        <f>IF(Исходн.данные.!AH53=Исходн.данные.!$AC$4,0.8,IF(OR(Потребность!F53=Расчет2!$BI$10,Потребность!F53=Расчет2!$BI$7,Потребность!F53=Расчет2!$BK$14,Исходн.данные.!AI53=Исходн.данные.!$AI$11),1.3,1))</f>
        <v>1.3</v>
      </c>
      <c r="BK53">
        <f>IF(OR(Исходн.данные.!AH53=Исходн.данные.!$AD$7,Исходн.данные.!AH53=Исходн.данные.!$AD$8),0.75,1)</f>
        <v>1</v>
      </c>
    </row>
    <row r="54" spans="32:63" x14ac:dyDescent="0.2">
      <c r="AF54">
        <f>SUM(Исходн.данные.!AD54:AF54)</f>
        <v>0</v>
      </c>
      <c r="AG54" s="60">
        <f>SUM(Расчет!CI54:CK54)</f>
        <v>0.64</v>
      </c>
      <c r="AH54" s="60">
        <f>SUM(Расчет!DS54:DU54)</f>
        <v>0</v>
      </c>
      <c r="AI54" t="e">
        <f t="shared" si="0"/>
        <v>#N/A</v>
      </c>
      <c r="AJ54" t="e">
        <f t="shared" si="1"/>
        <v>#N/A</v>
      </c>
      <c r="AL54">
        <f>Потребность!G54*Потребность!H54</f>
        <v>0</v>
      </c>
      <c r="AM54" s="11" t="e">
        <f>Исходн.данные.!$AJ54*Расчет2!AO54</f>
        <v>#VALUE!</v>
      </c>
      <c r="AN54" s="11">
        <f>Исходн.данные.!$AJ54*Расчет2!AP54</f>
        <v>0</v>
      </c>
      <c r="AO54" s="25" t="str">
        <f>IF(Расчет!BF54=0,"X",Расчет!BF54)</f>
        <v>X</v>
      </c>
      <c r="AP54" s="25">
        <f>Расчет!BG54</f>
        <v>0</v>
      </c>
      <c r="AQ54" s="9">
        <f>IF(Расчет!BL54&lt;0,0,Расчет!BL54)</f>
        <v>0</v>
      </c>
      <c r="AR54" s="25">
        <f>IF(Расчет!BM54&lt;0,0,Расчет!BM54)</f>
        <v>0</v>
      </c>
      <c r="AS54" s="25">
        <f>IF(Расчет!BN54&lt;0,0,Расчет!BN54)</f>
        <v>0</v>
      </c>
      <c r="AT54" s="25">
        <f>Расчет!BY54</f>
        <v>0</v>
      </c>
      <c r="AU54" s="25">
        <f>Расчет!BZ54</f>
        <v>10</v>
      </c>
      <c r="AV54" s="25">
        <f>Расчет!CA54</f>
        <v>0</v>
      </c>
      <c r="AW54" s="25" t="str">
        <f>Расчет!CH54</f>
        <v>Аммофос 12:52:00</v>
      </c>
      <c r="AX54" s="25">
        <f>Расчет!DB54</f>
        <v>0</v>
      </c>
      <c r="AY54" s="25">
        <f>Расчет!DC54</f>
        <v>0</v>
      </c>
      <c r="AZ54" s="25">
        <f>Расчет!DG54</f>
        <v>0</v>
      </c>
      <c r="BA54" s="25">
        <f>Расчет!DH54</f>
        <v>0</v>
      </c>
      <c r="BB54" s="25">
        <f>Расчет!DI54</f>
        <v>0</v>
      </c>
      <c r="BC54" s="25" t="str">
        <f>Расчет!DR54</f>
        <v>Нет</v>
      </c>
      <c r="BD54" s="25">
        <f>Расчет!EB54</f>
        <v>0</v>
      </c>
      <c r="BE54" s="25">
        <f>Расчет!EF54</f>
        <v>0</v>
      </c>
      <c r="BF54" s="25" t="e">
        <f>Расчет!EI54</f>
        <v>#DIV/0!</v>
      </c>
      <c r="BG54" s="25" t="e">
        <f>Расчет!FA54</f>
        <v>#N/A</v>
      </c>
      <c r="BI54">
        <f>IF(Исходн.данные.!AH54=Исходн.данные.!$AC$4,0.6,1)</f>
        <v>1</v>
      </c>
      <c r="BJ54">
        <f>IF(Исходн.данные.!AH54=Исходн.данные.!$AC$4,0.8,IF(OR(Потребность!F54=Расчет2!$BI$10,Потребность!F54=Расчет2!$BI$7,Потребность!F54=Расчет2!$BK$14,Исходн.данные.!AI54=Исходн.данные.!$AI$11),1.3,1))</f>
        <v>1.3</v>
      </c>
      <c r="BK54">
        <f>IF(OR(Исходн.данные.!AH54=Исходн.данные.!$AD$7,Исходн.данные.!AH54=Исходн.данные.!$AD$8),0.75,1)</f>
        <v>1</v>
      </c>
    </row>
    <row r="55" spans="32:63" x14ac:dyDescent="0.2">
      <c r="AF55">
        <f>SUM(Исходн.данные.!AD55:AF55)</f>
        <v>0</v>
      </c>
      <c r="AG55" s="60">
        <f>SUM(Расчет!CI55:CK55)</f>
        <v>0.64</v>
      </c>
      <c r="AH55" s="60">
        <f>SUM(Расчет!DS55:DU55)</f>
        <v>0</v>
      </c>
      <c r="AI55" t="e">
        <f t="shared" si="0"/>
        <v>#N/A</v>
      </c>
      <c r="AJ55" t="e">
        <f t="shared" si="1"/>
        <v>#N/A</v>
      </c>
      <c r="AL55">
        <f>Потребность!G55*Потребность!H55</f>
        <v>0</v>
      </c>
      <c r="AM55" s="11" t="e">
        <f>Исходн.данные.!$AJ55*Расчет2!AO55</f>
        <v>#VALUE!</v>
      </c>
      <c r="AN55" s="11">
        <f>Исходн.данные.!$AJ55*Расчет2!AP55</f>
        <v>0</v>
      </c>
      <c r="AO55" s="25" t="str">
        <f>IF(Расчет!BF55=0,"X",Расчет!BF55)</f>
        <v>X</v>
      </c>
      <c r="AP55" s="25">
        <f>Расчет!BG55</f>
        <v>0</v>
      </c>
      <c r="AQ55" s="9">
        <f>IF(Расчет!BL55&lt;0,0,Расчет!BL55)</f>
        <v>0</v>
      </c>
      <c r="AR55" s="25">
        <f>IF(Расчет!BM55&lt;0,0,Расчет!BM55)</f>
        <v>0</v>
      </c>
      <c r="AS55" s="25">
        <f>IF(Расчет!BN55&lt;0,0,Расчет!BN55)</f>
        <v>0</v>
      </c>
      <c r="AT55" s="25">
        <f>Расчет!BY55</f>
        <v>0</v>
      </c>
      <c r="AU55" s="25">
        <f>Расчет!BZ55</f>
        <v>10</v>
      </c>
      <c r="AV55" s="25">
        <f>Расчет!CA55</f>
        <v>0</v>
      </c>
      <c r="AW55" s="25" t="str">
        <f>Расчет!CH55</f>
        <v>Аммофос 12:52:00</v>
      </c>
      <c r="AX55" s="25">
        <f>Расчет!DB55</f>
        <v>0</v>
      </c>
      <c r="AY55" s="25">
        <f>Расчет!DC55</f>
        <v>0</v>
      </c>
      <c r="AZ55" s="25">
        <f>Расчет!DG55</f>
        <v>0</v>
      </c>
      <c r="BA55" s="25">
        <f>Расчет!DH55</f>
        <v>0</v>
      </c>
      <c r="BB55" s="25">
        <f>Расчет!DI55</f>
        <v>0</v>
      </c>
      <c r="BC55" s="25" t="str">
        <f>Расчет!DR55</f>
        <v>Нет</v>
      </c>
      <c r="BD55" s="25">
        <f>Расчет!EB55</f>
        <v>0</v>
      </c>
      <c r="BE55" s="25">
        <f>Расчет!EF55</f>
        <v>0</v>
      </c>
      <c r="BF55" s="25" t="e">
        <f>Расчет!EI55</f>
        <v>#DIV/0!</v>
      </c>
      <c r="BG55" s="25" t="e">
        <f>Расчет!FA55</f>
        <v>#N/A</v>
      </c>
      <c r="BI55">
        <f>IF(Исходн.данные.!AH55=Исходн.данные.!$AC$4,0.6,1)</f>
        <v>1</v>
      </c>
      <c r="BJ55">
        <f>IF(Исходн.данные.!AH55=Исходн.данные.!$AC$4,0.8,IF(OR(Потребность!F55=Расчет2!$BI$10,Потребность!F55=Расчет2!$BI$7,Потребность!F55=Расчет2!$BK$14,Исходн.данные.!AI55=Исходн.данные.!$AI$11),1.3,1))</f>
        <v>1.3</v>
      </c>
      <c r="BK55">
        <f>IF(OR(Исходн.данные.!AH55=Исходн.данные.!$AD$7,Исходн.данные.!AH55=Исходн.данные.!$AD$8),0.75,1)</f>
        <v>1</v>
      </c>
    </row>
    <row r="56" spans="32:63" x14ac:dyDescent="0.2">
      <c r="AF56">
        <f>SUM(Исходн.данные.!AD56:AF56)</f>
        <v>0</v>
      </c>
      <c r="AG56" s="60">
        <f>SUM(Расчет!CI56:CK56)</f>
        <v>0.64</v>
      </c>
      <c r="AH56" s="60">
        <f>SUM(Расчет!DS56:DU56)</f>
        <v>0</v>
      </c>
      <c r="AI56" t="e">
        <f t="shared" si="0"/>
        <v>#N/A</v>
      </c>
      <c r="AJ56" t="e">
        <f t="shared" si="1"/>
        <v>#N/A</v>
      </c>
      <c r="AL56">
        <f>Потребность!G56*Потребность!H56</f>
        <v>0</v>
      </c>
      <c r="AM56" s="11" t="e">
        <f>Исходн.данные.!$AJ56*Расчет2!AO56</f>
        <v>#VALUE!</v>
      </c>
      <c r="AN56" s="11">
        <f>Исходн.данные.!$AJ56*Расчет2!AP56</f>
        <v>0</v>
      </c>
      <c r="AO56" s="25" t="str">
        <f>IF(Расчет!BF56=0,"X",Расчет!BF56)</f>
        <v>X</v>
      </c>
      <c r="AP56" s="25">
        <f>Расчет!BG56</f>
        <v>0</v>
      </c>
      <c r="AQ56" s="9">
        <f>IF(Расчет!BL56&lt;0,0,Расчет!BL56)</f>
        <v>0</v>
      </c>
      <c r="AR56" s="25">
        <f>IF(Расчет!BM56&lt;0,0,Расчет!BM56)</f>
        <v>0</v>
      </c>
      <c r="AS56" s="25">
        <f>IF(Расчет!BN56&lt;0,0,Расчет!BN56)</f>
        <v>0</v>
      </c>
      <c r="AT56" s="25">
        <f>Расчет!BY56</f>
        <v>0</v>
      </c>
      <c r="AU56" s="25">
        <f>Расчет!BZ56</f>
        <v>10</v>
      </c>
      <c r="AV56" s="25">
        <f>Расчет!CA56</f>
        <v>0</v>
      </c>
      <c r="AW56" s="25" t="str">
        <f>Расчет!CH56</f>
        <v>Аммофос 12:52:00</v>
      </c>
      <c r="AX56" s="25">
        <f>Расчет!DB56</f>
        <v>0</v>
      </c>
      <c r="AY56" s="25">
        <f>Расчет!DC56</f>
        <v>0</v>
      </c>
      <c r="AZ56" s="25">
        <f>Расчет!DG56</f>
        <v>0</v>
      </c>
      <c r="BA56" s="25">
        <f>Расчет!DH56</f>
        <v>0</v>
      </c>
      <c r="BB56" s="25">
        <f>Расчет!DI56</f>
        <v>0</v>
      </c>
      <c r="BC56" s="25" t="str">
        <f>Расчет!DR56</f>
        <v>Нет</v>
      </c>
      <c r="BD56" s="25">
        <f>Расчет!EB56</f>
        <v>0</v>
      </c>
      <c r="BE56" s="25">
        <f>Расчет!EF56</f>
        <v>0</v>
      </c>
      <c r="BF56" s="25" t="e">
        <f>Расчет!EI56</f>
        <v>#DIV/0!</v>
      </c>
      <c r="BG56" s="25" t="e">
        <f>Расчет!FA56</f>
        <v>#N/A</v>
      </c>
      <c r="BI56">
        <f>IF(Исходн.данные.!AH56=Исходн.данные.!$AC$4,0.6,1)</f>
        <v>1</v>
      </c>
      <c r="BJ56">
        <f>IF(Исходн.данные.!AH56=Исходн.данные.!$AC$4,0.8,IF(OR(Потребность!F56=Расчет2!$BI$10,Потребность!F56=Расчет2!$BI$7,Потребность!F56=Расчет2!$BK$14,Исходн.данные.!AI56=Исходн.данные.!$AI$11),1.3,1))</f>
        <v>1.3</v>
      </c>
      <c r="BK56">
        <f>IF(OR(Исходн.данные.!AH56=Исходн.данные.!$AD$7,Исходн.данные.!AH56=Исходн.данные.!$AD$8),0.75,1)</f>
        <v>1</v>
      </c>
    </row>
    <row r="57" spans="32:63" x14ac:dyDescent="0.2">
      <c r="AF57">
        <f>SUM(Исходн.данные.!AD57:AF57)</f>
        <v>0</v>
      </c>
      <c r="AG57" s="60">
        <f>SUM(Расчет!CI57:CK57)</f>
        <v>0.64</v>
      </c>
      <c r="AH57" s="60">
        <f>SUM(Расчет!DS57:DU57)</f>
        <v>0</v>
      </c>
      <c r="AI57" t="e">
        <f t="shared" si="0"/>
        <v>#N/A</v>
      </c>
      <c r="AJ57" t="e">
        <f t="shared" si="1"/>
        <v>#N/A</v>
      </c>
      <c r="AL57">
        <f>Потребность!G57*Потребность!H57</f>
        <v>0</v>
      </c>
      <c r="AM57" s="11" t="e">
        <f>Исходн.данные.!$AJ57*Расчет2!AO57</f>
        <v>#VALUE!</v>
      </c>
      <c r="AN57" s="11">
        <f>Исходн.данные.!$AJ57*Расчет2!AP57</f>
        <v>0</v>
      </c>
      <c r="AO57" s="25" t="str">
        <f>IF(Расчет!BF57=0,"X",Расчет!BF57)</f>
        <v>X</v>
      </c>
      <c r="AP57" s="25">
        <f>Расчет!BG57</f>
        <v>0</v>
      </c>
      <c r="AQ57" s="9">
        <f>IF(Расчет!BL57&lt;0,0,Расчет!BL57)</f>
        <v>0</v>
      </c>
      <c r="AR57" s="25">
        <f>IF(Расчет!BM57&lt;0,0,Расчет!BM57)</f>
        <v>0</v>
      </c>
      <c r="AS57" s="25">
        <f>IF(Расчет!BN57&lt;0,0,Расчет!BN57)</f>
        <v>0</v>
      </c>
      <c r="AT57" s="25">
        <f>Расчет!BY57</f>
        <v>0</v>
      </c>
      <c r="AU57" s="25">
        <f>Расчет!BZ57</f>
        <v>10</v>
      </c>
      <c r="AV57" s="25">
        <f>Расчет!CA57</f>
        <v>0</v>
      </c>
      <c r="AW57" s="25" t="str">
        <f>Расчет!CH57</f>
        <v>Аммофос 12:52:00</v>
      </c>
      <c r="AX57" s="25">
        <f>Расчет!DB57</f>
        <v>0</v>
      </c>
      <c r="AY57" s="25">
        <f>Расчет!DC57</f>
        <v>0</v>
      </c>
      <c r="AZ57" s="25">
        <f>Расчет!DG57</f>
        <v>0</v>
      </c>
      <c r="BA57" s="25">
        <f>Расчет!DH57</f>
        <v>0</v>
      </c>
      <c r="BB57" s="25">
        <f>Расчет!DI57</f>
        <v>0</v>
      </c>
      <c r="BC57" s="25" t="str">
        <f>Расчет!DR57</f>
        <v>Нет</v>
      </c>
      <c r="BD57" s="25">
        <f>Расчет!EB57</f>
        <v>0</v>
      </c>
      <c r="BE57" s="25">
        <f>Расчет!EF57</f>
        <v>0</v>
      </c>
      <c r="BF57" s="25" t="e">
        <f>Расчет!EI57</f>
        <v>#DIV/0!</v>
      </c>
      <c r="BG57" s="25" t="e">
        <f>Расчет!FA57</f>
        <v>#N/A</v>
      </c>
      <c r="BI57">
        <f>IF(Исходн.данные.!AH57=Исходн.данные.!$AC$4,0.6,1)</f>
        <v>1</v>
      </c>
      <c r="BJ57">
        <f>IF(Исходн.данные.!AH57=Исходн.данные.!$AC$4,0.8,IF(OR(Потребность!F57=Расчет2!$BI$10,Потребность!F57=Расчет2!$BI$7,Потребность!F57=Расчет2!$BK$14,Исходн.данные.!AI57=Исходн.данные.!$AI$11),1.3,1))</f>
        <v>1.3</v>
      </c>
      <c r="BK57">
        <f>IF(OR(Исходн.данные.!AH57=Исходн.данные.!$AD$7,Исходн.данные.!AH57=Исходн.данные.!$AD$8),0.75,1)</f>
        <v>1</v>
      </c>
    </row>
    <row r="58" spans="32:63" x14ac:dyDescent="0.2">
      <c r="AF58">
        <f>SUM(Исходн.данные.!AD58:AF58)</f>
        <v>0</v>
      </c>
      <c r="AG58" s="60">
        <f>SUM(Расчет!CI58:CK58)</f>
        <v>0.64</v>
      </c>
      <c r="AH58" s="60">
        <f>SUM(Расчет!DS58:DU58)</f>
        <v>0</v>
      </c>
      <c r="AI58" t="e">
        <f t="shared" si="0"/>
        <v>#N/A</v>
      </c>
      <c r="AJ58" t="e">
        <f t="shared" si="1"/>
        <v>#N/A</v>
      </c>
      <c r="AL58">
        <f>Потребность!G58*Потребность!H58</f>
        <v>0</v>
      </c>
      <c r="AM58" s="11" t="e">
        <f>Исходн.данные.!$AJ58*Расчет2!AO58</f>
        <v>#VALUE!</v>
      </c>
      <c r="AN58" s="11">
        <f>Исходн.данные.!$AJ58*Расчет2!AP58</f>
        <v>0</v>
      </c>
      <c r="AO58" s="25" t="str">
        <f>IF(Расчет!BF58=0,"X",Расчет!BF58)</f>
        <v>X</v>
      </c>
      <c r="AP58" s="25">
        <f>Расчет!BG58</f>
        <v>0</v>
      </c>
      <c r="AQ58" s="9">
        <f>IF(Расчет!BL58&lt;0,0,Расчет!BL58)</f>
        <v>0</v>
      </c>
      <c r="AR58" s="25">
        <f>IF(Расчет!BM58&lt;0,0,Расчет!BM58)</f>
        <v>0</v>
      </c>
      <c r="AS58" s="25">
        <f>IF(Расчет!BN58&lt;0,0,Расчет!BN58)</f>
        <v>0</v>
      </c>
      <c r="AT58" s="25">
        <f>Расчет!BY58</f>
        <v>0</v>
      </c>
      <c r="AU58" s="25">
        <f>Расчет!BZ58</f>
        <v>10</v>
      </c>
      <c r="AV58" s="25">
        <f>Расчет!CA58</f>
        <v>0</v>
      </c>
      <c r="AW58" s="25" t="str">
        <f>Расчет!CH58</f>
        <v>Аммофос 12:52:00</v>
      </c>
      <c r="AX58" s="25">
        <f>Расчет!DB58</f>
        <v>0</v>
      </c>
      <c r="AY58" s="25">
        <f>Расчет!DC58</f>
        <v>0</v>
      </c>
      <c r="AZ58" s="25">
        <f>Расчет!DG58</f>
        <v>0</v>
      </c>
      <c r="BA58" s="25">
        <f>Расчет!DH58</f>
        <v>0</v>
      </c>
      <c r="BB58" s="25">
        <f>Расчет!DI58</f>
        <v>0</v>
      </c>
      <c r="BC58" s="25" t="str">
        <f>Расчет!DR58</f>
        <v>Нет</v>
      </c>
      <c r="BD58" s="25">
        <f>Расчет!EB58</f>
        <v>0</v>
      </c>
      <c r="BE58" s="25">
        <f>Расчет!EF58</f>
        <v>0</v>
      </c>
      <c r="BF58" s="25" t="e">
        <f>Расчет!EI58</f>
        <v>#DIV/0!</v>
      </c>
      <c r="BG58" s="25" t="e">
        <f>Расчет!FA58</f>
        <v>#N/A</v>
      </c>
      <c r="BI58">
        <f>IF(Исходн.данные.!AH58=Исходн.данные.!$AC$4,0.6,1)</f>
        <v>1</v>
      </c>
      <c r="BJ58">
        <f>IF(Исходн.данные.!AH58=Исходн.данные.!$AC$4,0.8,IF(OR(Потребность!F58=Расчет2!$BI$10,Потребность!F58=Расчет2!$BI$7,Потребность!F58=Расчет2!$BK$14,Исходн.данные.!AI58=Исходн.данные.!$AI$11),1.3,1))</f>
        <v>1.3</v>
      </c>
      <c r="BK58">
        <f>IF(OR(Исходн.данные.!AH58=Исходн.данные.!$AD$7,Исходн.данные.!AH58=Исходн.данные.!$AD$8),0.75,1)</f>
        <v>1</v>
      </c>
    </row>
    <row r="59" spans="32:63" x14ac:dyDescent="0.2">
      <c r="AF59">
        <f>SUM(Исходн.данные.!AD59:AF59)</f>
        <v>0</v>
      </c>
      <c r="AG59" s="60">
        <f>SUM(Расчет!CI59:CK59)</f>
        <v>0.64</v>
      </c>
      <c r="AH59" s="60">
        <f>SUM(Расчет!DS59:DU59)</f>
        <v>0</v>
      </c>
      <c r="AI59" t="e">
        <f t="shared" si="0"/>
        <v>#N/A</v>
      </c>
      <c r="AJ59" t="e">
        <f t="shared" si="1"/>
        <v>#N/A</v>
      </c>
      <c r="AL59">
        <f>Потребность!G59*Потребность!H59</f>
        <v>0</v>
      </c>
      <c r="AM59" s="11" t="e">
        <f>Исходн.данные.!$AJ59*Расчет2!AO59</f>
        <v>#VALUE!</v>
      </c>
      <c r="AN59" s="11">
        <f>Исходн.данные.!$AJ59*Расчет2!AP59</f>
        <v>0</v>
      </c>
      <c r="AO59" s="25" t="str">
        <f>IF(Расчет!BF59=0,"X",Расчет!BF59)</f>
        <v>X</v>
      </c>
      <c r="AP59" s="25">
        <f>Расчет!BG59</f>
        <v>0</v>
      </c>
      <c r="AQ59" s="9">
        <f>IF(Расчет!BL59&lt;0,0,Расчет!BL59)</f>
        <v>0</v>
      </c>
      <c r="AR59" s="25">
        <f>IF(Расчет!BM59&lt;0,0,Расчет!BM59)</f>
        <v>0</v>
      </c>
      <c r="AS59" s="25">
        <f>IF(Расчет!BN59&lt;0,0,Расчет!BN59)</f>
        <v>0</v>
      </c>
      <c r="AT59" s="25">
        <f>Расчет!BY59</f>
        <v>0</v>
      </c>
      <c r="AU59" s="25">
        <f>Расчет!BZ59</f>
        <v>10</v>
      </c>
      <c r="AV59" s="25">
        <f>Расчет!CA59</f>
        <v>0</v>
      </c>
      <c r="AW59" s="25" t="str">
        <f>Расчет!CH59</f>
        <v>Аммофос 12:52:00</v>
      </c>
      <c r="AX59" s="25">
        <f>Расчет!DB59</f>
        <v>0</v>
      </c>
      <c r="AY59" s="25">
        <f>Расчет!DC59</f>
        <v>0</v>
      </c>
      <c r="AZ59" s="25">
        <f>Расчет!DG59</f>
        <v>0</v>
      </c>
      <c r="BA59" s="25">
        <f>Расчет!DH59</f>
        <v>0</v>
      </c>
      <c r="BB59" s="25">
        <f>Расчет!DI59</f>
        <v>0</v>
      </c>
      <c r="BC59" s="25" t="str">
        <f>Расчет!DR59</f>
        <v>Нет</v>
      </c>
      <c r="BD59" s="25">
        <f>Расчет!EB59</f>
        <v>0</v>
      </c>
      <c r="BE59" s="25">
        <f>Расчет!EF59</f>
        <v>0</v>
      </c>
      <c r="BF59" s="25" t="e">
        <f>Расчет!EI59</f>
        <v>#DIV/0!</v>
      </c>
      <c r="BG59" s="25" t="e">
        <f>Расчет!FA59</f>
        <v>#N/A</v>
      </c>
      <c r="BI59">
        <f>IF(Исходн.данные.!AH59=Исходн.данные.!$AC$4,0.6,1)</f>
        <v>1</v>
      </c>
      <c r="BJ59">
        <f>IF(Исходн.данные.!AH59=Исходн.данные.!$AC$4,0.8,IF(OR(Потребность!F59=Расчет2!$BI$10,Потребность!F59=Расчет2!$BI$7,Потребность!F59=Расчет2!$BK$14,Исходн.данные.!AI59=Исходн.данные.!$AI$11),1.3,1))</f>
        <v>1.3</v>
      </c>
      <c r="BK59">
        <f>IF(OR(Исходн.данные.!AH59=Исходн.данные.!$AD$7,Исходн.данные.!AH59=Исходн.данные.!$AD$8),0.75,1)</f>
        <v>1</v>
      </c>
    </row>
    <row r="60" spans="32:63" x14ac:dyDescent="0.2">
      <c r="AF60">
        <f>SUM(Исходн.данные.!AD60:AF60)</f>
        <v>0</v>
      </c>
      <c r="AG60" s="60">
        <f>SUM(Расчет!CI60:CK60)</f>
        <v>0.64</v>
      </c>
      <c r="AH60" s="60">
        <f>SUM(Расчет!DS60:DU60)</f>
        <v>0</v>
      </c>
      <c r="AI60" t="e">
        <f t="shared" si="0"/>
        <v>#N/A</v>
      </c>
      <c r="AJ60" t="e">
        <f t="shared" si="1"/>
        <v>#N/A</v>
      </c>
      <c r="AL60">
        <f>Потребность!G60*Потребность!H60</f>
        <v>0</v>
      </c>
      <c r="AM60" s="11" t="e">
        <f>Исходн.данные.!$AJ60*Расчет2!AO60</f>
        <v>#VALUE!</v>
      </c>
      <c r="AN60" s="11">
        <f>Исходн.данные.!$AJ60*Расчет2!AP60</f>
        <v>0</v>
      </c>
      <c r="AO60" s="25" t="str">
        <f>IF(Расчет!BF60=0,"X",Расчет!BF60)</f>
        <v>X</v>
      </c>
      <c r="AP60" s="25">
        <f>Расчет!BG60</f>
        <v>0</v>
      </c>
      <c r="AQ60" s="9">
        <f>IF(Расчет!BL60&lt;0,0,Расчет!BL60)</f>
        <v>0</v>
      </c>
      <c r="AR60" s="25">
        <f>IF(Расчет!BM60&lt;0,0,Расчет!BM60)</f>
        <v>0</v>
      </c>
      <c r="AS60" s="25">
        <f>IF(Расчет!BN60&lt;0,0,Расчет!BN60)</f>
        <v>0</v>
      </c>
      <c r="AT60" s="25">
        <f>Расчет!BY60</f>
        <v>0</v>
      </c>
      <c r="AU60" s="25">
        <f>Расчет!BZ60</f>
        <v>10</v>
      </c>
      <c r="AV60" s="25">
        <f>Расчет!CA60</f>
        <v>0</v>
      </c>
      <c r="AW60" s="25" t="str">
        <f>Расчет!CH60</f>
        <v>Аммофос 12:52:00</v>
      </c>
      <c r="AX60" s="25">
        <f>Расчет!DB60</f>
        <v>0</v>
      </c>
      <c r="AY60" s="25">
        <f>Расчет!DC60</f>
        <v>0</v>
      </c>
      <c r="AZ60" s="25">
        <f>Расчет!DG60</f>
        <v>0</v>
      </c>
      <c r="BA60" s="25">
        <f>Расчет!DH60</f>
        <v>0</v>
      </c>
      <c r="BB60" s="25">
        <f>Расчет!DI60</f>
        <v>0</v>
      </c>
      <c r="BC60" s="25" t="str">
        <f>Расчет!DR60</f>
        <v>Нет</v>
      </c>
      <c r="BD60" s="25">
        <f>Расчет!EB60</f>
        <v>0</v>
      </c>
      <c r="BE60" s="25">
        <f>Расчет!EF60</f>
        <v>0</v>
      </c>
      <c r="BF60" s="25" t="e">
        <f>Расчет!EI60</f>
        <v>#DIV/0!</v>
      </c>
      <c r="BG60" s="25" t="e">
        <f>Расчет!FA60</f>
        <v>#N/A</v>
      </c>
      <c r="BI60">
        <f>IF(Исходн.данные.!AH60=Исходн.данные.!$AC$4,0.6,1)</f>
        <v>1</v>
      </c>
      <c r="BJ60">
        <f>IF(Исходн.данные.!AH60=Исходн.данные.!$AC$4,0.8,IF(OR(Потребность!F60=Расчет2!$BI$10,Потребность!F60=Расчет2!$BI$7,Потребность!F60=Расчет2!$BK$14,Исходн.данные.!AI60=Исходн.данные.!$AI$11),1.3,1))</f>
        <v>1.3</v>
      </c>
      <c r="BK60">
        <f>IF(OR(Исходн.данные.!AH60=Исходн.данные.!$AD$7,Исходн.данные.!AH60=Исходн.данные.!$AD$8),0.75,1)</f>
        <v>1</v>
      </c>
    </row>
    <row r="61" spans="32:63" x14ac:dyDescent="0.2">
      <c r="AF61">
        <f>SUM(Исходн.данные.!AD61:AF61)</f>
        <v>0</v>
      </c>
      <c r="AG61" s="60">
        <f>SUM(Расчет!CI61:CK61)</f>
        <v>0.64</v>
      </c>
      <c r="AH61" s="60">
        <f>SUM(Расчет!DS61:DU61)</f>
        <v>0</v>
      </c>
      <c r="AI61" t="e">
        <f t="shared" si="0"/>
        <v>#N/A</v>
      </c>
      <c r="AJ61" t="e">
        <f t="shared" si="1"/>
        <v>#N/A</v>
      </c>
      <c r="AL61">
        <f>Потребность!G61*Потребность!H61</f>
        <v>0</v>
      </c>
      <c r="AM61" s="11" t="e">
        <f>Исходн.данные.!$AJ61*Расчет2!AO61</f>
        <v>#VALUE!</v>
      </c>
      <c r="AN61" s="11">
        <f>Исходн.данные.!$AJ61*Расчет2!AP61</f>
        <v>0</v>
      </c>
      <c r="AO61" s="25" t="str">
        <f>IF(Расчет!BF61=0,"X",Расчет!BF61)</f>
        <v>X</v>
      </c>
      <c r="AP61" s="25">
        <f>Расчет!BG61</f>
        <v>0</v>
      </c>
      <c r="AQ61" s="9">
        <f>IF(Расчет!BL61&lt;0,0,Расчет!BL61)</f>
        <v>0</v>
      </c>
      <c r="AR61" s="25">
        <f>IF(Расчет!BM61&lt;0,0,Расчет!BM61)</f>
        <v>0</v>
      </c>
      <c r="AS61" s="25">
        <f>IF(Расчет!BN61&lt;0,0,Расчет!BN61)</f>
        <v>0</v>
      </c>
      <c r="AT61" s="25">
        <f>Расчет!BY61</f>
        <v>0</v>
      </c>
      <c r="AU61" s="25">
        <f>Расчет!BZ61</f>
        <v>10</v>
      </c>
      <c r="AV61" s="25">
        <f>Расчет!CA61</f>
        <v>0</v>
      </c>
      <c r="AW61" s="25" t="str">
        <f>Расчет!CH61</f>
        <v>Аммофос 12:52:00</v>
      </c>
      <c r="AX61" s="25">
        <f>Расчет!DB61</f>
        <v>0</v>
      </c>
      <c r="AY61" s="25">
        <f>Расчет!DC61</f>
        <v>0</v>
      </c>
      <c r="AZ61" s="25">
        <f>Расчет!DG61</f>
        <v>0</v>
      </c>
      <c r="BA61" s="25">
        <f>Расчет!DH61</f>
        <v>0</v>
      </c>
      <c r="BB61" s="25">
        <f>Расчет!DI61</f>
        <v>0</v>
      </c>
      <c r="BC61" s="25" t="str">
        <f>Расчет!DR61</f>
        <v>Нет</v>
      </c>
      <c r="BD61" s="25">
        <f>Расчет!EB61</f>
        <v>0</v>
      </c>
      <c r="BE61" s="25">
        <f>Расчет!EF61</f>
        <v>0</v>
      </c>
      <c r="BF61" s="25" t="e">
        <f>Расчет!EI61</f>
        <v>#DIV/0!</v>
      </c>
      <c r="BG61" s="25" t="e">
        <f>Расчет!FA61</f>
        <v>#N/A</v>
      </c>
      <c r="BI61">
        <f>IF(Исходн.данные.!AH61=Исходн.данные.!$AC$4,0.6,1)</f>
        <v>1</v>
      </c>
      <c r="BJ61">
        <f>IF(Исходн.данные.!AH61=Исходн.данные.!$AC$4,0.8,IF(OR(Потребность!F61=Расчет2!$BI$10,Потребность!F61=Расчет2!$BI$7,Потребность!F61=Расчет2!$BK$14,Исходн.данные.!AI61=Исходн.данные.!$AI$11),1.3,1))</f>
        <v>1.3</v>
      </c>
      <c r="BK61">
        <f>IF(OR(Исходн.данные.!AH61=Исходн.данные.!$AD$7,Исходн.данные.!AH61=Исходн.данные.!$AD$8),0.75,1)</f>
        <v>1</v>
      </c>
    </row>
    <row r="62" spans="32:63" x14ac:dyDescent="0.2">
      <c r="AF62">
        <f>SUM(Исходн.данные.!AD62:AF62)</f>
        <v>0</v>
      </c>
      <c r="AG62" s="60">
        <f>SUM(Расчет!CI62:CK62)</f>
        <v>0.64</v>
      </c>
      <c r="AH62" s="60">
        <f>SUM(Расчет!DS62:DU62)</f>
        <v>0</v>
      </c>
      <c r="AI62" t="e">
        <f t="shared" si="0"/>
        <v>#N/A</v>
      </c>
      <c r="AJ62" t="e">
        <f t="shared" si="1"/>
        <v>#N/A</v>
      </c>
      <c r="AL62">
        <f>Потребность!G62*Потребность!H62</f>
        <v>0</v>
      </c>
      <c r="AM62" s="11" t="e">
        <f>Исходн.данные.!$AJ62*Расчет2!AO62</f>
        <v>#VALUE!</v>
      </c>
      <c r="AN62" s="11">
        <f>Исходн.данные.!$AJ62*Расчет2!AP62</f>
        <v>0</v>
      </c>
      <c r="AO62" s="25" t="str">
        <f>IF(Расчет!BF62=0,"X",Расчет!BF62)</f>
        <v>X</v>
      </c>
      <c r="AP62" s="25">
        <f>Расчет!BG62</f>
        <v>0</v>
      </c>
      <c r="AQ62" s="9">
        <f>IF(Расчет!BL62&lt;0,0,Расчет!BL62)</f>
        <v>0</v>
      </c>
      <c r="AR62" s="25">
        <f>IF(Расчет!BM62&lt;0,0,Расчет!BM62)</f>
        <v>0</v>
      </c>
      <c r="AS62" s="25">
        <f>IF(Расчет!BN62&lt;0,0,Расчет!BN62)</f>
        <v>0</v>
      </c>
      <c r="AT62" s="25">
        <f>Расчет!BY62</f>
        <v>0</v>
      </c>
      <c r="AU62" s="25">
        <f>Расчет!BZ62</f>
        <v>10</v>
      </c>
      <c r="AV62" s="25">
        <f>Расчет!CA62</f>
        <v>0</v>
      </c>
      <c r="AW62" s="25" t="str">
        <f>Расчет!CH62</f>
        <v>Аммофос 12:52:00</v>
      </c>
      <c r="AX62" s="25">
        <f>Расчет!DB62</f>
        <v>0</v>
      </c>
      <c r="AY62" s="25">
        <f>Расчет!DC62</f>
        <v>0</v>
      </c>
      <c r="AZ62" s="25">
        <f>Расчет!DG62</f>
        <v>0</v>
      </c>
      <c r="BA62" s="25">
        <f>Расчет!DH62</f>
        <v>0</v>
      </c>
      <c r="BB62" s="25">
        <f>Расчет!DI62</f>
        <v>0</v>
      </c>
      <c r="BC62" s="25" t="str">
        <f>Расчет!DR62</f>
        <v>Нет</v>
      </c>
      <c r="BD62" s="25">
        <f>Расчет!EB62</f>
        <v>0</v>
      </c>
      <c r="BE62" s="25">
        <f>Расчет!EF62</f>
        <v>0</v>
      </c>
      <c r="BF62" s="25" t="e">
        <f>Расчет!EI62</f>
        <v>#DIV/0!</v>
      </c>
      <c r="BG62" s="25" t="e">
        <f>Расчет!FA62</f>
        <v>#N/A</v>
      </c>
      <c r="BI62">
        <f>IF(Исходн.данные.!AH62=Исходн.данные.!$AC$4,0.6,1)</f>
        <v>1</v>
      </c>
      <c r="BJ62">
        <f>IF(Исходн.данные.!AH62=Исходн.данные.!$AC$4,0.8,IF(OR(Потребность!F62=Расчет2!$BI$10,Потребность!F62=Расчет2!$BI$7,Потребность!F62=Расчет2!$BK$14,Исходн.данные.!AI62=Исходн.данные.!$AI$11),1.3,1))</f>
        <v>1.3</v>
      </c>
      <c r="BK62">
        <f>IF(OR(Исходн.данные.!AH62=Исходн.данные.!$AD$7,Исходн.данные.!AH62=Исходн.данные.!$AD$8),0.75,1)</f>
        <v>1</v>
      </c>
    </row>
    <row r="63" spans="32:63" x14ac:dyDescent="0.2">
      <c r="AF63">
        <f>SUM(Исходн.данные.!AD63:AF63)</f>
        <v>0</v>
      </c>
      <c r="AG63" s="60">
        <f>SUM(Расчет!CI63:CK63)</f>
        <v>0.64</v>
      </c>
      <c r="AH63" s="60">
        <f>SUM(Расчет!DS63:DU63)</f>
        <v>0</v>
      </c>
      <c r="AI63" t="e">
        <f t="shared" si="0"/>
        <v>#N/A</v>
      </c>
      <c r="AJ63" t="e">
        <f t="shared" si="1"/>
        <v>#N/A</v>
      </c>
      <c r="AL63">
        <f>Потребность!G63*Потребность!H63</f>
        <v>0</v>
      </c>
      <c r="AM63" s="11" t="e">
        <f>Исходн.данные.!$AJ63*Расчет2!AO63</f>
        <v>#VALUE!</v>
      </c>
      <c r="AN63" s="11">
        <f>Исходн.данные.!$AJ63*Расчет2!AP63</f>
        <v>0</v>
      </c>
      <c r="AO63" s="25" t="str">
        <f>IF(Расчет!BF63=0,"X",Расчет!BF63)</f>
        <v>X</v>
      </c>
      <c r="AP63" s="25">
        <f>Расчет!BG63</f>
        <v>0</v>
      </c>
      <c r="AQ63" s="9">
        <f>IF(Расчет!BL63&lt;0,0,Расчет!BL63)</f>
        <v>0</v>
      </c>
      <c r="AR63" s="25">
        <f>IF(Расчет!BM63&lt;0,0,Расчет!BM63)</f>
        <v>0</v>
      </c>
      <c r="AS63" s="25">
        <f>IF(Расчет!BN63&lt;0,0,Расчет!BN63)</f>
        <v>0</v>
      </c>
      <c r="AT63" s="25">
        <f>Расчет!BY63</f>
        <v>0</v>
      </c>
      <c r="AU63" s="25">
        <f>Расчет!BZ63</f>
        <v>10</v>
      </c>
      <c r="AV63" s="25">
        <f>Расчет!CA63</f>
        <v>0</v>
      </c>
      <c r="AW63" s="25" t="str">
        <f>Расчет!CH63</f>
        <v>Аммофос 12:52:00</v>
      </c>
      <c r="AX63" s="25">
        <f>Расчет!DB63</f>
        <v>0</v>
      </c>
      <c r="AY63" s="25">
        <f>Расчет!DC63</f>
        <v>0</v>
      </c>
      <c r="AZ63" s="25">
        <f>Расчет!DG63</f>
        <v>0</v>
      </c>
      <c r="BA63" s="25">
        <f>Расчет!DH63</f>
        <v>0</v>
      </c>
      <c r="BB63" s="25">
        <f>Расчет!DI63</f>
        <v>0</v>
      </c>
      <c r="BC63" s="25" t="str">
        <f>Расчет!DR63</f>
        <v>Нет</v>
      </c>
      <c r="BD63" s="25">
        <f>Расчет!EB63</f>
        <v>0</v>
      </c>
      <c r="BE63" s="25">
        <f>Расчет!EF63</f>
        <v>0</v>
      </c>
      <c r="BF63" s="25" t="e">
        <f>Расчет!EI63</f>
        <v>#DIV/0!</v>
      </c>
      <c r="BG63" s="25" t="e">
        <f>Расчет!FA63</f>
        <v>#N/A</v>
      </c>
      <c r="BI63">
        <f>IF(Исходн.данные.!AH63=Исходн.данные.!$AC$4,0.6,1)</f>
        <v>1</v>
      </c>
      <c r="BJ63">
        <f>IF(Исходн.данные.!AH63=Исходн.данные.!$AC$4,0.8,IF(OR(Потребность!F63=Расчет2!$BI$10,Потребность!F63=Расчет2!$BI$7,Потребность!F63=Расчет2!$BK$14,Исходн.данные.!AI63=Исходн.данные.!$AI$11),1.3,1))</f>
        <v>1.3</v>
      </c>
      <c r="BK63">
        <f>IF(OR(Исходн.данные.!AH63=Исходн.данные.!$AD$7,Исходн.данные.!AH63=Исходн.данные.!$AD$8),0.75,1)</f>
        <v>1</v>
      </c>
    </row>
    <row r="64" spans="32:63" x14ac:dyDescent="0.2">
      <c r="AF64">
        <f>SUM(Исходн.данные.!AD64:AF64)</f>
        <v>0</v>
      </c>
      <c r="AG64" s="60">
        <f>SUM(Расчет!CI64:CK64)</f>
        <v>0.64</v>
      </c>
      <c r="AH64" s="60">
        <f>SUM(Расчет!DS64:DU64)</f>
        <v>0</v>
      </c>
      <c r="AI64" t="e">
        <f t="shared" si="0"/>
        <v>#N/A</v>
      </c>
      <c r="AJ64" t="e">
        <f t="shared" si="1"/>
        <v>#N/A</v>
      </c>
      <c r="AL64">
        <f>Потребность!G64*Потребность!H64</f>
        <v>0</v>
      </c>
      <c r="AM64" s="11" t="e">
        <f>Исходн.данные.!$AJ64*Расчет2!AO64</f>
        <v>#VALUE!</v>
      </c>
      <c r="AN64" s="11">
        <f>Исходн.данные.!$AJ64*Расчет2!AP64</f>
        <v>0</v>
      </c>
      <c r="AO64" s="25" t="str">
        <f>IF(Расчет!BF64=0,"X",Расчет!BF64)</f>
        <v>X</v>
      </c>
      <c r="AP64" s="25">
        <f>Расчет!BG64</f>
        <v>0</v>
      </c>
      <c r="AQ64" s="9">
        <f>IF(Расчет!BL64&lt;0,0,Расчет!BL64)</f>
        <v>0</v>
      </c>
      <c r="AR64" s="25">
        <f>IF(Расчет!BM64&lt;0,0,Расчет!BM64)</f>
        <v>0</v>
      </c>
      <c r="AS64" s="25">
        <f>IF(Расчет!BN64&lt;0,0,Расчет!BN64)</f>
        <v>0</v>
      </c>
      <c r="AT64" s="25">
        <f>Расчет!BY64</f>
        <v>0</v>
      </c>
      <c r="AU64" s="25">
        <f>Расчет!BZ64</f>
        <v>10</v>
      </c>
      <c r="AV64" s="25">
        <f>Расчет!CA64</f>
        <v>0</v>
      </c>
      <c r="AW64" s="25" t="str">
        <f>Расчет!CH64</f>
        <v>Аммофос 12:52:00</v>
      </c>
      <c r="AX64" s="25">
        <f>Расчет!DB64</f>
        <v>0</v>
      </c>
      <c r="AY64" s="25">
        <f>Расчет!DC64</f>
        <v>0</v>
      </c>
      <c r="AZ64" s="25">
        <f>Расчет!DG64</f>
        <v>0</v>
      </c>
      <c r="BA64" s="25">
        <f>Расчет!DH64</f>
        <v>0</v>
      </c>
      <c r="BB64" s="25">
        <f>Расчет!DI64</f>
        <v>0</v>
      </c>
      <c r="BC64" s="25" t="str">
        <f>Расчет!DR64</f>
        <v>Нет</v>
      </c>
      <c r="BD64" s="25">
        <f>Расчет!EB64</f>
        <v>0</v>
      </c>
      <c r="BE64" s="25">
        <f>Расчет!EF64</f>
        <v>0</v>
      </c>
      <c r="BF64" s="25" t="e">
        <f>Расчет!EI64</f>
        <v>#DIV/0!</v>
      </c>
      <c r="BG64" s="25" t="e">
        <f>Расчет!FA64</f>
        <v>#N/A</v>
      </c>
      <c r="BI64">
        <f>IF(Исходн.данные.!AH64=Исходн.данные.!$AC$4,0.6,1)</f>
        <v>1</v>
      </c>
      <c r="BJ64">
        <f>IF(Исходн.данные.!AH64=Исходн.данные.!$AC$4,0.8,IF(OR(Потребность!F64=Расчет2!$BI$10,Потребность!F64=Расчет2!$BI$7,Потребность!F64=Расчет2!$BK$14,Исходн.данные.!AI64=Исходн.данные.!$AI$11),1.3,1))</f>
        <v>1.3</v>
      </c>
      <c r="BK64">
        <f>IF(OR(Исходн.данные.!AH64=Исходн.данные.!$AD$7,Исходн.данные.!AH64=Исходн.данные.!$AD$8),0.75,1)</f>
        <v>1</v>
      </c>
    </row>
    <row r="65" spans="32:63" x14ac:dyDescent="0.2">
      <c r="AF65">
        <f>SUM(Исходн.данные.!AD65:AF65)</f>
        <v>0</v>
      </c>
      <c r="AG65" s="60">
        <f>SUM(Расчет!CI65:CK65)</f>
        <v>0.64</v>
      </c>
      <c r="AH65" s="60">
        <f>SUM(Расчет!DS65:DU65)</f>
        <v>0</v>
      </c>
      <c r="AI65" t="e">
        <f t="shared" si="0"/>
        <v>#N/A</v>
      </c>
      <c r="AJ65" t="e">
        <f t="shared" si="1"/>
        <v>#N/A</v>
      </c>
      <c r="AL65">
        <f>Потребность!G65*Потребность!H65</f>
        <v>0</v>
      </c>
      <c r="AM65" s="11" t="e">
        <f>Исходн.данные.!$AJ65*Расчет2!AO65</f>
        <v>#VALUE!</v>
      </c>
      <c r="AN65" s="11">
        <f>Исходн.данные.!$AJ65*Расчет2!AP65</f>
        <v>0</v>
      </c>
      <c r="AO65" s="25" t="str">
        <f>IF(Расчет!BF65=0,"X",Расчет!BF65)</f>
        <v>X</v>
      </c>
      <c r="AP65" s="25">
        <f>Расчет!BG65</f>
        <v>0</v>
      </c>
      <c r="AQ65" s="9">
        <f>IF(Расчет!BL65&lt;0,0,Расчет!BL65)</f>
        <v>0</v>
      </c>
      <c r="AR65" s="25">
        <f>IF(Расчет!BM65&lt;0,0,Расчет!BM65)</f>
        <v>0</v>
      </c>
      <c r="AS65" s="25">
        <f>IF(Расчет!BN65&lt;0,0,Расчет!BN65)</f>
        <v>0</v>
      </c>
      <c r="AT65" s="25">
        <f>Расчет!BY65</f>
        <v>0</v>
      </c>
      <c r="AU65" s="25">
        <f>Расчет!BZ65</f>
        <v>10</v>
      </c>
      <c r="AV65" s="25">
        <f>Расчет!CA65</f>
        <v>0</v>
      </c>
      <c r="AW65" s="25" t="str">
        <f>Расчет!CH65</f>
        <v>Аммофос 12:52:00</v>
      </c>
      <c r="AX65" s="25">
        <f>Расчет!DB65</f>
        <v>0</v>
      </c>
      <c r="AY65" s="25">
        <f>Расчет!DC65</f>
        <v>0</v>
      </c>
      <c r="AZ65" s="25">
        <f>Расчет!DG65</f>
        <v>0</v>
      </c>
      <c r="BA65" s="25">
        <f>Расчет!DH65</f>
        <v>0</v>
      </c>
      <c r="BB65" s="25">
        <f>Расчет!DI65</f>
        <v>0</v>
      </c>
      <c r="BC65" s="25" t="str">
        <f>Расчет!DR65</f>
        <v>Нет</v>
      </c>
      <c r="BD65" s="25">
        <f>Расчет!EB65</f>
        <v>0</v>
      </c>
      <c r="BE65" s="25">
        <f>Расчет!EF65</f>
        <v>0</v>
      </c>
      <c r="BF65" s="25" t="e">
        <f>Расчет!EI65</f>
        <v>#DIV/0!</v>
      </c>
      <c r="BG65" s="25" t="e">
        <f>Расчет!FA65</f>
        <v>#N/A</v>
      </c>
      <c r="BI65">
        <f>IF(Исходн.данные.!AH65=Исходн.данные.!$AC$4,0.6,1)</f>
        <v>1</v>
      </c>
      <c r="BJ65">
        <f>IF(Исходн.данные.!AH65=Исходн.данные.!$AC$4,0.8,IF(OR(Потребность!F65=Расчет2!$BI$10,Потребность!F65=Расчет2!$BI$7,Потребность!F65=Расчет2!$BK$14,Исходн.данные.!AI65=Исходн.данные.!$AI$11),1.3,1))</f>
        <v>1.3</v>
      </c>
      <c r="BK65">
        <f>IF(OR(Исходн.данные.!AH65=Исходн.данные.!$AD$7,Исходн.данные.!AH65=Исходн.данные.!$AD$8),0.75,1)</f>
        <v>1</v>
      </c>
    </row>
    <row r="66" spans="32:63" x14ac:dyDescent="0.2">
      <c r="AF66">
        <f>SUM(Исходн.данные.!AD66:AF66)</f>
        <v>0</v>
      </c>
      <c r="AG66" s="60">
        <f>SUM(Расчет!CI66:CK66)</f>
        <v>0.64</v>
      </c>
      <c r="AH66" s="60">
        <f>SUM(Расчет!DS66:DU66)</f>
        <v>0</v>
      </c>
      <c r="AI66" t="e">
        <f t="shared" si="0"/>
        <v>#N/A</v>
      </c>
      <c r="AJ66" t="e">
        <f t="shared" si="1"/>
        <v>#N/A</v>
      </c>
      <c r="AL66">
        <f>Потребность!G66*Потребность!H66</f>
        <v>0</v>
      </c>
      <c r="AM66" s="11" t="e">
        <f>Исходн.данные.!$AJ66*Расчет2!AO66</f>
        <v>#VALUE!</v>
      </c>
      <c r="AN66" s="11">
        <f>Исходн.данные.!$AJ66*Расчет2!AP66</f>
        <v>0</v>
      </c>
      <c r="AO66" s="25" t="str">
        <f>IF(Расчет!BF66=0,"X",Расчет!BF66)</f>
        <v>X</v>
      </c>
      <c r="AP66" s="25">
        <f>Расчет!BG66</f>
        <v>0</v>
      </c>
      <c r="AQ66" s="9">
        <f>IF(Расчет!BL66&lt;0,0,Расчет!BL66)</f>
        <v>0</v>
      </c>
      <c r="AR66" s="25">
        <f>IF(Расчет!BM66&lt;0,0,Расчет!BM66)</f>
        <v>0</v>
      </c>
      <c r="AS66" s="25">
        <f>IF(Расчет!BN66&lt;0,0,Расчет!BN66)</f>
        <v>0</v>
      </c>
      <c r="AT66" s="25">
        <f>Расчет!BY66</f>
        <v>0</v>
      </c>
      <c r="AU66" s="25">
        <f>Расчет!BZ66</f>
        <v>10</v>
      </c>
      <c r="AV66" s="25">
        <f>Расчет!CA66</f>
        <v>0</v>
      </c>
      <c r="AW66" s="25" t="str">
        <f>Расчет!CH66</f>
        <v>Аммофос 12:52:00</v>
      </c>
      <c r="AX66" s="25">
        <f>Расчет!DB66</f>
        <v>0</v>
      </c>
      <c r="AY66" s="25">
        <f>Расчет!DC66</f>
        <v>0</v>
      </c>
      <c r="AZ66" s="25">
        <f>Расчет!DG66</f>
        <v>0</v>
      </c>
      <c r="BA66" s="25">
        <f>Расчет!DH66</f>
        <v>0</v>
      </c>
      <c r="BB66" s="25">
        <f>Расчет!DI66</f>
        <v>0</v>
      </c>
      <c r="BC66" s="25" t="str">
        <f>Расчет!DR66</f>
        <v>Нет</v>
      </c>
      <c r="BD66" s="25">
        <f>Расчет!EB66</f>
        <v>0</v>
      </c>
      <c r="BE66" s="25">
        <f>Расчет!EF66</f>
        <v>0</v>
      </c>
      <c r="BF66" s="25" t="e">
        <f>Расчет!EI66</f>
        <v>#DIV/0!</v>
      </c>
      <c r="BG66" s="25" t="e">
        <f>Расчет!FA66</f>
        <v>#N/A</v>
      </c>
      <c r="BI66">
        <f>IF(Исходн.данные.!AH66=Исходн.данные.!$AC$4,0.6,1)</f>
        <v>1</v>
      </c>
      <c r="BJ66">
        <f>IF(Исходн.данные.!AH66=Исходн.данные.!$AC$4,0.8,IF(OR(Потребность!F66=Расчет2!$BI$10,Потребность!F66=Расчет2!$BI$7,Потребность!F66=Расчет2!$BK$14,Исходн.данные.!AI66=Исходн.данные.!$AI$11),1.3,1))</f>
        <v>1.3</v>
      </c>
      <c r="BK66">
        <f>IF(OR(Исходн.данные.!AH66=Исходн.данные.!$AD$7,Исходн.данные.!AH66=Исходн.данные.!$AD$8),0.75,1)</f>
        <v>1</v>
      </c>
    </row>
    <row r="67" spans="32:63" x14ac:dyDescent="0.2">
      <c r="AF67">
        <f>SUM(Исходн.данные.!AD67:AF67)</f>
        <v>0</v>
      </c>
      <c r="AG67" s="60">
        <f>SUM(Расчет!CI67:CK67)</f>
        <v>0.64</v>
      </c>
      <c r="AH67" s="60">
        <f>SUM(Расчет!DS67:DU67)</f>
        <v>0</v>
      </c>
      <c r="AI67" t="e">
        <f t="shared" si="0"/>
        <v>#N/A</v>
      </c>
      <c r="AJ67" t="e">
        <f t="shared" si="1"/>
        <v>#N/A</v>
      </c>
      <c r="AL67">
        <f>Потребность!G67*Потребность!H67</f>
        <v>0</v>
      </c>
      <c r="AM67" s="11" t="e">
        <f>Исходн.данные.!$AJ67*Расчет2!AO67</f>
        <v>#VALUE!</v>
      </c>
      <c r="AN67" s="11">
        <f>Исходн.данные.!$AJ67*Расчет2!AP67</f>
        <v>0</v>
      </c>
      <c r="AO67" s="25" t="str">
        <f>IF(Расчет!BF67=0,"X",Расчет!BF67)</f>
        <v>X</v>
      </c>
      <c r="AP67" s="25">
        <f>Расчет!BG67</f>
        <v>0</v>
      </c>
      <c r="AQ67" s="9">
        <f>IF(Расчет!BL67&lt;0,0,Расчет!BL67)</f>
        <v>0</v>
      </c>
      <c r="AR67" s="25">
        <f>IF(Расчет!BM67&lt;0,0,Расчет!BM67)</f>
        <v>0</v>
      </c>
      <c r="AS67" s="25">
        <f>IF(Расчет!BN67&lt;0,0,Расчет!BN67)</f>
        <v>0</v>
      </c>
      <c r="AT67" s="25">
        <f>Расчет!BY67</f>
        <v>0</v>
      </c>
      <c r="AU67" s="25">
        <f>Расчет!BZ67</f>
        <v>10</v>
      </c>
      <c r="AV67" s="25">
        <f>Расчет!CA67</f>
        <v>0</v>
      </c>
      <c r="AW67" s="25" t="str">
        <f>Расчет!CH67</f>
        <v>Аммофос 12:52:00</v>
      </c>
      <c r="AX67" s="25">
        <f>Расчет!DB67</f>
        <v>0</v>
      </c>
      <c r="AY67" s="25">
        <f>Расчет!DC67</f>
        <v>0</v>
      </c>
      <c r="AZ67" s="25">
        <f>Расчет!DG67</f>
        <v>0</v>
      </c>
      <c r="BA67" s="25">
        <f>Расчет!DH67</f>
        <v>0</v>
      </c>
      <c r="BB67" s="25">
        <f>Расчет!DI67</f>
        <v>0</v>
      </c>
      <c r="BC67" s="25" t="str">
        <f>Расчет!DR67</f>
        <v>Нет</v>
      </c>
      <c r="BD67" s="25">
        <f>Расчет!EB67</f>
        <v>0</v>
      </c>
      <c r="BE67" s="25">
        <f>Расчет!EF67</f>
        <v>0</v>
      </c>
      <c r="BF67" s="25" t="e">
        <f>Расчет!EI67</f>
        <v>#DIV/0!</v>
      </c>
      <c r="BG67" s="25" t="e">
        <f>Расчет!FA67</f>
        <v>#N/A</v>
      </c>
      <c r="BI67">
        <f>IF(Исходн.данные.!AH67=Исходн.данные.!$AC$4,0.6,1)</f>
        <v>1</v>
      </c>
      <c r="BJ67">
        <f>IF(Исходн.данные.!AH67=Исходн.данные.!$AC$4,0.8,IF(OR(Потребность!F67=Расчет2!$BI$10,Потребность!F67=Расчет2!$BI$7,Потребность!F67=Расчет2!$BK$14,Исходн.данные.!AI67=Исходн.данные.!$AI$11),1.3,1))</f>
        <v>1.3</v>
      </c>
      <c r="BK67">
        <f>IF(OR(Исходн.данные.!AH67=Исходн.данные.!$AD$7,Исходн.данные.!AH67=Исходн.данные.!$AD$8),0.75,1)</f>
        <v>1</v>
      </c>
    </row>
    <row r="68" spans="32:63" x14ac:dyDescent="0.2">
      <c r="AF68">
        <f>SUM(Исходн.данные.!AD68:AF68)</f>
        <v>0</v>
      </c>
      <c r="AG68" s="60">
        <f>SUM(Расчет!CI68:CK68)</f>
        <v>0.64</v>
      </c>
      <c r="AH68" s="60">
        <f>SUM(Расчет!DS68:DU68)</f>
        <v>0</v>
      </c>
      <c r="AI68" t="e">
        <f t="shared" si="0"/>
        <v>#N/A</v>
      </c>
      <c r="AJ68" t="e">
        <f t="shared" si="1"/>
        <v>#N/A</v>
      </c>
      <c r="AL68">
        <f>Потребность!G68*Потребность!H68</f>
        <v>0</v>
      </c>
      <c r="AM68" s="11" t="e">
        <f>Исходн.данные.!$AJ68*Расчет2!AO68</f>
        <v>#VALUE!</v>
      </c>
      <c r="AN68" s="11">
        <f>Исходн.данные.!$AJ68*Расчет2!AP68</f>
        <v>0</v>
      </c>
      <c r="AO68" s="25" t="str">
        <f>IF(Расчет!BF68=0,"X",Расчет!BF68)</f>
        <v>X</v>
      </c>
      <c r="AP68" s="25">
        <f>Расчет!BG68</f>
        <v>0</v>
      </c>
      <c r="AQ68" s="9">
        <f>IF(Расчет!BL68&lt;0,0,Расчет!BL68)</f>
        <v>0</v>
      </c>
      <c r="AR68" s="25">
        <f>IF(Расчет!BM68&lt;0,0,Расчет!BM68)</f>
        <v>0</v>
      </c>
      <c r="AS68" s="25">
        <f>IF(Расчет!BN68&lt;0,0,Расчет!BN68)</f>
        <v>0</v>
      </c>
      <c r="AT68" s="25">
        <f>Расчет!BY68</f>
        <v>0</v>
      </c>
      <c r="AU68" s="25">
        <f>Расчет!BZ68</f>
        <v>10</v>
      </c>
      <c r="AV68" s="25">
        <f>Расчет!CA68</f>
        <v>0</v>
      </c>
      <c r="AW68" s="25" t="str">
        <f>Расчет!CH68</f>
        <v>Аммофос 12:52:00</v>
      </c>
      <c r="AX68" s="25">
        <f>Расчет!DB68</f>
        <v>0</v>
      </c>
      <c r="AY68" s="25">
        <f>Расчет!DC68</f>
        <v>0</v>
      </c>
      <c r="AZ68" s="25">
        <f>Расчет!DG68</f>
        <v>0</v>
      </c>
      <c r="BA68" s="25">
        <f>Расчет!DH68</f>
        <v>0</v>
      </c>
      <c r="BB68" s="25">
        <f>Расчет!DI68</f>
        <v>0</v>
      </c>
      <c r="BC68" s="25" t="str">
        <f>Расчет!DR68</f>
        <v>Нет</v>
      </c>
      <c r="BD68" s="25">
        <f>Расчет!EB68</f>
        <v>0</v>
      </c>
      <c r="BE68" s="25">
        <f>Расчет!EF68</f>
        <v>0</v>
      </c>
      <c r="BF68" s="25" t="e">
        <f>Расчет!EI68</f>
        <v>#DIV/0!</v>
      </c>
      <c r="BG68" s="25" t="e">
        <f>Расчет!FA68</f>
        <v>#N/A</v>
      </c>
      <c r="BI68">
        <f>IF(Исходн.данные.!AH68=Исходн.данные.!$AC$4,0.6,1)</f>
        <v>1</v>
      </c>
      <c r="BJ68">
        <f>IF(Исходн.данные.!AH68=Исходн.данные.!$AC$4,0.8,IF(OR(Потребность!F68=Расчет2!$BI$10,Потребность!F68=Расчет2!$BI$7,Потребность!F68=Расчет2!$BK$14,Исходн.данные.!AI68=Исходн.данные.!$AI$11),1.3,1))</f>
        <v>1.3</v>
      </c>
      <c r="BK68">
        <f>IF(OR(Исходн.данные.!AH68=Исходн.данные.!$AD$7,Исходн.данные.!AH68=Исходн.данные.!$AD$8),0.75,1)</f>
        <v>1</v>
      </c>
    </row>
    <row r="69" spans="32:63" x14ac:dyDescent="0.2">
      <c r="AF69">
        <f>SUM(Исходн.данные.!AD69:AF69)</f>
        <v>0</v>
      </c>
      <c r="AG69" s="60">
        <f>SUM(Расчет!CI69:CK69)</f>
        <v>0.64</v>
      </c>
      <c r="AH69" s="60">
        <f>SUM(Расчет!DS69:DU69)</f>
        <v>0</v>
      </c>
      <c r="AI69" t="e">
        <f t="shared" si="0"/>
        <v>#N/A</v>
      </c>
      <c r="AJ69" t="e">
        <f t="shared" si="1"/>
        <v>#N/A</v>
      </c>
      <c r="AL69">
        <f>Потребность!G69*Потребность!H69</f>
        <v>0</v>
      </c>
      <c r="AM69" s="11" t="e">
        <f>Исходн.данные.!$AJ69*Расчет2!AO69</f>
        <v>#VALUE!</v>
      </c>
      <c r="AN69" s="11">
        <f>Исходн.данные.!$AJ69*Расчет2!AP69</f>
        <v>0</v>
      </c>
      <c r="AO69" s="25" t="str">
        <f>IF(Расчет!BF69=0,"X",Расчет!BF69)</f>
        <v>X</v>
      </c>
      <c r="AP69" s="25">
        <f>Расчет!BG69</f>
        <v>0</v>
      </c>
      <c r="AQ69" s="9">
        <f>IF(Расчет!BL69&lt;0,0,Расчет!BL69)</f>
        <v>0</v>
      </c>
      <c r="AR69" s="25">
        <f>IF(Расчет!BM69&lt;0,0,Расчет!BM69)</f>
        <v>0</v>
      </c>
      <c r="AS69" s="25">
        <f>IF(Расчет!BN69&lt;0,0,Расчет!BN69)</f>
        <v>0</v>
      </c>
      <c r="AT69" s="25">
        <f>Расчет!BY69</f>
        <v>0</v>
      </c>
      <c r="AU69" s="25">
        <f>Расчет!BZ69</f>
        <v>10</v>
      </c>
      <c r="AV69" s="25">
        <f>Расчет!CA69</f>
        <v>0</v>
      </c>
      <c r="AW69" s="25" t="str">
        <f>Расчет!CH69</f>
        <v>Аммофос 12:52:00</v>
      </c>
      <c r="AX69" s="25">
        <f>Расчет!DB69</f>
        <v>0</v>
      </c>
      <c r="AY69" s="25">
        <f>Расчет!DC69</f>
        <v>0</v>
      </c>
      <c r="AZ69" s="25">
        <f>Расчет!DG69</f>
        <v>0</v>
      </c>
      <c r="BA69" s="25">
        <f>Расчет!DH69</f>
        <v>0</v>
      </c>
      <c r="BB69" s="25">
        <f>Расчет!DI69</f>
        <v>0</v>
      </c>
      <c r="BC69" s="25" t="str">
        <f>Расчет!DR69</f>
        <v>Нет</v>
      </c>
      <c r="BD69" s="25">
        <f>Расчет!EB69</f>
        <v>0</v>
      </c>
      <c r="BE69" s="25">
        <f>Расчет!EF69</f>
        <v>0</v>
      </c>
      <c r="BF69" s="25" t="e">
        <f>Расчет!EI69</f>
        <v>#DIV/0!</v>
      </c>
      <c r="BG69" s="25" t="e">
        <f>Расчет!FA69</f>
        <v>#N/A</v>
      </c>
      <c r="BI69">
        <f>IF(Исходн.данные.!AH69=Исходн.данные.!$AC$4,0.6,1)</f>
        <v>1</v>
      </c>
      <c r="BJ69">
        <f>IF(Исходн.данные.!AH69=Исходн.данные.!$AC$4,0.8,IF(OR(Потребность!F69=Расчет2!$BI$10,Потребность!F69=Расчет2!$BI$7,Потребность!F69=Расчет2!$BK$14,Исходн.данные.!AI69=Исходн.данные.!$AI$11),1.3,1))</f>
        <v>1.3</v>
      </c>
      <c r="BK69">
        <f>IF(OR(Исходн.данные.!AH69=Исходн.данные.!$AD$7,Исходн.данные.!AH69=Исходн.данные.!$AD$8),0.75,1)</f>
        <v>1</v>
      </c>
    </row>
    <row r="70" spans="32:63" x14ac:dyDescent="0.2">
      <c r="AF70">
        <f>SUM(Исходн.данные.!AD70:AF70)</f>
        <v>0</v>
      </c>
      <c r="AG70" s="60">
        <f>SUM(Расчет!CI70:CK70)</f>
        <v>0.64</v>
      </c>
      <c r="AH70" s="60">
        <f>SUM(Расчет!DS70:DU70)</f>
        <v>0</v>
      </c>
      <c r="AI70" t="e">
        <f t="shared" si="0"/>
        <v>#N/A</v>
      </c>
      <c r="AJ70" t="e">
        <f t="shared" si="1"/>
        <v>#N/A</v>
      </c>
      <c r="AL70">
        <f>Потребность!G70*Потребность!H70</f>
        <v>0</v>
      </c>
      <c r="AM70" s="11" t="e">
        <f>Исходн.данные.!$AJ70*Расчет2!AO70</f>
        <v>#VALUE!</v>
      </c>
      <c r="AN70" s="11">
        <f>Исходн.данные.!$AJ70*Расчет2!AP70</f>
        <v>0</v>
      </c>
      <c r="AO70" s="25" t="str">
        <f>IF(Расчет!BF70=0,"X",Расчет!BF70)</f>
        <v>X</v>
      </c>
      <c r="AP70" s="25">
        <f>Расчет!BG70</f>
        <v>0</v>
      </c>
      <c r="AQ70" s="9">
        <f>IF(Расчет!BL70&lt;0,0,Расчет!BL70)</f>
        <v>0</v>
      </c>
      <c r="AR70" s="25">
        <f>IF(Расчет!BM70&lt;0,0,Расчет!BM70)</f>
        <v>0</v>
      </c>
      <c r="AS70" s="25">
        <f>IF(Расчет!BN70&lt;0,0,Расчет!BN70)</f>
        <v>0</v>
      </c>
      <c r="AT70" s="25">
        <f>Расчет!BY70</f>
        <v>0</v>
      </c>
      <c r="AU70" s="25">
        <f>Расчет!BZ70</f>
        <v>10</v>
      </c>
      <c r="AV70" s="25">
        <f>Расчет!CA70</f>
        <v>0</v>
      </c>
      <c r="AW70" s="25" t="str">
        <f>Расчет!CH70</f>
        <v>Аммофос 12:52:00</v>
      </c>
      <c r="AX70" s="25">
        <f>Расчет!DB70</f>
        <v>0</v>
      </c>
      <c r="AY70" s="25">
        <f>Расчет!DC70</f>
        <v>0</v>
      </c>
      <c r="AZ70" s="25">
        <f>Расчет!DG70</f>
        <v>0</v>
      </c>
      <c r="BA70" s="25">
        <f>Расчет!DH70</f>
        <v>0</v>
      </c>
      <c r="BB70" s="25">
        <f>Расчет!DI70</f>
        <v>0</v>
      </c>
      <c r="BC70" s="25" t="str">
        <f>Расчет!DR70</f>
        <v>Нет</v>
      </c>
      <c r="BD70" s="25">
        <f>Расчет!EB70</f>
        <v>0</v>
      </c>
      <c r="BE70" s="25">
        <f>Расчет!EF70</f>
        <v>0</v>
      </c>
      <c r="BF70" s="25" t="e">
        <f>Расчет!EI70</f>
        <v>#DIV/0!</v>
      </c>
      <c r="BG70" s="25" t="e">
        <f>Расчет!FA70</f>
        <v>#N/A</v>
      </c>
      <c r="BI70">
        <f>IF(Исходн.данные.!AH70=Исходн.данные.!$AC$4,0.6,1)</f>
        <v>1</v>
      </c>
      <c r="BJ70">
        <f>IF(Исходн.данные.!AH70=Исходн.данные.!$AC$4,0.8,IF(OR(Потребность!F70=Расчет2!$BI$10,Потребность!F70=Расчет2!$BI$7,Потребность!F70=Расчет2!$BK$14,Исходн.данные.!AI70=Исходн.данные.!$AI$11),1.3,1))</f>
        <v>1.3</v>
      </c>
      <c r="BK70">
        <f>IF(OR(Исходн.данные.!AH70=Исходн.данные.!$AD$7,Исходн.данные.!AH70=Исходн.данные.!$AD$8),0.75,1)</f>
        <v>1</v>
      </c>
    </row>
    <row r="71" spans="32:63" x14ac:dyDescent="0.2">
      <c r="AF71">
        <f>SUM(Исходн.данные.!AD71:AF71)</f>
        <v>0</v>
      </c>
      <c r="AG71" s="60">
        <f>SUM(Расчет!CI71:CK71)</f>
        <v>0.64</v>
      </c>
      <c r="AH71" s="60">
        <f>SUM(Расчет!DS71:DU71)</f>
        <v>0</v>
      </c>
      <c r="AI71" t="e">
        <f t="shared" si="0"/>
        <v>#N/A</v>
      </c>
      <c r="AJ71" t="e">
        <f t="shared" si="1"/>
        <v>#N/A</v>
      </c>
      <c r="AL71">
        <f>Потребность!G71*Потребность!H71</f>
        <v>0</v>
      </c>
      <c r="AM71" s="11" t="e">
        <f>Исходн.данные.!$AJ71*Расчет2!AO71</f>
        <v>#VALUE!</v>
      </c>
      <c r="AN71" s="11">
        <f>Исходн.данные.!$AJ71*Расчет2!AP71</f>
        <v>0</v>
      </c>
      <c r="AO71" s="25" t="str">
        <f>IF(Расчет!BF71=0,"X",Расчет!BF71)</f>
        <v>X</v>
      </c>
      <c r="AP71" s="25">
        <f>Расчет!BG71</f>
        <v>0</v>
      </c>
      <c r="AQ71" s="9">
        <f>IF(Расчет!BL71&lt;0,0,Расчет!BL71)</f>
        <v>0</v>
      </c>
      <c r="AR71" s="25">
        <f>IF(Расчет!BM71&lt;0,0,Расчет!BM71)</f>
        <v>0</v>
      </c>
      <c r="AS71" s="25">
        <f>IF(Расчет!BN71&lt;0,0,Расчет!BN71)</f>
        <v>0</v>
      </c>
      <c r="AT71" s="25">
        <f>Расчет!BY71</f>
        <v>0</v>
      </c>
      <c r="AU71" s="25">
        <f>Расчет!BZ71</f>
        <v>10</v>
      </c>
      <c r="AV71" s="25">
        <f>Расчет!CA71</f>
        <v>0</v>
      </c>
      <c r="AW71" s="25" t="str">
        <f>Расчет!CH71</f>
        <v>Аммофос 12:52:00</v>
      </c>
      <c r="AX71" s="25">
        <f>Расчет!DB71</f>
        <v>0</v>
      </c>
      <c r="AY71" s="25">
        <f>Расчет!DC71</f>
        <v>0</v>
      </c>
      <c r="AZ71" s="25">
        <f>Расчет!DG71</f>
        <v>0</v>
      </c>
      <c r="BA71" s="25">
        <f>Расчет!DH71</f>
        <v>0</v>
      </c>
      <c r="BB71" s="25">
        <f>Расчет!DI71</f>
        <v>0</v>
      </c>
      <c r="BC71" s="25" t="str">
        <f>Расчет!DR71</f>
        <v>Нет</v>
      </c>
      <c r="BD71" s="25">
        <f>Расчет!EB71</f>
        <v>0</v>
      </c>
      <c r="BE71" s="25">
        <f>Расчет!EF71</f>
        <v>0</v>
      </c>
      <c r="BF71" s="25" t="e">
        <f>Расчет!EI71</f>
        <v>#DIV/0!</v>
      </c>
      <c r="BG71" s="25" t="e">
        <f>Расчет!FA71</f>
        <v>#N/A</v>
      </c>
      <c r="BI71">
        <f>IF(Исходн.данные.!AH71=Исходн.данные.!$AC$4,0.6,1)</f>
        <v>1</v>
      </c>
      <c r="BJ71">
        <f>IF(Исходн.данные.!AH71=Исходн.данные.!$AC$4,0.8,IF(OR(Потребность!F71=Расчет2!$BI$10,Потребность!F71=Расчет2!$BI$7,Потребность!F71=Расчет2!$BK$14,Исходн.данные.!AI71=Исходн.данные.!$AI$11),1.3,1))</f>
        <v>1.3</v>
      </c>
      <c r="BK71">
        <f>IF(OR(Исходн.данные.!AH71=Исходн.данные.!$AD$7,Исходн.данные.!AH71=Исходн.данные.!$AD$8),0.75,1)</f>
        <v>1</v>
      </c>
    </row>
    <row r="72" spans="32:63" x14ac:dyDescent="0.2">
      <c r="AF72">
        <f>SUM(Исходн.данные.!AD72:AF72)</f>
        <v>0</v>
      </c>
      <c r="AG72" s="60">
        <f>SUM(Расчет!CI72:CK72)</f>
        <v>0.64</v>
      </c>
      <c r="AH72" s="60">
        <f>SUM(Расчет!DS72:DU72)</f>
        <v>0</v>
      </c>
      <c r="AI72" t="e">
        <f t="shared" si="0"/>
        <v>#N/A</v>
      </c>
      <c r="AJ72" t="e">
        <f t="shared" si="1"/>
        <v>#N/A</v>
      </c>
      <c r="AL72">
        <f>Потребность!G72*Потребность!H72</f>
        <v>0</v>
      </c>
      <c r="AM72" s="11" t="e">
        <f>Исходн.данные.!$AJ72*Расчет2!AO72</f>
        <v>#VALUE!</v>
      </c>
      <c r="AN72" s="11">
        <f>Исходн.данные.!$AJ72*Расчет2!AP72</f>
        <v>0</v>
      </c>
      <c r="AO72" s="25" t="str">
        <f>IF(Расчет!BF72=0,"X",Расчет!BF72)</f>
        <v>X</v>
      </c>
      <c r="AP72" s="25">
        <f>Расчет!BG72</f>
        <v>0</v>
      </c>
      <c r="AQ72" s="9">
        <f>IF(Расчет!BL72&lt;0,0,Расчет!BL72)</f>
        <v>0</v>
      </c>
      <c r="AR72" s="25">
        <f>IF(Расчет!BM72&lt;0,0,Расчет!BM72)</f>
        <v>0</v>
      </c>
      <c r="AS72" s="25">
        <f>IF(Расчет!BN72&lt;0,0,Расчет!BN72)</f>
        <v>0</v>
      </c>
      <c r="AT72" s="25">
        <f>Расчет!BY72</f>
        <v>0</v>
      </c>
      <c r="AU72" s="25">
        <f>Расчет!BZ72</f>
        <v>10</v>
      </c>
      <c r="AV72" s="25">
        <f>Расчет!CA72</f>
        <v>0</v>
      </c>
      <c r="AW72" s="25" t="str">
        <f>Расчет!CH72</f>
        <v>Аммофос 12:52:00</v>
      </c>
      <c r="AX72" s="25">
        <f>Расчет!DB72</f>
        <v>0</v>
      </c>
      <c r="AY72" s="25">
        <f>Расчет!DC72</f>
        <v>0</v>
      </c>
      <c r="AZ72" s="25">
        <f>Расчет!DG72</f>
        <v>0</v>
      </c>
      <c r="BA72" s="25">
        <f>Расчет!DH72</f>
        <v>0</v>
      </c>
      <c r="BB72" s="25">
        <f>Расчет!DI72</f>
        <v>0</v>
      </c>
      <c r="BC72" s="25" t="str">
        <f>Расчет!DR72</f>
        <v>Нет</v>
      </c>
      <c r="BD72" s="25">
        <f>Расчет!EB72</f>
        <v>0</v>
      </c>
      <c r="BE72" s="25">
        <f>Расчет!EF72</f>
        <v>0</v>
      </c>
      <c r="BF72" s="25" t="e">
        <f>Расчет!EI72</f>
        <v>#DIV/0!</v>
      </c>
      <c r="BG72" s="25" t="e">
        <f>Расчет!FA72</f>
        <v>#N/A</v>
      </c>
      <c r="BI72">
        <f>IF(Исходн.данные.!AH72=Исходн.данные.!$AC$4,0.6,1)</f>
        <v>1</v>
      </c>
      <c r="BJ72">
        <f>IF(Исходн.данные.!AH72=Исходн.данные.!$AC$4,0.8,IF(OR(Потребность!F72=Расчет2!$BI$10,Потребность!F72=Расчет2!$BI$7,Потребность!F72=Расчет2!$BK$14,Исходн.данные.!AI72=Исходн.данные.!$AI$11),1.3,1))</f>
        <v>1.3</v>
      </c>
      <c r="BK72">
        <f>IF(OR(Исходн.данные.!AH72=Исходн.данные.!$AD$7,Исходн.данные.!AH72=Исходн.данные.!$AD$8),0.75,1)</f>
        <v>1</v>
      </c>
    </row>
    <row r="73" spans="32:63" x14ac:dyDescent="0.2">
      <c r="AF73">
        <f>SUM(Исходн.данные.!AD73:AF73)</f>
        <v>0</v>
      </c>
      <c r="AG73" s="60">
        <f>SUM(Расчет!CI73:CK73)</f>
        <v>0.64</v>
      </c>
      <c r="AH73" s="60">
        <f>SUM(Расчет!DS73:DU73)</f>
        <v>0</v>
      </c>
      <c r="AI73" t="e">
        <f t="shared" si="0"/>
        <v>#N/A</v>
      </c>
      <c r="AJ73" t="e">
        <f t="shared" si="1"/>
        <v>#N/A</v>
      </c>
      <c r="AL73">
        <f>Потребность!G73*Потребность!H73</f>
        <v>0</v>
      </c>
      <c r="AM73" s="11" t="e">
        <f>Исходн.данные.!$AJ73*Расчет2!AO73</f>
        <v>#VALUE!</v>
      </c>
      <c r="AN73" s="11">
        <f>Исходн.данные.!$AJ73*Расчет2!AP73</f>
        <v>0</v>
      </c>
      <c r="AO73" s="25" t="str">
        <f>IF(Расчет!BF73=0,"X",Расчет!BF73)</f>
        <v>X</v>
      </c>
      <c r="AP73" s="25">
        <f>Расчет!BG73</f>
        <v>0</v>
      </c>
      <c r="AQ73" s="9">
        <f>IF(Расчет!BL73&lt;0,0,Расчет!BL73)</f>
        <v>0</v>
      </c>
      <c r="AR73" s="25">
        <f>IF(Расчет!BM73&lt;0,0,Расчет!BM73)</f>
        <v>0</v>
      </c>
      <c r="AS73" s="25">
        <f>IF(Расчет!BN73&lt;0,0,Расчет!BN73)</f>
        <v>0</v>
      </c>
      <c r="AT73" s="25">
        <f>Расчет!BY73</f>
        <v>0</v>
      </c>
      <c r="AU73" s="25">
        <f>Расчет!BZ73</f>
        <v>10</v>
      </c>
      <c r="AV73" s="25">
        <f>Расчет!CA73</f>
        <v>0</v>
      </c>
      <c r="AW73" s="25" t="str">
        <f>Расчет!CH73</f>
        <v>Аммофос 12:52:00</v>
      </c>
      <c r="AX73" s="25">
        <f>Расчет!DB73</f>
        <v>0</v>
      </c>
      <c r="AY73" s="25">
        <f>Расчет!DC73</f>
        <v>0</v>
      </c>
      <c r="AZ73" s="25">
        <f>Расчет!DG73</f>
        <v>0</v>
      </c>
      <c r="BA73" s="25">
        <f>Расчет!DH73</f>
        <v>0</v>
      </c>
      <c r="BB73" s="25">
        <f>Расчет!DI73</f>
        <v>0</v>
      </c>
      <c r="BC73" s="25" t="str">
        <f>Расчет!DR73</f>
        <v>Нет</v>
      </c>
      <c r="BD73" s="25">
        <f>Расчет!EB73</f>
        <v>0</v>
      </c>
      <c r="BE73" s="25">
        <f>Расчет!EF73</f>
        <v>0</v>
      </c>
      <c r="BF73" s="25" t="e">
        <f>Расчет!EI73</f>
        <v>#DIV/0!</v>
      </c>
      <c r="BG73" s="25" t="e">
        <f>Расчет!FA73</f>
        <v>#N/A</v>
      </c>
      <c r="BI73">
        <f>IF(Исходн.данные.!AH73=Исходн.данные.!$AC$4,0.6,1)</f>
        <v>1</v>
      </c>
      <c r="BJ73">
        <f>IF(Исходн.данные.!AH73=Исходн.данные.!$AC$4,0.8,IF(OR(Потребность!F73=Расчет2!$BI$10,Потребность!F73=Расчет2!$BI$7,Потребность!F73=Расчет2!$BK$14,Исходн.данные.!AI73=Исходн.данные.!$AI$11),1.3,1))</f>
        <v>1.3</v>
      </c>
      <c r="BK73">
        <f>IF(OR(Исходн.данные.!AH73=Исходн.данные.!$AD$7,Исходн.данные.!AH73=Исходн.данные.!$AD$8),0.75,1)</f>
        <v>1</v>
      </c>
    </row>
    <row r="74" spans="32:63" x14ac:dyDescent="0.2">
      <c r="AF74">
        <f>SUM(Исходн.данные.!AD74:AF74)</f>
        <v>0</v>
      </c>
      <c r="AG74" s="60">
        <f>SUM(Расчет!CI74:CK74)</f>
        <v>0.64</v>
      </c>
      <c r="AH74" s="60">
        <f>SUM(Расчет!DS74:DU74)</f>
        <v>0</v>
      </c>
      <c r="AI74" t="e">
        <f t="shared" si="0"/>
        <v>#N/A</v>
      </c>
      <c r="AJ74" t="e">
        <f t="shared" si="1"/>
        <v>#N/A</v>
      </c>
      <c r="AL74">
        <f>Потребность!G74*Потребность!H74</f>
        <v>0</v>
      </c>
      <c r="AM74" s="11" t="e">
        <f>Исходн.данные.!$AJ74*Расчет2!AO74</f>
        <v>#VALUE!</v>
      </c>
      <c r="AN74" s="11">
        <f>Исходн.данные.!$AJ74*Расчет2!AP74</f>
        <v>0</v>
      </c>
      <c r="AO74" s="25" t="str">
        <f>IF(Расчет!BF74=0,"X",Расчет!BF74)</f>
        <v>X</v>
      </c>
      <c r="AP74" s="25">
        <f>Расчет!BG74</f>
        <v>0</v>
      </c>
      <c r="AQ74" s="9">
        <f>IF(Расчет!BL74&lt;0,0,Расчет!BL74)</f>
        <v>0</v>
      </c>
      <c r="AR74" s="25">
        <f>IF(Расчет!BM74&lt;0,0,Расчет!BM74)</f>
        <v>0</v>
      </c>
      <c r="AS74" s="25">
        <f>IF(Расчет!BN74&lt;0,0,Расчет!BN74)</f>
        <v>0</v>
      </c>
      <c r="AT74" s="25">
        <f>Расчет!BY74</f>
        <v>0</v>
      </c>
      <c r="AU74" s="25">
        <f>Расчет!BZ74</f>
        <v>10</v>
      </c>
      <c r="AV74" s="25">
        <f>Расчет!CA74</f>
        <v>0</v>
      </c>
      <c r="AW74" s="25" t="str">
        <f>Расчет!CH74</f>
        <v>Аммофос 12:52:00</v>
      </c>
      <c r="AX74" s="25">
        <f>Расчет!DB74</f>
        <v>0</v>
      </c>
      <c r="AY74" s="25">
        <f>Расчет!DC74</f>
        <v>0</v>
      </c>
      <c r="AZ74" s="25">
        <f>Расчет!DG74</f>
        <v>0</v>
      </c>
      <c r="BA74" s="25">
        <f>Расчет!DH74</f>
        <v>0</v>
      </c>
      <c r="BB74" s="25">
        <f>Расчет!DI74</f>
        <v>0</v>
      </c>
      <c r="BC74" s="25" t="str">
        <f>Расчет!DR74</f>
        <v>Нет</v>
      </c>
      <c r="BD74" s="25">
        <f>Расчет!EB74</f>
        <v>0</v>
      </c>
      <c r="BE74" s="25">
        <f>Расчет!EF74</f>
        <v>0</v>
      </c>
      <c r="BF74" s="25" t="e">
        <f>Расчет!EI74</f>
        <v>#DIV/0!</v>
      </c>
      <c r="BG74" s="25" t="e">
        <f>Расчет!FA74</f>
        <v>#N/A</v>
      </c>
      <c r="BI74">
        <f>IF(Исходн.данные.!AH74=Исходн.данные.!$AC$4,0.6,1)</f>
        <v>1</v>
      </c>
      <c r="BJ74">
        <f>IF(Исходн.данные.!AH74=Исходн.данные.!$AC$4,0.8,IF(OR(Потребность!F74=Расчет2!$BI$10,Потребность!F74=Расчет2!$BI$7,Потребность!F74=Расчет2!$BK$14,Исходн.данные.!AI74=Исходн.данные.!$AI$11),1.3,1))</f>
        <v>1.3</v>
      </c>
      <c r="BK74">
        <f>IF(OR(Исходн.данные.!AH74=Исходн.данные.!$AD$7,Исходн.данные.!AH74=Исходн.данные.!$AD$8),0.75,1)</f>
        <v>1</v>
      </c>
    </row>
    <row r="75" spans="32:63" x14ac:dyDescent="0.2">
      <c r="AF75">
        <f>SUM(Исходн.данные.!AD75:AF75)</f>
        <v>0</v>
      </c>
      <c r="AG75" s="60">
        <f>SUM(Расчет!CI75:CK75)</f>
        <v>0.64</v>
      </c>
      <c r="AH75" s="60">
        <f>SUM(Расчет!DS75:DU75)</f>
        <v>0</v>
      </c>
      <c r="AI75" t="e">
        <f t="shared" si="0"/>
        <v>#N/A</v>
      </c>
      <c r="AJ75" t="e">
        <f t="shared" si="1"/>
        <v>#N/A</v>
      </c>
      <c r="AL75">
        <f>Потребность!G75*Потребность!H75</f>
        <v>0</v>
      </c>
      <c r="AM75" s="11" t="e">
        <f>Исходн.данные.!$AJ75*Расчет2!AO75</f>
        <v>#VALUE!</v>
      </c>
      <c r="AN75" s="11">
        <f>Исходн.данные.!$AJ75*Расчет2!AP75</f>
        <v>0</v>
      </c>
      <c r="AO75" s="25" t="str">
        <f>IF(Расчет!BF75=0,"X",Расчет!BF75)</f>
        <v>X</v>
      </c>
      <c r="AP75" s="25">
        <f>Расчет!BG75</f>
        <v>0</v>
      </c>
      <c r="AQ75" s="9">
        <f>IF(Расчет!BL75&lt;0,0,Расчет!BL75)</f>
        <v>0</v>
      </c>
      <c r="AR75" s="25">
        <f>IF(Расчет!BM75&lt;0,0,Расчет!BM75)</f>
        <v>0</v>
      </c>
      <c r="AS75" s="25">
        <f>IF(Расчет!BN75&lt;0,0,Расчет!BN75)</f>
        <v>0</v>
      </c>
      <c r="AT75" s="25">
        <f>Расчет!BY75</f>
        <v>0</v>
      </c>
      <c r="AU75" s="25">
        <f>Расчет!BZ75</f>
        <v>10</v>
      </c>
      <c r="AV75" s="25">
        <f>Расчет!CA75</f>
        <v>0</v>
      </c>
      <c r="AW75" s="25" t="str">
        <f>Расчет!CH75</f>
        <v>Аммофос 12:52:00</v>
      </c>
      <c r="AX75" s="25">
        <f>Расчет!DB75</f>
        <v>0</v>
      </c>
      <c r="AY75" s="25">
        <f>Расчет!DC75</f>
        <v>0</v>
      </c>
      <c r="AZ75" s="25">
        <f>Расчет!DG75</f>
        <v>0</v>
      </c>
      <c r="BA75" s="25">
        <f>Расчет!DH75</f>
        <v>0</v>
      </c>
      <c r="BB75" s="25">
        <f>Расчет!DI75</f>
        <v>0</v>
      </c>
      <c r="BC75" s="25" t="str">
        <f>Расчет!DR75</f>
        <v>Нет</v>
      </c>
      <c r="BD75" s="25">
        <f>Расчет!EB75</f>
        <v>0</v>
      </c>
      <c r="BE75" s="25">
        <f>Расчет!EF75</f>
        <v>0</v>
      </c>
      <c r="BF75" s="25" t="e">
        <f>Расчет!EI75</f>
        <v>#DIV/0!</v>
      </c>
      <c r="BG75" s="25" t="e">
        <f>Расчет!FA75</f>
        <v>#N/A</v>
      </c>
      <c r="BI75">
        <f>IF(Исходн.данные.!AH75=Исходн.данные.!$AC$4,0.6,1)</f>
        <v>1</v>
      </c>
      <c r="BJ75">
        <f>IF(Исходн.данные.!AH75=Исходн.данные.!$AC$4,0.8,IF(OR(Потребность!F75=Расчет2!$BI$10,Потребность!F75=Расчет2!$BI$7,Потребность!F75=Расчет2!$BK$14,Исходн.данные.!AI75=Исходн.данные.!$AI$11),1.3,1))</f>
        <v>1.3</v>
      </c>
      <c r="BK75">
        <f>IF(OR(Исходн.данные.!AH75=Исходн.данные.!$AD$7,Исходн.данные.!AH75=Исходн.данные.!$AD$8),0.75,1)</f>
        <v>1</v>
      </c>
    </row>
    <row r="76" spans="32:63" x14ac:dyDescent="0.2">
      <c r="AF76">
        <f>SUM(Исходн.данные.!AD76:AF76)</f>
        <v>0</v>
      </c>
      <c r="AG76" s="60">
        <f>SUM(Расчет!CI76:CK76)</f>
        <v>0.64</v>
      </c>
      <c r="AH76" s="60">
        <f>SUM(Расчет!DS76:DU76)</f>
        <v>0</v>
      </c>
      <c r="AI76" t="e">
        <f t="shared" si="0"/>
        <v>#N/A</v>
      </c>
      <c r="AJ76" t="e">
        <f t="shared" si="1"/>
        <v>#N/A</v>
      </c>
      <c r="AL76">
        <f>Потребность!G76*Потребность!H76</f>
        <v>0</v>
      </c>
      <c r="AM76" s="11" t="e">
        <f>Исходн.данные.!$AJ76*Расчет2!AO76</f>
        <v>#VALUE!</v>
      </c>
      <c r="AN76" s="11">
        <f>Исходн.данные.!$AJ76*Расчет2!AP76</f>
        <v>0</v>
      </c>
      <c r="AO76" s="25" t="str">
        <f>IF(Расчет!BF76=0,"X",Расчет!BF76)</f>
        <v>X</v>
      </c>
      <c r="AP76" s="25">
        <f>Расчет!BG76</f>
        <v>0</v>
      </c>
      <c r="AQ76" s="9">
        <f>IF(Расчет!BL76&lt;0,0,Расчет!BL76)</f>
        <v>0</v>
      </c>
      <c r="AR76" s="25">
        <f>IF(Расчет!BM76&lt;0,0,Расчет!BM76)</f>
        <v>0</v>
      </c>
      <c r="AS76" s="25">
        <f>IF(Расчет!BN76&lt;0,0,Расчет!BN76)</f>
        <v>0</v>
      </c>
      <c r="AT76" s="25">
        <f>Расчет!BY76</f>
        <v>0</v>
      </c>
      <c r="AU76" s="25">
        <f>Расчет!BZ76</f>
        <v>10</v>
      </c>
      <c r="AV76" s="25">
        <f>Расчет!CA76</f>
        <v>0</v>
      </c>
      <c r="AW76" s="25" t="str">
        <f>Расчет!CH76</f>
        <v>Аммофос 12:52:00</v>
      </c>
      <c r="AX76" s="25">
        <f>Расчет!DB76</f>
        <v>0</v>
      </c>
      <c r="AY76" s="25">
        <f>Расчет!DC76</f>
        <v>0</v>
      </c>
      <c r="AZ76" s="25">
        <f>Расчет!DG76</f>
        <v>0</v>
      </c>
      <c r="BA76" s="25">
        <f>Расчет!DH76</f>
        <v>0</v>
      </c>
      <c r="BB76" s="25">
        <f>Расчет!DI76</f>
        <v>0</v>
      </c>
      <c r="BC76" s="25" t="str">
        <f>Расчет!DR76</f>
        <v>Нет</v>
      </c>
      <c r="BD76" s="25">
        <f>Расчет!EB76</f>
        <v>0</v>
      </c>
      <c r="BE76" s="25">
        <f>Расчет!EF76</f>
        <v>0</v>
      </c>
      <c r="BF76" s="25" t="e">
        <f>Расчет!EI76</f>
        <v>#DIV/0!</v>
      </c>
      <c r="BG76" s="25" t="e">
        <f>Расчет!FA76</f>
        <v>#N/A</v>
      </c>
      <c r="BI76">
        <f>IF(Исходн.данные.!AH76=Исходн.данные.!$AC$4,0.6,1)</f>
        <v>1</v>
      </c>
      <c r="BJ76">
        <f>IF(Исходн.данные.!AH76=Исходн.данные.!$AC$4,0.8,IF(OR(Потребность!F76=Расчет2!$BI$10,Потребность!F76=Расчет2!$BI$7,Потребность!F76=Расчет2!$BK$14,Исходн.данные.!AI76=Исходн.данные.!$AI$11),1.3,1))</f>
        <v>1.3</v>
      </c>
      <c r="BK76">
        <f>IF(OR(Исходн.данные.!AH76=Исходн.данные.!$AD$7,Исходн.данные.!AH76=Исходн.данные.!$AD$8),0.75,1)</f>
        <v>1</v>
      </c>
    </row>
    <row r="77" spans="32:63" x14ac:dyDescent="0.2">
      <c r="AF77">
        <f>SUM(Исходн.данные.!AD77:AF77)</f>
        <v>0</v>
      </c>
      <c r="AG77" s="60">
        <f>SUM(Расчет!CI77:CK77)</f>
        <v>0.64</v>
      </c>
      <c r="AH77" s="60">
        <f>SUM(Расчет!DS77:DU77)</f>
        <v>0</v>
      </c>
      <c r="AI77" t="e">
        <f t="shared" si="0"/>
        <v>#N/A</v>
      </c>
      <c r="AJ77" t="e">
        <f t="shared" si="1"/>
        <v>#N/A</v>
      </c>
      <c r="AL77">
        <f>Потребность!G77*Потребность!H77</f>
        <v>0</v>
      </c>
      <c r="AM77" s="11" t="e">
        <f>Исходн.данные.!$AJ77*Расчет2!AO77</f>
        <v>#VALUE!</v>
      </c>
      <c r="AN77" s="11">
        <f>Исходн.данные.!$AJ77*Расчет2!AP77</f>
        <v>0</v>
      </c>
      <c r="AO77" s="25" t="str">
        <f>IF(Расчет!BF77=0,"X",Расчет!BF77)</f>
        <v>X</v>
      </c>
      <c r="AP77" s="25">
        <f>Расчет!BG77</f>
        <v>0</v>
      </c>
      <c r="AQ77" s="9">
        <f>IF(Расчет!BL77&lt;0,0,Расчет!BL77)</f>
        <v>0</v>
      </c>
      <c r="AR77" s="25">
        <f>IF(Расчет!BM77&lt;0,0,Расчет!BM77)</f>
        <v>0</v>
      </c>
      <c r="AS77" s="25">
        <f>IF(Расчет!BN77&lt;0,0,Расчет!BN77)</f>
        <v>0</v>
      </c>
      <c r="AT77" s="25">
        <f>Расчет!BY77</f>
        <v>0</v>
      </c>
      <c r="AU77" s="25">
        <f>Расчет!BZ77</f>
        <v>10</v>
      </c>
      <c r="AV77" s="25">
        <f>Расчет!CA77</f>
        <v>0</v>
      </c>
      <c r="AW77" s="25" t="str">
        <f>Расчет!CH77</f>
        <v>Аммофос 12:52:00</v>
      </c>
      <c r="AX77" s="25">
        <f>Расчет!DB77</f>
        <v>0</v>
      </c>
      <c r="AY77" s="25">
        <f>Расчет!DC77</f>
        <v>0</v>
      </c>
      <c r="AZ77" s="25">
        <f>Расчет!DG77</f>
        <v>0</v>
      </c>
      <c r="BA77" s="25">
        <f>Расчет!DH77</f>
        <v>0</v>
      </c>
      <c r="BB77" s="25">
        <f>Расчет!DI77</f>
        <v>0</v>
      </c>
      <c r="BC77" s="25" t="str">
        <f>Расчет!DR77</f>
        <v>Нет</v>
      </c>
      <c r="BD77" s="25">
        <f>Расчет!EB77</f>
        <v>0</v>
      </c>
      <c r="BE77" s="25">
        <f>Расчет!EF77</f>
        <v>0</v>
      </c>
      <c r="BF77" s="25" t="e">
        <f>Расчет!EI77</f>
        <v>#DIV/0!</v>
      </c>
      <c r="BG77" s="25" t="e">
        <f>Расчет!FA77</f>
        <v>#N/A</v>
      </c>
      <c r="BI77">
        <f>IF(Исходн.данные.!AH77=Исходн.данные.!$AC$4,0.6,1)</f>
        <v>1</v>
      </c>
      <c r="BJ77">
        <f>IF(Исходн.данные.!AH77=Исходн.данные.!$AC$4,0.8,IF(OR(Потребность!F77=Расчет2!$BI$10,Потребность!F77=Расчет2!$BI$7,Потребность!F77=Расчет2!$BK$14,Исходн.данные.!AI77=Исходн.данные.!$AI$11),1.3,1))</f>
        <v>1.3</v>
      </c>
      <c r="BK77">
        <f>IF(OR(Исходн.данные.!AH77=Исходн.данные.!$AD$7,Исходн.данные.!AH77=Исходн.данные.!$AD$8),0.75,1)</f>
        <v>1</v>
      </c>
    </row>
    <row r="78" spans="32:63" x14ac:dyDescent="0.2">
      <c r="AF78">
        <f>SUM(Исходн.данные.!AD78:AF78)</f>
        <v>0</v>
      </c>
      <c r="AG78" s="60">
        <f>SUM(Расчет!CI78:CK78)</f>
        <v>0.64</v>
      </c>
      <c r="AH78" s="60">
        <f>SUM(Расчет!DS78:DU78)</f>
        <v>0</v>
      </c>
      <c r="AI78" t="e">
        <f t="shared" si="0"/>
        <v>#N/A</v>
      </c>
      <c r="AJ78" t="e">
        <f t="shared" si="1"/>
        <v>#N/A</v>
      </c>
      <c r="AL78">
        <f>Потребность!G78*Потребность!H78</f>
        <v>0</v>
      </c>
      <c r="AM78" s="11" t="e">
        <f>Исходн.данные.!$AJ78*Расчет2!AO78</f>
        <v>#VALUE!</v>
      </c>
      <c r="AN78" s="11">
        <f>Исходн.данные.!$AJ78*Расчет2!AP78</f>
        <v>0</v>
      </c>
      <c r="AO78" s="25" t="str">
        <f>IF(Расчет!BF78=0,"X",Расчет!BF78)</f>
        <v>X</v>
      </c>
      <c r="AP78" s="25">
        <f>Расчет!BG78</f>
        <v>0</v>
      </c>
      <c r="AQ78" s="9">
        <f>IF(Расчет!BL78&lt;0,0,Расчет!BL78)</f>
        <v>0</v>
      </c>
      <c r="AR78" s="25">
        <f>IF(Расчет!BM78&lt;0,0,Расчет!BM78)</f>
        <v>0</v>
      </c>
      <c r="AS78" s="25">
        <f>IF(Расчет!BN78&lt;0,0,Расчет!BN78)</f>
        <v>0</v>
      </c>
      <c r="AT78" s="25">
        <f>Расчет!BY78</f>
        <v>0</v>
      </c>
      <c r="AU78" s="25">
        <f>Расчет!BZ78</f>
        <v>10</v>
      </c>
      <c r="AV78" s="25">
        <f>Расчет!CA78</f>
        <v>0</v>
      </c>
      <c r="AW78" s="25" t="str">
        <f>Расчет!CH78</f>
        <v>Аммофос 12:52:00</v>
      </c>
      <c r="AX78" s="25">
        <f>Расчет!DB78</f>
        <v>0</v>
      </c>
      <c r="AY78" s="25">
        <f>Расчет!DC78</f>
        <v>0</v>
      </c>
      <c r="AZ78" s="25">
        <f>Расчет!DG78</f>
        <v>0</v>
      </c>
      <c r="BA78" s="25">
        <f>Расчет!DH78</f>
        <v>0</v>
      </c>
      <c r="BB78" s="25">
        <f>Расчет!DI78</f>
        <v>0</v>
      </c>
      <c r="BC78" s="25" t="str">
        <f>Расчет!DR78</f>
        <v>Нет</v>
      </c>
      <c r="BD78" s="25">
        <f>Расчет!EB78</f>
        <v>0</v>
      </c>
      <c r="BE78" s="25">
        <f>Расчет!EF78</f>
        <v>0</v>
      </c>
      <c r="BF78" s="25" t="e">
        <f>Расчет!EI78</f>
        <v>#DIV/0!</v>
      </c>
      <c r="BG78" s="25" t="e">
        <f>Расчет!FA78</f>
        <v>#N/A</v>
      </c>
      <c r="BI78">
        <f>IF(Исходн.данные.!AH78=Исходн.данные.!$AC$4,0.6,1)</f>
        <v>1</v>
      </c>
      <c r="BJ78">
        <f>IF(Исходн.данные.!AH78=Исходн.данные.!$AC$4,0.8,IF(OR(Потребность!F78=Расчет2!$BI$10,Потребность!F78=Расчет2!$BI$7,Потребность!F78=Расчет2!$BK$14,Исходн.данные.!AI78=Исходн.данные.!$AI$11),1.3,1))</f>
        <v>1.3</v>
      </c>
      <c r="BK78">
        <f>IF(OR(Исходн.данные.!AH78=Исходн.данные.!$AD$7,Исходн.данные.!AH78=Исходн.данные.!$AD$8),0.75,1)</f>
        <v>1</v>
      </c>
    </row>
    <row r="79" spans="32:63" x14ac:dyDescent="0.2">
      <c r="AF79">
        <f>SUM(Исходн.данные.!AD79:AF79)</f>
        <v>0</v>
      </c>
      <c r="AG79" s="60">
        <f>SUM(Расчет!CI79:CK79)</f>
        <v>0.64</v>
      </c>
      <c r="AH79" s="60">
        <f>SUM(Расчет!DS79:DU79)</f>
        <v>0</v>
      </c>
      <c r="AI79" t="e">
        <f t="shared" si="0"/>
        <v>#N/A</v>
      </c>
      <c r="AJ79" t="e">
        <f t="shared" si="1"/>
        <v>#N/A</v>
      </c>
      <c r="AL79">
        <f>Потребность!G79*Потребность!H79</f>
        <v>0</v>
      </c>
      <c r="AM79" s="11" t="e">
        <f>Исходн.данные.!$AJ79*Расчет2!AO79</f>
        <v>#VALUE!</v>
      </c>
      <c r="AN79" s="11">
        <f>Исходн.данные.!$AJ79*Расчет2!AP79</f>
        <v>0</v>
      </c>
      <c r="AO79" s="25" t="str">
        <f>IF(Расчет!BF79=0,"X",Расчет!BF79)</f>
        <v>X</v>
      </c>
      <c r="AP79" s="25">
        <f>Расчет!BG79</f>
        <v>0</v>
      </c>
      <c r="AQ79" s="9">
        <f>IF(Расчет!BL79&lt;0,0,Расчет!BL79)</f>
        <v>0</v>
      </c>
      <c r="AR79" s="25">
        <f>IF(Расчет!BM79&lt;0,0,Расчет!BM79)</f>
        <v>0</v>
      </c>
      <c r="AS79" s="25">
        <f>IF(Расчет!BN79&lt;0,0,Расчет!BN79)</f>
        <v>0</v>
      </c>
      <c r="AT79" s="25">
        <f>Расчет!BY79</f>
        <v>0</v>
      </c>
      <c r="AU79" s="25">
        <f>Расчет!BZ79</f>
        <v>10</v>
      </c>
      <c r="AV79" s="25">
        <f>Расчет!CA79</f>
        <v>0</v>
      </c>
      <c r="AW79" s="25" t="str">
        <f>Расчет!CH79</f>
        <v>Аммофос 12:52:00</v>
      </c>
      <c r="AX79" s="25">
        <f>Расчет!DB79</f>
        <v>0</v>
      </c>
      <c r="AY79" s="25">
        <f>Расчет!DC79</f>
        <v>0</v>
      </c>
      <c r="AZ79" s="25">
        <f>Расчет!DG79</f>
        <v>0</v>
      </c>
      <c r="BA79" s="25">
        <f>Расчет!DH79</f>
        <v>0</v>
      </c>
      <c r="BB79" s="25">
        <f>Расчет!DI79</f>
        <v>0</v>
      </c>
      <c r="BC79" s="25" t="str">
        <f>Расчет!DR79</f>
        <v>Нет</v>
      </c>
      <c r="BD79" s="25">
        <f>Расчет!EB79</f>
        <v>0</v>
      </c>
      <c r="BE79" s="25">
        <f>Расчет!EF79</f>
        <v>0</v>
      </c>
      <c r="BF79" s="25" t="e">
        <f>Расчет!EI79</f>
        <v>#DIV/0!</v>
      </c>
      <c r="BG79" s="25" t="e">
        <f>Расчет!FA79</f>
        <v>#N/A</v>
      </c>
      <c r="BI79">
        <f>IF(Исходн.данные.!AH79=Исходн.данные.!$AC$4,0.6,1)</f>
        <v>1</v>
      </c>
      <c r="BJ79">
        <f>IF(Исходн.данные.!AH79=Исходн.данные.!$AC$4,0.8,IF(OR(Потребность!F79=Расчет2!$BI$10,Потребность!F79=Расчет2!$BI$7,Потребность!F79=Расчет2!$BK$14,Исходн.данные.!AI79=Исходн.данные.!$AI$11),1.3,1))</f>
        <v>1.3</v>
      </c>
      <c r="BK79">
        <f>IF(OR(Исходн.данные.!AH79=Исходн.данные.!$AD$7,Исходн.данные.!AH79=Исходн.данные.!$AD$8),0.75,1)</f>
        <v>1</v>
      </c>
    </row>
    <row r="80" spans="32:63" x14ac:dyDescent="0.2">
      <c r="AF80">
        <f>SUM(Исходн.данные.!AD80:AF80)</f>
        <v>0</v>
      </c>
      <c r="AG80" s="60">
        <f>SUM(Расчет!CI80:CK80)</f>
        <v>0.64</v>
      </c>
      <c r="AH80" s="60">
        <f>SUM(Расчет!DS80:DU80)</f>
        <v>0</v>
      </c>
      <c r="AI80" t="e">
        <f t="shared" si="0"/>
        <v>#N/A</v>
      </c>
      <c r="AJ80" t="e">
        <f t="shared" si="1"/>
        <v>#N/A</v>
      </c>
      <c r="AL80">
        <f>Потребность!G80*Потребность!H80</f>
        <v>0</v>
      </c>
      <c r="AM80" s="11" t="e">
        <f>Исходн.данные.!$AJ80*Расчет2!AO80</f>
        <v>#VALUE!</v>
      </c>
      <c r="AN80" s="11">
        <f>Исходн.данные.!$AJ80*Расчет2!AP80</f>
        <v>0</v>
      </c>
      <c r="AO80" s="25" t="str">
        <f>IF(Расчет!BF80=0,"X",Расчет!BF80)</f>
        <v>X</v>
      </c>
      <c r="AP80" s="25">
        <f>Расчет!BG80</f>
        <v>0</v>
      </c>
      <c r="AQ80" s="9">
        <f>IF(Расчет!BL80&lt;0,0,Расчет!BL80)</f>
        <v>0</v>
      </c>
      <c r="AR80" s="25">
        <f>IF(Расчет!BM80&lt;0,0,Расчет!BM80)</f>
        <v>0</v>
      </c>
      <c r="AS80" s="25">
        <f>IF(Расчет!BN80&lt;0,0,Расчет!BN80)</f>
        <v>0</v>
      </c>
      <c r="AT80" s="25">
        <f>Расчет!BY80</f>
        <v>0</v>
      </c>
      <c r="AU80" s="25">
        <f>Расчет!BZ80</f>
        <v>10</v>
      </c>
      <c r="AV80" s="25">
        <f>Расчет!CA80</f>
        <v>0</v>
      </c>
      <c r="AW80" s="25" t="str">
        <f>Расчет!CH80</f>
        <v>Аммофос 12:52:00</v>
      </c>
      <c r="AX80" s="25">
        <f>Расчет!DB80</f>
        <v>0</v>
      </c>
      <c r="AY80" s="25">
        <f>Расчет!DC80</f>
        <v>0</v>
      </c>
      <c r="AZ80" s="25">
        <f>Расчет!DG80</f>
        <v>0</v>
      </c>
      <c r="BA80" s="25">
        <f>Расчет!DH80</f>
        <v>0</v>
      </c>
      <c r="BB80" s="25">
        <f>Расчет!DI80</f>
        <v>0</v>
      </c>
      <c r="BC80" s="25" t="str">
        <f>Расчет!DR80</f>
        <v>Нет</v>
      </c>
      <c r="BD80" s="25">
        <f>Расчет!EB80</f>
        <v>0</v>
      </c>
      <c r="BE80" s="25">
        <f>Расчет!EF80</f>
        <v>0</v>
      </c>
      <c r="BF80" s="25" t="e">
        <f>Расчет!EI80</f>
        <v>#DIV/0!</v>
      </c>
      <c r="BG80" s="25" t="e">
        <f>Расчет!FA80</f>
        <v>#N/A</v>
      </c>
      <c r="BI80">
        <f>IF(Исходн.данные.!AH80=Исходн.данные.!$AC$4,0.6,1)</f>
        <v>1</v>
      </c>
      <c r="BJ80">
        <f>IF(Исходн.данные.!AH80=Исходн.данные.!$AC$4,0.8,IF(OR(Потребность!F80=Расчет2!$BI$10,Потребность!F80=Расчет2!$BI$7,Потребность!F80=Расчет2!$BK$14,Исходн.данные.!AI80=Исходн.данные.!$AI$11),1.3,1))</f>
        <v>1.3</v>
      </c>
      <c r="BK80">
        <f>IF(OR(Исходн.данные.!AH80=Исходн.данные.!$AD$7,Исходн.данные.!AH80=Исходн.данные.!$AD$8),0.75,1)</f>
        <v>1</v>
      </c>
    </row>
    <row r="81" spans="32:63" x14ac:dyDescent="0.2">
      <c r="AF81">
        <f>SUM(Исходн.данные.!AD81:AF81)</f>
        <v>0</v>
      </c>
      <c r="AG81" s="60">
        <f>SUM(Расчет!CI81:CK81)</f>
        <v>0.64</v>
      </c>
      <c r="AH81" s="60">
        <f>SUM(Расчет!DS81:DU81)</f>
        <v>0</v>
      </c>
      <c r="AI81" t="e">
        <f t="shared" si="0"/>
        <v>#N/A</v>
      </c>
      <c r="AJ81" t="e">
        <f t="shared" si="1"/>
        <v>#N/A</v>
      </c>
      <c r="AL81">
        <f>Потребность!G81*Потребность!H81</f>
        <v>0</v>
      </c>
      <c r="AM81" s="11" t="e">
        <f>Исходн.данные.!$AJ81*Расчет2!AO81</f>
        <v>#VALUE!</v>
      </c>
      <c r="AN81" s="11">
        <f>Исходн.данные.!$AJ81*Расчет2!AP81</f>
        <v>0</v>
      </c>
      <c r="AO81" s="25" t="str">
        <f>IF(Расчет!BF81=0,"X",Расчет!BF81)</f>
        <v>X</v>
      </c>
      <c r="AP81" s="25">
        <f>Расчет!BG81</f>
        <v>0</v>
      </c>
      <c r="AQ81" s="9">
        <f>IF(Расчет!BL81&lt;0,0,Расчет!BL81)</f>
        <v>0</v>
      </c>
      <c r="AR81" s="25">
        <f>IF(Расчет!BM81&lt;0,0,Расчет!BM81)</f>
        <v>0</v>
      </c>
      <c r="AS81" s="25">
        <f>IF(Расчет!BN81&lt;0,0,Расчет!BN81)</f>
        <v>0</v>
      </c>
      <c r="AT81" s="25">
        <f>Расчет!BY81</f>
        <v>0</v>
      </c>
      <c r="AU81" s="25">
        <f>Расчет!BZ81</f>
        <v>10</v>
      </c>
      <c r="AV81" s="25">
        <f>Расчет!CA81</f>
        <v>0</v>
      </c>
      <c r="AW81" s="25" t="str">
        <f>Расчет!CH81</f>
        <v>Аммофос 12:52:00</v>
      </c>
      <c r="AX81" s="25">
        <f>Расчет!DB81</f>
        <v>0</v>
      </c>
      <c r="AY81" s="25">
        <f>Расчет!DC81</f>
        <v>0</v>
      </c>
      <c r="AZ81" s="25">
        <f>Расчет!DG81</f>
        <v>0</v>
      </c>
      <c r="BA81" s="25">
        <f>Расчет!DH81</f>
        <v>0</v>
      </c>
      <c r="BB81" s="25">
        <f>Расчет!DI81</f>
        <v>0</v>
      </c>
      <c r="BC81" s="25" t="str">
        <f>Расчет!DR81</f>
        <v>Нет</v>
      </c>
      <c r="BD81" s="25">
        <f>Расчет!EB81</f>
        <v>0</v>
      </c>
      <c r="BE81" s="25">
        <f>Расчет!EF81</f>
        <v>0</v>
      </c>
      <c r="BF81" s="25" t="e">
        <f>Расчет!EI81</f>
        <v>#DIV/0!</v>
      </c>
      <c r="BG81" s="25" t="e">
        <f>Расчет!FA81</f>
        <v>#N/A</v>
      </c>
      <c r="BI81">
        <f>IF(Исходн.данные.!AH81=Исходн.данные.!$AC$4,0.6,1)</f>
        <v>1</v>
      </c>
      <c r="BJ81">
        <f>IF(Исходн.данные.!AH81=Исходн.данные.!$AC$4,0.8,IF(OR(Потребность!F81=Расчет2!$BI$10,Потребность!F81=Расчет2!$BI$7,Потребность!F81=Расчет2!$BK$14,Исходн.данные.!AI81=Исходн.данные.!$AI$11),1.3,1))</f>
        <v>1.3</v>
      </c>
      <c r="BK81">
        <f>IF(OR(Исходн.данные.!AH81=Исходн.данные.!$AD$7,Исходн.данные.!AH81=Исходн.данные.!$AD$8),0.75,1)</f>
        <v>1</v>
      </c>
    </row>
    <row r="82" spans="32:63" x14ac:dyDescent="0.2">
      <c r="AF82">
        <f>SUM(Исходн.данные.!AD82:AF82)</f>
        <v>0</v>
      </c>
      <c r="AG82" s="60">
        <f>SUM(Расчет!CI82:CK82)</f>
        <v>0.64</v>
      </c>
      <c r="AH82" s="60">
        <f>SUM(Расчет!DS82:DU82)</f>
        <v>0</v>
      </c>
      <c r="AI82" t="e">
        <f t="shared" si="0"/>
        <v>#N/A</v>
      </c>
      <c r="AJ82" t="e">
        <f t="shared" si="1"/>
        <v>#N/A</v>
      </c>
      <c r="AL82">
        <f>Потребность!G82*Потребность!H82</f>
        <v>0</v>
      </c>
      <c r="AM82" s="11" t="e">
        <f>Исходн.данные.!$AJ82*Расчет2!AO82</f>
        <v>#VALUE!</v>
      </c>
      <c r="AN82" s="11">
        <f>Исходн.данные.!$AJ82*Расчет2!AP82</f>
        <v>0</v>
      </c>
      <c r="AO82" s="25" t="str">
        <f>IF(Расчет!BF82=0,"X",Расчет!BF82)</f>
        <v>X</v>
      </c>
      <c r="AP82" s="25">
        <f>Расчет!BG82</f>
        <v>0</v>
      </c>
      <c r="AQ82" s="9">
        <f>IF(Расчет!BL82&lt;0,0,Расчет!BL82)</f>
        <v>0</v>
      </c>
      <c r="AR82" s="25">
        <f>IF(Расчет!BM82&lt;0,0,Расчет!BM82)</f>
        <v>0</v>
      </c>
      <c r="AS82" s="25">
        <f>IF(Расчет!BN82&lt;0,0,Расчет!BN82)</f>
        <v>0</v>
      </c>
      <c r="AT82" s="25">
        <f>Расчет!BY82</f>
        <v>0</v>
      </c>
      <c r="AU82" s="25">
        <f>Расчет!BZ82</f>
        <v>10</v>
      </c>
      <c r="AV82" s="25">
        <f>Расчет!CA82</f>
        <v>0</v>
      </c>
      <c r="AW82" s="25" t="str">
        <f>Расчет!CH82</f>
        <v>Аммофос 12:52:00</v>
      </c>
      <c r="AX82" s="25">
        <f>Расчет!DB82</f>
        <v>0</v>
      </c>
      <c r="AY82" s="25">
        <f>Расчет!DC82</f>
        <v>0</v>
      </c>
      <c r="AZ82" s="25">
        <f>Расчет!DG82</f>
        <v>0</v>
      </c>
      <c r="BA82" s="25">
        <f>Расчет!DH82</f>
        <v>0</v>
      </c>
      <c r="BB82" s="25">
        <f>Расчет!DI82</f>
        <v>0</v>
      </c>
      <c r="BC82" s="25" t="str">
        <f>Расчет!DR82</f>
        <v>Нет</v>
      </c>
      <c r="BD82" s="25">
        <f>Расчет!EB82</f>
        <v>0</v>
      </c>
      <c r="BE82" s="25">
        <f>Расчет!EF82</f>
        <v>0</v>
      </c>
      <c r="BF82" s="25" t="e">
        <f>Расчет!EI82</f>
        <v>#DIV/0!</v>
      </c>
      <c r="BG82" s="25" t="e">
        <f>Расчет!FA82</f>
        <v>#N/A</v>
      </c>
      <c r="BI82">
        <f>IF(Исходн.данные.!AH82=Исходн.данные.!$AC$4,0.6,1)</f>
        <v>1</v>
      </c>
      <c r="BJ82">
        <f>IF(Исходн.данные.!AH82=Исходн.данные.!$AC$4,0.8,IF(OR(Потребность!F82=Расчет2!$BI$10,Потребность!F82=Расчет2!$BI$7,Потребность!F82=Расчет2!$BK$14,Исходн.данные.!AI82=Исходн.данные.!$AI$11),1.3,1))</f>
        <v>1.3</v>
      </c>
      <c r="BK82">
        <f>IF(OR(Исходн.данные.!AH82=Исходн.данные.!$AD$7,Исходн.данные.!AH82=Исходн.данные.!$AD$8),0.75,1)</f>
        <v>1</v>
      </c>
    </row>
    <row r="83" spans="32:63" x14ac:dyDescent="0.2">
      <c r="AF83">
        <f>SUM(Исходн.данные.!AD83:AF83)</f>
        <v>0</v>
      </c>
      <c r="AG83" s="60">
        <f>SUM(Расчет!CI83:CK83)</f>
        <v>0.64</v>
      </c>
      <c r="AH83" s="60">
        <f>SUM(Расчет!DS83:DU83)</f>
        <v>0</v>
      </c>
      <c r="AI83" t="e">
        <f t="shared" si="0"/>
        <v>#N/A</v>
      </c>
      <c r="AJ83" t="e">
        <f t="shared" si="1"/>
        <v>#N/A</v>
      </c>
      <c r="AL83">
        <f>Потребность!G83*Потребность!H83</f>
        <v>0</v>
      </c>
      <c r="AM83" s="11" t="e">
        <f>Исходн.данные.!$AJ83*Расчет2!AO83</f>
        <v>#VALUE!</v>
      </c>
      <c r="AN83" s="11">
        <f>Исходн.данные.!$AJ83*Расчет2!AP83</f>
        <v>0</v>
      </c>
      <c r="AO83" s="25" t="str">
        <f>IF(Расчет!BF83=0,"X",Расчет!BF83)</f>
        <v>X</v>
      </c>
      <c r="AP83" s="25">
        <f>Расчет!BG83</f>
        <v>0</v>
      </c>
      <c r="AQ83" s="9">
        <f>IF(Расчет!BL83&lt;0,0,Расчет!BL83)</f>
        <v>0</v>
      </c>
      <c r="AR83" s="25">
        <f>IF(Расчет!BM83&lt;0,0,Расчет!BM83)</f>
        <v>0</v>
      </c>
      <c r="AS83" s="25">
        <f>IF(Расчет!BN83&lt;0,0,Расчет!BN83)</f>
        <v>0</v>
      </c>
      <c r="AT83" s="25">
        <f>Расчет!BY83</f>
        <v>0</v>
      </c>
      <c r="AU83" s="25">
        <f>Расчет!BZ83</f>
        <v>10</v>
      </c>
      <c r="AV83" s="25">
        <f>Расчет!CA83</f>
        <v>0</v>
      </c>
      <c r="AW83" s="25" t="str">
        <f>Расчет!CH83</f>
        <v>Аммофос 12:52:00</v>
      </c>
      <c r="AX83" s="25">
        <f>Расчет!DB83</f>
        <v>0</v>
      </c>
      <c r="AY83" s="25">
        <f>Расчет!DC83</f>
        <v>0</v>
      </c>
      <c r="AZ83" s="25">
        <f>Расчет!DG83</f>
        <v>0</v>
      </c>
      <c r="BA83" s="25">
        <f>Расчет!DH83</f>
        <v>0</v>
      </c>
      <c r="BB83" s="25">
        <f>Расчет!DI83</f>
        <v>0</v>
      </c>
      <c r="BC83" s="25" t="str">
        <f>Расчет!DR83</f>
        <v>Нет</v>
      </c>
      <c r="BD83" s="25">
        <f>Расчет!EB83</f>
        <v>0</v>
      </c>
      <c r="BE83" s="25">
        <f>Расчет!EF83</f>
        <v>0</v>
      </c>
      <c r="BF83" s="25" t="e">
        <f>Расчет!EI83</f>
        <v>#DIV/0!</v>
      </c>
      <c r="BG83" s="25" t="e">
        <f>Расчет!FA83</f>
        <v>#N/A</v>
      </c>
      <c r="BI83">
        <f>IF(Исходн.данные.!AH83=Исходн.данные.!$AC$4,0.6,1)</f>
        <v>1</v>
      </c>
      <c r="BJ83">
        <f>IF(Исходн.данные.!AH83=Исходн.данные.!$AC$4,0.8,IF(OR(Потребность!F83=Расчет2!$BI$10,Потребность!F83=Расчет2!$BI$7,Потребность!F83=Расчет2!$BK$14,Исходн.данные.!AI83=Исходн.данные.!$AI$11),1.3,1))</f>
        <v>1.3</v>
      </c>
      <c r="BK83">
        <f>IF(OR(Исходн.данные.!AH83=Исходн.данные.!$AD$7,Исходн.данные.!AH83=Исходн.данные.!$AD$8),0.75,1)</f>
        <v>1</v>
      </c>
    </row>
    <row r="84" spans="32:63" x14ac:dyDescent="0.2">
      <c r="AF84">
        <f>SUM(Исходн.данные.!AD84:AF84)</f>
        <v>0</v>
      </c>
      <c r="AG84" s="60">
        <f>SUM(Расчет!CI84:CK84)</f>
        <v>0.64</v>
      </c>
      <c r="AH84" s="60">
        <f>SUM(Расчет!DS84:DU84)</f>
        <v>0</v>
      </c>
      <c r="AI84" t="e">
        <f t="shared" si="0"/>
        <v>#N/A</v>
      </c>
      <c r="AJ84" t="e">
        <f t="shared" si="1"/>
        <v>#N/A</v>
      </c>
      <c r="AL84">
        <f>Потребность!G84*Потребность!H84</f>
        <v>0</v>
      </c>
      <c r="AM84" s="11" t="e">
        <f>Исходн.данные.!$AJ84*Расчет2!AO84</f>
        <v>#VALUE!</v>
      </c>
      <c r="AN84" s="11">
        <f>Исходн.данные.!$AJ84*Расчет2!AP84</f>
        <v>0</v>
      </c>
      <c r="AO84" s="25" t="str">
        <f>IF(Расчет!BF84=0,"X",Расчет!BF84)</f>
        <v>X</v>
      </c>
      <c r="AP84" s="25">
        <f>Расчет!BG84</f>
        <v>0</v>
      </c>
      <c r="AQ84" s="9">
        <f>IF(Расчет!BL84&lt;0,0,Расчет!BL84)</f>
        <v>0</v>
      </c>
      <c r="AR84" s="25">
        <f>IF(Расчет!BM84&lt;0,0,Расчет!BM84)</f>
        <v>0</v>
      </c>
      <c r="AS84" s="25">
        <f>IF(Расчет!BN84&lt;0,0,Расчет!BN84)</f>
        <v>0</v>
      </c>
      <c r="AT84" s="25">
        <f>Расчет!BY84</f>
        <v>0</v>
      </c>
      <c r="AU84" s="25">
        <f>Расчет!BZ84</f>
        <v>10</v>
      </c>
      <c r="AV84" s="25">
        <f>Расчет!CA84</f>
        <v>0</v>
      </c>
      <c r="AW84" s="25" t="str">
        <f>Расчет!CH84</f>
        <v>Аммофос 12:52:00</v>
      </c>
      <c r="AX84" s="25">
        <f>Расчет!DB84</f>
        <v>0</v>
      </c>
      <c r="AY84" s="25">
        <f>Расчет!DC84</f>
        <v>0</v>
      </c>
      <c r="AZ84" s="25">
        <f>Расчет!DG84</f>
        <v>0</v>
      </c>
      <c r="BA84" s="25">
        <f>Расчет!DH84</f>
        <v>0</v>
      </c>
      <c r="BB84" s="25">
        <f>Расчет!DI84</f>
        <v>0</v>
      </c>
      <c r="BC84" s="25" t="str">
        <f>Расчет!DR84</f>
        <v>Нет</v>
      </c>
      <c r="BD84" s="25">
        <f>Расчет!EB84</f>
        <v>0</v>
      </c>
      <c r="BE84" s="25">
        <f>Расчет!EF84</f>
        <v>0</v>
      </c>
      <c r="BF84" s="25" t="e">
        <f>Расчет!EI84</f>
        <v>#DIV/0!</v>
      </c>
      <c r="BG84" s="25" t="e">
        <f>Расчет!FA84</f>
        <v>#N/A</v>
      </c>
      <c r="BI84">
        <f>IF(Исходн.данные.!AH84=Исходн.данные.!$AC$4,0.6,1)</f>
        <v>1</v>
      </c>
      <c r="BJ84">
        <f>IF(Исходн.данные.!AH84=Исходн.данные.!$AC$4,0.8,IF(OR(Потребность!F84=Расчет2!$BI$10,Потребность!F84=Расчет2!$BI$7,Потребность!F84=Расчет2!$BK$14,Исходн.данные.!AI84=Исходн.данные.!$AI$11),1.3,1))</f>
        <v>1.3</v>
      </c>
      <c r="BK84">
        <f>IF(OR(Исходн.данные.!AH84=Исходн.данные.!$AD$7,Исходн.данные.!AH84=Исходн.данные.!$AD$8),0.75,1)</f>
        <v>1</v>
      </c>
    </row>
    <row r="85" spans="32:63" x14ac:dyDescent="0.2">
      <c r="AF85">
        <f>SUM(Исходн.данные.!AD85:AF85)</f>
        <v>0</v>
      </c>
      <c r="AG85" s="60">
        <f>SUM(Расчет!CI85:CK85)</f>
        <v>0.64</v>
      </c>
      <c r="AH85" s="60">
        <f>SUM(Расчет!DS85:DU85)</f>
        <v>0</v>
      </c>
      <c r="AI85" t="e">
        <f t="shared" si="0"/>
        <v>#N/A</v>
      </c>
      <c r="AJ85" t="e">
        <f t="shared" si="1"/>
        <v>#N/A</v>
      </c>
      <c r="AL85">
        <f>Потребность!G85*Потребность!H85</f>
        <v>0</v>
      </c>
      <c r="AM85" s="11" t="e">
        <f>Исходн.данные.!$AJ85*Расчет2!AO85</f>
        <v>#VALUE!</v>
      </c>
      <c r="AN85" s="11">
        <f>Исходн.данные.!$AJ85*Расчет2!AP85</f>
        <v>0</v>
      </c>
      <c r="AO85" s="25" t="str">
        <f>IF(Расчет!BF85=0,"X",Расчет!BF85)</f>
        <v>X</v>
      </c>
      <c r="AP85" s="25">
        <f>Расчет!BG85</f>
        <v>0</v>
      </c>
      <c r="AQ85" s="9">
        <f>IF(Расчет!BL85&lt;0,0,Расчет!BL85)</f>
        <v>0</v>
      </c>
      <c r="AR85" s="25">
        <f>IF(Расчет!BM85&lt;0,0,Расчет!BM85)</f>
        <v>0</v>
      </c>
      <c r="AS85" s="25">
        <f>IF(Расчет!BN85&lt;0,0,Расчет!BN85)</f>
        <v>0</v>
      </c>
      <c r="AT85" s="25">
        <f>Расчет!BY85</f>
        <v>0</v>
      </c>
      <c r="AU85" s="25">
        <f>Расчет!BZ85</f>
        <v>10</v>
      </c>
      <c r="AV85" s="25">
        <f>Расчет!CA85</f>
        <v>0</v>
      </c>
      <c r="AW85" s="25" t="str">
        <f>Расчет!CH85</f>
        <v>Аммофос 12:52:00</v>
      </c>
      <c r="AX85" s="25">
        <f>Расчет!DB85</f>
        <v>0</v>
      </c>
      <c r="AY85" s="25">
        <f>Расчет!DC85</f>
        <v>0</v>
      </c>
      <c r="AZ85" s="25">
        <f>Расчет!DG85</f>
        <v>0</v>
      </c>
      <c r="BA85" s="25">
        <f>Расчет!DH85</f>
        <v>0</v>
      </c>
      <c r="BB85" s="25">
        <f>Расчет!DI85</f>
        <v>0</v>
      </c>
      <c r="BC85" s="25" t="str">
        <f>Расчет!DR85</f>
        <v>Нет</v>
      </c>
      <c r="BD85" s="25">
        <f>Расчет!EB85</f>
        <v>0</v>
      </c>
      <c r="BE85" s="25">
        <f>Расчет!EF85</f>
        <v>0</v>
      </c>
      <c r="BF85" s="25" t="e">
        <f>Расчет!EI85</f>
        <v>#DIV/0!</v>
      </c>
      <c r="BG85" s="25" t="e">
        <f>Расчет!FA85</f>
        <v>#N/A</v>
      </c>
      <c r="BI85">
        <f>IF(Исходн.данные.!AH85=Исходн.данные.!$AC$4,0.6,1)</f>
        <v>1</v>
      </c>
      <c r="BJ85">
        <f>IF(Исходн.данные.!AH85=Исходн.данные.!$AC$4,0.8,IF(OR(Потребность!F85=Расчет2!$BI$10,Потребность!F85=Расчет2!$BI$7,Потребность!F85=Расчет2!$BK$14,Исходн.данные.!AI85=Исходн.данные.!$AI$11),1.3,1))</f>
        <v>1.3</v>
      </c>
      <c r="BK85">
        <f>IF(OR(Исходн.данные.!AH85=Исходн.данные.!$AD$7,Исходн.данные.!AH85=Исходн.данные.!$AD$8),0.75,1)</f>
        <v>1</v>
      </c>
    </row>
    <row r="86" spans="32:63" x14ac:dyDescent="0.2">
      <c r="AF86">
        <f>SUM(Исходн.данные.!AD86:AF86)</f>
        <v>0</v>
      </c>
      <c r="AG86" s="60">
        <f>SUM(Расчет!CI86:CK86)</f>
        <v>0.64</v>
      </c>
      <c r="AH86" s="60">
        <f>SUM(Расчет!DS86:DU86)</f>
        <v>0</v>
      </c>
      <c r="AI86" t="e">
        <f t="shared" ref="AI86:AI149" si="2">VLOOKUP(МетОпрФос,ПопрКоМетАн,2,FALSE)</f>
        <v>#N/A</v>
      </c>
      <c r="AJ86" t="e">
        <f t="shared" ref="AJ86:AJ149" si="3">VLOOKUP(МетОпрКал,ПопрКоМетАн,3,FALSE)</f>
        <v>#N/A</v>
      </c>
      <c r="AL86">
        <f>Потребность!G86*Потребность!H86</f>
        <v>0</v>
      </c>
      <c r="AM86" s="11" t="e">
        <f>Исходн.данные.!$AJ86*Расчет2!AO86</f>
        <v>#VALUE!</v>
      </c>
      <c r="AN86" s="11">
        <f>Исходн.данные.!$AJ86*Расчет2!AP86</f>
        <v>0</v>
      </c>
      <c r="AO86" s="25" t="str">
        <f>IF(Расчет!BF86=0,"X",Расчет!BF86)</f>
        <v>X</v>
      </c>
      <c r="AP86" s="25">
        <f>Расчет!BG86</f>
        <v>0</v>
      </c>
      <c r="AQ86" s="9">
        <f>IF(Расчет!BL86&lt;0,0,Расчет!BL86)</f>
        <v>0</v>
      </c>
      <c r="AR86" s="25">
        <f>IF(Расчет!BM86&lt;0,0,Расчет!BM86)</f>
        <v>0</v>
      </c>
      <c r="AS86" s="25">
        <f>IF(Расчет!BN86&lt;0,0,Расчет!BN86)</f>
        <v>0</v>
      </c>
      <c r="AT86" s="25">
        <f>Расчет!BY86</f>
        <v>0</v>
      </c>
      <c r="AU86" s="25">
        <f>Расчет!BZ86</f>
        <v>10</v>
      </c>
      <c r="AV86" s="25">
        <f>Расчет!CA86</f>
        <v>0</v>
      </c>
      <c r="AW86" s="25" t="str">
        <f>Расчет!CH86</f>
        <v>Аммофос 12:52:00</v>
      </c>
      <c r="AX86" s="25">
        <f>Расчет!DB86</f>
        <v>0</v>
      </c>
      <c r="AY86" s="25">
        <f>Расчет!DC86</f>
        <v>0</v>
      </c>
      <c r="AZ86" s="25">
        <f>Расчет!DG86</f>
        <v>0</v>
      </c>
      <c r="BA86" s="25">
        <f>Расчет!DH86</f>
        <v>0</v>
      </c>
      <c r="BB86" s="25">
        <f>Расчет!DI86</f>
        <v>0</v>
      </c>
      <c r="BC86" s="25" t="str">
        <f>Расчет!DR86</f>
        <v>Нет</v>
      </c>
      <c r="BD86" s="25">
        <f>Расчет!EB86</f>
        <v>0</v>
      </c>
      <c r="BE86" s="25">
        <f>Расчет!EF86</f>
        <v>0</v>
      </c>
      <c r="BF86" s="25" t="e">
        <f>Расчет!EI86</f>
        <v>#DIV/0!</v>
      </c>
      <c r="BG86" s="25" t="e">
        <f>Расчет!FA86</f>
        <v>#N/A</v>
      </c>
      <c r="BI86">
        <f>IF(Исходн.данные.!AH86=Исходн.данные.!$AC$4,0.6,1)</f>
        <v>1</v>
      </c>
      <c r="BJ86">
        <f>IF(Исходн.данные.!AH86=Исходн.данные.!$AC$4,0.8,IF(OR(Потребность!F86=Расчет2!$BI$10,Потребность!F86=Расчет2!$BI$7,Потребность!F86=Расчет2!$BK$14,Исходн.данные.!AI86=Исходн.данные.!$AI$11),1.3,1))</f>
        <v>1.3</v>
      </c>
      <c r="BK86">
        <f>IF(OR(Исходн.данные.!AH86=Исходн.данные.!$AD$7,Исходн.данные.!AH86=Исходн.данные.!$AD$8),0.75,1)</f>
        <v>1</v>
      </c>
    </row>
    <row r="87" spans="32:63" x14ac:dyDescent="0.2">
      <c r="AF87">
        <f>SUM(Исходн.данные.!AD87:AF87)</f>
        <v>0</v>
      </c>
      <c r="AG87" s="60">
        <f>SUM(Расчет!CI87:CK87)</f>
        <v>0.64</v>
      </c>
      <c r="AH87" s="60">
        <f>SUM(Расчет!DS87:DU87)</f>
        <v>0</v>
      </c>
      <c r="AI87" t="e">
        <f t="shared" si="2"/>
        <v>#N/A</v>
      </c>
      <c r="AJ87" t="e">
        <f t="shared" si="3"/>
        <v>#N/A</v>
      </c>
      <c r="AL87">
        <f>Потребность!G87*Потребность!H87</f>
        <v>0</v>
      </c>
      <c r="AM87" s="11" t="e">
        <f>Исходн.данные.!$AJ87*Расчет2!AO87</f>
        <v>#VALUE!</v>
      </c>
      <c r="AN87" s="11">
        <f>Исходн.данные.!$AJ87*Расчет2!AP87</f>
        <v>0</v>
      </c>
      <c r="AO87" s="25" t="str">
        <f>IF(Расчет!BF87=0,"X",Расчет!BF87)</f>
        <v>X</v>
      </c>
      <c r="AP87" s="25">
        <f>Расчет!BG87</f>
        <v>0</v>
      </c>
      <c r="AQ87" s="9">
        <f>IF(Расчет!BL87&lt;0,0,Расчет!BL87)</f>
        <v>0</v>
      </c>
      <c r="AR87" s="25">
        <f>IF(Расчет!BM87&lt;0,0,Расчет!BM87)</f>
        <v>0</v>
      </c>
      <c r="AS87" s="25">
        <f>IF(Расчет!BN87&lt;0,0,Расчет!BN87)</f>
        <v>0</v>
      </c>
      <c r="AT87" s="25">
        <f>Расчет!BY87</f>
        <v>0</v>
      </c>
      <c r="AU87" s="25">
        <f>Расчет!BZ87</f>
        <v>10</v>
      </c>
      <c r="AV87" s="25">
        <f>Расчет!CA87</f>
        <v>0</v>
      </c>
      <c r="AW87" s="25" t="str">
        <f>Расчет!CH87</f>
        <v>Аммофос 12:52:00</v>
      </c>
      <c r="AX87" s="25">
        <f>Расчет!DB87</f>
        <v>0</v>
      </c>
      <c r="AY87" s="25">
        <f>Расчет!DC87</f>
        <v>0</v>
      </c>
      <c r="AZ87" s="25">
        <f>Расчет!DG87</f>
        <v>0</v>
      </c>
      <c r="BA87" s="25">
        <f>Расчет!DH87</f>
        <v>0</v>
      </c>
      <c r="BB87" s="25">
        <f>Расчет!DI87</f>
        <v>0</v>
      </c>
      <c r="BC87" s="25" t="str">
        <f>Расчет!DR87</f>
        <v>Нет</v>
      </c>
      <c r="BD87" s="25">
        <f>Расчет!EB87</f>
        <v>0</v>
      </c>
      <c r="BE87" s="25">
        <f>Расчет!EF87</f>
        <v>0</v>
      </c>
      <c r="BF87" s="25" t="e">
        <f>Расчет!EI87</f>
        <v>#DIV/0!</v>
      </c>
      <c r="BG87" s="25" t="e">
        <f>Расчет!FA87</f>
        <v>#N/A</v>
      </c>
      <c r="BI87">
        <f>IF(Исходн.данные.!AH87=Исходн.данные.!$AC$4,0.6,1)</f>
        <v>1</v>
      </c>
      <c r="BJ87">
        <f>IF(Исходн.данные.!AH87=Исходн.данные.!$AC$4,0.8,IF(OR(Потребность!F87=Расчет2!$BI$10,Потребность!F87=Расчет2!$BI$7,Потребность!F87=Расчет2!$BK$14,Исходн.данные.!AI87=Исходн.данные.!$AI$11),1.3,1))</f>
        <v>1.3</v>
      </c>
      <c r="BK87">
        <f>IF(OR(Исходн.данные.!AH87=Исходн.данные.!$AD$7,Исходн.данные.!AH87=Исходн.данные.!$AD$8),0.75,1)</f>
        <v>1</v>
      </c>
    </row>
    <row r="88" spans="32:63" x14ac:dyDescent="0.2">
      <c r="AF88">
        <f>SUM(Исходн.данные.!AD88:AF88)</f>
        <v>0</v>
      </c>
      <c r="AG88" s="60">
        <f>SUM(Расчет!CI88:CK88)</f>
        <v>0.64</v>
      </c>
      <c r="AH88" s="60">
        <f>SUM(Расчет!DS88:DU88)</f>
        <v>0</v>
      </c>
      <c r="AI88" t="e">
        <f t="shared" si="2"/>
        <v>#N/A</v>
      </c>
      <c r="AJ88" t="e">
        <f t="shared" si="3"/>
        <v>#N/A</v>
      </c>
      <c r="AL88">
        <f>Потребность!G88*Потребность!H88</f>
        <v>0</v>
      </c>
      <c r="AM88" s="11" t="e">
        <f>Исходн.данные.!$AJ88*Расчет2!AO88</f>
        <v>#VALUE!</v>
      </c>
      <c r="AN88" s="11">
        <f>Исходн.данные.!$AJ88*Расчет2!AP88</f>
        <v>0</v>
      </c>
      <c r="AO88" s="25" t="str">
        <f>IF(Расчет!BF88=0,"X",Расчет!BF88)</f>
        <v>X</v>
      </c>
      <c r="AP88" s="25">
        <f>Расчет!BG88</f>
        <v>0</v>
      </c>
      <c r="AQ88" s="9">
        <f>IF(Расчет!BL88&lt;0,0,Расчет!BL88)</f>
        <v>0</v>
      </c>
      <c r="AR88" s="25">
        <f>IF(Расчет!BM88&lt;0,0,Расчет!BM88)</f>
        <v>0</v>
      </c>
      <c r="AS88" s="25">
        <f>IF(Расчет!BN88&lt;0,0,Расчет!BN88)</f>
        <v>0</v>
      </c>
      <c r="AT88" s="25">
        <f>Расчет!BY88</f>
        <v>0</v>
      </c>
      <c r="AU88" s="25">
        <f>Расчет!BZ88</f>
        <v>10</v>
      </c>
      <c r="AV88" s="25">
        <f>Расчет!CA88</f>
        <v>0</v>
      </c>
      <c r="AW88" s="25" t="str">
        <f>Расчет!CH88</f>
        <v>Аммофос 12:52:00</v>
      </c>
      <c r="AX88" s="25">
        <f>Расчет!DB88</f>
        <v>0</v>
      </c>
      <c r="AY88" s="25">
        <f>Расчет!DC88</f>
        <v>0</v>
      </c>
      <c r="AZ88" s="25">
        <f>Расчет!DG88</f>
        <v>0</v>
      </c>
      <c r="BA88" s="25">
        <f>Расчет!DH88</f>
        <v>0</v>
      </c>
      <c r="BB88" s="25">
        <f>Расчет!DI88</f>
        <v>0</v>
      </c>
      <c r="BC88" s="25" t="str">
        <f>Расчет!DR88</f>
        <v>Нет</v>
      </c>
      <c r="BD88" s="25">
        <f>Расчет!EB88</f>
        <v>0</v>
      </c>
      <c r="BE88" s="25">
        <f>Расчет!EF88</f>
        <v>0</v>
      </c>
      <c r="BF88" s="25" t="e">
        <f>Расчет!EI88</f>
        <v>#DIV/0!</v>
      </c>
      <c r="BG88" s="25" t="e">
        <f>Расчет!FA88</f>
        <v>#N/A</v>
      </c>
      <c r="BI88">
        <f>IF(Исходн.данные.!AH88=Исходн.данные.!$AC$4,0.6,1)</f>
        <v>1</v>
      </c>
      <c r="BJ88">
        <f>IF(Исходн.данные.!AH88=Исходн.данные.!$AC$4,0.8,IF(OR(Потребность!F88=Расчет2!$BI$10,Потребность!F88=Расчет2!$BI$7,Потребность!F88=Расчет2!$BK$14,Исходн.данные.!AI88=Исходн.данные.!$AI$11),1.3,1))</f>
        <v>1.3</v>
      </c>
      <c r="BK88">
        <f>IF(OR(Исходн.данные.!AH88=Исходн.данные.!$AD$7,Исходн.данные.!AH88=Исходн.данные.!$AD$8),0.75,1)</f>
        <v>1</v>
      </c>
    </row>
    <row r="89" spans="32:63" x14ac:dyDescent="0.2">
      <c r="AF89">
        <f>SUM(Исходн.данные.!AD89:AF89)</f>
        <v>0</v>
      </c>
      <c r="AG89" s="60">
        <f>SUM(Расчет!CI89:CK89)</f>
        <v>0.64</v>
      </c>
      <c r="AH89" s="60">
        <f>SUM(Расчет!DS89:DU89)</f>
        <v>0</v>
      </c>
      <c r="AI89" t="e">
        <f t="shared" si="2"/>
        <v>#N/A</v>
      </c>
      <c r="AJ89" t="e">
        <f t="shared" si="3"/>
        <v>#N/A</v>
      </c>
      <c r="AL89">
        <f>Потребность!G89*Потребность!H89</f>
        <v>0</v>
      </c>
      <c r="AM89" s="11" t="e">
        <f>Исходн.данные.!$AJ89*Расчет2!AO89</f>
        <v>#VALUE!</v>
      </c>
      <c r="AN89" s="11">
        <f>Исходн.данные.!$AJ89*Расчет2!AP89</f>
        <v>0</v>
      </c>
      <c r="AO89" s="25" t="str">
        <f>IF(Расчет!BF89=0,"X",Расчет!BF89)</f>
        <v>X</v>
      </c>
      <c r="AP89" s="25">
        <f>Расчет!BG89</f>
        <v>0</v>
      </c>
      <c r="AQ89" s="9">
        <f>IF(Расчет!BL89&lt;0,0,Расчет!BL89)</f>
        <v>0</v>
      </c>
      <c r="AR89" s="25">
        <f>IF(Расчет!BM89&lt;0,0,Расчет!BM89)</f>
        <v>0</v>
      </c>
      <c r="AS89" s="25">
        <f>IF(Расчет!BN89&lt;0,0,Расчет!BN89)</f>
        <v>0</v>
      </c>
      <c r="AT89" s="25">
        <f>Расчет!BY89</f>
        <v>0</v>
      </c>
      <c r="AU89" s="25">
        <f>Расчет!BZ89</f>
        <v>10</v>
      </c>
      <c r="AV89" s="25">
        <f>Расчет!CA89</f>
        <v>0</v>
      </c>
      <c r="AW89" s="25" t="str">
        <f>Расчет!CH89</f>
        <v>Аммофос 12:52:00</v>
      </c>
      <c r="AX89" s="25">
        <f>Расчет!DB89</f>
        <v>0</v>
      </c>
      <c r="AY89" s="25">
        <f>Расчет!DC89</f>
        <v>0</v>
      </c>
      <c r="AZ89" s="25">
        <f>Расчет!DG89</f>
        <v>0</v>
      </c>
      <c r="BA89" s="25">
        <f>Расчет!DH89</f>
        <v>0</v>
      </c>
      <c r="BB89" s="25">
        <f>Расчет!DI89</f>
        <v>0</v>
      </c>
      <c r="BC89" s="25" t="str">
        <f>Расчет!DR89</f>
        <v>Нет</v>
      </c>
      <c r="BD89" s="25">
        <f>Расчет!EB89</f>
        <v>0</v>
      </c>
      <c r="BE89" s="25">
        <f>Расчет!EF89</f>
        <v>0</v>
      </c>
      <c r="BF89" s="25" t="e">
        <f>Расчет!EI89</f>
        <v>#DIV/0!</v>
      </c>
      <c r="BG89" s="25" t="e">
        <f>Расчет!FA89</f>
        <v>#N/A</v>
      </c>
      <c r="BI89">
        <f>IF(Исходн.данные.!AH89=Исходн.данные.!$AC$4,0.6,1)</f>
        <v>1</v>
      </c>
      <c r="BJ89">
        <f>IF(Исходн.данные.!AH89=Исходн.данные.!$AC$4,0.8,IF(OR(Потребность!F89=Расчет2!$BI$10,Потребность!F89=Расчет2!$BI$7,Потребность!F89=Расчет2!$BK$14,Исходн.данные.!AI89=Исходн.данные.!$AI$11),1.3,1))</f>
        <v>1.3</v>
      </c>
      <c r="BK89">
        <f>IF(OR(Исходн.данные.!AH89=Исходн.данные.!$AD$7,Исходн.данные.!AH89=Исходн.данные.!$AD$8),0.75,1)</f>
        <v>1</v>
      </c>
    </row>
    <row r="90" spans="32:63" x14ac:dyDescent="0.2">
      <c r="AF90">
        <f>SUM(Исходн.данные.!AD90:AF90)</f>
        <v>0</v>
      </c>
      <c r="AG90" s="60">
        <f>SUM(Расчет!CI90:CK90)</f>
        <v>0.64</v>
      </c>
      <c r="AH90" s="60">
        <f>SUM(Расчет!DS90:DU90)</f>
        <v>0</v>
      </c>
      <c r="AI90" t="e">
        <f t="shared" si="2"/>
        <v>#N/A</v>
      </c>
      <c r="AJ90" t="e">
        <f t="shared" si="3"/>
        <v>#N/A</v>
      </c>
      <c r="AL90">
        <f>Потребность!G90*Потребность!H90</f>
        <v>0</v>
      </c>
      <c r="AM90" s="11" t="e">
        <f>Исходн.данные.!$AJ90*Расчет2!AO90</f>
        <v>#VALUE!</v>
      </c>
      <c r="AN90" s="11">
        <f>Исходн.данные.!$AJ90*Расчет2!AP90</f>
        <v>0</v>
      </c>
      <c r="AO90" s="25" t="str">
        <f>IF(Расчет!BF90=0,"X",Расчет!BF90)</f>
        <v>X</v>
      </c>
      <c r="AP90" s="25">
        <f>Расчет!BG90</f>
        <v>0</v>
      </c>
      <c r="AQ90" s="9">
        <f>IF(Расчет!BL90&lt;0,0,Расчет!BL90)</f>
        <v>0</v>
      </c>
      <c r="AR90" s="25">
        <f>IF(Расчет!BM90&lt;0,0,Расчет!BM90)</f>
        <v>0</v>
      </c>
      <c r="AS90" s="25">
        <f>IF(Расчет!BN90&lt;0,0,Расчет!BN90)</f>
        <v>0</v>
      </c>
      <c r="AT90" s="25">
        <f>Расчет!BY90</f>
        <v>0</v>
      </c>
      <c r="AU90" s="25">
        <f>Расчет!BZ90</f>
        <v>10</v>
      </c>
      <c r="AV90" s="25">
        <f>Расчет!CA90</f>
        <v>0</v>
      </c>
      <c r="AW90" s="25" t="str">
        <f>Расчет!CH90</f>
        <v>Аммофос 12:52:00</v>
      </c>
      <c r="AX90" s="25">
        <f>Расчет!DB90</f>
        <v>0</v>
      </c>
      <c r="AY90" s="25">
        <f>Расчет!DC90</f>
        <v>0</v>
      </c>
      <c r="AZ90" s="25">
        <f>Расчет!DG90</f>
        <v>0</v>
      </c>
      <c r="BA90" s="25">
        <f>Расчет!DH90</f>
        <v>0</v>
      </c>
      <c r="BB90" s="25">
        <f>Расчет!DI90</f>
        <v>0</v>
      </c>
      <c r="BC90" s="25" t="str">
        <f>Расчет!DR90</f>
        <v>Нет</v>
      </c>
      <c r="BD90" s="25">
        <f>Расчет!EB90</f>
        <v>0</v>
      </c>
      <c r="BE90" s="25">
        <f>Расчет!EF90</f>
        <v>0</v>
      </c>
      <c r="BF90" s="25" t="e">
        <f>Расчет!EI90</f>
        <v>#DIV/0!</v>
      </c>
      <c r="BG90" s="25" t="e">
        <f>Расчет!FA90</f>
        <v>#N/A</v>
      </c>
      <c r="BI90">
        <f>IF(Исходн.данные.!AH90=Исходн.данные.!$AC$4,0.6,1)</f>
        <v>1</v>
      </c>
      <c r="BJ90">
        <f>IF(Исходн.данные.!AH90=Исходн.данные.!$AC$4,0.8,IF(OR(Потребность!F90=Расчет2!$BI$10,Потребность!F90=Расчет2!$BI$7,Потребность!F90=Расчет2!$BK$14,Исходн.данные.!AI90=Исходн.данные.!$AI$11),1.3,1))</f>
        <v>1.3</v>
      </c>
      <c r="BK90">
        <f>IF(OR(Исходн.данные.!AH90=Исходн.данные.!$AD$7,Исходн.данные.!AH90=Исходн.данные.!$AD$8),0.75,1)</f>
        <v>1</v>
      </c>
    </row>
    <row r="91" spans="32:63" x14ac:dyDescent="0.2">
      <c r="AF91">
        <f>SUM(Исходн.данные.!AD91:AF91)</f>
        <v>0</v>
      </c>
      <c r="AG91" s="60">
        <f>SUM(Расчет!CI91:CK91)</f>
        <v>0.64</v>
      </c>
      <c r="AH91" s="60">
        <f>SUM(Расчет!DS91:DU91)</f>
        <v>0</v>
      </c>
      <c r="AI91" t="e">
        <f t="shared" si="2"/>
        <v>#N/A</v>
      </c>
      <c r="AJ91" t="e">
        <f t="shared" si="3"/>
        <v>#N/A</v>
      </c>
      <c r="AL91">
        <f>Потребность!G91*Потребность!H91</f>
        <v>0</v>
      </c>
      <c r="AM91" s="11" t="e">
        <f>Исходн.данные.!$AJ91*Расчет2!AO91</f>
        <v>#VALUE!</v>
      </c>
      <c r="AN91" s="11">
        <f>Исходн.данные.!$AJ91*Расчет2!AP91</f>
        <v>0</v>
      </c>
      <c r="AO91" s="25" t="str">
        <f>IF(Расчет!BF91=0,"X",Расчет!BF91)</f>
        <v>X</v>
      </c>
      <c r="AP91" s="25">
        <f>Расчет!BG91</f>
        <v>0</v>
      </c>
      <c r="AQ91" s="9">
        <f>IF(Расчет!BL91&lt;0,0,Расчет!BL91)</f>
        <v>0</v>
      </c>
      <c r="AR91" s="25">
        <f>IF(Расчет!BM91&lt;0,0,Расчет!BM91)</f>
        <v>0</v>
      </c>
      <c r="AS91" s="25">
        <f>IF(Расчет!BN91&lt;0,0,Расчет!BN91)</f>
        <v>0</v>
      </c>
      <c r="AT91" s="25">
        <f>Расчет!BY91</f>
        <v>0</v>
      </c>
      <c r="AU91" s="25">
        <f>Расчет!BZ91</f>
        <v>10</v>
      </c>
      <c r="AV91" s="25">
        <f>Расчет!CA91</f>
        <v>0</v>
      </c>
      <c r="AW91" s="25" t="str">
        <f>Расчет!CH91</f>
        <v>Аммофос 12:52:00</v>
      </c>
      <c r="AX91" s="25">
        <f>Расчет!DB91</f>
        <v>0</v>
      </c>
      <c r="AY91" s="25">
        <f>Расчет!DC91</f>
        <v>0</v>
      </c>
      <c r="AZ91" s="25">
        <f>Расчет!DG91</f>
        <v>0</v>
      </c>
      <c r="BA91" s="25">
        <f>Расчет!DH91</f>
        <v>0</v>
      </c>
      <c r="BB91" s="25">
        <f>Расчет!DI91</f>
        <v>0</v>
      </c>
      <c r="BC91" s="25" t="str">
        <f>Расчет!DR91</f>
        <v>Нет</v>
      </c>
      <c r="BD91" s="25">
        <f>Расчет!EB91</f>
        <v>0</v>
      </c>
      <c r="BE91" s="25">
        <f>Расчет!EF91</f>
        <v>0</v>
      </c>
      <c r="BF91" s="25" t="e">
        <f>Расчет!EI91</f>
        <v>#DIV/0!</v>
      </c>
      <c r="BG91" s="25" t="e">
        <f>Расчет!FA91</f>
        <v>#N/A</v>
      </c>
      <c r="BI91">
        <f>IF(Исходн.данные.!AH91=Исходн.данные.!$AC$4,0.6,1)</f>
        <v>1</v>
      </c>
      <c r="BJ91">
        <f>IF(Исходн.данные.!AH91=Исходн.данные.!$AC$4,0.8,IF(OR(Потребность!F91=Расчет2!$BI$10,Потребность!F91=Расчет2!$BI$7,Потребность!F91=Расчет2!$BK$14,Исходн.данные.!AI91=Исходн.данные.!$AI$11),1.3,1))</f>
        <v>1.3</v>
      </c>
      <c r="BK91">
        <f>IF(OR(Исходн.данные.!AH91=Исходн.данные.!$AD$7,Исходн.данные.!AH91=Исходн.данные.!$AD$8),0.75,1)</f>
        <v>1</v>
      </c>
    </row>
    <row r="92" spans="32:63" x14ac:dyDescent="0.2">
      <c r="AF92">
        <f>SUM(Исходн.данные.!AD92:AF92)</f>
        <v>0</v>
      </c>
      <c r="AG92" s="60">
        <f>SUM(Расчет!CI92:CK92)</f>
        <v>0.64</v>
      </c>
      <c r="AH92" s="60">
        <f>SUM(Расчет!DS92:DU92)</f>
        <v>0</v>
      </c>
      <c r="AI92" t="e">
        <f t="shared" si="2"/>
        <v>#N/A</v>
      </c>
      <c r="AJ92" t="e">
        <f t="shared" si="3"/>
        <v>#N/A</v>
      </c>
      <c r="AL92">
        <f>Потребность!G92*Потребность!H92</f>
        <v>0</v>
      </c>
      <c r="AM92" s="11" t="e">
        <f>Исходн.данные.!$AJ92*Расчет2!AO92</f>
        <v>#VALUE!</v>
      </c>
      <c r="AN92" s="11">
        <f>Исходн.данные.!$AJ92*Расчет2!AP92</f>
        <v>0</v>
      </c>
      <c r="AO92" s="25" t="str">
        <f>IF(Расчет!BF92=0,"X",Расчет!BF92)</f>
        <v>X</v>
      </c>
      <c r="AP92" s="25">
        <f>Расчет!BG92</f>
        <v>0</v>
      </c>
      <c r="AQ92" s="9">
        <f>IF(Расчет!BL92&lt;0,0,Расчет!BL92)</f>
        <v>0</v>
      </c>
      <c r="AR92" s="25">
        <f>IF(Расчет!BM92&lt;0,0,Расчет!BM92)</f>
        <v>0</v>
      </c>
      <c r="AS92" s="25">
        <f>IF(Расчет!BN92&lt;0,0,Расчет!BN92)</f>
        <v>0</v>
      </c>
      <c r="AT92" s="25">
        <f>Расчет!BY92</f>
        <v>0</v>
      </c>
      <c r="AU92" s="25">
        <f>Расчет!BZ92</f>
        <v>10</v>
      </c>
      <c r="AV92" s="25">
        <f>Расчет!CA92</f>
        <v>0</v>
      </c>
      <c r="AW92" s="25" t="str">
        <f>Расчет!CH92</f>
        <v>Аммофос 12:52:00</v>
      </c>
      <c r="AX92" s="25">
        <f>Расчет!DB92</f>
        <v>0</v>
      </c>
      <c r="AY92" s="25">
        <f>Расчет!DC92</f>
        <v>0</v>
      </c>
      <c r="AZ92" s="25">
        <f>Расчет!DG92</f>
        <v>0</v>
      </c>
      <c r="BA92" s="25">
        <f>Расчет!DH92</f>
        <v>0</v>
      </c>
      <c r="BB92" s="25">
        <f>Расчет!DI92</f>
        <v>0</v>
      </c>
      <c r="BC92" s="25" t="str">
        <f>Расчет!DR92</f>
        <v>Нет</v>
      </c>
      <c r="BD92" s="25">
        <f>Расчет!EB92</f>
        <v>0</v>
      </c>
      <c r="BE92" s="25">
        <f>Расчет!EF92</f>
        <v>0</v>
      </c>
      <c r="BF92" s="25" t="e">
        <f>Расчет!EI92</f>
        <v>#DIV/0!</v>
      </c>
      <c r="BG92" s="25" t="e">
        <f>Расчет!FA92</f>
        <v>#N/A</v>
      </c>
      <c r="BI92">
        <f>IF(Исходн.данные.!AH92=Исходн.данные.!$AC$4,0.6,1)</f>
        <v>1</v>
      </c>
      <c r="BJ92">
        <f>IF(Исходн.данные.!AH92=Исходн.данные.!$AC$4,0.8,IF(OR(Потребность!F92=Расчет2!$BI$10,Потребность!F92=Расчет2!$BI$7,Потребность!F92=Расчет2!$BK$14,Исходн.данные.!AI92=Исходн.данные.!$AI$11),1.3,1))</f>
        <v>1.3</v>
      </c>
      <c r="BK92">
        <f>IF(OR(Исходн.данные.!AH92=Исходн.данные.!$AD$7,Исходн.данные.!AH92=Исходн.данные.!$AD$8),0.75,1)</f>
        <v>1</v>
      </c>
    </row>
    <row r="93" spans="32:63" x14ac:dyDescent="0.2">
      <c r="AF93">
        <f>SUM(Исходн.данные.!AD93:AF93)</f>
        <v>0</v>
      </c>
      <c r="AG93" s="60">
        <f>SUM(Расчет!CI93:CK93)</f>
        <v>0.64</v>
      </c>
      <c r="AH93" s="60">
        <f>SUM(Расчет!DS93:DU93)</f>
        <v>0</v>
      </c>
      <c r="AI93" t="e">
        <f t="shared" si="2"/>
        <v>#N/A</v>
      </c>
      <c r="AJ93" t="e">
        <f t="shared" si="3"/>
        <v>#N/A</v>
      </c>
      <c r="AL93">
        <f>Потребность!G93*Потребность!H93</f>
        <v>0</v>
      </c>
      <c r="AM93" s="11" t="e">
        <f>Исходн.данные.!$AJ93*Расчет2!AO93</f>
        <v>#VALUE!</v>
      </c>
      <c r="AN93" s="11">
        <f>Исходн.данные.!$AJ93*Расчет2!AP93</f>
        <v>0</v>
      </c>
      <c r="AO93" s="25" t="str">
        <f>IF(Расчет!BF93=0,"X",Расчет!BF93)</f>
        <v>X</v>
      </c>
      <c r="AP93" s="25">
        <f>Расчет!BG93</f>
        <v>0</v>
      </c>
      <c r="AQ93" s="9">
        <f>IF(Расчет!BL93&lt;0,0,Расчет!BL93)</f>
        <v>0</v>
      </c>
      <c r="AR93" s="25">
        <f>IF(Расчет!BM93&lt;0,0,Расчет!BM93)</f>
        <v>0</v>
      </c>
      <c r="AS93" s="25">
        <f>IF(Расчет!BN93&lt;0,0,Расчет!BN93)</f>
        <v>0</v>
      </c>
      <c r="AT93" s="25">
        <f>Расчет!BY93</f>
        <v>0</v>
      </c>
      <c r="AU93" s="25">
        <f>Расчет!BZ93</f>
        <v>10</v>
      </c>
      <c r="AV93" s="25">
        <f>Расчет!CA93</f>
        <v>0</v>
      </c>
      <c r="AW93" s="25" t="str">
        <f>Расчет!CH93</f>
        <v>Аммофос 12:52:00</v>
      </c>
      <c r="AX93" s="25">
        <f>Расчет!DB93</f>
        <v>0</v>
      </c>
      <c r="AY93" s="25">
        <f>Расчет!DC93</f>
        <v>0</v>
      </c>
      <c r="AZ93" s="25">
        <f>Расчет!DG93</f>
        <v>0</v>
      </c>
      <c r="BA93" s="25">
        <f>Расчет!DH93</f>
        <v>0</v>
      </c>
      <c r="BB93" s="25">
        <f>Расчет!DI93</f>
        <v>0</v>
      </c>
      <c r="BC93" s="25" t="str">
        <f>Расчет!DR93</f>
        <v>Нет</v>
      </c>
      <c r="BD93" s="25">
        <f>Расчет!EB93</f>
        <v>0</v>
      </c>
      <c r="BE93" s="25">
        <f>Расчет!EF93</f>
        <v>0</v>
      </c>
      <c r="BF93" s="25" t="e">
        <f>Расчет!EI93</f>
        <v>#DIV/0!</v>
      </c>
      <c r="BG93" s="25" t="e">
        <f>Расчет!FA93</f>
        <v>#N/A</v>
      </c>
      <c r="BI93">
        <f>IF(Исходн.данные.!AH93=Исходн.данные.!$AC$4,0.6,1)</f>
        <v>1</v>
      </c>
      <c r="BJ93">
        <f>IF(Исходн.данные.!AH93=Исходн.данные.!$AC$4,0.8,IF(OR(Потребность!F93=Расчет2!$BI$10,Потребность!F93=Расчет2!$BI$7,Потребность!F93=Расчет2!$BK$14,Исходн.данные.!AI93=Исходн.данные.!$AI$11),1.3,1))</f>
        <v>1.3</v>
      </c>
      <c r="BK93">
        <f>IF(OR(Исходн.данные.!AH93=Исходн.данные.!$AD$7,Исходн.данные.!AH93=Исходн.данные.!$AD$8),0.75,1)</f>
        <v>1</v>
      </c>
    </row>
    <row r="94" spans="32:63" x14ac:dyDescent="0.2">
      <c r="AF94">
        <f>SUM(Исходн.данные.!AD94:AF94)</f>
        <v>0</v>
      </c>
      <c r="AG94" s="60">
        <f>SUM(Расчет!CI94:CK94)</f>
        <v>0.64</v>
      </c>
      <c r="AH94" s="60">
        <f>SUM(Расчет!DS94:DU94)</f>
        <v>0</v>
      </c>
      <c r="AI94" t="e">
        <f t="shared" si="2"/>
        <v>#N/A</v>
      </c>
      <c r="AJ94" t="e">
        <f t="shared" si="3"/>
        <v>#N/A</v>
      </c>
      <c r="AL94">
        <f>Потребность!G94*Потребность!H94</f>
        <v>0</v>
      </c>
      <c r="AM94" s="11" t="e">
        <f>Исходн.данные.!$AJ94*Расчет2!AO94</f>
        <v>#VALUE!</v>
      </c>
      <c r="AN94" s="11">
        <f>Исходн.данные.!$AJ94*Расчет2!AP94</f>
        <v>0</v>
      </c>
      <c r="AO94" s="25" t="str">
        <f>IF(Расчет!BF94=0,"X",Расчет!BF94)</f>
        <v>X</v>
      </c>
      <c r="AP94" s="25">
        <f>Расчет!BG94</f>
        <v>0</v>
      </c>
      <c r="AQ94" s="9">
        <f>IF(Расчет!BL94&lt;0,0,Расчет!BL94)</f>
        <v>0</v>
      </c>
      <c r="AR94" s="25">
        <f>IF(Расчет!BM94&lt;0,0,Расчет!BM94)</f>
        <v>0</v>
      </c>
      <c r="AS94" s="25">
        <f>IF(Расчет!BN94&lt;0,0,Расчет!BN94)</f>
        <v>0</v>
      </c>
      <c r="AT94" s="25">
        <f>Расчет!BY94</f>
        <v>0</v>
      </c>
      <c r="AU94" s="25">
        <f>Расчет!BZ94</f>
        <v>10</v>
      </c>
      <c r="AV94" s="25">
        <f>Расчет!CA94</f>
        <v>0</v>
      </c>
      <c r="AW94" s="25" t="str">
        <f>Расчет!CH94</f>
        <v>Аммофос 12:52:00</v>
      </c>
      <c r="AX94" s="25">
        <f>Расчет!DB94</f>
        <v>0</v>
      </c>
      <c r="AY94" s="25">
        <f>Расчет!DC94</f>
        <v>0</v>
      </c>
      <c r="AZ94" s="25">
        <f>Расчет!DG94</f>
        <v>0</v>
      </c>
      <c r="BA94" s="25">
        <f>Расчет!DH94</f>
        <v>0</v>
      </c>
      <c r="BB94" s="25">
        <f>Расчет!DI94</f>
        <v>0</v>
      </c>
      <c r="BC94" s="25" t="str">
        <f>Расчет!DR94</f>
        <v>Нет</v>
      </c>
      <c r="BD94" s="25">
        <f>Расчет!EB94</f>
        <v>0</v>
      </c>
      <c r="BE94" s="25">
        <f>Расчет!EF94</f>
        <v>0</v>
      </c>
      <c r="BF94" s="25" t="e">
        <f>Расчет!EI94</f>
        <v>#DIV/0!</v>
      </c>
      <c r="BG94" s="25" t="e">
        <f>Расчет!FA94</f>
        <v>#N/A</v>
      </c>
      <c r="BI94">
        <f>IF(Исходн.данные.!AH94=Исходн.данные.!$AC$4,0.6,1)</f>
        <v>1</v>
      </c>
      <c r="BJ94">
        <f>IF(Исходн.данные.!AH94=Исходн.данные.!$AC$4,0.8,IF(OR(Потребность!F94=Расчет2!$BI$10,Потребность!F94=Расчет2!$BI$7,Потребность!F94=Расчет2!$BK$14,Исходн.данные.!AI94=Исходн.данные.!$AI$11),1.3,1))</f>
        <v>1.3</v>
      </c>
      <c r="BK94">
        <f>IF(OR(Исходн.данные.!AH94=Исходн.данные.!$AD$7,Исходн.данные.!AH94=Исходн.данные.!$AD$8),0.75,1)</f>
        <v>1</v>
      </c>
    </row>
    <row r="95" spans="32:63" x14ac:dyDescent="0.2">
      <c r="AF95">
        <f>SUM(Исходн.данные.!AD95:AF95)</f>
        <v>0</v>
      </c>
      <c r="AG95" s="60">
        <f>SUM(Расчет!CI95:CK95)</f>
        <v>0.64</v>
      </c>
      <c r="AH95" s="60">
        <f>SUM(Расчет!DS95:DU95)</f>
        <v>0</v>
      </c>
      <c r="AI95" t="e">
        <f t="shared" si="2"/>
        <v>#N/A</v>
      </c>
      <c r="AJ95" t="e">
        <f t="shared" si="3"/>
        <v>#N/A</v>
      </c>
      <c r="AL95">
        <f>Потребность!G95*Потребность!H95</f>
        <v>0</v>
      </c>
      <c r="AM95" s="11" t="e">
        <f>Исходн.данные.!$AJ95*Расчет2!AO95</f>
        <v>#VALUE!</v>
      </c>
      <c r="AN95" s="11">
        <f>Исходн.данные.!$AJ95*Расчет2!AP95</f>
        <v>0</v>
      </c>
      <c r="AO95" s="25" t="str">
        <f>IF(Расчет!BF95=0,"X",Расчет!BF95)</f>
        <v>X</v>
      </c>
      <c r="AP95" s="25">
        <f>Расчет!BG95</f>
        <v>0</v>
      </c>
      <c r="AQ95" s="9">
        <f>IF(Расчет!BL95&lt;0,0,Расчет!BL95)</f>
        <v>0</v>
      </c>
      <c r="AR95" s="25">
        <f>IF(Расчет!BM95&lt;0,0,Расчет!BM95)</f>
        <v>0</v>
      </c>
      <c r="AS95" s="25">
        <f>IF(Расчет!BN95&lt;0,0,Расчет!BN95)</f>
        <v>0</v>
      </c>
      <c r="AT95" s="25">
        <f>Расчет!BY95</f>
        <v>0</v>
      </c>
      <c r="AU95" s="25">
        <f>Расчет!BZ95</f>
        <v>10</v>
      </c>
      <c r="AV95" s="25">
        <f>Расчет!CA95</f>
        <v>0</v>
      </c>
      <c r="AW95" s="25" t="str">
        <f>Расчет!CH95</f>
        <v>Аммофос 12:52:00</v>
      </c>
      <c r="AX95" s="25">
        <f>Расчет!DB95</f>
        <v>0</v>
      </c>
      <c r="AY95" s="25">
        <f>Расчет!DC95</f>
        <v>0</v>
      </c>
      <c r="AZ95" s="25">
        <f>Расчет!DG95</f>
        <v>0</v>
      </c>
      <c r="BA95" s="25">
        <f>Расчет!DH95</f>
        <v>0</v>
      </c>
      <c r="BB95" s="25">
        <f>Расчет!DI95</f>
        <v>0</v>
      </c>
      <c r="BC95" s="25" t="str">
        <f>Расчет!DR95</f>
        <v>Нет</v>
      </c>
      <c r="BD95" s="25">
        <f>Расчет!EB95</f>
        <v>0</v>
      </c>
      <c r="BE95" s="25">
        <f>Расчет!EF95</f>
        <v>0</v>
      </c>
      <c r="BF95" s="25" t="e">
        <f>Расчет!EI95</f>
        <v>#DIV/0!</v>
      </c>
      <c r="BG95" s="25" t="e">
        <f>Расчет!FA95</f>
        <v>#N/A</v>
      </c>
      <c r="BI95">
        <f>IF(Исходн.данные.!AH95=Исходн.данные.!$AC$4,0.6,1)</f>
        <v>1</v>
      </c>
      <c r="BJ95">
        <f>IF(Исходн.данные.!AH95=Исходн.данные.!$AC$4,0.8,IF(OR(Потребность!F95=Расчет2!$BI$10,Потребность!F95=Расчет2!$BI$7,Потребность!F95=Расчет2!$BK$14,Исходн.данные.!AI95=Исходн.данные.!$AI$11),1.3,1))</f>
        <v>1.3</v>
      </c>
      <c r="BK95">
        <f>IF(OR(Исходн.данные.!AH95=Исходн.данные.!$AD$7,Исходн.данные.!AH95=Исходн.данные.!$AD$8),0.75,1)</f>
        <v>1</v>
      </c>
    </row>
    <row r="96" spans="32:63" x14ac:dyDescent="0.2">
      <c r="AF96">
        <f>SUM(Исходн.данные.!AD96:AF96)</f>
        <v>0</v>
      </c>
      <c r="AG96" s="60">
        <f>SUM(Расчет!CI96:CK96)</f>
        <v>0.64</v>
      </c>
      <c r="AH96" s="60">
        <f>SUM(Расчет!DS96:DU96)</f>
        <v>0</v>
      </c>
      <c r="AI96" t="e">
        <f t="shared" si="2"/>
        <v>#N/A</v>
      </c>
      <c r="AJ96" t="e">
        <f t="shared" si="3"/>
        <v>#N/A</v>
      </c>
      <c r="AL96">
        <f>Потребность!G96*Потребность!H96</f>
        <v>0</v>
      </c>
      <c r="AM96" s="11" t="e">
        <f>Исходн.данные.!$AJ96*Расчет2!AO96</f>
        <v>#VALUE!</v>
      </c>
      <c r="AN96" s="11">
        <f>Исходн.данные.!$AJ96*Расчет2!AP96</f>
        <v>0</v>
      </c>
      <c r="AO96" s="25" t="str">
        <f>IF(Расчет!BF96=0,"X",Расчет!BF96)</f>
        <v>X</v>
      </c>
      <c r="AP96" s="25">
        <f>Расчет!BG96</f>
        <v>0</v>
      </c>
      <c r="AQ96" s="9">
        <f>IF(Расчет!BL96&lt;0,0,Расчет!BL96)</f>
        <v>0</v>
      </c>
      <c r="AR96" s="25">
        <f>IF(Расчет!BM96&lt;0,0,Расчет!BM96)</f>
        <v>0</v>
      </c>
      <c r="AS96" s="25">
        <f>IF(Расчет!BN96&lt;0,0,Расчет!BN96)</f>
        <v>0</v>
      </c>
      <c r="AT96" s="25">
        <f>Расчет!BY96</f>
        <v>0</v>
      </c>
      <c r="AU96" s="25">
        <f>Расчет!BZ96</f>
        <v>10</v>
      </c>
      <c r="AV96" s="25">
        <f>Расчет!CA96</f>
        <v>0</v>
      </c>
      <c r="AW96" s="25" t="str">
        <f>Расчет!CH96</f>
        <v>Аммофос 12:52:00</v>
      </c>
      <c r="AX96" s="25">
        <f>Расчет!DB96</f>
        <v>0</v>
      </c>
      <c r="AY96" s="25">
        <f>Расчет!DC96</f>
        <v>0</v>
      </c>
      <c r="AZ96" s="25">
        <f>Расчет!DG96</f>
        <v>0</v>
      </c>
      <c r="BA96" s="25">
        <f>Расчет!DH96</f>
        <v>0</v>
      </c>
      <c r="BB96" s="25">
        <f>Расчет!DI96</f>
        <v>0</v>
      </c>
      <c r="BC96" s="25" t="str">
        <f>Расчет!DR96</f>
        <v>Нет</v>
      </c>
      <c r="BD96" s="25">
        <f>Расчет!EB96</f>
        <v>0</v>
      </c>
      <c r="BE96" s="25">
        <f>Расчет!EF96</f>
        <v>0</v>
      </c>
      <c r="BF96" s="25" t="e">
        <f>Расчет!EI96</f>
        <v>#DIV/0!</v>
      </c>
      <c r="BG96" s="25" t="e">
        <f>Расчет!FA96</f>
        <v>#N/A</v>
      </c>
      <c r="BI96">
        <f>IF(Исходн.данные.!AH96=Исходн.данные.!$AC$4,0.6,1)</f>
        <v>1</v>
      </c>
      <c r="BJ96">
        <f>IF(Исходн.данные.!AH96=Исходн.данные.!$AC$4,0.8,IF(OR(Потребность!F96=Расчет2!$BI$10,Потребность!F96=Расчет2!$BI$7,Потребность!F96=Расчет2!$BK$14,Исходн.данные.!AI96=Исходн.данные.!$AI$11),1.3,1))</f>
        <v>1.3</v>
      </c>
      <c r="BK96">
        <f>IF(OR(Исходн.данные.!AH96=Исходн.данные.!$AD$7,Исходн.данные.!AH96=Исходн.данные.!$AD$8),0.75,1)</f>
        <v>1</v>
      </c>
    </row>
    <row r="97" spans="32:63" x14ac:dyDescent="0.2">
      <c r="AF97">
        <f>SUM(Исходн.данные.!AD97:AF97)</f>
        <v>0</v>
      </c>
      <c r="AG97" s="60">
        <f>SUM(Расчет!CI97:CK97)</f>
        <v>0.64</v>
      </c>
      <c r="AH97" s="60">
        <f>SUM(Расчет!DS97:DU97)</f>
        <v>0</v>
      </c>
      <c r="AI97" t="e">
        <f t="shared" si="2"/>
        <v>#N/A</v>
      </c>
      <c r="AJ97" t="e">
        <f t="shared" si="3"/>
        <v>#N/A</v>
      </c>
      <c r="AL97">
        <f>Потребность!G97*Потребность!H97</f>
        <v>0</v>
      </c>
      <c r="AM97" s="11" t="e">
        <f>Исходн.данные.!$AJ97*Расчет2!AO97</f>
        <v>#VALUE!</v>
      </c>
      <c r="AN97" s="11">
        <f>Исходн.данные.!$AJ97*Расчет2!AP97</f>
        <v>0</v>
      </c>
      <c r="AO97" s="25" t="str">
        <f>IF(Расчет!BF97=0,"X",Расчет!BF97)</f>
        <v>X</v>
      </c>
      <c r="AP97" s="25">
        <f>Расчет!BG97</f>
        <v>0</v>
      </c>
      <c r="AQ97" s="9">
        <f>IF(Расчет!BL97&lt;0,0,Расчет!BL97)</f>
        <v>0</v>
      </c>
      <c r="AR97" s="25">
        <f>IF(Расчет!BM97&lt;0,0,Расчет!BM97)</f>
        <v>0</v>
      </c>
      <c r="AS97" s="25">
        <f>IF(Расчет!BN97&lt;0,0,Расчет!BN97)</f>
        <v>0</v>
      </c>
      <c r="AT97" s="25">
        <f>Расчет!BY97</f>
        <v>0</v>
      </c>
      <c r="AU97" s="25">
        <f>Расчет!BZ97</f>
        <v>10</v>
      </c>
      <c r="AV97" s="25">
        <f>Расчет!CA97</f>
        <v>0</v>
      </c>
      <c r="AW97" s="25" t="str">
        <f>Расчет!CH97</f>
        <v>Аммофос 12:52:00</v>
      </c>
      <c r="AX97" s="25">
        <f>Расчет!DB97</f>
        <v>0</v>
      </c>
      <c r="AY97" s="25">
        <f>Расчет!DC97</f>
        <v>0</v>
      </c>
      <c r="AZ97" s="25">
        <f>Расчет!DG97</f>
        <v>0</v>
      </c>
      <c r="BA97" s="25">
        <f>Расчет!DH97</f>
        <v>0</v>
      </c>
      <c r="BB97" s="25">
        <f>Расчет!DI97</f>
        <v>0</v>
      </c>
      <c r="BC97" s="25" t="str">
        <f>Расчет!DR97</f>
        <v>Нет</v>
      </c>
      <c r="BD97" s="25">
        <f>Расчет!EB97</f>
        <v>0</v>
      </c>
      <c r="BE97" s="25">
        <f>Расчет!EF97</f>
        <v>0</v>
      </c>
      <c r="BF97" s="25" t="e">
        <f>Расчет!EI97</f>
        <v>#DIV/0!</v>
      </c>
      <c r="BG97" s="25" t="e">
        <f>Расчет!FA97</f>
        <v>#N/A</v>
      </c>
      <c r="BI97">
        <f>IF(Исходн.данные.!AH97=Исходн.данные.!$AC$4,0.6,1)</f>
        <v>1</v>
      </c>
      <c r="BJ97">
        <f>IF(Исходн.данные.!AH97=Исходн.данные.!$AC$4,0.8,IF(OR(Потребность!F97=Расчет2!$BI$10,Потребность!F97=Расчет2!$BI$7,Потребность!F97=Расчет2!$BK$14,Исходн.данные.!AI97=Исходн.данные.!$AI$11),1.3,1))</f>
        <v>1.3</v>
      </c>
      <c r="BK97">
        <f>IF(OR(Исходн.данные.!AH97=Исходн.данные.!$AD$7,Исходн.данные.!AH97=Исходн.данные.!$AD$8),0.75,1)</f>
        <v>1</v>
      </c>
    </row>
    <row r="98" spans="32:63" x14ac:dyDescent="0.2">
      <c r="AF98">
        <f>SUM(Исходн.данные.!AD98:AF98)</f>
        <v>0</v>
      </c>
      <c r="AG98" s="60">
        <f>SUM(Расчет!CI98:CK98)</f>
        <v>0.64</v>
      </c>
      <c r="AH98" s="60">
        <f>SUM(Расчет!DS98:DU98)</f>
        <v>0</v>
      </c>
      <c r="AI98" t="e">
        <f t="shared" si="2"/>
        <v>#N/A</v>
      </c>
      <c r="AJ98" t="e">
        <f t="shared" si="3"/>
        <v>#N/A</v>
      </c>
      <c r="AL98">
        <f>Потребность!G98*Потребность!H98</f>
        <v>0</v>
      </c>
      <c r="AM98" s="11" t="e">
        <f>Исходн.данные.!$AJ98*Расчет2!AO98</f>
        <v>#VALUE!</v>
      </c>
      <c r="AN98" s="11">
        <f>Исходн.данные.!$AJ98*Расчет2!AP98</f>
        <v>0</v>
      </c>
      <c r="AO98" s="25" t="str">
        <f>IF(Расчет!BF98=0,"X",Расчет!BF98)</f>
        <v>X</v>
      </c>
      <c r="AP98" s="25">
        <f>Расчет!BG98</f>
        <v>0</v>
      </c>
      <c r="AQ98" s="9">
        <f>IF(Расчет!BL98&lt;0,0,Расчет!BL98)</f>
        <v>0</v>
      </c>
      <c r="AR98" s="25">
        <f>IF(Расчет!BM98&lt;0,0,Расчет!BM98)</f>
        <v>0</v>
      </c>
      <c r="AS98" s="25">
        <f>IF(Расчет!BN98&lt;0,0,Расчет!BN98)</f>
        <v>0</v>
      </c>
      <c r="AT98" s="25">
        <f>Расчет!BY98</f>
        <v>0</v>
      </c>
      <c r="AU98" s="25">
        <f>Расчет!BZ98</f>
        <v>10</v>
      </c>
      <c r="AV98" s="25">
        <f>Расчет!CA98</f>
        <v>0</v>
      </c>
      <c r="AW98" s="25" t="str">
        <f>Расчет!CH98</f>
        <v>Аммофос 12:52:00</v>
      </c>
      <c r="AX98" s="25">
        <f>Расчет!DB98</f>
        <v>0</v>
      </c>
      <c r="AY98" s="25">
        <f>Расчет!DC98</f>
        <v>0</v>
      </c>
      <c r="AZ98" s="25">
        <f>Расчет!DG98</f>
        <v>0</v>
      </c>
      <c r="BA98" s="25">
        <f>Расчет!DH98</f>
        <v>0</v>
      </c>
      <c r="BB98" s="25">
        <f>Расчет!DI98</f>
        <v>0</v>
      </c>
      <c r="BC98" s="25" t="str">
        <f>Расчет!DR98</f>
        <v>Нет</v>
      </c>
      <c r="BD98" s="25">
        <f>Расчет!EB98</f>
        <v>0</v>
      </c>
      <c r="BE98" s="25">
        <f>Расчет!EF98</f>
        <v>0</v>
      </c>
      <c r="BF98" s="25" t="e">
        <f>Расчет!EI98</f>
        <v>#DIV/0!</v>
      </c>
      <c r="BG98" s="25" t="e">
        <f>Расчет!FA98</f>
        <v>#N/A</v>
      </c>
      <c r="BI98">
        <f>IF(Исходн.данные.!AH98=Исходн.данные.!$AC$4,0.6,1)</f>
        <v>1</v>
      </c>
      <c r="BJ98">
        <f>IF(Исходн.данные.!AH98=Исходн.данные.!$AC$4,0.8,IF(OR(Потребность!F98=Расчет2!$BI$10,Потребность!F98=Расчет2!$BI$7,Потребность!F98=Расчет2!$BK$14,Исходн.данные.!AI98=Исходн.данные.!$AI$11),1.3,1))</f>
        <v>1.3</v>
      </c>
      <c r="BK98">
        <f>IF(OR(Исходн.данные.!AH98=Исходн.данные.!$AD$7,Исходн.данные.!AH98=Исходн.данные.!$AD$8),0.75,1)</f>
        <v>1</v>
      </c>
    </row>
    <row r="99" spans="32:63" x14ac:dyDescent="0.2">
      <c r="AF99">
        <f>SUM(Исходн.данные.!AD99:AF99)</f>
        <v>0</v>
      </c>
      <c r="AG99" s="60">
        <f>SUM(Расчет!CI99:CK99)</f>
        <v>0.64</v>
      </c>
      <c r="AH99" s="60">
        <f>SUM(Расчет!DS99:DU99)</f>
        <v>0</v>
      </c>
      <c r="AI99" t="e">
        <f t="shared" si="2"/>
        <v>#N/A</v>
      </c>
      <c r="AJ99" t="e">
        <f t="shared" si="3"/>
        <v>#N/A</v>
      </c>
      <c r="AL99">
        <f>Потребность!G99*Потребность!H99</f>
        <v>0</v>
      </c>
      <c r="AM99" s="11" t="e">
        <f>Исходн.данные.!$AJ99*Расчет2!AO99</f>
        <v>#VALUE!</v>
      </c>
      <c r="AN99" s="11">
        <f>Исходн.данные.!$AJ99*Расчет2!AP99</f>
        <v>0</v>
      </c>
      <c r="AO99" s="25" t="str">
        <f>IF(Расчет!BF99=0,"X",Расчет!BF99)</f>
        <v>X</v>
      </c>
      <c r="AP99" s="25">
        <f>Расчет!BG99</f>
        <v>0</v>
      </c>
      <c r="AQ99" s="9">
        <f>IF(Расчет!BL99&lt;0,0,Расчет!BL99)</f>
        <v>0</v>
      </c>
      <c r="AR99" s="25">
        <f>IF(Расчет!BM99&lt;0,0,Расчет!BM99)</f>
        <v>0</v>
      </c>
      <c r="AS99" s="25">
        <f>IF(Расчет!BN99&lt;0,0,Расчет!BN99)</f>
        <v>0</v>
      </c>
      <c r="AT99" s="25">
        <f>Расчет!BY99</f>
        <v>0</v>
      </c>
      <c r="AU99" s="25">
        <f>Расчет!BZ99</f>
        <v>10</v>
      </c>
      <c r="AV99" s="25">
        <f>Расчет!CA99</f>
        <v>0</v>
      </c>
      <c r="AW99" s="25" t="str">
        <f>Расчет!CH99</f>
        <v>Аммофос 12:52:00</v>
      </c>
      <c r="AX99" s="25">
        <f>Расчет!DB99</f>
        <v>0</v>
      </c>
      <c r="AY99" s="25">
        <f>Расчет!DC99</f>
        <v>0</v>
      </c>
      <c r="AZ99" s="25">
        <f>Расчет!DG99</f>
        <v>0</v>
      </c>
      <c r="BA99" s="25">
        <f>Расчет!DH99</f>
        <v>0</v>
      </c>
      <c r="BB99" s="25">
        <f>Расчет!DI99</f>
        <v>0</v>
      </c>
      <c r="BC99" s="25" t="str">
        <f>Расчет!DR99</f>
        <v>Нет</v>
      </c>
      <c r="BD99" s="25">
        <f>Расчет!EB99</f>
        <v>0</v>
      </c>
      <c r="BE99" s="25">
        <f>Расчет!EF99</f>
        <v>0</v>
      </c>
      <c r="BF99" s="25" t="e">
        <f>Расчет!EI99</f>
        <v>#DIV/0!</v>
      </c>
      <c r="BG99" s="25" t="e">
        <f>Расчет!FA99</f>
        <v>#N/A</v>
      </c>
      <c r="BI99">
        <f>IF(Исходн.данные.!AH99=Исходн.данные.!$AC$4,0.6,1)</f>
        <v>1</v>
      </c>
      <c r="BJ99">
        <f>IF(Исходн.данные.!AH99=Исходн.данные.!$AC$4,0.8,IF(OR(Потребность!F99=Расчет2!$BI$10,Потребность!F99=Расчет2!$BI$7,Потребность!F99=Расчет2!$BK$14,Исходн.данные.!AI99=Исходн.данные.!$AI$11),1.3,1))</f>
        <v>1.3</v>
      </c>
      <c r="BK99">
        <f>IF(OR(Исходн.данные.!AH99=Исходн.данные.!$AD$7,Исходн.данные.!AH99=Исходн.данные.!$AD$8),0.75,1)</f>
        <v>1</v>
      </c>
    </row>
    <row r="100" spans="32:63" x14ac:dyDescent="0.2">
      <c r="AF100">
        <f>SUM(Исходн.данные.!AD100:AF100)</f>
        <v>0</v>
      </c>
      <c r="AG100" s="60">
        <f>SUM(Расчет!CI100:CK100)</f>
        <v>0.64</v>
      </c>
      <c r="AH100" s="60">
        <f>SUM(Расчет!DS100:DU100)</f>
        <v>0</v>
      </c>
      <c r="AI100" t="e">
        <f t="shared" si="2"/>
        <v>#N/A</v>
      </c>
      <c r="AJ100" t="e">
        <f t="shared" si="3"/>
        <v>#N/A</v>
      </c>
      <c r="AL100">
        <f>Потребность!G100*Потребность!H100</f>
        <v>0</v>
      </c>
      <c r="AM100" s="11" t="e">
        <f>Исходн.данные.!$AJ100*Расчет2!AO100</f>
        <v>#VALUE!</v>
      </c>
      <c r="AN100" s="11">
        <f>Исходн.данные.!$AJ100*Расчет2!AP100</f>
        <v>0</v>
      </c>
      <c r="AO100" s="25" t="str">
        <f>IF(Расчет!BF100=0,"X",Расчет!BF100)</f>
        <v>X</v>
      </c>
      <c r="AP100" s="25">
        <f>Расчет!BG100</f>
        <v>0</v>
      </c>
      <c r="AQ100" s="9">
        <f>IF(Расчет!BL100&lt;0,0,Расчет!BL100)</f>
        <v>0</v>
      </c>
      <c r="AR100" s="25">
        <f>IF(Расчет!BM100&lt;0,0,Расчет!BM100)</f>
        <v>0</v>
      </c>
      <c r="AS100" s="25">
        <f>IF(Расчет!BN100&lt;0,0,Расчет!BN100)</f>
        <v>0</v>
      </c>
      <c r="AT100" s="25">
        <f>Расчет!BY100</f>
        <v>0</v>
      </c>
      <c r="AU100" s="25">
        <f>Расчет!BZ100</f>
        <v>10</v>
      </c>
      <c r="AV100" s="25">
        <f>Расчет!CA100</f>
        <v>0</v>
      </c>
      <c r="AW100" s="25" t="str">
        <f>Расчет!CH100</f>
        <v>Аммофос 12:52:00</v>
      </c>
      <c r="AX100" s="25">
        <f>Расчет!DB100</f>
        <v>0</v>
      </c>
      <c r="AY100" s="25">
        <f>Расчет!DC100</f>
        <v>0</v>
      </c>
      <c r="AZ100" s="25">
        <f>Расчет!DG100</f>
        <v>0</v>
      </c>
      <c r="BA100" s="25">
        <f>Расчет!DH100</f>
        <v>0</v>
      </c>
      <c r="BB100" s="25">
        <f>Расчет!DI100</f>
        <v>0</v>
      </c>
      <c r="BC100" s="25" t="str">
        <f>Расчет!DR100</f>
        <v>Нет</v>
      </c>
      <c r="BD100" s="25">
        <f>Расчет!EB100</f>
        <v>0</v>
      </c>
      <c r="BE100" s="25">
        <f>Расчет!EF100</f>
        <v>0</v>
      </c>
      <c r="BF100" s="25" t="e">
        <f>Расчет!EI100</f>
        <v>#DIV/0!</v>
      </c>
      <c r="BG100" s="25" t="e">
        <f>Расчет!FA100</f>
        <v>#N/A</v>
      </c>
      <c r="BI100">
        <f>IF(Исходн.данные.!AH100=Исходн.данные.!$AC$4,0.6,1)</f>
        <v>1</v>
      </c>
      <c r="BJ100">
        <f>IF(Исходн.данные.!AH100=Исходн.данные.!$AC$4,0.8,IF(OR(Потребность!F100=Расчет2!$BI$10,Потребность!F100=Расчет2!$BI$7,Потребность!F100=Расчет2!$BK$14,Исходн.данные.!AI100=Исходн.данные.!$AI$11),1.3,1))</f>
        <v>1.3</v>
      </c>
      <c r="BK100">
        <f>IF(OR(Исходн.данные.!AH100=Исходн.данные.!$AD$7,Исходн.данные.!AH100=Исходн.данные.!$AD$8),0.75,1)</f>
        <v>1</v>
      </c>
    </row>
    <row r="101" spans="32:63" x14ac:dyDescent="0.2">
      <c r="AF101">
        <f>SUM(Исходн.данные.!AD101:AF101)</f>
        <v>0</v>
      </c>
      <c r="AG101" s="60">
        <f>SUM(Расчет!CI101:CK101)</f>
        <v>0.64</v>
      </c>
      <c r="AH101" s="60">
        <f>SUM(Расчет!DS101:DU101)</f>
        <v>0</v>
      </c>
      <c r="AI101" t="e">
        <f t="shared" si="2"/>
        <v>#N/A</v>
      </c>
      <c r="AJ101" t="e">
        <f t="shared" si="3"/>
        <v>#N/A</v>
      </c>
      <c r="AL101">
        <f>Потребность!G101*Потребность!H101</f>
        <v>0</v>
      </c>
      <c r="AM101" s="11" t="e">
        <f>Исходн.данные.!$AJ101*Расчет2!AO101</f>
        <v>#VALUE!</v>
      </c>
      <c r="AN101" s="11">
        <f>Исходн.данные.!$AJ101*Расчет2!AP101</f>
        <v>0</v>
      </c>
      <c r="AO101" s="25" t="str">
        <f>IF(Расчет!BF101=0,"X",Расчет!BF101)</f>
        <v>X</v>
      </c>
      <c r="AP101" s="25">
        <f>Расчет!BG101</f>
        <v>0</v>
      </c>
      <c r="AQ101" s="9">
        <f>IF(Расчет!BL101&lt;0,0,Расчет!BL101)</f>
        <v>0</v>
      </c>
      <c r="AR101" s="25">
        <f>IF(Расчет!BM101&lt;0,0,Расчет!BM101)</f>
        <v>0</v>
      </c>
      <c r="AS101" s="25">
        <f>IF(Расчет!BN101&lt;0,0,Расчет!BN101)</f>
        <v>0</v>
      </c>
      <c r="AT101" s="25">
        <f>Расчет!BY101</f>
        <v>0</v>
      </c>
      <c r="AU101" s="25">
        <f>Расчет!BZ101</f>
        <v>10</v>
      </c>
      <c r="AV101" s="25">
        <f>Расчет!CA101</f>
        <v>0</v>
      </c>
      <c r="AW101" s="25" t="str">
        <f>Расчет!CH101</f>
        <v>Аммофос 12:52:00</v>
      </c>
      <c r="AX101" s="25">
        <f>Расчет!DB101</f>
        <v>0</v>
      </c>
      <c r="AY101" s="25">
        <f>Расчет!DC101</f>
        <v>0</v>
      </c>
      <c r="AZ101" s="25">
        <f>Расчет!DG101</f>
        <v>0</v>
      </c>
      <c r="BA101" s="25">
        <f>Расчет!DH101</f>
        <v>0</v>
      </c>
      <c r="BB101" s="25">
        <f>Расчет!DI101</f>
        <v>0</v>
      </c>
      <c r="BC101" s="25" t="str">
        <f>Расчет!DR101</f>
        <v>Нет</v>
      </c>
      <c r="BD101" s="25">
        <f>Расчет!EB101</f>
        <v>0</v>
      </c>
      <c r="BE101" s="25">
        <f>Расчет!EF101</f>
        <v>0</v>
      </c>
      <c r="BF101" s="25" t="e">
        <f>Расчет!EI101</f>
        <v>#DIV/0!</v>
      </c>
      <c r="BG101" s="25" t="e">
        <f>Расчет!FA101</f>
        <v>#N/A</v>
      </c>
      <c r="BI101">
        <f>IF(Исходн.данные.!AH101=Исходн.данные.!$AC$4,0.6,1)</f>
        <v>1</v>
      </c>
      <c r="BJ101">
        <f>IF(Исходн.данные.!AH101=Исходн.данные.!$AC$4,0.8,IF(OR(Потребность!F101=Расчет2!$BI$10,Потребность!F101=Расчет2!$BI$7,Потребность!F101=Расчет2!$BK$14,Исходн.данные.!AI101=Исходн.данные.!$AI$11),1.3,1))</f>
        <v>1.3</v>
      </c>
      <c r="BK101">
        <f>IF(OR(Исходн.данные.!AH101=Исходн.данные.!$AD$7,Исходн.данные.!AH101=Исходн.данные.!$AD$8),0.75,1)</f>
        <v>1</v>
      </c>
    </row>
    <row r="102" spans="32:63" x14ac:dyDescent="0.2">
      <c r="AF102">
        <f>SUM(Исходн.данные.!AD102:AF102)</f>
        <v>0</v>
      </c>
      <c r="AG102" s="60">
        <f>SUM(Расчет!CI102:CK102)</f>
        <v>0.64</v>
      </c>
      <c r="AH102" s="60">
        <f>SUM(Расчет!DS102:DU102)</f>
        <v>0</v>
      </c>
      <c r="AI102" t="e">
        <f t="shared" si="2"/>
        <v>#N/A</v>
      </c>
      <c r="AJ102" t="e">
        <f t="shared" si="3"/>
        <v>#N/A</v>
      </c>
      <c r="AL102">
        <f>Потребность!G102*Потребность!H102</f>
        <v>0</v>
      </c>
      <c r="AM102" s="11" t="e">
        <f>Исходн.данные.!$AJ102*Расчет2!AO102</f>
        <v>#VALUE!</v>
      </c>
      <c r="AN102" s="11">
        <f>Исходн.данные.!$AJ102*Расчет2!AP102</f>
        <v>0</v>
      </c>
      <c r="AO102" s="25" t="str">
        <f>IF(Расчет!BF102=0,"X",Расчет!BF102)</f>
        <v>X</v>
      </c>
      <c r="AP102" s="25">
        <f>Расчет!BG102</f>
        <v>0</v>
      </c>
      <c r="AQ102" s="9">
        <f>IF(Расчет!BL102&lt;0,0,Расчет!BL102)</f>
        <v>0</v>
      </c>
      <c r="AR102" s="25">
        <f>IF(Расчет!BM102&lt;0,0,Расчет!BM102)</f>
        <v>0</v>
      </c>
      <c r="AS102" s="25">
        <f>IF(Расчет!BN102&lt;0,0,Расчет!BN102)</f>
        <v>0</v>
      </c>
      <c r="AT102" s="25">
        <f>Расчет!BY102</f>
        <v>0</v>
      </c>
      <c r="AU102" s="25">
        <f>Расчет!BZ102</f>
        <v>10</v>
      </c>
      <c r="AV102" s="25">
        <f>Расчет!CA102</f>
        <v>0</v>
      </c>
      <c r="AW102" s="25" t="str">
        <f>Расчет!CH102</f>
        <v>Аммофос 12:52:00</v>
      </c>
      <c r="AX102" s="25">
        <f>Расчет!DB102</f>
        <v>0</v>
      </c>
      <c r="AY102" s="25">
        <f>Расчет!DC102</f>
        <v>0</v>
      </c>
      <c r="AZ102" s="25">
        <f>Расчет!DG102</f>
        <v>0</v>
      </c>
      <c r="BA102" s="25">
        <f>Расчет!DH102</f>
        <v>0</v>
      </c>
      <c r="BB102" s="25">
        <f>Расчет!DI102</f>
        <v>0</v>
      </c>
      <c r="BC102" s="25" t="str">
        <f>Расчет!DR102</f>
        <v>Нет</v>
      </c>
      <c r="BD102" s="25">
        <f>Расчет!EB102</f>
        <v>0</v>
      </c>
      <c r="BE102" s="25">
        <f>Расчет!EF102</f>
        <v>0</v>
      </c>
      <c r="BF102" s="25" t="e">
        <f>Расчет!EI102</f>
        <v>#DIV/0!</v>
      </c>
      <c r="BG102" s="25" t="e">
        <f>Расчет!FA102</f>
        <v>#N/A</v>
      </c>
      <c r="BI102">
        <f>IF(Исходн.данные.!AH102=Исходн.данные.!$AC$4,0.6,1)</f>
        <v>1</v>
      </c>
      <c r="BJ102">
        <f>IF(Исходн.данные.!AH102=Исходн.данные.!$AC$4,0.8,IF(OR(Потребность!F102=Расчет2!$BI$10,Потребность!F102=Расчет2!$BI$7,Потребность!F102=Расчет2!$BK$14,Исходн.данные.!AI102=Исходн.данные.!$AI$11),1.3,1))</f>
        <v>1.3</v>
      </c>
      <c r="BK102">
        <f>IF(OR(Исходн.данные.!AH102=Исходн.данные.!$AD$7,Исходн.данные.!AH102=Исходн.данные.!$AD$8),0.75,1)</f>
        <v>1</v>
      </c>
    </row>
    <row r="103" spans="32:63" x14ac:dyDescent="0.2">
      <c r="AF103">
        <f>SUM(Исходн.данные.!AD103:AF103)</f>
        <v>0</v>
      </c>
      <c r="AG103" s="60">
        <f>SUM(Расчет!CI103:CK103)</f>
        <v>0.64</v>
      </c>
      <c r="AH103" s="60">
        <f>SUM(Расчет!DS103:DU103)</f>
        <v>0</v>
      </c>
      <c r="AI103" t="e">
        <f t="shared" si="2"/>
        <v>#N/A</v>
      </c>
      <c r="AJ103" t="e">
        <f t="shared" si="3"/>
        <v>#N/A</v>
      </c>
      <c r="AL103">
        <f>Потребность!G103*Потребность!H103</f>
        <v>0</v>
      </c>
      <c r="AM103" s="11" t="e">
        <f>Исходн.данные.!$AJ103*Расчет2!AO103</f>
        <v>#VALUE!</v>
      </c>
      <c r="AN103" s="11">
        <f>Исходн.данные.!$AJ103*Расчет2!AP103</f>
        <v>0</v>
      </c>
      <c r="AO103" s="25" t="str">
        <f>IF(Расчет!BF103=0,"X",Расчет!BF103)</f>
        <v>X</v>
      </c>
      <c r="AP103" s="25">
        <f>Расчет!BG103</f>
        <v>0</v>
      </c>
      <c r="AQ103" s="9">
        <f>IF(Расчет!BL103&lt;0,0,Расчет!BL103)</f>
        <v>0</v>
      </c>
      <c r="AR103" s="25">
        <f>IF(Расчет!BM103&lt;0,0,Расчет!BM103)</f>
        <v>0</v>
      </c>
      <c r="AS103" s="25">
        <f>IF(Расчет!BN103&lt;0,0,Расчет!BN103)</f>
        <v>0</v>
      </c>
      <c r="AT103" s="25">
        <f>Расчет!BY103</f>
        <v>0</v>
      </c>
      <c r="AU103" s="25">
        <f>Расчет!BZ103</f>
        <v>10</v>
      </c>
      <c r="AV103" s="25">
        <f>Расчет!CA103</f>
        <v>0</v>
      </c>
      <c r="AW103" s="25" t="str">
        <f>Расчет!CH103</f>
        <v>Аммофос 12:52:00</v>
      </c>
      <c r="AX103" s="25">
        <f>Расчет!DB103</f>
        <v>0</v>
      </c>
      <c r="AY103" s="25">
        <f>Расчет!DC103</f>
        <v>0</v>
      </c>
      <c r="AZ103" s="25">
        <f>Расчет!DG103</f>
        <v>0</v>
      </c>
      <c r="BA103" s="25">
        <f>Расчет!DH103</f>
        <v>0</v>
      </c>
      <c r="BB103" s="25">
        <f>Расчет!DI103</f>
        <v>0</v>
      </c>
      <c r="BC103" s="25" t="str">
        <f>Расчет!DR103</f>
        <v>Нет</v>
      </c>
      <c r="BD103" s="25">
        <f>Расчет!EB103</f>
        <v>0</v>
      </c>
      <c r="BE103" s="25">
        <f>Расчет!EF103</f>
        <v>0</v>
      </c>
      <c r="BF103" s="25" t="e">
        <f>Расчет!EI103</f>
        <v>#DIV/0!</v>
      </c>
      <c r="BG103" s="25" t="e">
        <f>Расчет!FA103</f>
        <v>#N/A</v>
      </c>
      <c r="BI103">
        <f>IF(Исходн.данные.!AH103=Исходн.данные.!$AC$4,0.6,1)</f>
        <v>1</v>
      </c>
      <c r="BJ103">
        <f>IF(Исходн.данные.!AH103=Исходн.данные.!$AC$4,0.8,IF(OR(Потребность!F103=Расчет2!$BI$10,Потребность!F103=Расчет2!$BI$7,Потребность!F103=Расчет2!$BK$14,Исходн.данные.!AI103=Исходн.данные.!$AI$11),1.3,1))</f>
        <v>1.3</v>
      </c>
      <c r="BK103">
        <f>IF(OR(Исходн.данные.!AH103=Исходн.данные.!$AD$7,Исходн.данные.!AH103=Исходн.данные.!$AD$8),0.75,1)</f>
        <v>1</v>
      </c>
    </row>
    <row r="104" spans="32:63" x14ac:dyDescent="0.2">
      <c r="AF104">
        <f>SUM(Исходн.данные.!AD104:AF104)</f>
        <v>0</v>
      </c>
      <c r="AG104" s="60">
        <f>SUM(Расчет!CI104:CK104)</f>
        <v>0.64</v>
      </c>
      <c r="AH104" s="60">
        <f>SUM(Расчет!DS104:DU104)</f>
        <v>0</v>
      </c>
      <c r="AI104" t="e">
        <f t="shared" si="2"/>
        <v>#N/A</v>
      </c>
      <c r="AJ104" t="e">
        <f t="shared" si="3"/>
        <v>#N/A</v>
      </c>
      <c r="AL104">
        <f>Потребность!G104*Потребность!H104</f>
        <v>0</v>
      </c>
      <c r="AM104" s="11" t="e">
        <f>Исходн.данные.!$AJ104*Расчет2!AO104</f>
        <v>#VALUE!</v>
      </c>
      <c r="AN104" s="11">
        <f>Исходн.данные.!$AJ104*Расчет2!AP104</f>
        <v>0</v>
      </c>
      <c r="AO104" s="25" t="str">
        <f>IF(Расчет!BF104=0,"X",Расчет!BF104)</f>
        <v>X</v>
      </c>
      <c r="AP104" s="25">
        <f>Расчет!BG104</f>
        <v>0</v>
      </c>
      <c r="AQ104" s="9">
        <f>IF(Расчет!BL104&lt;0,0,Расчет!BL104)</f>
        <v>0</v>
      </c>
      <c r="AR104" s="25">
        <f>IF(Расчет!BM104&lt;0,0,Расчет!BM104)</f>
        <v>0</v>
      </c>
      <c r="AS104" s="25">
        <f>IF(Расчет!BN104&lt;0,0,Расчет!BN104)</f>
        <v>0</v>
      </c>
      <c r="AT104" s="25">
        <f>Расчет!BY104</f>
        <v>0</v>
      </c>
      <c r="AU104" s="25">
        <f>Расчет!BZ104</f>
        <v>10</v>
      </c>
      <c r="AV104" s="25">
        <f>Расчет!CA104</f>
        <v>0</v>
      </c>
      <c r="AW104" s="25" t="str">
        <f>Расчет!CH104</f>
        <v>Аммофос 12:52:00</v>
      </c>
      <c r="AX104" s="25">
        <f>Расчет!DB104</f>
        <v>0</v>
      </c>
      <c r="AY104" s="25">
        <f>Расчет!DC104</f>
        <v>0</v>
      </c>
      <c r="AZ104" s="25">
        <f>Расчет!DG104</f>
        <v>0</v>
      </c>
      <c r="BA104" s="25">
        <f>Расчет!DH104</f>
        <v>0</v>
      </c>
      <c r="BB104" s="25">
        <f>Расчет!DI104</f>
        <v>0</v>
      </c>
      <c r="BC104" s="25" t="str">
        <f>Расчет!DR104</f>
        <v>Нет</v>
      </c>
      <c r="BD104" s="25">
        <f>Расчет!EB104</f>
        <v>0</v>
      </c>
      <c r="BE104" s="25">
        <f>Расчет!EF104</f>
        <v>0</v>
      </c>
      <c r="BF104" s="25" t="e">
        <f>Расчет!EI104</f>
        <v>#DIV/0!</v>
      </c>
      <c r="BG104" s="25" t="e">
        <f>Расчет!FA104</f>
        <v>#N/A</v>
      </c>
      <c r="BI104">
        <f>IF(Исходн.данные.!AH104=Исходн.данные.!$AC$4,0.6,1)</f>
        <v>1</v>
      </c>
      <c r="BJ104">
        <f>IF(Исходн.данные.!AH104=Исходн.данные.!$AC$4,0.8,IF(OR(Потребность!F104=Расчет2!$BI$10,Потребность!F104=Расчет2!$BI$7,Потребность!F104=Расчет2!$BK$14,Исходн.данные.!AI104=Исходн.данные.!$AI$11),1.3,1))</f>
        <v>1.3</v>
      </c>
      <c r="BK104">
        <f>IF(OR(Исходн.данные.!AH104=Исходн.данные.!$AD$7,Исходн.данные.!AH104=Исходн.данные.!$AD$8),0.75,1)</f>
        <v>1</v>
      </c>
    </row>
    <row r="105" spans="32:63" x14ac:dyDescent="0.2">
      <c r="AF105">
        <f>SUM(Исходн.данные.!AD105:AF105)</f>
        <v>0</v>
      </c>
      <c r="AG105" s="60">
        <f>SUM(Расчет!CI105:CK105)</f>
        <v>0.64</v>
      </c>
      <c r="AH105" s="60">
        <f>SUM(Расчет!DS105:DU105)</f>
        <v>0</v>
      </c>
      <c r="AI105" t="e">
        <f t="shared" si="2"/>
        <v>#N/A</v>
      </c>
      <c r="AJ105" t="e">
        <f t="shared" si="3"/>
        <v>#N/A</v>
      </c>
      <c r="AL105">
        <f>Потребность!G105*Потребность!H105</f>
        <v>0</v>
      </c>
      <c r="AM105" s="11" t="e">
        <f>Исходн.данные.!$AJ105*Расчет2!AO105</f>
        <v>#VALUE!</v>
      </c>
      <c r="AN105" s="11">
        <f>Исходн.данные.!$AJ105*Расчет2!AP105</f>
        <v>0</v>
      </c>
      <c r="AO105" s="25" t="str">
        <f>IF(Расчет!BF105=0,"X",Расчет!BF105)</f>
        <v>X</v>
      </c>
      <c r="AP105" s="25">
        <f>Расчет!BG105</f>
        <v>0</v>
      </c>
      <c r="AQ105" s="9">
        <f>IF(Расчет!BL105&lt;0,0,Расчет!BL105)</f>
        <v>0</v>
      </c>
      <c r="AR105" s="25">
        <f>IF(Расчет!BM105&lt;0,0,Расчет!BM105)</f>
        <v>0</v>
      </c>
      <c r="AS105" s="25">
        <f>IF(Расчет!BN105&lt;0,0,Расчет!BN105)</f>
        <v>0</v>
      </c>
      <c r="AT105" s="25">
        <f>Расчет!BY105</f>
        <v>0</v>
      </c>
      <c r="AU105" s="25">
        <f>Расчет!BZ105</f>
        <v>10</v>
      </c>
      <c r="AV105" s="25">
        <f>Расчет!CA105</f>
        <v>0</v>
      </c>
      <c r="AW105" s="25" t="str">
        <f>Расчет!CH105</f>
        <v>Аммофос 12:52:00</v>
      </c>
      <c r="AX105" s="25">
        <f>Расчет!DB105</f>
        <v>0</v>
      </c>
      <c r="AY105" s="25">
        <f>Расчет!DC105</f>
        <v>0</v>
      </c>
      <c r="AZ105" s="25">
        <f>Расчет!DG105</f>
        <v>0</v>
      </c>
      <c r="BA105" s="25">
        <f>Расчет!DH105</f>
        <v>0</v>
      </c>
      <c r="BB105" s="25">
        <f>Расчет!DI105</f>
        <v>0</v>
      </c>
      <c r="BC105" s="25" t="str">
        <f>Расчет!DR105</f>
        <v>Нет</v>
      </c>
      <c r="BD105" s="25">
        <f>Расчет!EB105</f>
        <v>0</v>
      </c>
      <c r="BE105" s="25">
        <f>Расчет!EF105</f>
        <v>0</v>
      </c>
      <c r="BF105" s="25" t="e">
        <f>Расчет!EI105</f>
        <v>#DIV/0!</v>
      </c>
      <c r="BG105" s="25" t="e">
        <f>Расчет!FA105</f>
        <v>#N/A</v>
      </c>
      <c r="BI105">
        <f>IF(Исходн.данные.!AH105=Исходн.данные.!$AC$4,0.6,1)</f>
        <v>1</v>
      </c>
      <c r="BJ105">
        <f>IF(Исходн.данные.!AH105=Исходн.данные.!$AC$4,0.8,IF(OR(Потребность!F105=Расчет2!$BI$10,Потребность!F105=Расчет2!$BI$7,Потребность!F105=Расчет2!$BK$14,Исходн.данные.!AI105=Исходн.данные.!$AI$11),1.3,1))</f>
        <v>1.3</v>
      </c>
      <c r="BK105">
        <f>IF(OR(Исходн.данные.!AH105=Исходн.данные.!$AD$7,Исходн.данные.!AH105=Исходн.данные.!$AD$8),0.75,1)</f>
        <v>1</v>
      </c>
    </row>
    <row r="106" spans="32:63" x14ac:dyDescent="0.2">
      <c r="AF106">
        <f>SUM(Исходн.данные.!AD106:AF106)</f>
        <v>0</v>
      </c>
      <c r="AG106" s="60">
        <f>SUM(Расчет!CI106:CK106)</f>
        <v>0.64</v>
      </c>
      <c r="AH106" s="60">
        <f>SUM(Расчет!DS106:DU106)</f>
        <v>0</v>
      </c>
      <c r="AI106" t="e">
        <f t="shared" si="2"/>
        <v>#N/A</v>
      </c>
      <c r="AJ106" t="e">
        <f t="shared" si="3"/>
        <v>#N/A</v>
      </c>
      <c r="AL106">
        <f>Потребность!G106*Потребность!H106</f>
        <v>0</v>
      </c>
      <c r="AM106" s="11" t="e">
        <f>Исходн.данные.!$AJ106*Расчет2!AO106</f>
        <v>#VALUE!</v>
      </c>
      <c r="AN106" s="11">
        <f>Исходн.данные.!$AJ106*Расчет2!AP106</f>
        <v>0</v>
      </c>
      <c r="AO106" s="25" t="str">
        <f>IF(Расчет!BF106=0,"X",Расчет!BF106)</f>
        <v>X</v>
      </c>
      <c r="AP106" s="25">
        <f>Расчет!BG106</f>
        <v>0</v>
      </c>
      <c r="AQ106" s="9">
        <f>IF(Расчет!BL106&lt;0,0,Расчет!BL106)</f>
        <v>0</v>
      </c>
      <c r="AR106" s="25">
        <f>IF(Расчет!BM106&lt;0,0,Расчет!BM106)</f>
        <v>0</v>
      </c>
      <c r="AS106" s="25">
        <f>IF(Расчет!BN106&lt;0,0,Расчет!BN106)</f>
        <v>0</v>
      </c>
      <c r="AT106" s="25">
        <f>Расчет!BY106</f>
        <v>0</v>
      </c>
      <c r="AU106" s="25">
        <f>Расчет!BZ106</f>
        <v>10</v>
      </c>
      <c r="AV106" s="25">
        <f>Расчет!CA106</f>
        <v>0</v>
      </c>
      <c r="AW106" s="25" t="str">
        <f>Расчет!CH106</f>
        <v>Аммофос 12:52:00</v>
      </c>
      <c r="AX106" s="25">
        <f>Расчет!DB106</f>
        <v>0</v>
      </c>
      <c r="AY106" s="25">
        <f>Расчет!DC106</f>
        <v>0</v>
      </c>
      <c r="AZ106" s="25">
        <f>Расчет!DG106</f>
        <v>0</v>
      </c>
      <c r="BA106" s="25">
        <f>Расчет!DH106</f>
        <v>0</v>
      </c>
      <c r="BB106" s="25">
        <f>Расчет!DI106</f>
        <v>0</v>
      </c>
      <c r="BC106" s="25" t="str">
        <f>Расчет!DR106</f>
        <v>Нет</v>
      </c>
      <c r="BD106" s="25">
        <f>Расчет!EB106</f>
        <v>0</v>
      </c>
      <c r="BE106" s="25">
        <f>Расчет!EF106</f>
        <v>0</v>
      </c>
      <c r="BF106" s="25" t="e">
        <f>Расчет!EI106</f>
        <v>#DIV/0!</v>
      </c>
      <c r="BG106" s="25" t="e">
        <f>Расчет!FA106</f>
        <v>#N/A</v>
      </c>
      <c r="BI106">
        <f>IF(Исходн.данные.!AH106=Исходн.данные.!$AC$4,0.6,1)</f>
        <v>1</v>
      </c>
      <c r="BJ106">
        <f>IF(Исходн.данные.!AH106=Исходн.данные.!$AC$4,0.8,IF(OR(Потребность!F106=Расчет2!$BI$10,Потребность!F106=Расчет2!$BI$7,Потребность!F106=Расчет2!$BK$14,Исходн.данные.!AI106=Исходн.данные.!$AI$11),1.3,1))</f>
        <v>1.3</v>
      </c>
      <c r="BK106">
        <f>IF(OR(Исходн.данные.!AH106=Исходн.данные.!$AD$7,Исходн.данные.!AH106=Исходн.данные.!$AD$8),0.75,1)</f>
        <v>1</v>
      </c>
    </row>
    <row r="107" spans="32:63" x14ac:dyDescent="0.2">
      <c r="AF107">
        <f>SUM(Исходн.данные.!AD107:AF107)</f>
        <v>0</v>
      </c>
      <c r="AG107" s="60">
        <f>SUM(Расчет!CI107:CK107)</f>
        <v>0.64</v>
      </c>
      <c r="AH107" s="60">
        <f>SUM(Расчет!DS107:DU107)</f>
        <v>0</v>
      </c>
      <c r="AI107" t="e">
        <f t="shared" si="2"/>
        <v>#N/A</v>
      </c>
      <c r="AJ107" t="e">
        <f t="shared" si="3"/>
        <v>#N/A</v>
      </c>
      <c r="AL107">
        <f>Потребность!G107*Потребность!H107</f>
        <v>0</v>
      </c>
      <c r="AM107" s="11" t="e">
        <f>Исходн.данные.!$AJ107*Расчет2!AO107</f>
        <v>#VALUE!</v>
      </c>
      <c r="AN107" s="11">
        <f>Исходн.данные.!$AJ107*Расчет2!AP107</f>
        <v>0</v>
      </c>
      <c r="AO107" s="25" t="str">
        <f>IF(Расчет!BF107=0,"X",Расчет!BF107)</f>
        <v>X</v>
      </c>
      <c r="AP107" s="25">
        <f>Расчет!BG107</f>
        <v>0</v>
      </c>
      <c r="AQ107" s="9">
        <f>IF(Расчет!BL107&lt;0,0,Расчет!BL107)</f>
        <v>0</v>
      </c>
      <c r="AR107" s="25">
        <f>IF(Расчет!BM107&lt;0,0,Расчет!BM107)</f>
        <v>0</v>
      </c>
      <c r="AS107" s="25">
        <f>IF(Расчет!BN107&lt;0,0,Расчет!BN107)</f>
        <v>0</v>
      </c>
      <c r="AT107" s="25">
        <f>Расчет!BY107</f>
        <v>0</v>
      </c>
      <c r="AU107" s="25">
        <f>Расчет!BZ107</f>
        <v>10</v>
      </c>
      <c r="AV107" s="25">
        <f>Расчет!CA107</f>
        <v>0</v>
      </c>
      <c r="AW107" s="25" t="str">
        <f>Расчет!CH107</f>
        <v>Аммофос 12:52:00</v>
      </c>
      <c r="AX107" s="25">
        <f>Расчет!DB107</f>
        <v>0</v>
      </c>
      <c r="AY107" s="25">
        <f>Расчет!DC107</f>
        <v>0</v>
      </c>
      <c r="AZ107" s="25">
        <f>Расчет!DG107</f>
        <v>0</v>
      </c>
      <c r="BA107" s="25">
        <f>Расчет!DH107</f>
        <v>0</v>
      </c>
      <c r="BB107" s="25">
        <f>Расчет!DI107</f>
        <v>0</v>
      </c>
      <c r="BC107" s="25" t="str">
        <f>Расчет!DR107</f>
        <v>Нет</v>
      </c>
      <c r="BD107" s="25">
        <f>Расчет!EB107</f>
        <v>0</v>
      </c>
      <c r="BE107" s="25">
        <f>Расчет!EF107</f>
        <v>0</v>
      </c>
      <c r="BF107" s="25" t="e">
        <f>Расчет!EI107</f>
        <v>#DIV/0!</v>
      </c>
      <c r="BG107" s="25" t="e">
        <f>Расчет!FA107</f>
        <v>#N/A</v>
      </c>
      <c r="BI107">
        <f>IF(Исходн.данные.!AH107=Исходн.данные.!$AC$4,0.6,1)</f>
        <v>1</v>
      </c>
      <c r="BJ107">
        <f>IF(Исходн.данные.!AH107=Исходн.данные.!$AC$4,0.8,IF(OR(Потребность!F107=Расчет2!$BI$10,Потребность!F107=Расчет2!$BI$7,Потребность!F107=Расчет2!$BK$14,Исходн.данные.!AI107=Исходн.данные.!$AI$11),1.3,1))</f>
        <v>1.3</v>
      </c>
      <c r="BK107">
        <f>IF(OR(Исходн.данные.!AH107=Исходн.данные.!$AD$7,Исходн.данные.!AH107=Исходн.данные.!$AD$8),0.75,1)</f>
        <v>1</v>
      </c>
    </row>
    <row r="108" spans="32:63" x14ac:dyDescent="0.2">
      <c r="AF108">
        <f>SUM(Исходн.данные.!AD108:AF108)</f>
        <v>0</v>
      </c>
      <c r="AG108" s="60">
        <f>SUM(Расчет!CI108:CK108)</f>
        <v>0.64</v>
      </c>
      <c r="AH108" s="60">
        <f>SUM(Расчет!DS108:DU108)</f>
        <v>0</v>
      </c>
      <c r="AI108" t="e">
        <f t="shared" si="2"/>
        <v>#N/A</v>
      </c>
      <c r="AJ108" t="e">
        <f t="shared" si="3"/>
        <v>#N/A</v>
      </c>
      <c r="AL108">
        <f>Потребность!G108*Потребность!H108</f>
        <v>0</v>
      </c>
      <c r="AM108" s="11" t="e">
        <f>Исходн.данные.!$AJ108*Расчет2!AO108</f>
        <v>#VALUE!</v>
      </c>
      <c r="AN108" s="11">
        <f>Исходн.данные.!$AJ108*Расчет2!AP108</f>
        <v>0</v>
      </c>
      <c r="AO108" s="25" t="str">
        <f>IF(Расчет!BF108=0,"X",Расчет!BF108)</f>
        <v>X</v>
      </c>
      <c r="AP108" s="25">
        <f>Расчет!BG108</f>
        <v>0</v>
      </c>
      <c r="AQ108" s="9">
        <f>IF(Расчет!BL108&lt;0,0,Расчет!BL108)</f>
        <v>0</v>
      </c>
      <c r="AR108" s="25">
        <f>IF(Расчет!BM108&lt;0,0,Расчет!BM108)</f>
        <v>0</v>
      </c>
      <c r="AS108" s="25">
        <f>IF(Расчет!BN108&lt;0,0,Расчет!BN108)</f>
        <v>0</v>
      </c>
      <c r="AT108" s="25">
        <f>Расчет!BY108</f>
        <v>0</v>
      </c>
      <c r="AU108" s="25">
        <f>Расчет!BZ108</f>
        <v>10</v>
      </c>
      <c r="AV108" s="25">
        <f>Расчет!CA108</f>
        <v>0</v>
      </c>
      <c r="AW108" s="25" t="str">
        <f>Расчет!CH108</f>
        <v>Аммофос 12:52:00</v>
      </c>
      <c r="AX108" s="25">
        <f>Расчет!DB108</f>
        <v>0</v>
      </c>
      <c r="AY108" s="25">
        <f>Расчет!DC108</f>
        <v>0</v>
      </c>
      <c r="AZ108" s="25">
        <f>Расчет!DG108</f>
        <v>0</v>
      </c>
      <c r="BA108" s="25">
        <f>Расчет!DH108</f>
        <v>0</v>
      </c>
      <c r="BB108" s="25">
        <f>Расчет!DI108</f>
        <v>0</v>
      </c>
      <c r="BC108" s="25" t="str">
        <f>Расчет!DR108</f>
        <v>Нет</v>
      </c>
      <c r="BD108" s="25">
        <f>Расчет!EB108</f>
        <v>0</v>
      </c>
      <c r="BE108" s="25">
        <f>Расчет!EF108</f>
        <v>0</v>
      </c>
      <c r="BF108" s="25" t="e">
        <f>Расчет!EI108</f>
        <v>#DIV/0!</v>
      </c>
      <c r="BG108" s="25" t="e">
        <f>Расчет!FA108</f>
        <v>#N/A</v>
      </c>
      <c r="BI108">
        <f>IF(Исходн.данные.!AH108=Исходн.данные.!$AC$4,0.6,1)</f>
        <v>1</v>
      </c>
      <c r="BJ108">
        <f>IF(Исходн.данные.!AH108=Исходн.данные.!$AC$4,0.8,IF(OR(Потребность!F108=Расчет2!$BI$10,Потребность!F108=Расчет2!$BI$7,Потребность!F108=Расчет2!$BK$14,Исходн.данные.!AI108=Исходн.данные.!$AI$11),1.3,1))</f>
        <v>1.3</v>
      </c>
      <c r="BK108">
        <f>IF(OR(Исходн.данные.!AH108=Исходн.данные.!$AD$7,Исходн.данные.!AH108=Исходн.данные.!$AD$8),0.75,1)</f>
        <v>1</v>
      </c>
    </row>
    <row r="109" spans="32:63" x14ac:dyDescent="0.2">
      <c r="AF109">
        <f>SUM(Исходн.данные.!AD109:AF109)</f>
        <v>0</v>
      </c>
      <c r="AG109" s="60">
        <f>SUM(Расчет!CI109:CK109)</f>
        <v>0.64</v>
      </c>
      <c r="AH109" s="60">
        <f>SUM(Расчет!DS109:DU109)</f>
        <v>0</v>
      </c>
      <c r="AI109" t="e">
        <f t="shared" si="2"/>
        <v>#N/A</v>
      </c>
      <c r="AJ109" t="e">
        <f t="shared" si="3"/>
        <v>#N/A</v>
      </c>
      <c r="AL109">
        <f>Потребность!G109*Потребность!H109</f>
        <v>0</v>
      </c>
      <c r="AM109" s="11" t="e">
        <f>Исходн.данные.!$AJ109*Расчет2!AO109</f>
        <v>#VALUE!</v>
      </c>
      <c r="AN109" s="11">
        <f>Исходн.данные.!$AJ109*Расчет2!AP109</f>
        <v>0</v>
      </c>
      <c r="AO109" s="25" t="str">
        <f>IF(Расчет!BF109=0,"X",Расчет!BF109)</f>
        <v>X</v>
      </c>
      <c r="AP109" s="25">
        <f>Расчет!BG109</f>
        <v>0</v>
      </c>
      <c r="AQ109" s="9">
        <f>IF(Расчет!BL109&lt;0,0,Расчет!BL109)</f>
        <v>0</v>
      </c>
      <c r="AR109" s="25">
        <f>IF(Расчет!BM109&lt;0,0,Расчет!BM109)</f>
        <v>0</v>
      </c>
      <c r="AS109" s="25">
        <f>IF(Расчет!BN109&lt;0,0,Расчет!BN109)</f>
        <v>0</v>
      </c>
      <c r="AT109" s="25">
        <f>Расчет!BY109</f>
        <v>0</v>
      </c>
      <c r="AU109" s="25">
        <f>Расчет!BZ109</f>
        <v>10</v>
      </c>
      <c r="AV109" s="25">
        <f>Расчет!CA109</f>
        <v>0</v>
      </c>
      <c r="AW109" s="25" t="str">
        <f>Расчет!CH109</f>
        <v>Аммофос 12:52:00</v>
      </c>
      <c r="AX109" s="25">
        <f>Расчет!DB109</f>
        <v>0</v>
      </c>
      <c r="AY109" s="25">
        <f>Расчет!DC109</f>
        <v>0</v>
      </c>
      <c r="AZ109" s="25">
        <f>Расчет!DG109</f>
        <v>0</v>
      </c>
      <c r="BA109" s="25">
        <f>Расчет!DH109</f>
        <v>0</v>
      </c>
      <c r="BB109" s="25">
        <f>Расчет!DI109</f>
        <v>0</v>
      </c>
      <c r="BC109" s="25" t="str">
        <f>Расчет!DR109</f>
        <v>Нет</v>
      </c>
      <c r="BD109" s="25">
        <f>Расчет!EB109</f>
        <v>0</v>
      </c>
      <c r="BE109" s="25">
        <f>Расчет!EF109</f>
        <v>0</v>
      </c>
      <c r="BF109" s="25" t="e">
        <f>Расчет!EI109</f>
        <v>#DIV/0!</v>
      </c>
      <c r="BG109" s="25" t="e">
        <f>Расчет!FA109</f>
        <v>#N/A</v>
      </c>
      <c r="BI109">
        <f>IF(Исходн.данные.!AH109=Исходн.данные.!$AC$4,0.6,1)</f>
        <v>1</v>
      </c>
      <c r="BJ109">
        <f>IF(Исходн.данные.!AH109=Исходн.данные.!$AC$4,0.8,IF(OR(Потребность!F109=Расчет2!$BI$10,Потребность!F109=Расчет2!$BI$7,Потребность!F109=Расчет2!$BK$14,Исходн.данные.!AI109=Исходн.данные.!$AI$11),1.3,1))</f>
        <v>1.3</v>
      </c>
      <c r="BK109">
        <f>IF(OR(Исходн.данные.!AH109=Исходн.данные.!$AD$7,Исходн.данные.!AH109=Исходн.данные.!$AD$8),0.75,1)</f>
        <v>1</v>
      </c>
    </row>
    <row r="110" spans="32:63" x14ac:dyDescent="0.2">
      <c r="AF110">
        <f>SUM(Исходн.данные.!AD110:AF110)</f>
        <v>0</v>
      </c>
      <c r="AG110" s="60">
        <f>SUM(Расчет!CI110:CK110)</f>
        <v>0.64</v>
      </c>
      <c r="AH110" s="60">
        <f>SUM(Расчет!DS110:DU110)</f>
        <v>0</v>
      </c>
      <c r="AI110" t="e">
        <f t="shared" si="2"/>
        <v>#N/A</v>
      </c>
      <c r="AJ110" t="e">
        <f t="shared" si="3"/>
        <v>#N/A</v>
      </c>
      <c r="AL110">
        <f>Потребность!G110*Потребность!H110</f>
        <v>0</v>
      </c>
      <c r="AM110" s="11" t="e">
        <f>Исходн.данные.!$AJ110*Расчет2!AO110</f>
        <v>#VALUE!</v>
      </c>
      <c r="AN110" s="11">
        <f>Исходн.данные.!$AJ110*Расчет2!AP110</f>
        <v>0</v>
      </c>
      <c r="AO110" s="25" t="str">
        <f>IF(Расчет!BF110=0,"X",Расчет!BF110)</f>
        <v>X</v>
      </c>
      <c r="AP110" s="25">
        <f>Расчет!BG110</f>
        <v>0</v>
      </c>
      <c r="AQ110" s="9">
        <f>IF(Расчет!BL110&lt;0,0,Расчет!BL110)</f>
        <v>0</v>
      </c>
      <c r="AR110" s="25">
        <f>IF(Расчет!BM110&lt;0,0,Расчет!BM110)</f>
        <v>0</v>
      </c>
      <c r="AS110" s="25">
        <f>IF(Расчет!BN110&lt;0,0,Расчет!BN110)</f>
        <v>0</v>
      </c>
      <c r="AT110" s="25">
        <f>Расчет!BY110</f>
        <v>0</v>
      </c>
      <c r="AU110" s="25">
        <f>Расчет!BZ110</f>
        <v>10</v>
      </c>
      <c r="AV110" s="25">
        <f>Расчет!CA110</f>
        <v>0</v>
      </c>
      <c r="AW110" s="25" t="str">
        <f>Расчет!CH110</f>
        <v>Аммофос 12:52:00</v>
      </c>
      <c r="AX110" s="25">
        <f>Расчет!DB110</f>
        <v>0</v>
      </c>
      <c r="AY110" s="25">
        <f>Расчет!DC110</f>
        <v>0</v>
      </c>
      <c r="AZ110" s="25">
        <f>Расчет!DG110</f>
        <v>0</v>
      </c>
      <c r="BA110" s="25">
        <f>Расчет!DH110</f>
        <v>0</v>
      </c>
      <c r="BB110" s="25">
        <f>Расчет!DI110</f>
        <v>0</v>
      </c>
      <c r="BC110" s="25" t="str">
        <f>Расчет!DR110</f>
        <v>Нет</v>
      </c>
      <c r="BD110" s="25">
        <f>Расчет!EB110</f>
        <v>0</v>
      </c>
      <c r="BE110" s="25">
        <f>Расчет!EF110</f>
        <v>0</v>
      </c>
      <c r="BF110" s="25" t="e">
        <f>Расчет!EI110</f>
        <v>#DIV/0!</v>
      </c>
      <c r="BG110" s="25" t="e">
        <f>Расчет!FA110</f>
        <v>#N/A</v>
      </c>
      <c r="BI110">
        <f>IF(Исходн.данные.!AH110=Исходн.данные.!$AC$4,0.6,1)</f>
        <v>1</v>
      </c>
      <c r="BJ110">
        <f>IF(Исходн.данные.!AH110=Исходн.данные.!$AC$4,0.8,IF(OR(Потребность!F110=Расчет2!$BI$10,Потребность!F110=Расчет2!$BI$7,Потребность!F110=Расчет2!$BK$14,Исходн.данные.!AI110=Исходн.данные.!$AI$11),1.3,1))</f>
        <v>1.3</v>
      </c>
      <c r="BK110">
        <f>IF(OR(Исходн.данные.!AH110=Исходн.данные.!$AD$7,Исходн.данные.!AH110=Исходн.данные.!$AD$8),0.75,1)</f>
        <v>1</v>
      </c>
    </row>
    <row r="111" spans="32:63" x14ac:dyDescent="0.2">
      <c r="AF111">
        <f>SUM(Исходн.данные.!AD111:AF111)</f>
        <v>0</v>
      </c>
      <c r="AG111" s="60">
        <f>SUM(Расчет!CI111:CK111)</f>
        <v>0.64</v>
      </c>
      <c r="AH111" s="60">
        <f>SUM(Расчет!DS111:DU111)</f>
        <v>0</v>
      </c>
      <c r="AI111" t="e">
        <f t="shared" si="2"/>
        <v>#N/A</v>
      </c>
      <c r="AJ111" t="e">
        <f t="shared" si="3"/>
        <v>#N/A</v>
      </c>
      <c r="AL111">
        <f>Потребность!G111*Потребность!H111</f>
        <v>0</v>
      </c>
      <c r="AM111" s="11" t="e">
        <f>Исходн.данные.!$AJ111*Расчет2!AO111</f>
        <v>#VALUE!</v>
      </c>
      <c r="AN111" s="11">
        <f>Исходн.данные.!$AJ111*Расчет2!AP111</f>
        <v>0</v>
      </c>
      <c r="AO111" s="25" t="str">
        <f>IF(Расчет!BF111=0,"X",Расчет!BF111)</f>
        <v>X</v>
      </c>
      <c r="AP111" s="25">
        <f>Расчет!BG111</f>
        <v>0</v>
      </c>
      <c r="AQ111" s="9">
        <f>IF(Расчет!BL111&lt;0,0,Расчет!BL111)</f>
        <v>0</v>
      </c>
      <c r="AR111" s="25">
        <f>IF(Расчет!BM111&lt;0,0,Расчет!BM111)</f>
        <v>0</v>
      </c>
      <c r="AS111" s="25">
        <f>IF(Расчет!BN111&lt;0,0,Расчет!BN111)</f>
        <v>0</v>
      </c>
      <c r="AT111" s="25">
        <f>Расчет!BY111</f>
        <v>0</v>
      </c>
      <c r="AU111" s="25">
        <f>Расчет!BZ111</f>
        <v>10</v>
      </c>
      <c r="AV111" s="25">
        <f>Расчет!CA111</f>
        <v>0</v>
      </c>
      <c r="AW111" s="25" t="str">
        <f>Расчет!CH111</f>
        <v>Аммофос 12:52:00</v>
      </c>
      <c r="AX111" s="25">
        <f>Расчет!DB111</f>
        <v>0</v>
      </c>
      <c r="AY111" s="25">
        <f>Расчет!DC111</f>
        <v>0</v>
      </c>
      <c r="AZ111" s="25">
        <f>Расчет!DG111</f>
        <v>0</v>
      </c>
      <c r="BA111" s="25">
        <f>Расчет!DH111</f>
        <v>0</v>
      </c>
      <c r="BB111" s="25">
        <f>Расчет!DI111</f>
        <v>0</v>
      </c>
      <c r="BC111" s="25" t="str">
        <f>Расчет!DR111</f>
        <v>Нет</v>
      </c>
      <c r="BD111" s="25">
        <f>Расчет!EB111</f>
        <v>0</v>
      </c>
      <c r="BE111" s="25">
        <f>Расчет!EF111</f>
        <v>0</v>
      </c>
      <c r="BF111" s="25" t="e">
        <f>Расчет!EI111</f>
        <v>#DIV/0!</v>
      </c>
      <c r="BG111" s="25" t="e">
        <f>Расчет!FA111</f>
        <v>#N/A</v>
      </c>
      <c r="BI111">
        <f>IF(Исходн.данные.!AH111=Исходн.данные.!$AC$4,0.6,1)</f>
        <v>1</v>
      </c>
      <c r="BJ111">
        <f>IF(Исходн.данные.!AH111=Исходн.данные.!$AC$4,0.8,IF(OR(Потребность!F111=Расчет2!$BI$10,Потребность!F111=Расчет2!$BI$7,Потребность!F111=Расчет2!$BK$14,Исходн.данные.!AI111=Исходн.данные.!$AI$11),1.3,1))</f>
        <v>1.3</v>
      </c>
      <c r="BK111">
        <f>IF(OR(Исходн.данные.!AH111=Исходн.данные.!$AD$7,Исходн.данные.!AH111=Исходн.данные.!$AD$8),0.75,1)</f>
        <v>1</v>
      </c>
    </row>
    <row r="112" spans="32:63" x14ac:dyDescent="0.2">
      <c r="AF112">
        <f>SUM(Исходн.данные.!AD112:AF112)</f>
        <v>0</v>
      </c>
      <c r="AG112" s="60">
        <f>SUM(Расчет!CI112:CK112)</f>
        <v>0.64</v>
      </c>
      <c r="AH112" s="60">
        <f>SUM(Расчет!DS112:DU112)</f>
        <v>0</v>
      </c>
      <c r="AI112" t="e">
        <f t="shared" si="2"/>
        <v>#N/A</v>
      </c>
      <c r="AJ112" t="e">
        <f t="shared" si="3"/>
        <v>#N/A</v>
      </c>
      <c r="AL112">
        <f>Потребность!G112*Потребность!H112</f>
        <v>0</v>
      </c>
      <c r="AM112" s="11" t="e">
        <f>Исходн.данные.!$AJ112*Расчет2!AO112</f>
        <v>#VALUE!</v>
      </c>
      <c r="AN112" s="11">
        <f>Исходн.данные.!$AJ112*Расчет2!AP112</f>
        <v>0</v>
      </c>
      <c r="AO112" s="25" t="str">
        <f>IF(Расчет!BF112=0,"X",Расчет!BF112)</f>
        <v>X</v>
      </c>
      <c r="AP112" s="25">
        <f>Расчет!BG112</f>
        <v>0</v>
      </c>
      <c r="AQ112" s="9">
        <f>IF(Расчет!BL112&lt;0,0,Расчет!BL112)</f>
        <v>0</v>
      </c>
      <c r="AR112" s="25">
        <f>IF(Расчет!BM112&lt;0,0,Расчет!BM112)</f>
        <v>0</v>
      </c>
      <c r="AS112" s="25">
        <f>IF(Расчет!BN112&lt;0,0,Расчет!BN112)</f>
        <v>0</v>
      </c>
      <c r="AT112" s="25">
        <f>Расчет!BY112</f>
        <v>0</v>
      </c>
      <c r="AU112" s="25">
        <f>Расчет!BZ112</f>
        <v>10</v>
      </c>
      <c r="AV112" s="25">
        <f>Расчет!CA112</f>
        <v>0</v>
      </c>
      <c r="AW112" s="25" t="str">
        <f>Расчет!CH112</f>
        <v>Аммофос 12:52:00</v>
      </c>
      <c r="AX112" s="25">
        <f>Расчет!DB112</f>
        <v>0</v>
      </c>
      <c r="AY112" s="25">
        <f>Расчет!DC112</f>
        <v>0</v>
      </c>
      <c r="AZ112" s="25">
        <f>Расчет!DG112</f>
        <v>0</v>
      </c>
      <c r="BA112" s="25">
        <f>Расчет!DH112</f>
        <v>0</v>
      </c>
      <c r="BB112" s="25">
        <f>Расчет!DI112</f>
        <v>0</v>
      </c>
      <c r="BC112" s="25" t="str">
        <f>Расчет!DR112</f>
        <v>Нет</v>
      </c>
      <c r="BD112" s="25">
        <f>Расчет!EB112</f>
        <v>0</v>
      </c>
      <c r="BE112" s="25">
        <f>Расчет!EF112</f>
        <v>0</v>
      </c>
      <c r="BF112" s="25" t="e">
        <f>Расчет!EI112</f>
        <v>#DIV/0!</v>
      </c>
      <c r="BG112" s="25" t="e">
        <f>Расчет!FA112</f>
        <v>#N/A</v>
      </c>
      <c r="BI112">
        <f>IF(Исходн.данные.!AH112=Исходн.данные.!$AC$4,0.6,1)</f>
        <v>1</v>
      </c>
      <c r="BJ112">
        <f>IF(Исходн.данные.!AH112=Исходн.данные.!$AC$4,0.8,IF(OR(Потребность!F112=Расчет2!$BI$10,Потребность!F112=Расчет2!$BI$7,Потребность!F112=Расчет2!$BK$14,Исходн.данные.!AI112=Исходн.данные.!$AI$11),1.3,1))</f>
        <v>1.3</v>
      </c>
      <c r="BK112">
        <f>IF(OR(Исходн.данные.!AH112=Исходн.данные.!$AD$7,Исходн.данные.!AH112=Исходн.данные.!$AD$8),0.75,1)</f>
        <v>1</v>
      </c>
    </row>
    <row r="113" spans="32:63" x14ac:dyDescent="0.2">
      <c r="AF113">
        <f>SUM(Исходн.данные.!AD113:AF113)</f>
        <v>0</v>
      </c>
      <c r="AG113" s="60">
        <f>SUM(Расчет!CI113:CK113)</f>
        <v>0.64</v>
      </c>
      <c r="AH113" s="60">
        <f>SUM(Расчет!DS113:DU113)</f>
        <v>0</v>
      </c>
      <c r="AI113" t="e">
        <f t="shared" si="2"/>
        <v>#N/A</v>
      </c>
      <c r="AJ113" t="e">
        <f t="shared" si="3"/>
        <v>#N/A</v>
      </c>
      <c r="AL113">
        <f>Потребность!G113*Потребность!H113</f>
        <v>0</v>
      </c>
      <c r="AM113" s="11" t="e">
        <f>Исходн.данные.!$AJ113*Расчет2!AO113</f>
        <v>#VALUE!</v>
      </c>
      <c r="AN113" s="11">
        <f>Исходн.данные.!$AJ113*Расчет2!AP113</f>
        <v>0</v>
      </c>
      <c r="AO113" s="25" t="str">
        <f>IF(Расчет!BF113=0,"X",Расчет!BF113)</f>
        <v>X</v>
      </c>
      <c r="AP113" s="25">
        <f>Расчет!BG113</f>
        <v>0</v>
      </c>
      <c r="AQ113" s="9">
        <f>IF(Расчет!BL113&lt;0,0,Расчет!BL113)</f>
        <v>0</v>
      </c>
      <c r="AR113" s="25">
        <f>IF(Расчет!BM113&lt;0,0,Расчет!BM113)</f>
        <v>0</v>
      </c>
      <c r="AS113" s="25">
        <f>IF(Расчет!BN113&lt;0,0,Расчет!BN113)</f>
        <v>0</v>
      </c>
      <c r="AT113" s="25">
        <f>Расчет!BY113</f>
        <v>0</v>
      </c>
      <c r="AU113" s="25">
        <f>Расчет!BZ113</f>
        <v>10</v>
      </c>
      <c r="AV113" s="25">
        <f>Расчет!CA113</f>
        <v>0</v>
      </c>
      <c r="AW113" s="25" t="str">
        <f>Расчет!CH113</f>
        <v>Аммофос 12:52:00</v>
      </c>
      <c r="AX113" s="25">
        <f>Расчет!DB113</f>
        <v>0</v>
      </c>
      <c r="AY113" s="25">
        <f>Расчет!DC113</f>
        <v>0</v>
      </c>
      <c r="AZ113" s="25">
        <f>Расчет!DG113</f>
        <v>0</v>
      </c>
      <c r="BA113" s="25">
        <f>Расчет!DH113</f>
        <v>0</v>
      </c>
      <c r="BB113" s="25">
        <f>Расчет!DI113</f>
        <v>0</v>
      </c>
      <c r="BC113" s="25" t="str">
        <f>Расчет!DR113</f>
        <v>Нет</v>
      </c>
      <c r="BD113" s="25">
        <f>Расчет!EB113</f>
        <v>0</v>
      </c>
      <c r="BE113" s="25">
        <f>Расчет!EF113</f>
        <v>0</v>
      </c>
      <c r="BF113" s="25" t="e">
        <f>Расчет!EI113</f>
        <v>#DIV/0!</v>
      </c>
      <c r="BG113" s="25" t="e">
        <f>Расчет!FA113</f>
        <v>#N/A</v>
      </c>
      <c r="BI113">
        <f>IF(Исходн.данные.!AH113=Исходн.данные.!$AC$4,0.6,1)</f>
        <v>1</v>
      </c>
      <c r="BJ113">
        <f>IF(Исходн.данные.!AH113=Исходн.данные.!$AC$4,0.8,IF(OR(Потребность!F113=Расчет2!$BI$10,Потребность!F113=Расчет2!$BI$7,Потребность!F113=Расчет2!$BK$14,Исходн.данные.!AI113=Исходн.данные.!$AI$11),1.3,1))</f>
        <v>1.3</v>
      </c>
      <c r="BK113">
        <f>IF(OR(Исходн.данные.!AH113=Исходн.данные.!$AD$7,Исходн.данные.!AH113=Исходн.данные.!$AD$8),0.75,1)</f>
        <v>1</v>
      </c>
    </row>
    <row r="114" spans="32:63" x14ac:dyDescent="0.2">
      <c r="AF114">
        <f>SUM(Исходн.данные.!AD114:AF114)</f>
        <v>0</v>
      </c>
      <c r="AG114" s="60">
        <f>SUM(Расчет!CI114:CK114)</f>
        <v>0.64</v>
      </c>
      <c r="AH114" s="60">
        <f>SUM(Расчет!DS114:DU114)</f>
        <v>0</v>
      </c>
      <c r="AI114" t="e">
        <f t="shared" si="2"/>
        <v>#N/A</v>
      </c>
      <c r="AJ114" t="e">
        <f t="shared" si="3"/>
        <v>#N/A</v>
      </c>
      <c r="AL114">
        <f>Потребность!G114*Потребность!H114</f>
        <v>0</v>
      </c>
      <c r="AM114" s="11" t="e">
        <f>Исходн.данные.!$AJ114*Расчет2!AO114</f>
        <v>#VALUE!</v>
      </c>
      <c r="AN114" s="11">
        <f>Исходн.данные.!$AJ114*Расчет2!AP114</f>
        <v>0</v>
      </c>
      <c r="AO114" s="25" t="str">
        <f>IF(Расчет!BF114=0,"X",Расчет!BF114)</f>
        <v>X</v>
      </c>
      <c r="AP114" s="25">
        <f>Расчет!BG114</f>
        <v>0</v>
      </c>
      <c r="AQ114" s="9">
        <f>IF(Расчет!BL114&lt;0,0,Расчет!BL114)</f>
        <v>0</v>
      </c>
      <c r="AR114" s="25">
        <f>IF(Расчет!BM114&lt;0,0,Расчет!BM114)</f>
        <v>0</v>
      </c>
      <c r="AS114" s="25">
        <f>IF(Расчет!BN114&lt;0,0,Расчет!BN114)</f>
        <v>0</v>
      </c>
      <c r="AT114" s="25">
        <f>Расчет!BY114</f>
        <v>0</v>
      </c>
      <c r="AU114" s="25">
        <f>Расчет!BZ114</f>
        <v>10</v>
      </c>
      <c r="AV114" s="25">
        <f>Расчет!CA114</f>
        <v>0</v>
      </c>
      <c r="AW114" s="25" t="str">
        <f>Расчет!CH114</f>
        <v>Аммофос 12:52:00</v>
      </c>
      <c r="AX114" s="25">
        <f>Расчет!DB114</f>
        <v>0</v>
      </c>
      <c r="AY114" s="25">
        <f>Расчет!DC114</f>
        <v>0</v>
      </c>
      <c r="AZ114" s="25">
        <f>Расчет!DG114</f>
        <v>0</v>
      </c>
      <c r="BA114" s="25">
        <f>Расчет!DH114</f>
        <v>0</v>
      </c>
      <c r="BB114" s="25">
        <f>Расчет!DI114</f>
        <v>0</v>
      </c>
      <c r="BC114" s="25" t="str">
        <f>Расчет!DR114</f>
        <v>Нет</v>
      </c>
      <c r="BD114" s="25">
        <f>Расчет!EB114</f>
        <v>0</v>
      </c>
      <c r="BE114" s="25">
        <f>Расчет!EF114</f>
        <v>0</v>
      </c>
      <c r="BF114" s="25" t="e">
        <f>Расчет!EI114</f>
        <v>#DIV/0!</v>
      </c>
      <c r="BG114" s="25" t="e">
        <f>Расчет!FA114</f>
        <v>#N/A</v>
      </c>
      <c r="BI114">
        <f>IF(Исходн.данные.!AH114=Исходн.данные.!$AC$4,0.6,1)</f>
        <v>1</v>
      </c>
      <c r="BJ114">
        <f>IF(Исходн.данные.!AH114=Исходн.данные.!$AC$4,0.8,IF(OR(Потребность!F114=Расчет2!$BI$10,Потребность!F114=Расчет2!$BI$7,Потребность!F114=Расчет2!$BK$14,Исходн.данные.!AI114=Исходн.данные.!$AI$11),1.3,1))</f>
        <v>1.3</v>
      </c>
      <c r="BK114">
        <f>IF(OR(Исходн.данные.!AH114=Исходн.данные.!$AD$7,Исходн.данные.!AH114=Исходн.данные.!$AD$8),0.75,1)</f>
        <v>1</v>
      </c>
    </row>
    <row r="115" spans="32:63" x14ac:dyDescent="0.2">
      <c r="AF115">
        <f>SUM(Исходн.данные.!AD115:AF115)</f>
        <v>0</v>
      </c>
      <c r="AG115" s="60">
        <f>SUM(Расчет!CI115:CK115)</f>
        <v>0.64</v>
      </c>
      <c r="AH115" s="60">
        <f>SUM(Расчет!DS115:DU115)</f>
        <v>0</v>
      </c>
      <c r="AI115" t="e">
        <f t="shared" si="2"/>
        <v>#N/A</v>
      </c>
      <c r="AJ115" t="e">
        <f t="shared" si="3"/>
        <v>#N/A</v>
      </c>
      <c r="AL115">
        <f>Потребность!G115*Потребность!H115</f>
        <v>0</v>
      </c>
      <c r="AM115" s="11" t="e">
        <f>Исходн.данные.!$AJ115*Расчет2!AO115</f>
        <v>#VALUE!</v>
      </c>
      <c r="AN115" s="11">
        <f>Исходн.данные.!$AJ115*Расчет2!AP115</f>
        <v>0</v>
      </c>
      <c r="AO115" s="25" t="str">
        <f>IF(Расчет!BF115=0,"X",Расчет!BF115)</f>
        <v>X</v>
      </c>
      <c r="AP115" s="25">
        <f>Расчет!BG115</f>
        <v>0</v>
      </c>
      <c r="AQ115" s="9">
        <f>IF(Расчет!BL115&lt;0,0,Расчет!BL115)</f>
        <v>0</v>
      </c>
      <c r="AR115" s="25">
        <f>IF(Расчет!BM115&lt;0,0,Расчет!BM115)</f>
        <v>0</v>
      </c>
      <c r="AS115" s="25">
        <f>IF(Расчет!BN115&lt;0,0,Расчет!BN115)</f>
        <v>0</v>
      </c>
      <c r="AT115" s="25">
        <f>Расчет!BY115</f>
        <v>0</v>
      </c>
      <c r="AU115" s="25">
        <f>Расчет!BZ115</f>
        <v>10</v>
      </c>
      <c r="AV115" s="25">
        <f>Расчет!CA115</f>
        <v>0</v>
      </c>
      <c r="AW115" s="25" t="str">
        <f>Расчет!CH115</f>
        <v>Аммофос 12:52:00</v>
      </c>
      <c r="AX115" s="25">
        <f>Расчет!DB115</f>
        <v>0</v>
      </c>
      <c r="AY115" s="25">
        <f>Расчет!DC115</f>
        <v>0</v>
      </c>
      <c r="AZ115" s="25">
        <f>Расчет!DG115</f>
        <v>0</v>
      </c>
      <c r="BA115" s="25">
        <f>Расчет!DH115</f>
        <v>0</v>
      </c>
      <c r="BB115" s="25">
        <f>Расчет!DI115</f>
        <v>0</v>
      </c>
      <c r="BC115" s="25" t="str">
        <f>Расчет!DR115</f>
        <v>Нет</v>
      </c>
      <c r="BD115" s="25">
        <f>Расчет!EB115</f>
        <v>0</v>
      </c>
      <c r="BE115" s="25">
        <f>Расчет!EF115</f>
        <v>0</v>
      </c>
      <c r="BF115" s="25" t="e">
        <f>Расчет!EI115</f>
        <v>#DIV/0!</v>
      </c>
      <c r="BG115" s="25" t="e">
        <f>Расчет!FA115</f>
        <v>#N/A</v>
      </c>
      <c r="BI115">
        <f>IF(Исходн.данные.!AH115=Исходн.данные.!$AC$4,0.6,1)</f>
        <v>1</v>
      </c>
      <c r="BJ115">
        <f>IF(Исходн.данные.!AH115=Исходн.данные.!$AC$4,0.8,IF(OR(Потребность!F115=Расчет2!$BI$10,Потребность!F115=Расчет2!$BI$7,Потребность!F115=Расчет2!$BK$14,Исходн.данные.!AI115=Исходн.данные.!$AI$11),1.3,1))</f>
        <v>1.3</v>
      </c>
      <c r="BK115">
        <f>IF(OR(Исходн.данные.!AH115=Исходн.данные.!$AD$7,Исходн.данные.!AH115=Исходн.данные.!$AD$8),0.75,1)</f>
        <v>1</v>
      </c>
    </row>
    <row r="116" spans="32:63" x14ac:dyDescent="0.2">
      <c r="AF116">
        <f>SUM(Исходн.данные.!AD116:AF116)</f>
        <v>0</v>
      </c>
      <c r="AG116" s="60">
        <f>SUM(Расчет!CI116:CK116)</f>
        <v>0.64</v>
      </c>
      <c r="AH116" s="60">
        <f>SUM(Расчет!DS116:DU116)</f>
        <v>0</v>
      </c>
      <c r="AI116" t="e">
        <f t="shared" si="2"/>
        <v>#N/A</v>
      </c>
      <c r="AJ116" t="e">
        <f t="shared" si="3"/>
        <v>#N/A</v>
      </c>
      <c r="AL116">
        <f>Потребность!G116*Потребность!H116</f>
        <v>0</v>
      </c>
      <c r="AM116" s="11" t="e">
        <f>Исходн.данные.!$AJ116*Расчет2!AO116</f>
        <v>#VALUE!</v>
      </c>
      <c r="AN116" s="11">
        <f>Исходн.данные.!$AJ116*Расчет2!AP116</f>
        <v>0</v>
      </c>
      <c r="AO116" s="25" t="str">
        <f>IF(Расчет!BF116=0,"X",Расчет!BF116)</f>
        <v>X</v>
      </c>
      <c r="AP116" s="25">
        <f>Расчет!BG116</f>
        <v>0</v>
      </c>
      <c r="AQ116" s="9">
        <f>IF(Расчет!BL116&lt;0,0,Расчет!BL116)</f>
        <v>0</v>
      </c>
      <c r="AR116" s="25">
        <f>IF(Расчет!BM116&lt;0,0,Расчет!BM116)</f>
        <v>0</v>
      </c>
      <c r="AS116" s="25">
        <f>IF(Расчет!BN116&lt;0,0,Расчет!BN116)</f>
        <v>0</v>
      </c>
      <c r="AT116" s="25">
        <f>Расчет!BY116</f>
        <v>0</v>
      </c>
      <c r="AU116" s="25">
        <f>Расчет!BZ116</f>
        <v>10</v>
      </c>
      <c r="AV116" s="25">
        <f>Расчет!CA116</f>
        <v>0</v>
      </c>
      <c r="AW116" s="25" t="str">
        <f>Расчет!CH116</f>
        <v>Аммофос 12:52:00</v>
      </c>
      <c r="AX116" s="25">
        <f>Расчет!DB116</f>
        <v>0</v>
      </c>
      <c r="AY116" s="25">
        <f>Расчет!DC116</f>
        <v>0</v>
      </c>
      <c r="AZ116" s="25">
        <f>Расчет!DG116</f>
        <v>0</v>
      </c>
      <c r="BA116" s="25">
        <f>Расчет!DH116</f>
        <v>0</v>
      </c>
      <c r="BB116" s="25">
        <f>Расчет!DI116</f>
        <v>0</v>
      </c>
      <c r="BC116" s="25" t="str">
        <f>Расчет!DR116</f>
        <v>Нет</v>
      </c>
      <c r="BD116" s="25">
        <f>Расчет!EB116</f>
        <v>0</v>
      </c>
      <c r="BE116" s="25">
        <f>Расчет!EF116</f>
        <v>0</v>
      </c>
      <c r="BF116" s="25" t="e">
        <f>Расчет!EI116</f>
        <v>#DIV/0!</v>
      </c>
      <c r="BG116" s="25" t="e">
        <f>Расчет!FA116</f>
        <v>#N/A</v>
      </c>
      <c r="BI116">
        <f>IF(Исходн.данные.!AH116=Исходн.данные.!$AC$4,0.6,1)</f>
        <v>1</v>
      </c>
      <c r="BJ116">
        <f>IF(Исходн.данные.!AH116=Исходн.данные.!$AC$4,0.8,IF(OR(Потребность!F116=Расчет2!$BI$10,Потребность!F116=Расчет2!$BI$7,Потребность!F116=Расчет2!$BK$14,Исходн.данные.!AI116=Исходн.данные.!$AI$11),1.3,1))</f>
        <v>1.3</v>
      </c>
      <c r="BK116">
        <f>IF(OR(Исходн.данные.!AH116=Исходн.данные.!$AD$7,Исходн.данные.!AH116=Исходн.данные.!$AD$8),0.75,1)</f>
        <v>1</v>
      </c>
    </row>
    <row r="117" spans="32:63" x14ac:dyDescent="0.2">
      <c r="AF117">
        <f>SUM(Исходн.данные.!AD117:AF117)</f>
        <v>0</v>
      </c>
      <c r="AG117" s="60">
        <f>SUM(Расчет!CI117:CK117)</f>
        <v>0.64</v>
      </c>
      <c r="AH117" s="60">
        <f>SUM(Расчет!DS117:DU117)</f>
        <v>0</v>
      </c>
      <c r="AI117" t="e">
        <f t="shared" si="2"/>
        <v>#N/A</v>
      </c>
      <c r="AJ117" t="e">
        <f t="shared" si="3"/>
        <v>#N/A</v>
      </c>
      <c r="AL117">
        <f>Потребность!G117*Потребность!H117</f>
        <v>0</v>
      </c>
      <c r="AM117" s="11" t="e">
        <f>Исходн.данные.!$AJ117*Расчет2!AO117</f>
        <v>#VALUE!</v>
      </c>
      <c r="AN117" s="11">
        <f>Исходн.данные.!$AJ117*Расчет2!AP117</f>
        <v>0</v>
      </c>
      <c r="AO117" s="25" t="str">
        <f>IF(Расчет!BF117=0,"X",Расчет!BF117)</f>
        <v>X</v>
      </c>
      <c r="AP117" s="25">
        <f>Расчет!BG117</f>
        <v>0</v>
      </c>
      <c r="AQ117" s="9">
        <f>IF(Расчет!BL117&lt;0,0,Расчет!BL117)</f>
        <v>0</v>
      </c>
      <c r="AR117" s="25">
        <f>IF(Расчет!BM117&lt;0,0,Расчет!BM117)</f>
        <v>0</v>
      </c>
      <c r="AS117" s="25">
        <f>IF(Расчет!BN117&lt;0,0,Расчет!BN117)</f>
        <v>0</v>
      </c>
      <c r="AT117" s="25">
        <f>Расчет!BY117</f>
        <v>0</v>
      </c>
      <c r="AU117" s="25">
        <f>Расчет!BZ117</f>
        <v>10</v>
      </c>
      <c r="AV117" s="25">
        <f>Расчет!CA117</f>
        <v>0</v>
      </c>
      <c r="AW117" s="25" t="str">
        <f>Расчет!CH117</f>
        <v>Аммофос 12:52:00</v>
      </c>
      <c r="AX117" s="25">
        <f>Расчет!DB117</f>
        <v>0</v>
      </c>
      <c r="AY117" s="25">
        <f>Расчет!DC117</f>
        <v>0</v>
      </c>
      <c r="AZ117" s="25">
        <f>Расчет!DG117</f>
        <v>0</v>
      </c>
      <c r="BA117" s="25">
        <f>Расчет!DH117</f>
        <v>0</v>
      </c>
      <c r="BB117" s="25">
        <f>Расчет!DI117</f>
        <v>0</v>
      </c>
      <c r="BC117" s="25" t="str">
        <f>Расчет!DR117</f>
        <v>Нет</v>
      </c>
      <c r="BD117" s="25">
        <f>Расчет!EB117</f>
        <v>0</v>
      </c>
      <c r="BE117" s="25">
        <f>Расчет!EF117</f>
        <v>0</v>
      </c>
      <c r="BF117" s="25" t="e">
        <f>Расчет!EI117</f>
        <v>#DIV/0!</v>
      </c>
      <c r="BG117" s="25" t="e">
        <f>Расчет!FA117</f>
        <v>#N/A</v>
      </c>
      <c r="BI117">
        <f>IF(Исходн.данные.!AH117=Исходн.данные.!$AC$4,0.6,1)</f>
        <v>1</v>
      </c>
      <c r="BJ117">
        <f>IF(Исходн.данные.!AH117=Исходн.данные.!$AC$4,0.8,IF(OR(Потребность!F117=Расчет2!$BI$10,Потребность!F117=Расчет2!$BI$7,Потребность!F117=Расчет2!$BK$14,Исходн.данные.!AI117=Исходн.данные.!$AI$11),1.3,1))</f>
        <v>1.3</v>
      </c>
      <c r="BK117">
        <f>IF(OR(Исходн.данные.!AH117=Исходн.данные.!$AD$7,Исходн.данные.!AH117=Исходн.данные.!$AD$8),0.75,1)</f>
        <v>1</v>
      </c>
    </row>
    <row r="118" spans="32:63" x14ac:dyDescent="0.2">
      <c r="AF118">
        <f>SUM(Исходн.данные.!AD118:AF118)</f>
        <v>0</v>
      </c>
      <c r="AG118" s="60">
        <f>SUM(Расчет!CI118:CK118)</f>
        <v>0.64</v>
      </c>
      <c r="AH118" s="60">
        <f>SUM(Расчет!DS118:DU118)</f>
        <v>0</v>
      </c>
      <c r="AI118" t="e">
        <f t="shared" si="2"/>
        <v>#N/A</v>
      </c>
      <c r="AJ118" t="e">
        <f t="shared" si="3"/>
        <v>#N/A</v>
      </c>
      <c r="AL118">
        <f>Потребность!G118*Потребность!H118</f>
        <v>0</v>
      </c>
      <c r="AM118" s="11" t="e">
        <f>Исходн.данные.!$AJ118*Расчет2!AO118</f>
        <v>#VALUE!</v>
      </c>
      <c r="AN118" s="11">
        <f>Исходн.данные.!$AJ118*Расчет2!AP118</f>
        <v>0</v>
      </c>
      <c r="AO118" s="25" t="str">
        <f>IF(Расчет!BF118=0,"X",Расчет!BF118)</f>
        <v>X</v>
      </c>
      <c r="AP118" s="25">
        <f>Расчет!BG118</f>
        <v>0</v>
      </c>
      <c r="AQ118" s="9">
        <f>IF(Расчет!BL118&lt;0,0,Расчет!BL118)</f>
        <v>0</v>
      </c>
      <c r="AR118" s="25">
        <f>IF(Расчет!BM118&lt;0,0,Расчет!BM118)</f>
        <v>0</v>
      </c>
      <c r="AS118" s="25">
        <f>IF(Расчет!BN118&lt;0,0,Расчет!BN118)</f>
        <v>0</v>
      </c>
      <c r="AT118" s="25">
        <f>Расчет!BY118</f>
        <v>0</v>
      </c>
      <c r="AU118" s="25">
        <f>Расчет!BZ118</f>
        <v>10</v>
      </c>
      <c r="AV118" s="25">
        <f>Расчет!CA118</f>
        <v>0</v>
      </c>
      <c r="AW118" s="25" t="str">
        <f>Расчет!CH118</f>
        <v>Аммофос 12:52:00</v>
      </c>
      <c r="AX118" s="25">
        <f>Расчет!DB118</f>
        <v>0</v>
      </c>
      <c r="AY118" s="25">
        <f>Расчет!DC118</f>
        <v>0</v>
      </c>
      <c r="AZ118" s="25">
        <f>Расчет!DG118</f>
        <v>0</v>
      </c>
      <c r="BA118" s="25">
        <f>Расчет!DH118</f>
        <v>0</v>
      </c>
      <c r="BB118" s="25">
        <f>Расчет!DI118</f>
        <v>0</v>
      </c>
      <c r="BC118" s="25" t="str">
        <f>Расчет!DR118</f>
        <v>Нет</v>
      </c>
      <c r="BD118" s="25">
        <f>Расчет!EB118</f>
        <v>0</v>
      </c>
      <c r="BE118" s="25">
        <f>Расчет!EF118</f>
        <v>0</v>
      </c>
      <c r="BF118" s="25" t="e">
        <f>Расчет!EI118</f>
        <v>#DIV/0!</v>
      </c>
      <c r="BG118" s="25" t="e">
        <f>Расчет!FA118</f>
        <v>#N/A</v>
      </c>
      <c r="BI118">
        <f>IF(Исходн.данные.!AH118=Исходн.данные.!$AC$4,0.6,1)</f>
        <v>1</v>
      </c>
      <c r="BJ118">
        <f>IF(Исходн.данные.!AH118=Исходн.данные.!$AC$4,0.8,IF(OR(Потребность!F118=Расчет2!$BI$10,Потребность!F118=Расчет2!$BI$7,Потребность!F118=Расчет2!$BK$14,Исходн.данные.!AI118=Исходн.данные.!$AI$11),1.3,1))</f>
        <v>1.3</v>
      </c>
      <c r="BK118">
        <f>IF(OR(Исходн.данные.!AH118=Исходн.данные.!$AD$7,Исходн.данные.!AH118=Исходн.данные.!$AD$8),0.75,1)</f>
        <v>1</v>
      </c>
    </row>
    <row r="119" spans="32:63" x14ac:dyDescent="0.2">
      <c r="AF119">
        <f>SUM(Исходн.данные.!AD119:AF119)</f>
        <v>0</v>
      </c>
      <c r="AG119" s="60">
        <f>SUM(Расчет!CI119:CK119)</f>
        <v>0.64</v>
      </c>
      <c r="AH119" s="60">
        <f>SUM(Расчет!DS119:DU119)</f>
        <v>0</v>
      </c>
      <c r="AI119" t="e">
        <f t="shared" si="2"/>
        <v>#N/A</v>
      </c>
      <c r="AJ119" t="e">
        <f t="shared" si="3"/>
        <v>#N/A</v>
      </c>
      <c r="AL119">
        <f>Потребность!G119*Потребность!H119</f>
        <v>0</v>
      </c>
      <c r="AM119" s="11" t="e">
        <f>Исходн.данные.!$AJ119*Расчет2!AO119</f>
        <v>#VALUE!</v>
      </c>
      <c r="AN119" s="11">
        <f>Исходн.данные.!$AJ119*Расчет2!AP119</f>
        <v>0</v>
      </c>
      <c r="AO119" s="25" t="str">
        <f>IF(Расчет!BF119=0,"X",Расчет!BF119)</f>
        <v>X</v>
      </c>
      <c r="AP119" s="25">
        <f>Расчет!BG119</f>
        <v>0</v>
      </c>
      <c r="AQ119" s="9">
        <f>IF(Расчет!BL119&lt;0,0,Расчет!BL119)</f>
        <v>0</v>
      </c>
      <c r="AR119" s="25">
        <f>IF(Расчет!BM119&lt;0,0,Расчет!BM119)</f>
        <v>0</v>
      </c>
      <c r="AS119" s="25">
        <f>IF(Расчет!BN119&lt;0,0,Расчет!BN119)</f>
        <v>0</v>
      </c>
      <c r="AT119" s="25">
        <f>Расчет!BY119</f>
        <v>0</v>
      </c>
      <c r="AU119" s="25">
        <f>Расчет!BZ119</f>
        <v>10</v>
      </c>
      <c r="AV119" s="25">
        <f>Расчет!CA119</f>
        <v>0</v>
      </c>
      <c r="AW119" s="25" t="str">
        <f>Расчет!CH119</f>
        <v>Аммофос 12:52:00</v>
      </c>
      <c r="AX119" s="25">
        <f>Расчет!DB119</f>
        <v>0</v>
      </c>
      <c r="AY119" s="25">
        <f>Расчет!DC119</f>
        <v>0</v>
      </c>
      <c r="AZ119" s="25">
        <f>Расчет!DG119</f>
        <v>0</v>
      </c>
      <c r="BA119" s="25">
        <f>Расчет!DH119</f>
        <v>0</v>
      </c>
      <c r="BB119" s="25">
        <f>Расчет!DI119</f>
        <v>0</v>
      </c>
      <c r="BC119" s="25" t="str">
        <f>Расчет!DR119</f>
        <v>Нет</v>
      </c>
      <c r="BD119" s="25">
        <f>Расчет!EB119</f>
        <v>0</v>
      </c>
      <c r="BE119" s="25">
        <f>Расчет!EF119</f>
        <v>0</v>
      </c>
      <c r="BF119" s="25" t="e">
        <f>Расчет!EI119</f>
        <v>#DIV/0!</v>
      </c>
      <c r="BG119" s="25" t="e">
        <f>Расчет!FA119</f>
        <v>#N/A</v>
      </c>
      <c r="BI119">
        <f>IF(Исходн.данные.!AH119=Исходн.данные.!$AC$4,0.6,1)</f>
        <v>1</v>
      </c>
      <c r="BJ119">
        <f>IF(Исходн.данные.!AH119=Исходн.данные.!$AC$4,0.8,IF(OR(Потребность!F119=Расчет2!$BI$10,Потребность!F119=Расчет2!$BI$7,Потребность!F119=Расчет2!$BK$14,Исходн.данные.!AI119=Исходн.данные.!$AI$11),1.3,1))</f>
        <v>1.3</v>
      </c>
      <c r="BK119">
        <f>IF(OR(Исходн.данные.!AH119=Исходн.данные.!$AD$7,Исходн.данные.!AH119=Исходн.данные.!$AD$8),0.75,1)</f>
        <v>1</v>
      </c>
    </row>
    <row r="120" spans="32:63" x14ac:dyDescent="0.2">
      <c r="AF120">
        <f>SUM(Исходн.данные.!AD120:AF120)</f>
        <v>0</v>
      </c>
      <c r="AG120" s="60">
        <f>SUM(Расчет!CI120:CK120)</f>
        <v>0.64</v>
      </c>
      <c r="AH120" s="60">
        <f>SUM(Расчет!DS120:DU120)</f>
        <v>0</v>
      </c>
      <c r="AI120" t="e">
        <f t="shared" si="2"/>
        <v>#N/A</v>
      </c>
      <c r="AJ120" t="e">
        <f t="shared" si="3"/>
        <v>#N/A</v>
      </c>
      <c r="AL120">
        <f>Потребность!G120*Потребность!H120</f>
        <v>0</v>
      </c>
      <c r="AM120" s="11" t="e">
        <f>Исходн.данные.!$AJ120*Расчет2!AO120</f>
        <v>#VALUE!</v>
      </c>
      <c r="AN120" s="11">
        <f>Исходн.данные.!$AJ120*Расчет2!AP120</f>
        <v>0</v>
      </c>
      <c r="AO120" s="25" t="str">
        <f>IF(Расчет!BF120=0,"X",Расчет!BF120)</f>
        <v>X</v>
      </c>
      <c r="AP120" s="25">
        <f>Расчет!BG120</f>
        <v>0</v>
      </c>
      <c r="AQ120" s="9">
        <f>IF(Расчет!BL120&lt;0,0,Расчет!BL120)</f>
        <v>0</v>
      </c>
      <c r="AR120" s="25">
        <f>IF(Расчет!BM120&lt;0,0,Расчет!BM120)</f>
        <v>0</v>
      </c>
      <c r="AS120" s="25">
        <f>IF(Расчет!BN120&lt;0,0,Расчет!BN120)</f>
        <v>0</v>
      </c>
      <c r="AT120" s="25">
        <f>Расчет!BY120</f>
        <v>0</v>
      </c>
      <c r="AU120" s="25">
        <f>Расчет!BZ120</f>
        <v>10</v>
      </c>
      <c r="AV120" s="25">
        <f>Расчет!CA120</f>
        <v>0</v>
      </c>
      <c r="AW120" s="25" t="str">
        <f>Расчет!CH120</f>
        <v>Аммофос 12:52:00</v>
      </c>
      <c r="AX120" s="25">
        <f>Расчет!DB120</f>
        <v>0</v>
      </c>
      <c r="AY120" s="25">
        <f>Расчет!DC120</f>
        <v>0</v>
      </c>
      <c r="AZ120" s="25">
        <f>Расчет!DG120</f>
        <v>0</v>
      </c>
      <c r="BA120" s="25">
        <f>Расчет!DH120</f>
        <v>0</v>
      </c>
      <c r="BB120" s="25">
        <f>Расчет!DI120</f>
        <v>0</v>
      </c>
      <c r="BC120" s="25" t="str">
        <f>Расчет!DR120</f>
        <v>Нет</v>
      </c>
      <c r="BD120" s="25">
        <f>Расчет!EB120</f>
        <v>0</v>
      </c>
      <c r="BE120" s="25">
        <f>Расчет!EF120</f>
        <v>0</v>
      </c>
      <c r="BF120" s="25" t="e">
        <f>Расчет!EI120</f>
        <v>#DIV/0!</v>
      </c>
      <c r="BG120" s="25" t="e">
        <f>Расчет!FA120</f>
        <v>#N/A</v>
      </c>
      <c r="BI120">
        <f>IF(Исходн.данные.!AH120=Исходн.данные.!$AC$4,0.6,1)</f>
        <v>1</v>
      </c>
      <c r="BJ120">
        <f>IF(Исходн.данные.!AH120=Исходн.данные.!$AC$4,0.8,IF(OR(Потребность!F120=Расчет2!$BI$10,Потребность!F120=Расчет2!$BI$7,Потребность!F120=Расчет2!$BK$14,Исходн.данные.!AI120=Исходн.данные.!$AI$11),1.3,1))</f>
        <v>1.3</v>
      </c>
      <c r="BK120">
        <f>IF(OR(Исходн.данные.!AH120=Исходн.данные.!$AD$7,Исходн.данные.!AH120=Исходн.данные.!$AD$8),0.75,1)</f>
        <v>1</v>
      </c>
    </row>
    <row r="121" spans="32:63" x14ac:dyDescent="0.2">
      <c r="AF121">
        <f>SUM(Исходн.данные.!AD121:AF121)</f>
        <v>0</v>
      </c>
      <c r="AG121" s="60">
        <f>SUM(Расчет!CI121:CK121)</f>
        <v>0.64</v>
      </c>
      <c r="AH121" s="60">
        <f>SUM(Расчет!DS121:DU121)</f>
        <v>0</v>
      </c>
      <c r="AI121" t="e">
        <f t="shared" si="2"/>
        <v>#N/A</v>
      </c>
      <c r="AJ121" t="e">
        <f t="shared" si="3"/>
        <v>#N/A</v>
      </c>
      <c r="AL121">
        <f>Потребность!G121*Потребность!H121</f>
        <v>0</v>
      </c>
      <c r="AM121" s="11" t="e">
        <f>Исходн.данные.!$AJ121*Расчет2!AO121</f>
        <v>#VALUE!</v>
      </c>
      <c r="AN121" s="11">
        <f>Исходн.данные.!$AJ121*Расчет2!AP121</f>
        <v>0</v>
      </c>
      <c r="AO121" s="25" t="str">
        <f>IF(Расчет!BF121=0,"X",Расчет!BF121)</f>
        <v>X</v>
      </c>
      <c r="AP121" s="25">
        <f>Расчет!BG121</f>
        <v>0</v>
      </c>
      <c r="AQ121" s="9">
        <f>IF(Расчет!BL121&lt;0,0,Расчет!BL121)</f>
        <v>0</v>
      </c>
      <c r="AR121" s="25">
        <f>IF(Расчет!BM121&lt;0,0,Расчет!BM121)</f>
        <v>0</v>
      </c>
      <c r="AS121" s="25">
        <f>IF(Расчет!BN121&lt;0,0,Расчет!BN121)</f>
        <v>0</v>
      </c>
      <c r="AT121" s="25">
        <f>Расчет!BY121</f>
        <v>0</v>
      </c>
      <c r="AU121" s="25">
        <f>Расчет!BZ121</f>
        <v>10</v>
      </c>
      <c r="AV121" s="25">
        <f>Расчет!CA121</f>
        <v>0</v>
      </c>
      <c r="AW121" s="25" t="str">
        <f>Расчет!CH121</f>
        <v>Аммофос 12:52:00</v>
      </c>
      <c r="AX121" s="25">
        <f>Расчет!DB121</f>
        <v>0</v>
      </c>
      <c r="AY121" s="25">
        <f>Расчет!DC121</f>
        <v>0</v>
      </c>
      <c r="AZ121" s="25">
        <f>Расчет!DG121</f>
        <v>0</v>
      </c>
      <c r="BA121" s="25">
        <f>Расчет!DH121</f>
        <v>0</v>
      </c>
      <c r="BB121" s="25">
        <f>Расчет!DI121</f>
        <v>0</v>
      </c>
      <c r="BC121" s="25" t="str">
        <f>Расчет!DR121</f>
        <v>Нет</v>
      </c>
      <c r="BD121" s="25">
        <f>Расчет!EB121</f>
        <v>0</v>
      </c>
      <c r="BE121" s="25">
        <f>Расчет!EF121</f>
        <v>0</v>
      </c>
      <c r="BF121" s="25" t="e">
        <f>Расчет!EI121</f>
        <v>#DIV/0!</v>
      </c>
      <c r="BG121" s="25" t="e">
        <f>Расчет!FA121</f>
        <v>#N/A</v>
      </c>
      <c r="BI121">
        <f>IF(Исходн.данные.!AH121=Исходн.данные.!$AC$4,0.6,1)</f>
        <v>1</v>
      </c>
      <c r="BJ121">
        <f>IF(Исходн.данные.!AH121=Исходн.данные.!$AC$4,0.8,IF(OR(Потребность!F121=Расчет2!$BI$10,Потребность!F121=Расчет2!$BI$7,Потребность!F121=Расчет2!$BK$14,Исходн.данные.!AI121=Исходн.данные.!$AI$11),1.3,1))</f>
        <v>1.3</v>
      </c>
      <c r="BK121">
        <f>IF(OR(Исходн.данные.!AH121=Исходн.данные.!$AD$7,Исходн.данные.!AH121=Исходн.данные.!$AD$8),0.75,1)</f>
        <v>1</v>
      </c>
    </row>
    <row r="122" spans="32:63" x14ac:dyDescent="0.2">
      <c r="AF122">
        <f>SUM(Исходн.данные.!AD122:AF122)</f>
        <v>0</v>
      </c>
      <c r="AG122" s="60">
        <f>SUM(Расчет!CI122:CK122)</f>
        <v>0.64</v>
      </c>
      <c r="AH122" s="60">
        <f>SUM(Расчет!DS122:DU122)</f>
        <v>0</v>
      </c>
      <c r="AI122" t="e">
        <f t="shared" si="2"/>
        <v>#N/A</v>
      </c>
      <c r="AJ122" t="e">
        <f t="shared" si="3"/>
        <v>#N/A</v>
      </c>
      <c r="AL122">
        <f>Потребность!G122*Потребность!H122</f>
        <v>0</v>
      </c>
      <c r="AM122" s="11" t="e">
        <f>Исходн.данные.!$AJ122*Расчет2!AO122</f>
        <v>#VALUE!</v>
      </c>
      <c r="AN122" s="11">
        <f>Исходн.данные.!$AJ122*Расчет2!AP122</f>
        <v>0</v>
      </c>
      <c r="AO122" s="25" t="str">
        <f>IF(Расчет!BF122=0,"X",Расчет!BF122)</f>
        <v>X</v>
      </c>
      <c r="AP122" s="25">
        <f>Расчет!BG122</f>
        <v>0</v>
      </c>
      <c r="AQ122" s="9">
        <f>IF(Расчет!BL122&lt;0,0,Расчет!BL122)</f>
        <v>0</v>
      </c>
      <c r="AR122" s="25">
        <f>IF(Расчет!BM122&lt;0,0,Расчет!BM122)</f>
        <v>0</v>
      </c>
      <c r="AS122" s="25">
        <f>IF(Расчет!BN122&lt;0,0,Расчет!BN122)</f>
        <v>0</v>
      </c>
      <c r="AT122" s="25">
        <f>Расчет!BY122</f>
        <v>0</v>
      </c>
      <c r="AU122" s="25">
        <f>Расчет!BZ122</f>
        <v>10</v>
      </c>
      <c r="AV122" s="25">
        <f>Расчет!CA122</f>
        <v>0</v>
      </c>
      <c r="AW122" s="25" t="str">
        <f>Расчет!CH122</f>
        <v>Аммофос 12:52:00</v>
      </c>
      <c r="AX122" s="25">
        <f>Расчет!DB122</f>
        <v>0</v>
      </c>
      <c r="AY122" s="25">
        <f>Расчет!DC122</f>
        <v>0</v>
      </c>
      <c r="AZ122" s="25">
        <f>Расчет!DG122</f>
        <v>0</v>
      </c>
      <c r="BA122" s="25">
        <f>Расчет!DH122</f>
        <v>0</v>
      </c>
      <c r="BB122" s="25">
        <f>Расчет!DI122</f>
        <v>0</v>
      </c>
      <c r="BC122" s="25" t="str">
        <f>Расчет!DR122</f>
        <v>Нет</v>
      </c>
      <c r="BD122" s="25">
        <f>Расчет!EB122</f>
        <v>0</v>
      </c>
      <c r="BE122" s="25">
        <f>Расчет!EF122</f>
        <v>0</v>
      </c>
      <c r="BF122" s="25" t="e">
        <f>Расчет!EI122</f>
        <v>#DIV/0!</v>
      </c>
      <c r="BG122" s="25" t="e">
        <f>Расчет!FA122</f>
        <v>#N/A</v>
      </c>
      <c r="BI122">
        <f>IF(Исходн.данные.!AH122=Исходн.данные.!$AC$4,0.6,1)</f>
        <v>1</v>
      </c>
      <c r="BJ122">
        <f>IF(Исходн.данные.!AH122=Исходн.данные.!$AC$4,0.8,IF(OR(Потребность!F122=Расчет2!$BI$10,Потребность!F122=Расчет2!$BI$7,Потребность!F122=Расчет2!$BK$14,Исходн.данные.!AI122=Исходн.данные.!$AI$11),1.3,1))</f>
        <v>1.3</v>
      </c>
      <c r="BK122">
        <f>IF(OR(Исходн.данные.!AH122=Исходн.данные.!$AD$7,Исходн.данные.!AH122=Исходн.данные.!$AD$8),0.75,1)</f>
        <v>1</v>
      </c>
    </row>
    <row r="123" spans="32:63" x14ac:dyDescent="0.2">
      <c r="AF123">
        <f>SUM(Исходн.данные.!AD123:AF123)</f>
        <v>0</v>
      </c>
      <c r="AG123" s="60">
        <f>SUM(Расчет!CI123:CK123)</f>
        <v>0.64</v>
      </c>
      <c r="AH123" s="60">
        <f>SUM(Расчет!DS123:DU123)</f>
        <v>0</v>
      </c>
      <c r="AI123" t="e">
        <f t="shared" si="2"/>
        <v>#N/A</v>
      </c>
      <c r="AJ123" t="e">
        <f t="shared" si="3"/>
        <v>#N/A</v>
      </c>
      <c r="AL123">
        <f>Потребность!G123*Потребность!H123</f>
        <v>0</v>
      </c>
      <c r="AM123" s="11" t="e">
        <f>Исходн.данные.!$AJ123*Расчет2!AO123</f>
        <v>#VALUE!</v>
      </c>
      <c r="AN123" s="11">
        <f>Исходн.данные.!$AJ123*Расчет2!AP123</f>
        <v>0</v>
      </c>
      <c r="AO123" s="25" t="str">
        <f>IF(Расчет!BF123=0,"X",Расчет!BF123)</f>
        <v>X</v>
      </c>
      <c r="AP123" s="25">
        <f>Расчет!BG123</f>
        <v>0</v>
      </c>
      <c r="AQ123" s="9">
        <f>IF(Расчет!BL123&lt;0,0,Расчет!BL123)</f>
        <v>0</v>
      </c>
      <c r="AR123" s="25">
        <f>IF(Расчет!BM123&lt;0,0,Расчет!BM123)</f>
        <v>0</v>
      </c>
      <c r="AS123" s="25">
        <f>IF(Расчет!BN123&lt;0,0,Расчет!BN123)</f>
        <v>0</v>
      </c>
      <c r="AT123" s="25">
        <f>Расчет!BY123</f>
        <v>0</v>
      </c>
      <c r="AU123" s="25">
        <f>Расчет!BZ123</f>
        <v>10</v>
      </c>
      <c r="AV123" s="25">
        <f>Расчет!CA123</f>
        <v>0</v>
      </c>
      <c r="AW123" s="25" t="str">
        <f>Расчет!CH123</f>
        <v>Аммофос 12:52:00</v>
      </c>
      <c r="AX123" s="25">
        <f>Расчет!DB123</f>
        <v>0</v>
      </c>
      <c r="AY123" s="25">
        <f>Расчет!DC123</f>
        <v>0</v>
      </c>
      <c r="AZ123" s="25">
        <f>Расчет!DG123</f>
        <v>0</v>
      </c>
      <c r="BA123" s="25">
        <f>Расчет!DH123</f>
        <v>0</v>
      </c>
      <c r="BB123" s="25">
        <f>Расчет!DI123</f>
        <v>0</v>
      </c>
      <c r="BC123" s="25" t="str">
        <f>Расчет!DR123</f>
        <v>Нет</v>
      </c>
      <c r="BD123" s="25">
        <f>Расчет!EB123</f>
        <v>0</v>
      </c>
      <c r="BE123" s="25">
        <f>Расчет!EF123</f>
        <v>0</v>
      </c>
      <c r="BF123" s="25" t="e">
        <f>Расчет!EI123</f>
        <v>#DIV/0!</v>
      </c>
      <c r="BG123" s="25" t="e">
        <f>Расчет!FA123</f>
        <v>#N/A</v>
      </c>
      <c r="BI123">
        <f>IF(Исходн.данные.!AH123=Исходн.данные.!$AC$4,0.6,1)</f>
        <v>1</v>
      </c>
      <c r="BJ123">
        <f>IF(Исходн.данные.!AH123=Исходн.данные.!$AC$4,0.8,IF(OR(Потребность!F123=Расчет2!$BI$10,Потребность!F123=Расчет2!$BI$7,Потребность!F123=Расчет2!$BK$14,Исходн.данные.!AI123=Исходн.данные.!$AI$11),1.3,1))</f>
        <v>1.3</v>
      </c>
      <c r="BK123">
        <f>IF(OR(Исходн.данные.!AH123=Исходн.данные.!$AD$7,Исходн.данные.!AH123=Исходн.данные.!$AD$8),0.75,1)</f>
        <v>1</v>
      </c>
    </row>
    <row r="124" spans="32:63" x14ac:dyDescent="0.2">
      <c r="AF124">
        <f>SUM(Исходн.данные.!AD124:AF124)</f>
        <v>0</v>
      </c>
      <c r="AG124" s="60">
        <f>SUM(Расчет!CI124:CK124)</f>
        <v>0.64</v>
      </c>
      <c r="AH124" s="60">
        <f>SUM(Расчет!DS124:DU124)</f>
        <v>0</v>
      </c>
      <c r="AI124" t="e">
        <f t="shared" si="2"/>
        <v>#N/A</v>
      </c>
      <c r="AJ124" t="e">
        <f t="shared" si="3"/>
        <v>#N/A</v>
      </c>
      <c r="AL124">
        <f>Потребность!G124*Потребность!H124</f>
        <v>0</v>
      </c>
      <c r="AM124" s="11" t="e">
        <f>Исходн.данные.!$AJ124*Расчет2!AO124</f>
        <v>#VALUE!</v>
      </c>
      <c r="AN124" s="11">
        <f>Исходн.данные.!$AJ124*Расчет2!AP124</f>
        <v>0</v>
      </c>
      <c r="AO124" s="25" t="str">
        <f>IF(Расчет!BF124=0,"X",Расчет!BF124)</f>
        <v>X</v>
      </c>
      <c r="AP124" s="25">
        <f>Расчет!BG124</f>
        <v>0</v>
      </c>
      <c r="AQ124" s="9">
        <f>IF(Расчет!BL124&lt;0,0,Расчет!BL124)</f>
        <v>0</v>
      </c>
      <c r="AR124" s="25">
        <f>IF(Расчет!BM124&lt;0,0,Расчет!BM124)</f>
        <v>0</v>
      </c>
      <c r="AS124" s="25">
        <f>IF(Расчет!BN124&lt;0,0,Расчет!BN124)</f>
        <v>0</v>
      </c>
      <c r="AT124" s="25">
        <f>Расчет!BY124</f>
        <v>0</v>
      </c>
      <c r="AU124" s="25">
        <f>Расчет!BZ124</f>
        <v>10</v>
      </c>
      <c r="AV124" s="25">
        <f>Расчет!CA124</f>
        <v>0</v>
      </c>
      <c r="AW124" s="25" t="str">
        <f>Расчет!CH124</f>
        <v>Аммофос 12:52:00</v>
      </c>
      <c r="AX124" s="25">
        <f>Расчет!DB124</f>
        <v>0</v>
      </c>
      <c r="AY124" s="25">
        <f>Расчет!DC124</f>
        <v>0</v>
      </c>
      <c r="AZ124" s="25">
        <f>Расчет!DG124</f>
        <v>0</v>
      </c>
      <c r="BA124" s="25">
        <f>Расчет!DH124</f>
        <v>0</v>
      </c>
      <c r="BB124" s="25">
        <f>Расчет!DI124</f>
        <v>0</v>
      </c>
      <c r="BC124" s="25" t="str">
        <f>Расчет!DR124</f>
        <v>Нет</v>
      </c>
      <c r="BD124" s="25">
        <f>Расчет!EB124</f>
        <v>0</v>
      </c>
      <c r="BE124" s="25">
        <f>Расчет!EF124</f>
        <v>0</v>
      </c>
      <c r="BF124" s="25" t="e">
        <f>Расчет!EI124</f>
        <v>#DIV/0!</v>
      </c>
      <c r="BG124" s="25" t="e">
        <f>Расчет!FA124</f>
        <v>#N/A</v>
      </c>
      <c r="BI124">
        <f>IF(Исходн.данные.!AH124=Исходн.данные.!$AC$4,0.6,1)</f>
        <v>1</v>
      </c>
      <c r="BJ124">
        <f>IF(Исходн.данные.!AH124=Исходн.данные.!$AC$4,0.8,IF(OR(Потребность!F124=Расчет2!$BI$10,Потребность!F124=Расчет2!$BI$7,Потребность!F124=Расчет2!$BK$14,Исходн.данные.!AI124=Исходн.данные.!$AI$11),1.3,1))</f>
        <v>1.3</v>
      </c>
      <c r="BK124">
        <f>IF(OR(Исходн.данные.!AH124=Исходн.данные.!$AD$7,Исходн.данные.!AH124=Исходн.данные.!$AD$8),0.75,1)</f>
        <v>1</v>
      </c>
    </row>
    <row r="125" spans="32:63" x14ac:dyDescent="0.2">
      <c r="AF125">
        <f>SUM(Исходн.данные.!AD125:AF125)</f>
        <v>0</v>
      </c>
      <c r="AG125" s="60">
        <f>SUM(Расчет!CI125:CK125)</f>
        <v>0.64</v>
      </c>
      <c r="AH125" s="60">
        <f>SUM(Расчет!DS125:DU125)</f>
        <v>0</v>
      </c>
      <c r="AI125" t="e">
        <f t="shared" si="2"/>
        <v>#N/A</v>
      </c>
      <c r="AJ125" t="e">
        <f t="shared" si="3"/>
        <v>#N/A</v>
      </c>
      <c r="AL125">
        <f>Потребность!G125*Потребность!H125</f>
        <v>0</v>
      </c>
      <c r="AM125" s="11" t="e">
        <f>Исходн.данные.!$AJ125*Расчет2!AO125</f>
        <v>#VALUE!</v>
      </c>
      <c r="AN125" s="11">
        <f>Исходн.данные.!$AJ125*Расчет2!AP125</f>
        <v>0</v>
      </c>
      <c r="AO125" s="25" t="str">
        <f>IF(Расчет!BF125=0,"X",Расчет!BF125)</f>
        <v>X</v>
      </c>
      <c r="AP125" s="25">
        <f>Расчет!BG125</f>
        <v>0</v>
      </c>
      <c r="AQ125" s="9">
        <f>IF(Расчет!BL125&lt;0,0,Расчет!BL125)</f>
        <v>0</v>
      </c>
      <c r="AR125" s="25">
        <f>IF(Расчет!BM125&lt;0,0,Расчет!BM125)</f>
        <v>0</v>
      </c>
      <c r="AS125" s="25">
        <f>IF(Расчет!BN125&lt;0,0,Расчет!BN125)</f>
        <v>0</v>
      </c>
      <c r="AT125" s="25">
        <f>Расчет!BY125</f>
        <v>0</v>
      </c>
      <c r="AU125" s="25">
        <f>Расчет!BZ125</f>
        <v>10</v>
      </c>
      <c r="AV125" s="25">
        <f>Расчет!CA125</f>
        <v>0</v>
      </c>
      <c r="AW125" s="25" t="str">
        <f>Расчет!CH125</f>
        <v>Аммофос 12:52:00</v>
      </c>
      <c r="AX125" s="25">
        <f>Расчет!DB125</f>
        <v>0</v>
      </c>
      <c r="AY125" s="25">
        <f>Расчет!DC125</f>
        <v>0</v>
      </c>
      <c r="AZ125" s="25">
        <f>Расчет!DG125</f>
        <v>0</v>
      </c>
      <c r="BA125" s="25">
        <f>Расчет!DH125</f>
        <v>0</v>
      </c>
      <c r="BB125" s="25">
        <f>Расчет!DI125</f>
        <v>0</v>
      </c>
      <c r="BC125" s="25" t="str">
        <f>Расчет!DR125</f>
        <v>Нет</v>
      </c>
      <c r="BD125" s="25">
        <f>Расчет!EB125</f>
        <v>0</v>
      </c>
      <c r="BE125" s="25">
        <f>Расчет!EF125</f>
        <v>0</v>
      </c>
      <c r="BF125" s="25" t="e">
        <f>Расчет!EI125</f>
        <v>#DIV/0!</v>
      </c>
      <c r="BG125" s="25" t="e">
        <f>Расчет!FA125</f>
        <v>#N/A</v>
      </c>
      <c r="BI125">
        <f>IF(Исходн.данные.!AH125=Исходн.данные.!$AC$4,0.6,1)</f>
        <v>1</v>
      </c>
      <c r="BJ125">
        <f>IF(Исходн.данные.!AH125=Исходн.данные.!$AC$4,0.8,IF(OR(Потребность!F125=Расчет2!$BI$10,Потребность!F125=Расчет2!$BI$7,Потребность!F125=Расчет2!$BK$14,Исходн.данные.!AI125=Исходн.данные.!$AI$11),1.3,1))</f>
        <v>1.3</v>
      </c>
      <c r="BK125">
        <f>IF(OR(Исходн.данные.!AH125=Исходн.данные.!$AD$7,Исходн.данные.!AH125=Исходн.данные.!$AD$8),0.75,1)</f>
        <v>1</v>
      </c>
    </row>
    <row r="126" spans="32:63" x14ac:dyDescent="0.2">
      <c r="AF126">
        <f>SUM(Исходн.данные.!AD126:AF126)</f>
        <v>0</v>
      </c>
      <c r="AG126" s="60">
        <f>SUM(Расчет!CI126:CK126)</f>
        <v>0.64</v>
      </c>
      <c r="AH126" s="60">
        <f>SUM(Расчет!DS126:DU126)</f>
        <v>0</v>
      </c>
      <c r="AI126" t="e">
        <f t="shared" si="2"/>
        <v>#N/A</v>
      </c>
      <c r="AJ126" t="e">
        <f t="shared" si="3"/>
        <v>#N/A</v>
      </c>
      <c r="AL126">
        <f>Потребность!G126*Потребность!H126</f>
        <v>0</v>
      </c>
      <c r="AM126" s="11" t="e">
        <f>Исходн.данные.!$AJ126*Расчет2!AO126</f>
        <v>#VALUE!</v>
      </c>
      <c r="AN126" s="11">
        <f>Исходн.данные.!$AJ126*Расчет2!AP126</f>
        <v>0</v>
      </c>
      <c r="AO126" s="25" t="str">
        <f>IF(Расчет!BF126=0,"X",Расчет!BF126)</f>
        <v>X</v>
      </c>
      <c r="AP126" s="25">
        <f>Расчет!BG126</f>
        <v>0</v>
      </c>
      <c r="AQ126" s="9">
        <f>IF(Расчет!BL126&lt;0,0,Расчет!BL126)</f>
        <v>0</v>
      </c>
      <c r="AR126" s="25">
        <f>IF(Расчет!BM126&lt;0,0,Расчет!BM126)</f>
        <v>0</v>
      </c>
      <c r="AS126" s="25">
        <f>IF(Расчет!BN126&lt;0,0,Расчет!BN126)</f>
        <v>0</v>
      </c>
      <c r="AT126" s="25">
        <f>Расчет!BY126</f>
        <v>0</v>
      </c>
      <c r="AU126" s="25">
        <f>Расчет!BZ126</f>
        <v>10</v>
      </c>
      <c r="AV126" s="25">
        <f>Расчет!CA126</f>
        <v>0</v>
      </c>
      <c r="AW126" s="25" t="str">
        <f>Расчет!CH126</f>
        <v>Аммофос 12:52:00</v>
      </c>
      <c r="AX126" s="25">
        <f>Расчет!DB126</f>
        <v>0</v>
      </c>
      <c r="AY126" s="25">
        <f>Расчет!DC126</f>
        <v>0</v>
      </c>
      <c r="AZ126" s="25">
        <f>Расчет!DG126</f>
        <v>0</v>
      </c>
      <c r="BA126" s="25">
        <f>Расчет!DH126</f>
        <v>0</v>
      </c>
      <c r="BB126" s="25">
        <f>Расчет!DI126</f>
        <v>0</v>
      </c>
      <c r="BC126" s="25" t="str">
        <f>Расчет!DR126</f>
        <v>Нет</v>
      </c>
      <c r="BD126" s="25">
        <f>Расчет!EB126</f>
        <v>0</v>
      </c>
      <c r="BE126" s="25">
        <f>Расчет!EF126</f>
        <v>0</v>
      </c>
      <c r="BF126" s="25" t="e">
        <f>Расчет!EI126</f>
        <v>#DIV/0!</v>
      </c>
      <c r="BG126" s="25" t="e">
        <f>Расчет!FA126</f>
        <v>#N/A</v>
      </c>
      <c r="BI126">
        <f>IF(Исходн.данные.!AH126=Исходн.данные.!$AC$4,0.6,1)</f>
        <v>1</v>
      </c>
      <c r="BJ126">
        <f>IF(Исходн.данные.!AH126=Исходн.данные.!$AC$4,0.8,IF(OR(Потребность!F126=Расчет2!$BI$10,Потребность!F126=Расчет2!$BI$7,Потребность!F126=Расчет2!$BK$14,Исходн.данные.!AI126=Исходн.данные.!$AI$11),1.3,1))</f>
        <v>1.3</v>
      </c>
      <c r="BK126">
        <f>IF(OR(Исходн.данные.!AH126=Исходн.данные.!$AD$7,Исходн.данные.!AH126=Исходн.данные.!$AD$8),0.75,1)</f>
        <v>1</v>
      </c>
    </row>
    <row r="127" spans="32:63" x14ac:dyDescent="0.2">
      <c r="AF127">
        <f>SUM(Исходн.данные.!AD127:AF127)</f>
        <v>0</v>
      </c>
      <c r="AG127" s="60">
        <f>SUM(Расчет!CI127:CK127)</f>
        <v>0.64</v>
      </c>
      <c r="AH127" s="60">
        <f>SUM(Расчет!DS127:DU127)</f>
        <v>0</v>
      </c>
      <c r="AI127" t="e">
        <f t="shared" si="2"/>
        <v>#N/A</v>
      </c>
      <c r="AJ127" t="e">
        <f t="shared" si="3"/>
        <v>#N/A</v>
      </c>
      <c r="AL127">
        <f>Потребность!G127*Потребность!H127</f>
        <v>0</v>
      </c>
      <c r="AM127" s="11" t="e">
        <f>Исходн.данные.!$AJ127*Расчет2!AO127</f>
        <v>#VALUE!</v>
      </c>
      <c r="AN127" s="11">
        <f>Исходн.данные.!$AJ127*Расчет2!AP127</f>
        <v>0</v>
      </c>
      <c r="AO127" s="25" t="str">
        <f>IF(Расчет!BF127=0,"X",Расчет!BF127)</f>
        <v>X</v>
      </c>
      <c r="AP127" s="25">
        <f>Расчет!BG127</f>
        <v>0</v>
      </c>
      <c r="AQ127" s="9">
        <f>IF(Расчет!BL127&lt;0,0,Расчет!BL127)</f>
        <v>0</v>
      </c>
      <c r="AR127" s="25">
        <f>IF(Расчет!BM127&lt;0,0,Расчет!BM127)</f>
        <v>0</v>
      </c>
      <c r="AS127" s="25">
        <f>IF(Расчет!BN127&lt;0,0,Расчет!BN127)</f>
        <v>0</v>
      </c>
      <c r="AT127" s="25">
        <f>Расчет!BY127</f>
        <v>0</v>
      </c>
      <c r="AU127" s="25">
        <f>Расчет!BZ127</f>
        <v>10</v>
      </c>
      <c r="AV127" s="25">
        <f>Расчет!CA127</f>
        <v>0</v>
      </c>
      <c r="AW127" s="25" t="str">
        <f>Расчет!CH127</f>
        <v>Аммофос 12:52:00</v>
      </c>
      <c r="AX127" s="25">
        <f>Расчет!DB127</f>
        <v>0</v>
      </c>
      <c r="AY127" s="25">
        <f>Расчет!DC127</f>
        <v>0</v>
      </c>
      <c r="AZ127" s="25">
        <f>Расчет!DG127</f>
        <v>0</v>
      </c>
      <c r="BA127" s="25">
        <f>Расчет!DH127</f>
        <v>0</v>
      </c>
      <c r="BB127" s="25">
        <f>Расчет!DI127</f>
        <v>0</v>
      </c>
      <c r="BC127" s="25" t="str">
        <f>Расчет!DR127</f>
        <v>Нет</v>
      </c>
      <c r="BD127" s="25">
        <f>Расчет!EB127</f>
        <v>0</v>
      </c>
      <c r="BE127" s="25">
        <f>Расчет!EF127</f>
        <v>0</v>
      </c>
      <c r="BF127" s="25" t="e">
        <f>Расчет!EI127</f>
        <v>#DIV/0!</v>
      </c>
      <c r="BG127" s="25" t="e">
        <f>Расчет!FA127</f>
        <v>#N/A</v>
      </c>
      <c r="BI127">
        <f>IF(Исходн.данные.!AH127=Исходн.данные.!$AC$4,0.6,1)</f>
        <v>1</v>
      </c>
      <c r="BJ127">
        <f>IF(Исходн.данные.!AH127=Исходн.данные.!$AC$4,0.8,IF(OR(Потребность!F127=Расчет2!$BI$10,Потребность!F127=Расчет2!$BI$7,Потребность!F127=Расчет2!$BK$14,Исходн.данные.!AI127=Исходн.данные.!$AI$11),1.3,1))</f>
        <v>1.3</v>
      </c>
      <c r="BK127">
        <f>IF(OR(Исходн.данные.!AH127=Исходн.данные.!$AD$7,Исходн.данные.!AH127=Исходн.данные.!$AD$8),0.75,1)</f>
        <v>1</v>
      </c>
    </row>
    <row r="128" spans="32:63" x14ac:dyDescent="0.2">
      <c r="AF128">
        <f>SUM(Исходн.данные.!AD128:AF128)</f>
        <v>0</v>
      </c>
      <c r="AG128" s="60">
        <f>SUM(Расчет!CI128:CK128)</f>
        <v>0.64</v>
      </c>
      <c r="AH128" s="60">
        <f>SUM(Расчет!DS128:DU128)</f>
        <v>0</v>
      </c>
      <c r="AI128" t="e">
        <f t="shared" si="2"/>
        <v>#N/A</v>
      </c>
      <c r="AJ128" t="e">
        <f t="shared" si="3"/>
        <v>#N/A</v>
      </c>
      <c r="AL128">
        <f>Потребность!G128*Потребность!H128</f>
        <v>0</v>
      </c>
      <c r="AM128" s="11" t="e">
        <f>Исходн.данные.!$AJ128*Расчет2!AO128</f>
        <v>#VALUE!</v>
      </c>
      <c r="AN128" s="11">
        <f>Исходн.данные.!$AJ128*Расчет2!AP128</f>
        <v>0</v>
      </c>
      <c r="AO128" s="25" t="str">
        <f>IF(Расчет!BF128=0,"X",Расчет!BF128)</f>
        <v>X</v>
      </c>
      <c r="AP128" s="25">
        <f>Расчет!BG128</f>
        <v>0</v>
      </c>
      <c r="AQ128" s="9">
        <f>IF(Расчет!BL128&lt;0,0,Расчет!BL128)</f>
        <v>0</v>
      </c>
      <c r="AR128" s="25">
        <f>IF(Расчет!BM128&lt;0,0,Расчет!BM128)</f>
        <v>0</v>
      </c>
      <c r="AS128" s="25">
        <f>IF(Расчет!BN128&lt;0,0,Расчет!BN128)</f>
        <v>0</v>
      </c>
      <c r="AT128" s="25">
        <f>Расчет!BY128</f>
        <v>0</v>
      </c>
      <c r="AU128" s="25">
        <f>Расчет!BZ128</f>
        <v>10</v>
      </c>
      <c r="AV128" s="25">
        <f>Расчет!CA128</f>
        <v>0</v>
      </c>
      <c r="AW128" s="25" t="str">
        <f>Расчет!CH128</f>
        <v>Аммофос 12:52:00</v>
      </c>
      <c r="AX128" s="25">
        <f>Расчет!DB128</f>
        <v>0</v>
      </c>
      <c r="AY128" s="25">
        <f>Расчет!DC128</f>
        <v>0</v>
      </c>
      <c r="AZ128" s="25">
        <f>Расчет!DG128</f>
        <v>0</v>
      </c>
      <c r="BA128" s="25">
        <f>Расчет!DH128</f>
        <v>0</v>
      </c>
      <c r="BB128" s="25">
        <f>Расчет!DI128</f>
        <v>0</v>
      </c>
      <c r="BC128" s="25" t="str">
        <f>Расчет!DR128</f>
        <v>Нет</v>
      </c>
      <c r="BD128" s="25">
        <f>Расчет!EB128</f>
        <v>0</v>
      </c>
      <c r="BE128" s="25">
        <f>Расчет!EF128</f>
        <v>0</v>
      </c>
      <c r="BF128" s="25" t="e">
        <f>Расчет!EI128</f>
        <v>#DIV/0!</v>
      </c>
      <c r="BG128" s="25" t="e">
        <f>Расчет!FA128</f>
        <v>#N/A</v>
      </c>
      <c r="BI128">
        <f>IF(Исходн.данные.!AH128=Исходн.данные.!$AC$4,0.6,1)</f>
        <v>1</v>
      </c>
      <c r="BJ128">
        <f>IF(Исходн.данные.!AH128=Исходн.данные.!$AC$4,0.8,IF(OR(Потребность!F128=Расчет2!$BI$10,Потребность!F128=Расчет2!$BI$7,Потребность!F128=Расчет2!$BK$14,Исходн.данные.!AI128=Исходн.данные.!$AI$11),1.3,1))</f>
        <v>1.3</v>
      </c>
      <c r="BK128">
        <f>IF(OR(Исходн.данные.!AH128=Исходн.данные.!$AD$7,Исходн.данные.!AH128=Исходн.данные.!$AD$8),0.75,1)</f>
        <v>1</v>
      </c>
    </row>
    <row r="129" spans="32:63" x14ac:dyDescent="0.2">
      <c r="AF129">
        <f>SUM(Исходн.данные.!AD129:AF129)</f>
        <v>0</v>
      </c>
      <c r="AG129" s="60">
        <f>SUM(Расчет!CI129:CK129)</f>
        <v>0.64</v>
      </c>
      <c r="AH129" s="60">
        <f>SUM(Расчет!DS129:DU129)</f>
        <v>0</v>
      </c>
      <c r="AI129" t="e">
        <f t="shared" si="2"/>
        <v>#N/A</v>
      </c>
      <c r="AJ129" t="e">
        <f t="shared" si="3"/>
        <v>#N/A</v>
      </c>
      <c r="AL129">
        <f>Потребность!G129*Потребность!H129</f>
        <v>0</v>
      </c>
      <c r="AM129" s="11" t="e">
        <f>Исходн.данные.!$AJ129*Расчет2!AO129</f>
        <v>#VALUE!</v>
      </c>
      <c r="AN129" s="11">
        <f>Исходн.данные.!$AJ129*Расчет2!AP129</f>
        <v>0</v>
      </c>
      <c r="AO129" s="25" t="str">
        <f>IF(Расчет!BF129=0,"X",Расчет!BF129)</f>
        <v>X</v>
      </c>
      <c r="AP129" s="25">
        <f>Расчет!BG129</f>
        <v>0</v>
      </c>
      <c r="AQ129" s="9">
        <f>IF(Расчет!BL129&lt;0,0,Расчет!BL129)</f>
        <v>0</v>
      </c>
      <c r="AR129" s="25">
        <f>IF(Расчет!BM129&lt;0,0,Расчет!BM129)</f>
        <v>0</v>
      </c>
      <c r="AS129" s="25">
        <f>IF(Расчет!BN129&lt;0,0,Расчет!BN129)</f>
        <v>0</v>
      </c>
      <c r="AT129" s="25">
        <f>Расчет!BY129</f>
        <v>0</v>
      </c>
      <c r="AU129" s="25">
        <f>Расчет!BZ129</f>
        <v>10</v>
      </c>
      <c r="AV129" s="25">
        <f>Расчет!CA129</f>
        <v>0</v>
      </c>
      <c r="AW129" s="25" t="str">
        <f>Расчет!CH129</f>
        <v>Аммофос 12:52:00</v>
      </c>
      <c r="AX129" s="25">
        <f>Расчет!DB129</f>
        <v>0</v>
      </c>
      <c r="AY129" s="25">
        <f>Расчет!DC129</f>
        <v>0</v>
      </c>
      <c r="AZ129" s="25">
        <f>Расчет!DG129</f>
        <v>0</v>
      </c>
      <c r="BA129" s="25">
        <f>Расчет!DH129</f>
        <v>0</v>
      </c>
      <c r="BB129" s="25">
        <f>Расчет!DI129</f>
        <v>0</v>
      </c>
      <c r="BC129" s="25" t="str">
        <f>Расчет!DR129</f>
        <v>Нет</v>
      </c>
      <c r="BD129" s="25">
        <f>Расчет!EB129</f>
        <v>0</v>
      </c>
      <c r="BE129" s="25">
        <f>Расчет!EF129</f>
        <v>0</v>
      </c>
      <c r="BF129" s="25" t="e">
        <f>Расчет!EI129</f>
        <v>#DIV/0!</v>
      </c>
      <c r="BG129" s="25" t="e">
        <f>Расчет!FA129</f>
        <v>#N/A</v>
      </c>
      <c r="BI129">
        <f>IF(Исходн.данные.!AH129=Исходн.данные.!$AC$4,0.6,1)</f>
        <v>1</v>
      </c>
      <c r="BJ129">
        <f>IF(Исходн.данные.!AH129=Исходн.данные.!$AC$4,0.8,IF(OR(Потребность!F129=Расчет2!$BI$10,Потребность!F129=Расчет2!$BI$7,Потребность!F129=Расчет2!$BK$14,Исходн.данные.!AI129=Исходн.данные.!$AI$11),1.3,1))</f>
        <v>1.3</v>
      </c>
      <c r="BK129">
        <f>IF(OR(Исходн.данные.!AH129=Исходн.данные.!$AD$7,Исходн.данные.!AH129=Исходн.данные.!$AD$8),0.75,1)</f>
        <v>1</v>
      </c>
    </row>
    <row r="130" spans="32:63" x14ac:dyDescent="0.2">
      <c r="AF130">
        <f>SUM(Исходн.данные.!AD130:AF130)</f>
        <v>0</v>
      </c>
      <c r="AG130" s="60">
        <f>SUM(Расчет!CI130:CK130)</f>
        <v>0.64</v>
      </c>
      <c r="AH130" s="60">
        <f>SUM(Расчет!DS130:DU130)</f>
        <v>0</v>
      </c>
      <c r="AI130" t="e">
        <f t="shared" si="2"/>
        <v>#N/A</v>
      </c>
      <c r="AJ130" t="e">
        <f t="shared" si="3"/>
        <v>#N/A</v>
      </c>
      <c r="AL130">
        <f>Потребность!G130*Потребность!H130</f>
        <v>0</v>
      </c>
      <c r="AM130" s="11" t="e">
        <f>Исходн.данные.!$AJ130*Расчет2!AO130</f>
        <v>#VALUE!</v>
      </c>
      <c r="AN130" s="11">
        <f>Исходн.данные.!$AJ130*Расчет2!AP130</f>
        <v>0</v>
      </c>
      <c r="AO130" s="25" t="str">
        <f>IF(Расчет!BF130=0,"X",Расчет!BF130)</f>
        <v>X</v>
      </c>
      <c r="AP130" s="25">
        <f>Расчет!BG130</f>
        <v>0</v>
      </c>
      <c r="AQ130" s="9">
        <f>IF(Расчет!BL130&lt;0,0,Расчет!BL130)</f>
        <v>0</v>
      </c>
      <c r="AR130" s="25">
        <f>IF(Расчет!BM130&lt;0,0,Расчет!BM130)</f>
        <v>0</v>
      </c>
      <c r="AS130" s="25">
        <f>IF(Расчет!BN130&lt;0,0,Расчет!BN130)</f>
        <v>0</v>
      </c>
      <c r="AT130" s="25">
        <f>Расчет!BY130</f>
        <v>0</v>
      </c>
      <c r="AU130" s="25">
        <f>Расчет!BZ130</f>
        <v>10</v>
      </c>
      <c r="AV130" s="25">
        <f>Расчет!CA130</f>
        <v>0</v>
      </c>
      <c r="AW130" s="25" t="str">
        <f>Расчет!CH130</f>
        <v>Аммофос 12:52:00</v>
      </c>
      <c r="AX130" s="25">
        <f>Расчет!DB130</f>
        <v>0</v>
      </c>
      <c r="AY130" s="25">
        <f>Расчет!DC130</f>
        <v>0</v>
      </c>
      <c r="AZ130" s="25">
        <f>Расчет!DG130</f>
        <v>0</v>
      </c>
      <c r="BA130" s="25">
        <f>Расчет!DH130</f>
        <v>0</v>
      </c>
      <c r="BB130" s="25">
        <f>Расчет!DI130</f>
        <v>0</v>
      </c>
      <c r="BC130" s="25" t="str">
        <f>Расчет!DR130</f>
        <v>Нет</v>
      </c>
      <c r="BD130" s="25">
        <f>Расчет!EB130</f>
        <v>0</v>
      </c>
      <c r="BE130" s="25">
        <f>Расчет!EF130</f>
        <v>0</v>
      </c>
      <c r="BF130" s="25" t="e">
        <f>Расчет!EI130</f>
        <v>#DIV/0!</v>
      </c>
      <c r="BG130" s="25" t="e">
        <f>Расчет!FA130</f>
        <v>#N/A</v>
      </c>
      <c r="BI130">
        <f>IF(Исходн.данные.!AH130=Исходн.данные.!$AC$4,0.6,1)</f>
        <v>1</v>
      </c>
      <c r="BJ130">
        <f>IF(Исходн.данные.!AH130=Исходн.данные.!$AC$4,0.8,IF(OR(Потребность!F130=Расчет2!$BI$10,Потребность!F130=Расчет2!$BI$7,Потребность!F130=Расчет2!$BK$14,Исходн.данные.!AI130=Исходн.данные.!$AI$11),1.3,1))</f>
        <v>1.3</v>
      </c>
      <c r="BK130">
        <f>IF(OR(Исходн.данные.!AH130=Исходн.данные.!$AD$7,Исходн.данные.!AH130=Исходн.данные.!$AD$8),0.75,1)</f>
        <v>1</v>
      </c>
    </row>
    <row r="131" spans="32:63" x14ac:dyDescent="0.2">
      <c r="AF131">
        <f>SUM(Исходн.данные.!AD131:AF131)</f>
        <v>0</v>
      </c>
      <c r="AG131" s="60">
        <f>SUM(Расчет!CI131:CK131)</f>
        <v>0.64</v>
      </c>
      <c r="AH131" s="60">
        <f>SUM(Расчет!DS131:DU131)</f>
        <v>0</v>
      </c>
      <c r="AI131" t="e">
        <f t="shared" si="2"/>
        <v>#N/A</v>
      </c>
      <c r="AJ131" t="e">
        <f t="shared" si="3"/>
        <v>#N/A</v>
      </c>
      <c r="AL131">
        <f>Потребность!G131*Потребность!H131</f>
        <v>0</v>
      </c>
      <c r="AM131" s="11" t="e">
        <f>Исходн.данные.!$AJ131*Расчет2!AO131</f>
        <v>#VALUE!</v>
      </c>
      <c r="AN131" s="11">
        <f>Исходн.данные.!$AJ131*Расчет2!AP131</f>
        <v>0</v>
      </c>
      <c r="AO131" s="25" t="str">
        <f>IF(Расчет!BF131=0,"X",Расчет!BF131)</f>
        <v>X</v>
      </c>
      <c r="AP131" s="25">
        <f>Расчет!BG131</f>
        <v>0</v>
      </c>
      <c r="AQ131" s="9">
        <f>IF(Расчет!BL131&lt;0,0,Расчет!BL131)</f>
        <v>0</v>
      </c>
      <c r="AR131" s="25">
        <f>IF(Расчет!BM131&lt;0,0,Расчет!BM131)</f>
        <v>0</v>
      </c>
      <c r="AS131" s="25">
        <f>IF(Расчет!BN131&lt;0,0,Расчет!BN131)</f>
        <v>0</v>
      </c>
      <c r="AT131" s="25">
        <f>Расчет!BY131</f>
        <v>0</v>
      </c>
      <c r="AU131" s="25">
        <f>Расчет!BZ131</f>
        <v>10</v>
      </c>
      <c r="AV131" s="25">
        <f>Расчет!CA131</f>
        <v>0</v>
      </c>
      <c r="AW131" s="25" t="str">
        <f>Расчет!CH131</f>
        <v>Аммофос 12:52:00</v>
      </c>
      <c r="AX131" s="25">
        <f>Расчет!DB131</f>
        <v>0</v>
      </c>
      <c r="AY131" s="25">
        <f>Расчет!DC131</f>
        <v>0</v>
      </c>
      <c r="AZ131" s="25">
        <f>Расчет!DG131</f>
        <v>0</v>
      </c>
      <c r="BA131" s="25">
        <f>Расчет!DH131</f>
        <v>0</v>
      </c>
      <c r="BB131" s="25">
        <f>Расчет!DI131</f>
        <v>0</v>
      </c>
      <c r="BC131" s="25" t="str">
        <f>Расчет!DR131</f>
        <v>Нет</v>
      </c>
      <c r="BD131" s="25">
        <f>Расчет!EB131</f>
        <v>0</v>
      </c>
      <c r="BE131" s="25">
        <f>Расчет!EF131</f>
        <v>0</v>
      </c>
      <c r="BF131" s="25" t="e">
        <f>Расчет!EI131</f>
        <v>#DIV/0!</v>
      </c>
      <c r="BG131" s="25" t="e">
        <f>Расчет!FA131</f>
        <v>#N/A</v>
      </c>
      <c r="BI131">
        <f>IF(Исходн.данные.!AH131=Исходн.данные.!$AC$4,0.6,1)</f>
        <v>1</v>
      </c>
      <c r="BJ131">
        <f>IF(Исходн.данные.!AH131=Исходн.данные.!$AC$4,0.8,IF(OR(Потребность!F131=Расчет2!$BI$10,Потребность!F131=Расчет2!$BI$7,Потребность!F131=Расчет2!$BK$14,Исходн.данные.!AI131=Исходн.данные.!$AI$11),1.3,1))</f>
        <v>1.3</v>
      </c>
      <c r="BK131">
        <f>IF(OR(Исходн.данные.!AH131=Исходн.данные.!$AD$7,Исходн.данные.!AH131=Исходн.данные.!$AD$8),0.75,1)</f>
        <v>1</v>
      </c>
    </row>
    <row r="132" spans="32:63" x14ac:dyDescent="0.2">
      <c r="AF132">
        <f>SUM(Исходн.данные.!AD132:AF132)</f>
        <v>0</v>
      </c>
      <c r="AG132" s="60">
        <f>SUM(Расчет!CI132:CK132)</f>
        <v>0.64</v>
      </c>
      <c r="AH132" s="60">
        <f>SUM(Расчет!DS132:DU132)</f>
        <v>0</v>
      </c>
      <c r="AI132" t="e">
        <f t="shared" si="2"/>
        <v>#N/A</v>
      </c>
      <c r="AJ132" t="e">
        <f t="shared" si="3"/>
        <v>#N/A</v>
      </c>
      <c r="AL132">
        <f>Потребность!G132*Потребность!H132</f>
        <v>0</v>
      </c>
      <c r="AM132" s="11" t="e">
        <f>Исходн.данные.!$AJ132*Расчет2!AO132</f>
        <v>#VALUE!</v>
      </c>
      <c r="AN132" s="11">
        <f>Исходн.данные.!$AJ132*Расчет2!AP132</f>
        <v>0</v>
      </c>
      <c r="AO132" s="25" t="str">
        <f>IF(Расчет!BF132=0,"X",Расчет!BF132)</f>
        <v>X</v>
      </c>
      <c r="AP132" s="25">
        <f>Расчет!BG132</f>
        <v>0</v>
      </c>
      <c r="AQ132" s="9">
        <f>IF(Расчет!BL132&lt;0,0,Расчет!BL132)</f>
        <v>0</v>
      </c>
      <c r="AR132" s="25">
        <f>IF(Расчет!BM132&lt;0,0,Расчет!BM132)</f>
        <v>0</v>
      </c>
      <c r="AS132" s="25">
        <f>IF(Расчет!BN132&lt;0,0,Расчет!BN132)</f>
        <v>0</v>
      </c>
      <c r="AT132" s="25">
        <f>Расчет!BY132</f>
        <v>0</v>
      </c>
      <c r="AU132" s="25">
        <f>Расчет!BZ132</f>
        <v>10</v>
      </c>
      <c r="AV132" s="25">
        <f>Расчет!CA132</f>
        <v>0</v>
      </c>
      <c r="AW132" s="25" t="str">
        <f>Расчет!CH132</f>
        <v>Аммофос 12:52:00</v>
      </c>
      <c r="AX132" s="25">
        <f>Расчет!DB132</f>
        <v>0</v>
      </c>
      <c r="AY132" s="25">
        <f>Расчет!DC132</f>
        <v>0</v>
      </c>
      <c r="AZ132" s="25">
        <f>Расчет!DG132</f>
        <v>0</v>
      </c>
      <c r="BA132" s="25">
        <f>Расчет!DH132</f>
        <v>0</v>
      </c>
      <c r="BB132" s="25">
        <f>Расчет!DI132</f>
        <v>0</v>
      </c>
      <c r="BC132" s="25" t="str">
        <f>Расчет!DR132</f>
        <v>Нет</v>
      </c>
      <c r="BD132" s="25">
        <f>Расчет!EB132</f>
        <v>0</v>
      </c>
      <c r="BE132" s="25">
        <f>Расчет!EF132</f>
        <v>0</v>
      </c>
      <c r="BF132" s="25" t="e">
        <f>Расчет!EI132</f>
        <v>#DIV/0!</v>
      </c>
      <c r="BG132" s="25" t="e">
        <f>Расчет!FA132</f>
        <v>#N/A</v>
      </c>
      <c r="BI132">
        <f>IF(Исходн.данные.!AH132=Исходн.данные.!$AC$4,0.6,1)</f>
        <v>1</v>
      </c>
      <c r="BJ132">
        <f>IF(Исходн.данные.!AH132=Исходн.данные.!$AC$4,0.8,IF(OR(Потребность!F132=Расчет2!$BI$10,Потребность!F132=Расчет2!$BI$7,Потребность!F132=Расчет2!$BK$14,Исходн.данные.!AI132=Исходн.данные.!$AI$11),1.3,1))</f>
        <v>1.3</v>
      </c>
      <c r="BK132">
        <f>IF(OR(Исходн.данные.!AH132=Исходн.данные.!$AD$7,Исходн.данные.!AH132=Исходн.данные.!$AD$8),0.75,1)</f>
        <v>1</v>
      </c>
    </row>
    <row r="133" spans="32:63" x14ac:dyDescent="0.2">
      <c r="AF133">
        <f>SUM(Исходн.данные.!AD133:AF133)</f>
        <v>0</v>
      </c>
      <c r="AG133" s="60">
        <f>SUM(Расчет!CI133:CK133)</f>
        <v>0.64</v>
      </c>
      <c r="AH133" s="60">
        <f>SUM(Расчет!DS133:DU133)</f>
        <v>0</v>
      </c>
      <c r="AI133" t="e">
        <f t="shared" si="2"/>
        <v>#N/A</v>
      </c>
      <c r="AJ133" t="e">
        <f t="shared" si="3"/>
        <v>#N/A</v>
      </c>
      <c r="AL133">
        <f>Потребность!G133*Потребность!H133</f>
        <v>0</v>
      </c>
      <c r="AM133" s="11" t="e">
        <f>Исходн.данные.!$AJ133*Расчет2!AO133</f>
        <v>#VALUE!</v>
      </c>
      <c r="AN133" s="11">
        <f>Исходн.данные.!$AJ133*Расчет2!AP133</f>
        <v>0</v>
      </c>
      <c r="AO133" s="25" t="str">
        <f>IF(Расчет!BF133=0,"X",Расчет!BF133)</f>
        <v>X</v>
      </c>
      <c r="AP133" s="25">
        <f>Расчет!BG133</f>
        <v>0</v>
      </c>
      <c r="AQ133" s="9">
        <f>IF(Расчет!BL133&lt;0,0,Расчет!BL133)</f>
        <v>0</v>
      </c>
      <c r="AR133" s="25">
        <f>IF(Расчет!BM133&lt;0,0,Расчет!BM133)</f>
        <v>0</v>
      </c>
      <c r="AS133" s="25">
        <f>IF(Расчет!BN133&lt;0,0,Расчет!BN133)</f>
        <v>0</v>
      </c>
      <c r="AT133" s="25">
        <f>Расчет!BY133</f>
        <v>0</v>
      </c>
      <c r="AU133" s="25">
        <f>Расчет!BZ133</f>
        <v>10</v>
      </c>
      <c r="AV133" s="25">
        <f>Расчет!CA133</f>
        <v>0</v>
      </c>
      <c r="AW133" s="25" t="str">
        <f>Расчет!CH133</f>
        <v>Аммофос 12:52:00</v>
      </c>
      <c r="AX133" s="25">
        <f>Расчет!DB133</f>
        <v>0</v>
      </c>
      <c r="AY133" s="25">
        <f>Расчет!DC133</f>
        <v>0</v>
      </c>
      <c r="AZ133" s="25">
        <f>Расчет!DG133</f>
        <v>0</v>
      </c>
      <c r="BA133" s="25">
        <f>Расчет!DH133</f>
        <v>0</v>
      </c>
      <c r="BB133" s="25">
        <f>Расчет!DI133</f>
        <v>0</v>
      </c>
      <c r="BC133" s="25" t="str">
        <f>Расчет!DR133</f>
        <v>Нет</v>
      </c>
      <c r="BD133" s="25">
        <f>Расчет!EB133</f>
        <v>0</v>
      </c>
      <c r="BE133" s="25">
        <f>Расчет!EF133</f>
        <v>0</v>
      </c>
      <c r="BF133" s="25" t="e">
        <f>Расчет!EI133</f>
        <v>#DIV/0!</v>
      </c>
      <c r="BG133" s="25" t="e">
        <f>Расчет!FA133</f>
        <v>#N/A</v>
      </c>
      <c r="BI133">
        <f>IF(Исходн.данные.!AH133=Исходн.данные.!$AC$4,0.6,1)</f>
        <v>1</v>
      </c>
      <c r="BJ133">
        <f>IF(Исходн.данные.!AH133=Исходн.данные.!$AC$4,0.8,IF(OR(Потребность!F133=Расчет2!$BI$10,Потребность!F133=Расчет2!$BI$7,Потребность!F133=Расчет2!$BK$14,Исходн.данные.!AI133=Исходн.данные.!$AI$11),1.3,1))</f>
        <v>1.3</v>
      </c>
      <c r="BK133">
        <f>IF(OR(Исходн.данные.!AH133=Исходн.данные.!$AD$7,Исходн.данные.!AH133=Исходн.данные.!$AD$8),0.75,1)</f>
        <v>1</v>
      </c>
    </row>
    <row r="134" spans="32:63" x14ac:dyDescent="0.2">
      <c r="AF134">
        <f>SUM(Исходн.данные.!AD134:AF134)</f>
        <v>0</v>
      </c>
      <c r="AG134" s="60">
        <f>SUM(Расчет!CI134:CK134)</f>
        <v>0.64</v>
      </c>
      <c r="AH134" s="60">
        <f>SUM(Расчет!DS134:DU134)</f>
        <v>0</v>
      </c>
      <c r="AI134" t="e">
        <f t="shared" si="2"/>
        <v>#N/A</v>
      </c>
      <c r="AJ134" t="e">
        <f t="shared" si="3"/>
        <v>#N/A</v>
      </c>
      <c r="AL134">
        <f>Потребность!G134*Потребность!H134</f>
        <v>0</v>
      </c>
      <c r="AM134" s="11" t="e">
        <f>Исходн.данные.!$AJ134*Расчет2!AO134</f>
        <v>#VALUE!</v>
      </c>
      <c r="AN134" s="11">
        <f>Исходн.данные.!$AJ134*Расчет2!AP134</f>
        <v>0</v>
      </c>
      <c r="AO134" s="25" t="str">
        <f>IF(Расчет!BF134=0,"X",Расчет!BF134)</f>
        <v>X</v>
      </c>
      <c r="AP134" s="25">
        <f>Расчет!BG134</f>
        <v>0</v>
      </c>
      <c r="AQ134" s="9">
        <f>IF(Расчет!BL134&lt;0,0,Расчет!BL134)</f>
        <v>0</v>
      </c>
      <c r="AR134" s="25">
        <f>IF(Расчет!BM134&lt;0,0,Расчет!BM134)</f>
        <v>0</v>
      </c>
      <c r="AS134" s="25">
        <f>IF(Расчет!BN134&lt;0,0,Расчет!BN134)</f>
        <v>0</v>
      </c>
      <c r="AT134" s="25">
        <f>Расчет!BY134</f>
        <v>0</v>
      </c>
      <c r="AU134" s="25">
        <f>Расчет!BZ134</f>
        <v>10</v>
      </c>
      <c r="AV134" s="25">
        <f>Расчет!CA134</f>
        <v>0</v>
      </c>
      <c r="AW134" s="25" t="str">
        <f>Расчет!CH134</f>
        <v>Аммофос 12:52:00</v>
      </c>
      <c r="AX134" s="25">
        <f>Расчет!DB134</f>
        <v>0</v>
      </c>
      <c r="AY134" s="25">
        <f>Расчет!DC134</f>
        <v>0</v>
      </c>
      <c r="AZ134" s="25">
        <f>Расчет!DG134</f>
        <v>0</v>
      </c>
      <c r="BA134" s="25">
        <f>Расчет!DH134</f>
        <v>0</v>
      </c>
      <c r="BB134" s="25">
        <f>Расчет!DI134</f>
        <v>0</v>
      </c>
      <c r="BC134" s="25" t="str">
        <f>Расчет!DR134</f>
        <v>Нет</v>
      </c>
      <c r="BD134" s="25">
        <f>Расчет!EB134</f>
        <v>0</v>
      </c>
      <c r="BE134" s="25">
        <f>Расчет!EF134</f>
        <v>0</v>
      </c>
      <c r="BF134" s="25" t="e">
        <f>Расчет!EI134</f>
        <v>#DIV/0!</v>
      </c>
      <c r="BG134" s="25" t="e">
        <f>Расчет!FA134</f>
        <v>#N/A</v>
      </c>
      <c r="BI134">
        <f>IF(Исходн.данные.!AH134=Исходн.данные.!$AC$4,0.6,1)</f>
        <v>1</v>
      </c>
      <c r="BJ134">
        <f>IF(Исходн.данные.!AH134=Исходн.данные.!$AC$4,0.8,IF(OR(Потребность!F134=Расчет2!$BI$10,Потребность!F134=Расчет2!$BI$7,Потребность!F134=Расчет2!$BK$14,Исходн.данные.!AI134=Исходн.данные.!$AI$11),1.3,1))</f>
        <v>1.3</v>
      </c>
      <c r="BK134">
        <f>IF(OR(Исходн.данные.!AH134=Исходн.данные.!$AD$7,Исходн.данные.!AH134=Исходн.данные.!$AD$8),0.75,1)</f>
        <v>1</v>
      </c>
    </row>
    <row r="135" spans="32:63" x14ac:dyDescent="0.2">
      <c r="AF135">
        <f>SUM(Исходн.данные.!AD135:AF135)</f>
        <v>0</v>
      </c>
      <c r="AG135" s="60">
        <f>SUM(Расчет!CI135:CK135)</f>
        <v>0.64</v>
      </c>
      <c r="AH135" s="60">
        <f>SUM(Расчет!DS135:DU135)</f>
        <v>0</v>
      </c>
      <c r="AI135" t="e">
        <f t="shared" si="2"/>
        <v>#N/A</v>
      </c>
      <c r="AJ135" t="e">
        <f t="shared" si="3"/>
        <v>#N/A</v>
      </c>
      <c r="AL135">
        <f>Потребность!G135*Потребность!H135</f>
        <v>0</v>
      </c>
      <c r="AM135" s="11" t="e">
        <f>Исходн.данные.!$AJ135*Расчет2!AO135</f>
        <v>#VALUE!</v>
      </c>
      <c r="AN135" s="11">
        <f>Исходн.данные.!$AJ135*Расчет2!AP135</f>
        <v>0</v>
      </c>
      <c r="AO135" s="25" t="str">
        <f>IF(Расчет!BF135=0,"X",Расчет!BF135)</f>
        <v>X</v>
      </c>
      <c r="AP135" s="25">
        <f>Расчет!BG135</f>
        <v>0</v>
      </c>
      <c r="AQ135" s="9">
        <f>IF(Расчет!BL135&lt;0,0,Расчет!BL135)</f>
        <v>0</v>
      </c>
      <c r="AR135" s="25">
        <f>IF(Расчет!BM135&lt;0,0,Расчет!BM135)</f>
        <v>0</v>
      </c>
      <c r="AS135" s="25">
        <f>IF(Расчет!BN135&lt;0,0,Расчет!BN135)</f>
        <v>0</v>
      </c>
      <c r="AT135" s="25">
        <f>Расчет!BY135</f>
        <v>0</v>
      </c>
      <c r="AU135" s="25">
        <f>Расчет!BZ135</f>
        <v>10</v>
      </c>
      <c r="AV135" s="25">
        <f>Расчет!CA135</f>
        <v>0</v>
      </c>
      <c r="AW135" s="25" t="str">
        <f>Расчет!CH135</f>
        <v>Аммофос 12:52:00</v>
      </c>
      <c r="AX135" s="25">
        <f>Расчет!DB135</f>
        <v>0</v>
      </c>
      <c r="AY135" s="25">
        <f>Расчет!DC135</f>
        <v>0</v>
      </c>
      <c r="AZ135" s="25">
        <f>Расчет!DG135</f>
        <v>0</v>
      </c>
      <c r="BA135" s="25">
        <f>Расчет!DH135</f>
        <v>0</v>
      </c>
      <c r="BB135" s="25">
        <f>Расчет!DI135</f>
        <v>0</v>
      </c>
      <c r="BC135" s="25" t="str">
        <f>Расчет!DR135</f>
        <v>Нет</v>
      </c>
      <c r="BD135" s="25">
        <f>Расчет!EB135</f>
        <v>0</v>
      </c>
      <c r="BE135" s="25">
        <f>Расчет!EF135</f>
        <v>0</v>
      </c>
      <c r="BF135" s="25" t="e">
        <f>Расчет!EI135</f>
        <v>#DIV/0!</v>
      </c>
      <c r="BG135" s="25" t="e">
        <f>Расчет!FA135</f>
        <v>#N/A</v>
      </c>
      <c r="BI135">
        <f>IF(Исходн.данные.!AH135=Исходн.данные.!$AC$4,0.6,1)</f>
        <v>1</v>
      </c>
      <c r="BJ135">
        <f>IF(Исходн.данные.!AH135=Исходн.данные.!$AC$4,0.8,IF(OR(Потребность!F135=Расчет2!$BI$10,Потребность!F135=Расчет2!$BI$7,Потребность!F135=Расчет2!$BK$14,Исходн.данные.!AI135=Исходн.данные.!$AI$11),1.3,1))</f>
        <v>1.3</v>
      </c>
      <c r="BK135">
        <f>IF(OR(Исходн.данные.!AH135=Исходн.данные.!$AD$7,Исходн.данные.!AH135=Исходн.данные.!$AD$8),0.75,1)</f>
        <v>1</v>
      </c>
    </row>
    <row r="136" spans="32:63" x14ac:dyDescent="0.2">
      <c r="AF136">
        <f>SUM(Исходн.данные.!AD136:AF136)</f>
        <v>0</v>
      </c>
      <c r="AG136" s="60">
        <f>SUM(Расчет!CI136:CK136)</f>
        <v>0.64</v>
      </c>
      <c r="AH136" s="60">
        <f>SUM(Расчет!DS136:DU136)</f>
        <v>0</v>
      </c>
      <c r="AI136" t="e">
        <f t="shared" si="2"/>
        <v>#N/A</v>
      </c>
      <c r="AJ136" t="e">
        <f t="shared" si="3"/>
        <v>#N/A</v>
      </c>
      <c r="AL136">
        <f>Потребность!G136*Потребность!H136</f>
        <v>0</v>
      </c>
      <c r="AM136" s="11" t="e">
        <f>Исходн.данные.!$AJ136*Расчет2!AO136</f>
        <v>#VALUE!</v>
      </c>
      <c r="AN136" s="11">
        <f>Исходн.данные.!$AJ136*Расчет2!AP136</f>
        <v>0</v>
      </c>
      <c r="AO136" s="25" t="str">
        <f>IF(Расчет!BF136=0,"X",Расчет!BF136)</f>
        <v>X</v>
      </c>
      <c r="AP136" s="25">
        <f>Расчет!BG136</f>
        <v>0</v>
      </c>
      <c r="AQ136" s="9">
        <f>IF(Расчет!BL136&lt;0,0,Расчет!BL136)</f>
        <v>0</v>
      </c>
      <c r="AR136" s="25">
        <f>IF(Расчет!BM136&lt;0,0,Расчет!BM136)</f>
        <v>0</v>
      </c>
      <c r="AS136" s="25">
        <f>IF(Расчет!BN136&lt;0,0,Расчет!BN136)</f>
        <v>0</v>
      </c>
      <c r="AT136" s="25">
        <f>Расчет!BY136</f>
        <v>0</v>
      </c>
      <c r="AU136" s="25">
        <f>Расчет!BZ136</f>
        <v>10</v>
      </c>
      <c r="AV136" s="25">
        <f>Расчет!CA136</f>
        <v>0</v>
      </c>
      <c r="AW136" s="25" t="str">
        <f>Расчет!CH136</f>
        <v>Аммофос 12:52:00</v>
      </c>
      <c r="AX136" s="25">
        <f>Расчет!DB136</f>
        <v>0</v>
      </c>
      <c r="AY136" s="25">
        <f>Расчет!DC136</f>
        <v>0</v>
      </c>
      <c r="AZ136" s="25">
        <f>Расчет!DG136</f>
        <v>0</v>
      </c>
      <c r="BA136" s="25">
        <f>Расчет!DH136</f>
        <v>0</v>
      </c>
      <c r="BB136" s="25">
        <f>Расчет!DI136</f>
        <v>0</v>
      </c>
      <c r="BC136" s="25" t="str">
        <f>Расчет!DR136</f>
        <v>Нет</v>
      </c>
      <c r="BD136" s="25">
        <f>Расчет!EB136</f>
        <v>0</v>
      </c>
      <c r="BE136" s="25">
        <f>Расчет!EF136</f>
        <v>0</v>
      </c>
      <c r="BF136" s="25" t="e">
        <f>Расчет!EI136</f>
        <v>#DIV/0!</v>
      </c>
      <c r="BG136" s="25" t="e">
        <f>Расчет!FA136</f>
        <v>#N/A</v>
      </c>
      <c r="BI136">
        <f>IF(Исходн.данные.!AH136=Исходн.данные.!$AC$4,0.6,1)</f>
        <v>1</v>
      </c>
      <c r="BJ136">
        <f>IF(Исходн.данные.!AH136=Исходн.данные.!$AC$4,0.8,IF(OR(Потребность!F136=Расчет2!$BI$10,Потребность!F136=Расчет2!$BI$7,Потребность!F136=Расчет2!$BK$14,Исходн.данные.!AI136=Исходн.данные.!$AI$11),1.3,1))</f>
        <v>1.3</v>
      </c>
      <c r="BK136">
        <f>IF(OR(Исходн.данные.!AH136=Исходн.данные.!$AD$7,Исходн.данные.!AH136=Исходн.данные.!$AD$8),0.75,1)</f>
        <v>1</v>
      </c>
    </row>
    <row r="137" spans="32:63" x14ac:dyDescent="0.2">
      <c r="AF137">
        <f>SUM(Исходн.данные.!AD137:AF137)</f>
        <v>0</v>
      </c>
      <c r="AG137" s="60">
        <f>SUM(Расчет!CI137:CK137)</f>
        <v>0.64</v>
      </c>
      <c r="AH137" s="60">
        <f>SUM(Расчет!DS137:DU137)</f>
        <v>0</v>
      </c>
      <c r="AI137" t="e">
        <f t="shared" si="2"/>
        <v>#N/A</v>
      </c>
      <c r="AJ137" t="e">
        <f t="shared" si="3"/>
        <v>#N/A</v>
      </c>
      <c r="AL137">
        <f>Потребность!G137*Потребность!H137</f>
        <v>0</v>
      </c>
      <c r="AM137" s="11" t="e">
        <f>Исходн.данные.!$AJ137*Расчет2!AO137</f>
        <v>#VALUE!</v>
      </c>
      <c r="AN137" s="11">
        <f>Исходн.данные.!$AJ137*Расчет2!AP137</f>
        <v>0</v>
      </c>
      <c r="AO137" s="25" t="str">
        <f>IF(Расчет!BF137=0,"X",Расчет!BF137)</f>
        <v>X</v>
      </c>
      <c r="AP137" s="25">
        <f>Расчет!BG137</f>
        <v>0</v>
      </c>
      <c r="AQ137" s="9">
        <f>IF(Расчет!BL137&lt;0,0,Расчет!BL137)</f>
        <v>0</v>
      </c>
      <c r="AR137" s="25">
        <f>IF(Расчет!BM137&lt;0,0,Расчет!BM137)</f>
        <v>0</v>
      </c>
      <c r="AS137" s="25">
        <f>IF(Расчет!BN137&lt;0,0,Расчет!BN137)</f>
        <v>0</v>
      </c>
      <c r="AT137" s="25">
        <f>Расчет!BY137</f>
        <v>0</v>
      </c>
      <c r="AU137" s="25">
        <f>Расчет!BZ137</f>
        <v>10</v>
      </c>
      <c r="AV137" s="25">
        <f>Расчет!CA137</f>
        <v>0</v>
      </c>
      <c r="AW137" s="25" t="str">
        <f>Расчет!CH137</f>
        <v>Аммофос 12:52:00</v>
      </c>
      <c r="AX137" s="25">
        <f>Расчет!DB137</f>
        <v>0</v>
      </c>
      <c r="AY137" s="25">
        <f>Расчет!DC137</f>
        <v>0</v>
      </c>
      <c r="AZ137" s="25">
        <f>Расчет!DG137</f>
        <v>0</v>
      </c>
      <c r="BA137" s="25">
        <f>Расчет!DH137</f>
        <v>0</v>
      </c>
      <c r="BB137" s="25">
        <f>Расчет!DI137</f>
        <v>0</v>
      </c>
      <c r="BC137" s="25" t="str">
        <f>Расчет!DR137</f>
        <v>Нет</v>
      </c>
      <c r="BD137" s="25">
        <f>Расчет!EB137</f>
        <v>0</v>
      </c>
      <c r="BE137" s="25">
        <f>Расчет!EF137</f>
        <v>0</v>
      </c>
      <c r="BF137" s="25" t="e">
        <f>Расчет!EI137</f>
        <v>#DIV/0!</v>
      </c>
      <c r="BG137" s="25" t="e">
        <f>Расчет!FA137</f>
        <v>#N/A</v>
      </c>
      <c r="BI137">
        <f>IF(Исходн.данные.!AH137=Исходн.данные.!$AC$4,0.6,1)</f>
        <v>1</v>
      </c>
      <c r="BJ137">
        <f>IF(Исходн.данные.!AH137=Исходн.данные.!$AC$4,0.8,IF(OR(Потребность!F137=Расчет2!$BI$10,Потребность!F137=Расчет2!$BI$7,Потребность!F137=Расчет2!$BK$14,Исходн.данные.!AI137=Исходн.данные.!$AI$11),1.3,1))</f>
        <v>1.3</v>
      </c>
      <c r="BK137">
        <f>IF(OR(Исходн.данные.!AH137=Исходн.данные.!$AD$7,Исходн.данные.!AH137=Исходн.данные.!$AD$8),0.75,1)</f>
        <v>1</v>
      </c>
    </row>
    <row r="138" spans="32:63" x14ac:dyDescent="0.2">
      <c r="AF138">
        <f>SUM(Исходн.данные.!AD138:AF138)</f>
        <v>0</v>
      </c>
      <c r="AG138" s="60">
        <f>SUM(Расчет!CI138:CK138)</f>
        <v>0.64</v>
      </c>
      <c r="AH138" s="60">
        <f>SUM(Расчет!DS138:DU138)</f>
        <v>0</v>
      </c>
      <c r="AI138" t="e">
        <f t="shared" si="2"/>
        <v>#N/A</v>
      </c>
      <c r="AJ138" t="e">
        <f t="shared" si="3"/>
        <v>#N/A</v>
      </c>
      <c r="AL138">
        <f>Потребность!G138*Потребность!H138</f>
        <v>0</v>
      </c>
      <c r="AM138" s="11" t="e">
        <f>Исходн.данные.!$AJ138*Расчет2!AO138</f>
        <v>#VALUE!</v>
      </c>
      <c r="AN138" s="11">
        <f>Исходн.данные.!$AJ138*Расчет2!AP138</f>
        <v>0</v>
      </c>
      <c r="AO138" s="25" t="str">
        <f>IF(Расчет!BF138=0,"X",Расчет!BF138)</f>
        <v>X</v>
      </c>
      <c r="AP138" s="25">
        <f>Расчет!BG138</f>
        <v>0</v>
      </c>
      <c r="AQ138" s="9">
        <f>IF(Расчет!BL138&lt;0,0,Расчет!BL138)</f>
        <v>0</v>
      </c>
      <c r="AR138" s="25">
        <f>IF(Расчет!BM138&lt;0,0,Расчет!BM138)</f>
        <v>0</v>
      </c>
      <c r="AS138" s="25">
        <f>IF(Расчет!BN138&lt;0,0,Расчет!BN138)</f>
        <v>0</v>
      </c>
      <c r="AT138" s="25">
        <f>Расчет!BY138</f>
        <v>0</v>
      </c>
      <c r="AU138" s="25">
        <f>Расчет!BZ138</f>
        <v>10</v>
      </c>
      <c r="AV138" s="25">
        <f>Расчет!CA138</f>
        <v>0</v>
      </c>
      <c r="AW138" s="25" t="str">
        <f>Расчет!CH138</f>
        <v>Аммофос 12:52:00</v>
      </c>
      <c r="AX138" s="25">
        <f>Расчет!DB138</f>
        <v>0</v>
      </c>
      <c r="AY138" s="25">
        <f>Расчет!DC138</f>
        <v>0</v>
      </c>
      <c r="AZ138" s="25">
        <f>Расчет!DG138</f>
        <v>0</v>
      </c>
      <c r="BA138" s="25">
        <f>Расчет!DH138</f>
        <v>0</v>
      </c>
      <c r="BB138" s="25">
        <f>Расчет!DI138</f>
        <v>0</v>
      </c>
      <c r="BC138" s="25" t="str">
        <f>Расчет!DR138</f>
        <v>Нет</v>
      </c>
      <c r="BD138" s="25">
        <f>Расчет!EB138</f>
        <v>0</v>
      </c>
      <c r="BE138" s="25">
        <f>Расчет!EF138</f>
        <v>0</v>
      </c>
      <c r="BF138" s="25" t="e">
        <f>Расчет!EI138</f>
        <v>#DIV/0!</v>
      </c>
      <c r="BG138" s="25" t="e">
        <f>Расчет!FA138</f>
        <v>#N/A</v>
      </c>
      <c r="BI138">
        <f>IF(Исходн.данные.!AH138=Исходн.данные.!$AC$4,0.6,1)</f>
        <v>1</v>
      </c>
      <c r="BJ138">
        <f>IF(Исходн.данные.!AH138=Исходн.данные.!$AC$4,0.8,IF(OR(Потребность!F138=Расчет2!$BI$10,Потребность!F138=Расчет2!$BI$7,Потребность!F138=Расчет2!$BK$14,Исходн.данные.!AI138=Исходн.данные.!$AI$11),1.3,1))</f>
        <v>1.3</v>
      </c>
      <c r="BK138">
        <f>IF(OR(Исходн.данные.!AH138=Исходн.данные.!$AD$7,Исходн.данные.!AH138=Исходн.данные.!$AD$8),0.75,1)</f>
        <v>1</v>
      </c>
    </row>
    <row r="139" spans="32:63" x14ac:dyDescent="0.2">
      <c r="AF139">
        <f>SUM(Исходн.данные.!AD139:AF139)</f>
        <v>0</v>
      </c>
      <c r="AG139" s="60">
        <f>SUM(Расчет!CI139:CK139)</f>
        <v>0.64</v>
      </c>
      <c r="AH139" s="60">
        <f>SUM(Расчет!DS139:DU139)</f>
        <v>0</v>
      </c>
      <c r="AI139" t="e">
        <f t="shared" si="2"/>
        <v>#N/A</v>
      </c>
      <c r="AJ139" t="e">
        <f t="shared" si="3"/>
        <v>#N/A</v>
      </c>
      <c r="AL139">
        <f>Потребность!G139*Потребность!H139</f>
        <v>0</v>
      </c>
      <c r="AM139" s="11" t="e">
        <f>Исходн.данные.!$AJ139*Расчет2!AO139</f>
        <v>#VALUE!</v>
      </c>
      <c r="AN139" s="11">
        <f>Исходн.данные.!$AJ139*Расчет2!AP139</f>
        <v>0</v>
      </c>
      <c r="AO139" s="25" t="str">
        <f>IF(Расчет!BF139=0,"X",Расчет!BF139)</f>
        <v>X</v>
      </c>
      <c r="AP139" s="25">
        <f>Расчет!BG139</f>
        <v>0</v>
      </c>
      <c r="AQ139" s="9">
        <f>IF(Расчет!BL139&lt;0,0,Расчет!BL139)</f>
        <v>0</v>
      </c>
      <c r="AR139" s="25">
        <f>IF(Расчет!BM139&lt;0,0,Расчет!BM139)</f>
        <v>0</v>
      </c>
      <c r="AS139" s="25">
        <f>IF(Расчет!BN139&lt;0,0,Расчет!BN139)</f>
        <v>0</v>
      </c>
      <c r="AT139" s="25">
        <f>Расчет!BY139</f>
        <v>0</v>
      </c>
      <c r="AU139" s="25">
        <f>Расчет!BZ139</f>
        <v>10</v>
      </c>
      <c r="AV139" s="25">
        <f>Расчет!CA139</f>
        <v>0</v>
      </c>
      <c r="AW139" s="25" t="str">
        <f>Расчет!CH139</f>
        <v>Аммофос 12:52:00</v>
      </c>
      <c r="AX139" s="25">
        <f>Расчет!DB139</f>
        <v>0</v>
      </c>
      <c r="AY139" s="25">
        <f>Расчет!DC139</f>
        <v>0</v>
      </c>
      <c r="AZ139" s="25">
        <f>Расчет!DG139</f>
        <v>0</v>
      </c>
      <c r="BA139" s="25">
        <f>Расчет!DH139</f>
        <v>0</v>
      </c>
      <c r="BB139" s="25">
        <f>Расчет!DI139</f>
        <v>0</v>
      </c>
      <c r="BC139" s="25" t="str">
        <f>Расчет!DR139</f>
        <v>Нет</v>
      </c>
      <c r="BD139" s="25">
        <f>Расчет!EB139</f>
        <v>0</v>
      </c>
      <c r="BE139" s="25">
        <f>Расчет!EF139</f>
        <v>0</v>
      </c>
      <c r="BF139" s="25" t="e">
        <f>Расчет!EI139</f>
        <v>#DIV/0!</v>
      </c>
      <c r="BG139" s="25" t="e">
        <f>Расчет!FA139</f>
        <v>#N/A</v>
      </c>
      <c r="BI139">
        <f>IF(Исходн.данные.!AH139=Исходн.данные.!$AC$4,0.6,1)</f>
        <v>1</v>
      </c>
      <c r="BJ139">
        <f>IF(Исходн.данные.!AH139=Исходн.данные.!$AC$4,0.8,IF(OR(Потребность!F139=Расчет2!$BI$10,Потребность!F139=Расчет2!$BI$7,Потребность!F139=Расчет2!$BK$14,Исходн.данные.!AI139=Исходн.данные.!$AI$11),1.3,1))</f>
        <v>1.3</v>
      </c>
      <c r="BK139">
        <f>IF(OR(Исходн.данные.!AH139=Исходн.данные.!$AD$7,Исходн.данные.!AH139=Исходн.данные.!$AD$8),0.75,1)</f>
        <v>1</v>
      </c>
    </row>
    <row r="140" spans="32:63" x14ac:dyDescent="0.2">
      <c r="AF140">
        <f>SUM(Исходн.данные.!AD140:AF140)</f>
        <v>0</v>
      </c>
      <c r="AG140" s="60">
        <f>SUM(Расчет!CI140:CK140)</f>
        <v>0.64</v>
      </c>
      <c r="AH140" s="60">
        <f>SUM(Расчет!DS140:DU140)</f>
        <v>0</v>
      </c>
      <c r="AI140" t="e">
        <f t="shared" si="2"/>
        <v>#N/A</v>
      </c>
      <c r="AJ140" t="e">
        <f t="shared" si="3"/>
        <v>#N/A</v>
      </c>
      <c r="AL140">
        <f>Потребность!G140*Потребность!H140</f>
        <v>0</v>
      </c>
      <c r="AM140" s="11" t="e">
        <f>Исходн.данные.!$AJ140*Расчет2!AO140</f>
        <v>#VALUE!</v>
      </c>
      <c r="AN140" s="11">
        <f>Исходн.данные.!$AJ140*Расчет2!AP140</f>
        <v>0</v>
      </c>
      <c r="AO140" s="25" t="str">
        <f>IF(Расчет!BF140=0,"X",Расчет!BF140)</f>
        <v>X</v>
      </c>
      <c r="AP140" s="25">
        <f>Расчет!BG140</f>
        <v>0</v>
      </c>
      <c r="AQ140" s="9">
        <f>IF(Расчет!BL140&lt;0,0,Расчет!BL140)</f>
        <v>0</v>
      </c>
      <c r="AR140" s="25">
        <f>IF(Расчет!BM140&lt;0,0,Расчет!BM140)</f>
        <v>0</v>
      </c>
      <c r="AS140" s="25">
        <f>IF(Расчет!BN140&lt;0,0,Расчет!BN140)</f>
        <v>0</v>
      </c>
      <c r="AT140" s="25">
        <f>Расчет!BY140</f>
        <v>0</v>
      </c>
      <c r="AU140" s="25">
        <f>Расчет!BZ140</f>
        <v>10</v>
      </c>
      <c r="AV140" s="25">
        <f>Расчет!CA140</f>
        <v>0</v>
      </c>
      <c r="AW140" s="25" t="str">
        <f>Расчет!CH140</f>
        <v>Аммофос 12:52:00</v>
      </c>
      <c r="AX140" s="25">
        <f>Расчет!DB140</f>
        <v>0</v>
      </c>
      <c r="AY140" s="25">
        <f>Расчет!DC140</f>
        <v>0</v>
      </c>
      <c r="AZ140" s="25">
        <f>Расчет!DG140</f>
        <v>0</v>
      </c>
      <c r="BA140" s="25">
        <f>Расчет!DH140</f>
        <v>0</v>
      </c>
      <c r="BB140" s="25">
        <f>Расчет!DI140</f>
        <v>0</v>
      </c>
      <c r="BC140" s="25" t="str">
        <f>Расчет!DR140</f>
        <v>Нет</v>
      </c>
      <c r="BD140" s="25">
        <f>Расчет!EB140</f>
        <v>0</v>
      </c>
      <c r="BE140" s="25">
        <f>Расчет!EF140</f>
        <v>0</v>
      </c>
      <c r="BF140" s="25" t="e">
        <f>Расчет!EI140</f>
        <v>#DIV/0!</v>
      </c>
      <c r="BG140" s="25" t="e">
        <f>Расчет!FA140</f>
        <v>#N/A</v>
      </c>
      <c r="BI140">
        <f>IF(Исходн.данные.!AH140=Исходн.данные.!$AC$4,0.6,1)</f>
        <v>1</v>
      </c>
      <c r="BJ140">
        <f>IF(Исходн.данные.!AH140=Исходн.данные.!$AC$4,0.8,IF(OR(Потребность!F140=Расчет2!$BI$10,Потребность!F140=Расчет2!$BI$7,Потребность!F140=Расчет2!$BK$14,Исходн.данные.!AI140=Исходн.данные.!$AI$11),1.3,1))</f>
        <v>1.3</v>
      </c>
      <c r="BK140">
        <f>IF(OR(Исходн.данные.!AH140=Исходн.данные.!$AD$7,Исходн.данные.!AH140=Исходн.данные.!$AD$8),0.75,1)</f>
        <v>1</v>
      </c>
    </row>
    <row r="141" spans="32:63" x14ac:dyDescent="0.2">
      <c r="AF141">
        <f>SUM(Исходн.данные.!AD141:AF141)</f>
        <v>0</v>
      </c>
      <c r="AG141" s="60">
        <f>SUM(Расчет!CI141:CK141)</f>
        <v>0.64</v>
      </c>
      <c r="AH141" s="60">
        <f>SUM(Расчет!DS141:DU141)</f>
        <v>0</v>
      </c>
      <c r="AI141" t="e">
        <f t="shared" si="2"/>
        <v>#N/A</v>
      </c>
      <c r="AJ141" t="e">
        <f t="shared" si="3"/>
        <v>#N/A</v>
      </c>
      <c r="AL141">
        <f>Потребность!G141*Потребность!H141</f>
        <v>0</v>
      </c>
      <c r="AM141" s="11" t="e">
        <f>Исходн.данные.!$AJ141*Расчет2!AO141</f>
        <v>#VALUE!</v>
      </c>
      <c r="AN141" s="11">
        <f>Исходн.данные.!$AJ141*Расчет2!AP141</f>
        <v>0</v>
      </c>
      <c r="AO141" s="25" t="str">
        <f>IF(Расчет!BF141=0,"X",Расчет!BF141)</f>
        <v>X</v>
      </c>
      <c r="AP141" s="25">
        <f>Расчет!BG141</f>
        <v>0</v>
      </c>
      <c r="AQ141" s="9">
        <f>IF(Расчет!BL141&lt;0,0,Расчет!BL141)</f>
        <v>0</v>
      </c>
      <c r="AR141" s="25">
        <f>IF(Расчет!BM141&lt;0,0,Расчет!BM141)</f>
        <v>0</v>
      </c>
      <c r="AS141" s="25">
        <f>IF(Расчет!BN141&lt;0,0,Расчет!BN141)</f>
        <v>0</v>
      </c>
      <c r="AT141" s="25">
        <f>Расчет!BY141</f>
        <v>0</v>
      </c>
      <c r="AU141" s="25">
        <f>Расчет!BZ141</f>
        <v>10</v>
      </c>
      <c r="AV141" s="25">
        <f>Расчет!CA141</f>
        <v>0</v>
      </c>
      <c r="AW141" s="25" t="str">
        <f>Расчет!CH141</f>
        <v>Аммофос 12:52:00</v>
      </c>
      <c r="AX141" s="25">
        <f>Расчет!DB141</f>
        <v>0</v>
      </c>
      <c r="AY141" s="25">
        <f>Расчет!DC141</f>
        <v>0</v>
      </c>
      <c r="AZ141" s="25">
        <f>Расчет!DG141</f>
        <v>0</v>
      </c>
      <c r="BA141" s="25">
        <f>Расчет!DH141</f>
        <v>0</v>
      </c>
      <c r="BB141" s="25">
        <f>Расчет!DI141</f>
        <v>0</v>
      </c>
      <c r="BC141" s="25" t="str">
        <f>Расчет!DR141</f>
        <v>Нет</v>
      </c>
      <c r="BD141" s="25">
        <f>Расчет!EB141</f>
        <v>0</v>
      </c>
      <c r="BE141" s="25">
        <f>Расчет!EF141</f>
        <v>0</v>
      </c>
      <c r="BF141" s="25" t="e">
        <f>Расчет!EI141</f>
        <v>#DIV/0!</v>
      </c>
      <c r="BG141" s="25" t="e">
        <f>Расчет!FA141</f>
        <v>#N/A</v>
      </c>
      <c r="BI141">
        <f>IF(Исходн.данные.!AH141=Исходн.данные.!$AC$4,0.6,1)</f>
        <v>1</v>
      </c>
      <c r="BJ141">
        <f>IF(Исходн.данные.!AH141=Исходн.данные.!$AC$4,0.8,IF(OR(Потребность!F141=Расчет2!$BI$10,Потребность!F141=Расчет2!$BI$7,Потребность!F141=Расчет2!$BK$14,Исходн.данные.!AI141=Исходн.данные.!$AI$11),1.3,1))</f>
        <v>1.3</v>
      </c>
      <c r="BK141">
        <f>IF(OR(Исходн.данные.!AH141=Исходн.данные.!$AD$7,Исходн.данные.!AH141=Исходн.данные.!$AD$8),0.75,1)</f>
        <v>1</v>
      </c>
    </row>
    <row r="142" spans="32:63" x14ac:dyDescent="0.2">
      <c r="AF142">
        <f>SUM(Исходн.данные.!AD142:AF142)</f>
        <v>0</v>
      </c>
      <c r="AG142" s="60">
        <f>SUM(Расчет!CI142:CK142)</f>
        <v>0.64</v>
      </c>
      <c r="AH142" s="60">
        <f>SUM(Расчет!DS142:DU142)</f>
        <v>0</v>
      </c>
      <c r="AI142" t="e">
        <f t="shared" si="2"/>
        <v>#N/A</v>
      </c>
      <c r="AJ142" t="e">
        <f t="shared" si="3"/>
        <v>#N/A</v>
      </c>
      <c r="AL142">
        <f>Потребность!G142*Потребность!H142</f>
        <v>0</v>
      </c>
      <c r="AM142" s="11" t="e">
        <f>Исходн.данные.!$AJ142*Расчет2!AO142</f>
        <v>#VALUE!</v>
      </c>
      <c r="AN142" s="11">
        <f>Исходн.данные.!$AJ142*Расчет2!AP142</f>
        <v>0</v>
      </c>
      <c r="AO142" s="25" t="str">
        <f>IF(Расчет!BF142=0,"X",Расчет!BF142)</f>
        <v>X</v>
      </c>
      <c r="AP142" s="25">
        <f>Расчет!BG142</f>
        <v>0</v>
      </c>
      <c r="AQ142" s="9">
        <f>IF(Расчет!BL142&lt;0,0,Расчет!BL142)</f>
        <v>0</v>
      </c>
      <c r="AR142" s="25">
        <f>IF(Расчет!BM142&lt;0,0,Расчет!BM142)</f>
        <v>0</v>
      </c>
      <c r="AS142" s="25">
        <f>IF(Расчет!BN142&lt;0,0,Расчет!BN142)</f>
        <v>0</v>
      </c>
      <c r="AT142" s="25">
        <f>Расчет!BY142</f>
        <v>0</v>
      </c>
      <c r="AU142" s="25">
        <f>Расчет!BZ142</f>
        <v>10</v>
      </c>
      <c r="AV142" s="25">
        <f>Расчет!CA142</f>
        <v>0</v>
      </c>
      <c r="AW142" s="25" t="str">
        <f>Расчет!CH142</f>
        <v>Аммофос 12:52:00</v>
      </c>
      <c r="AX142" s="25">
        <f>Расчет!DB142</f>
        <v>0</v>
      </c>
      <c r="AY142" s="25">
        <f>Расчет!DC142</f>
        <v>0</v>
      </c>
      <c r="AZ142" s="25">
        <f>Расчет!DG142</f>
        <v>0</v>
      </c>
      <c r="BA142" s="25">
        <f>Расчет!DH142</f>
        <v>0</v>
      </c>
      <c r="BB142" s="25">
        <f>Расчет!DI142</f>
        <v>0</v>
      </c>
      <c r="BC142" s="25" t="str">
        <f>Расчет!DR142</f>
        <v>Нет</v>
      </c>
      <c r="BD142" s="25">
        <f>Расчет!EB142</f>
        <v>0</v>
      </c>
      <c r="BE142" s="25">
        <f>Расчет!EF142</f>
        <v>0</v>
      </c>
      <c r="BF142" s="25" t="e">
        <f>Расчет!EI142</f>
        <v>#DIV/0!</v>
      </c>
      <c r="BG142" s="25" t="e">
        <f>Расчет!FA142</f>
        <v>#N/A</v>
      </c>
      <c r="BI142">
        <f>IF(Исходн.данные.!AH142=Исходн.данные.!$AC$4,0.6,1)</f>
        <v>1</v>
      </c>
      <c r="BJ142">
        <f>IF(Исходн.данные.!AH142=Исходн.данные.!$AC$4,0.8,IF(OR(Потребность!F142=Расчет2!$BI$10,Потребность!F142=Расчет2!$BI$7,Потребность!F142=Расчет2!$BK$14,Исходн.данные.!AI142=Исходн.данные.!$AI$11),1.3,1))</f>
        <v>1.3</v>
      </c>
      <c r="BK142">
        <f>IF(OR(Исходн.данные.!AH142=Исходн.данные.!$AD$7,Исходн.данные.!AH142=Исходн.данные.!$AD$8),0.75,1)</f>
        <v>1</v>
      </c>
    </row>
    <row r="143" spans="32:63" x14ac:dyDescent="0.2">
      <c r="AF143">
        <f>SUM(Исходн.данные.!AD143:AF143)</f>
        <v>0</v>
      </c>
      <c r="AG143" s="60">
        <f>SUM(Расчет!CI143:CK143)</f>
        <v>0.64</v>
      </c>
      <c r="AH143" s="60">
        <f>SUM(Расчет!DS143:DU143)</f>
        <v>0</v>
      </c>
      <c r="AI143" t="e">
        <f t="shared" si="2"/>
        <v>#N/A</v>
      </c>
      <c r="AJ143" t="e">
        <f t="shared" si="3"/>
        <v>#N/A</v>
      </c>
      <c r="AL143">
        <f>Потребность!G143*Потребность!H143</f>
        <v>0</v>
      </c>
      <c r="AM143" s="11" t="e">
        <f>Исходн.данные.!$AJ143*Расчет2!AO143</f>
        <v>#VALUE!</v>
      </c>
      <c r="AN143" s="11">
        <f>Исходн.данные.!$AJ143*Расчет2!AP143</f>
        <v>0</v>
      </c>
      <c r="AO143" s="25" t="str">
        <f>IF(Расчет!BF143=0,"X",Расчет!BF143)</f>
        <v>X</v>
      </c>
      <c r="AP143" s="25">
        <f>Расчет!BG143</f>
        <v>0</v>
      </c>
      <c r="AQ143" s="9">
        <f>IF(Расчет!BL143&lt;0,0,Расчет!BL143)</f>
        <v>0</v>
      </c>
      <c r="AR143" s="25">
        <f>IF(Расчет!BM143&lt;0,0,Расчет!BM143)</f>
        <v>0</v>
      </c>
      <c r="AS143" s="25">
        <f>IF(Расчет!BN143&lt;0,0,Расчет!BN143)</f>
        <v>0</v>
      </c>
      <c r="AT143" s="25">
        <f>Расчет!BY143</f>
        <v>0</v>
      </c>
      <c r="AU143" s="25">
        <f>Расчет!BZ143</f>
        <v>10</v>
      </c>
      <c r="AV143" s="25">
        <f>Расчет!CA143</f>
        <v>0</v>
      </c>
      <c r="AW143" s="25" t="str">
        <f>Расчет!CH143</f>
        <v>Аммофос 12:52:00</v>
      </c>
      <c r="AX143" s="25">
        <f>Расчет!DB143</f>
        <v>0</v>
      </c>
      <c r="AY143" s="25">
        <f>Расчет!DC143</f>
        <v>0</v>
      </c>
      <c r="AZ143" s="25">
        <f>Расчет!DG143</f>
        <v>0</v>
      </c>
      <c r="BA143" s="25">
        <f>Расчет!DH143</f>
        <v>0</v>
      </c>
      <c r="BB143" s="25">
        <f>Расчет!DI143</f>
        <v>0</v>
      </c>
      <c r="BC143" s="25" t="str">
        <f>Расчет!DR143</f>
        <v>Нет</v>
      </c>
      <c r="BD143" s="25">
        <f>Расчет!EB143</f>
        <v>0</v>
      </c>
      <c r="BE143" s="25">
        <f>Расчет!EF143</f>
        <v>0</v>
      </c>
      <c r="BF143" s="25" t="e">
        <f>Расчет!EI143</f>
        <v>#DIV/0!</v>
      </c>
      <c r="BG143" s="25" t="e">
        <f>Расчет!FA143</f>
        <v>#N/A</v>
      </c>
      <c r="BI143">
        <f>IF(Исходн.данные.!AH143=Исходн.данные.!$AC$4,0.6,1)</f>
        <v>1</v>
      </c>
      <c r="BJ143">
        <f>IF(Исходн.данные.!AH143=Исходн.данные.!$AC$4,0.8,IF(OR(Потребность!F143=Расчет2!$BI$10,Потребность!F143=Расчет2!$BI$7,Потребность!F143=Расчет2!$BK$14,Исходн.данные.!AI143=Исходн.данные.!$AI$11),1.3,1))</f>
        <v>1.3</v>
      </c>
      <c r="BK143">
        <f>IF(OR(Исходн.данные.!AH143=Исходн.данные.!$AD$7,Исходн.данные.!AH143=Исходн.данные.!$AD$8),0.75,1)</f>
        <v>1</v>
      </c>
    </row>
    <row r="144" spans="32:63" x14ac:dyDescent="0.2">
      <c r="AF144">
        <f>SUM(Исходн.данные.!AD144:AF144)</f>
        <v>0</v>
      </c>
      <c r="AG144" s="60">
        <f>SUM(Расчет!CI144:CK144)</f>
        <v>0.64</v>
      </c>
      <c r="AH144" s="60">
        <f>SUM(Расчет!DS144:DU144)</f>
        <v>0</v>
      </c>
      <c r="AI144" t="e">
        <f t="shared" si="2"/>
        <v>#N/A</v>
      </c>
      <c r="AJ144" t="e">
        <f t="shared" si="3"/>
        <v>#N/A</v>
      </c>
      <c r="AL144">
        <f>Потребность!G144*Потребность!H144</f>
        <v>0</v>
      </c>
      <c r="AM144" s="11" t="e">
        <f>Исходн.данные.!$AJ144*Расчет2!AO144</f>
        <v>#VALUE!</v>
      </c>
      <c r="AN144" s="11">
        <f>Исходн.данные.!$AJ144*Расчет2!AP144</f>
        <v>0</v>
      </c>
      <c r="AO144" s="25" t="str">
        <f>IF(Расчет!BF144=0,"X",Расчет!BF144)</f>
        <v>X</v>
      </c>
      <c r="AP144" s="25">
        <f>Расчет!BG144</f>
        <v>0</v>
      </c>
      <c r="AQ144" s="9">
        <f>IF(Расчет!BL144&lt;0,0,Расчет!BL144)</f>
        <v>0</v>
      </c>
      <c r="AR144" s="25">
        <f>IF(Расчет!BM144&lt;0,0,Расчет!BM144)</f>
        <v>0</v>
      </c>
      <c r="AS144" s="25">
        <f>IF(Расчет!BN144&lt;0,0,Расчет!BN144)</f>
        <v>0</v>
      </c>
      <c r="AT144" s="25">
        <f>Расчет!BY144</f>
        <v>0</v>
      </c>
      <c r="AU144" s="25">
        <f>Расчет!BZ144</f>
        <v>10</v>
      </c>
      <c r="AV144" s="25">
        <f>Расчет!CA144</f>
        <v>0</v>
      </c>
      <c r="AW144" s="25" t="str">
        <f>Расчет!CH144</f>
        <v>Аммофос 12:52:00</v>
      </c>
      <c r="AX144" s="25">
        <f>Расчет!DB144</f>
        <v>0</v>
      </c>
      <c r="AY144" s="25">
        <f>Расчет!DC144</f>
        <v>0</v>
      </c>
      <c r="AZ144" s="25">
        <f>Расчет!DG144</f>
        <v>0</v>
      </c>
      <c r="BA144" s="25">
        <f>Расчет!DH144</f>
        <v>0</v>
      </c>
      <c r="BB144" s="25">
        <f>Расчет!DI144</f>
        <v>0</v>
      </c>
      <c r="BC144" s="25" t="str">
        <f>Расчет!DR144</f>
        <v>Нет</v>
      </c>
      <c r="BD144" s="25">
        <f>Расчет!EB144</f>
        <v>0</v>
      </c>
      <c r="BE144" s="25">
        <f>Расчет!EF144</f>
        <v>0</v>
      </c>
      <c r="BF144" s="25" t="e">
        <f>Расчет!EI144</f>
        <v>#DIV/0!</v>
      </c>
      <c r="BG144" s="25" t="e">
        <f>Расчет!FA144</f>
        <v>#N/A</v>
      </c>
      <c r="BI144">
        <f>IF(Исходн.данные.!AH144=Исходн.данные.!$AC$4,0.6,1)</f>
        <v>1</v>
      </c>
      <c r="BJ144">
        <f>IF(Исходн.данные.!AH144=Исходн.данные.!$AC$4,0.8,IF(OR(Потребность!F144=Расчет2!$BI$10,Потребность!F144=Расчет2!$BI$7,Потребность!F144=Расчет2!$BK$14,Исходн.данные.!AI144=Исходн.данные.!$AI$11),1.3,1))</f>
        <v>1.3</v>
      </c>
      <c r="BK144">
        <f>IF(OR(Исходн.данные.!AH144=Исходн.данные.!$AD$7,Исходн.данные.!AH144=Исходн.данные.!$AD$8),0.75,1)</f>
        <v>1</v>
      </c>
    </row>
    <row r="145" spans="32:63" x14ac:dyDescent="0.2">
      <c r="AF145">
        <f>SUM(Исходн.данные.!AD145:AF145)</f>
        <v>0</v>
      </c>
      <c r="AG145" s="60">
        <f>SUM(Расчет!CI145:CK145)</f>
        <v>0.64</v>
      </c>
      <c r="AH145" s="60">
        <f>SUM(Расчет!DS145:DU145)</f>
        <v>0</v>
      </c>
      <c r="AI145" t="e">
        <f t="shared" si="2"/>
        <v>#N/A</v>
      </c>
      <c r="AJ145" t="e">
        <f t="shared" si="3"/>
        <v>#N/A</v>
      </c>
      <c r="AL145">
        <f>Потребность!G145*Потребность!H145</f>
        <v>0</v>
      </c>
      <c r="AM145" s="11" t="e">
        <f>Исходн.данные.!$AJ145*Расчет2!AO145</f>
        <v>#VALUE!</v>
      </c>
      <c r="AN145" s="11">
        <f>Исходн.данные.!$AJ145*Расчет2!AP145</f>
        <v>0</v>
      </c>
      <c r="AO145" s="25" t="str">
        <f>IF(Расчет!BF145=0,"X",Расчет!BF145)</f>
        <v>X</v>
      </c>
      <c r="AP145" s="25">
        <f>Расчет!BG145</f>
        <v>0</v>
      </c>
      <c r="AQ145" s="9">
        <f>IF(Расчет!BL145&lt;0,0,Расчет!BL145)</f>
        <v>0</v>
      </c>
      <c r="AR145" s="25">
        <f>IF(Расчет!BM145&lt;0,0,Расчет!BM145)</f>
        <v>0</v>
      </c>
      <c r="AS145" s="25">
        <f>IF(Расчет!BN145&lt;0,0,Расчет!BN145)</f>
        <v>0</v>
      </c>
      <c r="AT145" s="25">
        <f>Расчет!BY145</f>
        <v>0</v>
      </c>
      <c r="AU145" s="25">
        <f>Расчет!BZ145</f>
        <v>10</v>
      </c>
      <c r="AV145" s="25">
        <f>Расчет!CA145</f>
        <v>0</v>
      </c>
      <c r="AW145" s="25" t="str">
        <f>Расчет!CH145</f>
        <v>Аммофос 12:52:00</v>
      </c>
      <c r="AX145" s="25">
        <f>Расчет!DB145</f>
        <v>0</v>
      </c>
      <c r="AY145" s="25">
        <f>Расчет!DC145</f>
        <v>0</v>
      </c>
      <c r="AZ145" s="25">
        <f>Расчет!DG145</f>
        <v>0</v>
      </c>
      <c r="BA145" s="25">
        <f>Расчет!DH145</f>
        <v>0</v>
      </c>
      <c r="BB145" s="25">
        <f>Расчет!DI145</f>
        <v>0</v>
      </c>
      <c r="BC145" s="25" t="str">
        <f>Расчет!DR145</f>
        <v>Нет</v>
      </c>
      <c r="BD145" s="25">
        <f>Расчет!EB145</f>
        <v>0</v>
      </c>
      <c r="BE145" s="25">
        <f>Расчет!EF145</f>
        <v>0</v>
      </c>
      <c r="BF145" s="25" t="e">
        <f>Расчет!EI145</f>
        <v>#DIV/0!</v>
      </c>
      <c r="BG145" s="25" t="e">
        <f>Расчет!FA145</f>
        <v>#N/A</v>
      </c>
      <c r="BI145">
        <f>IF(Исходн.данные.!AH145=Исходн.данные.!$AC$4,0.6,1)</f>
        <v>1</v>
      </c>
      <c r="BJ145">
        <f>IF(Исходн.данные.!AH145=Исходн.данные.!$AC$4,0.8,IF(OR(Потребность!F145=Расчет2!$BI$10,Потребность!F145=Расчет2!$BI$7,Потребность!F145=Расчет2!$BK$14,Исходн.данные.!AI145=Исходн.данные.!$AI$11),1.3,1))</f>
        <v>1.3</v>
      </c>
      <c r="BK145">
        <f>IF(OR(Исходн.данные.!AH145=Исходн.данные.!$AD$7,Исходн.данные.!AH145=Исходн.данные.!$AD$8),0.75,1)</f>
        <v>1</v>
      </c>
    </row>
    <row r="146" spans="32:63" x14ac:dyDescent="0.2">
      <c r="AF146">
        <f>SUM(Исходн.данные.!AD146:AF146)</f>
        <v>0</v>
      </c>
      <c r="AG146" s="60">
        <f>SUM(Расчет!CI146:CK146)</f>
        <v>0.64</v>
      </c>
      <c r="AH146" s="60">
        <f>SUM(Расчет!DS146:DU146)</f>
        <v>0</v>
      </c>
      <c r="AI146" t="e">
        <f t="shared" si="2"/>
        <v>#N/A</v>
      </c>
      <c r="AJ146" t="e">
        <f t="shared" si="3"/>
        <v>#N/A</v>
      </c>
      <c r="AL146">
        <f>Потребность!G146*Потребность!H146</f>
        <v>0</v>
      </c>
      <c r="AM146" s="11" t="e">
        <f>Исходн.данные.!$AJ146*Расчет2!AO146</f>
        <v>#VALUE!</v>
      </c>
      <c r="AN146" s="11">
        <f>Исходн.данные.!$AJ146*Расчет2!AP146</f>
        <v>0</v>
      </c>
      <c r="AO146" s="25" t="str">
        <f>IF(Расчет!BF146=0,"X",Расчет!BF146)</f>
        <v>X</v>
      </c>
      <c r="AP146" s="25">
        <f>Расчет!BG146</f>
        <v>0</v>
      </c>
      <c r="AQ146" s="9">
        <f>IF(Расчет!BL146&lt;0,0,Расчет!BL146)</f>
        <v>0</v>
      </c>
      <c r="AR146" s="25">
        <f>IF(Расчет!BM146&lt;0,0,Расчет!BM146)</f>
        <v>0</v>
      </c>
      <c r="AS146" s="25">
        <f>IF(Расчет!BN146&lt;0,0,Расчет!BN146)</f>
        <v>0</v>
      </c>
      <c r="AT146" s="25">
        <f>Расчет!BY146</f>
        <v>0</v>
      </c>
      <c r="AU146" s="25">
        <f>Расчет!BZ146</f>
        <v>10</v>
      </c>
      <c r="AV146" s="25">
        <f>Расчет!CA146</f>
        <v>0</v>
      </c>
      <c r="AW146" s="25" t="str">
        <f>Расчет!CH146</f>
        <v>Аммофос 12:52:00</v>
      </c>
      <c r="AX146" s="25">
        <f>Расчет!DB146</f>
        <v>0</v>
      </c>
      <c r="AY146" s="25">
        <f>Расчет!DC146</f>
        <v>0</v>
      </c>
      <c r="AZ146" s="25">
        <f>Расчет!DG146</f>
        <v>0</v>
      </c>
      <c r="BA146" s="25">
        <f>Расчет!DH146</f>
        <v>0</v>
      </c>
      <c r="BB146" s="25">
        <f>Расчет!DI146</f>
        <v>0</v>
      </c>
      <c r="BC146" s="25" t="str">
        <f>Расчет!DR146</f>
        <v>Нет</v>
      </c>
      <c r="BD146" s="25">
        <f>Расчет!EB146</f>
        <v>0</v>
      </c>
      <c r="BE146" s="25">
        <f>Расчет!EF146</f>
        <v>0</v>
      </c>
      <c r="BF146" s="25" t="e">
        <f>Расчет!EI146</f>
        <v>#DIV/0!</v>
      </c>
      <c r="BG146" s="25" t="e">
        <f>Расчет!FA146</f>
        <v>#N/A</v>
      </c>
      <c r="BI146">
        <f>IF(Исходн.данные.!AH146=Исходн.данные.!$AC$4,0.6,1)</f>
        <v>1</v>
      </c>
      <c r="BJ146">
        <f>IF(Исходн.данные.!AH146=Исходн.данные.!$AC$4,0.8,IF(OR(Потребность!F146=Расчет2!$BI$10,Потребность!F146=Расчет2!$BI$7,Потребность!F146=Расчет2!$BK$14,Исходн.данные.!AI146=Исходн.данные.!$AI$11),1.3,1))</f>
        <v>1.3</v>
      </c>
      <c r="BK146">
        <f>IF(OR(Исходн.данные.!AH146=Исходн.данные.!$AD$7,Исходн.данные.!AH146=Исходн.данные.!$AD$8),0.75,1)</f>
        <v>1</v>
      </c>
    </row>
    <row r="147" spans="32:63" x14ac:dyDescent="0.2">
      <c r="AF147">
        <f>SUM(Исходн.данные.!AD147:AF147)</f>
        <v>0</v>
      </c>
      <c r="AG147" s="60">
        <f>SUM(Расчет!CI147:CK147)</f>
        <v>0.64</v>
      </c>
      <c r="AH147" s="60">
        <f>SUM(Расчет!DS147:DU147)</f>
        <v>0</v>
      </c>
      <c r="AI147" t="e">
        <f t="shared" si="2"/>
        <v>#N/A</v>
      </c>
      <c r="AJ147" t="e">
        <f t="shared" si="3"/>
        <v>#N/A</v>
      </c>
      <c r="AL147">
        <f>Потребность!G147*Потребность!H147</f>
        <v>0</v>
      </c>
      <c r="AM147" s="11" t="e">
        <f>Исходн.данные.!$AJ147*Расчет2!AO147</f>
        <v>#VALUE!</v>
      </c>
      <c r="AN147" s="11">
        <f>Исходн.данные.!$AJ147*Расчет2!AP147</f>
        <v>0</v>
      </c>
      <c r="AO147" s="25" t="str">
        <f>IF(Расчет!BF147=0,"X",Расчет!BF147)</f>
        <v>X</v>
      </c>
      <c r="AP147" s="25">
        <f>Расчет!BG147</f>
        <v>0</v>
      </c>
      <c r="AQ147" s="9">
        <f>IF(Расчет!BL147&lt;0,0,Расчет!BL147)</f>
        <v>0</v>
      </c>
      <c r="AR147" s="25">
        <f>IF(Расчет!BM147&lt;0,0,Расчет!BM147)</f>
        <v>0</v>
      </c>
      <c r="AS147" s="25">
        <f>IF(Расчет!BN147&lt;0,0,Расчет!BN147)</f>
        <v>0</v>
      </c>
      <c r="AT147" s="25">
        <f>Расчет!BY147</f>
        <v>0</v>
      </c>
      <c r="AU147" s="25">
        <f>Расчет!BZ147</f>
        <v>10</v>
      </c>
      <c r="AV147" s="25">
        <f>Расчет!CA147</f>
        <v>0</v>
      </c>
      <c r="AW147" s="25" t="str">
        <f>Расчет!CH147</f>
        <v>Аммофос 12:52:00</v>
      </c>
      <c r="AX147" s="25">
        <f>Расчет!DB147</f>
        <v>0</v>
      </c>
      <c r="AY147" s="25">
        <f>Расчет!DC147</f>
        <v>0</v>
      </c>
      <c r="AZ147" s="25">
        <f>Расчет!DG147</f>
        <v>0</v>
      </c>
      <c r="BA147" s="25">
        <f>Расчет!DH147</f>
        <v>0</v>
      </c>
      <c r="BB147" s="25">
        <f>Расчет!DI147</f>
        <v>0</v>
      </c>
      <c r="BC147" s="25" t="str">
        <f>Расчет!DR147</f>
        <v>Нет</v>
      </c>
      <c r="BD147" s="25">
        <f>Расчет!EB147</f>
        <v>0</v>
      </c>
      <c r="BE147" s="25">
        <f>Расчет!EF147</f>
        <v>0</v>
      </c>
      <c r="BF147" s="25" t="e">
        <f>Расчет!EI147</f>
        <v>#DIV/0!</v>
      </c>
      <c r="BG147" s="25" t="e">
        <f>Расчет!FA147</f>
        <v>#N/A</v>
      </c>
      <c r="BI147">
        <f>IF(Исходн.данные.!AH147=Исходн.данные.!$AC$4,0.6,1)</f>
        <v>1</v>
      </c>
      <c r="BJ147">
        <f>IF(Исходн.данные.!AH147=Исходн.данные.!$AC$4,0.8,IF(OR(Потребность!F147=Расчет2!$BI$10,Потребность!F147=Расчет2!$BI$7,Потребность!F147=Расчет2!$BK$14,Исходн.данные.!AI147=Исходн.данные.!$AI$11),1.3,1))</f>
        <v>1.3</v>
      </c>
      <c r="BK147">
        <f>IF(OR(Исходн.данные.!AH147=Исходн.данные.!$AD$7,Исходн.данные.!AH147=Исходн.данные.!$AD$8),0.75,1)</f>
        <v>1</v>
      </c>
    </row>
    <row r="148" spans="32:63" x14ac:dyDescent="0.2">
      <c r="AF148">
        <f>SUM(Исходн.данные.!AD148:AF148)</f>
        <v>0</v>
      </c>
      <c r="AG148" s="60">
        <f>SUM(Расчет!CI148:CK148)</f>
        <v>0.64</v>
      </c>
      <c r="AH148" s="60">
        <f>SUM(Расчет!DS148:DU148)</f>
        <v>0</v>
      </c>
      <c r="AI148" t="e">
        <f t="shared" si="2"/>
        <v>#N/A</v>
      </c>
      <c r="AJ148" t="e">
        <f t="shared" si="3"/>
        <v>#N/A</v>
      </c>
      <c r="AL148">
        <f>Потребность!G148*Потребность!H148</f>
        <v>0</v>
      </c>
      <c r="AM148" s="11" t="e">
        <f>Исходн.данные.!$AJ148*Расчет2!AO148</f>
        <v>#VALUE!</v>
      </c>
      <c r="AN148" s="11">
        <f>Исходн.данные.!$AJ148*Расчет2!AP148</f>
        <v>0</v>
      </c>
      <c r="AO148" s="25" t="str">
        <f>IF(Расчет!BF148=0,"X",Расчет!BF148)</f>
        <v>X</v>
      </c>
      <c r="AP148" s="25">
        <f>Расчет!BG148</f>
        <v>0</v>
      </c>
      <c r="AQ148" s="9">
        <f>IF(Расчет!BL148&lt;0,0,Расчет!BL148)</f>
        <v>0</v>
      </c>
      <c r="AR148" s="25">
        <f>IF(Расчет!BM148&lt;0,0,Расчет!BM148)</f>
        <v>0</v>
      </c>
      <c r="AS148" s="25">
        <f>IF(Расчет!BN148&lt;0,0,Расчет!BN148)</f>
        <v>0</v>
      </c>
      <c r="AT148" s="25">
        <f>Расчет!BY148</f>
        <v>0</v>
      </c>
      <c r="AU148" s="25">
        <f>Расчет!BZ148</f>
        <v>10</v>
      </c>
      <c r="AV148" s="25">
        <f>Расчет!CA148</f>
        <v>0</v>
      </c>
      <c r="AW148" s="25" t="str">
        <f>Расчет!CH148</f>
        <v>Аммофос 12:52:00</v>
      </c>
      <c r="AX148" s="25">
        <f>Расчет!DB148</f>
        <v>0</v>
      </c>
      <c r="AY148" s="25">
        <f>Расчет!DC148</f>
        <v>0</v>
      </c>
      <c r="AZ148" s="25">
        <f>Расчет!DG148</f>
        <v>0</v>
      </c>
      <c r="BA148" s="25">
        <f>Расчет!DH148</f>
        <v>0</v>
      </c>
      <c r="BB148" s="25">
        <f>Расчет!DI148</f>
        <v>0</v>
      </c>
      <c r="BC148" s="25" t="str">
        <f>Расчет!DR148</f>
        <v>Нет</v>
      </c>
      <c r="BD148" s="25">
        <f>Расчет!EB148</f>
        <v>0</v>
      </c>
      <c r="BE148" s="25">
        <f>Расчет!EF148</f>
        <v>0</v>
      </c>
      <c r="BF148" s="25" t="e">
        <f>Расчет!EI148</f>
        <v>#DIV/0!</v>
      </c>
      <c r="BG148" s="25" t="e">
        <f>Расчет!FA148</f>
        <v>#N/A</v>
      </c>
      <c r="BI148">
        <f>IF(Исходн.данные.!AH148=Исходн.данные.!$AC$4,0.6,1)</f>
        <v>1</v>
      </c>
      <c r="BJ148">
        <f>IF(Исходн.данные.!AH148=Исходн.данные.!$AC$4,0.8,IF(OR(Потребность!F148=Расчет2!$BI$10,Потребность!F148=Расчет2!$BI$7,Потребность!F148=Расчет2!$BK$14,Исходн.данные.!AI148=Исходн.данные.!$AI$11),1.3,1))</f>
        <v>1.3</v>
      </c>
      <c r="BK148">
        <f>IF(OR(Исходн.данные.!AH148=Исходн.данные.!$AD$7,Исходн.данные.!AH148=Исходн.данные.!$AD$8),0.75,1)</f>
        <v>1</v>
      </c>
    </row>
    <row r="149" spans="32:63" x14ac:dyDescent="0.2">
      <c r="AF149">
        <f>SUM(Исходн.данные.!AD149:AF149)</f>
        <v>0</v>
      </c>
      <c r="AG149" s="60">
        <f>SUM(Расчет!CI149:CK149)</f>
        <v>0.64</v>
      </c>
      <c r="AH149" s="60">
        <f>SUM(Расчет!DS149:DU149)</f>
        <v>0</v>
      </c>
      <c r="AI149" t="e">
        <f t="shared" si="2"/>
        <v>#N/A</v>
      </c>
      <c r="AJ149" t="e">
        <f t="shared" si="3"/>
        <v>#N/A</v>
      </c>
      <c r="AL149">
        <f>Потребность!G149*Потребность!H149</f>
        <v>0</v>
      </c>
      <c r="AM149" s="11" t="e">
        <f>Исходн.данные.!$AJ149*Расчет2!AO149</f>
        <v>#VALUE!</v>
      </c>
      <c r="AN149" s="11">
        <f>Исходн.данные.!$AJ149*Расчет2!AP149</f>
        <v>0</v>
      </c>
      <c r="AO149" s="25" t="str">
        <f>IF(Расчет!BF149=0,"X",Расчет!BF149)</f>
        <v>X</v>
      </c>
      <c r="AP149" s="25">
        <f>Расчет!BG149</f>
        <v>0</v>
      </c>
      <c r="AQ149" s="9">
        <f>IF(Расчет!BL149&lt;0,0,Расчет!BL149)</f>
        <v>0</v>
      </c>
      <c r="AR149" s="25">
        <f>IF(Расчет!BM149&lt;0,0,Расчет!BM149)</f>
        <v>0</v>
      </c>
      <c r="AS149" s="25">
        <f>IF(Расчет!BN149&lt;0,0,Расчет!BN149)</f>
        <v>0</v>
      </c>
      <c r="AT149" s="25">
        <f>Расчет!BY149</f>
        <v>0</v>
      </c>
      <c r="AU149" s="25">
        <f>Расчет!BZ149</f>
        <v>10</v>
      </c>
      <c r="AV149" s="25">
        <f>Расчет!CA149</f>
        <v>0</v>
      </c>
      <c r="AW149" s="25" t="str">
        <f>Расчет!CH149</f>
        <v>Аммофос 12:52:00</v>
      </c>
      <c r="AX149" s="25">
        <f>Расчет!DB149</f>
        <v>0</v>
      </c>
      <c r="AY149" s="25">
        <f>Расчет!DC149</f>
        <v>0</v>
      </c>
      <c r="AZ149" s="25">
        <f>Расчет!DG149</f>
        <v>0</v>
      </c>
      <c r="BA149" s="25">
        <f>Расчет!DH149</f>
        <v>0</v>
      </c>
      <c r="BB149" s="25">
        <f>Расчет!DI149</f>
        <v>0</v>
      </c>
      <c r="BC149" s="25" t="str">
        <f>Расчет!DR149</f>
        <v>Нет</v>
      </c>
      <c r="BD149" s="25">
        <f>Расчет!EB149</f>
        <v>0</v>
      </c>
      <c r="BE149" s="25">
        <f>Расчет!EF149</f>
        <v>0</v>
      </c>
      <c r="BF149" s="25" t="e">
        <f>Расчет!EI149</f>
        <v>#DIV/0!</v>
      </c>
      <c r="BG149" s="25" t="e">
        <f>Расчет!FA149</f>
        <v>#N/A</v>
      </c>
      <c r="BI149">
        <f>IF(Исходн.данные.!AH149=Исходн.данные.!$AC$4,0.6,1)</f>
        <v>1</v>
      </c>
      <c r="BJ149">
        <f>IF(Исходн.данные.!AH149=Исходн.данные.!$AC$4,0.8,IF(OR(Потребность!F149=Расчет2!$BI$10,Потребность!F149=Расчет2!$BI$7,Потребность!F149=Расчет2!$BK$14,Исходн.данные.!AI149=Исходн.данные.!$AI$11),1.3,1))</f>
        <v>1.3</v>
      </c>
      <c r="BK149">
        <f>IF(OR(Исходн.данные.!AH149=Исходн.данные.!$AD$7,Исходн.данные.!AH149=Исходн.данные.!$AD$8),0.75,1)</f>
        <v>1</v>
      </c>
    </row>
    <row r="150" spans="32:63" x14ac:dyDescent="0.2">
      <c r="AF150">
        <f>SUM(Исходн.данные.!AD150:AF150)</f>
        <v>0</v>
      </c>
      <c r="AG150" s="60">
        <f>SUM(Расчет!CI150:CK150)</f>
        <v>0.64</v>
      </c>
      <c r="AH150" s="60">
        <f>SUM(Расчет!DS150:DU150)</f>
        <v>0</v>
      </c>
      <c r="AI150" t="e">
        <f t="shared" ref="AI150:AI213" si="4">VLOOKUP(МетОпрФос,ПопрКоМетАн,2,FALSE)</f>
        <v>#N/A</v>
      </c>
      <c r="AJ150" t="e">
        <f t="shared" ref="AJ150:AJ213" si="5">VLOOKUP(МетОпрКал,ПопрКоМетАн,3,FALSE)</f>
        <v>#N/A</v>
      </c>
      <c r="AL150">
        <f>Потребность!G150*Потребность!H150</f>
        <v>0</v>
      </c>
      <c r="AM150" s="11" t="e">
        <f>Исходн.данные.!$AJ150*Расчет2!AO150</f>
        <v>#VALUE!</v>
      </c>
      <c r="AN150" s="11">
        <f>Исходн.данные.!$AJ150*Расчет2!AP150</f>
        <v>0</v>
      </c>
      <c r="AO150" s="25" t="str">
        <f>IF(Расчет!BF150=0,"X",Расчет!BF150)</f>
        <v>X</v>
      </c>
      <c r="AP150" s="25">
        <f>Расчет!BG150</f>
        <v>0</v>
      </c>
      <c r="AQ150" s="9">
        <f>IF(Расчет!BL150&lt;0,0,Расчет!BL150)</f>
        <v>0</v>
      </c>
      <c r="AR150" s="25">
        <f>IF(Расчет!BM150&lt;0,0,Расчет!BM150)</f>
        <v>0</v>
      </c>
      <c r="AS150" s="25">
        <f>IF(Расчет!BN150&lt;0,0,Расчет!BN150)</f>
        <v>0</v>
      </c>
      <c r="AT150" s="25">
        <f>Расчет!BY150</f>
        <v>0</v>
      </c>
      <c r="AU150" s="25">
        <f>Расчет!BZ150</f>
        <v>10</v>
      </c>
      <c r="AV150" s="25">
        <f>Расчет!CA150</f>
        <v>0</v>
      </c>
      <c r="AW150" s="25" t="str">
        <f>Расчет!CH150</f>
        <v>Аммофос 12:52:00</v>
      </c>
      <c r="AX150" s="25">
        <f>Расчет!DB150</f>
        <v>0</v>
      </c>
      <c r="AY150" s="25">
        <f>Расчет!DC150</f>
        <v>0</v>
      </c>
      <c r="AZ150" s="25">
        <f>Расчет!DG150</f>
        <v>0</v>
      </c>
      <c r="BA150" s="25">
        <f>Расчет!DH150</f>
        <v>0</v>
      </c>
      <c r="BB150" s="25">
        <f>Расчет!DI150</f>
        <v>0</v>
      </c>
      <c r="BC150" s="25" t="str">
        <f>Расчет!DR150</f>
        <v>Нет</v>
      </c>
      <c r="BD150" s="25">
        <f>Расчет!EB150</f>
        <v>0</v>
      </c>
      <c r="BE150" s="25">
        <f>Расчет!EF150</f>
        <v>0</v>
      </c>
      <c r="BF150" s="25" t="e">
        <f>Расчет!EI150</f>
        <v>#DIV/0!</v>
      </c>
      <c r="BG150" s="25" t="e">
        <f>Расчет!FA150</f>
        <v>#N/A</v>
      </c>
      <c r="BI150">
        <f>IF(Исходн.данные.!AH150=Исходн.данные.!$AC$4,0.6,1)</f>
        <v>1</v>
      </c>
      <c r="BJ150">
        <f>IF(Исходн.данные.!AH150=Исходн.данные.!$AC$4,0.8,IF(OR(Потребность!F150=Расчет2!$BI$10,Потребность!F150=Расчет2!$BI$7,Потребность!F150=Расчет2!$BK$14,Исходн.данные.!AI150=Исходн.данные.!$AI$11),1.3,1))</f>
        <v>1.3</v>
      </c>
      <c r="BK150">
        <f>IF(OR(Исходн.данные.!AH150=Исходн.данные.!$AD$7,Исходн.данные.!AH150=Исходн.данные.!$AD$8),0.75,1)</f>
        <v>1</v>
      </c>
    </row>
    <row r="151" spans="32:63" x14ac:dyDescent="0.2">
      <c r="AF151">
        <f>SUM(Исходн.данные.!AD151:AF151)</f>
        <v>0</v>
      </c>
      <c r="AG151" s="60">
        <f>SUM(Расчет!CI151:CK151)</f>
        <v>0.64</v>
      </c>
      <c r="AH151" s="60">
        <f>SUM(Расчет!DS151:DU151)</f>
        <v>0</v>
      </c>
      <c r="AI151" t="e">
        <f t="shared" si="4"/>
        <v>#N/A</v>
      </c>
      <c r="AJ151" t="e">
        <f t="shared" si="5"/>
        <v>#N/A</v>
      </c>
      <c r="AL151">
        <f>Потребность!G151*Потребность!H151</f>
        <v>0</v>
      </c>
      <c r="AM151" s="11" t="e">
        <f>Исходн.данные.!$AJ151*Расчет2!AO151</f>
        <v>#VALUE!</v>
      </c>
      <c r="AN151" s="11">
        <f>Исходн.данные.!$AJ151*Расчет2!AP151</f>
        <v>0</v>
      </c>
      <c r="AO151" s="25" t="str">
        <f>IF(Расчет!BF151=0,"X",Расчет!BF151)</f>
        <v>X</v>
      </c>
      <c r="AP151" s="25">
        <f>Расчет!BG151</f>
        <v>0</v>
      </c>
      <c r="AQ151" s="9">
        <f>IF(Расчет!BL151&lt;0,0,Расчет!BL151)</f>
        <v>0</v>
      </c>
      <c r="AR151" s="25">
        <f>IF(Расчет!BM151&lt;0,0,Расчет!BM151)</f>
        <v>0</v>
      </c>
      <c r="AS151" s="25">
        <f>IF(Расчет!BN151&lt;0,0,Расчет!BN151)</f>
        <v>0</v>
      </c>
      <c r="AT151" s="25">
        <f>Расчет!BY151</f>
        <v>0</v>
      </c>
      <c r="AU151" s="25">
        <f>Расчет!BZ151</f>
        <v>10</v>
      </c>
      <c r="AV151" s="25">
        <f>Расчет!CA151</f>
        <v>0</v>
      </c>
      <c r="AW151" s="25" t="str">
        <f>Расчет!CH151</f>
        <v>Аммофос 12:52:00</v>
      </c>
      <c r="AX151" s="25">
        <f>Расчет!DB151</f>
        <v>0</v>
      </c>
      <c r="AY151" s="25">
        <f>Расчет!DC151</f>
        <v>0</v>
      </c>
      <c r="AZ151" s="25">
        <f>Расчет!DG151</f>
        <v>0</v>
      </c>
      <c r="BA151" s="25">
        <f>Расчет!DH151</f>
        <v>0</v>
      </c>
      <c r="BB151" s="25">
        <f>Расчет!DI151</f>
        <v>0</v>
      </c>
      <c r="BC151" s="25" t="str">
        <f>Расчет!DR151</f>
        <v>Нет</v>
      </c>
      <c r="BD151" s="25">
        <f>Расчет!EB151</f>
        <v>0</v>
      </c>
      <c r="BE151" s="25">
        <f>Расчет!EF151</f>
        <v>0</v>
      </c>
      <c r="BF151" s="25" t="e">
        <f>Расчет!EI151</f>
        <v>#DIV/0!</v>
      </c>
      <c r="BG151" s="25" t="e">
        <f>Расчет!FA151</f>
        <v>#N/A</v>
      </c>
      <c r="BI151">
        <f>IF(Исходн.данные.!AH151=Исходн.данные.!$AC$4,0.6,1)</f>
        <v>1</v>
      </c>
      <c r="BJ151">
        <f>IF(Исходн.данные.!AH151=Исходн.данные.!$AC$4,0.8,IF(OR(Потребность!F151=Расчет2!$BI$10,Потребность!F151=Расчет2!$BI$7,Потребность!F151=Расчет2!$BK$14,Исходн.данные.!AI151=Исходн.данные.!$AI$11),1.3,1))</f>
        <v>1.3</v>
      </c>
      <c r="BK151">
        <f>IF(OR(Исходн.данные.!AH151=Исходн.данные.!$AD$7,Исходн.данные.!AH151=Исходн.данные.!$AD$8),0.75,1)</f>
        <v>1</v>
      </c>
    </row>
    <row r="152" spans="32:63" x14ac:dyDescent="0.2">
      <c r="AF152">
        <f>SUM(Исходн.данные.!AD152:AF152)</f>
        <v>0</v>
      </c>
      <c r="AG152" s="60">
        <f>SUM(Расчет!CI152:CK152)</f>
        <v>0.64</v>
      </c>
      <c r="AH152" s="60">
        <f>SUM(Расчет!DS152:DU152)</f>
        <v>0</v>
      </c>
      <c r="AI152" t="e">
        <f t="shared" si="4"/>
        <v>#N/A</v>
      </c>
      <c r="AJ152" t="e">
        <f t="shared" si="5"/>
        <v>#N/A</v>
      </c>
      <c r="AL152">
        <f>Потребность!G152*Потребность!H152</f>
        <v>0</v>
      </c>
      <c r="AM152" s="11" t="e">
        <f>Исходн.данные.!$AJ152*Расчет2!AO152</f>
        <v>#VALUE!</v>
      </c>
      <c r="AN152" s="11">
        <f>Исходн.данные.!$AJ152*Расчет2!AP152</f>
        <v>0</v>
      </c>
      <c r="AO152" s="25" t="str">
        <f>IF(Расчет!BF152=0,"X",Расчет!BF152)</f>
        <v>X</v>
      </c>
      <c r="AP152" s="25">
        <f>Расчет!BG152</f>
        <v>0</v>
      </c>
      <c r="AQ152" s="9">
        <f>IF(Расчет!BL152&lt;0,0,Расчет!BL152)</f>
        <v>0</v>
      </c>
      <c r="AR152" s="25">
        <f>IF(Расчет!BM152&lt;0,0,Расчет!BM152)</f>
        <v>0</v>
      </c>
      <c r="AS152" s="25">
        <f>IF(Расчет!BN152&lt;0,0,Расчет!BN152)</f>
        <v>0</v>
      </c>
      <c r="AT152" s="25">
        <f>Расчет!BY152</f>
        <v>0</v>
      </c>
      <c r="AU152" s="25">
        <f>Расчет!BZ152</f>
        <v>10</v>
      </c>
      <c r="AV152" s="25">
        <f>Расчет!CA152</f>
        <v>0</v>
      </c>
      <c r="AW152" s="25" t="str">
        <f>Расчет!CH152</f>
        <v>Аммофос 12:52:00</v>
      </c>
      <c r="AX152" s="25">
        <f>Расчет!DB152</f>
        <v>0</v>
      </c>
      <c r="AY152" s="25">
        <f>Расчет!DC152</f>
        <v>0</v>
      </c>
      <c r="AZ152" s="25">
        <f>Расчет!DG152</f>
        <v>0</v>
      </c>
      <c r="BA152" s="25">
        <f>Расчет!DH152</f>
        <v>0</v>
      </c>
      <c r="BB152" s="25">
        <f>Расчет!DI152</f>
        <v>0</v>
      </c>
      <c r="BC152" s="25" t="str">
        <f>Расчет!DR152</f>
        <v>Нет</v>
      </c>
      <c r="BD152" s="25">
        <f>Расчет!EB152</f>
        <v>0</v>
      </c>
      <c r="BE152" s="25">
        <f>Расчет!EF152</f>
        <v>0</v>
      </c>
      <c r="BF152" s="25" t="e">
        <f>Расчет!EI152</f>
        <v>#DIV/0!</v>
      </c>
      <c r="BG152" s="25" t="e">
        <f>Расчет!FA152</f>
        <v>#N/A</v>
      </c>
      <c r="BI152">
        <f>IF(Исходн.данные.!AH152=Исходн.данные.!$AC$4,0.6,1)</f>
        <v>1</v>
      </c>
      <c r="BJ152">
        <f>IF(Исходн.данные.!AH152=Исходн.данные.!$AC$4,0.8,IF(OR(Потребность!F152=Расчет2!$BI$10,Потребность!F152=Расчет2!$BI$7,Потребность!F152=Расчет2!$BK$14,Исходн.данные.!AI152=Исходн.данные.!$AI$11),1.3,1))</f>
        <v>1.3</v>
      </c>
      <c r="BK152">
        <f>IF(OR(Исходн.данные.!AH152=Исходн.данные.!$AD$7,Исходн.данные.!AH152=Исходн.данные.!$AD$8),0.75,1)</f>
        <v>1</v>
      </c>
    </row>
    <row r="153" spans="32:63" x14ac:dyDescent="0.2">
      <c r="AF153">
        <f>SUM(Исходн.данные.!AD153:AF153)</f>
        <v>0</v>
      </c>
      <c r="AG153" s="60">
        <f>SUM(Расчет!CI153:CK153)</f>
        <v>0.64</v>
      </c>
      <c r="AH153" s="60">
        <f>SUM(Расчет!DS153:DU153)</f>
        <v>0</v>
      </c>
      <c r="AI153" t="e">
        <f t="shared" si="4"/>
        <v>#N/A</v>
      </c>
      <c r="AJ153" t="e">
        <f t="shared" si="5"/>
        <v>#N/A</v>
      </c>
      <c r="AL153">
        <f>Потребность!G153*Потребность!H153</f>
        <v>0</v>
      </c>
      <c r="AM153" s="11" t="e">
        <f>Исходн.данные.!$AJ153*Расчет2!AO153</f>
        <v>#VALUE!</v>
      </c>
      <c r="AN153" s="11">
        <f>Исходн.данные.!$AJ153*Расчет2!AP153</f>
        <v>0</v>
      </c>
      <c r="AO153" s="25" t="str">
        <f>IF(Расчет!BF153=0,"X",Расчет!BF153)</f>
        <v>X</v>
      </c>
      <c r="AP153" s="25">
        <f>Расчет!BG153</f>
        <v>0</v>
      </c>
      <c r="AQ153" s="9">
        <f>IF(Расчет!BL153&lt;0,0,Расчет!BL153)</f>
        <v>0</v>
      </c>
      <c r="AR153" s="25">
        <f>IF(Расчет!BM153&lt;0,0,Расчет!BM153)</f>
        <v>0</v>
      </c>
      <c r="AS153" s="25">
        <f>IF(Расчет!BN153&lt;0,0,Расчет!BN153)</f>
        <v>0</v>
      </c>
      <c r="AT153" s="25">
        <f>Расчет!BY153</f>
        <v>0</v>
      </c>
      <c r="AU153" s="25">
        <f>Расчет!BZ153</f>
        <v>10</v>
      </c>
      <c r="AV153" s="25">
        <f>Расчет!CA153</f>
        <v>0</v>
      </c>
      <c r="AW153" s="25" t="str">
        <f>Расчет!CH153</f>
        <v>Аммофос 12:52:00</v>
      </c>
      <c r="AX153" s="25">
        <f>Расчет!DB153</f>
        <v>0</v>
      </c>
      <c r="AY153" s="25">
        <f>Расчет!DC153</f>
        <v>0</v>
      </c>
      <c r="AZ153" s="25">
        <f>Расчет!DG153</f>
        <v>0</v>
      </c>
      <c r="BA153" s="25">
        <f>Расчет!DH153</f>
        <v>0</v>
      </c>
      <c r="BB153" s="25">
        <f>Расчет!DI153</f>
        <v>0</v>
      </c>
      <c r="BC153" s="25" t="str">
        <f>Расчет!DR153</f>
        <v>Нет</v>
      </c>
      <c r="BD153" s="25">
        <f>Расчет!EB153</f>
        <v>0</v>
      </c>
      <c r="BE153" s="25">
        <f>Расчет!EF153</f>
        <v>0</v>
      </c>
      <c r="BF153" s="25" t="e">
        <f>Расчет!EI153</f>
        <v>#DIV/0!</v>
      </c>
      <c r="BG153" s="25" t="e">
        <f>Расчет!FA153</f>
        <v>#N/A</v>
      </c>
      <c r="BI153">
        <f>IF(Исходн.данные.!AH153=Исходн.данные.!$AC$4,0.6,1)</f>
        <v>1</v>
      </c>
      <c r="BJ153">
        <f>IF(Исходн.данные.!AH153=Исходн.данные.!$AC$4,0.8,IF(OR(Потребность!F153=Расчет2!$BI$10,Потребность!F153=Расчет2!$BI$7,Потребность!F153=Расчет2!$BK$14,Исходн.данные.!AI153=Исходн.данные.!$AI$11),1.3,1))</f>
        <v>1.3</v>
      </c>
      <c r="BK153">
        <f>IF(OR(Исходн.данные.!AH153=Исходн.данные.!$AD$7,Исходн.данные.!AH153=Исходн.данные.!$AD$8),0.75,1)</f>
        <v>1</v>
      </c>
    </row>
    <row r="154" spans="32:63" x14ac:dyDescent="0.2">
      <c r="AF154">
        <f>SUM(Исходн.данные.!AD154:AF154)</f>
        <v>0</v>
      </c>
      <c r="AG154" s="60">
        <f>SUM(Расчет!CI154:CK154)</f>
        <v>0.64</v>
      </c>
      <c r="AH154" s="60">
        <f>SUM(Расчет!DS154:DU154)</f>
        <v>0</v>
      </c>
      <c r="AI154" t="e">
        <f t="shared" si="4"/>
        <v>#N/A</v>
      </c>
      <c r="AJ154" t="e">
        <f t="shared" si="5"/>
        <v>#N/A</v>
      </c>
      <c r="AL154">
        <f>Потребность!G154*Потребность!H154</f>
        <v>0</v>
      </c>
      <c r="AM154" s="11" t="e">
        <f>Исходн.данные.!$AJ154*Расчет2!AO154</f>
        <v>#VALUE!</v>
      </c>
      <c r="AN154" s="11">
        <f>Исходн.данные.!$AJ154*Расчет2!AP154</f>
        <v>0</v>
      </c>
      <c r="AO154" s="25" t="str">
        <f>IF(Расчет!BF154=0,"X",Расчет!BF154)</f>
        <v>X</v>
      </c>
      <c r="AP154" s="25">
        <f>Расчет!BG154</f>
        <v>0</v>
      </c>
      <c r="AQ154" s="9">
        <f>IF(Расчет!BL154&lt;0,0,Расчет!BL154)</f>
        <v>0</v>
      </c>
      <c r="AR154" s="25">
        <f>IF(Расчет!BM154&lt;0,0,Расчет!BM154)</f>
        <v>0</v>
      </c>
      <c r="AS154" s="25">
        <f>IF(Расчет!BN154&lt;0,0,Расчет!BN154)</f>
        <v>0</v>
      </c>
      <c r="AT154" s="25">
        <f>Расчет!BY154</f>
        <v>0</v>
      </c>
      <c r="AU154" s="25">
        <f>Расчет!BZ154</f>
        <v>10</v>
      </c>
      <c r="AV154" s="25">
        <f>Расчет!CA154</f>
        <v>0</v>
      </c>
      <c r="AW154" s="25" t="str">
        <f>Расчет!CH154</f>
        <v>Аммофос 12:52:00</v>
      </c>
      <c r="AX154" s="25">
        <f>Расчет!DB154</f>
        <v>0</v>
      </c>
      <c r="AY154" s="25">
        <f>Расчет!DC154</f>
        <v>0</v>
      </c>
      <c r="AZ154" s="25">
        <f>Расчет!DG154</f>
        <v>0</v>
      </c>
      <c r="BA154" s="25">
        <f>Расчет!DH154</f>
        <v>0</v>
      </c>
      <c r="BB154" s="25">
        <f>Расчет!DI154</f>
        <v>0</v>
      </c>
      <c r="BC154" s="25" t="str">
        <f>Расчет!DR154</f>
        <v>Нет</v>
      </c>
      <c r="BD154" s="25">
        <f>Расчет!EB154</f>
        <v>0</v>
      </c>
      <c r="BE154" s="25">
        <f>Расчет!EF154</f>
        <v>0</v>
      </c>
      <c r="BF154" s="25" t="e">
        <f>Расчет!EI154</f>
        <v>#DIV/0!</v>
      </c>
      <c r="BG154" s="25" t="e">
        <f>Расчет!FA154</f>
        <v>#N/A</v>
      </c>
      <c r="BI154">
        <f>IF(Исходн.данные.!AH154=Исходн.данные.!$AC$4,0.6,1)</f>
        <v>1</v>
      </c>
      <c r="BJ154">
        <f>IF(Исходн.данные.!AH154=Исходн.данные.!$AC$4,0.8,IF(OR(Потребность!F154=Расчет2!$BI$10,Потребность!F154=Расчет2!$BI$7,Потребность!F154=Расчет2!$BK$14,Исходн.данные.!AI154=Исходн.данные.!$AI$11),1.3,1))</f>
        <v>1.3</v>
      </c>
      <c r="BK154">
        <f>IF(OR(Исходн.данные.!AH154=Исходн.данные.!$AD$7,Исходн.данные.!AH154=Исходн.данные.!$AD$8),0.75,1)</f>
        <v>1</v>
      </c>
    </row>
    <row r="155" spans="32:63" x14ac:dyDescent="0.2">
      <c r="AF155">
        <f>SUM(Исходн.данные.!AD155:AF155)</f>
        <v>0</v>
      </c>
      <c r="AG155" s="60">
        <f>SUM(Расчет!CI155:CK155)</f>
        <v>0.64</v>
      </c>
      <c r="AH155" s="60">
        <f>SUM(Расчет!DS155:DU155)</f>
        <v>0</v>
      </c>
      <c r="AI155" t="e">
        <f t="shared" si="4"/>
        <v>#N/A</v>
      </c>
      <c r="AJ155" t="e">
        <f t="shared" si="5"/>
        <v>#N/A</v>
      </c>
      <c r="AL155">
        <f>Потребность!G155*Потребность!H155</f>
        <v>0</v>
      </c>
      <c r="AM155" s="11" t="e">
        <f>Исходн.данные.!$AJ155*Расчет2!AO155</f>
        <v>#VALUE!</v>
      </c>
      <c r="AN155" s="11">
        <f>Исходн.данные.!$AJ155*Расчет2!AP155</f>
        <v>0</v>
      </c>
      <c r="AO155" s="25" t="str">
        <f>IF(Расчет!BF155=0,"X",Расчет!BF155)</f>
        <v>X</v>
      </c>
      <c r="AP155" s="25">
        <f>Расчет!BG155</f>
        <v>0</v>
      </c>
      <c r="AQ155" s="9">
        <f>IF(Расчет!BL155&lt;0,0,Расчет!BL155)</f>
        <v>0</v>
      </c>
      <c r="AR155" s="25">
        <f>IF(Расчет!BM155&lt;0,0,Расчет!BM155)</f>
        <v>0</v>
      </c>
      <c r="AS155" s="25">
        <f>IF(Расчет!BN155&lt;0,0,Расчет!BN155)</f>
        <v>0</v>
      </c>
      <c r="AT155" s="25">
        <f>Расчет!BY155</f>
        <v>0</v>
      </c>
      <c r="AU155" s="25">
        <f>Расчет!BZ155</f>
        <v>10</v>
      </c>
      <c r="AV155" s="25">
        <f>Расчет!CA155</f>
        <v>0</v>
      </c>
      <c r="AW155" s="25" t="str">
        <f>Расчет!CH155</f>
        <v>Аммофос 12:52:00</v>
      </c>
      <c r="AX155" s="25">
        <f>Расчет!DB155</f>
        <v>0</v>
      </c>
      <c r="AY155" s="25">
        <f>Расчет!DC155</f>
        <v>0</v>
      </c>
      <c r="AZ155" s="25">
        <f>Расчет!DG155</f>
        <v>0</v>
      </c>
      <c r="BA155" s="25">
        <f>Расчет!DH155</f>
        <v>0</v>
      </c>
      <c r="BB155" s="25">
        <f>Расчет!DI155</f>
        <v>0</v>
      </c>
      <c r="BC155" s="25" t="str">
        <f>Расчет!DR155</f>
        <v>Нет</v>
      </c>
      <c r="BD155" s="25">
        <f>Расчет!EB155</f>
        <v>0</v>
      </c>
      <c r="BE155" s="25">
        <f>Расчет!EF155</f>
        <v>0</v>
      </c>
      <c r="BF155" s="25" t="e">
        <f>Расчет!EI155</f>
        <v>#DIV/0!</v>
      </c>
      <c r="BG155" s="25" t="e">
        <f>Расчет!FA155</f>
        <v>#N/A</v>
      </c>
      <c r="BI155">
        <f>IF(Исходн.данные.!AH155=Исходн.данные.!$AC$4,0.6,1)</f>
        <v>1</v>
      </c>
      <c r="BJ155">
        <f>IF(Исходн.данные.!AH155=Исходн.данные.!$AC$4,0.8,IF(OR(Потребность!F155=Расчет2!$BI$10,Потребность!F155=Расчет2!$BI$7,Потребность!F155=Расчет2!$BK$14,Исходн.данные.!AI155=Исходн.данные.!$AI$11),1.3,1))</f>
        <v>1.3</v>
      </c>
      <c r="BK155">
        <f>IF(OR(Исходн.данные.!AH155=Исходн.данные.!$AD$7,Исходн.данные.!AH155=Исходн.данные.!$AD$8),0.75,1)</f>
        <v>1</v>
      </c>
    </row>
    <row r="156" spans="32:63" x14ac:dyDescent="0.2">
      <c r="AF156">
        <f>SUM(Исходн.данные.!AD156:AF156)</f>
        <v>0</v>
      </c>
      <c r="AG156" s="60">
        <f>SUM(Расчет!CI156:CK156)</f>
        <v>0.64</v>
      </c>
      <c r="AH156" s="60">
        <f>SUM(Расчет!DS156:DU156)</f>
        <v>0</v>
      </c>
      <c r="AI156" t="e">
        <f t="shared" si="4"/>
        <v>#N/A</v>
      </c>
      <c r="AJ156" t="e">
        <f t="shared" si="5"/>
        <v>#N/A</v>
      </c>
      <c r="AL156">
        <f>Потребность!G156*Потребность!H156</f>
        <v>0</v>
      </c>
      <c r="AM156" s="11" t="e">
        <f>Исходн.данные.!$AJ156*Расчет2!AO156</f>
        <v>#VALUE!</v>
      </c>
      <c r="AN156" s="11">
        <f>Исходн.данные.!$AJ156*Расчет2!AP156</f>
        <v>0</v>
      </c>
      <c r="AO156" s="25" t="str">
        <f>IF(Расчет!BF156=0,"X",Расчет!BF156)</f>
        <v>X</v>
      </c>
      <c r="AP156" s="25">
        <f>Расчет!BG156</f>
        <v>0</v>
      </c>
      <c r="AQ156" s="9">
        <f>IF(Расчет!BL156&lt;0,0,Расчет!BL156)</f>
        <v>0</v>
      </c>
      <c r="AR156" s="25">
        <f>IF(Расчет!BM156&lt;0,0,Расчет!BM156)</f>
        <v>0</v>
      </c>
      <c r="AS156" s="25">
        <f>IF(Расчет!BN156&lt;0,0,Расчет!BN156)</f>
        <v>0</v>
      </c>
      <c r="AT156" s="25">
        <f>Расчет!BY156</f>
        <v>0</v>
      </c>
      <c r="AU156" s="25">
        <f>Расчет!BZ156</f>
        <v>10</v>
      </c>
      <c r="AV156" s="25">
        <f>Расчет!CA156</f>
        <v>0</v>
      </c>
      <c r="AW156" s="25" t="str">
        <f>Расчет!CH156</f>
        <v>Аммофос 12:52:00</v>
      </c>
      <c r="AX156" s="25">
        <f>Расчет!DB156</f>
        <v>0</v>
      </c>
      <c r="AY156" s="25">
        <f>Расчет!DC156</f>
        <v>0</v>
      </c>
      <c r="AZ156" s="25">
        <f>Расчет!DG156</f>
        <v>0</v>
      </c>
      <c r="BA156" s="25">
        <f>Расчет!DH156</f>
        <v>0</v>
      </c>
      <c r="BB156" s="25">
        <f>Расчет!DI156</f>
        <v>0</v>
      </c>
      <c r="BC156" s="25" t="str">
        <f>Расчет!DR156</f>
        <v>Нет</v>
      </c>
      <c r="BD156" s="25">
        <f>Расчет!EB156</f>
        <v>0</v>
      </c>
      <c r="BE156" s="25">
        <f>Расчет!EF156</f>
        <v>0</v>
      </c>
      <c r="BF156" s="25" t="e">
        <f>Расчет!EI156</f>
        <v>#DIV/0!</v>
      </c>
      <c r="BG156" s="25" t="e">
        <f>Расчет!FA156</f>
        <v>#N/A</v>
      </c>
      <c r="BI156">
        <f>IF(Исходн.данные.!AH156=Исходн.данные.!$AC$4,0.6,1)</f>
        <v>1</v>
      </c>
      <c r="BJ156">
        <f>IF(Исходн.данные.!AH156=Исходн.данные.!$AC$4,0.8,IF(OR(Потребность!F156=Расчет2!$BI$10,Потребность!F156=Расчет2!$BI$7,Потребность!F156=Расчет2!$BK$14,Исходн.данные.!AI156=Исходн.данные.!$AI$11),1.3,1))</f>
        <v>1.3</v>
      </c>
      <c r="BK156">
        <f>IF(OR(Исходн.данные.!AH156=Исходн.данные.!$AD$7,Исходн.данные.!AH156=Исходн.данные.!$AD$8),0.75,1)</f>
        <v>1</v>
      </c>
    </row>
    <row r="157" spans="32:63" x14ac:dyDescent="0.2">
      <c r="AF157">
        <f>SUM(Исходн.данные.!AD157:AF157)</f>
        <v>0</v>
      </c>
      <c r="AG157" s="60">
        <f>SUM(Расчет!CI157:CK157)</f>
        <v>0.64</v>
      </c>
      <c r="AH157" s="60">
        <f>SUM(Расчет!DS157:DU157)</f>
        <v>0</v>
      </c>
      <c r="AI157" t="e">
        <f t="shared" si="4"/>
        <v>#N/A</v>
      </c>
      <c r="AJ157" t="e">
        <f t="shared" si="5"/>
        <v>#N/A</v>
      </c>
      <c r="AL157">
        <f>Потребность!G157*Потребность!H157</f>
        <v>0</v>
      </c>
      <c r="AM157" s="11" t="e">
        <f>Исходн.данные.!$AJ157*Расчет2!AO157</f>
        <v>#VALUE!</v>
      </c>
      <c r="AN157" s="11">
        <f>Исходн.данные.!$AJ157*Расчет2!AP157</f>
        <v>0</v>
      </c>
      <c r="AO157" s="25" t="str">
        <f>IF(Расчет!BF157=0,"X",Расчет!BF157)</f>
        <v>X</v>
      </c>
      <c r="AP157" s="25">
        <f>Расчет!BG157</f>
        <v>0</v>
      </c>
      <c r="AQ157" s="9">
        <f>IF(Расчет!BL157&lt;0,0,Расчет!BL157)</f>
        <v>0</v>
      </c>
      <c r="AR157" s="25">
        <f>IF(Расчет!BM157&lt;0,0,Расчет!BM157)</f>
        <v>0</v>
      </c>
      <c r="AS157" s="25">
        <f>IF(Расчет!BN157&lt;0,0,Расчет!BN157)</f>
        <v>0</v>
      </c>
      <c r="AT157" s="25">
        <f>Расчет!BY157</f>
        <v>0</v>
      </c>
      <c r="AU157" s="25">
        <f>Расчет!BZ157</f>
        <v>10</v>
      </c>
      <c r="AV157" s="25">
        <f>Расчет!CA157</f>
        <v>0</v>
      </c>
      <c r="AW157" s="25" t="str">
        <f>Расчет!CH157</f>
        <v>Аммофос 12:52:00</v>
      </c>
      <c r="AX157" s="25">
        <f>Расчет!DB157</f>
        <v>0</v>
      </c>
      <c r="AY157" s="25">
        <f>Расчет!DC157</f>
        <v>0</v>
      </c>
      <c r="AZ157" s="25">
        <f>Расчет!DG157</f>
        <v>0</v>
      </c>
      <c r="BA157" s="25">
        <f>Расчет!DH157</f>
        <v>0</v>
      </c>
      <c r="BB157" s="25">
        <f>Расчет!DI157</f>
        <v>0</v>
      </c>
      <c r="BC157" s="25" t="str">
        <f>Расчет!DR157</f>
        <v>Нет</v>
      </c>
      <c r="BD157" s="25">
        <f>Расчет!EB157</f>
        <v>0</v>
      </c>
      <c r="BE157" s="25">
        <f>Расчет!EF157</f>
        <v>0</v>
      </c>
      <c r="BF157" s="25" t="e">
        <f>Расчет!EI157</f>
        <v>#DIV/0!</v>
      </c>
      <c r="BG157" s="25" t="e">
        <f>Расчет!FA157</f>
        <v>#N/A</v>
      </c>
      <c r="BI157">
        <f>IF(Исходн.данные.!AH157=Исходн.данные.!$AC$4,0.6,1)</f>
        <v>1</v>
      </c>
      <c r="BJ157">
        <f>IF(Исходн.данные.!AH157=Исходн.данные.!$AC$4,0.8,IF(OR(Потребность!F157=Расчет2!$BI$10,Потребность!F157=Расчет2!$BI$7,Потребность!F157=Расчет2!$BK$14,Исходн.данные.!AI157=Исходн.данные.!$AI$11),1.3,1))</f>
        <v>1.3</v>
      </c>
      <c r="BK157">
        <f>IF(OR(Исходн.данные.!AH157=Исходн.данные.!$AD$7,Исходн.данные.!AH157=Исходн.данные.!$AD$8),0.75,1)</f>
        <v>1</v>
      </c>
    </row>
    <row r="158" spans="32:63" x14ac:dyDescent="0.2">
      <c r="AF158">
        <f>SUM(Исходн.данные.!AD158:AF158)</f>
        <v>0</v>
      </c>
      <c r="AG158" s="60">
        <f>SUM(Расчет!CI158:CK158)</f>
        <v>0.64</v>
      </c>
      <c r="AH158" s="60">
        <f>SUM(Расчет!DS158:DU158)</f>
        <v>0</v>
      </c>
      <c r="AI158" t="e">
        <f t="shared" si="4"/>
        <v>#N/A</v>
      </c>
      <c r="AJ158" t="e">
        <f t="shared" si="5"/>
        <v>#N/A</v>
      </c>
      <c r="AL158">
        <f>Потребность!G158*Потребность!H158</f>
        <v>0</v>
      </c>
      <c r="AM158" s="11" t="e">
        <f>Исходн.данные.!$AJ158*Расчет2!AO158</f>
        <v>#VALUE!</v>
      </c>
      <c r="AN158" s="11">
        <f>Исходн.данные.!$AJ158*Расчет2!AP158</f>
        <v>0</v>
      </c>
      <c r="AO158" s="25" t="str">
        <f>IF(Расчет!BF158=0,"X",Расчет!BF158)</f>
        <v>X</v>
      </c>
      <c r="AP158" s="25">
        <f>Расчет!BG158</f>
        <v>0</v>
      </c>
      <c r="AQ158" s="9">
        <f>IF(Расчет!BL158&lt;0,0,Расчет!BL158)</f>
        <v>0</v>
      </c>
      <c r="AR158" s="25">
        <f>IF(Расчет!BM158&lt;0,0,Расчет!BM158)</f>
        <v>0</v>
      </c>
      <c r="AS158" s="25">
        <f>IF(Расчет!BN158&lt;0,0,Расчет!BN158)</f>
        <v>0</v>
      </c>
      <c r="AT158" s="25">
        <f>Расчет!BY158</f>
        <v>0</v>
      </c>
      <c r="AU158" s="25">
        <f>Расчет!BZ158</f>
        <v>10</v>
      </c>
      <c r="AV158" s="25">
        <f>Расчет!CA158</f>
        <v>0</v>
      </c>
      <c r="AW158" s="25" t="str">
        <f>Расчет!CH158</f>
        <v>Аммофос 12:52:00</v>
      </c>
      <c r="AX158" s="25">
        <f>Расчет!DB158</f>
        <v>0</v>
      </c>
      <c r="AY158" s="25">
        <f>Расчет!DC158</f>
        <v>0</v>
      </c>
      <c r="AZ158" s="25">
        <f>Расчет!DG158</f>
        <v>0</v>
      </c>
      <c r="BA158" s="25">
        <f>Расчет!DH158</f>
        <v>0</v>
      </c>
      <c r="BB158" s="25">
        <f>Расчет!DI158</f>
        <v>0</v>
      </c>
      <c r="BC158" s="25" t="str">
        <f>Расчет!DR158</f>
        <v>Нет</v>
      </c>
      <c r="BD158" s="25">
        <f>Расчет!EB158</f>
        <v>0</v>
      </c>
      <c r="BE158" s="25">
        <f>Расчет!EF158</f>
        <v>0</v>
      </c>
      <c r="BF158" s="25" t="e">
        <f>Расчет!EI158</f>
        <v>#DIV/0!</v>
      </c>
      <c r="BG158" s="25" t="e">
        <f>Расчет!FA158</f>
        <v>#N/A</v>
      </c>
      <c r="BI158">
        <f>IF(Исходн.данные.!AH158=Исходн.данные.!$AC$4,0.6,1)</f>
        <v>1</v>
      </c>
      <c r="BJ158">
        <f>IF(Исходн.данные.!AH158=Исходн.данные.!$AC$4,0.8,IF(OR(Потребность!F158=Расчет2!$BI$10,Потребность!F158=Расчет2!$BI$7,Потребность!F158=Расчет2!$BK$14,Исходн.данные.!AI158=Исходн.данные.!$AI$11),1.3,1))</f>
        <v>1.3</v>
      </c>
      <c r="BK158">
        <f>IF(OR(Исходн.данные.!AH158=Исходн.данные.!$AD$7,Исходн.данные.!AH158=Исходн.данные.!$AD$8),0.75,1)</f>
        <v>1</v>
      </c>
    </row>
    <row r="159" spans="32:63" x14ac:dyDescent="0.2">
      <c r="AF159">
        <f>SUM(Исходн.данные.!AD159:AF159)</f>
        <v>0</v>
      </c>
      <c r="AG159" s="60">
        <f>SUM(Расчет!CI159:CK159)</f>
        <v>0.64</v>
      </c>
      <c r="AH159" s="60">
        <f>SUM(Расчет!DS159:DU159)</f>
        <v>0</v>
      </c>
      <c r="AI159" t="e">
        <f t="shared" si="4"/>
        <v>#N/A</v>
      </c>
      <c r="AJ159" t="e">
        <f t="shared" si="5"/>
        <v>#N/A</v>
      </c>
      <c r="AL159">
        <f>Потребность!G159*Потребность!H159</f>
        <v>0</v>
      </c>
      <c r="AM159" s="11" t="e">
        <f>Исходн.данные.!$AJ159*Расчет2!AO159</f>
        <v>#VALUE!</v>
      </c>
      <c r="AN159" s="11">
        <f>Исходн.данные.!$AJ159*Расчет2!AP159</f>
        <v>0</v>
      </c>
      <c r="AO159" s="25" t="str">
        <f>IF(Расчет!BF159=0,"X",Расчет!BF159)</f>
        <v>X</v>
      </c>
      <c r="AP159" s="25">
        <f>Расчет!BG159</f>
        <v>0</v>
      </c>
      <c r="AQ159" s="9">
        <f>IF(Расчет!BL159&lt;0,0,Расчет!BL159)</f>
        <v>0</v>
      </c>
      <c r="AR159" s="25">
        <f>IF(Расчет!BM159&lt;0,0,Расчет!BM159)</f>
        <v>0</v>
      </c>
      <c r="AS159" s="25">
        <f>IF(Расчет!BN159&lt;0,0,Расчет!BN159)</f>
        <v>0</v>
      </c>
      <c r="AT159" s="25">
        <f>Расчет!BY159</f>
        <v>0</v>
      </c>
      <c r="AU159" s="25">
        <f>Расчет!BZ159</f>
        <v>10</v>
      </c>
      <c r="AV159" s="25">
        <f>Расчет!CA159</f>
        <v>0</v>
      </c>
      <c r="AW159" s="25" t="str">
        <f>Расчет!CH159</f>
        <v>Аммофос 12:52:00</v>
      </c>
      <c r="AX159" s="25">
        <f>Расчет!DB159</f>
        <v>0</v>
      </c>
      <c r="AY159" s="25">
        <f>Расчет!DC159</f>
        <v>0</v>
      </c>
      <c r="AZ159" s="25">
        <f>Расчет!DG159</f>
        <v>0</v>
      </c>
      <c r="BA159" s="25">
        <f>Расчет!DH159</f>
        <v>0</v>
      </c>
      <c r="BB159" s="25">
        <f>Расчет!DI159</f>
        <v>0</v>
      </c>
      <c r="BC159" s="25" t="str">
        <f>Расчет!DR159</f>
        <v>Нет</v>
      </c>
      <c r="BD159" s="25">
        <f>Расчет!EB159</f>
        <v>0</v>
      </c>
      <c r="BE159" s="25">
        <f>Расчет!EF159</f>
        <v>0</v>
      </c>
      <c r="BF159" s="25" t="e">
        <f>Расчет!EI159</f>
        <v>#DIV/0!</v>
      </c>
      <c r="BG159" s="25" t="e">
        <f>Расчет!FA159</f>
        <v>#N/A</v>
      </c>
      <c r="BI159">
        <f>IF(Исходн.данные.!AH159=Исходн.данные.!$AC$4,0.6,1)</f>
        <v>1</v>
      </c>
      <c r="BJ159">
        <f>IF(Исходн.данные.!AH159=Исходн.данные.!$AC$4,0.8,IF(OR(Потребность!F159=Расчет2!$BI$10,Потребность!F159=Расчет2!$BI$7,Потребность!F159=Расчет2!$BK$14,Исходн.данные.!AI159=Исходн.данные.!$AI$11),1.3,1))</f>
        <v>1.3</v>
      </c>
      <c r="BK159">
        <f>IF(OR(Исходн.данные.!AH159=Исходн.данные.!$AD$7,Исходн.данные.!AH159=Исходн.данные.!$AD$8),0.75,1)</f>
        <v>1</v>
      </c>
    </row>
    <row r="160" spans="32:63" x14ac:dyDescent="0.2">
      <c r="AF160">
        <f>SUM(Исходн.данные.!AD160:AF160)</f>
        <v>0</v>
      </c>
      <c r="AG160" s="60">
        <f>SUM(Расчет!CI160:CK160)</f>
        <v>0.64</v>
      </c>
      <c r="AH160" s="60">
        <f>SUM(Расчет!DS160:DU160)</f>
        <v>0</v>
      </c>
      <c r="AI160" t="e">
        <f t="shared" si="4"/>
        <v>#N/A</v>
      </c>
      <c r="AJ160" t="e">
        <f t="shared" si="5"/>
        <v>#N/A</v>
      </c>
      <c r="AL160">
        <f>Потребность!G160*Потребность!H160</f>
        <v>0</v>
      </c>
      <c r="AM160" s="11" t="e">
        <f>Исходн.данные.!$AJ160*Расчет2!AO160</f>
        <v>#VALUE!</v>
      </c>
      <c r="AN160" s="11">
        <f>Исходн.данные.!$AJ160*Расчет2!AP160</f>
        <v>0</v>
      </c>
      <c r="AO160" s="25" t="str">
        <f>IF(Расчет!BF160=0,"X",Расчет!BF160)</f>
        <v>X</v>
      </c>
      <c r="AP160" s="25">
        <f>Расчет!BG160</f>
        <v>0</v>
      </c>
      <c r="AQ160" s="9">
        <f>IF(Расчет!BL160&lt;0,0,Расчет!BL160)</f>
        <v>0</v>
      </c>
      <c r="AR160" s="25">
        <f>IF(Расчет!BM160&lt;0,0,Расчет!BM160)</f>
        <v>0</v>
      </c>
      <c r="AS160" s="25">
        <f>IF(Расчет!BN160&lt;0,0,Расчет!BN160)</f>
        <v>0</v>
      </c>
      <c r="AT160" s="25">
        <f>Расчет!BY160</f>
        <v>0</v>
      </c>
      <c r="AU160" s="25">
        <f>Расчет!BZ160</f>
        <v>10</v>
      </c>
      <c r="AV160" s="25">
        <f>Расчет!CA160</f>
        <v>0</v>
      </c>
      <c r="AW160" s="25" t="str">
        <f>Расчет!CH160</f>
        <v>Аммофос 12:52:00</v>
      </c>
      <c r="AX160" s="25">
        <f>Расчет!DB160</f>
        <v>0</v>
      </c>
      <c r="AY160" s="25">
        <f>Расчет!DC160</f>
        <v>0</v>
      </c>
      <c r="AZ160" s="25">
        <f>Расчет!DG160</f>
        <v>0</v>
      </c>
      <c r="BA160" s="25">
        <f>Расчет!DH160</f>
        <v>0</v>
      </c>
      <c r="BB160" s="25">
        <f>Расчет!DI160</f>
        <v>0</v>
      </c>
      <c r="BC160" s="25" t="str">
        <f>Расчет!DR160</f>
        <v>Нет</v>
      </c>
      <c r="BD160" s="25">
        <f>Расчет!EB160</f>
        <v>0</v>
      </c>
      <c r="BE160" s="25">
        <f>Расчет!EF160</f>
        <v>0</v>
      </c>
      <c r="BF160" s="25" t="e">
        <f>Расчет!EI160</f>
        <v>#DIV/0!</v>
      </c>
      <c r="BG160" s="25" t="e">
        <f>Расчет!FA160</f>
        <v>#N/A</v>
      </c>
      <c r="BI160">
        <f>IF(Исходн.данные.!AH160=Исходн.данные.!$AC$4,0.6,1)</f>
        <v>1</v>
      </c>
      <c r="BJ160">
        <f>IF(Исходн.данные.!AH160=Исходн.данные.!$AC$4,0.8,IF(OR(Потребность!F160=Расчет2!$BI$10,Потребность!F160=Расчет2!$BI$7,Потребность!F160=Расчет2!$BK$14,Исходн.данные.!AI160=Исходн.данные.!$AI$11),1.3,1))</f>
        <v>1.3</v>
      </c>
      <c r="BK160">
        <f>IF(OR(Исходн.данные.!AH160=Исходн.данные.!$AD$7,Исходн.данные.!AH160=Исходн.данные.!$AD$8),0.75,1)</f>
        <v>1</v>
      </c>
    </row>
    <row r="161" spans="32:63" x14ac:dyDescent="0.2">
      <c r="AF161">
        <f>SUM(Исходн.данные.!AD161:AF161)</f>
        <v>0</v>
      </c>
      <c r="AG161" s="60">
        <f>SUM(Расчет!CI161:CK161)</f>
        <v>0.64</v>
      </c>
      <c r="AH161" s="60">
        <f>SUM(Расчет!DS161:DU161)</f>
        <v>0</v>
      </c>
      <c r="AI161" t="e">
        <f t="shared" si="4"/>
        <v>#N/A</v>
      </c>
      <c r="AJ161" t="e">
        <f t="shared" si="5"/>
        <v>#N/A</v>
      </c>
      <c r="AL161">
        <f>Потребность!G161*Потребность!H161</f>
        <v>0</v>
      </c>
      <c r="AM161" s="11" t="e">
        <f>Исходн.данные.!$AJ161*Расчет2!AO161</f>
        <v>#VALUE!</v>
      </c>
      <c r="AN161" s="11">
        <f>Исходн.данные.!$AJ161*Расчет2!AP161</f>
        <v>0</v>
      </c>
      <c r="AO161" s="25" t="str">
        <f>IF(Расчет!BF161=0,"X",Расчет!BF161)</f>
        <v>X</v>
      </c>
      <c r="AP161" s="25">
        <f>Расчет!BG161</f>
        <v>0</v>
      </c>
      <c r="AQ161" s="9">
        <f>IF(Расчет!BL161&lt;0,0,Расчет!BL161)</f>
        <v>0</v>
      </c>
      <c r="AR161" s="25">
        <f>IF(Расчет!BM161&lt;0,0,Расчет!BM161)</f>
        <v>0</v>
      </c>
      <c r="AS161" s="25">
        <f>IF(Расчет!BN161&lt;0,0,Расчет!BN161)</f>
        <v>0</v>
      </c>
      <c r="AT161" s="25">
        <f>Расчет!BY161</f>
        <v>0</v>
      </c>
      <c r="AU161" s="25">
        <f>Расчет!BZ161</f>
        <v>10</v>
      </c>
      <c r="AV161" s="25">
        <f>Расчет!CA161</f>
        <v>0</v>
      </c>
      <c r="AW161" s="25" t="str">
        <f>Расчет!CH161</f>
        <v>Аммофос 12:52:00</v>
      </c>
      <c r="AX161" s="25">
        <f>Расчет!DB161</f>
        <v>0</v>
      </c>
      <c r="AY161" s="25">
        <f>Расчет!DC161</f>
        <v>0</v>
      </c>
      <c r="AZ161" s="25">
        <f>Расчет!DG161</f>
        <v>0</v>
      </c>
      <c r="BA161" s="25">
        <f>Расчет!DH161</f>
        <v>0</v>
      </c>
      <c r="BB161" s="25">
        <f>Расчет!DI161</f>
        <v>0</v>
      </c>
      <c r="BC161" s="25" t="str">
        <f>Расчет!DR161</f>
        <v>Нет</v>
      </c>
      <c r="BD161" s="25">
        <f>Расчет!EB161</f>
        <v>0</v>
      </c>
      <c r="BE161" s="25">
        <f>Расчет!EF161</f>
        <v>0</v>
      </c>
      <c r="BF161" s="25" t="e">
        <f>Расчет!EI161</f>
        <v>#DIV/0!</v>
      </c>
      <c r="BG161" s="25" t="e">
        <f>Расчет!FA161</f>
        <v>#N/A</v>
      </c>
      <c r="BI161">
        <f>IF(Исходн.данные.!AH161=Исходн.данные.!$AC$4,0.6,1)</f>
        <v>1</v>
      </c>
      <c r="BJ161">
        <f>IF(Исходн.данные.!AH161=Исходн.данные.!$AC$4,0.8,IF(OR(Потребность!F161=Расчет2!$BI$10,Потребность!F161=Расчет2!$BI$7,Потребность!F161=Расчет2!$BK$14,Исходн.данные.!AI161=Исходн.данные.!$AI$11),1.3,1))</f>
        <v>1.3</v>
      </c>
      <c r="BK161">
        <f>IF(OR(Исходн.данные.!AH161=Исходн.данные.!$AD$7,Исходн.данные.!AH161=Исходн.данные.!$AD$8),0.75,1)</f>
        <v>1</v>
      </c>
    </row>
    <row r="162" spans="32:63" x14ac:dyDescent="0.2">
      <c r="AF162">
        <f>SUM(Исходн.данные.!AD162:AF162)</f>
        <v>0</v>
      </c>
      <c r="AG162" s="60">
        <f>SUM(Расчет!CI162:CK162)</f>
        <v>0.64</v>
      </c>
      <c r="AH162" s="60">
        <f>SUM(Расчет!DS162:DU162)</f>
        <v>0</v>
      </c>
      <c r="AI162" t="e">
        <f t="shared" si="4"/>
        <v>#N/A</v>
      </c>
      <c r="AJ162" t="e">
        <f t="shared" si="5"/>
        <v>#N/A</v>
      </c>
      <c r="AL162">
        <f>Потребность!G162*Потребность!H162</f>
        <v>0</v>
      </c>
      <c r="AM162" s="11" t="e">
        <f>Исходн.данные.!$AJ162*Расчет2!AO162</f>
        <v>#VALUE!</v>
      </c>
      <c r="AN162" s="11">
        <f>Исходн.данные.!$AJ162*Расчет2!AP162</f>
        <v>0</v>
      </c>
      <c r="AO162" s="25" t="str">
        <f>IF(Расчет!BF162=0,"X",Расчет!BF162)</f>
        <v>X</v>
      </c>
      <c r="AP162" s="25">
        <f>Расчет!BG162</f>
        <v>0</v>
      </c>
      <c r="AQ162" s="9">
        <f>IF(Расчет!BL162&lt;0,0,Расчет!BL162)</f>
        <v>0</v>
      </c>
      <c r="AR162" s="25">
        <f>IF(Расчет!BM162&lt;0,0,Расчет!BM162)</f>
        <v>0</v>
      </c>
      <c r="AS162" s="25">
        <f>IF(Расчет!BN162&lt;0,0,Расчет!BN162)</f>
        <v>0</v>
      </c>
      <c r="AT162" s="25">
        <f>Расчет!BY162</f>
        <v>0</v>
      </c>
      <c r="AU162" s="25">
        <f>Расчет!BZ162</f>
        <v>10</v>
      </c>
      <c r="AV162" s="25">
        <f>Расчет!CA162</f>
        <v>0</v>
      </c>
      <c r="AW162" s="25" t="str">
        <f>Расчет!CH162</f>
        <v>Аммофос 12:52:00</v>
      </c>
      <c r="AX162" s="25">
        <f>Расчет!DB162</f>
        <v>0</v>
      </c>
      <c r="AY162" s="25">
        <f>Расчет!DC162</f>
        <v>0</v>
      </c>
      <c r="AZ162" s="25">
        <f>Расчет!DG162</f>
        <v>0</v>
      </c>
      <c r="BA162" s="25">
        <f>Расчет!DH162</f>
        <v>0</v>
      </c>
      <c r="BB162" s="25">
        <f>Расчет!DI162</f>
        <v>0</v>
      </c>
      <c r="BC162" s="25" t="str">
        <f>Расчет!DR162</f>
        <v>Нет</v>
      </c>
      <c r="BD162" s="25">
        <f>Расчет!EB162</f>
        <v>0</v>
      </c>
      <c r="BE162" s="25">
        <f>Расчет!EF162</f>
        <v>0</v>
      </c>
      <c r="BF162" s="25" t="e">
        <f>Расчет!EI162</f>
        <v>#DIV/0!</v>
      </c>
      <c r="BG162" s="25" t="e">
        <f>Расчет!FA162</f>
        <v>#N/A</v>
      </c>
      <c r="BI162">
        <f>IF(Исходн.данные.!AH162=Исходн.данные.!$AC$4,0.6,1)</f>
        <v>1</v>
      </c>
      <c r="BJ162">
        <f>IF(Исходн.данные.!AH162=Исходн.данные.!$AC$4,0.8,IF(OR(Потребность!F162=Расчет2!$BI$10,Потребность!F162=Расчет2!$BI$7,Потребность!F162=Расчет2!$BK$14,Исходн.данные.!AI162=Исходн.данные.!$AI$11),1.3,1))</f>
        <v>1.3</v>
      </c>
      <c r="BK162">
        <f>IF(OR(Исходн.данные.!AH162=Исходн.данные.!$AD$7,Исходн.данные.!AH162=Исходн.данные.!$AD$8),0.75,1)</f>
        <v>1</v>
      </c>
    </row>
    <row r="163" spans="32:63" x14ac:dyDescent="0.2">
      <c r="AF163">
        <f>SUM(Исходн.данные.!AD163:AF163)</f>
        <v>0</v>
      </c>
      <c r="AG163" s="60">
        <f>SUM(Расчет!CI163:CK163)</f>
        <v>0.64</v>
      </c>
      <c r="AH163" s="60">
        <f>SUM(Расчет!DS163:DU163)</f>
        <v>0</v>
      </c>
      <c r="AI163" t="e">
        <f t="shared" si="4"/>
        <v>#N/A</v>
      </c>
      <c r="AJ163" t="e">
        <f t="shared" si="5"/>
        <v>#N/A</v>
      </c>
      <c r="AL163">
        <f>Потребность!G163*Потребность!H163</f>
        <v>0</v>
      </c>
      <c r="AM163" s="11" t="e">
        <f>Исходн.данные.!$AJ163*Расчет2!AO163</f>
        <v>#VALUE!</v>
      </c>
      <c r="AN163" s="11">
        <f>Исходн.данные.!$AJ163*Расчет2!AP163</f>
        <v>0</v>
      </c>
      <c r="AO163" s="25" t="str">
        <f>IF(Расчет!BF163=0,"X",Расчет!BF163)</f>
        <v>X</v>
      </c>
      <c r="AP163" s="25">
        <f>Расчет!BG163</f>
        <v>0</v>
      </c>
      <c r="AQ163" s="9">
        <f>IF(Расчет!BL163&lt;0,0,Расчет!BL163)</f>
        <v>0</v>
      </c>
      <c r="AR163" s="25">
        <f>IF(Расчет!BM163&lt;0,0,Расчет!BM163)</f>
        <v>0</v>
      </c>
      <c r="AS163" s="25">
        <f>IF(Расчет!BN163&lt;0,0,Расчет!BN163)</f>
        <v>0</v>
      </c>
      <c r="AT163" s="25">
        <f>Расчет!BY163</f>
        <v>0</v>
      </c>
      <c r="AU163" s="25">
        <f>Расчет!BZ163</f>
        <v>10</v>
      </c>
      <c r="AV163" s="25">
        <f>Расчет!CA163</f>
        <v>0</v>
      </c>
      <c r="AW163" s="25" t="str">
        <f>Расчет!CH163</f>
        <v>Аммофос 12:52:00</v>
      </c>
      <c r="AX163" s="25">
        <f>Расчет!DB163</f>
        <v>0</v>
      </c>
      <c r="AY163" s="25">
        <f>Расчет!DC163</f>
        <v>0</v>
      </c>
      <c r="AZ163" s="25">
        <f>Расчет!DG163</f>
        <v>0</v>
      </c>
      <c r="BA163" s="25">
        <f>Расчет!DH163</f>
        <v>0</v>
      </c>
      <c r="BB163" s="25">
        <f>Расчет!DI163</f>
        <v>0</v>
      </c>
      <c r="BC163" s="25" t="str">
        <f>Расчет!DR163</f>
        <v>Нет</v>
      </c>
      <c r="BD163" s="25">
        <f>Расчет!EB163</f>
        <v>0</v>
      </c>
      <c r="BE163" s="25">
        <f>Расчет!EF163</f>
        <v>0</v>
      </c>
      <c r="BF163" s="25" t="e">
        <f>Расчет!EI163</f>
        <v>#DIV/0!</v>
      </c>
      <c r="BG163" s="25" t="e">
        <f>Расчет!FA163</f>
        <v>#N/A</v>
      </c>
      <c r="BI163">
        <f>IF(Исходн.данные.!AH163=Исходн.данные.!$AC$4,0.6,1)</f>
        <v>1</v>
      </c>
      <c r="BJ163">
        <f>IF(Исходн.данные.!AH163=Исходн.данные.!$AC$4,0.8,IF(OR(Потребность!F163=Расчет2!$BI$10,Потребность!F163=Расчет2!$BI$7,Потребность!F163=Расчет2!$BK$14,Исходн.данные.!AI163=Исходн.данные.!$AI$11),1.3,1))</f>
        <v>1.3</v>
      </c>
      <c r="BK163">
        <f>IF(OR(Исходн.данные.!AH163=Исходн.данные.!$AD$7,Исходн.данные.!AH163=Исходн.данные.!$AD$8),0.75,1)</f>
        <v>1</v>
      </c>
    </row>
    <row r="164" spans="32:63" x14ac:dyDescent="0.2">
      <c r="AF164">
        <f>SUM(Исходн.данные.!AD164:AF164)</f>
        <v>0</v>
      </c>
      <c r="AG164" s="60">
        <f>SUM(Расчет!CI164:CK164)</f>
        <v>0.64</v>
      </c>
      <c r="AH164" s="60">
        <f>SUM(Расчет!DS164:DU164)</f>
        <v>0</v>
      </c>
      <c r="AI164" t="e">
        <f t="shared" si="4"/>
        <v>#N/A</v>
      </c>
      <c r="AJ164" t="e">
        <f t="shared" si="5"/>
        <v>#N/A</v>
      </c>
      <c r="AL164">
        <f>Потребность!G164*Потребность!H164</f>
        <v>0</v>
      </c>
      <c r="AM164" s="11" t="e">
        <f>Исходн.данные.!$AJ164*Расчет2!AO164</f>
        <v>#VALUE!</v>
      </c>
      <c r="AN164" s="11">
        <f>Исходн.данные.!$AJ164*Расчет2!AP164</f>
        <v>0</v>
      </c>
      <c r="AO164" s="25" t="str">
        <f>IF(Расчет!BF164=0,"X",Расчет!BF164)</f>
        <v>X</v>
      </c>
      <c r="AP164" s="25">
        <f>Расчет!BG164</f>
        <v>0</v>
      </c>
      <c r="AQ164" s="9">
        <f>IF(Расчет!BL164&lt;0,0,Расчет!BL164)</f>
        <v>0</v>
      </c>
      <c r="AR164" s="25">
        <f>IF(Расчет!BM164&lt;0,0,Расчет!BM164)</f>
        <v>0</v>
      </c>
      <c r="AS164" s="25">
        <f>IF(Расчет!BN164&lt;0,0,Расчет!BN164)</f>
        <v>0</v>
      </c>
      <c r="AT164" s="25">
        <f>Расчет!BY164</f>
        <v>0</v>
      </c>
      <c r="AU164" s="25">
        <f>Расчет!BZ164</f>
        <v>10</v>
      </c>
      <c r="AV164" s="25">
        <f>Расчет!CA164</f>
        <v>0</v>
      </c>
      <c r="AW164" s="25" t="str">
        <f>Расчет!CH164</f>
        <v>Аммофос 12:52:00</v>
      </c>
      <c r="AX164" s="25">
        <f>Расчет!DB164</f>
        <v>0</v>
      </c>
      <c r="AY164" s="25">
        <f>Расчет!DC164</f>
        <v>0</v>
      </c>
      <c r="AZ164" s="25">
        <f>Расчет!DG164</f>
        <v>0</v>
      </c>
      <c r="BA164" s="25">
        <f>Расчет!DH164</f>
        <v>0</v>
      </c>
      <c r="BB164" s="25">
        <f>Расчет!DI164</f>
        <v>0</v>
      </c>
      <c r="BC164" s="25" t="str">
        <f>Расчет!DR164</f>
        <v>Нет</v>
      </c>
      <c r="BD164" s="25">
        <f>Расчет!EB164</f>
        <v>0</v>
      </c>
      <c r="BE164" s="25">
        <f>Расчет!EF164</f>
        <v>0</v>
      </c>
      <c r="BF164" s="25" t="e">
        <f>Расчет!EI164</f>
        <v>#DIV/0!</v>
      </c>
      <c r="BG164" s="25" t="e">
        <f>Расчет!FA164</f>
        <v>#N/A</v>
      </c>
      <c r="BI164">
        <f>IF(Исходн.данные.!AH164=Исходн.данные.!$AC$4,0.6,1)</f>
        <v>1</v>
      </c>
      <c r="BJ164">
        <f>IF(Исходн.данные.!AH164=Исходн.данные.!$AC$4,0.8,IF(OR(Потребность!F164=Расчет2!$BI$10,Потребность!F164=Расчет2!$BI$7,Потребность!F164=Расчет2!$BK$14,Исходн.данные.!AI164=Исходн.данные.!$AI$11),1.3,1))</f>
        <v>1.3</v>
      </c>
      <c r="BK164">
        <f>IF(OR(Исходн.данные.!AH164=Исходн.данные.!$AD$7,Исходн.данные.!AH164=Исходн.данные.!$AD$8),0.75,1)</f>
        <v>1</v>
      </c>
    </row>
    <row r="165" spans="32:63" x14ac:dyDescent="0.2">
      <c r="AF165">
        <f>SUM(Исходн.данные.!AD165:AF165)</f>
        <v>0</v>
      </c>
      <c r="AG165" s="60">
        <f>SUM(Расчет!CI165:CK165)</f>
        <v>0.64</v>
      </c>
      <c r="AH165" s="60">
        <f>SUM(Расчет!DS165:DU165)</f>
        <v>0</v>
      </c>
      <c r="AI165" t="e">
        <f t="shared" si="4"/>
        <v>#N/A</v>
      </c>
      <c r="AJ165" t="e">
        <f t="shared" si="5"/>
        <v>#N/A</v>
      </c>
      <c r="AL165">
        <f>Потребность!G165*Потребность!H165</f>
        <v>0</v>
      </c>
      <c r="AM165" s="11" t="e">
        <f>Исходн.данные.!$AJ165*Расчет2!AO165</f>
        <v>#VALUE!</v>
      </c>
      <c r="AN165" s="11">
        <f>Исходн.данные.!$AJ165*Расчет2!AP165</f>
        <v>0</v>
      </c>
      <c r="AO165" s="25" t="str">
        <f>IF(Расчет!BF165=0,"X",Расчет!BF165)</f>
        <v>X</v>
      </c>
      <c r="AP165" s="25">
        <f>Расчет!BG165</f>
        <v>0</v>
      </c>
      <c r="AQ165" s="9">
        <f>IF(Расчет!BL165&lt;0,0,Расчет!BL165)</f>
        <v>0</v>
      </c>
      <c r="AR165" s="25">
        <f>IF(Расчет!BM165&lt;0,0,Расчет!BM165)</f>
        <v>0</v>
      </c>
      <c r="AS165" s="25">
        <f>IF(Расчет!BN165&lt;0,0,Расчет!BN165)</f>
        <v>0</v>
      </c>
      <c r="AT165" s="25">
        <f>Расчет!BY165</f>
        <v>0</v>
      </c>
      <c r="AU165" s="25">
        <f>Расчет!BZ165</f>
        <v>10</v>
      </c>
      <c r="AV165" s="25">
        <f>Расчет!CA165</f>
        <v>0</v>
      </c>
      <c r="AW165" s="25" t="str">
        <f>Расчет!CH165</f>
        <v>Аммофос 12:52:00</v>
      </c>
      <c r="AX165" s="25">
        <f>Расчет!DB165</f>
        <v>0</v>
      </c>
      <c r="AY165" s="25">
        <f>Расчет!DC165</f>
        <v>0</v>
      </c>
      <c r="AZ165" s="25">
        <f>Расчет!DG165</f>
        <v>0</v>
      </c>
      <c r="BA165" s="25">
        <f>Расчет!DH165</f>
        <v>0</v>
      </c>
      <c r="BB165" s="25">
        <f>Расчет!DI165</f>
        <v>0</v>
      </c>
      <c r="BC165" s="25" t="str">
        <f>Расчет!DR165</f>
        <v>Нет</v>
      </c>
      <c r="BD165" s="25">
        <f>Расчет!EB165</f>
        <v>0</v>
      </c>
      <c r="BE165" s="25">
        <f>Расчет!EF165</f>
        <v>0</v>
      </c>
      <c r="BF165" s="25" t="e">
        <f>Расчет!EI165</f>
        <v>#DIV/0!</v>
      </c>
      <c r="BG165" s="25" t="e">
        <f>Расчет!FA165</f>
        <v>#N/A</v>
      </c>
      <c r="BI165">
        <f>IF(Исходн.данные.!AH165=Исходн.данные.!$AC$4,0.6,1)</f>
        <v>1</v>
      </c>
      <c r="BJ165">
        <f>IF(Исходн.данные.!AH165=Исходн.данные.!$AC$4,0.8,IF(OR(Потребность!F165=Расчет2!$BI$10,Потребность!F165=Расчет2!$BI$7,Потребность!F165=Расчет2!$BK$14,Исходн.данные.!AI165=Исходн.данные.!$AI$11),1.3,1))</f>
        <v>1.3</v>
      </c>
      <c r="BK165">
        <f>IF(OR(Исходн.данные.!AH165=Исходн.данные.!$AD$7,Исходн.данные.!AH165=Исходн.данные.!$AD$8),0.75,1)</f>
        <v>1</v>
      </c>
    </row>
    <row r="166" spans="32:63" x14ac:dyDescent="0.2">
      <c r="AF166">
        <f>SUM(Исходн.данные.!AD166:AF166)</f>
        <v>0</v>
      </c>
      <c r="AG166" s="60">
        <f>SUM(Расчет!CI166:CK166)</f>
        <v>0.64</v>
      </c>
      <c r="AH166" s="60">
        <f>SUM(Расчет!DS166:DU166)</f>
        <v>0</v>
      </c>
      <c r="AI166" t="e">
        <f t="shared" si="4"/>
        <v>#N/A</v>
      </c>
      <c r="AJ166" t="e">
        <f t="shared" si="5"/>
        <v>#N/A</v>
      </c>
      <c r="AL166">
        <f>Потребность!G166*Потребность!H166</f>
        <v>0</v>
      </c>
      <c r="AM166" s="11" t="e">
        <f>Исходн.данные.!$AJ166*Расчет2!AO166</f>
        <v>#VALUE!</v>
      </c>
      <c r="AN166" s="11">
        <f>Исходн.данные.!$AJ166*Расчет2!AP166</f>
        <v>0</v>
      </c>
      <c r="AO166" s="25" t="str">
        <f>IF(Расчет!BF166=0,"X",Расчет!BF166)</f>
        <v>X</v>
      </c>
      <c r="AP166" s="25">
        <f>Расчет!BG166</f>
        <v>0</v>
      </c>
      <c r="AQ166" s="9">
        <f>IF(Расчет!BL166&lt;0,0,Расчет!BL166)</f>
        <v>0</v>
      </c>
      <c r="AR166" s="25">
        <f>IF(Расчет!BM166&lt;0,0,Расчет!BM166)</f>
        <v>0</v>
      </c>
      <c r="AS166" s="25">
        <f>IF(Расчет!BN166&lt;0,0,Расчет!BN166)</f>
        <v>0</v>
      </c>
      <c r="AT166" s="25">
        <f>Расчет!BY166</f>
        <v>0</v>
      </c>
      <c r="AU166" s="25">
        <f>Расчет!BZ166</f>
        <v>10</v>
      </c>
      <c r="AV166" s="25">
        <f>Расчет!CA166</f>
        <v>0</v>
      </c>
      <c r="AW166" s="25" t="str">
        <f>Расчет!CH166</f>
        <v>Аммофос 12:52:00</v>
      </c>
      <c r="AX166" s="25">
        <f>Расчет!DB166</f>
        <v>0</v>
      </c>
      <c r="AY166" s="25">
        <f>Расчет!DC166</f>
        <v>0</v>
      </c>
      <c r="AZ166" s="25">
        <f>Расчет!DG166</f>
        <v>0</v>
      </c>
      <c r="BA166" s="25">
        <f>Расчет!DH166</f>
        <v>0</v>
      </c>
      <c r="BB166" s="25">
        <f>Расчет!DI166</f>
        <v>0</v>
      </c>
      <c r="BC166" s="25" t="str">
        <f>Расчет!DR166</f>
        <v>Нет</v>
      </c>
      <c r="BD166" s="25">
        <f>Расчет!EB166</f>
        <v>0</v>
      </c>
      <c r="BE166" s="25">
        <f>Расчет!EF166</f>
        <v>0</v>
      </c>
      <c r="BF166" s="25" t="e">
        <f>Расчет!EI166</f>
        <v>#DIV/0!</v>
      </c>
      <c r="BG166" s="25" t="e">
        <f>Расчет!FA166</f>
        <v>#N/A</v>
      </c>
      <c r="BI166">
        <f>IF(Исходн.данные.!AH166=Исходн.данные.!$AC$4,0.6,1)</f>
        <v>1</v>
      </c>
      <c r="BJ166">
        <f>IF(Исходн.данные.!AH166=Исходн.данные.!$AC$4,0.8,IF(OR(Потребность!F166=Расчет2!$BI$10,Потребность!F166=Расчет2!$BI$7,Потребность!F166=Расчет2!$BK$14,Исходн.данные.!AI166=Исходн.данные.!$AI$11),1.3,1))</f>
        <v>1.3</v>
      </c>
      <c r="BK166">
        <f>IF(OR(Исходн.данные.!AH166=Исходн.данные.!$AD$7,Исходн.данные.!AH166=Исходн.данные.!$AD$8),0.75,1)</f>
        <v>1</v>
      </c>
    </row>
    <row r="167" spans="32:63" x14ac:dyDescent="0.2">
      <c r="AF167">
        <f>SUM(Исходн.данные.!AD167:AF167)</f>
        <v>0</v>
      </c>
      <c r="AG167" s="60">
        <f>SUM(Расчет!CI167:CK167)</f>
        <v>0.64</v>
      </c>
      <c r="AH167" s="60">
        <f>SUM(Расчет!DS167:DU167)</f>
        <v>0</v>
      </c>
      <c r="AI167" t="e">
        <f t="shared" si="4"/>
        <v>#N/A</v>
      </c>
      <c r="AJ167" t="e">
        <f t="shared" si="5"/>
        <v>#N/A</v>
      </c>
      <c r="AL167">
        <f>Потребность!G167*Потребность!H167</f>
        <v>0</v>
      </c>
      <c r="AM167" s="11" t="e">
        <f>Исходн.данные.!$AJ167*Расчет2!AO167</f>
        <v>#VALUE!</v>
      </c>
      <c r="AN167" s="11">
        <f>Исходн.данные.!$AJ167*Расчет2!AP167</f>
        <v>0</v>
      </c>
      <c r="AO167" s="25" t="str">
        <f>IF(Расчет!BF167=0,"X",Расчет!BF167)</f>
        <v>X</v>
      </c>
      <c r="AP167" s="25">
        <f>Расчет!BG167</f>
        <v>0</v>
      </c>
      <c r="AQ167" s="9">
        <f>IF(Расчет!BL167&lt;0,0,Расчет!BL167)</f>
        <v>0</v>
      </c>
      <c r="AR167" s="25">
        <f>IF(Расчет!BM167&lt;0,0,Расчет!BM167)</f>
        <v>0</v>
      </c>
      <c r="AS167" s="25">
        <f>IF(Расчет!BN167&lt;0,0,Расчет!BN167)</f>
        <v>0</v>
      </c>
      <c r="AT167" s="25">
        <f>Расчет!BY167</f>
        <v>0</v>
      </c>
      <c r="AU167" s="25">
        <f>Расчет!BZ167</f>
        <v>10</v>
      </c>
      <c r="AV167" s="25">
        <f>Расчет!CA167</f>
        <v>0</v>
      </c>
      <c r="AW167" s="25" t="str">
        <f>Расчет!CH167</f>
        <v>Аммофос 12:52:00</v>
      </c>
      <c r="AX167" s="25">
        <f>Расчет!DB167</f>
        <v>0</v>
      </c>
      <c r="AY167" s="25">
        <f>Расчет!DC167</f>
        <v>0</v>
      </c>
      <c r="AZ167" s="25">
        <f>Расчет!DG167</f>
        <v>0</v>
      </c>
      <c r="BA167" s="25">
        <f>Расчет!DH167</f>
        <v>0</v>
      </c>
      <c r="BB167" s="25">
        <f>Расчет!DI167</f>
        <v>0</v>
      </c>
      <c r="BC167" s="25" t="str">
        <f>Расчет!DR167</f>
        <v>Нет</v>
      </c>
      <c r="BD167" s="25">
        <f>Расчет!EB167</f>
        <v>0</v>
      </c>
      <c r="BE167" s="25">
        <f>Расчет!EF167</f>
        <v>0</v>
      </c>
      <c r="BF167" s="25" t="e">
        <f>Расчет!EI167</f>
        <v>#DIV/0!</v>
      </c>
      <c r="BG167" s="25" t="e">
        <f>Расчет!FA167</f>
        <v>#N/A</v>
      </c>
      <c r="BI167">
        <f>IF(Исходн.данные.!AH167=Исходн.данные.!$AC$4,0.6,1)</f>
        <v>1</v>
      </c>
      <c r="BJ167">
        <f>IF(Исходн.данные.!AH167=Исходн.данные.!$AC$4,0.8,IF(OR(Потребность!F167=Расчет2!$BI$10,Потребность!F167=Расчет2!$BI$7,Потребность!F167=Расчет2!$BK$14,Исходн.данные.!AI167=Исходн.данные.!$AI$11),1.3,1))</f>
        <v>1.3</v>
      </c>
      <c r="BK167">
        <f>IF(OR(Исходн.данные.!AH167=Исходн.данные.!$AD$7,Исходн.данные.!AH167=Исходн.данные.!$AD$8),0.75,1)</f>
        <v>1</v>
      </c>
    </row>
    <row r="168" spans="32:63" x14ac:dyDescent="0.2">
      <c r="AF168">
        <f>SUM(Исходн.данные.!AD168:AF168)</f>
        <v>0</v>
      </c>
      <c r="AG168" s="60">
        <f>SUM(Расчет!CI168:CK168)</f>
        <v>0.64</v>
      </c>
      <c r="AH168" s="60">
        <f>SUM(Расчет!DS168:DU168)</f>
        <v>0</v>
      </c>
      <c r="AI168" t="e">
        <f t="shared" si="4"/>
        <v>#N/A</v>
      </c>
      <c r="AJ168" t="e">
        <f t="shared" si="5"/>
        <v>#N/A</v>
      </c>
      <c r="AL168">
        <f>Потребность!G168*Потребность!H168</f>
        <v>0</v>
      </c>
      <c r="AM168" s="11" t="e">
        <f>Исходн.данные.!$AJ168*Расчет2!AO168</f>
        <v>#VALUE!</v>
      </c>
      <c r="AN168" s="11">
        <f>Исходн.данные.!$AJ168*Расчет2!AP168</f>
        <v>0</v>
      </c>
      <c r="AO168" s="25" t="str">
        <f>IF(Расчет!BF168=0,"X",Расчет!BF168)</f>
        <v>X</v>
      </c>
      <c r="AP168" s="25">
        <f>Расчет!BG168</f>
        <v>0</v>
      </c>
      <c r="AQ168" s="9">
        <f>IF(Расчет!BL168&lt;0,0,Расчет!BL168)</f>
        <v>0</v>
      </c>
      <c r="AR168" s="25">
        <f>IF(Расчет!BM168&lt;0,0,Расчет!BM168)</f>
        <v>0</v>
      </c>
      <c r="AS168" s="25">
        <f>IF(Расчет!BN168&lt;0,0,Расчет!BN168)</f>
        <v>0</v>
      </c>
      <c r="AT168" s="25">
        <f>Расчет!BY168</f>
        <v>0</v>
      </c>
      <c r="AU168" s="25">
        <f>Расчет!BZ168</f>
        <v>10</v>
      </c>
      <c r="AV168" s="25">
        <f>Расчет!CA168</f>
        <v>0</v>
      </c>
      <c r="AW168" s="25" t="str">
        <f>Расчет!CH168</f>
        <v>Аммофос 12:52:00</v>
      </c>
      <c r="AX168" s="25">
        <f>Расчет!DB168</f>
        <v>0</v>
      </c>
      <c r="AY168" s="25">
        <f>Расчет!DC168</f>
        <v>0</v>
      </c>
      <c r="AZ168" s="25">
        <f>Расчет!DG168</f>
        <v>0</v>
      </c>
      <c r="BA168" s="25">
        <f>Расчет!DH168</f>
        <v>0</v>
      </c>
      <c r="BB168" s="25">
        <f>Расчет!DI168</f>
        <v>0</v>
      </c>
      <c r="BC168" s="25" t="str">
        <f>Расчет!DR168</f>
        <v>Нет</v>
      </c>
      <c r="BD168" s="25">
        <f>Расчет!EB168</f>
        <v>0</v>
      </c>
      <c r="BE168" s="25">
        <f>Расчет!EF168</f>
        <v>0</v>
      </c>
      <c r="BF168" s="25" t="e">
        <f>Расчет!EI168</f>
        <v>#DIV/0!</v>
      </c>
      <c r="BG168" s="25" t="e">
        <f>Расчет!FA168</f>
        <v>#N/A</v>
      </c>
      <c r="BI168">
        <f>IF(Исходн.данные.!AH168=Исходн.данные.!$AC$4,0.6,1)</f>
        <v>1</v>
      </c>
      <c r="BJ168">
        <f>IF(Исходн.данные.!AH168=Исходн.данные.!$AC$4,0.8,IF(OR(Потребность!F168=Расчет2!$BI$10,Потребность!F168=Расчет2!$BI$7,Потребность!F168=Расчет2!$BK$14,Исходн.данные.!AI168=Исходн.данные.!$AI$11),1.3,1))</f>
        <v>1.3</v>
      </c>
      <c r="BK168">
        <f>IF(OR(Исходн.данные.!AH168=Исходн.данные.!$AD$7,Исходн.данные.!AH168=Исходн.данные.!$AD$8),0.75,1)</f>
        <v>1</v>
      </c>
    </row>
    <row r="169" spans="32:63" x14ac:dyDescent="0.2">
      <c r="AF169">
        <f>SUM(Исходн.данные.!AD169:AF169)</f>
        <v>0</v>
      </c>
      <c r="AG169" s="60">
        <f>SUM(Расчет!CI169:CK169)</f>
        <v>0.64</v>
      </c>
      <c r="AH169" s="60">
        <f>SUM(Расчет!DS169:DU169)</f>
        <v>0</v>
      </c>
      <c r="AI169" t="e">
        <f t="shared" si="4"/>
        <v>#N/A</v>
      </c>
      <c r="AJ169" t="e">
        <f t="shared" si="5"/>
        <v>#N/A</v>
      </c>
      <c r="AL169">
        <f>Потребность!G169*Потребность!H169</f>
        <v>0</v>
      </c>
      <c r="AM169" s="11" t="e">
        <f>Исходн.данные.!$AJ169*Расчет2!AO169</f>
        <v>#VALUE!</v>
      </c>
      <c r="AN169" s="11">
        <f>Исходн.данные.!$AJ169*Расчет2!AP169</f>
        <v>0</v>
      </c>
      <c r="AO169" s="25" t="str">
        <f>IF(Расчет!BF169=0,"X",Расчет!BF169)</f>
        <v>X</v>
      </c>
      <c r="AP169" s="25">
        <f>Расчет!BG169</f>
        <v>0</v>
      </c>
      <c r="AQ169" s="9">
        <f>IF(Расчет!BL169&lt;0,0,Расчет!BL169)</f>
        <v>0</v>
      </c>
      <c r="AR169" s="25">
        <f>IF(Расчет!BM169&lt;0,0,Расчет!BM169)</f>
        <v>0</v>
      </c>
      <c r="AS169" s="25">
        <f>IF(Расчет!BN169&lt;0,0,Расчет!BN169)</f>
        <v>0</v>
      </c>
      <c r="AT169" s="25">
        <f>Расчет!BY169</f>
        <v>0</v>
      </c>
      <c r="AU169" s="25">
        <f>Расчет!BZ169</f>
        <v>10</v>
      </c>
      <c r="AV169" s="25">
        <f>Расчет!CA169</f>
        <v>0</v>
      </c>
      <c r="AW169" s="25" t="str">
        <f>Расчет!CH169</f>
        <v>Аммофос 12:52:00</v>
      </c>
      <c r="AX169" s="25">
        <f>Расчет!DB169</f>
        <v>0</v>
      </c>
      <c r="AY169" s="25">
        <f>Расчет!DC169</f>
        <v>0</v>
      </c>
      <c r="AZ169" s="25">
        <f>Расчет!DG169</f>
        <v>0</v>
      </c>
      <c r="BA169" s="25">
        <f>Расчет!DH169</f>
        <v>0</v>
      </c>
      <c r="BB169" s="25">
        <f>Расчет!DI169</f>
        <v>0</v>
      </c>
      <c r="BC169" s="25" t="str">
        <f>Расчет!DR169</f>
        <v>Нет</v>
      </c>
      <c r="BD169" s="25">
        <f>Расчет!EB169</f>
        <v>0</v>
      </c>
      <c r="BE169" s="25">
        <f>Расчет!EF169</f>
        <v>0</v>
      </c>
      <c r="BF169" s="25" t="e">
        <f>Расчет!EI169</f>
        <v>#DIV/0!</v>
      </c>
      <c r="BG169" s="25" t="e">
        <f>Расчет!FA169</f>
        <v>#N/A</v>
      </c>
      <c r="BI169">
        <f>IF(Исходн.данные.!AH169=Исходн.данные.!$AC$4,0.6,1)</f>
        <v>1</v>
      </c>
      <c r="BJ169">
        <f>IF(Исходн.данные.!AH169=Исходн.данные.!$AC$4,0.8,IF(OR(Потребность!F169=Расчет2!$BI$10,Потребность!F169=Расчет2!$BI$7,Потребность!F169=Расчет2!$BK$14,Исходн.данные.!AI169=Исходн.данные.!$AI$11),1.3,1))</f>
        <v>1.3</v>
      </c>
      <c r="BK169">
        <f>IF(OR(Исходн.данные.!AH169=Исходн.данные.!$AD$7,Исходн.данные.!AH169=Исходн.данные.!$AD$8),0.75,1)</f>
        <v>1</v>
      </c>
    </row>
    <row r="170" spans="32:63" x14ac:dyDescent="0.2">
      <c r="AF170">
        <f>SUM(Исходн.данные.!AD170:AF170)</f>
        <v>0</v>
      </c>
      <c r="AG170" s="60">
        <f>SUM(Расчет!CI170:CK170)</f>
        <v>0.64</v>
      </c>
      <c r="AH170" s="60">
        <f>SUM(Расчет!DS170:DU170)</f>
        <v>0</v>
      </c>
      <c r="AI170" t="e">
        <f t="shared" si="4"/>
        <v>#N/A</v>
      </c>
      <c r="AJ170" t="e">
        <f t="shared" si="5"/>
        <v>#N/A</v>
      </c>
      <c r="AL170">
        <f>Потребность!G170*Потребность!H170</f>
        <v>0</v>
      </c>
      <c r="AM170" s="11" t="e">
        <f>Исходн.данные.!$AJ170*Расчет2!AO170</f>
        <v>#VALUE!</v>
      </c>
      <c r="AN170" s="11">
        <f>Исходн.данные.!$AJ170*Расчет2!AP170</f>
        <v>0</v>
      </c>
      <c r="AO170" s="25" t="str">
        <f>IF(Расчет!BF170=0,"X",Расчет!BF170)</f>
        <v>X</v>
      </c>
      <c r="AP170" s="25">
        <f>Расчет!BG170</f>
        <v>0</v>
      </c>
      <c r="AQ170" s="9">
        <f>IF(Расчет!BL170&lt;0,0,Расчет!BL170)</f>
        <v>0</v>
      </c>
      <c r="AR170" s="25">
        <f>IF(Расчет!BM170&lt;0,0,Расчет!BM170)</f>
        <v>0</v>
      </c>
      <c r="AS170" s="25">
        <f>IF(Расчет!BN170&lt;0,0,Расчет!BN170)</f>
        <v>0</v>
      </c>
      <c r="AT170" s="25">
        <f>Расчет!BY170</f>
        <v>0</v>
      </c>
      <c r="AU170" s="25">
        <f>Расчет!BZ170</f>
        <v>10</v>
      </c>
      <c r="AV170" s="25">
        <f>Расчет!CA170</f>
        <v>0</v>
      </c>
      <c r="AW170" s="25" t="str">
        <f>Расчет!CH170</f>
        <v>Аммофос 12:52:00</v>
      </c>
      <c r="AX170" s="25">
        <f>Расчет!DB170</f>
        <v>0</v>
      </c>
      <c r="AY170" s="25">
        <f>Расчет!DC170</f>
        <v>0</v>
      </c>
      <c r="AZ170" s="25">
        <f>Расчет!DG170</f>
        <v>0</v>
      </c>
      <c r="BA170" s="25">
        <f>Расчет!DH170</f>
        <v>0</v>
      </c>
      <c r="BB170" s="25">
        <f>Расчет!DI170</f>
        <v>0</v>
      </c>
      <c r="BC170" s="25" t="str">
        <f>Расчет!DR170</f>
        <v>Нет</v>
      </c>
      <c r="BD170" s="25">
        <f>Расчет!EB170</f>
        <v>0</v>
      </c>
      <c r="BE170" s="25">
        <f>Расчет!EF170</f>
        <v>0</v>
      </c>
      <c r="BF170" s="25" t="e">
        <f>Расчет!EI170</f>
        <v>#DIV/0!</v>
      </c>
      <c r="BG170" s="25" t="e">
        <f>Расчет!FA170</f>
        <v>#N/A</v>
      </c>
      <c r="BI170">
        <f>IF(Исходн.данные.!AH170=Исходн.данные.!$AC$4,0.6,1)</f>
        <v>1</v>
      </c>
      <c r="BJ170">
        <f>IF(Исходн.данные.!AH170=Исходн.данные.!$AC$4,0.8,IF(OR(Потребность!F170=Расчет2!$BI$10,Потребность!F170=Расчет2!$BI$7,Потребность!F170=Расчет2!$BK$14,Исходн.данные.!AI170=Исходн.данные.!$AI$11),1.3,1))</f>
        <v>1.3</v>
      </c>
      <c r="BK170">
        <f>IF(OR(Исходн.данные.!AH170=Исходн.данные.!$AD$7,Исходн.данные.!AH170=Исходн.данные.!$AD$8),0.75,1)</f>
        <v>1</v>
      </c>
    </row>
    <row r="171" spans="32:63" x14ac:dyDescent="0.2">
      <c r="AF171">
        <f>SUM(Исходн.данные.!AD171:AF171)</f>
        <v>0</v>
      </c>
      <c r="AG171" s="60">
        <f>SUM(Расчет!CI171:CK171)</f>
        <v>0.64</v>
      </c>
      <c r="AH171" s="60">
        <f>SUM(Расчет!DS171:DU171)</f>
        <v>0</v>
      </c>
      <c r="AI171" t="e">
        <f t="shared" si="4"/>
        <v>#N/A</v>
      </c>
      <c r="AJ171" t="e">
        <f t="shared" si="5"/>
        <v>#N/A</v>
      </c>
      <c r="AL171">
        <f>Потребность!G171*Потребность!H171</f>
        <v>0</v>
      </c>
      <c r="AM171" s="11" t="e">
        <f>Исходн.данные.!$AJ171*Расчет2!AO171</f>
        <v>#VALUE!</v>
      </c>
      <c r="AN171" s="11">
        <f>Исходн.данные.!$AJ171*Расчет2!AP171</f>
        <v>0</v>
      </c>
      <c r="AO171" s="25" t="str">
        <f>IF(Расчет!BF171=0,"X",Расчет!BF171)</f>
        <v>X</v>
      </c>
      <c r="AP171" s="25">
        <f>Расчет!BG171</f>
        <v>0</v>
      </c>
      <c r="AQ171" s="9">
        <f>IF(Расчет!BL171&lt;0,0,Расчет!BL171)</f>
        <v>0</v>
      </c>
      <c r="AR171" s="25">
        <f>IF(Расчет!BM171&lt;0,0,Расчет!BM171)</f>
        <v>0</v>
      </c>
      <c r="AS171" s="25">
        <f>IF(Расчет!BN171&lt;0,0,Расчет!BN171)</f>
        <v>0</v>
      </c>
      <c r="AT171" s="25">
        <f>Расчет!BY171</f>
        <v>0</v>
      </c>
      <c r="AU171" s="25">
        <f>Расчет!BZ171</f>
        <v>10</v>
      </c>
      <c r="AV171" s="25">
        <f>Расчет!CA171</f>
        <v>0</v>
      </c>
      <c r="AW171" s="25" t="str">
        <f>Расчет!CH171</f>
        <v>Аммофос 12:52:00</v>
      </c>
      <c r="AX171" s="25">
        <f>Расчет!DB171</f>
        <v>0</v>
      </c>
      <c r="AY171" s="25">
        <f>Расчет!DC171</f>
        <v>0</v>
      </c>
      <c r="AZ171" s="25">
        <f>Расчет!DG171</f>
        <v>0</v>
      </c>
      <c r="BA171" s="25">
        <f>Расчет!DH171</f>
        <v>0</v>
      </c>
      <c r="BB171" s="25">
        <f>Расчет!DI171</f>
        <v>0</v>
      </c>
      <c r="BC171" s="25" t="str">
        <f>Расчет!DR171</f>
        <v>Нет</v>
      </c>
      <c r="BD171" s="25">
        <f>Расчет!EB171</f>
        <v>0</v>
      </c>
      <c r="BE171" s="25">
        <f>Расчет!EF171</f>
        <v>0</v>
      </c>
      <c r="BF171" s="25" t="e">
        <f>Расчет!EI171</f>
        <v>#DIV/0!</v>
      </c>
      <c r="BG171" s="25" t="e">
        <f>Расчет!FA171</f>
        <v>#N/A</v>
      </c>
      <c r="BI171">
        <f>IF(Исходн.данные.!AH171=Исходн.данные.!$AC$4,0.6,1)</f>
        <v>1</v>
      </c>
      <c r="BJ171">
        <f>IF(Исходн.данные.!AH171=Исходн.данные.!$AC$4,0.8,IF(OR(Потребность!F171=Расчет2!$BI$10,Потребность!F171=Расчет2!$BI$7,Потребность!F171=Расчет2!$BK$14,Исходн.данные.!AI171=Исходн.данные.!$AI$11),1.3,1))</f>
        <v>1.3</v>
      </c>
      <c r="BK171">
        <f>IF(OR(Исходн.данные.!AH171=Исходн.данные.!$AD$7,Исходн.данные.!AH171=Исходн.данные.!$AD$8),0.75,1)</f>
        <v>1</v>
      </c>
    </row>
    <row r="172" spans="32:63" x14ac:dyDescent="0.2">
      <c r="AF172">
        <f>SUM(Исходн.данные.!AD172:AF172)</f>
        <v>0</v>
      </c>
      <c r="AG172" s="60">
        <f>SUM(Расчет!CI172:CK172)</f>
        <v>0.64</v>
      </c>
      <c r="AH172" s="60">
        <f>SUM(Расчет!DS172:DU172)</f>
        <v>0</v>
      </c>
      <c r="AI172" t="e">
        <f t="shared" si="4"/>
        <v>#N/A</v>
      </c>
      <c r="AJ172" t="e">
        <f t="shared" si="5"/>
        <v>#N/A</v>
      </c>
      <c r="AL172">
        <f>Потребность!G172*Потребность!H172</f>
        <v>0</v>
      </c>
      <c r="AM172" s="11" t="e">
        <f>Исходн.данные.!$AJ172*Расчет2!AO172</f>
        <v>#VALUE!</v>
      </c>
      <c r="AN172" s="11">
        <f>Исходн.данные.!$AJ172*Расчет2!AP172</f>
        <v>0</v>
      </c>
      <c r="AO172" s="25" t="str">
        <f>IF(Расчет!BF172=0,"X",Расчет!BF172)</f>
        <v>X</v>
      </c>
      <c r="AP172" s="25">
        <f>Расчет!BG172</f>
        <v>0</v>
      </c>
      <c r="AQ172" s="9">
        <f>IF(Расчет!BL172&lt;0,0,Расчет!BL172)</f>
        <v>0</v>
      </c>
      <c r="AR172" s="25">
        <f>IF(Расчет!BM172&lt;0,0,Расчет!BM172)</f>
        <v>0</v>
      </c>
      <c r="AS172" s="25">
        <f>IF(Расчет!BN172&lt;0,0,Расчет!BN172)</f>
        <v>0</v>
      </c>
      <c r="AT172" s="25">
        <f>Расчет!BY172</f>
        <v>0</v>
      </c>
      <c r="AU172" s="25">
        <f>Расчет!BZ172</f>
        <v>10</v>
      </c>
      <c r="AV172" s="25">
        <f>Расчет!CA172</f>
        <v>0</v>
      </c>
      <c r="AW172" s="25" t="str">
        <f>Расчет!CH172</f>
        <v>Аммофос 12:52:00</v>
      </c>
      <c r="AX172" s="25">
        <f>Расчет!DB172</f>
        <v>0</v>
      </c>
      <c r="AY172" s="25">
        <f>Расчет!DC172</f>
        <v>0</v>
      </c>
      <c r="AZ172" s="25">
        <f>Расчет!DG172</f>
        <v>0</v>
      </c>
      <c r="BA172" s="25">
        <f>Расчет!DH172</f>
        <v>0</v>
      </c>
      <c r="BB172" s="25">
        <f>Расчет!DI172</f>
        <v>0</v>
      </c>
      <c r="BC172" s="25" t="str">
        <f>Расчет!DR172</f>
        <v>Нет</v>
      </c>
      <c r="BD172" s="25">
        <f>Расчет!EB172</f>
        <v>0</v>
      </c>
      <c r="BE172" s="25">
        <f>Расчет!EF172</f>
        <v>0</v>
      </c>
      <c r="BF172" s="25" t="e">
        <f>Расчет!EI172</f>
        <v>#DIV/0!</v>
      </c>
      <c r="BG172" s="25" t="e">
        <f>Расчет!FA172</f>
        <v>#N/A</v>
      </c>
      <c r="BI172">
        <f>IF(Исходн.данные.!AH172=Исходн.данные.!$AC$4,0.6,1)</f>
        <v>1</v>
      </c>
      <c r="BJ172">
        <f>IF(Исходн.данные.!AH172=Исходн.данные.!$AC$4,0.8,IF(OR(Потребность!F172=Расчет2!$BI$10,Потребность!F172=Расчет2!$BI$7,Потребность!F172=Расчет2!$BK$14,Исходн.данные.!AI172=Исходн.данные.!$AI$11),1.3,1))</f>
        <v>1.3</v>
      </c>
      <c r="BK172">
        <f>IF(OR(Исходн.данные.!AH172=Исходн.данные.!$AD$7,Исходн.данные.!AH172=Исходн.данные.!$AD$8),0.75,1)</f>
        <v>1</v>
      </c>
    </row>
    <row r="173" spans="32:63" x14ac:dyDescent="0.2">
      <c r="AF173">
        <f>SUM(Исходн.данные.!AD173:AF173)</f>
        <v>0</v>
      </c>
      <c r="AG173" s="60">
        <f>SUM(Расчет!CI173:CK173)</f>
        <v>0.64</v>
      </c>
      <c r="AH173" s="60">
        <f>SUM(Расчет!DS173:DU173)</f>
        <v>0</v>
      </c>
      <c r="AI173" t="e">
        <f t="shared" si="4"/>
        <v>#N/A</v>
      </c>
      <c r="AJ173" t="e">
        <f t="shared" si="5"/>
        <v>#N/A</v>
      </c>
      <c r="AL173">
        <f>Потребность!G173*Потребность!H173</f>
        <v>0</v>
      </c>
      <c r="AM173" s="11" t="e">
        <f>Исходн.данные.!$AJ173*Расчет2!AO173</f>
        <v>#VALUE!</v>
      </c>
      <c r="AN173" s="11">
        <f>Исходн.данные.!$AJ173*Расчет2!AP173</f>
        <v>0</v>
      </c>
      <c r="AO173" s="25" t="str">
        <f>IF(Расчет!BF173=0,"X",Расчет!BF173)</f>
        <v>X</v>
      </c>
      <c r="AP173" s="25">
        <f>Расчет!BG173</f>
        <v>0</v>
      </c>
      <c r="AQ173" s="9">
        <f>IF(Расчет!BL173&lt;0,0,Расчет!BL173)</f>
        <v>0</v>
      </c>
      <c r="AR173" s="25">
        <f>IF(Расчет!BM173&lt;0,0,Расчет!BM173)</f>
        <v>0</v>
      </c>
      <c r="AS173" s="25">
        <f>IF(Расчет!BN173&lt;0,0,Расчет!BN173)</f>
        <v>0</v>
      </c>
      <c r="AT173" s="25">
        <f>Расчет!BY173</f>
        <v>0</v>
      </c>
      <c r="AU173" s="25">
        <f>Расчет!BZ173</f>
        <v>10</v>
      </c>
      <c r="AV173" s="25">
        <f>Расчет!CA173</f>
        <v>0</v>
      </c>
      <c r="AW173" s="25" t="str">
        <f>Расчет!CH173</f>
        <v>Аммофос 12:52:00</v>
      </c>
      <c r="AX173" s="25">
        <f>Расчет!DB173</f>
        <v>0</v>
      </c>
      <c r="AY173" s="25">
        <f>Расчет!DC173</f>
        <v>0</v>
      </c>
      <c r="AZ173" s="25">
        <f>Расчет!DG173</f>
        <v>0</v>
      </c>
      <c r="BA173" s="25">
        <f>Расчет!DH173</f>
        <v>0</v>
      </c>
      <c r="BB173" s="25">
        <f>Расчет!DI173</f>
        <v>0</v>
      </c>
      <c r="BC173" s="25" t="str">
        <f>Расчет!DR173</f>
        <v>Нет</v>
      </c>
      <c r="BD173" s="25">
        <f>Расчет!EB173</f>
        <v>0</v>
      </c>
      <c r="BE173" s="25">
        <f>Расчет!EF173</f>
        <v>0</v>
      </c>
      <c r="BF173" s="25" t="e">
        <f>Расчет!EI173</f>
        <v>#DIV/0!</v>
      </c>
      <c r="BG173" s="25" t="e">
        <f>Расчет!FA173</f>
        <v>#N/A</v>
      </c>
      <c r="BI173">
        <f>IF(Исходн.данные.!AH173=Исходн.данные.!$AC$4,0.6,1)</f>
        <v>1</v>
      </c>
      <c r="BJ173">
        <f>IF(Исходн.данные.!AH173=Исходн.данные.!$AC$4,0.8,IF(OR(Потребность!F173=Расчет2!$BI$10,Потребность!F173=Расчет2!$BI$7,Потребность!F173=Расчет2!$BK$14,Исходн.данные.!AI173=Исходн.данные.!$AI$11),1.3,1))</f>
        <v>1.3</v>
      </c>
      <c r="BK173">
        <f>IF(OR(Исходн.данные.!AH173=Исходн.данные.!$AD$7,Исходн.данные.!AH173=Исходн.данные.!$AD$8),0.75,1)</f>
        <v>1</v>
      </c>
    </row>
    <row r="174" spans="32:63" x14ac:dyDescent="0.2">
      <c r="AF174">
        <f>SUM(Исходн.данные.!AD174:AF174)</f>
        <v>0</v>
      </c>
      <c r="AG174" s="60">
        <f>SUM(Расчет!CI174:CK174)</f>
        <v>0.64</v>
      </c>
      <c r="AH174" s="60">
        <f>SUM(Расчет!DS174:DU174)</f>
        <v>0</v>
      </c>
      <c r="AI174" t="e">
        <f t="shared" si="4"/>
        <v>#N/A</v>
      </c>
      <c r="AJ174" t="e">
        <f t="shared" si="5"/>
        <v>#N/A</v>
      </c>
      <c r="AL174">
        <f>Потребность!G174*Потребность!H174</f>
        <v>0</v>
      </c>
      <c r="AM174" s="11" t="e">
        <f>Исходн.данные.!$AJ174*Расчет2!AO174</f>
        <v>#VALUE!</v>
      </c>
      <c r="AN174" s="11">
        <f>Исходн.данные.!$AJ174*Расчет2!AP174</f>
        <v>0</v>
      </c>
      <c r="AO174" s="25" t="str">
        <f>IF(Расчет!BF174=0,"X",Расчет!BF174)</f>
        <v>X</v>
      </c>
      <c r="AP174" s="25">
        <f>Расчет!BG174</f>
        <v>0</v>
      </c>
      <c r="AQ174" s="9">
        <f>IF(Расчет!BL174&lt;0,0,Расчет!BL174)</f>
        <v>0</v>
      </c>
      <c r="AR174" s="25">
        <f>IF(Расчет!BM174&lt;0,0,Расчет!BM174)</f>
        <v>0</v>
      </c>
      <c r="AS174" s="25">
        <f>IF(Расчет!BN174&lt;0,0,Расчет!BN174)</f>
        <v>0</v>
      </c>
      <c r="AT174" s="25">
        <f>Расчет!BY174</f>
        <v>0</v>
      </c>
      <c r="AU174" s="25">
        <f>Расчет!BZ174</f>
        <v>10</v>
      </c>
      <c r="AV174" s="25">
        <f>Расчет!CA174</f>
        <v>0</v>
      </c>
      <c r="AW174" s="25" t="str">
        <f>Расчет!CH174</f>
        <v>Аммофос 12:52:00</v>
      </c>
      <c r="AX174" s="25">
        <f>Расчет!DB174</f>
        <v>0</v>
      </c>
      <c r="AY174" s="25">
        <f>Расчет!DC174</f>
        <v>0</v>
      </c>
      <c r="AZ174" s="25">
        <f>Расчет!DG174</f>
        <v>0</v>
      </c>
      <c r="BA174" s="25">
        <f>Расчет!DH174</f>
        <v>0</v>
      </c>
      <c r="BB174" s="25">
        <f>Расчет!DI174</f>
        <v>0</v>
      </c>
      <c r="BC174" s="25" t="str">
        <f>Расчет!DR174</f>
        <v>Нет</v>
      </c>
      <c r="BD174" s="25">
        <f>Расчет!EB174</f>
        <v>0</v>
      </c>
      <c r="BE174" s="25">
        <f>Расчет!EF174</f>
        <v>0</v>
      </c>
      <c r="BF174" s="25" t="e">
        <f>Расчет!EI174</f>
        <v>#DIV/0!</v>
      </c>
      <c r="BG174" s="25" t="e">
        <f>Расчет!FA174</f>
        <v>#N/A</v>
      </c>
      <c r="BI174">
        <f>IF(Исходн.данные.!AH174=Исходн.данные.!$AC$4,0.6,1)</f>
        <v>1</v>
      </c>
      <c r="BJ174">
        <f>IF(Исходн.данные.!AH174=Исходн.данные.!$AC$4,0.8,IF(OR(Потребность!F174=Расчет2!$BI$10,Потребность!F174=Расчет2!$BI$7,Потребность!F174=Расчет2!$BK$14,Исходн.данные.!AI174=Исходн.данные.!$AI$11),1.3,1))</f>
        <v>1.3</v>
      </c>
      <c r="BK174">
        <f>IF(OR(Исходн.данные.!AH174=Исходн.данные.!$AD$7,Исходн.данные.!AH174=Исходн.данные.!$AD$8),0.75,1)</f>
        <v>1</v>
      </c>
    </row>
    <row r="175" spans="32:63" x14ac:dyDescent="0.2">
      <c r="AF175">
        <f>SUM(Исходн.данные.!AD175:AF175)</f>
        <v>0</v>
      </c>
      <c r="AG175" s="60">
        <f>SUM(Расчет!CI175:CK175)</f>
        <v>0.64</v>
      </c>
      <c r="AH175" s="60">
        <f>SUM(Расчет!DS175:DU175)</f>
        <v>0</v>
      </c>
      <c r="AI175" t="e">
        <f t="shared" si="4"/>
        <v>#N/A</v>
      </c>
      <c r="AJ175" t="e">
        <f t="shared" si="5"/>
        <v>#N/A</v>
      </c>
      <c r="AL175">
        <f>Потребность!G175*Потребность!H175</f>
        <v>0</v>
      </c>
      <c r="AM175" s="11" t="e">
        <f>Исходн.данные.!$AJ175*Расчет2!AO175</f>
        <v>#VALUE!</v>
      </c>
      <c r="AN175" s="11">
        <f>Исходн.данные.!$AJ175*Расчет2!AP175</f>
        <v>0</v>
      </c>
      <c r="AO175" s="25" t="str">
        <f>IF(Расчет!BF175=0,"X",Расчет!BF175)</f>
        <v>X</v>
      </c>
      <c r="AP175" s="25">
        <f>Расчет!BG175</f>
        <v>0</v>
      </c>
      <c r="AQ175" s="9">
        <f>IF(Расчет!BL175&lt;0,0,Расчет!BL175)</f>
        <v>0</v>
      </c>
      <c r="AR175" s="25">
        <f>IF(Расчет!BM175&lt;0,0,Расчет!BM175)</f>
        <v>0</v>
      </c>
      <c r="AS175" s="25">
        <f>IF(Расчет!BN175&lt;0,0,Расчет!BN175)</f>
        <v>0</v>
      </c>
      <c r="AT175" s="25">
        <f>Расчет!BY175</f>
        <v>0</v>
      </c>
      <c r="AU175" s="25">
        <f>Расчет!BZ175</f>
        <v>10</v>
      </c>
      <c r="AV175" s="25">
        <f>Расчет!CA175</f>
        <v>0</v>
      </c>
      <c r="AW175" s="25" t="str">
        <f>Расчет!CH175</f>
        <v>Аммофос 12:52:00</v>
      </c>
      <c r="AX175" s="25">
        <f>Расчет!DB175</f>
        <v>0</v>
      </c>
      <c r="AY175" s="25">
        <f>Расчет!DC175</f>
        <v>0</v>
      </c>
      <c r="AZ175" s="25">
        <f>Расчет!DG175</f>
        <v>0</v>
      </c>
      <c r="BA175" s="25">
        <f>Расчет!DH175</f>
        <v>0</v>
      </c>
      <c r="BB175" s="25">
        <f>Расчет!DI175</f>
        <v>0</v>
      </c>
      <c r="BC175" s="25" t="str">
        <f>Расчет!DR175</f>
        <v>Нет</v>
      </c>
      <c r="BD175" s="25">
        <f>Расчет!EB175</f>
        <v>0</v>
      </c>
      <c r="BE175" s="25">
        <f>Расчет!EF175</f>
        <v>0</v>
      </c>
      <c r="BF175" s="25" t="e">
        <f>Расчет!EI175</f>
        <v>#DIV/0!</v>
      </c>
      <c r="BG175" s="25" t="e">
        <f>Расчет!FA175</f>
        <v>#N/A</v>
      </c>
      <c r="BI175">
        <f>IF(Исходн.данные.!AH175=Исходн.данные.!$AC$4,0.6,1)</f>
        <v>1</v>
      </c>
      <c r="BJ175">
        <f>IF(Исходн.данные.!AH175=Исходн.данные.!$AC$4,0.8,IF(OR(Потребность!F175=Расчет2!$BI$10,Потребность!F175=Расчет2!$BI$7,Потребность!F175=Расчет2!$BK$14,Исходн.данные.!AI175=Исходн.данные.!$AI$11),1.3,1))</f>
        <v>1.3</v>
      </c>
      <c r="BK175">
        <f>IF(OR(Исходн.данные.!AH175=Исходн.данные.!$AD$7,Исходн.данные.!AH175=Исходн.данные.!$AD$8),0.75,1)</f>
        <v>1</v>
      </c>
    </row>
    <row r="176" spans="32:63" x14ac:dyDescent="0.2">
      <c r="AF176">
        <f>SUM(Исходн.данные.!AD176:AF176)</f>
        <v>0</v>
      </c>
      <c r="AG176" s="60">
        <f>SUM(Расчет!CI176:CK176)</f>
        <v>0.64</v>
      </c>
      <c r="AH176" s="60">
        <f>SUM(Расчет!DS176:DU176)</f>
        <v>0</v>
      </c>
      <c r="AI176" t="e">
        <f t="shared" si="4"/>
        <v>#N/A</v>
      </c>
      <c r="AJ176" t="e">
        <f t="shared" si="5"/>
        <v>#N/A</v>
      </c>
      <c r="AL176">
        <f>Потребность!G176*Потребность!H176</f>
        <v>0</v>
      </c>
      <c r="AM176" s="11" t="e">
        <f>Исходн.данные.!$AJ176*Расчет2!AO176</f>
        <v>#VALUE!</v>
      </c>
      <c r="AN176" s="11">
        <f>Исходн.данные.!$AJ176*Расчет2!AP176</f>
        <v>0</v>
      </c>
      <c r="AO176" s="25" t="str">
        <f>IF(Расчет!BF176=0,"X",Расчет!BF176)</f>
        <v>X</v>
      </c>
      <c r="AP176" s="25">
        <f>Расчет!BG176</f>
        <v>0</v>
      </c>
      <c r="AQ176" s="9">
        <f>IF(Расчет!BL176&lt;0,0,Расчет!BL176)</f>
        <v>0</v>
      </c>
      <c r="AR176" s="25">
        <f>IF(Расчет!BM176&lt;0,0,Расчет!BM176)</f>
        <v>0</v>
      </c>
      <c r="AS176" s="25">
        <f>IF(Расчет!BN176&lt;0,0,Расчет!BN176)</f>
        <v>0</v>
      </c>
      <c r="AT176" s="25">
        <f>Расчет!BY176</f>
        <v>0</v>
      </c>
      <c r="AU176" s="25">
        <f>Расчет!BZ176</f>
        <v>10</v>
      </c>
      <c r="AV176" s="25">
        <f>Расчет!CA176</f>
        <v>0</v>
      </c>
      <c r="AW176" s="25" t="str">
        <f>Расчет!CH176</f>
        <v>Аммофос 12:52:00</v>
      </c>
      <c r="AX176" s="25">
        <f>Расчет!DB176</f>
        <v>0</v>
      </c>
      <c r="AY176" s="25">
        <f>Расчет!DC176</f>
        <v>0</v>
      </c>
      <c r="AZ176" s="25">
        <f>Расчет!DG176</f>
        <v>0</v>
      </c>
      <c r="BA176" s="25">
        <f>Расчет!DH176</f>
        <v>0</v>
      </c>
      <c r="BB176" s="25">
        <f>Расчет!DI176</f>
        <v>0</v>
      </c>
      <c r="BC176" s="25" t="str">
        <f>Расчет!DR176</f>
        <v>Нет</v>
      </c>
      <c r="BD176" s="25">
        <f>Расчет!EB176</f>
        <v>0</v>
      </c>
      <c r="BE176" s="25">
        <f>Расчет!EF176</f>
        <v>0</v>
      </c>
      <c r="BF176" s="25" t="e">
        <f>Расчет!EI176</f>
        <v>#DIV/0!</v>
      </c>
      <c r="BG176" s="25" t="e">
        <f>Расчет!FA176</f>
        <v>#N/A</v>
      </c>
      <c r="BI176">
        <f>IF(Исходн.данные.!AH176=Исходн.данные.!$AC$4,0.6,1)</f>
        <v>1</v>
      </c>
      <c r="BJ176">
        <f>IF(Исходн.данные.!AH176=Исходн.данные.!$AC$4,0.8,IF(OR(Потребность!F176=Расчет2!$BI$10,Потребность!F176=Расчет2!$BI$7,Потребность!F176=Расчет2!$BK$14,Исходн.данные.!AI176=Исходн.данные.!$AI$11),1.3,1))</f>
        <v>1.3</v>
      </c>
      <c r="BK176">
        <f>IF(OR(Исходн.данные.!AH176=Исходн.данные.!$AD$7,Исходн.данные.!AH176=Исходн.данные.!$AD$8),0.75,1)</f>
        <v>1</v>
      </c>
    </row>
    <row r="177" spans="32:63" x14ac:dyDescent="0.2">
      <c r="AF177">
        <f>SUM(Исходн.данные.!AD177:AF177)</f>
        <v>0</v>
      </c>
      <c r="AG177" s="60">
        <f>SUM(Расчет!CI177:CK177)</f>
        <v>0.64</v>
      </c>
      <c r="AH177" s="60">
        <f>SUM(Расчет!DS177:DU177)</f>
        <v>0</v>
      </c>
      <c r="AI177" t="e">
        <f t="shared" si="4"/>
        <v>#N/A</v>
      </c>
      <c r="AJ177" t="e">
        <f t="shared" si="5"/>
        <v>#N/A</v>
      </c>
      <c r="AL177">
        <f>Потребность!G177*Потребность!H177</f>
        <v>0</v>
      </c>
      <c r="AM177" s="11" t="e">
        <f>Исходн.данные.!$AJ177*Расчет2!AO177</f>
        <v>#VALUE!</v>
      </c>
      <c r="AN177" s="11">
        <f>Исходн.данные.!$AJ177*Расчет2!AP177</f>
        <v>0</v>
      </c>
      <c r="AO177" s="25" t="str">
        <f>IF(Расчет!BF177=0,"X",Расчет!BF177)</f>
        <v>X</v>
      </c>
      <c r="AP177" s="25">
        <f>Расчет!BG177</f>
        <v>0</v>
      </c>
      <c r="AQ177" s="9">
        <f>IF(Расчет!BL177&lt;0,0,Расчет!BL177)</f>
        <v>0</v>
      </c>
      <c r="AR177" s="25">
        <f>IF(Расчет!BM177&lt;0,0,Расчет!BM177)</f>
        <v>0</v>
      </c>
      <c r="AS177" s="25">
        <f>IF(Расчет!BN177&lt;0,0,Расчет!BN177)</f>
        <v>0</v>
      </c>
      <c r="AT177" s="25">
        <f>Расчет!BY177</f>
        <v>0</v>
      </c>
      <c r="AU177" s="25">
        <f>Расчет!BZ177</f>
        <v>10</v>
      </c>
      <c r="AV177" s="25">
        <f>Расчет!CA177</f>
        <v>0</v>
      </c>
      <c r="AW177" s="25" t="str">
        <f>Расчет!CH177</f>
        <v>Аммофос 12:52:00</v>
      </c>
      <c r="AX177" s="25">
        <f>Расчет!DB177</f>
        <v>0</v>
      </c>
      <c r="AY177" s="25">
        <f>Расчет!DC177</f>
        <v>0</v>
      </c>
      <c r="AZ177" s="25">
        <f>Расчет!DG177</f>
        <v>0</v>
      </c>
      <c r="BA177" s="25">
        <f>Расчет!DH177</f>
        <v>0</v>
      </c>
      <c r="BB177" s="25">
        <f>Расчет!DI177</f>
        <v>0</v>
      </c>
      <c r="BC177" s="25" t="str">
        <f>Расчет!DR177</f>
        <v>Нет</v>
      </c>
      <c r="BD177" s="25">
        <f>Расчет!EB177</f>
        <v>0</v>
      </c>
      <c r="BE177" s="25">
        <f>Расчет!EF177</f>
        <v>0</v>
      </c>
      <c r="BF177" s="25" t="e">
        <f>Расчет!EI177</f>
        <v>#DIV/0!</v>
      </c>
      <c r="BG177" s="25" t="e">
        <f>Расчет!FA177</f>
        <v>#N/A</v>
      </c>
      <c r="BI177">
        <f>IF(Исходн.данные.!AH177=Исходн.данные.!$AC$4,0.6,1)</f>
        <v>1</v>
      </c>
      <c r="BJ177">
        <f>IF(Исходн.данные.!AH177=Исходн.данные.!$AC$4,0.8,IF(OR(Потребность!F177=Расчет2!$BI$10,Потребность!F177=Расчет2!$BI$7,Потребность!F177=Расчет2!$BK$14,Исходн.данные.!AI177=Исходн.данные.!$AI$11),1.3,1))</f>
        <v>1.3</v>
      </c>
      <c r="BK177">
        <f>IF(OR(Исходн.данные.!AH177=Исходн.данные.!$AD$7,Исходн.данные.!AH177=Исходн.данные.!$AD$8),0.75,1)</f>
        <v>1</v>
      </c>
    </row>
    <row r="178" spans="32:63" x14ac:dyDescent="0.2">
      <c r="AF178">
        <f>SUM(Исходн.данные.!AD178:AF178)</f>
        <v>0</v>
      </c>
      <c r="AG178" s="60">
        <f>SUM(Расчет!CI178:CK178)</f>
        <v>0.64</v>
      </c>
      <c r="AH178" s="60">
        <f>SUM(Расчет!DS178:DU178)</f>
        <v>0</v>
      </c>
      <c r="AI178" t="e">
        <f t="shared" si="4"/>
        <v>#N/A</v>
      </c>
      <c r="AJ178" t="e">
        <f t="shared" si="5"/>
        <v>#N/A</v>
      </c>
      <c r="AL178">
        <f>Потребность!G178*Потребность!H178</f>
        <v>0</v>
      </c>
      <c r="AM178" s="11" t="e">
        <f>Исходн.данные.!$AJ178*Расчет2!AO178</f>
        <v>#VALUE!</v>
      </c>
      <c r="AN178" s="11">
        <f>Исходн.данные.!$AJ178*Расчет2!AP178</f>
        <v>0</v>
      </c>
      <c r="AO178" s="25" t="str">
        <f>IF(Расчет!BF178=0,"X",Расчет!BF178)</f>
        <v>X</v>
      </c>
      <c r="AP178" s="25">
        <f>Расчет!BG178</f>
        <v>0</v>
      </c>
      <c r="AQ178" s="9">
        <f>IF(Расчет!BL178&lt;0,0,Расчет!BL178)</f>
        <v>0</v>
      </c>
      <c r="AR178" s="25">
        <f>IF(Расчет!BM178&lt;0,0,Расчет!BM178)</f>
        <v>0</v>
      </c>
      <c r="AS178" s="25">
        <f>IF(Расчет!BN178&lt;0,0,Расчет!BN178)</f>
        <v>0</v>
      </c>
      <c r="AT178" s="25">
        <f>Расчет!BY178</f>
        <v>0</v>
      </c>
      <c r="AU178" s="25">
        <f>Расчет!BZ178</f>
        <v>10</v>
      </c>
      <c r="AV178" s="25">
        <f>Расчет!CA178</f>
        <v>0</v>
      </c>
      <c r="AW178" s="25" t="str">
        <f>Расчет!CH178</f>
        <v>Аммофос 12:52:00</v>
      </c>
      <c r="AX178" s="25">
        <f>Расчет!DB178</f>
        <v>0</v>
      </c>
      <c r="AY178" s="25">
        <f>Расчет!DC178</f>
        <v>0</v>
      </c>
      <c r="AZ178" s="25">
        <f>Расчет!DG178</f>
        <v>0</v>
      </c>
      <c r="BA178" s="25">
        <f>Расчет!DH178</f>
        <v>0</v>
      </c>
      <c r="BB178" s="25">
        <f>Расчет!DI178</f>
        <v>0</v>
      </c>
      <c r="BC178" s="25" t="str">
        <f>Расчет!DR178</f>
        <v>Нет</v>
      </c>
      <c r="BD178" s="25">
        <f>Расчет!EB178</f>
        <v>0</v>
      </c>
      <c r="BE178" s="25">
        <f>Расчет!EF178</f>
        <v>0</v>
      </c>
      <c r="BF178" s="25" t="e">
        <f>Расчет!EI178</f>
        <v>#DIV/0!</v>
      </c>
      <c r="BG178" s="25" t="e">
        <f>Расчет!FA178</f>
        <v>#N/A</v>
      </c>
      <c r="BI178">
        <f>IF(Исходн.данные.!AH178=Исходн.данные.!$AC$4,0.6,1)</f>
        <v>1</v>
      </c>
      <c r="BJ178">
        <f>IF(Исходн.данные.!AH178=Исходн.данные.!$AC$4,0.8,IF(OR(Потребность!F178=Расчет2!$BI$10,Потребность!F178=Расчет2!$BI$7,Потребность!F178=Расчет2!$BK$14,Исходн.данные.!AI178=Исходн.данные.!$AI$11),1.3,1))</f>
        <v>1.3</v>
      </c>
      <c r="BK178">
        <f>IF(OR(Исходн.данные.!AH178=Исходн.данные.!$AD$7,Исходн.данные.!AH178=Исходн.данные.!$AD$8),0.75,1)</f>
        <v>1</v>
      </c>
    </row>
    <row r="179" spans="32:63" x14ac:dyDescent="0.2">
      <c r="AF179">
        <f>SUM(Исходн.данные.!AD179:AF179)</f>
        <v>0</v>
      </c>
      <c r="AG179" s="60">
        <f>SUM(Расчет!CI179:CK179)</f>
        <v>0.64</v>
      </c>
      <c r="AH179" s="60">
        <f>SUM(Расчет!DS179:DU179)</f>
        <v>0</v>
      </c>
      <c r="AI179" t="e">
        <f t="shared" si="4"/>
        <v>#N/A</v>
      </c>
      <c r="AJ179" t="e">
        <f t="shared" si="5"/>
        <v>#N/A</v>
      </c>
      <c r="AL179">
        <f>Потребность!G179*Потребность!H179</f>
        <v>0</v>
      </c>
      <c r="AM179" s="11" t="e">
        <f>Исходн.данные.!$AJ179*Расчет2!AO179</f>
        <v>#VALUE!</v>
      </c>
      <c r="AN179" s="11">
        <f>Исходн.данные.!$AJ179*Расчет2!AP179</f>
        <v>0</v>
      </c>
      <c r="AO179" s="25" t="str">
        <f>IF(Расчет!BF179=0,"X",Расчет!BF179)</f>
        <v>X</v>
      </c>
      <c r="AP179" s="25">
        <f>Расчет!BG179</f>
        <v>0</v>
      </c>
      <c r="AQ179" s="9">
        <f>IF(Расчет!BL179&lt;0,0,Расчет!BL179)</f>
        <v>0</v>
      </c>
      <c r="AR179" s="25">
        <f>IF(Расчет!BM179&lt;0,0,Расчет!BM179)</f>
        <v>0</v>
      </c>
      <c r="AS179" s="25">
        <f>IF(Расчет!BN179&lt;0,0,Расчет!BN179)</f>
        <v>0</v>
      </c>
      <c r="AT179" s="25">
        <f>Расчет!BY179</f>
        <v>0</v>
      </c>
      <c r="AU179" s="25">
        <f>Расчет!BZ179</f>
        <v>10</v>
      </c>
      <c r="AV179" s="25">
        <f>Расчет!CA179</f>
        <v>0</v>
      </c>
      <c r="AW179" s="25" t="str">
        <f>Расчет!CH179</f>
        <v>Аммофос 12:52:00</v>
      </c>
      <c r="AX179" s="25">
        <f>Расчет!DB179</f>
        <v>0</v>
      </c>
      <c r="AY179" s="25">
        <f>Расчет!DC179</f>
        <v>0</v>
      </c>
      <c r="AZ179" s="25">
        <f>Расчет!DG179</f>
        <v>0</v>
      </c>
      <c r="BA179" s="25">
        <f>Расчет!DH179</f>
        <v>0</v>
      </c>
      <c r="BB179" s="25">
        <f>Расчет!DI179</f>
        <v>0</v>
      </c>
      <c r="BC179" s="25" t="str">
        <f>Расчет!DR179</f>
        <v>Нет</v>
      </c>
      <c r="BD179" s="25">
        <f>Расчет!EB179</f>
        <v>0</v>
      </c>
      <c r="BE179" s="25">
        <f>Расчет!EF179</f>
        <v>0</v>
      </c>
      <c r="BF179" s="25" t="e">
        <f>Расчет!EI179</f>
        <v>#DIV/0!</v>
      </c>
      <c r="BG179" s="25" t="e">
        <f>Расчет!FA179</f>
        <v>#N/A</v>
      </c>
      <c r="BI179">
        <f>IF(Исходн.данные.!AH179=Исходн.данные.!$AC$4,0.6,1)</f>
        <v>1</v>
      </c>
      <c r="BJ179">
        <f>IF(Исходн.данные.!AH179=Исходн.данные.!$AC$4,0.8,IF(OR(Потребность!F179=Расчет2!$BI$10,Потребность!F179=Расчет2!$BI$7,Потребность!F179=Расчет2!$BK$14,Исходн.данные.!AI179=Исходн.данные.!$AI$11),1.3,1))</f>
        <v>1.3</v>
      </c>
      <c r="BK179">
        <f>IF(OR(Исходн.данные.!AH179=Исходн.данные.!$AD$7,Исходн.данные.!AH179=Исходн.данные.!$AD$8),0.75,1)</f>
        <v>1</v>
      </c>
    </row>
    <row r="180" spans="32:63" x14ac:dyDescent="0.2">
      <c r="AF180">
        <f>SUM(Исходн.данные.!AD180:AF180)</f>
        <v>0</v>
      </c>
      <c r="AG180" s="60">
        <f>SUM(Расчет!CI180:CK180)</f>
        <v>0.64</v>
      </c>
      <c r="AH180" s="60">
        <f>SUM(Расчет!DS180:DU180)</f>
        <v>0</v>
      </c>
      <c r="AI180" t="e">
        <f t="shared" si="4"/>
        <v>#N/A</v>
      </c>
      <c r="AJ180" t="e">
        <f t="shared" si="5"/>
        <v>#N/A</v>
      </c>
      <c r="AL180">
        <f>Потребность!G180*Потребность!H180</f>
        <v>0</v>
      </c>
      <c r="AM180" s="11" t="e">
        <f>Исходн.данные.!$AJ180*Расчет2!AO180</f>
        <v>#VALUE!</v>
      </c>
      <c r="AN180" s="11">
        <f>Исходн.данные.!$AJ180*Расчет2!AP180</f>
        <v>0</v>
      </c>
      <c r="AO180" s="25" t="str">
        <f>IF(Расчет!BF180=0,"X",Расчет!BF180)</f>
        <v>X</v>
      </c>
      <c r="AP180" s="25">
        <f>Расчет!BG180</f>
        <v>0</v>
      </c>
      <c r="AQ180" s="9">
        <f>IF(Расчет!BL180&lt;0,0,Расчет!BL180)</f>
        <v>0</v>
      </c>
      <c r="AR180" s="25">
        <f>IF(Расчет!BM180&lt;0,0,Расчет!BM180)</f>
        <v>0</v>
      </c>
      <c r="AS180" s="25">
        <f>IF(Расчет!BN180&lt;0,0,Расчет!BN180)</f>
        <v>0</v>
      </c>
      <c r="AT180" s="25">
        <f>Расчет!BY180</f>
        <v>0</v>
      </c>
      <c r="AU180" s="25">
        <f>Расчет!BZ180</f>
        <v>10</v>
      </c>
      <c r="AV180" s="25">
        <f>Расчет!CA180</f>
        <v>0</v>
      </c>
      <c r="AW180" s="25" t="str">
        <f>Расчет!CH180</f>
        <v>Аммофос 12:52:00</v>
      </c>
      <c r="AX180" s="25">
        <f>Расчет!DB180</f>
        <v>0</v>
      </c>
      <c r="AY180" s="25">
        <f>Расчет!DC180</f>
        <v>0</v>
      </c>
      <c r="AZ180" s="25">
        <f>Расчет!DG180</f>
        <v>0</v>
      </c>
      <c r="BA180" s="25">
        <f>Расчет!DH180</f>
        <v>0</v>
      </c>
      <c r="BB180" s="25">
        <f>Расчет!DI180</f>
        <v>0</v>
      </c>
      <c r="BC180" s="25" t="str">
        <f>Расчет!DR180</f>
        <v>Нет</v>
      </c>
      <c r="BD180" s="25">
        <f>Расчет!EB180</f>
        <v>0</v>
      </c>
      <c r="BE180" s="25">
        <f>Расчет!EF180</f>
        <v>0</v>
      </c>
      <c r="BF180" s="25" t="e">
        <f>Расчет!EI180</f>
        <v>#DIV/0!</v>
      </c>
      <c r="BG180" s="25" t="e">
        <f>Расчет!FA180</f>
        <v>#N/A</v>
      </c>
      <c r="BI180">
        <f>IF(Исходн.данные.!AH180=Исходн.данные.!$AC$4,0.6,1)</f>
        <v>1</v>
      </c>
      <c r="BJ180">
        <f>IF(Исходн.данные.!AH180=Исходн.данные.!$AC$4,0.8,IF(OR(Потребность!F180=Расчет2!$BI$10,Потребность!F180=Расчет2!$BI$7,Потребность!F180=Расчет2!$BK$14,Исходн.данные.!AI180=Исходн.данные.!$AI$11),1.3,1))</f>
        <v>1.3</v>
      </c>
      <c r="BK180">
        <f>IF(OR(Исходн.данные.!AH180=Исходн.данные.!$AD$7,Исходн.данные.!AH180=Исходн.данные.!$AD$8),0.75,1)</f>
        <v>1</v>
      </c>
    </row>
    <row r="181" spans="32:63" x14ac:dyDescent="0.2">
      <c r="AF181">
        <f>SUM(Исходн.данные.!AD181:AF181)</f>
        <v>0</v>
      </c>
      <c r="AG181" s="60">
        <f>SUM(Расчет!CI181:CK181)</f>
        <v>0.64</v>
      </c>
      <c r="AH181" s="60">
        <f>SUM(Расчет!DS181:DU181)</f>
        <v>0</v>
      </c>
      <c r="AI181" t="e">
        <f t="shared" si="4"/>
        <v>#N/A</v>
      </c>
      <c r="AJ181" t="e">
        <f t="shared" si="5"/>
        <v>#N/A</v>
      </c>
      <c r="AL181">
        <f>Потребность!G181*Потребность!H181</f>
        <v>0</v>
      </c>
      <c r="AM181" s="11" t="e">
        <f>Исходн.данные.!$AJ181*Расчет2!AO181</f>
        <v>#VALUE!</v>
      </c>
      <c r="AN181" s="11">
        <f>Исходн.данные.!$AJ181*Расчет2!AP181</f>
        <v>0</v>
      </c>
      <c r="AO181" s="25" t="str">
        <f>IF(Расчет!BF181=0,"X",Расчет!BF181)</f>
        <v>X</v>
      </c>
      <c r="AP181" s="25">
        <f>Расчет!BG181</f>
        <v>0</v>
      </c>
      <c r="AQ181" s="9">
        <f>IF(Расчет!BL181&lt;0,0,Расчет!BL181)</f>
        <v>0</v>
      </c>
      <c r="AR181" s="25">
        <f>IF(Расчет!BM181&lt;0,0,Расчет!BM181)</f>
        <v>0</v>
      </c>
      <c r="AS181" s="25">
        <f>IF(Расчет!BN181&lt;0,0,Расчет!BN181)</f>
        <v>0</v>
      </c>
      <c r="AT181" s="25">
        <f>Расчет!BY181</f>
        <v>0</v>
      </c>
      <c r="AU181" s="25">
        <f>Расчет!BZ181</f>
        <v>10</v>
      </c>
      <c r="AV181" s="25">
        <f>Расчет!CA181</f>
        <v>0</v>
      </c>
      <c r="AW181" s="25" t="str">
        <f>Расчет!CH181</f>
        <v>Аммофос 12:52:00</v>
      </c>
      <c r="AX181" s="25">
        <f>Расчет!DB181</f>
        <v>0</v>
      </c>
      <c r="AY181" s="25">
        <f>Расчет!DC181</f>
        <v>0</v>
      </c>
      <c r="AZ181" s="25">
        <f>Расчет!DG181</f>
        <v>0</v>
      </c>
      <c r="BA181" s="25">
        <f>Расчет!DH181</f>
        <v>0</v>
      </c>
      <c r="BB181" s="25">
        <f>Расчет!DI181</f>
        <v>0</v>
      </c>
      <c r="BC181" s="25" t="str">
        <f>Расчет!DR181</f>
        <v>Нет</v>
      </c>
      <c r="BD181" s="25">
        <f>Расчет!EB181</f>
        <v>0</v>
      </c>
      <c r="BE181" s="25">
        <f>Расчет!EF181</f>
        <v>0</v>
      </c>
      <c r="BF181" s="25" t="e">
        <f>Расчет!EI181</f>
        <v>#DIV/0!</v>
      </c>
      <c r="BG181" s="25" t="e">
        <f>Расчет!FA181</f>
        <v>#N/A</v>
      </c>
      <c r="BI181">
        <f>IF(Исходн.данные.!AH181=Исходн.данные.!$AC$4,0.6,1)</f>
        <v>1</v>
      </c>
      <c r="BJ181">
        <f>IF(Исходн.данные.!AH181=Исходн.данные.!$AC$4,0.8,IF(OR(Потребность!F181=Расчет2!$BI$10,Потребность!F181=Расчет2!$BI$7,Потребность!F181=Расчет2!$BK$14,Исходн.данные.!AI181=Исходн.данные.!$AI$11),1.3,1))</f>
        <v>1.3</v>
      </c>
      <c r="BK181">
        <f>IF(OR(Исходн.данные.!AH181=Исходн.данные.!$AD$7,Исходн.данные.!AH181=Исходн.данные.!$AD$8),0.75,1)</f>
        <v>1</v>
      </c>
    </row>
    <row r="182" spans="32:63" x14ac:dyDescent="0.2">
      <c r="AF182">
        <f>SUM(Исходн.данные.!AD182:AF182)</f>
        <v>0</v>
      </c>
      <c r="AG182" s="60">
        <f>SUM(Расчет!CI182:CK182)</f>
        <v>0.64</v>
      </c>
      <c r="AH182" s="60">
        <f>SUM(Расчет!DS182:DU182)</f>
        <v>0</v>
      </c>
      <c r="AI182" t="e">
        <f t="shared" si="4"/>
        <v>#N/A</v>
      </c>
      <c r="AJ182" t="e">
        <f t="shared" si="5"/>
        <v>#N/A</v>
      </c>
      <c r="AL182">
        <f>Потребность!G182*Потребность!H182</f>
        <v>0</v>
      </c>
      <c r="AM182" s="11" t="e">
        <f>Исходн.данные.!$AJ182*Расчет2!AO182</f>
        <v>#VALUE!</v>
      </c>
      <c r="AN182" s="11">
        <f>Исходн.данные.!$AJ182*Расчет2!AP182</f>
        <v>0</v>
      </c>
      <c r="AO182" s="25" t="str">
        <f>IF(Расчет!BF182=0,"X",Расчет!BF182)</f>
        <v>X</v>
      </c>
      <c r="AP182" s="25">
        <f>Расчет!BG182</f>
        <v>0</v>
      </c>
      <c r="AQ182" s="9">
        <f>IF(Расчет!BL182&lt;0,0,Расчет!BL182)</f>
        <v>0</v>
      </c>
      <c r="AR182" s="25">
        <f>IF(Расчет!BM182&lt;0,0,Расчет!BM182)</f>
        <v>0</v>
      </c>
      <c r="AS182" s="25">
        <f>IF(Расчет!BN182&lt;0,0,Расчет!BN182)</f>
        <v>0</v>
      </c>
      <c r="AT182" s="25">
        <f>Расчет!BY182</f>
        <v>0</v>
      </c>
      <c r="AU182" s="25">
        <f>Расчет!BZ182</f>
        <v>10</v>
      </c>
      <c r="AV182" s="25">
        <f>Расчет!CA182</f>
        <v>0</v>
      </c>
      <c r="AW182" s="25" t="str">
        <f>Расчет!CH182</f>
        <v>Аммофос 12:52:00</v>
      </c>
      <c r="AX182" s="25">
        <f>Расчет!DB182</f>
        <v>0</v>
      </c>
      <c r="AY182" s="25">
        <f>Расчет!DC182</f>
        <v>0</v>
      </c>
      <c r="AZ182" s="25">
        <f>Расчет!DG182</f>
        <v>0</v>
      </c>
      <c r="BA182" s="25">
        <f>Расчет!DH182</f>
        <v>0</v>
      </c>
      <c r="BB182" s="25">
        <f>Расчет!DI182</f>
        <v>0</v>
      </c>
      <c r="BC182" s="25" t="str">
        <f>Расчет!DR182</f>
        <v>Нет</v>
      </c>
      <c r="BD182" s="25">
        <f>Расчет!EB182</f>
        <v>0</v>
      </c>
      <c r="BE182" s="25">
        <f>Расчет!EF182</f>
        <v>0</v>
      </c>
      <c r="BF182" s="25" t="e">
        <f>Расчет!EI182</f>
        <v>#DIV/0!</v>
      </c>
      <c r="BG182" s="25" t="e">
        <f>Расчет!FA182</f>
        <v>#N/A</v>
      </c>
      <c r="BI182">
        <f>IF(Исходн.данные.!AH182=Исходн.данные.!$AC$4,0.6,1)</f>
        <v>1</v>
      </c>
      <c r="BJ182">
        <f>IF(Исходн.данные.!AH182=Исходн.данные.!$AC$4,0.8,IF(OR(Потребность!F182=Расчет2!$BI$10,Потребность!F182=Расчет2!$BI$7,Потребность!F182=Расчет2!$BK$14,Исходн.данные.!AI182=Исходн.данные.!$AI$11),1.3,1))</f>
        <v>1.3</v>
      </c>
      <c r="BK182">
        <f>IF(OR(Исходн.данные.!AH182=Исходн.данные.!$AD$7,Исходн.данные.!AH182=Исходн.данные.!$AD$8),0.75,1)</f>
        <v>1</v>
      </c>
    </row>
    <row r="183" spans="32:63" x14ac:dyDescent="0.2">
      <c r="AF183">
        <f>SUM(Исходн.данные.!AD183:AF183)</f>
        <v>0</v>
      </c>
      <c r="AG183" s="60">
        <f>SUM(Расчет!CI183:CK183)</f>
        <v>0.64</v>
      </c>
      <c r="AH183" s="60">
        <f>SUM(Расчет!DS183:DU183)</f>
        <v>0</v>
      </c>
      <c r="AI183" t="e">
        <f t="shared" si="4"/>
        <v>#N/A</v>
      </c>
      <c r="AJ183" t="e">
        <f t="shared" si="5"/>
        <v>#N/A</v>
      </c>
      <c r="AL183">
        <f>Потребность!G183*Потребность!H183</f>
        <v>0</v>
      </c>
      <c r="AM183" s="11" t="e">
        <f>Исходн.данные.!$AJ183*Расчет2!AO183</f>
        <v>#VALUE!</v>
      </c>
      <c r="AN183" s="11">
        <f>Исходн.данные.!$AJ183*Расчет2!AP183</f>
        <v>0</v>
      </c>
      <c r="AO183" s="25" t="str">
        <f>IF(Расчет!BF183=0,"X",Расчет!BF183)</f>
        <v>X</v>
      </c>
      <c r="AP183" s="25">
        <f>Расчет!BG183</f>
        <v>0</v>
      </c>
      <c r="AQ183" s="9">
        <f>IF(Расчет!BL183&lt;0,0,Расчет!BL183)</f>
        <v>0</v>
      </c>
      <c r="AR183" s="25">
        <f>IF(Расчет!BM183&lt;0,0,Расчет!BM183)</f>
        <v>0</v>
      </c>
      <c r="AS183" s="25">
        <f>IF(Расчет!BN183&lt;0,0,Расчет!BN183)</f>
        <v>0</v>
      </c>
      <c r="AT183" s="25">
        <f>Расчет!BY183</f>
        <v>0</v>
      </c>
      <c r="AU183" s="25">
        <f>Расчет!BZ183</f>
        <v>10</v>
      </c>
      <c r="AV183" s="25">
        <f>Расчет!CA183</f>
        <v>0</v>
      </c>
      <c r="AW183" s="25" t="str">
        <f>Расчет!CH183</f>
        <v>Аммофос 12:52:00</v>
      </c>
      <c r="AX183" s="25">
        <f>Расчет!DB183</f>
        <v>0</v>
      </c>
      <c r="AY183" s="25">
        <f>Расчет!DC183</f>
        <v>0</v>
      </c>
      <c r="AZ183" s="25">
        <f>Расчет!DG183</f>
        <v>0</v>
      </c>
      <c r="BA183" s="25">
        <f>Расчет!DH183</f>
        <v>0</v>
      </c>
      <c r="BB183" s="25">
        <f>Расчет!DI183</f>
        <v>0</v>
      </c>
      <c r="BC183" s="25" t="str">
        <f>Расчет!DR183</f>
        <v>Нет</v>
      </c>
      <c r="BD183" s="25">
        <f>Расчет!EB183</f>
        <v>0</v>
      </c>
      <c r="BE183" s="25">
        <f>Расчет!EF183</f>
        <v>0</v>
      </c>
      <c r="BF183" s="25" t="e">
        <f>Расчет!EI183</f>
        <v>#DIV/0!</v>
      </c>
      <c r="BG183" s="25" t="e">
        <f>Расчет!FA183</f>
        <v>#N/A</v>
      </c>
      <c r="BI183">
        <f>IF(Исходн.данные.!AH183=Исходн.данные.!$AC$4,0.6,1)</f>
        <v>1</v>
      </c>
      <c r="BJ183">
        <f>IF(Исходн.данные.!AH183=Исходн.данные.!$AC$4,0.8,IF(OR(Потребность!F183=Расчет2!$BI$10,Потребность!F183=Расчет2!$BI$7,Потребность!F183=Расчет2!$BK$14,Исходн.данные.!AI183=Исходн.данные.!$AI$11),1.3,1))</f>
        <v>1.3</v>
      </c>
      <c r="BK183">
        <f>IF(OR(Исходн.данные.!AH183=Исходн.данные.!$AD$7,Исходн.данные.!AH183=Исходн.данные.!$AD$8),0.75,1)</f>
        <v>1</v>
      </c>
    </row>
    <row r="184" spans="32:63" x14ac:dyDescent="0.2">
      <c r="AF184">
        <f>SUM(Исходн.данные.!AD184:AF184)</f>
        <v>0</v>
      </c>
      <c r="AG184" s="60">
        <f>SUM(Расчет!CI184:CK184)</f>
        <v>0.64</v>
      </c>
      <c r="AH184" s="60">
        <f>SUM(Расчет!DS184:DU184)</f>
        <v>0</v>
      </c>
      <c r="AI184" t="e">
        <f t="shared" si="4"/>
        <v>#N/A</v>
      </c>
      <c r="AJ184" t="e">
        <f t="shared" si="5"/>
        <v>#N/A</v>
      </c>
      <c r="AL184">
        <f>Потребность!G184*Потребность!H184</f>
        <v>0</v>
      </c>
      <c r="AM184" s="11" t="e">
        <f>Исходн.данные.!$AJ184*Расчет2!AO184</f>
        <v>#VALUE!</v>
      </c>
      <c r="AN184" s="11">
        <f>Исходн.данные.!$AJ184*Расчет2!AP184</f>
        <v>0</v>
      </c>
      <c r="AO184" s="25" t="str">
        <f>IF(Расчет!BF184=0,"X",Расчет!BF184)</f>
        <v>X</v>
      </c>
      <c r="AP184" s="25">
        <f>Расчет!BG184</f>
        <v>0</v>
      </c>
      <c r="AQ184" s="9">
        <f>IF(Расчет!BL184&lt;0,0,Расчет!BL184)</f>
        <v>0</v>
      </c>
      <c r="AR184" s="25">
        <f>IF(Расчет!BM184&lt;0,0,Расчет!BM184)</f>
        <v>0</v>
      </c>
      <c r="AS184" s="25">
        <f>IF(Расчет!BN184&lt;0,0,Расчет!BN184)</f>
        <v>0</v>
      </c>
      <c r="AT184" s="25">
        <f>Расчет!BY184</f>
        <v>0</v>
      </c>
      <c r="AU184" s="25">
        <f>Расчет!BZ184</f>
        <v>10</v>
      </c>
      <c r="AV184" s="25">
        <f>Расчет!CA184</f>
        <v>0</v>
      </c>
      <c r="AW184" s="25" t="str">
        <f>Расчет!CH184</f>
        <v>Аммофос 12:52:00</v>
      </c>
      <c r="AX184" s="25">
        <f>Расчет!DB184</f>
        <v>0</v>
      </c>
      <c r="AY184" s="25">
        <f>Расчет!DC184</f>
        <v>0</v>
      </c>
      <c r="AZ184" s="25">
        <f>Расчет!DG184</f>
        <v>0</v>
      </c>
      <c r="BA184" s="25">
        <f>Расчет!DH184</f>
        <v>0</v>
      </c>
      <c r="BB184" s="25">
        <f>Расчет!DI184</f>
        <v>0</v>
      </c>
      <c r="BC184" s="25" t="str">
        <f>Расчет!DR184</f>
        <v>Нет</v>
      </c>
      <c r="BD184" s="25">
        <f>Расчет!EB184</f>
        <v>0</v>
      </c>
      <c r="BE184" s="25">
        <f>Расчет!EF184</f>
        <v>0</v>
      </c>
      <c r="BF184" s="25" t="e">
        <f>Расчет!EI184</f>
        <v>#DIV/0!</v>
      </c>
      <c r="BG184" s="25" t="e">
        <f>Расчет!FA184</f>
        <v>#N/A</v>
      </c>
      <c r="BI184">
        <f>IF(Исходн.данные.!AH184=Исходн.данные.!$AC$4,0.6,1)</f>
        <v>1</v>
      </c>
      <c r="BJ184">
        <f>IF(Исходн.данные.!AH184=Исходн.данные.!$AC$4,0.8,IF(OR(Потребность!F184=Расчет2!$BI$10,Потребность!F184=Расчет2!$BI$7,Потребность!F184=Расчет2!$BK$14,Исходн.данные.!AI184=Исходн.данные.!$AI$11),1.3,1))</f>
        <v>1.3</v>
      </c>
      <c r="BK184">
        <f>IF(OR(Исходн.данные.!AH184=Исходн.данные.!$AD$7,Исходн.данные.!AH184=Исходн.данные.!$AD$8),0.75,1)</f>
        <v>1</v>
      </c>
    </row>
    <row r="185" spans="32:63" x14ac:dyDescent="0.2">
      <c r="AF185">
        <f>SUM(Исходн.данные.!AD185:AF185)</f>
        <v>0</v>
      </c>
      <c r="AG185" s="60">
        <f>SUM(Расчет!CI185:CK185)</f>
        <v>0.64</v>
      </c>
      <c r="AH185" s="60">
        <f>SUM(Расчет!DS185:DU185)</f>
        <v>0</v>
      </c>
      <c r="AI185" t="e">
        <f t="shared" si="4"/>
        <v>#N/A</v>
      </c>
      <c r="AJ185" t="e">
        <f t="shared" si="5"/>
        <v>#N/A</v>
      </c>
      <c r="AL185">
        <f>Потребность!G185*Потребность!H185</f>
        <v>0</v>
      </c>
      <c r="AM185" s="11" t="e">
        <f>Исходн.данные.!$AJ185*Расчет2!AO185</f>
        <v>#VALUE!</v>
      </c>
      <c r="AN185" s="11">
        <f>Исходн.данные.!$AJ185*Расчет2!AP185</f>
        <v>0</v>
      </c>
      <c r="AO185" s="25" t="str">
        <f>IF(Расчет!BF185=0,"X",Расчет!BF185)</f>
        <v>X</v>
      </c>
      <c r="AP185" s="25">
        <f>Расчет!BG185</f>
        <v>0</v>
      </c>
      <c r="AQ185" s="9">
        <f>IF(Расчет!BL185&lt;0,0,Расчет!BL185)</f>
        <v>0</v>
      </c>
      <c r="AR185" s="25">
        <f>IF(Расчет!BM185&lt;0,0,Расчет!BM185)</f>
        <v>0</v>
      </c>
      <c r="AS185" s="25">
        <f>IF(Расчет!BN185&lt;0,0,Расчет!BN185)</f>
        <v>0</v>
      </c>
      <c r="AT185" s="25">
        <f>Расчет!BY185</f>
        <v>0</v>
      </c>
      <c r="AU185" s="25">
        <f>Расчет!BZ185</f>
        <v>10</v>
      </c>
      <c r="AV185" s="25">
        <f>Расчет!CA185</f>
        <v>0</v>
      </c>
      <c r="AW185" s="25" t="str">
        <f>Расчет!CH185</f>
        <v>Аммофос 12:52:00</v>
      </c>
      <c r="AX185" s="25">
        <f>Расчет!DB185</f>
        <v>0</v>
      </c>
      <c r="AY185" s="25">
        <f>Расчет!DC185</f>
        <v>0</v>
      </c>
      <c r="AZ185" s="25">
        <f>Расчет!DG185</f>
        <v>0</v>
      </c>
      <c r="BA185" s="25">
        <f>Расчет!DH185</f>
        <v>0</v>
      </c>
      <c r="BB185" s="25">
        <f>Расчет!DI185</f>
        <v>0</v>
      </c>
      <c r="BC185" s="25" t="str">
        <f>Расчет!DR185</f>
        <v>Нет</v>
      </c>
      <c r="BD185" s="25">
        <f>Расчет!EB185</f>
        <v>0</v>
      </c>
      <c r="BE185" s="25">
        <f>Расчет!EF185</f>
        <v>0</v>
      </c>
      <c r="BF185" s="25" t="e">
        <f>Расчет!EI185</f>
        <v>#DIV/0!</v>
      </c>
      <c r="BG185" s="25" t="e">
        <f>Расчет!FA185</f>
        <v>#N/A</v>
      </c>
      <c r="BI185">
        <f>IF(Исходн.данные.!AH185=Исходн.данные.!$AC$4,0.6,1)</f>
        <v>1</v>
      </c>
      <c r="BJ185">
        <f>IF(Исходн.данные.!AH185=Исходн.данные.!$AC$4,0.8,IF(OR(Потребность!F185=Расчет2!$BI$10,Потребность!F185=Расчет2!$BI$7,Потребность!F185=Расчет2!$BK$14,Исходн.данные.!AI185=Исходн.данные.!$AI$11),1.3,1))</f>
        <v>1.3</v>
      </c>
      <c r="BK185">
        <f>IF(OR(Исходн.данные.!AH185=Исходн.данные.!$AD$7,Исходн.данные.!AH185=Исходн.данные.!$AD$8),0.75,1)</f>
        <v>1</v>
      </c>
    </row>
    <row r="186" spans="32:63" x14ac:dyDescent="0.2">
      <c r="AF186">
        <f>SUM(Исходн.данные.!AD186:AF186)</f>
        <v>0</v>
      </c>
      <c r="AG186" s="60">
        <f>SUM(Расчет!CI186:CK186)</f>
        <v>0.64</v>
      </c>
      <c r="AH186" s="60">
        <f>SUM(Расчет!DS186:DU186)</f>
        <v>0</v>
      </c>
      <c r="AI186" t="e">
        <f t="shared" si="4"/>
        <v>#N/A</v>
      </c>
      <c r="AJ186" t="e">
        <f t="shared" si="5"/>
        <v>#N/A</v>
      </c>
      <c r="AL186">
        <f>Потребность!G186*Потребность!H186</f>
        <v>0</v>
      </c>
      <c r="AM186" s="11" t="e">
        <f>Исходн.данные.!$AJ186*Расчет2!AO186</f>
        <v>#VALUE!</v>
      </c>
      <c r="AN186" s="11">
        <f>Исходн.данные.!$AJ186*Расчет2!AP186</f>
        <v>0</v>
      </c>
      <c r="AO186" s="25" t="str">
        <f>IF(Расчет!BF186=0,"X",Расчет!BF186)</f>
        <v>X</v>
      </c>
      <c r="AP186" s="25">
        <f>Расчет!BG186</f>
        <v>0</v>
      </c>
      <c r="AQ186" s="9">
        <f>IF(Расчет!BL186&lt;0,0,Расчет!BL186)</f>
        <v>0</v>
      </c>
      <c r="AR186" s="25">
        <f>IF(Расчет!BM186&lt;0,0,Расчет!BM186)</f>
        <v>0</v>
      </c>
      <c r="AS186" s="25">
        <f>IF(Расчет!BN186&lt;0,0,Расчет!BN186)</f>
        <v>0</v>
      </c>
      <c r="AT186" s="25">
        <f>Расчет!BY186</f>
        <v>0</v>
      </c>
      <c r="AU186" s="25">
        <f>Расчет!BZ186</f>
        <v>10</v>
      </c>
      <c r="AV186" s="25">
        <f>Расчет!CA186</f>
        <v>0</v>
      </c>
      <c r="AW186" s="25" t="str">
        <f>Расчет!CH186</f>
        <v>Аммофос 12:52:00</v>
      </c>
      <c r="AX186" s="25">
        <f>Расчет!DB186</f>
        <v>0</v>
      </c>
      <c r="AY186" s="25">
        <f>Расчет!DC186</f>
        <v>0</v>
      </c>
      <c r="AZ186" s="25">
        <f>Расчет!DG186</f>
        <v>0</v>
      </c>
      <c r="BA186" s="25">
        <f>Расчет!DH186</f>
        <v>0</v>
      </c>
      <c r="BB186" s="25">
        <f>Расчет!DI186</f>
        <v>0</v>
      </c>
      <c r="BC186" s="25" t="str">
        <f>Расчет!DR186</f>
        <v>Нет</v>
      </c>
      <c r="BD186" s="25">
        <f>Расчет!EB186</f>
        <v>0</v>
      </c>
      <c r="BE186" s="25">
        <f>Расчет!EF186</f>
        <v>0</v>
      </c>
      <c r="BF186" s="25" t="e">
        <f>Расчет!EI186</f>
        <v>#DIV/0!</v>
      </c>
      <c r="BG186" s="25" t="e">
        <f>Расчет!FA186</f>
        <v>#N/A</v>
      </c>
      <c r="BI186">
        <f>IF(Исходн.данные.!AH186=Исходн.данные.!$AC$4,0.6,1)</f>
        <v>1</v>
      </c>
      <c r="BJ186">
        <f>IF(Исходн.данные.!AH186=Исходн.данные.!$AC$4,0.8,IF(OR(Потребность!F186=Расчет2!$BI$10,Потребность!F186=Расчет2!$BI$7,Потребность!F186=Расчет2!$BK$14,Исходн.данные.!AI186=Исходн.данные.!$AI$11),1.3,1))</f>
        <v>1.3</v>
      </c>
      <c r="BK186">
        <f>IF(OR(Исходн.данные.!AH186=Исходн.данные.!$AD$7,Исходн.данные.!AH186=Исходн.данные.!$AD$8),0.75,1)</f>
        <v>1</v>
      </c>
    </row>
    <row r="187" spans="32:63" x14ac:dyDescent="0.2">
      <c r="AF187">
        <f>SUM(Исходн.данные.!AD187:AF187)</f>
        <v>0</v>
      </c>
      <c r="AG187" s="60">
        <f>SUM(Расчет!CI187:CK187)</f>
        <v>0.64</v>
      </c>
      <c r="AH187" s="60">
        <f>SUM(Расчет!DS187:DU187)</f>
        <v>0</v>
      </c>
      <c r="AI187" t="e">
        <f t="shared" si="4"/>
        <v>#N/A</v>
      </c>
      <c r="AJ187" t="e">
        <f t="shared" si="5"/>
        <v>#N/A</v>
      </c>
      <c r="AL187">
        <f>Потребность!G187*Потребность!H187</f>
        <v>0</v>
      </c>
      <c r="AM187" s="11" t="e">
        <f>Исходн.данные.!$AJ187*Расчет2!AO187</f>
        <v>#VALUE!</v>
      </c>
      <c r="AN187" s="11">
        <f>Исходн.данные.!$AJ187*Расчет2!AP187</f>
        <v>0</v>
      </c>
      <c r="AO187" s="25" t="str">
        <f>IF(Расчет!BF187=0,"X",Расчет!BF187)</f>
        <v>X</v>
      </c>
      <c r="AP187" s="25">
        <f>Расчет!BG187</f>
        <v>0</v>
      </c>
      <c r="AQ187" s="9">
        <f>IF(Расчет!BL187&lt;0,0,Расчет!BL187)</f>
        <v>0</v>
      </c>
      <c r="AR187" s="25">
        <f>IF(Расчет!BM187&lt;0,0,Расчет!BM187)</f>
        <v>0</v>
      </c>
      <c r="AS187" s="25">
        <f>IF(Расчет!BN187&lt;0,0,Расчет!BN187)</f>
        <v>0</v>
      </c>
      <c r="AT187" s="25">
        <f>Расчет!BY187</f>
        <v>0</v>
      </c>
      <c r="AU187" s="25">
        <f>Расчет!BZ187</f>
        <v>10</v>
      </c>
      <c r="AV187" s="25">
        <f>Расчет!CA187</f>
        <v>0</v>
      </c>
      <c r="AW187" s="25" t="str">
        <f>Расчет!CH187</f>
        <v>Аммофос 12:52:00</v>
      </c>
      <c r="AX187" s="25">
        <f>Расчет!DB187</f>
        <v>0</v>
      </c>
      <c r="AY187" s="25">
        <f>Расчет!DC187</f>
        <v>0</v>
      </c>
      <c r="AZ187" s="25">
        <f>Расчет!DG187</f>
        <v>0</v>
      </c>
      <c r="BA187" s="25">
        <f>Расчет!DH187</f>
        <v>0</v>
      </c>
      <c r="BB187" s="25">
        <f>Расчет!DI187</f>
        <v>0</v>
      </c>
      <c r="BC187" s="25" t="str">
        <f>Расчет!DR187</f>
        <v>Нет</v>
      </c>
      <c r="BD187" s="25">
        <f>Расчет!EB187</f>
        <v>0</v>
      </c>
      <c r="BE187" s="25">
        <f>Расчет!EF187</f>
        <v>0</v>
      </c>
      <c r="BF187" s="25" t="e">
        <f>Расчет!EI187</f>
        <v>#DIV/0!</v>
      </c>
      <c r="BG187" s="25" t="e">
        <f>Расчет!FA187</f>
        <v>#N/A</v>
      </c>
      <c r="BI187">
        <f>IF(Исходн.данные.!AH187=Исходн.данные.!$AC$4,0.6,1)</f>
        <v>1</v>
      </c>
      <c r="BJ187">
        <f>IF(Исходн.данные.!AH187=Исходн.данные.!$AC$4,0.8,IF(OR(Потребность!F187=Расчет2!$BI$10,Потребность!F187=Расчет2!$BI$7,Потребность!F187=Расчет2!$BK$14,Исходн.данные.!AI187=Исходн.данные.!$AI$11),1.3,1))</f>
        <v>1.3</v>
      </c>
      <c r="BK187">
        <f>IF(OR(Исходн.данные.!AH187=Исходн.данные.!$AD$7,Исходн.данные.!AH187=Исходн.данные.!$AD$8),0.75,1)</f>
        <v>1</v>
      </c>
    </row>
    <row r="188" spans="32:63" x14ac:dyDescent="0.2">
      <c r="AF188">
        <f>SUM(Исходн.данные.!AD188:AF188)</f>
        <v>0</v>
      </c>
      <c r="AG188" s="60">
        <f>SUM(Расчет!CI188:CK188)</f>
        <v>0.64</v>
      </c>
      <c r="AH188" s="60">
        <f>SUM(Расчет!DS188:DU188)</f>
        <v>0</v>
      </c>
      <c r="AI188" t="e">
        <f t="shared" si="4"/>
        <v>#N/A</v>
      </c>
      <c r="AJ188" t="e">
        <f t="shared" si="5"/>
        <v>#N/A</v>
      </c>
      <c r="AL188">
        <f>Потребность!G188*Потребность!H188</f>
        <v>0</v>
      </c>
      <c r="AM188" s="11" t="e">
        <f>Исходн.данные.!$AJ188*Расчет2!AO188</f>
        <v>#VALUE!</v>
      </c>
      <c r="AN188" s="11">
        <f>Исходн.данные.!$AJ188*Расчет2!AP188</f>
        <v>0</v>
      </c>
      <c r="AO188" s="25" t="str">
        <f>IF(Расчет!BF188=0,"X",Расчет!BF188)</f>
        <v>X</v>
      </c>
      <c r="AP188" s="25">
        <f>Расчет!BG188</f>
        <v>0</v>
      </c>
      <c r="AQ188" s="9">
        <f>IF(Расчет!BL188&lt;0,0,Расчет!BL188)</f>
        <v>0</v>
      </c>
      <c r="AR188" s="25">
        <f>IF(Расчет!BM188&lt;0,0,Расчет!BM188)</f>
        <v>0</v>
      </c>
      <c r="AS188" s="25">
        <f>IF(Расчет!BN188&lt;0,0,Расчет!BN188)</f>
        <v>0</v>
      </c>
      <c r="AT188" s="25">
        <f>Расчет!BY188</f>
        <v>0</v>
      </c>
      <c r="AU188" s="25">
        <f>Расчет!BZ188</f>
        <v>10</v>
      </c>
      <c r="AV188" s="25">
        <f>Расчет!CA188</f>
        <v>0</v>
      </c>
      <c r="AW188" s="25" t="str">
        <f>Расчет!CH188</f>
        <v>Аммофос 12:52:00</v>
      </c>
      <c r="AX188" s="25">
        <f>Расчет!DB188</f>
        <v>0</v>
      </c>
      <c r="AY188" s="25">
        <f>Расчет!DC188</f>
        <v>0</v>
      </c>
      <c r="AZ188" s="25">
        <f>Расчет!DG188</f>
        <v>0</v>
      </c>
      <c r="BA188" s="25">
        <f>Расчет!DH188</f>
        <v>0</v>
      </c>
      <c r="BB188" s="25">
        <f>Расчет!DI188</f>
        <v>0</v>
      </c>
      <c r="BC188" s="25" t="str">
        <f>Расчет!DR188</f>
        <v>Нет</v>
      </c>
      <c r="BD188" s="25">
        <f>Расчет!EB188</f>
        <v>0</v>
      </c>
      <c r="BE188" s="25">
        <f>Расчет!EF188</f>
        <v>0</v>
      </c>
      <c r="BF188" s="25" t="e">
        <f>Расчет!EI188</f>
        <v>#DIV/0!</v>
      </c>
      <c r="BG188" s="25" t="e">
        <f>Расчет!FA188</f>
        <v>#N/A</v>
      </c>
      <c r="BI188">
        <f>IF(Исходн.данные.!AH188=Исходн.данные.!$AC$4,0.6,1)</f>
        <v>1</v>
      </c>
      <c r="BJ188">
        <f>IF(Исходн.данные.!AH188=Исходн.данные.!$AC$4,0.8,IF(OR(Потребность!F188=Расчет2!$BI$10,Потребность!F188=Расчет2!$BI$7,Потребность!F188=Расчет2!$BK$14,Исходн.данные.!AI188=Исходн.данные.!$AI$11),1.3,1))</f>
        <v>1.3</v>
      </c>
      <c r="BK188">
        <f>IF(OR(Исходн.данные.!AH188=Исходн.данные.!$AD$7,Исходн.данные.!AH188=Исходн.данные.!$AD$8),0.75,1)</f>
        <v>1</v>
      </c>
    </row>
    <row r="189" spans="32:63" x14ac:dyDescent="0.2">
      <c r="AF189">
        <f>SUM(Исходн.данные.!AD189:AF189)</f>
        <v>0</v>
      </c>
      <c r="AG189" s="60">
        <f>SUM(Расчет!CI189:CK189)</f>
        <v>0.64</v>
      </c>
      <c r="AH189" s="60">
        <f>SUM(Расчет!DS189:DU189)</f>
        <v>0</v>
      </c>
      <c r="AI189" t="e">
        <f t="shared" si="4"/>
        <v>#N/A</v>
      </c>
      <c r="AJ189" t="e">
        <f t="shared" si="5"/>
        <v>#N/A</v>
      </c>
      <c r="AL189">
        <f>Потребность!G189*Потребность!H189</f>
        <v>0</v>
      </c>
      <c r="AM189" s="11" t="e">
        <f>Исходн.данные.!$AJ189*Расчет2!AO189</f>
        <v>#VALUE!</v>
      </c>
      <c r="AN189" s="11">
        <f>Исходн.данные.!$AJ189*Расчет2!AP189</f>
        <v>0</v>
      </c>
      <c r="AO189" s="25" t="str">
        <f>IF(Расчет!BF189=0,"X",Расчет!BF189)</f>
        <v>X</v>
      </c>
      <c r="AP189" s="25">
        <f>Расчет!BG189</f>
        <v>0</v>
      </c>
      <c r="AQ189" s="9">
        <f>IF(Расчет!BL189&lt;0,0,Расчет!BL189)</f>
        <v>0</v>
      </c>
      <c r="AR189" s="25">
        <f>IF(Расчет!BM189&lt;0,0,Расчет!BM189)</f>
        <v>0</v>
      </c>
      <c r="AS189" s="25">
        <f>IF(Расчет!BN189&lt;0,0,Расчет!BN189)</f>
        <v>0</v>
      </c>
      <c r="AT189" s="25">
        <f>Расчет!BY189</f>
        <v>0</v>
      </c>
      <c r="AU189" s="25">
        <f>Расчет!BZ189</f>
        <v>10</v>
      </c>
      <c r="AV189" s="25">
        <f>Расчет!CA189</f>
        <v>0</v>
      </c>
      <c r="AW189" s="25" t="str">
        <f>Расчет!CH189</f>
        <v>Аммофос 12:52:00</v>
      </c>
      <c r="AX189" s="25">
        <f>Расчет!DB189</f>
        <v>0</v>
      </c>
      <c r="AY189" s="25">
        <f>Расчет!DC189</f>
        <v>0</v>
      </c>
      <c r="AZ189" s="25">
        <f>Расчет!DG189</f>
        <v>0</v>
      </c>
      <c r="BA189" s="25">
        <f>Расчет!DH189</f>
        <v>0</v>
      </c>
      <c r="BB189" s="25">
        <f>Расчет!DI189</f>
        <v>0</v>
      </c>
      <c r="BC189" s="25" t="str">
        <f>Расчет!DR189</f>
        <v>Нет</v>
      </c>
      <c r="BD189" s="25">
        <f>Расчет!EB189</f>
        <v>0</v>
      </c>
      <c r="BE189" s="25">
        <f>Расчет!EF189</f>
        <v>0</v>
      </c>
      <c r="BF189" s="25" t="e">
        <f>Расчет!EI189</f>
        <v>#DIV/0!</v>
      </c>
      <c r="BG189" s="25" t="e">
        <f>Расчет!FA189</f>
        <v>#N/A</v>
      </c>
      <c r="BI189">
        <f>IF(Исходн.данные.!AH189=Исходн.данные.!$AC$4,0.6,1)</f>
        <v>1</v>
      </c>
      <c r="BJ189">
        <f>IF(Исходн.данные.!AH189=Исходн.данные.!$AC$4,0.8,IF(OR(Потребность!F189=Расчет2!$BI$10,Потребность!F189=Расчет2!$BI$7,Потребность!F189=Расчет2!$BK$14,Исходн.данные.!AI189=Исходн.данные.!$AI$11),1.3,1))</f>
        <v>1.3</v>
      </c>
      <c r="BK189">
        <f>IF(OR(Исходн.данные.!AH189=Исходн.данные.!$AD$7,Исходн.данные.!AH189=Исходн.данные.!$AD$8),0.75,1)</f>
        <v>1</v>
      </c>
    </row>
    <row r="190" spans="32:63" x14ac:dyDescent="0.2">
      <c r="AF190">
        <f>SUM(Исходн.данные.!AD190:AF190)</f>
        <v>0</v>
      </c>
      <c r="AG190" s="60">
        <f>SUM(Расчет!CI190:CK190)</f>
        <v>0.64</v>
      </c>
      <c r="AH190" s="60">
        <f>SUM(Расчет!DS190:DU190)</f>
        <v>0</v>
      </c>
      <c r="AI190" t="e">
        <f t="shared" si="4"/>
        <v>#N/A</v>
      </c>
      <c r="AJ190" t="e">
        <f t="shared" si="5"/>
        <v>#N/A</v>
      </c>
      <c r="AL190">
        <f>Потребность!G190*Потребность!H190</f>
        <v>0</v>
      </c>
      <c r="AM190" s="11" t="e">
        <f>Исходн.данные.!$AJ190*Расчет2!AO190</f>
        <v>#VALUE!</v>
      </c>
      <c r="AN190" s="11">
        <f>Исходн.данные.!$AJ190*Расчет2!AP190</f>
        <v>0</v>
      </c>
      <c r="AO190" s="25" t="str">
        <f>IF(Расчет!BF190=0,"X",Расчет!BF190)</f>
        <v>X</v>
      </c>
      <c r="AP190" s="25">
        <f>Расчет!BG190</f>
        <v>0</v>
      </c>
      <c r="AQ190" s="9">
        <f>IF(Расчет!BL190&lt;0,0,Расчет!BL190)</f>
        <v>0</v>
      </c>
      <c r="AR190" s="25">
        <f>IF(Расчет!BM190&lt;0,0,Расчет!BM190)</f>
        <v>0</v>
      </c>
      <c r="AS190" s="25">
        <f>IF(Расчет!BN190&lt;0,0,Расчет!BN190)</f>
        <v>0</v>
      </c>
      <c r="AT190" s="25">
        <f>Расчет!BY190</f>
        <v>0</v>
      </c>
      <c r="AU190" s="25">
        <f>Расчет!BZ190</f>
        <v>10</v>
      </c>
      <c r="AV190" s="25">
        <f>Расчет!CA190</f>
        <v>0</v>
      </c>
      <c r="AW190" s="25" t="str">
        <f>Расчет!CH190</f>
        <v>Аммофос 12:52:00</v>
      </c>
      <c r="AX190" s="25">
        <f>Расчет!DB190</f>
        <v>0</v>
      </c>
      <c r="AY190" s="25">
        <f>Расчет!DC190</f>
        <v>0</v>
      </c>
      <c r="AZ190" s="25">
        <f>Расчет!DG190</f>
        <v>0</v>
      </c>
      <c r="BA190" s="25">
        <f>Расчет!DH190</f>
        <v>0</v>
      </c>
      <c r="BB190" s="25">
        <f>Расчет!DI190</f>
        <v>0</v>
      </c>
      <c r="BC190" s="25" t="str">
        <f>Расчет!DR190</f>
        <v>Нет</v>
      </c>
      <c r="BD190" s="25">
        <f>Расчет!EB190</f>
        <v>0</v>
      </c>
      <c r="BE190" s="25">
        <f>Расчет!EF190</f>
        <v>0</v>
      </c>
      <c r="BF190" s="25" t="e">
        <f>Расчет!EI190</f>
        <v>#DIV/0!</v>
      </c>
      <c r="BG190" s="25" t="e">
        <f>Расчет!FA190</f>
        <v>#N/A</v>
      </c>
      <c r="BI190">
        <f>IF(Исходн.данные.!AH190=Исходн.данные.!$AC$4,0.6,1)</f>
        <v>1</v>
      </c>
      <c r="BJ190">
        <f>IF(Исходн.данные.!AH190=Исходн.данные.!$AC$4,0.8,IF(OR(Потребность!F190=Расчет2!$BI$10,Потребность!F190=Расчет2!$BI$7,Потребность!F190=Расчет2!$BK$14,Исходн.данные.!AI190=Исходн.данные.!$AI$11),1.3,1))</f>
        <v>1.3</v>
      </c>
      <c r="BK190">
        <f>IF(OR(Исходн.данные.!AH190=Исходн.данные.!$AD$7,Исходн.данные.!AH190=Исходн.данные.!$AD$8),0.75,1)</f>
        <v>1</v>
      </c>
    </row>
    <row r="191" spans="32:63" x14ac:dyDescent="0.2">
      <c r="AF191">
        <f>SUM(Исходн.данные.!AD191:AF191)</f>
        <v>0</v>
      </c>
      <c r="AG191" s="60">
        <f>SUM(Расчет!CI191:CK191)</f>
        <v>0.64</v>
      </c>
      <c r="AH191" s="60">
        <f>SUM(Расчет!DS191:DU191)</f>
        <v>0</v>
      </c>
      <c r="AI191" t="e">
        <f t="shared" si="4"/>
        <v>#N/A</v>
      </c>
      <c r="AJ191" t="e">
        <f t="shared" si="5"/>
        <v>#N/A</v>
      </c>
      <c r="AL191">
        <f>Потребность!G191*Потребность!H191</f>
        <v>0</v>
      </c>
      <c r="AM191" s="11" t="e">
        <f>Исходн.данные.!$AJ191*Расчет2!AO191</f>
        <v>#VALUE!</v>
      </c>
      <c r="AN191" s="11">
        <f>Исходн.данные.!$AJ191*Расчет2!AP191</f>
        <v>0</v>
      </c>
      <c r="AO191" s="25" t="str">
        <f>IF(Расчет!BF191=0,"X",Расчет!BF191)</f>
        <v>X</v>
      </c>
      <c r="AP191" s="25">
        <f>Расчет!BG191</f>
        <v>0</v>
      </c>
      <c r="AQ191" s="9">
        <f>IF(Расчет!BL191&lt;0,0,Расчет!BL191)</f>
        <v>0</v>
      </c>
      <c r="AR191" s="25">
        <f>IF(Расчет!BM191&lt;0,0,Расчет!BM191)</f>
        <v>0</v>
      </c>
      <c r="AS191" s="25">
        <f>IF(Расчет!BN191&lt;0,0,Расчет!BN191)</f>
        <v>0</v>
      </c>
      <c r="AT191" s="25">
        <f>Расчет!BY191</f>
        <v>0</v>
      </c>
      <c r="AU191" s="25">
        <f>Расчет!BZ191</f>
        <v>10</v>
      </c>
      <c r="AV191" s="25">
        <f>Расчет!CA191</f>
        <v>0</v>
      </c>
      <c r="AW191" s="25" t="str">
        <f>Расчет!CH191</f>
        <v>Аммофос 12:52:00</v>
      </c>
      <c r="AX191" s="25">
        <f>Расчет!DB191</f>
        <v>0</v>
      </c>
      <c r="AY191" s="25">
        <f>Расчет!DC191</f>
        <v>0</v>
      </c>
      <c r="AZ191" s="25">
        <f>Расчет!DG191</f>
        <v>0</v>
      </c>
      <c r="BA191" s="25">
        <f>Расчет!DH191</f>
        <v>0</v>
      </c>
      <c r="BB191" s="25">
        <f>Расчет!DI191</f>
        <v>0</v>
      </c>
      <c r="BC191" s="25" t="str">
        <f>Расчет!DR191</f>
        <v>Нет</v>
      </c>
      <c r="BD191" s="25">
        <f>Расчет!EB191</f>
        <v>0</v>
      </c>
      <c r="BE191" s="25">
        <f>Расчет!EF191</f>
        <v>0</v>
      </c>
      <c r="BF191" s="25" t="e">
        <f>Расчет!EI191</f>
        <v>#DIV/0!</v>
      </c>
      <c r="BG191" s="25" t="e">
        <f>Расчет!FA191</f>
        <v>#N/A</v>
      </c>
      <c r="BI191">
        <f>IF(Исходн.данные.!AH191=Исходн.данные.!$AC$4,0.6,1)</f>
        <v>1</v>
      </c>
      <c r="BJ191">
        <f>IF(Исходн.данные.!AH191=Исходн.данные.!$AC$4,0.8,IF(OR(Потребность!F191=Расчет2!$BI$10,Потребность!F191=Расчет2!$BI$7,Потребность!F191=Расчет2!$BK$14,Исходн.данные.!AI191=Исходн.данные.!$AI$11),1.3,1))</f>
        <v>1.3</v>
      </c>
      <c r="BK191">
        <f>IF(OR(Исходн.данные.!AH191=Исходн.данные.!$AD$7,Исходн.данные.!AH191=Исходн.данные.!$AD$8),0.75,1)</f>
        <v>1</v>
      </c>
    </row>
    <row r="192" spans="32:63" x14ac:dyDescent="0.2">
      <c r="AF192">
        <f>SUM(Исходн.данные.!AD192:AF192)</f>
        <v>0</v>
      </c>
      <c r="AG192" s="60">
        <f>SUM(Расчет!CI192:CK192)</f>
        <v>0.64</v>
      </c>
      <c r="AH192" s="60">
        <f>SUM(Расчет!DS192:DU192)</f>
        <v>0</v>
      </c>
      <c r="AI192" t="e">
        <f t="shared" si="4"/>
        <v>#N/A</v>
      </c>
      <c r="AJ192" t="e">
        <f t="shared" si="5"/>
        <v>#N/A</v>
      </c>
      <c r="AL192">
        <f>Потребность!G192*Потребность!H192</f>
        <v>0</v>
      </c>
      <c r="AM192" s="11" t="e">
        <f>Исходн.данные.!$AJ192*Расчет2!AO192</f>
        <v>#VALUE!</v>
      </c>
      <c r="AN192" s="11">
        <f>Исходн.данные.!$AJ192*Расчет2!AP192</f>
        <v>0</v>
      </c>
      <c r="AO192" s="25" t="str">
        <f>IF(Расчет!BF192=0,"X",Расчет!BF192)</f>
        <v>X</v>
      </c>
      <c r="AP192" s="25">
        <f>Расчет!BG192</f>
        <v>0</v>
      </c>
      <c r="AQ192" s="9">
        <f>IF(Расчет!BL192&lt;0,0,Расчет!BL192)</f>
        <v>0</v>
      </c>
      <c r="AR192" s="25">
        <f>IF(Расчет!BM192&lt;0,0,Расчет!BM192)</f>
        <v>0</v>
      </c>
      <c r="AS192" s="25">
        <f>IF(Расчет!BN192&lt;0,0,Расчет!BN192)</f>
        <v>0</v>
      </c>
      <c r="AT192" s="25">
        <f>Расчет!BY192</f>
        <v>0</v>
      </c>
      <c r="AU192" s="25">
        <f>Расчет!BZ192</f>
        <v>10</v>
      </c>
      <c r="AV192" s="25">
        <f>Расчет!CA192</f>
        <v>0</v>
      </c>
      <c r="AW192" s="25" t="str">
        <f>Расчет!CH192</f>
        <v>Аммофос 12:52:00</v>
      </c>
      <c r="AX192" s="25">
        <f>Расчет!DB192</f>
        <v>0</v>
      </c>
      <c r="AY192" s="25">
        <f>Расчет!DC192</f>
        <v>0</v>
      </c>
      <c r="AZ192" s="25">
        <f>Расчет!DG192</f>
        <v>0</v>
      </c>
      <c r="BA192" s="25">
        <f>Расчет!DH192</f>
        <v>0</v>
      </c>
      <c r="BB192" s="25">
        <f>Расчет!DI192</f>
        <v>0</v>
      </c>
      <c r="BC192" s="25" t="str">
        <f>Расчет!DR192</f>
        <v>Нет</v>
      </c>
      <c r="BD192" s="25">
        <f>Расчет!EB192</f>
        <v>0</v>
      </c>
      <c r="BE192" s="25">
        <f>Расчет!EF192</f>
        <v>0</v>
      </c>
      <c r="BF192" s="25" t="e">
        <f>Расчет!EI192</f>
        <v>#DIV/0!</v>
      </c>
      <c r="BG192" s="25" t="e">
        <f>Расчет!FA192</f>
        <v>#N/A</v>
      </c>
      <c r="BI192">
        <f>IF(Исходн.данные.!AH192=Исходн.данные.!$AC$4,0.6,1)</f>
        <v>1</v>
      </c>
      <c r="BJ192">
        <f>IF(Исходн.данные.!AH192=Исходн.данные.!$AC$4,0.8,IF(OR(Потребность!F192=Расчет2!$BI$10,Потребность!F192=Расчет2!$BI$7,Потребность!F192=Расчет2!$BK$14,Исходн.данные.!AI192=Исходн.данные.!$AI$11),1.3,1))</f>
        <v>1.3</v>
      </c>
      <c r="BK192">
        <f>IF(OR(Исходн.данные.!AH192=Исходн.данные.!$AD$7,Исходн.данные.!AH192=Исходн.данные.!$AD$8),0.75,1)</f>
        <v>1</v>
      </c>
    </row>
    <row r="193" spans="32:63" x14ac:dyDescent="0.2">
      <c r="AF193">
        <f>SUM(Исходн.данные.!AD193:AF193)</f>
        <v>0</v>
      </c>
      <c r="AG193" s="60">
        <f>SUM(Расчет!CI193:CK193)</f>
        <v>0.64</v>
      </c>
      <c r="AH193" s="60">
        <f>SUM(Расчет!DS193:DU193)</f>
        <v>0</v>
      </c>
      <c r="AI193" t="e">
        <f t="shared" si="4"/>
        <v>#N/A</v>
      </c>
      <c r="AJ193" t="e">
        <f t="shared" si="5"/>
        <v>#N/A</v>
      </c>
      <c r="AL193">
        <f>Потребность!G193*Потребность!H193</f>
        <v>0</v>
      </c>
      <c r="AM193" s="11" t="e">
        <f>Исходн.данные.!$AJ193*Расчет2!AO193</f>
        <v>#VALUE!</v>
      </c>
      <c r="AN193" s="11">
        <f>Исходн.данные.!$AJ193*Расчет2!AP193</f>
        <v>0</v>
      </c>
      <c r="AO193" s="25" t="str">
        <f>IF(Расчет!BF193=0,"X",Расчет!BF193)</f>
        <v>X</v>
      </c>
      <c r="AP193" s="25">
        <f>Расчет!BG193</f>
        <v>0</v>
      </c>
      <c r="AQ193" s="9">
        <f>IF(Расчет!BL193&lt;0,0,Расчет!BL193)</f>
        <v>0</v>
      </c>
      <c r="AR193" s="25">
        <f>IF(Расчет!BM193&lt;0,0,Расчет!BM193)</f>
        <v>0</v>
      </c>
      <c r="AS193" s="25">
        <f>IF(Расчет!BN193&lt;0,0,Расчет!BN193)</f>
        <v>0</v>
      </c>
      <c r="AT193" s="25">
        <f>Расчет!BY193</f>
        <v>0</v>
      </c>
      <c r="AU193" s="25">
        <f>Расчет!BZ193</f>
        <v>10</v>
      </c>
      <c r="AV193" s="25">
        <f>Расчет!CA193</f>
        <v>0</v>
      </c>
      <c r="AW193" s="25" t="str">
        <f>Расчет!CH193</f>
        <v>Аммофос 12:52:00</v>
      </c>
      <c r="AX193" s="25">
        <f>Расчет!DB193</f>
        <v>0</v>
      </c>
      <c r="AY193" s="25">
        <f>Расчет!DC193</f>
        <v>0</v>
      </c>
      <c r="AZ193" s="25">
        <f>Расчет!DG193</f>
        <v>0</v>
      </c>
      <c r="BA193" s="25">
        <f>Расчет!DH193</f>
        <v>0</v>
      </c>
      <c r="BB193" s="25">
        <f>Расчет!DI193</f>
        <v>0</v>
      </c>
      <c r="BC193" s="25" t="str">
        <f>Расчет!DR193</f>
        <v>Нет</v>
      </c>
      <c r="BD193" s="25">
        <f>Расчет!EB193</f>
        <v>0</v>
      </c>
      <c r="BE193" s="25">
        <f>Расчет!EF193</f>
        <v>0</v>
      </c>
      <c r="BF193" s="25" t="e">
        <f>Расчет!EI193</f>
        <v>#DIV/0!</v>
      </c>
      <c r="BG193" s="25" t="e">
        <f>Расчет!FA193</f>
        <v>#N/A</v>
      </c>
      <c r="BI193">
        <f>IF(Исходн.данные.!AH193=Исходн.данные.!$AC$4,0.6,1)</f>
        <v>1</v>
      </c>
      <c r="BJ193">
        <f>IF(Исходн.данные.!AH193=Исходн.данные.!$AC$4,0.8,IF(OR(Потребность!F193=Расчет2!$BI$10,Потребность!F193=Расчет2!$BI$7,Потребность!F193=Расчет2!$BK$14,Исходн.данные.!AI193=Исходн.данные.!$AI$11),1.3,1))</f>
        <v>1.3</v>
      </c>
      <c r="BK193">
        <f>IF(OR(Исходн.данные.!AH193=Исходн.данные.!$AD$7,Исходн.данные.!AH193=Исходн.данные.!$AD$8),0.75,1)</f>
        <v>1</v>
      </c>
    </row>
    <row r="194" spans="32:63" x14ac:dyDescent="0.2">
      <c r="AF194">
        <f>SUM(Исходн.данные.!AD194:AF194)</f>
        <v>0</v>
      </c>
      <c r="AG194" s="60">
        <f>SUM(Расчет!CI194:CK194)</f>
        <v>0.64</v>
      </c>
      <c r="AH194" s="60">
        <f>SUM(Расчет!DS194:DU194)</f>
        <v>0</v>
      </c>
      <c r="AI194" t="e">
        <f t="shared" si="4"/>
        <v>#N/A</v>
      </c>
      <c r="AJ194" t="e">
        <f t="shared" si="5"/>
        <v>#N/A</v>
      </c>
      <c r="AL194">
        <f>Потребность!G194*Потребность!H194</f>
        <v>0</v>
      </c>
      <c r="AM194" s="11" t="e">
        <f>Исходн.данные.!$AJ194*Расчет2!AO194</f>
        <v>#VALUE!</v>
      </c>
      <c r="AN194" s="11">
        <f>Исходн.данные.!$AJ194*Расчет2!AP194</f>
        <v>0</v>
      </c>
      <c r="AO194" s="25" t="str">
        <f>IF(Расчет!BF194=0,"X",Расчет!BF194)</f>
        <v>X</v>
      </c>
      <c r="AP194" s="25">
        <f>Расчет!BG194</f>
        <v>0</v>
      </c>
      <c r="AQ194" s="9">
        <f>IF(Расчет!BL194&lt;0,0,Расчет!BL194)</f>
        <v>0</v>
      </c>
      <c r="AR194" s="25">
        <f>IF(Расчет!BM194&lt;0,0,Расчет!BM194)</f>
        <v>0</v>
      </c>
      <c r="AS194" s="25">
        <f>IF(Расчет!BN194&lt;0,0,Расчет!BN194)</f>
        <v>0</v>
      </c>
      <c r="AT194" s="25">
        <f>Расчет!BY194</f>
        <v>0</v>
      </c>
      <c r="AU194" s="25">
        <f>Расчет!BZ194</f>
        <v>10</v>
      </c>
      <c r="AV194" s="25">
        <f>Расчет!CA194</f>
        <v>0</v>
      </c>
      <c r="AW194" s="25" t="str">
        <f>Расчет!CH194</f>
        <v>Аммофос 12:52:00</v>
      </c>
      <c r="AX194" s="25">
        <f>Расчет!DB194</f>
        <v>0</v>
      </c>
      <c r="AY194" s="25">
        <f>Расчет!DC194</f>
        <v>0</v>
      </c>
      <c r="AZ194" s="25">
        <f>Расчет!DG194</f>
        <v>0</v>
      </c>
      <c r="BA194" s="25">
        <f>Расчет!DH194</f>
        <v>0</v>
      </c>
      <c r="BB194" s="25">
        <f>Расчет!DI194</f>
        <v>0</v>
      </c>
      <c r="BC194" s="25" t="str">
        <f>Расчет!DR194</f>
        <v>Нет</v>
      </c>
      <c r="BD194" s="25">
        <f>Расчет!EB194</f>
        <v>0</v>
      </c>
      <c r="BE194" s="25">
        <f>Расчет!EF194</f>
        <v>0</v>
      </c>
      <c r="BF194" s="25" t="e">
        <f>Расчет!EI194</f>
        <v>#DIV/0!</v>
      </c>
      <c r="BG194" s="25" t="e">
        <f>Расчет!FA194</f>
        <v>#N/A</v>
      </c>
      <c r="BI194">
        <f>IF(Исходн.данные.!AH194=Исходн.данные.!$AC$4,0.6,1)</f>
        <v>1</v>
      </c>
      <c r="BJ194">
        <f>IF(Исходн.данные.!AH194=Исходн.данные.!$AC$4,0.8,IF(OR(Потребность!F194=Расчет2!$BI$10,Потребность!F194=Расчет2!$BI$7,Потребность!F194=Расчет2!$BK$14,Исходн.данные.!AI194=Исходн.данные.!$AI$11),1.3,1))</f>
        <v>1.3</v>
      </c>
      <c r="BK194">
        <f>IF(OR(Исходн.данные.!AH194=Исходн.данные.!$AD$7,Исходн.данные.!AH194=Исходн.данные.!$AD$8),0.75,1)</f>
        <v>1</v>
      </c>
    </row>
    <row r="195" spans="32:63" x14ac:dyDescent="0.2">
      <c r="AF195">
        <f>SUM(Исходн.данные.!AD195:AF195)</f>
        <v>0</v>
      </c>
      <c r="AG195" s="60">
        <f>SUM(Расчет!CI195:CK195)</f>
        <v>0.64</v>
      </c>
      <c r="AH195" s="60">
        <f>SUM(Расчет!DS195:DU195)</f>
        <v>0</v>
      </c>
      <c r="AI195" t="e">
        <f t="shared" si="4"/>
        <v>#N/A</v>
      </c>
      <c r="AJ195" t="e">
        <f t="shared" si="5"/>
        <v>#N/A</v>
      </c>
      <c r="AL195">
        <f>Потребность!G195*Потребность!H195</f>
        <v>0</v>
      </c>
      <c r="AM195" s="11" t="e">
        <f>Исходн.данные.!$AJ195*Расчет2!AO195</f>
        <v>#VALUE!</v>
      </c>
      <c r="AN195" s="11">
        <f>Исходн.данные.!$AJ195*Расчет2!AP195</f>
        <v>0</v>
      </c>
      <c r="AO195" s="25" t="str">
        <f>IF(Расчет!BF195=0,"X",Расчет!BF195)</f>
        <v>X</v>
      </c>
      <c r="AP195" s="25">
        <f>Расчет!BG195</f>
        <v>0</v>
      </c>
      <c r="AQ195" s="9">
        <f>IF(Расчет!BL195&lt;0,0,Расчет!BL195)</f>
        <v>0</v>
      </c>
      <c r="AR195" s="25">
        <f>IF(Расчет!BM195&lt;0,0,Расчет!BM195)</f>
        <v>0</v>
      </c>
      <c r="AS195" s="25">
        <f>IF(Расчет!BN195&lt;0,0,Расчет!BN195)</f>
        <v>0</v>
      </c>
      <c r="AT195" s="25">
        <f>Расчет!BY195</f>
        <v>0</v>
      </c>
      <c r="AU195" s="25">
        <f>Расчет!BZ195</f>
        <v>10</v>
      </c>
      <c r="AV195" s="25">
        <f>Расчет!CA195</f>
        <v>0</v>
      </c>
      <c r="AW195" s="25" t="str">
        <f>Расчет!CH195</f>
        <v>Аммофос 12:52:00</v>
      </c>
      <c r="AX195" s="25">
        <f>Расчет!DB195</f>
        <v>0</v>
      </c>
      <c r="AY195" s="25">
        <f>Расчет!DC195</f>
        <v>0</v>
      </c>
      <c r="AZ195" s="25">
        <f>Расчет!DG195</f>
        <v>0</v>
      </c>
      <c r="BA195" s="25">
        <f>Расчет!DH195</f>
        <v>0</v>
      </c>
      <c r="BB195" s="25">
        <f>Расчет!DI195</f>
        <v>0</v>
      </c>
      <c r="BC195" s="25" t="str">
        <f>Расчет!DR195</f>
        <v>Нет</v>
      </c>
      <c r="BD195" s="25">
        <f>Расчет!EB195</f>
        <v>0</v>
      </c>
      <c r="BE195" s="25">
        <f>Расчет!EF195</f>
        <v>0</v>
      </c>
      <c r="BF195" s="25" t="e">
        <f>Расчет!EI195</f>
        <v>#DIV/0!</v>
      </c>
      <c r="BG195" s="25" t="e">
        <f>Расчет!FA195</f>
        <v>#N/A</v>
      </c>
      <c r="BI195">
        <f>IF(Исходн.данные.!AH195=Исходн.данные.!$AC$4,0.6,1)</f>
        <v>1</v>
      </c>
      <c r="BJ195">
        <f>IF(Исходн.данные.!AH195=Исходн.данные.!$AC$4,0.8,IF(OR(Потребность!F195=Расчет2!$BI$10,Потребность!F195=Расчет2!$BI$7,Потребность!F195=Расчет2!$BK$14,Исходн.данные.!AI195=Исходн.данные.!$AI$11),1.3,1))</f>
        <v>1.3</v>
      </c>
      <c r="BK195">
        <f>IF(OR(Исходн.данные.!AH195=Исходн.данные.!$AD$7,Исходн.данные.!AH195=Исходн.данные.!$AD$8),0.75,1)</f>
        <v>1</v>
      </c>
    </row>
    <row r="196" spans="32:63" x14ac:dyDescent="0.2">
      <c r="AF196">
        <f>SUM(Исходн.данные.!AD196:AF196)</f>
        <v>0</v>
      </c>
      <c r="AG196" s="60">
        <f>SUM(Расчет!CI196:CK196)</f>
        <v>0.64</v>
      </c>
      <c r="AH196" s="60">
        <f>SUM(Расчет!DS196:DU196)</f>
        <v>0</v>
      </c>
      <c r="AI196" t="e">
        <f t="shared" si="4"/>
        <v>#N/A</v>
      </c>
      <c r="AJ196" t="e">
        <f t="shared" si="5"/>
        <v>#N/A</v>
      </c>
      <c r="AL196">
        <f>Потребность!G196*Потребность!H196</f>
        <v>0</v>
      </c>
      <c r="AM196" s="11" t="e">
        <f>Исходн.данные.!$AJ196*Расчет2!AO196</f>
        <v>#VALUE!</v>
      </c>
      <c r="AN196" s="11">
        <f>Исходн.данные.!$AJ196*Расчет2!AP196</f>
        <v>0</v>
      </c>
      <c r="AO196" s="25" t="str">
        <f>IF(Расчет!BF196=0,"X",Расчет!BF196)</f>
        <v>X</v>
      </c>
      <c r="AP196" s="25">
        <f>Расчет!BG196</f>
        <v>0</v>
      </c>
      <c r="AQ196" s="9">
        <f>IF(Расчет!BL196&lt;0,0,Расчет!BL196)</f>
        <v>0</v>
      </c>
      <c r="AR196" s="25">
        <f>IF(Расчет!BM196&lt;0,0,Расчет!BM196)</f>
        <v>0</v>
      </c>
      <c r="AS196" s="25">
        <f>IF(Расчет!BN196&lt;0,0,Расчет!BN196)</f>
        <v>0</v>
      </c>
      <c r="AT196" s="25">
        <f>Расчет!BY196</f>
        <v>0</v>
      </c>
      <c r="AU196" s="25">
        <f>Расчет!BZ196</f>
        <v>10</v>
      </c>
      <c r="AV196" s="25">
        <f>Расчет!CA196</f>
        <v>0</v>
      </c>
      <c r="AW196" s="25" t="str">
        <f>Расчет!CH196</f>
        <v>Аммофос 12:52:00</v>
      </c>
      <c r="AX196" s="25">
        <f>Расчет!DB196</f>
        <v>0</v>
      </c>
      <c r="AY196" s="25">
        <f>Расчет!DC196</f>
        <v>0</v>
      </c>
      <c r="AZ196" s="25">
        <f>Расчет!DG196</f>
        <v>0</v>
      </c>
      <c r="BA196" s="25">
        <f>Расчет!DH196</f>
        <v>0</v>
      </c>
      <c r="BB196" s="25">
        <f>Расчет!DI196</f>
        <v>0</v>
      </c>
      <c r="BC196" s="25" t="str">
        <f>Расчет!DR196</f>
        <v>Нет</v>
      </c>
      <c r="BD196" s="25">
        <f>Расчет!EB196</f>
        <v>0</v>
      </c>
      <c r="BE196" s="25">
        <f>Расчет!EF196</f>
        <v>0</v>
      </c>
      <c r="BF196" s="25" t="e">
        <f>Расчет!EI196</f>
        <v>#DIV/0!</v>
      </c>
      <c r="BG196" s="25" t="e">
        <f>Расчет!FA196</f>
        <v>#N/A</v>
      </c>
      <c r="BI196">
        <f>IF(Исходн.данные.!AH196=Исходн.данные.!$AC$4,0.6,1)</f>
        <v>1</v>
      </c>
      <c r="BJ196">
        <f>IF(Исходн.данные.!AH196=Исходн.данные.!$AC$4,0.8,IF(OR(Потребность!F196=Расчет2!$BI$10,Потребность!F196=Расчет2!$BI$7,Потребность!F196=Расчет2!$BK$14,Исходн.данные.!AI196=Исходн.данные.!$AI$11),1.3,1))</f>
        <v>1.3</v>
      </c>
      <c r="BK196">
        <f>IF(OR(Исходн.данные.!AH196=Исходн.данные.!$AD$7,Исходн.данные.!AH196=Исходн.данные.!$AD$8),0.75,1)</f>
        <v>1</v>
      </c>
    </row>
    <row r="197" spans="32:63" x14ac:dyDescent="0.2">
      <c r="AF197">
        <f>SUM(Исходн.данные.!AD197:AF197)</f>
        <v>0</v>
      </c>
      <c r="AG197" s="60">
        <f>SUM(Расчет!CI197:CK197)</f>
        <v>0.64</v>
      </c>
      <c r="AH197" s="60">
        <f>SUM(Расчет!DS197:DU197)</f>
        <v>0</v>
      </c>
      <c r="AI197" t="e">
        <f t="shared" si="4"/>
        <v>#N/A</v>
      </c>
      <c r="AJ197" t="e">
        <f t="shared" si="5"/>
        <v>#N/A</v>
      </c>
      <c r="AL197">
        <f>Потребность!G197*Потребность!H197</f>
        <v>0</v>
      </c>
      <c r="AM197" s="11" t="e">
        <f>Исходн.данные.!$AJ197*Расчет2!AO197</f>
        <v>#VALUE!</v>
      </c>
      <c r="AN197" s="11">
        <f>Исходн.данные.!$AJ197*Расчет2!AP197</f>
        <v>0</v>
      </c>
      <c r="AO197" s="25" t="str">
        <f>IF(Расчет!BF197=0,"X",Расчет!BF197)</f>
        <v>X</v>
      </c>
      <c r="AP197" s="25">
        <f>Расчет!BG197</f>
        <v>0</v>
      </c>
      <c r="AQ197" s="9">
        <f>IF(Расчет!BL197&lt;0,0,Расчет!BL197)</f>
        <v>0</v>
      </c>
      <c r="AR197" s="25">
        <f>IF(Расчет!BM197&lt;0,0,Расчет!BM197)</f>
        <v>0</v>
      </c>
      <c r="AS197" s="25">
        <f>IF(Расчет!BN197&lt;0,0,Расчет!BN197)</f>
        <v>0</v>
      </c>
      <c r="AT197" s="25">
        <f>Расчет!BY197</f>
        <v>0</v>
      </c>
      <c r="AU197" s="25">
        <f>Расчет!BZ197</f>
        <v>10</v>
      </c>
      <c r="AV197" s="25">
        <f>Расчет!CA197</f>
        <v>0</v>
      </c>
      <c r="AW197" s="25" t="str">
        <f>Расчет!CH197</f>
        <v>Аммофос 12:52:00</v>
      </c>
      <c r="AX197" s="25">
        <f>Расчет!DB197</f>
        <v>0</v>
      </c>
      <c r="AY197" s="25">
        <f>Расчет!DC197</f>
        <v>0</v>
      </c>
      <c r="AZ197" s="25">
        <f>Расчет!DG197</f>
        <v>0</v>
      </c>
      <c r="BA197" s="25">
        <f>Расчет!DH197</f>
        <v>0</v>
      </c>
      <c r="BB197" s="25">
        <f>Расчет!DI197</f>
        <v>0</v>
      </c>
      <c r="BC197" s="25" t="str">
        <f>Расчет!DR197</f>
        <v>Нет</v>
      </c>
      <c r="BD197" s="25">
        <f>Расчет!EB197</f>
        <v>0</v>
      </c>
      <c r="BE197" s="25">
        <f>Расчет!EF197</f>
        <v>0</v>
      </c>
      <c r="BF197" s="25" t="e">
        <f>Расчет!EI197</f>
        <v>#DIV/0!</v>
      </c>
      <c r="BG197" s="25" t="e">
        <f>Расчет!FA197</f>
        <v>#N/A</v>
      </c>
      <c r="BI197">
        <f>IF(Исходн.данные.!AH197=Исходн.данные.!$AC$4,0.6,1)</f>
        <v>1</v>
      </c>
      <c r="BJ197">
        <f>IF(Исходн.данные.!AH197=Исходн.данные.!$AC$4,0.8,IF(OR(Потребность!F197=Расчет2!$BI$10,Потребность!F197=Расчет2!$BI$7,Потребность!F197=Расчет2!$BK$14,Исходн.данные.!AI197=Исходн.данные.!$AI$11),1.3,1))</f>
        <v>1.3</v>
      </c>
      <c r="BK197">
        <f>IF(OR(Исходн.данные.!AH197=Исходн.данные.!$AD$7,Исходн.данные.!AH197=Исходн.данные.!$AD$8),0.75,1)</f>
        <v>1</v>
      </c>
    </row>
    <row r="198" spans="32:63" x14ac:dyDescent="0.2">
      <c r="AF198">
        <f>SUM(Исходн.данные.!AD198:AF198)</f>
        <v>0</v>
      </c>
      <c r="AG198" s="60">
        <f>SUM(Расчет!CI198:CK198)</f>
        <v>0.64</v>
      </c>
      <c r="AH198" s="60">
        <f>SUM(Расчет!DS198:DU198)</f>
        <v>0</v>
      </c>
      <c r="AI198" t="e">
        <f t="shared" si="4"/>
        <v>#N/A</v>
      </c>
      <c r="AJ198" t="e">
        <f t="shared" si="5"/>
        <v>#N/A</v>
      </c>
      <c r="AL198">
        <f>Потребность!G198*Потребность!H198</f>
        <v>0</v>
      </c>
      <c r="AM198" s="11" t="e">
        <f>Исходн.данные.!$AJ198*Расчет2!AO198</f>
        <v>#VALUE!</v>
      </c>
      <c r="AN198" s="11">
        <f>Исходн.данные.!$AJ198*Расчет2!AP198</f>
        <v>0</v>
      </c>
      <c r="AO198" s="25" t="str">
        <f>IF(Расчет!BF198=0,"X",Расчет!BF198)</f>
        <v>X</v>
      </c>
      <c r="AP198" s="25">
        <f>Расчет!BG198</f>
        <v>0</v>
      </c>
      <c r="AQ198" s="9">
        <f>IF(Расчет!BL198&lt;0,0,Расчет!BL198)</f>
        <v>0</v>
      </c>
      <c r="AR198" s="25">
        <f>IF(Расчет!BM198&lt;0,0,Расчет!BM198)</f>
        <v>0</v>
      </c>
      <c r="AS198" s="25">
        <f>IF(Расчет!BN198&lt;0,0,Расчет!BN198)</f>
        <v>0</v>
      </c>
      <c r="AT198" s="25">
        <f>Расчет!BY198</f>
        <v>0</v>
      </c>
      <c r="AU198" s="25">
        <f>Расчет!BZ198</f>
        <v>10</v>
      </c>
      <c r="AV198" s="25">
        <f>Расчет!CA198</f>
        <v>0</v>
      </c>
      <c r="AW198" s="25" t="str">
        <f>Расчет!CH198</f>
        <v>Аммофос 12:52:00</v>
      </c>
      <c r="AX198" s="25">
        <f>Расчет!DB198</f>
        <v>0</v>
      </c>
      <c r="AY198" s="25">
        <f>Расчет!DC198</f>
        <v>0</v>
      </c>
      <c r="AZ198" s="25">
        <f>Расчет!DG198</f>
        <v>0</v>
      </c>
      <c r="BA198" s="25">
        <f>Расчет!DH198</f>
        <v>0</v>
      </c>
      <c r="BB198" s="25">
        <f>Расчет!DI198</f>
        <v>0</v>
      </c>
      <c r="BC198" s="25" t="str">
        <f>Расчет!DR198</f>
        <v>Нет</v>
      </c>
      <c r="BD198" s="25">
        <f>Расчет!EB198</f>
        <v>0</v>
      </c>
      <c r="BE198" s="25">
        <f>Расчет!EF198</f>
        <v>0</v>
      </c>
      <c r="BF198" s="25" t="e">
        <f>Расчет!EI198</f>
        <v>#DIV/0!</v>
      </c>
      <c r="BG198" s="25" t="e">
        <f>Расчет!FA198</f>
        <v>#N/A</v>
      </c>
      <c r="BI198">
        <f>IF(Исходн.данные.!AH198=Исходн.данные.!$AC$4,0.6,1)</f>
        <v>1</v>
      </c>
      <c r="BJ198">
        <f>IF(Исходн.данные.!AH198=Исходн.данные.!$AC$4,0.8,IF(OR(Потребность!F198=Расчет2!$BI$10,Потребность!F198=Расчет2!$BI$7,Потребность!F198=Расчет2!$BK$14,Исходн.данные.!AI198=Исходн.данные.!$AI$11),1.3,1))</f>
        <v>1.3</v>
      </c>
      <c r="BK198">
        <f>IF(OR(Исходн.данные.!AH198=Исходн.данные.!$AD$7,Исходн.данные.!AH198=Исходн.данные.!$AD$8),0.75,1)</f>
        <v>1</v>
      </c>
    </row>
    <row r="199" spans="32:63" x14ac:dyDescent="0.2">
      <c r="AF199">
        <f>SUM(Исходн.данные.!AD199:AF199)</f>
        <v>0</v>
      </c>
      <c r="AG199" s="60">
        <f>SUM(Расчет!CI199:CK199)</f>
        <v>0.64</v>
      </c>
      <c r="AH199" s="60">
        <f>SUM(Расчет!DS199:DU199)</f>
        <v>0</v>
      </c>
      <c r="AI199" t="e">
        <f t="shared" si="4"/>
        <v>#N/A</v>
      </c>
      <c r="AJ199" t="e">
        <f t="shared" si="5"/>
        <v>#N/A</v>
      </c>
      <c r="AL199">
        <f>Потребность!G199*Потребность!H199</f>
        <v>0</v>
      </c>
      <c r="AM199" s="11" t="e">
        <f>Исходн.данные.!$AJ199*Расчет2!AO199</f>
        <v>#VALUE!</v>
      </c>
      <c r="AN199" s="11">
        <f>Исходн.данные.!$AJ199*Расчет2!AP199</f>
        <v>0</v>
      </c>
      <c r="AO199" s="25" t="str">
        <f>IF(Расчет!BF199=0,"X",Расчет!BF199)</f>
        <v>X</v>
      </c>
      <c r="AP199" s="25">
        <f>Расчет!BG199</f>
        <v>0</v>
      </c>
      <c r="AQ199" s="9">
        <f>IF(Расчет!BL199&lt;0,0,Расчет!BL199)</f>
        <v>0</v>
      </c>
      <c r="AR199" s="25">
        <f>IF(Расчет!BM199&lt;0,0,Расчет!BM199)</f>
        <v>0</v>
      </c>
      <c r="AS199" s="25">
        <f>IF(Расчет!BN199&lt;0,0,Расчет!BN199)</f>
        <v>0</v>
      </c>
      <c r="AT199" s="25">
        <f>Расчет!BY199</f>
        <v>0</v>
      </c>
      <c r="AU199" s="25">
        <f>Расчет!BZ199</f>
        <v>10</v>
      </c>
      <c r="AV199" s="25">
        <f>Расчет!CA199</f>
        <v>0</v>
      </c>
      <c r="AW199" s="25" t="str">
        <f>Расчет!CH199</f>
        <v>Аммофос 12:52:00</v>
      </c>
      <c r="AX199" s="25">
        <f>Расчет!DB199</f>
        <v>0</v>
      </c>
      <c r="AY199" s="25">
        <f>Расчет!DC199</f>
        <v>0</v>
      </c>
      <c r="AZ199" s="25">
        <f>Расчет!DG199</f>
        <v>0</v>
      </c>
      <c r="BA199" s="25">
        <f>Расчет!DH199</f>
        <v>0</v>
      </c>
      <c r="BB199" s="25">
        <f>Расчет!DI199</f>
        <v>0</v>
      </c>
      <c r="BC199" s="25" t="str">
        <f>Расчет!DR199</f>
        <v>Нет</v>
      </c>
      <c r="BD199" s="25">
        <f>Расчет!EB199</f>
        <v>0</v>
      </c>
      <c r="BE199" s="25">
        <f>Расчет!EF199</f>
        <v>0</v>
      </c>
      <c r="BF199" s="25" t="e">
        <f>Расчет!EI199</f>
        <v>#DIV/0!</v>
      </c>
      <c r="BG199" s="25" t="e">
        <f>Расчет!FA199</f>
        <v>#N/A</v>
      </c>
      <c r="BI199">
        <f>IF(Исходн.данные.!AH199=Исходн.данные.!$AC$4,0.6,1)</f>
        <v>1</v>
      </c>
      <c r="BJ199">
        <f>IF(Исходн.данные.!AH199=Исходн.данные.!$AC$4,0.8,IF(OR(Потребность!F199=Расчет2!$BI$10,Потребность!F199=Расчет2!$BI$7,Потребность!F199=Расчет2!$BK$14,Исходн.данные.!AI199=Исходн.данные.!$AI$11),1.3,1))</f>
        <v>1.3</v>
      </c>
      <c r="BK199">
        <f>IF(OR(Исходн.данные.!AH199=Исходн.данные.!$AD$7,Исходн.данные.!AH199=Исходн.данные.!$AD$8),0.75,1)</f>
        <v>1</v>
      </c>
    </row>
    <row r="200" spans="32:63" x14ac:dyDescent="0.2">
      <c r="AF200">
        <f>SUM(Исходн.данные.!AD200:AF200)</f>
        <v>0</v>
      </c>
      <c r="AG200" s="60">
        <f>SUM(Расчет!CI200:CK200)</f>
        <v>0.64</v>
      </c>
      <c r="AH200" s="60">
        <f>SUM(Расчет!DS200:DU200)</f>
        <v>0</v>
      </c>
      <c r="AI200" t="e">
        <f t="shared" si="4"/>
        <v>#N/A</v>
      </c>
      <c r="AJ200" t="e">
        <f t="shared" si="5"/>
        <v>#N/A</v>
      </c>
      <c r="AL200">
        <f>Потребность!G200*Потребность!H200</f>
        <v>0</v>
      </c>
      <c r="AM200" s="11" t="e">
        <f>Исходн.данные.!$AJ200*Расчет2!AO200</f>
        <v>#VALUE!</v>
      </c>
      <c r="AN200" s="11">
        <f>Исходн.данные.!$AJ200*Расчет2!AP200</f>
        <v>0</v>
      </c>
      <c r="AO200" s="25" t="str">
        <f>IF(Расчет!BF200=0,"X",Расчет!BF200)</f>
        <v>X</v>
      </c>
      <c r="AP200" s="25">
        <f>Расчет!BG200</f>
        <v>0</v>
      </c>
      <c r="AQ200" s="9">
        <f>IF(Расчет!BL200&lt;0,0,Расчет!BL200)</f>
        <v>0</v>
      </c>
      <c r="AR200" s="25">
        <f>IF(Расчет!BM200&lt;0,0,Расчет!BM200)</f>
        <v>0</v>
      </c>
      <c r="AS200" s="25">
        <f>IF(Расчет!BN200&lt;0,0,Расчет!BN200)</f>
        <v>0</v>
      </c>
      <c r="AT200" s="25">
        <f>Расчет!BY200</f>
        <v>0</v>
      </c>
      <c r="AU200" s="25">
        <f>Расчет!BZ200</f>
        <v>10</v>
      </c>
      <c r="AV200" s="25">
        <f>Расчет!CA200</f>
        <v>0</v>
      </c>
      <c r="AW200" s="25" t="str">
        <f>Расчет!CH200</f>
        <v>Аммофос 12:52:00</v>
      </c>
      <c r="AX200" s="25">
        <f>Расчет!DB200</f>
        <v>0</v>
      </c>
      <c r="AY200" s="25">
        <f>Расчет!DC200</f>
        <v>0</v>
      </c>
      <c r="AZ200" s="25">
        <f>Расчет!DG200</f>
        <v>0</v>
      </c>
      <c r="BA200" s="25">
        <f>Расчет!DH200</f>
        <v>0</v>
      </c>
      <c r="BB200" s="25">
        <f>Расчет!DI200</f>
        <v>0</v>
      </c>
      <c r="BC200" s="25" t="str">
        <f>Расчет!DR200</f>
        <v>Нет</v>
      </c>
      <c r="BD200" s="25">
        <f>Расчет!EB200</f>
        <v>0</v>
      </c>
      <c r="BE200" s="25">
        <f>Расчет!EF200</f>
        <v>0</v>
      </c>
      <c r="BF200" s="25" t="e">
        <f>Расчет!EI200</f>
        <v>#DIV/0!</v>
      </c>
      <c r="BG200" s="25" t="e">
        <f>Расчет!FA200</f>
        <v>#N/A</v>
      </c>
      <c r="BI200">
        <f>IF(Исходн.данные.!AH200=Исходн.данные.!$AC$4,0.6,1)</f>
        <v>1</v>
      </c>
      <c r="BJ200">
        <f>IF(Исходн.данные.!AH200=Исходн.данные.!$AC$4,0.8,IF(OR(Потребность!F200=Расчет2!$BI$10,Потребность!F200=Расчет2!$BI$7,Потребность!F200=Расчет2!$BK$14,Исходн.данные.!AI200=Исходн.данные.!$AI$11),1.3,1))</f>
        <v>1.3</v>
      </c>
      <c r="BK200">
        <f>IF(OR(Исходн.данные.!AH200=Исходн.данные.!$AD$7,Исходн.данные.!AH200=Исходн.данные.!$AD$8),0.75,1)</f>
        <v>1</v>
      </c>
    </row>
    <row r="201" spans="32:63" x14ac:dyDescent="0.2">
      <c r="AF201">
        <f>SUM(Исходн.данные.!AD201:AF201)</f>
        <v>0</v>
      </c>
      <c r="AG201" s="60">
        <f>SUM(Расчет!CI201:CK201)</f>
        <v>0.64</v>
      </c>
      <c r="AH201" s="60">
        <f>SUM(Расчет!DS201:DU201)</f>
        <v>0</v>
      </c>
      <c r="AI201" t="e">
        <f t="shared" si="4"/>
        <v>#N/A</v>
      </c>
      <c r="AJ201" t="e">
        <f t="shared" si="5"/>
        <v>#N/A</v>
      </c>
      <c r="AL201">
        <f>Потребность!G201*Потребность!H201</f>
        <v>0</v>
      </c>
      <c r="AM201" s="11" t="e">
        <f>Исходн.данные.!$AJ201*Расчет2!AO201</f>
        <v>#VALUE!</v>
      </c>
      <c r="AN201" s="11">
        <f>Исходн.данные.!$AJ201*Расчет2!AP201</f>
        <v>0</v>
      </c>
      <c r="AO201" s="25" t="str">
        <f>IF(Расчет!BF201=0,"X",Расчет!BF201)</f>
        <v>X</v>
      </c>
      <c r="AP201" s="25">
        <f>Расчет!BG201</f>
        <v>0</v>
      </c>
      <c r="AQ201" s="9">
        <f>IF(Расчет!BL201&lt;0,0,Расчет!BL201)</f>
        <v>0</v>
      </c>
      <c r="AR201" s="25">
        <f>IF(Расчет!BM201&lt;0,0,Расчет!BM201)</f>
        <v>0</v>
      </c>
      <c r="AS201" s="25">
        <f>IF(Расчет!BN201&lt;0,0,Расчет!BN201)</f>
        <v>0</v>
      </c>
      <c r="AT201" s="25">
        <f>Расчет!BY201</f>
        <v>0</v>
      </c>
      <c r="AU201" s="25">
        <f>Расчет!BZ201</f>
        <v>10</v>
      </c>
      <c r="AV201" s="25">
        <f>Расчет!CA201</f>
        <v>0</v>
      </c>
      <c r="AW201" s="25" t="str">
        <f>Расчет!CH201</f>
        <v>Аммофос 12:52:00</v>
      </c>
      <c r="AX201" s="25">
        <f>Расчет!DB201</f>
        <v>0</v>
      </c>
      <c r="AY201" s="25">
        <f>Расчет!DC201</f>
        <v>0</v>
      </c>
      <c r="AZ201" s="25">
        <f>Расчет!DG201</f>
        <v>0</v>
      </c>
      <c r="BA201" s="25">
        <f>Расчет!DH201</f>
        <v>0</v>
      </c>
      <c r="BB201" s="25">
        <f>Расчет!DI201</f>
        <v>0</v>
      </c>
      <c r="BC201" s="25" t="str">
        <f>Расчет!DR201</f>
        <v>Нет</v>
      </c>
      <c r="BD201" s="25">
        <f>Расчет!EB201</f>
        <v>0</v>
      </c>
      <c r="BE201" s="25">
        <f>Расчет!EF201</f>
        <v>0</v>
      </c>
      <c r="BF201" s="25" t="e">
        <f>Расчет!EI201</f>
        <v>#DIV/0!</v>
      </c>
      <c r="BG201" s="25" t="e">
        <f>Расчет!FA201</f>
        <v>#N/A</v>
      </c>
      <c r="BI201">
        <f>IF(Исходн.данные.!AH201=Исходн.данные.!$AC$4,0.6,1)</f>
        <v>1</v>
      </c>
      <c r="BJ201">
        <f>IF(Исходн.данные.!AH201=Исходн.данные.!$AC$4,0.8,IF(OR(Потребность!F201=Расчет2!$BI$10,Потребность!F201=Расчет2!$BI$7,Потребность!F201=Расчет2!$BK$14,Исходн.данные.!AI201=Исходн.данные.!$AI$11),1.3,1))</f>
        <v>1.3</v>
      </c>
      <c r="BK201">
        <f>IF(OR(Исходн.данные.!AH201=Исходн.данные.!$AD$7,Исходн.данные.!AH201=Исходн.данные.!$AD$8),0.75,1)</f>
        <v>1</v>
      </c>
    </row>
    <row r="202" spans="32:63" x14ac:dyDescent="0.2">
      <c r="AF202">
        <f>SUM(Исходн.данные.!AD202:AF202)</f>
        <v>0</v>
      </c>
      <c r="AG202" s="60">
        <f>SUM(Расчет!CI202:CK202)</f>
        <v>0.64</v>
      </c>
      <c r="AH202" s="60">
        <f>SUM(Расчет!DS202:DU202)</f>
        <v>0</v>
      </c>
      <c r="AI202" t="e">
        <f t="shared" si="4"/>
        <v>#N/A</v>
      </c>
      <c r="AJ202" t="e">
        <f t="shared" si="5"/>
        <v>#N/A</v>
      </c>
      <c r="AL202">
        <f>Потребность!G202*Потребность!H202</f>
        <v>0</v>
      </c>
      <c r="AM202" s="11" t="e">
        <f>Исходн.данные.!$AJ202*Расчет2!AO202</f>
        <v>#VALUE!</v>
      </c>
      <c r="AN202" s="11">
        <f>Исходн.данные.!$AJ202*Расчет2!AP202</f>
        <v>0</v>
      </c>
      <c r="AO202" s="25" t="str">
        <f>IF(Расчет!BF202=0,"X",Расчет!BF202)</f>
        <v>X</v>
      </c>
      <c r="AP202" s="25">
        <f>Расчет!BG202</f>
        <v>0</v>
      </c>
      <c r="AQ202" s="9">
        <f>IF(Расчет!BL202&lt;0,0,Расчет!BL202)</f>
        <v>0</v>
      </c>
      <c r="AR202" s="25">
        <f>IF(Расчет!BM202&lt;0,0,Расчет!BM202)</f>
        <v>0</v>
      </c>
      <c r="AS202" s="25">
        <f>IF(Расчет!BN202&lt;0,0,Расчет!BN202)</f>
        <v>0</v>
      </c>
      <c r="AT202" s="25">
        <f>Расчет!BY202</f>
        <v>0</v>
      </c>
      <c r="AU202" s="25">
        <f>Расчет!BZ202</f>
        <v>10</v>
      </c>
      <c r="AV202" s="25">
        <f>Расчет!CA202</f>
        <v>0</v>
      </c>
      <c r="AW202" s="25" t="str">
        <f>Расчет!CH202</f>
        <v>Аммофос 12:52:00</v>
      </c>
      <c r="AX202" s="25">
        <f>Расчет!DB202</f>
        <v>0</v>
      </c>
      <c r="AY202" s="25">
        <f>Расчет!DC202</f>
        <v>0</v>
      </c>
      <c r="AZ202" s="25">
        <f>Расчет!DG202</f>
        <v>0</v>
      </c>
      <c r="BA202" s="25">
        <f>Расчет!DH202</f>
        <v>0</v>
      </c>
      <c r="BB202" s="25">
        <f>Расчет!DI202</f>
        <v>0</v>
      </c>
      <c r="BC202" s="25" t="str">
        <f>Расчет!DR202</f>
        <v>Нет</v>
      </c>
      <c r="BD202" s="25">
        <f>Расчет!EB202</f>
        <v>0</v>
      </c>
      <c r="BE202" s="25">
        <f>Расчет!EF202</f>
        <v>0</v>
      </c>
      <c r="BF202" s="25" t="e">
        <f>Расчет!EI202</f>
        <v>#DIV/0!</v>
      </c>
      <c r="BG202" s="25" t="e">
        <f>Расчет!FA202</f>
        <v>#N/A</v>
      </c>
      <c r="BI202">
        <f>IF(Исходн.данные.!AH202=Исходн.данные.!$AC$4,0.6,1)</f>
        <v>1</v>
      </c>
      <c r="BJ202">
        <f>IF(Исходн.данные.!AH202=Исходн.данные.!$AC$4,0.8,IF(OR(Потребность!F202=Расчет2!$BI$10,Потребность!F202=Расчет2!$BI$7,Потребность!F202=Расчет2!$BK$14,Исходн.данные.!AI202=Исходн.данные.!$AI$11),1.3,1))</f>
        <v>1.3</v>
      </c>
      <c r="BK202">
        <f>IF(OR(Исходн.данные.!AH202=Исходн.данные.!$AD$7,Исходн.данные.!AH202=Исходн.данные.!$AD$8),0.75,1)</f>
        <v>1</v>
      </c>
    </row>
    <row r="203" spans="32:63" x14ac:dyDescent="0.2">
      <c r="AF203">
        <f>SUM(Исходн.данные.!AD203:AF203)</f>
        <v>0</v>
      </c>
      <c r="AG203" s="60">
        <f>SUM(Расчет!CI203:CK203)</f>
        <v>0.64</v>
      </c>
      <c r="AH203" s="60">
        <f>SUM(Расчет!DS203:DU203)</f>
        <v>0</v>
      </c>
      <c r="AI203" t="e">
        <f t="shared" si="4"/>
        <v>#N/A</v>
      </c>
      <c r="AJ203" t="e">
        <f t="shared" si="5"/>
        <v>#N/A</v>
      </c>
      <c r="AL203">
        <f>Потребность!G203*Потребность!H203</f>
        <v>0</v>
      </c>
      <c r="AM203" s="11" t="e">
        <f>Исходн.данные.!$AJ203*Расчет2!AO203</f>
        <v>#VALUE!</v>
      </c>
      <c r="AN203" s="11">
        <f>Исходн.данные.!$AJ203*Расчет2!AP203</f>
        <v>0</v>
      </c>
      <c r="AO203" s="25" t="str">
        <f>IF(Расчет!BF203=0,"X",Расчет!BF203)</f>
        <v>X</v>
      </c>
      <c r="AP203" s="25">
        <f>Расчет!BG203</f>
        <v>0</v>
      </c>
      <c r="AQ203" s="9">
        <f>IF(Расчет!BL203&lt;0,0,Расчет!BL203)</f>
        <v>0</v>
      </c>
      <c r="AR203" s="25">
        <f>IF(Расчет!BM203&lt;0,0,Расчет!BM203)</f>
        <v>0</v>
      </c>
      <c r="AS203" s="25">
        <f>IF(Расчет!BN203&lt;0,0,Расчет!BN203)</f>
        <v>0</v>
      </c>
      <c r="AT203" s="25">
        <f>Расчет!BY203</f>
        <v>0</v>
      </c>
      <c r="AU203" s="25">
        <f>Расчет!BZ203</f>
        <v>10</v>
      </c>
      <c r="AV203" s="25">
        <f>Расчет!CA203</f>
        <v>0</v>
      </c>
      <c r="AW203" s="25" t="str">
        <f>Расчет!CH203</f>
        <v>Аммофос 12:52:00</v>
      </c>
      <c r="AX203" s="25">
        <f>Расчет!DB203</f>
        <v>0</v>
      </c>
      <c r="AY203" s="25">
        <f>Расчет!DC203</f>
        <v>0</v>
      </c>
      <c r="AZ203" s="25">
        <f>Расчет!DG203</f>
        <v>0</v>
      </c>
      <c r="BA203" s="25">
        <f>Расчет!DH203</f>
        <v>0</v>
      </c>
      <c r="BB203" s="25">
        <f>Расчет!DI203</f>
        <v>0</v>
      </c>
      <c r="BC203" s="25" t="str">
        <f>Расчет!DR203</f>
        <v>Нет</v>
      </c>
      <c r="BD203" s="25">
        <f>Расчет!EB203</f>
        <v>0</v>
      </c>
      <c r="BE203" s="25">
        <f>Расчет!EF203</f>
        <v>0</v>
      </c>
      <c r="BF203" s="25" t="e">
        <f>Расчет!EI203</f>
        <v>#DIV/0!</v>
      </c>
      <c r="BG203" s="25" t="e">
        <f>Расчет!FA203</f>
        <v>#N/A</v>
      </c>
      <c r="BI203">
        <f>IF(Исходн.данные.!AH203=Исходн.данные.!$AC$4,0.6,1)</f>
        <v>1</v>
      </c>
      <c r="BJ203">
        <f>IF(Исходн.данные.!AH203=Исходн.данные.!$AC$4,0.8,IF(OR(Потребность!F203=Расчет2!$BI$10,Потребность!F203=Расчет2!$BI$7,Потребность!F203=Расчет2!$BK$14,Исходн.данные.!AI203=Исходн.данные.!$AI$11),1.3,1))</f>
        <v>1.3</v>
      </c>
      <c r="BK203">
        <f>IF(OR(Исходн.данные.!AH203=Исходн.данные.!$AD$7,Исходн.данные.!AH203=Исходн.данные.!$AD$8),0.75,1)</f>
        <v>1</v>
      </c>
    </row>
    <row r="204" spans="32:63" x14ac:dyDescent="0.2">
      <c r="AF204">
        <f>SUM(Исходн.данные.!AD204:AF204)</f>
        <v>0</v>
      </c>
      <c r="AG204" s="60">
        <f>SUM(Расчет!CI204:CK204)</f>
        <v>0.64</v>
      </c>
      <c r="AH204" s="60">
        <f>SUM(Расчет!DS204:DU204)</f>
        <v>0</v>
      </c>
      <c r="AI204" t="e">
        <f t="shared" si="4"/>
        <v>#N/A</v>
      </c>
      <c r="AJ204" t="e">
        <f t="shared" si="5"/>
        <v>#N/A</v>
      </c>
      <c r="AL204">
        <f>Потребность!G204*Потребность!H204</f>
        <v>0</v>
      </c>
      <c r="AM204" s="11" t="e">
        <f>Исходн.данные.!$AJ204*Расчет2!AO204</f>
        <v>#VALUE!</v>
      </c>
      <c r="AN204" s="11">
        <f>Исходн.данные.!$AJ204*Расчет2!AP204</f>
        <v>0</v>
      </c>
      <c r="AO204" s="25" t="str">
        <f>IF(Расчет!BF204=0,"X",Расчет!BF204)</f>
        <v>X</v>
      </c>
      <c r="AP204" s="25">
        <f>Расчет!BG204</f>
        <v>0</v>
      </c>
      <c r="AQ204" s="9">
        <f>IF(Расчет!BL204&lt;0,0,Расчет!BL204)</f>
        <v>0</v>
      </c>
      <c r="AR204" s="25">
        <f>IF(Расчет!BM204&lt;0,0,Расчет!BM204)</f>
        <v>0</v>
      </c>
      <c r="AS204" s="25">
        <f>IF(Расчет!BN204&lt;0,0,Расчет!BN204)</f>
        <v>0</v>
      </c>
      <c r="AT204" s="25">
        <f>Расчет!BY204</f>
        <v>0</v>
      </c>
      <c r="AU204" s="25">
        <f>Расчет!BZ204</f>
        <v>10</v>
      </c>
      <c r="AV204" s="25">
        <f>Расчет!CA204</f>
        <v>0</v>
      </c>
      <c r="AW204" s="25" t="str">
        <f>Расчет!CH204</f>
        <v>Аммофос 12:52:00</v>
      </c>
      <c r="AX204" s="25">
        <f>Расчет!DB204</f>
        <v>0</v>
      </c>
      <c r="AY204" s="25">
        <f>Расчет!DC204</f>
        <v>0</v>
      </c>
      <c r="AZ204" s="25">
        <f>Расчет!DG204</f>
        <v>0</v>
      </c>
      <c r="BA204" s="25">
        <f>Расчет!DH204</f>
        <v>0</v>
      </c>
      <c r="BB204" s="25">
        <f>Расчет!DI204</f>
        <v>0</v>
      </c>
      <c r="BC204" s="25" t="str">
        <f>Расчет!DR204</f>
        <v>Нет</v>
      </c>
      <c r="BD204" s="25">
        <f>Расчет!EB204</f>
        <v>0</v>
      </c>
      <c r="BE204" s="25">
        <f>Расчет!EF204</f>
        <v>0</v>
      </c>
      <c r="BF204" s="25" t="e">
        <f>Расчет!EI204</f>
        <v>#DIV/0!</v>
      </c>
      <c r="BG204" s="25" t="e">
        <f>Расчет!FA204</f>
        <v>#N/A</v>
      </c>
      <c r="BI204">
        <f>IF(Исходн.данные.!AH204=Исходн.данные.!$AC$4,0.6,1)</f>
        <v>1</v>
      </c>
      <c r="BJ204">
        <f>IF(Исходн.данные.!AH204=Исходн.данные.!$AC$4,0.8,IF(OR(Потребность!F204=Расчет2!$BI$10,Потребность!F204=Расчет2!$BI$7,Потребность!F204=Расчет2!$BK$14,Исходн.данные.!AI204=Исходн.данные.!$AI$11),1.3,1))</f>
        <v>1.3</v>
      </c>
      <c r="BK204">
        <f>IF(OR(Исходн.данные.!AH204=Исходн.данные.!$AD$7,Исходн.данные.!AH204=Исходн.данные.!$AD$8),0.75,1)</f>
        <v>1</v>
      </c>
    </row>
    <row r="205" spans="32:63" x14ac:dyDescent="0.2">
      <c r="AF205">
        <f>SUM(Исходн.данные.!AD205:AF205)</f>
        <v>0</v>
      </c>
      <c r="AG205" s="60">
        <f>SUM(Расчет!CI205:CK205)</f>
        <v>0.64</v>
      </c>
      <c r="AH205" s="60">
        <f>SUM(Расчет!DS205:DU205)</f>
        <v>0</v>
      </c>
      <c r="AI205" t="e">
        <f t="shared" si="4"/>
        <v>#N/A</v>
      </c>
      <c r="AJ205" t="e">
        <f t="shared" si="5"/>
        <v>#N/A</v>
      </c>
      <c r="AL205">
        <f>Потребность!G205*Потребность!H205</f>
        <v>0</v>
      </c>
      <c r="AM205" s="11" t="e">
        <f>Исходн.данные.!$AJ205*Расчет2!AO205</f>
        <v>#VALUE!</v>
      </c>
      <c r="AN205" s="11">
        <f>Исходн.данные.!$AJ205*Расчет2!AP205</f>
        <v>0</v>
      </c>
      <c r="AO205" s="25" t="str">
        <f>IF(Расчет!BF205=0,"X",Расчет!BF205)</f>
        <v>X</v>
      </c>
      <c r="AP205" s="25">
        <f>Расчет!BG205</f>
        <v>0</v>
      </c>
      <c r="AQ205" s="9">
        <f>IF(Расчет!BL205&lt;0,0,Расчет!BL205)</f>
        <v>0</v>
      </c>
      <c r="AR205" s="25">
        <f>IF(Расчет!BM205&lt;0,0,Расчет!BM205)</f>
        <v>0</v>
      </c>
      <c r="AS205" s="25">
        <f>IF(Расчет!BN205&lt;0,0,Расчет!BN205)</f>
        <v>0</v>
      </c>
      <c r="AT205" s="25">
        <f>Расчет!BY205</f>
        <v>0</v>
      </c>
      <c r="AU205" s="25">
        <f>Расчет!BZ205</f>
        <v>10</v>
      </c>
      <c r="AV205" s="25">
        <f>Расчет!CA205</f>
        <v>0</v>
      </c>
      <c r="AW205" s="25" t="str">
        <f>Расчет!CH205</f>
        <v>Аммофос 12:52:00</v>
      </c>
      <c r="AX205" s="25">
        <f>Расчет!DB205</f>
        <v>0</v>
      </c>
      <c r="AY205" s="25">
        <f>Расчет!DC205</f>
        <v>0</v>
      </c>
      <c r="AZ205" s="25">
        <f>Расчет!DG205</f>
        <v>0</v>
      </c>
      <c r="BA205" s="25">
        <f>Расчет!DH205</f>
        <v>0</v>
      </c>
      <c r="BB205" s="25">
        <f>Расчет!DI205</f>
        <v>0</v>
      </c>
      <c r="BC205" s="25" t="str">
        <f>Расчет!DR205</f>
        <v>Нет</v>
      </c>
      <c r="BD205" s="25">
        <f>Расчет!EB205</f>
        <v>0</v>
      </c>
      <c r="BE205" s="25">
        <f>Расчет!EF205</f>
        <v>0</v>
      </c>
      <c r="BF205" s="25" t="e">
        <f>Расчет!EI205</f>
        <v>#DIV/0!</v>
      </c>
      <c r="BG205" s="25" t="e">
        <f>Расчет!FA205</f>
        <v>#N/A</v>
      </c>
      <c r="BI205">
        <f>IF(Исходн.данные.!AH205=Исходн.данные.!$AC$4,0.6,1)</f>
        <v>1</v>
      </c>
      <c r="BJ205">
        <f>IF(Исходн.данные.!AH205=Исходн.данные.!$AC$4,0.8,IF(OR(Потребность!F205=Расчет2!$BI$10,Потребность!F205=Расчет2!$BI$7,Потребность!F205=Расчет2!$BK$14,Исходн.данные.!AI205=Исходн.данные.!$AI$11),1.3,1))</f>
        <v>1.3</v>
      </c>
      <c r="BK205">
        <f>IF(OR(Исходн.данные.!AH205=Исходн.данные.!$AD$7,Исходн.данные.!AH205=Исходн.данные.!$AD$8),0.75,1)</f>
        <v>1</v>
      </c>
    </row>
    <row r="206" spans="32:63" x14ac:dyDescent="0.2">
      <c r="AF206">
        <f>SUM(Исходн.данные.!AD206:AF206)</f>
        <v>0</v>
      </c>
      <c r="AG206" s="60">
        <f>SUM(Расчет!CI206:CK206)</f>
        <v>0.64</v>
      </c>
      <c r="AH206" s="60">
        <f>SUM(Расчет!DS206:DU206)</f>
        <v>0</v>
      </c>
      <c r="AI206" t="e">
        <f t="shared" si="4"/>
        <v>#N/A</v>
      </c>
      <c r="AJ206" t="e">
        <f t="shared" si="5"/>
        <v>#N/A</v>
      </c>
      <c r="AL206">
        <f>Потребность!G206*Потребность!H206</f>
        <v>0</v>
      </c>
      <c r="AM206" s="11" t="e">
        <f>Исходн.данные.!$AJ206*Расчет2!AO206</f>
        <v>#VALUE!</v>
      </c>
      <c r="AN206" s="11">
        <f>Исходн.данные.!$AJ206*Расчет2!AP206</f>
        <v>0</v>
      </c>
      <c r="AO206" s="25" t="str">
        <f>IF(Расчет!BF206=0,"X",Расчет!BF206)</f>
        <v>X</v>
      </c>
      <c r="AP206" s="25">
        <f>Расчет!BG206</f>
        <v>0</v>
      </c>
      <c r="AQ206" s="9">
        <f>IF(Расчет!BL206&lt;0,0,Расчет!BL206)</f>
        <v>0</v>
      </c>
      <c r="AR206" s="25">
        <f>IF(Расчет!BM206&lt;0,0,Расчет!BM206)</f>
        <v>0</v>
      </c>
      <c r="AS206" s="25">
        <f>IF(Расчет!BN206&lt;0,0,Расчет!BN206)</f>
        <v>0</v>
      </c>
      <c r="AT206" s="25">
        <f>Расчет!BY206</f>
        <v>0</v>
      </c>
      <c r="AU206" s="25">
        <f>Расчет!BZ206</f>
        <v>10</v>
      </c>
      <c r="AV206" s="25">
        <f>Расчет!CA206</f>
        <v>0</v>
      </c>
      <c r="AW206" s="25" t="str">
        <f>Расчет!CH206</f>
        <v>Аммофос 12:52:00</v>
      </c>
      <c r="AX206" s="25">
        <f>Расчет!DB206</f>
        <v>0</v>
      </c>
      <c r="AY206" s="25">
        <f>Расчет!DC206</f>
        <v>0</v>
      </c>
      <c r="AZ206" s="25">
        <f>Расчет!DG206</f>
        <v>0</v>
      </c>
      <c r="BA206" s="25">
        <f>Расчет!DH206</f>
        <v>0</v>
      </c>
      <c r="BB206" s="25">
        <f>Расчет!DI206</f>
        <v>0</v>
      </c>
      <c r="BC206" s="25" t="str">
        <f>Расчет!DR206</f>
        <v>Нет</v>
      </c>
      <c r="BD206" s="25">
        <f>Расчет!EB206</f>
        <v>0</v>
      </c>
      <c r="BE206" s="25">
        <f>Расчет!EF206</f>
        <v>0</v>
      </c>
      <c r="BF206" s="25" t="e">
        <f>Расчет!EI206</f>
        <v>#DIV/0!</v>
      </c>
      <c r="BG206" s="25" t="e">
        <f>Расчет!FA206</f>
        <v>#N/A</v>
      </c>
      <c r="BI206">
        <f>IF(Исходн.данные.!AH206=Исходн.данные.!$AC$4,0.6,1)</f>
        <v>1</v>
      </c>
      <c r="BJ206">
        <f>IF(Исходн.данные.!AH206=Исходн.данные.!$AC$4,0.8,IF(OR(Потребность!F206=Расчет2!$BI$10,Потребность!F206=Расчет2!$BI$7,Потребность!F206=Расчет2!$BK$14,Исходн.данные.!AI206=Исходн.данные.!$AI$11),1.3,1))</f>
        <v>1.3</v>
      </c>
      <c r="BK206">
        <f>IF(OR(Исходн.данные.!AH206=Исходн.данные.!$AD$7,Исходн.данные.!AH206=Исходн.данные.!$AD$8),0.75,1)</f>
        <v>1</v>
      </c>
    </row>
    <row r="207" spans="32:63" x14ac:dyDescent="0.2">
      <c r="AF207">
        <f>SUM(Исходн.данные.!AD207:AF207)</f>
        <v>0</v>
      </c>
      <c r="AG207" s="60">
        <f>SUM(Расчет!CI207:CK207)</f>
        <v>0.64</v>
      </c>
      <c r="AH207" s="60">
        <f>SUM(Расчет!DS207:DU207)</f>
        <v>0</v>
      </c>
      <c r="AI207" t="e">
        <f t="shared" si="4"/>
        <v>#N/A</v>
      </c>
      <c r="AJ207" t="e">
        <f t="shared" si="5"/>
        <v>#N/A</v>
      </c>
      <c r="AL207">
        <f>Потребность!G207*Потребность!H207</f>
        <v>0</v>
      </c>
      <c r="AM207" s="11" t="e">
        <f>Исходн.данные.!$AJ207*Расчет2!AO207</f>
        <v>#VALUE!</v>
      </c>
      <c r="AN207" s="11">
        <f>Исходн.данные.!$AJ207*Расчет2!AP207</f>
        <v>0</v>
      </c>
      <c r="AO207" s="25" t="str">
        <f>IF(Расчет!BF207=0,"X",Расчет!BF207)</f>
        <v>X</v>
      </c>
      <c r="AP207" s="25">
        <f>Расчет!BG207</f>
        <v>0</v>
      </c>
      <c r="AQ207" s="9">
        <f>IF(Расчет!BL207&lt;0,0,Расчет!BL207)</f>
        <v>0</v>
      </c>
      <c r="AR207" s="25">
        <f>IF(Расчет!BM207&lt;0,0,Расчет!BM207)</f>
        <v>0</v>
      </c>
      <c r="AS207" s="25">
        <f>IF(Расчет!BN207&lt;0,0,Расчет!BN207)</f>
        <v>0</v>
      </c>
      <c r="AT207" s="25">
        <f>Расчет!BY207</f>
        <v>0</v>
      </c>
      <c r="AU207" s="25">
        <f>Расчет!BZ207</f>
        <v>10</v>
      </c>
      <c r="AV207" s="25">
        <f>Расчет!CA207</f>
        <v>0</v>
      </c>
      <c r="AW207" s="25" t="str">
        <f>Расчет!CH207</f>
        <v>Аммофос 12:52:00</v>
      </c>
      <c r="AX207" s="25">
        <f>Расчет!DB207</f>
        <v>0</v>
      </c>
      <c r="AY207" s="25">
        <f>Расчет!DC207</f>
        <v>0</v>
      </c>
      <c r="AZ207" s="25">
        <f>Расчет!DG207</f>
        <v>0</v>
      </c>
      <c r="BA207" s="25">
        <f>Расчет!DH207</f>
        <v>0</v>
      </c>
      <c r="BB207" s="25">
        <f>Расчет!DI207</f>
        <v>0</v>
      </c>
      <c r="BC207" s="25" t="str">
        <f>Расчет!DR207</f>
        <v>Нет</v>
      </c>
      <c r="BD207" s="25">
        <f>Расчет!EB207</f>
        <v>0</v>
      </c>
      <c r="BE207" s="25">
        <f>Расчет!EF207</f>
        <v>0</v>
      </c>
      <c r="BF207" s="25" t="e">
        <f>Расчет!EI207</f>
        <v>#DIV/0!</v>
      </c>
      <c r="BG207" s="25" t="e">
        <f>Расчет!FA207</f>
        <v>#N/A</v>
      </c>
      <c r="BI207">
        <f>IF(Исходн.данные.!AH207=Исходн.данные.!$AC$4,0.6,1)</f>
        <v>1</v>
      </c>
      <c r="BJ207">
        <f>IF(Исходн.данные.!AH207=Исходн.данные.!$AC$4,0.8,IF(OR(Потребность!F207=Расчет2!$BI$10,Потребность!F207=Расчет2!$BI$7,Потребность!F207=Расчет2!$BK$14,Исходн.данные.!AI207=Исходн.данные.!$AI$11),1.3,1))</f>
        <v>1.3</v>
      </c>
      <c r="BK207">
        <f>IF(OR(Исходн.данные.!AH207=Исходн.данные.!$AD$7,Исходн.данные.!AH207=Исходн.данные.!$AD$8),0.75,1)</f>
        <v>1</v>
      </c>
    </row>
    <row r="208" spans="32:63" x14ac:dyDescent="0.2">
      <c r="AF208">
        <f>SUM(Исходн.данные.!AD208:AF208)</f>
        <v>0</v>
      </c>
      <c r="AG208" s="60">
        <f>SUM(Расчет!CI208:CK208)</f>
        <v>0.64</v>
      </c>
      <c r="AH208" s="60">
        <f>SUM(Расчет!DS208:DU208)</f>
        <v>0</v>
      </c>
      <c r="AI208" t="e">
        <f t="shared" si="4"/>
        <v>#N/A</v>
      </c>
      <c r="AJ208" t="e">
        <f t="shared" si="5"/>
        <v>#N/A</v>
      </c>
      <c r="AL208">
        <f>Потребность!G208*Потребность!H208</f>
        <v>0</v>
      </c>
      <c r="AM208" s="11" t="e">
        <f>Исходн.данные.!$AJ208*Расчет2!AO208</f>
        <v>#VALUE!</v>
      </c>
      <c r="AN208" s="11">
        <f>Исходн.данные.!$AJ208*Расчет2!AP208</f>
        <v>0</v>
      </c>
      <c r="AO208" s="25" t="str">
        <f>IF(Расчет!BF208=0,"X",Расчет!BF208)</f>
        <v>X</v>
      </c>
      <c r="AP208" s="25">
        <f>Расчет!BG208</f>
        <v>0</v>
      </c>
      <c r="AQ208" s="9">
        <f>IF(Расчет!BL208&lt;0,0,Расчет!BL208)</f>
        <v>0</v>
      </c>
      <c r="AR208" s="25">
        <f>IF(Расчет!BM208&lt;0,0,Расчет!BM208)</f>
        <v>0</v>
      </c>
      <c r="AS208" s="25">
        <f>IF(Расчет!BN208&lt;0,0,Расчет!BN208)</f>
        <v>0</v>
      </c>
      <c r="AT208" s="25">
        <f>Расчет!BY208</f>
        <v>0</v>
      </c>
      <c r="AU208" s="25">
        <f>Расчет!BZ208</f>
        <v>10</v>
      </c>
      <c r="AV208" s="25">
        <f>Расчет!CA208</f>
        <v>0</v>
      </c>
      <c r="AW208" s="25" t="str">
        <f>Расчет!CH208</f>
        <v>Аммофос 12:52:00</v>
      </c>
      <c r="AX208" s="25">
        <f>Расчет!DB208</f>
        <v>0</v>
      </c>
      <c r="AY208" s="25">
        <f>Расчет!DC208</f>
        <v>0</v>
      </c>
      <c r="AZ208" s="25">
        <f>Расчет!DG208</f>
        <v>0</v>
      </c>
      <c r="BA208" s="25">
        <f>Расчет!DH208</f>
        <v>0</v>
      </c>
      <c r="BB208" s="25">
        <f>Расчет!DI208</f>
        <v>0</v>
      </c>
      <c r="BC208" s="25" t="str">
        <f>Расчет!DR208</f>
        <v>Нет</v>
      </c>
      <c r="BD208" s="25">
        <f>Расчет!EB208</f>
        <v>0</v>
      </c>
      <c r="BE208" s="25">
        <f>Расчет!EF208</f>
        <v>0</v>
      </c>
      <c r="BF208" s="25" t="e">
        <f>Расчет!EI208</f>
        <v>#DIV/0!</v>
      </c>
      <c r="BG208" s="25" t="e">
        <f>Расчет!FA208</f>
        <v>#N/A</v>
      </c>
      <c r="BI208">
        <f>IF(Исходн.данные.!AH208=Исходн.данные.!$AC$4,0.6,1)</f>
        <v>1</v>
      </c>
      <c r="BJ208">
        <f>IF(Исходн.данные.!AH208=Исходн.данные.!$AC$4,0.8,IF(OR(Потребность!F208=Расчет2!$BI$10,Потребность!F208=Расчет2!$BI$7,Потребность!F208=Расчет2!$BK$14,Исходн.данные.!AI208=Исходн.данные.!$AI$11),1.3,1))</f>
        <v>1.3</v>
      </c>
      <c r="BK208">
        <f>IF(OR(Исходн.данные.!AH208=Исходн.данные.!$AD$7,Исходн.данные.!AH208=Исходн.данные.!$AD$8),0.75,1)</f>
        <v>1</v>
      </c>
    </row>
    <row r="209" spans="32:63" x14ac:dyDescent="0.2">
      <c r="AF209">
        <f>SUM(Исходн.данные.!AD209:AF209)</f>
        <v>0</v>
      </c>
      <c r="AG209" s="60">
        <f>SUM(Расчет!CI209:CK209)</f>
        <v>0.64</v>
      </c>
      <c r="AH209" s="60">
        <f>SUM(Расчет!DS209:DU209)</f>
        <v>0</v>
      </c>
      <c r="AI209" t="e">
        <f t="shared" si="4"/>
        <v>#N/A</v>
      </c>
      <c r="AJ209" t="e">
        <f t="shared" si="5"/>
        <v>#N/A</v>
      </c>
      <c r="AL209">
        <f>Потребность!G209*Потребность!H209</f>
        <v>0</v>
      </c>
      <c r="AM209" s="11" t="e">
        <f>Исходн.данные.!$AJ209*Расчет2!AO209</f>
        <v>#VALUE!</v>
      </c>
      <c r="AN209" s="11">
        <f>Исходн.данные.!$AJ209*Расчет2!AP209</f>
        <v>0</v>
      </c>
      <c r="AO209" s="25" t="str">
        <f>IF(Расчет!BF209=0,"X",Расчет!BF209)</f>
        <v>X</v>
      </c>
      <c r="AP209" s="25">
        <f>Расчет!BG209</f>
        <v>0</v>
      </c>
      <c r="AQ209" s="9">
        <f>IF(Расчет!BL209&lt;0,0,Расчет!BL209)</f>
        <v>0</v>
      </c>
      <c r="AR209" s="25">
        <f>IF(Расчет!BM209&lt;0,0,Расчет!BM209)</f>
        <v>0</v>
      </c>
      <c r="AS209" s="25">
        <f>IF(Расчет!BN209&lt;0,0,Расчет!BN209)</f>
        <v>0</v>
      </c>
      <c r="AT209" s="25">
        <f>Расчет!BY209</f>
        <v>0</v>
      </c>
      <c r="AU209" s="25">
        <f>Расчет!BZ209</f>
        <v>10</v>
      </c>
      <c r="AV209" s="25">
        <f>Расчет!CA209</f>
        <v>0</v>
      </c>
      <c r="AW209" s="25" t="str">
        <f>Расчет!CH209</f>
        <v>Аммофос 12:52:00</v>
      </c>
      <c r="AX209" s="25">
        <f>Расчет!DB209</f>
        <v>0</v>
      </c>
      <c r="AY209" s="25">
        <f>Расчет!DC209</f>
        <v>0</v>
      </c>
      <c r="AZ209" s="25">
        <f>Расчет!DG209</f>
        <v>0</v>
      </c>
      <c r="BA209" s="25">
        <f>Расчет!DH209</f>
        <v>0</v>
      </c>
      <c r="BB209" s="25">
        <f>Расчет!DI209</f>
        <v>0</v>
      </c>
      <c r="BC209" s="25" t="str">
        <f>Расчет!DR209</f>
        <v>Нет</v>
      </c>
      <c r="BD209" s="25">
        <f>Расчет!EB209</f>
        <v>0</v>
      </c>
      <c r="BE209" s="25">
        <f>Расчет!EF209</f>
        <v>0</v>
      </c>
      <c r="BF209" s="25" t="e">
        <f>Расчет!EI209</f>
        <v>#DIV/0!</v>
      </c>
      <c r="BG209" s="25" t="e">
        <f>Расчет!FA209</f>
        <v>#N/A</v>
      </c>
      <c r="BI209">
        <f>IF(Исходн.данные.!AH209=Исходн.данные.!$AC$4,0.6,1)</f>
        <v>1</v>
      </c>
      <c r="BJ209">
        <f>IF(Исходн.данные.!AH209=Исходн.данные.!$AC$4,0.8,IF(OR(Потребность!F209=Расчет2!$BI$10,Потребность!F209=Расчет2!$BI$7,Потребность!F209=Расчет2!$BK$14,Исходн.данные.!AI209=Исходн.данные.!$AI$11),1.3,1))</f>
        <v>1.3</v>
      </c>
      <c r="BK209">
        <f>IF(OR(Исходн.данные.!AH209=Исходн.данные.!$AD$7,Исходн.данные.!AH209=Исходн.данные.!$AD$8),0.75,1)</f>
        <v>1</v>
      </c>
    </row>
    <row r="210" spans="32:63" x14ac:dyDescent="0.2">
      <c r="AF210">
        <f>SUM(Исходн.данные.!AD210:AF210)</f>
        <v>0</v>
      </c>
      <c r="AG210" s="60">
        <f>SUM(Расчет!CI210:CK210)</f>
        <v>0.64</v>
      </c>
      <c r="AH210" s="60">
        <f>SUM(Расчет!DS210:DU210)</f>
        <v>0</v>
      </c>
      <c r="AI210" t="e">
        <f t="shared" si="4"/>
        <v>#N/A</v>
      </c>
      <c r="AJ210" t="e">
        <f t="shared" si="5"/>
        <v>#N/A</v>
      </c>
      <c r="AL210">
        <f>Потребность!G210*Потребность!H210</f>
        <v>0</v>
      </c>
      <c r="AM210" s="11" t="e">
        <f>Исходн.данные.!$AJ210*Расчет2!AO210</f>
        <v>#VALUE!</v>
      </c>
      <c r="AN210" s="11">
        <f>Исходн.данные.!$AJ210*Расчет2!AP210</f>
        <v>0</v>
      </c>
      <c r="AO210" s="25" t="str">
        <f>IF(Расчет!BF210=0,"X",Расчет!BF210)</f>
        <v>X</v>
      </c>
      <c r="AP210" s="25">
        <f>Расчет!BG210</f>
        <v>0</v>
      </c>
      <c r="AQ210" s="9">
        <f>IF(Расчет!BL210&lt;0,0,Расчет!BL210)</f>
        <v>0</v>
      </c>
      <c r="AR210" s="25">
        <f>IF(Расчет!BM210&lt;0,0,Расчет!BM210)</f>
        <v>0</v>
      </c>
      <c r="AS210" s="25">
        <f>IF(Расчет!BN210&lt;0,0,Расчет!BN210)</f>
        <v>0</v>
      </c>
      <c r="AT210" s="25">
        <f>Расчет!BY210</f>
        <v>0</v>
      </c>
      <c r="AU210" s="25">
        <f>Расчет!BZ210</f>
        <v>10</v>
      </c>
      <c r="AV210" s="25">
        <f>Расчет!CA210</f>
        <v>0</v>
      </c>
      <c r="AW210" s="25" t="str">
        <f>Расчет!CH210</f>
        <v>Аммофос 12:52:00</v>
      </c>
      <c r="AX210" s="25">
        <f>Расчет!DB210</f>
        <v>0</v>
      </c>
      <c r="AY210" s="25">
        <f>Расчет!DC210</f>
        <v>0</v>
      </c>
      <c r="AZ210" s="25">
        <f>Расчет!DG210</f>
        <v>0</v>
      </c>
      <c r="BA210" s="25">
        <f>Расчет!DH210</f>
        <v>0</v>
      </c>
      <c r="BB210" s="25">
        <f>Расчет!DI210</f>
        <v>0</v>
      </c>
      <c r="BC210" s="25" t="str">
        <f>Расчет!DR210</f>
        <v>Нет</v>
      </c>
      <c r="BD210" s="25">
        <f>Расчет!EB210</f>
        <v>0</v>
      </c>
      <c r="BE210" s="25">
        <f>Расчет!EF210</f>
        <v>0</v>
      </c>
      <c r="BF210" s="25" t="e">
        <f>Расчет!EI210</f>
        <v>#DIV/0!</v>
      </c>
      <c r="BG210" s="25" t="e">
        <f>Расчет!FA210</f>
        <v>#N/A</v>
      </c>
      <c r="BI210">
        <f>IF(Исходн.данные.!AH210=Исходн.данные.!$AC$4,0.6,1)</f>
        <v>1</v>
      </c>
      <c r="BJ210">
        <f>IF(Исходн.данные.!AH210=Исходн.данные.!$AC$4,0.8,IF(OR(Потребность!F210=Расчет2!$BI$10,Потребность!F210=Расчет2!$BI$7,Потребность!F210=Расчет2!$BK$14,Исходн.данные.!AI210=Исходн.данные.!$AI$11),1.3,1))</f>
        <v>1.3</v>
      </c>
      <c r="BK210">
        <f>IF(OR(Исходн.данные.!AH210=Исходн.данные.!$AD$7,Исходн.данные.!AH210=Исходн.данные.!$AD$8),0.75,1)</f>
        <v>1</v>
      </c>
    </row>
    <row r="211" spans="32:63" x14ac:dyDescent="0.2">
      <c r="AF211">
        <f>SUM(Исходн.данные.!AD211:AF211)</f>
        <v>0</v>
      </c>
      <c r="AG211" s="60">
        <f>SUM(Расчет!CI211:CK211)</f>
        <v>0.64</v>
      </c>
      <c r="AH211" s="60">
        <f>SUM(Расчет!DS211:DU211)</f>
        <v>0</v>
      </c>
      <c r="AI211" t="e">
        <f t="shared" si="4"/>
        <v>#N/A</v>
      </c>
      <c r="AJ211" t="e">
        <f t="shared" si="5"/>
        <v>#N/A</v>
      </c>
      <c r="AL211">
        <f>Потребность!G211*Потребность!H211</f>
        <v>0</v>
      </c>
      <c r="AM211" s="11" t="e">
        <f>Исходн.данные.!$AJ211*Расчет2!AO211</f>
        <v>#VALUE!</v>
      </c>
      <c r="AN211" s="11">
        <f>Исходн.данные.!$AJ211*Расчет2!AP211</f>
        <v>0</v>
      </c>
      <c r="AO211" s="25" t="str">
        <f>IF(Расчет!BF211=0,"X",Расчет!BF211)</f>
        <v>X</v>
      </c>
      <c r="AP211" s="25">
        <f>Расчет!BG211</f>
        <v>0</v>
      </c>
      <c r="AQ211" s="9">
        <f>IF(Расчет!BL211&lt;0,0,Расчет!BL211)</f>
        <v>0</v>
      </c>
      <c r="AR211" s="25">
        <f>IF(Расчет!BM211&lt;0,0,Расчет!BM211)</f>
        <v>0</v>
      </c>
      <c r="AS211" s="25">
        <f>IF(Расчет!BN211&lt;0,0,Расчет!BN211)</f>
        <v>0</v>
      </c>
      <c r="AT211" s="25">
        <f>Расчет!BY211</f>
        <v>0</v>
      </c>
      <c r="AU211" s="25">
        <f>Расчет!BZ211</f>
        <v>10</v>
      </c>
      <c r="AV211" s="25">
        <f>Расчет!CA211</f>
        <v>0</v>
      </c>
      <c r="AW211" s="25" t="str">
        <f>Расчет!CH211</f>
        <v>Аммофос 12:52:00</v>
      </c>
      <c r="AX211" s="25">
        <f>Расчет!DB211</f>
        <v>0</v>
      </c>
      <c r="AY211" s="25">
        <f>Расчет!DC211</f>
        <v>0</v>
      </c>
      <c r="AZ211" s="25">
        <f>Расчет!DG211</f>
        <v>0</v>
      </c>
      <c r="BA211" s="25">
        <f>Расчет!DH211</f>
        <v>0</v>
      </c>
      <c r="BB211" s="25">
        <f>Расчет!DI211</f>
        <v>0</v>
      </c>
      <c r="BC211" s="25" t="str">
        <f>Расчет!DR211</f>
        <v>Нет</v>
      </c>
      <c r="BD211" s="25">
        <f>Расчет!EB211</f>
        <v>0</v>
      </c>
      <c r="BE211" s="25">
        <f>Расчет!EF211</f>
        <v>0</v>
      </c>
      <c r="BF211" s="25" t="e">
        <f>Расчет!EI211</f>
        <v>#DIV/0!</v>
      </c>
      <c r="BG211" s="25" t="e">
        <f>Расчет!FA211</f>
        <v>#N/A</v>
      </c>
      <c r="BI211">
        <f>IF(Исходн.данные.!AH211=Исходн.данные.!$AC$4,0.6,1)</f>
        <v>1</v>
      </c>
      <c r="BJ211">
        <f>IF(Исходн.данные.!AH211=Исходн.данные.!$AC$4,0.8,IF(OR(Потребность!F211=Расчет2!$BI$10,Потребность!F211=Расчет2!$BI$7,Потребность!F211=Расчет2!$BK$14,Исходн.данные.!AI211=Исходн.данные.!$AI$11),1.3,1))</f>
        <v>1.3</v>
      </c>
      <c r="BK211">
        <f>IF(OR(Исходн.данные.!AH211=Исходн.данные.!$AD$7,Исходн.данные.!AH211=Исходн.данные.!$AD$8),0.75,1)</f>
        <v>1</v>
      </c>
    </row>
    <row r="212" spans="32:63" x14ac:dyDescent="0.2">
      <c r="AF212">
        <f>SUM(Исходн.данные.!AD212:AF212)</f>
        <v>0</v>
      </c>
      <c r="AG212" s="60">
        <f>SUM(Расчет!CI212:CK212)</f>
        <v>0.64</v>
      </c>
      <c r="AH212" s="60">
        <f>SUM(Расчет!DS212:DU212)</f>
        <v>0</v>
      </c>
      <c r="AI212" t="e">
        <f t="shared" si="4"/>
        <v>#N/A</v>
      </c>
      <c r="AJ212" t="e">
        <f t="shared" si="5"/>
        <v>#N/A</v>
      </c>
      <c r="AL212">
        <f>Потребность!G212*Потребность!H212</f>
        <v>0</v>
      </c>
      <c r="AM212" s="11" t="e">
        <f>Исходн.данные.!$AJ212*Расчет2!AO212</f>
        <v>#VALUE!</v>
      </c>
      <c r="AN212" s="11">
        <f>Исходн.данные.!$AJ212*Расчет2!AP212</f>
        <v>0</v>
      </c>
      <c r="AO212" s="25" t="str">
        <f>IF(Расчет!BF212=0,"X",Расчет!BF212)</f>
        <v>X</v>
      </c>
      <c r="AP212" s="25">
        <f>Расчет!BG212</f>
        <v>0</v>
      </c>
      <c r="AQ212" s="9">
        <f>IF(Расчет!BL212&lt;0,0,Расчет!BL212)</f>
        <v>0</v>
      </c>
      <c r="AR212" s="25">
        <f>IF(Расчет!BM212&lt;0,0,Расчет!BM212)</f>
        <v>0</v>
      </c>
      <c r="AS212" s="25">
        <f>IF(Расчет!BN212&lt;0,0,Расчет!BN212)</f>
        <v>0</v>
      </c>
      <c r="AT212" s="25">
        <f>Расчет!BY212</f>
        <v>0</v>
      </c>
      <c r="AU212" s="25">
        <f>Расчет!BZ212</f>
        <v>10</v>
      </c>
      <c r="AV212" s="25">
        <f>Расчет!CA212</f>
        <v>0</v>
      </c>
      <c r="AW212" s="25" t="str">
        <f>Расчет!CH212</f>
        <v>Аммофос 12:52:00</v>
      </c>
      <c r="AX212" s="25">
        <f>Расчет!DB212</f>
        <v>0</v>
      </c>
      <c r="AY212" s="25">
        <f>Расчет!DC212</f>
        <v>0</v>
      </c>
      <c r="AZ212" s="25">
        <f>Расчет!DG212</f>
        <v>0</v>
      </c>
      <c r="BA212" s="25">
        <f>Расчет!DH212</f>
        <v>0</v>
      </c>
      <c r="BB212" s="25">
        <f>Расчет!DI212</f>
        <v>0</v>
      </c>
      <c r="BC212" s="25" t="str">
        <f>Расчет!DR212</f>
        <v>Нет</v>
      </c>
      <c r="BD212" s="25">
        <f>Расчет!EB212</f>
        <v>0</v>
      </c>
      <c r="BE212" s="25">
        <f>Расчет!EF212</f>
        <v>0</v>
      </c>
      <c r="BF212" s="25" t="e">
        <f>Расчет!EI212</f>
        <v>#DIV/0!</v>
      </c>
      <c r="BG212" s="25" t="e">
        <f>Расчет!FA212</f>
        <v>#N/A</v>
      </c>
      <c r="BI212">
        <f>IF(Исходн.данные.!AH212=Исходн.данные.!$AC$4,0.6,1)</f>
        <v>1</v>
      </c>
      <c r="BJ212">
        <f>IF(Исходн.данные.!AH212=Исходн.данные.!$AC$4,0.8,IF(OR(Потребность!F212=Расчет2!$BI$10,Потребность!F212=Расчет2!$BI$7,Потребность!F212=Расчет2!$BK$14,Исходн.данные.!AI212=Исходн.данные.!$AI$11),1.3,1))</f>
        <v>1.3</v>
      </c>
      <c r="BK212">
        <f>IF(OR(Исходн.данные.!AH212=Исходн.данные.!$AD$7,Исходн.данные.!AH212=Исходн.данные.!$AD$8),0.75,1)</f>
        <v>1</v>
      </c>
    </row>
    <row r="213" spans="32:63" x14ac:dyDescent="0.2">
      <c r="AF213">
        <f>SUM(Исходн.данные.!AD213:AF213)</f>
        <v>0</v>
      </c>
      <c r="AG213" s="60">
        <f>SUM(Расчет!CI213:CK213)</f>
        <v>0.64</v>
      </c>
      <c r="AH213" s="60">
        <f>SUM(Расчет!DS213:DU213)</f>
        <v>0</v>
      </c>
      <c r="AI213" t="e">
        <f t="shared" si="4"/>
        <v>#N/A</v>
      </c>
      <c r="AJ213" t="e">
        <f t="shared" si="5"/>
        <v>#N/A</v>
      </c>
      <c r="AL213">
        <f>Потребность!G213*Потребность!H213</f>
        <v>0</v>
      </c>
      <c r="AM213" s="11" t="e">
        <f>Исходн.данные.!$AJ213*Расчет2!AO213</f>
        <v>#VALUE!</v>
      </c>
      <c r="AN213" s="11">
        <f>Исходн.данные.!$AJ213*Расчет2!AP213</f>
        <v>0</v>
      </c>
      <c r="AO213" s="25" t="str">
        <f>IF(Расчет!BF213=0,"X",Расчет!BF213)</f>
        <v>X</v>
      </c>
      <c r="AP213" s="25">
        <f>Расчет!BG213</f>
        <v>0</v>
      </c>
      <c r="AQ213" s="9">
        <f>IF(Расчет!BL213&lt;0,0,Расчет!BL213)</f>
        <v>0</v>
      </c>
      <c r="AR213" s="25">
        <f>IF(Расчет!BM213&lt;0,0,Расчет!BM213)</f>
        <v>0</v>
      </c>
      <c r="AS213" s="25">
        <f>IF(Расчет!BN213&lt;0,0,Расчет!BN213)</f>
        <v>0</v>
      </c>
      <c r="AT213" s="25">
        <f>Расчет!BY213</f>
        <v>0</v>
      </c>
      <c r="AU213" s="25">
        <f>Расчет!BZ213</f>
        <v>10</v>
      </c>
      <c r="AV213" s="25">
        <f>Расчет!CA213</f>
        <v>0</v>
      </c>
      <c r="AW213" s="25" t="str">
        <f>Расчет!CH213</f>
        <v>Аммофос 12:52:00</v>
      </c>
      <c r="AX213" s="25">
        <f>Расчет!DB213</f>
        <v>0</v>
      </c>
      <c r="AY213" s="25">
        <f>Расчет!DC213</f>
        <v>0</v>
      </c>
      <c r="AZ213" s="25">
        <f>Расчет!DG213</f>
        <v>0</v>
      </c>
      <c r="BA213" s="25">
        <f>Расчет!DH213</f>
        <v>0</v>
      </c>
      <c r="BB213" s="25">
        <f>Расчет!DI213</f>
        <v>0</v>
      </c>
      <c r="BC213" s="25" t="str">
        <f>Расчет!DR213</f>
        <v>Нет</v>
      </c>
      <c r="BD213" s="25">
        <f>Расчет!EB213</f>
        <v>0</v>
      </c>
      <c r="BE213" s="25">
        <f>Расчет!EF213</f>
        <v>0</v>
      </c>
      <c r="BF213" s="25" t="e">
        <f>Расчет!EI213</f>
        <v>#DIV/0!</v>
      </c>
      <c r="BG213" s="25" t="e">
        <f>Расчет!FA213</f>
        <v>#N/A</v>
      </c>
      <c r="BI213">
        <f>IF(Исходн.данные.!AH213=Исходн.данные.!$AC$4,0.6,1)</f>
        <v>1</v>
      </c>
      <c r="BJ213">
        <f>IF(Исходн.данные.!AH213=Исходн.данные.!$AC$4,0.8,IF(OR(Потребность!F213=Расчет2!$BI$10,Потребность!F213=Расчет2!$BI$7,Потребность!F213=Расчет2!$BK$14,Исходн.данные.!AI213=Исходн.данные.!$AI$11),1.3,1))</f>
        <v>1.3</v>
      </c>
      <c r="BK213">
        <f>IF(OR(Исходн.данные.!AH213=Исходн.данные.!$AD$7,Исходн.данные.!AH213=Исходн.данные.!$AD$8),0.75,1)</f>
        <v>1</v>
      </c>
    </row>
    <row r="214" spans="32:63" x14ac:dyDescent="0.2">
      <c r="AF214">
        <f>SUM(Исходн.данные.!AD214:AF214)</f>
        <v>0</v>
      </c>
      <c r="AG214" s="60">
        <f>SUM(Расчет!CI214:CK214)</f>
        <v>0.64</v>
      </c>
      <c r="AH214" s="60">
        <f>SUM(Расчет!DS214:DU214)</f>
        <v>0</v>
      </c>
      <c r="AI214" t="e">
        <f t="shared" ref="AI214:AI277" si="6">VLOOKUP(МетОпрФос,ПопрКоМетАн,2,FALSE)</f>
        <v>#N/A</v>
      </c>
      <c r="AJ214" t="e">
        <f t="shared" ref="AJ214:AJ277" si="7">VLOOKUP(МетОпрКал,ПопрКоМетАн,3,FALSE)</f>
        <v>#N/A</v>
      </c>
      <c r="AL214">
        <f>Потребность!G214*Потребность!H214</f>
        <v>0</v>
      </c>
      <c r="AM214" s="11" t="e">
        <f>Исходн.данные.!$AJ214*Расчет2!AO214</f>
        <v>#VALUE!</v>
      </c>
      <c r="AN214" s="11">
        <f>Исходн.данные.!$AJ214*Расчет2!AP214</f>
        <v>0</v>
      </c>
      <c r="AO214" s="25" t="str">
        <f>IF(Расчет!BF214=0,"X",Расчет!BF214)</f>
        <v>X</v>
      </c>
      <c r="AP214" s="25">
        <f>Расчет!BG214</f>
        <v>0</v>
      </c>
      <c r="AQ214" s="9">
        <f>IF(Расчет!BL214&lt;0,0,Расчет!BL214)</f>
        <v>0</v>
      </c>
      <c r="AR214" s="25">
        <f>IF(Расчет!BM214&lt;0,0,Расчет!BM214)</f>
        <v>0</v>
      </c>
      <c r="AS214" s="25">
        <f>IF(Расчет!BN214&lt;0,0,Расчет!BN214)</f>
        <v>0</v>
      </c>
      <c r="AT214" s="25">
        <f>Расчет!BY214</f>
        <v>0</v>
      </c>
      <c r="AU214" s="25">
        <f>Расчет!BZ214</f>
        <v>10</v>
      </c>
      <c r="AV214" s="25">
        <f>Расчет!CA214</f>
        <v>0</v>
      </c>
      <c r="AW214" s="25" t="str">
        <f>Расчет!CH214</f>
        <v>Аммофос 12:52:00</v>
      </c>
      <c r="AX214" s="25">
        <f>Расчет!DB214</f>
        <v>0</v>
      </c>
      <c r="AY214" s="25">
        <f>Расчет!DC214</f>
        <v>0</v>
      </c>
      <c r="AZ214" s="25">
        <f>Расчет!DG214</f>
        <v>0</v>
      </c>
      <c r="BA214" s="25">
        <f>Расчет!DH214</f>
        <v>0</v>
      </c>
      <c r="BB214" s="25">
        <f>Расчет!DI214</f>
        <v>0</v>
      </c>
      <c r="BC214" s="25" t="str">
        <f>Расчет!DR214</f>
        <v>Нет</v>
      </c>
      <c r="BD214" s="25">
        <f>Расчет!EB214</f>
        <v>0</v>
      </c>
      <c r="BE214" s="25">
        <f>Расчет!EF214</f>
        <v>0</v>
      </c>
      <c r="BF214" s="25" t="e">
        <f>Расчет!EI214</f>
        <v>#DIV/0!</v>
      </c>
      <c r="BG214" s="25" t="e">
        <f>Расчет!FA214</f>
        <v>#N/A</v>
      </c>
      <c r="BI214">
        <f>IF(Исходн.данные.!AH214=Исходн.данные.!$AC$4,0.6,1)</f>
        <v>1</v>
      </c>
      <c r="BJ214">
        <f>IF(Исходн.данные.!AH214=Исходн.данные.!$AC$4,0.8,IF(OR(Потребность!F214=Расчет2!$BI$10,Потребность!F214=Расчет2!$BI$7,Потребность!F214=Расчет2!$BK$14,Исходн.данные.!AI214=Исходн.данные.!$AI$11),1.3,1))</f>
        <v>1.3</v>
      </c>
      <c r="BK214">
        <f>IF(OR(Исходн.данные.!AH214=Исходн.данные.!$AD$7,Исходн.данные.!AH214=Исходн.данные.!$AD$8),0.75,1)</f>
        <v>1</v>
      </c>
    </row>
    <row r="215" spans="32:63" x14ac:dyDescent="0.2">
      <c r="AF215">
        <f>SUM(Исходн.данные.!AD215:AF215)</f>
        <v>0</v>
      </c>
      <c r="AG215" s="60">
        <f>SUM(Расчет!CI215:CK215)</f>
        <v>0.64</v>
      </c>
      <c r="AH215" s="60">
        <f>SUM(Расчет!DS215:DU215)</f>
        <v>0</v>
      </c>
      <c r="AI215" t="e">
        <f t="shared" si="6"/>
        <v>#N/A</v>
      </c>
      <c r="AJ215" t="e">
        <f t="shared" si="7"/>
        <v>#N/A</v>
      </c>
      <c r="AL215">
        <f>Потребность!G215*Потребность!H215</f>
        <v>0</v>
      </c>
      <c r="AM215" s="11" t="e">
        <f>Исходн.данные.!$AJ215*Расчет2!AO215</f>
        <v>#VALUE!</v>
      </c>
      <c r="AN215" s="11">
        <f>Исходн.данные.!$AJ215*Расчет2!AP215</f>
        <v>0</v>
      </c>
      <c r="AO215" s="25" t="str">
        <f>IF(Расчет!BF215=0,"X",Расчет!BF215)</f>
        <v>X</v>
      </c>
      <c r="AP215" s="25">
        <f>Расчет!BG215</f>
        <v>0</v>
      </c>
      <c r="AQ215" s="9">
        <f>IF(Расчет!BL215&lt;0,0,Расчет!BL215)</f>
        <v>0</v>
      </c>
      <c r="AR215" s="25">
        <f>IF(Расчет!BM215&lt;0,0,Расчет!BM215)</f>
        <v>0</v>
      </c>
      <c r="AS215" s="25">
        <f>IF(Расчет!BN215&lt;0,0,Расчет!BN215)</f>
        <v>0</v>
      </c>
      <c r="AT215" s="25">
        <f>Расчет!BY215</f>
        <v>0</v>
      </c>
      <c r="AU215" s="25">
        <f>Расчет!BZ215</f>
        <v>10</v>
      </c>
      <c r="AV215" s="25">
        <f>Расчет!CA215</f>
        <v>0</v>
      </c>
      <c r="AW215" s="25" t="str">
        <f>Расчет!CH215</f>
        <v>Аммофос 12:52:00</v>
      </c>
      <c r="AX215" s="25">
        <f>Расчет!DB215</f>
        <v>0</v>
      </c>
      <c r="AY215" s="25">
        <f>Расчет!DC215</f>
        <v>0</v>
      </c>
      <c r="AZ215" s="25">
        <f>Расчет!DG215</f>
        <v>0</v>
      </c>
      <c r="BA215" s="25">
        <f>Расчет!DH215</f>
        <v>0</v>
      </c>
      <c r="BB215" s="25">
        <f>Расчет!DI215</f>
        <v>0</v>
      </c>
      <c r="BC215" s="25" t="str">
        <f>Расчет!DR215</f>
        <v>Нет</v>
      </c>
      <c r="BD215" s="25">
        <f>Расчет!EB215</f>
        <v>0</v>
      </c>
      <c r="BE215" s="25">
        <f>Расчет!EF215</f>
        <v>0</v>
      </c>
      <c r="BF215" s="25" t="e">
        <f>Расчет!EI215</f>
        <v>#DIV/0!</v>
      </c>
      <c r="BG215" s="25" t="e">
        <f>Расчет!FA215</f>
        <v>#N/A</v>
      </c>
      <c r="BI215">
        <f>IF(Исходн.данные.!AH215=Исходн.данные.!$AC$4,0.6,1)</f>
        <v>1</v>
      </c>
      <c r="BJ215">
        <f>IF(Исходн.данные.!AH215=Исходн.данные.!$AC$4,0.8,IF(OR(Потребность!F215=Расчет2!$BI$10,Потребность!F215=Расчет2!$BI$7,Потребность!F215=Расчет2!$BK$14,Исходн.данные.!AI215=Исходн.данные.!$AI$11),1.3,1))</f>
        <v>1.3</v>
      </c>
      <c r="BK215">
        <f>IF(OR(Исходн.данные.!AH215=Исходн.данные.!$AD$7,Исходн.данные.!AH215=Исходн.данные.!$AD$8),0.75,1)</f>
        <v>1</v>
      </c>
    </row>
    <row r="216" spans="32:63" x14ac:dyDescent="0.2">
      <c r="AF216">
        <f>SUM(Исходн.данные.!AD216:AF216)</f>
        <v>0</v>
      </c>
      <c r="AG216" s="60">
        <f>SUM(Расчет!CI216:CK216)</f>
        <v>0.64</v>
      </c>
      <c r="AH216" s="60">
        <f>SUM(Расчет!DS216:DU216)</f>
        <v>0</v>
      </c>
      <c r="AI216" t="e">
        <f t="shared" si="6"/>
        <v>#N/A</v>
      </c>
      <c r="AJ216" t="e">
        <f t="shared" si="7"/>
        <v>#N/A</v>
      </c>
      <c r="AL216">
        <f>Потребность!G216*Потребность!H216</f>
        <v>0</v>
      </c>
      <c r="AM216" s="11" t="e">
        <f>Исходн.данные.!$AJ216*Расчет2!AO216</f>
        <v>#VALUE!</v>
      </c>
      <c r="AN216" s="11">
        <f>Исходн.данные.!$AJ216*Расчет2!AP216</f>
        <v>0</v>
      </c>
      <c r="AO216" s="25" t="str">
        <f>IF(Расчет!BF216=0,"X",Расчет!BF216)</f>
        <v>X</v>
      </c>
      <c r="AP216" s="25">
        <f>Расчет!BG216</f>
        <v>0</v>
      </c>
      <c r="AQ216" s="9">
        <f>IF(Расчет!BL216&lt;0,0,Расчет!BL216)</f>
        <v>0</v>
      </c>
      <c r="AR216" s="25">
        <f>IF(Расчет!BM216&lt;0,0,Расчет!BM216)</f>
        <v>0</v>
      </c>
      <c r="AS216" s="25">
        <f>IF(Расчет!BN216&lt;0,0,Расчет!BN216)</f>
        <v>0</v>
      </c>
      <c r="AT216" s="25">
        <f>Расчет!BY216</f>
        <v>0</v>
      </c>
      <c r="AU216" s="25">
        <f>Расчет!BZ216</f>
        <v>10</v>
      </c>
      <c r="AV216" s="25">
        <f>Расчет!CA216</f>
        <v>0</v>
      </c>
      <c r="AW216" s="25" t="str">
        <f>Расчет!CH216</f>
        <v>Аммофос 12:52:00</v>
      </c>
      <c r="AX216" s="25">
        <f>Расчет!DB216</f>
        <v>0</v>
      </c>
      <c r="AY216" s="25">
        <f>Расчет!DC216</f>
        <v>0</v>
      </c>
      <c r="AZ216" s="25">
        <f>Расчет!DG216</f>
        <v>0</v>
      </c>
      <c r="BA216" s="25">
        <f>Расчет!DH216</f>
        <v>0</v>
      </c>
      <c r="BB216" s="25">
        <f>Расчет!DI216</f>
        <v>0</v>
      </c>
      <c r="BC216" s="25" t="str">
        <f>Расчет!DR216</f>
        <v>Нет</v>
      </c>
      <c r="BD216" s="25">
        <f>Расчет!EB216</f>
        <v>0</v>
      </c>
      <c r="BE216" s="25">
        <f>Расчет!EF216</f>
        <v>0</v>
      </c>
      <c r="BF216" s="25" t="e">
        <f>Расчет!EI216</f>
        <v>#DIV/0!</v>
      </c>
      <c r="BG216" s="25" t="e">
        <f>Расчет!FA216</f>
        <v>#N/A</v>
      </c>
      <c r="BI216">
        <f>IF(Исходн.данные.!AH216=Исходн.данные.!$AC$4,0.6,1)</f>
        <v>1</v>
      </c>
      <c r="BJ216">
        <f>IF(Исходн.данные.!AH216=Исходн.данные.!$AC$4,0.8,IF(OR(Потребность!F216=Расчет2!$BI$10,Потребность!F216=Расчет2!$BI$7,Потребность!F216=Расчет2!$BK$14,Исходн.данные.!AI216=Исходн.данные.!$AI$11),1.3,1))</f>
        <v>1.3</v>
      </c>
      <c r="BK216">
        <f>IF(OR(Исходн.данные.!AH216=Исходн.данные.!$AD$7,Исходн.данные.!AH216=Исходн.данные.!$AD$8),0.75,1)</f>
        <v>1</v>
      </c>
    </row>
    <row r="217" spans="32:63" x14ac:dyDescent="0.2">
      <c r="AF217">
        <f>SUM(Исходн.данные.!AD217:AF217)</f>
        <v>0</v>
      </c>
      <c r="AG217" s="60">
        <f>SUM(Расчет!CI217:CK217)</f>
        <v>0.64</v>
      </c>
      <c r="AH217" s="60">
        <f>SUM(Расчет!DS217:DU217)</f>
        <v>0</v>
      </c>
      <c r="AI217" t="e">
        <f t="shared" si="6"/>
        <v>#N/A</v>
      </c>
      <c r="AJ217" t="e">
        <f t="shared" si="7"/>
        <v>#N/A</v>
      </c>
      <c r="AL217">
        <f>Потребность!G217*Потребность!H217</f>
        <v>0</v>
      </c>
      <c r="AM217" s="11" t="e">
        <f>Исходн.данные.!$AJ217*Расчет2!AO217</f>
        <v>#VALUE!</v>
      </c>
      <c r="AN217" s="11">
        <f>Исходн.данные.!$AJ217*Расчет2!AP217</f>
        <v>0</v>
      </c>
      <c r="AO217" s="25" t="str">
        <f>IF(Расчет!BF217=0,"X",Расчет!BF217)</f>
        <v>X</v>
      </c>
      <c r="AP217" s="25">
        <f>Расчет!BG217</f>
        <v>0</v>
      </c>
      <c r="AQ217" s="9">
        <f>IF(Расчет!BL217&lt;0,0,Расчет!BL217)</f>
        <v>0</v>
      </c>
      <c r="AR217" s="25">
        <f>IF(Расчет!BM217&lt;0,0,Расчет!BM217)</f>
        <v>0</v>
      </c>
      <c r="AS217" s="25">
        <f>IF(Расчет!BN217&lt;0,0,Расчет!BN217)</f>
        <v>0</v>
      </c>
      <c r="AT217" s="25">
        <f>Расчет!BY217</f>
        <v>0</v>
      </c>
      <c r="AU217" s="25">
        <f>Расчет!BZ217</f>
        <v>10</v>
      </c>
      <c r="AV217" s="25">
        <f>Расчет!CA217</f>
        <v>0</v>
      </c>
      <c r="AW217" s="25" t="str">
        <f>Расчет!CH217</f>
        <v>Аммофос 12:52:00</v>
      </c>
      <c r="AX217" s="25">
        <f>Расчет!DB217</f>
        <v>0</v>
      </c>
      <c r="AY217" s="25">
        <f>Расчет!DC217</f>
        <v>0</v>
      </c>
      <c r="AZ217" s="25">
        <f>Расчет!DG217</f>
        <v>0</v>
      </c>
      <c r="BA217" s="25">
        <f>Расчет!DH217</f>
        <v>0</v>
      </c>
      <c r="BB217" s="25">
        <f>Расчет!DI217</f>
        <v>0</v>
      </c>
      <c r="BC217" s="25" t="str">
        <f>Расчет!DR217</f>
        <v>Нет</v>
      </c>
      <c r="BD217" s="25">
        <f>Расчет!EB217</f>
        <v>0</v>
      </c>
      <c r="BE217" s="25">
        <f>Расчет!EF217</f>
        <v>0</v>
      </c>
      <c r="BF217" s="25" t="e">
        <f>Расчет!EI217</f>
        <v>#DIV/0!</v>
      </c>
      <c r="BG217" s="25" t="e">
        <f>Расчет!FA217</f>
        <v>#N/A</v>
      </c>
      <c r="BI217">
        <f>IF(Исходн.данные.!AH217=Исходн.данные.!$AC$4,0.6,1)</f>
        <v>1</v>
      </c>
      <c r="BJ217">
        <f>IF(Исходн.данные.!AH217=Исходн.данные.!$AC$4,0.8,IF(OR(Потребность!F217=Расчет2!$BI$10,Потребность!F217=Расчет2!$BI$7,Потребность!F217=Расчет2!$BK$14,Исходн.данные.!AI217=Исходн.данные.!$AI$11),1.3,1))</f>
        <v>1.3</v>
      </c>
      <c r="BK217">
        <f>IF(OR(Исходн.данные.!AH217=Исходн.данные.!$AD$7,Исходн.данные.!AH217=Исходн.данные.!$AD$8),0.75,1)</f>
        <v>1</v>
      </c>
    </row>
    <row r="218" spans="32:63" x14ac:dyDescent="0.2">
      <c r="AF218">
        <f>SUM(Исходн.данные.!AD218:AF218)</f>
        <v>0</v>
      </c>
      <c r="AG218" s="60">
        <f>SUM(Расчет!CI218:CK218)</f>
        <v>0.64</v>
      </c>
      <c r="AH218" s="60">
        <f>SUM(Расчет!DS218:DU218)</f>
        <v>0</v>
      </c>
      <c r="AI218" t="e">
        <f t="shared" si="6"/>
        <v>#N/A</v>
      </c>
      <c r="AJ218" t="e">
        <f t="shared" si="7"/>
        <v>#N/A</v>
      </c>
      <c r="AL218">
        <f>Потребность!G218*Потребность!H218</f>
        <v>0</v>
      </c>
      <c r="AM218" s="11" t="e">
        <f>Исходн.данные.!$AJ218*Расчет2!AO218</f>
        <v>#VALUE!</v>
      </c>
      <c r="AN218" s="11">
        <f>Исходн.данные.!$AJ218*Расчет2!AP218</f>
        <v>0</v>
      </c>
      <c r="AO218" s="25" t="str">
        <f>IF(Расчет!BF218=0,"X",Расчет!BF218)</f>
        <v>X</v>
      </c>
      <c r="AP218" s="25">
        <f>Расчет!BG218</f>
        <v>0</v>
      </c>
      <c r="AQ218" s="9">
        <f>IF(Расчет!BL218&lt;0,0,Расчет!BL218)</f>
        <v>0</v>
      </c>
      <c r="AR218" s="25">
        <f>IF(Расчет!BM218&lt;0,0,Расчет!BM218)</f>
        <v>0</v>
      </c>
      <c r="AS218" s="25">
        <f>IF(Расчет!BN218&lt;0,0,Расчет!BN218)</f>
        <v>0</v>
      </c>
      <c r="AT218" s="25">
        <f>Расчет!BY218</f>
        <v>0</v>
      </c>
      <c r="AU218" s="25">
        <f>Расчет!BZ218</f>
        <v>10</v>
      </c>
      <c r="AV218" s="25">
        <f>Расчет!CA218</f>
        <v>0</v>
      </c>
      <c r="AW218" s="25" t="str">
        <f>Расчет!CH218</f>
        <v>Аммофос 12:52:00</v>
      </c>
      <c r="AX218" s="25">
        <f>Расчет!DB218</f>
        <v>0</v>
      </c>
      <c r="AY218" s="25">
        <f>Расчет!DC218</f>
        <v>0</v>
      </c>
      <c r="AZ218" s="25">
        <f>Расчет!DG218</f>
        <v>0</v>
      </c>
      <c r="BA218" s="25">
        <f>Расчет!DH218</f>
        <v>0</v>
      </c>
      <c r="BB218" s="25">
        <f>Расчет!DI218</f>
        <v>0</v>
      </c>
      <c r="BC218" s="25" t="str">
        <f>Расчет!DR218</f>
        <v>Нет</v>
      </c>
      <c r="BD218" s="25">
        <f>Расчет!EB218</f>
        <v>0</v>
      </c>
      <c r="BE218" s="25">
        <f>Расчет!EF218</f>
        <v>0</v>
      </c>
      <c r="BF218" s="25" t="e">
        <f>Расчет!EI218</f>
        <v>#DIV/0!</v>
      </c>
      <c r="BG218" s="25" t="e">
        <f>Расчет!FA218</f>
        <v>#N/A</v>
      </c>
      <c r="BI218">
        <f>IF(Исходн.данные.!AH218=Исходн.данные.!$AC$4,0.6,1)</f>
        <v>1</v>
      </c>
      <c r="BJ218">
        <f>IF(Исходн.данные.!AH218=Исходн.данные.!$AC$4,0.8,IF(OR(Потребность!F218=Расчет2!$BI$10,Потребность!F218=Расчет2!$BI$7,Потребность!F218=Расчет2!$BK$14,Исходн.данные.!AI218=Исходн.данные.!$AI$11),1.3,1))</f>
        <v>1.3</v>
      </c>
      <c r="BK218">
        <f>IF(OR(Исходн.данные.!AH218=Исходн.данные.!$AD$7,Исходн.данные.!AH218=Исходн.данные.!$AD$8),0.75,1)</f>
        <v>1</v>
      </c>
    </row>
    <row r="219" spans="32:63" x14ac:dyDescent="0.2">
      <c r="AF219">
        <f>SUM(Исходн.данные.!AD219:AF219)</f>
        <v>0</v>
      </c>
      <c r="AG219" s="60">
        <f>SUM(Расчет!CI219:CK219)</f>
        <v>0.64</v>
      </c>
      <c r="AH219" s="60">
        <f>SUM(Расчет!DS219:DU219)</f>
        <v>0</v>
      </c>
      <c r="AI219" t="e">
        <f t="shared" si="6"/>
        <v>#N/A</v>
      </c>
      <c r="AJ219" t="e">
        <f t="shared" si="7"/>
        <v>#N/A</v>
      </c>
      <c r="AL219">
        <f>Потребность!G219*Потребность!H219</f>
        <v>0</v>
      </c>
      <c r="AM219" s="11" t="e">
        <f>Исходн.данные.!$AJ219*Расчет2!AO219</f>
        <v>#VALUE!</v>
      </c>
      <c r="AN219" s="11">
        <f>Исходн.данные.!$AJ219*Расчет2!AP219</f>
        <v>0</v>
      </c>
      <c r="AO219" s="25" t="str">
        <f>IF(Расчет!BF219=0,"X",Расчет!BF219)</f>
        <v>X</v>
      </c>
      <c r="AP219" s="25">
        <f>Расчет!BG219</f>
        <v>0</v>
      </c>
      <c r="AQ219" s="9">
        <f>IF(Расчет!BL219&lt;0,0,Расчет!BL219)</f>
        <v>0</v>
      </c>
      <c r="AR219" s="25">
        <f>IF(Расчет!BM219&lt;0,0,Расчет!BM219)</f>
        <v>0</v>
      </c>
      <c r="AS219" s="25">
        <f>IF(Расчет!BN219&lt;0,0,Расчет!BN219)</f>
        <v>0</v>
      </c>
      <c r="AT219" s="25">
        <f>Расчет!BY219</f>
        <v>0</v>
      </c>
      <c r="AU219" s="25">
        <f>Расчет!BZ219</f>
        <v>10</v>
      </c>
      <c r="AV219" s="25">
        <f>Расчет!CA219</f>
        <v>0</v>
      </c>
      <c r="AW219" s="25" t="str">
        <f>Расчет!CH219</f>
        <v>Аммофос 12:52:00</v>
      </c>
      <c r="AX219" s="25">
        <f>Расчет!DB219</f>
        <v>0</v>
      </c>
      <c r="AY219" s="25">
        <f>Расчет!DC219</f>
        <v>0</v>
      </c>
      <c r="AZ219" s="25">
        <f>Расчет!DG219</f>
        <v>0</v>
      </c>
      <c r="BA219" s="25">
        <f>Расчет!DH219</f>
        <v>0</v>
      </c>
      <c r="BB219" s="25">
        <f>Расчет!DI219</f>
        <v>0</v>
      </c>
      <c r="BC219" s="25" t="str">
        <f>Расчет!DR219</f>
        <v>Нет</v>
      </c>
      <c r="BD219" s="25">
        <f>Расчет!EB219</f>
        <v>0</v>
      </c>
      <c r="BE219" s="25">
        <f>Расчет!EF219</f>
        <v>0</v>
      </c>
      <c r="BF219" s="25" t="e">
        <f>Расчет!EI219</f>
        <v>#DIV/0!</v>
      </c>
      <c r="BG219" s="25" t="e">
        <f>Расчет!FA219</f>
        <v>#N/A</v>
      </c>
      <c r="BI219">
        <f>IF(Исходн.данные.!AH219=Исходн.данные.!$AC$4,0.6,1)</f>
        <v>1</v>
      </c>
      <c r="BJ219">
        <f>IF(Исходн.данные.!AH219=Исходн.данные.!$AC$4,0.8,IF(OR(Потребность!F219=Расчет2!$BI$10,Потребность!F219=Расчет2!$BI$7,Потребность!F219=Расчет2!$BK$14,Исходн.данные.!AI219=Исходн.данные.!$AI$11),1.3,1))</f>
        <v>1.3</v>
      </c>
      <c r="BK219">
        <f>IF(OR(Исходн.данные.!AH219=Исходн.данные.!$AD$7,Исходн.данные.!AH219=Исходн.данные.!$AD$8),0.75,1)</f>
        <v>1</v>
      </c>
    </row>
    <row r="220" spans="32:63" x14ac:dyDescent="0.2">
      <c r="AF220">
        <f>SUM(Исходн.данные.!AD220:AF220)</f>
        <v>0</v>
      </c>
      <c r="AG220" s="60">
        <f>SUM(Расчет!CI220:CK220)</f>
        <v>0.64</v>
      </c>
      <c r="AH220" s="60">
        <f>SUM(Расчет!DS220:DU220)</f>
        <v>0</v>
      </c>
      <c r="AI220" t="e">
        <f t="shared" si="6"/>
        <v>#N/A</v>
      </c>
      <c r="AJ220" t="e">
        <f t="shared" si="7"/>
        <v>#N/A</v>
      </c>
      <c r="AL220">
        <f>Потребность!G220*Потребность!H220</f>
        <v>0</v>
      </c>
      <c r="AM220" s="11" t="e">
        <f>Исходн.данные.!$AJ220*Расчет2!AO220</f>
        <v>#VALUE!</v>
      </c>
      <c r="AN220" s="11">
        <f>Исходн.данные.!$AJ220*Расчет2!AP220</f>
        <v>0</v>
      </c>
      <c r="AO220" s="25" t="str">
        <f>IF(Расчет!BF220=0,"X",Расчет!BF220)</f>
        <v>X</v>
      </c>
      <c r="AP220" s="25">
        <f>Расчет!BG220</f>
        <v>0</v>
      </c>
      <c r="AQ220" s="9">
        <f>IF(Расчет!BL220&lt;0,0,Расчет!BL220)</f>
        <v>0</v>
      </c>
      <c r="AR220" s="25">
        <f>IF(Расчет!BM220&lt;0,0,Расчет!BM220)</f>
        <v>0</v>
      </c>
      <c r="AS220" s="25">
        <f>IF(Расчет!BN220&lt;0,0,Расчет!BN220)</f>
        <v>0</v>
      </c>
      <c r="AT220" s="25">
        <f>Расчет!BY220</f>
        <v>0</v>
      </c>
      <c r="AU220" s="25">
        <f>Расчет!BZ220</f>
        <v>10</v>
      </c>
      <c r="AV220" s="25">
        <f>Расчет!CA220</f>
        <v>0</v>
      </c>
      <c r="AW220" s="25" t="str">
        <f>Расчет!CH220</f>
        <v>Аммофос 12:52:00</v>
      </c>
      <c r="AX220" s="25">
        <f>Расчет!DB220</f>
        <v>0</v>
      </c>
      <c r="AY220" s="25">
        <f>Расчет!DC220</f>
        <v>0</v>
      </c>
      <c r="AZ220" s="25">
        <f>Расчет!DG220</f>
        <v>0</v>
      </c>
      <c r="BA220" s="25">
        <f>Расчет!DH220</f>
        <v>0</v>
      </c>
      <c r="BB220" s="25">
        <f>Расчет!DI220</f>
        <v>0</v>
      </c>
      <c r="BC220" s="25" t="str">
        <f>Расчет!DR220</f>
        <v>Нет</v>
      </c>
      <c r="BD220" s="25">
        <f>Расчет!EB220</f>
        <v>0</v>
      </c>
      <c r="BE220" s="25">
        <f>Расчет!EF220</f>
        <v>0</v>
      </c>
      <c r="BF220" s="25" t="e">
        <f>Расчет!EI220</f>
        <v>#DIV/0!</v>
      </c>
      <c r="BG220" s="25" t="e">
        <f>Расчет!FA220</f>
        <v>#N/A</v>
      </c>
      <c r="BI220">
        <f>IF(Исходн.данные.!AH220=Исходн.данные.!$AC$4,0.6,1)</f>
        <v>1</v>
      </c>
      <c r="BJ220">
        <f>IF(Исходн.данные.!AH220=Исходн.данные.!$AC$4,0.8,IF(OR(Потребность!F220=Расчет2!$BI$10,Потребность!F220=Расчет2!$BI$7,Потребность!F220=Расчет2!$BK$14,Исходн.данные.!AI220=Исходн.данные.!$AI$11),1.3,1))</f>
        <v>1.3</v>
      </c>
      <c r="BK220">
        <f>IF(OR(Исходн.данные.!AH220=Исходн.данные.!$AD$7,Исходн.данные.!AH220=Исходн.данные.!$AD$8),0.75,1)</f>
        <v>1</v>
      </c>
    </row>
    <row r="221" spans="32:63" x14ac:dyDescent="0.2">
      <c r="AF221">
        <f>SUM(Исходн.данные.!AD221:AF221)</f>
        <v>0</v>
      </c>
      <c r="AG221" s="60">
        <f>SUM(Расчет!CI221:CK221)</f>
        <v>0.64</v>
      </c>
      <c r="AH221" s="60">
        <f>SUM(Расчет!DS221:DU221)</f>
        <v>0</v>
      </c>
      <c r="AI221" t="e">
        <f t="shared" si="6"/>
        <v>#N/A</v>
      </c>
      <c r="AJ221" t="e">
        <f t="shared" si="7"/>
        <v>#N/A</v>
      </c>
      <c r="AL221">
        <f>Потребность!G221*Потребность!H221</f>
        <v>0</v>
      </c>
      <c r="AM221" s="11" t="e">
        <f>Исходн.данные.!$AJ221*Расчет2!AO221</f>
        <v>#VALUE!</v>
      </c>
      <c r="AN221" s="11">
        <f>Исходн.данные.!$AJ221*Расчет2!AP221</f>
        <v>0</v>
      </c>
      <c r="AO221" s="25" t="str">
        <f>IF(Расчет!BF221=0,"X",Расчет!BF221)</f>
        <v>X</v>
      </c>
      <c r="AP221" s="25">
        <f>Расчет!BG221</f>
        <v>0</v>
      </c>
      <c r="AQ221" s="9">
        <f>IF(Расчет!BL221&lt;0,0,Расчет!BL221)</f>
        <v>0</v>
      </c>
      <c r="AR221" s="25">
        <f>IF(Расчет!BM221&lt;0,0,Расчет!BM221)</f>
        <v>0</v>
      </c>
      <c r="AS221" s="25">
        <f>IF(Расчет!BN221&lt;0,0,Расчет!BN221)</f>
        <v>0</v>
      </c>
      <c r="AT221" s="25">
        <f>Расчет!BY221</f>
        <v>0</v>
      </c>
      <c r="AU221" s="25">
        <f>Расчет!BZ221</f>
        <v>10</v>
      </c>
      <c r="AV221" s="25">
        <f>Расчет!CA221</f>
        <v>0</v>
      </c>
      <c r="AW221" s="25" t="str">
        <f>Расчет!CH221</f>
        <v>Аммофос 12:52:00</v>
      </c>
      <c r="AX221" s="25">
        <f>Расчет!DB221</f>
        <v>0</v>
      </c>
      <c r="AY221" s="25">
        <f>Расчет!DC221</f>
        <v>0</v>
      </c>
      <c r="AZ221" s="25">
        <f>Расчет!DG221</f>
        <v>0</v>
      </c>
      <c r="BA221" s="25">
        <f>Расчет!DH221</f>
        <v>0</v>
      </c>
      <c r="BB221" s="25">
        <f>Расчет!DI221</f>
        <v>0</v>
      </c>
      <c r="BC221" s="25" t="str">
        <f>Расчет!DR221</f>
        <v>Нет</v>
      </c>
      <c r="BD221" s="25">
        <f>Расчет!EB221</f>
        <v>0</v>
      </c>
      <c r="BE221" s="25">
        <f>Расчет!EF221</f>
        <v>0</v>
      </c>
      <c r="BF221" s="25" t="e">
        <f>Расчет!EI221</f>
        <v>#DIV/0!</v>
      </c>
      <c r="BG221" s="25" t="e">
        <f>Расчет!FA221</f>
        <v>#N/A</v>
      </c>
      <c r="BI221">
        <f>IF(Исходн.данные.!AH221=Исходн.данные.!$AC$4,0.6,1)</f>
        <v>1</v>
      </c>
      <c r="BJ221">
        <f>IF(Исходн.данные.!AH221=Исходн.данные.!$AC$4,0.8,IF(OR(Потребность!F221=Расчет2!$BI$10,Потребность!F221=Расчет2!$BI$7,Потребность!F221=Расчет2!$BK$14,Исходн.данные.!AI221=Исходн.данные.!$AI$11),1.3,1))</f>
        <v>1.3</v>
      </c>
      <c r="BK221">
        <f>IF(OR(Исходн.данные.!AH221=Исходн.данные.!$AD$7,Исходн.данные.!AH221=Исходн.данные.!$AD$8),0.75,1)</f>
        <v>1</v>
      </c>
    </row>
    <row r="222" spans="32:63" x14ac:dyDescent="0.2">
      <c r="AF222">
        <f>SUM(Исходн.данные.!AD222:AF222)</f>
        <v>0</v>
      </c>
      <c r="AG222" s="60">
        <f>SUM(Расчет!CI222:CK222)</f>
        <v>0.64</v>
      </c>
      <c r="AH222" s="60">
        <f>SUM(Расчет!DS222:DU222)</f>
        <v>0</v>
      </c>
      <c r="AI222" t="e">
        <f t="shared" si="6"/>
        <v>#N/A</v>
      </c>
      <c r="AJ222" t="e">
        <f t="shared" si="7"/>
        <v>#N/A</v>
      </c>
      <c r="AL222">
        <f>Потребность!G222*Потребность!H222</f>
        <v>0</v>
      </c>
      <c r="AM222" s="11" t="e">
        <f>Исходн.данные.!$AJ222*Расчет2!AO222</f>
        <v>#VALUE!</v>
      </c>
      <c r="AN222" s="11">
        <f>Исходн.данные.!$AJ222*Расчет2!AP222</f>
        <v>0</v>
      </c>
      <c r="AO222" s="25" t="str">
        <f>IF(Расчет!BF222=0,"X",Расчет!BF222)</f>
        <v>X</v>
      </c>
      <c r="AP222" s="25">
        <f>Расчет!BG222</f>
        <v>0</v>
      </c>
      <c r="AQ222" s="9">
        <f>IF(Расчет!BL222&lt;0,0,Расчет!BL222)</f>
        <v>0</v>
      </c>
      <c r="AR222" s="25">
        <f>IF(Расчет!BM222&lt;0,0,Расчет!BM222)</f>
        <v>0</v>
      </c>
      <c r="AS222" s="25">
        <f>IF(Расчет!BN222&lt;0,0,Расчет!BN222)</f>
        <v>0</v>
      </c>
      <c r="AT222" s="25">
        <f>Расчет!BY222</f>
        <v>0</v>
      </c>
      <c r="AU222" s="25">
        <f>Расчет!BZ222</f>
        <v>10</v>
      </c>
      <c r="AV222" s="25">
        <f>Расчет!CA222</f>
        <v>0</v>
      </c>
      <c r="AW222" s="25" t="str">
        <f>Расчет!CH222</f>
        <v>Аммофос 12:52:00</v>
      </c>
      <c r="AX222" s="25">
        <f>Расчет!DB222</f>
        <v>0</v>
      </c>
      <c r="AY222" s="25">
        <f>Расчет!DC222</f>
        <v>0</v>
      </c>
      <c r="AZ222" s="25">
        <f>Расчет!DG222</f>
        <v>0</v>
      </c>
      <c r="BA222" s="25">
        <f>Расчет!DH222</f>
        <v>0</v>
      </c>
      <c r="BB222" s="25">
        <f>Расчет!DI222</f>
        <v>0</v>
      </c>
      <c r="BC222" s="25" t="str">
        <f>Расчет!DR222</f>
        <v>Нет</v>
      </c>
      <c r="BD222" s="25">
        <f>Расчет!EB222</f>
        <v>0</v>
      </c>
      <c r="BE222" s="25">
        <f>Расчет!EF222</f>
        <v>0</v>
      </c>
      <c r="BF222" s="25" t="e">
        <f>Расчет!EI222</f>
        <v>#DIV/0!</v>
      </c>
      <c r="BG222" s="25" t="e">
        <f>Расчет!FA222</f>
        <v>#N/A</v>
      </c>
      <c r="BI222">
        <f>IF(Исходн.данные.!AH222=Исходн.данные.!$AC$4,0.6,1)</f>
        <v>1</v>
      </c>
      <c r="BJ222">
        <f>IF(Исходн.данные.!AH222=Исходн.данные.!$AC$4,0.8,IF(OR(Потребность!F222=Расчет2!$BI$10,Потребность!F222=Расчет2!$BI$7,Потребность!F222=Расчет2!$BK$14,Исходн.данные.!AI222=Исходн.данные.!$AI$11),1.3,1))</f>
        <v>1.3</v>
      </c>
      <c r="BK222">
        <f>IF(OR(Исходн.данные.!AH222=Исходн.данные.!$AD$7,Исходн.данные.!AH222=Исходн.данные.!$AD$8),0.75,1)</f>
        <v>1</v>
      </c>
    </row>
    <row r="223" spans="32:63" x14ac:dyDescent="0.2">
      <c r="AF223">
        <f>SUM(Исходн.данные.!AD223:AF223)</f>
        <v>0</v>
      </c>
      <c r="AG223" s="60">
        <f>SUM(Расчет!CI223:CK223)</f>
        <v>0.64</v>
      </c>
      <c r="AH223" s="60">
        <f>SUM(Расчет!DS223:DU223)</f>
        <v>0</v>
      </c>
      <c r="AI223" t="e">
        <f t="shared" si="6"/>
        <v>#N/A</v>
      </c>
      <c r="AJ223" t="e">
        <f t="shared" si="7"/>
        <v>#N/A</v>
      </c>
      <c r="AL223">
        <f>Потребность!G223*Потребность!H223</f>
        <v>0</v>
      </c>
      <c r="AM223" s="11" t="e">
        <f>Исходн.данные.!$AJ223*Расчет2!AO223</f>
        <v>#VALUE!</v>
      </c>
      <c r="AN223" s="11">
        <f>Исходн.данные.!$AJ223*Расчет2!AP223</f>
        <v>0</v>
      </c>
      <c r="AO223" s="25" t="str">
        <f>IF(Расчет!BF223=0,"X",Расчет!BF223)</f>
        <v>X</v>
      </c>
      <c r="AP223" s="25">
        <f>Расчет!BG223</f>
        <v>0</v>
      </c>
      <c r="AQ223" s="9">
        <f>IF(Расчет!BL223&lt;0,0,Расчет!BL223)</f>
        <v>0</v>
      </c>
      <c r="AR223" s="25">
        <f>IF(Расчет!BM223&lt;0,0,Расчет!BM223)</f>
        <v>0</v>
      </c>
      <c r="AS223" s="25">
        <f>IF(Расчет!BN223&lt;0,0,Расчет!BN223)</f>
        <v>0</v>
      </c>
      <c r="AT223" s="25">
        <f>Расчет!BY223</f>
        <v>0</v>
      </c>
      <c r="AU223" s="25">
        <f>Расчет!BZ223</f>
        <v>10</v>
      </c>
      <c r="AV223" s="25">
        <f>Расчет!CA223</f>
        <v>0</v>
      </c>
      <c r="AW223" s="25" t="str">
        <f>Расчет!CH223</f>
        <v>Аммофос 12:52:00</v>
      </c>
      <c r="AX223" s="25">
        <f>Расчет!DB223</f>
        <v>0</v>
      </c>
      <c r="AY223" s="25">
        <f>Расчет!DC223</f>
        <v>0</v>
      </c>
      <c r="AZ223" s="25">
        <f>Расчет!DG223</f>
        <v>0</v>
      </c>
      <c r="BA223" s="25">
        <f>Расчет!DH223</f>
        <v>0</v>
      </c>
      <c r="BB223" s="25">
        <f>Расчет!DI223</f>
        <v>0</v>
      </c>
      <c r="BC223" s="25" t="str">
        <f>Расчет!DR223</f>
        <v>Нет</v>
      </c>
      <c r="BD223" s="25">
        <f>Расчет!EB223</f>
        <v>0</v>
      </c>
      <c r="BE223" s="25">
        <f>Расчет!EF223</f>
        <v>0</v>
      </c>
      <c r="BF223" s="25" t="e">
        <f>Расчет!EI223</f>
        <v>#DIV/0!</v>
      </c>
      <c r="BG223" s="25" t="e">
        <f>Расчет!FA223</f>
        <v>#N/A</v>
      </c>
      <c r="BI223">
        <f>IF(Исходн.данные.!AH223=Исходн.данные.!$AC$4,0.6,1)</f>
        <v>1</v>
      </c>
      <c r="BJ223">
        <f>IF(Исходн.данные.!AH223=Исходн.данные.!$AC$4,0.8,IF(OR(Потребность!F223=Расчет2!$BI$10,Потребность!F223=Расчет2!$BI$7,Потребность!F223=Расчет2!$BK$14,Исходн.данные.!AI223=Исходн.данные.!$AI$11),1.3,1))</f>
        <v>1.3</v>
      </c>
      <c r="BK223">
        <f>IF(OR(Исходн.данные.!AH223=Исходн.данные.!$AD$7,Исходн.данные.!AH223=Исходн.данные.!$AD$8),0.75,1)</f>
        <v>1</v>
      </c>
    </row>
    <row r="224" spans="32:63" x14ac:dyDescent="0.2">
      <c r="AF224">
        <f>SUM(Исходн.данные.!AD224:AF224)</f>
        <v>0</v>
      </c>
      <c r="AG224" s="60">
        <f>SUM(Расчет!CI224:CK224)</f>
        <v>0.64</v>
      </c>
      <c r="AH224" s="60">
        <f>SUM(Расчет!DS224:DU224)</f>
        <v>0</v>
      </c>
      <c r="AI224" t="e">
        <f t="shared" si="6"/>
        <v>#N/A</v>
      </c>
      <c r="AJ224" t="e">
        <f t="shared" si="7"/>
        <v>#N/A</v>
      </c>
      <c r="AL224">
        <f>Потребность!G224*Потребность!H224</f>
        <v>0</v>
      </c>
      <c r="AM224" s="11" t="e">
        <f>Исходн.данные.!$AJ224*Расчет2!AO224</f>
        <v>#VALUE!</v>
      </c>
      <c r="AN224" s="11">
        <f>Исходн.данные.!$AJ224*Расчет2!AP224</f>
        <v>0</v>
      </c>
      <c r="AO224" s="25" t="str">
        <f>IF(Расчет!BF224=0,"X",Расчет!BF224)</f>
        <v>X</v>
      </c>
      <c r="AP224" s="25">
        <f>Расчет!BG224</f>
        <v>0</v>
      </c>
      <c r="AQ224" s="9">
        <f>IF(Расчет!BL224&lt;0,0,Расчет!BL224)</f>
        <v>0</v>
      </c>
      <c r="AR224" s="25">
        <f>IF(Расчет!BM224&lt;0,0,Расчет!BM224)</f>
        <v>0</v>
      </c>
      <c r="AS224" s="25">
        <f>IF(Расчет!BN224&lt;0,0,Расчет!BN224)</f>
        <v>0</v>
      </c>
      <c r="AT224" s="25">
        <f>Расчет!BY224</f>
        <v>0</v>
      </c>
      <c r="AU224" s="25">
        <f>Расчет!BZ224</f>
        <v>10</v>
      </c>
      <c r="AV224" s="25">
        <f>Расчет!CA224</f>
        <v>0</v>
      </c>
      <c r="AW224" s="25" t="str">
        <f>Расчет!CH224</f>
        <v>Аммофос 12:52:00</v>
      </c>
      <c r="AX224" s="25">
        <f>Расчет!DB224</f>
        <v>0</v>
      </c>
      <c r="AY224" s="25">
        <f>Расчет!DC224</f>
        <v>0</v>
      </c>
      <c r="AZ224" s="25">
        <f>Расчет!DG224</f>
        <v>0</v>
      </c>
      <c r="BA224" s="25">
        <f>Расчет!DH224</f>
        <v>0</v>
      </c>
      <c r="BB224" s="25">
        <f>Расчет!DI224</f>
        <v>0</v>
      </c>
      <c r="BC224" s="25" t="str">
        <f>Расчет!DR224</f>
        <v>Нет</v>
      </c>
      <c r="BD224" s="25">
        <f>Расчет!EB224</f>
        <v>0</v>
      </c>
      <c r="BE224" s="25">
        <f>Расчет!EF224</f>
        <v>0</v>
      </c>
      <c r="BF224" s="25" t="e">
        <f>Расчет!EI224</f>
        <v>#DIV/0!</v>
      </c>
      <c r="BG224" s="25" t="e">
        <f>Расчет!FA224</f>
        <v>#N/A</v>
      </c>
      <c r="BI224">
        <f>IF(Исходн.данные.!AH224=Исходн.данные.!$AC$4,0.6,1)</f>
        <v>1</v>
      </c>
      <c r="BJ224">
        <f>IF(Исходн.данные.!AH224=Исходн.данные.!$AC$4,0.8,IF(OR(Потребность!F224=Расчет2!$BI$10,Потребность!F224=Расчет2!$BI$7,Потребность!F224=Расчет2!$BK$14,Исходн.данные.!AI224=Исходн.данные.!$AI$11),1.3,1))</f>
        <v>1.3</v>
      </c>
      <c r="BK224">
        <f>IF(OR(Исходн.данные.!AH224=Исходн.данные.!$AD$7,Исходн.данные.!AH224=Исходн.данные.!$AD$8),0.75,1)</f>
        <v>1</v>
      </c>
    </row>
    <row r="225" spans="32:63" x14ac:dyDescent="0.2">
      <c r="AF225">
        <f>SUM(Исходн.данные.!AD225:AF225)</f>
        <v>0</v>
      </c>
      <c r="AG225" s="60">
        <f>SUM(Расчет!CI225:CK225)</f>
        <v>0.64</v>
      </c>
      <c r="AH225" s="60">
        <f>SUM(Расчет!DS225:DU225)</f>
        <v>0</v>
      </c>
      <c r="AI225" t="e">
        <f t="shared" si="6"/>
        <v>#N/A</v>
      </c>
      <c r="AJ225" t="e">
        <f t="shared" si="7"/>
        <v>#N/A</v>
      </c>
      <c r="AL225">
        <f>Потребность!G225*Потребность!H225</f>
        <v>0</v>
      </c>
      <c r="AM225" s="11" t="e">
        <f>Исходн.данные.!$AJ225*Расчет2!AO225</f>
        <v>#VALUE!</v>
      </c>
      <c r="AN225" s="11">
        <f>Исходн.данные.!$AJ225*Расчет2!AP225</f>
        <v>0</v>
      </c>
      <c r="AO225" s="25" t="str">
        <f>IF(Расчет!BF225=0,"X",Расчет!BF225)</f>
        <v>X</v>
      </c>
      <c r="AP225" s="25">
        <f>Расчет!BG225</f>
        <v>0</v>
      </c>
      <c r="AQ225" s="9">
        <f>IF(Расчет!BL225&lt;0,0,Расчет!BL225)</f>
        <v>0</v>
      </c>
      <c r="AR225" s="25">
        <f>IF(Расчет!BM225&lt;0,0,Расчет!BM225)</f>
        <v>0</v>
      </c>
      <c r="AS225" s="25">
        <f>IF(Расчет!BN225&lt;0,0,Расчет!BN225)</f>
        <v>0</v>
      </c>
      <c r="AT225" s="25">
        <f>Расчет!BY225</f>
        <v>0</v>
      </c>
      <c r="AU225" s="25">
        <f>Расчет!BZ225</f>
        <v>10</v>
      </c>
      <c r="AV225" s="25">
        <f>Расчет!CA225</f>
        <v>0</v>
      </c>
      <c r="AW225" s="25" t="str">
        <f>Расчет!CH225</f>
        <v>Аммофос 12:52:00</v>
      </c>
      <c r="AX225" s="25">
        <f>Расчет!DB225</f>
        <v>0</v>
      </c>
      <c r="AY225" s="25">
        <f>Расчет!DC225</f>
        <v>0</v>
      </c>
      <c r="AZ225" s="25">
        <f>Расчет!DG225</f>
        <v>0</v>
      </c>
      <c r="BA225" s="25">
        <f>Расчет!DH225</f>
        <v>0</v>
      </c>
      <c r="BB225" s="25">
        <f>Расчет!DI225</f>
        <v>0</v>
      </c>
      <c r="BC225" s="25" t="str">
        <f>Расчет!DR225</f>
        <v>Нет</v>
      </c>
      <c r="BD225" s="25">
        <f>Расчет!EB225</f>
        <v>0</v>
      </c>
      <c r="BE225" s="25">
        <f>Расчет!EF225</f>
        <v>0</v>
      </c>
      <c r="BF225" s="25" t="e">
        <f>Расчет!EI225</f>
        <v>#DIV/0!</v>
      </c>
      <c r="BG225" s="25" t="e">
        <f>Расчет!FA225</f>
        <v>#N/A</v>
      </c>
      <c r="BI225">
        <f>IF(Исходн.данные.!AH225=Исходн.данные.!$AC$4,0.6,1)</f>
        <v>1</v>
      </c>
      <c r="BJ225">
        <f>IF(Исходн.данные.!AH225=Исходн.данные.!$AC$4,0.8,IF(OR(Потребность!F225=Расчет2!$BI$10,Потребность!F225=Расчет2!$BI$7,Потребность!F225=Расчет2!$BK$14,Исходн.данные.!AI225=Исходн.данные.!$AI$11),1.3,1))</f>
        <v>1.3</v>
      </c>
      <c r="BK225">
        <f>IF(OR(Исходн.данные.!AH225=Исходн.данные.!$AD$7,Исходн.данные.!AH225=Исходн.данные.!$AD$8),0.75,1)</f>
        <v>1</v>
      </c>
    </row>
    <row r="226" spans="32:63" x14ac:dyDescent="0.2">
      <c r="AF226">
        <f>SUM(Исходн.данные.!AD226:AF226)</f>
        <v>0</v>
      </c>
      <c r="AG226" s="60">
        <f>SUM(Расчет!CI226:CK226)</f>
        <v>0.64</v>
      </c>
      <c r="AH226" s="60">
        <f>SUM(Расчет!DS226:DU226)</f>
        <v>0</v>
      </c>
      <c r="AI226" t="e">
        <f t="shared" si="6"/>
        <v>#N/A</v>
      </c>
      <c r="AJ226" t="e">
        <f t="shared" si="7"/>
        <v>#N/A</v>
      </c>
      <c r="AL226">
        <f>Потребность!G226*Потребность!H226</f>
        <v>0</v>
      </c>
      <c r="AM226" s="11" t="e">
        <f>Исходн.данные.!$AJ226*Расчет2!AO226</f>
        <v>#VALUE!</v>
      </c>
      <c r="AN226" s="11">
        <f>Исходн.данные.!$AJ226*Расчет2!AP226</f>
        <v>0</v>
      </c>
      <c r="AO226" s="25" t="str">
        <f>IF(Расчет!BF226=0,"X",Расчет!BF226)</f>
        <v>X</v>
      </c>
      <c r="AP226" s="25">
        <f>Расчет!BG226</f>
        <v>0</v>
      </c>
      <c r="AQ226" s="9">
        <f>IF(Расчет!BL226&lt;0,0,Расчет!BL226)</f>
        <v>0</v>
      </c>
      <c r="AR226" s="25">
        <f>IF(Расчет!BM226&lt;0,0,Расчет!BM226)</f>
        <v>0</v>
      </c>
      <c r="AS226" s="25">
        <f>IF(Расчет!BN226&lt;0,0,Расчет!BN226)</f>
        <v>0</v>
      </c>
      <c r="AT226" s="25">
        <f>Расчет!BY226</f>
        <v>0</v>
      </c>
      <c r="AU226" s="25">
        <f>Расчет!BZ226</f>
        <v>10</v>
      </c>
      <c r="AV226" s="25">
        <f>Расчет!CA226</f>
        <v>0</v>
      </c>
      <c r="AW226" s="25" t="str">
        <f>Расчет!CH226</f>
        <v>Аммофос 12:52:00</v>
      </c>
      <c r="AX226" s="25">
        <f>Расчет!DB226</f>
        <v>0</v>
      </c>
      <c r="AY226" s="25">
        <f>Расчет!DC226</f>
        <v>0</v>
      </c>
      <c r="AZ226" s="25">
        <f>Расчет!DG226</f>
        <v>0</v>
      </c>
      <c r="BA226" s="25">
        <f>Расчет!DH226</f>
        <v>0</v>
      </c>
      <c r="BB226" s="25">
        <f>Расчет!DI226</f>
        <v>0</v>
      </c>
      <c r="BC226" s="25" t="str">
        <f>Расчет!DR226</f>
        <v>Нет</v>
      </c>
      <c r="BD226" s="25">
        <f>Расчет!EB226</f>
        <v>0</v>
      </c>
      <c r="BE226" s="25">
        <f>Расчет!EF226</f>
        <v>0</v>
      </c>
      <c r="BF226" s="25" t="e">
        <f>Расчет!EI226</f>
        <v>#DIV/0!</v>
      </c>
      <c r="BG226" s="25" t="e">
        <f>Расчет!FA226</f>
        <v>#N/A</v>
      </c>
      <c r="BI226">
        <f>IF(Исходн.данные.!AH226=Исходн.данные.!$AC$4,0.6,1)</f>
        <v>1</v>
      </c>
      <c r="BJ226">
        <f>IF(Исходн.данные.!AH226=Исходн.данные.!$AC$4,0.8,IF(OR(Потребность!F226=Расчет2!$BI$10,Потребность!F226=Расчет2!$BI$7,Потребность!F226=Расчет2!$BK$14,Исходн.данные.!AI226=Исходн.данные.!$AI$11),1.3,1))</f>
        <v>1.3</v>
      </c>
      <c r="BK226">
        <f>IF(OR(Исходн.данные.!AH226=Исходн.данные.!$AD$7,Исходн.данные.!AH226=Исходн.данные.!$AD$8),0.75,1)</f>
        <v>1</v>
      </c>
    </row>
    <row r="227" spans="32:63" x14ac:dyDescent="0.2">
      <c r="AF227">
        <f>SUM(Исходн.данные.!AD227:AF227)</f>
        <v>0</v>
      </c>
      <c r="AG227" s="60">
        <f>SUM(Расчет!CI227:CK227)</f>
        <v>0.64</v>
      </c>
      <c r="AH227" s="60">
        <f>SUM(Расчет!DS227:DU227)</f>
        <v>0</v>
      </c>
      <c r="AI227" t="e">
        <f t="shared" si="6"/>
        <v>#N/A</v>
      </c>
      <c r="AJ227" t="e">
        <f t="shared" si="7"/>
        <v>#N/A</v>
      </c>
      <c r="AL227">
        <f>Потребность!G227*Потребность!H227</f>
        <v>0</v>
      </c>
      <c r="AM227" s="11" t="e">
        <f>Исходн.данные.!$AJ227*Расчет2!AO227</f>
        <v>#VALUE!</v>
      </c>
      <c r="AN227" s="11">
        <f>Исходн.данные.!$AJ227*Расчет2!AP227</f>
        <v>0</v>
      </c>
      <c r="AO227" s="25" t="str">
        <f>IF(Расчет!BF227=0,"X",Расчет!BF227)</f>
        <v>X</v>
      </c>
      <c r="AP227" s="25">
        <f>Расчет!BG227</f>
        <v>0</v>
      </c>
      <c r="AQ227" s="9">
        <f>IF(Расчет!BL227&lt;0,0,Расчет!BL227)</f>
        <v>0</v>
      </c>
      <c r="AR227" s="25">
        <f>IF(Расчет!BM227&lt;0,0,Расчет!BM227)</f>
        <v>0</v>
      </c>
      <c r="AS227" s="25">
        <f>IF(Расчет!BN227&lt;0,0,Расчет!BN227)</f>
        <v>0</v>
      </c>
      <c r="AT227" s="25">
        <f>Расчет!BY227</f>
        <v>0</v>
      </c>
      <c r="AU227" s="25">
        <f>Расчет!BZ227</f>
        <v>10</v>
      </c>
      <c r="AV227" s="25">
        <f>Расчет!CA227</f>
        <v>0</v>
      </c>
      <c r="AW227" s="25" t="str">
        <f>Расчет!CH227</f>
        <v>Аммофос 12:52:00</v>
      </c>
      <c r="AX227" s="25">
        <f>Расчет!DB227</f>
        <v>0</v>
      </c>
      <c r="AY227" s="25">
        <f>Расчет!DC227</f>
        <v>0</v>
      </c>
      <c r="AZ227" s="25">
        <f>Расчет!DG227</f>
        <v>0</v>
      </c>
      <c r="BA227" s="25">
        <f>Расчет!DH227</f>
        <v>0</v>
      </c>
      <c r="BB227" s="25">
        <f>Расчет!DI227</f>
        <v>0</v>
      </c>
      <c r="BC227" s="25" t="str">
        <f>Расчет!DR227</f>
        <v>Нет</v>
      </c>
      <c r="BD227" s="25">
        <f>Расчет!EB227</f>
        <v>0</v>
      </c>
      <c r="BE227" s="25">
        <f>Расчет!EF227</f>
        <v>0</v>
      </c>
      <c r="BF227" s="25" t="e">
        <f>Расчет!EI227</f>
        <v>#DIV/0!</v>
      </c>
      <c r="BG227" s="25" t="e">
        <f>Расчет!FA227</f>
        <v>#N/A</v>
      </c>
      <c r="BI227">
        <f>IF(Исходн.данные.!AH227=Исходн.данные.!$AC$4,0.6,1)</f>
        <v>1</v>
      </c>
      <c r="BJ227">
        <f>IF(Исходн.данные.!AH227=Исходн.данные.!$AC$4,0.8,IF(OR(Потребность!F227=Расчет2!$BI$10,Потребность!F227=Расчет2!$BI$7,Потребность!F227=Расчет2!$BK$14,Исходн.данные.!AI227=Исходн.данные.!$AI$11),1.3,1))</f>
        <v>1.3</v>
      </c>
      <c r="BK227">
        <f>IF(OR(Исходн.данные.!AH227=Исходн.данные.!$AD$7,Исходн.данные.!AH227=Исходн.данные.!$AD$8),0.75,1)</f>
        <v>1</v>
      </c>
    </row>
    <row r="228" spans="32:63" x14ac:dyDescent="0.2">
      <c r="AF228">
        <f>SUM(Исходн.данные.!AD228:AF228)</f>
        <v>0</v>
      </c>
      <c r="AG228" s="60">
        <f>SUM(Расчет!CI228:CK228)</f>
        <v>0.64</v>
      </c>
      <c r="AH228" s="60">
        <f>SUM(Расчет!DS228:DU228)</f>
        <v>0</v>
      </c>
      <c r="AI228" t="e">
        <f t="shared" si="6"/>
        <v>#N/A</v>
      </c>
      <c r="AJ228" t="e">
        <f t="shared" si="7"/>
        <v>#N/A</v>
      </c>
      <c r="AL228">
        <f>Потребность!G228*Потребность!H228</f>
        <v>0</v>
      </c>
      <c r="AM228" s="11" t="e">
        <f>Исходн.данные.!$AJ228*Расчет2!AO228</f>
        <v>#VALUE!</v>
      </c>
      <c r="AN228" s="11">
        <f>Исходн.данные.!$AJ228*Расчет2!AP228</f>
        <v>0</v>
      </c>
      <c r="AO228" s="25" t="str">
        <f>IF(Расчет!BF228=0,"X",Расчет!BF228)</f>
        <v>X</v>
      </c>
      <c r="AP228" s="25">
        <f>Расчет!BG228</f>
        <v>0</v>
      </c>
      <c r="AQ228" s="9">
        <f>IF(Расчет!BL228&lt;0,0,Расчет!BL228)</f>
        <v>0</v>
      </c>
      <c r="AR228" s="25">
        <f>IF(Расчет!BM228&lt;0,0,Расчет!BM228)</f>
        <v>0</v>
      </c>
      <c r="AS228" s="25">
        <f>IF(Расчет!BN228&lt;0,0,Расчет!BN228)</f>
        <v>0</v>
      </c>
      <c r="AT228" s="25">
        <f>Расчет!BY228</f>
        <v>0</v>
      </c>
      <c r="AU228" s="25">
        <f>Расчет!BZ228</f>
        <v>10</v>
      </c>
      <c r="AV228" s="25">
        <f>Расчет!CA228</f>
        <v>0</v>
      </c>
      <c r="AW228" s="25" t="str">
        <f>Расчет!CH228</f>
        <v>Аммофос 12:52:00</v>
      </c>
      <c r="AX228" s="25">
        <f>Расчет!DB228</f>
        <v>0</v>
      </c>
      <c r="AY228" s="25">
        <f>Расчет!DC228</f>
        <v>0</v>
      </c>
      <c r="AZ228" s="25">
        <f>Расчет!DG228</f>
        <v>0</v>
      </c>
      <c r="BA228" s="25">
        <f>Расчет!DH228</f>
        <v>0</v>
      </c>
      <c r="BB228" s="25">
        <f>Расчет!DI228</f>
        <v>0</v>
      </c>
      <c r="BC228" s="25" t="str">
        <f>Расчет!DR228</f>
        <v>Нет</v>
      </c>
      <c r="BD228" s="25">
        <f>Расчет!EB228</f>
        <v>0</v>
      </c>
      <c r="BE228" s="25">
        <f>Расчет!EF228</f>
        <v>0</v>
      </c>
      <c r="BF228" s="25" t="e">
        <f>Расчет!EI228</f>
        <v>#DIV/0!</v>
      </c>
      <c r="BG228" s="25" t="e">
        <f>Расчет!FA228</f>
        <v>#N/A</v>
      </c>
      <c r="BI228">
        <f>IF(Исходн.данные.!AH228=Исходн.данные.!$AC$4,0.6,1)</f>
        <v>1</v>
      </c>
      <c r="BJ228">
        <f>IF(Исходн.данные.!AH228=Исходн.данные.!$AC$4,0.8,IF(OR(Потребность!F228=Расчет2!$BI$10,Потребность!F228=Расчет2!$BI$7,Потребность!F228=Расчет2!$BK$14,Исходн.данные.!AI228=Исходн.данные.!$AI$11),1.3,1))</f>
        <v>1.3</v>
      </c>
      <c r="BK228">
        <f>IF(OR(Исходн.данные.!AH228=Исходн.данные.!$AD$7,Исходн.данные.!AH228=Исходн.данные.!$AD$8),0.75,1)</f>
        <v>1</v>
      </c>
    </row>
    <row r="229" spans="32:63" x14ac:dyDescent="0.2">
      <c r="AF229">
        <f>SUM(Исходн.данные.!AD229:AF229)</f>
        <v>0</v>
      </c>
      <c r="AG229" s="60">
        <f>SUM(Расчет!CI229:CK229)</f>
        <v>0.64</v>
      </c>
      <c r="AH229" s="60">
        <f>SUM(Расчет!DS229:DU229)</f>
        <v>0</v>
      </c>
      <c r="AI229" t="e">
        <f t="shared" si="6"/>
        <v>#N/A</v>
      </c>
      <c r="AJ229" t="e">
        <f t="shared" si="7"/>
        <v>#N/A</v>
      </c>
      <c r="AL229">
        <f>Потребность!G229*Потребность!H229</f>
        <v>0</v>
      </c>
      <c r="AM229" s="11" t="e">
        <f>Исходн.данные.!$AJ229*Расчет2!AO229</f>
        <v>#VALUE!</v>
      </c>
      <c r="AN229" s="11">
        <f>Исходн.данные.!$AJ229*Расчет2!AP229</f>
        <v>0</v>
      </c>
      <c r="AO229" s="25" t="str">
        <f>IF(Расчет!BF229=0,"X",Расчет!BF229)</f>
        <v>X</v>
      </c>
      <c r="AP229" s="25">
        <f>Расчет!BG229</f>
        <v>0</v>
      </c>
      <c r="AQ229" s="9">
        <f>IF(Расчет!BL229&lt;0,0,Расчет!BL229)</f>
        <v>0</v>
      </c>
      <c r="AR229" s="25">
        <f>IF(Расчет!BM229&lt;0,0,Расчет!BM229)</f>
        <v>0</v>
      </c>
      <c r="AS229" s="25">
        <f>IF(Расчет!BN229&lt;0,0,Расчет!BN229)</f>
        <v>0</v>
      </c>
      <c r="AT229" s="25">
        <f>Расчет!BY229</f>
        <v>0</v>
      </c>
      <c r="AU229" s="25">
        <f>Расчет!BZ229</f>
        <v>10</v>
      </c>
      <c r="AV229" s="25">
        <f>Расчет!CA229</f>
        <v>0</v>
      </c>
      <c r="AW229" s="25" t="str">
        <f>Расчет!CH229</f>
        <v>Аммофос 12:52:00</v>
      </c>
      <c r="AX229" s="25">
        <f>Расчет!DB229</f>
        <v>0</v>
      </c>
      <c r="AY229" s="25">
        <f>Расчет!DC229</f>
        <v>0</v>
      </c>
      <c r="AZ229" s="25">
        <f>Расчет!DG229</f>
        <v>0</v>
      </c>
      <c r="BA229" s="25">
        <f>Расчет!DH229</f>
        <v>0</v>
      </c>
      <c r="BB229" s="25">
        <f>Расчет!DI229</f>
        <v>0</v>
      </c>
      <c r="BC229" s="25" t="str">
        <f>Расчет!DR229</f>
        <v>Нет</v>
      </c>
      <c r="BD229" s="25">
        <f>Расчет!EB229</f>
        <v>0</v>
      </c>
      <c r="BE229" s="25">
        <f>Расчет!EF229</f>
        <v>0</v>
      </c>
      <c r="BF229" s="25" t="e">
        <f>Расчет!EI229</f>
        <v>#DIV/0!</v>
      </c>
      <c r="BG229" s="25" t="e">
        <f>Расчет!FA229</f>
        <v>#N/A</v>
      </c>
      <c r="BI229">
        <f>IF(Исходн.данные.!AH229=Исходн.данные.!$AC$4,0.6,1)</f>
        <v>1</v>
      </c>
      <c r="BJ229">
        <f>IF(Исходн.данные.!AH229=Исходн.данные.!$AC$4,0.8,IF(OR(Потребность!F229=Расчет2!$BI$10,Потребность!F229=Расчет2!$BI$7,Потребность!F229=Расчет2!$BK$14,Исходн.данные.!AI229=Исходн.данные.!$AI$11),1.3,1))</f>
        <v>1.3</v>
      </c>
      <c r="BK229">
        <f>IF(OR(Исходн.данные.!AH229=Исходн.данные.!$AD$7,Исходн.данные.!AH229=Исходн.данные.!$AD$8),0.75,1)</f>
        <v>1</v>
      </c>
    </row>
    <row r="230" spans="32:63" x14ac:dyDescent="0.2">
      <c r="AF230">
        <f>SUM(Исходн.данные.!AD230:AF230)</f>
        <v>0</v>
      </c>
      <c r="AG230" s="60">
        <f>SUM(Расчет!CI230:CK230)</f>
        <v>0.64</v>
      </c>
      <c r="AH230" s="60">
        <f>SUM(Расчет!DS230:DU230)</f>
        <v>0</v>
      </c>
      <c r="AI230" t="e">
        <f t="shared" si="6"/>
        <v>#N/A</v>
      </c>
      <c r="AJ230" t="e">
        <f t="shared" si="7"/>
        <v>#N/A</v>
      </c>
      <c r="AL230">
        <f>Потребность!G230*Потребность!H230</f>
        <v>0</v>
      </c>
      <c r="AM230" s="11" t="e">
        <f>Исходн.данные.!$AJ230*Расчет2!AO230</f>
        <v>#VALUE!</v>
      </c>
      <c r="AN230" s="11">
        <f>Исходн.данные.!$AJ230*Расчет2!AP230</f>
        <v>0</v>
      </c>
      <c r="AO230" s="25" t="str">
        <f>IF(Расчет!BF230=0,"X",Расчет!BF230)</f>
        <v>X</v>
      </c>
      <c r="AP230" s="25">
        <f>Расчет!BG230</f>
        <v>0</v>
      </c>
      <c r="AQ230" s="9">
        <f>IF(Расчет!BL230&lt;0,0,Расчет!BL230)</f>
        <v>0</v>
      </c>
      <c r="AR230" s="25">
        <f>IF(Расчет!BM230&lt;0,0,Расчет!BM230)</f>
        <v>0</v>
      </c>
      <c r="AS230" s="25">
        <f>IF(Расчет!BN230&lt;0,0,Расчет!BN230)</f>
        <v>0</v>
      </c>
      <c r="AT230" s="25">
        <f>Расчет!BY230</f>
        <v>0</v>
      </c>
      <c r="AU230" s="25">
        <f>Расчет!BZ230</f>
        <v>10</v>
      </c>
      <c r="AV230" s="25">
        <f>Расчет!CA230</f>
        <v>0</v>
      </c>
      <c r="AW230" s="25" t="str">
        <f>Расчет!CH230</f>
        <v>Аммофос 12:52:00</v>
      </c>
      <c r="AX230" s="25">
        <f>Расчет!DB230</f>
        <v>0</v>
      </c>
      <c r="AY230" s="25">
        <f>Расчет!DC230</f>
        <v>0</v>
      </c>
      <c r="AZ230" s="25">
        <f>Расчет!DG230</f>
        <v>0</v>
      </c>
      <c r="BA230" s="25">
        <f>Расчет!DH230</f>
        <v>0</v>
      </c>
      <c r="BB230" s="25">
        <f>Расчет!DI230</f>
        <v>0</v>
      </c>
      <c r="BC230" s="25" t="str">
        <f>Расчет!DR230</f>
        <v>Нет</v>
      </c>
      <c r="BD230" s="25">
        <f>Расчет!EB230</f>
        <v>0</v>
      </c>
      <c r="BE230" s="25">
        <f>Расчет!EF230</f>
        <v>0</v>
      </c>
      <c r="BF230" s="25" t="e">
        <f>Расчет!EI230</f>
        <v>#DIV/0!</v>
      </c>
      <c r="BG230" s="25" t="e">
        <f>Расчет!FA230</f>
        <v>#N/A</v>
      </c>
      <c r="BI230">
        <f>IF(Исходн.данные.!AH230=Исходн.данные.!$AC$4,0.6,1)</f>
        <v>1</v>
      </c>
      <c r="BJ230">
        <f>IF(Исходн.данные.!AH230=Исходн.данные.!$AC$4,0.8,IF(OR(Потребность!F230=Расчет2!$BI$10,Потребность!F230=Расчет2!$BI$7,Потребность!F230=Расчет2!$BK$14,Исходн.данные.!AI230=Исходн.данные.!$AI$11),1.3,1))</f>
        <v>1.3</v>
      </c>
      <c r="BK230">
        <f>IF(OR(Исходн.данные.!AH230=Исходн.данные.!$AD$7,Исходн.данные.!AH230=Исходн.данные.!$AD$8),0.75,1)</f>
        <v>1</v>
      </c>
    </row>
    <row r="231" spans="32:63" x14ac:dyDescent="0.2">
      <c r="AF231">
        <f>SUM(Исходн.данные.!AD231:AF231)</f>
        <v>0</v>
      </c>
      <c r="AG231" s="60">
        <f>SUM(Расчет!CI231:CK231)</f>
        <v>0.64</v>
      </c>
      <c r="AH231" s="60">
        <f>SUM(Расчет!DS231:DU231)</f>
        <v>0</v>
      </c>
      <c r="AI231" t="e">
        <f t="shared" si="6"/>
        <v>#N/A</v>
      </c>
      <c r="AJ231" t="e">
        <f t="shared" si="7"/>
        <v>#N/A</v>
      </c>
      <c r="AL231">
        <f>Потребность!G231*Потребность!H231</f>
        <v>0</v>
      </c>
      <c r="AM231" s="11" t="e">
        <f>Исходн.данные.!$AJ231*Расчет2!AO231</f>
        <v>#VALUE!</v>
      </c>
      <c r="AN231" s="11">
        <f>Исходн.данные.!$AJ231*Расчет2!AP231</f>
        <v>0</v>
      </c>
      <c r="AO231" s="25" t="str">
        <f>IF(Расчет!BF231=0,"X",Расчет!BF231)</f>
        <v>X</v>
      </c>
      <c r="AP231" s="25">
        <f>Расчет!BG231</f>
        <v>0</v>
      </c>
      <c r="AQ231" s="9">
        <f>IF(Расчет!BL231&lt;0,0,Расчет!BL231)</f>
        <v>0</v>
      </c>
      <c r="AR231" s="25">
        <f>IF(Расчет!BM231&lt;0,0,Расчет!BM231)</f>
        <v>0</v>
      </c>
      <c r="AS231" s="25">
        <f>IF(Расчет!BN231&lt;0,0,Расчет!BN231)</f>
        <v>0</v>
      </c>
      <c r="AT231" s="25">
        <f>Расчет!BY231</f>
        <v>0</v>
      </c>
      <c r="AU231" s="25">
        <f>Расчет!BZ231</f>
        <v>10</v>
      </c>
      <c r="AV231" s="25">
        <f>Расчет!CA231</f>
        <v>0</v>
      </c>
      <c r="AW231" s="25" t="str">
        <f>Расчет!CH231</f>
        <v>Аммофос 12:52:00</v>
      </c>
      <c r="AX231" s="25">
        <f>Расчет!DB231</f>
        <v>0</v>
      </c>
      <c r="AY231" s="25">
        <f>Расчет!DC231</f>
        <v>0</v>
      </c>
      <c r="AZ231" s="25">
        <f>Расчет!DG231</f>
        <v>0</v>
      </c>
      <c r="BA231" s="25">
        <f>Расчет!DH231</f>
        <v>0</v>
      </c>
      <c r="BB231" s="25">
        <f>Расчет!DI231</f>
        <v>0</v>
      </c>
      <c r="BC231" s="25" t="str">
        <f>Расчет!DR231</f>
        <v>Нет</v>
      </c>
      <c r="BD231" s="25">
        <f>Расчет!EB231</f>
        <v>0</v>
      </c>
      <c r="BE231" s="25">
        <f>Расчет!EF231</f>
        <v>0</v>
      </c>
      <c r="BF231" s="25" t="e">
        <f>Расчет!EI231</f>
        <v>#DIV/0!</v>
      </c>
      <c r="BG231" s="25" t="e">
        <f>Расчет!FA231</f>
        <v>#N/A</v>
      </c>
      <c r="BI231">
        <f>IF(Исходн.данные.!AH231=Исходн.данные.!$AC$4,0.6,1)</f>
        <v>1</v>
      </c>
      <c r="BJ231">
        <f>IF(Исходн.данные.!AH231=Исходн.данные.!$AC$4,0.8,IF(OR(Потребность!F231=Расчет2!$BI$10,Потребность!F231=Расчет2!$BI$7,Потребность!F231=Расчет2!$BK$14,Исходн.данные.!AI231=Исходн.данные.!$AI$11),1.3,1))</f>
        <v>1.3</v>
      </c>
      <c r="BK231">
        <f>IF(OR(Исходн.данные.!AH231=Исходн.данные.!$AD$7,Исходн.данные.!AH231=Исходн.данные.!$AD$8),0.75,1)</f>
        <v>1</v>
      </c>
    </row>
    <row r="232" spans="32:63" x14ac:dyDescent="0.2">
      <c r="AF232">
        <f>SUM(Исходн.данные.!AD232:AF232)</f>
        <v>0</v>
      </c>
      <c r="AG232" s="60">
        <f>SUM(Расчет!CI232:CK232)</f>
        <v>0.64</v>
      </c>
      <c r="AH232" s="60">
        <f>SUM(Расчет!DS232:DU232)</f>
        <v>0</v>
      </c>
      <c r="AI232" t="e">
        <f t="shared" si="6"/>
        <v>#N/A</v>
      </c>
      <c r="AJ232" t="e">
        <f t="shared" si="7"/>
        <v>#N/A</v>
      </c>
      <c r="AL232">
        <f>Потребность!G232*Потребность!H232</f>
        <v>0</v>
      </c>
      <c r="AM232" s="11" t="e">
        <f>Исходн.данные.!$AJ232*Расчет2!AO232</f>
        <v>#VALUE!</v>
      </c>
      <c r="AN232" s="11">
        <f>Исходн.данные.!$AJ232*Расчет2!AP232</f>
        <v>0</v>
      </c>
      <c r="AO232" s="25" t="str">
        <f>IF(Расчет!BF232=0,"X",Расчет!BF232)</f>
        <v>X</v>
      </c>
      <c r="AP232" s="25">
        <f>Расчет!BG232</f>
        <v>0</v>
      </c>
      <c r="AQ232" s="9">
        <f>IF(Расчет!BL232&lt;0,0,Расчет!BL232)</f>
        <v>0</v>
      </c>
      <c r="AR232" s="25">
        <f>IF(Расчет!BM232&lt;0,0,Расчет!BM232)</f>
        <v>0</v>
      </c>
      <c r="AS232" s="25">
        <f>IF(Расчет!BN232&lt;0,0,Расчет!BN232)</f>
        <v>0</v>
      </c>
      <c r="AT232" s="25">
        <f>Расчет!BY232</f>
        <v>0</v>
      </c>
      <c r="AU232" s="25">
        <f>Расчет!BZ232</f>
        <v>10</v>
      </c>
      <c r="AV232" s="25">
        <f>Расчет!CA232</f>
        <v>0</v>
      </c>
      <c r="AW232" s="25" t="str">
        <f>Расчет!CH232</f>
        <v>Аммофос 12:52:00</v>
      </c>
      <c r="AX232" s="25">
        <f>Расчет!DB232</f>
        <v>0</v>
      </c>
      <c r="AY232" s="25">
        <f>Расчет!DC232</f>
        <v>0</v>
      </c>
      <c r="AZ232" s="25">
        <f>Расчет!DG232</f>
        <v>0</v>
      </c>
      <c r="BA232" s="25">
        <f>Расчет!DH232</f>
        <v>0</v>
      </c>
      <c r="BB232" s="25">
        <f>Расчет!DI232</f>
        <v>0</v>
      </c>
      <c r="BC232" s="25" t="str">
        <f>Расчет!DR232</f>
        <v>Нет</v>
      </c>
      <c r="BD232" s="25">
        <f>Расчет!EB232</f>
        <v>0</v>
      </c>
      <c r="BE232" s="25">
        <f>Расчет!EF232</f>
        <v>0</v>
      </c>
      <c r="BF232" s="25" t="e">
        <f>Расчет!EI232</f>
        <v>#DIV/0!</v>
      </c>
      <c r="BG232" s="25" t="e">
        <f>Расчет!FA232</f>
        <v>#N/A</v>
      </c>
      <c r="BI232">
        <f>IF(Исходн.данные.!AH232=Исходн.данные.!$AC$4,0.6,1)</f>
        <v>1</v>
      </c>
      <c r="BJ232">
        <f>IF(Исходн.данные.!AH232=Исходн.данные.!$AC$4,0.8,IF(OR(Потребность!F232=Расчет2!$BI$10,Потребность!F232=Расчет2!$BI$7,Потребность!F232=Расчет2!$BK$14,Исходн.данные.!AI232=Исходн.данные.!$AI$11),1.3,1))</f>
        <v>1.3</v>
      </c>
      <c r="BK232">
        <f>IF(OR(Исходн.данные.!AH232=Исходн.данные.!$AD$7,Исходн.данные.!AH232=Исходн.данные.!$AD$8),0.75,1)</f>
        <v>1</v>
      </c>
    </row>
    <row r="233" spans="32:63" x14ac:dyDescent="0.2">
      <c r="AF233">
        <f>SUM(Исходн.данные.!AD233:AF233)</f>
        <v>0</v>
      </c>
      <c r="AG233" s="60">
        <f>SUM(Расчет!CI233:CK233)</f>
        <v>0.64</v>
      </c>
      <c r="AH233" s="60">
        <f>SUM(Расчет!DS233:DU233)</f>
        <v>0</v>
      </c>
      <c r="AI233" t="e">
        <f t="shared" si="6"/>
        <v>#N/A</v>
      </c>
      <c r="AJ233" t="e">
        <f t="shared" si="7"/>
        <v>#N/A</v>
      </c>
      <c r="AL233">
        <f>Потребность!G233*Потребность!H233</f>
        <v>0</v>
      </c>
      <c r="AM233" s="11" t="e">
        <f>Исходн.данные.!$AJ233*Расчет2!AO233</f>
        <v>#VALUE!</v>
      </c>
      <c r="AN233" s="11">
        <f>Исходн.данные.!$AJ233*Расчет2!AP233</f>
        <v>0</v>
      </c>
      <c r="AO233" s="25" t="str">
        <f>IF(Расчет!BF233=0,"X",Расчет!BF233)</f>
        <v>X</v>
      </c>
      <c r="AP233" s="25">
        <f>Расчет!BG233</f>
        <v>0</v>
      </c>
      <c r="AQ233" s="9">
        <f>IF(Расчет!BL233&lt;0,0,Расчет!BL233)</f>
        <v>0</v>
      </c>
      <c r="AR233" s="25">
        <f>IF(Расчет!BM233&lt;0,0,Расчет!BM233)</f>
        <v>0</v>
      </c>
      <c r="AS233" s="25">
        <f>IF(Расчет!BN233&lt;0,0,Расчет!BN233)</f>
        <v>0</v>
      </c>
      <c r="AT233" s="25">
        <f>Расчет!BY233</f>
        <v>0</v>
      </c>
      <c r="AU233" s="25">
        <f>Расчет!BZ233</f>
        <v>10</v>
      </c>
      <c r="AV233" s="25">
        <f>Расчет!CA233</f>
        <v>0</v>
      </c>
      <c r="AW233" s="25" t="str">
        <f>Расчет!CH233</f>
        <v>Аммофос 12:52:00</v>
      </c>
      <c r="AX233" s="25">
        <f>Расчет!DB233</f>
        <v>0</v>
      </c>
      <c r="AY233" s="25">
        <f>Расчет!DC233</f>
        <v>0</v>
      </c>
      <c r="AZ233" s="25">
        <f>Расчет!DG233</f>
        <v>0</v>
      </c>
      <c r="BA233" s="25">
        <f>Расчет!DH233</f>
        <v>0</v>
      </c>
      <c r="BB233" s="25">
        <f>Расчет!DI233</f>
        <v>0</v>
      </c>
      <c r="BC233" s="25" t="str">
        <f>Расчет!DR233</f>
        <v>Нет</v>
      </c>
      <c r="BD233" s="25">
        <f>Расчет!EB233</f>
        <v>0</v>
      </c>
      <c r="BE233" s="25">
        <f>Расчет!EF233</f>
        <v>0</v>
      </c>
      <c r="BF233" s="25" t="e">
        <f>Расчет!EI233</f>
        <v>#DIV/0!</v>
      </c>
      <c r="BG233" s="25" t="e">
        <f>Расчет!FA233</f>
        <v>#N/A</v>
      </c>
      <c r="BI233">
        <f>IF(Исходн.данные.!AH233=Исходн.данные.!$AC$4,0.6,1)</f>
        <v>1</v>
      </c>
      <c r="BJ233">
        <f>IF(Исходн.данные.!AH233=Исходн.данные.!$AC$4,0.8,IF(OR(Потребность!F233=Расчет2!$BI$10,Потребность!F233=Расчет2!$BI$7,Потребность!F233=Расчет2!$BK$14,Исходн.данные.!AI233=Исходн.данные.!$AI$11),1.3,1))</f>
        <v>1.3</v>
      </c>
      <c r="BK233">
        <f>IF(OR(Исходн.данные.!AH233=Исходн.данные.!$AD$7,Исходн.данные.!AH233=Исходн.данные.!$AD$8),0.75,1)</f>
        <v>1</v>
      </c>
    </row>
    <row r="234" spans="32:63" x14ac:dyDescent="0.2">
      <c r="AF234">
        <f>SUM(Исходн.данные.!AD234:AF234)</f>
        <v>0</v>
      </c>
      <c r="AG234" s="60">
        <f>SUM(Расчет!CI234:CK234)</f>
        <v>0.64</v>
      </c>
      <c r="AH234" s="60">
        <f>SUM(Расчет!DS234:DU234)</f>
        <v>0</v>
      </c>
      <c r="AI234" t="e">
        <f t="shared" si="6"/>
        <v>#N/A</v>
      </c>
      <c r="AJ234" t="e">
        <f t="shared" si="7"/>
        <v>#N/A</v>
      </c>
      <c r="AL234">
        <f>Потребность!G234*Потребность!H234</f>
        <v>0</v>
      </c>
      <c r="AM234" s="11" t="e">
        <f>Исходн.данные.!$AJ234*Расчет2!AO234</f>
        <v>#VALUE!</v>
      </c>
      <c r="AN234" s="11">
        <f>Исходн.данные.!$AJ234*Расчет2!AP234</f>
        <v>0</v>
      </c>
      <c r="AO234" s="25" t="str">
        <f>IF(Расчет!BF234=0,"X",Расчет!BF234)</f>
        <v>X</v>
      </c>
      <c r="AP234" s="25">
        <f>Расчет!BG234</f>
        <v>0</v>
      </c>
      <c r="AQ234" s="9">
        <f>IF(Расчет!BL234&lt;0,0,Расчет!BL234)</f>
        <v>0</v>
      </c>
      <c r="AR234" s="25">
        <f>IF(Расчет!BM234&lt;0,0,Расчет!BM234)</f>
        <v>0</v>
      </c>
      <c r="AS234" s="25">
        <f>IF(Расчет!BN234&lt;0,0,Расчет!BN234)</f>
        <v>0</v>
      </c>
      <c r="AT234" s="25">
        <f>Расчет!BY234</f>
        <v>0</v>
      </c>
      <c r="AU234" s="25">
        <f>Расчет!BZ234</f>
        <v>10</v>
      </c>
      <c r="AV234" s="25">
        <f>Расчет!CA234</f>
        <v>0</v>
      </c>
      <c r="AW234" s="25" t="str">
        <f>Расчет!CH234</f>
        <v>Аммофос 12:52:00</v>
      </c>
      <c r="AX234" s="25">
        <f>Расчет!DB234</f>
        <v>0</v>
      </c>
      <c r="AY234" s="25">
        <f>Расчет!DC234</f>
        <v>0</v>
      </c>
      <c r="AZ234" s="25">
        <f>Расчет!DG234</f>
        <v>0</v>
      </c>
      <c r="BA234" s="25">
        <f>Расчет!DH234</f>
        <v>0</v>
      </c>
      <c r="BB234" s="25">
        <f>Расчет!DI234</f>
        <v>0</v>
      </c>
      <c r="BC234" s="25" t="str">
        <f>Расчет!DR234</f>
        <v>Нет</v>
      </c>
      <c r="BD234" s="25">
        <f>Расчет!EB234</f>
        <v>0</v>
      </c>
      <c r="BE234" s="25">
        <f>Расчет!EF234</f>
        <v>0</v>
      </c>
      <c r="BF234" s="25" t="e">
        <f>Расчет!EI234</f>
        <v>#DIV/0!</v>
      </c>
      <c r="BG234" s="25" t="e">
        <f>Расчет!FA234</f>
        <v>#N/A</v>
      </c>
      <c r="BI234">
        <f>IF(Исходн.данные.!AH234=Исходн.данные.!$AC$4,0.6,1)</f>
        <v>1</v>
      </c>
      <c r="BJ234">
        <f>IF(Исходн.данные.!AH234=Исходн.данные.!$AC$4,0.8,IF(OR(Потребность!F234=Расчет2!$BI$10,Потребность!F234=Расчет2!$BI$7,Потребность!F234=Расчет2!$BK$14,Исходн.данные.!AI234=Исходн.данные.!$AI$11),1.3,1))</f>
        <v>1.3</v>
      </c>
      <c r="BK234">
        <f>IF(OR(Исходн.данные.!AH234=Исходн.данные.!$AD$7,Исходн.данные.!AH234=Исходн.данные.!$AD$8),0.75,1)</f>
        <v>1</v>
      </c>
    </row>
    <row r="235" spans="32:63" x14ac:dyDescent="0.2">
      <c r="AF235">
        <f>SUM(Исходн.данные.!AD235:AF235)</f>
        <v>0</v>
      </c>
      <c r="AG235" s="60">
        <f>SUM(Расчет!CI235:CK235)</f>
        <v>0.64</v>
      </c>
      <c r="AH235" s="60">
        <f>SUM(Расчет!DS235:DU235)</f>
        <v>0</v>
      </c>
      <c r="AI235" t="e">
        <f t="shared" si="6"/>
        <v>#N/A</v>
      </c>
      <c r="AJ235" t="e">
        <f t="shared" si="7"/>
        <v>#N/A</v>
      </c>
      <c r="AL235">
        <f>Потребность!G235*Потребность!H235</f>
        <v>0</v>
      </c>
      <c r="AM235" s="11" t="e">
        <f>Исходн.данные.!$AJ235*Расчет2!AO235</f>
        <v>#VALUE!</v>
      </c>
      <c r="AN235" s="11">
        <f>Исходн.данные.!$AJ235*Расчет2!AP235</f>
        <v>0</v>
      </c>
      <c r="AO235" s="25" t="str">
        <f>IF(Расчет!BF235=0,"X",Расчет!BF235)</f>
        <v>X</v>
      </c>
      <c r="AP235" s="25">
        <f>Расчет!BG235</f>
        <v>0</v>
      </c>
      <c r="AQ235" s="9">
        <f>IF(Расчет!BL235&lt;0,0,Расчет!BL235)</f>
        <v>0</v>
      </c>
      <c r="AR235" s="25">
        <f>IF(Расчет!BM235&lt;0,0,Расчет!BM235)</f>
        <v>0</v>
      </c>
      <c r="AS235" s="25">
        <f>IF(Расчет!BN235&lt;0,0,Расчет!BN235)</f>
        <v>0</v>
      </c>
      <c r="AT235" s="25">
        <f>Расчет!BY235</f>
        <v>0</v>
      </c>
      <c r="AU235" s="25">
        <f>Расчет!BZ235</f>
        <v>10</v>
      </c>
      <c r="AV235" s="25">
        <f>Расчет!CA235</f>
        <v>0</v>
      </c>
      <c r="AW235" s="25" t="str">
        <f>Расчет!CH235</f>
        <v>Аммофос 12:52:00</v>
      </c>
      <c r="AX235" s="25">
        <f>Расчет!DB235</f>
        <v>0</v>
      </c>
      <c r="AY235" s="25">
        <f>Расчет!DC235</f>
        <v>0</v>
      </c>
      <c r="AZ235" s="25">
        <f>Расчет!DG235</f>
        <v>0</v>
      </c>
      <c r="BA235" s="25">
        <f>Расчет!DH235</f>
        <v>0</v>
      </c>
      <c r="BB235" s="25">
        <f>Расчет!DI235</f>
        <v>0</v>
      </c>
      <c r="BC235" s="25" t="str">
        <f>Расчет!DR235</f>
        <v>Нет</v>
      </c>
      <c r="BD235" s="25">
        <f>Расчет!EB235</f>
        <v>0</v>
      </c>
      <c r="BE235" s="25">
        <f>Расчет!EF235</f>
        <v>0</v>
      </c>
      <c r="BF235" s="25" t="e">
        <f>Расчет!EI235</f>
        <v>#DIV/0!</v>
      </c>
      <c r="BG235" s="25" t="e">
        <f>Расчет!FA235</f>
        <v>#N/A</v>
      </c>
      <c r="BI235">
        <f>IF(Исходн.данные.!AH235=Исходн.данные.!$AC$4,0.6,1)</f>
        <v>1</v>
      </c>
      <c r="BJ235">
        <f>IF(Исходн.данные.!AH235=Исходн.данные.!$AC$4,0.8,IF(OR(Потребность!F235=Расчет2!$BI$10,Потребность!F235=Расчет2!$BI$7,Потребность!F235=Расчет2!$BK$14,Исходн.данные.!AI235=Исходн.данные.!$AI$11),1.3,1))</f>
        <v>1.3</v>
      </c>
      <c r="BK235">
        <f>IF(OR(Исходн.данные.!AH235=Исходн.данные.!$AD$7,Исходн.данные.!AH235=Исходн.данные.!$AD$8),0.75,1)</f>
        <v>1</v>
      </c>
    </row>
    <row r="236" spans="32:63" x14ac:dyDescent="0.2">
      <c r="AF236">
        <f>SUM(Исходн.данные.!AD236:AF236)</f>
        <v>0</v>
      </c>
      <c r="AG236" s="60">
        <f>SUM(Расчет!CI236:CK236)</f>
        <v>0.64</v>
      </c>
      <c r="AH236" s="60">
        <f>SUM(Расчет!DS236:DU236)</f>
        <v>0</v>
      </c>
      <c r="AI236" t="e">
        <f t="shared" si="6"/>
        <v>#N/A</v>
      </c>
      <c r="AJ236" t="e">
        <f t="shared" si="7"/>
        <v>#N/A</v>
      </c>
      <c r="AL236">
        <f>Потребность!G236*Потребность!H236</f>
        <v>0</v>
      </c>
      <c r="AM236" s="11" t="e">
        <f>Исходн.данные.!$AJ236*Расчет2!AO236</f>
        <v>#VALUE!</v>
      </c>
      <c r="AN236" s="11">
        <f>Исходн.данные.!$AJ236*Расчет2!AP236</f>
        <v>0</v>
      </c>
      <c r="AO236" s="25" t="str">
        <f>IF(Расчет!BF236=0,"X",Расчет!BF236)</f>
        <v>X</v>
      </c>
      <c r="AP236" s="25">
        <f>Расчет!BG236</f>
        <v>0</v>
      </c>
      <c r="AQ236" s="9">
        <f>IF(Расчет!BL236&lt;0,0,Расчет!BL236)</f>
        <v>0</v>
      </c>
      <c r="AR236" s="25">
        <f>IF(Расчет!BM236&lt;0,0,Расчет!BM236)</f>
        <v>0</v>
      </c>
      <c r="AS236" s="25">
        <f>IF(Расчет!BN236&lt;0,0,Расчет!BN236)</f>
        <v>0</v>
      </c>
      <c r="AT236" s="25">
        <f>Расчет!BY236</f>
        <v>0</v>
      </c>
      <c r="AU236" s="25">
        <f>Расчет!BZ236</f>
        <v>10</v>
      </c>
      <c r="AV236" s="25">
        <f>Расчет!CA236</f>
        <v>0</v>
      </c>
      <c r="AW236" s="25" t="str">
        <f>Расчет!CH236</f>
        <v>Аммофос 12:52:00</v>
      </c>
      <c r="AX236" s="25">
        <f>Расчет!DB236</f>
        <v>0</v>
      </c>
      <c r="AY236" s="25">
        <f>Расчет!DC236</f>
        <v>0</v>
      </c>
      <c r="AZ236" s="25">
        <f>Расчет!DG236</f>
        <v>0</v>
      </c>
      <c r="BA236" s="25">
        <f>Расчет!DH236</f>
        <v>0</v>
      </c>
      <c r="BB236" s="25">
        <f>Расчет!DI236</f>
        <v>0</v>
      </c>
      <c r="BC236" s="25" t="str">
        <f>Расчет!DR236</f>
        <v>Нет</v>
      </c>
      <c r="BD236" s="25">
        <f>Расчет!EB236</f>
        <v>0</v>
      </c>
      <c r="BE236" s="25">
        <f>Расчет!EF236</f>
        <v>0</v>
      </c>
      <c r="BF236" s="25" t="e">
        <f>Расчет!EI236</f>
        <v>#DIV/0!</v>
      </c>
      <c r="BG236" s="25" t="e">
        <f>Расчет!FA236</f>
        <v>#N/A</v>
      </c>
      <c r="BI236">
        <f>IF(Исходн.данные.!AH236=Исходн.данные.!$AC$4,0.6,1)</f>
        <v>1</v>
      </c>
      <c r="BJ236">
        <f>IF(Исходн.данные.!AH236=Исходн.данные.!$AC$4,0.8,IF(OR(Потребность!F236=Расчет2!$BI$10,Потребность!F236=Расчет2!$BI$7,Потребность!F236=Расчет2!$BK$14,Исходн.данные.!AI236=Исходн.данные.!$AI$11),1.3,1))</f>
        <v>1.3</v>
      </c>
      <c r="BK236">
        <f>IF(OR(Исходн.данные.!AH236=Исходн.данные.!$AD$7,Исходн.данные.!AH236=Исходн.данные.!$AD$8),0.75,1)</f>
        <v>1</v>
      </c>
    </row>
    <row r="237" spans="32:63" x14ac:dyDescent="0.2">
      <c r="AF237">
        <f>SUM(Исходн.данные.!AD237:AF237)</f>
        <v>0</v>
      </c>
      <c r="AG237" s="60">
        <f>SUM(Расчет!CI237:CK237)</f>
        <v>0.64</v>
      </c>
      <c r="AH237" s="60">
        <f>SUM(Расчет!DS237:DU237)</f>
        <v>0</v>
      </c>
      <c r="AI237" t="e">
        <f t="shared" si="6"/>
        <v>#N/A</v>
      </c>
      <c r="AJ237" t="e">
        <f t="shared" si="7"/>
        <v>#N/A</v>
      </c>
      <c r="AL237">
        <f>Потребность!G237*Потребность!H237</f>
        <v>0</v>
      </c>
      <c r="AM237" s="11" t="e">
        <f>Исходн.данные.!$AJ237*Расчет2!AO237</f>
        <v>#VALUE!</v>
      </c>
      <c r="AN237" s="11">
        <f>Исходн.данные.!$AJ237*Расчет2!AP237</f>
        <v>0</v>
      </c>
      <c r="AO237" s="25" t="str">
        <f>IF(Расчет!BF237=0,"X",Расчет!BF237)</f>
        <v>X</v>
      </c>
      <c r="AP237" s="25">
        <f>Расчет!BG237</f>
        <v>0</v>
      </c>
      <c r="AQ237" s="9">
        <f>IF(Расчет!BL237&lt;0,0,Расчет!BL237)</f>
        <v>0</v>
      </c>
      <c r="AR237" s="25">
        <f>IF(Расчет!BM237&lt;0,0,Расчет!BM237)</f>
        <v>0</v>
      </c>
      <c r="AS237" s="25">
        <f>IF(Расчет!BN237&lt;0,0,Расчет!BN237)</f>
        <v>0</v>
      </c>
      <c r="AT237" s="25">
        <f>Расчет!BY237</f>
        <v>0</v>
      </c>
      <c r="AU237" s="25">
        <f>Расчет!BZ237</f>
        <v>10</v>
      </c>
      <c r="AV237" s="25">
        <f>Расчет!CA237</f>
        <v>0</v>
      </c>
      <c r="AW237" s="25" t="str">
        <f>Расчет!CH237</f>
        <v>Аммофос 12:52:00</v>
      </c>
      <c r="AX237" s="25">
        <f>Расчет!DB237</f>
        <v>0</v>
      </c>
      <c r="AY237" s="25">
        <f>Расчет!DC237</f>
        <v>0</v>
      </c>
      <c r="AZ237" s="25">
        <f>Расчет!DG237</f>
        <v>0</v>
      </c>
      <c r="BA237" s="25">
        <f>Расчет!DH237</f>
        <v>0</v>
      </c>
      <c r="BB237" s="25">
        <f>Расчет!DI237</f>
        <v>0</v>
      </c>
      <c r="BC237" s="25" t="str">
        <f>Расчет!DR237</f>
        <v>Нет</v>
      </c>
      <c r="BD237" s="25">
        <f>Расчет!EB237</f>
        <v>0</v>
      </c>
      <c r="BE237" s="25">
        <f>Расчет!EF237</f>
        <v>0</v>
      </c>
      <c r="BF237" s="25" t="e">
        <f>Расчет!EI237</f>
        <v>#DIV/0!</v>
      </c>
      <c r="BG237" s="25" t="e">
        <f>Расчет!FA237</f>
        <v>#N/A</v>
      </c>
      <c r="BI237">
        <f>IF(Исходн.данные.!AH237=Исходн.данные.!$AC$4,0.6,1)</f>
        <v>1</v>
      </c>
      <c r="BJ237">
        <f>IF(Исходн.данные.!AH237=Исходн.данные.!$AC$4,0.8,IF(OR(Потребность!F237=Расчет2!$BI$10,Потребность!F237=Расчет2!$BI$7,Потребность!F237=Расчет2!$BK$14,Исходн.данные.!AI237=Исходн.данные.!$AI$11),1.3,1))</f>
        <v>1.3</v>
      </c>
      <c r="BK237">
        <f>IF(OR(Исходн.данные.!AH237=Исходн.данные.!$AD$7,Исходн.данные.!AH237=Исходн.данные.!$AD$8),0.75,1)</f>
        <v>1</v>
      </c>
    </row>
    <row r="238" spans="32:63" x14ac:dyDescent="0.2">
      <c r="AF238">
        <f>SUM(Исходн.данные.!AD238:AF238)</f>
        <v>0</v>
      </c>
      <c r="AG238" s="60">
        <f>SUM(Расчет!CI238:CK238)</f>
        <v>0.64</v>
      </c>
      <c r="AH238" s="60">
        <f>SUM(Расчет!DS238:DU238)</f>
        <v>0</v>
      </c>
      <c r="AI238" t="e">
        <f t="shared" si="6"/>
        <v>#N/A</v>
      </c>
      <c r="AJ238" t="e">
        <f t="shared" si="7"/>
        <v>#N/A</v>
      </c>
      <c r="AL238">
        <f>Потребность!G238*Потребность!H238</f>
        <v>0</v>
      </c>
      <c r="AM238" s="11" t="e">
        <f>Исходн.данные.!$AJ238*Расчет2!AO238</f>
        <v>#VALUE!</v>
      </c>
      <c r="AN238" s="11">
        <f>Исходн.данные.!$AJ238*Расчет2!AP238</f>
        <v>0</v>
      </c>
      <c r="AO238" s="25" t="str">
        <f>IF(Расчет!BF238=0,"X",Расчет!BF238)</f>
        <v>X</v>
      </c>
      <c r="AP238" s="25">
        <f>Расчет!BG238</f>
        <v>0</v>
      </c>
      <c r="AQ238" s="9">
        <f>IF(Расчет!BL238&lt;0,0,Расчет!BL238)</f>
        <v>0</v>
      </c>
      <c r="AR238" s="25">
        <f>IF(Расчет!BM238&lt;0,0,Расчет!BM238)</f>
        <v>0</v>
      </c>
      <c r="AS238" s="25">
        <f>IF(Расчет!BN238&lt;0,0,Расчет!BN238)</f>
        <v>0</v>
      </c>
      <c r="AT238" s="25">
        <f>Расчет!BY238</f>
        <v>0</v>
      </c>
      <c r="AU238" s="25">
        <f>Расчет!BZ238</f>
        <v>10</v>
      </c>
      <c r="AV238" s="25">
        <f>Расчет!CA238</f>
        <v>0</v>
      </c>
      <c r="AW238" s="25" t="str">
        <f>Расчет!CH238</f>
        <v>Аммофос 12:52:00</v>
      </c>
      <c r="AX238" s="25">
        <f>Расчет!DB238</f>
        <v>0</v>
      </c>
      <c r="AY238" s="25">
        <f>Расчет!DC238</f>
        <v>0</v>
      </c>
      <c r="AZ238" s="25">
        <f>Расчет!DG238</f>
        <v>0</v>
      </c>
      <c r="BA238" s="25">
        <f>Расчет!DH238</f>
        <v>0</v>
      </c>
      <c r="BB238" s="25">
        <f>Расчет!DI238</f>
        <v>0</v>
      </c>
      <c r="BC238" s="25" t="str">
        <f>Расчет!DR238</f>
        <v>Нет</v>
      </c>
      <c r="BD238" s="25">
        <f>Расчет!EB238</f>
        <v>0</v>
      </c>
      <c r="BE238" s="25">
        <f>Расчет!EF238</f>
        <v>0</v>
      </c>
      <c r="BF238" s="25" t="e">
        <f>Расчет!EI238</f>
        <v>#DIV/0!</v>
      </c>
      <c r="BG238" s="25" t="e">
        <f>Расчет!FA238</f>
        <v>#N/A</v>
      </c>
      <c r="BI238">
        <f>IF(Исходн.данные.!AH238=Исходн.данные.!$AC$4,0.6,1)</f>
        <v>1</v>
      </c>
      <c r="BJ238">
        <f>IF(Исходн.данные.!AH238=Исходн.данные.!$AC$4,0.8,IF(OR(Потребность!F238=Расчет2!$BI$10,Потребность!F238=Расчет2!$BI$7,Потребность!F238=Расчет2!$BK$14,Исходн.данные.!AI238=Исходн.данные.!$AI$11),1.3,1))</f>
        <v>1.3</v>
      </c>
      <c r="BK238">
        <f>IF(OR(Исходн.данные.!AH238=Исходн.данные.!$AD$7,Исходн.данные.!AH238=Исходн.данные.!$AD$8),0.75,1)</f>
        <v>1</v>
      </c>
    </row>
    <row r="239" spans="32:63" x14ac:dyDescent="0.2">
      <c r="AF239">
        <f>SUM(Исходн.данные.!AD239:AF239)</f>
        <v>0</v>
      </c>
      <c r="AG239" s="60">
        <f>SUM(Расчет!CI239:CK239)</f>
        <v>0.64</v>
      </c>
      <c r="AH239" s="60">
        <f>SUM(Расчет!DS239:DU239)</f>
        <v>0</v>
      </c>
      <c r="AI239" t="e">
        <f t="shared" si="6"/>
        <v>#N/A</v>
      </c>
      <c r="AJ239" t="e">
        <f t="shared" si="7"/>
        <v>#N/A</v>
      </c>
      <c r="AL239">
        <f>Потребность!G239*Потребность!H239</f>
        <v>0</v>
      </c>
      <c r="AM239" s="11" t="e">
        <f>Исходн.данные.!$AJ239*Расчет2!AO239</f>
        <v>#VALUE!</v>
      </c>
      <c r="AN239" s="11">
        <f>Исходн.данные.!$AJ239*Расчет2!AP239</f>
        <v>0</v>
      </c>
      <c r="AO239" s="25" t="str">
        <f>IF(Расчет!BF239=0,"X",Расчет!BF239)</f>
        <v>X</v>
      </c>
      <c r="AP239" s="25">
        <f>Расчет!BG239</f>
        <v>0</v>
      </c>
      <c r="AQ239" s="9">
        <f>IF(Расчет!BL239&lt;0,0,Расчет!BL239)</f>
        <v>0</v>
      </c>
      <c r="AR239" s="25">
        <f>IF(Расчет!BM239&lt;0,0,Расчет!BM239)</f>
        <v>0</v>
      </c>
      <c r="AS239" s="25">
        <f>IF(Расчет!BN239&lt;0,0,Расчет!BN239)</f>
        <v>0</v>
      </c>
      <c r="AT239" s="25">
        <f>Расчет!BY239</f>
        <v>0</v>
      </c>
      <c r="AU239" s="25">
        <f>Расчет!BZ239</f>
        <v>10</v>
      </c>
      <c r="AV239" s="25">
        <f>Расчет!CA239</f>
        <v>0</v>
      </c>
      <c r="AW239" s="25" t="str">
        <f>Расчет!CH239</f>
        <v>Аммофос 12:52:00</v>
      </c>
      <c r="AX239" s="25">
        <f>Расчет!DB239</f>
        <v>0</v>
      </c>
      <c r="AY239" s="25">
        <f>Расчет!DC239</f>
        <v>0</v>
      </c>
      <c r="AZ239" s="25">
        <f>Расчет!DG239</f>
        <v>0</v>
      </c>
      <c r="BA239" s="25">
        <f>Расчет!DH239</f>
        <v>0</v>
      </c>
      <c r="BB239" s="25">
        <f>Расчет!DI239</f>
        <v>0</v>
      </c>
      <c r="BC239" s="25" t="str">
        <f>Расчет!DR239</f>
        <v>Нет</v>
      </c>
      <c r="BD239" s="25">
        <f>Расчет!EB239</f>
        <v>0</v>
      </c>
      <c r="BE239" s="25">
        <f>Расчет!EF239</f>
        <v>0</v>
      </c>
      <c r="BF239" s="25" t="e">
        <f>Расчет!EI239</f>
        <v>#DIV/0!</v>
      </c>
      <c r="BG239" s="25" t="e">
        <f>Расчет!FA239</f>
        <v>#N/A</v>
      </c>
      <c r="BI239">
        <f>IF(Исходн.данные.!AH239=Исходн.данные.!$AC$4,0.6,1)</f>
        <v>1</v>
      </c>
      <c r="BJ239">
        <f>IF(Исходн.данные.!AH239=Исходн.данные.!$AC$4,0.8,IF(OR(Потребность!F239=Расчет2!$BI$10,Потребность!F239=Расчет2!$BI$7,Потребность!F239=Расчет2!$BK$14,Исходн.данные.!AI239=Исходн.данные.!$AI$11),1.3,1))</f>
        <v>1.3</v>
      </c>
      <c r="BK239">
        <f>IF(OR(Исходн.данные.!AH239=Исходн.данные.!$AD$7,Исходн.данные.!AH239=Исходн.данные.!$AD$8),0.75,1)</f>
        <v>1</v>
      </c>
    </row>
    <row r="240" spans="32:63" x14ac:dyDescent="0.2">
      <c r="AF240">
        <f>SUM(Исходн.данные.!AD240:AF240)</f>
        <v>0</v>
      </c>
      <c r="AG240" s="60">
        <f>SUM(Расчет!CI240:CK240)</f>
        <v>0.64</v>
      </c>
      <c r="AH240" s="60">
        <f>SUM(Расчет!DS240:DU240)</f>
        <v>0</v>
      </c>
      <c r="AI240" t="e">
        <f t="shared" si="6"/>
        <v>#N/A</v>
      </c>
      <c r="AJ240" t="e">
        <f t="shared" si="7"/>
        <v>#N/A</v>
      </c>
      <c r="AL240">
        <f>Потребность!G240*Потребность!H240</f>
        <v>0</v>
      </c>
      <c r="AM240" s="11" t="e">
        <f>Исходн.данные.!$AJ240*Расчет2!AO240</f>
        <v>#VALUE!</v>
      </c>
      <c r="AN240" s="11">
        <f>Исходн.данные.!$AJ240*Расчет2!AP240</f>
        <v>0</v>
      </c>
      <c r="AO240" s="25" t="str">
        <f>IF(Расчет!BF240=0,"X",Расчет!BF240)</f>
        <v>X</v>
      </c>
      <c r="AP240" s="25">
        <f>Расчет!BG240</f>
        <v>0</v>
      </c>
      <c r="AQ240" s="9">
        <f>IF(Расчет!BL240&lt;0,0,Расчет!BL240)</f>
        <v>0</v>
      </c>
      <c r="AR240" s="25">
        <f>IF(Расчет!BM240&lt;0,0,Расчет!BM240)</f>
        <v>0</v>
      </c>
      <c r="AS240" s="25">
        <f>IF(Расчет!BN240&lt;0,0,Расчет!BN240)</f>
        <v>0</v>
      </c>
      <c r="AT240" s="25">
        <f>Расчет!BY240</f>
        <v>0</v>
      </c>
      <c r="AU240" s="25">
        <f>Расчет!BZ240</f>
        <v>10</v>
      </c>
      <c r="AV240" s="25">
        <f>Расчет!CA240</f>
        <v>0</v>
      </c>
      <c r="AW240" s="25" t="str">
        <f>Расчет!CH240</f>
        <v>Аммофос 12:52:00</v>
      </c>
      <c r="AX240" s="25">
        <f>Расчет!DB240</f>
        <v>0</v>
      </c>
      <c r="AY240" s="25">
        <f>Расчет!DC240</f>
        <v>0</v>
      </c>
      <c r="AZ240" s="25">
        <f>Расчет!DG240</f>
        <v>0</v>
      </c>
      <c r="BA240" s="25">
        <f>Расчет!DH240</f>
        <v>0</v>
      </c>
      <c r="BB240" s="25">
        <f>Расчет!DI240</f>
        <v>0</v>
      </c>
      <c r="BC240" s="25" t="str">
        <f>Расчет!DR240</f>
        <v>Нет</v>
      </c>
      <c r="BD240" s="25">
        <f>Расчет!EB240</f>
        <v>0</v>
      </c>
      <c r="BE240" s="25">
        <f>Расчет!EF240</f>
        <v>0</v>
      </c>
      <c r="BF240" s="25" t="e">
        <f>Расчет!EI240</f>
        <v>#DIV/0!</v>
      </c>
      <c r="BG240" s="25" t="e">
        <f>Расчет!FA240</f>
        <v>#N/A</v>
      </c>
      <c r="BI240">
        <f>IF(Исходн.данные.!AH240=Исходн.данные.!$AC$4,0.6,1)</f>
        <v>1</v>
      </c>
      <c r="BJ240">
        <f>IF(Исходн.данные.!AH240=Исходн.данные.!$AC$4,0.8,IF(OR(Потребность!F240=Расчет2!$BI$10,Потребность!F240=Расчет2!$BI$7,Потребность!F240=Расчет2!$BK$14,Исходн.данные.!AI240=Исходн.данные.!$AI$11),1.3,1))</f>
        <v>1.3</v>
      </c>
      <c r="BK240">
        <f>IF(OR(Исходн.данные.!AH240=Исходн.данные.!$AD$7,Исходн.данные.!AH240=Исходн.данные.!$AD$8),0.75,1)</f>
        <v>1</v>
      </c>
    </row>
    <row r="241" spans="32:63" x14ac:dyDescent="0.2">
      <c r="AF241">
        <f>SUM(Исходн.данные.!AD241:AF241)</f>
        <v>0</v>
      </c>
      <c r="AG241" s="60">
        <f>SUM(Расчет!CI241:CK241)</f>
        <v>0.64</v>
      </c>
      <c r="AH241" s="60">
        <f>SUM(Расчет!DS241:DU241)</f>
        <v>0</v>
      </c>
      <c r="AI241" t="e">
        <f t="shared" si="6"/>
        <v>#N/A</v>
      </c>
      <c r="AJ241" t="e">
        <f t="shared" si="7"/>
        <v>#N/A</v>
      </c>
      <c r="AL241">
        <f>Потребность!G241*Потребность!H241</f>
        <v>0</v>
      </c>
      <c r="AM241" s="11" t="e">
        <f>Исходн.данные.!$AJ241*Расчет2!AO241</f>
        <v>#VALUE!</v>
      </c>
      <c r="AN241" s="11">
        <f>Исходн.данные.!$AJ241*Расчет2!AP241</f>
        <v>0</v>
      </c>
      <c r="AO241" s="25" t="str">
        <f>IF(Расчет!BF241=0,"X",Расчет!BF241)</f>
        <v>X</v>
      </c>
      <c r="AP241" s="25">
        <f>Расчет!BG241</f>
        <v>0</v>
      </c>
      <c r="AQ241" s="9">
        <f>IF(Расчет!BL241&lt;0,0,Расчет!BL241)</f>
        <v>0</v>
      </c>
      <c r="AR241" s="25">
        <f>IF(Расчет!BM241&lt;0,0,Расчет!BM241)</f>
        <v>0</v>
      </c>
      <c r="AS241" s="25">
        <f>IF(Расчет!BN241&lt;0,0,Расчет!BN241)</f>
        <v>0</v>
      </c>
      <c r="AT241" s="25">
        <f>Расчет!BY241</f>
        <v>0</v>
      </c>
      <c r="AU241" s="25">
        <f>Расчет!BZ241</f>
        <v>10</v>
      </c>
      <c r="AV241" s="25">
        <f>Расчет!CA241</f>
        <v>0</v>
      </c>
      <c r="AW241" s="25" t="str">
        <f>Расчет!CH241</f>
        <v>Аммофос 12:52:00</v>
      </c>
      <c r="AX241" s="25">
        <f>Расчет!DB241</f>
        <v>0</v>
      </c>
      <c r="AY241" s="25">
        <f>Расчет!DC241</f>
        <v>0</v>
      </c>
      <c r="AZ241" s="25">
        <f>Расчет!DG241</f>
        <v>0</v>
      </c>
      <c r="BA241" s="25">
        <f>Расчет!DH241</f>
        <v>0</v>
      </c>
      <c r="BB241" s="25">
        <f>Расчет!DI241</f>
        <v>0</v>
      </c>
      <c r="BC241" s="25" t="str">
        <f>Расчет!DR241</f>
        <v>Нет</v>
      </c>
      <c r="BD241" s="25">
        <f>Расчет!EB241</f>
        <v>0</v>
      </c>
      <c r="BE241" s="25">
        <f>Расчет!EF241</f>
        <v>0</v>
      </c>
      <c r="BF241" s="25" t="e">
        <f>Расчет!EI241</f>
        <v>#DIV/0!</v>
      </c>
      <c r="BG241" s="25" t="e">
        <f>Расчет!FA241</f>
        <v>#N/A</v>
      </c>
      <c r="BI241">
        <f>IF(Исходн.данные.!AH241=Исходн.данные.!$AC$4,0.6,1)</f>
        <v>1</v>
      </c>
      <c r="BJ241">
        <f>IF(Исходн.данные.!AH241=Исходн.данные.!$AC$4,0.8,IF(OR(Потребность!F241=Расчет2!$BI$10,Потребность!F241=Расчет2!$BI$7,Потребность!F241=Расчет2!$BK$14,Исходн.данные.!AI241=Исходн.данные.!$AI$11),1.3,1))</f>
        <v>1.3</v>
      </c>
      <c r="BK241">
        <f>IF(OR(Исходн.данные.!AH241=Исходн.данные.!$AD$7,Исходн.данные.!AH241=Исходн.данные.!$AD$8),0.75,1)</f>
        <v>1</v>
      </c>
    </row>
    <row r="242" spans="32:63" x14ac:dyDescent="0.2">
      <c r="AF242">
        <f>SUM(Исходн.данные.!AD242:AF242)</f>
        <v>0</v>
      </c>
      <c r="AG242" s="60">
        <f>SUM(Расчет!CI242:CK242)</f>
        <v>0.64</v>
      </c>
      <c r="AH242" s="60">
        <f>SUM(Расчет!DS242:DU242)</f>
        <v>0</v>
      </c>
      <c r="AI242" t="e">
        <f t="shared" si="6"/>
        <v>#N/A</v>
      </c>
      <c r="AJ242" t="e">
        <f t="shared" si="7"/>
        <v>#N/A</v>
      </c>
      <c r="AL242">
        <f>Потребность!G242*Потребность!H242</f>
        <v>0</v>
      </c>
      <c r="AM242" s="11" t="e">
        <f>Исходн.данные.!$AJ242*Расчет2!AO242</f>
        <v>#VALUE!</v>
      </c>
      <c r="AN242" s="11">
        <f>Исходн.данные.!$AJ242*Расчет2!AP242</f>
        <v>0</v>
      </c>
      <c r="AO242" s="25" t="str">
        <f>IF(Расчет!BF242=0,"X",Расчет!BF242)</f>
        <v>X</v>
      </c>
      <c r="AP242" s="25">
        <f>Расчет!BG242</f>
        <v>0</v>
      </c>
      <c r="AQ242" s="9">
        <f>IF(Расчет!BL242&lt;0,0,Расчет!BL242)</f>
        <v>0</v>
      </c>
      <c r="AR242" s="25">
        <f>IF(Расчет!BM242&lt;0,0,Расчет!BM242)</f>
        <v>0</v>
      </c>
      <c r="AS242" s="25">
        <f>IF(Расчет!BN242&lt;0,0,Расчет!BN242)</f>
        <v>0</v>
      </c>
      <c r="AT242" s="25">
        <f>Расчет!BY242</f>
        <v>0</v>
      </c>
      <c r="AU242" s="25">
        <f>Расчет!BZ242</f>
        <v>10</v>
      </c>
      <c r="AV242" s="25">
        <f>Расчет!CA242</f>
        <v>0</v>
      </c>
      <c r="AW242" s="25" t="str">
        <f>Расчет!CH242</f>
        <v>Аммофос 12:52:00</v>
      </c>
      <c r="AX242" s="25">
        <f>Расчет!DB242</f>
        <v>0</v>
      </c>
      <c r="AY242" s="25">
        <f>Расчет!DC242</f>
        <v>0</v>
      </c>
      <c r="AZ242" s="25">
        <f>Расчет!DG242</f>
        <v>0</v>
      </c>
      <c r="BA242" s="25">
        <f>Расчет!DH242</f>
        <v>0</v>
      </c>
      <c r="BB242" s="25">
        <f>Расчет!DI242</f>
        <v>0</v>
      </c>
      <c r="BC242" s="25" t="str">
        <f>Расчет!DR242</f>
        <v>Нет</v>
      </c>
      <c r="BD242" s="25">
        <f>Расчет!EB242</f>
        <v>0</v>
      </c>
      <c r="BE242" s="25">
        <f>Расчет!EF242</f>
        <v>0</v>
      </c>
      <c r="BF242" s="25" t="e">
        <f>Расчет!EI242</f>
        <v>#DIV/0!</v>
      </c>
      <c r="BG242" s="25" t="e">
        <f>Расчет!FA242</f>
        <v>#N/A</v>
      </c>
      <c r="BI242">
        <f>IF(Исходн.данные.!AH242=Исходн.данные.!$AC$4,0.6,1)</f>
        <v>1</v>
      </c>
      <c r="BJ242">
        <f>IF(Исходн.данные.!AH242=Исходн.данные.!$AC$4,0.8,IF(OR(Потребность!F242=Расчет2!$BI$10,Потребность!F242=Расчет2!$BI$7,Потребность!F242=Расчет2!$BK$14,Исходн.данные.!AI242=Исходн.данные.!$AI$11),1.3,1))</f>
        <v>1.3</v>
      </c>
      <c r="BK242">
        <f>IF(OR(Исходн.данные.!AH242=Исходн.данные.!$AD$7,Исходн.данные.!AH242=Исходн.данные.!$AD$8),0.75,1)</f>
        <v>1</v>
      </c>
    </row>
    <row r="243" spans="32:63" x14ac:dyDescent="0.2">
      <c r="AF243">
        <f>SUM(Исходн.данные.!AD243:AF243)</f>
        <v>0</v>
      </c>
      <c r="AG243" s="60">
        <f>SUM(Расчет!CI243:CK243)</f>
        <v>0.64</v>
      </c>
      <c r="AH243" s="60">
        <f>SUM(Расчет!DS243:DU243)</f>
        <v>0</v>
      </c>
      <c r="AI243" t="e">
        <f t="shared" si="6"/>
        <v>#N/A</v>
      </c>
      <c r="AJ243" t="e">
        <f t="shared" si="7"/>
        <v>#N/A</v>
      </c>
      <c r="AL243">
        <f>Потребность!G243*Потребность!H243</f>
        <v>0</v>
      </c>
      <c r="AM243" s="11" t="e">
        <f>Исходн.данные.!$AJ243*Расчет2!AO243</f>
        <v>#VALUE!</v>
      </c>
      <c r="AN243" s="11">
        <f>Исходн.данные.!$AJ243*Расчет2!AP243</f>
        <v>0</v>
      </c>
      <c r="AO243" s="25" t="str">
        <f>IF(Расчет!BF243=0,"X",Расчет!BF243)</f>
        <v>X</v>
      </c>
      <c r="AP243" s="25">
        <f>Расчет!BG243</f>
        <v>0</v>
      </c>
      <c r="AQ243" s="9">
        <f>IF(Расчет!BL243&lt;0,0,Расчет!BL243)</f>
        <v>0</v>
      </c>
      <c r="AR243" s="25">
        <f>IF(Расчет!BM243&lt;0,0,Расчет!BM243)</f>
        <v>0</v>
      </c>
      <c r="AS243" s="25">
        <f>IF(Расчет!BN243&lt;0,0,Расчет!BN243)</f>
        <v>0</v>
      </c>
      <c r="AT243" s="25">
        <f>Расчет!BY243</f>
        <v>0</v>
      </c>
      <c r="AU243" s="25">
        <f>Расчет!BZ243</f>
        <v>10</v>
      </c>
      <c r="AV243" s="25">
        <f>Расчет!CA243</f>
        <v>0</v>
      </c>
      <c r="AW243" s="25" t="str">
        <f>Расчет!CH243</f>
        <v>Аммофос 12:52:00</v>
      </c>
      <c r="AX243" s="25">
        <f>Расчет!DB243</f>
        <v>0</v>
      </c>
      <c r="AY243" s="25">
        <f>Расчет!DC243</f>
        <v>0</v>
      </c>
      <c r="AZ243" s="25">
        <f>Расчет!DG243</f>
        <v>0</v>
      </c>
      <c r="BA243" s="25">
        <f>Расчет!DH243</f>
        <v>0</v>
      </c>
      <c r="BB243" s="25">
        <f>Расчет!DI243</f>
        <v>0</v>
      </c>
      <c r="BC243" s="25" t="str">
        <f>Расчет!DR243</f>
        <v>Нет</v>
      </c>
      <c r="BD243" s="25">
        <f>Расчет!EB243</f>
        <v>0</v>
      </c>
      <c r="BE243" s="25">
        <f>Расчет!EF243</f>
        <v>0</v>
      </c>
      <c r="BF243" s="25" t="e">
        <f>Расчет!EI243</f>
        <v>#DIV/0!</v>
      </c>
      <c r="BG243" s="25" t="e">
        <f>Расчет!FA243</f>
        <v>#N/A</v>
      </c>
      <c r="BI243">
        <f>IF(Исходн.данные.!AH243=Исходн.данные.!$AC$4,0.6,1)</f>
        <v>1</v>
      </c>
      <c r="BJ243">
        <f>IF(Исходн.данные.!AH243=Исходн.данные.!$AC$4,0.8,IF(OR(Потребность!F243=Расчет2!$BI$10,Потребность!F243=Расчет2!$BI$7,Потребность!F243=Расчет2!$BK$14,Исходн.данные.!AI243=Исходн.данные.!$AI$11),1.3,1))</f>
        <v>1.3</v>
      </c>
      <c r="BK243">
        <f>IF(OR(Исходн.данные.!AH243=Исходн.данные.!$AD$7,Исходн.данные.!AH243=Исходн.данные.!$AD$8),0.75,1)</f>
        <v>1</v>
      </c>
    </row>
    <row r="244" spans="32:63" x14ac:dyDescent="0.2">
      <c r="AF244">
        <f>SUM(Исходн.данные.!AD244:AF244)</f>
        <v>0</v>
      </c>
      <c r="AG244" s="60">
        <f>SUM(Расчет!CI244:CK244)</f>
        <v>0.64</v>
      </c>
      <c r="AH244" s="60">
        <f>SUM(Расчет!DS244:DU244)</f>
        <v>0</v>
      </c>
      <c r="AI244" t="e">
        <f t="shared" si="6"/>
        <v>#N/A</v>
      </c>
      <c r="AJ244" t="e">
        <f t="shared" si="7"/>
        <v>#N/A</v>
      </c>
      <c r="AL244">
        <f>Потребность!G244*Потребность!H244</f>
        <v>0</v>
      </c>
      <c r="AM244" s="11" t="e">
        <f>Исходн.данные.!$AJ244*Расчет2!AO244</f>
        <v>#VALUE!</v>
      </c>
      <c r="AN244" s="11">
        <f>Исходн.данные.!$AJ244*Расчет2!AP244</f>
        <v>0</v>
      </c>
      <c r="AO244" s="25" t="str">
        <f>IF(Расчет!BF244=0,"X",Расчет!BF244)</f>
        <v>X</v>
      </c>
      <c r="AP244" s="25">
        <f>Расчет!BG244</f>
        <v>0</v>
      </c>
      <c r="AQ244" s="9">
        <f>IF(Расчет!BL244&lt;0,0,Расчет!BL244)</f>
        <v>0</v>
      </c>
      <c r="AR244" s="25">
        <f>IF(Расчет!BM244&lt;0,0,Расчет!BM244)</f>
        <v>0</v>
      </c>
      <c r="AS244" s="25">
        <f>IF(Расчет!BN244&lt;0,0,Расчет!BN244)</f>
        <v>0</v>
      </c>
      <c r="AT244" s="25">
        <f>Расчет!BY244</f>
        <v>0</v>
      </c>
      <c r="AU244" s="25">
        <f>Расчет!BZ244</f>
        <v>10</v>
      </c>
      <c r="AV244" s="25">
        <f>Расчет!CA244</f>
        <v>0</v>
      </c>
      <c r="AW244" s="25" t="str">
        <f>Расчет!CH244</f>
        <v>Аммофос 12:52:00</v>
      </c>
      <c r="AX244" s="25">
        <f>Расчет!DB244</f>
        <v>0</v>
      </c>
      <c r="AY244" s="25">
        <f>Расчет!DC244</f>
        <v>0</v>
      </c>
      <c r="AZ244" s="25">
        <f>Расчет!DG244</f>
        <v>0</v>
      </c>
      <c r="BA244" s="25">
        <f>Расчет!DH244</f>
        <v>0</v>
      </c>
      <c r="BB244" s="25">
        <f>Расчет!DI244</f>
        <v>0</v>
      </c>
      <c r="BC244" s="25" t="str">
        <f>Расчет!DR244</f>
        <v>Нет</v>
      </c>
      <c r="BD244" s="25">
        <f>Расчет!EB244</f>
        <v>0</v>
      </c>
      <c r="BE244" s="25">
        <f>Расчет!EF244</f>
        <v>0</v>
      </c>
      <c r="BF244" s="25" t="e">
        <f>Расчет!EI244</f>
        <v>#DIV/0!</v>
      </c>
      <c r="BG244" s="25" t="e">
        <f>Расчет!FA244</f>
        <v>#N/A</v>
      </c>
      <c r="BI244">
        <f>IF(Исходн.данные.!AH244=Исходн.данные.!$AC$4,0.6,1)</f>
        <v>1</v>
      </c>
      <c r="BJ244">
        <f>IF(Исходн.данные.!AH244=Исходн.данные.!$AC$4,0.8,IF(OR(Потребность!F244=Расчет2!$BI$10,Потребность!F244=Расчет2!$BI$7,Потребность!F244=Расчет2!$BK$14,Исходн.данные.!AI244=Исходн.данные.!$AI$11),1.3,1))</f>
        <v>1.3</v>
      </c>
      <c r="BK244">
        <f>IF(OR(Исходн.данные.!AH244=Исходн.данные.!$AD$7,Исходн.данные.!AH244=Исходн.данные.!$AD$8),0.75,1)</f>
        <v>1</v>
      </c>
    </row>
    <row r="245" spans="32:63" x14ac:dyDescent="0.2">
      <c r="AF245">
        <f>SUM(Исходн.данные.!AD245:AF245)</f>
        <v>0</v>
      </c>
      <c r="AG245" s="60">
        <f>SUM(Расчет!CI245:CK245)</f>
        <v>0.64</v>
      </c>
      <c r="AH245" s="60">
        <f>SUM(Расчет!DS245:DU245)</f>
        <v>0</v>
      </c>
      <c r="AI245" t="e">
        <f t="shared" si="6"/>
        <v>#N/A</v>
      </c>
      <c r="AJ245" t="e">
        <f t="shared" si="7"/>
        <v>#N/A</v>
      </c>
      <c r="AL245">
        <f>Потребность!G245*Потребность!H245</f>
        <v>0</v>
      </c>
      <c r="AM245" s="11" t="e">
        <f>Исходн.данные.!$AJ245*Расчет2!AO245</f>
        <v>#VALUE!</v>
      </c>
      <c r="AN245" s="11">
        <f>Исходн.данные.!$AJ245*Расчет2!AP245</f>
        <v>0</v>
      </c>
      <c r="AO245" s="25" t="str">
        <f>IF(Расчет!BF245=0,"X",Расчет!BF245)</f>
        <v>X</v>
      </c>
      <c r="AP245" s="25">
        <f>Расчет!BG245</f>
        <v>0</v>
      </c>
      <c r="AQ245" s="9">
        <f>IF(Расчет!BL245&lt;0,0,Расчет!BL245)</f>
        <v>0</v>
      </c>
      <c r="AR245" s="25">
        <f>IF(Расчет!BM245&lt;0,0,Расчет!BM245)</f>
        <v>0</v>
      </c>
      <c r="AS245" s="25">
        <f>IF(Расчет!BN245&lt;0,0,Расчет!BN245)</f>
        <v>0</v>
      </c>
      <c r="AT245" s="25">
        <f>Расчет!BY245</f>
        <v>0</v>
      </c>
      <c r="AU245" s="25">
        <f>Расчет!BZ245</f>
        <v>10</v>
      </c>
      <c r="AV245" s="25">
        <f>Расчет!CA245</f>
        <v>0</v>
      </c>
      <c r="AW245" s="25" t="str">
        <f>Расчет!CH245</f>
        <v>Аммофос 12:52:00</v>
      </c>
      <c r="AX245" s="25">
        <f>Расчет!DB245</f>
        <v>0</v>
      </c>
      <c r="AY245" s="25">
        <f>Расчет!DC245</f>
        <v>0</v>
      </c>
      <c r="AZ245" s="25">
        <f>Расчет!DG245</f>
        <v>0</v>
      </c>
      <c r="BA245" s="25">
        <f>Расчет!DH245</f>
        <v>0</v>
      </c>
      <c r="BB245" s="25">
        <f>Расчет!DI245</f>
        <v>0</v>
      </c>
      <c r="BC245" s="25" t="str">
        <f>Расчет!DR245</f>
        <v>Нет</v>
      </c>
      <c r="BD245" s="25">
        <f>Расчет!EB245</f>
        <v>0</v>
      </c>
      <c r="BE245" s="25">
        <f>Расчет!EF245</f>
        <v>0</v>
      </c>
      <c r="BF245" s="25" t="e">
        <f>Расчет!EI245</f>
        <v>#DIV/0!</v>
      </c>
      <c r="BG245" s="25" t="e">
        <f>Расчет!FA245</f>
        <v>#N/A</v>
      </c>
      <c r="BI245">
        <f>IF(Исходн.данные.!AH245=Исходн.данные.!$AC$4,0.6,1)</f>
        <v>1</v>
      </c>
      <c r="BJ245">
        <f>IF(Исходн.данные.!AH245=Исходн.данные.!$AC$4,0.8,IF(OR(Потребность!F245=Расчет2!$BI$10,Потребность!F245=Расчет2!$BI$7,Потребность!F245=Расчет2!$BK$14,Исходн.данные.!AI245=Исходн.данные.!$AI$11),1.3,1))</f>
        <v>1.3</v>
      </c>
      <c r="BK245">
        <f>IF(OR(Исходн.данные.!AH245=Исходн.данные.!$AD$7,Исходн.данные.!AH245=Исходн.данные.!$AD$8),0.75,1)</f>
        <v>1</v>
      </c>
    </row>
    <row r="246" spans="32:63" x14ac:dyDescent="0.2">
      <c r="AF246">
        <f>SUM(Исходн.данные.!AD246:AF246)</f>
        <v>0</v>
      </c>
      <c r="AG246" s="60">
        <f>SUM(Расчет!CI246:CK246)</f>
        <v>0.64</v>
      </c>
      <c r="AH246" s="60">
        <f>SUM(Расчет!DS246:DU246)</f>
        <v>0</v>
      </c>
      <c r="AI246" t="e">
        <f t="shared" si="6"/>
        <v>#N/A</v>
      </c>
      <c r="AJ246" t="e">
        <f t="shared" si="7"/>
        <v>#N/A</v>
      </c>
      <c r="AL246">
        <f>Потребность!G246*Потребность!H246</f>
        <v>0</v>
      </c>
      <c r="AM246" s="11" t="e">
        <f>Исходн.данные.!$AJ246*Расчет2!AO246</f>
        <v>#VALUE!</v>
      </c>
      <c r="AN246" s="11">
        <f>Исходн.данные.!$AJ246*Расчет2!AP246</f>
        <v>0</v>
      </c>
      <c r="AO246" s="25" t="str">
        <f>IF(Расчет!BF246=0,"X",Расчет!BF246)</f>
        <v>X</v>
      </c>
      <c r="AP246" s="25">
        <f>Расчет!BG246</f>
        <v>0</v>
      </c>
      <c r="AQ246" s="9">
        <f>IF(Расчет!BL246&lt;0,0,Расчет!BL246)</f>
        <v>0</v>
      </c>
      <c r="AR246" s="25">
        <f>IF(Расчет!BM246&lt;0,0,Расчет!BM246)</f>
        <v>0</v>
      </c>
      <c r="AS246" s="25">
        <f>IF(Расчет!BN246&lt;0,0,Расчет!BN246)</f>
        <v>0</v>
      </c>
      <c r="AT246" s="25">
        <f>Расчет!BY246</f>
        <v>0</v>
      </c>
      <c r="AU246" s="25">
        <f>Расчет!BZ246</f>
        <v>10</v>
      </c>
      <c r="AV246" s="25">
        <f>Расчет!CA246</f>
        <v>0</v>
      </c>
      <c r="AW246" s="25" t="str">
        <f>Расчет!CH246</f>
        <v>Аммофос 12:52:00</v>
      </c>
      <c r="AX246" s="25">
        <f>Расчет!DB246</f>
        <v>0</v>
      </c>
      <c r="AY246" s="25">
        <f>Расчет!DC246</f>
        <v>0</v>
      </c>
      <c r="AZ246" s="25">
        <f>Расчет!DG246</f>
        <v>0</v>
      </c>
      <c r="BA246" s="25">
        <f>Расчет!DH246</f>
        <v>0</v>
      </c>
      <c r="BB246" s="25">
        <f>Расчет!DI246</f>
        <v>0</v>
      </c>
      <c r="BC246" s="25" t="str">
        <f>Расчет!DR246</f>
        <v>Нет</v>
      </c>
      <c r="BD246" s="25">
        <f>Расчет!EB246</f>
        <v>0</v>
      </c>
      <c r="BE246" s="25">
        <f>Расчет!EF246</f>
        <v>0</v>
      </c>
      <c r="BF246" s="25" t="e">
        <f>Расчет!EI246</f>
        <v>#DIV/0!</v>
      </c>
      <c r="BG246" s="25" t="e">
        <f>Расчет!FA246</f>
        <v>#N/A</v>
      </c>
      <c r="BI246">
        <f>IF(Исходн.данные.!AH246=Исходн.данные.!$AC$4,0.6,1)</f>
        <v>1</v>
      </c>
      <c r="BJ246">
        <f>IF(Исходн.данные.!AH246=Исходн.данные.!$AC$4,0.8,IF(OR(Потребность!F246=Расчет2!$BI$10,Потребность!F246=Расчет2!$BI$7,Потребность!F246=Расчет2!$BK$14,Исходн.данные.!AI246=Исходн.данные.!$AI$11),1.3,1))</f>
        <v>1.3</v>
      </c>
      <c r="BK246">
        <f>IF(OR(Исходн.данные.!AH246=Исходн.данные.!$AD$7,Исходн.данные.!AH246=Исходн.данные.!$AD$8),0.75,1)</f>
        <v>1</v>
      </c>
    </row>
    <row r="247" spans="32:63" x14ac:dyDescent="0.2">
      <c r="AF247">
        <f>SUM(Исходн.данные.!AD247:AF247)</f>
        <v>0</v>
      </c>
      <c r="AG247" s="60">
        <f>SUM(Расчет!CI247:CK247)</f>
        <v>0.64</v>
      </c>
      <c r="AH247" s="60">
        <f>SUM(Расчет!DS247:DU247)</f>
        <v>0</v>
      </c>
      <c r="AI247" t="e">
        <f t="shared" si="6"/>
        <v>#N/A</v>
      </c>
      <c r="AJ247" t="e">
        <f t="shared" si="7"/>
        <v>#N/A</v>
      </c>
      <c r="AL247">
        <f>Потребность!G247*Потребность!H247</f>
        <v>0</v>
      </c>
      <c r="AM247" s="11" t="e">
        <f>Исходн.данные.!$AJ247*Расчет2!AO247</f>
        <v>#VALUE!</v>
      </c>
      <c r="AN247" s="11">
        <f>Исходн.данные.!$AJ247*Расчет2!AP247</f>
        <v>0</v>
      </c>
      <c r="AO247" s="25" t="str">
        <f>IF(Расчет!BF247=0,"X",Расчет!BF247)</f>
        <v>X</v>
      </c>
      <c r="AP247" s="25">
        <f>Расчет!BG247</f>
        <v>0</v>
      </c>
      <c r="AQ247" s="9">
        <f>IF(Расчет!BL247&lt;0,0,Расчет!BL247)</f>
        <v>0</v>
      </c>
      <c r="AR247" s="25">
        <f>IF(Расчет!BM247&lt;0,0,Расчет!BM247)</f>
        <v>0</v>
      </c>
      <c r="AS247" s="25">
        <f>IF(Расчет!BN247&lt;0,0,Расчет!BN247)</f>
        <v>0</v>
      </c>
      <c r="AT247" s="25">
        <f>Расчет!BY247</f>
        <v>0</v>
      </c>
      <c r="AU247" s="25">
        <f>Расчет!BZ247</f>
        <v>10</v>
      </c>
      <c r="AV247" s="25">
        <f>Расчет!CA247</f>
        <v>0</v>
      </c>
      <c r="AW247" s="25" t="str">
        <f>Расчет!CH247</f>
        <v>Аммофос 12:52:00</v>
      </c>
      <c r="AX247" s="25">
        <f>Расчет!DB247</f>
        <v>0</v>
      </c>
      <c r="AY247" s="25">
        <f>Расчет!DC247</f>
        <v>0</v>
      </c>
      <c r="AZ247" s="25">
        <f>Расчет!DG247</f>
        <v>0</v>
      </c>
      <c r="BA247" s="25">
        <f>Расчет!DH247</f>
        <v>0</v>
      </c>
      <c r="BB247" s="25">
        <f>Расчет!DI247</f>
        <v>0</v>
      </c>
      <c r="BC247" s="25" t="str">
        <f>Расчет!DR247</f>
        <v>Нет</v>
      </c>
      <c r="BD247" s="25">
        <f>Расчет!EB247</f>
        <v>0</v>
      </c>
      <c r="BE247" s="25">
        <f>Расчет!EF247</f>
        <v>0</v>
      </c>
      <c r="BF247" s="25" t="e">
        <f>Расчет!EI247</f>
        <v>#DIV/0!</v>
      </c>
      <c r="BG247" s="25" t="e">
        <f>Расчет!FA247</f>
        <v>#N/A</v>
      </c>
      <c r="BI247">
        <f>IF(Исходн.данные.!AH247=Исходн.данные.!$AC$4,0.6,1)</f>
        <v>1</v>
      </c>
      <c r="BJ247">
        <f>IF(Исходн.данные.!AH247=Исходн.данные.!$AC$4,0.8,IF(OR(Потребность!F247=Расчет2!$BI$10,Потребность!F247=Расчет2!$BI$7,Потребность!F247=Расчет2!$BK$14,Исходн.данные.!AI247=Исходн.данные.!$AI$11),1.3,1))</f>
        <v>1.3</v>
      </c>
      <c r="BK247">
        <f>IF(OR(Исходн.данные.!AH247=Исходн.данные.!$AD$7,Исходн.данные.!AH247=Исходн.данные.!$AD$8),0.75,1)</f>
        <v>1</v>
      </c>
    </row>
    <row r="248" spans="32:63" x14ac:dyDescent="0.2">
      <c r="AF248">
        <f>SUM(Исходн.данные.!AD248:AF248)</f>
        <v>0</v>
      </c>
      <c r="AG248" s="60">
        <f>SUM(Расчет!CI248:CK248)</f>
        <v>0.64</v>
      </c>
      <c r="AH248" s="60">
        <f>SUM(Расчет!DS248:DU248)</f>
        <v>0</v>
      </c>
      <c r="AI248" t="e">
        <f t="shared" si="6"/>
        <v>#N/A</v>
      </c>
      <c r="AJ248" t="e">
        <f t="shared" si="7"/>
        <v>#N/A</v>
      </c>
      <c r="AL248">
        <f>Потребность!G248*Потребность!H248</f>
        <v>0</v>
      </c>
      <c r="AM248" s="11" t="e">
        <f>Исходн.данные.!$AJ248*Расчет2!AO248</f>
        <v>#VALUE!</v>
      </c>
      <c r="AN248" s="11">
        <f>Исходн.данные.!$AJ248*Расчет2!AP248</f>
        <v>0</v>
      </c>
      <c r="AO248" s="25" t="str">
        <f>IF(Расчет!BF248=0,"X",Расчет!BF248)</f>
        <v>X</v>
      </c>
      <c r="AP248" s="25">
        <f>Расчет!BG248</f>
        <v>0</v>
      </c>
      <c r="AQ248" s="9">
        <f>IF(Расчет!BL248&lt;0,0,Расчет!BL248)</f>
        <v>0</v>
      </c>
      <c r="AR248" s="25">
        <f>IF(Расчет!BM248&lt;0,0,Расчет!BM248)</f>
        <v>0</v>
      </c>
      <c r="AS248" s="25">
        <f>IF(Расчет!BN248&lt;0,0,Расчет!BN248)</f>
        <v>0</v>
      </c>
      <c r="AT248" s="25">
        <f>Расчет!BY248</f>
        <v>0</v>
      </c>
      <c r="AU248" s="25">
        <f>Расчет!BZ248</f>
        <v>10</v>
      </c>
      <c r="AV248" s="25">
        <f>Расчет!CA248</f>
        <v>0</v>
      </c>
      <c r="AW248" s="25" t="str">
        <f>Расчет!CH248</f>
        <v>Аммофос 12:52:00</v>
      </c>
      <c r="AX248" s="25">
        <f>Расчет!DB248</f>
        <v>0</v>
      </c>
      <c r="AY248" s="25">
        <f>Расчет!DC248</f>
        <v>0</v>
      </c>
      <c r="AZ248" s="25">
        <f>Расчет!DG248</f>
        <v>0</v>
      </c>
      <c r="BA248" s="25">
        <f>Расчет!DH248</f>
        <v>0</v>
      </c>
      <c r="BB248" s="25">
        <f>Расчет!DI248</f>
        <v>0</v>
      </c>
      <c r="BC248" s="25" t="str">
        <f>Расчет!DR248</f>
        <v>Нет</v>
      </c>
      <c r="BD248" s="25">
        <f>Расчет!EB248</f>
        <v>0</v>
      </c>
      <c r="BE248" s="25">
        <f>Расчет!EF248</f>
        <v>0</v>
      </c>
      <c r="BF248" s="25" t="e">
        <f>Расчет!EI248</f>
        <v>#DIV/0!</v>
      </c>
      <c r="BG248" s="25" t="e">
        <f>Расчет!FA248</f>
        <v>#N/A</v>
      </c>
      <c r="BI248">
        <f>IF(Исходн.данные.!AH248=Исходн.данные.!$AC$4,0.6,1)</f>
        <v>1</v>
      </c>
      <c r="BJ248">
        <f>IF(Исходн.данные.!AH248=Исходн.данные.!$AC$4,0.8,IF(OR(Потребность!F248=Расчет2!$BI$10,Потребность!F248=Расчет2!$BI$7,Потребность!F248=Расчет2!$BK$14,Исходн.данные.!AI248=Исходн.данные.!$AI$11),1.3,1))</f>
        <v>1.3</v>
      </c>
      <c r="BK248">
        <f>IF(OR(Исходн.данные.!AH248=Исходн.данные.!$AD$7,Исходн.данные.!AH248=Исходн.данные.!$AD$8),0.75,1)</f>
        <v>1</v>
      </c>
    </row>
    <row r="249" spans="32:63" x14ac:dyDescent="0.2">
      <c r="AF249">
        <f>SUM(Исходн.данные.!AD249:AF249)</f>
        <v>0</v>
      </c>
      <c r="AG249" s="60">
        <f>SUM(Расчет!CI249:CK249)</f>
        <v>0.64</v>
      </c>
      <c r="AH249" s="60">
        <f>SUM(Расчет!DS249:DU249)</f>
        <v>0</v>
      </c>
      <c r="AI249" t="e">
        <f t="shared" si="6"/>
        <v>#N/A</v>
      </c>
      <c r="AJ249" t="e">
        <f t="shared" si="7"/>
        <v>#N/A</v>
      </c>
      <c r="AL249">
        <f>Потребность!G249*Потребность!H249</f>
        <v>0</v>
      </c>
      <c r="AM249" s="11" t="e">
        <f>Исходн.данные.!$AJ249*Расчет2!AO249</f>
        <v>#VALUE!</v>
      </c>
      <c r="AN249" s="11">
        <f>Исходн.данные.!$AJ249*Расчет2!AP249</f>
        <v>0</v>
      </c>
      <c r="AO249" s="25" t="str">
        <f>IF(Расчет!BF249=0,"X",Расчет!BF249)</f>
        <v>X</v>
      </c>
      <c r="AP249" s="25">
        <f>Расчет!BG249</f>
        <v>0</v>
      </c>
      <c r="AQ249" s="9">
        <f>IF(Расчет!BL249&lt;0,0,Расчет!BL249)</f>
        <v>0</v>
      </c>
      <c r="AR249" s="25">
        <f>IF(Расчет!BM249&lt;0,0,Расчет!BM249)</f>
        <v>0</v>
      </c>
      <c r="AS249" s="25">
        <f>IF(Расчет!BN249&lt;0,0,Расчет!BN249)</f>
        <v>0</v>
      </c>
      <c r="AT249" s="25">
        <f>Расчет!BY249</f>
        <v>0</v>
      </c>
      <c r="AU249" s="25">
        <f>Расчет!BZ249</f>
        <v>10</v>
      </c>
      <c r="AV249" s="25">
        <f>Расчет!CA249</f>
        <v>0</v>
      </c>
      <c r="AW249" s="25" t="str">
        <f>Расчет!CH249</f>
        <v>Аммофос 12:52:00</v>
      </c>
      <c r="AX249" s="25">
        <f>Расчет!DB249</f>
        <v>0</v>
      </c>
      <c r="AY249" s="25">
        <f>Расчет!DC249</f>
        <v>0</v>
      </c>
      <c r="AZ249" s="25">
        <f>Расчет!DG249</f>
        <v>0</v>
      </c>
      <c r="BA249" s="25">
        <f>Расчет!DH249</f>
        <v>0</v>
      </c>
      <c r="BB249" s="25">
        <f>Расчет!DI249</f>
        <v>0</v>
      </c>
      <c r="BC249" s="25" t="str">
        <f>Расчет!DR249</f>
        <v>Нет</v>
      </c>
      <c r="BD249" s="25">
        <f>Расчет!EB249</f>
        <v>0</v>
      </c>
      <c r="BE249" s="25">
        <f>Расчет!EF249</f>
        <v>0</v>
      </c>
      <c r="BF249" s="25" t="e">
        <f>Расчет!EI249</f>
        <v>#DIV/0!</v>
      </c>
      <c r="BG249" s="25" t="e">
        <f>Расчет!FA249</f>
        <v>#N/A</v>
      </c>
      <c r="BI249">
        <f>IF(Исходн.данные.!AH249=Исходн.данные.!$AC$4,0.6,1)</f>
        <v>1</v>
      </c>
      <c r="BJ249">
        <f>IF(Исходн.данные.!AH249=Исходн.данные.!$AC$4,0.8,IF(OR(Потребность!F249=Расчет2!$BI$10,Потребность!F249=Расчет2!$BI$7,Потребность!F249=Расчет2!$BK$14,Исходн.данные.!AI249=Исходн.данные.!$AI$11),1.3,1))</f>
        <v>1.3</v>
      </c>
      <c r="BK249">
        <f>IF(OR(Исходн.данные.!AH249=Исходн.данные.!$AD$7,Исходн.данные.!AH249=Исходн.данные.!$AD$8),0.75,1)</f>
        <v>1</v>
      </c>
    </row>
    <row r="250" spans="32:63" x14ac:dyDescent="0.2">
      <c r="AF250">
        <f>SUM(Исходн.данные.!AD250:AF250)</f>
        <v>0</v>
      </c>
      <c r="AG250" s="60">
        <f>SUM(Расчет!CI250:CK250)</f>
        <v>0.64</v>
      </c>
      <c r="AH250" s="60">
        <f>SUM(Расчет!DS250:DU250)</f>
        <v>0</v>
      </c>
      <c r="AI250" t="e">
        <f t="shared" si="6"/>
        <v>#N/A</v>
      </c>
      <c r="AJ250" t="e">
        <f t="shared" si="7"/>
        <v>#N/A</v>
      </c>
      <c r="AL250">
        <f>Потребность!G250*Потребность!H250</f>
        <v>0</v>
      </c>
      <c r="AM250" s="11" t="e">
        <f>Исходн.данные.!$AJ250*Расчет2!AO250</f>
        <v>#VALUE!</v>
      </c>
      <c r="AN250" s="11">
        <f>Исходн.данные.!$AJ250*Расчет2!AP250</f>
        <v>0</v>
      </c>
      <c r="AO250" s="25" t="str">
        <f>IF(Расчет!BF250=0,"X",Расчет!BF250)</f>
        <v>X</v>
      </c>
      <c r="AP250" s="25">
        <f>Расчет!BG250</f>
        <v>0</v>
      </c>
      <c r="AQ250" s="9">
        <f>IF(Расчет!BL250&lt;0,0,Расчет!BL250)</f>
        <v>0</v>
      </c>
      <c r="AR250" s="25">
        <f>IF(Расчет!BM250&lt;0,0,Расчет!BM250)</f>
        <v>0</v>
      </c>
      <c r="AS250" s="25">
        <f>IF(Расчет!BN250&lt;0,0,Расчет!BN250)</f>
        <v>0</v>
      </c>
      <c r="AT250" s="25">
        <f>Расчет!BY250</f>
        <v>0</v>
      </c>
      <c r="AU250" s="25">
        <f>Расчет!BZ250</f>
        <v>10</v>
      </c>
      <c r="AV250" s="25">
        <f>Расчет!CA250</f>
        <v>0</v>
      </c>
      <c r="AW250" s="25" t="str">
        <f>Расчет!CH250</f>
        <v>Аммофос 12:52:00</v>
      </c>
      <c r="AX250" s="25">
        <f>Расчет!DB250</f>
        <v>0</v>
      </c>
      <c r="AY250" s="25">
        <f>Расчет!DC250</f>
        <v>0</v>
      </c>
      <c r="AZ250" s="25">
        <f>Расчет!DG250</f>
        <v>0</v>
      </c>
      <c r="BA250" s="25">
        <f>Расчет!DH250</f>
        <v>0</v>
      </c>
      <c r="BB250" s="25">
        <f>Расчет!DI250</f>
        <v>0</v>
      </c>
      <c r="BC250" s="25" t="str">
        <f>Расчет!DR250</f>
        <v>Нет</v>
      </c>
      <c r="BD250" s="25">
        <f>Расчет!EB250</f>
        <v>0</v>
      </c>
      <c r="BE250" s="25">
        <f>Расчет!EF250</f>
        <v>0</v>
      </c>
      <c r="BF250" s="25" t="e">
        <f>Расчет!EI250</f>
        <v>#DIV/0!</v>
      </c>
      <c r="BG250" s="25" t="e">
        <f>Расчет!FA250</f>
        <v>#N/A</v>
      </c>
      <c r="BI250">
        <f>IF(Исходн.данные.!AH250=Исходн.данные.!$AC$4,0.6,1)</f>
        <v>1</v>
      </c>
      <c r="BJ250">
        <f>IF(Исходн.данные.!AH250=Исходн.данные.!$AC$4,0.8,IF(OR(Потребность!F250=Расчет2!$BI$10,Потребность!F250=Расчет2!$BI$7,Потребность!F250=Расчет2!$BK$14,Исходн.данные.!AI250=Исходн.данные.!$AI$11),1.3,1))</f>
        <v>1.3</v>
      </c>
      <c r="BK250">
        <f>IF(OR(Исходн.данные.!AH250=Исходн.данные.!$AD$7,Исходн.данные.!AH250=Исходн.данные.!$AD$8),0.75,1)</f>
        <v>1</v>
      </c>
    </row>
    <row r="251" spans="32:63" x14ac:dyDescent="0.2">
      <c r="AF251">
        <f>SUM(Исходн.данные.!AD251:AF251)</f>
        <v>0</v>
      </c>
      <c r="AG251" s="60">
        <f>SUM(Расчет!CI251:CK251)</f>
        <v>0.64</v>
      </c>
      <c r="AH251" s="60">
        <f>SUM(Расчет!DS251:DU251)</f>
        <v>0</v>
      </c>
      <c r="AI251" t="e">
        <f t="shared" si="6"/>
        <v>#N/A</v>
      </c>
      <c r="AJ251" t="e">
        <f t="shared" si="7"/>
        <v>#N/A</v>
      </c>
      <c r="AL251">
        <f>Потребность!G251*Потребность!H251</f>
        <v>0</v>
      </c>
      <c r="AM251" s="11" t="e">
        <f>Исходн.данные.!$AJ251*Расчет2!AO251</f>
        <v>#VALUE!</v>
      </c>
      <c r="AN251" s="11">
        <f>Исходн.данные.!$AJ251*Расчет2!AP251</f>
        <v>0</v>
      </c>
      <c r="AO251" s="25" t="str">
        <f>IF(Расчет!BF251=0,"X",Расчет!BF251)</f>
        <v>X</v>
      </c>
      <c r="AP251" s="25">
        <f>Расчет!BG251</f>
        <v>0</v>
      </c>
      <c r="AQ251" s="9">
        <f>IF(Расчет!BL251&lt;0,0,Расчет!BL251)</f>
        <v>0</v>
      </c>
      <c r="AR251" s="25">
        <f>IF(Расчет!BM251&lt;0,0,Расчет!BM251)</f>
        <v>0</v>
      </c>
      <c r="AS251" s="25">
        <f>IF(Расчет!BN251&lt;0,0,Расчет!BN251)</f>
        <v>0</v>
      </c>
      <c r="AT251" s="25">
        <f>Расчет!BY251</f>
        <v>0</v>
      </c>
      <c r="AU251" s="25">
        <f>Расчет!BZ251</f>
        <v>10</v>
      </c>
      <c r="AV251" s="25">
        <f>Расчет!CA251</f>
        <v>0</v>
      </c>
      <c r="AW251" s="25" t="str">
        <f>Расчет!CH251</f>
        <v>Аммофос 12:52:00</v>
      </c>
      <c r="AX251" s="25">
        <f>Расчет!DB251</f>
        <v>0</v>
      </c>
      <c r="AY251" s="25">
        <f>Расчет!DC251</f>
        <v>0</v>
      </c>
      <c r="AZ251" s="25">
        <f>Расчет!DG251</f>
        <v>0</v>
      </c>
      <c r="BA251" s="25">
        <f>Расчет!DH251</f>
        <v>0</v>
      </c>
      <c r="BB251" s="25">
        <f>Расчет!DI251</f>
        <v>0</v>
      </c>
      <c r="BC251" s="25" t="str">
        <f>Расчет!DR251</f>
        <v>Нет</v>
      </c>
      <c r="BD251" s="25">
        <f>Расчет!EB251</f>
        <v>0</v>
      </c>
      <c r="BE251" s="25">
        <f>Расчет!EF251</f>
        <v>0</v>
      </c>
      <c r="BF251" s="25" t="e">
        <f>Расчет!EI251</f>
        <v>#DIV/0!</v>
      </c>
      <c r="BG251" s="25" t="e">
        <f>Расчет!FA251</f>
        <v>#N/A</v>
      </c>
      <c r="BI251">
        <f>IF(Исходн.данные.!AH251=Исходн.данные.!$AC$4,0.6,1)</f>
        <v>1</v>
      </c>
      <c r="BJ251">
        <f>IF(Исходн.данные.!AH251=Исходн.данные.!$AC$4,0.8,IF(OR(Потребность!F251=Расчет2!$BI$10,Потребность!F251=Расчет2!$BI$7,Потребность!F251=Расчет2!$BK$14,Исходн.данные.!AI251=Исходн.данные.!$AI$11),1.3,1))</f>
        <v>1.3</v>
      </c>
      <c r="BK251">
        <f>IF(OR(Исходн.данные.!AH251=Исходн.данные.!$AD$7,Исходн.данные.!AH251=Исходн.данные.!$AD$8),0.75,1)</f>
        <v>1</v>
      </c>
    </row>
    <row r="252" spans="32:63" x14ac:dyDescent="0.2">
      <c r="AF252">
        <f>SUM(Исходн.данные.!AD252:AF252)</f>
        <v>0</v>
      </c>
      <c r="AG252" s="60">
        <f>SUM(Расчет!CI252:CK252)</f>
        <v>0.64</v>
      </c>
      <c r="AH252" s="60">
        <f>SUM(Расчет!DS252:DU252)</f>
        <v>0</v>
      </c>
      <c r="AI252" t="e">
        <f t="shared" si="6"/>
        <v>#N/A</v>
      </c>
      <c r="AJ252" t="e">
        <f t="shared" si="7"/>
        <v>#N/A</v>
      </c>
      <c r="AL252">
        <f>Потребность!G252*Потребность!H252</f>
        <v>0</v>
      </c>
      <c r="AM252" s="11" t="e">
        <f>Исходн.данные.!$AJ252*Расчет2!AO252</f>
        <v>#VALUE!</v>
      </c>
      <c r="AN252" s="11">
        <f>Исходн.данные.!$AJ252*Расчет2!AP252</f>
        <v>0</v>
      </c>
      <c r="AO252" s="25" t="str">
        <f>IF(Расчет!BF252=0,"X",Расчет!BF252)</f>
        <v>X</v>
      </c>
      <c r="AP252" s="25">
        <f>Расчет!BG252</f>
        <v>0</v>
      </c>
      <c r="AQ252" s="9">
        <f>IF(Расчет!BL252&lt;0,0,Расчет!BL252)</f>
        <v>0</v>
      </c>
      <c r="AR252" s="25">
        <f>IF(Расчет!BM252&lt;0,0,Расчет!BM252)</f>
        <v>0</v>
      </c>
      <c r="AS252" s="25">
        <f>IF(Расчет!BN252&lt;0,0,Расчет!BN252)</f>
        <v>0</v>
      </c>
      <c r="AT252" s="25">
        <f>Расчет!BY252</f>
        <v>0</v>
      </c>
      <c r="AU252" s="25">
        <f>Расчет!BZ252</f>
        <v>10</v>
      </c>
      <c r="AV252" s="25">
        <f>Расчет!CA252</f>
        <v>0</v>
      </c>
      <c r="AW252" s="25" t="str">
        <f>Расчет!CH252</f>
        <v>Аммофос 12:52:00</v>
      </c>
      <c r="AX252" s="25">
        <f>Расчет!DB252</f>
        <v>0</v>
      </c>
      <c r="AY252" s="25">
        <f>Расчет!DC252</f>
        <v>0</v>
      </c>
      <c r="AZ252" s="25">
        <f>Расчет!DG252</f>
        <v>0</v>
      </c>
      <c r="BA252" s="25">
        <f>Расчет!DH252</f>
        <v>0</v>
      </c>
      <c r="BB252" s="25">
        <f>Расчет!DI252</f>
        <v>0</v>
      </c>
      <c r="BC252" s="25" t="str">
        <f>Расчет!DR252</f>
        <v>Нет</v>
      </c>
      <c r="BD252" s="25">
        <f>Расчет!EB252</f>
        <v>0</v>
      </c>
      <c r="BE252" s="25">
        <f>Расчет!EF252</f>
        <v>0</v>
      </c>
      <c r="BF252" s="25" t="e">
        <f>Расчет!EI252</f>
        <v>#DIV/0!</v>
      </c>
      <c r="BG252" s="25" t="e">
        <f>Расчет!FA252</f>
        <v>#N/A</v>
      </c>
      <c r="BI252">
        <f>IF(Исходн.данные.!AH252=Исходн.данные.!$AC$4,0.6,1)</f>
        <v>1</v>
      </c>
      <c r="BJ252">
        <f>IF(Исходн.данные.!AH252=Исходн.данные.!$AC$4,0.8,IF(OR(Потребность!F252=Расчет2!$BI$10,Потребность!F252=Расчет2!$BI$7,Потребность!F252=Расчет2!$BK$14,Исходн.данные.!AI252=Исходн.данные.!$AI$11),1.3,1))</f>
        <v>1.3</v>
      </c>
      <c r="BK252">
        <f>IF(OR(Исходн.данные.!AH252=Исходн.данные.!$AD$7,Исходн.данные.!AH252=Исходн.данные.!$AD$8),0.75,1)</f>
        <v>1</v>
      </c>
    </row>
    <row r="253" spans="32:63" x14ac:dyDescent="0.2">
      <c r="AF253">
        <f>SUM(Исходн.данные.!AD253:AF253)</f>
        <v>0</v>
      </c>
      <c r="AG253" s="60">
        <f>SUM(Расчет!CI253:CK253)</f>
        <v>0.64</v>
      </c>
      <c r="AH253" s="60">
        <f>SUM(Расчет!DS253:DU253)</f>
        <v>0</v>
      </c>
      <c r="AI253" t="e">
        <f t="shared" si="6"/>
        <v>#N/A</v>
      </c>
      <c r="AJ253" t="e">
        <f t="shared" si="7"/>
        <v>#N/A</v>
      </c>
      <c r="AL253">
        <f>Потребность!G253*Потребность!H253</f>
        <v>0</v>
      </c>
      <c r="AM253" s="11" t="e">
        <f>Исходн.данные.!$AJ253*Расчет2!AO253</f>
        <v>#VALUE!</v>
      </c>
      <c r="AN253" s="11">
        <f>Исходн.данные.!$AJ253*Расчет2!AP253</f>
        <v>0</v>
      </c>
      <c r="AO253" s="25" t="str">
        <f>IF(Расчет!BF253=0,"X",Расчет!BF253)</f>
        <v>X</v>
      </c>
      <c r="AP253" s="25">
        <f>Расчет!BG253</f>
        <v>0</v>
      </c>
      <c r="AQ253" s="9">
        <f>IF(Расчет!BL253&lt;0,0,Расчет!BL253)</f>
        <v>0</v>
      </c>
      <c r="AR253" s="25">
        <f>IF(Расчет!BM253&lt;0,0,Расчет!BM253)</f>
        <v>0</v>
      </c>
      <c r="AS253" s="25">
        <f>IF(Расчет!BN253&lt;0,0,Расчет!BN253)</f>
        <v>0</v>
      </c>
      <c r="AT253" s="25">
        <f>Расчет!BY253</f>
        <v>0</v>
      </c>
      <c r="AU253" s="25">
        <f>Расчет!BZ253</f>
        <v>10</v>
      </c>
      <c r="AV253" s="25">
        <f>Расчет!CA253</f>
        <v>0</v>
      </c>
      <c r="AW253" s="25" t="str">
        <f>Расчет!CH253</f>
        <v>Аммофос 12:52:00</v>
      </c>
      <c r="AX253" s="25">
        <f>Расчет!DB253</f>
        <v>0</v>
      </c>
      <c r="AY253" s="25">
        <f>Расчет!DC253</f>
        <v>0</v>
      </c>
      <c r="AZ253" s="25">
        <f>Расчет!DG253</f>
        <v>0</v>
      </c>
      <c r="BA253" s="25">
        <f>Расчет!DH253</f>
        <v>0</v>
      </c>
      <c r="BB253" s="25">
        <f>Расчет!DI253</f>
        <v>0</v>
      </c>
      <c r="BC253" s="25" t="str">
        <f>Расчет!DR253</f>
        <v>Нет</v>
      </c>
      <c r="BD253" s="25">
        <f>Расчет!EB253</f>
        <v>0</v>
      </c>
      <c r="BE253" s="25">
        <f>Расчет!EF253</f>
        <v>0</v>
      </c>
      <c r="BF253" s="25" t="e">
        <f>Расчет!EI253</f>
        <v>#DIV/0!</v>
      </c>
      <c r="BG253" s="25" t="e">
        <f>Расчет!FA253</f>
        <v>#N/A</v>
      </c>
      <c r="BI253">
        <f>IF(Исходн.данные.!AH253=Исходн.данные.!$AC$4,0.6,1)</f>
        <v>1</v>
      </c>
      <c r="BJ253">
        <f>IF(Исходн.данные.!AH253=Исходн.данные.!$AC$4,0.8,IF(OR(Потребность!F253=Расчет2!$BI$10,Потребность!F253=Расчет2!$BI$7,Потребность!F253=Расчет2!$BK$14,Исходн.данные.!AI253=Исходн.данные.!$AI$11),1.3,1))</f>
        <v>1.3</v>
      </c>
      <c r="BK253">
        <f>IF(OR(Исходн.данные.!AH253=Исходн.данные.!$AD$7,Исходн.данные.!AH253=Исходн.данные.!$AD$8),0.75,1)</f>
        <v>1</v>
      </c>
    </row>
    <row r="254" spans="32:63" x14ac:dyDescent="0.2">
      <c r="AF254">
        <f>SUM(Исходн.данные.!AD254:AF254)</f>
        <v>0</v>
      </c>
      <c r="AG254" s="60">
        <f>SUM(Расчет!CI254:CK254)</f>
        <v>0.64</v>
      </c>
      <c r="AH254" s="60">
        <f>SUM(Расчет!DS254:DU254)</f>
        <v>0</v>
      </c>
      <c r="AI254" t="e">
        <f t="shared" si="6"/>
        <v>#N/A</v>
      </c>
      <c r="AJ254" t="e">
        <f t="shared" si="7"/>
        <v>#N/A</v>
      </c>
      <c r="AL254">
        <f>Потребность!G254*Потребность!H254</f>
        <v>0</v>
      </c>
      <c r="AM254" s="11" t="e">
        <f>Исходн.данные.!$AJ254*Расчет2!AO254</f>
        <v>#VALUE!</v>
      </c>
      <c r="AN254" s="11">
        <f>Исходн.данные.!$AJ254*Расчет2!AP254</f>
        <v>0</v>
      </c>
      <c r="AO254" s="25" t="str">
        <f>IF(Расчет!BF254=0,"X",Расчет!BF254)</f>
        <v>X</v>
      </c>
      <c r="AP254" s="25">
        <f>Расчет!BG254</f>
        <v>0</v>
      </c>
      <c r="AQ254" s="9">
        <f>IF(Расчет!BL254&lt;0,0,Расчет!BL254)</f>
        <v>0</v>
      </c>
      <c r="AR254" s="25">
        <f>IF(Расчет!BM254&lt;0,0,Расчет!BM254)</f>
        <v>0</v>
      </c>
      <c r="AS254" s="25">
        <f>IF(Расчет!BN254&lt;0,0,Расчет!BN254)</f>
        <v>0</v>
      </c>
      <c r="AT254" s="25">
        <f>Расчет!BY254</f>
        <v>0</v>
      </c>
      <c r="AU254" s="25">
        <f>Расчет!BZ254</f>
        <v>10</v>
      </c>
      <c r="AV254" s="25">
        <f>Расчет!CA254</f>
        <v>0</v>
      </c>
      <c r="AW254" s="25" t="str">
        <f>Расчет!CH254</f>
        <v>Аммофос 12:52:00</v>
      </c>
      <c r="AX254" s="25">
        <f>Расчет!DB254</f>
        <v>0</v>
      </c>
      <c r="AY254" s="25">
        <f>Расчет!DC254</f>
        <v>0</v>
      </c>
      <c r="AZ254" s="25">
        <f>Расчет!DG254</f>
        <v>0</v>
      </c>
      <c r="BA254" s="25">
        <f>Расчет!DH254</f>
        <v>0</v>
      </c>
      <c r="BB254" s="25">
        <f>Расчет!DI254</f>
        <v>0</v>
      </c>
      <c r="BC254" s="25" t="str">
        <f>Расчет!DR254</f>
        <v>Нет</v>
      </c>
      <c r="BD254" s="25">
        <f>Расчет!EB254</f>
        <v>0</v>
      </c>
      <c r="BE254" s="25">
        <f>Расчет!EF254</f>
        <v>0</v>
      </c>
      <c r="BF254" s="25" t="e">
        <f>Расчет!EI254</f>
        <v>#DIV/0!</v>
      </c>
      <c r="BG254" s="25" t="e">
        <f>Расчет!FA254</f>
        <v>#N/A</v>
      </c>
      <c r="BI254">
        <f>IF(Исходн.данные.!AH254=Исходн.данные.!$AC$4,0.6,1)</f>
        <v>1</v>
      </c>
      <c r="BJ254">
        <f>IF(Исходн.данные.!AH254=Исходн.данные.!$AC$4,0.8,IF(OR(Потребность!F254=Расчет2!$BI$10,Потребность!F254=Расчет2!$BI$7,Потребность!F254=Расчет2!$BK$14,Исходн.данные.!AI254=Исходн.данные.!$AI$11),1.3,1))</f>
        <v>1.3</v>
      </c>
      <c r="BK254">
        <f>IF(OR(Исходн.данные.!AH254=Исходн.данные.!$AD$7,Исходн.данные.!AH254=Исходн.данные.!$AD$8),0.75,1)</f>
        <v>1</v>
      </c>
    </row>
    <row r="255" spans="32:63" x14ac:dyDescent="0.2">
      <c r="AF255">
        <f>SUM(Исходн.данные.!AD255:AF255)</f>
        <v>0</v>
      </c>
      <c r="AG255" s="60">
        <f>SUM(Расчет!CI255:CK255)</f>
        <v>0.64</v>
      </c>
      <c r="AH255" s="60">
        <f>SUM(Расчет!DS255:DU255)</f>
        <v>0</v>
      </c>
      <c r="AI255" t="e">
        <f t="shared" si="6"/>
        <v>#N/A</v>
      </c>
      <c r="AJ255" t="e">
        <f t="shared" si="7"/>
        <v>#N/A</v>
      </c>
      <c r="AL255">
        <f>Потребность!G255*Потребность!H255</f>
        <v>0</v>
      </c>
      <c r="AM255" s="11" t="e">
        <f>Исходн.данные.!$AJ255*Расчет2!AO255</f>
        <v>#VALUE!</v>
      </c>
      <c r="AN255" s="11">
        <f>Исходн.данные.!$AJ255*Расчет2!AP255</f>
        <v>0</v>
      </c>
      <c r="AO255" s="25" t="str">
        <f>IF(Расчет!BF255=0,"X",Расчет!BF255)</f>
        <v>X</v>
      </c>
      <c r="AP255" s="25">
        <f>Расчет!BG255</f>
        <v>0</v>
      </c>
      <c r="AQ255" s="9">
        <f>IF(Расчет!BL255&lt;0,0,Расчет!BL255)</f>
        <v>0</v>
      </c>
      <c r="AR255" s="25">
        <f>IF(Расчет!BM255&lt;0,0,Расчет!BM255)</f>
        <v>0</v>
      </c>
      <c r="AS255" s="25">
        <f>IF(Расчет!BN255&lt;0,0,Расчет!BN255)</f>
        <v>0</v>
      </c>
      <c r="AT255" s="25">
        <f>Расчет!BY255</f>
        <v>0</v>
      </c>
      <c r="AU255" s="25">
        <f>Расчет!BZ255</f>
        <v>10</v>
      </c>
      <c r="AV255" s="25">
        <f>Расчет!CA255</f>
        <v>0</v>
      </c>
      <c r="AW255" s="25" t="str">
        <f>Расчет!CH255</f>
        <v>Аммофос 12:52:00</v>
      </c>
      <c r="AX255" s="25">
        <f>Расчет!DB255</f>
        <v>0</v>
      </c>
      <c r="AY255" s="25">
        <f>Расчет!DC255</f>
        <v>0</v>
      </c>
      <c r="AZ255" s="25">
        <f>Расчет!DG255</f>
        <v>0</v>
      </c>
      <c r="BA255" s="25">
        <f>Расчет!DH255</f>
        <v>0</v>
      </c>
      <c r="BB255" s="25">
        <f>Расчет!DI255</f>
        <v>0</v>
      </c>
      <c r="BC255" s="25" t="str">
        <f>Расчет!DR255</f>
        <v>Нет</v>
      </c>
      <c r="BD255" s="25">
        <f>Расчет!EB255</f>
        <v>0</v>
      </c>
      <c r="BE255" s="25">
        <f>Расчет!EF255</f>
        <v>0</v>
      </c>
      <c r="BF255" s="25" t="e">
        <f>Расчет!EI255</f>
        <v>#DIV/0!</v>
      </c>
      <c r="BG255" s="25" t="e">
        <f>Расчет!FA255</f>
        <v>#N/A</v>
      </c>
      <c r="BI255">
        <f>IF(Исходн.данные.!AH255=Исходн.данные.!$AC$4,0.6,1)</f>
        <v>1</v>
      </c>
      <c r="BJ255">
        <f>IF(Исходн.данные.!AH255=Исходн.данные.!$AC$4,0.8,IF(OR(Потребность!F255=Расчет2!$BI$10,Потребность!F255=Расчет2!$BI$7,Потребность!F255=Расчет2!$BK$14,Исходн.данные.!AI255=Исходн.данные.!$AI$11),1.3,1))</f>
        <v>1.3</v>
      </c>
      <c r="BK255">
        <f>IF(OR(Исходн.данные.!AH255=Исходн.данные.!$AD$7,Исходн.данные.!AH255=Исходн.данные.!$AD$8),0.75,1)</f>
        <v>1</v>
      </c>
    </row>
    <row r="256" spans="32:63" x14ac:dyDescent="0.2">
      <c r="AF256">
        <f>SUM(Исходн.данные.!AD256:AF256)</f>
        <v>0</v>
      </c>
      <c r="AG256" s="60">
        <f>SUM(Расчет!CI256:CK256)</f>
        <v>0.64</v>
      </c>
      <c r="AH256" s="60">
        <f>SUM(Расчет!DS256:DU256)</f>
        <v>0</v>
      </c>
      <c r="AI256" t="e">
        <f t="shared" si="6"/>
        <v>#N/A</v>
      </c>
      <c r="AJ256" t="e">
        <f t="shared" si="7"/>
        <v>#N/A</v>
      </c>
      <c r="AL256">
        <f>Потребность!G256*Потребность!H256</f>
        <v>0</v>
      </c>
      <c r="AM256" s="11" t="e">
        <f>Исходн.данные.!$AJ256*Расчет2!AO256</f>
        <v>#VALUE!</v>
      </c>
      <c r="AN256" s="11">
        <f>Исходн.данные.!$AJ256*Расчет2!AP256</f>
        <v>0</v>
      </c>
      <c r="AO256" s="25" t="str">
        <f>IF(Расчет!BF256=0,"X",Расчет!BF256)</f>
        <v>X</v>
      </c>
      <c r="AP256" s="25">
        <f>Расчет!BG256</f>
        <v>0</v>
      </c>
      <c r="AQ256" s="9">
        <f>IF(Расчет!BL256&lt;0,0,Расчет!BL256)</f>
        <v>0</v>
      </c>
      <c r="AR256" s="25">
        <f>IF(Расчет!BM256&lt;0,0,Расчет!BM256)</f>
        <v>0</v>
      </c>
      <c r="AS256" s="25">
        <f>IF(Расчет!BN256&lt;0,0,Расчет!BN256)</f>
        <v>0</v>
      </c>
      <c r="AT256" s="25">
        <f>Расчет!BY256</f>
        <v>0</v>
      </c>
      <c r="AU256" s="25">
        <f>Расчет!BZ256</f>
        <v>10</v>
      </c>
      <c r="AV256" s="25">
        <f>Расчет!CA256</f>
        <v>0</v>
      </c>
      <c r="AW256" s="25" t="str">
        <f>Расчет!CH256</f>
        <v>Аммофос 12:52:00</v>
      </c>
      <c r="AX256" s="25">
        <f>Расчет!DB256</f>
        <v>0</v>
      </c>
      <c r="AY256" s="25">
        <f>Расчет!DC256</f>
        <v>0</v>
      </c>
      <c r="AZ256" s="25">
        <f>Расчет!DG256</f>
        <v>0</v>
      </c>
      <c r="BA256" s="25">
        <f>Расчет!DH256</f>
        <v>0</v>
      </c>
      <c r="BB256" s="25">
        <f>Расчет!DI256</f>
        <v>0</v>
      </c>
      <c r="BC256" s="25" t="str">
        <f>Расчет!DR256</f>
        <v>Нет</v>
      </c>
      <c r="BD256" s="25">
        <f>Расчет!EB256</f>
        <v>0</v>
      </c>
      <c r="BE256" s="25">
        <f>Расчет!EF256</f>
        <v>0</v>
      </c>
      <c r="BF256" s="25" t="e">
        <f>Расчет!EI256</f>
        <v>#DIV/0!</v>
      </c>
      <c r="BG256" s="25" t="e">
        <f>Расчет!FA256</f>
        <v>#N/A</v>
      </c>
      <c r="BI256">
        <f>IF(Исходн.данные.!AH256=Исходн.данные.!$AC$4,0.6,1)</f>
        <v>1</v>
      </c>
      <c r="BJ256">
        <f>IF(Исходн.данные.!AH256=Исходн.данные.!$AC$4,0.8,IF(OR(Потребность!F256=Расчет2!$BI$10,Потребность!F256=Расчет2!$BI$7,Потребность!F256=Расчет2!$BK$14,Исходн.данные.!AI256=Исходн.данные.!$AI$11),1.3,1))</f>
        <v>1.3</v>
      </c>
      <c r="BK256">
        <f>IF(OR(Исходн.данные.!AH256=Исходн.данные.!$AD$7,Исходн.данные.!AH256=Исходн.данные.!$AD$8),0.75,1)</f>
        <v>1</v>
      </c>
    </row>
    <row r="257" spans="32:63" x14ac:dyDescent="0.2">
      <c r="AF257">
        <f>SUM(Исходн.данные.!AD257:AF257)</f>
        <v>0</v>
      </c>
      <c r="AG257" s="60">
        <f>SUM(Расчет!CI257:CK257)</f>
        <v>0.64</v>
      </c>
      <c r="AH257" s="60">
        <f>SUM(Расчет!DS257:DU257)</f>
        <v>0</v>
      </c>
      <c r="AI257" t="e">
        <f t="shared" si="6"/>
        <v>#N/A</v>
      </c>
      <c r="AJ257" t="e">
        <f t="shared" si="7"/>
        <v>#N/A</v>
      </c>
      <c r="AL257">
        <f>Потребность!G257*Потребность!H257</f>
        <v>0</v>
      </c>
      <c r="AM257" s="11" t="e">
        <f>Исходн.данные.!$AJ257*Расчет2!AO257</f>
        <v>#VALUE!</v>
      </c>
      <c r="AN257" s="11">
        <f>Исходн.данные.!$AJ257*Расчет2!AP257</f>
        <v>0</v>
      </c>
      <c r="AO257" s="25" t="str">
        <f>IF(Расчет!BF257=0,"X",Расчет!BF257)</f>
        <v>X</v>
      </c>
      <c r="AP257" s="25">
        <f>Расчет!BG257</f>
        <v>0</v>
      </c>
      <c r="AQ257" s="9">
        <f>IF(Расчет!BL257&lt;0,0,Расчет!BL257)</f>
        <v>0</v>
      </c>
      <c r="AR257" s="25">
        <f>IF(Расчет!BM257&lt;0,0,Расчет!BM257)</f>
        <v>0</v>
      </c>
      <c r="AS257" s="25">
        <f>IF(Расчет!BN257&lt;0,0,Расчет!BN257)</f>
        <v>0</v>
      </c>
      <c r="AT257" s="25">
        <f>Расчет!BY257</f>
        <v>0</v>
      </c>
      <c r="AU257" s="25">
        <f>Расчет!BZ257</f>
        <v>10</v>
      </c>
      <c r="AV257" s="25">
        <f>Расчет!CA257</f>
        <v>0</v>
      </c>
      <c r="AW257" s="25" t="str">
        <f>Расчет!CH257</f>
        <v>Аммофос 12:52:00</v>
      </c>
      <c r="AX257" s="25">
        <f>Расчет!DB257</f>
        <v>0</v>
      </c>
      <c r="AY257" s="25">
        <f>Расчет!DC257</f>
        <v>0</v>
      </c>
      <c r="AZ257" s="25">
        <f>Расчет!DG257</f>
        <v>0</v>
      </c>
      <c r="BA257" s="25">
        <f>Расчет!DH257</f>
        <v>0</v>
      </c>
      <c r="BB257" s="25">
        <f>Расчет!DI257</f>
        <v>0</v>
      </c>
      <c r="BC257" s="25" t="str">
        <f>Расчет!DR257</f>
        <v>Нет</v>
      </c>
      <c r="BD257" s="25">
        <f>Расчет!EB257</f>
        <v>0</v>
      </c>
      <c r="BE257" s="25">
        <f>Расчет!EF257</f>
        <v>0</v>
      </c>
      <c r="BF257" s="25" t="e">
        <f>Расчет!EI257</f>
        <v>#DIV/0!</v>
      </c>
      <c r="BG257" s="25" t="e">
        <f>Расчет!FA257</f>
        <v>#N/A</v>
      </c>
      <c r="BI257">
        <f>IF(Исходн.данные.!AH257=Исходн.данные.!$AC$4,0.6,1)</f>
        <v>1</v>
      </c>
      <c r="BJ257">
        <f>IF(Исходн.данные.!AH257=Исходн.данные.!$AC$4,0.8,IF(OR(Потребность!F257=Расчет2!$BI$10,Потребность!F257=Расчет2!$BI$7,Потребность!F257=Расчет2!$BK$14,Исходн.данные.!AI257=Исходн.данные.!$AI$11),1.3,1))</f>
        <v>1.3</v>
      </c>
      <c r="BK257">
        <f>IF(OR(Исходн.данные.!AH257=Исходн.данные.!$AD$7,Исходн.данные.!AH257=Исходн.данные.!$AD$8),0.75,1)</f>
        <v>1</v>
      </c>
    </row>
    <row r="258" spans="32:63" x14ac:dyDescent="0.2">
      <c r="AF258">
        <f>SUM(Исходн.данные.!AD258:AF258)</f>
        <v>0</v>
      </c>
      <c r="AG258" s="60">
        <f>SUM(Расчет!CI258:CK258)</f>
        <v>0.64</v>
      </c>
      <c r="AH258" s="60">
        <f>SUM(Расчет!DS258:DU258)</f>
        <v>0</v>
      </c>
      <c r="AI258" t="e">
        <f t="shared" si="6"/>
        <v>#N/A</v>
      </c>
      <c r="AJ258" t="e">
        <f t="shared" si="7"/>
        <v>#N/A</v>
      </c>
      <c r="AL258">
        <f>Потребность!G258*Потребность!H258</f>
        <v>0</v>
      </c>
      <c r="AM258" s="11" t="e">
        <f>Исходн.данные.!$AJ258*Расчет2!AO258</f>
        <v>#VALUE!</v>
      </c>
      <c r="AN258" s="11">
        <f>Исходн.данные.!$AJ258*Расчет2!AP258</f>
        <v>0</v>
      </c>
      <c r="AO258" s="25" t="str">
        <f>IF(Расчет!BF258=0,"X",Расчет!BF258)</f>
        <v>X</v>
      </c>
      <c r="AP258" s="25">
        <f>Расчет!BG258</f>
        <v>0</v>
      </c>
      <c r="AQ258" s="9">
        <f>IF(Расчет!BL258&lt;0,0,Расчет!BL258)</f>
        <v>0</v>
      </c>
      <c r="AR258" s="25">
        <f>IF(Расчет!BM258&lt;0,0,Расчет!BM258)</f>
        <v>0</v>
      </c>
      <c r="AS258" s="25">
        <f>IF(Расчет!BN258&lt;0,0,Расчет!BN258)</f>
        <v>0</v>
      </c>
      <c r="AT258" s="25">
        <f>Расчет!BY258</f>
        <v>0</v>
      </c>
      <c r="AU258" s="25">
        <f>Расчет!BZ258</f>
        <v>10</v>
      </c>
      <c r="AV258" s="25">
        <f>Расчет!CA258</f>
        <v>0</v>
      </c>
      <c r="AW258" s="25" t="str">
        <f>Расчет!CH258</f>
        <v>Аммофос 12:52:00</v>
      </c>
      <c r="AX258" s="25">
        <f>Расчет!DB258</f>
        <v>0</v>
      </c>
      <c r="AY258" s="25">
        <f>Расчет!DC258</f>
        <v>0</v>
      </c>
      <c r="AZ258" s="25">
        <f>Расчет!DG258</f>
        <v>0</v>
      </c>
      <c r="BA258" s="25">
        <f>Расчет!DH258</f>
        <v>0</v>
      </c>
      <c r="BB258" s="25">
        <f>Расчет!DI258</f>
        <v>0</v>
      </c>
      <c r="BC258" s="25" t="str">
        <f>Расчет!DR258</f>
        <v>Нет</v>
      </c>
      <c r="BD258" s="25">
        <f>Расчет!EB258</f>
        <v>0</v>
      </c>
      <c r="BE258" s="25">
        <f>Расчет!EF258</f>
        <v>0</v>
      </c>
      <c r="BF258" s="25" t="e">
        <f>Расчет!EI258</f>
        <v>#DIV/0!</v>
      </c>
      <c r="BG258" s="25" t="e">
        <f>Расчет!FA258</f>
        <v>#N/A</v>
      </c>
      <c r="BI258">
        <f>IF(Исходн.данные.!AH258=Исходн.данные.!$AC$4,0.6,1)</f>
        <v>1</v>
      </c>
      <c r="BJ258">
        <f>IF(Исходн.данные.!AH258=Исходн.данные.!$AC$4,0.8,IF(OR(Потребность!F258=Расчет2!$BI$10,Потребность!F258=Расчет2!$BI$7,Потребность!F258=Расчет2!$BK$14,Исходн.данные.!AI258=Исходн.данные.!$AI$11),1.3,1))</f>
        <v>1.3</v>
      </c>
      <c r="BK258">
        <f>IF(OR(Исходн.данные.!AH258=Исходн.данные.!$AD$7,Исходн.данные.!AH258=Исходн.данные.!$AD$8),0.75,1)</f>
        <v>1</v>
      </c>
    </row>
    <row r="259" spans="32:63" x14ac:dyDescent="0.2">
      <c r="AF259">
        <f>SUM(Исходн.данные.!AD259:AF259)</f>
        <v>0</v>
      </c>
      <c r="AG259" s="60">
        <f>SUM(Расчет!CI259:CK259)</f>
        <v>0.64</v>
      </c>
      <c r="AH259" s="60">
        <f>SUM(Расчет!DS259:DU259)</f>
        <v>0</v>
      </c>
      <c r="AI259" t="e">
        <f t="shared" si="6"/>
        <v>#N/A</v>
      </c>
      <c r="AJ259" t="e">
        <f t="shared" si="7"/>
        <v>#N/A</v>
      </c>
      <c r="AL259">
        <f>Потребность!G259*Потребность!H259</f>
        <v>0</v>
      </c>
      <c r="AM259" s="11" t="e">
        <f>Исходн.данные.!$AJ259*Расчет2!AO259</f>
        <v>#VALUE!</v>
      </c>
      <c r="AN259" s="11">
        <f>Исходн.данные.!$AJ259*Расчет2!AP259</f>
        <v>0</v>
      </c>
      <c r="AO259" s="25" t="str">
        <f>IF(Расчет!BF259=0,"X",Расчет!BF259)</f>
        <v>X</v>
      </c>
      <c r="AP259" s="25">
        <f>Расчет!BG259</f>
        <v>0</v>
      </c>
      <c r="AQ259" s="9">
        <f>IF(Расчет!BL259&lt;0,0,Расчет!BL259)</f>
        <v>0</v>
      </c>
      <c r="AR259" s="25">
        <f>IF(Расчет!BM259&lt;0,0,Расчет!BM259)</f>
        <v>0</v>
      </c>
      <c r="AS259" s="25">
        <f>IF(Расчет!BN259&lt;0,0,Расчет!BN259)</f>
        <v>0</v>
      </c>
      <c r="AT259" s="25">
        <f>Расчет!BY259</f>
        <v>0</v>
      </c>
      <c r="AU259" s="25">
        <f>Расчет!BZ259</f>
        <v>10</v>
      </c>
      <c r="AV259" s="25">
        <f>Расчет!CA259</f>
        <v>0</v>
      </c>
      <c r="AW259" s="25" t="str">
        <f>Расчет!CH259</f>
        <v>Аммофос 12:52:00</v>
      </c>
      <c r="AX259" s="25">
        <f>Расчет!DB259</f>
        <v>0</v>
      </c>
      <c r="AY259" s="25">
        <f>Расчет!DC259</f>
        <v>0</v>
      </c>
      <c r="AZ259" s="25">
        <f>Расчет!DG259</f>
        <v>0</v>
      </c>
      <c r="BA259" s="25">
        <f>Расчет!DH259</f>
        <v>0</v>
      </c>
      <c r="BB259" s="25">
        <f>Расчет!DI259</f>
        <v>0</v>
      </c>
      <c r="BC259" s="25" t="str">
        <f>Расчет!DR259</f>
        <v>Нет</v>
      </c>
      <c r="BD259" s="25">
        <f>Расчет!EB259</f>
        <v>0</v>
      </c>
      <c r="BE259" s="25">
        <f>Расчет!EF259</f>
        <v>0</v>
      </c>
      <c r="BF259" s="25" t="e">
        <f>Расчет!EI259</f>
        <v>#DIV/0!</v>
      </c>
      <c r="BG259" s="25" t="e">
        <f>Расчет!FA259</f>
        <v>#N/A</v>
      </c>
      <c r="BI259">
        <f>IF(Исходн.данные.!AH259=Исходн.данные.!$AC$4,0.6,1)</f>
        <v>1</v>
      </c>
      <c r="BJ259">
        <f>IF(Исходн.данные.!AH259=Исходн.данные.!$AC$4,0.8,IF(OR(Потребность!F259=Расчет2!$BI$10,Потребность!F259=Расчет2!$BI$7,Потребность!F259=Расчет2!$BK$14,Исходн.данные.!AI259=Исходн.данные.!$AI$11),1.3,1))</f>
        <v>1.3</v>
      </c>
      <c r="BK259">
        <f>IF(OR(Исходн.данные.!AH259=Исходн.данные.!$AD$7,Исходн.данные.!AH259=Исходн.данные.!$AD$8),0.75,1)</f>
        <v>1</v>
      </c>
    </row>
    <row r="260" spans="32:63" x14ac:dyDescent="0.2">
      <c r="AF260">
        <f>SUM(Исходн.данные.!AD260:AF260)</f>
        <v>0</v>
      </c>
      <c r="AG260" s="60">
        <f>SUM(Расчет!CI260:CK260)</f>
        <v>0.64</v>
      </c>
      <c r="AH260" s="60">
        <f>SUM(Расчет!DS260:DU260)</f>
        <v>0</v>
      </c>
      <c r="AI260" t="e">
        <f t="shared" si="6"/>
        <v>#N/A</v>
      </c>
      <c r="AJ260" t="e">
        <f t="shared" si="7"/>
        <v>#N/A</v>
      </c>
      <c r="AL260">
        <f>Потребность!G260*Потребность!H260</f>
        <v>0</v>
      </c>
      <c r="AM260" s="11" t="e">
        <f>Исходн.данные.!$AJ260*Расчет2!AO260</f>
        <v>#VALUE!</v>
      </c>
      <c r="AN260" s="11">
        <f>Исходн.данные.!$AJ260*Расчет2!AP260</f>
        <v>0</v>
      </c>
      <c r="AO260" s="25" t="str">
        <f>IF(Расчет!BF260=0,"X",Расчет!BF260)</f>
        <v>X</v>
      </c>
      <c r="AP260" s="25">
        <f>Расчет!BG260</f>
        <v>0</v>
      </c>
      <c r="AQ260" s="9">
        <f>IF(Расчет!BL260&lt;0,0,Расчет!BL260)</f>
        <v>0</v>
      </c>
      <c r="AR260" s="25">
        <f>IF(Расчет!BM260&lt;0,0,Расчет!BM260)</f>
        <v>0</v>
      </c>
      <c r="AS260" s="25">
        <f>IF(Расчет!BN260&lt;0,0,Расчет!BN260)</f>
        <v>0</v>
      </c>
      <c r="AT260" s="25">
        <f>Расчет!BY260</f>
        <v>0</v>
      </c>
      <c r="AU260" s="25">
        <f>Расчет!BZ260</f>
        <v>10</v>
      </c>
      <c r="AV260" s="25">
        <f>Расчет!CA260</f>
        <v>0</v>
      </c>
      <c r="AW260" s="25" t="str">
        <f>Расчет!CH260</f>
        <v>Аммофос 12:52:00</v>
      </c>
      <c r="AX260" s="25">
        <f>Расчет!DB260</f>
        <v>0</v>
      </c>
      <c r="AY260" s="25">
        <f>Расчет!DC260</f>
        <v>0</v>
      </c>
      <c r="AZ260" s="25">
        <f>Расчет!DG260</f>
        <v>0</v>
      </c>
      <c r="BA260" s="25">
        <f>Расчет!DH260</f>
        <v>0</v>
      </c>
      <c r="BB260" s="25">
        <f>Расчет!DI260</f>
        <v>0</v>
      </c>
      <c r="BC260" s="25" t="str">
        <f>Расчет!DR260</f>
        <v>Нет</v>
      </c>
      <c r="BD260" s="25">
        <f>Расчет!EB260</f>
        <v>0</v>
      </c>
      <c r="BE260" s="25">
        <f>Расчет!EF260</f>
        <v>0</v>
      </c>
      <c r="BF260" s="25" t="e">
        <f>Расчет!EI260</f>
        <v>#DIV/0!</v>
      </c>
      <c r="BG260" s="25" t="e">
        <f>Расчет!FA260</f>
        <v>#N/A</v>
      </c>
      <c r="BI260">
        <f>IF(Исходн.данные.!AH260=Исходн.данные.!$AC$4,0.6,1)</f>
        <v>1</v>
      </c>
      <c r="BJ260">
        <f>IF(Исходн.данные.!AH260=Исходн.данные.!$AC$4,0.8,IF(OR(Потребность!F260=Расчет2!$BI$10,Потребность!F260=Расчет2!$BI$7,Потребность!F260=Расчет2!$BK$14,Исходн.данные.!AI260=Исходн.данные.!$AI$11),1.3,1))</f>
        <v>1.3</v>
      </c>
      <c r="BK260">
        <f>IF(OR(Исходн.данные.!AH260=Исходн.данные.!$AD$7,Исходн.данные.!AH260=Исходн.данные.!$AD$8),0.75,1)</f>
        <v>1</v>
      </c>
    </row>
    <row r="261" spans="32:63" x14ac:dyDescent="0.2">
      <c r="AF261">
        <f>SUM(Исходн.данные.!AD261:AF261)</f>
        <v>0</v>
      </c>
      <c r="AG261" s="60">
        <f>SUM(Расчет!CI261:CK261)</f>
        <v>0.64</v>
      </c>
      <c r="AH261" s="60">
        <f>SUM(Расчет!DS261:DU261)</f>
        <v>0</v>
      </c>
      <c r="AI261" t="e">
        <f t="shared" si="6"/>
        <v>#N/A</v>
      </c>
      <c r="AJ261" t="e">
        <f t="shared" si="7"/>
        <v>#N/A</v>
      </c>
      <c r="AL261">
        <f>Потребность!G261*Потребность!H261</f>
        <v>0</v>
      </c>
      <c r="AM261" s="11" t="e">
        <f>Исходн.данные.!$AJ261*Расчет2!AO261</f>
        <v>#VALUE!</v>
      </c>
      <c r="AN261" s="11">
        <f>Исходн.данные.!$AJ261*Расчет2!AP261</f>
        <v>0</v>
      </c>
      <c r="AO261" s="25" t="str">
        <f>IF(Расчет!BF261=0,"X",Расчет!BF261)</f>
        <v>X</v>
      </c>
      <c r="AP261" s="25">
        <f>Расчет!BG261</f>
        <v>0</v>
      </c>
      <c r="AQ261" s="9">
        <f>IF(Расчет!BL261&lt;0,0,Расчет!BL261)</f>
        <v>0</v>
      </c>
      <c r="AR261" s="25">
        <f>IF(Расчет!BM261&lt;0,0,Расчет!BM261)</f>
        <v>0</v>
      </c>
      <c r="AS261" s="25">
        <f>IF(Расчет!BN261&lt;0,0,Расчет!BN261)</f>
        <v>0</v>
      </c>
      <c r="AT261" s="25">
        <f>Расчет!BY261</f>
        <v>0</v>
      </c>
      <c r="AU261" s="25">
        <f>Расчет!BZ261</f>
        <v>10</v>
      </c>
      <c r="AV261" s="25">
        <f>Расчет!CA261</f>
        <v>0</v>
      </c>
      <c r="AW261" s="25" t="str">
        <f>Расчет!CH261</f>
        <v>Аммофос 12:52:00</v>
      </c>
      <c r="AX261" s="25">
        <f>Расчет!DB261</f>
        <v>0</v>
      </c>
      <c r="AY261" s="25">
        <f>Расчет!DC261</f>
        <v>0</v>
      </c>
      <c r="AZ261" s="25">
        <f>Расчет!DG261</f>
        <v>0</v>
      </c>
      <c r="BA261" s="25">
        <f>Расчет!DH261</f>
        <v>0</v>
      </c>
      <c r="BB261" s="25">
        <f>Расчет!DI261</f>
        <v>0</v>
      </c>
      <c r="BC261" s="25" t="str">
        <f>Расчет!DR261</f>
        <v>Нет</v>
      </c>
      <c r="BD261" s="25">
        <f>Расчет!EB261</f>
        <v>0</v>
      </c>
      <c r="BE261" s="25">
        <f>Расчет!EF261</f>
        <v>0</v>
      </c>
      <c r="BF261" s="25" t="e">
        <f>Расчет!EI261</f>
        <v>#DIV/0!</v>
      </c>
      <c r="BG261" s="25" t="e">
        <f>Расчет!FA261</f>
        <v>#N/A</v>
      </c>
      <c r="BI261">
        <f>IF(Исходн.данные.!AH261=Исходн.данные.!$AC$4,0.6,1)</f>
        <v>1</v>
      </c>
      <c r="BJ261">
        <f>IF(Исходн.данные.!AH261=Исходн.данные.!$AC$4,0.8,IF(OR(Потребность!F261=Расчет2!$BI$10,Потребность!F261=Расчет2!$BI$7,Потребность!F261=Расчет2!$BK$14,Исходн.данные.!AI261=Исходн.данные.!$AI$11),1.3,1))</f>
        <v>1.3</v>
      </c>
      <c r="BK261">
        <f>IF(OR(Исходн.данные.!AH261=Исходн.данные.!$AD$7,Исходн.данные.!AH261=Исходн.данные.!$AD$8),0.75,1)</f>
        <v>1</v>
      </c>
    </row>
    <row r="262" spans="32:63" x14ac:dyDescent="0.2">
      <c r="AF262">
        <f>SUM(Исходн.данные.!AD262:AF262)</f>
        <v>0</v>
      </c>
      <c r="AG262" s="60">
        <f>SUM(Расчет!CI262:CK262)</f>
        <v>0.64</v>
      </c>
      <c r="AH262" s="60">
        <f>SUM(Расчет!DS262:DU262)</f>
        <v>0</v>
      </c>
      <c r="AI262" t="e">
        <f t="shared" si="6"/>
        <v>#N/A</v>
      </c>
      <c r="AJ262" t="e">
        <f t="shared" si="7"/>
        <v>#N/A</v>
      </c>
      <c r="AL262">
        <f>Потребность!G262*Потребность!H262</f>
        <v>0</v>
      </c>
      <c r="AM262" s="11" t="e">
        <f>Исходн.данные.!$AJ262*Расчет2!AO262</f>
        <v>#VALUE!</v>
      </c>
      <c r="AN262" s="11">
        <f>Исходн.данные.!$AJ262*Расчет2!AP262</f>
        <v>0</v>
      </c>
      <c r="AO262" s="25" t="str">
        <f>IF(Расчет!BF262=0,"X",Расчет!BF262)</f>
        <v>X</v>
      </c>
      <c r="AP262" s="25">
        <f>Расчет!BG262</f>
        <v>0</v>
      </c>
      <c r="AQ262" s="9">
        <f>IF(Расчет!BL262&lt;0,0,Расчет!BL262)</f>
        <v>0</v>
      </c>
      <c r="AR262" s="25">
        <f>IF(Расчет!BM262&lt;0,0,Расчет!BM262)</f>
        <v>0</v>
      </c>
      <c r="AS262" s="25">
        <f>IF(Расчет!BN262&lt;0,0,Расчет!BN262)</f>
        <v>0</v>
      </c>
      <c r="AT262" s="25">
        <f>Расчет!BY262</f>
        <v>0</v>
      </c>
      <c r="AU262" s="25">
        <f>Расчет!BZ262</f>
        <v>10</v>
      </c>
      <c r="AV262" s="25">
        <f>Расчет!CA262</f>
        <v>0</v>
      </c>
      <c r="AW262" s="25" t="str">
        <f>Расчет!CH262</f>
        <v>Аммофос 12:52:00</v>
      </c>
      <c r="AX262" s="25">
        <f>Расчет!DB262</f>
        <v>0</v>
      </c>
      <c r="AY262" s="25">
        <f>Расчет!DC262</f>
        <v>0</v>
      </c>
      <c r="AZ262" s="25">
        <f>Расчет!DG262</f>
        <v>0</v>
      </c>
      <c r="BA262" s="25">
        <f>Расчет!DH262</f>
        <v>0</v>
      </c>
      <c r="BB262" s="25">
        <f>Расчет!DI262</f>
        <v>0</v>
      </c>
      <c r="BC262" s="25" t="str">
        <f>Расчет!DR262</f>
        <v>Нет</v>
      </c>
      <c r="BD262" s="25">
        <f>Расчет!EB262</f>
        <v>0</v>
      </c>
      <c r="BE262" s="25">
        <f>Расчет!EF262</f>
        <v>0</v>
      </c>
      <c r="BF262" s="25" t="e">
        <f>Расчет!EI262</f>
        <v>#DIV/0!</v>
      </c>
      <c r="BG262" s="25" t="e">
        <f>Расчет!FA262</f>
        <v>#N/A</v>
      </c>
      <c r="BI262">
        <f>IF(Исходн.данные.!AH262=Исходн.данные.!$AC$4,0.6,1)</f>
        <v>1</v>
      </c>
      <c r="BJ262">
        <f>IF(Исходн.данные.!AH262=Исходн.данные.!$AC$4,0.8,IF(OR(Потребность!F262=Расчет2!$BI$10,Потребность!F262=Расчет2!$BI$7,Потребность!F262=Расчет2!$BK$14,Исходн.данные.!AI262=Исходн.данные.!$AI$11),1.3,1))</f>
        <v>1.3</v>
      </c>
      <c r="BK262">
        <f>IF(OR(Исходн.данные.!AH262=Исходн.данные.!$AD$7,Исходн.данные.!AH262=Исходн.данные.!$AD$8),0.75,1)</f>
        <v>1</v>
      </c>
    </row>
    <row r="263" spans="32:63" x14ac:dyDescent="0.2">
      <c r="AF263">
        <f>SUM(Исходн.данные.!AD263:AF263)</f>
        <v>0</v>
      </c>
      <c r="AG263" s="60">
        <f>SUM(Расчет!CI263:CK263)</f>
        <v>0.64</v>
      </c>
      <c r="AH263" s="60">
        <f>SUM(Расчет!DS263:DU263)</f>
        <v>0</v>
      </c>
      <c r="AI263" t="e">
        <f t="shared" si="6"/>
        <v>#N/A</v>
      </c>
      <c r="AJ263" t="e">
        <f t="shared" si="7"/>
        <v>#N/A</v>
      </c>
      <c r="AL263">
        <f>Потребность!G263*Потребность!H263</f>
        <v>0</v>
      </c>
      <c r="AM263" s="11" t="e">
        <f>Исходн.данные.!$AJ263*Расчет2!AO263</f>
        <v>#VALUE!</v>
      </c>
      <c r="AN263" s="11">
        <f>Исходн.данные.!$AJ263*Расчет2!AP263</f>
        <v>0</v>
      </c>
      <c r="AO263" s="25" t="str">
        <f>IF(Расчет!BF263=0,"X",Расчет!BF263)</f>
        <v>X</v>
      </c>
      <c r="AP263" s="25">
        <f>Расчет!BG263</f>
        <v>0</v>
      </c>
      <c r="AQ263" s="9">
        <f>IF(Расчет!BL263&lt;0,0,Расчет!BL263)</f>
        <v>0</v>
      </c>
      <c r="AR263" s="25">
        <f>IF(Расчет!BM263&lt;0,0,Расчет!BM263)</f>
        <v>0</v>
      </c>
      <c r="AS263" s="25">
        <f>IF(Расчет!BN263&lt;0,0,Расчет!BN263)</f>
        <v>0</v>
      </c>
      <c r="AT263" s="25">
        <f>Расчет!BY263</f>
        <v>0</v>
      </c>
      <c r="AU263" s="25">
        <f>Расчет!BZ263</f>
        <v>10</v>
      </c>
      <c r="AV263" s="25">
        <f>Расчет!CA263</f>
        <v>0</v>
      </c>
      <c r="AW263" s="25" t="str">
        <f>Расчет!CH263</f>
        <v>Аммофос 12:52:00</v>
      </c>
      <c r="AX263" s="25">
        <f>Расчет!DB263</f>
        <v>0</v>
      </c>
      <c r="AY263" s="25">
        <f>Расчет!DC263</f>
        <v>0</v>
      </c>
      <c r="AZ263" s="25">
        <f>Расчет!DG263</f>
        <v>0</v>
      </c>
      <c r="BA263" s="25">
        <f>Расчет!DH263</f>
        <v>0</v>
      </c>
      <c r="BB263" s="25">
        <f>Расчет!DI263</f>
        <v>0</v>
      </c>
      <c r="BC263" s="25" t="str">
        <f>Расчет!DR263</f>
        <v>Нет</v>
      </c>
      <c r="BD263" s="25">
        <f>Расчет!EB263</f>
        <v>0</v>
      </c>
      <c r="BE263" s="25">
        <f>Расчет!EF263</f>
        <v>0</v>
      </c>
      <c r="BF263" s="25" t="e">
        <f>Расчет!EI263</f>
        <v>#DIV/0!</v>
      </c>
      <c r="BG263" s="25" t="e">
        <f>Расчет!FA263</f>
        <v>#N/A</v>
      </c>
      <c r="BI263">
        <f>IF(Исходн.данные.!AH263=Исходн.данные.!$AC$4,0.6,1)</f>
        <v>1</v>
      </c>
      <c r="BJ263">
        <f>IF(Исходн.данные.!AH263=Исходн.данные.!$AC$4,0.8,IF(OR(Потребность!F263=Расчет2!$BI$10,Потребность!F263=Расчет2!$BI$7,Потребность!F263=Расчет2!$BK$14,Исходн.данные.!AI263=Исходн.данные.!$AI$11),1.3,1))</f>
        <v>1.3</v>
      </c>
      <c r="BK263">
        <f>IF(OR(Исходн.данные.!AH263=Исходн.данные.!$AD$7,Исходн.данные.!AH263=Исходн.данные.!$AD$8),0.75,1)</f>
        <v>1</v>
      </c>
    </row>
    <row r="264" spans="32:63" x14ac:dyDescent="0.2">
      <c r="AF264">
        <f>SUM(Исходн.данные.!AD264:AF264)</f>
        <v>0</v>
      </c>
      <c r="AG264" s="60">
        <f>SUM(Расчет!CI264:CK264)</f>
        <v>0.64</v>
      </c>
      <c r="AH264" s="60">
        <f>SUM(Расчет!DS264:DU264)</f>
        <v>0</v>
      </c>
      <c r="AI264" t="e">
        <f t="shared" si="6"/>
        <v>#N/A</v>
      </c>
      <c r="AJ264" t="e">
        <f t="shared" si="7"/>
        <v>#N/A</v>
      </c>
      <c r="AL264">
        <f>Потребность!G264*Потребность!H264</f>
        <v>0</v>
      </c>
      <c r="AM264" s="11" t="e">
        <f>Исходн.данные.!$AJ264*Расчет2!AO264</f>
        <v>#VALUE!</v>
      </c>
      <c r="AN264" s="11">
        <f>Исходн.данные.!$AJ264*Расчет2!AP264</f>
        <v>0</v>
      </c>
      <c r="AO264" s="25" t="str">
        <f>IF(Расчет!BF264=0,"X",Расчет!BF264)</f>
        <v>X</v>
      </c>
      <c r="AP264" s="25">
        <f>Расчет!BG264</f>
        <v>0</v>
      </c>
      <c r="AQ264" s="9">
        <f>IF(Расчет!BL264&lt;0,0,Расчет!BL264)</f>
        <v>0</v>
      </c>
      <c r="AR264" s="25">
        <f>IF(Расчет!BM264&lt;0,0,Расчет!BM264)</f>
        <v>0</v>
      </c>
      <c r="AS264" s="25">
        <f>IF(Расчет!BN264&lt;0,0,Расчет!BN264)</f>
        <v>0</v>
      </c>
      <c r="AT264" s="25">
        <f>Расчет!BY264</f>
        <v>0</v>
      </c>
      <c r="AU264" s="25">
        <f>Расчет!BZ264</f>
        <v>10</v>
      </c>
      <c r="AV264" s="25">
        <f>Расчет!CA264</f>
        <v>0</v>
      </c>
      <c r="AW264" s="25" t="str">
        <f>Расчет!CH264</f>
        <v>Аммофос 12:52:00</v>
      </c>
      <c r="AX264" s="25">
        <f>Расчет!DB264</f>
        <v>0</v>
      </c>
      <c r="AY264" s="25">
        <f>Расчет!DC264</f>
        <v>0</v>
      </c>
      <c r="AZ264" s="25">
        <f>Расчет!DG264</f>
        <v>0</v>
      </c>
      <c r="BA264" s="25">
        <f>Расчет!DH264</f>
        <v>0</v>
      </c>
      <c r="BB264" s="25">
        <f>Расчет!DI264</f>
        <v>0</v>
      </c>
      <c r="BC264" s="25" t="str">
        <f>Расчет!DR264</f>
        <v>Нет</v>
      </c>
      <c r="BD264" s="25">
        <f>Расчет!EB264</f>
        <v>0</v>
      </c>
      <c r="BE264" s="25">
        <f>Расчет!EF264</f>
        <v>0</v>
      </c>
      <c r="BF264" s="25" t="e">
        <f>Расчет!EI264</f>
        <v>#DIV/0!</v>
      </c>
      <c r="BG264" s="25" t="e">
        <f>Расчет!FA264</f>
        <v>#N/A</v>
      </c>
      <c r="BI264">
        <f>IF(Исходн.данные.!AH264=Исходн.данные.!$AC$4,0.6,1)</f>
        <v>1</v>
      </c>
      <c r="BJ264">
        <f>IF(Исходн.данные.!AH264=Исходн.данные.!$AC$4,0.8,IF(OR(Потребность!F264=Расчет2!$BI$10,Потребность!F264=Расчет2!$BI$7,Потребность!F264=Расчет2!$BK$14,Исходн.данные.!AI264=Исходн.данные.!$AI$11),1.3,1))</f>
        <v>1.3</v>
      </c>
      <c r="BK264">
        <f>IF(OR(Исходн.данные.!AH264=Исходн.данные.!$AD$7,Исходн.данные.!AH264=Исходн.данные.!$AD$8),0.75,1)</f>
        <v>1</v>
      </c>
    </row>
    <row r="265" spans="32:63" x14ac:dyDescent="0.2">
      <c r="AF265">
        <f>SUM(Исходн.данные.!AD265:AF265)</f>
        <v>0</v>
      </c>
      <c r="AG265" s="60">
        <f>SUM(Расчет!CI265:CK265)</f>
        <v>0.64</v>
      </c>
      <c r="AH265" s="60">
        <f>SUM(Расчет!DS265:DU265)</f>
        <v>0</v>
      </c>
      <c r="AI265" t="e">
        <f t="shared" si="6"/>
        <v>#N/A</v>
      </c>
      <c r="AJ265" t="e">
        <f t="shared" si="7"/>
        <v>#N/A</v>
      </c>
      <c r="AL265">
        <f>Потребность!G265*Потребность!H265</f>
        <v>0</v>
      </c>
      <c r="AM265" s="11" t="e">
        <f>Исходн.данные.!$AJ265*Расчет2!AO265</f>
        <v>#VALUE!</v>
      </c>
      <c r="AN265" s="11">
        <f>Исходн.данные.!$AJ265*Расчет2!AP265</f>
        <v>0</v>
      </c>
      <c r="AO265" s="25" t="str">
        <f>IF(Расчет!BF265=0,"X",Расчет!BF265)</f>
        <v>X</v>
      </c>
      <c r="AP265" s="25">
        <f>Расчет!BG265</f>
        <v>0</v>
      </c>
      <c r="AQ265" s="9">
        <f>IF(Расчет!BL265&lt;0,0,Расчет!BL265)</f>
        <v>0</v>
      </c>
      <c r="AR265" s="25">
        <f>IF(Расчет!BM265&lt;0,0,Расчет!BM265)</f>
        <v>0</v>
      </c>
      <c r="AS265" s="25">
        <f>IF(Расчет!BN265&lt;0,0,Расчет!BN265)</f>
        <v>0</v>
      </c>
      <c r="AT265" s="25">
        <f>Расчет!BY265</f>
        <v>0</v>
      </c>
      <c r="AU265" s="25">
        <f>Расчет!BZ265</f>
        <v>10</v>
      </c>
      <c r="AV265" s="25">
        <f>Расчет!CA265</f>
        <v>0</v>
      </c>
      <c r="AW265" s="25" t="str">
        <f>Расчет!CH265</f>
        <v>Аммофос 12:52:00</v>
      </c>
      <c r="AX265" s="25">
        <f>Расчет!DB265</f>
        <v>0</v>
      </c>
      <c r="AY265" s="25">
        <f>Расчет!DC265</f>
        <v>0</v>
      </c>
      <c r="AZ265" s="25">
        <f>Расчет!DG265</f>
        <v>0</v>
      </c>
      <c r="BA265" s="25">
        <f>Расчет!DH265</f>
        <v>0</v>
      </c>
      <c r="BB265" s="25">
        <f>Расчет!DI265</f>
        <v>0</v>
      </c>
      <c r="BC265" s="25" t="str">
        <f>Расчет!DR265</f>
        <v>Нет</v>
      </c>
      <c r="BD265" s="25">
        <f>Расчет!EB265</f>
        <v>0</v>
      </c>
      <c r="BE265" s="25">
        <f>Расчет!EF265</f>
        <v>0</v>
      </c>
      <c r="BF265" s="25" t="e">
        <f>Расчет!EI265</f>
        <v>#DIV/0!</v>
      </c>
      <c r="BG265" s="25" t="e">
        <f>Расчет!FA265</f>
        <v>#N/A</v>
      </c>
      <c r="BI265">
        <f>IF(Исходн.данные.!AH265=Исходн.данные.!$AC$4,0.6,1)</f>
        <v>1</v>
      </c>
      <c r="BJ265">
        <f>IF(Исходн.данные.!AH265=Исходн.данные.!$AC$4,0.8,IF(OR(Потребность!F265=Расчет2!$BI$10,Потребность!F265=Расчет2!$BI$7,Потребность!F265=Расчет2!$BK$14,Исходн.данные.!AI265=Исходн.данные.!$AI$11),1.3,1))</f>
        <v>1.3</v>
      </c>
      <c r="BK265">
        <f>IF(OR(Исходн.данные.!AH265=Исходн.данные.!$AD$7,Исходн.данные.!AH265=Исходн.данные.!$AD$8),0.75,1)</f>
        <v>1</v>
      </c>
    </row>
    <row r="266" spans="32:63" x14ac:dyDescent="0.2">
      <c r="AF266">
        <f>SUM(Исходн.данные.!AD266:AF266)</f>
        <v>0</v>
      </c>
      <c r="AG266" s="60">
        <f>SUM(Расчет!CI266:CK266)</f>
        <v>0.64</v>
      </c>
      <c r="AH266" s="60">
        <f>SUM(Расчет!DS266:DU266)</f>
        <v>0</v>
      </c>
      <c r="AI266" t="e">
        <f t="shared" si="6"/>
        <v>#N/A</v>
      </c>
      <c r="AJ266" t="e">
        <f t="shared" si="7"/>
        <v>#N/A</v>
      </c>
      <c r="AL266">
        <f>Потребность!G266*Потребность!H266</f>
        <v>0</v>
      </c>
      <c r="AM266" s="11" t="e">
        <f>Исходн.данные.!$AJ266*Расчет2!AO266</f>
        <v>#VALUE!</v>
      </c>
      <c r="AN266" s="11">
        <f>Исходн.данные.!$AJ266*Расчет2!AP266</f>
        <v>0</v>
      </c>
      <c r="AO266" s="25" t="str">
        <f>IF(Расчет!BF266=0,"X",Расчет!BF266)</f>
        <v>X</v>
      </c>
      <c r="AP266" s="25">
        <f>Расчет!BG266</f>
        <v>0</v>
      </c>
      <c r="AQ266" s="9">
        <f>IF(Расчет!BL266&lt;0,0,Расчет!BL266)</f>
        <v>0</v>
      </c>
      <c r="AR266" s="25">
        <f>IF(Расчет!BM266&lt;0,0,Расчет!BM266)</f>
        <v>0</v>
      </c>
      <c r="AS266" s="25">
        <f>IF(Расчет!BN266&lt;0,0,Расчет!BN266)</f>
        <v>0</v>
      </c>
      <c r="AT266" s="25">
        <f>Расчет!BY266</f>
        <v>0</v>
      </c>
      <c r="AU266" s="25">
        <f>Расчет!BZ266</f>
        <v>10</v>
      </c>
      <c r="AV266" s="25">
        <f>Расчет!CA266</f>
        <v>0</v>
      </c>
      <c r="AW266" s="25" t="str">
        <f>Расчет!CH266</f>
        <v>Аммофос 12:52:00</v>
      </c>
      <c r="AX266" s="25">
        <f>Расчет!DB266</f>
        <v>0</v>
      </c>
      <c r="AY266" s="25">
        <f>Расчет!DC266</f>
        <v>0</v>
      </c>
      <c r="AZ266" s="25">
        <f>Расчет!DG266</f>
        <v>0</v>
      </c>
      <c r="BA266" s="25">
        <f>Расчет!DH266</f>
        <v>0</v>
      </c>
      <c r="BB266" s="25">
        <f>Расчет!DI266</f>
        <v>0</v>
      </c>
      <c r="BC266" s="25" t="str">
        <f>Расчет!DR266</f>
        <v>Нет</v>
      </c>
      <c r="BD266" s="25">
        <f>Расчет!EB266</f>
        <v>0</v>
      </c>
      <c r="BE266" s="25">
        <f>Расчет!EF266</f>
        <v>0</v>
      </c>
      <c r="BF266" s="25" t="e">
        <f>Расчет!EI266</f>
        <v>#DIV/0!</v>
      </c>
      <c r="BG266" s="25" t="e">
        <f>Расчет!FA266</f>
        <v>#N/A</v>
      </c>
      <c r="BI266">
        <f>IF(Исходн.данные.!AH266=Исходн.данные.!$AC$4,0.6,1)</f>
        <v>1</v>
      </c>
      <c r="BJ266">
        <f>IF(Исходн.данные.!AH266=Исходн.данные.!$AC$4,0.8,IF(OR(Потребность!F266=Расчет2!$BI$10,Потребность!F266=Расчет2!$BI$7,Потребность!F266=Расчет2!$BK$14,Исходн.данные.!AI266=Исходн.данные.!$AI$11),1.3,1))</f>
        <v>1.3</v>
      </c>
      <c r="BK266">
        <f>IF(OR(Исходн.данные.!AH266=Исходн.данные.!$AD$7,Исходн.данные.!AH266=Исходн.данные.!$AD$8),0.75,1)</f>
        <v>1</v>
      </c>
    </row>
    <row r="267" spans="32:63" x14ac:dyDescent="0.2">
      <c r="AF267">
        <f>SUM(Исходн.данные.!AD267:AF267)</f>
        <v>0</v>
      </c>
      <c r="AG267" s="60">
        <f>SUM(Расчет!CI267:CK267)</f>
        <v>0.64</v>
      </c>
      <c r="AH267" s="60">
        <f>SUM(Расчет!DS267:DU267)</f>
        <v>0</v>
      </c>
      <c r="AI267" t="e">
        <f t="shared" si="6"/>
        <v>#N/A</v>
      </c>
      <c r="AJ267" t="e">
        <f t="shared" si="7"/>
        <v>#N/A</v>
      </c>
      <c r="AL267">
        <f>Потребность!G267*Потребность!H267</f>
        <v>0</v>
      </c>
      <c r="AM267" s="11" t="e">
        <f>Исходн.данные.!$AJ267*Расчет2!AO267</f>
        <v>#VALUE!</v>
      </c>
      <c r="AN267" s="11">
        <f>Исходн.данные.!$AJ267*Расчет2!AP267</f>
        <v>0</v>
      </c>
      <c r="AO267" s="25" t="str">
        <f>IF(Расчет!BF267=0,"X",Расчет!BF267)</f>
        <v>X</v>
      </c>
      <c r="AP267" s="25">
        <f>Расчет!BG267</f>
        <v>0</v>
      </c>
      <c r="AQ267" s="9">
        <f>IF(Расчет!BL267&lt;0,0,Расчет!BL267)</f>
        <v>0</v>
      </c>
      <c r="AR267" s="25">
        <f>IF(Расчет!BM267&lt;0,0,Расчет!BM267)</f>
        <v>0</v>
      </c>
      <c r="AS267" s="25">
        <f>IF(Расчет!BN267&lt;0,0,Расчет!BN267)</f>
        <v>0</v>
      </c>
      <c r="AT267" s="25">
        <f>Расчет!BY267</f>
        <v>0</v>
      </c>
      <c r="AU267" s="25">
        <f>Расчет!BZ267</f>
        <v>10</v>
      </c>
      <c r="AV267" s="25">
        <f>Расчет!CA267</f>
        <v>0</v>
      </c>
      <c r="AW267" s="25" t="str">
        <f>Расчет!CH267</f>
        <v>Аммофос 12:52:00</v>
      </c>
      <c r="AX267" s="25">
        <f>Расчет!DB267</f>
        <v>0</v>
      </c>
      <c r="AY267" s="25">
        <f>Расчет!DC267</f>
        <v>0</v>
      </c>
      <c r="AZ267" s="25">
        <f>Расчет!DG267</f>
        <v>0</v>
      </c>
      <c r="BA267" s="25">
        <f>Расчет!DH267</f>
        <v>0</v>
      </c>
      <c r="BB267" s="25">
        <f>Расчет!DI267</f>
        <v>0</v>
      </c>
      <c r="BC267" s="25" t="str">
        <f>Расчет!DR267</f>
        <v>Нет</v>
      </c>
      <c r="BD267" s="25">
        <f>Расчет!EB267</f>
        <v>0</v>
      </c>
      <c r="BE267" s="25">
        <f>Расчет!EF267</f>
        <v>0</v>
      </c>
      <c r="BF267" s="25" t="e">
        <f>Расчет!EI267</f>
        <v>#DIV/0!</v>
      </c>
      <c r="BG267" s="25" t="e">
        <f>Расчет!FA267</f>
        <v>#N/A</v>
      </c>
      <c r="BI267">
        <f>IF(Исходн.данные.!AH267=Исходн.данные.!$AC$4,0.6,1)</f>
        <v>1</v>
      </c>
      <c r="BJ267">
        <f>IF(Исходн.данные.!AH267=Исходн.данные.!$AC$4,0.8,IF(OR(Потребность!F267=Расчет2!$BI$10,Потребность!F267=Расчет2!$BI$7,Потребность!F267=Расчет2!$BK$14,Исходн.данные.!AI267=Исходн.данные.!$AI$11),1.3,1))</f>
        <v>1.3</v>
      </c>
      <c r="BK267">
        <f>IF(OR(Исходн.данные.!AH267=Исходн.данные.!$AD$7,Исходн.данные.!AH267=Исходн.данные.!$AD$8),0.75,1)</f>
        <v>1</v>
      </c>
    </row>
    <row r="268" spans="32:63" x14ac:dyDescent="0.2">
      <c r="AF268">
        <f>SUM(Исходн.данные.!AD268:AF268)</f>
        <v>0</v>
      </c>
      <c r="AG268" s="60">
        <f>SUM(Расчет!CI268:CK268)</f>
        <v>0.64</v>
      </c>
      <c r="AH268" s="60">
        <f>SUM(Расчет!DS268:DU268)</f>
        <v>0</v>
      </c>
      <c r="AI268" t="e">
        <f t="shared" si="6"/>
        <v>#N/A</v>
      </c>
      <c r="AJ268" t="e">
        <f t="shared" si="7"/>
        <v>#N/A</v>
      </c>
      <c r="AL268">
        <f>Потребность!G268*Потребность!H268</f>
        <v>0</v>
      </c>
      <c r="AM268" s="11" t="e">
        <f>Исходн.данные.!$AJ268*Расчет2!AO268</f>
        <v>#VALUE!</v>
      </c>
      <c r="AN268" s="11">
        <f>Исходн.данные.!$AJ268*Расчет2!AP268</f>
        <v>0</v>
      </c>
      <c r="AO268" s="25" t="str">
        <f>IF(Расчет!BF268=0,"X",Расчет!BF268)</f>
        <v>X</v>
      </c>
      <c r="AP268" s="25">
        <f>Расчет!BG268</f>
        <v>0</v>
      </c>
      <c r="AQ268" s="9">
        <f>IF(Расчет!BL268&lt;0,0,Расчет!BL268)</f>
        <v>0</v>
      </c>
      <c r="AR268" s="25">
        <f>IF(Расчет!BM268&lt;0,0,Расчет!BM268)</f>
        <v>0</v>
      </c>
      <c r="AS268" s="25">
        <f>IF(Расчет!BN268&lt;0,0,Расчет!BN268)</f>
        <v>0</v>
      </c>
      <c r="AT268" s="25">
        <f>Расчет!BY268</f>
        <v>0</v>
      </c>
      <c r="AU268" s="25">
        <f>Расчет!BZ268</f>
        <v>10</v>
      </c>
      <c r="AV268" s="25">
        <f>Расчет!CA268</f>
        <v>0</v>
      </c>
      <c r="AW268" s="25" t="str">
        <f>Расчет!CH268</f>
        <v>Аммофос 12:52:00</v>
      </c>
      <c r="AX268" s="25">
        <f>Расчет!DB268</f>
        <v>0</v>
      </c>
      <c r="AY268" s="25">
        <f>Расчет!DC268</f>
        <v>0</v>
      </c>
      <c r="AZ268" s="25">
        <f>Расчет!DG268</f>
        <v>0</v>
      </c>
      <c r="BA268" s="25">
        <f>Расчет!DH268</f>
        <v>0</v>
      </c>
      <c r="BB268" s="25">
        <f>Расчет!DI268</f>
        <v>0</v>
      </c>
      <c r="BC268" s="25" t="str">
        <f>Расчет!DR268</f>
        <v>Нет</v>
      </c>
      <c r="BD268" s="25">
        <f>Расчет!EB268</f>
        <v>0</v>
      </c>
      <c r="BE268" s="25">
        <f>Расчет!EF268</f>
        <v>0</v>
      </c>
      <c r="BF268" s="25" t="e">
        <f>Расчет!EI268</f>
        <v>#DIV/0!</v>
      </c>
      <c r="BG268" s="25" t="e">
        <f>Расчет!FA268</f>
        <v>#N/A</v>
      </c>
      <c r="BI268">
        <f>IF(Исходн.данные.!AH268=Исходн.данные.!$AC$4,0.6,1)</f>
        <v>1</v>
      </c>
      <c r="BJ268">
        <f>IF(Исходн.данные.!AH268=Исходн.данные.!$AC$4,0.8,IF(OR(Потребность!F268=Расчет2!$BI$10,Потребность!F268=Расчет2!$BI$7,Потребность!F268=Расчет2!$BK$14,Исходн.данные.!AI268=Исходн.данные.!$AI$11),1.3,1))</f>
        <v>1.3</v>
      </c>
      <c r="BK268">
        <f>IF(OR(Исходн.данные.!AH268=Исходн.данные.!$AD$7,Исходн.данные.!AH268=Исходн.данные.!$AD$8),0.75,1)</f>
        <v>1</v>
      </c>
    </row>
    <row r="269" spans="32:63" x14ac:dyDescent="0.2">
      <c r="AF269">
        <f>SUM(Исходн.данные.!AD269:AF269)</f>
        <v>0</v>
      </c>
      <c r="AG269" s="60">
        <f>SUM(Расчет!CI269:CK269)</f>
        <v>0.64</v>
      </c>
      <c r="AH269" s="60">
        <f>SUM(Расчет!DS269:DU269)</f>
        <v>0</v>
      </c>
      <c r="AI269" t="e">
        <f t="shared" si="6"/>
        <v>#N/A</v>
      </c>
      <c r="AJ269" t="e">
        <f t="shared" si="7"/>
        <v>#N/A</v>
      </c>
      <c r="AL269">
        <f>Потребность!G269*Потребность!H269</f>
        <v>0</v>
      </c>
      <c r="AM269" s="11" t="e">
        <f>Исходн.данные.!$AJ269*Расчет2!AO269</f>
        <v>#VALUE!</v>
      </c>
      <c r="AN269" s="11">
        <f>Исходн.данные.!$AJ269*Расчет2!AP269</f>
        <v>0</v>
      </c>
      <c r="AO269" s="25" t="str">
        <f>IF(Расчет!BF269=0,"X",Расчет!BF269)</f>
        <v>X</v>
      </c>
      <c r="AP269" s="25">
        <f>Расчет!BG269</f>
        <v>0</v>
      </c>
      <c r="AQ269" s="9">
        <f>IF(Расчет!BL269&lt;0,0,Расчет!BL269)</f>
        <v>0</v>
      </c>
      <c r="AR269" s="25">
        <f>IF(Расчет!BM269&lt;0,0,Расчет!BM269)</f>
        <v>0</v>
      </c>
      <c r="AS269" s="25">
        <f>IF(Расчет!BN269&lt;0,0,Расчет!BN269)</f>
        <v>0</v>
      </c>
      <c r="AT269" s="25">
        <f>Расчет!BY269</f>
        <v>0</v>
      </c>
      <c r="AU269" s="25">
        <f>Расчет!BZ269</f>
        <v>10</v>
      </c>
      <c r="AV269" s="25">
        <f>Расчет!CA269</f>
        <v>0</v>
      </c>
      <c r="AW269" s="25" t="str">
        <f>Расчет!CH269</f>
        <v>Аммофос 12:52:00</v>
      </c>
      <c r="AX269" s="25">
        <f>Расчет!DB269</f>
        <v>0</v>
      </c>
      <c r="AY269" s="25">
        <f>Расчет!DC269</f>
        <v>0</v>
      </c>
      <c r="AZ269" s="25">
        <f>Расчет!DG269</f>
        <v>0</v>
      </c>
      <c r="BA269" s="25">
        <f>Расчет!DH269</f>
        <v>0</v>
      </c>
      <c r="BB269" s="25">
        <f>Расчет!DI269</f>
        <v>0</v>
      </c>
      <c r="BC269" s="25" t="str">
        <f>Расчет!DR269</f>
        <v>Нет</v>
      </c>
      <c r="BD269" s="25">
        <f>Расчет!EB269</f>
        <v>0</v>
      </c>
      <c r="BE269" s="25">
        <f>Расчет!EF269</f>
        <v>0</v>
      </c>
      <c r="BF269" s="25" t="e">
        <f>Расчет!EI269</f>
        <v>#DIV/0!</v>
      </c>
      <c r="BG269" s="25" t="e">
        <f>Расчет!FA269</f>
        <v>#N/A</v>
      </c>
      <c r="BI269">
        <f>IF(Исходн.данные.!AH269=Исходн.данные.!$AC$4,0.6,1)</f>
        <v>1</v>
      </c>
      <c r="BJ269">
        <f>IF(Исходн.данные.!AH269=Исходн.данные.!$AC$4,0.8,IF(OR(Потребность!F269=Расчет2!$BI$10,Потребность!F269=Расчет2!$BI$7,Потребность!F269=Расчет2!$BK$14,Исходн.данные.!AI269=Исходн.данные.!$AI$11),1.3,1))</f>
        <v>1.3</v>
      </c>
      <c r="BK269">
        <f>IF(OR(Исходн.данные.!AH269=Исходн.данные.!$AD$7,Исходн.данные.!AH269=Исходн.данные.!$AD$8),0.75,1)</f>
        <v>1</v>
      </c>
    </row>
    <row r="270" spans="32:63" x14ac:dyDescent="0.2">
      <c r="AF270">
        <f>SUM(Исходн.данные.!AD270:AF270)</f>
        <v>0</v>
      </c>
      <c r="AG270" s="60">
        <f>SUM(Расчет!CI270:CK270)</f>
        <v>0.64</v>
      </c>
      <c r="AH270" s="60">
        <f>SUM(Расчет!DS270:DU270)</f>
        <v>0</v>
      </c>
      <c r="AI270" t="e">
        <f t="shared" si="6"/>
        <v>#N/A</v>
      </c>
      <c r="AJ270" t="e">
        <f t="shared" si="7"/>
        <v>#N/A</v>
      </c>
      <c r="AL270">
        <f>Потребность!G270*Потребность!H270</f>
        <v>0</v>
      </c>
      <c r="AM270" s="11" t="e">
        <f>Исходн.данные.!$AJ270*Расчет2!AO270</f>
        <v>#VALUE!</v>
      </c>
      <c r="AN270" s="11">
        <f>Исходн.данные.!$AJ270*Расчет2!AP270</f>
        <v>0</v>
      </c>
      <c r="AO270" s="25" t="str">
        <f>IF(Расчет!BF270=0,"X",Расчет!BF270)</f>
        <v>X</v>
      </c>
      <c r="AP270" s="25">
        <f>Расчет!BG270</f>
        <v>0</v>
      </c>
      <c r="AQ270" s="9">
        <f>IF(Расчет!BL270&lt;0,0,Расчет!BL270)</f>
        <v>0</v>
      </c>
      <c r="AR270" s="25">
        <f>IF(Расчет!BM270&lt;0,0,Расчет!BM270)</f>
        <v>0</v>
      </c>
      <c r="AS270" s="25">
        <f>IF(Расчет!BN270&lt;0,0,Расчет!BN270)</f>
        <v>0</v>
      </c>
      <c r="AT270" s="25">
        <f>Расчет!BY270</f>
        <v>0</v>
      </c>
      <c r="AU270" s="25">
        <f>Расчет!BZ270</f>
        <v>10</v>
      </c>
      <c r="AV270" s="25">
        <f>Расчет!CA270</f>
        <v>0</v>
      </c>
      <c r="AW270" s="25" t="str">
        <f>Расчет!CH270</f>
        <v>Аммофос 12:52:00</v>
      </c>
      <c r="AX270" s="25">
        <f>Расчет!DB270</f>
        <v>0</v>
      </c>
      <c r="AY270" s="25">
        <f>Расчет!DC270</f>
        <v>0</v>
      </c>
      <c r="AZ270" s="25">
        <f>Расчет!DG270</f>
        <v>0</v>
      </c>
      <c r="BA270" s="25">
        <f>Расчет!DH270</f>
        <v>0</v>
      </c>
      <c r="BB270" s="25">
        <f>Расчет!DI270</f>
        <v>0</v>
      </c>
      <c r="BC270" s="25" t="str">
        <f>Расчет!DR270</f>
        <v>Нет</v>
      </c>
      <c r="BD270" s="25">
        <f>Расчет!EB270</f>
        <v>0</v>
      </c>
      <c r="BE270" s="25">
        <f>Расчет!EF270</f>
        <v>0</v>
      </c>
      <c r="BF270" s="25" t="e">
        <f>Расчет!EI270</f>
        <v>#DIV/0!</v>
      </c>
      <c r="BG270" s="25" t="e">
        <f>Расчет!FA270</f>
        <v>#N/A</v>
      </c>
      <c r="BI270">
        <f>IF(Исходн.данные.!AH270=Исходн.данные.!$AC$4,0.6,1)</f>
        <v>1</v>
      </c>
      <c r="BJ270">
        <f>IF(Исходн.данные.!AH270=Исходн.данные.!$AC$4,0.8,IF(OR(Потребность!F270=Расчет2!$BI$10,Потребность!F270=Расчет2!$BI$7,Потребность!F270=Расчет2!$BK$14,Исходн.данные.!AI270=Исходн.данные.!$AI$11),1.3,1))</f>
        <v>1.3</v>
      </c>
      <c r="BK270">
        <f>IF(OR(Исходн.данные.!AH270=Исходн.данные.!$AD$7,Исходн.данные.!AH270=Исходн.данные.!$AD$8),0.75,1)</f>
        <v>1</v>
      </c>
    </row>
    <row r="271" spans="32:63" x14ac:dyDescent="0.2">
      <c r="AF271">
        <f>SUM(Исходн.данные.!AD271:AF271)</f>
        <v>0</v>
      </c>
      <c r="AG271" s="60">
        <f>SUM(Расчет!CI271:CK271)</f>
        <v>0.64</v>
      </c>
      <c r="AH271" s="60">
        <f>SUM(Расчет!DS271:DU271)</f>
        <v>0</v>
      </c>
      <c r="AI271" t="e">
        <f t="shared" si="6"/>
        <v>#N/A</v>
      </c>
      <c r="AJ271" t="e">
        <f t="shared" si="7"/>
        <v>#N/A</v>
      </c>
      <c r="AL271">
        <f>Потребность!G271*Потребность!H271</f>
        <v>0</v>
      </c>
      <c r="AM271" s="11" t="e">
        <f>Исходн.данные.!$AJ271*Расчет2!AO271</f>
        <v>#VALUE!</v>
      </c>
      <c r="AN271" s="11">
        <f>Исходн.данные.!$AJ271*Расчет2!AP271</f>
        <v>0</v>
      </c>
      <c r="AO271" s="25" t="str">
        <f>IF(Расчет!BF271=0,"X",Расчет!BF271)</f>
        <v>X</v>
      </c>
      <c r="AP271" s="25">
        <f>Расчет!BG271</f>
        <v>0</v>
      </c>
      <c r="AQ271" s="9">
        <f>IF(Расчет!BL271&lt;0,0,Расчет!BL271)</f>
        <v>0</v>
      </c>
      <c r="AR271" s="25">
        <f>IF(Расчет!BM271&lt;0,0,Расчет!BM271)</f>
        <v>0</v>
      </c>
      <c r="AS271" s="25">
        <f>IF(Расчет!BN271&lt;0,0,Расчет!BN271)</f>
        <v>0</v>
      </c>
      <c r="AT271" s="25">
        <f>Расчет!BY271</f>
        <v>0</v>
      </c>
      <c r="AU271" s="25">
        <f>Расчет!BZ271</f>
        <v>10</v>
      </c>
      <c r="AV271" s="25">
        <f>Расчет!CA271</f>
        <v>0</v>
      </c>
      <c r="AW271" s="25" t="str">
        <f>Расчет!CH271</f>
        <v>Аммофос 12:52:00</v>
      </c>
      <c r="AX271" s="25">
        <f>Расчет!DB271</f>
        <v>0</v>
      </c>
      <c r="AY271" s="25">
        <f>Расчет!DC271</f>
        <v>0</v>
      </c>
      <c r="AZ271" s="25">
        <f>Расчет!DG271</f>
        <v>0</v>
      </c>
      <c r="BA271" s="25">
        <f>Расчет!DH271</f>
        <v>0</v>
      </c>
      <c r="BB271" s="25">
        <f>Расчет!DI271</f>
        <v>0</v>
      </c>
      <c r="BC271" s="25" t="str">
        <f>Расчет!DR271</f>
        <v>Нет</v>
      </c>
      <c r="BD271" s="25">
        <f>Расчет!EB271</f>
        <v>0</v>
      </c>
      <c r="BE271" s="25">
        <f>Расчет!EF271</f>
        <v>0</v>
      </c>
      <c r="BF271" s="25" t="e">
        <f>Расчет!EI271</f>
        <v>#DIV/0!</v>
      </c>
      <c r="BG271" s="25" t="e">
        <f>Расчет!FA271</f>
        <v>#N/A</v>
      </c>
      <c r="BI271">
        <f>IF(Исходн.данные.!AH271=Исходн.данные.!$AC$4,0.6,1)</f>
        <v>1</v>
      </c>
      <c r="BJ271">
        <f>IF(Исходн.данные.!AH271=Исходн.данные.!$AC$4,0.8,IF(OR(Потребность!F271=Расчет2!$BI$10,Потребность!F271=Расчет2!$BI$7,Потребность!F271=Расчет2!$BK$14,Исходн.данные.!AI271=Исходн.данные.!$AI$11),1.3,1))</f>
        <v>1.3</v>
      </c>
      <c r="BK271">
        <f>IF(OR(Исходн.данные.!AH271=Исходн.данные.!$AD$7,Исходн.данные.!AH271=Исходн.данные.!$AD$8),0.75,1)</f>
        <v>1</v>
      </c>
    </row>
    <row r="272" spans="32:63" x14ac:dyDescent="0.2">
      <c r="AF272">
        <f>SUM(Исходн.данные.!AD272:AF272)</f>
        <v>0</v>
      </c>
      <c r="AG272" s="60">
        <f>SUM(Расчет!CI272:CK272)</f>
        <v>0.64</v>
      </c>
      <c r="AH272" s="60">
        <f>SUM(Расчет!DS272:DU272)</f>
        <v>0</v>
      </c>
      <c r="AI272" t="e">
        <f t="shared" si="6"/>
        <v>#N/A</v>
      </c>
      <c r="AJ272" t="e">
        <f t="shared" si="7"/>
        <v>#N/A</v>
      </c>
      <c r="AL272">
        <f>Потребность!G272*Потребность!H272</f>
        <v>0</v>
      </c>
      <c r="AM272" s="11" t="e">
        <f>Исходн.данные.!$AJ272*Расчет2!AO272</f>
        <v>#VALUE!</v>
      </c>
      <c r="AN272" s="11">
        <f>Исходн.данные.!$AJ272*Расчет2!AP272</f>
        <v>0</v>
      </c>
      <c r="AO272" s="25" t="str">
        <f>IF(Расчет!BF272=0,"X",Расчет!BF272)</f>
        <v>X</v>
      </c>
      <c r="AP272" s="25">
        <f>Расчет!BG272</f>
        <v>0</v>
      </c>
      <c r="AQ272" s="9">
        <f>IF(Расчет!BL272&lt;0,0,Расчет!BL272)</f>
        <v>0</v>
      </c>
      <c r="AR272" s="25">
        <f>IF(Расчет!BM272&lt;0,0,Расчет!BM272)</f>
        <v>0</v>
      </c>
      <c r="AS272" s="25">
        <f>IF(Расчет!BN272&lt;0,0,Расчет!BN272)</f>
        <v>0</v>
      </c>
      <c r="AT272" s="25">
        <f>Расчет!BY272</f>
        <v>0</v>
      </c>
      <c r="AU272" s="25">
        <f>Расчет!BZ272</f>
        <v>10</v>
      </c>
      <c r="AV272" s="25">
        <f>Расчет!CA272</f>
        <v>0</v>
      </c>
      <c r="AW272" s="25" t="str">
        <f>Расчет!CH272</f>
        <v>Аммофос 12:52:00</v>
      </c>
      <c r="AX272" s="25">
        <f>Расчет!DB272</f>
        <v>0</v>
      </c>
      <c r="AY272" s="25">
        <f>Расчет!DC272</f>
        <v>0</v>
      </c>
      <c r="AZ272" s="25">
        <f>Расчет!DG272</f>
        <v>0</v>
      </c>
      <c r="BA272" s="25">
        <f>Расчет!DH272</f>
        <v>0</v>
      </c>
      <c r="BB272" s="25">
        <f>Расчет!DI272</f>
        <v>0</v>
      </c>
      <c r="BC272" s="25" t="str">
        <f>Расчет!DR272</f>
        <v>Нет</v>
      </c>
      <c r="BD272" s="25">
        <f>Расчет!EB272</f>
        <v>0</v>
      </c>
      <c r="BE272" s="25">
        <f>Расчет!EF272</f>
        <v>0</v>
      </c>
      <c r="BF272" s="25" t="e">
        <f>Расчет!EI272</f>
        <v>#DIV/0!</v>
      </c>
      <c r="BG272" s="25" t="e">
        <f>Расчет!FA272</f>
        <v>#N/A</v>
      </c>
      <c r="BI272">
        <f>IF(Исходн.данные.!AH272=Исходн.данные.!$AC$4,0.6,1)</f>
        <v>1</v>
      </c>
      <c r="BJ272">
        <f>IF(Исходн.данные.!AH272=Исходн.данные.!$AC$4,0.8,IF(OR(Потребность!F272=Расчет2!$BI$10,Потребность!F272=Расчет2!$BI$7,Потребность!F272=Расчет2!$BK$14,Исходн.данные.!AI272=Исходн.данные.!$AI$11),1.3,1))</f>
        <v>1.3</v>
      </c>
      <c r="BK272">
        <f>IF(OR(Исходн.данные.!AH272=Исходн.данные.!$AD$7,Исходн.данные.!AH272=Исходн.данные.!$AD$8),0.75,1)</f>
        <v>1</v>
      </c>
    </row>
    <row r="273" spans="32:63" x14ac:dyDescent="0.2">
      <c r="AF273">
        <f>SUM(Исходн.данные.!AD273:AF273)</f>
        <v>0</v>
      </c>
      <c r="AG273" s="60">
        <f>SUM(Расчет!CI273:CK273)</f>
        <v>0.64</v>
      </c>
      <c r="AH273" s="60">
        <f>SUM(Расчет!DS273:DU273)</f>
        <v>0</v>
      </c>
      <c r="AI273" t="e">
        <f t="shared" si="6"/>
        <v>#N/A</v>
      </c>
      <c r="AJ273" t="e">
        <f t="shared" si="7"/>
        <v>#N/A</v>
      </c>
      <c r="AL273">
        <f>Потребность!G273*Потребность!H273</f>
        <v>0</v>
      </c>
      <c r="AM273" s="11" t="e">
        <f>Исходн.данные.!$AJ273*Расчет2!AO273</f>
        <v>#VALUE!</v>
      </c>
      <c r="AN273" s="11">
        <f>Исходн.данные.!$AJ273*Расчет2!AP273</f>
        <v>0</v>
      </c>
      <c r="AO273" s="25" t="str">
        <f>IF(Расчет!BF273=0,"X",Расчет!BF273)</f>
        <v>X</v>
      </c>
      <c r="AP273" s="25">
        <f>Расчет!BG273</f>
        <v>0</v>
      </c>
      <c r="AQ273" s="9">
        <f>IF(Расчет!BL273&lt;0,0,Расчет!BL273)</f>
        <v>0</v>
      </c>
      <c r="AR273" s="25">
        <f>IF(Расчет!BM273&lt;0,0,Расчет!BM273)</f>
        <v>0</v>
      </c>
      <c r="AS273" s="25">
        <f>IF(Расчет!BN273&lt;0,0,Расчет!BN273)</f>
        <v>0</v>
      </c>
      <c r="AT273" s="25">
        <f>Расчет!BY273</f>
        <v>0</v>
      </c>
      <c r="AU273" s="25">
        <f>Расчет!BZ273</f>
        <v>10</v>
      </c>
      <c r="AV273" s="25">
        <f>Расчет!CA273</f>
        <v>0</v>
      </c>
      <c r="AW273" s="25" t="str">
        <f>Расчет!CH273</f>
        <v>Аммофос 12:52:00</v>
      </c>
      <c r="AX273" s="25">
        <f>Расчет!DB273</f>
        <v>0</v>
      </c>
      <c r="AY273" s="25">
        <f>Расчет!DC273</f>
        <v>0</v>
      </c>
      <c r="AZ273" s="25">
        <f>Расчет!DG273</f>
        <v>0</v>
      </c>
      <c r="BA273" s="25">
        <f>Расчет!DH273</f>
        <v>0</v>
      </c>
      <c r="BB273" s="25">
        <f>Расчет!DI273</f>
        <v>0</v>
      </c>
      <c r="BC273" s="25" t="str">
        <f>Расчет!DR273</f>
        <v>Нет</v>
      </c>
      <c r="BD273" s="25">
        <f>Расчет!EB273</f>
        <v>0</v>
      </c>
      <c r="BE273" s="25">
        <f>Расчет!EF273</f>
        <v>0</v>
      </c>
      <c r="BF273" s="25" t="e">
        <f>Расчет!EI273</f>
        <v>#DIV/0!</v>
      </c>
      <c r="BG273" s="25" t="e">
        <f>Расчет!FA273</f>
        <v>#N/A</v>
      </c>
      <c r="BI273">
        <f>IF(Исходн.данные.!AH273=Исходн.данные.!$AC$4,0.6,1)</f>
        <v>1</v>
      </c>
      <c r="BJ273">
        <f>IF(Исходн.данные.!AH273=Исходн.данные.!$AC$4,0.8,IF(OR(Потребность!F273=Расчет2!$BI$10,Потребность!F273=Расчет2!$BI$7,Потребность!F273=Расчет2!$BK$14,Исходн.данные.!AI273=Исходн.данные.!$AI$11),1.3,1))</f>
        <v>1.3</v>
      </c>
      <c r="BK273">
        <f>IF(OR(Исходн.данные.!AH273=Исходн.данные.!$AD$7,Исходн.данные.!AH273=Исходн.данные.!$AD$8),0.75,1)</f>
        <v>1</v>
      </c>
    </row>
    <row r="274" spans="32:63" x14ac:dyDescent="0.2">
      <c r="AF274">
        <f>SUM(Исходн.данные.!AD274:AF274)</f>
        <v>0</v>
      </c>
      <c r="AG274" s="60">
        <f>SUM(Расчет!CI274:CK274)</f>
        <v>0.64</v>
      </c>
      <c r="AH274" s="60">
        <f>SUM(Расчет!DS274:DU274)</f>
        <v>0</v>
      </c>
      <c r="AI274" t="e">
        <f t="shared" si="6"/>
        <v>#N/A</v>
      </c>
      <c r="AJ274" t="e">
        <f t="shared" si="7"/>
        <v>#N/A</v>
      </c>
      <c r="AL274">
        <f>Потребность!G274*Потребность!H274</f>
        <v>0</v>
      </c>
      <c r="AM274" s="11" t="e">
        <f>Исходн.данные.!$AJ274*Расчет2!AO274</f>
        <v>#VALUE!</v>
      </c>
      <c r="AN274" s="11">
        <f>Исходн.данные.!$AJ274*Расчет2!AP274</f>
        <v>0</v>
      </c>
      <c r="AO274" s="25" t="str">
        <f>IF(Расчет!BF274=0,"X",Расчет!BF274)</f>
        <v>X</v>
      </c>
      <c r="AP274" s="25">
        <f>Расчет!BG274</f>
        <v>0</v>
      </c>
      <c r="AQ274" s="9">
        <f>IF(Расчет!BL274&lt;0,0,Расчет!BL274)</f>
        <v>0</v>
      </c>
      <c r="AR274" s="25">
        <f>IF(Расчет!BM274&lt;0,0,Расчет!BM274)</f>
        <v>0</v>
      </c>
      <c r="AS274" s="25">
        <f>IF(Расчет!BN274&lt;0,0,Расчет!BN274)</f>
        <v>0</v>
      </c>
      <c r="AT274" s="25">
        <f>Расчет!BY274</f>
        <v>0</v>
      </c>
      <c r="AU274" s="25">
        <f>Расчет!BZ274</f>
        <v>10</v>
      </c>
      <c r="AV274" s="25">
        <f>Расчет!CA274</f>
        <v>0</v>
      </c>
      <c r="AW274" s="25" t="str">
        <f>Расчет!CH274</f>
        <v>Аммофос 12:52:00</v>
      </c>
      <c r="AX274" s="25">
        <f>Расчет!DB274</f>
        <v>0</v>
      </c>
      <c r="AY274" s="25">
        <f>Расчет!DC274</f>
        <v>0</v>
      </c>
      <c r="AZ274" s="25">
        <f>Расчет!DG274</f>
        <v>0</v>
      </c>
      <c r="BA274" s="25">
        <f>Расчет!DH274</f>
        <v>0</v>
      </c>
      <c r="BB274" s="25">
        <f>Расчет!DI274</f>
        <v>0</v>
      </c>
      <c r="BC274" s="25" t="str">
        <f>Расчет!DR274</f>
        <v>Нет</v>
      </c>
      <c r="BD274" s="25">
        <f>Расчет!EB274</f>
        <v>0</v>
      </c>
      <c r="BE274" s="25">
        <f>Расчет!EF274</f>
        <v>0</v>
      </c>
      <c r="BF274" s="25" t="e">
        <f>Расчет!EI274</f>
        <v>#DIV/0!</v>
      </c>
      <c r="BG274" s="25" t="e">
        <f>Расчет!FA274</f>
        <v>#N/A</v>
      </c>
      <c r="BI274">
        <f>IF(Исходн.данные.!AH274=Исходн.данные.!$AC$4,0.6,1)</f>
        <v>1</v>
      </c>
      <c r="BJ274">
        <f>IF(Исходн.данные.!AH274=Исходн.данные.!$AC$4,0.8,IF(OR(Потребность!F274=Расчет2!$BI$10,Потребность!F274=Расчет2!$BI$7,Потребность!F274=Расчет2!$BK$14,Исходн.данные.!AI274=Исходн.данные.!$AI$11),1.3,1))</f>
        <v>1.3</v>
      </c>
      <c r="BK274">
        <f>IF(OR(Исходн.данные.!AH274=Исходн.данные.!$AD$7,Исходн.данные.!AH274=Исходн.данные.!$AD$8),0.75,1)</f>
        <v>1</v>
      </c>
    </row>
    <row r="275" spans="32:63" x14ac:dyDescent="0.2">
      <c r="AF275">
        <f>SUM(Исходн.данные.!AD275:AF275)</f>
        <v>0</v>
      </c>
      <c r="AG275" s="60">
        <f>SUM(Расчет!CI275:CK275)</f>
        <v>0.64</v>
      </c>
      <c r="AH275" s="60">
        <f>SUM(Расчет!DS275:DU275)</f>
        <v>0</v>
      </c>
      <c r="AI275" t="e">
        <f t="shared" si="6"/>
        <v>#N/A</v>
      </c>
      <c r="AJ275" t="e">
        <f t="shared" si="7"/>
        <v>#N/A</v>
      </c>
      <c r="AL275">
        <f>Потребность!G275*Потребность!H275</f>
        <v>0</v>
      </c>
      <c r="AM275" s="11" t="e">
        <f>Исходн.данные.!$AJ275*Расчет2!AO275</f>
        <v>#VALUE!</v>
      </c>
      <c r="AN275" s="11">
        <f>Исходн.данные.!$AJ275*Расчет2!AP275</f>
        <v>0</v>
      </c>
      <c r="AO275" s="25" t="str">
        <f>IF(Расчет!BF275=0,"X",Расчет!BF275)</f>
        <v>X</v>
      </c>
      <c r="AP275" s="25">
        <f>Расчет!BG275</f>
        <v>0</v>
      </c>
      <c r="AQ275" s="9">
        <f>IF(Расчет!BL275&lt;0,0,Расчет!BL275)</f>
        <v>0</v>
      </c>
      <c r="AR275" s="25">
        <f>IF(Расчет!BM275&lt;0,0,Расчет!BM275)</f>
        <v>0</v>
      </c>
      <c r="AS275" s="25">
        <f>IF(Расчет!BN275&lt;0,0,Расчет!BN275)</f>
        <v>0</v>
      </c>
      <c r="AT275" s="25">
        <f>Расчет!BY275</f>
        <v>0</v>
      </c>
      <c r="AU275" s="25">
        <f>Расчет!BZ275</f>
        <v>10</v>
      </c>
      <c r="AV275" s="25">
        <f>Расчет!CA275</f>
        <v>0</v>
      </c>
      <c r="AW275" s="25" t="str">
        <f>Расчет!CH275</f>
        <v>Аммофос 12:52:00</v>
      </c>
      <c r="AX275" s="25">
        <f>Расчет!DB275</f>
        <v>0</v>
      </c>
      <c r="AY275" s="25">
        <f>Расчет!DC275</f>
        <v>0</v>
      </c>
      <c r="AZ275" s="25">
        <f>Расчет!DG275</f>
        <v>0</v>
      </c>
      <c r="BA275" s="25">
        <f>Расчет!DH275</f>
        <v>0</v>
      </c>
      <c r="BB275" s="25">
        <f>Расчет!DI275</f>
        <v>0</v>
      </c>
      <c r="BC275" s="25" t="str">
        <f>Расчет!DR275</f>
        <v>Нет</v>
      </c>
      <c r="BD275" s="25">
        <f>Расчет!EB275</f>
        <v>0</v>
      </c>
      <c r="BE275" s="25">
        <f>Расчет!EF275</f>
        <v>0</v>
      </c>
      <c r="BF275" s="25" t="e">
        <f>Расчет!EI275</f>
        <v>#DIV/0!</v>
      </c>
      <c r="BG275" s="25" t="e">
        <f>Расчет!FA275</f>
        <v>#N/A</v>
      </c>
      <c r="BI275">
        <f>IF(Исходн.данные.!AH275=Исходн.данные.!$AC$4,0.6,1)</f>
        <v>1</v>
      </c>
      <c r="BJ275">
        <f>IF(Исходн.данные.!AH275=Исходн.данные.!$AC$4,0.8,IF(OR(Потребность!F275=Расчет2!$BI$10,Потребность!F275=Расчет2!$BI$7,Потребность!F275=Расчет2!$BK$14,Исходн.данные.!AI275=Исходн.данные.!$AI$11),1.3,1))</f>
        <v>1.3</v>
      </c>
      <c r="BK275">
        <f>IF(OR(Исходн.данные.!AH275=Исходн.данные.!$AD$7,Исходн.данные.!AH275=Исходн.данные.!$AD$8),0.75,1)</f>
        <v>1</v>
      </c>
    </row>
    <row r="276" spans="32:63" x14ac:dyDescent="0.2">
      <c r="AF276">
        <f>SUM(Исходн.данные.!AD276:AF276)</f>
        <v>0</v>
      </c>
      <c r="AG276" s="60">
        <f>SUM(Расчет!CI276:CK276)</f>
        <v>0.64</v>
      </c>
      <c r="AH276" s="60">
        <f>SUM(Расчет!DS276:DU276)</f>
        <v>0</v>
      </c>
      <c r="AI276" t="e">
        <f t="shared" si="6"/>
        <v>#N/A</v>
      </c>
      <c r="AJ276" t="e">
        <f t="shared" si="7"/>
        <v>#N/A</v>
      </c>
      <c r="AL276">
        <f>Потребность!G276*Потребность!H276</f>
        <v>0</v>
      </c>
      <c r="AM276" s="11" t="e">
        <f>Исходн.данные.!$AJ276*Расчет2!AO276</f>
        <v>#VALUE!</v>
      </c>
      <c r="AN276" s="11">
        <f>Исходн.данные.!$AJ276*Расчет2!AP276</f>
        <v>0</v>
      </c>
      <c r="AO276" s="25" t="str">
        <f>IF(Расчет!BF276=0,"X",Расчет!BF276)</f>
        <v>X</v>
      </c>
      <c r="AP276" s="25">
        <f>Расчет!BG276</f>
        <v>0</v>
      </c>
      <c r="AQ276" s="9">
        <f>IF(Расчет!BL276&lt;0,0,Расчет!BL276)</f>
        <v>0</v>
      </c>
      <c r="AR276" s="25">
        <f>IF(Расчет!BM276&lt;0,0,Расчет!BM276)</f>
        <v>0</v>
      </c>
      <c r="AS276" s="25">
        <f>IF(Расчет!BN276&lt;0,0,Расчет!BN276)</f>
        <v>0</v>
      </c>
      <c r="AT276" s="25">
        <f>Расчет!BY276</f>
        <v>0</v>
      </c>
      <c r="AU276" s="25">
        <f>Расчет!BZ276</f>
        <v>10</v>
      </c>
      <c r="AV276" s="25">
        <f>Расчет!CA276</f>
        <v>0</v>
      </c>
      <c r="AW276" s="25" t="str">
        <f>Расчет!CH276</f>
        <v>Аммофос 12:52:00</v>
      </c>
      <c r="AX276" s="25">
        <f>Расчет!DB276</f>
        <v>0</v>
      </c>
      <c r="AY276" s="25">
        <f>Расчет!DC276</f>
        <v>0</v>
      </c>
      <c r="AZ276" s="25">
        <f>Расчет!DG276</f>
        <v>0</v>
      </c>
      <c r="BA276" s="25">
        <f>Расчет!DH276</f>
        <v>0</v>
      </c>
      <c r="BB276" s="25">
        <f>Расчет!DI276</f>
        <v>0</v>
      </c>
      <c r="BC276" s="25" t="str">
        <f>Расчет!DR276</f>
        <v>Нет</v>
      </c>
      <c r="BD276" s="25">
        <f>Расчет!EB276</f>
        <v>0</v>
      </c>
      <c r="BE276" s="25">
        <f>Расчет!EF276</f>
        <v>0</v>
      </c>
      <c r="BF276" s="25" t="e">
        <f>Расчет!EI276</f>
        <v>#DIV/0!</v>
      </c>
      <c r="BG276" s="25" t="e">
        <f>Расчет!FA276</f>
        <v>#N/A</v>
      </c>
      <c r="BI276">
        <f>IF(Исходн.данные.!AH276=Исходн.данные.!$AC$4,0.6,1)</f>
        <v>1</v>
      </c>
      <c r="BJ276">
        <f>IF(Исходн.данные.!AH276=Исходн.данные.!$AC$4,0.8,IF(OR(Потребность!F276=Расчет2!$BI$10,Потребность!F276=Расчет2!$BI$7,Потребность!F276=Расчет2!$BK$14,Исходн.данные.!AI276=Исходн.данные.!$AI$11),1.3,1))</f>
        <v>1.3</v>
      </c>
      <c r="BK276">
        <f>IF(OR(Исходн.данные.!AH276=Исходн.данные.!$AD$7,Исходн.данные.!AH276=Исходн.данные.!$AD$8),0.75,1)</f>
        <v>1</v>
      </c>
    </row>
    <row r="277" spans="32:63" x14ac:dyDescent="0.2">
      <c r="AF277">
        <f>SUM(Исходн.данные.!AD277:AF277)</f>
        <v>0</v>
      </c>
      <c r="AG277" s="60">
        <f>SUM(Расчет!CI277:CK277)</f>
        <v>0.64</v>
      </c>
      <c r="AH277" s="60">
        <f>SUM(Расчет!DS277:DU277)</f>
        <v>0</v>
      </c>
      <c r="AI277" t="e">
        <f t="shared" si="6"/>
        <v>#N/A</v>
      </c>
      <c r="AJ277" t="e">
        <f t="shared" si="7"/>
        <v>#N/A</v>
      </c>
      <c r="AL277">
        <f>Потребность!G277*Потребность!H277</f>
        <v>0</v>
      </c>
      <c r="AM277" s="11" t="e">
        <f>Исходн.данные.!$AJ277*Расчет2!AO277</f>
        <v>#VALUE!</v>
      </c>
      <c r="AN277" s="11">
        <f>Исходн.данные.!$AJ277*Расчет2!AP277</f>
        <v>0</v>
      </c>
      <c r="AO277" s="25" t="str">
        <f>IF(Расчет!BF277=0,"X",Расчет!BF277)</f>
        <v>X</v>
      </c>
      <c r="AP277" s="25">
        <f>Расчет!BG277</f>
        <v>0</v>
      </c>
      <c r="AQ277" s="9">
        <f>IF(Расчет!BL277&lt;0,0,Расчет!BL277)</f>
        <v>0</v>
      </c>
      <c r="AR277" s="25">
        <f>IF(Расчет!BM277&lt;0,0,Расчет!BM277)</f>
        <v>0</v>
      </c>
      <c r="AS277" s="25">
        <f>IF(Расчет!BN277&lt;0,0,Расчет!BN277)</f>
        <v>0</v>
      </c>
      <c r="AT277" s="25">
        <f>Расчет!BY277</f>
        <v>0</v>
      </c>
      <c r="AU277" s="25">
        <f>Расчет!BZ277</f>
        <v>10</v>
      </c>
      <c r="AV277" s="25">
        <f>Расчет!CA277</f>
        <v>0</v>
      </c>
      <c r="AW277" s="25" t="str">
        <f>Расчет!CH277</f>
        <v>Аммофос 12:52:00</v>
      </c>
      <c r="AX277" s="25">
        <f>Расчет!DB277</f>
        <v>0</v>
      </c>
      <c r="AY277" s="25">
        <f>Расчет!DC277</f>
        <v>0</v>
      </c>
      <c r="AZ277" s="25">
        <f>Расчет!DG277</f>
        <v>0</v>
      </c>
      <c r="BA277" s="25">
        <f>Расчет!DH277</f>
        <v>0</v>
      </c>
      <c r="BB277" s="25">
        <f>Расчет!DI277</f>
        <v>0</v>
      </c>
      <c r="BC277" s="25" t="str">
        <f>Расчет!DR277</f>
        <v>Нет</v>
      </c>
      <c r="BD277" s="25">
        <f>Расчет!EB277</f>
        <v>0</v>
      </c>
      <c r="BE277" s="25">
        <f>Расчет!EF277</f>
        <v>0</v>
      </c>
      <c r="BF277" s="25" t="e">
        <f>Расчет!EI277</f>
        <v>#DIV/0!</v>
      </c>
      <c r="BG277" s="25" t="e">
        <f>Расчет!FA277</f>
        <v>#N/A</v>
      </c>
      <c r="BI277">
        <f>IF(Исходн.данные.!AH277=Исходн.данные.!$AC$4,0.6,1)</f>
        <v>1</v>
      </c>
      <c r="BJ277">
        <f>IF(Исходн.данные.!AH277=Исходн.данные.!$AC$4,0.8,IF(OR(Потребность!F277=Расчет2!$BI$10,Потребность!F277=Расчет2!$BI$7,Потребность!F277=Расчет2!$BK$14,Исходн.данные.!AI277=Исходн.данные.!$AI$11),1.3,1))</f>
        <v>1.3</v>
      </c>
      <c r="BK277">
        <f>IF(OR(Исходн.данные.!AH277=Исходн.данные.!$AD$7,Исходн.данные.!AH277=Исходн.данные.!$AD$8),0.75,1)</f>
        <v>1</v>
      </c>
    </row>
    <row r="278" spans="32:63" x14ac:dyDescent="0.2">
      <c r="AF278">
        <f>SUM(Исходн.данные.!AD278:AF278)</f>
        <v>0</v>
      </c>
      <c r="AG278" s="60">
        <f>SUM(Расчет!CI278:CK278)</f>
        <v>0.64</v>
      </c>
      <c r="AH278" s="60">
        <f>SUM(Расчет!DS278:DU278)</f>
        <v>0</v>
      </c>
      <c r="AI278" t="e">
        <f t="shared" ref="AI278:AI341" si="8">VLOOKUP(МетОпрФос,ПопрКоМетАн,2,FALSE)</f>
        <v>#N/A</v>
      </c>
      <c r="AJ278" t="e">
        <f t="shared" ref="AJ278:AJ341" si="9">VLOOKUP(МетОпрКал,ПопрКоМетАн,3,FALSE)</f>
        <v>#N/A</v>
      </c>
      <c r="AL278">
        <f>Потребность!G278*Потребность!H278</f>
        <v>0</v>
      </c>
      <c r="AM278" s="11" t="e">
        <f>Исходн.данные.!$AJ278*Расчет2!AO278</f>
        <v>#VALUE!</v>
      </c>
      <c r="AN278" s="11">
        <f>Исходн.данные.!$AJ278*Расчет2!AP278</f>
        <v>0</v>
      </c>
      <c r="AO278" s="25" t="str">
        <f>IF(Расчет!BF278=0,"X",Расчет!BF278)</f>
        <v>X</v>
      </c>
      <c r="AP278" s="25">
        <f>Расчет!BG278</f>
        <v>0</v>
      </c>
      <c r="AQ278" s="9">
        <f>IF(Расчет!BL278&lt;0,0,Расчет!BL278)</f>
        <v>0</v>
      </c>
      <c r="AR278" s="25">
        <f>IF(Расчет!BM278&lt;0,0,Расчет!BM278)</f>
        <v>0</v>
      </c>
      <c r="AS278" s="25">
        <f>IF(Расчет!BN278&lt;0,0,Расчет!BN278)</f>
        <v>0</v>
      </c>
      <c r="AT278" s="25">
        <f>Расчет!BY278</f>
        <v>0</v>
      </c>
      <c r="AU278" s="25">
        <f>Расчет!BZ278</f>
        <v>10</v>
      </c>
      <c r="AV278" s="25">
        <f>Расчет!CA278</f>
        <v>0</v>
      </c>
      <c r="AW278" s="25" t="str">
        <f>Расчет!CH278</f>
        <v>Аммофос 12:52:00</v>
      </c>
      <c r="AX278" s="25">
        <f>Расчет!DB278</f>
        <v>0</v>
      </c>
      <c r="AY278" s="25">
        <f>Расчет!DC278</f>
        <v>0</v>
      </c>
      <c r="AZ278" s="25">
        <f>Расчет!DG278</f>
        <v>0</v>
      </c>
      <c r="BA278" s="25">
        <f>Расчет!DH278</f>
        <v>0</v>
      </c>
      <c r="BB278" s="25">
        <f>Расчет!DI278</f>
        <v>0</v>
      </c>
      <c r="BC278" s="25" t="str">
        <f>Расчет!DR278</f>
        <v>Нет</v>
      </c>
      <c r="BD278" s="25">
        <f>Расчет!EB278</f>
        <v>0</v>
      </c>
      <c r="BE278" s="25">
        <f>Расчет!EF278</f>
        <v>0</v>
      </c>
      <c r="BF278" s="25" t="e">
        <f>Расчет!EI278</f>
        <v>#DIV/0!</v>
      </c>
      <c r="BG278" s="25" t="e">
        <f>Расчет!FA278</f>
        <v>#N/A</v>
      </c>
      <c r="BI278">
        <f>IF(Исходн.данные.!AH278=Исходн.данные.!$AC$4,0.6,1)</f>
        <v>1</v>
      </c>
      <c r="BJ278">
        <f>IF(Исходн.данные.!AH278=Исходн.данные.!$AC$4,0.8,IF(OR(Потребность!F278=Расчет2!$BI$10,Потребность!F278=Расчет2!$BI$7,Потребность!F278=Расчет2!$BK$14,Исходн.данные.!AI278=Исходн.данные.!$AI$11),1.3,1))</f>
        <v>1.3</v>
      </c>
      <c r="BK278">
        <f>IF(OR(Исходн.данные.!AH278=Исходн.данные.!$AD$7,Исходн.данные.!AH278=Исходн.данные.!$AD$8),0.75,1)</f>
        <v>1</v>
      </c>
    </row>
    <row r="279" spans="32:63" x14ac:dyDescent="0.2">
      <c r="AF279">
        <f>SUM(Исходн.данные.!AD279:AF279)</f>
        <v>0</v>
      </c>
      <c r="AG279" s="60">
        <f>SUM(Расчет!CI279:CK279)</f>
        <v>0.64</v>
      </c>
      <c r="AH279" s="60">
        <f>SUM(Расчет!DS279:DU279)</f>
        <v>0</v>
      </c>
      <c r="AI279" t="e">
        <f t="shared" si="8"/>
        <v>#N/A</v>
      </c>
      <c r="AJ279" t="e">
        <f t="shared" si="9"/>
        <v>#N/A</v>
      </c>
      <c r="AL279">
        <f>Потребность!G279*Потребность!H279</f>
        <v>0</v>
      </c>
      <c r="AM279" s="11" t="e">
        <f>Исходн.данные.!$AJ279*Расчет2!AO279</f>
        <v>#VALUE!</v>
      </c>
      <c r="AN279" s="11">
        <f>Исходн.данные.!$AJ279*Расчет2!AP279</f>
        <v>0</v>
      </c>
      <c r="AO279" s="25" t="str">
        <f>IF(Расчет!BF279=0,"X",Расчет!BF279)</f>
        <v>X</v>
      </c>
      <c r="AP279" s="25">
        <f>Расчет!BG279</f>
        <v>0</v>
      </c>
      <c r="AQ279" s="9">
        <f>IF(Расчет!BL279&lt;0,0,Расчет!BL279)</f>
        <v>0</v>
      </c>
      <c r="AR279" s="25">
        <f>IF(Расчет!BM279&lt;0,0,Расчет!BM279)</f>
        <v>0</v>
      </c>
      <c r="AS279" s="25">
        <f>IF(Расчет!BN279&lt;0,0,Расчет!BN279)</f>
        <v>0</v>
      </c>
      <c r="AT279" s="25">
        <f>Расчет!BY279</f>
        <v>0</v>
      </c>
      <c r="AU279" s="25">
        <f>Расчет!BZ279</f>
        <v>10</v>
      </c>
      <c r="AV279" s="25">
        <f>Расчет!CA279</f>
        <v>0</v>
      </c>
      <c r="AW279" s="25" t="str">
        <f>Расчет!CH279</f>
        <v>Аммофос 12:52:00</v>
      </c>
      <c r="AX279" s="25">
        <f>Расчет!DB279</f>
        <v>0</v>
      </c>
      <c r="AY279" s="25">
        <f>Расчет!DC279</f>
        <v>0</v>
      </c>
      <c r="AZ279" s="25">
        <f>Расчет!DG279</f>
        <v>0</v>
      </c>
      <c r="BA279" s="25">
        <f>Расчет!DH279</f>
        <v>0</v>
      </c>
      <c r="BB279" s="25">
        <f>Расчет!DI279</f>
        <v>0</v>
      </c>
      <c r="BC279" s="25" t="str">
        <f>Расчет!DR279</f>
        <v>Нет</v>
      </c>
      <c r="BD279" s="25">
        <f>Расчет!EB279</f>
        <v>0</v>
      </c>
      <c r="BE279" s="25">
        <f>Расчет!EF279</f>
        <v>0</v>
      </c>
      <c r="BF279" s="25" t="e">
        <f>Расчет!EI279</f>
        <v>#DIV/0!</v>
      </c>
      <c r="BG279" s="25" t="e">
        <f>Расчет!FA279</f>
        <v>#N/A</v>
      </c>
      <c r="BI279">
        <f>IF(Исходн.данные.!AH279=Исходн.данные.!$AC$4,0.6,1)</f>
        <v>1</v>
      </c>
      <c r="BJ279">
        <f>IF(Исходн.данные.!AH279=Исходн.данные.!$AC$4,0.8,IF(OR(Потребность!F279=Расчет2!$BI$10,Потребность!F279=Расчет2!$BI$7,Потребность!F279=Расчет2!$BK$14,Исходн.данные.!AI279=Исходн.данные.!$AI$11),1.3,1))</f>
        <v>1.3</v>
      </c>
      <c r="BK279">
        <f>IF(OR(Исходн.данные.!AH279=Исходн.данные.!$AD$7,Исходн.данные.!AH279=Исходн.данные.!$AD$8),0.75,1)</f>
        <v>1</v>
      </c>
    </row>
    <row r="280" spans="32:63" x14ac:dyDescent="0.2">
      <c r="AF280">
        <f>SUM(Исходн.данные.!AD280:AF280)</f>
        <v>0</v>
      </c>
      <c r="AG280" s="60">
        <f>SUM(Расчет!CI280:CK280)</f>
        <v>0.64</v>
      </c>
      <c r="AH280" s="60">
        <f>SUM(Расчет!DS280:DU280)</f>
        <v>0</v>
      </c>
      <c r="AI280" t="e">
        <f t="shared" si="8"/>
        <v>#N/A</v>
      </c>
      <c r="AJ280" t="e">
        <f t="shared" si="9"/>
        <v>#N/A</v>
      </c>
      <c r="AL280">
        <f>Потребность!G280*Потребность!H280</f>
        <v>0</v>
      </c>
      <c r="AM280" s="11" t="e">
        <f>Исходн.данные.!$AJ280*Расчет2!AO280</f>
        <v>#VALUE!</v>
      </c>
      <c r="AN280" s="11">
        <f>Исходн.данные.!$AJ280*Расчет2!AP280</f>
        <v>0</v>
      </c>
      <c r="AO280" s="25" t="str">
        <f>IF(Расчет!BF280=0,"X",Расчет!BF280)</f>
        <v>X</v>
      </c>
      <c r="AP280" s="25">
        <f>Расчет!BG280</f>
        <v>0</v>
      </c>
      <c r="AQ280" s="9">
        <f>IF(Расчет!BL280&lt;0,0,Расчет!BL280)</f>
        <v>0</v>
      </c>
      <c r="AR280" s="25">
        <f>IF(Расчет!BM280&lt;0,0,Расчет!BM280)</f>
        <v>0</v>
      </c>
      <c r="AS280" s="25">
        <f>IF(Расчет!BN280&lt;0,0,Расчет!BN280)</f>
        <v>0</v>
      </c>
      <c r="AT280" s="25">
        <f>Расчет!BY280</f>
        <v>0</v>
      </c>
      <c r="AU280" s="25">
        <f>Расчет!BZ280</f>
        <v>10</v>
      </c>
      <c r="AV280" s="25">
        <f>Расчет!CA280</f>
        <v>0</v>
      </c>
      <c r="AW280" s="25" t="str">
        <f>Расчет!CH280</f>
        <v>Аммофос 12:52:00</v>
      </c>
      <c r="AX280" s="25">
        <f>Расчет!DB280</f>
        <v>0</v>
      </c>
      <c r="AY280" s="25">
        <f>Расчет!DC280</f>
        <v>0</v>
      </c>
      <c r="AZ280" s="25">
        <f>Расчет!DG280</f>
        <v>0</v>
      </c>
      <c r="BA280" s="25">
        <f>Расчет!DH280</f>
        <v>0</v>
      </c>
      <c r="BB280" s="25">
        <f>Расчет!DI280</f>
        <v>0</v>
      </c>
      <c r="BC280" s="25" t="str">
        <f>Расчет!DR280</f>
        <v>Нет</v>
      </c>
      <c r="BD280" s="25">
        <f>Расчет!EB280</f>
        <v>0</v>
      </c>
      <c r="BE280" s="25">
        <f>Расчет!EF280</f>
        <v>0</v>
      </c>
      <c r="BF280" s="25" t="e">
        <f>Расчет!EI280</f>
        <v>#DIV/0!</v>
      </c>
      <c r="BG280" s="25" t="e">
        <f>Расчет!FA280</f>
        <v>#N/A</v>
      </c>
      <c r="BI280">
        <f>IF(Исходн.данные.!AH280=Исходн.данные.!$AC$4,0.6,1)</f>
        <v>1</v>
      </c>
      <c r="BJ280">
        <f>IF(Исходн.данные.!AH280=Исходн.данные.!$AC$4,0.8,IF(OR(Потребность!F280=Расчет2!$BI$10,Потребность!F280=Расчет2!$BI$7,Потребность!F280=Расчет2!$BK$14,Исходн.данные.!AI280=Исходн.данные.!$AI$11),1.3,1))</f>
        <v>1.3</v>
      </c>
      <c r="BK280">
        <f>IF(OR(Исходн.данные.!AH280=Исходн.данные.!$AD$7,Исходн.данные.!AH280=Исходн.данные.!$AD$8),0.75,1)</f>
        <v>1</v>
      </c>
    </row>
    <row r="281" spans="32:63" x14ac:dyDescent="0.2">
      <c r="AF281">
        <f>SUM(Исходн.данные.!AD281:AF281)</f>
        <v>0</v>
      </c>
      <c r="AG281" s="60">
        <f>SUM(Расчет!CI281:CK281)</f>
        <v>0.64</v>
      </c>
      <c r="AH281" s="60">
        <f>SUM(Расчет!DS281:DU281)</f>
        <v>0</v>
      </c>
      <c r="AI281" t="e">
        <f t="shared" si="8"/>
        <v>#N/A</v>
      </c>
      <c r="AJ281" t="e">
        <f t="shared" si="9"/>
        <v>#N/A</v>
      </c>
      <c r="AL281">
        <f>Потребность!G281*Потребность!H281</f>
        <v>0</v>
      </c>
      <c r="AM281" s="11" t="e">
        <f>Исходн.данные.!$AJ281*Расчет2!AO281</f>
        <v>#VALUE!</v>
      </c>
      <c r="AN281" s="11">
        <f>Исходн.данные.!$AJ281*Расчет2!AP281</f>
        <v>0</v>
      </c>
      <c r="AO281" s="25" t="str">
        <f>IF(Расчет!BF281=0,"X",Расчет!BF281)</f>
        <v>X</v>
      </c>
      <c r="AP281" s="25">
        <f>Расчет!BG281</f>
        <v>0</v>
      </c>
      <c r="AQ281" s="9">
        <f>IF(Расчет!BL281&lt;0,0,Расчет!BL281)</f>
        <v>0</v>
      </c>
      <c r="AR281" s="25">
        <f>IF(Расчет!BM281&lt;0,0,Расчет!BM281)</f>
        <v>0</v>
      </c>
      <c r="AS281" s="25">
        <f>IF(Расчет!BN281&lt;0,0,Расчет!BN281)</f>
        <v>0</v>
      </c>
      <c r="AT281" s="25">
        <f>Расчет!BY281</f>
        <v>0</v>
      </c>
      <c r="AU281" s="25">
        <f>Расчет!BZ281</f>
        <v>10</v>
      </c>
      <c r="AV281" s="25">
        <f>Расчет!CA281</f>
        <v>0</v>
      </c>
      <c r="AW281" s="25" t="str">
        <f>Расчет!CH281</f>
        <v>Аммофос 12:52:00</v>
      </c>
      <c r="AX281" s="25">
        <f>Расчет!DB281</f>
        <v>0</v>
      </c>
      <c r="AY281" s="25">
        <f>Расчет!DC281</f>
        <v>0</v>
      </c>
      <c r="AZ281" s="25">
        <f>Расчет!DG281</f>
        <v>0</v>
      </c>
      <c r="BA281" s="25">
        <f>Расчет!DH281</f>
        <v>0</v>
      </c>
      <c r="BB281" s="25">
        <f>Расчет!DI281</f>
        <v>0</v>
      </c>
      <c r="BC281" s="25" t="str">
        <f>Расчет!DR281</f>
        <v>Нет</v>
      </c>
      <c r="BD281" s="25">
        <f>Расчет!EB281</f>
        <v>0</v>
      </c>
      <c r="BE281" s="25">
        <f>Расчет!EF281</f>
        <v>0</v>
      </c>
      <c r="BF281" s="25" t="e">
        <f>Расчет!EI281</f>
        <v>#DIV/0!</v>
      </c>
      <c r="BG281" s="25" t="e">
        <f>Расчет!FA281</f>
        <v>#N/A</v>
      </c>
      <c r="BI281">
        <f>IF(Исходн.данные.!AH281=Исходн.данные.!$AC$4,0.6,1)</f>
        <v>1</v>
      </c>
      <c r="BJ281">
        <f>IF(Исходн.данные.!AH281=Исходн.данные.!$AC$4,0.8,IF(OR(Потребность!F281=Расчет2!$BI$10,Потребность!F281=Расчет2!$BI$7,Потребность!F281=Расчет2!$BK$14,Исходн.данные.!AI281=Исходн.данные.!$AI$11),1.3,1))</f>
        <v>1.3</v>
      </c>
      <c r="BK281">
        <f>IF(OR(Исходн.данные.!AH281=Исходн.данные.!$AD$7,Исходн.данные.!AH281=Исходн.данные.!$AD$8),0.75,1)</f>
        <v>1</v>
      </c>
    </row>
    <row r="282" spans="32:63" x14ac:dyDescent="0.2">
      <c r="AF282">
        <f>SUM(Исходн.данные.!AD282:AF282)</f>
        <v>0</v>
      </c>
      <c r="AG282" s="60">
        <f>SUM(Расчет!CI282:CK282)</f>
        <v>0.64</v>
      </c>
      <c r="AH282" s="60">
        <f>SUM(Расчет!DS282:DU282)</f>
        <v>0</v>
      </c>
      <c r="AI282" t="e">
        <f t="shared" si="8"/>
        <v>#N/A</v>
      </c>
      <c r="AJ282" t="e">
        <f t="shared" si="9"/>
        <v>#N/A</v>
      </c>
      <c r="AL282">
        <f>Потребность!G282*Потребность!H282</f>
        <v>0</v>
      </c>
      <c r="AM282" s="11" t="e">
        <f>Исходн.данные.!$AJ282*Расчет2!AO282</f>
        <v>#VALUE!</v>
      </c>
      <c r="AN282" s="11">
        <f>Исходн.данные.!$AJ282*Расчет2!AP282</f>
        <v>0</v>
      </c>
      <c r="AO282" s="25" t="str">
        <f>IF(Расчет!BF282=0,"X",Расчет!BF282)</f>
        <v>X</v>
      </c>
      <c r="AP282" s="25">
        <f>Расчет!BG282</f>
        <v>0</v>
      </c>
      <c r="AQ282" s="9">
        <f>IF(Расчет!BL282&lt;0,0,Расчет!BL282)</f>
        <v>0</v>
      </c>
      <c r="AR282" s="25">
        <f>IF(Расчет!BM282&lt;0,0,Расчет!BM282)</f>
        <v>0</v>
      </c>
      <c r="AS282" s="25">
        <f>IF(Расчет!BN282&lt;0,0,Расчет!BN282)</f>
        <v>0</v>
      </c>
      <c r="AT282" s="25">
        <f>Расчет!BY282</f>
        <v>0</v>
      </c>
      <c r="AU282" s="25">
        <f>Расчет!BZ282</f>
        <v>10</v>
      </c>
      <c r="AV282" s="25">
        <f>Расчет!CA282</f>
        <v>0</v>
      </c>
      <c r="AW282" s="25" t="str">
        <f>Расчет!CH282</f>
        <v>Аммофос 12:52:00</v>
      </c>
      <c r="AX282" s="25">
        <f>Расчет!DB282</f>
        <v>0</v>
      </c>
      <c r="AY282" s="25">
        <f>Расчет!DC282</f>
        <v>0</v>
      </c>
      <c r="AZ282" s="25">
        <f>Расчет!DG282</f>
        <v>0</v>
      </c>
      <c r="BA282" s="25">
        <f>Расчет!DH282</f>
        <v>0</v>
      </c>
      <c r="BB282" s="25">
        <f>Расчет!DI282</f>
        <v>0</v>
      </c>
      <c r="BC282" s="25" t="str">
        <f>Расчет!DR282</f>
        <v>Нет</v>
      </c>
      <c r="BD282" s="25">
        <f>Расчет!EB282</f>
        <v>0</v>
      </c>
      <c r="BE282" s="25">
        <f>Расчет!EF282</f>
        <v>0</v>
      </c>
      <c r="BF282" s="25" t="e">
        <f>Расчет!EI282</f>
        <v>#DIV/0!</v>
      </c>
      <c r="BG282" s="25" t="e">
        <f>Расчет!FA282</f>
        <v>#N/A</v>
      </c>
      <c r="BI282">
        <f>IF(Исходн.данные.!AH282=Исходн.данные.!$AC$4,0.6,1)</f>
        <v>1</v>
      </c>
      <c r="BJ282">
        <f>IF(Исходн.данные.!AH282=Исходн.данные.!$AC$4,0.8,IF(OR(Потребность!F282=Расчет2!$BI$10,Потребность!F282=Расчет2!$BI$7,Потребность!F282=Расчет2!$BK$14,Исходн.данные.!AI282=Исходн.данные.!$AI$11),1.3,1))</f>
        <v>1.3</v>
      </c>
      <c r="BK282">
        <f>IF(OR(Исходн.данные.!AH282=Исходн.данные.!$AD$7,Исходн.данные.!AH282=Исходн.данные.!$AD$8),0.75,1)</f>
        <v>1</v>
      </c>
    </row>
    <row r="283" spans="32:63" x14ac:dyDescent="0.2">
      <c r="AF283">
        <f>SUM(Исходн.данные.!AD283:AF283)</f>
        <v>0</v>
      </c>
      <c r="AG283" s="60">
        <f>SUM(Расчет!CI283:CK283)</f>
        <v>0.64</v>
      </c>
      <c r="AH283" s="60">
        <f>SUM(Расчет!DS283:DU283)</f>
        <v>0</v>
      </c>
      <c r="AI283" t="e">
        <f t="shared" si="8"/>
        <v>#N/A</v>
      </c>
      <c r="AJ283" t="e">
        <f t="shared" si="9"/>
        <v>#N/A</v>
      </c>
      <c r="AL283">
        <f>Потребность!G283*Потребность!H283</f>
        <v>0</v>
      </c>
      <c r="AM283" s="11" t="e">
        <f>Исходн.данные.!$AJ283*Расчет2!AO283</f>
        <v>#VALUE!</v>
      </c>
      <c r="AN283" s="11">
        <f>Исходн.данные.!$AJ283*Расчет2!AP283</f>
        <v>0</v>
      </c>
      <c r="AO283" s="25" t="str">
        <f>IF(Расчет!BF283=0,"X",Расчет!BF283)</f>
        <v>X</v>
      </c>
      <c r="AP283" s="25">
        <f>Расчет!BG283</f>
        <v>0</v>
      </c>
      <c r="AQ283" s="9">
        <f>IF(Расчет!BL283&lt;0,0,Расчет!BL283)</f>
        <v>0</v>
      </c>
      <c r="AR283" s="25">
        <f>IF(Расчет!BM283&lt;0,0,Расчет!BM283)</f>
        <v>0</v>
      </c>
      <c r="AS283" s="25">
        <f>IF(Расчет!BN283&lt;0,0,Расчет!BN283)</f>
        <v>0</v>
      </c>
      <c r="AT283" s="25">
        <f>Расчет!BY283</f>
        <v>0</v>
      </c>
      <c r="AU283" s="25">
        <f>Расчет!BZ283</f>
        <v>10</v>
      </c>
      <c r="AV283" s="25">
        <f>Расчет!CA283</f>
        <v>0</v>
      </c>
      <c r="AW283" s="25" t="str">
        <f>Расчет!CH283</f>
        <v>Аммофос 12:52:00</v>
      </c>
      <c r="AX283" s="25">
        <f>Расчет!DB283</f>
        <v>0</v>
      </c>
      <c r="AY283" s="25">
        <f>Расчет!DC283</f>
        <v>0</v>
      </c>
      <c r="AZ283" s="25">
        <f>Расчет!DG283</f>
        <v>0</v>
      </c>
      <c r="BA283" s="25">
        <f>Расчет!DH283</f>
        <v>0</v>
      </c>
      <c r="BB283" s="25">
        <f>Расчет!DI283</f>
        <v>0</v>
      </c>
      <c r="BC283" s="25" t="str">
        <f>Расчет!DR283</f>
        <v>Нет</v>
      </c>
      <c r="BD283" s="25">
        <f>Расчет!EB283</f>
        <v>0</v>
      </c>
      <c r="BE283" s="25">
        <f>Расчет!EF283</f>
        <v>0</v>
      </c>
      <c r="BF283" s="25" t="e">
        <f>Расчет!EI283</f>
        <v>#DIV/0!</v>
      </c>
      <c r="BG283" s="25" t="e">
        <f>Расчет!FA283</f>
        <v>#N/A</v>
      </c>
      <c r="BI283">
        <f>IF(Исходн.данные.!AH283=Исходн.данные.!$AC$4,0.6,1)</f>
        <v>1</v>
      </c>
      <c r="BJ283">
        <f>IF(Исходн.данные.!AH283=Исходн.данные.!$AC$4,0.8,IF(OR(Потребность!F283=Расчет2!$BI$10,Потребность!F283=Расчет2!$BI$7,Потребность!F283=Расчет2!$BK$14,Исходн.данные.!AI283=Исходн.данные.!$AI$11),1.3,1))</f>
        <v>1.3</v>
      </c>
      <c r="BK283">
        <f>IF(OR(Исходн.данные.!AH283=Исходн.данные.!$AD$7,Исходн.данные.!AH283=Исходн.данные.!$AD$8),0.75,1)</f>
        <v>1</v>
      </c>
    </row>
    <row r="284" spans="32:63" x14ac:dyDescent="0.2">
      <c r="AF284">
        <f>SUM(Исходн.данные.!AD284:AF284)</f>
        <v>0</v>
      </c>
      <c r="AG284" s="60">
        <f>SUM(Расчет!CI284:CK284)</f>
        <v>0.64</v>
      </c>
      <c r="AH284" s="60">
        <f>SUM(Расчет!DS284:DU284)</f>
        <v>0</v>
      </c>
      <c r="AI284" t="e">
        <f t="shared" si="8"/>
        <v>#N/A</v>
      </c>
      <c r="AJ284" t="e">
        <f t="shared" si="9"/>
        <v>#N/A</v>
      </c>
      <c r="AL284">
        <f>Потребность!G284*Потребность!H284</f>
        <v>0</v>
      </c>
      <c r="AM284" s="11" t="e">
        <f>Исходн.данные.!$AJ284*Расчет2!AO284</f>
        <v>#VALUE!</v>
      </c>
      <c r="AN284" s="11">
        <f>Исходн.данные.!$AJ284*Расчет2!AP284</f>
        <v>0</v>
      </c>
      <c r="AO284" s="25" t="str">
        <f>IF(Расчет!BF284=0,"X",Расчет!BF284)</f>
        <v>X</v>
      </c>
      <c r="AP284" s="25">
        <f>Расчет!BG284</f>
        <v>0</v>
      </c>
      <c r="AQ284" s="9">
        <f>IF(Расчет!BL284&lt;0,0,Расчет!BL284)</f>
        <v>0</v>
      </c>
      <c r="AR284" s="25">
        <f>IF(Расчет!BM284&lt;0,0,Расчет!BM284)</f>
        <v>0</v>
      </c>
      <c r="AS284" s="25">
        <f>IF(Расчет!BN284&lt;0,0,Расчет!BN284)</f>
        <v>0</v>
      </c>
      <c r="AT284" s="25">
        <f>Расчет!BY284</f>
        <v>0</v>
      </c>
      <c r="AU284" s="25">
        <f>Расчет!BZ284</f>
        <v>10</v>
      </c>
      <c r="AV284" s="25">
        <f>Расчет!CA284</f>
        <v>0</v>
      </c>
      <c r="AW284" s="25" t="str">
        <f>Расчет!CH284</f>
        <v>Аммофос 12:52:00</v>
      </c>
      <c r="AX284" s="25">
        <f>Расчет!DB284</f>
        <v>0</v>
      </c>
      <c r="AY284" s="25">
        <f>Расчет!DC284</f>
        <v>0</v>
      </c>
      <c r="AZ284" s="25">
        <f>Расчет!DG284</f>
        <v>0</v>
      </c>
      <c r="BA284" s="25">
        <f>Расчет!DH284</f>
        <v>0</v>
      </c>
      <c r="BB284" s="25">
        <f>Расчет!DI284</f>
        <v>0</v>
      </c>
      <c r="BC284" s="25" t="str">
        <f>Расчет!DR284</f>
        <v>Нет</v>
      </c>
      <c r="BD284" s="25">
        <f>Расчет!EB284</f>
        <v>0</v>
      </c>
      <c r="BE284" s="25">
        <f>Расчет!EF284</f>
        <v>0</v>
      </c>
      <c r="BF284" s="25" t="e">
        <f>Расчет!EI284</f>
        <v>#DIV/0!</v>
      </c>
      <c r="BG284" s="25" t="e">
        <f>Расчет!FA284</f>
        <v>#N/A</v>
      </c>
      <c r="BI284">
        <f>IF(Исходн.данные.!AH284=Исходн.данные.!$AC$4,0.6,1)</f>
        <v>1</v>
      </c>
      <c r="BJ284">
        <f>IF(Исходн.данные.!AH284=Исходн.данные.!$AC$4,0.8,IF(OR(Потребность!F284=Расчет2!$BI$10,Потребность!F284=Расчет2!$BI$7,Потребность!F284=Расчет2!$BK$14,Исходн.данные.!AI284=Исходн.данные.!$AI$11),1.3,1))</f>
        <v>1.3</v>
      </c>
      <c r="BK284">
        <f>IF(OR(Исходн.данные.!AH284=Исходн.данные.!$AD$7,Исходн.данные.!AH284=Исходн.данные.!$AD$8),0.75,1)</f>
        <v>1</v>
      </c>
    </row>
    <row r="285" spans="32:63" x14ac:dyDescent="0.2">
      <c r="AF285">
        <f>SUM(Исходн.данные.!AD285:AF285)</f>
        <v>0</v>
      </c>
      <c r="AG285" s="60">
        <f>SUM(Расчет!CI285:CK285)</f>
        <v>0.64</v>
      </c>
      <c r="AH285" s="60">
        <f>SUM(Расчет!DS285:DU285)</f>
        <v>0</v>
      </c>
      <c r="AI285" t="e">
        <f t="shared" si="8"/>
        <v>#N/A</v>
      </c>
      <c r="AJ285" t="e">
        <f t="shared" si="9"/>
        <v>#N/A</v>
      </c>
      <c r="AL285">
        <f>Потребность!G285*Потребность!H285</f>
        <v>0</v>
      </c>
      <c r="AM285" s="11" t="e">
        <f>Исходн.данные.!$AJ285*Расчет2!AO285</f>
        <v>#VALUE!</v>
      </c>
      <c r="AN285" s="11">
        <f>Исходн.данные.!$AJ285*Расчет2!AP285</f>
        <v>0</v>
      </c>
      <c r="AO285" s="25" t="str">
        <f>IF(Расчет!BF285=0,"X",Расчет!BF285)</f>
        <v>X</v>
      </c>
      <c r="AP285" s="25">
        <f>Расчет!BG285</f>
        <v>0</v>
      </c>
      <c r="AQ285" s="9">
        <f>IF(Расчет!BL285&lt;0,0,Расчет!BL285)</f>
        <v>0</v>
      </c>
      <c r="AR285" s="25">
        <f>IF(Расчет!BM285&lt;0,0,Расчет!BM285)</f>
        <v>0</v>
      </c>
      <c r="AS285" s="25">
        <f>IF(Расчет!BN285&lt;0,0,Расчет!BN285)</f>
        <v>0</v>
      </c>
      <c r="AT285" s="25">
        <f>Расчет!BY285</f>
        <v>0</v>
      </c>
      <c r="AU285" s="25">
        <f>Расчет!BZ285</f>
        <v>10</v>
      </c>
      <c r="AV285" s="25">
        <f>Расчет!CA285</f>
        <v>0</v>
      </c>
      <c r="AW285" s="25" t="str">
        <f>Расчет!CH285</f>
        <v>Аммофос 12:52:00</v>
      </c>
      <c r="AX285" s="25">
        <f>Расчет!DB285</f>
        <v>0</v>
      </c>
      <c r="AY285" s="25">
        <f>Расчет!DC285</f>
        <v>0</v>
      </c>
      <c r="AZ285" s="25">
        <f>Расчет!DG285</f>
        <v>0</v>
      </c>
      <c r="BA285" s="25">
        <f>Расчет!DH285</f>
        <v>0</v>
      </c>
      <c r="BB285" s="25">
        <f>Расчет!DI285</f>
        <v>0</v>
      </c>
      <c r="BC285" s="25" t="str">
        <f>Расчет!DR285</f>
        <v>Нет</v>
      </c>
      <c r="BD285" s="25">
        <f>Расчет!EB285</f>
        <v>0</v>
      </c>
      <c r="BE285" s="25">
        <f>Расчет!EF285</f>
        <v>0</v>
      </c>
      <c r="BF285" s="25" t="e">
        <f>Расчет!EI285</f>
        <v>#DIV/0!</v>
      </c>
      <c r="BG285" s="25" t="e">
        <f>Расчет!FA285</f>
        <v>#N/A</v>
      </c>
      <c r="BI285">
        <f>IF(Исходн.данные.!AH285=Исходн.данные.!$AC$4,0.6,1)</f>
        <v>1</v>
      </c>
      <c r="BJ285">
        <f>IF(Исходн.данные.!AH285=Исходн.данные.!$AC$4,0.8,IF(OR(Потребность!F285=Расчет2!$BI$10,Потребность!F285=Расчет2!$BI$7,Потребность!F285=Расчет2!$BK$14,Исходн.данные.!AI285=Исходн.данные.!$AI$11),1.3,1))</f>
        <v>1.3</v>
      </c>
      <c r="BK285">
        <f>IF(OR(Исходн.данные.!AH285=Исходн.данные.!$AD$7,Исходн.данные.!AH285=Исходн.данные.!$AD$8),0.75,1)</f>
        <v>1</v>
      </c>
    </row>
    <row r="286" spans="32:63" x14ac:dyDescent="0.2">
      <c r="AF286">
        <f>SUM(Исходн.данные.!AD286:AF286)</f>
        <v>0</v>
      </c>
      <c r="AG286" s="60">
        <f>SUM(Расчет!CI286:CK286)</f>
        <v>0.64</v>
      </c>
      <c r="AH286" s="60">
        <f>SUM(Расчет!DS286:DU286)</f>
        <v>0</v>
      </c>
      <c r="AI286" t="e">
        <f t="shared" si="8"/>
        <v>#N/A</v>
      </c>
      <c r="AJ286" t="e">
        <f t="shared" si="9"/>
        <v>#N/A</v>
      </c>
      <c r="AL286">
        <f>Потребность!G286*Потребность!H286</f>
        <v>0</v>
      </c>
      <c r="AM286" s="11" t="e">
        <f>Исходн.данные.!$AJ286*Расчет2!AO286</f>
        <v>#VALUE!</v>
      </c>
      <c r="AN286" s="11">
        <f>Исходн.данные.!$AJ286*Расчет2!AP286</f>
        <v>0</v>
      </c>
      <c r="AO286" s="25" t="str">
        <f>IF(Расчет!BF286=0,"X",Расчет!BF286)</f>
        <v>X</v>
      </c>
      <c r="AP286" s="25">
        <f>Расчет!BG286</f>
        <v>0</v>
      </c>
      <c r="AQ286" s="9">
        <f>IF(Расчет!BL286&lt;0,0,Расчет!BL286)</f>
        <v>0</v>
      </c>
      <c r="AR286" s="25">
        <f>IF(Расчет!BM286&lt;0,0,Расчет!BM286)</f>
        <v>0</v>
      </c>
      <c r="AS286" s="25">
        <f>IF(Расчет!BN286&lt;0,0,Расчет!BN286)</f>
        <v>0</v>
      </c>
      <c r="AT286" s="25">
        <f>Расчет!BY286</f>
        <v>0</v>
      </c>
      <c r="AU286" s="25">
        <f>Расчет!BZ286</f>
        <v>10</v>
      </c>
      <c r="AV286" s="25">
        <f>Расчет!CA286</f>
        <v>0</v>
      </c>
      <c r="AW286" s="25" t="str">
        <f>Расчет!CH286</f>
        <v>Аммофос 12:52:00</v>
      </c>
      <c r="AX286" s="25">
        <f>Расчет!DB286</f>
        <v>0</v>
      </c>
      <c r="AY286" s="25">
        <f>Расчет!DC286</f>
        <v>0</v>
      </c>
      <c r="AZ286" s="25">
        <f>Расчет!DG286</f>
        <v>0</v>
      </c>
      <c r="BA286" s="25">
        <f>Расчет!DH286</f>
        <v>0</v>
      </c>
      <c r="BB286" s="25">
        <f>Расчет!DI286</f>
        <v>0</v>
      </c>
      <c r="BC286" s="25" t="str">
        <f>Расчет!DR286</f>
        <v>Нет</v>
      </c>
      <c r="BD286" s="25">
        <f>Расчет!EB286</f>
        <v>0</v>
      </c>
      <c r="BE286" s="25">
        <f>Расчет!EF286</f>
        <v>0</v>
      </c>
      <c r="BF286" s="25" t="e">
        <f>Расчет!EI286</f>
        <v>#DIV/0!</v>
      </c>
      <c r="BG286" s="25" t="e">
        <f>Расчет!FA286</f>
        <v>#N/A</v>
      </c>
      <c r="BI286">
        <f>IF(Исходн.данные.!AH286=Исходн.данные.!$AC$4,0.6,1)</f>
        <v>1</v>
      </c>
      <c r="BJ286">
        <f>IF(Исходн.данные.!AH286=Исходн.данные.!$AC$4,0.8,IF(OR(Потребность!F286=Расчет2!$BI$10,Потребность!F286=Расчет2!$BI$7,Потребность!F286=Расчет2!$BK$14,Исходн.данные.!AI286=Исходн.данные.!$AI$11),1.3,1))</f>
        <v>1.3</v>
      </c>
      <c r="BK286">
        <f>IF(OR(Исходн.данные.!AH286=Исходн.данные.!$AD$7,Исходн.данные.!AH286=Исходн.данные.!$AD$8),0.75,1)</f>
        <v>1</v>
      </c>
    </row>
    <row r="287" spans="32:63" x14ac:dyDescent="0.2">
      <c r="AF287">
        <f>SUM(Исходн.данные.!AD287:AF287)</f>
        <v>0</v>
      </c>
      <c r="AG287" s="60">
        <f>SUM(Расчет!CI287:CK287)</f>
        <v>0.64</v>
      </c>
      <c r="AH287" s="60">
        <f>SUM(Расчет!DS287:DU287)</f>
        <v>0</v>
      </c>
      <c r="AI287" t="e">
        <f t="shared" si="8"/>
        <v>#N/A</v>
      </c>
      <c r="AJ287" t="e">
        <f t="shared" si="9"/>
        <v>#N/A</v>
      </c>
      <c r="AL287">
        <f>Потребность!G287*Потребность!H287</f>
        <v>0</v>
      </c>
      <c r="AM287" s="11" t="e">
        <f>Исходн.данные.!$AJ287*Расчет2!AO287</f>
        <v>#VALUE!</v>
      </c>
      <c r="AN287" s="11">
        <f>Исходн.данные.!$AJ287*Расчет2!AP287</f>
        <v>0</v>
      </c>
      <c r="AO287" s="25" t="str">
        <f>IF(Расчет!BF287=0,"X",Расчет!BF287)</f>
        <v>X</v>
      </c>
      <c r="AP287" s="25">
        <f>Расчет!BG287</f>
        <v>0</v>
      </c>
      <c r="AQ287" s="9">
        <f>IF(Расчет!BL287&lt;0,0,Расчет!BL287)</f>
        <v>0</v>
      </c>
      <c r="AR287" s="25">
        <f>IF(Расчет!BM287&lt;0,0,Расчет!BM287)</f>
        <v>0</v>
      </c>
      <c r="AS287" s="25">
        <f>IF(Расчет!BN287&lt;0,0,Расчет!BN287)</f>
        <v>0</v>
      </c>
      <c r="AT287" s="25">
        <f>Расчет!BY287</f>
        <v>0</v>
      </c>
      <c r="AU287" s="25">
        <f>Расчет!BZ287</f>
        <v>10</v>
      </c>
      <c r="AV287" s="25">
        <f>Расчет!CA287</f>
        <v>0</v>
      </c>
      <c r="AW287" s="25" t="str">
        <f>Расчет!CH287</f>
        <v>Аммофос 12:52:00</v>
      </c>
      <c r="AX287" s="25">
        <f>Расчет!DB287</f>
        <v>0</v>
      </c>
      <c r="AY287" s="25">
        <f>Расчет!DC287</f>
        <v>0</v>
      </c>
      <c r="AZ287" s="25">
        <f>Расчет!DG287</f>
        <v>0</v>
      </c>
      <c r="BA287" s="25">
        <f>Расчет!DH287</f>
        <v>0</v>
      </c>
      <c r="BB287" s="25">
        <f>Расчет!DI287</f>
        <v>0</v>
      </c>
      <c r="BC287" s="25" t="str">
        <f>Расчет!DR287</f>
        <v>Нет</v>
      </c>
      <c r="BD287" s="25">
        <f>Расчет!EB287</f>
        <v>0</v>
      </c>
      <c r="BE287" s="25">
        <f>Расчет!EF287</f>
        <v>0</v>
      </c>
      <c r="BF287" s="25" t="e">
        <f>Расчет!EI287</f>
        <v>#DIV/0!</v>
      </c>
      <c r="BG287" s="25" t="e">
        <f>Расчет!FA287</f>
        <v>#N/A</v>
      </c>
      <c r="BI287">
        <f>IF(Исходн.данные.!AH287=Исходн.данные.!$AC$4,0.6,1)</f>
        <v>1</v>
      </c>
      <c r="BJ287">
        <f>IF(Исходн.данные.!AH287=Исходн.данные.!$AC$4,0.8,IF(OR(Потребность!F287=Расчет2!$BI$10,Потребность!F287=Расчет2!$BI$7,Потребность!F287=Расчет2!$BK$14,Исходн.данные.!AI287=Исходн.данные.!$AI$11),1.3,1))</f>
        <v>1.3</v>
      </c>
      <c r="BK287">
        <f>IF(OR(Исходн.данные.!AH287=Исходн.данные.!$AD$7,Исходн.данные.!AH287=Исходн.данные.!$AD$8),0.75,1)</f>
        <v>1</v>
      </c>
    </row>
    <row r="288" spans="32:63" x14ac:dyDescent="0.2">
      <c r="AF288">
        <f>SUM(Исходн.данные.!AD288:AF288)</f>
        <v>0</v>
      </c>
      <c r="AG288" s="60">
        <f>SUM(Расчет!CI288:CK288)</f>
        <v>0.64</v>
      </c>
      <c r="AH288" s="60">
        <f>SUM(Расчет!DS288:DU288)</f>
        <v>0</v>
      </c>
      <c r="AI288" t="e">
        <f t="shared" si="8"/>
        <v>#N/A</v>
      </c>
      <c r="AJ288" t="e">
        <f t="shared" si="9"/>
        <v>#N/A</v>
      </c>
      <c r="AL288">
        <f>Потребность!G288*Потребность!H288</f>
        <v>0</v>
      </c>
      <c r="AM288" s="11" t="e">
        <f>Исходн.данные.!$AJ288*Расчет2!AO288</f>
        <v>#VALUE!</v>
      </c>
      <c r="AN288" s="11">
        <f>Исходн.данные.!$AJ288*Расчет2!AP288</f>
        <v>0</v>
      </c>
      <c r="AO288" s="25" t="str">
        <f>IF(Расчет!BF288=0,"X",Расчет!BF288)</f>
        <v>X</v>
      </c>
      <c r="AP288" s="25">
        <f>Расчет!BG288</f>
        <v>0</v>
      </c>
      <c r="AQ288" s="9">
        <f>IF(Расчет!BL288&lt;0,0,Расчет!BL288)</f>
        <v>0</v>
      </c>
      <c r="AR288" s="25">
        <f>IF(Расчет!BM288&lt;0,0,Расчет!BM288)</f>
        <v>0</v>
      </c>
      <c r="AS288" s="25">
        <f>IF(Расчет!BN288&lt;0,0,Расчет!BN288)</f>
        <v>0</v>
      </c>
      <c r="AT288" s="25">
        <f>Расчет!BY288</f>
        <v>0</v>
      </c>
      <c r="AU288" s="25">
        <f>Расчет!BZ288</f>
        <v>10</v>
      </c>
      <c r="AV288" s="25">
        <f>Расчет!CA288</f>
        <v>0</v>
      </c>
      <c r="AW288" s="25" t="str">
        <f>Расчет!CH288</f>
        <v>Аммофос 12:52:00</v>
      </c>
      <c r="AX288" s="25">
        <f>Расчет!DB288</f>
        <v>0</v>
      </c>
      <c r="AY288" s="25">
        <f>Расчет!DC288</f>
        <v>0</v>
      </c>
      <c r="AZ288" s="25">
        <f>Расчет!DG288</f>
        <v>0</v>
      </c>
      <c r="BA288" s="25">
        <f>Расчет!DH288</f>
        <v>0</v>
      </c>
      <c r="BB288" s="25">
        <f>Расчет!DI288</f>
        <v>0</v>
      </c>
      <c r="BC288" s="25" t="str">
        <f>Расчет!DR288</f>
        <v>Нет</v>
      </c>
      <c r="BD288" s="25">
        <f>Расчет!EB288</f>
        <v>0</v>
      </c>
      <c r="BE288" s="25">
        <f>Расчет!EF288</f>
        <v>0</v>
      </c>
      <c r="BF288" s="25" t="e">
        <f>Расчет!EI288</f>
        <v>#DIV/0!</v>
      </c>
      <c r="BG288" s="25" t="e">
        <f>Расчет!FA288</f>
        <v>#N/A</v>
      </c>
      <c r="BI288">
        <f>IF(Исходн.данные.!AH288=Исходн.данные.!$AC$4,0.6,1)</f>
        <v>1</v>
      </c>
      <c r="BJ288">
        <f>IF(Исходн.данные.!AH288=Исходн.данные.!$AC$4,0.8,IF(OR(Потребность!F288=Расчет2!$BI$10,Потребность!F288=Расчет2!$BI$7,Потребность!F288=Расчет2!$BK$14,Исходн.данные.!AI288=Исходн.данные.!$AI$11),1.3,1))</f>
        <v>1.3</v>
      </c>
      <c r="BK288">
        <f>IF(OR(Исходн.данные.!AH288=Исходн.данные.!$AD$7,Исходн.данные.!AH288=Исходн.данные.!$AD$8),0.75,1)</f>
        <v>1</v>
      </c>
    </row>
    <row r="289" spans="32:63" x14ac:dyDescent="0.2">
      <c r="AF289">
        <f>SUM(Исходн.данные.!AD289:AF289)</f>
        <v>0</v>
      </c>
      <c r="AG289" s="60">
        <f>SUM(Расчет!CI289:CK289)</f>
        <v>0.64</v>
      </c>
      <c r="AH289" s="60">
        <f>SUM(Расчет!DS289:DU289)</f>
        <v>0</v>
      </c>
      <c r="AI289" t="e">
        <f t="shared" si="8"/>
        <v>#N/A</v>
      </c>
      <c r="AJ289" t="e">
        <f t="shared" si="9"/>
        <v>#N/A</v>
      </c>
      <c r="AL289">
        <f>Потребность!G289*Потребность!H289</f>
        <v>0</v>
      </c>
      <c r="AM289" s="11" t="e">
        <f>Исходн.данные.!$AJ289*Расчет2!AO289</f>
        <v>#VALUE!</v>
      </c>
      <c r="AN289" s="11">
        <f>Исходн.данные.!$AJ289*Расчет2!AP289</f>
        <v>0</v>
      </c>
      <c r="AO289" s="25" t="str">
        <f>IF(Расчет!BF289=0,"X",Расчет!BF289)</f>
        <v>X</v>
      </c>
      <c r="AP289" s="25">
        <f>Расчет!BG289</f>
        <v>0</v>
      </c>
      <c r="AQ289" s="9">
        <f>IF(Расчет!BL289&lt;0,0,Расчет!BL289)</f>
        <v>0</v>
      </c>
      <c r="AR289" s="25">
        <f>IF(Расчет!BM289&lt;0,0,Расчет!BM289)</f>
        <v>0</v>
      </c>
      <c r="AS289" s="25">
        <f>IF(Расчет!BN289&lt;0,0,Расчет!BN289)</f>
        <v>0</v>
      </c>
      <c r="AT289" s="25">
        <f>Расчет!BY289</f>
        <v>0</v>
      </c>
      <c r="AU289" s="25">
        <f>Расчет!BZ289</f>
        <v>10</v>
      </c>
      <c r="AV289" s="25">
        <f>Расчет!CA289</f>
        <v>0</v>
      </c>
      <c r="AW289" s="25" t="str">
        <f>Расчет!CH289</f>
        <v>Аммофос 12:52:00</v>
      </c>
      <c r="AX289" s="25">
        <f>Расчет!DB289</f>
        <v>0</v>
      </c>
      <c r="AY289" s="25">
        <f>Расчет!DC289</f>
        <v>0</v>
      </c>
      <c r="AZ289" s="25">
        <f>Расчет!DG289</f>
        <v>0</v>
      </c>
      <c r="BA289" s="25">
        <f>Расчет!DH289</f>
        <v>0</v>
      </c>
      <c r="BB289" s="25">
        <f>Расчет!DI289</f>
        <v>0</v>
      </c>
      <c r="BC289" s="25" t="str">
        <f>Расчет!DR289</f>
        <v>Нет</v>
      </c>
      <c r="BD289" s="25">
        <f>Расчет!EB289</f>
        <v>0</v>
      </c>
      <c r="BE289" s="25">
        <f>Расчет!EF289</f>
        <v>0</v>
      </c>
      <c r="BF289" s="25" t="e">
        <f>Расчет!EI289</f>
        <v>#DIV/0!</v>
      </c>
      <c r="BG289" s="25" t="e">
        <f>Расчет!FA289</f>
        <v>#N/A</v>
      </c>
      <c r="BI289">
        <f>IF(Исходн.данные.!AH289=Исходн.данные.!$AC$4,0.6,1)</f>
        <v>1</v>
      </c>
      <c r="BJ289">
        <f>IF(Исходн.данные.!AH289=Исходн.данные.!$AC$4,0.8,IF(OR(Потребность!F289=Расчет2!$BI$10,Потребность!F289=Расчет2!$BI$7,Потребность!F289=Расчет2!$BK$14,Исходн.данные.!AI289=Исходн.данные.!$AI$11),1.3,1))</f>
        <v>1.3</v>
      </c>
      <c r="BK289">
        <f>IF(OR(Исходн.данные.!AH289=Исходн.данные.!$AD$7,Исходн.данные.!AH289=Исходн.данные.!$AD$8),0.75,1)</f>
        <v>1</v>
      </c>
    </row>
    <row r="290" spans="32:63" x14ac:dyDescent="0.2">
      <c r="AF290">
        <f>SUM(Исходн.данные.!AD290:AF290)</f>
        <v>0</v>
      </c>
      <c r="AG290" s="60">
        <f>SUM(Расчет!CI290:CK290)</f>
        <v>0.64</v>
      </c>
      <c r="AH290" s="60">
        <f>SUM(Расчет!DS290:DU290)</f>
        <v>0</v>
      </c>
      <c r="AI290" t="e">
        <f t="shared" si="8"/>
        <v>#N/A</v>
      </c>
      <c r="AJ290" t="e">
        <f t="shared" si="9"/>
        <v>#N/A</v>
      </c>
      <c r="AL290">
        <f>Потребность!G290*Потребность!H290</f>
        <v>0</v>
      </c>
      <c r="AM290" s="11" t="e">
        <f>Исходн.данные.!$AJ290*Расчет2!AO290</f>
        <v>#VALUE!</v>
      </c>
      <c r="AN290" s="11">
        <f>Исходн.данные.!$AJ290*Расчет2!AP290</f>
        <v>0</v>
      </c>
      <c r="AO290" s="25" t="str">
        <f>IF(Расчет!BF290=0,"X",Расчет!BF290)</f>
        <v>X</v>
      </c>
      <c r="AP290" s="25">
        <f>Расчет!BG290</f>
        <v>0</v>
      </c>
      <c r="AQ290" s="9">
        <f>IF(Расчет!BL290&lt;0,0,Расчет!BL290)</f>
        <v>0</v>
      </c>
      <c r="AR290" s="25">
        <f>IF(Расчет!BM290&lt;0,0,Расчет!BM290)</f>
        <v>0</v>
      </c>
      <c r="AS290" s="25">
        <f>IF(Расчет!BN290&lt;0,0,Расчет!BN290)</f>
        <v>0</v>
      </c>
      <c r="AT290" s="25">
        <f>Расчет!BY290</f>
        <v>0</v>
      </c>
      <c r="AU290" s="25">
        <f>Расчет!BZ290</f>
        <v>10</v>
      </c>
      <c r="AV290" s="25">
        <f>Расчет!CA290</f>
        <v>0</v>
      </c>
      <c r="AW290" s="25" t="str">
        <f>Расчет!CH290</f>
        <v>Аммофос 12:52:00</v>
      </c>
      <c r="AX290" s="25">
        <f>Расчет!DB290</f>
        <v>0</v>
      </c>
      <c r="AY290" s="25">
        <f>Расчет!DC290</f>
        <v>0</v>
      </c>
      <c r="AZ290" s="25">
        <f>Расчет!DG290</f>
        <v>0</v>
      </c>
      <c r="BA290" s="25">
        <f>Расчет!DH290</f>
        <v>0</v>
      </c>
      <c r="BB290" s="25">
        <f>Расчет!DI290</f>
        <v>0</v>
      </c>
      <c r="BC290" s="25" t="str">
        <f>Расчет!DR290</f>
        <v>Нет</v>
      </c>
      <c r="BD290" s="25">
        <f>Расчет!EB290</f>
        <v>0</v>
      </c>
      <c r="BE290" s="25">
        <f>Расчет!EF290</f>
        <v>0</v>
      </c>
      <c r="BF290" s="25" t="e">
        <f>Расчет!EI290</f>
        <v>#DIV/0!</v>
      </c>
      <c r="BG290" s="25" t="e">
        <f>Расчет!FA290</f>
        <v>#N/A</v>
      </c>
      <c r="BI290">
        <f>IF(Исходн.данные.!AH290=Исходн.данные.!$AC$4,0.6,1)</f>
        <v>1</v>
      </c>
      <c r="BJ290">
        <f>IF(Исходн.данные.!AH290=Исходн.данные.!$AC$4,0.8,IF(OR(Потребность!F290=Расчет2!$BI$10,Потребность!F290=Расчет2!$BI$7,Потребность!F290=Расчет2!$BK$14,Исходн.данные.!AI290=Исходн.данные.!$AI$11),1.3,1))</f>
        <v>1.3</v>
      </c>
      <c r="BK290">
        <f>IF(OR(Исходн.данные.!AH290=Исходн.данные.!$AD$7,Исходн.данные.!AH290=Исходн.данные.!$AD$8),0.75,1)</f>
        <v>1</v>
      </c>
    </row>
    <row r="291" spans="32:63" x14ac:dyDescent="0.2">
      <c r="AF291">
        <f>SUM(Исходн.данные.!AD291:AF291)</f>
        <v>0</v>
      </c>
      <c r="AG291" s="60">
        <f>SUM(Расчет!CI291:CK291)</f>
        <v>0.64</v>
      </c>
      <c r="AH291" s="60">
        <f>SUM(Расчет!DS291:DU291)</f>
        <v>0</v>
      </c>
      <c r="AI291" t="e">
        <f t="shared" si="8"/>
        <v>#N/A</v>
      </c>
      <c r="AJ291" t="e">
        <f t="shared" si="9"/>
        <v>#N/A</v>
      </c>
      <c r="AL291">
        <f>Потребность!G291*Потребность!H291</f>
        <v>0</v>
      </c>
      <c r="AM291" s="11" t="e">
        <f>Исходн.данные.!$AJ291*Расчет2!AO291</f>
        <v>#VALUE!</v>
      </c>
      <c r="AN291" s="11">
        <f>Исходн.данные.!$AJ291*Расчет2!AP291</f>
        <v>0</v>
      </c>
      <c r="AO291" s="25" t="str">
        <f>IF(Расчет!BF291=0,"X",Расчет!BF291)</f>
        <v>X</v>
      </c>
      <c r="AP291" s="25">
        <f>Расчет!BG291</f>
        <v>0</v>
      </c>
      <c r="AQ291" s="9">
        <f>IF(Расчет!BL291&lt;0,0,Расчет!BL291)</f>
        <v>0</v>
      </c>
      <c r="AR291" s="25">
        <f>IF(Расчет!BM291&lt;0,0,Расчет!BM291)</f>
        <v>0</v>
      </c>
      <c r="AS291" s="25">
        <f>IF(Расчет!BN291&lt;0,0,Расчет!BN291)</f>
        <v>0</v>
      </c>
      <c r="AT291" s="25">
        <f>Расчет!BY291</f>
        <v>0</v>
      </c>
      <c r="AU291" s="25">
        <f>Расчет!BZ291</f>
        <v>10</v>
      </c>
      <c r="AV291" s="25">
        <f>Расчет!CA291</f>
        <v>0</v>
      </c>
      <c r="AW291" s="25" t="str">
        <f>Расчет!CH291</f>
        <v>Аммофос 12:52:00</v>
      </c>
      <c r="AX291" s="25">
        <f>Расчет!DB291</f>
        <v>0</v>
      </c>
      <c r="AY291" s="25">
        <f>Расчет!DC291</f>
        <v>0</v>
      </c>
      <c r="AZ291" s="25">
        <f>Расчет!DG291</f>
        <v>0</v>
      </c>
      <c r="BA291" s="25">
        <f>Расчет!DH291</f>
        <v>0</v>
      </c>
      <c r="BB291" s="25">
        <f>Расчет!DI291</f>
        <v>0</v>
      </c>
      <c r="BC291" s="25" t="str">
        <f>Расчет!DR291</f>
        <v>Нет</v>
      </c>
      <c r="BD291" s="25">
        <f>Расчет!EB291</f>
        <v>0</v>
      </c>
      <c r="BE291" s="25">
        <f>Расчет!EF291</f>
        <v>0</v>
      </c>
      <c r="BF291" s="25" t="e">
        <f>Расчет!EI291</f>
        <v>#DIV/0!</v>
      </c>
      <c r="BG291" s="25" t="e">
        <f>Расчет!FA291</f>
        <v>#N/A</v>
      </c>
      <c r="BI291">
        <f>IF(Исходн.данные.!AH291=Исходн.данные.!$AC$4,0.6,1)</f>
        <v>1</v>
      </c>
      <c r="BJ291">
        <f>IF(Исходн.данные.!AH291=Исходн.данные.!$AC$4,0.8,IF(OR(Потребность!F291=Расчет2!$BI$10,Потребность!F291=Расчет2!$BI$7,Потребность!F291=Расчет2!$BK$14,Исходн.данные.!AI291=Исходн.данные.!$AI$11),1.3,1))</f>
        <v>1.3</v>
      </c>
      <c r="BK291">
        <f>IF(OR(Исходн.данные.!AH291=Исходн.данные.!$AD$7,Исходн.данные.!AH291=Исходн.данные.!$AD$8),0.75,1)</f>
        <v>1</v>
      </c>
    </row>
    <row r="292" spans="32:63" x14ac:dyDescent="0.2">
      <c r="AF292">
        <f>SUM(Исходн.данные.!AD292:AF292)</f>
        <v>0</v>
      </c>
      <c r="AG292" s="60">
        <f>SUM(Расчет!CI292:CK292)</f>
        <v>0.64</v>
      </c>
      <c r="AH292" s="60">
        <f>SUM(Расчет!DS292:DU292)</f>
        <v>0</v>
      </c>
      <c r="AI292" t="e">
        <f t="shared" si="8"/>
        <v>#N/A</v>
      </c>
      <c r="AJ292" t="e">
        <f t="shared" si="9"/>
        <v>#N/A</v>
      </c>
      <c r="AL292">
        <f>Потребность!G292*Потребность!H292</f>
        <v>0</v>
      </c>
      <c r="AM292" s="11" t="e">
        <f>Исходн.данные.!$AJ292*Расчет2!AO292</f>
        <v>#VALUE!</v>
      </c>
      <c r="AN292" s="11">
        <f>Исходн.данные.!$AJ292*Расчет2!AP292</f>
        <v>0</v>
      </c>
      <c r="AO292" s="25" t="str">
        <f>IF(Расчет!BF292=0,"X",Расчет!BF292)</f>
        <v>X</v>
      </c>
      <c r="AP292" s="25">
        <f>Расчет!BG292</f>
        <v>0</v>
      </c>
      <c r="AQ292" s="9">
        <f>IF(Расчет!BL292&lt;0,0,Расчет!BL292)</f>
        <v>0</v>
      </c>
      <c r="AR292" s="25">
        <f>IF(Расчет!BM292&lt;0,0,Расчет!BM292)</f>
        <v>0</v>
      </c>
      <c r="AS292" s="25">
        <f>IF(Расчет!BN292&lt;0,0,Расчет!BN292)</f>
        <v>0</v>
      </c>
      <c r="AT292" s="25">
        <f>Расчет!BY292</f>
        <v>0</v>
      </c>
      <c r="AU292" s="25">
        <f>Расчет!BZ292</f>
        <v>10</v>
      </c>
      <c r="AV292" s="25">
        <f>Расчет!CA292</f>
        <v>0</v>
      </c>
      <c r="AW292" s="25" t="str">
        <f>Расчет!CH292</f>
        <v>Аммофос 12:52:00</v>
      </c>
      <c r="AX292" s="25">
        <f>Расчет!DB292</f>
        <v>0</v>
      </c>
      <c r="AY292" s="25">
        <f>Расчет!DC292</f>
        <v>0</v>
      </c>
      <c r="AZ292" s="25">
        <f>Расчет!DG292</f>
        <v>0</v>
      </c>
      <c r="BA292" s="25">
        <f>Расчет!DH292</f>
        <v>0</v>
      </c>
      <c r="BB292" s="25">
        <f>Расчет!DI292</f>
        <v>0</v>
      </c>
      <c r="BC292" s="25" t="str">
        <f>Расчет!DR292</f>
        <v>Нет</v>
      </c>
      <c r="BD292" s="25">
        <f>Расчет!EB292</f>
        <v>0</v>
      </c>
      <c r="BE292" s="25">
        <f>Расчет!EF292</f>
        <v>0</v>
      </c>
      <c r="BF292" s="25" t="e">
        <f>Расчет!EI292</f>
        <v>#DIV/0!</v>
      </c>
      <c r="BG292" s="25" t="e">
        <f>Расчет!FA292</f>
        <v>#N/A</v>
      </c>
      <c r="BI292">
        <f>IF(Исходн.данные.!AH292=Исходн.данные.!$AC$4,0.6,1)</f>
        <v>1</v>
      </c>
      <c r="BJ292">
        <f>IF(Исходн.данные.!AH292=Исходн.данные.!$AC$4,0.8,IF(OR(Потребность!F292=Расчет2!$BI$10,Потребность!F292=Расчет2!$BI$7,Потребность!F292=Расчет2!$BK$14,Исходн.данные.!AI292=Исходн.данные.!$AI$11),1.3,1))</f>
        <v>1.3</v>
      </c>
      <c r="BK292">
        <f>IF(OR(Исходн.данные.!AH292=Исходн.данные.!$AD$7,Исходн.данные.!AH292=Исходн.данные.!$AD$8),0.75,1)</f>
        <v>1</v>
      </c>
    </row>
    <row r="293" spans="32:63" x14ac:dyDescent="0.2">
      <c r="AF293">
        <f>SUM(Исходн.данные.!AD293:AF293)</f>
        <v>0</v>
      </c>
      <c r="AG293" s="60">
        <f>SUM(Расчет!CI293:CK293)</f>
        <v>0.64</v>
      </c>
      <c r="AH293" s="60">
        <f>SUM(Расчет!DS293:DU293)</f>
        <v>0</v>
      </c>
      <c r="AI293" t="e">
        <f t="shared" si="8"/>
        <v>#N/A</v>
      </c>
      <c r="AJ293" t="e">
        <f t="shared" si="9"/>
        <v>#N/A</v>
      </c>
      <c r="AL293">
        <f>Потребность!G293*Потребность!H293</f>
        <v>0</v>
      </c>
      <c r="AM293" s="11" t="e">
        <f>Исходн.данные.!$AJ293*Расчет2!AO293</f>
        <v>#VALUE!</v>
      </c>
      <c r="AN293" s="11">
        <f>Исходн.данные.!$AJ293*Расчет2!AP293</f>
        <v>0</v>
      </c>
      <c r="AO293" s="25" t="str">
        <f>IF(Расчет!BF293=0,"X",Расчет!BF293)</f>
        <v>X</v>
      </c>
      <c r="AP293" s="25">
        <f>Расчет!BG293</f>
        <v>0</v>
      </c>
      <c r="AQ293" s="9">
        <f>IF(Расчет!BL293&lt;0,0,Расчет!BL293)</f>
        <v>0</v>
      </c>
      <c r="AR293" s="25">
        <f>IF(Расчет!BM293&lt;0,0,Расчет!BM293)</f>
        <v>0</v>
      </c>
      <c r="AS293" s="25">
        <f>IF(Расчет!BN293&lt;0,0,Расчет!BN293)</f>
        <v>0</v>
      </c>
      <c r="AT293" s="25">
        <f>Расчет!BY293</f>
        <v>0</v>
      </c>
      <c r="AU293" s="25">
        <f>Расчет!BZ293</f>
        <v>10</v>
      </c>
      <c r="AV293" s="25">
        <f>Расчет!CA293</f>
        <v>0</v>
      </c>
      <c r="AW293" s="25" t="str">
        <f>Расчет!CH293</f>
        <v>Аммофос 12:52:00</v>
      </c>
      <c r="AX293" s="25">
        <f>Расчет!DB293</f>
        <v>0</v>
      </c>
      <c r="AY293" s="25">
        <f>Расчет!DC293</f>
        <v>0</v>
      </c>
      <c r="AZ293" s="25">
        <f>Расчет!DG293</f>
        <v>0</v>
      </c>
      <c r="BA293" s="25">
        <f>Расчет!DH293</f>
        <v>0</v>
      </c>
      <c r="BB293" s="25">
        <f>Расчет!DI293</f>
        <v>0</v>
      </c>
      <c r="BC293" s="25" t="str">
        <f>Расчет!DR293</f>
        <v>Нет</v>
      </c>
      <c r="BD293" s="25">
        <f>Расчет!EB293</f>
        <v>0</v>
      </c>
      <c r="BE293" s="25">
        <f>Расчет!EF293</f>
        <v>0</v>
      </c>
      <c r="BF293" s="25" t="e">
        <f>Расчет!EI293</f>
        <v>#DIV/0!</v>
      </c>
      <c r="BG293" s="25" t="e">
        <f>Расчет!FA293</f>
        <v>#N/A</v>
      </c>
      <c r="BI293">
        <f>IF(Исходн.данные.!AH293=Исходн.данные.!$AC$4,0.6,1)</f>
        <v>1</v>
      </c>
      <c r="BJ293">
        <f>IF(Исходн.данные.!AH293=Исходн.данные.!$AC$4,0.8,IF(OR(Потребность!F293=Расчет2!$BI$10,Потребность!F293=Расчет2!$BI$7,Потребность!F293=Расчет2!$BK$14,Исходн.данные.!AI293=Исходн.данные.!$AI$11),1.3,1))</f>
        <v>1.3</v>
      </c>
      <c r="BK293">
        <f>IF(OR(Исходн.данные.!AH293=Исходн.данные.!$AD$7,Исходн.данные.!AH293=Исходн.данные.!$AD$8),0.75,1)</f>
        <v>1</v>
      </c>
    </row>
    <row r="294" spans="32:63" x14ac:dyDescent="0.2">
      <c r="AF294">
        <f>SUM(Исходн.данные.!AD294:AF294)</f>
        <v>0</v>
      </c>
      <c r="AG294" s="60">
        <f>SUM(Расчет!CI294:CK294)</f>
        <v>0.64</v>
      </c>
      <c r="AH294" s="60">
        <f>SUM(Расчет!DS294:DU294)</f>
        <v>0</v>
      </c>
      <c r="AI294" t="e">
        <f t="shared" si="8"/>
        <v>#N/A</v>
      </c>
      <c r="AJ294" t="e">
        <f t="shared" si="9"/>
        <v>#N/A</v>
      </c>
      <c r="AL294">
        <f>Потребность!G294*Потребность!H294</f>
        <v>0</v>
      </c>
      <c r="AM294" s="11" t="e">
        <f>Исходн.данные.!$AJ294*Расчет2!AO294</f>
        <v>#VALUE!</v>
      </c>
      <c r="AN294" s="11">
        <f>Исходн.данные.!$AJ294*Расчет2!AP294</f>
        <v>0</v>
      </c>
      <c r="AO294" s="25" t="str">
        <f>IF(Расчет!BF294=0,"X",Расчет!BF294)</f>
        <v>X</v>
      </c>
      <c r="AP294" s="25">
        <f>Расчет!BG294</f>
        <v>0</v>
      </c>
      <c r="AQ294" s="9">
        <f>IF(Расчет!BL294&lt;0,0,Расчет!BL294)</f>
        <v>0</v>
      </c>
      <c r="AR294" s="25">
        <f>IF(Расчет!BM294&lt;0,0,Расчет!BM294)</f>
        <v>0</v>
      </c>
      <c r="AS294" s="25">
        <f>IF(Расчет!BN294&lt;0,0,Расчет!BN294)</f>
        <v>0</v>
      </c>
      <c r="AT294" s="25">
        <f>Расчет!BY294</f>
        <v>0</v>
      </c>
      <c r="AU294" s="25">
        <f>Расчет!BZ294</f>
        <v>10</v>
      </c>
      <c r="AV294" s="25">
        <f>Расчет!CA294</f>
        <v>0</v>
      </c>
      <c r="AW294" s="25" t="str">
        <f>Расчет!CH294</f>
        <v>Аммофос 12:52:00</v>
      </c>
      <c r="AX294" s="25">
        <f>Расчет!DB294</f>
        <v>0</v>
      </c>
      <c r="AY294" s="25">
        <f>Расчет!DC294</f>
        <v>0</v>
      </c>
      <c r="AZ294" s="25">
        <f>Расчет!DG294</f>
        <v>0</v>
      </c>
      <c r="BA294" s="25">
        <f>Расчет!DH294</f>
        <v>0</v>
      </c>
      <c r="BB294" s="25">
        <f>Расчет!DI294</f>
        <v>0</v>
      </c>
      <c r="BC294" s="25" t="str">
        <f>Расчет!DR294</f>
        <v>Нет</v>
      </c>
      <c r="BD294" s="25">
        <f>Расчет!EB294</f>
        <v>0</v>
      </c>
      <c r="BE294" s="25">
        <f>Расчет!EF294</f>
        <v>0</v>
      </c>
      <c r="BF294" s="25" t="e">
        <f>Расчет!EI294</f>
        <v>#DIV/0!</v>
      </c>
      <c r="BG294" s="25" t="e">
        <f>Расчет!FA294</f>
        <v>#N/A</v>
      </c>
      <c r="BI294">
        <f>IF(Исходн.данные.!AH294=Исходн.данные.!$AC$4,0.6,1)</f>
        <v>1</v>
      </c>
      <c r="BJ294">
        <f>IF(Исходн.данные.!AH294=Исходн.данные.!$AC$4,0.8,IF(OR(Потребность!F294=Расчет2!$BI$10,Потребность!F294=Расчет2!$BI$7,Потребность!F294=Расчет2!$BK$14,Исходн.данные.!AI294=Исходн.данные.!$AI$11),1.3,1))</f>
        <v>1.3</v>
      </c>
      <c r="BK294">
        <f>IF(OR(Исходн.данные.!AH294=Исходн.данные.!$AD$7,Исходн.данные.!AH294=Исходн.данные.!$AD$8),0.75,1)</f>
        <v>1</v>
      </c>
    </row>
    <row r="295" spans="32:63" x14ac:dyDescent="0.2">
      <c r="AF295">
        <f>SUM(Исходн.данные.!AD295:AF295)</f>
        <v>0</v>
      </c>
      <c r="AG295" s="60">
        <f>SUM(Расчет!CI295:CK295)</f>
        <v>0.64</v>
      </c>
      <c r="AH295" s="60">
        <f>SUM(Расчет!DS295:DU295)</f>
        <v>0</v>
      </c>
      <c r="AI295" t="e">
        <f t="shared" si="8"/>
        <v>#N/A</v>
      </c>
      <c r="AJ295" t="e">
        <f t="shared" si="9"/>
        <v>#N/A</v>
      </c>
      <c r="AL295">
        <f>Потребность!G295*Потребность!H295</f>
        <v>0</v>
      </c>
      <c r="AM295" s="11" t="e">
        <f>Исходн.данные.!$AJ295*Расчет2!AO295</f>
        <v>#VALUE!</v>
      </c>
      <c r="AN295" s="11">
        <f>Исходн.данные.!$AJ295*Расчет2!AP295</f>
        <v>0</v>
      </c>
      <c r="AO295" s="25" t="str">
        <f>IF(Расчет!BF295=0,"X",Расчет!BF295)</f>
        <v>X</v>
      </c>
      <c r="AP295" s="25">
        <f>Расчет!BG295</f>
        <v>0</v>
      </c>
      <c r="AQ295" s="9">
        <f>IF(Расчет!BL295&lt;0,0,Расчет!BL295)</f>
        <v>0</v>
      </c>
      <c r="AR295" s="25">
        <f>IF(Расчет!BM295&lt;0,0,Расчет!BM295)</f>
        <v>0</v>
      </c>
      <c r="AS295" s="25">
        <f>IF(Расчет!BN295&lt;0,0,Расчет!BN295)</f>
        <v>0</v>
      </c>
      <c r="AT295" s="25">
        <f>Расчет!BY295</f>
        <v>0</v>
      </c>
      <c r="AU295" s="25">
        <f>Расчет!BZ295</f>
        <v>10</v>
      </c>
      <c r="AV295" s="25">
        <f>Расчет!CA295</f>
        <v>0</v>
      </c>
      <c r="AW295" s="25" t="str">
        <f>Расчет!CH295</f>
        <v>Аммофос 12:52:00</v>
      </c>
      <c r="AX295" s="25">
        <f>Расчет!DB295</f>
        <v>0</v>
      </c>
      <c r="AY295" s="25">
        <f>Расчет!DC295</f>
        <v>0</v>
      </c>
      <c r="AZ295" s="25">
        <f>Расчет!DG295</f>
        <v>0</v>
      </c>
      <c r="BA295" s="25">
        <f>Расчет!DH295</f>
        <v>0</v>
      </c>
      <c r="BB295" s="25">
        <f>Расчет!DI295</f>
        <v>0</v>
      </c>
      <c r="BC295" s="25" t="str">
        <f>Расчет!DR295</f>
        <v>Нет</v>
      </c>
      <c r="BD295" s="25">
        <f>Расчет!EB295</f>
        <v>0</v>
      </c>
      <c r="BE295" s="25">
        <f>Расчет!EF295</f>
        <v>0</v>
      </c>
      <c r="BF295" s="25" t="e">
        <f>Расчет!EI295</f>
        <v>#DIV/0!</v>
      </c>
      <c r="BG295" s="25" t="e">
        <f>Расчет!FA295</f>
        <v>#N/A</v>
      </c>
      <c r="BI295">
        <f>IF(Исходн.данные.!AH295=Исходн.данные.!$AC$4,0.6,1)</f>
        <v>1</v>
      </c>
      <c r="BJ295">
        <f>IF(Исходн.данные.!AH295=Исходн.данные.!$AC$4,0.8,IF(OR(Потребность!F295=Расчет2!$BI$10,Потребность!F295=Расчет2!$BI$7,Потребность!F295=Расчет2!$BK$14,Исходн.данные.!AI295=Исходн.данные.!$AI$11),1.3,1))</f>
        <v>1.3</v>
      </c>
      <c r="BK295">
        <f>IF(OR(Исходн.данные.!AH295=Исходн.данные.!$AD$7,Исходн.данные.!AH295=Исходн.данные.!$AD$8),0.75,1)</f>
        <v>1</v>
      </c>
    </row>
    <row r="296" spans="32:63" x14ac:dyDescent="0.2">
      <c r="AF296">
        <f>SUM(Исходн.данные.!AD296:AF296)</f>
        <v>0</v>
      </c>
      <c r="AG296" s="60">
        <f>SUM(Расчет!CI296:CK296)</f>
        <v>0.64</v>
      </c>
      <c r="AH296" s="60">
        <f>SUM(Расчет!DS296:DU296)</f>
        <v>0</v>
      </c>
      <c r="AI296" t="e">
        <f t="shared" si="8"/>
        <v>#N/A</v>
      </c>
      <c r="AJ296" t="e">
        <f t="shared" si="9"/>
        <v>#N/A</v>
      </c>
      <c r="AL296">
        <f>Потребность!G296*Потребность!H296</f>
        <v>0</v>
      </c>
      <c r="AM296" s="11" t="e">
        <f>Исходн.данные.!$AJ296*Расчет2!AO296</f>
        <v>#VALUE!</v>
      </c>
      <c r="AN296" s="11">
        <f>Исходн.данные.!$AJ296*Расчет2!AP296</f>
        <v>0</v>
      </c>
      <c r="AO296" s="25" t="str">
        <f>IF(Расчет!BF296=0,"X",Расчет!BF296)</f>
        <v>X</v>
      </c>
      <c r="AP296" s="25">
        <f>Расчет!BG296</f>
        <v>0</v>
      </c>
      <c r="AQ296" s="9">
        <f>IF(Расчет!BL296&lt;0,0,Расчет!BL296)</f>
        <v>0</v>
      </c>
      <c r="AR296" s="25">
        <f>IF(Расчет!BM296&lt;0,0,Расчет!BM296)</f>
        <v>0</v>
      </c>
      <c r="AS296" s="25">
        <f>IF(Расчет!BN296&lt;0,0,Расчет!BN296)</f>
        <v>0</v>
      </c>
      <c r="AT296" s="25">
        <f>Расчет!BY296</f>
        <v>0</v>
      </c>
      <c r="AU296" s="25">
        <f>Расчет!BZ296</f>
        <v>10</v>
      </c>
      <c r="AV296" s="25">
        <f>Расчет!CA296</f>
        <v>0</v>
      </c>
      <c r="AW296" s="25" t="str">
        <f>Расчет!CH296</f>
        <v>Аммофос 12:52:00</v>
      </c>
      <c r="AX296" s="25">
        <f>Расчет!DB296</f>
        <v>0</v>
      </c>
      <c r="AY296" s="25">
        <f>Расчет!DC296</f>
        <v>0</v>
      </c>
      <c r="AZ296" s="25">
        <f>Расчет!DG296</f>
        <v>0</v>
      </c>
      <c r="BA296" s="25">
        <f>Расчет!DH296</f>
        <v>0</v>
      </c>
      <c r="BB296" s="25">
        <f>Расчет!DI296</f>
        <v>0</v>
      </c>
      <c r="BC296" s="25" t="str">
        <f>Расчет!DR296</f>
        <v>Нет</v>
      </c>
      <c r="BD296" s="25">
        <f>Расчет!EB296</f>
        <v>0</v>
      </c>
      <c r="BE296" s="25">
        <f>Расчет!EF296</f>
        <v>0</v>
      </c>
      <c r="BF296" s="25" t="e">
        <f>Расчет!EI296</f>
        <v>#DIV/0!</v>
      </c>
      <c r="BG296" s="25" t="e">
        <f>Расчет!FA296</f>
        <v>#N/A</v>
      </c>
      <c r="BI296">
        <f>IF(Исходн.данные.!AH296=Исходн.данные.!$AC$4,0.6,1)</f>
        <v>1</v>
      </c>
      <c r="BJ296">
        <f>IF(Исходн.данные.!AH296=Исходн.данные.!$AC$4,0.8,IF(OR(Потребность!F296=Расчет2!$BI$10,Потребность!F296=Расчет2!$BI$7,Потребность!F296=Расчет2!$BK$14,Исходн.данные.!AI296=Исходн.данные.!$AI$11),1.3,1))</f>
        <v>1.3</v>
      </c>
      <c r="BK296">
        <f>IF(OR(Исходн.данные.!AH296=Исходн.данные.!$AD$7,Исходн.данные.!AH296=Исходн.данные.!$AD$8),0.75,1)</f>
        <v>1</v>
      </c>
    </row>
    <row r="297" spans="32:63" x14ac:dyDescent="0.2">
      <c r="AF297">
        <f>SUM(Исходн.данные.!AD297:AF297)</f>
        <v>0</v>
      </c>
      <c r="AG297" s="60">
        <f>SUM(Расчет!CI297:CK297)</f>
        <v>0.64</v>
      </c>
      <c r="AH297" s="60">
        <f>SUM(Расчет!DS297:DU297)</f>
        <v>0</v>
      </c>
      <c r="AI297" t="e">
        <f t="shared" si="8"/>
        <v>#N/A</v>
      </c>
      <c r="AJ297" t="e">
        <f t="shared" si="9"/>
        <v>#N/A</v>
      </c>
      <c r="AL297">
        <f>Потребность!G297*Потребность!H297</f>
        <v>0</v>
      </c>
      <c r="AM297" s="11" t="e">
        <f>Исходн.данные.!$AJ297*Расчет2!AO297</f>
        <v>#VALUE!</v>
      </c>
      <c r="AN297" s="11">
        <f>Исходн.данные.!$AJ297*Расчет2!AP297</f>
        <v>0</v>
      </c>
      <c r="AO297" s="25" t="str">
        <f>IF(Расчет!BF297=0,"X",Расчет!BF297)</f>
        <v>X</v>
      </c>
      <c r="AP297" s="25">
        <f>Расчет!BG297</f>
        <v>0</v>
      </c>
      <c r="AQ297" s="9">
        <f>IF(Расчет!BL297&lt;0,0,Расчет!BL297)</f>
        <v>0</v>
      </c>
      <c r="AR297" s="25">
        <f>IF(Расчет!BM297&lt;0,0,Расчет!BM297)</f>
        <v>0</v>
      </c>
      <c r="AS297" s="25">
        <f>IF(Расчет!BN297&lt;0,0,Расчет!BN297)</f>
        <v>0</v>
      </c>
      <c r="AT297" s="25">
        <f>Расчет!BY297</f>
        <v>0</v>
      </c>
      <c r="AU297" s="25">
        <f>Расчет!BZ297</f>
        <v>10</v>
      </c>
      <c r="AV297" s="25">
        <f>Расчет!CA297</f>
        <v>0</v>
      </c>
      <c r="AW297" s="25" t="str">
        <f>Расчет!CH297</f>
        <v>Аммофос 12:52:00</v>
      </c>
      <c r="AX297" s="25">
        <f>Расчет!DB297</f>
        <v>0</v>
      </c>
      <c r="AY297" s="25">
        <f>Расчет!DC297</f>
        <v>0</v>
      </c>
      <c r="AZ297" s="25">
        <f>Расчет!DG297</f>
        <v>0</v>
      </c>
      <c r="BA297" s="25">
        <f>Расчет!DH297</f>
        <v>0</v>
      </c>
      <c r="BB297" s="25">
        <f>Расчет!DI297</f>
        <v>0</v>
      </c>
      <c r="BC297" s="25" t="str">
        <f>Расчет!DR297</f>
        <v>Нет</v>
      </c>
      <c r="BD297" s="25">
        <f>Расчет!EB297</f>
        <v>0</v>
      </c>
      <c r="BE297" s="25">
        <f>Расчет!EF297</f>
        <v>0</v>
      </c>
      <c r="BF297" s="25" t="e">
        <f>Расчет!EI297</f>
        <v>#DIV/0!</v>
      </c>
      <c r="BG297" s="25" t="e">
        <f>Расчет!FA297</f>
        <v>#N/A</v>
      </c>
      <c r="BI297">
        <f>IF(Исходн.данные.!AH297=Исходн.данные.!$AC$4,0.6,1)</f>
        <v>1</v>
      </c>
      <c r="BJ297">
        <f>IF(Исходн.данные.!AH297=Исходн.данные.!$AC$4,0.8,IF(OR(Потребность!F297=Расчет2!$BI$10,Потребность!F297=Расчет2!$BI$7,Потребность!F297=Расчет2!$BK$14,Исходн.данные.!AI297=Исходн.данные.!$AI$11),1.3,1))</f>
        <v>1.3</v>
      </c>
      <c r="BK297">
        <f>IF(OR(Исходн.данные.!AH297=Исходн.данные.!$AD$7,Исходн.данные.!AH297=Исходн.данные.!$AD$8),0.75,1)</f>
        <v>1</v>
      </c>
    </row>
    <row r="298" spans="32:63" x14ac:dyDescent="0.2">
      <c r="AF298">
        <f>SUM(Исходн.данные.!AD298:AF298)</f>
        <v>0</v>
      </c>
      <c r="AG298" s="60">
        <f>SUM(Расчет!CI298:CK298)</f>
        <v>0.64</v>
      </c>
      <c r="AH298" s="60">
        <f>SUM(Расчет!DS298:DU298)</f>
        <v>0</v>
      </c>
      <c r="AI298" t="e">
        <f t="shared" si="8"/>
        <v>#N/A</v>
      </c>
      <c r="AJ298" t="e">
        <f t="shared" si="9"/>
        <v>#N/A</v>
      </c>
      <c r="AL298">
        <f>Потребность!G298*Потребность!H298</f>
        <v>0</v>
      </c>
      <c r="AM298" s="11" t="e">
        <f>Исходн.данные.!$AJ298*Расчет2!AO298</f>
        <v>#VALUE!</v>
      </c>
      <c r="AN298" s="11">
        <f>Исходн.данные.!$AJ298*Расчет2!AP298</f>
        <v>0</v>
      </c>
      <c r="AO298" s="25" t="str">
        <f>IF(Расчет!BF298=0,"X",Расчет!BF298)</f>
        <v>X</v>
      </c>
      <c r="AP298" s="25">
        <f>Расчет!BG298</f>
        <v>0</v>
      </c>
      <c r="AQ298" s="9">
        <f>IF(Расчет!BL298&lt;0,0,Расчет!BL298)</f>
        <v>0</v>
      </c>
      <c r="AR298" s="25">
        <f>IF(Расчет!BM298&lt;0,0,Расчет!BM298)</f>
        <v>0</v>
      </c>
      <c r="AS298" s="25">
        <f>IF(Расчет!BN298&lt;0,0,Расчет!BN298)</f>
        <v>0</v>
      </c>
      <c r="AT298" s="25">
        <f>Расчет!BY298</f>
        <v>0</v>
      </c>
      <c r="AU298" s="25">
        <f>Расчет!BZ298</f>
        <v>10</v>
      </c>
      <c r="AV298" s="25">
        <f>Расчет!CA298</f>
        <v>0</v>
      </c>
      <c r="AW298" s="25" t="str">
        <f>Расчет!CH298</f>
        <v>Аммофос 12:52:00</v>
      </c>
      <c r="AX298" s="25">
        <f>Расчет!DB298</f>
        <v>0</v>
      </c>
      <c r="AY298" s="25">
        <f>Расчет!DC298</f>
        <v>0</v>
      </c>
      <c r="AZ298" s="25">
        <f>Расчет!DG298</f>
        <v>0</v>
      </c>
      <c r="BA298" s="25">
        <f>Расчет!DH298</f>
        <v>0</v>
      </c>
      <c r="BB298" s="25">
        <f>Расчет!DI298</f>
        <v>0</v>
      </c>
      <c r="BC298" s="25" t="str">
        <f>Расчет!DR298</f>
        <v>Нет</v>
      </c>
      <c r="BD298" s="25">
        <f>Расчет!EB298</f>
        <v>0</v>
      </c>
      <c r="BE298" s="25">
        <f>Расчет!EF298</f>
        <v>0</v>
      </c>
      <c r="BF298" s="25" t="e">
        <f>Расчет!EI298</f>
        <v>#DIV/0!</v>
      </c>
      <c r="BG298" s="25" t="e">
        <f>Расчет!FA298</f>
        <v>#N/A</v>
      </c>
      <c r="BI298">
        <f>IF(Исходн.данные.!AH298=Исходн.данные.!$AC$4,0.6,1)</f>
        <v>1</v>
      </c>
      <c r="BJ298">
        <f>IF(Исходн.данные.!AH298=Исходн.данные.!$AC$4,0.8,IF(OR(Потребность!F298=Расчет2!$BI$10,Потребность!F298=Расчет2!$BI$7,Потребность!F298=Расчет2!$BK$14,Исходн.данные.!AI298=Исходн.данные.!$AI$11),1.3,1))</f>
        <v>1.3</v>
      </c>
      <c r="BK298">
        <f>IF(OR(Исходн.данные.!AH298=Исходн.данные.!$AD$7,Исходн.данные.!AH298=Исходн.данные.!$AD$8),0.75,1)</f>
        <v>1</v>
      </c>
    </row>
    <row r="299" spans="32:63" x14ac:dyDescent="0.2">
      <c r="AF299">
        <f>SUM(Исходн.данные.!AD299:AF299)</f>
        <v>0</v>
      </c>
      <c r="AG299" s="60">
        <f>SUM(Расчет!CI299:CK299)</f>
        <v>0.64</v>
      </c>
      <c r="AH299" s="60">
        <f>SUM(Расчет!DS299:DU299)</f>
        <v>0</v>
      </c>
      <c r="AI299" t="e">
        <f t="shared" si="8"/>
        <v>#N/A</v>
      </c>
      <c r="AJ299" t="e">
        <f t="shared" si="9"/>
        <v>#N/A</v>
      </c>
      <c r="AL299">
        <f>Потребность!G299*Потребность!H299</f>
        <v>0</v>
      </c>
      <c r="AM299" s="11" t="e">
        <f>Исходн.данные.!$AJ299*Расчет2!AO299</f>
        <v>#VALUE!</v>
      </c>
      <c r="AN299" s="11">
        <f>Исходн.данные.!$AJ299*Расчет2!AP299</f>
        <v>0</v>
      </c>
      <c r="AO299" s="25" t="str">
        <f>IF(Расчет!BF299=0,"X",Расчет!BF299)</f>
        <v>X</v>
      </c>
      <c r="AP299" s="25">
        <f>Расчет!BG299</f>
        <v>0</v>
      </c>
      <c r="AQ299" s="9">
        <f>IF(Расчет!BL299&lt;0,0,Расчет!BL299)</f>
        <v>0</v>
      </c>
      <c r="AR299" s="25">
        <f>IF(Расчет!BM299&lt;0,0,Расчет!BM299)</f>
        <v>0</v>
      </c>
      <c r="AS299" s="25">
        <f>IF(Расчет!BN299&lt;0,0,Расчет!BN299)</f>
        <v>0</v>
      </c>
      <c r="AT299" s="25">
        <f>Расчет!BY299</f>
        <v>0</v>
      </c>
      <c r="AU299" s="25">
        <f>Расчет!BZ299</f>
        <v>10</v>
      </c>
      <c r="AV299" s="25">
        <f>Расчет!CA299</f>
        <v>0</v>
      </c>
      <c r="AW299" s="25" t="str">
        <f>Расчет!CH299</f>
        <v>Аммофос 12:52:00</v>
      </c>
      <c r="AX299" s="25">
        <f>Расчет!DB299</f>
        <v>0</v>
      </c>
      <c r="AY299" s="25">
        <f>Расчет!DC299</f>
        <v>0</v>
      </c>
      <c r="AZ299" s="25">
        <f>Расчет!DG299</f>
        <v>0</v>
      </c>
      <c r="BA299" s="25">
        <f>Расчет!DH299</f>
        <v>0</v>
      </c>
      <c r="BB299" s="25">
        <f>Расчет!DI299</f>
        <v>0</v>
      </c>
      <c r="BC299" s="25" t="str">
        <f>Расчет!DR299</f>
        <v>Нет</v>
      </c>
      <c r="BD299" s="25">
        <f>Расчет!EB299</f>
        <v>0</v>
      </c>
      <c r="BE299" s="25">
        <f>Расчет!EF299</f>
        <v>0</v>
      </c>
      <c r="BF299" s="25" t="e">
        <f>Расчет!EI299</f>
        <v>#DIV/0!</v>
      </c>
      <c r="BG299" s="25" t="e">
        <f>Расчет!FA299</f>
        <v>#N/A</v>
      </c>
      <c r="BI299">
        <f>IF(Исходн.данные.!AH299=Исходн.данные.!$AC$4,0.6,1)</f>
        <v>1</v>
      </c>
      <c r="BJ299">
        <f>IF(Исходн.данные.!AH299=Исходн.данные.!$AC$4,0.8,IF(OR(Потребность!F299=Расчет2!$BI$10,Потребность!F299=Расчет2!$BI$7,Потребность!F299=Расчет2!$BK$14,Исходн.данные.!AI299=Исходн.данные.!$AI$11),1.3,1))</f>
        <v>1.3</v>
      </c>
      <c r="BK299">
        <f>IF(OR(Исходн.данные.!AH299=Исходн.данные.!$AD$7,Исходн.данные.!AH299=Исходн.данные.!$AD$8),0.75,1)</f>
        <v>1</v>
      </c>
    </row>
    <row r="300" spans="32:63" x14ac:dyDescent="0.2">
      <c r="AF300">
        <f>SUM(Исходн.данные.!AD300:AF300)</f>
        <v>0</v>
      </c>
      <c r="AG300" s="60">
        <f>SUM(Расчет!CI300:CK300)</f>
        <v>0.64</v>
      </c>
      <c r="AH300" s="60">
        <f>SUM(Расчет!DS300:DU300)</f>
        <v>0</v>
      </c>
      <c r="AI300" t="e">
        <f t="shared" si="8"/>
        <v>#N/A</v>
      </c>
      <c r="AJ300" t="e">
        <f t="shared" si="9"/>
        <v>#N/A</v>
      </c>
      <c r="AL300">
        <f>Потребность!G300*Потребность!H300</f>
        <v>0</v>
      </c>
      <c r="AM300" s="11" t="e">
        <f>Исходн.данные.!$AJ300*Расчет2!AO300</f>
        <v>#VALUE!</v>
      </c>
      <c r="AN300" s="11">
        <f>Исходн.данные.!$AJ300*Расчет2!AP300</f>
        <v>0</v>
      </c>
      <c r="AO300" s="25" t="str">
        <f>IF(Расчет!BF300=0,"X",Расчет!BF300)</f>
        <v>X</v>
      </c>
      <c r="AP300" s="25">
        <f>Расчет!BG300</f>
        <v>0</v>
      </c>
      <c r="AQ300" s="9">
        <f>IF(Расчет!BL300&lt;0,0,Расчет!BL300)</f>
        <v>0</v>
      </c>
      <c r="AR300" s="25">
        <f>IF(Расчет!BM300&lt;0,0,Расчет!BM300)</f>
        <v>0</v>
      </c>
      <c r="AS300" s="25">
        <f>IF(Расчет!BN300&lt;0,0,Расчет!BN300)</f>
        <v>0</v>
      </c>
      <c r="AT300" s="25">
        <f>Расчет!BY300</f>
        <v>0</v>
      </c>
      <c r="AU300" s="25">
        <f>Расчет!BZ300</f>
        <v>10</v>
      </c>
      <c r="AV300" s="25">
        <f>Расчет!CA300</f>
        <v>0</v>
      </c>
      <c r="AW300" s="25" t="str">
        <f>Расчет!CH300</f>
        <v>Аммофос 12:52:00</v>
      </c>
      <c r="AX300" s="25">
        <f>Расчет!DB300</f>
        <v>0</v>
      </c>
      <c r="AY300" s="25">
        <f>Расчет!DC300</f>
        <v>0</v>
      </c>
      <c r="AZ300" s="25">
        <f>Расчет!DG300</f>
        <v>0</v>
      </c>
      <c r="BA300" s="25">
        <f>Расчет!DH300</f>
        <v>0</v>
      </c>
      <c r="BB300" s="25">
        <f>Расчет!DI300</f>
        <v>0</v>
      </c>
      <c r="BC300" s="25" t="str">
        <f>Расчет!DR300</f>
        <v>Нет</v>
      </c>
      <c r="BD300" s="25">
        <f>Расчет!EB300</f>
        <v>0</v>
      </c>
      <c r="BE300" s="25">
        <f>Расчет!EF300</f>
        <v>0</v>
      </c>
      <c r="BF300" s="25" t="e">
        <f>Расчет!EI300</f>
        <v>#DIV/0!</v>
      </c>
      <c r="BG300" s="25" t="e">
        <f>Расчет!FA300</f>
        <v>#N/A</v>
      </c>
      <c r="BI300">
        <f>IF(Исходн.данные.!AH300=Исходн.данные.!$AC$4,0.6,1)</f>
        <v>1</v>
      </c>
      <c r="BJ300">
        <f>IF(Исходн.данные.!AH300=Исходн.данные.!$AC$4,0.8,IF(OR(Потребность!F300=Расчет2!$BI$10,Потребность!F300=Расчет2!$BI$7,Потребность!F300=Расчет2!$BK$14,Исходн.данные.!AI300=Исходн.данные.!$AI$11),1.3,1))</f>
        <v>1.3</v>
      </c>
      <c r="BK300">
        <f>IF(OR(Исходн.данные.!AH300=Исходн.данные.!$AD$7,Исходн.данные.!AH300=Исходн.данные.!$AD$8),0.75,1)</f>
        <v>1</v>
      </c>
    </row>
    <row r="301" spans="32:63" x14ac:dyDescent="0.2">
      <c r="AF301">
        <f>SUM(Исходн.данные.!AD301:AF301)</f>
        <v>0</v>
      </c>
      <c r="AG301" s="60">
        <f>SUM(Расчет!CI301:CK301)</f>
        <v>0.64</v>
      </c>
      <c r="AH301" s="60">
        <f>SUM(Расчет!DS301:DU301)</f>
        <v>0</v>
      </c>
      <c r="AI301" t="e">
        <f t="shared" si="8"/>
        <v>#N/A</v>
      </c>
      <c r="AJ301" t="e">
        <f t="shared" si="9"/>
        <v>#N/A</v>
      </c>
      <c r="AL301">
        <f>Потребность!G301*Потребность!H301</f>
        <v>0</v>
      </c>
      <c r="AM301" s="11" t="e">
        <f>Исходн.данные.!$AJ301*Расчет2!AO301</f>
        <v>#VALUE!</v>
      </c>
      <c r="AN301" s="11">
        <f>Исходн.данные.!$AJ301*Расчет2!AP301</f>
        <v>0</v>
      </c>
      <c r="AO301" s="25" t="str">
        <f>IF(Расчет!BF301=0,"X",Расчет!BF301)</f>
        <v>X</v>
      </c>
      <c r="AP301" s="25">
        <f>Расчет!BG301</f>
        <v>0</v>
      </c>
      <c r="AQ301" s="9">
        <f>IF(Расчет!BL301&lt;0,0,Расчет!BL301)</f>
        <v>0</v>
      </c>
      <c r="AR301" s="25">
        <f>IF(Расчет!BM301&lt;0,0,Расчет!BM301)</f>
        <v>0</v>
      </c>
      <c r="AS301" s="25">
        <f>IF(Расчет!BN301&lt;0,0,Расчет!BN301)</f>
        <v>0</v>
      </c>
      <c r="AT301" s="25">
        <f>Расчет!BY301</f>
        <v>0</v>
      </c>
      <c r="AU301" s="25">
        <f>Расчет!BZ301</f>
        <v>10</v>
      </c>
      <c r="AV301" s="25">
        <f>Расчет!CA301</f>
        <v>0</v>
      </c>
      <c r="AW301" s="25" t="str">
        <f>Расчет!CH301</f>
        <v>Аммофос 12:52:00</v>
      </c>
      <c r="AX301" s="25">
        <f>Расчет!DB301</f>
        <v>0</v>
      </c>
      <c r="AY301" s="25">
        <f>Расчет!DC301</f>
        <v>0</v>
      </c>
      <c r="AZ301" s="25">
        <f>Расчет!DG301</f>
        <v>0</v>
      </c>
      <c r="BA301" s="25">
        <f>Расчет!DH301</f>
        <v>0</v>
      </c>
      <c r="BB301" s="25">
        <f>Расчет!DI301</f>
        <v>0</v>
      </c>
      <c r="BC301" s="25" t="str">
        <f>Расчет!DR301</f>
        <v>Нет</v>
      </c>
      <c r="BD301" s="25">
        <f>Расчет!EB301</f>
        <v>0</v>
      </c>
      <c r="BE301" s="25">
        <f>Расчет!EF301</f>
        <v>0</v>
      </c>
      <c r="BF301" s="25" t="e">
        <f>Расчет!EI301</f>
        <v>#DIV/0!</v>
      </c>
      <c r="BG301" s="25" t="e">
        <f>Расчет!FA301</f>
        <v>#N/A</v>
      </c>
      <c r="BI301">
        <f>IF(Исходн.данные.!AH301=Исходн.данные.!$AC$4,0.6,1)</f>
        <v>1</v>
      </c>
      <c r="BJ301">
        <f>IF(Исходн.данные.!AH301=Исходн.данные.!$AC$4,0.8,IF(OR(Потребность!F301=Расчет2!$BI$10,Потребность!F301=Расчет2!$BI$7,Потребность!F301=Расчет2!$BK$14,Исходн.данные.!AI301=Исходн.данные.!$AI$11),1.3,1))</f>
        <v>1.3</v>
      </c>
      <c r="BK301">
        <f>IF(OR(Исходн.данные.!AH301=Исходн.данные.!$AD$7,Исходн.данные.!AH301=Исходн.данные.!$AD$8),0.75,1)</f>
        <v>1</v>
      </c>
    </row>
    <row r="302" spans="32:63" x14ac:dyDescent="0.2">
      <c r="AF302">
        <f>SUM(Исходн.данные.!AD302:AF302)</f>
        <v>0</v>
      </c>
      <c r="AG302" s="60">
        <f>SUM(Расчет!CI302:CK302)</f>
        <v>0.64</v>
      </c>
      <c r="AH302" s="60">
        <f>SUM(Расчет!DS302:DU302)</f>
        <v>0</v>
      </c>
      <c r="AI302" t="e">
        <f t="shared" si="8"/>
        <v>#N/A</v>
      </c>
      <c r="AJ302" t="e">
        <f t="shared" si="9"/>
        <v>#N/A</v>
      </c>
      <c r="AL302">
        <f>Потребность!G302*Потребность!H302</f>
        <v>0</v>
      </c>
      <c r="AM302" s="11" t="e">
        <f>Исходн.данные.!$AJ302*Расчет2!AO302</f>
        <v>#VALUE!</v>
      </c>
      <c r="AN302" s="11">
        <f>Исходн.данные.!$AJ302*Расчет2!AP302</f>
        <v>0</v>
      </c>
      <c r="AO302" s="25" t="str">
        <f>IF(Расчет!BF302=0,"X",Расчет!BF302)</f>
        <v>X</v>
      </c>
      <c r="AP302" s="25">
        <f>Расчет!BG302</f>
        <v>0</v>
      </c>
      <c r="AQ302" s="9">
        <f>IF(Расчет!BL302&lt;0,0,Расчет!BL302)</f>
        <v>0</v>
      </c>
      <c r="AR302" s="25">
        <f>IF(Расчет!BM302&lt;0,0,Расчет!BM302)</f>
        <v>0</v>
      </c>
      <c r="AS302" s="25">
        <f>IF(Расчет!BN302&lt;0,0,Расчет!BN302)</f>
        <v>0</v>
      </c>
      <c r="AT302" s="25">
        <f>Расчет!BY302</f>
        <v>0</v>
      </c>
      <c r="AU302" s="25">
        <f>Расчет!BZ302</f>
        <v>10</v>
      </c>
      <c r="AV302" s="25">
        <f>Расчет!CA302</f>
        <v>0</v>
      </c>
      <c r="AW302" s="25" t="str">
        <f>Расчет!CH302</f>
        <v>Аммофос 12:52:00</v>
      </c>
      <c r="AX302" s="25">
        <f>Расчет!DB302</f>
        <v>0</v>
      </c>
      <c r="AY302" s="25">
        <f>Расчет!DC302</f>
        <v>0</v>
      </c>
      <c r="AZ302" s="25">
        <f>Расчет!DG302</f>
        <v>0</v>
      </c>
      <c r="BA302" s="25">
        <f>Расчет!DH302</f>
        <v>0</v>
      </c>
      <c r="BB302" s="25">
        <f>Расчет!DI302</f>
        <v>0</v>
      </c>
      <c r="BC302" s="25" t="str">
        <f>Расчет!DR302</f>
        <v>Нет</v>
      </c>
      <c r="BD302" s="25">
        <f>Расчет!EB302</f>
        <v>0</v>
      </c>
      <c r="BE302" s="25">
        <f>Расчет!EF302</f>
        <v>0</v>
      </c>
      <c r="BF302" s="25" t="e">
        <f>Расчет!EI302</f>
        <v>#DIV/0!</v>
      </c>
      <c r="BG302" s="25" t="e">
        <f>Расчет!FA302</f>
        <v>#N/A</v>
      </c>
      <c r="BI302">
        <f>IF(Исходн.данные.!AH302=Исходн.данные.!$AC$4,0.6,1)</f>
        <v>1</v>
      </c>
      <c r="BJ302">
        <f>IF(Исходн.данные.!AH302=Исходн.данные.!$AC$4,0.8,IF(OR(Потребность!F302=Расчет2!$BI$10,Потребность!F302=Расчет2!$BI$7,Потребность!F302=Расчет2!$BK$14,Исходн.данные.!AI302=Исходн.данные.!$AI$11),1.3,1))</f>
        <v>1.3</v>
      </c>
      <c r="BK302">
        <f>IF(OR(Исходн.данные.!AH302=Исходн.данные.!$AD$7,Исходн.данные.!AH302=Исходн.данные.!$AD$8),0.75,1)</f>
        <v>1</v>
      </c>
    </row>
    <row r="303" spans="32:63" x14ac:dyDescent="0.2">
      <c r="AF303">
        <f>SUM(Исходн.данные.!AD303:AF303)</f>
        <v>0</v>
      </c>
      <c r="AG303" s="60">
        <f>SUM(Расчет!CI303:CK303)</f>
        <v>0.64</v>
      </c>
      <c r="AH303" s="60">
        <f>SUM(Расчет!DS303:DU303)</f>
        <v>0</v>
      </c>
      <c r="AI303" t="e">
        <f t="shared" si="8"/>
        <v>#N/A</v>
      </c>
      <c r="AJ303" t="e">
        <f t="shared" si="9"/>
        <v>#N/A</v>
      </c>
      <c r="AL303">
        <f>Потребность!G303*Потребность!H303</f>
        <v>0</v>
      </c>
      <c r="AM303" s="11" t="e">
        <f>Исходн.данные.!$AJ303*Расчет2!AO303</f>
        <v>#VALUE!</v>
      </c>
      <c r="AN303" s="11">
        <f>Исходн.данные.!$AJ303*Расчет2!AP303</f>
        <v>0</v>
      </c>
      <c r="AO303" s="25" t="str">
        <f>IF(Расчет!BF303=0,"X",Расчет!BF303)</f>
        <v>X</v>
      </c>
      <c r="AP303" s="25">
        <f>Расчет!BG303</f>
        <v>0</v>
      </c>
      <c r="AQ303" s="9">
        <f>IF(Расчет!BL303&lt;0,0,Расчет!BL303)</f>
        <v>0</v>
      </c>
      <c r="AR303" s="25">
        <f>IF(Расчет!BM303&lt;0,0,Расчет!BM303)</f>
        <v>0</v>
      </c>
      <c r="AS303" s="25">
        <f>IF(Расчет!BN303&lt;0,0,Расчет!BN303)</f>
        <v>0</v>
      </c>
      <c r="AT303" s="25">
        <f>Расчет!BY303</f>
        <v>0</v>
      </c>
      <c r="AU303" s="25">
        <f>Расчет!BZ303</f>
        <v>10</v>
      </c>
      <c r="AV303" s="25">
        <f>Расчет!CA303</f>
        <v>0</v>
      </c>
      <c r="AW303" s="25" t="str">
        <f>Расчет!CH303</f>
        <v>Аммофос 12:52:00</v>
      </c>
      <c r="AX303" s="25">
        <f>Расчет!DB303</f>
        <v>0</v>
      </c>
      <c r="AY303" s="25">
        <f>Расчет!DC303</f>
        <v>0</v>
      </c>
      <c r="AZ303" s="25">
        <f>Расчет!DG303</f>
        <v>0</v>
      </c>
      <c r="BA303" s="25">
        <f>Расчет!DH303</f>
        <v>0</v>
      </c>
      <c r="BB303" s="25">
        <f>Расчет!DI303</f>
        <v>0</v>
      </c>
      <c r="BC303" s="25" t="str">
        <f>Расчет!DR303</f>
        <v>Нет</v>
      </c>
      <c r="BD303" s="25">
        <f>Расчет!EB303</f>
        <v>0</v>
      </c>
      <c r="BE303" s="25">
        <f>Расчет!EF303</f>
        <v>0</v>
      </c>
      <c r="BF303" s="25" t="e">
        <f>Расчет!EI303</f>
        <v>#DIV/0!</v>
      </c>
      <c r="BG303" s="25" t="e">
        <f>Расчет!FA303</f>
        <v>#N/A</v>
      </c>
      <c r="BI303">
        <f>IF(Исходн.данные.!AH303=Исходн.данные.!$AC$4,0.6,1)</f>
        <v>1</v>
      </c>
      <c r="BJ303">
        <f>IF(Исходн.данные.!AH303=Исходн.данные.!$AC$4,0.8,IF(OR(Потребность!F303=Расчет2!$BI$10,Потребность!F303=Расчет2!$BI$7,Потребность!F303=Расчет2!$BK$14,Исходн.данные.!AI303=Исходн.данные.!$AI$11),1.3,1))</f>
        <v>1.3</v>
      </c>
      <c r="BK303">
        <f>IF(OR(Исходн.данные.!AH303=Исходн.данные.!$AD$7,Исходн.данные.!AH303=Исходн.данные.!$AD$8),0.75,1)</f>
        <v>1</v>
      </c>
    </row>
    <row r="304" spans="32:63" x14ac:dyDescent="0.2">
      <c r="AF304">
        <f>SUM(Исходн.данные.!AD304:AF304)</f>
        <v>0</v>
      </c>
      <c r="AG304" s="60">
        <f>SUM(Расчет!CI304:CK304)</f>
        <v>0.64</v>
      </c>
      <c r="AH304" s="60">
        <f>SUM(Расчет!DS304:DU304)</f>
        <v>0</v>
      </c>
      <c r="AI304" t="e">
        <f t="shared" si="8"/>
        <v>#N/A</v>
      </c>
      <c r="AJ304" t="e">
        <f t="shared" si="9"/>
        <v>#N/A</v>
      </c>
      <c r="AL304">
        <f>Потребность!G304*Потребность!H304</f>
        <v>0</v>
      </c>
      <c r="AM304" s="11" t="e">
        <f>Исходн.данные.!$AJ304*Расчет2!AO304</f>
        <v>#VALUE!</v>
      </c>
      <c r="AN304" s="11">
        <f>Исходн.данные.!$AJ304*Расчет2!AP304</f>
        <v>0</v>
      </c>
      <c r="AO304" s="25" t="str">
        <f>IF(Расчет!BF304=0,"X",Расчет!BF304)</f>
        <v>X</v>
      </c>
      <c r="AP304" s="25">
        <f>Расчет!BG304</f>
        <v>0</v>
      </c>
      <c r="AQ304" s="9">
        <f>IF(Расчет!BL304&lt;0,0,Расчет!BL304)</f>
        <v>0</v>
      </c>
      <c r="AR304" s="25">
        <f>IF(Расчет!BM304&lt;0,0,Расчет!BM304)</f>
        <v>0</v>
      </c>
      <c r="AS304" s="25">
        <f>IF(Расчет!BN304&lt;0,0,Расчет!BN304)</f>
        <v>0</v>
      </c>
      <c r="AT304" s="25">
        <f>Расчет!BY304</f>
        <v>0</v>
      </c>
      <c r="AU304" s="25">
        <f>Расчет!BZ304</f>
        <v>10</v>
      </c>
      <c r="AV304" s="25">
        <f>Расчет!CA304</f>
        <v>0</v>
      </c>
      <c r="AW304" s="25" t="str">
        <f>Расчет!CH304</f>
        <v>Аммофос 12:52:00</v>
      </c>
      <c r="AX304" s="25">
        <f>Расчет!DB304</f>
        <v>0</v>
      </c>
      <c r="AY304" s="25">
        <f>Расчет!DC304</f>
        <v>0</v>
      </c>
      <c r="AZ304" s="25">
        <f>Расчет!DG304</f>
        <v>0</v>
      </c>
      <c r="BA304" s="25">
        <f>Расчет!DH304</f>
        <v>0</v>
      </c>
      <c r="BB304" s="25">
        <f>Расчет!DI304</f>
        <v>0</v>
      </c>
      <c r="BC304" s="25" t="str">
        <f>Расчет!DR304</f>
        <v>Нет</v>
      </c>
      <c r="BD304" s="25">
        <f>Расчет!EB304</f>
        <v>0</v>
      </c>
      <c r="BE304" s="25">
        <f>Расчет!EF304</f>
        <v>0</v>
      </c>
      <c r="BF304" s="25" t="e">
        <f>Расчет!EI304</f>
        <v>#DIV/0!</v>
      </c>
      <c r="BG304" s="25" t="e">
        <f>Расчет!FA304</f>
        <v>#N/A</v>
      </c>
      <c r="BI304">
        <f>IF(Исходн.данные.!AH304=Исходн.данные.!$AC$4,0.6,1)</f>
        <v>1</v>
      </c>
      <c r="BJ304">
        <f>IF(Исходн.данные.!AH304=Исходн.данные.!$AC$4,0.8,IF(OR(Потребность!F304=Расчет2!$BI$10,Потребность!F304=Расчет2!$BI$7,Потребность!F304=Расчет2!$BK$14,Исходн.данные.!AI304=Исходн.данные.!$AI$11),1.3,1))</f>
        <v>1.3</v>
      </c>
      <c r="BK304">
        <f>IF(OR(Исходн.данные.!AH304=Исходн.данные.!$AD$7,Исходн.данные.!AH304=Исходн.данные.!$AD$8),0.75,1)</f>
        <v>1</v>
      </c>
    </row>
    <row r="305" spans="32:63" x14ac:dyDescent="0.2">
      <c r="AF305">
        <f>SUM(Исходн.данные.!AD305:AF305)</f>
        <v>0</v>
      </c>
      <c r="AG305" s="60">
        <f>SUM(Расчет!CI305:CK305)</f>
        <v>0.64</v>
      </c>
      <c r="AH305" s="60">
        <f>SUM(Расчет!DS305:DU305)</f>
        <v>0</v>
      </c>
      <c r="AI305" t="e">
        <f t="shared" si="8"/>
        <v>#N/A</v>
      </c>
      <c r="AJ305" t="e">
        <f t="shared" si="9"/>
        <v>#N/A</v>
      </c>
      <c r="AL305">
        <f>Потребность!G305*Потребность!H305</f>
        <v>0</v>
      </c>
      <c r="AM305" s="11" t="e">
        <f>Исходн.данные.!$AJ305*Расчет2!AO305</f>
        <v>#VALUE!</v>
      </c>
      <c r="AN305" s="11">
        <f>Исходн.данные.!$AJ305*Расчет2!AP305</f>
        <v>0</v>
      </c>
      <c r="AO305" s="25" t="str">
        <f>IF(Расчет!BF305=0,"X",Расчет!BF305)</f>
        <v>X</v>
      </c>
      <c r="AP305" s="25">
        <f>Расчет!BG305</f>
        <v>0</v>
      </c>
      <c r="AQ305" s="9">
        <f>IF(Расчет!BL305&lt;0,0,Расчет!BL305)</f>
        <v>0</v>
      </c>
      <c r="AR305" s="25">
        <f>IF(Расчет!BM305&lt;0,0,Расчет!BM305)</f>
        <v>0</v>
      </c>
      <c r="AS305" s="25">
        <f>IF(Расчет!BN305&lt;0,0,Расчет!BN305)</f>
        <v>0</v>
      </c>
      <c r="AT305" s="25">
        <f>Расчет!BY305</f>
        <v>0</v>
      </c>
      <c r="AU305" s="25">
        <f>Расчет!BZ305</f>
        <v>10</v>
      </c>
      <c r="AV305" s="25">
        <f>Расчет!CA305</f>
        <v>0</v>
      </c>
      <c r="AW305" s="25" t="str">
        <f>Расчет!CH305</f>
        <v>Аммофос 12:52:00</v>
      </c>
      <c r="AX305" s="25">
        <f>Расчет!DB305</f>
        <v>0</v>
      </c>
      <c r="AY305" s="25">
        <f>Расчет!DC305</f>
        <v>0</v>
      </c>
      <c r="AZ305" s="25">
        <f>Расчет!DG305</f>
        <v>0</v>
      </c>
      <c r="BA305" s="25">
        <f>Расчет!DH305</f>
        <v>0</v>
      </c>
      <c r="BB305" s="25">
        <f>Расчет!DI305</f>
        <v>0</v>
      </c>
      <c r="BC305" s="25" t="str">
        <f>Расчет!DR305</f>
        <v>Нет</v>
      </c>
      <c r="BD305" s="25">
        <f>Расчет!EB305</f>
        <v>0</v>
      </c>
      <c r="BE305" s="25">
        <f>Расчет!EF305</f>
        <v>0</v>
      </c>
      <c r="BF305" s="25" t="e">
        <f>Расчет!EI305</f>
        <v>#DIV/0!</v>
      </c>
      <c r="BG305" s="25" t="e">
        <f>Расчет!FA305</f>
        <v>#N/A</v>
      </c>
      <c r="BI305">
        <f>IF(Исходн.данные.!AH305=Исходн.данные.!$AC$4,0.6,1)</f>
        <v>1</v>
      </c>
      <c r="BJ305">
        <f>IF(Исходн.данные.!AH305=Исходн.данные.!$AC$4,0.8,IF(OR(Потребность!F305=Расчет2!$BI$10,Потребность!F305=Расчет2!$BI$7,Потребность!F305=Расчет2!$BK$14,Исходн.данные.!AI305=Исходн.данные.!$AI$11),1.3,1))</f>
        <v>1.3</v>
      </c>
      <c r="BK305">
        <f>IF(OR(Исходн.данные.!AH305=Исходн.данные.!$AD$7,Исходн.данные.!AH305=Исходн.данные.!$AD$8),0.75,1)</f>
        <v>1</v>
      </c>
    </row>
    <row r="306" spans="32:63" x14ac:dyDescent="0.2">
      <c r="AF306">
        <f>SUM(Исходн.данные.!AD306:AF306)</f>
        <v>0</v>
      </c>
      <c r="AG306" s="60">
        <f>SUM(Расчет!CI306:CK306)</f>
        <v>0.64</v>
      </c>
      <c r="AH306" s="60">
        <f>SUM(Расчет!DS306:DU306)</f>
        <v>0</v>
      </c>
      <c r="AI306" t="e">
        <f t="shared" si="8"/>
        <v>#N/A</v>
      </c>
      <c r="AJ306" t="e">
        <f t="shared" si="9"/>
        <v>#N/A</v>
      </c>
      <c r="AL306">
        <f>Потребность!G306*Потребность!H306</f>
        <v>0</v>
      </c>
      <c r="AM306" s="11" t="e">
        <f>Исходн.данные.!$AJ306*Расчет2!AO306</f>
        <v>#VALUE!</v>
      </c>
      <c r="AN306" s="11">
        <f>Исходн.данные.!$AJ306*Расчет2!AP306</f>
        <v>0</v>
      </c>
      <c r="AO306" s="25" t="str">
        <f>IF(Расчет!BF306=0,"X",Расчет!BF306)</f>
        <v>X</v>
      </c>
      <c r="AP306" s="25">
        <f>Расчет!BG306</f>
        <v>0</v>
      </c>
      <c r="AQ306" s="9">
        <f>IF(Расчет!BL306&lt;0,0,Расчет!BL306)</f>
        <v>0</v>
      </c>
      <c r="AR306" s="25">
        <f>IF(Расчет!BM306&lt;0,0,Расчет!BM306)</f>
        <v>0</v>
      </c>
      <c r="AS306" s="25">
        <f>IF(Расчет!BN306&lt;0,0,Расчет!BN306)</f>
        <v>0</v>
      </c>
      <c r="AT306" s="25">
        <f>Расчет!BY306</f>
        <v>0</v>
      </c>
      <c r="AU306" s="25">
        <f>Расчет!BZ306</f>
        <v>10</v>
      </c>
      <c r="AV306" s="25">
        <f>Расчет!CA306</f>
        <v>0</v>
      </c>
      <c r="AW306" s="25" t="str">
        <f>Расчет!CH306</f>
        <v>Аммофос 12:52:00</v>
      </c>
      <c r="AX306" s="25">
        <f>Расчет!DB306</f>
        <v>0</v>
      </c>
      <c r="AY306" s="25">
        <f>Расчет!DC306</f>
        <v>0</v>
      </c>
      <c r="AZ306" s="25">
        <f>Расчет!DG306</f>
        <v>0</v>
      </c>
      <c r="BA306" s="25">
        <f>Расчет!DH306</f>
        <v>0</v>
      </c>
      <c r="BB306" s="25">
        <f>Расчет!DI306</f>
        <v>0</v>
      </c>
      <c r="BC306" s="25" t="str">
        <f>Расчет!DR306</f>
        <v>Нет</v>
      </c>
      <c r="BD306" s="25">
        <f>Расчет!EB306</f>
        <v>0</v>
      </c>
      <c r="BE306" s="25">
        <f>Расчет!EF306</f>
        <v>0</v>
      </c>
      <c r="BF306" s="25" t="e">
        <f>Расчет!EI306</f>
        <v>#DIV/0!</v>
      </c>
      <c r="BG306" s="25" t="e">
        <f>Расчет!FA306</f>
        <v>#N/A</v>
      </c>
      <c r="BI306">
        <f>IF(Исходн.данные.!AH306=Исходн.данные.!$AC$4,0.6,1)</f>
        <v>1</v>
      </c>
      <c r="BJ306">
        <f>IF(Исходн.данные.!AH306=Исходн.данные.!$AC$4,0.8,IF(OR(Потребность!F306=Расчет2!$BI$10,Потребность!F306=Расчет2!$BI$7,Потребность!F306=Расчет2!$BK$14,Исходн.данные.!AI306=Исходн.данные.!$AI$11),1.3,1))</f>
        <v>1.3</v>
      </c>
      <c r="BK306">
        <f>IF(OR(Исходн.данные.!AH306=Исходн.данные.!$AD$7,Исходн.данные.!AH306=Исходн.данные.!$AD$8),0.75,1)</f>
        <v>1</v>
      </c>
    </row>
    <row r="307" spans="32:63" x14ac:dyDescent="0.2">
      <c r="AF307">
        <f>SUM(Исходн.данные.!AD307:AF307)</f>
        <v>0</v>
      </c>
      <c r="AG307" s="60">
        <f>SUM(Расчет!CI307:CK307)</f>
        <v>0.64</v>
      </c>
      <c r="AH307" s="60">
        <f>SUM(Расчет!DS307:DU307)</f>
        <v>0</v>
      </c>
      <c r="AI307" t="e">
        <f t="shared" si="8"/>
        <v>#N/A</v>
      </c>
      <c r="AJ307" t="e">
        <f t="shared" si="9"/>
        <v>#N/A</v>
      </c>
      <c r="AL307">
        <f>Потребность!G307*Потребность!H307</f>
        <v>0</v>
      </c>
      <c r="AM307" s="11" t="e">
        <f>Исходн.данные.!$AJ307*Расчет2!AO307</f>
        <v>#VALUE!</v>
      </c>
      <c r="AN307" s="11">
        <f>Исходн.данные.!$AJ307*Расчет2!AP307</f>
        <v>0</v>
      </c>
      <c r="AO307" s="25" t="str">
        <f>IF(Расчет!BF307=0,"X",Расчет!BF307)</f>
        <v>X</v>
      </c>
      <c r="AP307" s="25">
        <f>Расчет!BG307</f>
        <v>0</v>
      </c>
      <c r="AQ307" s="9">
        <f>IF(Расчет!BL307&lt;0,0,Расчет!BL307)</f>
        <v>0</v>
      </c>
      <c r="AR307" s="25">
        <f>IF(Расчет!BM307&lt;0,0,Расчет!BM307)</f>
        <v>0</v>
      </c>
      <c r="AS307" s="25">
        <f>IF(Расчет!BN307&lt;0,0,Расчет!BN307)</f>
        <v>0</v>
      </c>
      <c r="AT307" s="25">
        <f>Расчет!BY307</f>
        <v>0</v>
      </c>
      <c r="AU307" s="25">
        <f>Расчет!BZ307</f>
        <v>10</v>
      </c>
      <c r="AV307" s="25">
        <f>Расчет!CA307</f>
        <v>0</v>
      </c>
      <c r="AW307" s="25" t="str">
        <f>Расчет!CH307</f>
        <v>Аммофос 12:52:00</v>
      </c>
      <c r="AX307" s="25">
        <f>Расчет!DB307</f>
        <v>0</v>
      </c>
      <c r="AY307" s="25">
        <f>Расчет!DC307</f>
        <v>0</v>
      </c>
      <c r="AZ307" s="25">
        <f>Расчет!DG307</f>
        <v>0</v>
      </c>
      <c r="BA307" s="25">
        <f>Расчет!DH307</f>
        <v>0</v>
      </c>
      <c r="BB307" s="25">
        <f>Расчет!DI307</f>
        <v>0</v>
      </c>
      <c r="BC307" s="25" t="str">
        <f>Расчет!DR307</f>
        <v>Нет</v>
      </c>
      <c r="BD307" s="25">
        <f>Расчет!EB307</f>
        <v>0</v>
      </c>
      <c r="BE307" s="25">
        <f>Расчет!EF307</f>
        <v>0</v>
      </c>
      <c r="BF307" s="25" t="e">
        <f>Расчет!EI307</f>
        <v>#DIV/0!</v>
      </c>
      <c r="BG307" s="25" t="e">
        <f>Расчет!FA307</f>
        <v>#N/A</v>
      </c>
      <c r="BI307">
        <f>IF(Исходн.данные.!AH307=Исходн.данные.!$AC$4,0.6,1)</f>
        <v>1</v>
      </c>
      <c r="BJ307">
        <f>IF(Исходн.данные.!AH307=Исходн.данные.!$AC$4,0.8,IF(OR(Потребность!F307=Расчет2!$BI$10,Потребность!F307=Расчет2!$BI$7,Потребность!F307=Расчет2!$BK$14,Исходн.данные.!AI307=Исходн.данные.!$AI$11),1.3,1))</f>
        <v>1.3</v>
      </c>
      <c r="BK307">
        <f>IF(OR(Исходн.данные.!AH307=Исходн.данные.!$AD$7,Исходн.данные.!AH307=Исходн.данные.!$AD$8),0.75,1)</f>
        <v>1</v>
      </c>
    </row>
    <row r="308" spans="32:63" x14ac:dyDescent="0.2">
      <c r="AF308">
        <f>SUM(Исходн.данные.!AD308:AF308)</f>
        <v>0</v>
      </c>
      <c r="AG308" s="60">
        <f>SUM(Расчет!CI308:CK308)</f>
        <v>0.64</v>
      </c>
      <c r="AH308" s="60">
        <f>SUM(Расчет!DS308:DU308)</f>
        <v>0</v>
      </c>
      <c r="AI308" t="e">
        <f t="shared" si="8"/>
        <v>#N/A</v>
      </c>
      <c r="AJ308" t="e">
        <f t="shared" si="9"/>
        <v>#N/A</v>
      </c>
      <c r="AL308">
        <f>Потребность!G308*Потребность!H308</f>
        <v>0</v>
      </c>
      <c r="AM308" s="11" t="e">
        <f>Исходн.данные.!$AJ308*Расчет2!AO308</f>
        <v>#VALUE!</v>
      </c>
      <c r="AN308" s="11">
        <f>Исходн.данные.!$AJ308*Расчет2!AP308</f>
        <v>0</v>
      </c>
      <c r="AO308" s="25" t="str">
        <f>IF(Расчет!BF308=0,"X",Расчет!BF308)</f>
        <v>X</v>
      </c>
      <c r="AP308" s="25">
        <f>Расчет!BG308</f>
        <v>0</v>
      </c>
      <c r="AQ308" s="9">
        <f>IF(Расчет!BL308&lt;0,0,Расчет!BL308)</f>
        <v>0</v>
      </c>
      <c r="AR308" s="25">
        <f>IF(Расчет!BM308&lt;0,0,Расчет!BM308)</f>
        <v>0</v>
      </c>
      <c r="AS308" s="25">
        <f>IF(Расчет!BN308&lt;0,0,Расчет!BN308)</f>
        <v>0</v>
      </c>
      <c r="AT308" s="25">
        <f>Расчет!BY308</f>
        <v>0</v>
      </c>
      <c r="AU308" s="25">
        <f>Расчет!BZ308</f>
        <v>10</v>
      </c>
      <c r="AV308" s="25">
        <f>Расчет!CA308</f>
        <v>0</v>
      </c>
      <c r="AW308" s="25" t="str">
        <f>Расчет!CH308</f>
        <v>Аммофос 12:52:00</v>
      </c>
      <c r="AX308" s="25">
        <f>Расчет!DB308</f>
        <v>0</v>
      </c>
      <c r="AY308" s="25">
        <f>Расчет!DC308</f>
        <v>0</v>
      </c>
      <c r="AZ308" s="25">
        <f>Расчет!DG308</f>
        <v>0</v>
      </c>
      <c r="BA308" s="25">
        <f>Расчет!DH308</f>
        <v>0</v>
      </c>
      <c r="BB308" s="25">
        <f>Расчет!DI308</f>
        <v>0</v>
      </c>
      <c r="BC308" s="25" t="str">
        <f>Расчет!DR308</f>
        <v>Нет</v>
      </c>
      <c r="BD308" s="25">
        <f>Расчет!EB308</f>
        <v>0</v>
      </c>
      <c r="BE308" s="25">
        <f>Расчет!EF308</f>
        <v>0</v>
      </c>
      <c r="BF308" s="25" t="e">
        <f>Расчет!EI308</f>
        <v>#DIV/0!</v>
      </c>
      <c r="BG308" s="25" t="e">
        <f>Расчет!FA308</f>
        <v>#N/A</v>
      </c>
      <c r="BI308">
        <f>IF(Исходн.данные.!AH308=Исходн.данные.!$AC$4,0.6,1)</f>
        <v>1</v>
      </c>
      <c r="BJ308">
        <f>IF(Исходн.данные.!AH308=Исходн.данные.!$AC$4,0.8,IF(OR(Потребность!F308=Расчет2!$BI$10,Потребность!F308=Расчет2!$BI$7,Потребность!F308=Расчет2!$BK$14,Исходн.данные.!AI308=Исходн.данные.!$AI$11),1.3,1))</f>
        <v>1.3</v>
      </c>
      <c r="BK308">
        <f>IF(OR(Исходн.данные.!AH308=Исходн.данные.!$AD$7,Исходн.данные.!AH308=Исходн.данные.!$AD$8),0.75,1)</f>
        <v>1</v>
      </c>
    </row>
    <row r="309" spans="32:63" x14ac:dyDescent="0.2">
      <c r="AF309">
        <f>SUM(Исходн.данные.!AD309:AF309)</f>
        <v>0</v>
      </c>
      <c r="AG309" s="60">
        <f>SUM(Расчет!CI309:CK309)</f>
        <v>0.64</v>
      </c>
      <c r="AH309" s="60">
        <f>SUM(Расчет!DS309:DU309)</f>
        <v>0</v>
      </c>
      <c r="AI309" t="e">
        <f t="shared" si="8"/>
        <v>#N/A</v>
      </c>
      <c r="AJ309" t="e">
        <f t="shared" si="9"/>
        <v>#N/A</v>
      </c>
      <c r="AL309">
        <f>Потребность!G309*Потребность!H309</f>
        <v>0</v>
      </c>
      <c r="AM309" s="11" t="e">
        <f>Исходн.данные.!$AJ309*Расчет2!AO309</f>
        <v>#VALUE!</v>
      </c>
      <c r="AN309" s="11">
        <f>Исходн.данные.!$AJ309*Расчет2!AP309</f>
        <v>0</v>
      </c>
      <c r="AO309" s="25" t="str">
        <f>IF(Расчет!BF309=0,"X",Расчет!BF309)</f>
        <v>X</v>
      </c>
      <c r="AP309" s="25">
        <f>Расчет!BG309</f>
        <v>0</v>
      </c>
      <c r="AQ309" s="9">
        <f>IF(Расчет!BL309&lt;0,0,Расчет!BL309)</f>
        <v>0</v>
      </c>
      <c r="AR309" s="25">
        <f>IF(Расчет!BM309&lt;0,0,Расчет!BM309)</f>
        <v>0</v>
      </c>
      <c r="AS309" s="25">
        <f>IF(Расчет!BN309&lt;0,0,Расчет!BN309)</f>
        <v>0</v>
      </c>
      <c r="AT309" s="25">
        <f>Расчет!BY309</f>
        <v>0</v>
      </c>
      <c r="AU309" s="25">
        <f>Расчет!BZ309</f>
        <v>10</v>
      </c>
      <c r="AV309" s="25">
        <f>Расчет!CA309</f>
        <v>0</v>
      </c>
      <c r="AW309" s="25" t="str">
        <f>Расчет!CH309</f>
        <v>Аммофос 12:52:00</v>
      </c>
      <c r="AX309" s="25">
        <f>Расчет!DB309</f>
        <v>0</v>
      </c>
      <c r="AY309" s="25">
        <f>Расчет!DC309</f>
        <v>0</v>
      </c>
      <c r="AZ309" s="25">
        <f>Расчет!DG309</f>
        <v>0</v>
      </c>
      <c r="BA309" s="25">
        <f>Расчет!DH309</f>
        <v>0</v>
      </c>
      <c r="BB309" s="25">
        <f>Расчет!DI309</f>
        <v>0</v>
      </c>
      <c r="BC309" s="25" t="str">
        <f>Расчет!DR309</f>
        <v>Нет</v>
      </c>
      <c r="BD309" s="25">
        <f>Расчет!EB309</f>
        <v>0</v>
      </c>
      <c r="BE309" s="25">
        <f>Расчет!EF309</f>
        <v>0</v>
      </c>
      <c r="BF309" s="25" t="e">
        <f>Расчет!EI309</f>
        <v>#DIV/0!</v>
      </c>
      <c r="BG309" s="25" t="e">
        <f>Расчет!FA309</f>
        <v>#N/A</v>
      </c>
      <c r="BI309">
        <f>IF(Исходн.данные.!AH309=Исходн.данные.!$AC$4,0.6,1)</f>
        <v>1</v>
      </c>
      <c r="BJ309">
        <f>IF(Исходн.данные.!AH309=Исходн.данные.!$AC$4,0.8,IF(OR(Потребность!F309=Расчет2!$BI$10,Потребность!F309=Расчет2!$BI$7,Потребность!F309=Расчет2!$BK$14,Исходн.данные.!AI309=Исходн.данные.!$AI$11),1.3,1))</f>
        <v>1.3</v>
      </c>
      <c r="BK309">
        <f>IF(OR(Исходн.данные.!AH309=Исходн.данные.!$AD$7,Исходн.данные.!AH309=Исходн.данные.!$AD$8),0.75,1)</f>
        <v>1</v>
      </c>
    </row>
    <row r="310" spans="32:63" x14ac:dyDescent="0.2">
      <c r="AF310">
        <f>SUM(Исходн.данные.!AD310:AF310)</f>
        <v>0</v>
      </c>
      <c r="AG310" s="60">
        <f>SUM(Расчет!CI310:CK310)</f>
        <v>0.64</v>
      </c>
      <c r="AH310" s="60">
        <f>SUM(Расчет!DS310:DU310)</f>
        <v>0</v>
      </c>
      <c r="AI310" t="e">
        <f t="shared" si="8"/>
        <v>#N/A</v>
      </c>
      <c r="AJ310" t="e">
        <f t="shared" si="9"/>
        <v>#N/A</v>
      </c>
      <c r="AL310">
        <f>Потребность!G310*Потребность!H310</f>
        <v>0</v>
      </c>
      <c r="AM310" s="11" t="e">
        <f>Исходн.данные.!$AJ310*Расчет2!AO310</f>
        <v>#VALUE!</v>
      </c>
      <c r="AN310" s="11">
        <f>Исходн.данные.!$AJ310*Расчет2!AP310</f>
        <v>0</v>
      </c>
      <c r="AO310" s="25" t="str">
        <f>IF(Расчет!BF310=0,"X",Расчет!BF310)</f>
        <v>X</v>
      </c>
      <c r="AP310" s="25">
        <f>Расчет!BG310</f>
        <v>0</v>
      </c>
      <c r="AQ310" s="9">
        <f>IF(Расчет!BL310&lt;0,0,Расчет!BL310)</f>
        <v>0</v>
      </c>
      <c r="AR310" s="25">
        <f>IF(Расчет!BM310&lt;0,0,Расчет!BM310)</f>
        <v>0</v>
      </c>
      <c r="AS310" s="25">
        <f>IF(Расчет!BN310&lt;0,0,Расчет!BN310)</f>
        <v>0</v>
      </c>
      <c r="AT310" s="25">
        <f>Расчет!BY310</f>
        <v>0</v>
      </c>
      <c r="AU310" s="25">
        <f>Расчет!BZ310</f>
        <v>10</v>
      </c>
      <c r="AV310" s="25">
        <f>Расчет!CA310</f>
        <v>0</v>
      </c>
      <c r="AW310" s="25" t="str">
        <f>Расчет!CH310</f>
        <v>Аммофос 12:52:00</v>
      </c>
      <c r="AX310" s="25">
        <f>Расчет!DB310</f>
        <v>0</v>
      </c>
      <c r="AY310" s="25">
        <f>Расчет!DC310</f>
        <v>0</v>
      </c>
      <c r="AZ310" s="25">
        <f>Расчет!DG310</f>
        <v>0</v>
      </c>
      <c r="BA310" s="25">
        <f>Расчет!DH310</f>
        <v>0</v>
      </c>
      <c r="BB310" s="25">
        <f>Расчет!DI310</f>
        <v>0</v>
      </c>
      <c r="BC310" s="25" t="str">
        <f>Расчет!DR310</f>
        <v>Нет</v>
      </c>
      <c r="BD310" s="25">
        <f>Расчет!EB310</f>
        <v>0</v>
      </c>
      <c r="BE310" s="25">
        <f>Расчет!EF310</f>
        <v>0</v>
      </c>
      <c r="BF310" s="25" t="e">
        <f>Расчет!EI310</f>
        <v>#DIV/0!</v>
      </c>
      <c r="BG310" s="25" t="e">
        <f>Расчет!FA310</f>
        <v>#N/A</v>
      </c>
      <c r="BI310">
        <f>IF(Исходн.данные.!AH310=Исходн.данные.!$AC$4,0.6,1)</f>
        <v>1</v>
      </c>
      <c r="BJ310">
        <f>IF(Исходн.данные.!AH310=Исходн.данные.!$AC$4,0.8,IF(OR(Потребность!F310=Расчет2!$BI$10,Потребность!F310=Расчет2!$BI$7,Потребность!F310=Расчет2!$BK$14,Исходн.данные.!AI310=Исходн.данные.!$AI$11),1.3,1))</f>
        <v>1.3</v>
      </c>
      <c r="BK310">
        <f>IF(OR(Исходн.данные.!AH310=Исходн.данные.!$AD$7,Исходн.данные.!AH310=Исходн.данные.!$AD$8),0.75,1)</f>
        <v>1</v>
      </c>
    </row>
    <row r="311" spans="32:63" x14ac:dyDescent="0.2">
      <c r="AF311">
        <f>SUM(Исходн.данные.!AD311:AF311)</f>
        <v>0</v>
      </c>
      <c r="AG311" s="60">
        <f>SUM(Расчет!CI311:CK311)</f>
        <v>0.64</v>
      </c>
      <c r="AH311" s="60">
        <f>SUM(Расчет!DS311:DU311)</f>
        <v>0</v>
      </c>
      <c r="AI311" t="e">
        <f t="shared" si="8"/>
        <v>#N/A</v>
      </c>
      <c r="AJ311" t="e">
        <f t="shared" si="9"/>
        <v>#N/A</v>
      </c>
      <c r="AL311">
        <f>Потребность!G311*Потребность!H311</f>
        <v>0</v>
      </c>
      <c r="AM311" s="11" t="e">
        <f>Исходн.данные.!$AJ311*Расчет2!AO311</f>
        <v>#VALUE!</v>
      </c>
      <c r="AN311" s="11">
        <f>Исходн.данные.!$AJ311*Расчет2!AP311</f>
        <v>0</v>
      </c>
      <c r="AO311" s="25" t="str">
        <f>IF(Расчет!BF311=0,"X",Расчет!BF311)</f>
        <v>X</v>
      </c>
      <c r="AP311" s="25">
        <f>Расчет!BG311</f>
        <v>0</v>
      </c>
      <c r="AQ311" s="9">
        <f>IF(Расчет!BL311&lt;0,0,Расчет!BL311)</f>
        <v>0</v>
      </c>
      <c r="AR311" s="25">
        <f>IF(Расчет!BM311&lt;0,0,Расчет!BM311)</f>
        <v>0</v>
      </c>
      <c r="AS311" s="25">
        <f>IF(Расчет!BN311&lt;0,0,Расчет!BN311)</f>
        <v>0</v>
      </c>
      <c r="AT311" s="25">
        <f>Расчет!BY311</f>
        <v>0</v>
      </c>
      <c r="AU311" s="25">
        <f>Расчет!BZ311</f>
        <v>10</v>
      </c>
      <c r="AV311" s="25">
        <f>Расчет!CA311</f>
        <v>0</v>
      </c>
      <c r="AW311" s="25" t="str">
        <f>Расчет!CH311</f>
        <v>Аммофос 12:52:00</v>
      </c>
      <c r="AX311" s="25">
        <f>Расчет!DB311</f>
        <v>0</v>
      </c>
      <c r="AY311" s="25">
        <f>Расчет!DC311</f>
        <v>0</v>
      </c>
      <c r="AZ311" s="25">
        <f>Расчет!DG311</f>
        <v>0</v>
      </c>
      <c r="BA311" s="25">
        <f>Расчет!DH311</f>
        <v>0</v>
      </c>
      <c r="BB311" s="25">
        <f>Расчет!DI311</f>
        <v>0</v>
      </c>
      <c r="BC311" s="25" t="str">
        <f>Расчет!DR311</f>
        <v>Нет</v>
      </c>
      <c r="BD311" s="25">
        <f>Расчет!EB311</f>
        <v>0</v>
      </c>
      <c r="BE311" s="25">
        <f>Расчет!EF311</f>
        <v>0</v>
      </c>
      <c r="BF311" s="25" t="e">
        <f>Расчет!EI311</f>
        <v>#DIV/0!</v>
      </c>
      <c r="BG311" s="25" t="e">
        <f>Расчет!FA311</f>
        <v>#N/A</v>
      </c>
      <c r="BI311">
        <f>IF(Исходн.данные.!AH311=Исходн.данные.!$AC$4,0.6,1)</f>
        <v>1</v>
      </c>
      <c r="BJ311">
        <f>IF(Исходн.данные.!AH311=Исходн.данные.!$AC$4,0.8,IF(OR(Потребность!F311=Расчет2!$BI$10,Потребность!F311=Расчет2!$BI$7,Потребность!F311=Расчет2!$BK$14,Исходн.данные.!AI311=Исходн.данные.!$AI$11),1.3,1))</f>
        <v>1.3</v>
      </c>
      <c r="BK311">
        <f>IF(OR(Исходн.данные.!AH311=Исходн.данные.!$AD$7,Исходн.данные.!AH311=Исходн.данные.!$AD$8),0.75,1)</f>
        <v>1</v>
      </c>
    </row>
    <row r="312" spans="32:63" x14ac:dyDescent="0.2">
      <c r="AF312">
        <f>SUM(Исходн.данные.!AD312:AF312)</f>
        <v>0</v>
      </c>
      <c r="AG312" s="60">
        <f>SUM(Расчет!CI312:CK312)</f>
        <v>0.64</v>
      </c>
      <c r="AH312" s="60">
        <f>SUM(Расчет!DS312:DU312)</f>
        <v>0</v>
      </c>
      <c r="AI312" t="e">
        <f t="shared" si="8"/>
        <v>#N/A</v>
      </c>
      <c r="AJ312" t="e">
        <f t="shared" si="9"/>
        <v>#N/A</v>
      </c>
      <c r="AL312">
        <f>Потребность!G312*Потребность!H312</f>
        <v>0</v>
      </c>
      <c r="AM312" s="11" t="e">
        <f>Исходн.данные.!$AJ312*Расчет2!AO312</f>
        <v>#VALUE!</v>
      </c>
      <c r="AN312" s="11">
        <f>Исходн.данные.!$AJ312*Расчет2!AP312</f>
        <v>0</v>
      </c>
      <c r="AO312" s="25" t="str">
        <f>IF(Расчет!BF312=0,"X",Расчет!BF312)</f>
        <v>X</v>
      </c>
      <c r="AP312" s="25">
        <f>Расчет!BG312</f>
        <v>0</v>
      </c>
      <c r="AQ312" s="9">
        <f>IF(Расчет!BL312&lt;0,0,Расчет!BL312)</f>
        <v>0</v>
      </c>
      <c r="AR312" s="25">
        <f>IF(Расчет!BM312&lt;0,0,Расчет!BM312)</f>
        <v>0</v>
      </c>
      <c r="AS312" s="25">
        <f>IF(Расчет!BN312&lt;0,0,Расчет!BN312)</f>
        <v>0</v>
      </c>
      <c r="AT312" s="25">
        <f>Расчет!BY312</f>
        <v>0</v>
      </c>
      <c r="AU312" s="25">
        <f>Расчет!BZ312</f>
        <v>10</v>
      </c>
      <c r="AV312" s="25">
        <f>Расчет!CA312</f>
        <v>0</v>
      </c>
      <c r="AW312" s="25" t="str">
        <f>Расчет!CH312</f>
        <v>Аммофос 12:52:00</v>
      </c>
      <c r="AX312" s="25">
        <f>Расчет!DB312</f>
        <v>0</v>
      </c>
      <c r="AY312" s="25">
        <f>Расчет!DC312</f>
        <v>0</v>
      </c>
      <c r="AZ312" s="25">
        <f>Расчет!DG312</f>
        <v>0</v>
      </c>
      <c r="BA312" s="25">
        <f>Расчет!DH312</f>
        <v>0</v>
      </c>
      <c r="BB312" s="25">
        <f>Расчет!DI312</f>
        <v>0</v>
      </c>
      <c r="BC312" s="25" t="str">
        <f>Расчет!DR312</f>
        <v>Нет</v>
      </c>
      <c r="BD312" s="25">
        <f>Расчет!EB312</f>
        <v>0</v>
      </c>
      <c r="BE312" s="25">
        <f>Расчет!EF312</f>
        <v>0</v>
      </c>
      <c r="BF312" s="25" t="e">
        <f>Расчет!EI312</f>
        <v>#DIV/0!</v>
      </c>
      <c r="BG312" s="25" t="e">
        <f>Расчет!FA312</f>
        <v>#N/A</v>
      </c>
      <c r="BI312">
        <f>IF(Исходн.данные.!AH312=Исходн.данные.!$AC$4,0.6,1)</f>
        <v>1</v>
      </c>
      <c r="BJ312">
        <f>IF(Исходн.данные.!AH312=Исходн.данные.!$AC$4,0.8,IF(OR(Потребность!F312=Расчет2!$BI$10,Потребность!F312=Расчет2!$BI$7,Потребность!F312=Расчет2!$BK$14,Исходн.данные.!AI312=Исходн.данные.!$AI$11),1.3,1))</f>
        <v>1.3</v>
      </c>
      <c r="BK312">
        <f>IF(OR(Исходн.данные.!AH312=Исходн.данные.!$AD$7,Исходн.данные.!AH312=Исходн.данные.!$AD$8),0.75,1)</f>
        <v>1</v>
      </c>
    </row>
    <row r="313" spans="32:63" x14ac:dyDescent="0.2">
      <c r="AF313">
        <f>SUM(Исходн.данные.!AD313:AF313)</f>
        <v>0</v>
      </c>
      <c r="AG313" s="60">
        <f>SUM(Расчет!CI313:CK313)</f>
        <v>0.64</v>
      </c>
      <c r="AH313" s="60">
        <f>SUM(Расчет!DS313:DU313)</f>
        <v>0</v>
      </c>
      <c r="AI313" t="e">
        <f t="shared" si="8"/>
        <v>#N/A</v>
      </c>
      <c r="AJ313" t="e">
        <f t="shared" si="9"/>
        <v>#N/A</v>
      </c>
      <c r="AL313">
        <f>Потребность!G313*Потребность!H313</f>
        <v>0</v>
      </c>
      <c r="AM313" s="11" t="e">
        <f>Исходн.данные.!$AJ313*Расчет2!AO313</f>
        <v>#VALUE!</v>
      </c>
      <c r="AN313" s="11">
        <f>Исходн.данные.!$AJ313*Расчет2!AP313</f>
        <v>0</v>
      </c>
      <c r="AO313" s="25" t="str">
        <f>IF(Расчет!BF313=0,"X",Расчет!BF313)</f>
        <v>X</v>
      </c>
      <c r="AP313" s="25">
        <f>Расчет!BG313</f>
        <v>0</v>
      </c>
      <c r="AQ313" s="9">
        <f>IF(Расчет!BL313&lt;0,0,Расчет!BL313)</f>
        <v>0</v>
      </c>
      <c r="AR313" s="25">
        <f>IF(Расчет!BM313&lt;0,0,Расчет!BM313)</f>
        <v>0</v>
      </c>
      <c r="AS313" s="25">
        <f>IF(Расчет!BN313&lt;0,0,Расчет!BN313)</f>
        <v>0</v>
      </c>
      <c r="AT313" s="25">
        <f>Расчет!BY313</f>
        <v>0</v>
      </c>
      <c r="AU313" s="25">
        <f>Расчет!BZ313</f>
        <v>10</v>
      </c>
      <c r="AV313" s="25">
        <f>Расчет!CA313</f>
        <v>0</v>
      </c>
      <c r="AW313" s="25" t="str">
        <f>Расчет!CH313</f>
        <v>Аммофос 12:52:00</v>
      </c>
      <c r="AX313" s="25">
        <f>Расчет!DB313</f>
        <v>0</v>
      </c>
      <c r="AY313" s="25">
        <f>Расчет!DC313</f>
        <v>0</v>
      </c>
      <c r="AZ313" s="25">
        <f>Расчет!DG313</f>
        <v>0</v>
      </c>
      <c r="BA313" s="25">
        <f>Расчет!DH313</f>
        <v>0</v>
      </c>
      <c r="BB313" s="25">
        <f>Расчет!DI313</f>
        <v>0</v>
      </c>
      <c r="BC313" s="25" t="str">
        <f>Расчет!DR313</f>
        <v>Нет</v>
      </c>
      <c r="BD313" s="25">
        <f>Расчет!EB313</f>
        <v>0</v>
      </c>
      <c r="BE313" s="25">
        <f>Расчет!EF313</f>
        <v>0</v>
      </c>
      <c r="BF313" s="25" t="e">
        <f>Расчет!EI313</f>
        <v>#DIV/0!</v>
      </c>
      <c r="BG313" s="25" t="e">
        <f>Расчет!FA313</f>
        <v>#N/A</v>
      </c>
      <c r="BI313">
        <f>IF(Исходн.данные.!AH313=Исходн.данные.!$AC$4,0.6,1)</f>
        <v>1</v>
      </c>
      <c r="BJ313">
        <f>IF(Исходн.данные.!AH313=Исходн.данные.!$AC$4,0.8,IF(OR(Потребность!F313=Расчет2!$BI$10,Потребность!F313=Расчет2!$BI$7,Потребность!F313=Расчет2!$BK$14,Исходн.данные.!AI313=Исходн.данные.!$AI$11),1.3,1))</f>
        <v>1.3</v>
      </c>
      <c r="BK313">
        <f>IF(OR(Исходн.данные.!AH313=Исходн.данные.!$AD$7,Исходн.данные.!AH313=Исходн.данные.!$AD$8),0.75,1)</f>
        <v>1</v>
      </c>
    </row>
    <row r="314" spans="32:63" x14ac:dyDescent="0.2">
      <c r="AF314">
        <f>SUM(Исходн.данные.!AD314:AF314)</f>
        <v>0</v>
      </c>
      <c r="AG314" s="60">
        <f>SUM(Расчет!CI314:CK314)</f>
        <v>0.64</v>
      </c>
      <c r="AH314" s="60">
        <f>SUM(Расчет!DS314:DU314)</f>
        <v>0</v>
      </c>
      <c r="AI314" t="e">
        <f t="shared" si="8"/>
        <v>#N/A</v>
      </c>
      <c r="AJ314" t="e">
        <f t="shared" si="9"/>
        <v>#N/A</v>
      </c>
      <c r="AL314">
        <f>Потребность!G314*Потребность!H314</f>
        <v>0</v>
      </c>
      <c r="AM314" s="11" t="e">
        <f>Исходн.данные.!$AJ314*Расчет2!AO314</f>
        <v>#VALUE!</v>
      </c>
      <c r="AN314" s="11">
        <f>Исходн.данные.!$AJ314*Расчет2!AP314</f>
        <v>0</v>
      </c>
      <c r="AO314" s="25" t="str">
        <f>IF(Расчет!BF314=0,"X",Расчет!BF314)</f>
        <v>X</v>
      </c>
      <c r="AP314" s="25">
        <f>Расчет!BG314</f>
        <v>0</v>
      </c>
      <c r="AQ314" s="9">
        <f>IF(Расчет!BL314&lt;0,0,Расчет!BL314)</f>
        <v>0</v>
      </c>
      <c r="AR314" s="25">
        <f>IF(Расчет!BM314&lt;0,0,Расчет!BM314)</f>
        <v>0</v>
      </c>
      <c r="AS314" s="25">
        <f>IF(Расчет!BN314&lt;0,0,Расчет!BN314)</f>
        <v>0</v>
      </c>
      <c r="AT314" s="25">
        <f>Расчет!BY314</f>
        <v>0</v>
      </c>
      <c r="AU314" s="25">
        <f>Расчет!BZ314</f>
        <v>10</v>
      </c>
      <c r="AV314" s="25">
        <f>Расчет!CA314</f>
        <v>0</v>
      </c>
      <c r="AW314" s="25" t="str">
        <f>Расчет!CH314</f>
        <v>Аммофос 12:52:00</v>
      </c>
      <c r="AX314" s="25">
        <f>Расчет!DB314</f>
        <v>0</v>
      </c>
      <c r="AY314" s="25">
        <f>Расчет!DC314</f>
        <v>0</v>
      </c>
      <c r="AZ314" s="25">
        <f>Расчет!DG314</f>
        <v>0</v>
      </c>
      <c r="BA314" s="25">
        <f>Расчет!DH314</f>
        <v>0</v>
      </c>
      <c r="BB314" s="25">
        <f>Расчет!DI314</f>
        <v>0</v>
      </c>
      <c r="BC314" s="25" t="str">
        <f>Расчет!DR314</f>
        <v>Нет</v>
      </c>
      <c r="BD314" s="25">
        <f>Расчет!EB314</f>
        <v>0</v>
      </c>
      <c r="BE314" s="25">
        <f>Расчет!EF314</f>
        <v>0</v>
      </c>
      <c r="BF314" s="25" t="e">
        <f>Расчет!EI314</f>
        <v>#DIV/0!</v>
      </c>
      <c r="BG314" s="25" t="e">
        <f>Расчет!FA314</f>
        <v>#N/A</v>
      </c>
      <c r="BI314">
        <f>IF(Исходн.данные.!AH314=Исходн.данные.!$AC$4,0.6,1)</f>
        <v>1</v>
      </c>
      <c r="BJ314">
        <f>IF(Исходн.данные.!AH314=Исходн.данные.!$AC$4,0.8,IF(OR(Потребность!F314=Расчет2!$BI$10,Потребность!F314=Расчет2!$BI$7,Потребность!F314=Расчет2!$BK$14,Исходн.данные.!AI314=Исходн.данные.!$AI$11),1.3,1))</f>
        <v>1.3</v>
      </c>
      <c r="BK314">
        <f>IF(OR(Исходн.данные.!AH314=Исходн.данные.!$AD$7,Исходн.данные.!AH314=Исходн.данные.!$AD$8),0.75,1)</f>
        <v>1</v>
      </c>
    </row>
    <row r="315" spans="32:63" x14ac:dyDescent="0.2">
      <c r="AF315">
        <f>SUM(Исходн.данные.!AD315:AF315)</f>
        <v>0</v>
      </c>
      <c r="AG315" s="60">
        <f>SUM(Расчет!CI315:CK315)</f>
        <v>0.64</v>
      </c>
      <c r="AH315" s="60">
        <f>SUM(Расчет!DS315:DU315)</f>
        <v>0</v>
      </c>
      <c r="AI315" t="e">
        <f t="shared" si="8"/>
        <v>#N/A</v>
      </c>
      <c r="AJ315" t="e">
        <f t="shared" si="9"/>
        <v>#N/A</v>
      </c>
      <c r="AL315">
        <f>Потребность!G315*Потребность!H315</f>
        <v>0</v>
      </c>
      <c r="AM315" s="11" t="e">
        <f>Исходн.данные.!$AJ315*Расчет2!AO315</f>
        <v>#VALUE!</v>
      </c>
      <c r="AN315" s="11">
        <f>Исходн.данные.!$AJ315*Расчет2!AP315</f>
        <v>0</v>
      </c>
      <c r="AO315" s="25" t="str">
        <f>IF(Расчет!BF315=0,"X",Расчет!BF315)</f>
        <v>X</v>
      </c>
      <c r="AP315" s="25">
        <f>Расчет!BG315</f>
        <v>0</v>
      </c>
      <c r="AQ315" s="9">
        <f>IF(Расчет!BL315&lt;0,0,Расчет!BL315)</f>
        <v>0</v>
      </c>
      <c r="AR315" s="25">
        <f>IF(Расчет!BM315&lt;0,0,Расчет!BM315)</f>
        <v>0</v>
      </c>
      <c r="AS315" s="25">
        <f>IF(Расчет!BN315&lt;0,0,Расчет!BN315)</f>
        <v>0</v>
      </c>
      <c r="AT315" s="25">
        <f>Расчет!BY315</f>
        <v>0</v>
      </c>
      <c r="AU315" s="25">
        <f>Расчет!BZ315</f>
        <v>10</v>
      </c>
      <c r="AV315" s="25">
        <f>Расчет!CA315</f>
        <v>0</v>
      </c>
      <c r="AW315" s="25" t="str">
        <f>Расчет!CH315</f>
        <v>Аммофос 12:52:00</v>
      </c>
      <c r="AX315" s="25">
        <f>Расчет!DB315</f>
        <v>0</v>
      </c>
      <c r="AY315" s="25">
        <f>Расчет!DC315</f>
        <v>0</v>
      </c>
      <c r="AZ315" s="25">
        <f>Расчет!DG315</f>
        <v>0</v>
      </c>
      <c r="BA315" s="25">
        <f>Расчет!DH315</f>
        <v>0</v>
      </c>
      <c r="BB315" s="25">
        <f>Расчет!DI315</f>
        <v>0</v>
      </c>
      <c r="BC315" s="25" t="str">
        <f>Расчет!DR315</f>
        <v>Нет</v>
      </c>
      <c r="BD315" s="25">
        <f>Расчет!EB315</f>
        <v>0</v>
      </c>
      <c r="BE315" s="25">
        <f>Расчет!EF315</f>
        <v>0</v>
      </c>
      <c r="BF315" s="25" t="e">
        <f>Расчет!EI315</f>
        <v>#DIV/0!</v>
      </c>
      <c r="BG315" s="25" t="e">
        <f>Расчет!FA315</f>
        <v>#N/A</v>
      </c>
      <c r="BI315">
        <f>IF(Исходн.данные.!AH315=Исходн.данные.!$AC$4,0.6,1)</f>
        <v>1</v>
      </c>
      <c r="BJ315">
        <f>IF(Исходн.данные.!AH315=Исходн.данные.!$AC$4,0.8,IF(OR(Потребность!F315=Расчет2!$BI$10,Потребность!F315=Расчет2!$BI$7,Потребность!F315=Расчет2!$BK$14,Исходн.данные.!AI315=Исходн.данные.!$AI$11),1.3,1))</f>
        <v>1.3</v>
      </c>
      <c r="BK315">
        <f>IF(OR(Исходн.данные.!AH315=Исходн.данные.!$AD$7,Исходн.данные.!AH315=Исходн.данные.!$AD$8),0.75,1)</f>
        <v>1</v>
      </c>
    </row>
    <row r="316" spans="32:63" x14ac:dyDescent="0.2">
      <c r="AF316">
        <f>SUM(Исходн.данные.!AD316:AF316)</f>
        <v>0</v>
      </c>
      <c r="AG316" s="60">
        <f>SUM(Расчет!CI316:CK316)</f>
        <v>0.64</v>
      </c>
      <c r="AH316" s="60">
        <f>SUM(Расчет!DS316:DU316)</f>
        <v>0</v>
      </c>
      <c r="AI316" t="e">
        <f t="shared" si="8"/>
        <v>#N/A</v>
      </c>
      <c r="AJ316" t="e">
        <f t="shared" si="9"/>
        <v>#N/A</v>
      </c>
      <c r="AL316">
        <f>Потребность!G316*Потребность!H316</f>
        <v>0</v>
      </c>
      <c r="AM316" s="11" t="e">
        <f>Исходн.данные.!$AJ316*Расчет2!AO316</f>
        <v>#VALUE!</v>
      </c>
      <c r="AN316" s="11">
        <f>Исходн.данные.!$AJ316*Расчет2!AP316</f>
        <v>0</v>
      </c>
      <c r="AO316" s="25" t="str">
        <f>IF(Расчет!BF316=0,"X",Расчет!BF316)</f>
        <v>X</v>
      </c>
      <c r="AP316" s="25">
        <f>Расчет!BG316</f>
        <v>0</v>
      </c>
      <c r="AQ316" s="9">
        <f>IF(Расчет!BL316&lt;0,0,Расчет!BL316)</f>
        <v>0</v>
      </c>
      <c r="AR316" s="25">
        <f>IF(Расчет!BM316&lt;0,0,Расчет!BM316)</f>
        <v>0</v>
      </c>
      <c r="AS316" s="25">
        <f>IF(Расчет!BN316&lt;0,0,Расчет!BN316)</f>
        <v>0</v>
      </c>
      <c r="AT316" s="25">
        <f>Расчет!BY316</f>
        <v>0</v>
      </c>
      <c r="AU316" s="25">
        <f>Расчет!BZ316</f>
        <v>10</v>
      </c>
      <c r="AV316" s="25">
        <f>Расчет!CA316</f>
        <v>0</v>
      </c>
      <c r="AW316" s="25" t="str">
        <f>Расчет!CH316</f>
        <v>Аммофос 12:52:00</v>
      </c>
      <c r="AX316" s="25">
        <f>Расчет!DB316</f>
        <v>0</v>
      </c>
      <c r="AY316" s="25">
        <f>Расчет!DC316</f>
        <v>0</v>
      </c>
      <c r="AZ316" s="25">
        <f>Расчет!DG316</f>
        <v>0</v>
      </c>
      <c r="BA316" s="25">
        <f>Расчет!DH316</f>
        <v>0</v>
      </c>
      <c r="BB316" s="25">
        <f>Расчет!DI316</f>
        <v>0</v>
      </c>
      <c r="BC316" s="25" t="str">
        <f>Расчет!DR316</f>
        <v>Нет</v>
      </c>
      <c r="BD316" s="25">
        <f>Расчет!EB316</f>
        <v>0</v>
      </c>
      <c r="BE316" s="25">
        <f>Расчет!EF316</f>
        <v>0</v>
      </c>
      <c r="BF316" s="25" t="e">
        <f>Расчет!EI316</f>
        <v>#DIV/0!</v>
      </c>
      <c r="BG316" s="25" t="e">
        <f>Расчет!FA316</f>
        <v>#N/A</v>
      </c>
      <c r="BI316">
        <f>IF(Исходн.данные.!AH316=Исходн.данные.!$AC$4,0.6,1)</f>
        <v>1</v>
      </c>
      <c r="BJ316">
        <f>IF(Исходн.данные.!AH316=Исходн.данные.!$AC$4,0.8,IF(OR(Потребность!F316=Расчет2!$BI$10,Потребность!F316=Расчет2!$BI$7,Потребность!F316=Расчет2!$BK$14,Исходн.данные.!AI316=Исходн.данные.!$AI$11),1.3,1))</f>
        <v>1.3</v>
      </c>
      <c r="BK316">
        <f>IF(OR(Исходн.данные.!AH316=Исходн.данные.!$AD$7,Исходн.данные.!AH316=Исходн.данные.!$AD$8),0.75,1)</f>
        <v>1</v>
      </c>
    </row>
    <row r="317" spans="32:63" x14ac:dyDescent="0.2">
      <c r="AF317">
        <f>SUM(Исходн.данные.!AD317:AF317)</f>
        <v>0</v>
      </c>
      <c r="AG317" s="60">
        <f>SUM(Расчет!CI317:CK317)</f>
        <v>0.64</v>
      </c>
      <c r="AH317" s="60">
        <f>SUM(Расчет!DS317:DU317)</f>
        <v>0</v>
      </c>
      <c r="AI317" t="e">
        <f t="shared" si="8"/>
        <v>#N/A</v>
      </c>
      <c r="AJ317" t="e">
        <f t="shared" si="9"/>
        <v>#N/A</v>
      </c>
      <c r="AL317">
        <f>Потребность!G317*Потребность!H317</f>
        <v>0</v>
      </c>
      <c r="AM317" s="11" t="e">
        <f>Исходн.данные.!$AJ317*Расчет2!AO317</f>
        <v>#VALUE!</v>
      </c>
      <c r="AN317" s="11">
        <f>Исходн.данные.!$AJ317*Расчет2!AP317</f>
        <v>0</v>
      </c>
      <c r="AO317" s="25" t="str">
        <f>IF(Расчет!BF317=0,"X",Расчет!BF317)</f>
        <v>X</v>
      </c>
      <c r="AP317" s="25">
        <f>Расчет!BG317</f>
        <v>0</v>
      </c>
      <c r="AQ317" s="9">
        <f>IF(Расчет!BL317&lt;0,0,Расчет!BL317)</f>
        <v>0</v>
      </c>
      <c r="AR317" s="25">
        <f>IF(Расчет!BM317&lt;0,0,Расчет!BM317)</f>
        <v>0</v>
      </c>
      <c r="AS317" s="25">
        <f>IF(Расчет!BN317&lt;0,0,Расчет!BN317)</f>
        <v>0</v>
      </c>
      <c r="AT317" s="25">
        <f>Расчет!BY317</f>
        <v>0</v>
      </c>
      <c r="AU317" s="25">
        <f>Расчет!BZ317</f>
        <v>10</v>
      </c>
      <c r="AV317" s="25">
        <f>Расчет!CA317</f>
        <v>0</v>
      </c>
      <c r="AW317" s="25" t="str">
        <f>Расчет!CH317</f>
        <v>Аммофос 12:52:00</v>
      </c>
      <c r="AX317" s="25">
        <f>Расчет!DB317</f>
        <v>0</v>
      </c>
      <c r="AY317" s="25">
        <f>Расчет!DC317</f>
        <v>0</v>
      </c>
      <c r="AZ317" s="25">
        <f>Расчет!DG317</f>
        <v>0</v>
      </c>
      <c r="BA317" s="25">
        <f>Расчет!DH317</f>
        <v>0</v>
      </c>
      <c r="BB317" s="25">
        <f>Расчет!DI317</f>
        <v>0</v>
      </c>
      <c r="BC317" s="25" t="str">
        <f>Расчет!DR317</f>
        <v>Нет</v>
      </c>
      <c r="BD317" s="25">
        <f>Расчет!EB317</f>
        <v>0</v>
      </c>
      <c r="BE317" s="25">
        <f>Расчет!EF317</f>
        <v>0</v>
      </c>
      <c r="BF317" s="25" t="e">
        <f>Расчет!EI317</f>
        <v>#DIV/0!</v>
      </c>
      <c r="BG317" s="25" t="e">
        <f>Расчет!FA317</f>
        <v>#N/A</v>
      </c>
      <c r="BI317">
        <f>IF(Исходн.данные.!AH317=Исходн.данные.!$AC$4,0.6,1)</f>
        <v>1</v>
      </c>
      <c r="BJ317">
        <f>IF(Исходн.данные.!AH317=Исходн.данные.!$AC$4,0.8,IF(OR(Потребность!F317=Расчет2!$BI$10,Потребность!F317=Расчет2!$BI$7,Потребность!F317=Расчет2!$BK$14,Исходн.данные.!AI317=Исходн.данные.!$AI$11),1.3,1))</f>
        <v>1.3</v>
      </c>
      <c r="BK317">
        <f>IF(OR(Исходн.данные.!AH317=Исходн.данные.!$AD$7,Исходн.данные.!AH317=Исходн.данные.!$AD$8),0.75,1)</f>
        <v>1</v>
      </c>
    </row>
    <row r="318" spans="32:63" x14ac:dyDescent="0.2">
      <c r="AF318">
        <f>SUM(Исходн.данные.!AD318:AF318)</f>
        <v>0</v>
      </c>
      <c r="AG318" s="60">
        <f>SUM(Расчет!CI318:CK318)</f>
        <v>0.64</v>
      </c>
      <c r="AH318" s="60">
        <f>SUM(Расчет!DS318:DU318)</f>
        <v>0</v>
      </c>
      <c r="AI318" t="e">
        <f t="shared" si="8"/>
        <v>#N/A</v>
      </c>
      <c r="AJ318" t="e">
        <f t="shared" si="9"/>
        <v>#N/A</v>
      </c>
      <c r="AL318">
        <f>Потребность!G318*Потребность!H318</f>
        <v>0</v>
      </c>
      <c r="AM318" s="11" t="e">
        <f>Исходн.данные.!$AJ318*Расчет2!AO318</f>
        <v>#VALUE!</v>
      </c>
      <c r="AN318" s="11">
        <f>Исходн.данные.!$AJ318*Расчет2!AP318</f>
        <v>0</v>
      </c>
      <c r="AO318" s="25" t="str">
        <f>IF(Расчет!BF318=0,"X",Расчет!BF318)</f>
        <v>X</v>
      </c>
      <c r="AP318" s="25">
        <f>Расчет!BG318</f>
        <v>0</v>
      </c>
      <c r="AQ318" s="9">
        <f>IF(Расчет!BL318&lt;0,0,Расчет!BL318)</f>
        <v>0</v>
      </c>
      <c r="AR318" s="25">
        <f>IF(Расчет!BM318&lt;0,0,Расчет!BM318)</f>
        <v>0</v>
      </c>
      <c r="AS318" s="25">
        <f>IF(Расчет!BN318&lt;0,0,Расчет!BN318)</f>
        <v>0</v>
      </c>
      <c r="AT318" s="25">
        <f>Расчет!BY318</f>
        <v>0</v>
      </c>
      <c r="AU318" s="25">
        <f>Расчет!BZ318</f>
        <v>10</v>
      </c>
      <c r="AV318" s="25">
        <f>Расчет!CA318</f>
        <v>0</v>
      </c>
      <c r="AW318" s="25" t="str">
        <f>Расчет!CH318</f>
        <v>Аммофос 12:52:00</v>
      </c>
      <c r="AX318" s="25">
        <f>Расчет!DB318</f>
        <v>0</v>
      </c>
      <c r="AY318" s="25">
        <f>Расчет!DC318</f>
        <v>0</v>
      </c>
      <c r="AZ318" s="25">
        <f>Расчет!DG318</f>
        <v>0</v>
      </c>
      <c r="BA318" s="25">
        <f>Расчет!DH318</f>
        <v>0</v>
      </c>
      <c r="BB318" s="25">
        <f>Расчет!DI318</f>
        <v>0</v>
      </c>
      <c r="BC318" s="25" t="str">
        <f>Расчет!DR318</f>
        <v>Нет</v>
      </c>
      <c r="BD318" s="25">
        <f>Расчет!EB318</f>
        <v>0</v>
      </c>
      <c r="BE318" s="25">
        <f>Расчет!EF318</f>
        <v>0</v>
      </c>
      <c r="BF318" s="25" t="e">
        <f>Расчет!EI318</f>
        <v>#DIV/0!</v>
      </c>
      <c r="BG318" s="25" t="e">
        <f>Расчет!FA318</f>
        <v>#N/A</v>
      </c>
      <c r="BI318">
        <f>IF(Исходн.данные.!AH318=Исходн.данные.!$AC$4,0.6,1)</f>
        <v>1</v>
      </c>
      <c r="BJ318">
        <f>IF(Исходн.данные.!AH318=Исходн.данные.!$AC$4,0.8,IF(OR(Потребность!F318=Расчет2!$BI$10,Потребность!F318=Расчет2!$BI$7,Потребность!F318=Расчет2!$BK$14,Исходн.данные.!AI318=Исходн.данные.!$AI$11),1.3,1))</f>
        <v>1.3</v>
      </c>
      <c r="BK318">
        <f>IF(OR(Исходн.данные.!AH318=Исходн.данные.!$AD$7,Исходн.данные.!AH318=Исходн.данные.!$AD$8),0.75,1)</f>
        <v>1</v>
      </c>
    </row>
    <row r="319" spans="32:63" x14ac:dyDescent="0.2">
      <c r="AF319">
        <f>SUM(Исходн.данные.!AD319:AF319)</f>
        <v>0</v>
      </c>
      <c r="AG319" s="60">
        <f>SUM(Расчет!CI319:CK319)</f>
        <v>0.64</v>
      </c>
      <c r="AH319" s="60">
        <f>SUM(Расчет!DS319:DU319)</f>
        <v>0</v>
      </c>
      <c r="AI319" t="e">
        <f t="shared" si="8"/>
        <v>#N/A</v>
      </c>
      <c r="AJ319" t="e">
        <f t="shared" si="9"/>
        <v>#N/A</v>
      </c>
      <c r="AL319">
        <f>Потребность!G319*Потребность!H319</f>
        <v>0</v>
      </c>
      <c r="AM319" s="11" t="e">
        <f>Исходн.данные.!$AJ319*Расчет2!AO319</f>
        <v>#VALUE!</v>
      </c>
      <c r="AN319" s="11">
        <f>Исходн.данные.!$AJ319*Расчет2!AP319</f>
        <v>0</v>
      </c>
      <c r="AO319" s="25" t="str">
        <f>IF(Расчет!BF319=0,"X",Расчет!BF319)</f>
        <v>X</v>
      </c>
      <c r="AP319" s="25">
        <f>Расчет!BG319</f>
        <v>0</v>
      </c>
      <c r="AQ319" s="9">
        <f>IF(Расчет!BL319&lt;0,0,Расчет!BL319)</f>
        <v>0</v>
      </c>
      <c r="AR319" s="25">
        <f>IF(Расчет!BM319&lt;0,0,Расчет!BM319)</f>
        <v>0</v>
      </c>
      <c r="AS319" s="25">
        <f>IF(Расчет!BN319&lt;0,0,Расчет!BN319)</f>
        <v>0</v>
      </c>
      <c r="AT319" s="25">
        <f>Расчет!BY319</f>
        <v>0</v>
      </c>
      <c r="AU319" s="25">
        <f>Расчет!BZ319</f>
        <v>10</v>
      </c>
      <c r="AV319" s="25">
        <f>Расчет!CA319</f>
        <v>0</v>
      </c>
      <c r="AW319" s="25" t="str">
        <f>Расчет!CH319</f>
        <v>Аммофос 12:52:00</v>
      </c>
      <c r="AX319" s="25">
        <f>Расчет!DB319</f>
        <v>0</v>
      </c>
      <c r="AY319" s="25">
        <f>Расчет!DC319</f>
        <v>0</v>
      </c>
      <c r="AZ319" s="25">
        <f>Расчет!DG319</f>
        <v>0</v>
      </c>
      <c r="BA319" s="25">
        <f>Расчет!DH319</f>
        <v>0</v>
      </c>
      <c r="BB319" s="25">
        <f>Расчет!DI319</f>
        <v>0</v>
      </c>
      <c r="BC319" s="25" t="str">
        <f>Расчет!DR319</f>
        <v>Нет</v>
      </c>
      <c r="BD319" s="25">
        <f>Расчет!EB319</f>
        <v>0</v>
      </c>
      <c r="BE319" s="25">
        <f>Расчет!EF319</f>
        <v>0</v>
      </c>
      <c r="BF319" s="25" t="e">
        <f>Расчет!EI319</f>
        <v>#DIV/0!</v>
      </c>
      <c r="BG319" s="25" t="e">
        <f>Расчет!FA319</f>
        <v>#N/A</v>
      </c>
      <c r="BI319">
        <f>IF(Исходн.данные.!AH319=Исходн.данные.!$AC$4,0.6,1)</f>
        <v>1</v>
      </c>
      <c r="BJ319">
        <f>IF(Исходн.данные.!AH319=Исходн.данные.!$AC$4,0.8,IF(OR(Потребность!F319=Расчет2!$BI$10,Потребность!F319=Расчет2!$BI$7,Потребность!F319=Расчет2!$BK$14,Исходн.данные.!AI319=Исходн.данные.!$AI$11),1.3,1))</f>
        <v>1.3</v>
      </c>
      <c r="BK319">
        <f>IF(OR(Исходн.данные.!AH319=Исходн.данные.!$AD$7,Исходн.данные.!AH319=Исходн.данные.!$AD$8),0.75,1)</f>
        <v>1</v>
      </c>
    </row>
    <row r="320" spans="32:63" x14ac:dyDescent="0.2">
      <c r="AF320">
        <f>SUM(Исходн.данные.!AD320:AF320)</f>
        <v>0</v>
      </c>
      <c r="AG320" s="60">
        <f>SUM(Расчет!CI320:CK320)</f>
        <v>0.64</v>
      </c>
      <c r="AH320" s="60">
        <f>SUM(Расчет!DS320:DU320)</f>
        <v>0</v>
      </c>
      <c r="AI320" t="e">
        <f t="shared" si="8"/>
        <v>#N/A</v>
      </c>
      <c r="AJ320" t="e">
        <f t="shared" si="9"/>
        <v>#N/A</v>
      </c>
      <c r="AL320">
        <f>Потребность!G320*Потребность!H320</f>
        <v>0</v>
      </c>
      <c r="AM320" s="11" t="e">
        <f>Исходн.данные.!$AJ320*Расчет2!AO320</f>
        <v>#VALUE!</v>
      </c>
      <c r="AN320" s="11">
        <f>Исходн.данные.!$AJ320*Расчет2!AP320</f>
        <v>0</v>
      </c>
      <c r="AO320" s="25" t="str">
        <f>IF(Расчет!BF320=0,"X",Расчет!BF320)</f>
        <v>X</v>
      </c>
      <c r="AP320" s="25">
        <f>Расчет!BG320</f>
        <v>0</v>
      </c>
      <c r="AQ320" s="9">
        <f>IF(Расчет!BL320&lt;0,0,Расчет!BL320)</f>
        <v>0</v>
      </c>
      <c r="AR320" s="25">
        <f>IF(Расчет!BM320&lt;0,0,Расчет!BM320)</f>
        <v>0</v>
      </c>
      <c r="AS320" s="25">
        <f>IF(Расчет!BN320&lt;0,0,Расчет!BN320)</f>
        <v>0</v>
      </c>
      <c r="AT320" s="25">
        <f>Расчет!BY320</f>
        <v>0</v>
      </c>
      <c r="AU320" s="25">
        <f>Расчет!BZ320</f>
        <v>10</v>
      </c>
      <c r="AV320" s="25">
        <f>Расчет!CA320</f>
        <v>0</v>
      </c>
      <c r="AW320" s="25" t="str">
        <f>Расчет!CH320</f>
        <v>Аммофос 12:52:00</v>
      </c>
      <c r="AX320" s="25">
        <f>Расчет!DB320</f>
        <v>0</v>
      </c>
      <c r="AY320" s="25">
        <f>Расчет!DC320</f>
        <v>0</v>
      </c>
      <c r="AZ320" s="25">
        <f>Расчет!DG320</f>
        <v>0</v>
      </c>
      <c r="BA320" s="25">
        <f>Расчет!DH320</f>
        <v>0</v>
      </c>
      <c r="BB320" s="25">
        <f>Расчет!DI320</f>
        <v>0</v>
      </c>
      <c r="BC320" s="25" t="str">
        <f>Расчет!DR320</f>
        <v>Нет</v>
      </c>
      <c r="BD320" s="25">
        <f>Расчет!EB320</f>
        <v>0</v>
      </c>
      <c r="BE320" s="25">
        <f>Расчет!EF320</f>
        <v>0</v>
      </c>
      <c r="BF320" s="25" t="e">
        <f>Расчет!EI320</f>
        <v>#DIV/0!</v>
      </c>
      <c r="BG320" s="25" t="e">
        <f>Расчет!FA320</f>
        <v>#N/A</v>
      </c>
      <c r="BI320">
        <f>IF(Исходн.данные.!AH320=Исходн.данные.!$AC$4,0.6,1)</f>
        <v>1</v>
      </c>
      <c r="BJ320">
        <f>IF(Исходн.данные.!AH320=Исходн.данные.!$AC$4,0.8,IF(OR(Потребность!F320=Расчет2!$BI$10,Потребность!F320=Расчет2!$BI$7,Потребность!F320=Расчет2!$BK$14,Исходн.данные.!AI320=Исходн.данные.!$AI$11),1.3,1))</f>
        <v>1.3</v>
      </c>
      <c r="BK320">
        <f>IF(OR(Исходн.данные.!AH320=Исходн.данные.!$AD$7,Исходн.данные.!AH320=Исходн.данные.!$AD$8),0.75,1)</f>
        <v>1</v>
      </c>
    </row>
    <row r="321" spans="32:63" x14ac:dyDescent="0.2">
      <c r="AF321">
        <f>SUM(Исходн.данные.!AD321:AF321)</f>
        <v>0</v>
      </c>
      <c r="AG321" s="60">
        <f>SUM(Расчет!CI321:CK321)</f>
        <v>0.64</v>
      </c>
      <c r="AH321" s="60">
        <f>SUM(Расчет!DS321:DU321)</f>
        <v>0</v>
      </c>
      <c r="AI321" t="e">
        <f t="shared" si="8"/>
        <v>#N/A</v>
      </c>
      <c r="AJ321" t="e">
        <f t="shared" si="9"/>
        <v>#N/A</v>
      </c>
      <c r="AL321">
        <f>Потребность!G321*Потребность!H321</f>
        <v>0</v>
      </c>
      <c r="AM321" s="11" t="e">
        <f>Исходн.данные.!$AJ321*Расчет2!AO321</f>
        <v>#VALUE!</v>
      </c>
      <c r="AN321" s="11">
        <f>Исходн.данные.!$AJ321*Расчет2!AP321</f>
        <v>0</v>
      </c>
      <c r="AO321" s="25" t="str">
        <f>IF(Расчет!BF321=0,"X",Расчет!BF321)</f>
        <v>X</v>
      </c>
      <c r="AP321" s="25">
        <f>Расчет!BG321</f>
        <v>0</v>
      </c>
      <c r="AQ321" s="9">
        <f>IF(Расчет!BL321&lt;0,0,Расчет!BL321)</f>
        <v>0</v>
      </c>
      <c r="AR321" s="25">
        <f>IF(Расчет!BM321&lt;0,0,Расчет!BM321)</f>
        <v>0</v>
      </c>
      <c r="AS321" s="25">
        <f>IF(Расчет!BN321&lt;0,0,Расчет!BN321)</f>
        <v>0</v>
      </c>
      <c r="AT321" s="25">
        <f>Расчет!BY321</f>
        <v>0</v>
      </c>
      <c r="AU321" s="25">
        <f>Расчет!BZ321</f>
        <v>10</v>
      </c>
      <c r="AV321" s="25">
        <f>Расчет!CA321</f>
        <v>0</v>
      </c>
      <c r="AW321" s="25" t="str">
        <f>Расчет!CH321</f>
        <v>Аммофос 12:52:00</v>
      </c>
      <c r="AX321" s="25">
        <f>Расчет!DB321</f>
        <v>0</v>
      </c>
      <c r="AY321" s="25">
        <f>Расчет!DC321</f>
        <v>0</v>
      </c>
      <c r="AZ321" s="25">
        <f>Расчет!DG321</f>
        <v>0</v>
      </c>
      <c r="BA321" s="25">
        <f>Расчет!DH321</f>
        <v>0</v>
      </c>
      <c r="BB321" s="25">
        <f>Расчет!DI321</f>
        <v>0</v>
      </c>
      <c r="BC321" s="25" t="str">
        <f>Расчет!DR321</f>
        <v>Нет</v>
      </c>
      <c r="BD321" s="25">
        <f>Расчет!EB321</f>
        <v>0</v>
      </c>
      <c r="BE321" s="25">
        <f>Расчет!EF321</f>
        <v>0</v>
      </c>
      <c r="BF321" s="25" t="e">
        <f>Расчет!EI321</f>
        <v>#DIV/0!</v>
      </c>
      <c r="BG321" s="25" t="e">
        <f>Расчет!FA321</f>
        <v>#N/A</v>
      </c>
      <c r="BI321">
        <f>IF(Исходн.данные.!AH321=Исходн.данные.!$AC$4,0.6,1)</f>
        <v>1</v>
      </c>
      <c r="BJ321">
        <f>IF(Исходн.данные.!AH321=Исходн.данные.!$AC$4,0.8,IF(OR(Потребность!F321=Расчет2!$BI$10,Потребность!F321=Расчет2!$BI$7,Потребность!F321=Расчет2!$BK$14,Исходн.данные.!AI321=Исходн.данные.!$AI$11),1.3,1))</f>
        <v>1.3</v>
      </c>
      <c r="BK321">
        <f>IF(OR(Исходн.данные.!AH321=Исходн.данные.!$AD$7,Исходн.данные.!AH321=Исходн.данные.!$AD$8),0.75,1)</f>
        <v>1</v>
      </c>
    </row>
    <row r="322" spans="32:63" x14ac:dyDescent="0.2">
      <c r="AF322">
        <f>SUM(Исходн.данные.!AD322:AF322)</f>
        <v>0</v>
      </c>
      <c r="AG322" s="60">
        <f>SUM(Расчет!CI322:CK322)</f>
        <v>0.64</v>
      </c>
      <c r="AH322" s="60">
        <f>SUM(Расчет!DS322:DU322)</f>
        <v>0</v>
      </c>
      <c r="AI322" t="e">
        <f t="shared" si="8"/>
        <v>#N/A</v>
      </c>
      <c r="AJ322" t="e">
        <f t="shared" si="9"/>
        <v>#N/A</v>
      </c>
      <c r="AL322">
        <f>Потребность!G322*Потребность!H322</f>
        <v>0</v>
      </c>
      <c r="AM322" s="11" t="e">
        <f>Исходн.данные.!$AJ322*Расчет2!AO322</f>
        <v>#VALUE!</v>
      </c>
      <c r="AN322" s="11">
        <f>Исходн.данные.!$AJ322*Расчет2!AP322</f>
        <v>0</v>
      </c>
      <c r="AO322" s="25" t="str">
        <f>IF(Расчет!BF322=0,"X",Расчет!BF322)</f>
        <v>X</v>
      </c>
      <c r="AP322" s="25">
        <f>Расчет!BG322</f>
        <v>0</v>
      </c>
      <c r="AQ322" s="9">
        <f>IF(Расчет!BL322&lt;0,0,Расчет!BL322)</f>
        <v>0</v>
      </c>
      <c r="AR322" s="25">
        <f>IF(Расчет!BM322&lt;0,0,Расчет!BM322)</f>
        <v>0</v>
      </c>
      <c r="AS322" s="25">
        <f>IF(Расчет!BN322&lt;0,0,Расчет!BN322)</f>
        <v>0</v>
      </c>
      <c r="AT322" s="25">
        <f>Расчет!BY322</f>
        <v>0</v>
      </c>
      <c r="AU322" s="25">
        <f>Расчет!BZ322</f>
        <v>10</v>
      </c>
      <c r="AV322" s="25">
        <f>Расчет!CA322</f>
        <v>0</v>
      </c>
      <c r="AW322" s="25" t="str">
        <f>Расчет!CH322</f>
        <v>Аммофос 12:52:00</v>
      </c>
      <c r="AX322" s="25">
        <f>Расчет!DB322</f>
        <v>0</v>
      </c>
      <c r="AY322" s="25">
        <f>Расчет!DC322</f>
        <v>0</v>
      </c>
      <c r="AZ322" s="25">
        <f>Расчет!DG322</f>
        <v>0</v>
      </c>
      <c r="BA322" s="25">
        <f>Расчет!DH322</f>
        <v>0</v>
      </c>
      <c r="BB322" s="25">
        <f>Расчет!DI322</f>
        <v>0</v>
      </c>
      <c r="BC322" s="25" t="str">
        <f>Расчет!DR322</f>
        <v>Нет</v>
      </c>
      <c r="BD322" s="25">
        <f>Расчет!EB322</f>
        <v>0</v>
      </c>
      <c r="BE322" s="25">
        <f>Расчет!EF322</f>
        <v>0</v>
      </c>
      <c r="BF322" s="25" t="e">
        <f>Расчет!EI322</f>
        <v>#DIV/0!</v>
      </c>
      <c r="BG322" s="25" t="e">
        <f>Расчет!FA322</f>
        <v>#N/A</v>
      </c>
      <c r="BI322">
        <f>IF(Исходн.данные.!AH322=Исходн.данные.!$AC$4,0.6,1)</f>
        <v>1</v>
      </c>
      <c r="BJ322">
        <f>IF(Исходн.данные.!AH322=Исходн.данные.!$AC$4,0.8,IF(OR(Потребность!F322=Расчет2!$BI$10,Потребность!F322=Расчет2!$BI$7,Потребность!F322=Расчет2!$BK$14,Исходн.данные.!AI322=Исходн.данные.!$AI$11),1.3,1))</f>
        <v>1.3</v>
      </c>
      <c r="BK322">
        <f>IF(OR(Исходн.данные.!AH322=Исходн.данные.!$AD$7,Исходн.данные.!AH322=Исходн.данные.!$AD$8),0.75,1)</f>
        <v>1</v>
      </c>
    </row>
    <row r="323" spans="32:63" x14ac:dyDescent="0.2">
      <c r="AF323">
        <f>SUM(Исходн.данные.!AD323:AF323)</f>
        <v>0</v>
      </c>
      <c r="AG323" s="60">
        <f>SUM(Расчет!CI323:CK323)</f>
        <v>0.64</v>
      </c>
      <c r="AH323" s="60">
        <f>SUM(Расчет!DS323:DU323)</f>
        <v>0</v>
      </c>
      <c r="AI323" t="e">
        <f t="shared" si="8"/>
        <v>#N/A</v>
      </c>
      <c r="AJ323" t="e">
        <f t="shared" si="9"/>
        <v>#N/A</v>
      </c>
      <c r="AL323">
        <f>Потребность!G323*Потребность!H323</f>
        <v>0</v>
      </c>
      <c r="AM323" s="11" t="e">
        <f>Исходн.данные.!$AJ323*Расчет2!AO323</f>
        <v>#VALUE!</v>
      </c>
      <c r="AN323" s="11">
        <f>Исходн.данные.!$AJ323*Расчет2!AP323</f>
        <v>0</v>
      </c>
      <c r="AO323" s="25" t="str">
        <f>IF(Расчет!BF323=0,"X",Расчет!BF323)</f>
        <v>X</v>
      </c>
      <c r="AP323" s="25">
        <f>Расчет!BG323</f>
        <v>0</v>
      </c>
      <c r="AQ323" s="9">
        <f>IF(Расчет!BL323&lt;0,0,Расчет!BL323)</f>
        <v>0</v>
      </c>
      <c r="AR323" s="25">
        <f>IF(Расчет!BM323&lt;0,0,Расчет!BM323)</f>
        <v>0</v>
      </c>
      <c r="AS323" s="25">
        <f>IF(Расчет!BN323&lt;0,0,Расчет!BN323)</f>
        <v>0</v>
      </c>
      <c r="AT323" s="25">
        <f>Расчет!BY323</f>
        <v>0</v>
      </c>
      <c r="AU323" s="25">
        <f>Расчет!BZ323</f>
        <v>10</v>
      </c>
      <c r="AV323" s="25">
        <f>Расчет!CA323</f>
        <v>0</v>
      </c>
      <c r="AW323" s="25" t="str">
        <f>Расчет!CH323</f>
        <v>Аммофос 12:52:00</v>
      </c>
      <c r="AX323" s="25">
        <f>Расчет!DB323</f>
        <v>0</v>
      </c>
      <c r="AY323" s="25">
        <f>Расчет!DC323</f>
        <v>0</v>
      </c>
      <c r="AZ323" s="25">
        <f>Расчет!DG323</f>
        <v>0</v>
      </c>
      <c r="BA323" s="25">
        <f>Расчет!DH323</f>
        <v>0</v>
      </c>
      <c r="BB323" s="25">
        <f>Расчет!DI323</f>
        <v>0</v>
      </c>
      <c r="BC323" s="25" t="str">
        <f>Расчет!DR323</f>
        <v>Нет</v>
      </c>
      <c r="BD323" s="25">
        <f>Расчет!EB323</f>
        <v>0</v>
      </c>
      <c r="BE323" s="25">
        <f>Расчет!EF323</f>
        <v>0</v>
      </c>
      <c r="BF323" s="25" t="e">
        <f>Расчет!EI323</f>
        <v>#DIV/0!</v>
      </c>
      <c r="BG323" s="25" t="e">
        <f>Расчет!FA323</f>
        <v>#N/A</v>
      </c>
      <c r="BI323">
        <f>IF(Исходн.данные.!AH323=Исходн.данные.!$AC$4,0.6,1)</f>
        <v>1</v>
      </c>
      <c r="BJ323">
        <f>IF(Исходн.данные.!AH323=Исходн.данные.!$AC$4,0.8,IF(OR(Потребность!F323=Расчет2!$BI$10,Потребность!F323=Расчет2!$BI$7,Потребность!F323=Расчет2!$BK$14,Исходн.данные.!AI323=Исходн.данные.!$AI$11),1.3,1))</f>
        <v>1.3</v>
      </c>
      <c r="BK323">
        <f>IF(OR(Исходн.данные.!AH323=Исходн.данные.!$AD$7,Исходн.данные.!AH323=Исходн.данные.!$AD$8),0.75,1)</f>
        <v>1</v>
      </c>
    </row>
    <row r="324" spans="32:63" x14ac:dyDescent="0.2">
      <c r="AF324">
        <f>SUM(Исходн.данные.!AD324:AF324)</f>
        <v>0</v>
      </c>
      <c r="AG324" s="60">
        <f>SUM(Расчет!CI324:CK324)</f>
        <v>0.64</v>
      </c>
      <c r="AH324" s="60">
        <f>SUM(Расчет!DS324:DU324)</f>
        <v>0</v>
      </c>
      <c r="AI324" t="e">
        <f t="shared" si="8"/>
        <v>#N/A</v>
      </c>
      <c r="AJ324" t="e">
        <f t="shared" si="9"/>
        <v>#N/A</v>
      </c>
      <c r="AL324">
        <f>Потребность!G324*Потребность!H324</f>
        <v>0</v>
      </c>
      <c r="AM324" s="11" t="e">
        <f>Исходн.данные.!$AJ324*Расчет2!AO324</f>
        <v>#VALUE!</v>
      </c>
      <c r="AN324" s="11">
        <f>Исходн.данные.!$AJ324*Расчет2!AP324</f>
        <v>0</v>
      </c>
      <c r="AO324" s="25" t="str">
        <f>IF(Расчет!BF324=0,"X",Расчет!BF324)</f>
        <v>X</v>
      </c>
      <c r="AP324" s="25">
        <f>Расчет!BG324</f>
        <v>0</v>
      </c>
      <c r="AQ324" s="9">
        <f>IF(Расчет!BL324&lt;0,0,Расчет!BL324)</f>
        <v>0</v>
      </c>
      <c r="AR324" s="25">
        <f>IF(Расчет!BM324&lt;0,0,Расчет!BM324)</f>
        <v>0</v>
      </c>
      <c r="AS324" s="25">
        <f>IF(Расчет!BN324&lt;0,0,Расчет!BN324)</f>
        <v>0</v>
      </c>
      <c r="AT324" s="25">
        <f>Расчет!BY324</f>
        <v>0</v>
      </c>
      <c r="AU324" s="25">
        <f>Расчет!BZ324</f>
        <v>10</v>
      </c>
      <c r="AV324" s="25">
        <f>Расчет!CA324</f>
        <v>0</v>
      </c>
      <c r="AW324" s="25" t="str">
        <f>Расчет!CH324</f>
        <v>Аммофос 12:52:00</v>
      </c>
      <c r="AX324" s="25">
        <f>Расчет!DB324</f>
        <v>0</v>
      </c>
      <c r="AY324" s="25">
        <f>Расчет!DC324</f>
        <v>0</v>
      </c>
      <c r="AZ324" s="25">
        <f>Расчет!DG324</f>
        <v>0</v>
      </c>
      <c r="BA324" s="25">
        <f>Расчет!DH324</f>
        <v>0</v>
      </c>
      <c r="BB324" s="25">
        <f>Расчет!DI324</f>
        <v>0</v>
      </c>
      <c r="BC324" s="25" t="str">
        <f>Расчет!DR324</f>
        <v>Нет</v>
      </c>
      <c r="BD324" s="25">
        <f>Расчет!EB324</f>
        <v>0</v>
      </c>
      <c r="BE324" s="25">
        <f>Расчет!EF324</f>
        <v>0</v>
      </c>
      <c r="BF324" s="25" t="e">
        <f>Расчет!EI324</f>
        <v>#DIV/0!</v>
      </c>
      <c r="BG324" s="25" t="e">
        <f>Расчет!FA324</f>
        <v>#N/A</v>
      </c>
      <c r="BI324">
        <f>IF(Исходн.данные.!AH324=Исходн.данные.!$AC$4,0.6,1)</f>
        <v>1</v>
      </c>
      <c r="BJ324">
        <f>IF(Исходн.данные.!AH324=Исходн.данные.!$AC$4,0.8,IF(OR(Потребность!F324=Расчет2!$BI$10,Потребность!F324=Расчет2!$BI$7,Потребность!F324=Расчет2!$BK$14,Исходн.данные.!AI324=Исходн.данные.!$AI$11),1.3,1))</f>
        <v>1.3</v>
      </c>
      <c r="BK324">
        <f>IF(OR(Исходн.данные.!AH324=Исходн.данные.!$AD$7,Исходн.данные.!AH324=Исходн.данные.!$AD$8),0.75,1)</f>
        <v>1</v>
      </c>
    </row>
    <row r="325" spans="32:63" x14ac:dyDescent="0.2">
      <c r="AF325">
        <f>SUM(Исходн.данные.!AD325:AF325)</f>
        <v>0</v>
      </c>
      <c r="AG325" s="60">
        <f>SUM(Расчет!CI325:CK325)</f>
        <v>0.64</v>
      </c>
      <c r="AH325" s="60">
        <f>SUM(Расчет!DS325:DU325)</f>
        <v>0</v>
      </c>
      <c r="AI325" t="e">
        <f t="shared" si="8"/>
        <v>#N/A</v>
      </c>
      <c r="AJ325" t="e">
        <f t="shared" si="9"/>
        <v>#N/A</v>
      </c>
      <c r="AL325">
        <f>Потребность!G325*Потребность!H325</f>
        <v>0</v>
      </c>
      <c r="AM325" s="11" t="e">
        <f>Исходн.данные.!$AJ325*Расчет2!AO325</f>
        <v>#VALUE!</v>
      </c>
      <c r="AN325" s="11">
        <f>Исходн.данные.!$AJ325*Расчет2!AP325</f>
        <v>0</v>
      </c>
      <c r="AO325" s="25" t="str">
        <f>IF(Расчет!BF325=0,"X",Расчет!BF325)</f>
        <v>X</v>
      </c>
      <c r="AP325" s="25">
        <f>Расчет!BG325</f>
        <v>0</v>
      </c>
      <c r="AQ325" s="9">
        <f>IF(Расчет!BL325&lt;0,0,Расчет!BL325)</f>
        <v>0</v>
      </c>
      <c r="AR325" s="25">
        <f>IF(Расчет!BM325&lt;0,0,Расчет!BM325)</f>
        <v>0</v>
      </c>
      <c r="AS325" s="25">
        <f>IF(Расчет!BN325&lt;0,0,Расчет!BN325)</f>
        <v>0</v>
      </c>
      <c r="AT325" s="25">
        <f>Расчет!BY325</f>
        <v>0</v>
      </c>
      <c r="AU325" s="25">
        <f>Расчет!BZ325</f>
        <v>10</v>
      </c>
      <c r="AV325" s="25">
        <f>Расчет!CA325</f>
        <v>0</v>
      </c>
      <c r="AW325" s="25" t="str">
        <f>Расчет!CH325</f>
        <v>Аммофос 12:52:00</v>
      </c>
      <c r="AX325" s="25">
        <f>Расчет!DB325</f>
        <v>0</v>
      </c>
      <c r="AY325" s="25">
        <f>Расчет!DC325</f>
        <v>0</v>
      </c>
      <c r="AZ325" s="25">
        <f>Расчет!DG325</f>
        <v>0</v>
      </c>
      <c r="BA325" s="25">
        <f>Расчет!DH325</f>
        <v>0</v>
      </c>
      <c r="BB325" s="25">
        <f>Расчет!DI325</f>
        <v>0</v>
      </c>
      <c r="BC325" s="25" t="str">
        <f>Расчет!DR325</f>
        <v>Нет</v>
      </c>
      <c r="BD325" s="25">
        <f>Расчет!EB325</f>
        <v>0</v>
      </c>
      <c r="BE325" s="25">
        <f>Расчет!EF325</f>
        <v>0</v>
      </c>
      <c r="BF325" s="25" t="e">
        <f>Расчет!EI325</f>
        <v>#DIV/0!</v>
      </c>
      <c r="BG325" s="25" t="e">
        <f>Расчет!FA325</f>
        <v>#N/A</v>
      </c>
      <c r="BI325">
        <f>IF(Исходн.данные.!AH325=Исходн.данные.!$AC$4,0.6,1)</f>
        <v>1</v>
      </c>
      <c r="BJ325">
        <f>IF(Исходн.данные.!AH325=Исходн.данные.!$AC$4,0.8,IF(OR(Потребность!F325=Расчет2!$BI$10,Потребность!F325=Расчет2!$BI$7,Потребность!F325=Расчет2!$BK$14,Исходн.данные.!AI325=Исходн.данные.!$AI$11),1.3,1))</f>
        <v>1.3</v>
      </c>
      <c r="BK325">
        <f>IF(OR(Исходн.данные.!AH325=Исходн.данные.!$AD$7,Исходн.данные.!AH325=Исходн.данные.!$AD$8),0.75,1)</f>
        <v>1</v>
      </c>
    </row>
    <row r="326" spans="32:63" x14ac:dyDescent="0.2">
      <c r="AF326">
        <f>SUM(Исходн.данные.!AD326:AF326)</f>
        <v>0</v>
      </c>
      <c r="AG326" s="60">
        <f>SUM(Расчет!CI326:CK326)</f>
        <v>0.64</v>
      </c>
      <c r="AH326" s="60">
        <f>SUM(Расчет!DS326:DU326)</f>
        <v>0</v>
      </c>
      <c r="AI326" t="e">
        <f t="shared" si="8"/>
        <v>#N/A</v>
      </c>
      <c r="AJ326" t="e">
        <f t="shared" si="9"/>
        <v>#N/A</v>
      </c>
      <c r="AL326">
        <f>Потребность!G326*Потребность!H326</f>
        <v>0</v>
      </c>
      <c r="AM326" s="11" t="e">
        <f>Исходн.данные.!$AJ326*Расчет2!AO326</f>
        <v>#VALUE!</v>
      </c>
      <c r="AN326" s="11">
        <f>Исходн.данные.!$AJ326*Расчет2!AP326</f>
        <v>0</v>
      </c>
      <c r="AO326" s="25" t="str">
        <f>IF(Расчет!BF326=0,"X",Расчет!BF326)</f>
        <v>X</v>
      </c>
      <c r="AP326" s="25">
        <f>Расчет!BG326</f>
        <v>0</v>
      </c>
      <c r="AQ326" s="9">
        <f>IF(Расчет!BL326&lt;0,0,Расчет!BL326)</f>
        <v>0</v>
      </c>
      <c r="AR326" s="25">
        <f>IF(Расчет!BM326&lt;0,0,Расчет!BM326)</f>
        <v>0</v>
      </c>
      <c r="AS326" s="25">
        <f>IF(Расчет!BN326&lt;0,0,Расчет!BN326)</f>
        <v>0</v>
      </c>
      <c r="AT326" s="25">
        <f>Расчет!BY326</f>
        <v>0</v>
      </c>
      <c r="AU326" s="25">
        <f>Расчет!BZ326</f>
        <v>10</v>
      </c>
      <c r="AV326" s="25">
        <f>Расчет!CA326</f>
        <v>0</v>
      </c>
      <c r="AW326" s="25" t="str">
        <f>Расчет!CH326</f>
        <v>Аммофос 12:52:00</v>
      </c>
      <c r="AX326" s="25">
        <f>Расчет!DB326</f>
        <v>0</v>
      </c>
      <c r="AY326" s="25">
        <f>Расчет!DC326</f>
        <v>0</v>
      </c>
      <c r="AZ326" s="25">
        <f>Расчет!DG326</f>
        <v>0</v>
      </c>
      <c r="BA326" s="25">
        <f>Расчет!DH326</f>
        <v>0</v>
      </c>
      <c r="BB326" s="25">
        <f>Расчет!DI326</f>
        <v>0</v>
      </c>
      <c r="BC326" s="25" t="str">
        <f>Расчет!DR326</f>
        <v>Нет</v>
      </c>
      <c r="BD326" s="25">
        <f>Расчет!EB326</f>
        <v>0</v>
      </c>
      <c r="BE326" s="25">
        <f>Расчет!EF326</f>
        <v>0</v>
      </c>
      <c r="BF326" s="25" t="e">
        <f>Расчет!EI326</f>
        <v>#DIV/0!</v>
      </c>
      <c r="BG326" s="25" t="e">
        <f>Расчет!FA326</f>
        <v>#N/A</v>
      </c>
      <c r="BI326">
        <f>IF(Исходн.данные.!AH326=Исходн.данные.!$AC$4,0.6,1)</f>
        <v>1</v>
      </c>
      <c r="BJ326">
        <f>IF(Исходн.данные.!AH326=Исходн.данные.!$AC$4,0.8,IF(OR(Потребность!F326=Расчет2!$BI$10,Потребность!F326=Расчет2!$BI$7,Потребность!F326=Расчет2!$BK$14,Исходн.данные.!AI326=Исходн.данные.!$AI$11),1.3,1))</f>
        <v>1.3</v>
      </c>
      <c r="BK326">
        <f>IF(OR(Исходн.данные.!AH326=Исходн.данные.!$AD$7,Исходн.данные.!AH326=Исходн.данные.!$AD$8),0.75,1)</f>
        <v>1</v>
      </c>
    </row>
    <row r="327" spans="32:63" x14ac:dyDescent="0.2">
      <c r="AF327">
        <f>SUM(Исходн.данные.!AD327:AF327)</f>
        <v>0</v>
      </c>
      <c r="AG327" s="60">
        <f>SUM(Расчет!CI327:CK327)</f>
        <v>0.64</v>
      </c>
      <c r="AH327" s="60">
        <f>SUM(Расчет!DS327:DU327)</f>
        <v>0</v>
      </c>
      <c r="AI327" t="e">
        <f t="shared" si="8"/>
        <v>#N/A</v>
      </c>
      <c r="AJ327" t="e">
        <f t="shared" si="9"/>
        <v>#N/A</v>
      </c>
      <c r="AL327">
        <f>Потребность!G327*Потребность!H327</f>
        <v>0</v>
      </c>
      <c r="AM327" s="11" t="e">
        <f>Исходн.данные.!$AJ327*Расчет2!AO327</f>
        <v>#VALUE!</v>
      </c>
      <c r="AN327" s="11">
        <f>Исходн.данные.!$AJ327*Расчет2!AP327</f>
        <v>0</v>
      </c>
      <c r="AO327" s="25" t="str">
        <f>IF(Расчет!BF327=0,"X",Расчет!BF327)</f>
        <v>X</v>
      </c>
      <c r="AP327" s="25">
        <f>Расчет!BG327</f>
        <v>0</v>
      </c>
      <c r="AQ327" s="9">
        <f>IF(Расчет!BL327&lt;0,0,Расчет!BL327)</f>
        <v>0</v>
      </c>
      <c r="AR327" s="25">
        <f>IF(Расчет!BM327&lt;0,0,Расчет!BM327)</f>
        <v>0</v>
      </c>
      <c r="AS327" s="25">
        <f>IF(Расчет!BN327&lt;0,0,Расчет!BN327)</f>
        <v>0</v>
      </c>
      <c r="AT327" s="25">
        <f>Расчет!BY327</f>
        <v>0</v>
      </c>
      <c r="AU327" s="25">
        <f>Расчет!BZ327</f>
        <v>10</v>
      </c>
      <c r="AV327" s="25">
        <f>Расчет!CA327</f>
        <v>0</v>
      </c>
      <c r="AW327" s="25" t="str">
        <f>Расчет!CH327</f>
        <v>Аммофос 12:52:00</v>
      </c>
      <c r="AX327" s="25">
        <f>Расчет!DB327</f>
        <v>0</v>
      </c>
      <c r="AY327" s="25">
        <f>Расчет!DC327</f>
        <v>0</v>
      </c>
      <c r="AZ327" s="25">
        <f>Расчет!DG327</f>
        <v>0</v>
      </c>
      <c r="BA327" s="25">
        <f>Расчет!DH327</f>
        <v>0</v>
      </c>
      <c r="BB327" s="25">
        <f>Расчет!DI327</f>
        <v>0</v>
      </c>
      <c r="BC327" s="25" t="str">
        <f>Расчет!DR327</f>
        <v>Нет</v>
      </c>
      <c r="BD327" s="25">
        <f>Расчет!EB327</f>
        <v>0</v>
      </c>
      <c r="BE327" s="25">
        <f>Расчет!EF327</f>
        <v>0</v>
      </c>
      <c r="BF327" s="25" t="e">
        <f>Расчет!EI327</f>
        <v>#DIV/0!</v>
      </c>
      <c r="BG327" s="25" t="e">
        <f>Расчет!FA327</f>
        <v>#N/A</v>
      </c>
      <c r="BI327">
        <f>IF(Исходн.данные.!AH327=Исходн.данные.!$AC$4,0.6,1)</f>
        <v>1</v>
      </c>
      <c r="BJ327">
        <f>IF(Исходн.данные.!AH327=Исходн.данные.!$AC$4,0.8,IF(OR(Потребность!F327=Расчет2!$BI$10,Потребность!F327=Расчет2!$BI$7,Потребность!F327=Расчет2!$BK$14,Исходн.данные.!AI327=Исходн.данные.!$AI$11),1.3,1))</f>
        <v>1.3</v>
      </c>
      <c r="BK327">
        <f>IF(OR(Исходн.данные.!AH327=Исходн.данные.!$AD$7,Исходн.данные.!AH327=Исходн.данные.!$AD$8),0.75,1)</f>
        <v>1</v>
      </c>
    </row>
    <row r="328" spans="32:63" x14ac:dyDescent="0.2">
      <c r="AF328">
        <f>SUM(Исходн.данные.!AD328:AF328)</f>
        <v>0</v>
      </c>
      <c r="AG328" s="60">
        <f>SUM(Расчет!CI328:CK328)</f>
        <v>0.64</v>
      </c>
      <c r="AH328" s="60">
        <f>SUM(Расчет!DS328:DU328)</f>
        <v>0</v>
      </c>
      <c r="AI328" t="e">
        <f t="shared" si="8"/>
        <v>#N/A</v>
      </c>
      <c r="AJ328" t="e">
        <f t="shared" si="9"/>
        <v>#N/A</v>
      </c>
      <c r="AL328">
        <f>Потребность!G328*Потребность!H328</f>
        <v>0</v>
      </c>
      <c r="AM328" s="11" t="e">
        <f>Исходн.данные.!$AJ328*Расчет2!AO328</f>
        <v>#VALUE!</v>
      </c>
      <c r="AN328" s="11">
        <f>Исходн.данные.!$AJ328*Расчет2!AP328</f>
        <v>0</v>
      </c>
      <c r="AO328" s="25" t="str">
        <f>IF(Расчет!BF328=0,"X",Расчет!BF328)</f>
        <v>X</v>
      </c>
      <c r="AP328" s="25">
        <f>Расчет!BG328</f>
        <v>0</v>
      </c>
      <c r="AQ328" s="9">
        <f>IF(Расчет!BL328&lt;0,0,Расчет!BL328)</f>
        <v>0</v>
      </c>
      <c r="AR328" s="25">
        <f>IF(Расчет!BM328&lt;0,0,Расчет!BM328)</f>
        <v>0</v>
      </c>
      <c r="AS328" s="25">
        <f>IF(Расчет!BN328&lt;0,0,Расчет!BN328)</f>
        <v>0</v>
      </c>
      <c r="AT328" s="25">
        <f>Расчет!BY328</f>
        <v>0</v>
      </c>
      <c r="AU328" s="25">
        <f>Расчет!BZ328</f>
        <v>10</v>
      </c>
      <c r="AV328" s="25">
        <f>Расчет!CA328</f>
        <v>0</v>
      </c>
      <c r="AW328" s="25" t="str">
        <f>Расчет!CH328</f>
        <v>Аммофос 12:52:00</v>
      </c>
      <c r="AX328" s="25">
        <f>Расчет!DB328</f>
        <v>0</v>
      </c>
      <c r="AY328" s="25">
        <f>Расчет!DC328</f>
        <v>0</v>
      </c>
      <c r="AZ328" s="25">
        <f>Расчет!DG328</f>
        <v>0</v>
      </c>
      <c r="BA328" s="25">
        <f>Расчет!DH328</f>
        <v>0</v>
      </c>
      <c r="BB328" s="25">
        <f>Расчет!DI328</f>
        <v>0</v>
      </c>
      <c r="BC328" s="25" t="str">
        <f>Расчет!DR328</f>
        <v>Нет</v>
      </c>
      <c r="BD328" s="25">
        <f>Расчет!EB328</f>
        <v>0</v>
      </c>
      <c r="BE328" s="25">
        <f>Расчет!EF328</f>
        <v>0</v>
      </c>
      <c r="BF328" s="25" t="e">
        <f>Расчет!EI328</f>
        <v>#DIV/0!</v>
      </c>
      <c r="BG328" s="25" t="e">
        <f>Расчет!FA328</f>
        <v>#N/A</v>
      </c>
      <c r="BI328">
        <f>IF(Исходн.данные.!AH328=Исходн.данные.!$AC$4,0.6,1)</f>
        <v>1</v>
      </c>
      <c r="BJ328">
        <f>IF(Исходн.данные.!AH328=Исходн.данные.!$AC$4,0.8,IF(OR(Потребность!F328=Расчет2!$BI$10,Потребность!F328=Расчет2!$BI$7,Потребность!F328=Расчет2!$BK$14,Исходн.данные.!AI328=Исходн.данные.!$AI$11),1.3,1))</f>
        <v>1.3</v>
      </c>
      <c r="BK328">
        <f>IF(OR(Исходн.данные.!AH328=Исходн.данные.!$AD$7,Исходн.данные.!AH328=Исходн.данные.!$AD$8),0.75,1)</f>
        <v>1</v>
      </c>
    </row>
    <row r="329" spans="32:63" x14ac:dyDescent="0.2">
      <c r="AF329">
        <f>SUM(Исходн.данные.!AD329:AF329)</f>
        <v>0</v>
      </c>
      <c r="AG329" s="60">
        <f>SUM(Расчет!CI329:CK329)</f>
        <v>0.64</v>
      </c>
      <c r="AH329" s="60">
        <f>SUM(Расчет!DS329:DU329)</f>
        <v>0</v>
      </c>
      <c r="AI329" t="e">
        <f t="shared" si="8"/>
        <v>#N/A</v>
      </c>
      <c r="AJ329" t="e">
        <f t="shared" si="9"/>
        <v>#N/A</v>
      </c>
      <c r="AL329">
        <f>Потребность!G329*Потребность!H329</f>
        <v>0</v>
      </c>
      <c r="AM329" s="11" t="e">
        <f>Исходн.данные.!$AJ329*Расчет2!AO329</f>
        <v>#VALUE!</v>
      </c>
      <c r="AN329" s="11">
        <f>Исходн.данные.!$AJ329*Расчет2!AP329</f>
        <v>0</v>
      </c>
      <c r="AO329" s="25" t="str">
        <f>IF(Расчет!BF329=0,"X",Расчет!BF329)</f>
        <v>X</v>
      </c>
      <c r="AP329" s="25">
        <f>Расчет!BG329</f>
        <v>0</v>
      </c>
      <c r="AQ329" s="9">
        <f>IF(Расчет!BL329&lt;0,0,Расчет!BL329)</f>
        <v>0</v>
      </c>
      <c r="AR329" s="25">
        <f>IF(Расчет!BM329&lt;0,0,Расчет!BM329)</f>
        <v>0</v>
      </c>
      <c r="AS329" s="25">
        <f>IF(Расчет!BN329&lt;0,0,Расчет!BN329)</f>
        <v>0</v>
      </c>
      <c r="AT329" s="25">
        <f>Расчет!BY329</f>
        <v>0</v>
      </c>
      <c r="AU329" s="25">
        <f>Расчет!BZ329</f>
        <v>10</v>
      </c>
      <c r="AV329" s="25">
        <f>Расчет!CA329</f>
        <v>0</v>
      </c>
      <c r="AW329" s="25" t="str">
        <f>Расчет!CH329</f>
        <v>Аммофос 12:52:00</v>
      </c>
      <c r="AX329" s="25">
        <f>Расчет!DB329</f>
        <v>0</v>
      </c>
      <c r="AY329" s="25">
        <f>Расчет!DC329</f>
        <v>0</v>
      </c>
      <c r="AZ329" s="25">
        <f>Расчет!DG329</f>
        <v>0</v>
      </c>
      <c r="BA329" s="25">
        <f>Расчет!DH329</f>
        <v>0</v>
      </c>
      <c r="BB329" s="25">
        <f>Расчет!DI329</f>
        <v>0</v>
      </c>
      <c r="BC329" s="25" t="str">
        <f>Расчет!DR329</f>
        <v>Нет</v>
      </c>
      <c r="BD329" s="25">
        <f>Расчет!EB329</f>
        <v>0</v>
      </c>
      <c r="BE329" s="25">
        <f>Расчет!EF329</f>
        <v>0</v>
      </c>
      <c r="BF329" s="25" t="e">
        <f>Расчет!EI329</f>
        <v>#DIV/0!</v>
      </c>
      <c r="BG329" s="25" t="e">
        <f>Расчет!FA329</f>
        <v>#N/A</v>
      </c>
      <c r="BI329">
        <f>IF(Исходн.данные.!AH329=Исходн.данные.!$AC$4,0.6,1)</f>
        <v>1</v>
      </c>
      <c r="BJ329">
        <f>IF(Исходн.данные.!AH329=Исходн.данные.!$AC$4,0.8,IF(OR(Потребность!F329=Расчет2!$BI$10,Потребность!F329=Расчет2!$BI$7,Потребность!F329=Расчет2!$BK$14,Исходн.данные.!AI329=Исходн.данные.!$AI$11),1.3,1))</f>
        <v>1.3</v>
      </c>
      <c r="BK329">
        <f>IF(OR(Исходн.данные.!AH329=Исходн.данные.!$AD$7,Исходн.данные.!AH329=Исходн.данные.!$AD$8),0.75,1)</f>
        <v>1</v>
      </c>
    </row>
    <row r="330" spans="32:63" x14ac:dyDescent="0.2">
      <c r="AF330">
        <f>SUM(Исходн.данные.!AD330:AF330)</f>
        <v>0</v>
      </c>
      <c r="AG330" s="60">
        <f>SUM(Расчет!CI330:CK330)</f>
        <v>0.64</v>
      </c>
      <c r="AH330" s="60">
        <f>SUM(Расчет!DS330:DU330)</f>
        <v>0</v>
      </c>
      <c r="AI330" t="e">
        <f t="shared" si="8"/>
        <v>#N/A</v>
      </c>
      <c r="AJ330" t="e">
        <f t="shared" si="9"/>
        <v>#N/A</v>
      </c>
      <c r="AL330">
        <f>Потребность!G330*Потребность!H330</f>
        <v>0</v>
      </c>
      <c r="AM330" s="11" t="e">
        <f>Исходн.данные.!$AJ330*Расчет2!AO330</f>
        <v>#VALUE!</v>
      </c>
      <c r="AN330" s="11">
        <f>Исходн.данные.!$AJ330*Расчет2!AP330</f>
        <v>0</v>
      </c>
      <c r="AO330" s="25" t="str">
        <f>IF(Расчет!BF330=0,"X",Расчет!BF330)</f>
        <v>X</v>
      </c>
      <c r="AP330" s="25">
        <f>Расчет!BG330</f>
        <v>0</v>
      </c>
      <c r="AQ330" s="9">
        <f>IF(Расчет!BL330&lt;0,0,Расчет!BL330)</f>
        <v>0</v>
      </c>
      <c r="AR330" s="25">
        <f>IF(Расчет!BM330&lt;0,0,Расчет!BM330)</f>
        <v>0</v>
      </c>
      <c r="AS330" s="25">
        <f>IF(Расчет!BN330&lt;0,0,Расчет!BN330)</f>
        <v>0</v>
      </c>
      <c r="AT330" s="25">
        <f>Расчет!BY330</f>
        <v>0</v>
      </c>
      <c r="AU330" s="25">
        <f>Расчет!BZ330</f>
        <v>10</v>
      </c>
      <c r="AV330" s="25">
        <f>Расчет!CA330</f>
        <v>0</v>
      </c>
      <c r="AW330" s="25" t="str">
        <f>Расчет!CH330</f>
        <v>Аммофос 12:52:00</v>
      </c>
      <c r="AX330" s="25">
        <f>Расчет!DB330</f>
        <v>0</v>
      </c>
      <c r="AY330" s="25">
        <f>Расчет!DC330</f>
        <v>0</v>
      </c>
      <c r="AZ330" s="25">
        <f>Расчет!DG330</f>
        <v>0</v>
      </c>
      <c r="BA330" s="25">
        <f>Расчет!DH330</f>
        <v>0</v>
      </c>
      <c r="BB330" s="25">
        <f>Расчет!DI330</f>
        <v>0</v>
      </c>
      <c r="BC330" s="25" t="str">
        <f>Расчет!DR330</f>
        <v>Нет</v>
      </c>
      <c r="BD330" s="25">
        <f>Расчет!EB330</f>
        <v>0</v>
      </c>
      <c r="BE330" s="25">
        <f>Расчет!EF330</f>
        <v>0</v>
      </c>
      <c r="BF330" s="25" t="e">
        <f>Расчет!EI330</f>
        <v>#DIV/0!</v>
      </c>
      <c r="BG330" s="25" t="e">
        <f>Расчет!FA330</f>
        <v>#N/A</v>
      </c>
      <c r="BI330">
        <f>IF(Исходн.данные.!AH330=Исходн.данные.!$AC$4,0.6,1)</f>
        <v>1</v>
      </c>
      <c r="BJ330">
        <f>IF(Исходн.данные.!AH330=Исходн.данные.!$AC$4,0.8,IF(OR(Потребность!F330=Расчет2!$BI$10,Потребность!F330=Расчет2!$BI$7,Потребность!F330=Расчет2!$BK$14,Исходн.данные.!AI330=Исходн.данные.!$AI$11),1.3,1))</f>
        <v>1.3</v>
      </c>
      <c r="BK330">
        <f>IF(OR(Исходн.данные.!AH330=Исходн.данные.!$AD$7,Исходн.данные.!AH330=Исходн.данные.!$AD$8),0.75,1)</f>
        <v>1</v>
      </c>
    </row>
    <row r="331" spans="32:63" x14ac:dyDescent="0.2">
      <c r="AF331">
        <f>SUM(Исходн.данные.!AD331:AF331)</f>
        <v>0</v>
      </c>
      <c r="AG331" s="60">
        <f>SUM(Расчет!CI331:CK331)</f>
        <v>0.64</v>
      </c>
      <c r="AH331" s="60">
        <f>SUM(Расчет!DS331:DU331)</f>
        <v>0</v>
      </c>
      <c r="AI331" t="e">
        <f t="shared" si="8"/>
        <v>#N/A</v>
      </c>
      <c r="AJ331" t="e">
        <f t="shared" si="9"/>
        <v>#N/A</v>
      </c>
      <c r="AL331">
        <f>Потребность!G331*Потребность!H331</f>
        <v>0</v>
      </c>
      <c r="AM331" s="11" t="e">
        <f>Исходн.данные.!$AJ331*Расчет2!AO331</f>
        <v>#VALUE!</v>
      </c>
      <c r="AN331" s="11">
        <f>Исходн.данные.!$AJ331*Расчет2!AP331</f>
        <v>0</v>
      </c>
      <c r="AO331" s="25" t="str">
        <f>IF(Расчет!BF331=0,"X",Расчет!BF331)</f>
        <v>X</v>
      </c>
      <c r="AP331" s="25">
        <f>Расчет!BG331</f>
        <v>0</v>
      </c>
      <c r="AQ331" s="9">
        <f>IF(Расчет!BL331&lt;0,0,Расчет!BL331)</f>
        <v>0</v>
      </c>
      <c r="AR331" s="25">
        <f>IF(Расчет!BM331&lt;0,0,Расчет!BM331)</f>
        <v>0</v>
      </c>
      <c r="AS331" s="25">
        <f>IF(Расчет!BN331&lt;0,0,Расчет!BN331)</f>
        <v>0</v>
      </c>
      <c r="AT331" s="25">
        <f>Расчет!BY331</f>
        <v>0</v>
      </c>
      <c r="AU331" s="25">
        <f>Расчет!BZ331</f>
        <v>10</v>
      </c>
      <c r="AV331" s="25">
        <f>Расчет!CA331</f>
        <v>0</v>
      </c>
      <c r="AW331" s="25" t="str">
        <f>Расчет!CH331</f>
        <v>Аммофос 12:52:00</v>
      </c>
      <c r="AX331" s="25">
        <f>Расчет!DB331</f>
        <v>0</v>
      </c>
      <c r="AY331" s="25">
        <f>Расчет!DC331</f>
        <v>0</v>
      </c>
      <c r="AZ331" s="25">
        <f>Расчет!DG331</f>
        <v>0</v>
      </c>
      <c r="BA331" s="25">
        <f>Расчет!DH331</f>
        <v>0</v>
      </c>
      <c r="BB331" s="25">
        <f>Расчет!DI331</f>
        <v>0</v>
      </c>
      <c r="BC331" s="25" t="str">
        <f>Расчет!DR331</f>
        <v>Нет</v>
      </c>
      <c r="BD331" s="25">
        <f>Расчет!EB331</f>
        <v>0</v>
      </c>
      <c r="BE331" s="25">
        <f>Расчет!EF331</f>
        <v>0</v>
      </c>
      <c r="BF331" s="25" t="e">
        <f>Расчет!EI331</f>
        <v>#DIV/0!</v>
      </c>
      <c r="BG331" s="25" t="e">
        <f>Расчет!FA331</f>
        <v>#N/A</v>
      </c>
      <c r="BI331">
        <f>IF(Исходн.данные.!AH331=Исходн.данные.!$AC$4,0.6,1)</f>
        <v>1</v>
      </c>
      <c r="BJ331">
        <f>IF(Исходн.данные.!AH331=Исходн.данные.!$AC$4,0.8,IF(OR(Потребность!F331=Расчет2!$BI$10,Потребность!F331=Расчет2!$BI$7,Потребность!F331=Расчет2!$BK$14,Исходн.данные.!AI331=Исходн.данные.!$AI$11),1.3,1))</f>
        <v>1.3</v>
      </c>
      <c r="BK331">
        <f>IF(OR(Исходн.данные.!AH331=Исходн.данные.!$AD$7,Исходн.данные.!AH331=Исходн.данные.!$AD$8),0.75,1)</f>
        <v>1</v>
      </c>
    </row>
    <row r="332" spans="32:63" x14ac:dyDescent="0.2">
      <c r="AF332">
        <f>SUM(Исходн.данные.!AD332:AF332)</f>
        <v>0</v>
      </c>
      <c r="AG332" s="60">
        <f>SUM(Расчет!CI332:CK332)</f>
        <v>0.64</v>
      </c>
      <c r="AH332" s="60">
        <f>SUM(Расчет!DS332:DU332)</f>
        <v>0</v>
      </c>
      <c r="AI332" t="e">
        <f t="shared" si="8"/>
        <v>#N/A</v>
      </c>
      <c r="AJ332" t="e">
        <f t="shared" si="9"/>
        <v>#N/A</v>
      </c>
      <c r="AL332">
        <f>Потребность!G332*Потребность!H332</f>
        <v>0</v>
      </c>
      <c r="AM332" s="11" t="e">
        <f>Исходн.данные.!$AJ332*Расчет2!AO332</f>
        <v>#VALUE!</v>
      </c>
      <c r="AN332" s="11">
        <f>Исходн.данные.!$AJ332*Расчет2!AP332</f>
        <v>0</v>
      </c>
      <c r="AO332" s="25" t="str">
        <f>IF(Расчет!BF332=0,"X",Расчет!BF332)</f>
        <v>X</v>
      </c>
      <c r="AP332" s="25">
        <f>Расчет!BG332</f>
        <v>0</v>
      </c>
      <c r="AQ332" s="9">
        <f>IF(Расчет!BL332&lt;0,0,Расчет!BL332)</f>
        <v>0</v>
      </c>
      <c r="AR332" s="25">
        <f>IF(Расчет!BM332&lt;0,0,Расчет!BM332)</f>
        <v>0</v>
      </c>
      <c r="AS332" s="25">
        <f>IF(Расчет!BN332&lt;0,0,Расчет!BN332)</f>
        <v>0</v>
      </c>
      <c r="AT332" s="25">
        <f>Расчет!BY332</f>
        <v>0</v>
      </c>
      <c r="AU332" s="25">
        <f>Расчет!BZ332</f>
        <v>10</v>
      </c>
      <c r="AV332" s="25">
        <f>Расчет!CA332</f>
        <v>0</v>
      </c>
      <c r="AW332" s="25" t="str">
        <f>Расчет!CH332</f>
        <v>Аммофос 12:52:00</v>
      </c>
      <c r="AX332" s="25">
        <f>Расчет!DB332</f>
        <v>0</v>
      </c>
      <c r="AY332" s="25">
        <f>Расчет!DC332</f>
        <v>0</v>
      </c>
      <c r="AZ332" s="25">
        <f>Расчет!DG332</f>
        <v>0</v>
      </c>
      <c r="BA332" s="25">
        <f>Расчет!DH332</f>
        <v>0</v>
      </c>
      <c r="BB332" s="25">
        <f>Расчет!DI332</f>
        <v>0</v>
      </c>
      <c r="BC332" s="25" t="str">
        <f>Расчет!DR332</f>
        <v>Нет</v>
      </c>
      <c r="BD332" s="25">
        <f>Расчет!EB332</f>
        <v>0</v>
      </c>
      <c r="BE332" s="25">
        <f>Расчет!EF332</f>
        <v>0</v>
      </c>
      <c r="BF332" s="25" t="e">
        <f>Расчет!EI332</f>
        <v>#DIV/0!</v>
      </c>
      <c r="BG332" s="25" t="e">
        <f>Расчет!FA332</f>
        <v>#N/A</v>
      </c>
      <c r="BI332">
        <f>IF(Исходн.данные.!AH332=Исходн.данные.!$AC$4,0.6,1)</f>
        <v>1</v>
      </c>
      <c r="BJ332">
        <f>IF(Исходн.данные.!AH332=Исходн.данные.!$AC$4,0.8,IF(OR(Потребность!F332=Расчет2!$BI$10,Потребность!F332=Расчет2!$BI$7,Потребность!F332=Расчет2!$BK$14,Исходн.данные.!AI332=Исходн.данные.!$AI$11),1.3,1))</f>
        <v>1.3</v>
      </c>
      <c r="BK332">
        <f>IF(OR(Исходн.данные.!AH332=Исходн.данные.!$AD$7,Исходн.данные.!AH332=Исходн.данные.!$AD$8),0.75,1)</f>
        <v>1</v>
      </c>
    </row>
    <row r="333" spans="32:63" x14ac:dyDescent="0.2">
      <c r="AF333">
        <f>SUM(Исходн.данные.!AD333:AF333)</f>
        <v>0</v>
      </c>
      <c r="AG333" s="60">
        <f>SUM(Расчет!CI333:CK333)</f>
        <v>0.64</v>
      </c>
      <c r="AH333" s="60">
        <f>SUM(Расчет!DS333:DU333)</f>
        <v>0</v>
      </c>
      <c r="AI333" t="e">
        <f t="shared" si="8"/>
        <v>#N/A</v>
      </c>
      <c r="AJ333" t="e">
        <f t="shared" si="9"/>
        <v>#N/A</v>
      </c>
      <c r="AL333">
        <f>Потребность!G333*Потребность!H333</f>
        <v>0</v>
      </c>
      <c r="AM333" s="11" t="e">
        <f>Исходн.данные.!$AJ333*Расчет2!AO333</f>
        <v>#VALUE!</v>
      </c>
      <c r="AN333" s="11">
        <f>Исходн.данные.!$AJ333*Расчет2!AP333</f>
        <v>0</v>
      </c>
      <c r="AO333" s="25" t="str">
        <f>IF(Расчет!BF333=0,"X",Расчет!BF333)</f>
        <v>X</v>
      </c>
      <c r="AP333" s="25">
        <f>Расчет!BG333</f>
        <v>0</v>
      </c>
      <c r="AQ333" s="9">
        <f>IF(Расчет!BL333&lt;0,0,Расчет!BL333)</f>
        <v>0</v>
      </c>
      <c r="AR333" s="25">
        <f>IF(Расчет!BM333&lt;0,0,Расчет!BM333)</f>
        <v>0</v>
      </c>
      <c r="AS333" s="25">
        <f>IF(Расчет!BN333&lt;0,0,Расчет!BN333)</f>
        <v>0</v>
      </c>
      <c r="AT333" s="25">
        <f>Расчет!BY333</f>
        <v>0</v>
      </c>
      <c r="AU333" s="25">
        <f>Расчет!BZ333</f>
        <v>10</v>
      </c>
      <c r="AV333" s="25">
        <f>Расчет!CA333</f>
        <v>0</v>
      </c>
      <c r="AW333" s="25" t="str">
        <f>Расчет!CH333</f>
        <v>Аммофос 12:52:00</v>
      </c>
      <c r="AX333" s="25">
        <f>Расчет!DB333</f>
        <v>0</v>
      </c>
      <c r="AY333" s="25">
        <f>Расчет!DC333</f>
        <v>0</v>
      </c>
      <c r="AZ333" s="25">
        <f>Расчет!DG333</f>
        <v>0</v>
      </c>
      <c r="BA333" s="25">
        <f>Расчет!DH333</f>
        <v>0</v>
      </c>
      <c r="BB333" s="25">
        <f>Расчет!DI333</f>
        <v>0</v>
      </c>
      <c r="BC333" s="25" t="str">
        <f>Расчет!DR333</f>
        <v>Нет</v>
      </c>
      <c r="BD333" s="25">
        <f>Расчет!EB333</f>
        <v>0</v>
      </c>
      <c r="BE333" s="25">
        <f>Расчет!EF333</f>
        <v>0</v>
      </c>
      <c r="BF333" s="25" t="e">
        <f>Расчет!EI333</f>
        <v>#DIV/0!</v>
      </c>
      <c r="BG333" s="25" t="e">
        <f>Расчет!FA333</f>
        <v>#N/A</v>
      </c>
      <c r="BI333">
        <f>IF(Исходн.данные.!AH333=Исходн.данные.!$AC$4,0.6,1)</f>
        <v>1</v>
      </c>
      <c r="BJ333">
        <f>IF(Исходн.данные.!AH333=Исходн.данные.!$AC$4,0.8,IF(OR(Потребность!F333=Расчет2!$BI$10,Потребность!F333=Расчет2!$BI$7,Потребность!F333=Расчет2!$BK$14,Исходн.данные.!AI333=Исходн.данные.!$AI$11),1.3,1))</f>
        <v>1.3</v>
      </c>
      <c r="BK333">
        <f>IF(OR(Исходн.данные.!AH333=Исходн.данные.!$AD$7,Исходн.данные.!AH333=Исходн.данные.!$AD$8),0.75,1)</f>
        <v>1</v>
      </c>
    </row>
    <row r="334" spans="32:63" x14ac:dyDescent="0.2">
      <c r="AF334">
        <f>SUM(Исходн.данные.!AD334:AF334)</f>
        <v>0</v>
      </c>
      <c r="AG334" s="60">
        <f>SUM(Расчет!CI334:CK334)</f>
        <v>0.64</v>
      </c>
      <c r="AH334" s="60">
        <f>SUM(Расчет!DS334:DU334)</f>
        <v>0</v>
      </c>
      <c r="AI334" t="e">
        <f t="shared" si="8"/>
        <v>#N/A</v>
      </c>
      <c r="AJ334" t="e">
        <f t="shared" si="9"/>
        <v>#N/A</v>
      </c>
      <c r="AL334">
        <f>Потребность!G334*Потребность!H334</f>
        <v>0</v>
      </c>
      <c r="AM334" s="11" t="e">
        <f>Исходн.данные.!$AJ334*Расчет2!AO334</f>
        <v>#VALUE!</v>
      </c>
      <c r="AN334" s="11">
        <f>Исходн.данные.!$AJ334*Расчет2!AP334</f>
        <v>0</v>
      </c>
      <c r="AO334" s="25" t="str">
        <f>IF(Расчет!BF334=0,"X",Расчет!BF334)</f>
        <v>X</v>
      </c>
      <c r="AP334" s="25">
        <f>Расчет!BG334</f>
        <v>0</v>
      </c>
      <c r="AQ334" s="9">
        <f>IF(Расчет!BL334&lt;0,0,Расчет!BL334)</f>
        <v>0</v>
      </c>
      <c r="AR334" s="25">
        <f>IF(Расчет!BM334&lt;0,0,Расчет!BM334)</f>
        <v>0</v>
      </c>
      <c r="AS334" s="25">
        <f>IF(Расчет!BN334&lt;0,0,Расчет!BN334)</f>
        <v>0</v>
      </c>
      <c r="AT334" s="25">
        <f>Расчет!BY334</f>
        <v>0</v>
      </c>
      <c r="AU334" s="25">
        <f>Расчет!BZ334</f>
        <v>10</v>
      </c>
      <c r="AV334" s="25">
        <f>Расчет!CA334</f>
        <v>0</v>
      </c>
      <c r="AW334" s="25" t="str">
        <f>Расчет!CH334</f>
        <v>Аммофос 12:52:00</v>
      </c>
      <c r="AX334" s="25">
        <f>Расчет!DB334</f>
        <v>0</v>
      </c>
      <c r="AY334" s="25">
        <f>Расчет!DC334</f>
        <v>0</v>
      </c>
      <c r="AZ334" s="25">
        <f>Расчет!DG334</f>
        <v>0</v>
      </c>
      <c r="BA334" s="25">
        <f>Расчет!DH334</f>
        <v>0</v>
      </c>
      <c r="BB334" s="25">
        <f>Расчет!DI334</f>
        <v>0</v>
      </c>
      <c r="BC334" s="25" t="str">
        <f>Расчет!DR334</f>
        <v>Нет</v>
      </c>
      <c r="BD334" s="25">
        <f>Расчет!EB334</f>
        <v>0</v>
      </c>
      <c r="BE334" s="25">
        <f>Расчет!EF334</f>
        <v>0</v>
      </c>
      <c r="BF334" s="25" t="e">
        <f>Расчет!EI334</f>
        <v>#DIV/0!</v>
      </c>
      <c r="BG334" s="25" t="e">
        <f>Расчет!FA334</f>
        <v>#N/A</v>
      </c>
      <c r="BI334">
        <f>IF(Исходн.данные.!AH334=Исходн.данные.!$AC$4,0.6,1)</f>
        <v>1</v>
      </c>
      <c r="BJ334">
        <f>IF(Исходн.данные.!AH334=Исходн.данные.!$AC$4,0.8,IF(OR(Потребность!F334=Расчет2!$BI$10,Потребность!F334=Расчет2!$BI$7,Потребность!F334=Расчет2!$BK$14,Исходн.данные.!AI334=Исходн.данные.!$AI$11),1.3,1))</f>
        <v>1.3</v>
      </c>
      <c r="BK334">
        <f>IF(OR(Исходн.данные.!AH334=Исходн.данные.!$AD$7,Исходн.данные.!AH334=Исходн.данные.!$AD$8),0.75,1)</f>
        <v>1</v>
      </c>
    </row>
    <row r="335" spans="32:63" x14ac:dyDescent="0.2">
      <c r="AF335">
        <f>SUM(Исходн.данные.!AD335:AF335)</f>
        <v>0</v>
      </c>
      <c r="AG335" s="60">
        <f>SUM(Расчет!CI335:CK335)</f>
        <v>0.64</v>
      </c>
      <c r="AH335" s="60">
        <f>SUM(Расчет!DS335:DU335)</f>
        <v>0</v>
      </c>
      <c r="AI335" t="e">
        <f t="shared" si="8"/>
        <v>#N/A</v>
      </c>
      <c r="AJ335" t="e">
        <f t="shared" si="9"/>
        <v>#N/A</v>
      </c>
      <c r="AL335">
        <f>Потребность!G335*Потребность!H335</f>
        <v>0</v>
      </c>
      <c r="AM335" s="11" t="e">
        <f>Исходн.данные.!$AJ335*Расчет2!AO335</f>
        <v>#VALUE!</v>
      </c>
      <c r="AN335" s="11">
        <f>Исходн.данные.!$AJ335*Расчет2!AP335</f>
        <v>0</v>
      </c>
      <c r="AO335" s="25" t="str">
        <f>IF(Расчет!BF335=0,"X",Расчет!BF335)</f>
        <v>X</v>
      </c>
      <c r="AP335" s="25">
        <f>Расчет!BG335</f>
        <v>0</v>
      </c>
      <c r="AQ335" s="9">
        <f>IF(Расчет!BL335&lt;0,0,Расчет!BL335)</f>
        <v>0</v>
      </c>
      <c r="AR335" s="25">
        <f>IF(Расчет!BM335&lt;0,0,Расчет!BM335)</f>
        <v>0</v>
      </c>
      <c r="AS335" s="25">
        <f>IF(Расчет!BN335&lt;0,0,Расчет!BN335)</f>
        <v>0</v>
      </c>
      <c r="AT335" s="25">
        <f>Расчет!BY335</f>
        <v>0</v>
      </c>
      <c r="AU335" s="25">
        <f>Расчет!BZ335</f>
        <v>10</v>
      </c>
      <c r="AV335" s="25">
        <f>Расчет!CA335</f>
        <v>0</v>
      </c>
      <c r="AW335" s="25" t="str">
        <f>Расчет!CH335</f>
        <v>Аммофос 12:52:00</v>
      </c>
      <c r="AX335" s="25">
        <f>Расчет!DB335</f>
        <v>0</v>
      </c>
      <c r="AY335" s="25">
        <f>Расчет!DC335</f>
        <v>0</v>
      </c>
      <c r="AZ335" s="25">
        <f>Расчет!DG335</f>
        <v>0</v>
      </c>
      <c r="BA335" s="25">
        <f>Расчет!DH335</f>
        <v>0</v>
      </c>
      <c r="BB335" s="25">
        <f>Расчет!DI335</f>
        <v>0</v>
      </c>
      <c r="BC335" s="25" t="str">
        <f>Расчет!DR335</f>
        <v>Нет</v>
      </c>
      <c r="BD335" s="25">
        <f>Расчет!EB335</f>
        <v>0</v>
      </c>
      <c r="BE335" s="25">
        <f>Расчет!EF335</f>
        <v>0</v>
      </c>
      <c r="BF335" s="25" t="e">
        <f>Расчет!EI335</f>
        <v>#DIV/0!</v>
      </c>
      <c r="BG335" s="25" t="e">
        <f>Расчет!FA335</f>
        <v>#N/A</v>
      </c>
      <c r="BI335">
        <f>IF(Исходн.данные.!AH335=Исходн.данные.!$AC$4,0.6,1)</f>
        <v>1</v>
      </c>
      <c r="BJ335">
        <f>IF(Исходн.данные.!AH335=Исходн.данные.!$AC$4,0.8,IF(OR(Потребность!F335=Расчет2!$BI$10,Потребность!F335=Расчет2!$BI$7,Потребность!F335=Расчет2!$BK$14,Исходн.данные.!AI335=Исходн.данные.!$AI$11),1.3,1))</f>
        <v>1.3</v>
      </c>
      <c r="BK335">
        <f>IF(OR(Исходн.данные.!AH335=Исходн.данные.!$AD$7,Исходн.данные.!AH335=Исходн.данные.!$AD$8),0.75,1)</f>
        <v>1</v>
      </c>
    </row>
    <row r="336" spans="32:63" x14ac:dyDescent="0.2">
      <c r="AF336">
        <f>SUM(Исходн.данные.!AD336:AF336)</f>
        <v>0</v>
      </c>
      <c r="AG336" s="60">
        <f>SUM(Расчет!CI336:CK336)</f>
        <v>0.64</v>
      </c>
      <c r="AH336" s="60">
        <f>SUM(Расчет!DS336:DU336)</f>
        <v>0</v>
      </c>
      <c r="AI336" t="e">
        <f t="shared" si="8"/>
        <v>#N/A</v>
      </c>
      <c r="AJ336" t="e">
        <f t="shared" si="9"/>
        <v>#N/A</v>
      </c>
      <c r="AL336">
        <f>Потребность!G336*Потребность!H336</f>
        <v>0</v>
      </c>
      <c r="AM336" s="11" t="e">
        <f>Исходн.данные.!$AJ336*Расчет2!AO336</f>
        <v>#VALUE!</v>
      </c>
      <c r="AN336" s="11">
        <f>Исходн.данные.!$AJ336*Расчет2!AP336</f>
        <v>0</v>
      </c>
      <c r="AO336" s="25" t="str">
        <f>IF(Расчет!BF336=0,"X",Расчет!BF336)</f>
        <v>X</v>
      </c>
      <c r="AP336" s="25">
        <f>Расчет!BG336</f>
        <v>0</v>
      </c>
      <c r="AQ336" s="9">
        <f>IF(Расчет!BL336&lt;0,0,Расчет!BL336)</f>
        <v>0</v>
      </c>
      <c r="AR336" s="25">
        <f>IF(Расчет!BM336&lt;0,0,Расчет!BM336)</f>
        <v>0</v>
      </c>
      <c r="AS336" s="25">
        <f>IF(Расчет!BN336&lt;0,0,Расчет!BN336)</f>
        <v>0</v>
      </c>
      <c r="AT336" s="25">
        <f>Расчет!BY336</f>
        <v>0</v>
      </c>
      <c r="AU336" s="25">
        <f>Расчет!BZ336</f>
        <v>10</v>
      </c>
      <c r="AV336" s="25">
        <f>Расчет!CA336</f>
        <v>0</v>
      </c>
      <c r="AW336" s="25" t="str">
        <f>Расчет!CH336</f>
        <v>Аммофос 12:52:00</v>
      </c>
      <c r="AX336" s="25">
        <f>Расчет!DB336</f>
        <v>0</v>
      </c>
      <c r="AY336" s="25">
        <f>Расчет!DC336</f>
        <v>0</v>
      </c>
      <c r="AZ336" s="25">
        <f>Расчет!DG336</f>
        <v>0</v>
      </c>
      <c r="BA336" s="25">
        <f>Расчет!DH336</f>
        <v>0</v>
      </c>
      <c r="BB336" s="25">
        <f>Расчет!DI336</f>
        <v>0</v>
      </c>
      <c r="BC336" s="25" t="str">
        <f>Расчет!DR336</f>
        <v>Нет</v>
      </c>
      <c r="BD336" s="25">
        <f>Расчет!EB336</f>
        <v>0</v>
      </c>
      <c r="BE336" s="25">
        <f>Расчет!EF336</f>
        <v>0</v>
      </c>
      <c r="BF336" s="25" t="e">
        <f>Расчет!EI336</f>
        <v>#DIV/0!</v>
      </c>
      <c r="BG336" s="25" t="e">
        <f>Расчет!FA336</f>
        <v>#N/A</v>
      </c>
      <c r="BI336">
        <f>IF(Исходн.данные.!AH336=Исходн.данные.!$AC$4,0.6,1)</f>
        <v>1</v>
      </c>
      <c r="BJ336">
        <f>IF(Исходн.данные.!AH336=Исходн.данные.!$AC$4,0.8,IF(OR(Потребность!F336=Расчет2!$BI$10,Потребность!F336=Расчет2!$BI$7,Потребность!F336=Расчет2!$BK$14,Исходн.данные.!AI336=Исходн.данные.!$AI$11),1.3,1))</f>
        <v>1.3</v>
      </c>
      <c r="BK336">
        <f>IF(OR(Исходн.данные.!AH336=Исходн.данные.!$AD$7,Исходн.данные.!AH336=Исходн.данные.!$AD$8),0.75,1)</f>
        <v>1</v>
      </c>
    </row>
    <row r="337" spans="32:63" x14ac:dyDescent="0.2">
      <c r="AF337">
        <f>SUM(Исходн.данные.!AD337:AF337)</f>
        <v>0</v>
      </c>
      <c r="AG337" s="60">
        <f>SUM(Расчет!CI337:CK337)</f>
        <v>0.64</v>
      </c>
      <c r="AH337" s="60">
        <f>SUM(Расчет!DS337:DU337)</f>
        <v>0</v>
      </c>
      <c r="AI337" t="e">
        <f t="shared" si="8"/>
        <v>#N/A</v>
      </c>
      <c r="AJ337" t="e">
        <f t="shared" si="9"/>
        <v>#N/A</v>
      </c>
      <c r="AL337">
        <f>Потребность!G337*Потребность!H337</f>
        <v>0</v>
      </c>
      <c r="AM337" s="11" t="e">
        <f>Исходн.данные.!$AJ337*Расчет2!AO337</f>
        <v>#VALUE!</v>
      </c>
      <c r="AN337" s="11">
        <f>Исходн.данные.!$AJ337*Расчет2!AP337</f>
        <v>0</v>
      </c>
      <c r="AO337" s="25" t="str">
        <f>IF(Расчет!BF337=0,"X",Расчет!BF337)</f>
        <v>X</v>
      </c>
      <c r="AP337" s="25">
        <f>Расчет!BG337</f>
        <v>0</v>
      </c>
      <c r="AQ337" s="9">
        <f>IF(Расчет!BL337&lt;0,0,Расчет!BL337)</f>
        <v>0</v>
      </c>
      <c r="AR337" s="25">
        <f>IF(Расчет!BM337&lt;0,0,Расчет!BM337)</f>
        <v>0</v>
      </c>
      <c r="AS337" s="25">
        <f>IF(Расчет!BN337&lt;0,0,Расчет!BN337)</f>
        <v>0</v>
      </c>
      <c r="AT337" s="25">
        <f>Расчет!BY337</f>
        <v>0</v>
      </c>
      <c r="AU337" s="25">
        <f>Расчет!BZ337</f>
        <v>10</v>
      </c>
      <c r="AV337" s="25">
        <f>Расчет!CA337</f>
        <v>0</v>
      </c>
      <c r="AW337" s="25" t="str">
        <f>Расчет!CH337</f>
        <v>Аммофос 12:52:00</v>
      </c>
      <c r="AX337" s="25">
        <f>Расчет!DB337</f>
        <v>0</v>
      </c>
      <c r="AY337" s="25">
        <f>Расчет!DC337</f>
        <v>0</v>
      </c>
      <c r="AZ337" s="25">
        <f>Расчет!DG337</f>
        <v>0</v>
      </c>
      <c r="BA337" s="25">
        <f>Расчет!DH337</f>
        <v>0</v>
      </c>
      <c r="BB337" s="25">
        <f>Расчет!DI337</f>
        <v>0</v>
      </c>
      <c r="BC337" s="25" t="str">
        <f>Расчет!DR337</f>
        <v>Нет</v>
      </c>
      <c r="BD337" s="25">
        <f>Расчет!EB337</f>
        <v>0</v>
      </c>
      <c r="BE337" s="25">
        <f>Расчет!EF337</f>
        <v>0</v>
      </c>
      <c r="BF337" s="25" t="e">
        <f>Расчет!EI337</f>
        <v>#DIV/0!</v>
      </c>
      <c r="BG337" s="25" t="e">
        <f>Расчет!FA337</f>
        <v>#N/A</v>
      </c>
      <c r="BI337">
        <f>IF(Исходн.данные.!AH337=Исходн.данные.!$AC$4,0.6,1)</f>
        <v>1</v>
      </c>
      <c r="BJ337">
        <f>IF(Исходн.данные.!AH337=Исходн.данные.!$AC$4,0.8,IF(OR(Потребность!F337=Расчет2!$BI$10,Потребность!F337=Расчет2!$BI$7,Потребность!F337=Расчет2!$BK$14,Исходн.данные.!AI337=Исходн.данные.!$AI$11),1.3,1))</f>
        <v>1.3</v>
      </c>
      <c r="BK337">
        <f>IF(OR(Исходн.данные.!AH337=Исходн.данные.!$AD$7,Исходн.данные.!AH337=Исходн.данные.!$AD$8),0.75,1)</f>
        <v>1</v>
      </c>
    </row>
    <row r="338" spans="32:63" x14ac:dyDescent="0.2">
      <c r="AF338">
        <f>SUM(Исходн.данные.!AD338:AF338)</f>
        <v>0</v>
      </c>
      <c r="AG338" s="60">
        <f>SUM(Расчет!CI338:CK338)</f>
        <v>0.64</v>
      </c>
      <c r="AH338" s="60">
        <f>SUM(Расчет!DS338:DU338)</f>
        <v>0</v>
      </c>
      <c r="AI338" t="e">
        <f t="shared" si="8"/>
        <v>#N/A</v>
      </c>
      <c r="AJ338" t="e">
        <f t="shared" si="9"/>
        <v>#N/A</v>
      </c>
      <c r="AL338">
        <f>Потребность!G338*Потребность!H338</f>
        <v>0</v>
      </c>
      <c r="AM338" s="11" t="e">
        <f>Исходн.данные.!$AJ338*Расчет2!AO338</f>
        <v>#VALUE!</v>
      </c>
      <c r="AN338" s="11">
        <f>Исходн.данные.!$AJ338*Расчет2!AP338</f>
        <v>0</v>
      </c>
      <c r="AO338" s="25" t="str">
        <f>IF(Расчет!BF338=0,"X",Расчет!BF338)</f>
        <v>X</v>
      </c>
      <c r="AP338" s="25">
        <f>Расчет!BG338</f>
        <v>0</v>
      </c>
      <c r="AQ338" s="9">
        <f>IF(Расчет!BL338&lt;0,0,Расчет!BL338)</f>
        <v>0</v>
      </c>
      <c r="AR338" s="25">
        <f>IF(Расчет!BM338&lt;0,0,Расчет!BM338)</f>
        <v>0</v>
      </c>
      <c r="AS338" s="25">
        <f>IF(Расчет!BN338&lt;0,0,Расчет!BN338)</f>
        <v>0</v>
      </c>
      <c r="AT338" s="25">
        <f>Расчет!BY338</f>
        <v>0</v>
      </c>
      <c r="AU338" s="25">
        <f>Расчет!BZ338</f>
        <v>10</v>
      </c>
      <c r="AV338" s="25">
        <f>Расчет!CA338</f>
        <v>0</v>
      </c>
      <c r="AW338" s="25" t="str">
        <f>Расчет!CH338</f>
        <v>Аммофос 12:52:00</v>
      </c>
      <c r="AX338" s="25">
        <f>Расчет!DB338</f>
        <v>0</v>
      </c>
      <c r="AY338" s="25">
        <f>Расчет!DC338</f>
        <v>0</v>
      </c>
      <c r="AZ338" s="25">
        <f>Расчет!DG338</f>
        <v>0</v>
      </c>
      <c r="BA338" s="25">
        <f>Расчет!DH338</f>
        <v>0</v>
      </c>
      <c r="BB338" s="25">
        <f>Расчет!DI338</f>
        <v>0</v>
      </c>
      <c r="BC338" s="25" t="str">
        <f>Расчет!DR338</f>
        <v>Нет</v>
      </c>
      <c r="BD338" s="25">
        <f>Расчет!EB338</f>
        <v>0</v>
      </c>
      <c r="BE338" s="25">
        <f>Расчет!EF338</f>
        <v>0</v>
      </c>
      <c r="BF338" s="25" t="e">
        <f>Расчет!EI338</f>
        <v>#DIV/0!</v>
      </c>
      <c r="BG338" s="25" t="e">
        <f>Расчет!FA338</f>
        <v>#N/A</v>
      </c>
      <c r="BI338">
        <f>IF(Исходн.данные.!AH338=Исходн.данные.!$AC$4,0.6,1)</f>
        <v>1</v>
      </c>
      <c r="BJ338">
        <f>IF(Исходн.данные.!AH338=Исходн.данные.!$AC$4,0.8,IF(OR(Потребность!F338=Расчет2!$BI$10,Потребность!F338=Расчет2!$BI$7,Потребность!F338=Расчет2!$BK$14,Исходн.данные.!AI338=Исходн.данные.!$AI$11),1.3,1))</f>
        <v>1.3</v>
      </c>
      <c r="BK338">
        <f>IF(OR(Исходн.данные.!AH338=Исходн.данные.!$AD$7,Исходн.данные.!AH338=Исходн.данные.!$AD$8),0.75,1)</f>
        <v>1</v>
      </c>
    </row>
    <row r="339" spans="32:63" x14ac:dyDescent="0.2">
      <c r="AF339">
        <f>SUM(Исходн.данные.!AD339:AF339)</f>
        <v>0</v>
      </c>
      <c r="AG339" s="60">
        <f>SUM(Расчет!CI339:CK339)</f>
        <v>0.64</v>
      </c>
      <c r="AH339" s="60">
        <f>SUM(Расчет!DS339:DU339)</f>
        <v>0</v>
      </c>
      <c r="AI339" t="e">
        <f t="shared" si="8"/>
        <v>#N/A</v>
      </c>
      <c r="AJ339" t="e">
        <f t="shared" si="9"/>
        <v>#N/A</v>
      </c>
      <c r="AL339">
        <f>Потребность!G339*Потребность!H339</f>
        <v>0</v>
      </c>
      <c r="AM339" s="11" t="e">
        <f>Исходн.данные.!$AJ339*Расчет2!AO339</f>
        <v>#VALUE!</v>
      </c>
      <c r="AN339" s="11">
        <f>Исходн.данные.!$AJ339*Расчет2!AP339</f>
        <v>0</v>
      </c>
      <c r="AO339" s="25" t="str">
        <f>IF(Расчет!BF339=0,"X",Расчет!BF339)</f>
        <v>X</v>
      </c>
      <c r="AP339" s="25">
        <f>Расчет!BG339</f>
        <v>0</v>
      </c>
      <c r="AQ339" s="9">
        <f>IF(Расчет!BL339&lt;0,0,Расчет!BL339)</f>
        <v>0</v>
      </c>
      <c r="AR339" s="25">
        <f>IF(Расчет!BM339&lt;0,0,Расчет!BM339)</f>
        <v>0</v>
      </c>
      <c r="AS339" s="25">
        <f>IF(Расчет!BN339&lt;0,0,Расчет!BN339)</f>
        <v>0</v>
      </c>
      <c r="AT339" s="25">
        <f>Расчет!BY339</f>
        <v>0</v>
      </c>
      <c r="AU339" s="25">
        <f>Расчет!BZ339</f>
        <v>10</v>
      </c>
      <c r="AV339" s="25">
        <f>Расчет!CA339</f>
        <v>0</v>
      </c>
      <c r="AW339" s="25" t="str">
        <f>Расчет!CH339</f>
        <v>Аммофос 12:52:00</v>
      </c>
      <c r="AX339" s="25">
        <f>Расчет!DB339</f>
        <v>0</v>
      </c>
      <c r="AY339" s="25">
        <f>Расчет!DC339</f>
        <v>0</v>
      </c>
      <c r="AZ339" s="25">
        <f>Расчет!DG339</f>
        <v>0</v>
      </c>
      <c r="BA339" s="25">
        <f>Расчет!DH339</f>
        <v>0</v>
      </c>
      <c r="BB339" s="25">
        <f>Расчет!DI339</f>
        <v>0</v>
      </c>
      <c r="BC339" s="25" t="str">
        <f>Расчет!DR339</f>
        <v>Нет</v>
      </c>
      <c r="BD339" s="25">
        <f>Расчет!EB339</f>
        <v>0</v>
      </c>
      <c r="BE339" s="25">
        <f>Расчет!EF339</f>
        <v>0</v>
      </c>
      <c r="BF339" s="25" t="e">
        <f>Расчет!EI339</f>
        <v>#DIV/0!</v>
      </c>
      <c r="BG339" s="25" t="e">
        <f>Расчет!FA339</f>
        <v>#N/A</v>
      </c>
      <c r="BI339">
        <f>IF(Исходн.данные.!AH339=Исходн.данные.!$AC$4,0.6,1)</f>
        <v>1</v>
      </c>
      <c r="BJ339">
        <f>IF(Исходн.данные.!AH339=Исходн.данные.!$AC$4,0.8,IF(OR(Потребность!F339=Расчет2!$BI$10,Потребность!F339=Расчет2!$BI$7,Потребность!F339=Расчет2!$BK$14,Исходн.данные.!AI339=Исходн.данные.!$AI$11),1.3,1))</f>
        <v>1.3</v>
      </c>
      <c r="BK339">
        <f>IF(OR(Исходн.данные.!AH339=Исходн.данные.!$AD$7,Исходн.данные.!AH339=Исходн.данные.!$AD$8),0.75,1)</f>
        <v>1</v>
      </c>
    </row>
    <row r="340" spans="32:63" x14ac:dyDescent="0.2">
      <c r="AF340">
        <f>SUM(Исходн.данные.!AD340:AF340)</f>
        <v>0</v>
      </c>
      <c r="AG340" s="60">
        <f>SUM(Расчет!CI340:CK340)</f>
        <v>0.64</v>
      </c>
      <c r="AH340" s="60">
        <f>SUM(Расчет!DS340:DU340)</f>
        <v>0</v>
      </c>
      <c r="AI340" t="e">
        <f t="shared" si="8"/>
        <v>#N/A</v>
      </c>
      <c r="AJ340" t="e">
        <f t="shared" si="9"/>
        <v>#N/A</v>
      </c>
      <c r="AL340">
        <f>Потребность!G340*Потребность!H340</f>
        <v>0</v>
      </c>
      <c r="AM340" s="11" t="e">
        <f>Исходн.данные.!$AJ340*Расчет2!AO340</f>
        <v>#VALUE!</v>
      </c>
      <c r="AN340" s="11">
        <f>Исходн.данные.!$AJ340*Расчет2!AP340</f>
        <v>0</v>
      </c>
      <c r="AO340" s="25" t="str">
        <f>IF(Расчет!BF340=0,"X",Расчет!BF340)</f>
        <v>X</v>
      </c>
      <c r="AP340" s="25">
        <f>Расчет!BG340</f>
        <v>0</v>
      </c>
      <c r="AQ340" s="9">
        <f>IF(Расчет!BL340&lt;0,0,Расчет!BL340)</f>
        <v>0</v>
      </c>
      <c r="AR340" s="25">
        <f>IF(Расчет!BM340&lt;0,0,Расчет!BM340)</f>
        <v>0</v>
      </c>
      <c r="AS340" s="25">
        <f>IF(Расчет!BN340&lt;0,0,Расчет!BN340)</f>
        <v>0</v>
      </c>
      <c r="AT340" s="25">
        <f>Расчет!BY340</f>
        <v>0</v>
      </c>
      <c r="AU340" s="25">
        <f>Расчет!BZ340</f>
        <v>10</v>
      </c>
      <c r="AV340" s="25">
        <f>Расчет!CA340</f>
        <v>0</v>
      </c>
      <c r="AW340" s="25" t="str">
        <f>Расчет!CH340</f>
        <v>Аммофос 12:52:00</v>
      </c>
      <c r="AX340" s="25">
        <f>Расчет!DB340</f>
        <v>0</v>
      </c>
      <c r="AY340" s="25">
        <f>Расчет!DC340</f>
        <v>0</v>
      </c>
      <c r="AZ340" s="25">
        <f>Расчет!DG340</f>
        <v>0</v>
      </c>
      <c r="BA340" s="25">
        <f>Расчет!DH340</f>
        <v>0</v>
      </c>
      <c r="BB340" s="25">
        <f>Расчет!DI340</f>
        <v>0</v>
      </c>
      <c r="BC340" s="25" t="str">
        <f>Расчет!DR340</f>
        <v>Нет</v>
      </c>
      <c r="BD340" s="25">
        <f>Расчет!EB340</f>
        <v>0</v>
      </c>
      <c r="BE340" s="25">
        <f>Расчет!EF340</f>
        <v>0</v>
      </c>
      <c r="BF340" s="25" t="e">
        <f>Расчет!EI340</f>
        <v>#DIV/0!</v>
      </c>
      <c r="BG340" s="25" t="e">
        <f>Расчет!FA340</f>
        <v>#N/A</v>
      </c>
      <c r="BI340">
        <f>IF(Исходн.данные.!AH340=Исходн.данные.!$AC$4,0.6,1)</f>
        <v>1</v>
      </c>
      <c r="BJ340">
        <f>IF(Исходн.данные.!AH340=Исходн.данные.!$AC$4,0.8,IF(OR(Потребность!F340=Расчет2!$BI$10,Потребность!F340=Расчет2!$BI$7,Потребность!F340=Расчет2!$BK$14,Исходн.данные.!AI340=Исходн.данные.!$AI$11),1.3,1))</f>
        <v>1.3</v>
      </c>
      <c r="BK340">
        <f>IF(OR(Исходн.данные.!AH340=Исходн.данные.!$AD$7,Исходн.данные.!AH340=Исходн.данные.!$AD$8),0.75,1)</f>
        <v>1</v>
      </c>
    </row>
    <row r="341" spans="32:63" x14ac:dyDescent="0.2">
      <c r="AF341">
        <f>SUM(Исходн.данные.!AD341:AF341)</f>
        <v>0</v>
      </c>
      <c r="AG341" s="60">
        <f>SUM(Расчет!CI341:CK341)</f>
        <v>0.64</v>
      </c>
      <c r="AH341" s="60">
        <f>SUM(Расчет!DS341:DU341)</f>
        <v>0</v>
      </c>
      <c r="AI341" t="e">
        <f t="shared" si="8"/>
        <v>#N/A</v>
      </c>
      <c r="AJ341" t="e">
        <f t="shared" si="9"/>
        <v>#N/A</v>
      </c>
      <c r="AL341">
        <f>Потребность!G341*Потребность!H341</f>
        <v>0</v>
      </c>
      <c r="AM341" s="11" t="e">
        <f>Исходн.данные.!$AJ341*Расчет2!AO341</f>
        <v>#VALUE!</v>
      </c>
      <c r="AN341" s="11">
        <f>Исходн.данные.!$AJ341*Расчет2!AP341</f>
        <v>0</v>
      </c>
      <c r="AO341" s="25" t="str">
        <f>IF(Расчет!BF341=0,"X",Расчет!BF341)</f>
        <v>X</v>
      </c>
      <c r="AP341" s="25">
        <f>Расчет!BG341</f>
        <v>0</v>
      </c>
      <c r="AQ341" s="9">
        <f>IF(Расчет!BL341&lt;0,0,Расчет!BL341)</f>
        <v>0</v>
      </c>
      <c r="AR341" s="25">
        <f>IF(Расчет!BM341&lt;0,0,Расчет!BM341)</f>
        <v>0</v>
      </c>
      <c r="AS341" s="25">
        <f>IF(Расчет!BN341&lt;0,0,Расчет!BN341)</f>
        <v>0</v>
      </c>
      <c r="AT341" s="25">
        <f>Расчет!BY341</f>
        <v>0</v>
      </c>
      <c r="AU341" s="25">
        <f>Расчет!BZ341</f>
        <v>10</v>
      </c>
      <c r="AV341" s="25">
        <f>Расчет!CA341</f>
        <v>0</v>
      </c>
      <c r="AW341" s="25" t="str">
        <f>Расчет!CH341</f>
        <v>Аммофос 12:52:00</v>
      </c>
      <c r="AX341" s="25">
        <f>Расчет!DB341</f>
        <v>0</v>
      </c>
      <c r="AY341" s="25">
        <f>Расчет!DC341</f>
        <v>0</v>
      </c>
      <c r="AZ341" s="25">
        <f>Расчет!DG341</f>
        <v>0</v>
      </c>
      <c r="BA341" s="25">
        <f>Расчет!DH341</f>
        <v>0</v>
      </c>
      <c r="BB341" s="25">
        <f>Расчет!DI341</f>
        <v>0</v>
      </c>
      <c r="BC341" s="25" t="str">
        <f>Расчет!DR341</f>
        <v>Нет</v>
      </c>
      <c r="BD341" s="25">
        <f>Расчет!EB341</f>
        <v>0</v>
      </c>
      <c r="BE341" s="25">
        <f>Расчет!EF341</f>
        <v>0</v>
      </c>
      <c r="BF341" s="25" t="e">
        <f>Расчет!EI341</f>
        <v>#DIV/0!</v>
      </c>
      <c r="BG341" s="25" t="e">
        <f>Расчет!FA341</f>
        <v>#N/A</v>
      </c>
      <c r="BI341">
        <f>IF(Исходн.данные.!AH341=Исходн.данные.!$AC$4,0.6,1)</f>
        <v>1</v>
      </c>
      <c r="BJ341">
        <f>IF(Исходн.данные.!AH341=Исходн.данные.!$AC$4,0.8,IF(OR(Потребность!F341=Расчет2!$BI$10,Потребность!F341=Расчет2!$BI$7,Потребность!F341=Расчет2!$BK$14,Исходн.данные.!AI341=Исходн.данные.!$AI$11),1.3,1))</f>
        <v>1.3</v>
      </c>
      <c r="BK341">
        <f>IF(OR(Исходн.данные.!AH341=Исходн.данные.!$AD$7,Исходн.данные.!AH341=Исходн.данные.!$AD$8),0.75,1)</f>
        <v>1</v>
      </c>
    </row>
    <row r="342" spans="32:63" x14ac:dyDescent="0.2">
      <c r="AF342">
        <f>SUM(Исходн.данные.!AD342:AF342)</f>
        <v>0</v>
      </c>
      <c r="AG342" s="60">
        <f>SUM(Расчет!CI342:CK342)</f>
        <v>0.64</v>
      </c>
      <c r="AH342" s="60">
        <f>SUM(Расчет!DS342:DU342)</f>
        <v>0</v>
      </c>
      <c r="AI342" t="e">
        <f t="shared" ref="AI342:AI349" si="10">VLOOKUP(МетОпрФос,ПопрКоМетАн,2,FALSE)</f>
        <v>#N/A</v>
      </c>
      <c r="AJ342" t="e">
        <f t="shared" ref="AJ342:AJ349" si="11">VLOOKUP(МетОпрКал,ПопрКоМетАн,3,FALSE)</f>
        <v>#N/A</v>
      </c>
      <c r="AL342">
        <f>Потребность!G342*Потребность!H342</f>
        <v>0</v>
      </c>
      <c r="AM342" s="11" t="e">
        <f>Исходн.данные.!$AJ342*Расчет2!AO342</f>
        <v>#VALUE!</v>
      </c>
      <c r="AN342" s="11">
        <f>Исходн.данные.!$AJ342*Расчет2!AP342</f>
        <v>0</v>
      </c>
      <c r="AO342" s="25" t="str">
        <f>IF(Расчет!BF342=0,"X",Расчет!BF342)</f>
        <v>X</v>
      </c>
      <c r="AP342" s="25">
        <f>Расчет!BG342</f>
        <v>0</v>
      </c>
      <c r="AQ342" s="9">
        <f>IF(Расчет!BL342&lt;0,0,Расчет!BL342)</f>
        <v>0</v>
      </c>
      <c r="AR342" s="25">
        <f>IF(Расчет!BM342&lt;0,0,Расчет!BM342)</f>
        <v>0</v>
      </c>
      <c r="AS342" s="25">
        <f>IF(Расчет!BN342&lt;0,0,Расчет!BN342)</f>
        <v>0</v>
      </c>
      <c r="AT342" s="25">
        <f>Расчет!BY342</f>
        <v>0</v>
      </c>
      <c r="AU342" s="25">
        <f>Расчет!BZ342</f>
        <v>10</v>
      </c>
      <c r="AV342" s="25">
        <f>Расчет!CA342</f>
        <v>0</v>
      </c>
      <c r="AW342" s="25" t="str">
        <f>Расчет!CH342</f>
        <v>Аммофос 12:52:00</v>
      </c>
      <c r="AX342" s="25">
        <f>Расчет!DB342</f>
        <v>0</v>
      </c>
      <c r="AY342" s="25">
        <f>Расчет!DC342</f>
        <v>0</v>
      </c>
      <c r="AZ342" s="25">
        <f>Расчет!DG342</f>
        <v>0</v>
      </c>
      <c r="BA342" s="25">
        <f>Расчет!DH342</f>
        <v>0</v>
      </c>
      <c r="BB342" s="25">
        <f>Расчет!DI342</f>
        <v>0</v>
      </c>
      <c r="BC342" s="25" t="str">
        <f>Расчет!DR342</f>
        <v>Нет</v>
      </c>
      <c r="BD342" s="25">
        <f>Расчет!EB342</f>
        <v>0</v>
      </c>
      <c r="BE342" s="25">
        <f>Расчет!EF342</f>
        <v>0</v>
      </c>
      <c r="BF342" s="25" t="e">
        <f>Расчет!EI342</f>
        <v>#DIV/0!</v>
      </c>
      <c r="BG342" s="25" t="e">
        <f>Расчет!FA342</f>
        <v>#N/A</v>
      </c>
      <c r="BI342">
        <f>IF(Исходн.данные.!AH342=Исходн.данные.!$AC$4,0.6,1)</f>
        <v>1</v>
      </c>
      <c r="BJ342">
        <f>IF(Исходн.данные.!AH342=Исходн.данные.!$AC$4,0.8,IF(OR(Потребность!F342=Расчет2!$BI$10,Потребность!F342=Расчет2!$BI$7,Потребность!F342=Расчет2!$BK$14,Исходн.данные.!AI342=Исходн.данные.!$AI$11),1.3,1))</f>
        <v>1.3</v>
      </c>
      <c r="BK342">
        <f>IF(OR(Исходн.данные.!AH342=Исходн.данные.!$AD$7,Исходн.данные.!AH342=Исходн.данные.!$AD$8),0.75,1)</f>
        <v>1</v>
      </c>
    </row>
    <row r="343" spans="32:63" x14ac:dyDescent="0.2">
      <c r="AF343">
        <f>SUM(Исходн.данные.!AD343:AF343)</f>
        <v>0</v>
      </c>
      <c r="AG343" s="60">
        <f>SUM(Расчет!CI343:CK343)</f>
        <v>0.64</v>
      </c>
      <c r="AH343" s="60">
        <f>SUM(Расчет!DS343:DU343)</f>
        <v>0</v>
      </c>
      <c r="AI343" t="e">
        <f t="shared" si="10"/>
        <v>#N/A</v>
      </c>
      <c r="AJ343" t="e">
        <f t="shared" si="11"/>
        <v>#N/A</v>
      </c>
      <c r="AL343">
        <f>Потребность!G343*Потребность!H343</f>
        <v>0</v>
      </c>
      <c r="AM343" s="11" t="e">
        <f>Исходн.данные.!$AJ343*Расчет2!AO343</f>
        <v>#VALUE!</v>
      </c>
      <c r="AN343" s="11">
        <f>Исходн.данные.!$AJ343*Расчет2!AP343</f>
        <v>0</v>
      </c>
      <c r="AO343" s="25" t="str">
        <f>IF(Расчет!BF343=0,"X",Расчет!BF343)</f>
        <v>X</v>
      </c>
      <c r="AP343" s="25">
        <f>Расчет!BG343</f>
        <v>0</v>
      </c>
      <c r="AQ343" s="9">
        <f>IF(Расчет!BL343&lt;0,0,Расчет!BL343)</f>
        <v>0</v>
      </c>
      <c r="AR343" s="25">
        <f>IF(Расчет!BM343&lt;0,0,Расчет!BM343)</f>
        <v>0</v>
      </c>
      <c r="AS343" s="25">
        <f>IF(Расчет!BN343&lt;0,0,Расчет!BN343)</f>
        <v>0</v>
      </c>
      <c r="AT343" s="25">
        <f>Расчет!BY343</f>
        <v>0</v>
      </c>
      <c r="AU343" s="25">
        <f>Расчет!BZ343</f>
        <v>10</v>
      </c>
      <c r="AV343" s="25">
        <f>Расчет!CA343</f>
        <v>0</v>
      </c>
      <c r="AW343" s="25" t="str">
        <f>Расчет!CH343</f>
        <v>Аммофос 12:52:00</v>
      </c>
      <c r="AX343" s="25">
        <f>Расчет!DB343</f>
        <v>0</v>
      </c>
      <c r="AY343" s="25">
        <f>Расчет!DC343</f>
        <v>0</v>
      </c>
      <c r="AZ343" s="25">
        <f>Расчет!DG343</f>
        <v>0</v>
      </c>
      <c r="BA343" s="25">
        <f>Расчет!DH343</f>
        <v>0</v>
      </c>
      <c r="BB343" s="25">
        <f>Расчет!DI343</f>
        <v>0</v>
      </c>
      <c r="BC343" s="25" t="str">
        <f>Расчет!DR343</f>
        <v>Нет</v>
      </c>
      <c r="BD343" s="25">
        <f>Расчет!EB343</f>
        <v>0</v>
      </c>
      <c r="BE343" s="25">
        <f>Расчет!EF343</f>
        <v>0</v>
      </c>
      <c r="BF343" s="25" t="e">
        <f>Расчет!EI343</f>
        <v>#DIV/0!</v>
      </c>
      <c r="BG343" s="25" t="e">
        <f>Расчет!FA343</f>
        <v>#N/A</v>
      </c>
      <c r="BI343">
        <f>IF(Исходн.данные.!AH343=Исходн.данные.!$AC$4,0.6,1)</f>
        <v>1</v>
      </c>
      <c r="BJ343">
        <f>IF(Исходн.данные.!AH343=Исходн.данные.!$AC$4,0.8,IF(OR(Потребность!F343=Расчет2!$BI$10,Потребность!F343=Расчет2!$BI$7,Потребность!F343=Расчет2!$BK$14,Исходн.данные.!AI343=Исходн.данные.!$AI$11),1.3,1))</f>
        <v>1.3</v>
      </c>
      <c r="BK343">
        <f>IF(OR(Исходн.данные.!AH343=Исходн.данные.!$AD$7,Исходн.данные.!AH343=Исходн.данные.!$AD$8),0.75,1)</f>
        <v>1</v>
      </c>
    </row>
    <row r="344" spans="32:63" x14ac:dyDescent="0.2">
      <c r="AF344">
        <f>SUM(Исходн.данные.!AD344:AF344)</f>
        <v>0</v>
      </c>
      <c r="AG344" s="60">
        <f>SUM(Расчет!CI344:CK344)</f>
        <v>0.64</v>
      </c>
      <c r="AH344" s="60">
        <f>SUM(Расчет!DS344:DU344)</f>
        <v>0</v>
      </c>
      <c r="AI344" t="e">
        <f t="shared" si="10"/>
        <v>#N/A</v>
      </c>
      <c r="AJ344" t="e">
        <f t="shared" si="11"/>
        <v>#N/A</v>
      </c>
      <c r="AL344">
        <f>Потребность!G344*Потребность!H344</f>
        <v>0</v>
      </c>
      <c r="AM344" s="11" t="e">
        <f>Исходн.данные.!$AJ344*Расчет2!AO344</f>
        <v>#VALUE!</v>
      </c>
      <c r="AN344" s="11">
        <f>Исходн.данные.!$AJ344*Расчет2!AP344</f>
        <v>0</v>
      </c>
      <c r="AO344" s="25" t="str">
        <f>IF(Расчет!BF344=0,"X",Расчет!BF344)</f>
        <v>X</v>
      </c>
      <c r="AP344" s="25">
        <f>Расчет!BG344</f>
        <v>0</v>
      </c>
      <c r="AQ344" s="9">
        <f>IF(Расчет!BL344&lt;0,0,Расчет!BL344)</f>
        <v>0</v>
      </c>
      <c r="AR344" s="25">
        <f>IF(Расчет!BM344&lt;0,0,Расчет!BM344)</f>
        <v>0</v>
      </c>
      <c r="AS344" s="25">
        <f>IF(Расчет!BN344&lt;0,0,Расчет!BN344)</f>
        <v>0</v>
      </c>
      <c r="AT344" s="25">
        <f>Расчет!BY344</f>
        <v>0</v>
      </c>
      <c r="AU344" s="25">
        <f>Расчет!BZ344</f>
        <v>10</v>
      </c>
      <c r="AV344" s="25">
        <f>Расчет!CA344</f>
        <v>0</v>
      </c>
      <c r="AW344" s="25" t="str">
        <f>Расчет!CH344</f>
        <v>Аммофос 12:52:00</v>
      </c>
      <c r="AX344" s="25">
        <f>Расчет!DB344</f>
        <v>0</v>
      </c>
      <c r="AY344" s="25">
        <f>Расчет!DC344</f>
        <v>0</v>
      </c>
      <c r="AZ344" s="25">
        <f>Расчет!DG344</f>
        <v>0</v>
      </c>
      <c r="BA344" s="25">
        <f>Расчет!DH344</f>
        <v>0</v>
      </c>
      <c r="BB344" s="25">
        <f>Расчет!DI344</f>
        <v>0</v>
      </c>
      <c r="BC344" s="25" t="str">
        <f>Расчет!DR344</f>
        <v>Нет</v>
      </c>
      <c r="BD344" s="25">
        <f>Расчет!EB344</f>
        <v>0</v>
      </c>
      <c r="BE344" s="25">
        <f>Расчет!EF344</f>
        <v>0</v>
      </c>
      <c r="BF344" s="25" t="e">
        <f>Расчет!EI344</f>
        <v>#DIV/0!</v>
      </c>
      <c r="BG344" s="25" t="e">
        <f>Расчет!FA344</f>
        <v>#N/A</v>
      </c>
      <c r="BI344">
        <f>IF(Исходн.данные.!AH344=Исходн.данные.!$AC$4,0.6,1)</f>
        <v>1</v>
      </c>
      <c r="BJ344">
        <f>IF(Исходн.данные.!AH344=Исходн.данные.!$AC$4,0.8,IF(OR(Потребность!F344=Расчет2!$BI$10,Потребность!F344=Расчет2!$BI$7,Потребность!F344=Расчет2!$BK$14,Исходн.данные.!AI344=Исходн.данные.!$AI$11),1.3,1))</f>
        <v>1.3</v>
      </c>
      <c r="BK344">
        <f>IF(OR(Исходн.данные.!AH344=Исходн.данные.!$AD$7,Исходн.данные.!AH344=Исходн.данные.!$AD$8),0.75,1)</f>
        <v>1</v>
      </c>
    </row>
    <row r="345" spans="32:63" x14ac:dyDescent="0.2">
      <c r="AF345">
        <f>SUM(Исходн.данные.!AD345:AF345)</f>
        <v>0</v>
      </c>
      <c r="AG345" s="60">
        <f>SUM(Расчет!CI345:CK345)</f>
        <v>0.64</v>
      </c>
      <c r="AH345" s="60">
        <f>SUM(Расчет!DS345:DU345)</f>
        <v>0</v>
      </c>
      <c r="AI345" t="e">
        <f t="shared" si="10"/>
        <v>#N/A</v>
      </c>
      <c r="AJ345" t="e">
        <f t="shared" si="11"/>
        <v>#N/A</v>
      </c>
      <c r="AL345">
        <f>Потребность!G345*Потребность!H345</f>
        <v>0</v>
      </c>
      <c r="AM345" s="11" t="e">
        <f>Исходн.данные.!$AJ345*Расчет2!AO345</f>
        <v>#VALUE!</v>
      </c>
      <c r="AN345" s="11">
        <f>Исходн.данные.!$AJ345*Расчет2!AP345</f>
        <v>0</v>
      </c>
      <c r="AO345" s="25" t="str">
        <f>IF(Расчет!BF345=0,"X",Расчет!BF345)</f>
        <v>X</v>
      </c>
      <c r="AP345" s="25">
        <f>Расчет!BG345</f>
        <v>0</v>
      </c>
      <c r="AQ345" s="9">
        <f>IF(Расчет!BL345&lt;0,0,Расчет!BL345)</f>
        <v>0</v>
      </c>
      <c r="AR345" s="25">
        <f>IF(Расчет!BM345&lt;0,0,Расчет!BM345)</f>
        <v>0</v>
      </c>
      <c r="AS345" s="25">
        <f>IF(Расчет!BN345&lt;0,0,Расчет!BN345)</f>
        <v>0</v>
      </c>
      <c r="AT345" s="25">
        <f>Расчет!BY345</f>
        <v>0</v>
      </c>
      <c r="AU345" s="25">
        <f>Расчет!BZ345</f>
        <v>10</v>
      </c>
      <c r="AV345" s="25">
        <f>Расчет!CA345</f>
        <v>0</v>
      </c>
      <c r="AW345" s="25" t="str">
        <f>Расчет!CH345</f>
        <v>Аммофос 12:52:00</v>
      </c>
      <c r="AX345" s="25">
        <f>Расчет!DB345</f>
        <v>0</v>
      </c>
      <c r="AY345" s="25">
        <f>Расчет!DC345</f>
        <v>0</v>
      </c>
      <c r="AZ345" s="25">
        <f>Расчет!DG345</f>
        <v>0</v>
      </c>
      <c r="BA345" s="25">
        <f>Расчет!DH345</f>
        <v>0</v>
      </c>
      <c r="BB345" s="25">
        <f>Расчет!DI345</f>
        <v>0</v>
      </c>
      <c r="BC345" s="25" t="str">
        <f>Расчет!DR345</f>
        <v>Нет</v>
      </c>
      <c r="BD345" s="25">
        <f>Расчет!EB345</f>
        <v>0</v>
      </c>
      <c r="BE345" s="25">
        <f>Расчет!EF345</f>
        <v>0</v>
      </c>
      <c r="BF345" s="25" t="e">
        <f>Расчет!EI345</f>
        <v>#DIV/0!</v>
      </c>
      <c r="BG345" s="25" t="e">
        <f>Расчет!FA345</f>
        <v>#N/A</v>
      </c>
      <c r="BI345">
        <f>IF(Исходн.данные.!AH345=Исходн.данные.!$AC$4,0.6,1)</f>
        <v>1</v>
      </c>
      <c r="BJ345">
        <f>IF(Исходн.данные.!AH345=Исходн.данные.!$AC$4,0.8,IF(OR(Потребность!F345=Расчет2!$BI$10,Потребность!F345=Расчет2!$BI$7,Потребность!F345=Расчет2!$BK$14,Исходн.данные.!AI345=Исходн.данные.!$AI$11),1.3,1))</f>
        <v>1.3</v>
      </c>
      <c r="BK345">
        <f>IF(OR(Исходн.данные.!AH345=Исходн.данные.!$AD$7,Исходн.данные.!AH345=Исходн.данные.!$AD$8),0.75,1)</f>
        <v>1</v>
      </c>
    </row>
    <row r="346" spans="32:63" x14ac:dyDescent="0.2">
      <c r="AF346">
        <f>SUM(Исходн.данные.!AD346:AF346)</f>
        <v>0</v>
      </c>
      <c r="AG346" s="60">
        <f>SUM(Расчет!CI346:CK346)</f>
        <v>0.64</v>
      </c>
      <c r="AH346" s="60">
        <f>SUM(Расчет!DS346:DU346)</f>
        <v>0</v>
      </c>
      <c r="AI346" t="e">
        <f t="shared" si="10"/>
        <v>#N/A</v>
      </c>
      <c r="AJ346" t="e">
        <f t="shared" si="11"/>
        <v>#N/A</v>
      </c>
      <c r="AL346">
        <f>Потребность!G346*Потребность!H346</f>
        <v>0</v>
      </c>
      <c r="AM346" s="11" t="e">
        <f>Исходн.данные.!$AJ346*Расчет2!AO346</f>
        <v>#VALUE!</v>
      </c>
      <c r="AN346" s="11">
        <f>Исходн.данные.!$AJ346*Расчет2!AP346</f>
        <v>0</v>
      </c>
      <c r="AO346" s="25" t="str">
        <f>IF(Расчет!BF346=0,"X",Расчет!BF346)</f>
        <v>X</v>
      </c>
      <c r="AP346" s="25">
        <f>Расчет!BG346</f>
        <v>0</v>
      </c>
      <c r="AQ346" s="9">
        <f>IF(Расчет!BL346&lt;0,0,Расчет!BL346)</f>
        <v>0</v>
      </c>
      <c r="AR346" s="25">
        <f>IF(Расчет!BM346&lt;0,0,Расчет!BM346)</f>
        <v>0</v>
      </c>
      <c r="AS346" s="25">
        <f>IF(Расчет!BN346&lt;0,0,Расчет!BN346)</f>
        <v>0</v>
      </c>
      <c r="AT346" s="25">
        <f>Расчет!BY346</f>
        <v>0</v>
      </c>
      <c r="AU346" s="25">
        <f>Расчет!BZ346</f>
        <v>10</v>
      </c>
      <c r="AV346" s="25">
        <f>Расчет!CA346</f>
        <v>0</v>
      </c>
      <c r="AW346" s="25" t="str">
        <f>Расчет!CH346</f>
        <v>Аммофос 12:52:00</v>
      </c>
      <c r="AX346" s="25">
        <f>Расчет!DB346</f>
        <v>0</v>
      </c>
      <c r="AY346" s="25">
        <f>Расчет!DC346</f>
        <v>0</v>
      </c>
      <c r="AZ346" s="25">
        <f>Расчет!DG346</f>
        <v>0</v>
      </c>
      <c r="BA346" s="25">
        <f>Расчет!DH346</f>
        <v>0</v>
      </c>
      <c r="BB346" s="25">
        <f>Расчет!DI346</f>
        <v>0</v>
      </c>
      <c r="BC346" s="25" t="str">
        <f>Расчет!DR346</f>
        <v>Нет</v>
      </c>
      <c r="BD346" s="25">
        <f>Расчет!EB346</f>
        <v>0</v>
      </c>
      <c r="BE346" s="25">
        <f>Расчет!EF346</f>
        <v>0</v>
      </c>
      <c r="BF346" s="25" t="e">
        <f>Расчет!EI346</f>
        <v>#DIV/0!</v>
      </c>
      <c r="BG346" s="25" t="e">
        <f>Расчет!FA346</f>
        <v>#N/A</v>
      </c>
      <c r="BI346">
        <f>IF(Исходн.данные.!AH346=Исходн.данные.!$AC$4,0.6,1)</f>
        <v>1</v>
      </c>
      <c r="BJ346">
        <f>IF(Исходн.данные.!AH346=Исходн.данные.!$AC$4,0.8,IF(OR(Потребность!F346=Расчет2!$BI$10,Потребность!F346=Расчет2!$BI$7,Потребность!F346=Расчет2!$BK$14,Исходн.данные.!AI346=Исходн.данные.!$AI$11),1.3,1))</f>
        <v>1.3</v>
      </c>
      <c r="BK346">
        <f>IF(OR(Исходн.данные.!AH346=Исходн.данные.!$AD$7,Исходн.данные.!AH346=Исходн.данные.!$AD$8),0.75,1)</f>
        <v>1</v>
      </c>
    </row>
    <row r="347" spans="32:63" x14ac:dyDescent="0.2">
      <c r="AF347">
        <f>SUM(Исходн.данные.!AD347:AF347)</f>
        <v>0</v>
      </c>
      <c r="AG347" s="60">
        <f>SUM(Расчет!CI347:CK347)</f>
        <v>0.64</v>
      </c>
      <c r="AH347" s="60">
        <f>SUM(Расчет!DS347:DU347)</f>
        <v>0</v>
      </c>
      <c r="AI347" t="e">
        <f t="shared" si="10"/>
        <v>#N/A</v>
      </c>
      <c r="AJ347" t="e">
        <f t="shared" si="11"/>
        <v>#N/A</v>
      </c>
      <c r="AL347">
        <f>Потребность!G347*Потребность!H347</f>
        <v>0</v>
      </c>
      <c r="AM347" s="11" t="e">
        <f>Исходн.данные.!$AJ347*Расчет2!AO347</f>
        <v>#VALUE!</v>
      </c>
      <c r="AN347" s="11">
        <f>Исходн.данные.!$AJ347*Расчет2!AP347</f>
        <v>0</v>
      </c>
      <c r="AO347" s="25" t="str">
        <f>IF(Расчет!BF347=0,"X",Расчет!BF347)</f>
        <v>X</v>
      </c>
      <c r="AP347" s="25">
        <f>Расчет!BG347</f>
        <v>0</v>
      </c>
      <c r="AQ347" s="9">
        <f>IF(Расчет!BL347&lt;0,0,Расчет!BL347)</f>
        <v>0</v>
      </c>
      <c r="AR347" s="25">
        <f>IF(Расчет!BM347&lt;0,0,Расчет!BM347)</f>
        <v>0</v>
      </c>
      <c r="AS347" s="25">
        <f>IF(Расчет!BN347&lt;0,0,Расчет!BN347)</f>
        <v>0</v>
      </c>
      <c r="AT347" s="25">
        <f>Расчет!BY347</f>
        <v>0</v>
      </c>
      <c r="AU347" s="25">
        <f>Расчет!BZ347</f>
        <v>10</v>
      </c>
      <c r="AV347" s="25">
        <f>Расчет!CA347</f>
        <v>0</v>
      </c>
      <c r="AW347" s="25" t="str">
        <f>Расчет!CH347</f>
        <v>Аммофос 12:52:00</v>
      </c>
      <c r="AX347" s="25">
        <f>Расчет!DB347</f>
        <v>0</v>
      </c>
      <c r="AY347" s="25">
        <f>Расчет!DC347</f>
        <v>0</v>
      </c>
      <c r="AZ347" s="25">
        <f>Расчет!DG347</f>
        <v>0</v>
      </c>
      <c r="BA347" s="25">
        <f>Расчет!DH347</f>
        <v>0</v>
      </c>
      <c r="BB347" s="25">
        <f>Расчет!DI347</f>
        <v>0</v>
      </c>
      <c r="BC347" s="25" t="str">
        <f>Расчет!DR347</f>
        <v>Нет</v>
      </c>
      <c r="BD347" s="25">
        <f>Расчет!EB347</f>
        <v>0</v>
      </c>
      <c r="BE347" s="25">
        <f>Расчет!EF347</f>
        <v>0</v>
      </c>
      <c r="BF347" s="25" t="e">
        <f>Расчет!EI347</f>
        <v>#DIV/0!</v>
      </c>
      <c r="BG347" s="25" t="e">
        <f>Расчет!FA347</f>
        <v>#N/A</v>
      </c>
      <c r="BI347">
        <f>IF(Исходн.данные.!AH347=Исходн.данные.!$AC$4,0.6,1)</f>
        <v>1</v>
      </c>
      <c r="BJ347">
        <f>IF(Исходн.данные.!AH347=Исходн.данные.!$AC$4,0.8,IF(OR(Потребность!F347=Расчет2!$BI$10,Потребность!F347=Расчет2!$BI$7,Потребность!F347=Расчет2!$BK$14,Исходн.данные.!AI347=Исходн.данные.!$AI$11),1.3,1))</f>
        <v>1.3</v>
      </c>
      <c r="BK347">
        <f>IF(OR(Исходн.данные.!AH347=Исходн.данные.!$AD$7,Исходн.данные.!AH347=Исходн.данные.!$AD$8),0.75,1)</f>
        <v>1</v>
      </c>
    </row>
    <row r="348" spans="32:63" x14ac:dyDescent="0.2">
      <c r="AF348">
        <f>SUM(Исходн.данные.!AD348:AF348)</f>
        <v>0</v>
      </c>
      <c r="AG348" s="60">
        <f>SUM(Расчет!CI348:CK348)</f>
        <v>0.64</v>
      </c>
      <c r="AH348" s="60">
        <f>SUM(Расчет!DS348:DU348)</f>
        <v>0</v>
      </c>
      <c r="AI348" t="e">
        <f t="shared" si="10"/>
        <v>#N/A</v>
      </c>
      <c r="AJ348" t="e">
        <f t="shared" si="11"/>
        <v>#N/A</v>
      </c>
      <c r="AL348">
        <f>Потребность!G348*Потребность!H348</f>
        <v>0</v>
      </c>
      <c r="AM348" s="11" t="e">
        <f>Исходн.данные.!$AJ348*Расчет2!AO348</f>
        <v>#VALUE!</v>
      </c>
      <c r="AN348" s="11">
        <f>Исходн.данные.!$AJ348*Расчет2!AP348</f>
        <v>0</v>
      </c>
      <c r="AO348" s="25" t="str">
        <f>IF(Расчет!BF348=0,"X",Расчет!BF348)</f>
        <v>X</v>
      </c>
      <c r="AP348" s="25">
        <f>Расчет!BG348</f>
        <v>0</v>
      </c>
      <c r="AQ348" s="9">
        <f>IF(Расчет!BL348&lt;0,0,Расчет!BL348)</f>
        <v>0</v>
      </c>
      <c r="AR348" s="25">
        <f>IF(Расчет!BM348&lt;0,0,Расчет!BM348)</f>
        <v>0</v>
      </c>
      <c r="AS348" s="25">
        <f>IF(Расчет!BN348&lt;0,0,Расчет!BN348)</f>
        <v>0</v>
      </c>
      <c r="AT348" s="25">
        <f>Расчет!BY348</f>
        <v>0</v>
      </c>
      <c r="AU348" s="25">
        <f>Расчет!BZ348</f>
        <v>10</v>
      </c>
      <c r="AV348" s="25">
        <f>Расчет!CA348</f>
        <v>0</v>
      </c>
      <c r="AW348" s="25" t="str">
        <f>Расчет!CH348</f>
        <v>Аммофос 12:52:00</v>
      </c>
      <c r="AX348" s="25">
        <f>Расчет!DB348</f>
        <v>0</v>
      </c>
      <c r="AY348" s="25">
        <f>Расчет!DC348</f>
        <v>0</v>
      </c>
      <c r="AZ348" s="25">
        <f>Расчет!DG348</f>
        <v>0</v>
      </c>
      <c r="BA348" s="25">
        <f>Расчет!DH348</f>
        <v>0</v>
      </c>
      <c r="BB348" s="25">
        <f>Расчет!DI348</f>
        <v>0</v>
      </c>
      <c r="BC348" s="25" t="str">
        <f>Расчет!DR348</f>
        <v>Нет</v>
      </c>
      <c r="BD348" s="25">
        <f>Расчет!EB348</f>
        <v>0</v>
      </c>
      <c r="BE348" s="25">
        <f>Расчет!EF348</f>
        <v>0</v>
      </c>
      <c r="BF348" s="25" t="e">
        <f>Расчет!EI348</f>
        <v>#DIV/0!</v>
      </c>
      <c r="BG348" s="25" t="e">
        <f>Расчет!FA348</f>
        <v>#N/A</v>
      </c>
      <c r="BI348">
        <f>IF(Исходн.данные.!AH348=Исходн.данные.!$AC$4,0.6,1)</f>
        <v>1</v>
      </c>
      <c r="BJ348">
        <f>IF(Исходн.данные.!AH348=Исходн.данные.!$AC$4,0.8,IF(OR(Потребность!F348=Расчет2!$BI$10,Потребность!F348=Расчет2!$BI$7,Потребность!F348=Расчет2!$BK$14,Исходн.данные.!AI348=Исходн.данные.!$AI$11),1.3,1))</f>
        <v>1.3</v>
      </c>
      <c r="BK348">
        <f>IF(OR(Исходн.данные.!AH348=Исходн.данные.!$AD$7,Исходн.данные.!AH348=Исходн.данные.!$AD$8),0.75,1)</f>
        <v>1</v>
      </c>
    </row>
    <row r="349" spans="32:63" x14ac:dyDescent="0.2">
      <c r="AF349">
        <f>SUM(Исходн.данные.!AD349:AF349)</f>
        <v>0</v>
      </c>
      <c r="AG349" s="60">
        <f>SUM(Расчет!CI349:CK349)</f>
        <v>0.64</v>
      </c>
      <c r="AH349" s="60">
        <f>SUM(Расчет!DS349:DU349)</f>
        <v>0</v>
      </c>
      <c r="AI349" t="e">
        <f t="shared" si="10"/>
        <v>#N/A</v>
      </c>
      <c r="AJ349" t="e">
        <f t="shared" si="11"/>
        <v>#N/A</v>
      </c>
      <c r="AL349">
        <f>Потребность!G349*Потребность!H349</f>
        <v>0</v>
      </c>
      <c r="AM349" s="11" t="e">
        <f>Исходн.данные.!$AJ349*Расчет2!AO349</f>
        <v>#VALUE!</v>
      </c>
      <c r="AN349" s="11">
        <f>Исходн.данные.!$AJ349*Расчет2!AP349</f>
        <v>0</v>
      </c>
      <c r="AO349" s="25" t="str">
        <f>IF(Расчет!BF349=0,"X",Расчет!BF349)</f>
        <v>X</v>
      </c>
      <c r="AP349" s="25">
        <f>Расчет!BG349</f>
        <v>0</v>
      </c>
      <c r="AQ349" s="9">
        <f>IF(Расчет!BL349&lt;0,0,Расчет!BL349)</f>
        <v>0</v>
      </c>
      <c r="AR349" s="25">
        <f>IF(Расчет!BM349&lt;0,0,Расчет!BM349)</f>
        <v>0</v>
      </c>
      <c r="AS349" s="25">
        <f>IF(Расчет!BN349&lt;0,0,Расчет!BN349)</f>
        <v>0</v>
      </c>
      <c r="AT349" s="25">
        <f>Расчет!BY349</f>
        <v>0</v>
      </c>
      <c r="AU349" s="25">
        <f>Расчет!BZ349</f>
        <v>10</v>
      </c>
      <c r="AV349" s="25">
        <f>Расчет!CA349</f>
        <v>0</v>
      </c>
      <c r="AW349" s="25" t="str">
        <f>Расчет!CH349</f>
        <v>Аммофос 12:52:00</v>
      </c>
      <c r="AX349" s="25">
        <f>Расчет!DB349</f>
        <v>0</v>
      </c>
      <c r="AY349" s="25">
        <f>Расчет!DC349</f>
        <v>0</v>
      </c>
      <c r="AZ349" s="25">
        <f>Расчет!DG349</f>
        <v>0</v>
      </c>
      <c r="BA349" s="25">
        <f>Расчет!DH349</f>
        <v>0</v>
      </c>
      <c r="BB349" s="25">
        <f>Расчет!DI349</f>
        <v>0</v>
      </c>
      <c r="BC349" s="25" t="str">
        <f>Расчет!DR349</f>
        <v>Нет</v>
      </c>
      <c r="BD349" s="25">
        <f>Расчет!EB349</f>
        <v>0</v>
      </c>
      <c r="BE349" s="25">
        <f>Расчет!EF349</f>
        <v>0</v>
      </c>
      <c r="BF349" s="25" t="e">
        <f>Расчет!EI349</f>
        <v>#DIV/0!</v>
      </c>
      <c r="BG349" s="25" t="e">
        <f>Расчет!FA349</f>
        <v>#N/A</v>
      </c>
      <c r="BI349">
        <f>IF(Исходн.данные.!AH349=Исходн.данные.!$AC$4,0.6,1)</f>
        <v>1</v>
      </c>
      <c r="BJ349">
        <f>IF(Исходн.данные.!AH349=Исходн.данные.!$AC$4,0.8,IF(OR(Потребность!F349=Расчет2!$BI$10,Потребность!F349=Расчет2!$BI$7,Потребность!F349=Расчет2!$BK$14,Исходн.данные.!AI349=Исходн.данные.!$AI$11),1.3,1))</f>
        <v>1.3</v>
      </c>
      <c r="BK349">
        <f>IF(OR(Исходн.данные.!AH349=Исходн.данные.!$AD$7,Исходн.данные.!AH349=Исходн.данные.!$AD$8),0.75,1)</f>
        <v>1</v>
      </c>
    </row>
  </sheetData>
  <mergeCells count="8">
    <mergeCell ref="AF19:AH20"/>
    <mergeCell ref="AI19:AJ20"/>
    <mergeCell ref="BJ19:BK19"/>
    <mergeCell ref="AO8:AP8"/>
    <mergeCell ref="AT19:BE19"/>
    <mergeCell ref="AT20:AY20"/>
    <mergeCell ref="AZ20:BE20"/>
    <mergeCell ref="AQ19:AS19"/>
  </mergeCells>
  <phoneticPr fontId="5" type="noConversion"/>
  <pageMargins left="0.09" right="0.11" top="0.41" bottom="0.39" header="7" footer="0.21"/>
  <pageSetup paperSize="9" scale="75" orientation="landscape" horizontalDpi="300" verticalDpi="300" r:id="rId1"/>
  <headerFooter alignWithMargins="0"/>
  <rowBreaks count="1" manualBreakCount="1">
    <brk id="361" min="36" max="58" man="1"/>
  </rowBreaks>
  <colBreaks count="1" manualBreakCount="1">
    <brk id="59" min="12" max="3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6"/>
  <dimension ref="AI1:IF350"/>
  <sheetViews>
    <sheetView topLeftCell="DF1" zoomScale="73" zoomScaleNormal="73" workbookViewId="0">
      <selection activeCell="EI22" sqref="EI22:EI349"/>
    </sheetView>
  </sheetViews>
  <sheetFormatPr defaultRowHeight="12.75" x14ac:dyDescent="0.2"/>
  <cols>
    <col min="35" max="35" width="13.28515625" customWidth="1"/>
    <col min="36" max="36" width="12.7109375" customWidth="1"/>
    <col min="38" max="38" width="13.85546875" customWidth="1"/>
    <col min="39" max="39" width="13.28515625" customWidth="1"/>
    <col min="40" max="40" width="13.140625" customWidth="1"/>
    <col min="41" max="42" width="13" customWidth="1"/>
    <col min="43" max="43" width="13.7109375" customWidth="1"/>
    <col min="44" max="44" width="13.28515625" customWidth="1"/>
    <col min="45" max="45" width="13.42578125" customWidth="1"/>
    <col min="46" max="48" width="13.28515625" customWidth="1"/>
    <col min="49" max="49" width="13.7109375" customWidth="1"/>
    <col min="50" max="53" width="9.140625" customWidth="1"/>
    <col min="54" max="54" width="14.5703125" customWidth="1"/>
    <col min="55" max="57" width="9.140625" customWidth="1"/>
    <col min="58" max="58" width="12.140625" customWidth="1"/>
    <col min="59" max="59" width="12" customWidth="1"/>
    <col min="60" max="60" width="13.85546875" customWidth="1"/>
    <col min="61" max="70" width="9.140625" customWidth="1"/>
    <col min="71" max="71" width="19.5703125" customWidth="1"/>
    <col min="72" max="85" width="9.140625" customWidth="1"/>
    <col min="86" max="86" width="19.28515625" customWidth="1"/>
    <col min="87" max="95" width="9.140625" customWidth="1"/>
    <col min="96" max="96" width="10.7109375" customWidth="1"/>
    <col min="97" max="105" width="9.140625" customWidth="1"/>
    <col min="106" max="106" width="10.85546875" customWidth="1"/>
    <col min="107" max="116" width="9.140625" customWidth="1"/>
    <col min="117" max="117" width="11.42578125" customWidth="1"/>
    <col min="118" max="121" width="9.140625" customWidth="1"/>
    <col min="122" max="122" width="9.42578125" customWidth="1"/>
    <col min="123" max="125" width="9.140625" customWidth="1"/>
    <col min="126" max="128" width="9.140625" hidden="1" customWidth="1"/>
    <col min="129" max="138" width="9.140625" customWidth="1"/>
    <col min="139" max="139" width="9.5703125" customWidth="1"/>
    <col min="140" max="147" width="9.140625" customWidth="1"/>
    <col min="148" max="148" width="18.140625" customWidth="1"/>
    <col min="149" max="184" width="9.140625" customWidth="1"/>
    <col min="185" max="185" width="10.28515625" customWidth="1"/>
    <col min="186" max="186" width="9.140625" customWidth="1"/>
    <col min="193" max="196" width="9.140625" customWidth="1"/>
    <col min="198" max="200" width="9.140625" customWidth="1"/>
  </cols>
  <sheetData>
    <row r="1" spans="46:219" x14ac:dyDescent="0.2">
      <c r="BH1" s="102" t="s">
        <v>492</v>
      </c>
      <c r="BI1" s="68">
        <v>0.26</v>
      </c>
      <c r="BJ1" s="68">
        <v>0.13</v>
      </c>
      <c r="BK1" s="68">
        <v>0</v>
      </c>
      <c r="BL1" s="73"/>
      <c r="BP1" s="46" t="s">
        <v>158</v>
      </c>
      <c r="BQ1" s="46" t="s">
        <v>127</v>
      </c>
      <c r="BR1" s="46"/>
      <c r="BS1" s="46" t="s">
        <v>55</v>
      </c>
      <c r="BT1" s="46" t="s">
        <v>128</v>
      </c>
      <c r="BU1" s="41"/>
      <c r="CC1" s="55" t="s">
        <v>0</v>
      </c>
      <c r="CD1" s="55"/>
      <c r="CE1" s="40" t="s">
        <v>0</v>
      </c>
      <c r="CF1" s="11">
        <f t="shared" ref="CF1:CF13" si="0">BJ1/BI1</f>
        <v>0.5</v>
      </c>
      <c r="CI1" s="116"/>
      <c r="CJ1" s="116"/>
      <c r="CO1" t="str">
        <f>Исходн.данные.!AL1</f>
        <v>Аммофос</v>
      </c>
      <c r="CP1">
        <f>Исходн.данные.!AM1</f>
        <v>0.12</v>
      </c>
      <c r="CQ1">
        <f>Исходн.данные.!AN1</f>
        <v>0.52</v>
      </c>
      <c r="CR1">
        <f>Исходн.данные.!AO1</f>
        <v>0</v>
      </c>
      <c r="FD1" t="s">
        <v>160</v>
      </c>
      <c r="GQ1" s="40" t="s">
        <v>0</v>
      </c>
    </row>
    <row r="2" spans="46:219" ht="16.5" customHeight="1" x14ac:dyDescent="0.25">
      <c r="BB2" s="223" t="s">
        <v>479</v>
      </c>
      <c r="BC2" s="127">
        <v>0.11</v>
      </c>
      <c r="BD2" s="6">
        <v>0.28399999999999997</v>
      </c>
      <c r="BE2" s="6">
        <v>0.16500000000000001</v>
      </c>
      <c r="BF2" s="238">
        <f>BD2/$BC2</f>
        <v>2.5818181818181816</v>
      </c>
      <c r="BG2" s="238">
        <f>BE2/$BC2</f>
        <v>1.5</v>
      </c>
      <c r="BH2" s="102" t="s">
        <v>106</v>
      </c>
      <c r="BI2" s="68">
        <v>0.23</v>
      </c>
      <c r="BJ2" s="68">
        <v>0.21</v>
      </c>
      <c r="BK2" s="68">
        <v>0</v>
      </c>
      <c r="BL2" s="73"/>
      <c r="BM2" s="102" t="s">
        <v>294</v>
      </c>
      <c r="BN2" s="102">
        <v>0.46</v>
      </c>
      <c r="BP2" s="46" t="s">
        <v>159</v>
      </c>
      <c r="BQ2" s="46" t="s">
        <v>129</v>
      </c>
      <c r="BR2" s="46"/>
      <c r="BS2" s="46" t="s">
        <v>67</v>
      </c>
      <c r="BT2" s="46" t="s">
        <v>68</v>
      </c>
      <c r="BU2" s="41"/>
      <c r="CC2" s="55" t="s">
        <v>1</v>
      </c>
      <c r="CD2" s="55"/>
      <c r="CE2" s="40" t="s">
        <v>1</v>
      </c>
      <c r="CF2" s="11">
        <f t="shared" si="0"/>
        <v>0.91304347826086951</v>
      </c>
      <c r="CH2" t="s">
        <v>221</v>
      </c>
      <c r="CI2" s="116" t="s">
        <v>300</v>
      </c>
      <c r="CJ2" s="116"/>
      <c r="CO2" t="str">
        <f>Исходн.данные.!AL2</f>
        <v>Селитра</v>
      </c>
      <c r="CP2">
        <f>Исходн.данные.!AM2</f>
        <v>0.34399999999999997</v>
      </c>
      <c r="CQ2">
        <f>Исходн.данные.!AN2</f>
        <v>0</v>
      </c>
      <c r="CR2">
        <f>Исходн.данные.!AO2</f>
        <v>0</v>
      </c>
      <c r="GQ2" s="40" t="s">
        <v>1</v>
      </c>
      <c r="GW2" s="343" t="s">
        <v>579</v>
      </c>
      <c r="GX2" s="343"/>
      <c r="GY2" s="343"/>
      <c r="GZ2" s="343"/>
      <c r="HA2" s="343"/>
      <c r="HB2" s="343"/>
      <c r="HC2" s="343"/>
      <c r="HD2" s="343"/>
      <c r="HE2" s="343"/>
      <c r="HG2" t="s">
        <v>580</v>
      </c>
    </row>
    <row r="3" spans="46:219" ht="15" x14ac:dyDescent="0.2">
      <c r="AT3" s="102" t="s">
        <v>110</v>
      </c>
      <c r="AW3" s="102" t="s">
        <v>106</v>
      </c>
      <c r="BB3" s="225" t="s">
        <v>480</v>
      </c>
      <c r="BC3" s="127">
        <v>9.4E-2</v>
      </c>
      <c r="BD3" s="6">
        <v>0.14000000000000001</v>
      </c>
      <c r="BE3" s="6">
        <v>0.3</v>
      </c>
      <c r="BF3" s="238">
        <f t="shared" ref="BF3:BF14" si="1">BD3/$BC3</f>
        <v>1.4893617021276597</v>
      </c>
      <c r="BG3" s="238">
        <f t="shared" ref="BG3:BG14" si="2">BE3/$BC3</f>
        <v>3.1914893617021276</v>
      </c>
      <c r="BH3" s="102" t="s">
        <v>507</v>
      </c>
      <c r="BI3" s="68">
        <v>0.18</v>
      </c>
      <c r="BJ3" s="68">
        <v>0.46</v>
      </c>
      <c r="BK3" s="68">
        <v>0</v>
      </c>
      <c r="BL3" s="74">
        <v>0.2</v>
      </c>
      <c r="BP3" s="46" t="s">
        <v>157</v>
      </c>
      <c r="BQ3" s="46" t="s">
        <v>130</v>
      </c>
      <c r="BR3" s="46"/>
      <c r="BS3" s="46" t="s">
        <v>57</v>
      </c>
      <c r="BT3" s="46" t="s">
        <v>131</v>
      </c>
      <c r="BU3" s="41"/>
      <c r="CC3" s="55" t="s">
        <v>2</v>
      </c>
      <c r="CD3" s="55"/>
      <c r="CE3" s="40" t="s">
        <v>2</v>
      </c>
      <c r="CF3" s="11">
        <f t="shared" si="0"/>
        <v>2.5555555555555558</v>
      </c>
      <c r="CH3" t="s">
        <v>275</v>
      </c>
      <c r="CI3" s="116" t="s">
        <v>219</v>
      </c>
      <c r="CJ3" s="116" t="s">
        <v>307</v>
      </c>
      <c r="CO3" t="str">
        <f>Исходн.данные.!AL3</f>
        <v>Хлор.калий</v>
      </c>
      <c r="CP3">
        <f>Исходн.данные.!AM3</f>
        <v>0</v>
      </c>
      <c r="CQ3">
        <f>Исходн.данные.!AN3</f>
        <v>0</v>
      </c>
      <c r="CR3">
        <f>Исходн.данные.!AO3</f>
        <v>0.6</v>
      </c>
      <c r="DB3" s="353" t="s">
        <v>227</v>
      </c>
      <c r="DC3" s="353"/>
      <c r="DD3" s="353"/>
      <c r="GG3" s="177"/>
      <c r="GQ3" s="40" t="s">
        <v>2</v>
      </c>
      <c r="GW3" s="6"/>
      <c r="GX3" s="343" t="s">
        <v>549</v>
      </c>
      <c r="GY3" s="343"/>
      <c r="GZ3" s="343" t="s">
        <v>550</v>
      </c>
      <c r="HA3" s="343"/>
      <c r="HB3" s="343" t="s">
        <v>549</v>
      </c>
      <c r="HC3" s="343"/>
      <c r="HD3" s="343" t="s">
        <v>550</v>
      </c>
      <c r="HE3" s="343"/>
    </row>
    <row r="4" spans="46:219" ht="15.75" thickBot="1" x14ac:dyDescent="0.25">
      <c r="AT4" s="102" t="s">
        <v>111</v>
      </c>
      <c r="AW4" s="102" t="s">
        <v>508</v>
      </c>
      <c r="BB4" s="225" t="s">
        <v>481</v>
      </c>
      <c r="BC4" s="127">
        <v>0.13</v>
      </c>
      <c r="BD4" s="6">
        <v>0.19500000000000001</v>
      </c>
      <c r="BE4" s="6">
        <v>0.19500000000000001</v>
      </c>
      <c r="BF4" s="238">
        <f t="shared" si="1"/>
        <v>1.5</v>
      </c>
      <c r="BG4" s="238">
        <f t="shared" si="2"/>
        <v>1.5</v>
      </c>
      <c r="BH4" s="102" t="s">
        <v>496</v>
      </c>
      <c r="BI4">
        <v>0.12</v>
      </c>
      <c r="BJ4">
        <v>0.52</v>
      </c>
      <c r="BK4">
        <v>0</v>
      </c>
      <c r="BL4" s="74">
        <v>0.05</v>
      </c>
      <c r="BM4">
        <v>0</v>
      </c>
      <c r="BN4">
        <v>775</v>
      </c>
      <c r="BP4" s="46" t="s">
        <v>191</v>
      </c>
      <c r="BQ4" s="46" t="s">
        <v>132</v>
      </c>
      <c r="BR4" s="46"/>
      <c r="BS4" s="46" t="s">
        <v>59</v>
      </c>
      <c r="BT4" s="42" t="s">
        <v>133</v>
      </c>
      <c r="BU4" s="46"/>
      <c r="BZ4" s="69">
        <f t="shared" ref="BZ4:BZ12" si="3">SUM(BM4:BY4)</f>
        <v>775</v>
      </c>
      <c r="CA4" s="11">
        <f t="shared" ref="CA4:CA12" si="4">BZ4/$BZ$17*100</f>
        <v>1.9067382131105017</v>
      </c>
      <c r="CC4" s="55" t="s">
        <v>3</v>
      </c>
      <c r="CD4" s="55"/>
      <c r="CE4" s="40" t="s">
        <v>3</v>
      </c>
      <c r="CF4" s="11">
        <f t="shared" si="0"/>
        <v>4.3333333333333339</v>
      </c>
      <c r="CG4">
        <v>1</v>
      </c>
      <c r="CH4" t="s">
        <v>217</v>
      </c>
      <c r="CI4" s="116" t="s">
        <v>299</v>
      </c>
      <c r="CJ4" s="116" t="s">
        <v>302</v>
      </c>
      <c r="CO4" t="str">
        <f>Исходн.данные.!AL4</f>
        <v>Азофоска</v>
      </c>
      <c r="CP4">
        <f>Исходн.данные.!AM4</f>
        <v>0.16</v>
      </c>
      <c r="CQ4">
        <f>Исходн.данные.!AN4</f>
        <v>0.16</v>
      </c>
      <c r="CR4">
        <f>Исходн.данные.!AO4</f>
        <v>0.16</v>
      </c>
      <c r="GQ4" s="40" t="s">
        <v>3</v>
      </c>
      <c r="GW4" s="6"/>
      <c r="GX4" s="296" t="s">
        <v>578</v>
      </c>
      <c r="GY4" s="282" t="s">
        <v>551</v>
      </c>
      <c r="GZ4" s="296" t="s">
        <v>578</v>
      </c>
      <c r="HA4" s="296" t="s">
        <v>551</v>
      </c>
      <c r="HB4" s="296" t="s">
        <v>578</v>
      </c>
      <c r="HC4" s="296" t="s">
        <v>551</v>
      </c>
      <c r="HD4" s="296" t="s">
        <v>578</v>
      </c>
      <c r="HE4" s="296" t="s">
        <v>551</v>
      </c>
    </row>
    <row r="5" spans="46:219" ht="16.5" thickBot="1" x14ac:dyDescent="0.25">
      <c r="AT5" s="102" t="s">
        <v>492</v>
      </c>
      <c r="AW5" s="102" t="s">
        <v>500</v>
      </c>
      <c r="BB5" s="225" t="s">
        <v>482</v>
      </c>
      <c r="BC5" s="127">
        <v>8.5999999999999993E-2</v>
      </c>
      <c r="BD5" s="6">
        <v>0.21600000000000003</v>
      </c>
      <c r="BE5" s="6">
        <v>0.25700000000000001</v>
      </c>
      <c r="BF5" s="238">
        <f t="shared" si="1"/>
        <v>2.5116279069767447</v>
      </c>
      <c r="BG5" s="238">
        <f t="shared" si="2"/>
        <v>2.9883720930232562</v>
      </c>
      <c r="BH5" s="102" t="s">
        <v>504</v>
      </c>
      <c r="BI5">
        <v>0.22</v>
      </c>
      <c r="BJ5">
        <v>0.11</v>
      </c>
      <c r="BK5">
        <v>0.11</v>
      </c>
      <c r="BL5" s="73"/>
      <c r="BM5">
        <v>932</v>
      </c>
      <c r="BN5">
        <v>156</v>
      </c>
      <c r="BP5" s="46" t="s">
        <v>190</v>
      </c>
      <c r="BQ5" s="46" t="s">
        <v>134</v>
      </c>
      <c r="BR5" s="46"/>
      <c r="BS5" s="46" t="s">
        <v>115</v>
      </c>
      <c r="BT5" s="42" t="s">
        <v>135</v>
      </c>
      <c r="BU5" s="46"/>
      <c r="BZ5" s="69">
        <f t="shared" si="3"/>
        <v>1088</v>
      </c>
      <c r="CA5" s="11">
        <f t="shared" si="4"/>
        <v>2.6768144204699689</v>
      </c>
      <c r="CC5" s="55" t="s">
        <v>4</v>
      </c>
      <c r="CD5" s="55"/>
      <c r="CE5" s="40" t="s">
        <v>4</v>
      </c>
      <c r="CF5" s="11">
        <f t="shared" si="0"/>
        <v>0.5</v>
      </c>
      <c r="CG5">
        <v>6</v>
      </c>
      <c r="CI5" s="116"/>
      <c r="CJ5" s="116"/>
      <c r="CO5" t="str">
        <f>Исходн.данные.!AL5</f>
        <v>Ам вода</v>
      </c>
      <c r="CP5">
        <f>Исходн.данные.!AM5</f>
        <v>0.20499999999999999</v>
      </c>
      <c r="CQ5">
        <f>Исходн.данные.!AN5</f>
        <v>0</v>
      </c>
      <c r="CR5">
        <f>Исходн.данные.!AO5</f>
        <v>0</v>
      </c>
      <c r="DB5">
        <f t="shared" ref="DB5:DB17" si="5">BK5/BJ5</f>
        <v>1</v>
      </c>
      <c r="DC5">
        <v>2</v>
      </c>
      <c r="GQ5" s="40" t="s">
        <v>4</v>
      </c>
      <c r="GR5" s="257">
        <v>50</v>
      </c>
      <c r="GS5" s="258" t="s">
        <v>555</v>
      </c>
      <c r="GT5" s="258" t="s">
        <v>556</v>
      </c>
      <c r="GU5" s="258" t="s">
        <v>557</v>
      </c>
      <c r="GV5" s="258" t="s">
        <v>558</v>
      </c>
      <c r="GW5" s="38" t="s">
        <v>341</v>
      </c>
      <c r="GX5" s="305"/>
      <c r="GY5" s="305"/>
      <c r="GZ5" s="305"/>
      <c r="HA5" s="305"/>
      <c r="HB5" s="305"/>
      <c r="HC5" s="305"/>
      <c r="HD5" s="305"/>
      <c r="HE5" s="305"/>
      <c r="HF5" s="306">
        <v>80</v>
      </c>
      <c r="HG5" s="306">
        <v>240</v>
      </c>
      <c r="HH5" s="306">
        <v>0.2</v>
      </c>
      <c r="HI5" s="306">
        <v>0.09</v>
      </c>
      <c r="HJ5" s="306">
        <v>0.4</v>
      </c>
      <c r="HK5" s="306">
        <v>0.17</v>
      </c>
    </row>
    <row r="6" spans="46:219" ht="16.5" thickBot="1" x14ac:dyDescent="0.25">
      <c r="AT6" s="102" t="s">
        <v>503</v>
      </c>
      <c r="AW6" s="102" t="s">
        <v>495</v>
      </c>
      <c r="BB6" s="6" t="s">
        <v>490</v>
      </c>
      <c r="BC6" s="127">
        <v>8.199999999999999E-2</v>
      </c>
      <c r="BD6" s="6">
        <v>9.9000000000000005E-2</v>
      </c>
      <c r="BE6" s="6">
        <v>0.34100000000000003</v>
      </c>
      <c r="BF6" s="238">
        <f t="shared" si="1"/>
        <v>1.2073170731707319</v>
      </c>
      <c r="BG6" s="238">
        <f t="shared" si="2"/>
        <v>4.1585365853658542</v>
      </c>
      <c r="BH6" s="102" t="s">
        <v>503</v>
      </c>
      <c r="BI6">
        <v>0.16</v>
      </c>
      <c r="BJ6">
        <v>0.16</v>
      </c>
      <c r="BK6">
        <v>0.16</v>
      </c>
      <c r="BL6" s="74">
        <v>0.3</v>
      </c>
      <c r="BM6">
        <v>7482</v>
      </c>
      <c r="BN6">
        <v>10834</v>
      </c>
      <c r="BP6" s="46"/>
      <c r="BQ6" s="54" t="s">
        <v>136</v>
      </c>
      <c r="BR6" s="54"/>
      <c r="BS6" s="54" t="s">
        <v>61</v>
      </c>
      <c r="BT6" s="46" t="s">
        <v>70</v>
      </c>
      <c r="BU6" s="46" t="s">
        <v>71</v>
      </c>
      <c r="BY6">
        <v>11568</v>
      </c>
      <c r="BZ6" s="69">
        <f t="shared" si="3"/>
        <v>29884</v>
      </c>
      <c r="CA6" s="11">
        <f t="shared" si="4"/>
        <v>73.523825497540955</v>
      </c>
      <c r="CC6" s="55" t="s">
        <v>5</v>
      </c>
      <c r="CD6" s="55"/>
      <c r="CE6" s="40" t="s">
        <v>5</v>
      </c>
      <c r="CF6" s="11">
        <f t="shared" si="0"/>
        <v>1</v>
      </c>
      <c r="CG6">
        <v>5</v>
      </c>
      <c r="CH6" t="s">
        <v>221</v>
      </c>
      <c r="CI6" s="116" t="s">
        <v>301</v>
      </c>
      <c r="CJ6" s="116" t="s">
        <v>306</v>
      </c>
      <c r="CO6" t="str">
        <f>Исходн.данные.!AL6</f>
        <v>Калимаг</v>
      </c>
      <c r="CP6">
        <f>Исходн.данные.!AM6</f>
        <v>0</v>
      </c>
      <c r="CQ6">
        <f>Исходн.данные.!AN6</f>
        <v>0</v>
      </c>
      <c r="CR6">
        <f>Исходн.данные.!AO6</f>
        <v>0.28000000000000003</v>
      </c>
      <c r="DB6">
        <f t="shared" si="5"/>
        <v>1</v>
      </c>
      <c r="DC6">
        <v>2</v>
      </c>
      <c r="GQ6" s="40" t="s">
        <v>5</v>
      </c>
      <c r="GR6" s="298">
        <v>10</v>
      </c>
      <c r="GS6" s="260">
        <v>8</v>
      </c>
      <c r="GT6" s="260">
        <v>7</v>
      </c>
      <c r="GU6" s="260">
        <v>6</v>
      </c>
      <c r="GV6" s="260">
        <v>5</v>
      </c>
      <c r="GW6" s="38" t="s">
        <v>342</v>
      </c>
      <c r="GX6">
        <v>2.125</v>
      </c>
      <c r="GY6">
        <v>-5.0000000000000001E-3</v>
      </c>
      <c r="GZ6" s="303"/>
      <c r="HA6" s="303"/>
      <c r="HB6">
        <v>2.1334696467602061</v>
      </c>
      <c r="HC6">
        <v>-8.221109779313264E-3</v>
      </c>
      <c r="HD6" s="303"/>
      <c r="HE6" s="303"/>
      <c r="HF6" s="304">
        <v>30</v>
      </c>
      <c r="HG6" s="304">
        <v>180</v>
      </c>
      <c r="HH6" s="304">
        <v>0.3</v>
      </c>
      <c r="HI6" s="304">
        <v>0.1</v>
      </c>
      <c r="HJ6" s="304">
        <v>0.5</v>
      </c>
      <c r="HK6" s="304">
        <v>0.2</v>
      </c>
    </row>
    <row r="7" spans="46:219" ht="16.5" thickBot="1" x14ac:dyDescent="0.25">
      <c r="AT7" s="102" t="s">
        <v>504</v>
      </c>
      <c r="AW7" s="102" t="s">
        <v>211</v>
      </c>
      <c r="BB7" s="6" t="s">
        <v>483</v>
      </c>
      <c r="BC7" s="127">
        <v>0.107</v>
      </c>
      <c r="BD7" s="6">
        <v>8.6999999999999994E-2</v>
      </c>
      <c r="BE7" s="6">
        <v>0.16</v>
      </c>
      <c r="BF7" s="238">
        <f t="shared" si="1"/>
        <v>0.81308411214953269</v>
      </c>
      <c r="BG7" s="238">
        <f t="shared" si="2"/>
        <v>1.4953271028037385</v>
      </c>
      <c r="BH7" s="102" t="s">
        <v>110</v>
      </c>
      <c r="BI7">
        <v>0.13</v>
      </c>
      <c r="BJ7">
        <v>0.19</v>
      </c>
      <c r="BK7">
        <v>0.19</v>
      </c>
      <c r="BL7" s="74">
        <v>0.05</v>
      </c>
      <c r="BM7">
        <v>1915</v>
      </c>
      <c r="BN7">
        <v>474</v>
      </c>
      <c r="BP7" s="41"/>
      <c r="BQ7" s="46" t="s">
        <v>137</v>
      </c>
      <c r="BR7" s="46"/>
      <c r="BS7" s="46" t="s">
        <v>138</v>
      </c>
      <c r="BT7" s="46" t="s">
        <v>69</v>
      </c>
      <c r="BU7" s="46" t="s">
        <v>56</v>
      </c>
      <c r="BY7">
        <v>605</v>
      </c>
      <c r="BZ7" s="69">
        <f t="shared" si="3"/>
        <v>2994</v>
      </c>
      <c r="CA7" s="11">
        <f t="shared" si="4"/>
        <v>7.3661602710359251</v>
      </c>
      <c r="CC7" s="55" t="s">
        <v>6</v>
      </c>
      <c r="CD7" s="55"/>
      <c r="CE7" s="56" t="s">
        <v>6</v>
      </c>
      <c r="CF7" s="11">
        <f t="shared" si="0"/>
        <v>1.4615384615384615</v>
      </c>
      <c r="CG7">
        <v>4</v>
      </c>
      <c r="CH7" t="s">
        <v>220</v>
      </c>
      <c r="CI7" s="116" t="s">
        <v>302</v>
      </c>
      <c r="CJ7" s="116" t="s">
        <v>305</v>
      </c>
      <c r="CO7" t="str">
        <f>Исходн.данные.!AL7</f>
        <v>Суперфосфат</v>
      </c>
      <c r="CP7">
        <f>Исходн.данные.!AM7</f>
        <v>0</v>
      </c>
      <c r="CQ7">
        <f>Исходн.данные.!AN7</f>
        <v>0</v>
      </c>
      <c r="CR7">
        <f>Исходн.данные.!AO7</f>
        <v>0</v>
      </c>
      <c r="DB7">
        <f t="shared" si="5"/>
        <v>1</v>
      </c>
      <c r="DC7">
        <v>2</v>
      </c>
      <c r="GQ7" s="56" t="s">
        <v>6</v>
      </c>
      <c r="GR7" s="298">
        <v>15</v>
      </c>
      <c r="GS7" s="260">
        <v>14</v>
      </c>
      <c r="GT7" s="260">
        <v>12</v>
      </c>
      <c r="GU7" s="260">
        <v>10</v>
      </c>
      <c r="GV7" s="260">
        <v>8</v>
      </c>
      <c r="GW7" s="38" t="s">
        <v>343</v>
      </c>
      <c r="GX7" s="307"/>
      <c r="GY7" s="307"/>
      <c r="GZ7" s="307"/>
      <c r="HA7" s="307"/>
      <c r="HB7" s="307"/>
      <c r="HC7" s="307"/>
      <c r="HD7" s="307"/>
      <c r="HE7" s="307"/>
      <c r="HF7" s="308">
        <v>90</v>
      </c>
      <c r="HG7" s="308">
        <v>350</v>
      </c>
      <c r="HH7" s="308">
        <v>0.2</v>
      </c>
      <c r="HI7" s="308">
        <v>7.0000000000000007E-2</v>
      </c>
      <c r="HJ7" s="308">
        <v>0.4</v>
      </c>
      <c r="HK7" s="308">
        <v>0.14000000000000001</v>
      </c>
    </row>
    <row r="8" spans="46:219" ht="13.5" thickBot="1" x14ac:dyDescent="0.25">
      <c r="AT8" s="102" t="s">
        <v>278</v>
      </c>
      <c r="BB8" s="6" t="s">
        <v>489</v>
      </c>
      <c r="BC8" s="127">
        <v>0.14000000000000001</v>
      </c>
      <c r="BD8" s="6">
        <v>0.11</v>
      </c>
      <c r="BE8" s="6">
        <v>0.253</v>
      </c>
      <c r="BF8" s="238">
        <f t="shared" si="1"/>
        <v>0.7857142857142857</v>
      </c>
      <c r="BG8" s="238">
        <f t="shared" si="2"/>
        <v>1.8071428571428569</v>
      </c>
      <c r="BH8" s="102" t="s">
        <v>111</v>
      </c>
      <c r="BI8">
        <v>0.09</v>
      </c>
      <c r="BJ8">
        <v>0.2</v>
      </c>
      <c r="BK8">
        <v>0.2</v>
      </c>
      <c r="BL8" s="73"/>
      <c r="BP8" s="41"/>
      <c r="BQ8" s="46" t="s">
        <v>139</v>
      </c>
      <c r="BR8" s="46"/>
      <c r="BS8" s="46" t="s">
        <v>63</v>
      </c>
      <c r="BT8" s="46" t="s">
        <v>140</v>
      </c>
      <c r="BU8" s="46" t="s">
        <v>58</v>
      </c>
      <c r="BZ8" s="69">
        <f t="shared" si="3"/>
        <v>0</v>
      </c>
      <c r="CA8" s="11">
        <f t="shared" si="4"/>
        <v>0</v>
      </c>
      <c r="CC8" s="55" t="s">
        <v>7</v>
      </c>
      <c r="CD8" s="55"/>
      <c r="CE8" s="56" t="s">
        <v>7</v>
      </c>
      <c r="CF8" s="11">
        <f t="shared" si="0"/>
        <v>2.2222222222222223</v>
      </c>
      <c r="CG8">
        <v>3</v>
      </c>
      <c r="CH8" t="s">
        <v>219</v>
      </c>
      <c r="CI8" s="116"/>
      <c r="CJ8" s="116" t="s">
        <v>304</v>
      </c>
      <c r="CO8">
        <f>Исходн.данные.!AL8</f>
        <v>0</v>
      </c>
      <c r="CP8">
        <f>Исходн.данные.!AM8</f>
        <v>0</v>
      </c>
      <c r="CQ8">
        <f>Исходн.данные.!AN8</f>
        <v>0</v>
      </c>
      <c r="CR8">
        <f>Исходн.данные.!AO8</f>
        <v>0</v>
      </c>
      <c r="DB8">
        <f t="shared" si="5"/>
        <v>1</v>
      </c>
      <c r="DC8">
        <v>2</v>
      </c>
      <c r="GQ8" s="56" t="s">
        <v>7</v>
      </c>
      <c r="GW8" s="283">
        <v>1</v>
      </c>
      <c r="GX8" s="283">
        <v>2</v>
      </c>
      <c r="GY8" s="283">
        <v>3</v>
      </c>
      <c r="GZ8" s="283">
        <v>4</v>
      </c>
      <c r="HA8" s="283">
        <v>5</v>
      </c>
      <c r="HB8" s="283">
        <v>6</v>
      </c>
      <c r="HC8" s="283">
        <v>7</v>
      </c>
      <c r="HD8" s="283">
        <v>8</v>
      </c>
      <c r="HE8" s="283">
        <v>9</v>
      </c>
    </row>
    <row r="9" spans="46:219" ht="16.5" customHeight="1" thickBot="1" x14ac:dyDescent="0.25">
      <c r="AT9" s="102" t="s">
        <v>505</v>
      </c>
      <c r="BB9" s="6" t="s">
        <v>488</v>
      </c>
      <c r="BC9" s="127">
        <v>4.8000000000000001E-2</v>
      </c>
      <c r="BD9" s="6">
        <v>0.20800000000000002</v>
      </c>
      <c r="BE9" s="6">
        <v>0.313</v>
      </c>
      <c r="BF9" s="238">
        <f t="shared" si="1"/>
        <v>4.3333333333333339</v>
      </c>
      <c r="BG9" s="238">
        <f t="shared" si="2"/>
        <v>6.520833333333333</v>
      </c>
      <c r="BH9" s="102" t="s">
        <v>506</v>
      </c>
      <c r="BI9">
        <v>0.1</v>
      </c>
      <c r="BJ9">
        <v>0.26</v>
      </c>
      <c r="BK9">
        <v>0.26</v>
      </c>
      <c r="BL9" s="74">
        <v>0.1</v>
      </c>
      <c r="BM9">
        <v>40</v>
      </c>
      <c r="BN9">
        <v>2291</v>
      </c>
      <c r="BP9" s="41"/>
      <c r="BQ9" s="46" t="s">
        <v>141</v>
      </c>
      <c r="BR9" s="46"/>
      <c r="BS9" s="46" t="s">
        <v>60</v>
      </c>
      <c r="BT9" s="46" t="s">
        <v>142</v>
      </c>
      <c r="BU9" s="46" t="s">
        <v>93</v>
      </c>
      <c r="BY9">
        <v>2523</v>
      </c>
      <c r="BZ9" s="69">
        <f t="shared" si="3"/>
        <v>4854</v>
      </c>
      <c r="CA9" s="11">
        <f t="shared" si="4"/>
        <v>11.942331982501129</v>
      </c>
      <c r="CC9" s="55" t="s">
        <v>8</v>
      </c>
      <c r="CD9" s="55"/>
      <c r="CE9" s="56" t="s">
        <v>8</v>
      </c>
      <c r="CF9" s="11">
        <f t="shared" si="0"/>
        <v>2.6</v>
      </c>
      <c r="CG9">
        <v>2</v>
      </c>
      <c r="CH9" t="s">
        <v>218</v>
      </c>
      <c r="CI9" s="116"/>
      <c r="CJ9" s="116" t="s">
        <v>303</v>
      </c>
      <c r="CO9">
        <f>Исходн.данные.!AL9</f>
        <v>0</v>
      </c>
      <c r="CP9">
        <f>Исходн.данные.!AM9</f>
        <v>0</v>
      </c>
      <c r="CQ9">
        <f>Исходн.данные.!AN9</f>
        <v>0</v>
      </c>
      <c r="CR9">
        <f>Исходн.данные.!AO9</f>
        <v>0</v>
      </c>
      <c r="DB9">
        <f t="shared" si="5"/>
        <v>1</v>
      </c>
      <c r="DC9">
        <v>2</v>
      </c>
      <c r="GQ9" s="56" t="s">
        <v>8</v>
      </c>
      <c r="GR9" s="300" t="s">
        <v>559</v>
      </c>
      <c r="GS9" s="301" t="s">
        <v>406</v>
      </c>
      <c r="GT9" s="301" t="s">
        <v>560</v>
      </c>
      <c r="GU9" s="301" t="s">
        <v>561</v>
      </c>
      <c r="GV9" s="301" t="s">
        <v>562</v>
      </c>
      <c r="HB9" s="309">
        <v>-4.2749770852428953E-3</v>
      </c>
      <c r="HC9" s="309">
        <v>1.1094042163153071</v>
      </c>
      <c r="HD9">
        <v>-8.221109779313264E-3</v>
      </c>
      <c r="HE9">
        <v>2.1334696467602061</v>
      </c>
      <c r="HK9" s="302"/>
    </row>
    <row r="10" spans="46:219" ht="16.5" thickBot="1" x14ac:dyDescent="0.25">
      <c r="AT10" s="102" t="s">
        <v>494</v>
      </c>
      <c r="BB10" s="6" t="s">
        <v>486</v>
      </c>
      <c r="BC10" s="127">
        <v>0.11800000000000001</v>
      </c>
      <c r="BD10" s="6">
        <v>0.12</v>
      </c>
      <c r="BE10" s="6">
        <v>0.25</v>
      </c>
      <c r="BF10" s="238">
        <f t="shared" si="1"/>
        <v>1.0169491525423728</v>
      </c>
      <c r="BG10" s="238">
        <f t="shared" si="2"/>
        <v>2.1186440677966099</v>
      </c>
      <c r="BH10" s="102" t="s">
        <v>505</v>
      </c>
      <c r="BI10">
        <v>0.34</v>
      </c>
      <c r="BJ10">
        <v>0</v>
      </c>
      <c r="BK10">
        <v>0</v>
      </c>
      <c r="BL10" s="73" t="s">
        <v>240</v>
      </c>
      <c r="BP10" s="41"/>
      <c r="BQ10" s="46" t="s">
        <v>143</v>
      </c>
      <c r="BR10" s="46"/>
      <c r="BS10" s="46" t="s">
        <v>144</v>
      </c>
      <c r="BT10" s="46" t="s">
        <v>145</v>
      </c>
      <c r="BU10" s="46" t="s">
        <v>62</v>
      </c>
      <c r="BZ10" s="69">
        <f t="shared" si="3"/>
        <v>0</v>
      </c>
      <c r="CA10" s="11">
        <f t="shared" si="4"/>
        <v>0</v>
      </c>
      <c r="CC10" s="55" t="s">
        <v>9</v>
      </c>
      <c r="CD10" s="55"/>
      <c r="CE10" s="56" t="s">
        <v>9</v>
      </c>
      <c r="CF10" s="11">
        <f t="shared" si="0"/>
        <v>0</v>
      </c>
      <c r="CI10" s="116"/>
      <c r="CJ10" s="116"/>
      <c r="CO10">
        <f>Исходн.данные.!AL10</f>
        <v>0</v>
      </c>
      <c r="CP10">
        <f>Исходн.данные.!AM10</f>
        <v>0</v>
      </c>
      <c r="CQ10">
        <f>Исходн.данные.!AN10</f>
        <v>0</v>
      </c>
      <c r="CR10">
        <f>Исходн.данные.!AO10</f>
        <v>0</v>
      </c>
      <c r="DB10" t="e">
        <f t="shared" si="5"/>
        <v>#DIV/0!</v>
      </c>
      <c r="GQ10" s="56" t="s">
        <v>9</v>
      </c>
      <c r="GR10" s="299">
        <v>42309</v>
      </c>
      <c r="GX10" s="309">
        <v>-2.8571428571428584E-3</v>
      </c>
      <c r="GY10" s="309">
        <v>1.2142857142857146</v>
      </c>
      <c r="HA10" s="212">
        <v>-2.5045703839122481E-4</v>
      </c>
      <c r="HB10" s="213">
        <v>0.10531078610603289</v>
      </c>
      <c r="HC10" s="214"/>
      <c r="HD10" s="213">
        <v>-8.9270462633451954E-4</v>
      </c>
      <c r="HE10" s="213">
        <v>0.27949733096085416</v>
      </c>
      <c r="HF10" s="215"/>
      <c r="HI10" s="257" t="s">
        <v>570</v>
      </c>
      <c r="HJ10" s="257" t="s">
        <v>574</v>
      </c>
      <c r="HK10" s="257" t="s">
        <v>564</v>
      </c>
    </row>
    <row r="11" spans="46:219" ht="16.5" thickBot="1" x14ac:dyDescent="0.25">
      <c r="AT11" s="102" t="s">
        <v>498</v>
      </c>
      <c r="BB11" s="6" t="s">
        <v>485</v>
      </c>
      <c r="BC11" s="127">
        <v>0.18600000000000003</v>
      </c>
      <c r="BD11" s="6">
        <v>7.6999999999999999E-2</v>
      </c>
      <c r="BE11" s="6">
        <v>0.17</v>
      </c>
      <c r="BF11" s="238">
        <f t="shared" si="1"/>
        <v>0.41397849462365582</v>
      </c>
      <c r="BG11" s="238">
        <f t="shared" si="2"/>
        <v>0.91397849462365588</v>
      </c>
      <c r="BH11" s="102" t="s">
        <v>211</v>
      </c>
      <c r="BI11">
        <v>0</v>
      </c>
      <c r="BJ11">
        <v>0</v>
      </c>
      <c r="BK11">
        <v>0.6</v>
      </c>
      <c r="BL11" s="73" t="s">
        <v>241</v>
      </c>
      <c r="BN11">
        <v>608</v>
      </c>
      <c r="BP11" s="41"/>
      <c r="BQ11" s="46" t="s">
        <v>146</v>
      </c>
      <c r="BR11" s="46"/>
      <c r="BS11" s="46" t="s">
        <v>147</v>
      </c>
      <c r="BT11" s="46" t="s">
        <v>148</v>
      </c>
      <c r="BU11" s="46" t="s">
        <v>65</v>
      </c>
      <c r="BV11" s="67" t="s">
        <v>215</v>
      </c>
      <c r="BY11">
        <v>441</v>
      </c>
      <c r="BZ11" s="69">
        <f t="shared" si="3"/>
        <v>1049</v>
      </c>
      <c r="CA11" s="11">
        <f t="shared" si="4"/>
        <v>2.5808624329715051</v>
      </c>
      <c r="CC11" s="55" t="s">
        <v>10</v>
      </c>
      <c r="CD11" s="55"/>
      <c r="CE11" s="56" t="s">
        <v>10</v>
      </c>
      <c r="CF11" s="11" t="e">
        <f t="shared" si="0"/>
        <v>#DIV/0!</v>
      </c>
      <c r="CI11" s="116"/>
      <c r="CJ11" s="116"/>
      <c r="CO11">
        <f>Исходн.данные.!AL11</f>
        <v>0</v>
      </c>
      <c r="CP11">
        <f>Исходн.данные.!AM11</f>
        <v>0</v>
      </c>
      <c r="CQ11">
        <f>Исходн.данные.!AN11</f>
        <v>0</v>
      </c>
      <c r="CR11">
        <f>Исходн.данные.!AO11</f>
        <v>0</v>
      </c>
      <c r="DB11" t="e">
        <f t="shared" si="5"/>
        <v>#DIV/0!</v>
      </c>
      <c r="GQ11" s="56" t="s">
        <v>10</v>
      </c>
      <c r="GR11" s="298" t="s">
        <v>560</v>
      </c>
      <c r="GX11">
        <v>-5.0000000000000001E-3</v>
      </c>
      <c r="GY11">
        <v>2.125</v>
      </c>
      <c r="HA11" s="13"/>
      <c r="HB11" s="206" t="s">
        <v>465</v>
      </c>
      <c r="HC11" s="216"/>
      <c r="HD11" s="206" t="s">
        <v>465</v>
      </c>
      <c r="HE11" s="216"/>
      <c r="HF11" s="217"/>
      <c r="HI11" s="298" t="s">
        <v>571</v>
      </c>
      <c r="HJ11" s="298" t="s">
        <v>575</v>
      </c>
      <c r="HK11" s="298" t="s">
        <v>565</v>
      </c>
    </row>
    <row r="12" spans="46:219" ht="16.5" thickBot="1" x14ac:dyDescent="0.35">
      <c r="AT12" s="102" t="s">
        <v>497</v>
      </c>
      <c r="BB12" s="6" t="s">
        <v>484</v>
      </c>
      <c r="BC12" s="127">
        <v>0.16</v>
      </c>
      <c r="BD12" s="6">
        <v>0.12</v>
      </c>
      <c r="BE12" s="6">
        <v>0.17</v>
      </c>
      <c r="BF12" s="238">
        <f t="shared" si="1"/>
        <v>0.75</v>
      </c>
      <c r="BG12" s="238">
        <f t="shared" si="2"/>
        <v>1.0625</v>
      </c>
      <c r="BH12" s="6" t="s">
        <v>485</v>
      </c>
      <c r="BI12" s="127">
        <v>0.18600000000000003</v>
      </c>
      <c r="BJ12" s="6">
        <v>7.6999999999999999E-2</v>
      </c>
      <c r="BK12" s="6">
        <v>0.17</v>
      </c>
      <c r="BM12" s="238">
        <f t="shared" ref="BM12:BN17" si="6">BJ12/$BI12</f>
        <v>0.41397849462365582</v>
      </c>
      <c r="BN12" s="238">
        <f t="shared" si="6"/>
        <v>0.91397849462365588</v>
      </c>
      <c r="BP12" s="41"/>
      <c r="BQ12" s="46" t="s">
        <v>64</v>
      </c>
      <c r="BR12" s="46"/>
      <c r="BS12" s="46" t="s">
        <v>149</v>
      </c>
      <c r="BT12" s="46" t="s">
        <v>150</v>
      </c>
      <c r="BU12" s="46" t="s">
        <v>151</v>
      </c>
      <c r="BV12" s="67" t="s">
        <v>216</v>
      </c>
      <c r="BZ12" s="69">
        <f t="shared" si="3"/>
        <v>1.3279569892473118</v>
      </c>
      <c r="CA12" s="11">
        <f t="shared" si="4"/>
        <v>3.2671823700193819E-3</v>
      </c>
      <c r="CC12" s="55" t="s">
        <v>11</v>
      </c>
      <c r="CD12" s="55"/>
      <c r="CE12" s="55" t="s">
        <v>11</v>
      </c>
      <c r="CF12" s="11">
        <f t="shared" si="0"/>
        <v>0.41397849462365582</v>
      </c>
      <c r="CI12" s="116"/>
      <c r="CJ12" s="116"/>
      <c r="CO12">
        <f>Исходн.данные.!AL12</f>
        <v>0</v>
      </c>
      <c r="CP12">
        <f>Исходн.данные.!AM12</f>
        <v>0</v>
      </c>
      <c r="CQ12">
        <f>Исходн.данные.!AN12</f>
        <v>0</v>
      </c>
      <c r="CR12">
        <f>Исходн.данные.!AO12</f>
        <v>0</v>
      </c>
      <c r="DB12" s="60">
        <f t="shared" si="5"/>
        <v>2.2077922077922079</v>
      </c>
      <c r="DC12">
        <v>1</v>
      </c>
      <c r="DD12" s="73" t="s">
        <v>283</v>
      </c>
      <c r="DF12" s="180" t="s">
        <v>160</v>
      </c>
      <c r="GQ12" s="55" t="s">
        <v>11</v>
      </c>
      <c r="GR12" s="298" t="s">
        <v>561</v>
      </c>
      <c r="GX12" s="297" t="s">
        <v>577</v>
      </c>
      <c r="HA12" s="7"/>
      <c r="HB12" s="207">
        <v>-3.8711151736745876E-4</v>
      </c>
      <c r="HC12" s="218">
        <v>0.16948583180987201</v>
      </c>
      <c r="HD12" s="219"/>
      <c r="HE12" s="218">
        <v>-1.5067615658362989E-3</v>
      </c>
      <c r="HF12" s="208">
        <v>0.50186832740213527</v>
      </c>
      <c r="HI12" s="298" t="s">
        <v>553</v>
      </c>
      <c r="HJ12" s="298" t="s">
        <v>571</v>
      </c>
      <c r="HK12" s="298" t="s">
        <v>566</v>
      </c>
    </row>
    <row r="13" spans="46:219" ht="16.5" thickBot="1" x14ac:dyDescent="0.25">
      <c r="AT13" s="102" t="s">
        <v>496</v>
      </c>
      <c r="BB13" s="6" t="s">
        <v>491</v>
      </c>
      <c r="BC13" s="127">
        <v>0.11</v>
      </c>
      <c r="BD13" s="6">
        <v>0.24100000000000002</v>
      </c>
      <c r="BE13" s="6">
        <v>0.221</v>
      </c>
      <c r="BF13" s="238">
        <f t="shared" si="1"/>
        <v>2.1909090909090909</v>
      </c>
      <c r="BG13" s="238">
        <f t="shared" si="2"/>
        <v>2.0090909090909093</v>
      </c>
      <c r="BH13" s="6" t="s">
        <v>484</v>
      </c>
      <c r="BI13" s="127">
        <v>0.16</v>
      </c>
      <c r="BJ13" s="6">
        <v>0.12</v>
      </c>
      <c r="BK13" s="6">
        <v>0.17</v>
      </c>
      <c r="BM13" s="238">
        <f t="shared" si="6"/>
        <v>0.75</v>
      </c>
      <c r="BN13" s="238">
        <f t="shared" si="6"/>
        <v>1.0625</v>
      </c>
      <c r="CF13" s="11">
        <f t="shared" si="0"/>
        <v>0.75</v>
      </c>
      <c r="CI13" s="116"/>
      <c r="CJ13" s="116"/>
      <c r="CO13">
        <f>Исходн.данные.!AL13</f>
        <v>0</v>
      </c>
      <c r="CP13">
        <f>Исходн.данные.!AM13</f>
        <v>0</v>
      </c>
      <c r="CQ13">
        <f>Исходн.данные.!AN13</f>
        <v>0</v>
      </c>
      <c r="CR13">
        <f>Исходн.данные.!AO13</f>
        <v>0</v>
      </c>
      <c r="DB13" s="60">
        <f t="shared" si="5"/>
        <v>1.4166666666666667</v>
      </c>
      <c r="DD13" s="73" t="s">
        <v>235</v>
      </c>
      <c r="GR13" s="298" t="s">
        <v>562</v>
      </c>
      <c r="HA13" s="69">
        <f>IF(GZ11&lt;50,0.1,IF(GZ11&gt;225,0.05,(GZ11/(GZ11*(20-((20-10)/175)*(225-GZ11))))))</f>
        <v>0.1</v>
      </c>
      <c r="HB13" s="69">
        <f>IF(HC13&lt;50,0.15,IF(HC13&gt;225,0.08,HC13/(HC13*(12.5-((12.5-6.667)/175)*(225-HC13)))))</f>
        <v>0.08</v>
      </c>
      <c r="HC13" s="26" t="s">
        <v>464</v>
      </c>
      <c r="HD13" s="55">
        <f>IF(HE12&lt;30,0.3,IF(HE12&gt;240,0.09,(HE12/(HE12*(10-((10-3.3)/180)*(240-$HE$12))))))</f>
        <v>0.3</v>
      </c>
      <c r="HE13" s="55">
        <f>IF(HF12&lt;30,0.5,IF(HF12&gt;200,0.2,(HF12/(HF12*(5-((5-2)/180)*(200-HF12))))))</f>
        <v>0.5</v>
      </c>
      <c r="HI13" s="298" t="s">
        <v>552</v>
      </c>
      <c r="HJ13" s="298" t="s">
        <v>553</v>
      </c>
      <c r="HK13" s="298" t="s">
        <v>567</v>
      </c>
    </row>
    <row r="14" spans="46:219" ht="16.5" thickBot="1" x14ac:dyDescent="0.25">
      <c r="AT14" s="102" t="s">
        <v>506</v>
      </c>
      <c r="BB14" s="6" t="s">
        <v>487</v>
      </c>
      <c r="BC14" s="127">
        <v>0.12</v>
      </c>
      <c r="BD14" s="6">
        <v>0.08</v>
      </c>
      <c r="BE14" s="6">
        <v>0.14000000000000001</v>
      </c>
      <c r="BF14" s="238">
        <f t="shared" si="1"/>
        <v>0.66666666666666674</v>
      </c>
      <c r="BG14" s="238">
        <f t="shared" si="2"/>
        <v>1.1666666666666667</v>
      </c>
      <c r="BH14" s="225" t="s">
        <v>481</v>
      </c>
      <c r="BI14" s="127">
        <v>0.13</v>
      </c>
      <c r="BJ14" s="6">
        <v>0.19500000000000001</v>
      </c>
      <c r="BK14" s="6">
        <v>0.19500000000000001</v>
      </c>
      <c r="BM14" s="238">
        <f t="shared" si="6"/>
        <v>1.5</v>
      </c>
      <c r="BN14" s="238">
        <f t="shared" si="6"/>
        <v>1.5</v>
      </c>
      <c r="BS14" s="102" t="s">
        <v>508</v>
      </c>
      <c r="BT14" s="123">
        <v>0.22</v>
      </c>
      <c r="BU14" s="123">
        <v>7.0000000000000007E-2</v>
      </c>
      <c r="BV14" s="123">
        <v>0.12</v>
      </c>
      <c r="CI14" s="116"/>
      <c r="CJ14" s="116"/>
      <c r="CK14" s="102" t="s">
        <v>508</v>
      </c>
      <c r="CL14" s="123">
        <v>0.22</v>
      </c>
      <c r="CM14" s="123">
        <v>7.0000000000000007E-2</v>
      </c>
      <c r="CN14" s="123">
        <v>0.12</v>
      </c>
      <c r="CO14">
        <f>Исходн.данные.!AL14</f>
        <v>0</v>
      </c>
      <c r="CP14">
        <f>Исходн.данные.!AM14</f>
        <v>0</v>
      </c>
      <c r="CQ14">
        <f>Исходн.данные.!AN14</f>
        <v>0</v>
      </c>
      <c r="CR14">
        <f>Исходн.данные.!AO14</f>
        <v>0</v>
      </c>
      <c r="DB14" s="60">
        <f t="shared" si="5"/>
        <v>1</v>
      </c>
      <c r="DD14" s="73" t="s">
        <v>234</v>
      </c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102" t="s">
        <v>326</v>
      </c>
      <c r="DS14" s="123">
        <v>0.22</v>
      </c>
      <c r="DT14" s="123">
        <v>7.0000000000000007E-2</v>
      </c>
      <c r="DU14" s="123">
        <v>0.12</v>
      </c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t="s">
        <v>602</v>
      </c>
      <c r="GB14" s="26"/>
      <c r="GC14" s="26"/>
      <c r="GD14" s="26"/>
      <c r="GE14" s="26"/>
      <c r="GF14" s="26"/>
      <c r="GG14" s="26"/>
      <c r="GH14" s="26"/>
      <c r="GI14" s="26"/>
      <c r="GJ14" s="26"/>
      <c r="GR14" s="298" t="s">
        <v>563</v>
      </c>
      <c r="HD14">
        <v>-1.5067615658362989E-3</v>
      </c>
      <c r="HE14">
        <v>0.50186832740213527</v>
      </c>
      <c r="HI14" s="298" t="s">
        <v>572</v>
      </c>
      <c r="HJ14" s="298" t="s">
        <v>554</v>
      </c>
      <c r="HK14" s="298" t="s">
        <v>568</v>
      </c>
    </row>
    <row r="15" spans="46:219" ht="16.5" thickBot="1" x14ac:dyDescent="0.25">
      <c r="AT15" s="102" t="s">
        <v>507</v>
      </c>
      <c r="BF15" s="26"/>
      <c r="BG15" s="26"/>
      <c r="BH15" s="6" t="s">
        <v>491</v>
      </c>
      <c r="BI15" s="127">
        <v>0.11</v>
      </c>
      <c r="BJ15" s="6">
        <v>0.24100000000000002</v>
      </c>
      <c r="BK15" s="6">
        <v>0.221</v>
      </c>
      <c r="BM15" s="238">
        <f t="shared" si="6"/>
        <v>2.1909090909090909</v>
      </c>
      <c r="BN15" s="238">
        <f t="shared" si="6"/>
        <v>2.0090909090909093</v>
      </c>
      <c r="CF15" s="11">
        <f>BJ15/BI15</f>
        <v>2.1909090909090909</v>
      </c>
      <c r="CI15" s="116"/>
      <c r="CJ15" s="116"/>
      <c r="CO15">
        <f>Исходн.данные.!AL15</f>
        <v>0</v>
      </c>
      <c r="CP15">
        <f>Исходн.данные.!AM15</f>
        <v>0</v>
      </c>
      <c r="CQ15">
        <f>Исходн.данные.!AN15</f>
        <v>0</v>
      </c>
      <c r="CR15">
        <f>Исходн.данные.!AO15</f>
        <v>0</v>
      </c>
      <c r="DB15" s="60">
        <f t="shared" si="5"/>
        <v>0.91701244813278004</v>
      </c>
      <c r="DC15">
        <v>3</v>
      </c>
      <c r="DD15" s="73" t="s">
        <v>228</v>
      </c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HI15" s="298" t="s">
        <v>573</v>
      </c>
      <c r="HJ15" s="298" t="s">
        <v>576</v>
      </c>
      <c r="HK15" s="298" t="s">
        <v>569</v>
      </c>
    </row>
    <row r="16" spans="46:219" ht="15" x14ac:dyDescent="0.2">
      <c r="AT16" s="199" t="s">
        <v>501</v>
      </c>
      <c r="BF16" s="26"/>
      <c r="BG16" s="26"/>
      <c r="BH16" s="225" t="s">
        <v>481</v>
      </c>
      <c r="BI16" s="127">
        <v>0.13</v>
      </c>
      <c r="BJ16" s="6">
        <v>0.19500000000000001</v>
      </c>
      <c r="BK16" s="6">
        <v>0.19500000000000001</v>
      </c>
      <c r="BL16" s="26"/>
      <c r="BM16" s="238">
        <f t="shared" si="6"/>
        <v>1.5</v>
      </c>
      <c r="BN16" s="238">
        <f t="shared" si="6"/>
        <v>1.5</v>
      </c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72">
        <f>BJ16/BI16</f>
        <v>1.5</v>
      </c>
      <c r="CG16" s="26"/>
      <c r="CH16" s="26"/>
      <c r="CI16" s="109" t="s">
        <v>286</v>
      </c>
      <c r="CJ16" s="109" t="s">
        <v>285</v>
      </c>
      <c r="CK16" s="26"/>
      <c r="CL16" s="26"/>
      <c r="CM16" s="26"/>
      <c r="CN16" s="26"/>
      <c r="CO16">
        <f>Исходн.данные.!AL16</f>
        <v>0</v>
      </c>
      <c r="CP16">
        <f>Исходн.данные.!AM16</f>
        <v>0</v>
      </c>
      <c r="CQ16">
        <f>Исходн.данные.!AO16</f>
        <v>0</v>
      </c>
      <c r="CR16">
        <f>Исходн.данные.!AP16</f>
        <v>0</v>
      </c>
      <c r="CS16" s="26"/>
      <c r="CT16" s="26"/>
      <c r="CU16" s="26"/>
      <c r="CV16" s="26"/>
      <c r="CW16" s="26"/>
      <c r="CX16" s="26"/>
      <c r="CY16" s="26"/>
      <c r="CZ16" s="26"/>
      <c r="DA16" s="26"/>
      <c r="DB16" s="60">
        <f t="shared" si="5"/>
        <v>1</v>
      </c>
      <c r="DC16" s="26">
        <v>4</v>
      </c>
      <c r="DD16" s="58" t="s">
        <v>229</v>
      </c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 t="b">
        <v>0</v>
      </c>
      <c r="FZ16" s="26" t="s">
        <v>603</v>
      </c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HG16" s="370"/>
      <c r="HH16" s="370"/>
    </row>
    <row r="17" spans="35:240" x14ac:dyDescent="0.2">
      <c r="AT17" s="199" t="s">
        <v>502</v>
      </c>
      <c r="BF17" s="26"/>
      <c r="BG17" s="26"/>
      <c r="BH17" s="6" t="s">
        <v>484</v>
      </c>
      <c r="BI17" s="127">
        <v>0.16</v>
      </c>
      <c r="BJ17" s="6">
        <v>0.12</v>
      </c>
      <c r="BK17" s="6">
        <v>0.17</v>
      </c>
      <c r="BL17" s="10" t="e">
        <f>IF(OR(#REF!=$BP$1,#REF!=$BP$2),0,IF(BH17&lt;0,0,IF(OR(#REF!=Расчет!$BP$1,#REF!=Расчет!$BP$2,#REF!=Расчет!$BT$5,#REF!=Расчет!$BT$6),BH17*0.5,IF(OR(#REF!=Расчет!$BS$9,#REF!=Расчет!$BS$10,#REF!=Расчет!$BS$11,#REF!=Расчет!$BS$12,#REF!=Расчет!$BP$5),BH17*0.8,BH17))))</f>
        <v>#REF!</v>
      </c>
      <c r="BM17" s="238">
        <f t="shared" si="6"/>
        <v>0.75</v>
      </c>
      <c r="BN17" s="238">
        <f t="shared" si="6"/>
        <v>1.0625</v>
      </c>
      <c r="BO17" s="26"/>
      <c r="BP17" s="26"/>
      <c r="BQ17" s="26"/>
      <c r="BR17" s="26"/>
      <c r="BS17" s="26" t="s">
        <v>328</v>
      </c>
      <c r="BT17" s="26"/>
      <c r="BU17" s="26"/>
      <c r="BV17" s="26"/>
      <c r="BW17" s="26"/>
      <c r="BX17" s="26"/>
      <c r="BY17" s="26"/>
      <c r="BZ17">
        <f>SUM(BZ4:BZ12)</f>
        <v>40645.327956989247</v>
      </c>
      <c r="CA17" s="11">
        <f>BZ17/$BZ$17*100</f>
        <v>100</v>
      </c>
      <c r="CB17" s="26"/>
      <c r="CC17" s="26"/>
      <c r="CD17" s="26"/>
      <c r="CE17" s="26"/>
      <c r="CF17" s="353" t="s">
        <v>226</v>
      </c>
      <c r="CG17" s="353"/>
      <c r="CH17" s="353"/>
      <c r="CI17" s="26"/>
      <c r="CJ17" s="26"/>
      <c r="CK17" s="26" t="s">
        <v>328</v>
      </c>
      <c r="CL17" s="26"/>
      <c r="CM17" s="26"/>
      <c r="CN17" s="26"/>
      <c r="CO17">
        <f>Исходн.данные.!AL17</f>
        <v>0</v>
      </c>
      <c r="CP17">
        <f>Исходн.данные.!AM17</f>
        <v>0</v>
      </c>
      <c r="CQ17">
        <f>Исходн.данные.!AO17</f>
        <v>0</v>
      </c>
      <c r="CR17">
        <f>Исходн.данные.!AP17</f>
        <v>0</v>
      </c>
      <c r="CS17" s="26"/>
      <c r="CT17" s="26"/>
      <c r="CU17" s="26"/>
      <c r="CV17" s="26"/>
      <c r="CW17" s="26"/>
      <c r="CX17" s="26"/>
      <c r="CY17" s="26"/>
      <c r="CZ17" s="26"/>
      <c r="DA17" s="26"/>
      <c r="DB17" s="60">
        <f t="shared" si="5"/>
        <v>1.4166666666666667</v>
      </c>
      <c r="DC17" s="26"/>
      <c r="DD17" s="58" t="s">
        <v>282</v>
      </c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 t="s">
        <v>328</v>
      </c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S17" t="s">
        <v>185</v>
      </c>
    </row>
    <row r="18" spans="35:240" x14ac:dyDescent="0.2">
      <c r="AT18" s="102" t="s">
        <v>493</v>
      </c>
      <c r="BH18" s="102" t="s">
        <v>278</v>
      </c>
      <c r="BI18" s="108">
        <v>0.20499999999999999</v>
      </c>
      <c r="BJ18" s="108">
        <v>0</v>
      </c>
      <c r="BK18" s="108">
        <v>0</v>
      </c>
      <c r="CI18" s="273" t="e">
        <f>IF(Расчет!$CH18="Нет","Нет",IF(Исходн.данные.!$AL18&gt;0,VLOOKUP(Расчет!$CH18,АшламаДВ_Irekle,2,FALSE),VLOOKUP(Расчет!$CH18,АшламаДВ_Gomumy,2,FALSE)))</f>
        <v>#N/A</v>
      </c>
      <c r="CJ18" s="273" t="e">
        <f>IF($DR18="Нет","Нет",IF(Исходн.данные.!$AO18&gt;0,VLOOKUP($DR18,АшламаДВ_Irekle,3,FALSE),VLOOKUP($DR18,АшламаДВ_Gomumy,3,FALSE)))</f>
        <v>#N/A</v>
      </c>
      <c r="CK18" s="273" t="e">
        <f>IF($DR18="Нет","Нет",IF(Исходн.данные.!$AO18&gt;0,VLOOKUP($DR18,АшламаДВ_Irekle,4,FALSE),VLOOKUP($DR18,АшламаДВ_Gomumy,4,FALSE)))</f>
        <v>#N/A</v>
      </c>
      <c r="DB18" s="5" t="s">
        <v>117</v>
      </c>
      <c r="GT18" s="353" t="s">
        <v>186</v>
      </c>
      <c r="GU18" s="353"/>
      <c r="GV18" s="353"/>
    </row>
    <row r="19" spans="35:240" x14ac:dyDescent="0.2">
      <c r="AT19" s="102" t="s">
        <v>294</v>
      </c>
      <c r="AX19" s="169"/>
      <c r="BC19">
        <f>IF(Исходн.данные.!AH19=0,0,BD19)</f>
        <v>0</v>
      </c>
      <c r="BF19" s="367" t="s">
        <v>606</v>
      </c>
      <c r="BG19" s="367" t="s">
        <v>605</v>
      </c>
      <c r="BH19" s="343" t="s">
        <v>21</v>
      </c>
      <c r="BI19" s="343"/>
      <c r="BJ19" s="343"/>
      <c r="BK19" s="343"/>
      <c r="BL19" s="326" t="s">
        <v>330</v>
      </c>
      <c r="BM19" s="327"/>
      <c r="BN19" s="328"/>
      <c r="BO19" s="361" t="s">
        <v>25</v>
      </c>
      <c r="BP19" s="362"/>
      <c r="BQ19" s="362"/>
      <c r="BR19" s="363"/>
      <c r="BS19" s="361" t="s">
        <v>172</v>
      </c>
      <c r="BT19" s="362"/>
      <c r="BU19" s="362"/>
      <c r="BV19" s="362"/>
      <c r="BW19" s="362"/>
      <c r="BX19" s="362"/>
      <c r="BY19" s="362"/>
      <c r="BZ19" s="362"/>
      <c r="CA19" s="362"/>
      <c r="CB19" s="362"/>
      <c r="CC19" s="362"/>
      <c r="CD19" s="362"/>
      <c r="CE19" s="362"/>
      <c r="CF19" s="362"/>
      <c r="CG19" s="362"/>
      <c r="CH19" s="362"/>
      <c r="CI19" s="362"/>
      <c r="CJ19" s="362"/>
      <c r="CK19" s="362"/>
      <c r="CL19" s="362"/>
      <c r="CM19" s="362"/>
      <c r="CN19" s="362"/>
      <c r="CO19" s="362"/>
      <c r="CP19" s="362"/>
      <c r="CQ19" s="362"/>
      <c r="CR19" s="362"/>
      <c r="CS19" s="362"/>
      <c r="CT19" s="362"/>
      <c r="CU19" s="362"/>
      <c r="CV19" s="362"/>
      <c r="CW19" s="362"/>
      <c r="CX19" s="362"/>
      <c r="CY19" s="362"/>
      <c r="CZ19" s="362"/>
      <c r="DA19" s="362"/>
      <c r="DB19" s="362"/>
      <c r="DC19" s="362"/>
      <c r="DD19" s="362"/>
      <c r="DE19" s="362"/>
      <c r="DF19" s="362"/>
      <c r="DG19" s="362"/>
      <c r="DH19" s="362"/>
      <c r="DI19" s="362"/>
      <c r="DJ19" s="362"/>
      <c r="DK19" s="362"/>
      <c r="DL19" s="362"/>
      <c r="DM19" s="362"/>
      <c r="DN19" s="362"/>
      <c r="DO19" s="362"/>
      <c r="DP19" s="362"/>
      <c r="DQ19" s="362"/>
      <c r="DR19" s="362"/>
      <c r="DS19" s="362"/>
      <c r="DT19" s="362"/>
      <c r="DU19" s="362"/>
      <c r="DV19" s="362"/>
      <c r="DW19" s="362"/>
      <c r="DX19" s="362"/>
      <c r="DY19" s="362"/>
      <c r="DZ19" s="362"/>
      <c r="EA19" s="362"/>
      <c r="EB19" s="362"/>
      <c r="EC19" s="362"/>
      <c r="ED19" s="362"/>
      <c r="EE19" s="362"/>
      <c r="EF19" s="362"/>
      <c r="EG19" s="362"/>
      <c r="EH19" s="363"/>
      <c r="EI19" s="16" t="s">
        <v>119</v>
      </c>
      <c r="EJ19" s="343" t="s">
        <v>244</v>
      </c>
      <c r="EK19" s="343"/>
      <c r="EL19" s="343"/>
      <c r="EM19" s="343"/>
      <c r="EN19" s="343"/>
      <c r="EO19" s="343"/>
      <c r="EP19" s="343"/>
      <c r="EQ19" s="343"/>
      <c r="ER19" s="361" t="s">
        <v>118</v>
      </c>
      <c r="ES19" s="362"/>
      <c r="ET19" s="362"/>
      <c r="EU19" s="362"/>
      <c r="EV19" s="362"/>
      <c r="EW19" s="362"/>
      <c r="EX19" s="362"/>
      <c r="EY19" s="362"/>
      <c r="EZ19" s="363"/>
      <c r="FA19" s="3" t="s">
        <v>123</v>
      </c>
      <c r="FB19" s="3" t="s">
        <v>123</v>
      </c>
      <c r="FC19" s="220" t="s">
        <v>123</v>
      </c>
      <c r="FD19" s="19" t="s">
        <v>124</v>
      </c>
      <c r="FE19" s="20"/>
      <c r="FF19" s="20"/>
      <c r="FG19" s="20"/>
      <c r="FH19" s="20"/>
      <c r="FI19" s="18"/>
      <c r="FJ19" s="19" t="s">
        <v>125</v>
      </c>
      <c r="FK19" s="20"/>
      <c r="FL19" s="20"/>
      <c r="FM19" s="20"/>
      <c r="FN19" s="20"/>
      <c r="FO19" s="20"/>
      <c r="FP19" s="20"/>
      <c r="FQ19" s="21"/>
      <c r="FR19" s="21"/>
      <c r="FS19" s="18"/>
      <c r="FT19" s="361" t="s">
        <v>153</v>
      </c>
      <c r="FU19" s="362"/>
      <c r="FV19" s="363"/>
      <c r="FW19" s="22" t="s">
        <v>152</v>
      </c>
      <c r="FX19" s="22" t="s">
        <v>162</v>
      </c>
      <c r="FY19" s="361" t="s">
        <v>20</v>
      </c>
      <c r="FZ19" s="362"/>
      <c r="GA19" s="363"/>
      <c r="GB19" s="343" t="s">
        <v>197</v>
      </c>
      <c r="GC19" s="343"/>
      <c r="GD19" s="343"/>
      <c r="GE19" s="361" t="s">
        <v>198</v>
      </c>
      <c r="GF19" s="362"/>
      <c r="GG19" s="362"/>
      <c r="GH19" s="361" t="s">
        <v>331</v>
      </c>
      <c r="GI19" s="362"/>
      <c r="GJ19" s="363"/>
      <c r="GK19" s="353" t="s">
        <v>74</v>
      </c>
      <c r="GL19" s="353"/>
      <c r="GM19" s="353"/>
      <c r="GN19" s="353"/>
      <c r="GO19" t="s">
        <v>75</v>
      </c>
      <c r="GS19" s="353" t="s">
        <v>76</v>
      </c>
      <c r="GT19" s="353"/>
      <c r="GU19" s="353"/>
      <c r="GV19" s="353"/>
      <c r="GW19" s="353" t="s">
        <v>77</v>
      </c>
      <c r="GX19" s="353"/>
      <c r="GY19" s="353"/>
      <c r="GZ19" s="353" t="s">
        <v>78</v>
      </c>
      <c r="HA19" s="353"/>
      <c r="HB19" s="353"/>
      <c r="HC19" s="353" t="s">
        <v>79</v>
      </c>
      <c r="HD19" s="353"/>
      <c r="HE19" s="353"/>
      <c r="HF19" s="353" t="s">
        <v>380</v>
      </c>
      <c r="HG19" s="353"/>
      <c r="HH19" s="353"/>
      <c r="HI19" s="353" t="s">
        <v>337</v>
      </c>
      <c r="HJ19" s="353"/>
      <c r="HK19" s="353"/>
      <c r="HL19" s="353" t="s">
        <v>80</v>
      </c>
      <c r="HM19" s="353"/>
      <c r="HN19" s="353" t="s">
        <v>333</v>
      </c>
      <c r="HO19" s="353"/>
      <c r="HP19" s="353"/>
      <c r="HQ19" s="353" t="s">
        <v>74</v>
      </c>
      <c r="HR19" s="353"/>
      <c r="HS19" s="353"/>
      <c r="HT19" s="353" t="s">
        <v>81</v>
      </c>
      <c r="HU19" s="353"/>
      <c r="HV19" s="353"/>
      <c r="HW19" s="353" t="s">
        <v>82</v>
      </c>
      <c r="HX19" s="353"/>
      <c r="HY19" s="353"/>
      <c r="HZ19" t="s">
        <v>83</v>
      </c>
      <c r="IA19" s="353" t="s">
        <v>84</v>
      </c>
      <c r="IB19" s="353"/>
      <c r="IC19" s="353"/>
      <c r="ID19" s="353" t="s">
        <v>19</v>
      </c>
      <c r="IE19" s="353"/>
      <c r="IF19" s="353"/>
    </row>
    <row r="20" spans="35:240" ht="12.75" customHeight="1" thickBot="1" x14ac:dyDescent="0.25">
      <c r="AI20" s="326" t="s">
        <v>526</v>
      </c>
      <c r="AJ20" s="328"/>
      <c r="AT20" s="143" t="s">
        <v>499</v>
      </c>
      <c r="AX20" s="169"/>
      <c r="AY20" s="353" t="s">
        <v>422</v>
      </c>
      <c r="AZ20" s="353"/>
      <c r="BA20" s="353"/>
      <c r="BB20" t="s">
        <v>280</v>
      </c>
      <c r="BC20" s="44" t="s">
        <v>38</v>
      </c>
      <c r="BD20" s="44" t="s">
        <v>38</v>
      </c>
      <c r="BE20" s="44"/>
      <c r="BF20" s="368"/>
      <c r="BG20" s="368"/>
      <c r="BH20" s="326" t="s">
        <v>29</v>
      </c>
      <c r="BI20" s="328"/>
      <c r="BJ20" s="17" t="s">
        <v>30</v>
      </c>
      <c r="BK20" s="17" t="s">
        <v>31</v>
      </c>
      <c r="BL20" s="16"/>
      <c r="BM20" s="16"/>
      <c r="BN20" s="16"/>
      <c r="BO20" s="334" t="s">
        <v>43</v>
      </c>
      <c r="BP20" s="357"/>
      <c r="BQ20" s="357"/>
      <c r="BR20" s="335"/>
      <c r="BS20" s="334" t="s">
        <v>295</v>
      </c>
      <c r="BT20" s="357"/>
      <c r="BU20" s="357"/>
      <c r="BV20" s="357"/>
      <c r="BW20" s="357"/>
      <c r="BX20" s="335"/>
      <c r="BY20" s="334" t="s">
        <v>200</v>
      </c>
      <c r="BZ20" s="357"/>
      <c r="CA20" s="357"/>
      <c r="CB20" s="357"/>
      <c r="CC20" s="357"/>
      <c r="CD20" s="335"/>
      <c r="CE20" s="334" t="s">
        <v>230</v>
      </c>
      <c r="CF20" s="357"/>
      <c r="CG20" s="335"/>
      <c r="CH20" s="17" t="s">
        <v>242</v>
      </c>
      <c r="CI20" s="369" t="s">
        <v>116</v>
      </c>
      <c r="CJ20" s="369"/>
      <c r="CK20" s="369"/>
      <c r="CL20" s="8"/>
      <c r="CM20" s="8"/>
      <c r="CN20" s="8"/>
      <c r="CO20" s="8"/>
      <c r="CP20" s="8"/>
      <c r="CQ20" s="8"/>
      <c r="CR20" s="369" t="s">
        <v>223</v>
      </c>
      <c r="CS20" s="369"/>
      <c r="CT20" s="369"/>
      <c r="CU20" s="369" t="s">
        <v>222</v>
      </c>
      <c r="CV20" s="369"/>
      <c r="CW20" s="369"/>
      <c r="CX20" s="369"/>
      <c r="CY20" s="334" t="s">
        <v>224</v>
      </c>
      <c r="CZ20" s="357"/>
      <c r="DA20" s="357"/>
      <c r="DB20" s="326" t="s">
        <v>199</v>
      </c>
      <c r="DC20" s="328"/>
      <c r="DD20" s="357" t="s">
        <v>169</v>
      </c>
      <c r="DE20" s="357"/>
      <c r="DF20" s="357"/>
      <c r="DG20" s="326" t="s">
        <v>204</v>
      </c>
      <c r="DH20" s="327"/>
      <c r="DI20" s="327"/>
      <c r="DJ20" s="327"/>
      <c r="DK20" s="327"/>
      <c r="DL20" s="327"/>
      <c r="DM20" s="327"/>
      <c r="DN20" s="327"/>
      <c r="DO20" s="327"/>
      <c r="DP20" s="327"/>
      <c r="DQ20" s="327"/>
      <c r="DR20" s="327"/>
      <c r="DS20" s="327"/>
      <c r="DT20" s="327"/>
      <c r="DU20" s="327"/>
      <c r="DV20" s="327"/>
      <c r="DW20" s="327"/>
      <c r="DX20" s="327"/>
      <c r="DY20" s="327"/>
      <c r="DZ20" s="327"/>
      <c r="EA20" s="327"/>
      <c r="EB20" s="327"/>
      <c r="EC20" s="327"/>
      <c r="ED20" s="327"/>
      <c r="EE20" s="327"/>
      <c r="EF20" s="328"/>
      <c r="EG20" s="326" t="s">
        <v>284</v>
      </c>
      <c r="EH20" s="328"/>
      <c r="EI20" s="17" t="s">
        <v>120</v>
      </c>
      <c r="EJ20" s="343" t="s">
        <v>327</v>
      </c>
      <c r="EK20" s="343"/>
      <c r="EL20" s="343"/>
      <c r="EM20" s="343"/>
      <c r="EN20" s="343" t="s">
        <v>270</v>
      </c>
      <c r="EO20" s="343"/>
      <c r="EP20" s="343"/>
      <c r="EQ20" s="343"/>
      <c r="ER20" s="1"/>
      <c r="ES20" s="15"/>
      <c r="ET20" s="15"/>
      <c r="EU20" s="15"/>
      <c r="EV20" s="15"/>
      <c r="EW20" s="15"/>
      <c r="EX20" s="15"/>
      <c r="EY20" s="15"/>
      <c r="EZ20" s="2"/>
      <c r="FA20" s="4" t="s">
        <v>165</v>
      </c>
      <c r="FB20" s="4" t="s">
        <v>126</v>
      </c>
      <c r="FC20" s="221" t="s">
        <v>126</v>
      </c>
      <c r="FD20" s="3">
        <v>1</v>
      </c>
      <c r="FE20" s="3">
        <v>2</v>
      </c>
      <c r="FF20" s="3">
        <v>3</v>
      </c>
      <c r="FG20" s="3">
        <v>4</v>
      </c>
      <c r="FH20" s="3">
        <v>5</v>
      </c>
      <c r="FI20" s="3">
        <v>6</v>
      </c>
      <c r="FJ20" s="4">
        <v>1</v>
      </c>
      <c r="FK20" s="4">
        <v>2</v>
      </c>
      <c r="FL20" s="4">
        <v>3</v>
      </c>
      <c r="FM20" s="4">
        <v>4</v>
      </c>
      <c r="FN20" s="4">
        <v>5</v>
      </c>
      <c r="FO20" s="4">
        <v>6</v>
      </c>
      <c r="FP20" s="13">
        <v>7</v>
      </c>
      <c r="FQ20" s="13">
        <v>8</v>
      </c>
      <c r="FR20" s="13">
        <v>9</v>
      </c>
      <c r="FS20" s="13">
        <v>10</v>
      </c>
      <c r="FT20" s="371" t="s">
        <v>50</v>
      </c>
      <c r="FU20" s="372"/>
      <c r="FV20" s="373"/>
      <c r="FW20" s="24" t="s">
        <v>161</v>
      </c>
      <c r="FX20" s="24" t="s">
        <v>163</v>
      </c>
      <c r="FY20" s="334" t="s">
        <v>34</v>
      </c>
      <c r="FZ20" s="357"/>
      <c r="GA20" s="335"/>
      <c r="GB20" s="17" t="s">
        <v>29</v>
      </c>
      <c r="GC20" s="17" t="s">
        <v>30</v>
      </c>
      <c r="GD20" s="17" t="s">
        <v>31</v>
      </c>
      <c r="GE20" s="334" t="s">
        <v>35</v>
      </c>
      <c r="GF20" s="357"/>
      <c r="GG20" s="357"/>
      <c r="GH20" s="334" t="s">
        <v>332</v>
      </c>
      <c r="GI20" s="357"/>
      <c r="GJ20" s="335"/>
      <c r="GO20" t="s">
        <v>85</v>
      </c>
      <c r="GS20" t="s">
        <v>86</v>
      </c>
      <c r="GT20" t="s">
        <v>87</v>
      </c>
      <c r="GU20" t="s">
        <v>88</v>
      </c>
      <c r="GV20" t="s">
        <v>89</v>
      </c>
      <c r="GW20" t="s">
        <v>86</v>
      </c>
      <c r="GX20" t="s">
        <v>90</v>
      </c>
      <c r="GY20" t="s">
        <v>91</v>
      </c>
      <c r="GZ20" t="s">
        <v>86</v>
      </c>
      <c r="HA20" s="180"/>
      <c r="HB20" s="180"/>
      <c r="HC20" t="s">
        <v>86</v>
      </c>
      <c r="HD20" s="180" t="s">
        <v>375</v>
      </c>
      <c r="HE20" s="180" t="s">
        <v>92</v>
      </c>
      <c r="HF20" s="353" t="s">
        <v>29</v>
      </c>
      <c r="HG20" s="353" t="s">
        <v>30</v>
      </c>
      <c r="HH20" s="353" t="s">
        <v>97</v>
      </c>
      <c r="HI20" s="353" t="s">
        <v>338</v>
      </c>
      <c r="HJ20" s="353"/>
      <c r="HK20" s="353"/>
      <c r="HL20" s="353" t="s">
        <v>94</v>
      </c>
      <c r="HM20" s="353"/>
      <c r="HN20" s="353" t="s">
        <v>334</v>
      </c>
      <c r="HO20" s="353"/>
      <c r="HP20" s="353"/>
      <c r="HQ20" t="s">
        <v>29</v>
      </c>
      <c r="HR20" t="s">
        <v>30</v>
      </c>
      <c r="HS20" t="s">
        <v>31</v>
      </c>
      <c r="HT20" s="180" t="s">
        <v>29</v>
      </c>
      <c r="HU20" t="s">
        <v>30</v>
      </c>
      <c r="HV20" t="s">
        <v>31</v>
      </c>
      <c r="HW20" t="s">
        <v>29</v>
      </c>
      <c r="HX20" t="s">
        <v>30</v>
      </c>
      <c r="HY20" t="s">
        <v>31</v>
      </c>
      <c r="HZ20" t="s">
        <v>95</v>
      </c>
      <c r="IA20" t="s">
        <v>29</v>
      </c>
      <c r="IB20" t="s">
        <v>96</v>
      </c>
      <c r="IC20" t="s">
        <v>97</v>
      </c>
      <c r="ID20" t="s">
        <v>98</v>
      </c>
      <c r="IE20" t="s">
        <v>99</v>
      </c>
      <c r="IF20" t="s">
        <v>100</v>
      </c>
    </row>
    <row r="21" spans="35:240" ht="16.5" thickBot="1" x14ac:dyDescent="0.35">
      <c r="AI21" s="256" t="s">
        <v>29</v>
      </c>
      <c r="AJ21" s="256" t="s">
        <v>30</v>
      </c>
      <c r="AL21" s="244" t="s">
        <v>521</v>
      </c>
      <c r="AM21" s="245" t="s">
        <v>520</v>
      </c>
      <c r="AN21" s="246" t="s">
        <v>519</v>
      </c>
      <c r="AO21" s="244" t="s">
        <v>512</v>
      </c>
      <c r="AP21" s="245" t="s">
        <v>517</v>
      </c>
      <c r="AQ21" s="246" t="s">
        <v>518</v>
      </c>
      <c r="AR21" s="244" t="s">
        <v>514</v>
      </c>
      <c r="AS21" s="245" t="s">
        <v>515</v>
      </c>
      <c r="AT21" s="246" t="s">
        <v>516</v>
      </c>
      <c r="AU21" s="244" t="s">
        <v>513</v>
      </c>
      <c r="AV21" s="245" t="s">
        <v>510</v>
      </c>
      <c r="AW21" s="246" t="s">
        <v>511</v>
      </c>
      <c r="AX21" s="169"/>
      <c r="AY21">
        <v>1</v>
      </c>
      <c r="AZ21">
        <v>2</v>
      </c>
      <c r="BA21">
        <v>3</v>
      </c>
      <c r="BB21" t="s">
        <v>281</v>
      </c>
      <c r="BC21" s="45" t="s">
        <v>423</v>
      </c>
      <c r="BD21" s="45" t="s">
        <v>423</v>
      </c>
      <c r="BE21" s="45"/>
      <c r="BF21" s="369"/>
      <c r="BG21" s="369"/>
      <c r="BH21" s="5" t="s">
        <v>195</v>
      </c>
      <c r="BI21" s="5" t="s">
        <v>164</v>
      </c>
      <c r="BJ21" s="5"/>
      <c r="BK21" s="5"/>
      <c r="BL21" s="8" t="s">
        <v>29</v>
      </c>
      <c r="BM21" s="8" t="s">
        <v>30</v>
      </c>
      <c r="BN21" s="1" t="s">
        <v>31</v>
      </c>
      <c r="BO21" s="8" t="s">
        <v>29</v>
      </c>
      <c r="BP21" s="8" t="s">
        <v>30</v>
      </c>
      <c r="BQ21" s="1" t="s">
        <v>31</v>
      </c>
      <c r="BR21" s="28" t="s">
        <v>52</v>
      </c>
      <c r="BS21" s="13"/>
      <c r="BT21" s="13" t="s">
        <v>297</v>
      </c>
      <c r="BU21" s="13" t="s">
        <v>298</v>
      </c>
      <c r="BV21" s="13" t="s">
        <v>166</v>
      </c>
      <c r="BW21" s="13" t="s">
        <v>167</v>
      </c>
      <c r="BX21" s="13" t="s">
        <v>168</v>
      </c>
      <c r="BY21" s="13" t="s">
        <v>166</v>
      </c>
      <c r="BZ21" s="13" t="s">
        <v>167</v>
      </c>
      <c r="CA21" s="13" t="s">
        <v>168</v>
      </c>
      <c r="CB21" s="13" t="s">
        <v>201</v>
      </c>
      <c r="CC21" s="59" t="s">
        <v>202</v>
      </c>
      <c r="CD21" s="59" t="s">
        <v>203</v>
      </c>
      <c r="CE21" s="17" t="s">
        <v>233</v>
      </c>
      <c r="CF21" s="17" t="s">
        <v>232</v>
      </c>
      <c r="CG21" s="17"/>
      <c r="CH21" s="8" t="s">
        <v>243</v>
      </c>
      <c r="CI21" s="8" t="s">
        <v>29</v>
      </c>
      <c r="CJ21" s="8" t="s">
        <v>30</v>
      </c>
      <c r="CK21" s="8" t="s">
        <v>31</v>
      </c>
      <c r="CL21" s="8" t="s">
        <v>29</v>
      </c>
      <c r="CM21" s="8" t="s">
        <v>30</v>
      </c>
      <c r="CN21" s="8" t="s">
        <v>31</v>
      </c>
      <c r="CO21" s="8" t="s">
        <v>29</v>
      </c>
      <c r="CP21" s="8" t="s">
        <v>30</v>
      </c>
      <c r="CQ21" s="8" t="s">
        <v>31</v>
      </c>
      <c r="CR21" s="8" t="s">
        <v>29</v>
      </c>
      <c r="CS21" s="8" t="s">
        <v>30</v>
      </c>
      <c r="CT21" s="8" t="s">
        <v>31</v>
      </c>
      <c r="CU21" s="8" t="s">
        <v>29</v>
      </c>
      <c r="CV21" s="8" t="s">
        <v>30</v>
      </c>
      <c r="CW21" s="8" t="s">
        <v>31</v>
      </c>
      <c r="CX21" s="8" t="s">
        <v>225</v>
      </c>
      <c r="CY21" s="8" t="s">
        <v>29</v>
      </c>
      <c r="CZ21" s="8" t="s">
        <v>30</v>
      </c>
      <c r="DA21" s="8" t="s">
        <v>31</v>
      </c>
      <c r="DB21" s="5" t="s">
        <v>607</v>
      </c>
      <c r="DC21" s="5" t="s">
        <v>188</v>
      </c>
      <c r="DD21" s="18" t="s">
        <v>208</v>
      </c>
      <c r="DE21" s="28" t="s">
        <v>209</v>
      </c>
      <c r="DF21" s="27" t="s">
        <v>210</v>
      </c>
      <c r="DG21" s="7" t="s">
        <v>205</v>
      </c>
      <c r="DH21" s="7" t="s">
        <v>206</v>
      </c>
      <c r="DI21" s="7" t="s">
        <v>207</v>
      </c>
      <c r="DJ21" s="17" t="s">
        <v>233</v>
      </c>
      <c r="DK21" s="17" t="s">
        <v>232</v>
      </c>
      <c r="DL21" s="44" t="s">
        <v>272</v>
      </c>
      <c r="DM21" s="44" t="s">
        <v>461</v>
      </c>
      <c r="DN21" s="44" t="s">
        <v>117</v>
      </c>
      <c r="DO21" s="98" t="s">
        <v>273</v>
      </c>
      <c r="DP21" s="98" t="s">
        <v>604</v>
      </c>
      <c r="DQ21" s="98" t="s">
        <v>117</v>
      </c>
      <c r="DR21" s="99" t="s">
        <v>271</v>
      </c>
      <c r="DS21" s="100" t="s">
        <v>247</v>
      </c>
      <c r="DT21" s="100" t="s">
        <v>248</v>
      </c>
      <c r="DU21" s="100" t="s">
        <v>249</v>
      </c>
      <c r="DV21" s="100"/>
      <c r="DW21" s="100"/>
      <c r="DX21" s="100"/>
      <c r="DY21" s="100" t="s">
        <v>250</v>
      </c>
      <c r="DZ21" s="100" t="s">
        <v>251</v>
      </c>
      <c r="EA21" s="100" t="s">
        <v>252</v>
      </c>
      <c r="EB21" s="101" t="s">
        <v>171</v>
      </c>
      <c r="EC21" s="101" t="s">
        <v>256</v>
      </c>
      <c r="ED21" s="101" t="s">
        <v>255</v>
      </c>
      <c r="EE21" s="101" t="s">
        <v>254</v>
      </c>
      <c r="EF21" s="101" t="s">
        <v>253</v>
      </c>
      <c r="EG21" s="101" t="s">
        <v>29</v>
      </c>
      <c r="EH21" s="101" t="s">
        <v>31</v>
      </c>
      <c r="EI21" s="8" t="s">
        <v>121</v>
      </c>
      <c r="EJ21" s="28"/>
      <c r="EK21" s="28" t="s">
        <v>29</v>
      </c>
      <c r="EL21" s="28" t="s">
        <v>30</v>
      </c>
      <c r="EM21" s="28"/>
      <c r="EN21" s="6"/>
      <c r="EO21" s="103" t="s">
        <v>29</v>
      </c>
      <c r="EP21" s="103" t="s">
        <v>30</v>
      </c>
      <c r="EQ21" s="103" t="s">
        <v>31</v>
      </c>
      <c r="ER21" s="326" t="s">
        <v>245</v>
      </c>
      <c r="ES21" s="327"/>
      <c r="ET21" s="327"/>
      <c r="EU21" s="327"/>
      <c r="EV21" s="328"/>
      <c r="EW21" s="326" t="s">
        <v>246</v>
      </c>
      <c r="EX21" s="327"/>
      <c r="EY21" s="327"/>
      <c r="EZ21" s="328"/>
      <c r="FA21" s="4"/>
      <c r="FB21" s="4"/>
      <c r="FC21" s="221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5" t="s">
        <v>29</v>
      </c>
      <c r="FU21" s="5" t="s">
        <v>30</v>
      </c>
      <c r="FV21" s="5" t="s">
        <v>31</v>
      </c>
      <c r="FW21" s="5"/>
      <c r="FX21" s="5"/>
      <c r="FY21" s="28" t="s">
        <v>29</v>
      </c>
      <c r="FZ21" s="28" t="s">
        <v>30</v>
      </c>
      <c r="GA21" s="28" t="s">
        <v>31</v>
      </c>
      <c r="GB21" s="8"/>
      <c r="GC21" s="8"/>
      <c r="GD21" s="8"/>
      <c r="GE21" s="8" t="s">
        <v>29</v>
      </c>
      <c r="GF21" s="8" t="s">
        <v>30</v>
      </c>
      <c r="GG21" s="8" t="s">
        <v>31</v>
      </c>
      <c r="GH21" s="8" t="s">
        <v>29</v>
      </c>
      <c r="GI21" s="8" t="s">
        <v>30</v>
      </c>
      <c r="GJ21" s="8" t="s">
        <v>31</v>
      </c>
      <c r="GO21" t="s">
        <v>46</v>
      </c>
      <c r="GS21" t="s">
        <v>101</v>
      </c>
      <c r="GT21" t="s">
        <v>102</v>
      </c>
      <c r="GW21" t="s">
        <v>103</v>
      </c>
      <c r="GX21" t="s">
        <v>104</v>
      </c>
      <c r="GY21" t="s">
        <v>104</v>
      </c>
      <c r="GZ21" t="s">
        <v>33</v>
      </c>
      <c r="HA21" s="180"/>
      <c r="HB21" s="180"/>
      <c r="HC21" t="s">
        <v>33</v>
      </c>
      <c r="HD21" s="180" t="s">
        <v>376</v>
      </c>
      <c r="HE21" s="180"/>
      <c r="HF21" s="353"/>
      <c r="HG21" s="353"/>
      <c r="HH21" s="353"/>
      <c r="HI21" s="14" t="s">
        <v>29</v>
      </c>
      <c r="HJ21" s="14" t="s">
        <v>30</v>
      </c>
      <c r="HK21" s="14" t="s">
        <v>31</v>
      </c>
      <c r="HL21" s="14" t="s">
        <v>105</v>
      </c>
      <c r="HM21" s="14" t="s">
        <v>31</v>
      </c>
      <c r="HN21" s="180" t="s">
        <v>29</v>
      </c>
      <c r="HO21" t="s">
        <v>30</v>
      </c>
      <c r="HP21" t="s">
        <v>31</v>
      </c>
    </row>
    <row r="22" spans="35:240" x14ac:dyDescent="0.2">
      <c r="AI22">
        <f>IF(Исходн.данные.!I22&gt;6,1,1.85-(0.148*Исходн.данные.!I22))</f>
        <v>1.0508000000000002</v>
      </c>
      <c r="AJ22">
        <f>IF(Исходн.данные.!I22&gt;6,1,2.434-(0.246*Исходн.данные.!I22))</f>
        <v>1.1056000000000001</v>
      </c>
      <c r="AL22" s="148">
        <f>IF(Исходн.данные.!$P22="Ум",N_OrgUd_2g_um,IF(Исходн.данные.!$P22="Об",N_OrgUd_2g_ob))</f>
        <v>0.17</v>
      </c>
      <c r="AM22" s="148">
        <f>IF(Исходн.данные.!$P22="Ум",P_OrgUd_2g_um,IF(Исходн.данные.!$P22="Об",P_OrgUd_2g_ob))</f>
        <v>0.12</v>
      </c>
      <c r="AN22" s="148">
        <f>IF(Исходн.данные.!$P22="Ум",K_OrgUd_2g_um,IF(Исходн.данные.!$P22="Об",K_OrgUd_2g_ob))</f>
        <v>0.17</v>
      </c>
      <c r="AO22" s="148">
        <f>IF(Исходн.данные.!$P22="Ум",N_OrgUd_1g_um,IF(Исходн.данные.!$P22="Об",N_OrgUd_1g_ob))</f>
        <v>0.22</v>
      </c>
      <c r="AP22" s="148">
        <f>IF(Исходн.данные.!$P22="Ум",P_OrgUd_1g_um,IF(Исходн.данные.!$P22="Об",P_OrgUd_1g_ob))</f>
        <v>0.38</v>
      </c>
      <c r="AQ22" s="148">
        <f>IF(Исходн.данные.!$P22="Ум",K_OrgUd_1g_um,IF(Исходн.данные.!$P22="Об",K_OrgUd_1g_ob))</f>
        <v>0.45</v>
      </c>
      <c r="AR22">
        <f>IF(Исходн.данные.!$P22="Ум",N_MinUd_2g_um,IF(Исходн.данные.!$P22="Об",N_MinUd_2g_ob))</f>
        <v>0.03</v>
      </c>
      <c r="AS22">
        <f>IF(Исходн.данные.!$P22="Ум",P_MinUd_2g_um,IF(Исходн.данные.!$P22="Об",P_MinUd_2g_ob))</f>
        <v>0.12</v>
      </c>
      <c r="AT22">
        <f>IF(Исходн.данные.!$P22="Ум",K_MinUd_2g_um,IF(Исходн.данные.!$P22="Об",K_MinUd_2g_ob))</f>
        <v>0.12</v>
      </c>
      <c r="AU22">
        <f>IF(Исходн.данные.!$P22="Ум",N_MinUd_1g_um,IF(Исходн.данные.!$P22="Об",N_MinUd_1g_ob))</f>
        <v>0.7</v>
      </c>
      <c r="AV22">
        <f>IF(Исходн.данные.!$P22="Ум",P_MinUd_1g_um,IF(Исходн.данные.!$P22="Об",P_MinUd_1g_ob))</f>
        <v>0.22500000000000001</v>
      </c>
      <c r="AW22">
        <f>IF(Исходн.данные.!$P22="Ум",K_MinUd_1g_um,IF(Исходн.данные.!$P22="Об",K_MinUd_1g_ob))</f>
        <v>0.6</v>
      </c>
      <c r="AX22" s="148"/>
      <c r="AY22">
        <f>VLOOKUP(Исходн.данные.!T22,Справ!$A$3:$N$57,12)</f>
        <v>0</v>
      </c>
      <c r="AZ22">
        <f>VLOOKUP(Исходн.данные.!T22,Справ!$A$3:$N$57,13)</f>
        <v>0</v>
      </c>
      <c r="BA22">
        <f>VLOOKUP(Исходн.данные.!T22,Справ!$A$3:$N$57,14)</f>
        <v>0</v>
      </c>
      <c r="BB22">
        <f>IF(Исходн.данные.!AH22=0,0,25)</f>
        <v>25</v>
      </c>
      <c r="BC22" s="141">
        <f>IF(Исходн.данные.!AH22=0,0,IF(Исходн.данные.!T22=0,25,BD22))</f>
        <v>0</v>
      </c>
      <c r="BD22" s="168">
        <f>AY22+AZ22*Исходн.данные.!U22-POWER(BA22,2)*Исходн.данные.!U22</f>
        <v>0</v>
      </c>
      <c r="BE2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" s="25">
        <f>IF(Исходн.данные.!AH22=0,0,MIN(HN22:HP22))</f>
        <v>9.67741935483871</v>
      </c>
      <c r="BG22" s="9">
        <f>IF(Исходн.данные.!AH22=0,0,IF((HO22+10*0.25/HG22/HL22)&lt;17,17,HO22+10*0.25/HG22/HL22))</f>
        <v>23.853939393939395</v>
      </c>
      <c r="BH22" s="181">
        <f>IF(Исходн.данные.!AH22=0,0,HW22*HF22*HL22/AU22*AI22+Исходн.данные.!S22*10)</f>
        <v>78.434714285714307</v>
      </c>
      <c r="BI22" s="182"/>
      <c r="BJ22" s="182">
        <f>IF(Исходн.данные.!AH22=0,0,IF(HX22*HG22*HL22/AV22&lt;0,0,HX22*HG22*HL22/AV22*AJ22))</f>
        <v>19.718007466666663</v>
      </c>
      <c r="BK22" s="182">
        <f>IF(Исходн.данные.!AH22=0,0,HY22*HH22*HM22/AW22)</f>
        <v>29.70077493542205</v>
      </c>
      <c r="BL22" s="10">
        <f>IF(OR(Исходн.данные.!$AH22=$BP$1,Исходн.данные.!$AH22=$BP$2),0,IF(BH22&lt;0,0,IF(OR(Исходн.данные.!T22=Расчет!$BP$1,Исходн.данные.!T22=Расчет!$BP$2,Исходн.данные.!T22=Расчет!$BT$5,Исходн.данные.!T22=Расчет!$BT$6),BH22*0.5,IF(OR(Исходн.данные.!T22=Расчет!$BS$9,Исходн.данные.!T22=Расчет!$BS$10,Исходн.данные.!T22=Расчет!$BS$11,Исходн.данные.!T22=Расчет!$BS$12,Исходн.данные.!T22=Расчет!$BP$5),BH22*0.8,BH22))))</f>
        <v>62.747771428571447</v>
      </c>
      <c r="BM22" s="10">
        <f>IF(OR(Исходн.данные.!$AH22=$BP$1,Исходн.данные.!$AH22=$BP$2),0,IF(BJ22&lt;0,0,IF(Исходн.данные.!I22&lt;4.5,BJ22*1.2,IF(Исходн.данные.!I22&gt;5.1,BJ22,BJ22*((5.1-Исходн.данные.!I22)*0.333+1)))))</f>
        <v>19.718007466666663</v>
      </c>
      <c r="BN22" s="10">
        <f>IF(OR(Исходн.данные.!$AH22=$BP$1,Исходн.данные.!$AH22=$BP$2),60-Исходн.данные.!AF22,IF(BK22&lt;0,0,IF(Исходн.данные.!I22&lt;4.5,BK22*1.2,IF(Исходн.данные.!I22&gt;5.1,BK22,BK22*((5.1-Исходн.данные.!I22)*0.333+1)))))</f>
        <v>29.70077493542205</v>
      </c>
      <c r="BO22" s="9">
        <f>IF(BL22&lt;0,0,BL22*Исходн.данные.!$AJ22/1000)</f>
        <v>3.1373885714285725</v>
      </c>
      <c r="BP22" s="9">
        <f>IF(BM22&lt;0,0,BM22*Исходн.данные.!$AJ22/1000)</f>
        <v>0.98590037333333314</v>
      </c>
      <c r="BQ22" s="9">
        <f>IF(BN22&lt;0,0,BN22*Исходн.данные.!$AJ22/1000)</f>
        <v>1.4850387467711026</v>
      </c>
      <c r="BR22" s="9">
        <f>SUMIF(BO22:BQ22,"&gt;0")</f>
        <v>5.6083276915330078</v>
      </c>
      <c r="BS22" s="10" t="str">
        <f>IF(AND($CF22=0,$CE22&gt;0),BT22,BU22)</f>
        <v>Азофоска 16:16:16</v>
      </c>
      <c r="BT22" s="10" t="str">
        <f>IF(CE22&gt;3.3,$BH$4,IF(CE22&gt;1.5,$BH$3,IF(CE22&gt;0.75,$BH$2,$BH$1)))</f>
        <v>НАФ</v>
      </c>
      <c r="BU22" s="10" t="str">
        <f>IF(CE22&gt;2.4,$BH$9,IF(CE22&gt;1.8,$BH$8,IF(CE22&gt;1.1,$BH$7,IF(CE22&gt;0.65,$BH$6,$BH$5))))</f>
        <v>Азофоска 16:16:16</v>
      </c>
      <c r="BV22" s="10">
        <f>IF(BL22&lt;0,0,IF(BL22*0.3&gt;30,30,BL22*0.3))</f>
        <v>18.824331428571433</v>
      </c>
      <c r="BW22" s="10"/>
      <c r="BX22" s="10"/>
      <c r="BY22" s="9">
        <f>IF(BL22&lt;0,0,IF(OR(Исходн.данные.!AI22=Расчет!$BU$6,Исходн.данные.!AI22=Расчет!$BU$7),Расчет!BV22,IF(Исходн.данные.!$AG22=$BV$11,BL22,IF(OR(Исходн.данные.!$AH22=$BQ$7,Исходн.данные.!$AH22=$BQ$8),CB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0,IF(Исходн.данные.!$AI22=$BU$11,"Нет",IF(BL22&gt;30,30,BL22)))))))</f>
        <v>18.824331428571433</v>
      </c>
      <c r="BZ22" s="9">
        <f>IF(AND(Исходн.данные.!$AG22=$BV$11,BM22&lt;10),10,IF(Исходн.данные.!$AG22=$BV$11,BM22,IF(OR(Исходн.данные.!$AH22=$BQ$7,Исходн.данные.!$AH22=$BQ$8),CC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10,IF(Исходн.данные.!$AI22=$BU$11,"Нет",IF(BM22&gt;60,60,IF(BM22&lt;10,10,BM22)))))))</f>
        <v>19.718007466666663</v>
      </c>
      <c r="CA22" s="39">
        <f>IF(BN22&lt;0,0,IF(Исходн.данные.!$AG22=$BV$11,BN22,IF(OR(Исходн.данные.!$AH22=$BQ$7,Исходн.данные.!$AH22=$BQ$8),CD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0,IF(Исходн.данные.!$AI22=$BU$11,"Нет",IF(BN22&gt;30,30,BN22))))))</f>
        <v>29.70077493542205</v>
      </c>
      <c r="CB22" s="9">
        <f>IF(BL22&lt;0,0,IF(BL22&gt;90,90,BL22))</f>
        <v>62.747771428571447</v>
      </c>
      <c r="CC22" s="9">
        <f>IF(BM22&lt;0,0,IF(BM22&gt;90,90,BM22))</f>
        <v>19.718007466666663</v>
      </c>
      <c r="CD22" s="9">
        <f>IF(BN22&lt;0,0,IF(BN22&gt;90,90,BN22))</f>
        <v>29.70077493542205</v>
      </c>
      <c r="CE22" s="12">
        <f>IF(BZ22="Нет",0,IF($BY22&gt;0,BZ22/$BY22,BZ22/1))</f>
        <v>1.047474516770291</v>
      </c>
      <c r="CF22" s="9">
        <f>IF(BZ22="Нет",0,IF($BZ22&gt;0,CA22/$BZ22,CA22/1))</f>
        <v>1.5062766856961221</v>
      </c>
      <c r="CG22" s="9" t="s">
        <v>231</v>
      </c>
      <c r="CH22" s="132" t="str">
        <f>IF(Исходн.данные.!AP22=Расчет!$CI$16,"Нет",IF(Исходн.данные.!AL22&gt;0,Исходн.данные.!AL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BH$4,IF(OR(Исходн.данные.!AI22=Исходн.данные.!$AI$6,Исходн.данные.!AI22=Исходн.данные.!$AI$7),Расчет!BS22,IF(AND($CF22=0,$CE22&gt;0),EV22,ER22)))))</f>
        <v>Нет</v>
      </c>
      <c r="CI22" s="274" t="str">
        <f>IF(Расчет!$CH22="Нет","Нет",IF(Исходн.данные.!$AL22&gt;0,VLOOKUP(Расчет!$CH22,АшламаДВ_Irekle,2,FALSE),VLOOKUP(Расчет!$CH22,АшламаДВ_Gomumy,2,FALSE)))</f>
        <v>Нет</v>
      </c>
      <c r="CJ22" s="274" t="str">
        <f>IF(Расчет!$CH22="Нет","Нет",IF(Исходн.данные.!$AL22&gt;0,VLOOKUP(Расчет!$CH22,АшламаДВ_Irekle,3,FALSE),VLOOKUP(Расчет!$CH22,АшламаДВ_Gomumy,3,FALSE)))</f>
        <v>Нет</v>
      </c>
      <c r="CK22" s="274" t="str">
        <f>IF(Расчет!$CH22="Нет","Нет",IF(Исходн.данные.!$AL22&gt;0,VLOOKUP(Расчет!$CH22,АшламаДВ_Irekle,4,FALSE),VLOOKUP(Расчет!$CH22,АшламаДВ_Gomumy,4,FALSE)))</f>
        <v>Нет</v>
      </c>
      <c r="CL22" s="70"/>
      <c r="CM22" s="70"/>
      <c r="CN22" s="70"/>
      <c r="CO22" s="70"/>
      <c r="CP22" s="70"/>
      <c r="CQ22" s="70"/>
      <c r="CR22" s="10">
        <f>IF($CH22="Нет",0,IF(BY22&gt;0,BY22/CI22,0))</f>
        <v>0</v>
      </c>
      <c r="CS22" s="10">
        <f>IF($CH22="Нет",0,IF(BZ22&gt;0,BZ22/CJ22,0))</f>
        <v>0</v>
      </c>
      <c r="CT22" s="10">
        <f>IF($CH22="Нет",0,IF(CA22&gt;0,CA22/CK22,0))</f>
        <v>0</v>
      </c>
      <c r="CU22" s="39">
        <f>IF($CH22="Нет",0,IF(CI22=0,30/MIN(CJ22:CK22),IF(Исходн.данные.!$AG22=$BV$11,CR22,IF(OR(Исходн.данные.!$AH22=$BQ$7,Исходн.данные.!$AH22=$BQ$8),90/CI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0,IF(Исходн.данные.!$AI22=$BU$11,"Нет",30/CI22))))))</f>
        <v>0</v>
      </c>
      <c r="CV22" s="39">
        <f>IF($CH22="Нет",0,IF(Исходн.данные.!AH22=0,0,IF(CJ22=0,60/MIN(CI22,CK22),IF(Исходн.данные.!$AG22=$BV$11,CS22,IF(OR(Исходн.данные.!$AH22=$BQ$7,Исходн.данные.!$AH22=$BQ$8),90/CJ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10/CJ22,IF(Исходн.данные.!$AI22=$BU$11,"Нет",60/CJ22)))))))</f>
        <v>0</v>
      </c>
      <c r="CW22" s="39">
        <f>IF($CH22="Нет",0,IF(Исходн.данные.!AH22=0,0,IF(CK22=0,30/MIN(CI22:CJ22),IF(Исходн.данные.!$AG22=$BV$11,CT22,IF(OR(Исходн.данные.!$AH22=$BQ$7,Исходн.данные.!$AH22=$BQ$8),90/CK22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0,IF(Исходн.данные.!$AI22=$BU$11,"Нет",30/CK22)))))))</f>
        <v>0</v>
      </c>
      <c r="CX22" s="133">
        <f>IF(Исходн.данные.!$AG22=$BV$11,MAX(CU22:CW22),IF(OR(Исходн.данные.!$AH22=$BS$8,Исходн.данные.!$AH22=$BQ$9,Исходн.данные.!$AH22=$BQ$10,Исходн.данные.!$AH22=$BQ$11,Исходн.данные.!$AH22=$BQ$12,Исходн.данные.!$AH22=$BP$3,Исходн.данные.!$AH22=$BT$8,$FM22="Да"),CV22,MIN(CU22:CW22)))</f>
        <v>0</v>
      </c>
      <c r="CY22" s="133">
        <f>IF(Исходн.данные.!AH22=0,0,IF(CR22&gt;$CX22,$CX22,CR22))</f>
        <v>0</v>
      </c>
      <c r="CZ22" s="133">
        <f>IF(Исходн.данные.!AH22=0,0,IF(CS22&gt;$CX22,$CX22,CS22))</f>
        <v>0</v>
      </c>
      <c r="DA22" s="133">
        <f>IF(Исходн.данные.!AH22=0,0,IF(CT22&gt;$CX22,$CX22,CT22))</f>
        <v>0</v>
      </c>
      <c r="DB22" s="10">
        <f>IF(BY22="Нет",0,CZ22)</f>
        <v>0</v>
      </c>
      <c r="DC22" s="39">
        <f>DB22*Исходн.данные.!AJ22/1000</f>
        <v>0</v>
      </c>
      <c r="DD22" s="71" t="e">
        <f>$DB22*CI22</f>
        <v>#VALUE!</v>
      </c>
      <c r="DE22" s="9" t="e">
        <f>$DB22*CJ22</f>
        <v>#VALUE!</v>
      </c>
      <c r="DF22" s="9" t="e">
        <f>$DB22*CK22</f>
        <v>#VALUE!</v>
      </c>
      <c r="DG22" s="39">
        <f>IF(BL22&lt;0,0,IF($CH22="Нет",BL22,IF(OR(Исходн.данные.!$AH22=$BP$1,Исходн.данные.!$AH22=$BP$2),0,IF(Исходн.данные.!AI22=$BU$11,BL22,IF(BL22-DD22&lt;0,0,BL22-DD22)))))</f>
        <v>62.747771428571447</v>
      </c>
      <c r="DH22" s="39">
        <f>IF(BM22&lt;0,0,IF($CH22="Нет",BM22,IF(OR(Исходн.данные.!$AH22=$BP$1,Исходн.данные.!$AH22=$BP$2),0,IF(Исходн.данные.!AJ22=$BU$11,BM22,IF(BM22-DE22&lt;0,0,BM22-DE22)))))</f>
        <v>19.718007466666663</v>
      </c>
      <c r="DI22" s="39">
        <f>IF(BN22&lt;0,0,IF($CH22="Нет",BN22,IF(OR(Исходн.данные.!$AH22=$BP$1,Исходн.данные.!$AH22=$BP$2),0,IF(Исходн.данные.!AK22=$BU$11,BN22,IF(BN22-DF22&lt;0,0,BN22-DF22)))))</f>
        <v>29.70077493542205</v>
      </c>
      <c r="DJ22" s="12">
        <f>IF(DG22&gt;0,DH22/DG22,DH22)</f>
        <v>0.31424235503108727</v>
      </c>
      <c r="DK22" s="9">
        <f>IF(DH22&gt;0,DI22/DH22,DI22)</f>
        <v>1.5062766856961221</v>
      </c>
      <c r="DL22" s="39" t="str">
        <f>IF(Исходн.данные.!AM22&gt;0,Исходн.данные.!AM22,IF(EG22&gt;0,$BH$10,0))</f>
        <v>Ам.селитра</v>
      </c>
      <c r="DM22" s="186">
        <f>IF($DL22=0,0,IF(Исходн.данные.!AM22&gt;0,VLOOKUP($DL22,АшламаДВ_Irekle,2,FALSE),VLOOKUP($DL22,АшламаДВ_Gomumy,2,FALSE)))</f>
        <v>0.34399999999999997</v>
      </c>
      <c r="DN22" s="10">
        <f>IF(DL22=0,0,EG22/DM22)</f>
        <v>2.2584035437431713</v>
      </c>
      <c r="DO22" s="9" t="str">
        <f>IF(Исходн.данные.!AN22&gt;0,Исходн.данные.!AN22,Удобрения!$B$37 )</f>
        <v>Хлор.калий</v>
      </c>
      <c r="DP22" s="9">
        <f>IF(Исходн.данные.!AN22&gt;0,VLOOKUP(Исходн.данные.!AN22,АшламаДВ_Irekle,4,FALSE),VLOOKUP(DO22,АшламаДВ_Gomumy,4,FALSE))</f>
        <v>0.6</v>
      </c>
      <c r="DQ22" s="10">
        <f>IF(OR(EH22=0,EH22&lt;0),0,EH22/DP22)</f>
        <v>0</v>
      </c>
      <c r="DR22" s="132" t="str">
        <f>IF(Исходн.данные.!AO22&gt;0,Исходн.данные.!AO22,IF(DH22=0,BS$17,IF(AND($DK22=0,$DJ22&gt;0),EJ22,EN22)))</f>
        <v>Нитроаммофоска</v>
      </c>
      <c r="DS22" s="70">
        <f>IF($DR22="Нет","Нет",IF(Исходн.данные.!$AO22&gt;0,VLOOKUP($DR22,АшламаДВ_Irekle,2,FALSE),VLOOKUP($DR22,АшламаДВ_Gomumy,2,FALSE)))</f>
        <v>0.22</v>
      </c>
      <c r="DT22" s="70">
        <f>IF($DR22="Нет","Нет",IF(Исходн.данные.!$AO22&gt;0,VLOOKUP($DR22,АшламаДВ_Irekle,3,FALSE),VLOOKUP($DR22,АшламаДВ_Gomumy,3,FALSE)))</f>
        <v>7.0000000000000007E-2</v>
      </c>
      <c r="DU22" s="70">
        <f>IF($DR22="Нет","Нет",IF(Исходн.данные.!$AO22&gt;0,VLOOKUP($DR22,АшламаДВ_Irekle,4,FALSE),VLOOKUP($DR22,АшламаДВ_Gomumy,4,FALSE)))</f>
        <v>0.12</v>
      </c>
      <c r="DV22" s="70"/>
      <c r="DW22" s="70"/>
      <c r="DX22" s="70"/>
      <c r="DY22" s="10">
        <f>IF(DS22="Нет",0,IF(DS22=0,0,IF(DG22&gt;0,DG22/DS22,0)))</f>
        <v>285.21714285714296</v>
      </c>
      <c r="DZ22" s="10">
        <f>IF(DT22="Нет",0,IF(DT22=0,0,IF(DH22&gt;0,DH22/DT22,0)))</f>
        <v>281.68582095238088</v>
      </c>
      <c r="EA22" s="10">
        <f>IF(DU22="Нет",0,IF(DU22=0,0,IF(DI22&gt;0,DI22/DU22,0)))</f>
        <v>247.50645779518376</v>
      </c>
      <c r="EB22" s="10">
        <f>DZ22</f>
        <v>281.68582095238088</v>
      </c>
      <c r="EC22" s="10">
        <f>IF(DS22="Нет",0,$EB22*DS22)</f>
        <v>61.970880609523796</v>
      </c>
      <c r="ED22" s="10">
        <f>IF(DT22="Нет",0,$EB22*DT22)</f>
        <v>19.718007466666663</v>
      </c>
      <c r="EE22" s="10">
        <f>IF(DU22="Нет",0,$EB22*DU22)</f>
        <v>33.802298514285702</v>
      </c>
      <c r="EF22" s="39">
        <f>EB22*Исходн.данные.!AJ22/1000</f>
        <v>14.084291047619045</v>
      </c>
      <c r="EG22" s="9">
        <f>DG22-EC22</f>
        <v>0.77689081904765089</v>
      </c>
      <c r="EH22" s="9">
        <f>DI22-EE22</f>
        <v>-4.1015235788636524</v>
      </c>
      <c r="EI22" s="39">
        <f t="shared" ref="EI22:EI85" si="7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13.178665190438744</v>
      </c>
      <c r="EJ22" s="9" t="str">
        <f t="shared" ref="EJ22:EJ86" si="8">IF($DJ22&gt;2.6,BH$4,IF($DJ22&gt;0.9,BH$3,IF($DJ22&gt;0.5,BH$2,BH$1)))</f>
        <v>Азопреципитат</v>
      </c>
      <c r="EK22" s="12">
        <f t="shared" ref="EK22:EK85" si="9">VLOOKUP($EJ22,АшламаДВ_Gomumy,2,FALSE)</f>
        <v>0.26</v>
      </c>
      <c r="EL22" s="12">
        <f t="shared" ref="EL22:EL85" si="10">VLOOKUP($EJ22,АшламаДВ_Gomumy,3,FALSE)</f>
        <v>0.13</v>
      </c>
      <c r="EM22" s="12">
        <f t="shared" ref="EM22:EM85" si="11">VLOOKUP($EJ22,АшламаДВ_Gomumy,4,FALSE)</f>
        <v>0</v>
      </c>
      <c r="EN22" s="12" t="str">
        <f>IF(DH22=0,"Нет",IF($DK22&gt;1.4,BS$14,IF($DJ22&gt;2.2,BH$9,IF($DJ22&gt;1.5,BH$8,IF($DJ22&gt;1,BH$7,IF($DJ22&gt;0.5,BH$6,BH$5))))))</f>
        <v>Нитроаммофоска</v>
      </c>
      <c r="EO22" s="12">
        <f t="shared" ref="EO22:EO85" si="12">IF($EN22="Нет",0,VLOOKUP($EN22,АшламаДВ_Gomumy,2,FALSE))</f>
        <v>0.22</v>
      </c>
      <c r="EP22" s="12">
        <f t="shared" ref="EP22:EP85" si="13">IF($EN22="Нет",0,VLOOKUP($EN22,АшламаДВ_Gomumy,3,FALSE))</f>
        <v>7.0000000000000007E-2</v>
      </c>
      <c r="EQ22" s="12">
        <f t="shared" ref="EQ22:EQ85" si="14">IF($EN22="Нет",0,VLOOKUP($EN22,АшламаДВ_Gomumy,4,FALSE))</f>
        <v>0.12</v>
      </c>
      <c r="ER22" s="12" t="str">
        <f>IF($BZ22=0,"Нет",IF($CA22/$BZ22&gt;1.4,BS$14,IF($CE22&gt;2.2,BH$9,IF($CE22&gt;1.5,BH$8,IF($CE22&gt;1,BH$7,IF($CE22&gt;0.5,BH$6,BH$5))))))</f>
        <v>Нитроаммофоска</v>
      </c>
      <c r="ES22" s="12">
        <f t="shared" ref="ES22:ES85" si="15">VLOOKUP(ER22,АшламаДВ_Gomumy,2,FALSE)</f>
        <v>0.22</v>
      </c>
      <c r="ET22" s="12">
        <f t="shared" ref="ET22:ET85" si="16">VLOOKUP(ER22,АшламаДВ_Gomumy,3,FALSE)</f>
        <v>7.0000000000000007E-2</v>
      </c>
      <c r="EU22" s="12">
        <f t="shared" ref="EU22:EU85" si="17">VLOOKUP(ER22,АшламаДВ_Gomumy,4,FALSE)</f>
        <v>0.12</v>
      </c>
      <c r="EV22" s="12" t="str">
        <f>IF(CE22&gt;2.6,$BH$4,IF(CE22&gt;0.9,$BH$3,IF(CE22&gt;0.5,$BH$2,$BH$1)))</f>
        <v>Диаммонийфосфат</v>
      </c>
      <c r="EW22" s="12" t="str">
        <f>IF($CF22&lt;0.14,BH$17,IF($CF22&lt;0.25,BH$16,IF($CF22&lt;0.51,BH$15,IF($CF22&lt;0.7,BH$14,IF($CF22&lt;1,BH$13,BH$12)))))</f>
        <v>Кемира Полевое-9</v>
      </c>
      <c r="EX22" s="12">
        <f t="shared" ref="EX22:EX85" si="18">VLOOKUP($EW22,АшламаДВ_Gomumy,2,FALSE)</f>
        <v>0.18600000000000003</v>
      </c>
      <c r="EY22" s="12">
        <f t="shared" ref="EY22:EY85" si="19">VLOOKUP($EW22,АшламаДВ_Gomumy,3,FALSE)</f>
        <v>7.6999999999999999E-2</v>
      </c>
      <c r="EZ22" s="12">
        <f t="shared" ref="EZ22:EZ85" si="20">VLOOKUP($EW22,АшламаДВ_Gomumy,4,FALSE)</f>
        <v>0.17</v>
      </c>
      <c r="FA22" s="38" t="str">
        <f>IF(AND(OR(FJ22=$FD$1,FM22=$FD$1,FO22=$FD$1,FQ22=$FD$1,FS22=$FD$1),FD22=$FD$1,Исходн.данные.!J22&lt;2,FU22=$FD$1),"Бор,Кобальт",IF(AND(FO22=$FD$1,FH22=$FD$1,Исходн.данные.!J22&lt;2,FU22=$FD$1),"Бор,Кобальт",IF(AND(OR(FJ22=$FD$1,FM22=$FD$1,FQ22=$FD$1),FE22=$FD$1,Исходн.данные.!J22&lt;2,FT22=$FD$1,FU22=$FD$1),"Бор,Медь,Цинк",IF(AND(OR(FJ22=$FD$1,FR22="Да"),FI22="Да",Исходн.данные.!J22&lt;2,FT22="Да",FU22="Да"),"Бор,Цинк,Медь",IF(AND(OR(FM22="Да",FQ22="Да"),FI22="Да",Исходн.данные.!J22&lt;2,FT22="Да",FU22="Да"),"Бор,Цинк",IF(AND(FN22="Да",OR(FD22="Да",FE22="Да")),"Бор",FB22))))))</f>
        <v>Не требуется</v>
      </c>
      <c r="FB22" s="134" t="str">
        <f>IF(AND(OR(FD22="Да",FE22="Да",FF22="Да",FG22="Да",FH22="Да"),FO22="Да"),"Бор",IF(AND(FP22="Да",OR(FD22="Да",FE22="Да",FI22="Да")),"Бор",IF(AND(FS22="Да",FE22="Да"),"Бор,Медь",IF(AND(OR(FJ22="Да",FK22="Да",FL22="Да"),FE22="Да",Исходн.данные.!I22&lt;5,FT22="Да",FU22="Да"),"Молибден,Цинк",IF(AND(FM22="Да",OR(FE22="Да",FF22="Да",FG22="Да",FH22="Да",FI22="Да")),"Молибден,Цинк",IF(AND(OR(FJ22="Да",FK22="Да",FL22="Да",FM22="Да",FQ22="Да"),OR(FE22="Да",FF22="Да"),FT22="Да",FU22="Да",Исходн.данные.!I22&gt;5.5),"Медь,Цинк",FC22))))))</f>
        <v>Не требуется</v>
      </c>
      <c r="FC22" s="23" t="str">
        <f>IF(AND(OR(FJ22="Да",FL22="Да"),OR(FG22=$DF$12,FH22=$DF$12),FT22=$DF$12,FU22=$DF$12,FW22=$DF$12),"Медь,Цинк,Марганец",IF(AND(OR(FK22=$DF$12,FM22=$DF$12,FQ22=$DF$12),OR(FG22=$DF$12,FH22=$DF$12),FT22=$DF$12,FU22=$DF$12,FW22=$DF$12),"Медь,Цинк",IF(AND(FS22=$DF$12,OR(FE22=$DF$12,FF22=$DF$12,FG22=$DF$12,FH22=$DF$12),FT22=$DF$12,FW22=$DF$12),"Медь",IF(AND(OR(FJ22=$DF$12,FL22=$DF$12,FR22=$DF$12),FI22=$DF$12,FT22=$DF$12,FU21=$DF$12,FV22=$DF$12,FW22=$DF$12),"Цинк,Марганец","Не требуется"))))</f>
        <v>Не требуется</v>
      </c>
      <c r="FD22" s="38" t="str">
        <f>IF(OR(Исходн.данные.!F22=$CC$1,Исходн.данные.!F22=$CC$2,Исходн.данные.!F22=$CC$3,Исходн.данные.!F22=$CC$4),"Да","Нет")</f>
        <v>Нет</v>
      </c>
      <c r="FE22" s="38" t="str">
        <f>IF(Исходн.данные.!F22=$CC$5,"Да","Нет")</f>
        <v>Да</v>
      </c>
      <c r="FF22" s="38" t="str">
        <f>IF(OR(Исходн.данные.!F22=$CC$6,Исходн.данные.!F22=$CC$7),"Да","Нет")</f>
        <v>Нет</v>
      </c>
      <c r="FG22" s="38" t="str">
        <f>IF(OR(Исходн.данные.!F22=$CC$8,Исходн.данные.!F22=$CC$9),"Да","Нет")</f>
        <v>Нет</v>
      </c>
      <c r="FH22" s="38" t="str">
        <f>IF(Исходн.данные.!F22=$CC$10,"Да","Нет")</f>
        <v>Нет</v>
      </c>
      <c r="FI22" s="38" t="str">
        <f>IF(OR(Исходн.данные.!F22=$CC$11,Исходн.данные.!F22=$CC$12),"Да","Нет")</f>
        <v>Нет</v>
      </c>
      <c r="FJ22" s="38" t="str">
        <f>IF(OR(Исходн.данные.!AH22=$BS$1,Исходн.данные.!AH22=$BQ$11,Исходн.данные.!AH22=$BQ$12),"Да","Нет")</f>
        <v>Нет</v>
      </c>
      <c r="FK22" s="38" t="str">
        <f>IF(OR(Исходн.данные.!AH22=$BS$2,Исходн.данные.!AH22=$BS$4),"Да","Нет")</f>
        <v>Да</v>
      </c>
      <c r="FL22" s="38" t="str">
        <f>IF(OR(Исходн.данные.!AH22=$BS$3,Исходн.данные.!AH22=$BS$5),"Да","Нет")</f>
        <v>Нет</v>
      </c>
      <c r="FM22" s="38" t="str">
        <f>IF(OR(Исходн.данные.!AH22=$BS$9,Исходн.данные.!AH22=$BS$10,Исходн.данные.!AH22=$BS$11,Исходн.данные.!AH22=$BS$12),"Да","Нет")</f>
        <v>Нет</v>
      </c>
      <c r="FN22" s="38" t="str">
        <f>IF(OR(Исходн.данные.!AH22=$BS$6,Исходн.данные.!AH22=$BP$3),"Да","Нет")</f>
        <v>Нет</v>
      </c>
      <c r="FO22" s="38" t="str">
        <f>IF(Исходн.данные.!AH22=$BQ$9,"Да","Нет")</f>
        <v>Нет</v>
      </c>
      <c r="FP22" s="38" t="str">
        <f>IF(OR(Исходн.данные.!AH22=$BS$8,Исходн.данные.!AH22=$BT$8),"Да","Нет")</f>
        <v>Нет</v>
      </c>
      <c r="FQ22" s="38" t="str">
        <f>IF(OR(Исходн.данные.!AH22=$BQ$7,Исходн.данные.!AH22=$BQ$8),"Да","Нет")</f>
        <v>Нет</v>
      </c>
      <c r="FR22" s="38" t="str">
        <f>IF(Исходн.данные.!AI22=$BU$9,"Да","Нет")</f>
        <v>Нет</v>
      </c>
      <c r="FS22" s="38" t="str">
        <f>IF(OR(Исходн.данные.!AH22=$BP$1,Исходн.данные.!AH22=$BP$2),"Да","Нет")</f>
        <v>Нет</v>
      </c>
      <c r="FT22" s="38" t="str">
        <f>IF((Исходн.данные.!K22*GO22*GS22*GW22+BL22*0.6+Исходн.данные.!Q22*4.5*0.275)&gt;90,"Да","Нет")</f>
        <v>Нет</v>
      </c>
      <c r="FU22" s="38" t="str">
        <f>IF((Исходн.данные.!M22*GS22*GZ22+BM22*0.225)&gt;35,"Да","Нет")</f>
        <v>Нет</v>
      </c>
      <c r="FV22" s="38" t="str">
        <f>IF(Исходн.данные.!O22&gt;175,"Да","Нет")</f>
        <v>Нет</v>
      </c>
      <c r="FW22" s="39" t="str">
        <f>IF(Исходн.данные.!I22&gt;5.5,"Да","Нет")</f>
        <v>Нет</v>
      </c>
      <c r="FX22" s="39" t="str">
        <f>IF(Исходн.данные.!J22&lt;2,"Да","Нет")</f>
        <v>Нет</v>
      </c>
      <c r="FY22" s="39">
        <f>IF(HF22=$FY$16,0,Исходн.данные.!K22*GO22*GS22*GW22/HF22)</f>
        <v>9.67741935483871</v>
      </c>
      <c r="FZ22" s="39">
        <f>Исходн.данные.!M22*GS22*GZ22/HG22</f>
        <v>21.96</v>
      </c>
      <c r="GA22" s="39">
        <f>IF(K_Wyn=$FY$16,0,IF(Исходн.данные.!N22=Исходн.данные.!$L$10,Исходн.данные.!O22/1.1*GS22*HC22/HH22,IF(Исходн.данные.!N22=Исходн.данные.!$L$12,Исходн.данные.!O22/1.5*GS22*HC22/HH22,Исходн.данные.!O22*GS22*HC22/HH22)))</f>
        <v>15.099741688192651</v>
      </c>
      <c r="GB22" s="39">
        <f>IF(HF22=$FY$16,0,((Исходн.данные.!Q22*N_Org+Исходн.данные.!R22*N_Sider+Исходн.данные.!S22*N_Soloma)*AO22+Расчет!BC22*VLOOKUP(Исходн.данные.!T22,Справ!$A$3:$O$57,15)*AO22+BB22*VLOOKUP(Исходн.данные.!T22,Справ!$A$3:$O$57,15)*AL22+(Исходн.данные.!V22*N_Rizotorf+Исходн.данные.!W22*N_Rizoagr))/HF22)</f>
        <v>0</v>
      </c>
      <c r="GC22" s="39">
        <f>IF(HG22=$FY$16,0,((Исходн.данные.!Q22*Р_Org+Исходн.данные.!R22*P_Sider+Исходн.данные.!S22*P_Soloma)*AP22+Расчет!BC22*VLOOKUP(Исходн.данные.!T22,Справ!$A$3:$P$57,16)*AP22+BB22*VLOOKUP(Исходн.данные.!T22,Справ!$A$3:$P$57,16)*AM22)/HG22)</f>
        <v>0</v>
      </c>
      <c r="GD22" s="39">
        <f>IF(HH22=$FY$16,0,((Исходн.данные.!Q22*К_Org+Исходн.данные.!R22*K_Sider+Исходн.данные.!S22*K_Soloma)*AQ22+Расчет!BC22*VLOOKUP(Исходн.данные.!T22,Справ!$A$3:$Q$57,17)*AQ22+BB22*VLOOKUP(Исходн.данные.!T22,Справ!$A$3:$Q$57,17)*AN22)/HH22)</f>
        <v>0</v>
      </c>
      <c r="GE22" s="39">
        <f>IF(HF22=$FY$16,0,(Исходн.данные.!X22*AR22+Исходн.данные.!AA22*N_Org*AL22+Исходн.данные.!AB22*N_Sider*AL22+Исходн.данные.!AC22*N_Soloma*AL22)/HF22)</f>
        <v>0</v>
      </c>
      <c r="GF22" s="39">
        <f>IF(HG22=$FY$16,0,(Исходн.данные.!Y22*AS22+Исходн.данные.!AA22*Р_Org*AM22+Исходн.данные.!AB22*P_Sider*AM22+Исходн.данные.!AC22*P_Soloma*AM22)/HG22)</f>
        <v>0</v>
      </c>
      <c r="GG22" s="39">
        <f>IF(HH22=$FY$16,0,(Исходн.данные.!Z22*AT22+Исходн.данные.!AA22*К_Org*AN22+Исходн.данные.!AB22*K_Sider*AN22+Исходн.данные.!AC22*K_Soloma*AN22)/HH22)</f>
        <v>0</v>
      </c>
      <c r="GH22" s="39">
        <f>Исходн.данные.!AD22*AU22/HF22</f>
        <v>0</v>
      </c>
      <c r="GI22" s="39">
        <f>Исходн.данные.!AE22*AV22/HG22</f>
        <v>0</v>
      </c>
      <c r="GJ22" s="39">
        <f>Исходн.данные.!AF22*AW22/HH22</f>
        <v>0</v>
      </c>
      <c r="GK22" s="55">
        <f>Исходн.данные.!AK22</f>
        <v>25</v>
      </c>
      <c r="GL22" s="11">
        <f>FY22</f>
        <v>9.67741935483871</v>
      </c>
      <c r="GM22" s="11">
        <f>FZ22</f>
        <v>21.96</v>
      </c>
      <c r="GN22" s="11">
        <f>GA22</f>
        <v>15.099741688192651</v>
      </c>
      <c r="GO22" s="57">
        <f>GP22</f>
        <v>20</v>
      </c>
      <c r="GP22" s="55">
        <f>IF(OR(Исходн.данные.!F22=$CE$1,Исходн.данные.!F22=$CE$2,Исходн.данные.!F22=$CE$3,Исходн.данные.!F22=$CE$4,Исходн.данные.!F22=$CE$5),GQ22,GR22)</f>
        <v>20</v>
      </c>
      <c r="GQ22" s="55">
        <f>IF(Исходн.данные.!F22=$CE$1,28,IF(Исходн.данные.!F22=$CE$2,26,IF(Исходн.данные.!F22=$CE$3,24,IF(Исходн.данные.!F22=$CE$4,22,IF(Исходн.данные.!F22=$CE$5,20,GR22)))))</f>
        <v>20</v>
      </c>
      <c r="GR22" s="55">
        <f>IF(Исходн.данные.!F22=$CE$6,18,IF(Исходн.данные.!F22=$CE$7,16,IF(Исходн.данные.!F22=$CE$8,14,IF(Исходн.данные.!F22=$CE$9,13,IF(Исходн.данные.!F22=$CE$10,12,19)))))</f>
        <v>19</v>
      </c>
      <c r="GS22" s="55">
        <f>IF(Исходн.данные.!G22="Пес",0.035*(40+2*Исходн.данные.!H22),IF(Исходн.данные.!G22="Суп",0.0325*(40+2*Исходн.данные.!H22),0.03*(40+2*Исходн.данные.!H22)))</f>
        <v>2.4</v>
      </c>
      <c r="GT22" s="55">
        <f>IF(Исходн.данные.!H22&lt;23,2.6,IF(AND(Исходн.данные.!H22&gt;22,Исходн.данные.!H22&lt;26),3,IF(AND(Исходн.данные.!H22&gt;25,Исходн.данные.!H22&lt;29),3.4,3.6)))</f>
        <v>2.6</v>
      </c>
      <c r="GU22" s="55">
        <f>IF(Исходн.данные.!H22&lt;23,2.8,IF(AND(Исходн.данные.!H22&gt;22,Исходн.данные.!H22&lt;26),3.2,IF(AND(Исходн.данные.!H22&gt;25,Исходн.данные.!H22&lt;29),3.6,3.9)))</f>
        <v>2.8</v>
      </c>
      <c r="GV22" s="55">
        <f>IF(Исходн.данные.!H22&lt;23,3,IF(AND(Исходн.данные.!H22&gt;22,Исходн.данные.!H22&lt;26),3.5,IF(AND(Исходн.данные.!H22&gt;25,Исходн.данные.!H22&lt;29),3.9,4.2)))</f>
        <v>3</v>
      </c>
      <c r="GW22" s="55">
        <f>IF(Исходн.данные.!P22="Ум",GX22,GY22)</f>
        <v>0.25</v>
      </c>
      <c r="GX22" s="55">
        <f>VLOOKUP(Исходн.данные.!AI22,Коэффициенты!$J$7:$L$13,2,FALSE)</f>
        <v>0.25</v>
      </c>
      <c r="GY22" s="55">
        <f>VLOOKUP(Исходн.данные.!AI22,Коэффициенты!$J$7:$L$13,3,FALSE)</f>
        <v>0.4</v>
      </c>
      <c r="GZ22" s="55">
        <f>(IF(Исходн.данные.!M22&lt;50,0.11*VLOOKUP(Исходн.данные.!AH22,Культуры.Информация,7,FALSE),IF(Исходн.данные.!M22&gt;250,0.05*VLOOKUP(Исходн.данные.!AH22,Культуры.Информация,7,FALSE),VLOOKUP(Исходн.данные.!AH22,Культуры.Информация,5,FALSE)/100*($GX$6+$GY$6*Исходн.данные.!M22))))*Расчет2!AI22</f>
        <v>9.1499999999999998E-2</v>
      </c>
      <c r="HA22" s="180"/>
      <c r="HB22" s="180"/>
      <c r="HC22" s="55">
        <f>(IF(Исходн.данные.!O22&lt;80,0.2*VLOOKUP(Исходн.данные.!AH22,Культуры.Информация,8,FALSE),IF(Исходн.данные.!O22&gt;240,0.09*VLOOKUP(Исходн.данные.!AH22,Культуры.Информация,8,FALSE),VLOOKUP(Исходн.данные.!AH22,Культуры.Информация,6,FALSE)/100*($HB$6+$HC$6*Исходн.данные.!O22))))*Расчет2!AJ22</f>
        <v>0.10647253754494819</v>
      </c>
      <c r="HD22" s="180">
        <f>IF(Исходн.данные.!O22&gt;240,0.09,IF(Исходн.данные.!O22&lt;30,0.3,$HE$10+$HD$10*Исходн.данные.!O22))</f>
        <v>0.16344572953736664</v>
      </c>
      <c r="HE22" s="180">
        <f>IF(Исходн.данные.!O22&gt;240,0.17,IF(Исходн.данные.!O22&lt;30,0.5,$HF$12+$HE$12*Исходн.данные.!O22))</f>
        <v>0.30598932384341637</v>
      </c>
      <c r="HF22" s="55">
        <f>VLOOKUP(Исходн.данные.!AH22,Справ!$A$3:$D$58,2,FALSE)</f>
        <v>3.1</v>
      </c>
      <c r="HG22" s="55">
        <f>VLOOKUP(Исходн.данные.!AH22,Справ!$A$3:$D$58,3,FALSE)</f>
        <v>1.2</v>
      </c>
      <c r="HH22" s="55">
        <f>VLOOKUP(Исходн.данные.!AH22,Справ!$A$3:$D$58,4,FALSE)</f>
        <v>2</v>
      </c>
      <c r="HI22" s="11">
        <f>$BG22-HQ22</f>
        <v>14.176520039100685</v>
      </c>
      <c r="HJ22" s="11">
        <f>$BG22-HR22</f>
        <v>1.8939393939393945</v>
      </c>
      <c r="HK22" s="11">
        <f>$BG22-HS22</f>
        <v>8.7541977057467442</v>
      </c>
      <c r="HL22" s="55">
        <f>IF(OR(Исходн.данные.!G22="Глин",Исходн.данные.!G22="Т_суг"),1.1,IF(Исходн.данные.!G22="Ср_суг",1,1))</f>
        <v>1.1000000000000001</v>
      </c>
      <c r="HM22" s="55">
        <f>IF(OR(Исходн.данные.!G22="Глин",Исходн.данные.!G22="Т_суг"),0.9,IF(Исходн.данные.!G22="Ср_суг",1,1.2))</f>
        <v>0.9</v>
      </c>
      <c r="HN22" s="11">
        <f>FY22+GB22+GE22+GH22</f>
        <v>9.67741935483871</v>
      </c>
      <c r="HO22" s="11">
        <f>FZ22+GC22+GF22+GI22</f>
        <v>21.96</v>
      </c>
      <c r="HP22" s="11">
        <f>GA22+GD22+GG22+GJ22</f>
        <v>15.099741688192651</v>
      </c>
      <c r="HQ22">
        <f>HN22</f>
        <v>9.67741935483871</v>
      </c>
      <c r="HR22">
        <f>HO22</f>
        <v>21.96</v>
      </c>
      <c r="HS22">
        <f>HP22</f>
        <v>15.099741688192651</v>
      </c>
      <c r="HT22">
        <f t="shared" ref="HT22:HT85" si="21">GK22-HN22</f>
        <v>15.32258064516129</v>
      </c>
      <c r="HU22">
        <f t="shared" ref="HU22:HU85" si="22">GK22-HO22</f>
        <v>3.0399999999999991</v>
      </c>
      <c r="HV22">
        <f t="shared" ref="HV22:HV85" si="23">GK22-HP22</f>
        <v>9.9002583118073488</v>
      </c>
      <c r="HW22">
        <f t="shared" ref="HW22:HW85" si="24">IF(GK22=0,HI22,HT22)</f>
        <v>15.32258064516129</v>
      </c>
      <c r="HX22">
        <f t="shared" ref="HX22:HX85" si="25">IF(GK22=0,HJ22,HU22)</f>
        <v>3.0399999999999991</v>
      </c>
      <c r="HY22">
        <f t="shared" ref="HY22:HY85" si="26">IF(GK22=0,HK22,HV22)</f>
        <v>9.9002583118073488</v>
      </c>
      <c r="HZ22" s="55">
        <f>IF(OR(Исходн.данные.!AI22="Оз_Ч_П",Исходн.данные.!AI22="Оз_З_П",Исходн.данные.!AI22="Яр_зер"),12,30)</f>
        <v>12</v>
      </c>
      <c r="IA22">
        <f>ABS(AVERAGE(HN22:HP22)-HN22)</f>
        <v>5.9016343261717452</v>
      </c>
      <c r="IB22">
        <f>ABS(AVERAGE(HN22:HP22)-HO22)</f>
        <v>6.3809463189895457</v>
      </c>
      <c r="IC22">
        <f>ABS(AVERAGE(HN22:HP22)-HP22)</f>
        <v>0.47931199281780401</v>
      </c>
      <c r="ID22" s="11">
        <f>MAX(HN22:HP22)</f>
        <v>21.96</v>
      </c>
      <c r="IE22" s="11">
        <f>AVERAGE(HN22:HP22)</f>
        <v>15.579053681010455</v>
      </c>
      <c r="IF22" s="11">
        <f>MIN(HN22:HP22)</f>
        <v>9.67741935483871</v>
      </c>
    </row>
    <row r="23" spans="35:240" x14ac:dyDescent="0.2">
      <c r="AI23">
        <f>IF(Исходн.данные.!I23&gt;6,1,1.85-(0.148*Исходн.данные.!I23))</f>
        <v>1.85</v>
      </c>
      <c r="AJ23">
        <f>IF(Исходн.данные.!I23&gt;6,1,2.434-(0.246*Исходн.данные.!I23))</f>
        <v>2.4340000000000002</v>
      </c>
      <c r="AL23" s="148" t="b">
        <f>IF(Исходн.данные.!$P23="Ум",N_OrgUd_2g_um,IF(Исходн.данные.!$P23="Об",N_OrgUd_2g_ob))</f>
        <v>0</v>
      </c>
      <c r="AM23" s="148" t="b">
        <f>IF(Исходн.данные.!$P23="Ум",P_OrgUd_2g_um,IF(Исходн.данные.!$P23="Об",P_OrgUd_2g_ob))</f>
        <v>0</v>
      </c>
      <c r="AN23" s="148" t="b">
        <f>IF(Исходн.данные.!$P23="Ум",K_OrgUd_2g_um,IF(Исходн.данные.!$P23="Об",K_OrgUd_2g_ob))</f>
        <v>0</v>
      </c>
      <c r="AO23" s="148" t="b">
        <f>IF(Исходн.данные.!$P23="Ум",N_OrgUd_1g_um,IF(Исходн.данные.!$P23="Об",N_OrgUd_1g_ob))</f>
        <v>0</v>
      </c>
      <c r="AP23" s="148" t="b">
        <f>IF(Исходн.данные.!$P23="Ум",P_OrgUd_1g_um,IF(Исходн.данные.!$P23="Об",P_OrgUd_1g_ob))</f>
        <v>0</v>
      </c>
      <c r="AQ23" s="148" t="b">
        <f>IF(Исходн.данные.!$P23="Ум",K_OrgUd_1g_um,IF(Исходн.данные.!$P23="Об",K_OrgUd_1g_ob))</f>
        <v>0</v>
      </c>
      <c r="AR23" t="b">
        <f>IF(Исходн.данные.!$P23="Ум",N_MinUd_2g_um,IF(Исходн.данные.!$P23="Об",N_MinUd_2g_ob))</f>
        <v>0</v>
      </c>
      <c r="AS23" t="b">
        <f>IF(Исходн.данные.!$P23="Ум",P_MinUd_2g_um,IF(Исходн.данные.!$P23="Об",P_MinUd_2g_ob))</f>
        <v>0</v>
      </c>
      <c r="AT23" t="b">
        <f>IF(Исходн.данные.!$P23="Ум",K_MinUd_2g_um,IF(Исходн.данные.!$P23="Об",K_MinUd_2g_ob))</f>
        <v>0</v>
      </c>
      <c r="AU23" t="b">
        <f>IF(Исходн.данные.!$P23="Ум",N_MinUd_1g_um,IF(Исходн.данные.!$P23="Об",N_MinUd_1g_ob))</f>
        <v>0</v>
      </c>
      <c r="AV23" t="b">
        <f>IF(Исходн.данные.!P23="Ум",P_MinUd_1g_um,IF(Исходн.данные.!P23="Об",P_MinUd_1g_ob))</f>
        <v>0</v>
      </c>
      <c r="AW23" t="b">
        <f>IF(Исходн.данные.!P23="Ум",K_MinUd_1g_um,IF(Исходн.данные.!P23="Об",K_MinUd_1g_ob))</f>
        <v>0</v>
      </c>
      <c r="AX23" s="148"/>
      <c r="AY23" t="e">
        <f>VLOOKUP(Исходн.данные.!T23,Справ!$A$3:$N$57,12)</f>
        <v>#N/A</v>
      </c>
      <c r="AZ23" t="e">
        <f>VLOOKUP(Исходн.данные.!T23,Справ!$A$3:$N$57,13)</f>
        <v>#N/A</v>
      </c>
      <c r="BA23" t="e">
        <f>VLOOKUP(Исходн.данные.!T23,Справ!$A$3:$N$57,14)</f>
        <v>#N/A</v>
      </c>
      <c r="BB23">
        <f>IF(Исходн.данные.!AH23=0,0,25)</f>
        <v>0</v>
      </c>
      <c r="BC23" s="141">
        <f>IF(Исходн.данные.!AH23=0,0,IF(Исходн.данные.!T23=0,25,BD23))</f>
        <v>0</v>
      </c>
      <c r="BD23" s="168" t="e">
        <f>AY23+AZ23*Исходн.данные.!U23-POWER(BA23,2)*Исходн.данные.!U23</f>
        <v>#N/A</v>
      </c>
      <c r="BE2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" s="25">
        <f>IF(Исходн.данные.!AH23=0,0,MIN(HN23:HP23))</f>
        <v>0</v>
      </c>
      <c r="BG23" s="9">
        <f>IF(Исходн.данные.!AH23=0,0,IF((HO23+10*0.25/HG23/HL23)&lt;17,17,HO23+10*0.25/HG23/HL23))</f>
        <v>0</v>
      </c>
      <c r="BH23" s="181">
        <f>IF(Исходн.данные.!AH23=0,0,HW23*HF23*HL23/AU23*AI23+Исходн.данные.!S23*10)</f>
        <v>0</v>
      </c>
      <c r="BI23" s="10"/>
      <c r="BJ23" s="182">
        <f>IF(Исходн.данные.!AH23=0,0,IF(HX23*HG23*HL23/AV23&lt;0,0,HX23*HG23*HL23/AV23*AJ23))</f>
        <v>0</v>
      </c>
      <c r="BK23" s="182">
        <f>IF(Исходн.данные.!AH23=0,0,HY23*HH23*HM23/AW23)</f>
        <v>0</v>
      </c>
      <c r="BL23" s="10">
        <f>IF(OR(Исходн.данные.!$AH23=$BP$1,Исходн.данные.!$AH23=$BP$2),0,IF(BH23&lt;0,0,IF(OR(Исходн.данные.!T23=Расчет!$BP$1,Исходн.данные.!T23=Расчет!$BP$2,Исходн.данные.!T23=Расчет!$BT$5,Исходн.данные.!T23=Расчет!$BT$6),BH23*0.5,IF(OR(Исходн.данные.!T23=Расчет!$BS$9,Исходн.данные.!T23=Расчет!$BS$10,Исходн.данные.!T23=Расчет!$BS$11,Исходн.данные.!T23=Расчет!$BS$12,Исходн.данные.!T23=Расчет!$BP$5),BH23*0.8,BH23))))</f>
        <v>0</v>
      </c>
      <c r="BM23" s="10">
        <f>IF(OR(Исходн.данные.!$AH23=$BP$1,Исходн.данные.!$AH23=$BP$2),0,IF(BJ23&lt;0,0,IF(Исходн.данные.!I23&lt;4.5,BJ23*1.2,IF(Исходн.данные.!I23&gt;5.1,BJ23,BJ23*((5.1-Исходн.данные.!I23)*0.333+1)))))</f>
        <v>0</v>
      </c>
      <c r="BN23" s="10">
        <f>IF(OR(Исходн.данные.!$AH23=$BP$1,Исходн.данные.!$AH23=$BP$2),60-Исходн.данные.!AF23,IF(BK23&lt;0,0,IF(Исходн.данные.!I23&lt;4.5,BK23*1.2,IF(Исходн.данные.!I23&gt;5.1,BK23,BK23*((5.1-Исходн.данные.!I23)*0.333+1)))))</f>
        <v>0</v>
      </c>
      <c r="BO23" s="9">
        <f>IF(BL23&lt;0,0,BL23*Исходн.данные.!$AJ23/1000)</f>
        <v>0</v>
      </c>
      <c r="BP23" s="9">
        <f>IF(BM23&lt;0,0,BM23*Исходн.данные.!$AJ23/1000)</f>
        <v>0</v>
      </c>
      <c r="BQ23" s="9">
        <f>IF(BN23&lt;0,0,BN23*Исходн.данные.!$AJ23/1000)</f>
        <v>0</v>
      </c>
      <c r="BR23" s="9">
        <f t="shared" ref="BR23:BR29" si="27">SUMIF(BO23:BQ23,"&gt;0")</f>
        <v>0</v>
      </c>
      <c r="BS23" s="10" t="str">
        <f t="shared" ref="BS23:BS29" si="28">IF(AND($CF23=0,$CE23&gt;0),BT23,BU23)</f>
        <v>Аммофос 12:52:00</v>
      </c>
      <c r="BT23" s="10" t="str">
        <f t="shared" ref="BT23:BT29" si="29">IF(CE23&gt;3.3,$BH$4,IF(CE23&gt;1.5,$BH$3,IF(CE23&gt;0.75,$BH$2,$BH$1)))</f>
        <v>Аммофос 12:52:00</v>
      </c>
      <c r="BU23" s="10" t="str">
        <f t="shared" ref="BU23:BU29" si="30">IF(CE23&gt;2.4,$BH$9,IF(CE23&gt;1.8,$BH$8,IF(CE23&gt;1.1,$BH$7,IF(CE23&gt;0.65,$BH$6,$BH$5))))</f>
        <v>Диаммофоска</v>
      </c>
      <c r="BV23" s="10">
        <f t="shared" ref="BV23:BV29" si="31">IF(BL23&lt;0,0,IF(BL23*0.3&gt;30,30,BL23*0.3))</f>
        <v>0</v>
      </c>
      <c r="BW23" s="10"/>
      <c r="BX23" s="10"/>
      <c r="BY23" s="9">
        <f>IF(BL23&lt;0,0,IF(OR(Исходн.данные.!AI23=Расчет!$BU$6,Исходн.данные.!AI23=Расчет!$BU$7),Расчет!BV23,IF(Исходн.данные.!$AG23=$BV$11,BL23,IF(OR(Исходн.данные.!$AH23=$BQ$7,Исходн.данные.!$AH23=$BQ$8),CB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0,IF(Исходн.данные.!$AI23=$BU$11,"Нет",IF(BL23&gt;30,30,BL23)))))))</f>
        <v>0</v>
      </c>
      <c r="BZ23" s="9">
        <f>IF(AND(Исходн.данные.!$AG23=$BV$11,BM23&lt;10),10,IF(Исходн.данные.!$AG23=$BV$11,BM23,IF(OR(Исходн.данные.!$AH23=$BQ$7,Исходн.данные.!$AH23=$BQ$8),CC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10,IF(Исходн.данные.!$AI23=$BU$11,"Нет",IF(BM23&gt;60,60,IF(BM23&lt;10,10,BM23)))))))</f>
        <v>10</v>
      </c>
      <c r="CA23" s="39">
        <f>IF(BN23&lt;0,0,IF(Исходн.данные.!$AG23=$BV$11,BN23,IF(OR(Исходн.данные.!$AH23=$BQ$7,Исходн.данные.!$AH23=$BQ$8),CD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0,IF(Исходн.данные.!$AI23=$BU$11,"Нет",IF(BN23&gt;30,30,BN23))))))</f>
        <v>0</v>
      </c>
      <c r="CB23" s="9">
        <f t="shared" ref="CB23:CB29" si="32">IF(BL23&lt;0,0,IF(BL23&gt;90,90,BL23))</f>
        <v>0</v>
      </c>
      <c r="CC23" s="9">
        <f t="shared" ref="CC23:CC29" si="33">IF(BM23&lt;0,0,IF(BM23&gt;90,90,BM23))</f>
        <v>0</v>
      </c>
      <c r="CD23" s="9">
        <f t="shared" ref="CD23:CD29" si="34">IF(BN23&lt;0,0,IF(BN23&gt;90,90,BN23))</f>
        <v>0</v>
      </c>
      <c r="CE23" s="12">
        <f t="shared" ref="CE23:CE29" si="35">IF(BZ23="Нет",0,IF($BY23&gt;0,BZ23/$BY23,BZ23/1))</f>
        <v>10</v>
      </c>
      <c r="CF23" s="9">
        <f t="shared" ref="CF23:CF29" si="36">IF(BZ23="Нет",0,IF($BZ23&gt;0,CA23/$BZ23,CA23/1))</f>
        <v>0</v>
      </c>
      <c r="CG23" s="9" t="s">
        <v>231</v>
      </c>
      <c r="CH23" s="132" t="str">
        <f>IF(Исходн.данные.!AP23=Расчет!$CI$16,"Нет",IF(Исходн.данные.!AL23&gt;0,Исходн.данные.!AL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BH$4,IF(OR(Исходн.данные.!AI23=Исходн.данные.!$AI$6,Исходн.данные.!AI23=Исходн.данные.!$AI$7),Расчет!BS23,IF(AND($CF23=0,$CE23&gt;0),EV23,ER23)))))</f>
        <v>Аммофос 12:52:00</v>
      </c>
      <c r="CI23" s="274">
        <f>IF(Расчет!$CH23="Нет","Нет",IF(Исходн.данные.!$AL23&gt;0,VLOOKUP(Расчет!$CH23,АшламаДВ_Irekle,2,FALSE),VLOOKUP(Расчет!$CH23,АшламаДВ_Gomumy,2,FALSE)))</f>
        <v>0.12</v>
      </c>
      <c r="CJ23" s="274">
        <f>IF(Расчет!$CH23="Нет","Нет",IF(Исходн.данные.!$AL23&gt;0,VLOOKUP(Расчет!$CH23,АшламаДВ_Irekle,3,FALSE),VLOOKUP(Расчет!$CH23,АшламаДВ_Gomumy,3,FALSE)))</f>
        <v>0.52</v>
      </c>
      <c r="CK23" s="274">
        <f>IF(Расчет!$CH23="Нет","Нет",IF(Исходн.данные.!$AL23&gt;0,VLOOKUP(Расчет!$CH23,АшламаДВ_Irekle,4,FALSE),VLOOKUP(Расчет!$CH23,АшламаДВ_Gomumy,4,FALSE)))</f>
        <v>0</v>
      </c>
      <c r="CL23" s="70"/>
      <c r="CM23" s="70"/>
      <c r="CN23" s="70"/>
      <c r="CO23" s="70"/>
      <c r="CP23" s="70"/>
      <c r="CQ23" s="70"/>
      <c r="CR23" s="10">
        <f t="shared" ref="CR23:CR29" si="37">IF($CH23="Нет",0,IF(BY23&gt;0,BY23/CI23,0))</f>
        <v>0</v>
      </c>
      <c r="CS23" s="10">
        <f t="shared" ref="CS23:CS29" si="38">IF($CH23="Нет",0,IF(BZ23&gt;0,BZ23/CJ23,0))</f>
        <v>19.23076923076923</v>
      </c>
      <c r="CT23" s="10">
        <f t="shared" ref="CT23:CT29" si="39">IF($CH23="Нет",0,IF(CA23&gt;0,CA23/CK23,0))</f>
        <v>0</v>
      </c>
      <c r="CU23" s="39">
        <f>IF($CH23="Нет",0,IF(CI23=0,30/MIN(CJ23:CK23),IF(Исходн.данные.!$AG23=$BV$11,CR23,IF(OR(Исходн.данные.!$AH23=$BQ$7,Исходн.данные.!$AH23=$BQ$8),90/CI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0,IF(Исходн.данные.!$AI23=$BU$11,"Нет",30/CI23))))))</f>
        <v>250</v>
      </c>
      <c r="CV23" s="39">
        <f>IF($CH23="Нет",0,IF(Исходн.данные.!AH23=0,0,IF(CJ23=0,60/MIN(CI23,CK23),IF(Исходн.данные.!$AG23=$BV$11,CS23,IF(OR(Исходн.данные.!$AH23=$BQ$7,Исходн.данные.!$AH23=$BQ$8),90/CJ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10/CJ23,IF(Исходн.данные.!$AI23=$BU$11,"Нет",60/CJ23)))))))</f>
        <v>0</v>
      </c>
      <c r="CW23" s="39">
        <f>IF($CH23="Нет",0,IF(Исходн.данные.!AH23=0,0,IF(CK23=0,30/MIN(CI23:CJ23),IF(Исходн.данные.!$AG23=$BV$11,CT23,IF(OR(Исходн.данные.!$AH23=$BQ$7,Исходн.данные.!$AH23=$BQ$8),90/CK23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0,IF(Исходн.данные.!$AI23=$BU$11,"Нет",30/CK23)))))))</f>
        <v>0</v>
      </c>
      <c r="CX23" s="133">
        <f>IF(Исходн.данные.!$AG23=$BV$11,MAX(CU23:CW23),IF(OR(Исходн.данные.!$AH23=$BS$8,Исходн.данные.!$AH23=$BQ$9,Исходн.данные.!$AH23=$BQ$10,Исходн.данные.!$AH23=$BQ$11,Исходн.данные.!$AH23=$BQ$12,Исходн.данные.!$AH23=$BP$3,Исходн.данные.!$AH23=$BT$8,$FM23="Да"),CV23,MIN(CU23:CW23)))</f>
        <v>0</v>
      </c>
      <c r="CY23" s="133">
        <f>IF(Исходн.данные.!AH23=0,0,IF(CR23&gt;$CX23,$CX23,CR23))</f>
        <v>0</v>
      </c>
      <c r="CZ23" s="133">
        <f>IF(Исходн.данные.!AH23=0,0,IF(CS23&gt;$CX23,$CX23,CS23))</f>
        <v>0</v>
      </c>
      <c r="DA23" s="133">
        <f>IF(Исходн.данные.!AH23=0,0,IF(CT23&gt;$CX23,$CX23,CT23))</f>
        <v>0</v>
      </c>
      <c r="DB23" s="10">
        <f t="shared" ref="DB23:DB29" si="40">IF(BY23="Нет",0,CZ23)</f>
        <v>0</v>
      </c>
      <c r="DC23" s="39">
        <f>DB23*Исходн.данные.!AJ23/1000</f>
        <v>0</v>
      </c>
      <c r="DD23" s="71">
        <f t="shared" ref="DD23:DD29" si="41">$DB23*CI23</f>
        <v>0</v>
      </c>
      <c r="DE23" s="9">
        <f t="shared" ref="DE23:DE29" si="42">$DB23*CJ23</f>
        <v>0</v>
      </c>
      <c r="DF23" s="9">
        <f t="shared" ref="DF23:DF29" si="43">$DB23*CK23</f>
        <v>0</v>
      </c>
      <c r="DG23" s="39">
        <f>IF(BL23&lt;0,0,IF($CH23="Нет",BL23,IF(OR(Исходн.данные.!$AH23=$BP$1,Исходн.данные.!$AH23=$BP$2),0,IF(Исходн.данные.!AI23=$BU$11,BL23,IF(BL23-DD23&lt;0,0,BL23-DD23)))))</f>
        <v>0</v>
      </c>
      <c r="DH23" s="39">
        <f>IF(BM23&lt;0,0,IF($CH23="Нет",BM23,IF(OR(Исходн.данные.!$AH23=$BP$1,Исходн.данные.!$AH23=$BP$2),0,IF(Исходн.данные.!AJ23=$BU$11,BM23,IF(BM23-DE23&lt;0,0,BM23-DE23)))))</f>
        <v>0</v>
      </c>
      <c r="DI23" s="39">
        <f>IF(BN23&lt;0,0,IF($CH23="Нет",BN23,IF(OR(Исходн.данные.!$AH23=$BP$1,Исходн.данные.!$AH23=$BP$2),0,IF(Исходн.данные.!AK23=$BU$11,BN23,IF(BN23-DF23&lt;0,0,BN23-DF23)))))</f>
        <v>0</v>
      </c>
      <c r="DJ23" s="12">
        <f t="shared" ref="DJ23:DJ29" si="44">IF(DG23&gt;0,DH23/DG23,DH23)</f>
        <v>0</v>
      </c>
      <c r="DK23" s="9">
        <f t="shared" ref="DK23:DK29" si="45">IF(DH23&gt;0,DI23/DH23,DI23)</f>
        <v>0</v>
      </c>
      <c r="DL23" s="39">
        <f>IF(Исходн.данные.!AM23&gt;0,Исходн.данные.!AM23,IF(EG23&gt;0,$BH$10,0))</f>
        <v>0</v>
      </c>
      <c r="DM23" s="186">
        <f>IF($DL23=0,0,IF(Исходн.данные.!AM23&gt;0,VLOOKUP($DL23,АшламаДВ_Irekle,2,FALSE),VLOOKUP($DL23,АшламаДВ_Gomumy,2,FALSE)))</f>
        <v>0</v>
      </c>
      <c r="DN23" s="10">
        <f t="shared" ref="DN23:DN86" si="46">IF(DL23=0,0,EG23/DM23)</f>
        <v>0</v>
      </c>
      <c r="DO23" s="9" t="str">
        <f>IF(Исходн.данные.!AN23&gt;0,Исходн.данные.!AN23,Удобрения!$B$37 )</f>
        <v>Хлор.калий</v>
      </c>
      <c r="DP23" s="9">
        <f>IF(Исходн.данные.!AN23&gt;0,VLOOKUP(DO23,АшламаДВ_Irekle,4,FALSE),VLOOKUP(DO23,АшламаДВ_Gomumy,4,FALSE))</f>
        <v>0.6</v>
      </c>
      <c r="DQ23" s="10">
        <f t="shared" ref="DQ23:DQ86" si="47">IF(OR(EH23=0,EH23&lt;0),0,EH23/DP23)</f>
        <v>0</v>
      </c>
      <c r="DR23" s="132" t="str">
        <f>IF(Исходн.данные.!AO23&gt;0,Исходн.данные.!AO23,IF(DH23=0,BS$17,IF(AND($DK23=0,$DJ23&gt;0),EJ23,EN23)))</f>
        <v>Нет</v>
      </c>
      <c r="DS23" s="70" t="str">
        <f>IF($DR23="Нет","Нет",IF(Исходн.данные.!$AO23&gt;0,VLOOKUP($DR23,АшламаДВ_Irekle,2,FALSE),VLOOKUP($DR23,АшламаДВ_Gomumy,2,FALSE)))</f>
        <v>Нет</v>
      </c>
      <c r="DT23" s="70" t="str">
        <f>IF($DR23="Нет","Нет",IF(Исходн.данные.!$AO23&gt;0,VLOOKUP($DR23,АшламаДВ_Irekle,3,FALSE),VLOOKUP($DR23,АшламаДВ_Gomumy,3,FALSE)))</f>
        <v>Нет</v>
      </c>
      <c r="DU23" s="70" t="str">
        <f>IF($DR23="Нет","Нет",IF(Исходн.данные.!$AO23&gt;0,VLOOKUP($DR23,АшламаДВ_Irekle,4,FALSE),VLOOKUP($DR23,АшламаДВ_Gomumy,4,FALSE)))</f>
        <v>Нет</v>
      </c>
      <c r="DV23" s="70"/>
      <c r="DW23" s="70"/>
      <c r="DX23" s="70"/>
      <c r="DY23" s="10">
        <f t="shared" ref="DY23:DY29" si="48">IF(DS23="Нет",0,IF(DS23=0,0,IF(DG23&gt;0,DG23/DS23,0)))</f>
        <v>0</v>
      </c>
      <c r="DZ23" s="10">
        <f t="shared" ref="DZ23:DZ29" si="49">IF(DT23="Нет",0,IF(DT23=0,0,IF(DH23&gt;0,DH23/DT23,0)))</f>
        <v>0</v>
      </c>
      <c r="EA23" s="10">
        <f t="shared" ref="EA23:EA29" si="50">IF(DU23="Нет",0,IF(DU23=0,0,IF(DI23&gt;0,DI23/DU23,0)))</f>
        <v>0</v>
      </c>
      <c r="EB23" s="10">
        <f t="shared" ref="EB23:EB29" si="51">DZ23</f>
        <v>0</v>
      </c>
      <c r="EC23" s="10">
        <f t="shared" ref="EC23:EC29" si="52">IF(DS23="Нет",0,$EB23*DS23)</f>
        <v>0</v>
      </c>
      <c r="ED23" s="10">
        <f t="shared" ref="ED23:ED29" si="53">IF(DT23="Нет",0,$EB23*DT23)</f>
        <v>0</v>
      </c>
      <c r="EE23" s="10">
        <f t="shared" ref="EE23:EE29" si="54">IF(DU23="Нет",0,$EB23*DU23)</f>
        <v>0</v>
      </c>
      <c r="EF23" s="39">
        <f>EB23*Исходн.данные.!AJ23/1000</f>
        <v>0</v>
      </c>
      <c r="EG23" s="9">
        <f t="shared" ref="EG23:EG29" si="55">DG23-EC23</f>
        <v>0</v>
      </c>
      <c r="EH23" s="9">
        <f t="shared" ref="EH23:EH29" si="56">DI23-EE23</f>
        <v>0</v>
      </c>
      <c r="EI23" s="39" t="e">
        <f t="shared" si="7"/>
        <v>#DIV/0!</v>
      </c>
      <c r="EJ23" s="9" t="str">
        <f t="shared" si="8"/>
        <v>Азопреципитат</v>
      </c>
      <c r="EK23" s="12">
        <f t="shared" si="9"/>
        <v>0.26</v>
      </c>
      <c r="EL23" s="12">
        <f t="shared" si="10"/>
        <v>0.13</v>
      </c>
      <c r="EM23" s="12">
        <f t="shared" si="11"/>
        <v>0</v>
      </c>
      <c r="EN23" s="12" t="str">
        <f t="shared" ref="EN23:EN86" si="57">IF(DH23=0,"Нет",IF($DK23&gt;1.4,BS$14,IF($DJ23&gt;2.2,BH$9,IF($DJ23&gt;1.5,BH$8,IF($DJ23&gt;1,BH$7,IF($DJ23&gt;0.5,BH$6,BH$5))))))</f>
        <v>Нет</v>
      </c>
      <c r="EO23" s="12">
        <f t="shared" si="12"/>
        <v>0</v>
      </c>
      <c r="EP23" s="12">
        <f t="shared" si="13"/>
        <v>0</v>
      </c>
      <c r="EQ23" s="12">
        <f t="shared" si="14"/>
        <v>0</v>
      </c>
      <c r="ER23" s="12" t="str">
        <f t="shared" ref="ER23:ER29" si="58">IF($BZ23=0,"Нет",IF($CA23/$BZ23&gt;1.4,BS$14,IF($CE23&gt;2.2,BH$9,IF($CE23&gt;1.5,BH$8,IF($CE23&gt;1,BH$7,IF($CE23&gt;0.5,BH$6,BH$5))))))</f>
        <v>Диаммофоска</v>
      </c>
      <c r="ES23" s="12">
        <f t="shared" si="15"/>
        <v>0.1</v>
      </c>
      <c r="ET23" s="12">
        <f t="shared" si="16"/>
        <v>0.26</v>
      </c>
      <c r="EU23" s="12">
        <f t="shared" si="17"/>
        <v>0.26</v>
      </c>
      <c r="EV23" s="12" t="str">
        <f t="shared" ref="EV23:EV29" si="59">IF(CE23&gt;2.6,$BH$4,IF(CE23&gt;0.9,$BH$3,IF(CE23&gt;0.5,$BH$2,$BH$1)))</f>
        <v>Аммофос 12:52:00</v>
      </c>
      <c r="EW23" s="12" t="str">
        <f t="shared" ref="EW23:EW29" si="60">IF($CF23&lt;0.14,BH$17,IF($CF23&lt;0.25,BH$16,IF($CF23&lt;0.51,BH$15,IF($CF23&lt;0.7,BH$14,IF($CF23&lt;1,BH$13,BH$12)))))</f>
        <v>Кемира Свекловичное-6</v>
      </c>
      <c r="EX23" s="12">
        <f t="shared" si="18"/>
        <v>0.16</v>
      </c>
      <c r="EY23" s="12">
        <f t="shared" si="19"/>
        <v>0.12</v>
      </c>
      <c r="EZ23" s="12">
        <f t="shared" si="20"/>
        <v>0.17</v>
      </c>
      <c r="FA23" s="38" t="e">
        <f>IF(AND(OR(FJ23=$FD$1,FM23=$FD$1,FO23=$FD$1,FQ23=$FD$1,FS23=$FD$1),FD23=$FD$1,Исходн.данные.!J23&lt;2,FU23=$FD$1),"Бор,Кобальт",IF(AND(FO23=$FD$1,FH23=$FD$1,Исходн.данные.!J23&lt;2,FU23=$FD$1),"Бор,Кобальт",IF(AND(OR(FJ23=$FD$1,FM23=$FD$1,FQ23=$FD$1),FE23=$FD$1,Исходн.данные.!J23&lt;2,FT23=$FD$1,FU23=$FD$1),"Бор,Медь,Цинк",IF(AND(OR(FJ23=$FD$1,FR23="Да"),FI23="Да",Исходн.данные.!J23&lt;2,FT23="Да",FU23="Да"),"Бор,Цинк,Медь",IF(AND(OR(FM23="Да",FQ23="Да"),FI23="Да",Исходн.данные.!J23&lt;2,FT23="Да",FU23="Да"),"Бор,Цинк",IF(AND(FN23="Да",OR(FD23="Да",FE23="Да")),"Бор",FB23))))))</f>
        <v>#N/A</v>
      </c>
      <c r="FB23" s="134" t="e">
        <f>IF(AND(OR(FD23="Да",FE23="Да",FF23="Да",FG23="Да",FH23="Да"),FO23="Да"),"Бор",IF(AND(FP23="Да",OR(FD23="Да",FE23="Да",FI23="Да")),"Бор",IF(AND(FS23="Да",FE23="Да"),"Бор,Медь",IF(AND(OR(FJ23="Да",FK23="Да",FL23="Да"),FE23="Да",Исходн.данные.!I23&lt;5,FT23="Да",FU23="Да"),"Молибден,Цинк",IF(AND(FM23="Да",OR(FE23="Да",FF23="Да",FG23="Да",FH23="Да",FI23="Да")),"Молибден,Цинк",IF(AND(OR(FJ23="Да",FK23="Да",FL23="Да",FM23="Да",FQ23="Да"),OR(FE23="Да",FF23="Да"),FT23="Да",FU23="Да",Исходн.данные.!I23&gt;5.5),"Медь,Цинк",FC23))))))</f>
        <v>#N/A</v>
      </c>
      <c r="FC23" s="23" t="e">
        <f t="shared" ref="FC23:FC29" si="61">IF(AND(OR(FJ23="Да",FL23="Да"),OR(FG23=$DF$12,FH23=$DF$12),FT23=$DF$12,FU23=$DF$12,FW23=$DF$12),"Медь,Цинк,Марганец",IF(AND(OR(FK23=$DF$12,FM23=$DF$12,FQ23=$DF$12),OR(FG23=$DF$12,FH23=$DF$12),FT23=$DF$12,FU23=$DF$12,FW23=$DF$12),"Медь,Цинк",IF(AND(FS23=$DF$12,OR(FE23=$DF$12,FF23=$DF$12,FG23=$DF$12,FH23=$DF$12),FT23=$DF$12,FW23=$DF$12),"Медь",IF(AND(OR(FJ23=$DF$12,FL23=$DF$12,FR23=$DF$12),FI23=$DF$12,FT23=$DF$12,FU22=$DF$12,FV23=$DF$12,FW23=$DF$12),"Цинк,Марганец","Не требуется"))))</f>
        <v>#N/A</v>
      </c>
      <c r="FD23" s="38" t="str">
        <f>IF(OR(Исходн.данные.!F23=$CC$1,Исходн.данные.!F23=$CC$2,Исходн.данные.!F23=$CC$3,Исходн.данные.!F23=$CC$4),"Да","Нет")</f>
        <v>Нет</v>
      </c>
      <c r="FE23" s="38" t="str">
        <f>IF(Исходн.данные.!F23=$CC$5,"Да","Нет")</f>
        <v>Нет</v>
      </c>
      <c r="FF23" s="38" t="str">
        <f>IF(OR(Исходн.данные.!F23=$CC$6,Исходн.данные.!F23=$CC$7),"Да","Нет")</f>
        <v>Нет</v>
      </c>
      <c r="FG23" s="38" t="str">
        <f>IF(OR(Исходн.данные.!F23=$CC$8,Исходн.данные.!F23=$CC$9),"Да","Нет")</f>
        <v>Нет</v>
      </c>
      <c r="FH23" s="38" t="str">
        <f>IF(Исходн.данные.!F23=$CC$10,"Да","Нет")</f>
        <v>Нет</v>
      </c>
      <c r="FI23" s="38" t="str">
        <f>IF(OR(Исходн.данные.!F23=$CC$11,Исходн.данные.!F23=$CC$12),"Да","Нет")</f>
        <v>Нет</v>
      </c>
      <c r="FJ23" s="38" t="str">
        <f>IF(OR(Исходн.данные.!AH23=$BS$1,Исходн.данные.!AH23=$BQ$11,Исходн.данные.!AH23=$BQ$12),"Да","Нет")</f>
        <v>Нет</v>
      </c>
      <c r="FK23" s="38" t="str">
        <f>IF(OR(Исходн.данные.!AH23=$BS$2,Исходн.данные.!AH23=$BS$4),"Да","Нет")</f>
        <v>Нет</v>
      </c>
      <c r="FL23" s="38" t="str">
        <f>IF(OR(Исходн.данные.!AH23=$BS$3,Исходн.данные.!AH23=$BS$5),"Да","Нет")</f>
        <v>Нет</v>
      </c>
      <c r="FM23" s="38" t="str">
        <f>IF(OR(Исходн.данные.!AH23=$BS$9,Исходн.данные.!AH23=$BS$10,Исходн.данные.!AH23=$BS$11,Исходн.данные.!AH23=$BS$12),"Да","Нет")</f>
        <v>Нет</v>
      </c>
      <c r="FN23" s="38" t="str">
        <f>IF(OR(Исходн.данные.!AH23=$BS$6,Исходн.данные.!AH23=$BP$3),"Да","Нет")</f>
        <v>Нет</v>
      </c>
      <c r="FO23" s="38" t="str">
        <f>IF(Исходн.данные.!AH23=$BQ$9,"Да","Нет")</f>
        <v>Нет</v>
      </c>
      <c r="FP23" s="38" t="str">
        <f>IF(OR(Исходн.данные.!AH23=$BS$8,Исходн.данные.!AH23=$BT$8),"Да","Нет")</f>
        <v>Нет</v>
      </c>
      <c r="FQ23" s="38" t="str">
        <f>IF(OR(Исходн.данные.!AH23=$BQ$7,Исходн.данные.!AH23=$BQ$8),"Да","Нет")</f>
        <v>Нет</v>
      </c>
      <c r="FR23" s="38" t="str">
        <f>IF(Исходн.данные.!AI23=$BU$9,"Да","Нет")</f>
        <v>Нет</v>
      </c>
      <c r="FS23" s="38" t="str">
        <f>IF(OR(Исходн.данные.!AH23=$BP$1,Исходн.данные.!AH23=$BP$2),"Да","Нет")</f>
        <v>Нет</v>
      </c>
      <c r="FT23" s="38" t="e">
        <f>IF((Исходн.данные.!K23*GO23*GS23*GW23+BL23*0.6+Исходн.данные.!Q23*4.5*0.275)&gt;90,"Да","Нет")</f>
        <v>#N/A</v>
      </c>
      <c r="FU23" s="38" t="e">
        <f>IF((Исходн.данные.!M23*GS23*GZ23+BM23*0.225)&gt;35,"Да","Нет")</f>
        <v>#N/A</v>
      </c>
      <c r="FV23" s="38" t="str">
        <f>IF(Исходн.данные.!O23&gt;175,"Да","Нет")</f>
        <v>Нет</v>
      </c>
      <c r="FW23" s="39" t="str">
        <f>IF(Исходн.данные.!I23&gt;5.5,"Да","Нет")</f>
        <v>Нет</v>
      </c>
      <c r="FX23" s="39" t="str">
        <f>IF(Исходн.данные.!J23&lt;2,"Да","Нет")</f>
        <v>Да</v>
      </c>
      <c r="FY23" s="39" t="e">
        <f>IF(HF23=$FY$16,0,Исходн.данные.!K23*GO23*GS23*GW23/HF23)</f>
        <v>#N/A</v>
      </c>
      <c r="FZ23" s="39" t="e">
        <f>Исходн.данные.!M23*GS23*GZ23/HG23</f>
        <v>#N/A</v>
      </c>
      <c r="GA23" s="39" t="e">
        <f>IF(K_Wyn=$FY$16,0,IF(Исходн.данные.!N23=Исходн.данные.!$L$10,Исходн.данные.!O23/1.1*GS23*HC23/HH23,IF(Исходн.данные.!N23=Исходн.данные.!$L$12,Исходн.данные.!O23/1.5*GS23*HC23/HH23,Исходн.данные.!O23*GS23*HC23/HH23)))</f>
        <v>#N/A</v>
      </c>
      <c r="GB23" s="39" t="e">
        <f>IF(HF23=$FY$16,0,((Исходн.данные.!Q23*N_Org+Исходн.данные.!R23*N_Sider+Исходн.данные.!S23*N_Soloma)*AO23+Расчет!BC23*VLOOKUP(Исходн.данные.!T23,Справ!$A$3:$O$57,15)*AO23+BB23*VLOOKUP(Исходн.данные.!T23,Справ!$A$3:$O$57,15)*AL23+(Исходн.данные.!V23*N_Rizotorf+Исходн.данные.!W23*N_Rizoagr))/HF23)</f>
        <v>#N/A</v>
      </c>
      <c r="GC23" s="39" t="e">
        <f>IF(HG23=$FY$16,0,((Исходн.данные.!Q23*Р_Org+Исходн.данные.!R23*P_Sider+Исходн.данные.!S23*P_Soloma)*AP23+Расчет!BC23*VLOOKUP(Исходн.данные.!T23,Справ!$A$3:$P$57,16)*AP23+BB23*VLOOKUP(Исходн.данные.!T23,Справ!$A$3:$P$57,16)*AM23)/HG23)</f>
        <v>#N/A</v>
      </c>
      <c r="GD23" s="39" t="e">
        <f>IF(HH23=$FY$16,0,((Исходн.данные.!Q23*К_Org+Исходн.данные.!R23*K_Sider+Исходн.данные.!S23*K_Soloma)*AQ23+Расчет!BC23*VLOOKUP(Исходн.данные.!T23,Справ!$A$3:$Q$57,17)*AQ23+BB23*VLOOKUP(Исходн.данные.!T23,Справ!$A$3:$Q$57,17)*AN23)/HH23)</f>
        <v>#N/A</v>
      </c>
      <c r="GE23" s="39" t="e">
        <f>IF(HF23=$FY$16,0,(Исходн.данные.!X23*AR23+Исходн.данные.!AA23*N_Org*AL23+Исходн.данные.!AB23*N_Sider*AL23+Исходн.данные.!AC23*N_Soloma*AL23)/HF23)</f>
        <v>#N/A</v>
      </c>
      <c r="GF23" s="39" t="e">
        <f>IF(HG23=$FY$16,0,(Исходн.данные.!Y23*AS23+Исходн.данные.!AA23*Р_Org*AM23+Исходн.данные.!AB23*P_Sider*AM23+Исходн.данные.!AC23*P_Soloma*AM23)/HG23)</f>
        <v>#N/A</v>
      </c>
      <c r="GG23" s="39" t="e">
        <f>IF(HH23=$FY$16,0,(Исходн.данные.!Z23*AT23+Исходн.данные.!AA23*К_Org*AN23+Исходн.данные.!AB23*K_Sider*AN23+Исходн.данные.!AC23*K_Soloma*AN23)/HH23)</f>
        <v>#N/A</v>
      </c>
      <c r="GH23" s="39" t="e">
        <f>Исходн.данные.!AD23*AU23/HF23</f>
        <v>#N/A</v>
      </c>
      <c r="GI23" s="39" t="e">
        <f>Исходн.данные.!AE23*AV23/HG23</f>
        <v>#N/A</v>
      </c>
      <c r="GJ23" s="39" t="e">
        <f>Исходн.данные.!AF23*AW23/HH23</f>
        <v>#N/A</v>
      </c>
      <c r="GK23" s="55">
        <f>Исходн.данные.!AK23</f>
        <v>0</v>
      </c>
      <c r="GL23" s="11" t="e">
        <f t="shared" ref="GL23:GL29" si="62">FY23</f>
        <v>#N/A</v>
      </c>
      <c r="GM23" s="11" t="e">
        <f t="shared" ref="GM23:GM29" si="63">FZ23</f>
        <v>#N/A</v>
      </c>
      <c r="GN23" s="11" t="e">
        <f t="shared" ref="GN23:GN29" si="64">GA23</f>
        <v>#N/A</v>
      </c>
      <c r="GO23" s="57">
        <f t="shared" ref="GO23:GO29" si="65">GP23</f>
        <v>19</v>
      </c>
      <c r="GP23" s="55">
        <f>IF(OR(Исходн.данные.!F23=$CE$1,Исходн.данные.!F23=$CE$2,Исходн.данные.!F23=$CE$3,Исходн.данные.!F23=$CE$4,Исходн.данные.!F23=$CE$5),GQ23,GR23)</f>
        <v>19</v>
      </c>
      <c r="GQ23" s="55">
        <f>IF(Исходн.данные.!F23=$CE$1,28,IF(Исходн.данные.!F23=$CE$2,26,IF(Исходн.данные.!F23=$CE$3,24,IF(Исходн.данные.!F23=$CE$4,22,IF(Исходн.данные.!F23=$CE$5,20,GR23)))))</f>
        <v>19</v>
      </c>
      <c r="GR23" s="55">
        <f>IF(Исходн.данные.!F23=$CE$6,18,IF(Исходн.данные.!F23=$CE$7,16,IF(Исходн.данные.!F23=$CE$8,14,IF(Исходн.данные.!F23=$CE$9,13,IF(Исходн.данные.!F23=$CE$10,12,19)))))</f>
        <v>19</v>
      </c>
      <c r="GS23" s="55">
        <f>IF(Исходн.данные.!G23="Пес",0.035*(40+2*Исходн.данные.!H23),IF(Исходн.данные.!G23="Суп",0.0325*(40+2*Исходн.данные.!H23),0.03*(40+2*Исходн.данные.!H23)))</f>
        <v>1.2</v>
      </c>
      <c r="GT23" s="55">
        <f>IF(Исходн.данные.!H23&lt;23,2.6,IF(AND(Исходн.данные.!H23&gt;22,Исходн.данные.!H23&lt;26),3,IF(AND(Исходн.данные.!H23&gt;25,Исходн.данные.!H23&lt;29),3.4,3.6)))</f>
        <v>2.6</v>
      </c>
      <c r="GU23" s="55">
        <f>IF(Исходн.данные.!H23&lt;23,2.8,IF(AND(Исходн.данные.!H23&gt;22,Исходн.данные.!H23&lt;26),3.2,IF(AND(Исходн.данные.!H23&gt;25,Исходн.данные.!H23&lt;29),3.6,3.9)))</f>
        <v>2.8</v>
      </c>
      <c r="GV23" s="55">
        <f>IF(Исходн.данные.!H23&lt;23,3,IF(AND(Исходн.данные.!H23&gt;22,Исходн.данные.!H23&lt;26),3.5,IF(AND(Исходн.данные.!H23&gt;25,Исходн.данные.!H23&lt;29),3.9,4.2)))</f>
        <v>3</v>
      </c>
      <c r="GW23" s="55" t="e">
        <f>IF(Исходн.данные.!P23="Ум",GX23,GY23)</f>
        <v>#N/A</v>
      </c>
      <c r="GX23" s="55" t="e">
        <f>VLOOKUP(Исходн.данные.!AI23,Коэффициенты!$J$7:$L$13,2,FALSE)</f>
        <v>#N/A</v>
      </c>
      <c r="GY23" s="55" t="e">
        <f>VLOOKUP(Исходн.данные.!AI23,Коэффициенты!$J$7:$L$13,3,FALSE)</f>
        <v>#N/A</v>
      </c>
      <c r="GZ23" s="55" t="e">
        <f>(IF(Исходн.данные.!M23&lt;50,0.11*VLOOKUP(Исходн.данные.!AH23,Культуры.Информация,7,FALSE),IF(Исходн.данные.!M23&gt;250,0.05*VLOOKUP(Исходн.данные.!AH23,Культуры.Информация,7,FALSE),VLOOKUP(Исходн.данные.!AH23,Культуры.Информация,5,FALSE)/100*($GX$6+$GY$6*Исходн.данные.!M23))))*Расчет2!AI23</f>
        <v>#N/A</v>
      </c>
      <c r="HA23" s="180"/>
      <c r="HB23" s="180"/>
      <c r="HC23" s="55" t="e">
        <f>(IF(Исходн.данные.!O23&lt;80,0.2*VLOOKUP(Исходн.данные.!AH23,Культуры.Информация,8,FALSE),IF(Исходн.данные.!O23&gt;240,0.09*VLOOKUP(Исходн.данные.!AH23,Культуры.Информация,8,FALSE),VLOOKUP(Исходн.данные.!AH23,Культуры.Информация,6,FALSE)/100*($HB$6+$HC$6*Исходн.данные.!O23))))*Расчет2!AJ23</f>
        <v>#N/A</v>
      </c>
      <c r="HD23" s="180">
        <f>IF(Исходн.данные.!O23&gt;240,0.09,IF(Исходн.данные.!O23&lt;30,0.3,$HE$10+$HD$10*Исходн.данные.!O23))</f>
        <v>0.3</v>
      </c>
      <c r="HE23" s="180">
        <f>IF(Исходн.данные.!O23&gt;240,0.17,IF(Исходн.данные.!O23&lt;30,0.5,$HF$12+$HE$12*Исходн.данные.!O23))</f>
        <v>0.5</v>
      </c>
      <c r="HF23" s="55" t="e">
        <f>VLOOKUP(Исходн.данные.!AH23,Справ!$A$3:$D$58,2,FALSE)</f>
        <v>#N/A</v>
      </c>
      <c r="HG23" s="55" t="e">
        <f>VLOOKUP(Исходн.данные.!AH23,Справ!$A$3:$D$58,3,FALSE)</f>
        <v>#N/A</v>
      </c>
      <c r="HH23" s="55" t="e">
        <f>VLOOKUP(Исходн.данные.!AH23,Справ!$A$3:$D$58,4,FALSE)</f>
        <v>#N/A</v>
      </c>
      <c r="HI23" s="11" t="e">
        <f t="shared" ref="HI23:HI29" si="66">$BG23-HQ23</f>
        <v>#N/A</v>
      </c>
      <c r="HJ23" s="11" t="e">
        <f t="shared" ref="HJ23:HJ29" si="67">$BG23-HR23</f>
        <v>#N/A</v>
      </c>
      <c r="HK23" s="11" t="e">
        <f t="shared" ref="HK23:HK29" si="68">$BG23-HS23</f>
        <v>#N/A</v>
      </c>
      <c r="HL23" s="55">
        <f>IF(OR(Исходн.данные.!G23="Глин",Исходн.данные.!G23="Т_суг"),1.1,IF(Исходн.данные.!G23="Ср_суг",1,1))</f>
        <v>1</v>
      </c>
      <c r="HM23" s="55">
        <f>IF(OR(Исходн.данные.!G23="Глин",Исходн.данные.!G23="Т_суг"),0.9,IF(Исходн.данные.!G23="Ср_суг",1,1.2))</f>
        <v>1.2</v>
      </c>
      <c r="HN23" s="11" t="e">
        <f t="shared" ref="HN23:HN29" si="69">FY23+GB23+GE23+GH23</f>
        <v>#N/A</v>
      </c>
      <c r="HO23" s="11" t="e">
        <f t="shared" ref="HO23:HO29" si="70">FZ23+GC23+GF23+GI23</f>
        <v>#N/A</v>
      </c>
      <c r="HP23" s="11" t="e">
        <f t="shared" ref="HP23:HP29" si="71">GA23+GD23+GG23+GJ23</f>
        <v>#N/A</v>
      </c>
      <c r="HQ23" t="e">
        <f t="shared" ref="HQ23:HQ29" si="72">HN23</f>
        <v>#N/A</v>
      </c>
      <c r="HR23" t="e">
        <f t="shared" ref="HR23:HR29" si="73">HO23</f>
        <v>#N/A</v>
      </c>
      <c r="HS23" t="e">
        <f t="shared" ref="HS23:HS29" si="74">HP23</f>
        <v>#N/A</v>
      </c>
      <c r="HT23" t="e">
        <f t="shared" si="21"/>
        <v>#N/A</v>
      </c>
      <c r="HU23" t="e">
        <f t="shared" si="22"/>
        <v>#N/A</v>
      </c>
      <c r="HV23" t="e">
        <f t="shared" si="23"/>
        <v>#N/A</v>
      </c>
      <c r="HW23" t="e">
        <f t="shared" si="24"/>
        <v>#N/A</v>
      </c>
      <c r="HX23" t="e">
        <f t="shared" si="25"/>
        <v>#N/A</v>
      </c>
      <c r="HY23" t="e">
        <f t="shared" si="26"/>
        <v>#N/A</v>
      </c>
      <c r="HZ23" s="55">
        <f>IF(OR(Исходн.данные.!AI23="Оз_Ч_П",Исходн.данные.!AI23="Оз_З_П",Исходн.данные.!AI23="Яр_зер"),12,30)</f>
        <v>30</v>
      </c>
      <c r="IA23" t="e">
        <f t="shared" ref="IA23:IA29" si="75">ABS(AVERAGE(HN23:HP23)-HN23)</f>
        <v>#N/A</v>
      </c>
      <c r="IB23" t="e">
        <f t="shared" ref="IB23:IB29" si="76">ABS(AVERAGE(HN23:HP23)-HO23)</f>
        <v>#N/A</v>
      </c>
      <c r="IC23" t="e">
        <f t="shared" ref="IC23:IC29" si="77">ABS(AVERAGE(HN23:HP23)-HP23)</f>
        <v>#N/A</v>
      </c>
      <c r="ID23" s="11" t="e">
        <f t="shared" ref="ID23:ID29" si="78">MAX(HN23:HP23)</f>
        <v>#N/A</v>
      </c>
      <c r="IE23" s="11" t="e">
        <f t="shared" ref="IE23:IE29" si="79">AVERAGE(HN23:HP23)</f>
        <v>#N/A</v>
      </c>
      <c r="IF23" s="11" t="e">
        <f t="shared" ref="IF23:IF29" si="80">MIN(HN23:HP23)</f>
        <v>#N/A</v>
      </c>
    </row>
    <row r="24" spans="35:240" x14ac:dyDescent="0.2">
      <c r="AI24">
        <f>IF(Исходн.данные.!I24&gt;6,1,1.85-(0.148*Исходн.данные.!I24))</f>
        <v>1.85</v>
      </c>
      <c r="AJ24">
        <f>IF(Исходн.данные.!I24&gt;6,1,2.434-(0.246*Исходн.данные.!I24))</f>
        <v>2.4340000000000002</v>
      </c>
      <c r="AL24" s="148" t="b">
        <f>IF(Исходн.данные.!$P24="Ум",N_OrgUd_2g_um,IF(Исходн.данные.!$P24="Об",N_OrgUd_2g_ob))</f>
        <v>0</v>
      </c>
      <c r="AM24" s="148" t="b">
        <f>IF(Исходн.данные.!$P24="Ум",P_OrgUd_2g_um,IF(Исходн.данные.!$P24="Об",P_OrgUd_2g_ob))</f>
        <v>0</v>
      </c>
      <c r="AN24" s="148" t="b">
        <f>IF(Исходн.данные.!$P24="Ум",K_OrgUd_2g_um,IF(Исходн.данные.!$P24="Об",K_OrgUd_2g_ob))</f>
        <v>0</v>
      </c>
      <c r="AO24" s="148" t="b">
        <f>IF(Исходн.данные.!$P24="Ум",N_OrgUd_1g_um,IF(Исходн.данные.!$P24="Об",N_OrgUd_1g_ob))</f>
        <v>0</v>
      </c>
      <c r="AP24" s="148" t="b">
        <f>IF(Исходн.данные.!$P24="Ум",P_OrgUd_1g_um,IF(Исходн.данные.!$P24="Об",P_OrgUd_1g_ob))</f>
        <v>0</v>
      </c>
      <c r="AQ24" s="148" t="b">
        <f>IF(Исходн.данные.!$P24="Ум",K_OrgUd_1g_um,IF(Исходн.данные.!$P24="Об",K_OrgUd_1g_ob))</f>
        <v>0</v>
      </c>
      <c r="AR24" t="b">
        <f>IF(Исходн.данные.!$P24="Ум",N_MinUd_2g_um,IF(Исходн.данные.!$P24="Об",N_MinUd_2g_ob))</f>
        <v>0</v>
      </c>
      <c r="AS24" t="b">
        <f>IF(Исходн.данные.!$P24="Ум",P_MinUd_2g_um,IF(Исходн.данные.!$P24="Об",P_MinUd_2g_ob))</f>
        <v>0</v>
      </c>
      <c r="AT24" t="b">
        <f>IF(Исходн.данные.!$P24="Ум",K_MinUd_2g_um,IF(Исходн.данные.!$P24="Об",K_MinUd_2g_ob))</f>
        <v>0</v>
      </c>
      <c r="AU24" t="b">
        <f>IF(Исходн.данные.!$P24="Ум",N_MinUd_1g_um,IF(Исходн.данные.!$P24="Об",N_MinUd_1g_ob))</f>
        <v>0</v>
      </c>
      <c r="AV24" t="b">
        <f>IF(Исходн.данные.!P24="Ум",P_MinUd_1g_um,IF(Исходн.данные.!P24="Об",P_MinUd_1g_ob))</f>
        <v>0</v>
      </c>
      <c r="AW24" t="b">
        <f>IF(Исходн.данные.!P24="Ум",K_MinUd_1g_um,IF(Исходн.данные.!P24="Об",K_MinUd_1g_ob))</f>
        <v>0</v>
      </c>
      <c r="AX24" s="148"/>
      <c r="AY24" t="e">
        <f>VLOOKUP(Исходн.данные.!T24,Справ!$A$3:$N$57,12)</f>
        <v>#N/A</v>
      </c>
      <c r="AZ24" t="e">
        <f>VLOOKUP(Исходн.данные.!T24,Справ!$A$3:$N$57,13)</f>
        <v>#N/A</v>
      </c>
      <c r="BA24" t="e">
        <f>VLOOKUP(Исходн.данные.!T24,Справ!$A$3:$N$57,14)</f>
        <v>#N/A</v>
      </c>
      <c r="BB24">
        <f>IF(Исходн.данные.!AH24=0,0,25)</f>
        <v>0</v>
      </c>
      <c r="BC24" s="141">
        <f>IF(Исходн.данные.!AH24=0,0,IF(Исходн.данные.!T24=0,25,BD24))</f>
        <v>0</v>
      </c>
      <c r="BD24" s="168" t="e">
        <f>AY24+AZ24*Исходн.данные.!U24-POWER(BA24,2)*Исходн.данные.!U24</f>
        <v>#N/A</v>
      </c>
      <c r="BE2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" s="25">
        <f>IF(Исходн.данные.!AH24=0,0,MIN(HN24:HP24))</f>
        <v>0</v>
      </c>
      <c r="BG24" s="9">
        <f>IF(Исходн.данные.!AH24=0,0,IF((HO24+10*0.25/HG24/HL24)&lt;17,17,HO24+10*0.25/HG24/HL24))</f>
        <v>0</v>
      </c>
      <c r="BH24" s="181">
        <f>IF(Исходн.данные.!AH24=0,0,HW24*HF24*HL24/AU24*AI24+Исходн.данные.!S24*10)</f>
        <v>0</v>
      </c>
      <c r="BI24" s="10"/>
      <c r="BJ24" s="182">
        <f>IF(Исходн.данные.!AH24=0,0,IF(HX24*HG24*HL24/AV24&lt;0,0,HX24*HG24*HL24/AV24*AJ24))</f>
        <v>0</v>
      </c>
      <c r="BK24" s="182">
        <f>IF(Исходн.данные.!AH24=0,0,HY24*HH24*HM24/AW24)</f>
        <v>0</v>
      </c>
      <c r="BL24" s="10">
        <f>IF(OR(Исходн.данные.!$AH24=$BP$1,Исходн.данные.!$AH24=$BP$2),0,IF(BH24&lt;0,0,IF(OR(Исходн.данные.!T24=Расчет!$BP$1,Исходн.данные.!T24=Расчет!$BP$2,Исходн.данные.!T24=Расчет!$BT$5,Исходн.данные.!T24=Расчет!$BT$6),BH24*0.5,IF(OR(Исходн.данные.!T24=Расчет!$BS$9,Исходн.данные.!T24=Расчет!$BS$10,Исходн.данные.!T24=Расчет!$BS$11,Исходн.данные.!T24=Расчет!$BS$12,Исходн.данные.!T24=Расчет!$BP$5),BH24*0.8,BH24))))</f>
        <v>0</v>
      </c>
      <c r="BM24" s="10">
        <f>IF(OR(Исходн.данные.!$AH24=$BP$1,Исходн.данные.!$AH24=$BP$2),0,IF(BJ24&lt;0,0,IF(Исходн.данные.!I24&lt;4.5,BJ24*1.2,IF(Исходн.данные.!I24&gt;5.1,BJ24,BJ24*((5.1-Исходн.данные.!I24)*0.333+1)))))</f>
        <v>0</v>
      </c>
      <c r="BN24" s="10">
        <f>IF(OR(Исходн.данные.!$AH24=$BP$1,Исходн.данные.!$AH24=$BP$2),60-Исходн.данные.!AF24,IF(BK24&lt;0,0,IF(Исходн.данные.!I24&lt;4.5,BK24*1.2,IF(Исходн.данные.!I24&gt;5.1,BK24,BK24*((5.1-Исходн.данные.!I24)*0.333+1)))))</f>
        <v>0</v>
      </c>
      <c r="BO24" s="9">
        <f>IF(BL24&lt;0,0,BL24*Исходн.данные.!$AJ24/1000)</f>
        <v>0</v>
      </c>
      <c r="BP24" s="9">
        <f>IF(BM24&lt;0,0,BM24*Исходн.данные.!$AJ24/1000)</f>
        <v>0</v>
      </c>
      <c r="BQ24" s="9">
        <f>IF(BN24&lt;0,0,BN24*Исходн.данные.!$AJ24/1000)</f>
        <v>0</v>
      </c>
      <c r="BR24" s="9">
        <f t="shared" si="27"/>
        <v>0</v>
      </c>
      <c r="BS24" s="10" t="str">
        <f t="shared" si="28"/>
        <v>Аммофос 12:52:00</v>
      </c>
      <c r="BT24" s="10" t="str">
        <f t="shared" si="29"/>
        <v>Аммофос 12:52:00</v>
      </c>
      <c r="BU24" s="10" t="str">
        <f t="shared" si="30"/>
        <v>Диаммофоска</v>
      </c>
      <c r="BV24" s="10">
        <f t="shared" si="31"/>
        <v>0</v>
      </c>
      <c r="BW24" s="10"/>
      <c r="BX24" s="10"/>
      <c r="BY24" s="9">
        <f>IF(BL24&lt;0,0,IF(OR(Исходн.данные.!AI24=Расчет!$BU$6,Исходн.данные.!AI24=Расчет!$BU$7),Расчет!BV24,IF(Исходн.данные.!$AG24=$BV$11,BL24,IF(OR(Исходн.данные.!$AH24=$BQ$7,Исходн.данные.!$AH24=$BQ$8),CB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0,IF(Исходн.данные.!$AI24=$BU$11,"Нет",IF(BL24&gt;30,30,BL24)))))))</f>
        <v>0</v>
      </c>
      <c r="BZ24" s="9">
        <f>IF(AND(Исходн.данные.!$AG24=$BV$11,BM24&lt;10),10,IF(Исходн.данные.!$AG24=$BV$11,BM24,IF(OR(Исходн.данные.!$AH24=$BQ$7,Исходн.данные.!$AH24=$BQ$8),CC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10,IF(Исходн.данные.!$AI24=$BU$11,"Нет",IF(BM24&gt;60,60,IF(BM24&lt;10,10,BM24)))))))</f>
        <v>10</v>
      </c>
      <c r="CA24" s="39">
        <f>IF(BN24&lt;0,0,IF(Исходн.данные.!$AG24=$BV$11,BN24,IF(OR(Исходн.данные.!$AH24=$BQ$7,Исходн.данные.!$AH24=$BQ$8),CD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0,IF(Исходн.данные.!$AI24=$BU$11,"Нет",IF(BN24&gt;30,30,BN24))))))</f>
        <v>0</v>
      </c>
      <c r="CB24" s="9">
        <f t="shared" si="32"/>
        <v>0</v>
      </c>
      <c r="CC24" s="9">
        <f t="shared" si="33"/>
        <v>0</v>
      </c>
      <c r="CD24" s="9">
        <f t="shared" si="34"/>
        <v>0</v>
      </c>
      <c r="CE24" s="12">
        <f t="shared" si="35"/>
        <v>10</v>
      </c>
      <c r="CF24" s="9">
        <f t="shared" si="36"/>
        <v>0</v>
      </c>
      <c r="CG24" s="9" t="s">
        <v>231</v>
      </c>
      <c r="CH24" s="132" t="str">
        <f>IF(Исходн.данные.!AP24=Расчет!$CI$16,"Нет",IF(Исходн.данные.!AL24&gt;0,Исходн.данные.!AL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BH$4,IF(OR(Исходн.данные.!AI24=Исходн.данные.!$AI$6,Исходн.данные.!AI24=Исходн.данные.!$AI$7),Расчет!BS24,IF(AND($CF24=0,$CE24&gt;0),EV24,ER24)))))</f>
        <v>Аммофос 12:52:00</v>
      </c>
      <c r="CI24" s="274">
        <f>IF(Расчет!$CH24="Нет","Нет",IF(Исходн.данные.!$AL24&gt;0,VLOOKUP(Расчет!$CH24,АшламаДВ_Irekle,2,FALSE),VLOOKUP(Расчет!$CH24,АшламаДВ_Gomumy,2,FALSE)))</f>
        <v>0.12</v>
      </c>
      <c r="CJ24" s="274">
        <f>IF(Расчет!$CH24="Нет","Нет",IF(Исходн.данные.!$AL24&gt;0,VLOOKUP(Расчет!$CH24,АшламаДВ_Irekle,3,FALSE),VLOOKUP(Расчет!$CH24,АшламаДВ_Gomumy,3,FALSE)))</f>
        <v>0.52</v>
      </c>
      <c r="CK24" s="274">
        <f>IF(Расчет!$CH24="Нет","Нет",IF(Исходн.данные.!$AL24&gt;0,VLOOKUP(Расчет!$CH24,АшламаДВ_Irekle,4,FALSE),VLOOKUP(Расчет!$CH24,АшламаДВ_Gomumy,4,FALSE)))</f>
        <v>0</v>
      </c>
      <c r="CL24" s="70"/>
      <c r="CM24" s="70"/>
      <c r="CN24" s="70"/>
      <c r="CO24" s="70"/>
      <c r="CP24" s="70"/>
      <c r="CQ24" s="70"/>
      <c r="CR24" s="10">
        <f t="shared" si="37"/>
        <v>0</v>
      </c>
      <c r="CS24" s="10">
        <f t="shared" si="38"/>
        <v>19.23076923076923</v>
      </c>
      <c r="CT24" s="10">
        <f t="shared" si="39"/>
        <v>0</v>
      </c>
      <c r="CU24" s="39">
        <f>IF($CH24="Нет",0,IF(CI24=0,30/MIN(CJ24:CK24),IF(Исходн.данные.!$AG24=$BV$11,CR24,IF(OR(Исходн.данные.!$AH24=$BQ$7,Исходн.данные.!$AH24=$BQ$8),90/CI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0,IF(Исходн.данные.!$AI24=$BU$11,"Нет",30/CI24))))))</f>
        <v>250</v>
      </c>
      <c r="CV24" s="39">
        <f>IF($CH24="Нет",0,IF(Исходн.данные.!AH24=0,0,IF(CJ24=0,60/MIN(CI24,CK24),IF(Исходн.данные.!$AG24=$BV$11,CS24,IF(OR(Исходн.данные.!$AH24=$BQ$7,Исходн.данные.!$AH24=$BQ$8),90/CJ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10/CJ24,IF(Исходн.данные.!$AI24=$BU$11,"Нет",60/CJ24)))))))</f>
        <v>0</v>
      </c>
      <c r="CW24" s="39">
        <f>IF($CH24="Нет",0,IF(Исходн.данные.!AH24=0,0,IF(CK24=0,30/MIN(CI24:CJ24),IF(Исходн.данные.!$AG24=$BV$11,CT24,IF(OR(Исходн.данные.!$AH24=$BQ$7,Исходн.данные.!$AH24=$BQ$8),90/CK24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0,IF(Исходн.данные.!$AI24=$BU$11,"Нет",30/CK24)))))))</f>
        <v>0</v>
      </c>
      <c r="CX24" s="133">
        <f>IF(Исходн.данные.!$AG24=$BV$11,MAX(CU24:CW24),IF(OR(Исходн.данные.!$AH24=$BS$8,Исходн.данные.!$AH24=$BQ$9,Исходн.данные.!$AH24=$BQ$10,Исходн.данные.!$AH24=$BQ$11,Исходн.данные.!$AH24=$BQ$12,Исходн.данные.!$AH24=$BP$3,Исходн.данные.!$AH24=$BT$8,$FM24="Да"),CV24,MIN(CU24:CW24)))</f>
        <v>0</v>
      </c>
      <c r="CY24" s="133">
        <f>IF(Исходн.данные.!AH24=0,0,IF(CR24&gt;$CX24,$CX24,CR24))</f>
        <v>0</v>
      </c>
      <c r="CZ24" s="133">
        <f>IF(Исходн.данные.!AH24=0,0,IF(CS24&gt;$CX24,$CX24,CS24))</f>
        <v>0</v>
      </c>
      <c r="DA24" s="133">
        <f>IF(Исходн.данные.!AH24=0,0,IF(CT24&gt;$CX24,$CX24,CT24))</f>
        <v>0</v>
      </c>
      <c r="DB24" s="10">
        <f t="shared" si="40"/>
        <v>0</v>
      </c>
      <c r="DC24" s="39">
        <f>DB24*Исходн.данные.!AJ24/1000</f>
        <v>0</v>
      </c>
      <c r="DD24" s="71">
        <f t="shared" si="41"/>
        <v>0</v>
      </c>
      <c r="DE24" s="9">
        <f t="shared" si="42"/>
        <v>0</v>
      </c>
      <c r="DF24" s="9">
        <f t="shared" si="43"/>
        <v>0</v>
      </c>
      <c r="DG24" s="39">
        <f>IF(BL24&lt;0,0,IF($CH24="Нет",BL24,IF(OR(Исходн.данные.!$AH24=$BP$1,Исходн.данные.!$AH24=$BP$2),0,IF(Исходн.данные.!AI24=$BU$11,BL24,IF(BL24-DD24&lt;0,0,BL24-DD24)))))</f>
        <v>0</v>
      </c>
      <c r="DH24" s="39">
        <f>IF(BM24&lt;0,0,IF($CH24="Нет",BM24,IF(OR(Исходн.данные.!$AH24=$BP$1,Исходн.данные.!$AH24=$BP$2),0,IF(Исходн.данные.!AJ24=$BU$11,BM24,IF(BM24-DE24&lt;0,0,BM24-DE24)))))</f>
        <v>0</v>
      </c>
      <c r="DI24" s="39">
        <f>IF(BN24&lt;0,0,IF($CH24="Нет",BN24,IF(OR(Исходн.данные.!$AH24=$BP$1,Исходн.данные.!$AH24=$BP$2),0,IF(Исходн.данные.!AK24=$BU$11,BN24,IF(BN24-DF24&lt;0,0,BN24-DF24)))))</f>
        <v>0</v>
      </c>
      <c r="DJ24" s="12">
        <f t="shared" si="44"/>
        <v>0</v>
      </c>
      <c r="DK24" s="9">
        <f t="shared" si="45"/>
        <v>0</v>
      </c>
      <c r="DL24" s="39">
        <f>IF(Исходн.данные.!AM24&gt;0,Исходн.данные.!AM24,IF(EG24&gt;0,$BH$10,0))</f>
        <v>0</v>
      </c>
      <c r="DM24" s="186">
        <f>IF($DL24=0,0,IF(Исходн.данные.!AM24&gt;0,VLOOKUP($DL24,АшламаДВ_Irekle,2,FALSE),VLOOKUP($DL24,АшламаДВ_Gomumy,2,FALSE)))</f>
        <v>0</v>
      </c>
      <c r="DN24" s="10">
        <f t="shared" si="46"/>
        <v>0</v>
      </c>
      <c r="DO24" s="9" t="str">
        <f>IF(Исходн.данные.!AN24&gt;0,Исходн.данные.!AN24,Удобрения!$B$37 )</f>
        <v>Хлор.калий</v>
      </c>
      <c r="DP24" s="9">
        <f>IF(Исходн.данные.!AN24&gt;0,VLOOKUP(DO24,АшламаДВ_Irekle,4,FALSE),VLOOKUP(DO24,АшламаДВ_Gomumy,4,FALSE))</f>
        <v>0.6</v>
      </c>
      <c r="DQ24" s="10">
        <f t="shared" si="47"/>
        <v>0</v>
      </c>
      <c r="DR24" s="132" t="str">
        <f>IF(Исходн.данные.!AO24&gt;0,Исходн.данные.!AO24,IF(DH24=0,BS$17,IF(AND($DK24=0,$DJ24&gt;0),EJ24,EN24)))</f>
        <v>Нет</v>
      </c>
      <c r="DS24" s="70" t="str">
        <f>IF($DR24="Нет","Нет",IF(Исходн.данные.!$AO24&gt;0,VLOOKUP($DR24,АшламаДВ_Irekle,2,FALSE),VLOOKUP($DR24,АшламаДВ_Gomumy,2,FALSE)))</f>
        <v>Нет</v>
      </c>
      <c r="DT24" s="70" t="str">
        <f>IF($DR24="Нет","Нет",IF(Исходн.данные.!$AO24&gt;0,VLOOKUP($DR24,АшламаДВ_Irekle,3,FALSE),VLOOKUP($DR24,АшламаДВ_Gomumy,3,FALSE)))</f>
        <v>Нет</v>
      </c>
      <c r="DU24" s="70" t="str">
        <f>IF($DR24="Нет","Нет",IF(Исходн.данные.!$AO24&gt;0,VLOOKUP($DR24,АшламаДВ_Irekle,4,FALSE),VLOOKUP($DR24,АшламаДВ_Gomumy,4,FALSE)))</f>
        <v>Нет</v>
      </c>
      <c r="DV24" s="70"/>
      <c r="DW24" s="70"/>
      <c r="DX24" s="70"/>
      <c r="DY24" s="10">
        <f t="shared" si="48"/>
        <v>0</v>
      </c>
      <c r="DZ24" s="10">
        <f t="shared" si="49"/>
        <v>0</v>
      </c>
      <c r="EA24" s="10">
        <f t="shared" si="50"/>
        <v>0</v>
      </c>
      <c r="EB24" s="10">
        <f t="shared" si="51"/>
        <v>0</v>
      </c>
      <c r="EC24" s="10">
        <f t="shared" si="52"/>
        <v>0</v>
      </c>
      <c r="ED24" s="10">
        <f t="shared" si="53"/>
        <v>0</v>
      </c>
      <c r="EE24" s="10">
        <f t="shared" si="54"/>
        <v>0</v>
      </c>
      <c r="EF24" s="39">
        <f>EB24*Исходн.данные.!AJ24/1000</f>
        <v>0</v>
      </c>
      <c r="EG24" s="9">
        <f t="shared" si="55"/>
        <v>0</v>
      </c>
      <c r="EH24" s="9">
        <f t="shared" si="56"/>
        <v>0</v>
      </c>
      <c r="EI24" s="39" t="e">
        <f t="shared" si="7"/>
        <v>#DIV/0!</v>
      </c>
      <c r="EJ24" s="9" t="str">
        <f t="shared" si="8"/>
        <v>Азопреципитат</v>
      </c>
      <c r="EK24" s="12">
        <f t="shared" si="9"/>
        <v>0.26</v>
      </c>
      <c r="EL24" s="12">
        <f t="shared" si="10"/>
        <v>0.13</v>
      </c>
      <c r="EM24" s="12">
        <f t="shared" si="11"/>
        <v>0</v>
      </c>
      <c r="EN24" s="12" t="str">
        <f t="shared" si="57"/>
        <v>Нет</v>
      </c>
      <c r="EO24" s="12">
        <f t="shared" si="12"/>
        <v>0</v>
      </c>
      <c r="EP24" s="12">
        <f t="shared" si="13"/>
        <v>0</v>
      </c>
      <c r="EQ24" s="12">
        <f t="shared" si="14"/>
        <v>0</v>
      </c>
      <c r="ER24" s="12" t="str">
        <f t="shared" si="58"/>
        <v>Диаммофоска</v>
      </c>
      <c r="ES24" s="12">
        <f t="shared" si="15"/>
        <v>0.1</v>
      </c>
      <c r="ET24" s="12">
        <f t="shared" si="16"/>
        <v>0.26</v>
      </c>
      <c r="EU24" s="12">
        <f t="shared" si="17"/>
        <v>0.26</v>
      </c>
      <c r="EV24" s="12" t="str">
        <f t="shared" si="59"/>
        <v>Аммофос 12:52:00</v>
      </c>
      <c r="EW24" s="12" t="str">
        <f t="shared" si="60"/>
        <v>Кемира Свекловичное-6</v>
      </c>
      <c r="EX24" s="12">
        <f t="shared" si="18"/>
        <v>0.16</v>
      </c>
      <c r="EY24" s="12">
        <f t="shared" si="19"/>
        <v>0.12</v>
      </c>
      <c r="EZ24" s="12">
        <f t="shared" si="20"/>
        <v>0.17</v>
      </c>
      <c r="FA24" s="38" t="e">
        <f>IF(AND(OR(FJ24=$FD$1,FM24=$FD$1,FO24=$FD$1,FQ24=$FD$1,FS24=$FD$1),FD24=$FD$1,Исходн.данные.!J24&lt;2,FU24=$FD$1),"Бор,Кобальт",IF(AND(FO24=$FD$1,FH24=$FD$1,Исходн.данные.!J24&lt;2,FU24=$FD$1),"Бор,Кобальт",IF(AND(OR(FJ24=$FD$1,FM24=$FD$1,FQ24=$FD$1),FE24=$FD$1,Исходн.данные.!J24&lt;2,FT24=$FD$1,FU24=$FD$1),"Бор,Медь,Цинк",IF(AND(OR(FJ24=$FD$1,FR24="Да"),FI24="Да",Исходн.данные.!J24&lt;2,FT24="Да",FU24="Да"),"Бор,Цинк,Медь",IF(AND(OR(FM24="Да",FQ24="Да"),FI24="Да",Исходн.данные.!J24&lt;2,FT24="Да",FU24="Да"),"Бор,Цинк",IF(AND(FN24="Да",OR(FD24="Да",FE24="Да")),"Бор",FB24))))))</f>
        <v>#N/A</v>
      </c>
      <c r="FB24" s="134" t="e">
        <f>IF(AND(OR(FD24="Да",FE24="Да",FF24="Да",FG24="Да",FH24="Да"),FO24="Да"),"Бор",IF(AND(FP24="Да",OR(FD24="Да",FE24="Да",FI24="Да")),"Бор",IF(AND(FS24="Да",FE24="Да"),"Бор,Медь",IF(AND(OR(FJ24="Да",FK24="Да",FL24="Да"),FE24="Да",Исходн.данные.!I24&lt;5,FT24="Да",FU24="Да"),"Молибден,Цинк",IF(AND(FM24="Да",OR(FE24="Да",FF24="Да",FG24="Да",FH24="Да",FI24="Да")),"Молибден,Цинк",IF(AND(OR(FJ24="Да",FK24="Да",FL24="Да",FM24="Да",FQ24="Да"),OR(FE24="Да",FF24="Да"),FT24="Да",FU24="Да",Исходн.данные.!I24&gt;5.5),"Медь,Цинк",FC24))))))</f>
        <v>#N/A</v>
      </c>
      <c r="FC24" s="23" t="e">
        <f t="shared" si="61"/>
        <v>#N/A</v>
      </c>
      <c r="FD24" s="38" t="str">
        <f>IF(OR(Исходн.данные.!F24=$CC$1,Исходн.данные.!F24=$CC$2,Исходн.данные.!F24=$CC$3,Исходн.данные.!F24=$CC$4),"Да","Нет")</f>
        <v>Нет</v>
      </c>
      <c r="FE24" s="38" t="str">
        <f>IF(Исходн.данные.!F24=$CC$5,"Да","Нет")</f>
        <v>Нет</v>
      </c>
      <c r="FF24" s="38" t="str">
        <f>IF(OR(Исходн.данные.!F24=$CC$6,Исходн.данные.!F24=$CC$7),"Да","Нет")</f>
        <v>Нет</v>
      </c>
      <c r="FG24" s="38" t="str">
        <f>IF(OR(Исходн.данные.!F24=$CC$8,Исходн.данные.!F24=$CC$9),"Да","Нет")</f>
        <v>Нет</v>
      </c>
      <c r="FH24" s="38" t="str">
        <f>IF(Исходн.данные.!F24=$CC$10,"Да","Нет")</f>
        <v>Нет</v>
      </c>
      <c r="FI24" s="38" t="str">
        <f>IF(OR(Исходн.данные.!F24=$CC$11,Исходн.данные.!F24=$CC$12),"Да","Нет")</f>
        <v>Нет</v>
      </c>
      <c r="FJ24" s="38" t="str">
        <f>IF(OR(Исходн.данные.!AH24=$BS$1,Исходн.данные.!AH24=$BQ$11,Исходн.данные.!AH24=$BQ$12),"Да","Нет")</f>
        <v>Нет</v>
      </c>
      <c r="FK24" s="38" t="str">
        <f>IF(OR(Исходн.данные.!AH24=$BS$2,Исходн.данные.!AH24=$BS$4),"Да","Нет")</f>
        <v>Нет</v>
      </c>
      <c r="FL24" s="38" t="str">
        <f>IF(OR(Исходн.данные.!AH24=$BS$3,Исходн.данные.!AH24=$BS$5),"Да","Нет")</f>
        <v>Нет</v>
      </c>
      <c r="FM24" s="38" t="str">
        <f>IF(OR(Исходн.данные.!AH24=$BS$9,Исходн.данные.!AH24=$BS$10,Исходн.данные.!AH24=$BS$11,Исходн.данные.!AH24=$BS$12),"Да","Нет")</f>
        <v>Нет</v>
      </c>
      <c r="FN24" s="38" t="str">
        <f>IF(OR(Исходн.данные.!AH24=$BS$6,Исходн.данные.!AH24=$BP$3),"Да","Нет")</f>
        <v>Нет</v>
      </c>
      <c r="FO24" s="38" t="str">
        <f>IF(Исходн.данные.!AH24=$BQ$9,"Да","Нет")</f>
        <v>Нет</v>
      </c>
      <c r="FP24" s="38" t="str">
        <f>IF(OR(Исходн.данные.!AH24=$BS$8,Исходн.данные.!AH24=$BT$8),"Да","Нет")</f>
        <v>Нет</v>
      </c>
      <c r="FQ24" s="38" t="str">
        <f>IF(OR(Исходн.данные.!AH24=$BQ$7,Исходн.данные.!AH24=$BQ$8),"Да","Нет")</f>
        <v>Нет</v>
      </c>
      <c r="FR24" s="38" t="str">
        <f>IF(Исходн.данные.!AI24=$BU$9,"Да","Нет")</f>
        <v>Нет</v>
      </c>
      <c r="FS24" s="38" t="str">
        <f>IF(OR(Исходн.данные.!AH24=$BP$1,Исходн.данные.!AH24=$BP$2),"Да","Нет")</f>
        <v>Нет</v>
      </c>
      <c r="FT24" s="38" t="e">
        <f>IF((Исходн.данные.!K24*GO24*GS24*GW24+BL24*0.6+Исходн.данные.!Q24*4.5*0.275)&gt;90,"Да","Нет")</f>
        <v>#N/A</v>
      </c>
      <c r="FU24" s="38" t="e">
        <f>IF((Исходн.данные.!M24*GS24*GZ24+BM24*0.225)&gt;35,"Да","Нет")</f>
        <v>#N/A</v>
      </c>
      <c r="FV24" s="38" t="str">
        <f>IF(Исходн.данные.!O24&gt;175,"Да","Нет")</f>
        <v>Нет</v>
      </c>
      <c r="FW24" s="39" t="str">
        <f>IF(Исходн.данные.!I24&gt;5.5,"Да","Нет")</f>
        <v>Нет</v>
      </c>
      <c r="FX24" s="39" t="str">
        <f>IF(Исходн.данные.!J24&lt;2,"Да","Нет")</f>
        <v>Да</v>
      </c>
      <c r="FY24" s="39" t="e">
        <f>IF(HF24=$FY$16,0,Исходн.данные.!K24*GO24*GS24*GW24/HF24)</f>
        <v>#N/A</v>
      </c>
      <c r="FZ24" s="39" t="e">
        <f>Исходн.данные.!M24*GS24*GZ24/HG24</f>
        <v>#N/A</v>
      </c>
      <c r="GA24" s="39" t="e">
        <f>IF(K_Wyn=$FY$16,0,IF(Исходн.данные.!N24=Исходн.данные.!$L$10,Исходн.данные.!O24/1.1*GS24*HC24/HH24,IF(Исходн.данные.!N24=Исходн.данные.!$L$12,Исходн.данные.!O24/1.5*GS24*HC24/HH24,Исходн.данные.!O24*GS24*HC24/HH24)))</f>
        <v>#N/A</v>
      </c>
      <c r="GB24" s="39" t="e">
        <f>IF(HF24=$FY$16,0,((Исходн.данные.!Q24*N_Org+Исходн.данные.!R24*N_Sider+Исходн.данные.!S24*N_Soloma)*AO24+Расчет!BC24*VLOOKUP(Исходн.данные.!T24,Справ!$A$3:$O$57,15)*AO24+BB24*VLOOKUP(Исходн.данные.!T24,Справ!$A$3:$O$57,15)*AL24+(Исходн.данные.!V24*N_Rizotorf+Исходн.данные.!W24*N_Rizoagr))/HF24)</f>
        <v>#N/A</v>
      </c>
      <c r="GC24" s="39" t="e">
        <f>IF(HG24=$FY$16,0,((Исходн.данные.!Q24*Р_Org+Исходн.данные.!R24*P_Sider+Исходн.данные.!S24*P_Soloma)*AP24+Расчет!BC24*VLOOKUP(Исходн.данные.!T24,Справ!$A$3:$P$57,16)*AP24+BB24*VLOOKUP(Исходн.данные.!T24,Справ!$A$3:$P$57,16)*AM24)/HG24)</f>
        <v>#N/A</v>
      </c>
      <c r="GD24" s="39" t="e">
        <f>IF(HH24=$FY$16,0,((Исходн.данные.!Q24*К_Org+Исходн.данные.!R24*K_Sider+Исходн.данные.!S24*K_Soloma)*AQ24+Расчет!BC24*VLOOKUP(Исходн.данные.!T24,Справ!$A$3:$Q$57,17)*AQ24+BB24*VLOOKUP(Исходн.данные.!T24,Справ!$A$3:$Q$57,17)*AN24)/HH24)</f>
        <v>#N/A</v>
      </c>
      <c r="GE24" s="39" t="e">
        <f>IF(HF24=$FY$16,0,(Исходн.данные.!X24*AR24+Исходн.данные.!AA24*N_Org*AL24+Исходн.данные.!AB24*N_Sider*AL24+Исходн.данные.!AC24*N_Soloma*AL24)/HF24)</f>
        <v>#N/A</v>
      </c>
      <c r="GF24" s="39" t="e">
        <f>IF(HG24=$FY$16,0,(Исходн.данные.!Y24*AS24+Исходн.данные.!AA24*Р_Org*AM24+Исходн.данные.!AB24*P_Sider*AM24+Исходн.данные.!AC24*P_Soloma*AM24)/HG24)</f>
        <v>#N/A</v>
      </c>
      <c r="GG24" s="39" t="e">
        <f>IF(HH24=$FY$16,0,(Исходн.данные.!Z24*AT24+Исходн.данные.!AA24*К_Org*AN24+Исходн.данные.!AB24*K_Sider*AN24+Исходн.данные.!AC24*K_Soloma*AN24)/HH24)</f>
        <v>#N/A</v>
      </c>
      <c r="GH24" s="39" t="e">
        <f>Исходн.данные.!AD24*AU24/HF24</f>
        <v>#N/A</v>
      </c>
      <c r="GI24" s="39" t="e">
        <f>Исходн.данные.!AE24*AV24/HG24</f>
        <v>#N/A</v>
      </c>
      <c r="GJ24" s="39" t="e">
        <f>Исходн.данные.!AF24*AW24/HH24</f>
        <v>#N/A</v>
      </c>
      <c r="GK24" s="55">
        <f>Исходн.данные.!AK24</f>
        <v>0</v>
      </c>
      <c r="GL24" s="11" t="e">
        <f t="shared" si="62"/>
        <v>#N/A</v>
      </c>
      <c r="GM24" s="11" t="e">
        <f t="shared" si="63"/>
        <v>#N/A</v>
      </c>
      <c r="GN24" s="11" t="e">
        <f t="shared" si="64"/>
        <v>#N/A</v>
      </c>
      <c r="GO24" s="57">
        <f t="shared" si="65"/>
        <v>19</v>
      </c>
      <c r="GP24" s="55">
        <f>IF(OR(Исходн.данные.!F24=$CE$1,Исходн.данные.!F24=$CE$2,Исходн.данные.!F24=$CE$3,Исходн.данные.!F24=$CE$4,Исходн.данные.!F24=$CE$5),GQ24,GR24)</f>
        <v>19</v>
      </c>
      <c r="GQ24" s="55">
        <f>IF(Исходн.данные.!F24=$CE$1,28,IF(Исходн.данные.!F24=$CE$2,26,IF(Исходн.данные.!F24=$CE$3,24,IF(Исходн.данные.!F24=$CE$4,22,IF(Исходн.данные.!F24=$CE$5,20,GR24)))))</f>
        <v>19</v>
      </c>
      <c r="GR24" s="55">
        <f>IF(Исходн.данные.!F24=$CE$6,18,IF(Исходн.данные.!F24=$CE$7,16,IF(Исходн.данные.!F24=$CE$8,14,IF(Исходн.данные.!F24=$CE$9,13,IF(Исходн.данные.!F24=$CE$10,12,19)))))</f>
        <v>19</v>
      </c>
      <c r="GS24" s="55">
        <f>IF(Исходн.данные.!G24="Пес",0.035*(40+2*Исходн.данные.!H24),IF(Исходн.данные.!G24="Суп",0.0325*(40+2*Исходн.данные.!H24),0.03*(40+2*Исходн.данные.!H24)))</f>
        <v>1.2</v>
      </c>
      <c r="GT24" s="55">
        <f>IF(Исходн.данные.!H24&lt;23,2.6,IF(AND(Исходн.данные.!H24&gt;22,Исходн.данные.!H24&lt;26),3,IF(AND(Исходн.данные.!H24&gt;25,Исходн.данные.!H24&lt;29),3.4,3.6)))</f>
        <v>2.6</v>
      </c>
      <c r="GU24" s="55">
        <f>IF(Исходн.данные.!H24&lt;23,2.8,IF(AND(Исходн.данные.!H24&gt;22,Исходн.данные.!H24&lt;26),3.2,IF(AND(Исходн.данные.!H24&gt;25,Исходн.данные.!H24&lt;29),3.6,3.9)))</f>
        <v>2.8</v>
      </c>
      <c r="GV24" s="55">
        <f>IF(Исходн.данные.!H24&lt;23,3,IF(AND(Исходн.данные.!H24&gt;22,Исходн.данные.!H24&lt;26),3.5,IF(AND(Исходн.данные.!H24&gt;25,Исходн.данные.!H24&lt;29),3.9,4.2)))</f>
        <v>3</v>
      </c>
      <c r="GW24" s="55" t="e">
        <f>IF(Исходн.данные.!P24="Ум",GX24,GY24)</f>
        <v>#N/A</v>
      </c>
      <c r="GX24" s="55" t="e">
        <f>VLOOKUP(Исходн.данные.!AI24,Коэффициенты!$J$7:$L$13,2,FALSE)</f>
        <v>#N/A</v>
      </c>
      <c r="GY24" s="55" t="e">
        <f>VLOOKUP(Исходн.данные.!AI24,Коэффициенты!$J$7:$L$13,3,FALSE)</f>
        <v>#N/A</v>
      </c>
      <c r="GZ24" s="55" t="e">
        <f>(IF(Исходн.данные.!M24&lt;50,0.11*VLOOKUP(Исходн.данные.!AH24,Культуры.Информация,7,FALSE),IF(Исходн.данные.!M24&gt;250,0.05*VLOOKUP(Исходн.данные.!AH24,Культуры.Информация,7,FALSE),VLOOKUP(Исходн.данные.!AH24,Культуры.Информация,5,FALSE)/100*($GX$6+$GY$6*Исходн.данные.!M24))))*Расчет2!AI24</f>
        <v>#N/A</v>
      </c>
      <c r="HA24" s="211"/>
      <c r="HB24" s="211"/>
      <c r="HC24" s="55" t="e">
        <f>(IF(Исходн.данные.!O24&lt;80,0.2*VLOOKUP(Исходн.данные.!AH24,Культуры.Информация,8,FALSE),IF(Исходн.данные.!O24&gt;240,0.09*VLOOKUP(Исходн.данные.!AH24,Культуры.Информация,8,FALSE),VLOOKUP(Исходн.данные.!AH24,Культуры.Информация,6,FALSE)/100*($HB$6+$HC$6*Исходн.данные.!O24))))*Расчет2!AJ24</f>
        <v>#N/A</v>
      </c>
      <c r="HD24" s="55">
        <f>IF(Исходн.данные.!O24&gt;240,0.09,IF(Исходн.данные.!O24&lt;30,0.3,$HE$10+$HD$10*Исходн.данные.!O24))</f>
        <v>0.3</v>
      </c>
      <c r="HE24" s="55">
        <f>IF(Исходн.данные.!O24&gt;240,0.17,IF(Исходн.данные.!O24&lt;30,0.5,$HF$12+$HE$12*Исходн.данные.!O24))</f>
        <v>0.5</v>
      </c>
      <c r="HF24" s="55" t="e">
        <f>VLOOKUP(Исходн.данные.!AH24,Справ!$A$3:$D$58,2,FALSE)</f>
        <v>#N/A</v>
      </c>
      <c r="HG24" s="55" t="e">
        <f>VLOOKUP(Исходн.данные.!AH24,Справ!$A$3:$D$58,3,FALSE)</f>
        <v>#N/A</v>
      </c>
      <c r="HH24" s="55" t="e">
        <f>VLOOKUP(Исходн.данные.!AH24,Справ!$A$3:$D$58,4,FALSE)</f>
        <v>#N/A</v>
      </c>
      <c r="HI24" s="11" t="e">
        <f t="shared" si="66"/>
        <v>#N/A</v>
      </c>
      <c r="HJ24" s="11" t="e">
        <f t="shared" si="67"/>
        <v>#N/A</v>
      </c>
      <c r="HK24" s="11" t="e">
        <f t="shared" si="68"/>
        <v>#N/A</v>
      </c>
      <c r="HL24" s="55">
        <f>IF(OR(Исходн.данные.!G24="Глин",Исходн.данные.!G24="Т_суг"),1.1,IF(Исходн.данные.!G24="Ср_суг",1,1))</f>
        <v>1</v>
      </c>
      <c r="HM24" s="55">
        <f>IF(OR(Исходн.данные.!G24="Глин",Исходн.данные.!G24="Т_суг"),0.9,IF(Исходн.данные.!G24="Ср_суг",1,1.2))</f>
        <v>1.2</v>
      </c>
      <c r="HN24" s="11" t="e">
        <f t="shared" si="69"/>
        <v>#N/A</v>
      </c>
      <c r="HO24" s="11" t="e">
        <f t="shared" si="70"/>
        <v>#N/A</v>
      </c>
      <c r="HP24" s="11" t="e">
        <f t="shared" si="71"/>
        <v>#N/A</v>
      </c>
      <c r="HQ24" t="e">
        <f t="shared" si="72"/>
        <v>#N/A</v>
      </c>
      <c r="HR24" t="e">
        <f t="shared" si="73"/>
        <v>#N/A</v>
      </c>
      <c r="HS24" t="e">
        <f t="shared" si="74"/>
        <v>#N/A</v>
      </c>
      <c r="HT24" t="e">
        <f t="shared" si="21"/>
        <v>#N/A</v>
      </c>
      <c r="HU24" t="e">
        <f t="shared" si="22"/>
        <v>#N/A</v>
      </c>
      <c r="HV24" t="e">
        <f t="shared" si="23"/>
        <v>#N/A</v>
      </c>
      <c r="HW24" t="e">
        <f t="shared" si="24"/>
        <v>#N/A</v>
      </c>
      <c r="HX24" t="e">
        <f t="shared" si="25"/>
        <v>#N/A</v>
      </c>
      <c r="HY24" t="e">
        <f t="shared" si="26"/>
        <v>#N/A</v>
      </c>
      <c r="HZ24" s="55">
        <f>IF(OR(Исходн.данные.!AI24="Оз_Ч_П",Исходн.данные.!AI24="Оз_З_П",Исходн.данные.!AI24="Яр_зер"),12,30)</f>
        <v>30</v>
      </c>
      <c r="IA24" t="e">
        <f t="shared" si="75"/>
        <v>#N/A</v>
      </c>
      <c r="IB24" t="e">
        <f t="shared" si="76"/>
        <v>#N/A</v>
      </c>
      <c r="IC24" t="e">
        <f t="shared" si="77"/>
        <v>#N/A</v>
      </c>
      <c r="ID24" s="11" t="e">
        <f t="shared" si="78"/>
        <v>#N/A</v>
      </c>
      <c r="IE24" s="11" t="e">
        <f t="shared" si="79"/>
        <v>#N/A</v>
      </c>
      <c r="IF24" s="11" t="e">
        <f t="shared" si="80"/>
        <v>#N/A</v>
      </c>
    </row>
    <row r="25" spans="35:240" x14ac:dyDescent="0.2">
      <c r="AI25">
        <f>IF(Исходн.данные.!I25&gt;6,1,1.85-(0.148*Исходн.данные.!I25))</f>
        <v>1.85</v>
      </c>
      <c r="AJ25">
        <f>IF(Исходн.данные.!I25&gt;6,1,2.434-(0.246*Исходн.данные.!I25))</f>
        <v>2.4340000000000002</v>
      </c>
      <c r="AL25" s="148" t="b">
        <f>IF(Исходн.данные.!$P25="Ум",N_OrgUd_2g_um,IF(Исходн.данные.!$P25="Об",N_OrgUd_2g_ob))</f>
        <v>0</v>
      </c>
      <c r="AM25" s="148" t="b">
        <f>IF(Исходн.данные.!$P25="Ум",P_OrgUd_2g_um,IF(Исходн.данные.!$P25="Об",P_OrgUd_2g_ob))</f>
        <v>0</v>
      </c>
      <c r="AN25" s="148" t="b">
        <f>IF(Исходн.данные.!$P25="Ум",K_OrgUd_2g_um,IF(Исходн.данные.!$P25="Об",K_OrgUd_2g_ob))</f>
        <v>0</v>
      </c>
      <c r="AO25" s="148" t="b">
        <f>IF(Исходн.данные.!$P25="Ум",N_OrgUd_1g_um,IF(Исходн.данные.!$P25="Об",N_OrgUd_1g_ob))</f>
        <v>0</v>
      </c>
      <c r="AP25" s="148" t="b">
        <f>IF(Исходн.данные.!$P25="Ум",P_OrgUd_1g_um,IF(Исходн.данные.!$P25="Об",P_OrgUd_1g_ob))</f>
        <v>0</v>
      </c>
      <c r="AQ25" s="148" t="b">
        <f>IF(Исходн.данные.!$P25="Ум",K_OrgUd_1g_um,IF(Исходн.данные.!$P25="Об",K_OrgUd_1g_ob))</f>
        <v>0</v>
      </c>
      <c r="AR25" t="b">
        <f>IF(Исходн.данные.!$P25="Ум",N_MinUd_2g_um,IF(Исходн.данные.!$P25="Об",N_MinUd_2g_ob))</f>
        <v>0</v>
      </c>
      <c r="AS25" t="b">
        <f>IF(Исходн.данные.!$P25="Ум",P_MinUd_2g_um,IF(Исходн.данные.!$P25="Об",P_MinUd_2g_ob))</f>
        <v>0</v>
      </c>
      <c r="AT25" t="b">
        <f>IF(Исходн.данные.!$P25="Ум",K_MinUd_2g_um,IF(Исходн.данные.!$P25="Об",K_MinUd_2g_ob))</f>
        <v>0</v>
      </c>
      <c r="AU25" t="b">
        <f>IF(Исходн.данные.!$P25="Ум",N_MinUd_1g_um,IF(Исходн.данные.!$P25="Об",N_MinUd_1g_ob))</f>
        <v>0</v>
      </c>
      <c r="AV25" t="b">
        <f>IF(Исходн.данные.!P25="Ум",P_MinUd_1g_um,IF(Исходн.данные.!P25="Об",P_MinUd_1g_ob))</f>
        <v>0</v>
      </c>
      <c r="AW25" t="b">
        <f>IF(Исходн.данные.!P25="Ум",K_MinUd_1g_um,IF(Исходн.данные.!P25="Об",K_MinUd_1g_ob))</f>
        <v>0</v>
      </c>
      <c r="AX25" s="148"/>
      <c r="AY25" t="e">
        <f>VLOOKUP(Исходн.данные.!T25,Справ!$A$3:$N$57,12)</f>
        <v>#N/A</v>
      </c>
      <c r="AZ25" t="e">
        <f>VLOOKUP(Исходн.данные.!T25,Справ!$A$3:$N$57,13)</f>
        <v>#N/A</v>
      </c>
      <c r="BA25" t="e">
        <f>VLOOKUP(Исходн.данные.!T25,Справ!$A$3:$N$57,14)</f>
        <v>#N/A</v>
      </c>
      <c r="BB25">
        <f>IF(Исходн.данные.!AH25=0,0,25)</f>
        <v>0</v>
      </c>
      <c r="BC25" s="141">
        <f>IF(Исходн.данные.!AH25=0,0,IF(Исходн.данные.!T25=0,25,BD25))</f>
        <v>0</v>
      </c>
      <c r="BD25" s="168" t="e">
        <f>AY25+AZ25*Исходн.данные.!U25-POWER(BA25,2)*Исходн.данные.!U25</f>
        <v>#N/A</v>
      </c>
      <c r="BE2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" s="25">
        <f>IF(Исходн.данные.!AH25=0,0,MIN(HN25:HP25))</f>
        <v>0</v>
      </c>
      <c r="BG25" s="9">
        <f>IF(Исходн.данные.!AH25=0,0,IF((HO25+10*0.25/HG25/HL25)&lt;17,17,HO25+10*0.25/HG25/HL25))</f>
        <v>0</v>
      </c>
      <c r="BH25" s="181">
        <f>IF(Исходн.данные.!AH25=0,0,HW25*HF25*HL25/AU25*AI25+Исходн.данные.!S25*10)</f>
        <v>0</v>
      </c>
      <c r="BI25" s="10"/>
      <c r="BJ25" s="182">
        <f>IF(Исходн.данные.!AH25=0,0,IF(HX25*HG25*HL25/AV25&lt;0,0,HX25*HG25*HL25/AV25*AJ25))</f>
        <v>0</v>
      </c>
      <c r="BK25" s="182">
        <f>IF(Исходн.данные.!AH25=0,0,HY25*HH25*HM25/AW25)</f>
        <v>0</v>
      </c>
      <c r="BL25" s="10">
        <f>IF(OR(Исходн.данные.!$AH25=$BP$1,Исходн.данные.!$AH25=$BP$2),0,IF(BH25&lt;0,0,IF(OR(Исходн.данные.!T25=Расчет!$BP$1,Исходн.данные.!T25=Расчет!$BP$2,Исходн.данные.!T25=Расчет!$BT$5,Исходн.данные.!T25=Расчет!$BT$6),BH25*0.5,IF(OR(Исходн.данные.!T25=Расчет!$BS$9,Исходн.данные.!T25=Расчет!$BS$10,Исходн.данные.!T25=Расчет!$BS$11,Исходн.данные.!T25=Расчет!$BS$12,Исходн.данные.!T25=Расчет!$BP$5),BH25*0.8,BH25))))</f>
        <v>0</v>
      </c>
      <c r="BM25" s="10">
        <f>IF(OR(Исходн.данные.!$AH25=$BP$1,Исходн.данные.!$AH25=$BP$2),0,IF(BJ25&lt;0,0,IF(Исходн.данные.!I25&lt;4.5,BJ25*1.2,IF(Исходн.данные.!I25&gt;5.1,BJ25,BJ25*((5.1-Исходн.данные.!I25)*0.333+1)))))</f>
        <v>0</v>
      </c>
      <c r="BN25" s="10">
        <f>IF(OR(Исходн.данные.!$AH25=$BP$1,Исходн.данные.!$AH25=$BP$2),60-Исходн.данные.!AF25,IF(BK25&lt;0,0,IF(Исходн.данные.!I25&lt;4.5,BK25*1.2,IF(Исходн.данные.!I25&gt;5.1,BK25,BK25*((5.1-Исходн.данные.!I25)*0.333+1)))))</f>
        <v>0</v>
      </c>
      <c r="BO25" s="9">
        <f>IF(BL25&lt;0,0,BL25*Исходн.данные.!$AJ25/1000)</f>
        <v>0</v>
      </c>
      <c r="BP25" s="9">
        <f>IF(BM25&lt;0,0,BM25*Исходн.данные.!$AJ25/1000)</f>
        <v>0</v>
      </c>
      <c r="BQ25" s="9">
        <f>IF(BN25&lt;0,0,BN25*Исходн.данные.!$AJ25/1000)</f>
        <v>0</v>
      </c>
      <c r="BR25" s="9">
        <f t="shared" si="27"/>
        <v>0</v>
      </c>
      <c r="BS25" s="10" t="str">
        <f t="shared" si="28"/>
        <v>Аммофос 12:52:00</v>
      </c>
      <c r="BT25" s="10" t="str">
        <f t="shared" si="29"/>
        <v>Аммофос 12:52:00</v>
      </c>
      <c r="BU25" s="10" t="str">
        <f t="shared" si="30"/>
        <v>Диаммофоска</v>
      </c>
      <c r="BV25" s="10">
        <f t="shared" si="31"/>
        <v>0</v>
      </c>
      <c r="BW25" s="10"/>
      <c r="BX25" s="10"/>
      <c r="BY25" s="9">
        <f>IF(BL25&lt;0,0,IF(OR(Исходн.данные.!AI25=Расчет!$BU$6,Исходн.данные.!AI25=Расчет!$BU$7),Расчет!BV25,IF(Исходн.данные.!$AG25=$BV$11,BL25,IF(OR(Исходн.данные.!$AH25=$BQ$7,Исходн.данные.!$AH25=$BQ$8),CB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0,IF(Исходн.данные.!$AI25=$BU$11,"Нет",IF(BL25&gt;30,30,BL25)))))))</f>
        <v>0</v>
      </c>
      <c r="BZ25" s="9">
        <f>IF(AND(Исходн.данные.!$AG25=$BV$11,BM25&lt;10),10,IF(Исходн.данные.!$AG25=$BV$11,BM25,IF(OR(Исходн.данные.!$AH25=$BQ$7,Исходн.данные.!$AH25=$BQ$8),CC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10,IF(Исходн.данные.!$AI25=$BU$11,"Нет",IF(BM25&gt;60,60,IF(BM25&lt;10,10,BM25)))))))</f>
        <v>10</v>
      </c>
      <c r="CA25" s="39">
        <f>IF(BN25&lt;0,0,IF(Исходн.данные.!$AG25=$BV$11,BN25,IF(OR(Исходн.данные.!$AH25=$BQ$7,Исходн.данные.!$AH25=$BQ$8),CD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0,IF(Исходн.данные.!$AI25=$BU$11,"Нет",IF(BN25&gt;30,30,BN25))))))</f>
        <v>0</v>
      </c>
      <c r="CB25" s="9">
        <f t="shared" si="32"/>
        <v>0</v>
      </c>
      <c r="CC25" s="9">
        <f t="shared" si="33"/>
        <v>0</v>
      </c>
      <c r="CD25" s="9">
        <f t="shared" si="34"/>
        <v>0</v>
      </c>
      <c r="CE25" s="12">
        <f t="shared" si="35"/>
        <v>10</v>
      </c>
      <c r="CF25" s="9">
        <f t="shared" si="36"/>
        <v>0</v>
      </c>
      <c r="CG25" s="9" t="s">
        <v>231</v>
      </c>
      <c r="CH25" s="132" t="str">
        <f>IF(Исходн.данные.!AP25=Расчет!$CI$16,"Нет",IF(Исходн.данные.!AL25&gt;0,Исходн.данные.!AL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BH$4,IF(OR(Исходн.данные.!AI25=Исходн.данные.!$AI$6,Исходн.данные.!AI25=Исходн.данные.!$AI$7),Расчет!BS25,IF(AND($CF25=0,$CE25&gt;0),EV25,ER25)))))</f>
        <v>Аммофос 12:52:00</v>
      </c>
      <c r="CI25" s="274">
        <f>IF(Расчет!$CH25="Нет","Нет",IF(Исходн.данные.!$AL25&gt;0,VLOOKUP(Расчет!$CH25,АшламаДВ_Irekle,2,FALSE),VLOOKUP(Расчет!$CH25,АшламаДВ_Gomumy,2,FALSE)))</f>
        <v>0.12</v>
      </c>
      <c r="CJ25" s="274">
        <f>IF(Расчет!$CH25="Нет","Нет",IF(Исходн.данные.!$AL25&gt;0,VLOOKUP(Расчет!$CH25,АшламаДВ_Irekle,3,FALSE),VLOOKUP(Расчет!$CH25,АшламаДВ_Gomumy,3,FALSE)))</f>
        <v>0.52</v>
      </c>
      <c r="CK25" s="274">
        <f>IF(Расчет!$CH25="Нет","Нет",IF(Исходн.данные.!$AL25&gt;0,VLOOKUP(Расчет!$CH25,АшламаДВ_Irekle,4,FALSE),VLOOKUP(Расчет!$CH25,АшламаДВ_Gomumy,4,FALSE)))</f>
        <v>0</v>
      </c>
      <c r="CL25" s="70"/>
      <c r="CM25" s="70"/>
      <c r="CN25" s="70"/>
      <c r="CO25" s="70"/>
      <c r="CP25" s="70"/>
      <c r="CQ25" s="70"/>
      <c r="CR25" s="10">
        <f t="shared" si="37"/>
        <v>0</v>
      </c>
      <c r="CS25" s="10">
        <f t="shared" si="38"/>
        <v>19.23076923076923</v>
      </c>
      <c r="CT25" s="10">
        <f t="shared" si="39"/>
        <v>0</v>
      </c>
      <c r="CU25" s="39">
        <f>IF($CH25="Нет",0,IF(CI25=0,30/MIN(CJ25:CK25),IF(Исходн.данные.!$AG25=$BV$11,CR25,IF(OR(Исходн.данные.!$AH25=$BQ$7,Исходн.данные.!$AH25=$BQ$8),90/CI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0,IF(Исходн.данные.!$AI25=$BU$11,"Нет",30/CI25))))))</f>
        <v>250</v>
      </c>
      <c r="CV25" s="39">
        <f>IF($CH25="Нет",0,IF(Исходн.данные.!AH25=0,0,IF(CJ25=0,60/MIN(CI25,CK25),IF(Исходн.данные.!$AG25=$BV$11,CS25,IF(OR(Исходн.данные.!$AH25=$BQ$7,Исходн.данные.!$AH25=$BQ$8),90/CJ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10/CJ25,IF(Исходн.данные.!$AI25=$BU$11,"Нет",60/CJ25)))))))</f>
        <v>0</v>
      </c>
      <c r="CW25" s="39">
        <f>IF($CH25="Нет",0,IF(Исходн.данные.!AH25=0,0,IF(CK25=0,30/MIN(CI25:CJ25),IF(Исходн.данные.!$AG25=$BV$11,CT25,IF(OR(Исходн.данные.!$AH25=$BQ$7,Исходн.данные.!$AH25=$BQ$8),90/CK25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0,IF(Исходн.данные.!$AI25=$BU$11,"Нет",30/CK25)))))))</f>
        <v>0</v>
      </c>
      <c r="CX25" s="133">
        <f>IF(Исходн.данные.!$AG25=$BV$11,MAX(CU25:CW25),IF(OR(Исходн.данные.!$AH25=$BS$8,Исходн.данные.!$AH25=$BQ$9,Исходн.данные.!$AH25=$BQ$10,Исходн.данные.!$AH25=$BQ$11,Исходн.данные.!$AH25=$BQ$12,Исходн.данные.!$AH25=$BP$3,Исходн.данные.!$AH25=$BT$8,$FM25="Да"),CV25,MIN(CU25:CW25)))</f>
        <v>0</v>
      </c>
      <c r="CY25" s="133">
        <f>IF(Исходн.данные.!AH25=0,0,IF(CR25&gt;$CX25,$CX25,CR25))</f>
        <v>0</v>
      </c>
      <c r="CZ25" s="133">
        <f>IF(Исходн.данные.!AH25=0,0,IF(CS25&gt;$CX25,$CX25,CS25))</f>
        <v>0</v>
      </c>
      <c r="DA25" s="133">
        <f>IF(Исходн.данные.!AH25=0,0,IF(CT25&gt;$CX25,$CX25,CT25))</f>
        <v>0</v>
      </c>
      <c r="DB25" s="10">
        <f t="shared" si="40"/>
        <v>0</v>
      </c>
      <c r="DC25" s="39">
        <f>DB25*Исходн.данные.!AJ25/1000</f>
        <v>0</v>
      </c>
      <c r="DD25" s="71">
        <f t="shared" si="41"/>
        <v>0</v>
      </c>
      <c r="DE25" s="9">
        <f t="shared" si="42"/>
        <v>0</v>
      </c>
      <c r="DF25" s="9">
        <f t="shared" si="43"/>
        <v>0</v>
      </c>
      <c r="DG25" s="39">
        <f>IF(BL25&lt;0,0,IF($CH25="Нет",BL25,IF(OR(Исходн.данные.!$AH25=$BP$1,Исходн.данные.!$AH25=$BP$2),0,IF(Исходн.данные.!AI25=$BU$11,BL25,IF(BL25-DD25&lt;0,0,BL25-DD25)))))</f>
        <v>0</v>
      </c>
      <c r="DH25" s="39">
        <f>IF(BM25&lt;0,0,IF($CH25="Нет",BM25,IF(OR(Исходн.данные.!$AH25=$BP$1,Исходн.данные.!$AH25=$BP$2),0,IF(Исходн.данные.!AJ25=$BU$11,BM25,IF(BM25-DE25&lt;0,0,BM25-DE25)))))</f>
        <v>0</v>
      </c>
      <c r="DI25" s="39">
        <f>IF(BN25&lt;0,0,IF($CH25="Нет",BN25,IF(OR(Исходн.данные.!$AH25=$BP$1,Исходн.данные.!$AH25=$BP$2),0,IF(Исходн.данные.!AK25=$BU$11,BN25,IF(BN25-DF25&lt;0,0,BN25-DF25)))))</f>
        <v>0</v>
      </c>
      <c r="DJ25" s="12">
        <f t="shared" si="44"/>
        <v>0</v>
      </c>
      <c r="DK25" s="9">
        <f t="shared" si="45"/>
        <v>0</v>
      </c>
      <c r="DL25" s="39">
        <f>IF(Исходн.данные.!AM25&gt;0,Исходн.данные.!AM25,IF(EG25&gt;0,$BH$10,0))</f>
        <v>0</v>
      </c>
      <c r="DM25" s="186">
        <f>IF($DL25=0,0,IF(Исходн.данные.!AM25&gt;0,VLOOKUP($DL25,АшламаДВ_Irekle,2,FALSE),VLOOKUP($DL25,АшламаДВ_Gomumy,2,FALSE)))</f>
        <v>0</v>
      </c>
      <c r="DN25" s="10">
        <f t="shared" si="46"/>
        <v>0</v>
      </c>
      <c r="DO25" s="9" t="str">
        <f>IF(Исходн.данные.!AN25&gt;0,Исходн.данные.!AN25,Удобрения!$B$37 )</f>
        <v>Хлор.калий</v>
      </c>
      <c r="DP25" s="9">
        <f>IF(Исходн.данные.!AN25&gt;0,VLOOKUP(DO25,АшламаДВ_Irekle,4,FALSE),VLOOKUP(DO25,АшламаДВ_Gomumy,4,FALSE))</f>
        <v>0.6</v>
      </c>
      <c r="DQ25" s="10">
        <f t="shared" si="47"/>
        <v>0</v>
      </c>
      <c r="DR25" s="132" t="str">
        <f>IF(Исходн.данные.!AO25&gt;0,Исходн.данные.!AO25,IF(DH25=0,BS$17,IF(AND($DK25=0,$DJ25&gt;0),EJ25,EN25)))</f>
        <v>Нет</v>
      </c>
      <c r="DS25" s="70" t="str">
        <f>IF($DR25="Нет","Нет",IF(Исходн.данные.!$AO25&gt;0,VLOOKUP($DR25,АшламаДВ_Irekle,2,FALSE),VLOOKUP($DR25,АшламаДВ_Gomumy,2,FALSE)))</f>
        <v>Нет</v>
      </c>
      <c r="DT25" s="70" t="str">
        <f>IF($DR25="Нет","Нет",IF(Исходн.данные.!$AO25&gt;0,VLOOKUP($DR25,АшламаДВ_Irekle,3,FALSE),VLOOKUP($DR25,АшламаДВ_Gomumy,3,FALSE)))</f>
        <v>Нет</v>
      </c>
      <c r="DU25" s="70" t="str">
        <f>IF($DR25="Нет","Нет",IF(Исходн.данные.!$AO25&gt;0,VLOOKUP($DR25,АшламаДВ_Irekle,4,FALSE),VLOOKUP($DR25,АшламаДВ_Gomumy,4,FALSE)))</f>
        <v>Нет</v>
      </c>
      <c r="DV25" s="70"/>
      <c r="DW25" s="70"/>
      <c r="DX25" s="70"/>
      <c r="DY25" s="10">
        <f t="shared" si="48"/>
        <v>0</v>
      </c>
      <c r="DZ25" s="10">
        <f t="shared" si="49"/>
        <v>0</v>
      </c>
      <c r="EA25" s="10">
        <f t="shared" si="50"/>
        <v>0</v>
      </c>
      <c r="EB25" s="10">
        <f t="shared" si="51"/>
        <v>0</v>
      </c>
      <c r="EC25" s="10">
        <f t="shared" si="52"/>
        <v>0</v>
      </c>
      <c r="ED25" s="10">
        <f t="shared" si="53"/>
        <v>0</v>
      </c>
      <c r="EE25" s="10">
        <f t="shared" si="54"/>
        <v>0</v>
      </c>
      <c r="EF25" s="39">
        <f>EB25*Исходн.данные.!AJ25/1000</f>
        <v>0</v>
      </c>
      <c r="EG25" s="9">
        <f t="shared" si="55"/>
        <v>0</v>
      </c>
      <c r="EH25" s="9">
        <f t="shared" si="56"/>
        <v>0</v>
      </c>
      <c r="EI25" s="39" t="e">
        <f t="shared" si="7"/>
        <v>#DIV/0!</v>
      </c>
      <c r="EJ25" s="9" t="str">
        <f t="shared" si="8"/>
        <v>Азопреципитат</v>
      </c>
      <c r="EK25" s="12">
        <f t="shared" si="9"/>
        <v>0.26</v>
      </c>
      <c r="EL25" s="12">
        <f t="shared" si="10"/>
        <v>0.13</v>
      </c>
      <c r="EM25" s="12">
        <f t="shared" si="11"/>
        <v>0</v>
      </c>
      <c r="EN25" s="12" t="str">
        <f t="shared" si="57"/>
        <v>Нет</v>
      </c>
      <c r="EO25" s="12">
        <f t="shared" si="12"/>
        <v>0</v>
      </c>
      <c r="EP25" s="12">
        <f t="shared" si="13"/>
        <v>0</v>
      </c>
      <c r="EQ25" s="12">
        <f t="shared" si="14"/>
        <v>0</v>
      </c>
      <c r="ER25" s="12" t="str">
        <f t="shared" si="58"/>
        <v>Диаммофоска</v>
      </c>
      <c r="ES25" s="12">
        <f t="shared" si="15"/>
        <v>0.1</v>
      </c>
      <c r="ET25" s="12">
        <f t="shared" si="16"/>
        <v>0.26</v>
      </c>
      <c r="EU25" s="12">
        <f t="shared" si="17"/>
        <v>0.26</v>
      </c>
      <c r="EV25" s="12" t="str">
        <f t="shared" si="59"/>
        <v>Аммофос 12:52:00</v>
      </c>
      <c r="EW25" s="12" t="str">
        <f t="shared" si="60"/>
        <v>Кемира Свекловичное-6</v>
      </c>
      <c r="EX25" s="12">
        <f t="shared" si="18"/>
        <v>0.16</v>
      </c>
      <c r="EY25" s="12">
        <f t="shared" si="19"/>
        <v>0.12</v>
      </c>
      <c r="EZ25" s="12">
        <f t="shared" si="20"/>
        <v>0.17</v>
      </c>
      <c r="FA25" s="38" t="e">
        <f>IF(AND(OR(FJ25=$FD$1,FM25=$FD$1,FO25=$FD$1,FQ25=$FD$1,FS25=$FD$1),FD25=$FD$1,Исходн.данные.!J25&lt;2,FU25=$FD$1),"Бор,Кобальт",IF(AND(FO25=$FD$1,FH25=$FD$1,Исходн.данные.!J25&lt;2,FU25=$FD$1),"Бор,Кобальт",IF(AND(OR(FJ25=$FD$1,FM25=$FD$1,FQ25=$FD$1),FE25=$FD$1,Исходн.данные.!J25&lt;2,FT25=$FD$1,FU25=$FD$1),"Бор,Медь,Цинк",IF(AND(OR(FJ25=$FD$1,FR25="Да"),FI25="Да",Исходн.данные.!J25&lt;2,FT25="Да",FU25="Да"),"Бор,Цинк,Медь",IF(AND(OR(FM25="Да",FQ25="Да"),FI25="Да",Исходн.данные.!J25&lt;2,FT25="Да",FU25="Да"),"Бор,Цинк",IF(AND(FN25="Да",OR(FD25="Да",FE25="Да")),"Бор",FB25))))))</f>
        <v>#N/A</v>
      </c>
      <c r="FB25" s="134" t="e">
        <f>IF(AND(OR(FD25="Да",FE25="Да",FF25="Да",FG25="Да",FH25="Да"),FO25="Да"),"Бор",IF(AND(FP25="Да",OR(FD25="Да",FE25="Да",FI25="Да")),"Бор",IF(AND(FS25="Да",FE25="Да"),"Бор,Медь",IF(AND(OR(FJ25="Да",FK25="Да",FL25="Да"),FE25="Да",Исходн.данные.!I25&lt;5,FT25="Да",FU25="Да"),"Молибден,Цинк",IF(AND(FM25="Да",OR(FE25="Да",FF25="Да",FG25="Да",FH25="Да",FI25="Да")),"Молибден,Цинк",IF(AND(OR(FJ25="Да",FK25="Да",FL25="Да",FM25="Да",FQ25="Да"),OR(FE25="Да",FF25="Да"),FT25="Да",FU25="Да",Исходн.данные.!I25&gt;5.5),"Медь,Цинк",FC25))))))</f>
        <v>#N/A</v>
      </c>
      <c r="FC25" s="23" t="e">
        <f t="shared" si="61"/>
        <v>#N/A</v>
      </c>
      <c r="FD25" s="38" t="str">
        <f>IF(OR(Исходн.данные.!F25=$CC$1,Исходн.данные.!F25=$CC$2,Исходн.данные.!F25=$CC$3,Исходн.данные.!F25=$CC$4),"Да","Нет")</f>
        <v>Нет</v>
      </c>
      <c r="FE25" s="38" t="str">
        <f>IF(Исходн.данные.!F25=$CC$5,"Да","Нет")</f>
        <v>Нет</v>
      </c>
      <c r="FF25" s="38" t="str">
        <f>IF(OR(Исходн.данные.!F25=$CC$6,Исходн.данные.!F25=$CC$7),"Да","Нет")</f>
        <v>Нет</v>
      </c>
      <c r="FG25" s="38" t="str">
        <f>IF(OR(Исходн.данные.!F25=$CC$8,Исходн.данные.!F25=$CC$9),"Да","Нет")</f>
        <v>Нет</v>
      </c>
      <c r="FH25" s="38" t="str">
        <f>IF(Исходн.данные.!F25=$CC$10,"Да","Нет")</f>
        <v>Нет</v>
      </c>
      <c r="FI25" s="38" t="str">
        <f>IF(OR(Исходн.данные.!F25=$CC$11,Исходн.данные.!F25=$CC$12),"Да","Нет")</f>
        <v>Нет</v>
      </c>
      <c r="FJ25" s="38" t="str">
        <f>IF(OR(Исходн.данные.!AH25=$BS$1,Исходн.данные.!AH25=$BQ$11,Исходн.данные.!AH25=$BQ$12),"Да","Нет")</f>
        <v>Нет</v>
      </c>
      <c r="FK25" s="38" t="str">
        <f>IF(OR(Исходн.данные.!AH25=$BS$2,Исходн.данные.!AH25=$BS$4),"Да","Нет")</f>
        <v>Нет</v>
      </c>
      <c r="FL25" s="38" t="str">
        <f>IF(OR(Исходн.данные.!AH25=$BS$3,Исходн.данные.!AH25=$BS$5),"Да","Нет")</f>
        <v>Нет</v>
      </c>
      <c r="FM25" s="38" t="str">
        <f>IF(OR(Исходн.данные.!AH25=$BS$9,Исходн.данные.!AH25=$BS$10,Исходн.данные.!AH25=$BS$11,Исходн.данные.!AH25=$BS$12),"Да","Нет")</f>
        <v>Нет</v>
      </c>
      <c r="FN25" s="38" t="str">
        <f>IF(OR(Исходн.данные.!AH25=$BS$6,Исходн.данные.!AH25=$BP$3),"Да","Нет")</f>
        <v>Нет</v>
      </c>
      <c r="FO25" s="38" t="str">
        <f>IF(Исходн.данные.!AH25=$BQ$9,"Да","Нет")</f>
        <v>Нет</v>
      </c>
      <c r="FP25" s="38" t="str">
        <f>IF(OR(Исходн.данные.!AH25=$BS$8,Исходн.данные.!AH25=$BT$8),"Да","Нет")</f>
        <v>Нет</v>
      </c>
      <c r="FQ25" s="38" t="str">
        <f>IF(OR(Исходн.данные.!AH25=$BQ$7,Исходн.данные.!AH25=$BQ$8),"Да","Нет")</f>
        <v>Нет</v>
      </c>
      <c r="FR25" s="38" t="str">
        <f>IF(Исходн.данные.!AI25=$BU$9,"Да","Нет")</f>
        <v>Нет</v>
      </c>
      <c r="FS25" s="38" t="str">
        <f>IF(OR(Исходн.данные.!AH25=$BP$1,Исходн.данные.!AH25=$BP$2),"Да","Нет")</f>
        <v>Нет</v>
      </c>
      <c r="FT25" s="38" t="e">
        <f>IF((Исходн.данные.!K25*GO25*GS25*GW25+BL25*0.6+Исходн.данные.!Q25*4.5*0.275)&gt;90,"Да","Нет")</f>
        <v>#N/A</v>
      </c>
      <c r="FU25" s="38" t="e">
        <f>IF((Исходн.данные.!M25*GS25*GZ25+BM25*0.225)&gt;35,"Да","Нет")</f>
        <v>#N/A</v>
      </c>
      <c r="FV25" s="38" t="str">
        <f>IF(Исходн.данные.!O25&gt;175,"Да","Нет")</f>
        <v>Нет</v>
      </c>
      <c r="FW25" s="39" t="str">
        <f>IF(Исходн.данные.!I25&gt;5.5,"Да","Нет")</f>
        <v>Нет</v>
      </c>
      <c r="FX25" s="39" t="str">
        <f>IF(Исходн.данные.!J25&lt;2,"Да","Нет")</f>
        <v>Да</v>
      </c>
      <c r="FY25" s="39" t="e">
        <f>IF(HF25=$FY$16,0,Исходн.данные.!K25*GO25*GS25*GW25/HF25)</f>
        <v>#N/A</v>
      </c>
      <c r="FZ25" s="39" t="e">
        <f>Исходн.данные.!M25*GS25*GZ25/HG25</f>
        <v>#N/A</v>
      </c>
      <c r="GA25" s="39" t="e">
        <f>IF(K_Wyn=$FY$16,0,IF(Исходн.данные.!N25=Исходн.данные.!$L$10,Исходн.данные.!O25/1.1*GS25*HC25/HH25,IF(Исходн.данные.!N25=Исходн.данные.!$L$12,Исходн.данные.!O25/1.5*GS25*HC25/HH25,Исходн.данные.!O25*GS25*HC25/HH25)))</f>
        <v>#N/A</v>
      </c>
      <c r="GB25" s="39" t="e">
        <f>IF(HF25=$FY$16,0,((Исходн.данные.!Q25*N_Org+Исходн.данные.!R25*N_Sider+Исходн.данные.!S25*N_Soloma)*AO25+Расчет!BC25*VLOOKUP(Исходн.данные.!T25,Справ!$A$3:$O$57,15)*AO25+BB25*VLOOKUP(Исходн.данные.!T25,Справ!$A$3:$O$57,15)*AL25+(Исходн.данные.!V25*N_Rizotorf+Исходн.данные.!W25*N_Rizoagr))/HF25)</f>
        <v>#N/A</v>
      </c>
      <c r="GC25" s="39" t="e">
        <f>IF(HG25=$FY$16,0,((Исходн.данные.!Q25*Р_Org+Исходн.данные.!R25*P_Sider+Исходн.данные.!S25*P_Soloma)*AP25+Расчет!BC25*VLOOKUP(Исходн.данные.!T25,Справ!$A$3:$P$57,16)*AP25+BB25*VLOOKUP(Исходн.данные.!T25,Справ!$A$3:$P$57,16)*AM25)/HG25)</f>
        <v>#N/A</v>
      </c>
      <c r="GD25" s="39" t="e">
        <f>IF(HH25=$FY$16,0,((Исходн.данные.!Q25*К_Org+Исходн.данные.!R25*K_Sider+Исходн.данные.!S25*K_Soloma)*AQ25+Расчет!BC25*VLOOKUP(Исходн.данные.!T25,Справ!$A$3:$Q$57,17)*AQ25+BB25*VLOOKUP(Исходн.данные.!T25,Справ!$A$3:$Q$57,17)*AN25)/HH25)</f>
        <v>#N/A</v>
      </c>
      <c r="GE25" s="39" t="e">
        <f>IF(HF25=$FY$16,0,(Исходн.данные.!X25*AR25+Исходн.данные.!AA25*N_Org*AL25+Исходн.данные.!AB25*N_Sider*AL25+Исходн.данные.!AC25*N_Soloma*AL25)/HF25)</f>
        <v>#N/A</v>
      </c>
      <c r="GF25" s="39" t="e">
        <f>IF(HG25=$FY$16,0,(Исходн.данные.!Y25*AS25+Исходн.данные.!AA25*Р_Org*AM25+Исходн.данные.!AB25*P_Sider*AM25+Исходн.данные.!AC25*P_Soloma*AM25)/HG25)</f>
        <v>#N/A</v>
      </c>
      <c r="GG25" s="39" t="e">
        <f>IF(HH25=$FY$16,0,(Исходн.данные.!Z25*AT25+Исходн.данные.!AA25*К_Org*AN25+Исходн.данные.!AB25*K_Sider*AN25+Исходн.данные.!AC25*K_Soloma*AN25)/HH25)</f>
        <v>#N/A</v>
      </c>
      <c r="GH25" s="39" t="e">
        <f>Исходн.данные.!AD25*AU25/HF25</f>
        <v>#N/A</v>
      </c>
      <c r="GI25" s="39" t="e">
        <f>Исходн.данные.!AE25*AV25/HG25</f>
        <v>#N/A</v>
      </c>
      <c r="GJ25" s="39" t="e">
        <f>Исходн.данные.!AF25*AW25/HH25</f>
        <v>#N/A</v>
      </c>
      <c r="GK25" s="55">
        <f>Исходн.данные.!AK25</f>
        <v>0</v>
      </c>
      <c r="GL25" s="11" t="e">
        <f t="shared" si="62"/>
        <v>#N/A</v>
      </c>
      <c r="GM25" s="11" t="e">
        <f t="shared" si="63"/>
        <v>#N/A</v>
      </c>
      <c r="GN25" s="11" t="e">
        <f t="shared" si="64"/>
        <v>#N/A</v>
      </c>
      <c r="GO25" s="57">
        <f t="shared" si="65"/>
        <v>19</v>
      </c>
      <c r="GP25" s="55">
        <f>IF(OR(Исходн.данные.!F25=$CE$1,Исходн.данные.!F25=$CE$2,Исходн.данные.!F25=$CE$3,Исходн.данные.!F25=$CE$4,Исходн.данные.!F25=$CE$5),GQ25,GR25)</f>
        <v>19</v>
      </c>
      <c r="GQ25" s="55">
        <f>IF(Исходн.данные.!F25=$CE$1,28,IF(Исходн.данные.!F25=$CE$2,26,IF(Исходн.данные.!F25=$CE$3,24,IF(Исходн.данные.!F25=$CE$4,22,IF(Исходн.данные.!F25=$CE$5,20,GR25)))))</f>
        <v>19</v>
      </c>
      <c r="GR25" s="55">
        <f>IF(Исходн.данные.!F25=$CE$6,18,IF(Исходн.данные.!F25=$CE$7,16,IF(Исходн.данные.!F25=$CE$8,14,IF(Исходн.данные.!F25=$CE$9,13,IF(Исходн.данные.!F25=$CE$10,12,19)))))</f>
        <v>19</v>
      </c>
      <c r="GS25" s="55">
        <f>IF(Исходн.данные.!G25="Пес",0.035*(40+2*Исходн.данные.!H25),IF(Исходн.данные.!G25="Суп",0.0325*(40+2*Исходн.данные.!H25),0.03*(40+2*Исходн.данные.!H25)))</f>
        <v>1.2</v>
      </c>
      <c r="GT25" s="55">
        <f>IF(Исходн.данные.!H25&lt;23,2.6,IF(AND(Исходн.данные.!H25&gt;22,Исходн.данные.!H25&lt;26),3,IF(AND(Исходн.данные.!H25&gt;25,Исходн.данные.!H25&lt;29),3.4,3.6)))</f>
        <v>2.6</v>
      </c>
      <c r="GU25" s="55">
        <f>IF(Исходн.данные.!H25&lt;23,2.8,IF(AND(Исходн.данные.!H25&gt;22,Исходн.данные.!H25&lt;26),3.2,IF(AND(Исходн.данные.!H25&gt;25,Исходн.данные.!H25&lt;29),3.6,3.9)))</f>
        <v>2.8</v>
      </c>
      <c r="GV25" s="55">
        <f>IF(Исходн.данные.!H25&lt;23,3,IF(AND(Исходн.данные.!H25&gt;22,Исходн.данные.!H25&lt;26),3.5,IF(AND(Исходн.данные.!H25&gt;25,Исходн.данные.!H25&lt;29),3.9,4.2)))</f>
        <v>3</v>
      </c>
      <c r="GW25" s="55" t="e">
        <f>IF(Исходн.данные.!P25="Ум",GX25,GY25)</f>
        <v>#N/A</v>
      </c>
      <c r="GX25" s="55" t="e">
        <f>VLOOKUP(Исходн.данные.!AI25,Коэффициенты!$J$7:$L$13,2,FALSE)</f>
        <v>#N/A</v>
      </c>
      <c r="GY25" s="55" t="e">
        <f>VLOOKUP(Исходн.данные.!AI25,Коэффициенты!$J$7:$L$13,3,FALSE)</f>
        <v>#N/A</v>
      </c>
      <c r="GZ25" s="55" t="e">
        <f>(IF(Исходн.данные.!M25&lt;50,0.11*VLOOKUP(Исходн.данные.!AH25,Культуры.Информация,7,FALSE),IF(Исходн.данные.!M25&gt;250,0.05*VLOOKUP(Исходн.данные.!AH25,Культуры.Информация,7,FALSE),VLOOKUP(Исходн.данные.!AH25,Культуры.Информация,5,FALSE)/100*($GX$6+$GY$6*Исходн.данные.!M25))))*Расчет2!AI25</f>
        <v>#N/A</v>
      </c>
      <c r="HA25" s="211"/>
      <c r="HB25" s="211"/>
      <c r="HC25" s="55" t="e">
        <f>(IF(Исходн.данные.!O25&lt;80,0.2*VLOOKUP(Исходн.данные.!AH25,Культуры.Информация,8,FALSE),IF(Исходн.данные.!O25&gt;240,0.09*VLOOKUP(Исходн.данные.!AH25,Культуры.Информация,8,FALSE),VLOOKUP(Исходн.данные.!AH25,Культуры.Информация,6,FALSE)/100*($HB$6+$HC$6*Исходн.данные.!O25))))*Расчет2!AJ25</f>
        <v>#N/A</v>
      </c>
      <c r="HD25" s="55">
        <f>IF(Исходн.данные.!O25&gt;240,0.09,IF(Исходн.данные.!O25&lt;30,0.3,$HE$10+$HD$10*Исходн.данные.!O25))</f>
        <v>0.3</v>
      </c>
      <c r="HE25" s="55">
        <f>IF(Исходн.данные.!O25&gt;240,0.17,IF(Исходн.данные.!O25&lt;30,0.5,$HF$12+$HE$12*Исходн.данные.!O25))</f>
        <v>0.5</v>
      </c>
      <c r="HF25" s="55" t="e">
        <f>VLOOKUP(Исходн.данные.!AH25,Справ!$A$3:$D$58,2,FALSE)</f>
        <v>#N/A</v>
      </c>
      <c r="HG25" s="55" t="e">
        <f>VLOOKUP(Исходн.данные.!AH25,Справ!$A$3:$D$58,3,FALSE)</f>
        <v>#N/A</v>
      </c>
      <c r="HH25" s="55" t="e">
        <f>VLOOKUP(Исходн.данные.!AH25,Справ!$A$3:$D$58,4,FALSE)</f>
        <v>#N/A</v>
      </c>
      <c r="HI25" s="11" t="e">
        <f t="shared" si="66"/>
        <v>#N/A</v>
      </c>
      <c r="HJ25" s="11" t="e">
        <f t="shared" si="67"/>
        <v>#N/A</v>
      </c>
      <c r="HK25" s="11" t="e">
        <f t="shared" si="68"/>
        <v>#N/A</v>
      </c>
      <c r="HL25" s="55">
        <f>IF(OR(Исходн.данные.!G25="Глин",Исходн.данные.!G25="Т_суг"),1.1,IF(Исходн.данные.!G25="Ср_суг",1,1))</f>
        <v>1</v>
      </c>
      <c r="HM25" s="55">
        <f>IF(OR(Исходн.данные.!G25="Глин",Исходн.данные.!G25="Т_суг"),0.9,IF(Исходн.данные.!G25="Ср_суг",1,1.2))</f>
        <v>1.2</v>
      </c>
      <c r="HN25" s="11" t="e">
        <f t="shared" si="69"/>
        <v>#N/A</v>
      </c>
      <c r="HO25" s="11" t="e">
        <f t="shared" si="70"/>
        <v>#N/A</v>
      </c>
      <c r="HP25" s="11" t="e">
        <f t="shared" si="71"/>
        <v>#N/A</v>
      </c>
      <c r="HQ25" t="e">
        <f t="shared" si="72"/>
        <v>#N/A</v>
      </c>
      <c r="HR25" t="e">
        <f t="shared" si="73"/>
        <v>#N/A</v>
      </c>
      <c r="HS25" t="e">
        <f t="shared" si="74"/>
        <v>#N/A</v>
      </c>
      <c r="HT25" s="180" t="e">
        <f t="shared" si="21"/>
        <v>#N/A</v>
      </c>
      <c r="HU25" t="e">
        <f t="shared" si="22"/>
        <v>#N/A</v>
      </c>
      <c r="HV25" t="e">
        <f t="shared" si="23"/>
        <v>#N/A</v>
      </c>
      <c r="HW25" t="e">
        <f t="shared" si="24"/>
        <v>#N/A</v>
      </c>
      <c r="HX25" t="e">
        <f t="shared" si="25"/>
        <v>#N/A</v>
      </c>
      <c r="HY25" t="e">
        <f t="shared" si="26"/>
        <v>#N/A</v>
      </c>
      <c r="HZ25" s="55">
        <f>IF(OR(Исходн.данные.!AI25="Оз_Ч_П",Исходн.данные.!AI25="Оз_З_П",Исходн.данные.!AI25="Яр_зер"),12,30)</f>
        <v>30</v>
      </c>
      <c r="IA25" t="e">
        <f t="shared" si="75"/>
        <v>#N/A</v>
      </c>
      <c r="IB25" t="e">
        <f t="shared" si="76"/>
        <v>#N/A</v>
      </c>
      <c r="IC25" t="e">
        <f t="shared" si="77"/>
        <v>#N/A</v>
      </c>
      <c r="ID25" s="11" t="e">
        <f t="shared" si="78"/>
        <v>#N/A</v>
      </c>
      <c r="IE25" s="11" t="e">
        <f t="shared" si="79"/>
        <v>#N/A</v>
      </c>
      <c r="IF25" s="11" t="e">
        <f t="shared" si="80"/>
        <v>#N/A</v>
      </c>
    </row>
    <row r="26" spans="35:240" x14ac:dyDescent="0.2">
      <c r="AI26">
        <f>IF(Исходн.данные.!I26&gt;6,1,1.85-(0.148*Исходн.данные.!I26))</f>
        <v>1.85</v>
      </c>
      <c r="AJ26">
        <f>IF(Исходн.данные.!I26&gt;6,1,2.434-(0.246*Исходн.данные.!I26))</f>
        <v>2.4340000000000002</v>
      </c>
      <c r="AL26" s="148" t="b">
        <f>IF(Исходн.данные.!$P26="Ум",N_OrgUd_2g_um,IF(Исходн.данные.!$P26="Об",N_OrgUd_2g_ob))</f>
        <v>0</v>
      </c>
      <c r="AM26" s="148" t="b">
        <f>IF(Исходн.данные.!$P26="Ум",P_OrgUd_2g_um,IF(Исходн.данные.!$P26="Об",P_OrgUd_2g_ob))</f>
        <v>0</v>
      </c>
      <c r="AN26" s="148" t="b">
        <f>IF(Исходн.данные.!$P26="Ум",K_OrgUd_2g_um,IF(Исходн.данные.!$P26="Об",K_OrgUd_2g_ob))</f>
        <v>0</v>
      </c>
      <c r="AO26" s="148" t="b">
        <f>IF(Исходн.данные.!$P26="Ум",N_OrgUd_1g_um,IF(Исходн.данные.!$P26="Об",N_OrgUd_1g_ob))</f>
        <v>0</v>
      </c>
      <c r="AP26" s="148" t="b">
        <f>IF(Исходн.данные.!$P26="Ум",P_OrgUd_1g_um,IF(Исходн.данные.!$P26="Об",P_OrgUd_1g_ob))</f>
        <v>0</v>
      </c>
      <c r="AQ26" s="148" t="b">
        <f>IF(Исходн.данные.!$P26="Ум",K_OrgUd_1g_um,IF(Исходн.данные.!$P26="Об",K_OrgUd_1g_ob))</f>
        <v>0</v>
      </c>
      <c r="AR26" t="b">
        <f>IF(Исходн.данные.!$P26="Ум",N_MinUd_2g_um,IF(Исходн.данные.!$P26="Об",N_MinUd_2g_ob))</f>
        <v>0</v>
      </c>
      <c r="AS26" t="b">
        <f>IF(Исходн.данные.!$P26="Ум",P_MinUd_2g_um,IF(Исходн.данные.!$P26="Об",P_MinUd_2g_ob))</f>
        <v>0</v>
      </c>
      <c r="AT26" t="b">
        <f>IF(Исходн.данные.!$P26="Ум",K_MinUd_2g_um,IF(Исходн.данные.!$P26="Об",K_MinUd_2g_ob))</f>
        <v>0</v>
      </c>
      <c r="AU26" t="b">
        <f>IF(Исходн.данные.!$P26="Ум",N_MinUd_1g_um,IF(Исходн.данные.!$P26="Об",N_MinUd_1g_ob))</f>
        <v>0</v>
      </c>
      <c r="AV26" t="b">
        <f>IF(Исходн.данные.!P26="Ум",P_MinUd_1g_um,IF(Исходн.данные.!P26="Об",P_MinUd_1g_ob))</f>
        <v>0</v>
      </c>
      <c r="AW26" t="b">
        <f>IF(Исходн.данные.!P26="Ум",K_MinUd_1g_um,IF(Исходн.данные.!P26="Об",K_MinUd_1g_ob))</f>
        <v>0</v>
      </c>
      <c r="AX26" s="148"/>
      <c r="AY26" t="e">
        <f>VLOOKUP(Исходн.данные.!T26,Справ!$A$3:$N$57,12)</f>
        <v>#N/A</v>
      </c>
      <c r="AZ26" t="e">
        <f>VLOOKUP(Исходн.данные.!T26,Справ!$A$3:$N$57,13)</f>
        <v>#N/A</v>
      </c>
      <c r="BA26" t="e">
        <f>VLOOKUP(Исходн.данные.!T26,Справ!$A$3:$N$57,14)</f>
        <v>#N/A</v>
      </c>
      <c r="BB26">
        <f>IF(Исходн.данные.!AH26=0,0,25)</f>
        <v>0</v>
      </c>
      <c r="BC26" s="141">
        <f>IF(Исходн.данные.!AH26=0,0,IF(Исходн.данные.!T26=0,25,BD26))</f>
        <v>0</v>
      </c>
      <c r="BD26" s="168" t="e">
        <f>AY26+AZ26*Исходн.данные.!U26-POWER(BA26,2)*Исходн.данные.!U26</f>
        <v>#N/A</v>
      </c>
      <c r="BE2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" s="25">
        <f>IF(Исходн.данные.!AH26=0,0,MIN(HN26:HP26))</f>
        <v>0</v>
      </c>
      <c r="BG26" s="9">
        <f>IF(Исходн.данные.!AH26=0,0,IF((HO26+10*0.25/HG26/HL26)&lt;17,17,HO26+10*0.25/HG26/HL26))</f>
        <v>0</v>
      </c>
      <c r="BH26" s="181">
        <f>IF(Исходн.данные.!AH26=0,0,HW26*HF26*HL26/AU26*AI26+Исходн.данные.!S26*10)</f>
        <v>0</v>
      </c>
      <c r="BI26" s="10"/>
      <c r="BJ26" s="182">
        <f>IF(Исходн.данные.!AH26=0,0,IF(HX26*HG26*HL26/AV26&lt;0,0,HX26*HG26*HL26/AV26*AJ26))</f>
        <v>0</v>
      </c>
      <c r="BK26" s="182">
        <f>IF(Исходн.данные.!AH26=0,0,HY26*HH26*HM26/AW26)</f>
        <v>0</v>
      </c>
      <c r="BL26" s="10">
        <f>IF(OR(Исходн.данные.!$AH26=$BP$1,Исходн.данные.!$AH26=$BP$2),0,IF(BH26&lt;0,0,IF(OR(Исходн.данные.!T26=Расчет!$BP$1,Исходн.данные.!T26=Расчет!$BP$2,Исходн.данные.!T26=Расчет!$BT$5,Исходн.данные.!T26=Расчет!$BT$6),BH26*0.5,IF(OR(Исходн.данные.!T26=Расчет!$BS$9,Исходн.данные.!T26=Расчет!$BS$10,Исходн.данные.!T26=Расчет!$BS$11,Исходн.данные.!T26=Расчет!$BS$12,Исходн.данные.!T26=Расчет!$BP$5),BH26*0.8,BH26))))</f>
        <v>0</v>
      </c>
      <c r="BM26" s="10">
        <f>IF(OR(Исходн.данные.!$AH26=$BP$1,Исходн.данные.!$AH26=$BP$2),0,IF(BJ26&lt;0,0,IF(Исходн.данные.!I26&lt;4.5,BJ26*1.2,IF(Исходн.данные.!I26&gt;5.1,BJ26,BJ26*((5.1-Исходн.данные.!I26)*0.333+1)))))</f>
        <v>0</v>
      </c>
      <c r="BN26" s="10">
        <f>IF(OR(Исходн.данные.!$AH26=$BP$1,Исходн.данные.!$AH26=$BP$2),60-Исходн.данные.!AF26,IF(BK26&lt;0,0,IF(Исходн.данные.!I26&lt;4.5,BK26*1.2,IF(Исходн.данные.!I26&gt;5.1,BK26,BK26*((5.1-Исходн.данные.!I26)*0.333+1)))))</f>
        <v>0</v>
      </c>
      <c r="BO26" s="9">
        <f>IF(BL26&lt;0,0,BL26*Исходн.данные.!$AJ26/1000)</f>
        <v>0</v>
      </c>
      <c r="BP26" s="9">
        <f>IF(BM26&lt;0,0,BM26*Исходн.данные.!$AJ26/1000)</f>
        <v>0</v>
      </c>
      <c r="BQ26" s="9">
        <f>IF(BN26&lt;0,0,BN26*Исходн.данные.!$AJ26/1000)</f>
        <v>0</v>
      </c>
      <c r="BR26" s="9">
        <f t="shared" si="27"/>
        <v>0</v>
      </c>
      <c r="BS26" s="10" t="str">
        <f t="shared" si="28"/>
        <v>Аммофос 12:52:00</v>
      </c>
      <c r="BT26" s="10" t="str">
        <f t="shared" si="29"/>
        <v>Аммофос 12:52:00</v>
      </c>
      <c r="BU26" s="10" t="str">
        <f t="shared" si="30"/>
        <v>Диаммофоска</v>
      </c>
      <c r="BV26" s="10">
        <f t="shared" si="31"/>
        <v>0</v>
      </c>
      <c r="BW26" s="10"/>
      <c r="BX26" s="10"/>
      <c r="BY26" s="9">
        <f>IF(BL26&lt;0,0,IF(OR(Исходн.данные.!AI26=Расчет!$BU$6,Исходн.данные.!AI26=Расчет!$BU$7),Расчет!BV26,IF(Исходн.данные.!$AG26=$BV$11,BL26,IF(OR(Исходн.данные.!$AH26=$BQ$7,Исходн.данные.!$AH26=$BQ$8),CB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0,IF(Исходн.данные.!$AI26=$BU$11,"Нет",IF(BL26&gt;30,30,BL26)))))))</f>
        <v>0</v>
      </c>
      <c r="BZ26" s="9">
        <f>IF(AND(Исходн.данные.!$AG26=$BV$11,BM26&lt;10),10,IF(Исходн.данные.!$AG26=$BV$11,BM26,IF(OR(Исходн.данные.!$AH26=$BQ$7,Исходн.данные.!$AH26=$BQ$8),CC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10,IF(Исходн.данные.!$AI26=$BU$11,"Нет",IF(BM26&gt;60,60,IF(BM26&lt;10,10,BM26)))))))</f>
        <v>10</v>
      </c>
      <c r="CA26" s="39">
        <f>IF(BN26&lt;0,0,IF(Исходн.данные.!$AG26=$BV$11,BN26,IF(OR(Исходн.данные.!$AH26=$BQ$7,Исходн.данные.!$AH26=$BQ$8),CD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0,IF(Исходн.данные.!$AI26=$BU$11,"Нет",IF(BN26&gt;30,30,BN26))))))</f>
        <v>0</v>
      </c>
      <c r="CB26" s="9">
        <f t="shared" si="32"/>
        <v>0</v>
      </c>
      <c r="CC26" s="9">
        <f t="shared" si="33"/>
        <v>0</v>
      </c>
      <c r="CD26" s="9">
        <f t="shared" si="34"/>
        <v>0</v>
      </c>
      <c r="CE26" s="12">
        <f t="shared" si="35"/>
        <v>10</v>
      </c>
      <c r="CF26" s="9">
        <f t="shared" si="36"/>
        <v>0</v>
      </c>
      <c r="CG26" s="9" t="s">
        <v>231</v>
      </c>
      <c r="CH26" s="132" t="str">
        <f>IF(Исходн.данные.!AP26=Расчет!$CI$16,"Нет",IF(Исходн.данные.!AL26&gt;0,Исходн.данные.!AL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BH$4,IF(OR(Исходн.данные.!AI26=Исходн.данные.!$AI$6,Исходн.данные.!AI26=Исходн.данные.!$AI$7),Расчет!BS26,IF(AND($CF26=0,$CE26&gt;0),EV26,ER26)))))</f>
        <v>Аммофос 12:52:00</v>
      </c>
      <c r="CI26" s="274">
        <f>IF(Расчет!$CH26="Нет","Нет",IF(Исходн.данные.!$AL26&gt;0,VLOOKUP(Расчет!$CH26,АшламаДВ_Irekle,2,FALSE),VLOOKUP(Расчет!$CH26,АшламаДВ_Gomumy,2,FALSE)))</f>
        <v>0.12</v>
      </c>
      <c r="CJ26" s="274">
        <f>IF(Расчет!$CH26="Нет","Нет",IF(Исходн.данные.!$AL26&gt;0,VLOOKUP(Расчет!$CH26,АшламаДВ_Irekle,3,FALSE),VLOOKUP(Расчет!$CH26,АшламаДВ_Gomumy,3,FALSE)))</f>
        <v>0.52</v>
      </c>
      <c r="CK26" s="274">
        <f>IF(Расчет!$CH26="Нет","Нет",IF(Исходн.данные.!$AL26&gt;0,VLOOKUP(Расчет!$CH26,АшламаДВ_Irekle,4,FALSE),VLOOKUP(Расчет!$CH26,АшламаДВ_Gomumy,4,FALSE)))</f>
        <v>0</v>
      </c>
      <c r="CL26" s="70"/>
      <c r="CM26" s="70"/>
      <c r="CN26" s="70"/>
      <c r="CO26" s="70"/>
      <c r="CP26" s="70"/>
      <c r="CQ26" s="70"/>
      <c r="CR26" s="10">
        <f t="shared" si="37"/>
        <v>0</v>
      </c>
      <c r="CS26" s="10">
        <f t="shared" si="38"/>
        <v>19.23076923076923</v>
      </c>
      <c r="CT26" s="10">
        <f t="shared" si="39"/>
        <v>0</v>
      </c>
      <c r="CU26" s="39">
        <f>IF($CH26="Нет",0,IF(CI26=0,30/MIN(CJ26:CK26),IF(Исходн.данные.!$AG26=$BV$11,CR26,IF(OR(Исходн.данные.!$AH26=$BQ$7,Исходн.данные.!$AH26=$BQ$8),90/CI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0,IF(Исходн.данные.!$AI26=$BU$11,"Нет",30/CI26))))))</f>
        <v>250</v>
      </c>
      <c r="CV26" s="39">
        <f>IF($CH26="Нет",0,IF(Исходн.данные.!AH26=0,0,IF(CJ26=0,60/MIN(CI26,CK26),IF(Исходн.данные.!$AG26=$BV$11,CS26,IF(OR(Исходн.данные.!$AH26=$BQ$7,Исходн.данные.!$AH26=$BQ$8),90/CJ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10/CJ26,IF(Исходн.данные.!$AI26=$BU$11,"Нет",60/CJ26)))))))</f>
        <v>0</v>
      </c>
      <c r="CW26" s="39">
        <f>IF($CH26="Нет",0,IF(Исходн.данные.!AH26=0,0,IF(CK26=0,30/MIN(CI26:CJ26),IF(Исходн.данные.!$AG26=$BV$11,CT26,IF(OR(Исходн.данные.!$AH26=$BQ$7,Исходн.данные.!$AH26=$BQ$8),90/CK26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0,IF(Исходн.данные.!$AI26=$BU$11,"Нет",30/CK26)))))))</f>
        <v>0</v>
      </c>
      <c r="CX26" s="133">
        <f>IF(Исходн.данные.!$AG26=$BV$11,MAX(CU26:CW26),IF(OR(Исходн.данные.!$AH26=$BS$8,Исходн.данные.!$AH26=$BQ$9,Исходн.данные.!$AH26=$BQ$10,Исходн.данные.!$AH26=$BQ$11,Исходн.данные.!$AH26=$BQ$12,Исходн.данные.!$AH26=$BP$3,Исходн.данные.!$AH26=$BT$8,$FM26="Да"),CV26,MIN(CU26:CW26)))</f>
        <v>0</v>
      </c>
      <c r="CY26" s="133">
        <f>IF(Исходн.данные.!AH26=0,0,IF(CR26&gt;$CX26,$CX26,CR26))</f>
        <v>0</v>
      </c>
      <c r="CZ26" s="133">
        <f>IF(Исходн.данные.!AH26=0,0,IF(CS26&gt;$CX26,$CX26,CS26))</f>
        <v>0</v>
      </c>
      <c r="DA26" s="133">
        <f>IF(Исходн.данные.!AH26=0,0,IF(CT26&gt;$CX26,$CX26,CT26))</f>
        <v>0</v>
      </c>
      <c r="DB26" s="10">
        <f t="shared" si="40"/>
        <v>0</v>
      </c>
      <c r="DC26" s="39">
        <f>DB26*Исходн.данные.!AJ26/1000</f>
        <v>0</v>
      </c>
      <c r="DD26" s="71">
        <f t="shared" si="41"/>
        <v>0</v>
      </c>
      <c r="DE26" s="9">
        <f t="shared" si="42"/>
        <v>0</v>
      </c>
      <c r="DF26" s="9">
        <f t="shared" si="43"/>
        <v>0</v>
      </c>
      <c r="DG26" s="39">
        <f>IF(BL26&lt;0,0,IF($CH26="Нет",BL26,IF(OR(Исходн.данные.!$AH26=$BP$1,Исходн.данные.!$AH26=$BP$2),0,IF(Исходн.данные.!AI26=$BU$11,BL26,IF(BL26-DD26&lt;0,0,BL26-DD26)))))</f>
        <v>0</v>
      </c>
      <c r="DH26" s="39">
        <f>IF(BM26&lt;0,0,IF($CH26="Нет",BM26,IF(OR(Исходн.данные.!$AH26=$BP$1,Исходн.данные.!$AH26=$BP$2),0,IF(Исходн.данные.!AJ26=$BU$11,BM26,IF(BM26-DE26&lt;0,0,BM26-DE26)))))</f>
        <v>0</v>
      </c>
      <c r="DI26" s="39">
        <f>IF(BN26&lt;0,0,IF($CH26="Нет",BN26,IF(OR(Исходн.данные.!$AH26=$BP$1,Исходн.данные.!$AH26=$BP$2),0,IF(Исходн.данные.!AK26=$BU$11,BN26,IF(BN26-DF26&lt;0,0,BN26-DF26)))))</f>
        <v>0</v>
      </c>
      <c r="DJ26" s="12">
        <f t="shared" si="44"/>
        <v>0</v>
      </c>
      <c r="DK26" s="9">
        <f t="shared" si="45"/>
        <v>0</v>
      </c>
      <c r="DL26" s="39">
        <f>IF(Исходн.данные.!AM26&gt;0,Исходн.данные.!AM26,IF(EG26&gt;0,$BH$10,0))</f>
        <v>0</v>
      </c>
      <c r="DM26" s="186">
        <f>IF($DL26=0,0,IF(Исходн.данные.!AM26&gt;0,VLOOKUP($DL26,АшламаДВ_Irekle,2,FALSE),VLOOKUP($DL26,АшламаДВ_Gomumy,2,FALSE)))</f>
        <v>0</v>
      </c>
      <c r="DN26" s="10">
        <f t="shared" si="46"/>
        <v>0</v>
      </c>
      <c r="DO26" s="9" t="str">
        <f>IF(Исходн.данные.!AN26&gt;0,Исходн.данные.!AN26,Удобрения!$B$37 )</f>
        <v>Хлор.калий</v>
      </c>
      <c r="DP26" s="9">
        <f>IF(Исходн.данные.!AN26&gt;0,VLOOKUP(DO26,АшламаДВ_Irekle,4,FALSE),VLOOKUP(DO26,АшламаДВ_Gomumy,4,FALSE))</f>
        <v>0.6</v>
      </c>
      <c r="DQ26" s="10">
        <f t="shared" si="47"/>
        <v>0</v>
      </c>
      <c r="DR26" s="132" t="str">
        <f>IF(Исходн.данные.!AO26&gt;0,Исходн.данные.!AO26,IF(DH26=0,BS$17,IF(AND($DK26=0,$DJ26&gt;0),EJ26,EN26)))</f>
        <v>Нет</v>
      </c>
      <c r="DS26" s="70" t="str">
        <f>IF($DR26="Нет","Нет",IF(Исходн.данные.!$AO26&gt;0,VLOOKUP($DR26,АшламаДВ_Irekle,2,FALSE),VLOOKUP($DR26,АшламаДВ_Gomumy,2,FALSE)))</f>
        <v>Нет</v>
      </c>
      <c r="DT26" s="70" t="str">
        <f>IF($DR26="Нет","Нет",IF(Исходн.данные.!$AO26&gt;0,VLOOKUP($DR26,АшламаДВ_Irekle,3,FALSE),VLOOKUP($DR26,АшламаДВ_Gomumy,3,FALSE)))</f>
        <v>Нет</v>
      </c>
      <c r="DU26" s="70" t="str">
        <f>IF($DR26="Нет","Нет",IF(Исходн.данные.!$AO26&gt;0,VLOOKUP($DR26,АшламаДВ_Irekle,4,FALSE),VLOOKUP($DR26,АшламаДВ_Gomumy,4,FALSE)))</f>
        <v>Нет</v>
      </c>
      <c r="DV26" s="70"/>
      <c r="DW26" s="70"/>
      <c r="DX26" s="70"/>
      <c r="DY26" s="10">
        <f t="shared" si="48"/>
        <v>0</v>
      </c>
      <c r="DZ26" s="10">
        <f t="shared" si="49"/>
        <v>0</v>
      </c>
      <c r="EA26" s="10">
        <f t="shared" si="50"/>
        <v>0</v>
      </c>
      <c r="EB26" s="10">
        <f t="shared" si="51"/>
        <v>0</v>
      </c>
      <c r="EC26" s="10">
        <f t="shared" si="52"/>
        <v>0</v>
      </c>
      <c r="ED26" s="10">
        <f t="shared" si="53"/>
        <v>0</v>
      </c>
      <c r="EE26" s="10">
        <f t="shared" si="54"/>
        <v>0</v>
      </c>
      <c r="EF26" s="39">
        <f>EB26*Исходн.данные.!AJ26/1000</f>
        <v>0</v>
      </c>
      <c r="EG26" s="9">
        <f t="shared" si="55"/>
        <v>0</v>
      </c>
      <c r="EH26" s="9">
        <f t="shared" si="56"/>
        <v>0</v>
      </c>
      <c r="EI26" s="39" t="e">
        <f t="shared" si="7"/>
        <v>#DIV/0!</v>
      </c>
      <c r="EJ26" s="9" t="str">
        <f t="shared" si="8"/>
        <v>Азопреципитат</v>
      </c>
      <c r="EK26" s="12">
        <f t="shared" si="9"/>
        <v>0.26</v>
      </c>
      <c r="EL26" s="12">
        <f t="shared" si="10"/>
        <v>0.13</v>
      </c>
      <c r="EM26" s="12">
        <f t="shared" si="11"/>
        <v>0</v>
      </c>
      <c r="EN26" s="12" t="str">
        <f t="shared" si="57"/>
        <v>Нет</v>
      </c>
      <c r="EO26" s="12">
        <f t="shared" si="12"/>
        <v>0</v>
      </c>
      <c r="EP26" s="12">
        <f t="shared" si="13"/>
        <v>0</v>
      </c>
      <c r="EQ26" s="12">
        <f t="shared" si="14"/>
        <v>0</v>
      </c>
      <c r="ER26" s="12" t="str">
        <f t="shared" si="58"/>
        <v>Диаммофоска</v>
      </c>
      <c r="ES26" s="12">
        <f t="shared" si="15"/>
        <v>0.1</v>
      </c>
      <c r="ET26" s="12">
        <f t="shared" si="16"/>
        <v>0.26</v>
      </c>
      <c r="EU26" s="12">
        <f t="shared" si="17"/>
        <v>0.26</v>
      </c>
      <c r="EV26" s="12" t="str">
        <f t="shared" si="59"/>
        <v>Аммофос 12:52:00</v>
      </c>
      <c r="EW26" s="12" t="str">
        <f t="shared" si="60"/>
        <v>Кемира Свекловичное-6</v>
      </c>
      <c r="EX26" s="12">
        <f t="shared" si="18"/>
        <v>0.16</v>
      </c>
      <c r="EY26" s="12">
        <f t="shared" si="19"/>
        <v>0.12</v>
      </c>
      <c r="EZ26" s="12">
        <f t="shared" si="20"/>
        <v>0.17</v>
      </c>
      <c r="FA26" s="38" t="e">
        <f>IF(AND(OR(FJ26=$FD$1,FM26=$FD$1,FO26=$FD$1,FQ26=$FD$1,FS26=$FD$1),FD26=$FD$1,Исходн.данные.!J26&lt;2,FU26=$FD$1),"Бор,Кобальт",IF(AND(FO26=$FD$1,FH26=$FD$1,Исходн.данные.!J26&lt;2,FU26=$FD$1),"Бор,Кобальт",IF(AND(OR(FJ26=$FD$1,FM26=$FD$1,FQ26=$FD$1),FE26=$FD$1,Исходн.данные.!J26&lt;2,FT26=$FD$1,FU26=$FD$1),"Бор,Медь,Цинк",IF(AND(OR(FJ26=$FD$1,FR26="Да"),FI26="Да",Исходн.данные.!J26&lt;2,FT26="Да",FU26="Да"),"Бор,Цинк,Медь",IF(AND(OR(FM26="Да",FQ26="Да"),FI26="Да",Исходн.данные.!J26&lt;2,FT26="Да",FU26="Да"),"Бор,Цинк",IF(AND(FN26="Да",OR(FD26="Да",FE26="Да")),"Бор",FB26))))))</f>
        <v>#N/A</v>
      </c>
      <c r="FB26" s="134" t="e">
        <f>IF(AND(OR(FD26="Да",FE26="Да",FF26="Да",FG26="Да",FH26="Да"),FO26="Да"),"Бор",IF(AND(FP26="Да",OR(FD26="Да",FE26="Да",FI26="Да")),"Бор",IF(AND(FS26="Да",FE26="Да"),"Бор,Медь",IF(AND(OR(FJ26="Да",FK26="Да",FL26="Да"),FE26="Да",Исходн.данные.!I26&lt;5,FT26="Да",FU26="Да"),"Молибден,Цинк",IF(AND(FM26="Да",OR(FE26="Да",FF26="Да",FG26="Да",FH26="Да",FI26="Да")),"Молибден,Цинк",IF(AND(OR(FJ26="Да",FK26="Да",FL26="Да",FM26="Да",FQ26="Да"),OR(FE26="Да",FF26="Да"),FT26="Да",FU26="Да",Исходн.данные.!I26&gt;5.5),"Медь,Цинк",FC26))))))</f>
        <v>#N/A</v>
      </c>
      <c r="FC26" s="23" t="e">
        <f t="shared" si="61"/>
        <v>#N/A</v>
      </c>
      <c r="FD26" s="38" t="str">
        <f>IF(OR(Исходн.данные.!F26=$CC$1,Исходн.данные.!F26=$CC$2,Исходн.данные.!F26=$CC$3,Исходн.данные.!F26=$CC$4),"Да","Нет")</f>
        <v>Нет</v>
      </c>
      <c r="FE26" s="38" t="str">
        <f>IF(Исходн.данные.!F26=$CC$5,"Да","Нет")</f>
        <v>Нет</v>
      </c>
      <c r="FF26" s="38" t="str">
        <f>IF(OR(Исходн.данные.!F26=$CC$6,Исходн.данные.!F26=$CC$7),"Да","Нет")</f>
        <v>Нет</v>
      </c>
      <c r="FG26" s="38" t="str">
        <f>IF(OR(Исходн.данные.!F26=$CC$8,Исходн.данные.!F26=$CC$9),"Да","Нет")</f>
        <v>Нет</v>
      </c>
      <c r="FH26" s="38" t="str">
        <f>IF(Исходн.данные.!F26=$CC$10,"Да","Нет")</f>
        <v>Нет</v>
      </c>
      <c r="FI26" s="38" t="str">
        <f>IF(OR(Исходн.данные.!F26=$CC$11,Исходн.данные.!F26=$CC$12),"Да","Нет")</f>
        <v>Нет</v>
      </c>
      <c r="FJ26" s="38" t="str">
        <f>IF(OR(Исходн.данные.!AH26=$BS$1,Исходн.данные.!AH26=$BQ$11,Исходн.данные.!AH26=$BQ$12),"Да","Нет")</f>
        <v>Нет</v>
      </c>
      <c r="FK26" s="38" t="str">
        <f>IF(OR(Исходн.данные.!AH26=$BS$2,Исходн.данные.!AH26=$BS$4),"Да","Нет")</f>
        <v>Нет</v>
      </c>
      <c r="FL26" s="38" t="str">
        <f>IF(OR(Исходн.данные.!AH26=$BS$3,Исходн.данные.!AH26=$BS$5),"Да","Нет")</f>
        <v>Нет</v>
      </c>
      <c r="FM26" s="38" t="str">
        <f>IF(OR(Исходн.данные.!AH26=$BS$9,Исходн.данные.!AH26=$BS$10,Исходн.данные.!AH26=$BS$11,Исходн.данные.!AH26=$BS$12),"Да","Нет")</f>
        <v>Нет</v>
      </c>
      <c r="FN26" s="38" t="str">
        <f>IF(OR(Исходн.данные.!AH26=$BS$6,Исходн.данные.!AH26=$BP$3),"Да","Нет")</f>
        <v>Нет</v>
      </c>
      <c r="FO26" s="38" t="str">
        <f>IF(Исходн.данные.!AH26=$BQ$9,"Да","Нет")</f>
        <v>Нет</v>
      </c>
      <c r="FP26" s="38" t="str">
        <f>IF(OR(Исходн.данные.!AH26=$BS$8,Исходн.данные.!AH26=$BT$8),"Да","Нет")</f>
        <v>Нет</v>
      </c>
      <c r="FQ26" s="38" t="str">
        <f>IF(OR(Исходн.данные.!AH26=$BQ$7,Исходн.данные.!AH26=$BQ$8),"Да","Нет")</f>
        <v>Нет</v>
      </c>
      <c r="FR26" s="38" t="str">
        <f>IF(Исходн.данные.!AI26=$BU$9,"Да","Нет")</f>
        <v>Нет</v>
      </c>
      <c r="FS26" s="38" t="str">
        <f>IF(OR(Исходн.данные.!AH26=$BP$1,Исходн.данные.!AH26=$BP$2),"Да","Нет")</f>
        <v>Нет</v>
      </c>
      <c r="FT26" s="38" t="e">
        <f>IF((Исходн.данные.!K26*GO26*GS26*GW26+BL26*0.6+Исходн.данные.!Q26*4.5*0.275)&gt;90,"Да","Нет")</f>
        <v>#N/A</v>
      </c>
      <c r="FU26" s="38" t="e">
        <f>IF((Исходн.данные.!M26*GS26*GZ26+BM26*0.225)&gt;35,"Да","Нет")</f>
        <v>#N/A</v>
      </c>
      <c r="FV26" s="38" t="str">
        <f>IF(Исходн.данные.!O26&gt;175,"Да","Нет")</f>
        <v>Нет</v>
      </c>
      <c r="FW26" s="39" t="str">
        <f>IF(Исходн.данные.!I26&gt;5.5,"Да","Нет")</f>
        <v>Нет</v>
      </c>
      <c r="FX26" s="39" t="str">
        <f>IF(Исходн.данные.!J26&lt;2,"Да","Нет")</f>
        <v>Да</v>
      </c>
      <c r="FY26" s="39" t="e">
        <f>IF(HF26=$FY$16,0,Исходн.данные.!K26*GO26*GS26*GW26/HF26)</f>
        <v>#N/A</v>
      </c>
      <c r="FZ26" s="39" t="e">
        <f>Исходн.данные.!M26*GS26*GZ26/HG26</f>
        <v>#N/A</v>
      </c>
      <c r="GA26" s="39" t="e">
        <f>IF(K_Wyn=$FY$16,0,IF(Исходн.данные.!N26=Исходн.данные.!$L$10,Исходн.данные.!O26/1.1*GS26*HC26/HH26,IF(Исходн.данные.!N26=Исходн.данные.!$L$12,Исходн.данные.!O26/1.5*GS26*HC26/HH26,Исходн.данные.!O26*GS26*HC26/HH26)))</f>
        <v>#N/A</v>
      </c>
      <c r="GB26" s="39" t="e">
        <f>IF(HF26=$FY$16,0,((Исходн.данные.!Q26*N_Org+Исходн.данные.!R26*N_Sider+Исходн.данные.!S26*N_Soloma)*AO26+Расчет!BC26*VLOOKUP(Исходн.данные.!T26,Справ!$A$3:$O$57,15)*AO26+BB26*VLOOKUP(Исходн.данные.!T26,Справ!$A$3:$O$57,15)*AL26+(Исходн.данные.!V26*N_Rizotorf+Исходн.данные.!W26*N_Rizoagr))/HF26)</f>
        <v>#N/A</v>
      </c>
      <c r="GC26" s="39" t="e">
        <f>IF(HG26=$FY$16,0,((Исходн.данные.!Q26*Р_Org+Исходн.данные.!R26*P_Sider+Исходн.данные.!S26*P_Soloma)*AP26+Расчет!BC26*VLOOKUP(Исходн.данные.!T26,Справ!$A$3:$P$57,16)*AP26+BB26*VLOOKUP(Исходн.данные.!T26,Справ!$A$3:$P$57,16)*AM26)/HG26)</f>
        <v>#N/A</v>
      </c>
      <c r="GD26" s="39" t="e">
        <f>IF(HH26=$FY$16,0,((Исходн.данные.!Q26*К_Org+Исходн.данные.!R26*K_Sider+Исходн.данные.!S26*K_Soloma)*AQ26+Расчет!BC26*VLOOKUP(Исходн.данные.!T26,Справ!$A$3:$Q$57,17)*AQ26+BB26*VLOOKUP(Исходн.данные.!T26,Справ!$A$3:$Q$57,17)*AN26)/HH26)</f>
        <v>#N/A</v>
      </c>
      <c r="GE26" s="39" t="e">
        <f>IF(HF26=$FY$16,0,(Исходн.данные.!X26*AR26+Исходн.данные.!AA26*N_Org*AL26+Исходн.данные.!AB26*N_Sider*AL26+Исходн.данные.!AC26*N_Soloma*AL26)/HF26)</f>
        <v>#N/A</v>
      </c>
      <c r="GF26" s="39" t="e">
        <f>IF(HG26=$FY$16,0,(Исходн.данные.!Y26*AS26+Исходн.данные.!AA26*Р_Org*AM26+Исходн.данные.!AB26*P_Sider*AM26+Исходн.данные.!AC26*P_Soloma*AM26)/HG26)</f>
        <v>#N/A</v>
      </c>
      <c r="GG26" s="39" t="e">
        <f>IF(HH26=$FY$16,0,(Исходн.данные.!Z26*AT26+Исходн.данные.!AA26*К_Org*AN26+Исходн.данные.!AB26*K_Sider*AN26+Исходн.данные.!AC26*K_Soloma*AN26)/HH26)</f>
        <v>#N/A</v>
      </c>
      <c r="GH26" s="39" t="e">
        <f>Исходн.данные.!AD26*AU26/HF26</f>
        <v>#N/A</v>
      </c>
      <c r="GI26" s="39" t="e">
        <f>Исходн.данные.!AE26*AV26/HG26</f>
        <v>#N/A</v>
      </c>
      <c r="GJ26" s="39" t="e">
        <f>Исходн.данные.!AF26*AW26/HH26</f>
        <v>#N/A</v>
      </c>
      <c r="GK26" s="55">
        <f>Исходн.данные.!AK26</f>
        <v>0</v>
      </c>
      <c r="GL26" s="11" t="e">
        <f t="shared" si="62"/>
        <v>#N/A</v>
      </c>
      <c r="GM26" s="11" t="e">
        <f t="shared" si="63"/>
        <v>#N/A</v>
      </c>
      <c r="GN26" s="11" t="e">
        <f t="shared" si="64"/>
        <v>#N/A</v>
      </c>
      <c r="GO26" s="57">
        <f t="shared" si="65"/>
        <v>19</v>
      </c>
      <c r="GP26" s="55">
        <f>IF(OR(Исходн.данные.!F26=$CE$1,Исходн.данные.!F26=$CE$2,Исходн.данные.!F26=$CE$3,Исходн.данные.!F26=$CE$4,Исходн.данные.!F26=$CE$5),GQ26,GR26)</f>
        <v>19</v>
      </c>
      <c r="GQ26" s="55">
        <f>IF(Исходн.данные.!F26=$CE$1,28,IF(Исходн.данные.!F26=$CE$2,26,IF(Исходн.данные.!F26=$CE$3,24,IF(Исходн.данные.!F26=$CE$4,22,IF(Исходн.данные.!F26=$CE$5,20,GR26)))))</f>
        <v>19</v>
      </c>
      <c r="GR26" s="55">
        <f>IF(Исходн.данные.!F26=$CE$6,18,IF(Исходн.данные.!F26=$CE$7,16,IF(Исходн.данные.!F26=$CE$8,14,IF(Исходн.данные.!F26=$CE$9,13,IF(Исходн.данные.!F26=$CE$10,12,19)))))</f>
        <v>19</v>
      </c>
      <c r="GS26" s="55">
        <f>IF(Исходн.данные.!G26="Пес",0.035*(40+2*Исходн.данные.!H26),IF(Исходн.данные.!G26="Суп",0.0325*(40+2*Исходн.данные.!H26),0.03*(40+2*Исходн.данные.!H26)))</f>
        <v>1.2</v>
      </c>
      <c r="GT26" s="55">
        <f>IF(Исходн.данные.!H26&lt;23,2.6,IF(AND(Исходн.данные.!H26&gt;22,Исходн.данные.!H26&lt;26),3,IF(AND(Исходн.данные.!H26&gt;25,Исходн.данные.!H26&lt;29),3.4,3.6)))</f>
        <v>2.6</v>
      </c>
      <c r="GU26" s="55">
        <f>IF(Исходн.данные.!H26&lt;23,2.8,IF(AND(Исходн.данные.!H26&gt;22,Исходн.данные.!H26&lt;26),3.2,IF(AND(Исходн.данные.!H26&gt;25,Исходн.данные.!H26&lt;29),3.6,3.9)))</f>
        <v>2.8</v>
      </c>
      <c r="GV26" s="55">
        <f>IF(Исходн.данные.!H26&lt;23,3,IF(AND(Исходн.данные.!H26&gt;22,Исходн.данные.!H26&lt;26),3.5,IF(AND(Исходн.данные.!H26&gt;25,Исходн.данные.!H26&lt;29),3.9,4.2)))</f>
        <v>3</v>
      </c>
      <c r="GW26" s="55" t="e">
        <f>IF(Исходн.данные.!P26="Ум",GX26,GY26)</f>
        <v>#N/A</v>
      </c>
      <c r="GX26" s="55" t="e">
        <f>VLOOKUP(Исходн.данные.!AI26,Коэффициенты!$J$7:$L$13,2,FALSE)</f>
        <v>#N/A</v>
      </c>
      <c r="GY26" s="55" t="e">
        <f>VLOOKUP(Исходн.данные.!AI26,Коэффициенты!$J$7:$L$13,3,FALSE)</f>
        <v>#N/A</v>
      </c>
      <c r="GZ26" s="55" t="e">
        <f>(IF(Исходн.данные.!M26&lt;50,0.11*VLOOKUP(Исходн.данные.!AH26,Культуры.Информация,7,FALSE),IF(Исходн.данные.!M26&gt;250,0.05*VLOOKUP(Исходн.данные.!AH26,Культуры.Информация,7,FALSE),VLOOKUP(Исходн.данные.!AH26,Культуры.Информация,5,FALSE)/100*($GX$6+$GY$6*Исходн.данные.!M26))))*Расчет2!AI26</f>
        <v>#N/A</v>
      </c>
      <c r="HA26" s="211"/>
      <c r="HB26" s="211"/>
      <c r="HC26" s="55" t="e">
        <f>(IF(Исходн.данные.!O26&lt;80,0.2*VLOOKUP(Исходн.данные.!AH26,Культуры.Информация,8,FALSE),IF(Исходн.данные.!O26&gt;240,0.09*VLOOKUP(Исходн.данные.!AH26,Культуры.Информация,8,FALSE),VLOOKUP(Исходн.данные.!AH26,Культуры.Информация,6,FALSE)/100*($HB$6+$HC$6*Исходн.данные.!O26))))*Расчет2!AJ26</f>
        <v>#N/A</v>
      </c>
      <c r="HD26" s="55">
        <f>IF(Исходн.данные.!O26&gt;240,0.09,IF(Исходн.данные.!O26&lt;30,0.3,$HE$10+$HD$10*Исходн.данные.!O26))</f>
        <v>0.3</v>
      </c>
      <c r="HE26" s="55">
        <f>IF(Исходн.данные.!O26&gt;240,0.17,IF(Исходн.данные.!O26&lt;30,0.5,$HF$12+$HE$12*Исходн.данные.!O26))</f>
        <v>0.5</v>
      </c>
      <c r="HF26" s="55" t="e">
        <f>VLOOKUP(Исходн.данные.!AH26,Справ!$A$3:$D$58,2,FALSE)</f>
        <v>#N/A</v>
      </c>
      <c r="HG26" s="55" t="e">
        <f>VLOOKUP(Исходн.данные.!AH26,Справ!$A$3:$D$58,3,FALSE)</f>
        <v>#N/A</v>
      </c>
      <c r="HH26" s="55" t="e">
        <f>VLOOKUP(Исходн.данные.!AH26,Справ!$A$3:$D$58,4,FALSE)</f>
        <v>#N/A</v>
      </c>
      <c r="HI26" s="11" t="e">
        <f t="shared" si="66"/>
        <v>#N/A</v>
      </c>
      <c r="HJ26" s="11" t="e">
        <f t="shared" si="67"/>
        <v>#N/A</v>
      </c>
      <c r="HK26" s="11" t="e">
        <f t="shared" si="68"/>
        <v>#N/A</v>
      </c>
      <c r="HL26" s="55">
        <f>IF(OR(Исходн.данные.!G26="Глин",Исходн.данные.!G26="Т_суг"),1.1,IF(Исходн.данные.!G26="Ср_суг",1,1))</f>
        <v>1</v>
      </c>
      <c r="HM26" s="55">
        <f>IF(OR(Исходн.данные.!G26="Глин",Исходн.данные.!G26="Т_суг"),0.9,IF(Исходн.данные.!G26="Ср_суг",1,1.2))</f>
        <v>1.2</v>
      </c>
      <c r="HN26" s="11" t="e">
        <f t="shared" si="69"/>
        <v>#N/A</v>
      </c>
      <c r="HO26" s="11" t="e">
        <f t="shared" si="70"/>
        <v>#N/A</v>
      </c>
      <c r="HP26" s="11" t="e">
        <f t="shared" si="71"/>
        <v>#N/A</v>
      </c>
      <c r="HQ26" t="e">
        <f t="shared" si="72"/>
        <v>#N/A</v>
      </c>
      <c r="HR26" t="e">
        <f t="shared" si="73"/>
        <v>#N/A</v>
      </c>
      <c r="HS26" t="e">
        <f t="shared" si="74"/>
        <v>#N/A</v>
      </c>
      <c r="HT26" t="e">
        <f t="shared" si="21"/>
        <v>#N/A</v>
      </c>
      <c r="HU26" t="e">
        <f t="shared" si="22"/>
        <v>#N/A</v>
      </c>
      <c r="HV26" t="e">
        <f t="shared" si="23"/>
        <v>#N/A</v>
      </c>
      <c r="HW26" t="e">
        <f t="shared" si="24"/>
        <v>#N/A</v>
      </c>
      <c r="HX26" t="e">
        <f t="shared" si="25"/>
        <v>#N/A</v>
      </c>
      <c r="HY26" t="e">
        <f t="shared" si="26"/>
        <v>#N/A</v>
      </c>
      <c r="HZ26" s="55">
        <f>IF(OR(Исходн.данные.!AI26="Оз_Ч_П",Исходн.данные.!AI26="Оз_З_П",Исходн.данные.!AI26="Яр_зер"),12,30)</f>
        <v>30</v>
      </c>
      <c r="IA26" t="e">
        <f t="shared" si="75"/>
        <v>#N/A</v>
      </c>
      <c r="IB26" t="e">
        <f t="shared" si="76"/>
        <v>#N/A</v>
      </c>
      <c r="IC26" t="e">
        <f t="shared" si="77"/>
        <v>#N/A</v>
      </c>
      <c r="ID26" s="11" t="e">
        <f t="shared" si="78"/>
        <v>#N/A</v>
      </c>
      <c r="IE26" s="11" t="e">
        <f t="shared" si="79"/>
        <v>#N/A</v>
      </c>
      <c r="IF26" s="11" t="e">
        <f t="shared" si="80"/>
        <v>#N/A</v>
      </c>
    </row>
    <row r="27" spans="35:240" x14ac:dyDescent="0.2">
      <c r="AI27">
        <f>IF(Исходн.данные.!I27&gt;6,1,1.85-(0.148*Исходн.данные.!I27))</f>
        <v>1.85</v>
      </c>
      <c r="AJ27">
        <f>IF(Исходн.данные.!I27&gt;6,1,2.434-(0.246*Исходн.данные.!I27))</f>
        <v>2.4340000000000002</v>
      </c>
      <c r="AL27" s="148" t="b">
        <f>IF(Исходн.данные.!$P27="Ум",N_OrgUd_2g_um,IF(Исходн.данные.!$P27="Об",N_OrgUd_2g_ob))</f>
        <v>0</v>
      </c>
      <c r="AM27" s="148" t="b">
        <f>IF(Исходн.данные.!$P27="Ум",P_OrgUd_2g_um,IF(Исходн.данные.!$P27="Об",P_OrgUd_2g_ob))</f>
        <v>0</v>
      </c>
      <c r="AN27" s="148" t="b">
        <f>IF(Исходн.данные.!$P27="Ум",K_OrgUd_2g_um,IF(Исходн.данные.!$P27="Об",K_OrgUd_2g_ob))</f>
        <v>0</v>
      </c>
      <c r="AO27" s="148" t="b">
        <f>IF(Исходн.данные.!$P27="Ум",N_OrgUd_1g_um,IF(Исходн.данные.!$P27="Об",N_OrgUd_1g_ob))</f>
        <v>0</v>
      </c>
      <c r="AP27" s="148" t="b">
        <f>IF(Исходн.данные.!$P27="Ум",P_OrgUd_1g_um,IF(Исходн.данные.!$P27="Об",P_OrgUd_1g_ob))</f>
        <v>0</v>
      </c>
      <c r="AQ27" s="148" t="b">
        <f>IF(Исходн.данные.!$P27="Ум",K_OrgUd_1g_um,IF(Исходн.данные.!$P27="Об",K_OrgUd_1g_ob))</f>
        <v>0</v>
      </c>
      <c r="AR27" t="b">
        <f>IF(Исходн.данные.!$P27="Ум",N_MinUd_2g_um,IF(Исходн.данные.!$P27="Об",N_MinUd_2g_ob))</f>
        <v>0</v>
      </c>
      <c r="AS27" t="b">
        <f>IF(Исходн.данные.!$P27="Ум",P_MinUd_2g_um,IF(Исходн.данные.!$P27="Об",P_MinUd_2g_ob))</f>
        <v>0</v>
      </c>
      <c r="AT27" t="b">
        <f>IF(Исходн.данные.!$P27="Ум",K_MinUd_2g_um,IF(Исходн.данные.!$P27="Об",K_MinUd_2g_ob))</f>
        <v>0</v>
      </c>
      <c r="AU27" t="b">
        <f>IF(Исходн.данные.!$P27="Ум",N_MinUd_1g_um,IF(Исходн.данные.!$P27="Об",N_MinUd_1g_ob))</f>
        <v>0</v>
      </c>
      <c r="AV27" t="b">
        <f>IF(Исходн.данные.!P27="Ум",P_MinUd_1g_um,IF(Исходн.данные.!P27="Об",P_MinUd_1g_ob))</f>
        <v>0</v>
      </c>
      <c r="AW27" t="b">
        <f>IF(Исходн.данные.!P27="Ум",K_MinUd_1g_um,IF(Исходн.данные.!P27="Об",K_MinUd_1g_ob))</f>
        <v>0</v>
      </c>
      <c r="AX27" s="148"/>
      <c r="AY27" t="e">
        <f>VLOOKUP(Исходн.данные.!T27,Справ!$A$3:$N$57,12)</f>
        <v>#N/A</v>
      </c>
      <c r="AZ27" t="e">
        <f>VLOOKUP(Исходн.данные.!T27,Справ!$A$3:$N$57,13)</f>
        <v>#N/A</v>
      </c>
      <c r="BA27" t="e">
        <f>VLOOKUP(Исходн.данные.!T27,Справ!$A$3:$N$57,14)</f>
        <v>#N/A</v>
      </c>
      <c r="BB27">
        <f>IF(Исходн.данные.!AH27=0,0,25)</f>
        <v>0</v>
      </c>
      <c r="BC27" s="141">
        <f>IF(Исходн.данные.!AH27=0,0,IF(Исходн.данные.!T27=0,25,BD27))</f>
        <v>0</v>
      </c>
      <c r="BD27" s="168" t="e">
        <f>AY27+AZ27*Исходн.данные.!U27-POWER(BA27,2)*Исходн.данные.!U27</f>
        <v>#N/A</v>
      </c>
      <c r="BE2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" s="25">
        <f>IF(Исходн.данные.!AH27=0,0,MIN(HN27:HP27))</f>
        <v>0</v>
      </c>
      <c r="BG27" s="9">
        <f>IF(Исходн.данные.!AH27=0,0,IF((HO27+10*0.25/HG27/HL27)&lt;17,17,HO27+10*0.25/HG27/HL27))</f>
        <v>0</v>
      </c>
      <c r="BH27" s="181">
        <f>IF(Исходн.данные.!AH27=0,0,HW27*HF27*HL27/AU27*AI27+Исходн.данные.!S27*10)</f>
        <v>0</v>
      </c>
      <c r="BI27" s="10"/>
      <c r="BJ27" s="182">
        <f>IF(Исходн.данные.!AH27=0,0,IF(HX27*HG27*HL27/AV27&lt;0,0,HX27*HG27*HL27/AV27*AJ27))</f>
        <v>0</v>
      </c>
      <c r="BK27" s="182">
        <f>IF(Исходн.данные.!AH27=0,0,HY27*HH27*HM27/AW27)</f>
        <v>0</v>
      </c>
      <c r="BL27" s="10">
        <f>IF(OR(Исходн.данные.!$AH27=$BP$1,Исходн.данные.!$AH27=$BP$2),0,IF(BH27&lt;0,0,IF(OR(Исходн.данные.!T27=Расчет!$BP$1,Исходн.данные.!T27=Расчет!$BP$2,Исходн.данные.!T27=Расчет!$BT$5,Исходн.данные.!T27=Расчет!$BT$6),BH27*0.5,IF(OR(Исходн.данные.!T27=Расчет!$BS$9,Исходн.данные.!T27=Расчет!$BS$10,Исходн.данные.!T27=Расчет!$BS$11,Исходн.данные.!T27=Расчет!$BS$12,Исходн.данные.!T27=Расчет!$BP$5),BH27*0.8,BH27))))</f>
        <v>0</v>
      </c>
      <c r="BM27" s="10">
        <f>IF(OR(Исходн.данные.!$AH27=$BP$1,Исходн.данные.!$AH27=$BP$2),0,IF(BJ27&lt;0,0,IF(Исходн.данные.!I27&lt;4.5,BJ27*1.2,IF(Исходн.данные.!I27&gt;5.1,BJ27,BJ27*((5.1-Исходн.данные.!I27)*0.333+1)))))</f>
        <v>0</v>
      </c>
      <c r="BN27" s="10">
        <f>IF(OR(Исходн.данные.!$AH27=$BP$1,Исходн.данные.!$AH27=$BP$2),60-Исходн.данные.!AF27,IF(BK27&lt;0,0,IF(Исходн.данные.!I27&lt;4.5,BK27*1.2,IF(Исходн.данные.!I27&gt;5.1,BK27,BK27*((5.1-Исходн.данные.!I27)*0.333+1)))))</f>
        <v>0</v>
      </c>
      <c r="BO27" s="9">
        <f>IF(BL27&lt;0,0,BL27*Исходн.данные.!$AJ27/1000)</f>
        <v>0</v>
      </c>
      <c r="BP27" s="9">
        <f>IF(BM27&lt;0,0,BM27*Исходн.данные.!$AJ27/1000)</f>
        <v>0</v>
      </c>
      <c r="BQ27" s="9">
        <f>IF(BN27&lt;0,0,BN27*Исходн.данные.!$AJ27/1000)</f>
        <v>0</v>
      </c>
      <c r="BR27" s="9">
        <f t="shared" si="27"/>
        <v>0</v>
      </c>
      <c r="BS27" s="10" t="str">
        <f t="shared" si="28"/>
        <v>Аммофос 12:52:00</v>
      </c>
      <c r="BT27" s="10" t="str">
        <f t="shared" si="29"/>
        <v>Аммофос 12:52:00</v>
      </c>
      <c r="BU27" s="10" t="str">
        <f t="shared" si="30"/>
        <v>Диаммофоска</v>
      </c>
      <c r="BV27" s="10">
        <f t="shared" si="31"/>
        <v>0</v>
      </c>
      <c r="BW27" s="10"/>
      <c r="BX27" s="10"/>
      <c r="BY27" s="9">
        <f>IF(BL27&lt;0,0,IF(OR(Исходн.данные.!AI27=Расчет!$BU$6,Исходн.данные.!AI27=Расчет!$BU$7),Расчет!BV27,IF(Исходн.данные.!$AG27=$BV$11,BL27,IF(OR(Исходн.данные.!$AH27=$BQ$7,Исходн.данные.!$AH27=$BQ$8),CB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0,IF(Исходн.данные.!$AI27=$BU$11,"Нет",IF(BL27&gt;30,30,BL27)))))))</f>
        <v>0</v>
      </c>
      <c r="BZ27" s="9">
        <f>IF(AND(Исходн.данные.!$AG27=$BV$11,BM27&lt;10),10,IF(Исходн.данные.!$AG27=$BV$11,BM27,IF(OR(Исходн.данные.!$AH27=$BQ$7,Исходн.данные.!$AH27=$BQ$8),CC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10,IF(Исходн.данные.!$AI27=$BU$11,"Нет",IF(BM27&gt;60,60,IF(BM27&lt;10,10,BM27)))))))</f>
        <v>10</v>
      </c>
      <c r="CA27" s="39">
        <f>IF(BN27&lt;0,0,IF(Исходн.данные.!$AG27=$BV$11,BN27,IF(OR(Исходн.данные.!$AH27=$BQ$7,Исходн.данные.!$AH27=$BQ$8),CD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0,IF(Исходн.данные.!$AI27=$BU$11,"Нет",IF(BN27&gt;30,30,BN27))))))</f>
        <v>0</v>
      </c>
      <c r="CB27" s="9">
        <f t="shared" si="32"/>
        <v>0</v>
      </c>
      <c r="CC27" s="9">
        <f t="shared" si="33"/>
        <v>0</v>
      </c>
      <c r="CD27" s="9">
        <f t="shared" si="34"/>
        <v>0</v>
      </c>
      <c r="CE27" s="12">
        <f t="shared" si="35"/>
        <v>10</v>
      </c>
      <c r="CF27" s="9">
        <f t="shared" si="36"/>
        <v>0</v>
      </c>
      <c r="CG27" s="9" t="s">
        <v>231</v>
      </c>
      <c r="CH27" s="132" t="str">
        <f>IF(Исходн.данные.!AP27=Расчет!$CI$16,"Нет",IF(Исходн.данные.!AL27&gt;0,Исходн.данные.!AL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BH$4,IF(OR(Исходн.данные.!AI27=Исходн.данные.!$AI$6,Исходн.данные.!AI27=Исходн.данные.!$AI$7),Расчет!BS27,IF(AND($CF27=0,$CE27&gt;0),EV27,ER27)))))</f>
        <v>Аммофос 12:52:00</v>
      </c>
      <c r="CI27" s="274">
        <f>IF(Расчет!$CH27="Нет","Нет",IF(Исходн.данные.!$AL27&gt;0,VLOOKUP(Расчет!$CH27,АшламаДВ_Irekle,2,FALSE),VLOOKUP(Расчет!$CH27,АшламаДВ_Gomumy,2,FALSE)))</f>
        <v>0.12</v>
      </c>
      <c r="CJ27" s="274">
        <f>IF(Расчет!$CH27="Нет","Нет",IF(Исходн.данные.!$AL27&gt;0,VLOOKUP(Расчет!$CH27,АшламаДВ_Irekle,3,FALSE),VLOOKUP(Расчет!$CH27,АшламаДВ_Gomumy,3,FALSE)))</f>
        <v>0.52</v>
      </c>
      <c r="CK27" s="274">
        <f>IF(Расчет!$CH27="Нет","Нет",IF(Исходн.данные.!$AL27&gt;0,VLOOKUP(Расчет!$CH27,АшламаДВ_Irekle,4,FALSE),VLOOKUP(Расчет!$CH27,АшламаДВ_Gomumy,4,FALSE)))</f>
        <v>0</v>
      </c>
      <c r="CL27" s="70"/>
      <c r="CM27" s="70"/>
      <c r="CN27" s="70"/>
      <c r="CO27" s="70"/>
      <c r="CP27" s="70"/>
      <c r="CQ27" s="70"/>
      <c r="CR27" s="10">
        <f t="shared" si="37"/>
        <v>0</v>
      </c>
      <c r="CS27" s="10">
        <f t="shared" si="38"/>
        <v>19.23076923076923</v>
      </c>
      <c r="CT27" s="10">
        <f t="shared" si="39"/>
        <v>0</v>
      </c>
      <c r="CU27" s="39">
        <f>IF($CH27="Нет",0,IF(CI27=0,30/MIN(CJ27:CK27),IF(Исходн.данные.!$AG27=$BV$11,CR27,IF(OR(Исходн.данные.!$AH27=$BQ$7,Исходн.данные.!$AH27=$BQ$8),90/CI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0,IF(Исходн.данные.!$AI27=$BU$11,"Нет",30/CI27))))))</f>
        <v>250</v>
      </c>
      <c r="CV27" s="39">
        <f>IF($CH27="Нет",0,IF(Исходн.данные.!AH27=0,0,IF(CJ27=0,60/MIN(CI27,CK27),IF(Исходн.данные.!$AG27=$BV$11,CS27,IF(OR(Исходн.данные.!$AH27=$BQ$7,Исходн.данные.!$AH27=$BQ$8),90/CJ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10/CJ27,IF(Исходн.данные.!$AI27=$BU$11,"Нет",60/CJ27)))))))</f>
        <v>0</v>
      </c>
      <c r="CW27" s="39">
        <f>IF($CH27="Нет",0,IF(Исходн.данные.!AH27=0,0,IF(CK27=0,30/MIN(CI27:CJ27),IF(Исходн.данные.!$AG27=$BV$11,CT27,IF(OR(Исходн.данные.!$AH27=$BQ$7,Исходн.данные.!$AH27=$BQ$8),90/CK27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0,IF(Исходн.данные.!$AI27=$BU$11,"Нет",30/CK27)))))))</f>
        <v>0</v>
      </c>
      <c r="CX27" s="133">
        <f>IF(Исходн.данные.!$AG27=$BV$11,MAX(CU27:CW27),IF(OR(Исходн.данные.!$AH27=$BS$8,Исходн.данные.!$AH27=$BQ$9,Исходн.данные.!$AH27=$BQ$10,Исходн.данные.!$AH27=$BQ$11,Исходн.данные.!$AH27=$BQ$12,Исходн.данные.!$AH27=$BP$3,Исходн.данные.!$AH27=$BT$8,$FM27="Да"),CV27,MIN(CU27:CW27)))</f>
        <v>0</v>
      </c>
      <c r="CY27" s="133">
        <f>IF(Исходн.данные.!AH27=0,0,IF(CR27&gt;$CX27,$CX27,CR27))</f>
        <v>0</v>
      </c>
      <c r="CZ27" s="133">
        <f>IF(Исходн.данные.!AH27=0,0,IF(CS27&gt;$CX27,$CX27,CS27))</f>
        <v>0</v>
      </c>
      <c r="DA27" s="133">
        <f>IF(Исходн.данные.!AH27=0,0,IF(CT27&gt;$CX27,$CX27,CT27))</f>
        <v>0</v>
      </c>
      <c r="DB27" s="10">
        <f t="shared" si="40"/>
        <v>0</v>
      </c>
      <c r="DC27" s="39">
        <f>DB27*Исходн.данные.!AJ27/1000</f>
        <v>0</v>
      </c>
      <c r="DD27" s="71">
        <f t="shared" si="41"/>
        <v>0</v>
      </c>
      <c r="DE27" s="9">
        <f t="shared" si="42"/>
        <v>0</v>
      </c>
      <c r="DF27" s="9">
        <f t="shared" si="43"/>
        <v>0</v>
      </c>
      <c r="DG27" s="39">
        <f>IF(BL27&lt;0,0,IF($CH27="Нет",BL27,IF(OR(Исходн.данные.!$AH27=$BP$1,Исходн.данные.!$AH27=$BP$2),0,IF(Исходн.данные.!AI27=$BU$11,BL27,IF(BL27-DD27&lt;0,0,BL27-DD27)))))</f>
        <v>0</v>
      </c>
      <c r="DH27" s="39">
        <f>IF(BM27&lt;0,0,IF($CH27="Нет",BM27,IF(OR(Исходн.данные.!$AH27=$BP$1,Исходн.данные.!$AH27=$BP$2),0,IF(Исходн.данные.!AJ27=$BU$11,BM27,IF(BM27-DE27&lt;0,0,BM27-DE27)))))</f>
        <v>0</v>
      </c>
      <c r="DI27" s="39">
        <f>IF(BN27&lt;0,0,IF($CH27="Нет",BN27,IF(OR(Исходн.данные.!$AH27=$BP$1,Исходн.данные.!$AH27=$BP$2),0,IF(Исходн.данные.!AK27=$BU$11,BN27,IF(BN27-DF27&lt;0,0,BN27-DF27)))))</f>
        <v>0</v>
      </c>
      <c r="DJ27" s="12">
        <f t="shared" si="44"/>
        <v>0</v>
      </c>
      <c r="DK27" s="9">
        <f t="shared" si="45"/>
        <v>0</v>
      </c>
      <c r="DL27" s="39">
        <f>IF(Исходн.данные.!AM27&gt;0,Исходн.данные.!AM27,IF(EG27&gt;0,$BH$10,0))</f>
        <v>0</v>
      </c>
      <c r="DM27" s="186">
        <f>IF($DL27=0,0,IF(Исходн.данные.!AM27&gt;0,VLOOKUP($DL27,АшламаДВ_Irekle,2,FALSE),VLOOKUP($DL27,АшламаДВ_Gomumy,2,FALSE)))</f>
        <v>0</v>
      </c>
      <c r="DN27" s="10">
        <f t="shared" si="46"/>
        <v>0</v>
      </c>
      <c r="DO27" s="9" t="str">
        <f>IF(Исходн.данные.!AN27&gt;0,Исходн.данные.!AN27,Удобрения!$B$37 )</f>
        <v>Хлор.калий</v>
      </c>
      <c r="DP27" s="9">
        <f>IF(Исходн.данные.!AN27&gt;0,VLOOKUP(DO27,АшламаДВ_Irekle,4,FALSE),VLOOKUP(DO27,АшламаДВ_Gomumy,4,FALSE))</f>
        <v>0.6</v>
      </c>
      <c r="DQ27" s="10">
        <f t="shared" si="47"/>
        <v>0</v>
      </c>
      <c r="DR27" s="132" t="str">
        <f>IF(Исходн.данные.!AO27&gt;0,Исходн.данные.!AO27,IF(DH27=0,BS$17,IF(AND($DK27=0,$DJ27&gt;0),EJ27,EN27)))</f>
        <v>Нет</v>
      </c>
      <c r="DS27" s="70" t="str">
        <f>IF($DR27="Нет","Нет",IF(Исходн.данные.!$AO27&gt;0,VLOOKUP($DR27,АшламаДВ_Irekle,2,FALSE),VLOOKUP($DR27,АшламаДВ_Gomumy,2,FALSE)))</f>
        <v>Нет</v>
      </c>
      <c r="DT27" s="70" t="str">
        <f>IF($DR27="Нет","Нет",IF(Исходн.данные.!$AO27&gt;0,VLOOKUP($DR27,АшламаДВ_Irekle,3,FALSE),VLOOKUP($DR27,АшламаДВ_Gomumy,3,FALSE)))</f>
        <v>Нет</v>
      </c>
      <c r="DU27" s="70" t="str">
        <f>IF($DR27="Нет","Нет",IF(Исходн.данные.!$AO27&gt;0,VLOOKUP($DR27,АшламаДВ_Irekle,4,FALSE),VLOOKUP($DR27,АшламаДВ_Gomumy,4,FALSE)))</f>
        <v>Нет</v>
      </c>
      <c r="DV27" s="70"/>
      <c r="DW27" s="70"/>
      <c r="DX27" s="70"/>
      <c r="DY27" s="10">
        <f t="shared" si="48"/>
        <v>0</v>
      </c>
      <c r="DZ27" s="10">
        <f t="shared" si="49"/>
        <v>0</v>
      </c>
      <c r="EA27" s="10">
        <f t="shared" si="50"/>
        <v>0</v>
      </c>
      <c r="EB27" s="10">
        <f t="shared" si="51"/>
        <v>0</v>
      </c>
      <c r="EC27" s="10">
        <f t="shared" si="52"/>
        <v>0</v>
      </c>
      <c r="ED27" s="10">
        <f t="shared" si="53"/>
        <v>0</v>
      </c>
      <c r="EE27" s="10">
        <f t="shared" si="54"/>
        <v>0</v>
      </c>
      <c r="EF27" s="39">
        <f>EB27*Исходн.данные.!AJ27/1000</f>
        <v>0</v>
      </c>
      <c r="EG27" s="9">
        <f t="shared" si="55"/>
        <v>0</v>
      </c>
      <c r="EH27" s="9">
        <f t="shared" si="56"/>
        <v>0</v>
      </c>
      <c r="EI27" s="39" t="e">
        <f t="shared" si="7"/>
        <v>#DIV/0!</v>
      </c>
      <c r="EJ27" s="9" t="str">
        <f t="shared" si="8"/>
        <v>Азопреципитат</v>
      </c>
      <c r="EK27" s="12">
        <f t="shared" si="9"/>
        <v>0.26</v>
      </c>
      <c r="EL27" s="12">
        <f t="shared" si="10"/>
        <v>0.13</v>
      </c>
      <c r="EM27" s="12">
        <f t="shared" si="11"/>
        <v>0</v>
      </c>
      <c r="EN27" s="12" t="str">
        <f t="shared" si="57"/>
        <v>Нет</v>
      </c>
      <c r="EO27" s="12">
        <f t="shared" si="12"/>
        <v>0</v>
      </c>
      <c r="EP27" s="12">
        <f t="shared" si="13"/>
        <v>0</v>
      </c>
      <c r="EQ27" s="12">
        <f t="shared" si="14"/>
        <v>0</v>
      </c>
      <c r="ER27" s="12" t="str">
        <f t="shared" si="58"/>
        <v>Диаммофоска</v>
      </c>
      <c r="ES27" s="12">
        <f t="shared" si="15"/>
        <v>0.1</v>
      </c>
      <c r="ET27" s="12">
        <f t="shared" si="16"/>
        <v>0.26</v>
      </c>
      <c r="EU27" s="12">
        <f t="shared" si="17"/>
        <v>0.26</v>
      </c>
      <c r="EV27" s="12" t="str">
        <f t="shared" si="59"/>
        <v>Аммофос 12:52:00</v>
      </c>
      <c r="EW27" s="12" t="str">
        <f t="shared" si="60"/>
        <v>Кемира Свекловичное-6</v>
      </c>
      <c r="EX27" s="12">
        <f t="shared" si="18"/>
        <v>0.16</v>
      </c>
      <c r="EY27" s="12">
        <f t="shared" si="19"/>
        <v>0.12</v>
      </c>
      <c r="EZ27" s="12">
        <f t="shared" si="20"/>
        <v>0.17</v>
      </c>
      <c r="FA27" s="38" t="e">
        <f>IF(AND(OR(FJ27=$FD$1,FM27=$FD$1,FO27=$FD$1,FQ27=$FD$1,FS27=$FD$1),FD27=$FD$1,Исходн.данные.!J27&lt;2,FU27=$FD$1),"Бор,Кобальт",IF(AND(FO27=$FD$1,FH27=$FD$1,Исходн.данные.!J27&lt;2,FU27=$FD$1),"Бор,Кобальт",IF(AND(OR(FJ27=$FD$1,FM27=$FD$1,FQ27=$FD$1),FE27=$FD$1,Исходн.данные.!J27&lt;2,FT27=$FD$1,FU27=$FD$1),"Бор,Медь,Цинк",IF(AND(OR(FJ27=$FD$1,FR27="Да"),FI27="Да",Исходн.данные.!J27&lt;2,FT27="Да",FU27="Да"),"Бор,Цинк,Медь",IF(AND(OR(FM27="Да",FQ27="Да"),FI27="Да",Исходн.данные.!J27&lt;2,FT27="Да",FU27="Да"),"Бор,Цинк",IF(AND(FN27="Да",OR(FD27="Да",FE27="Да")),"Бор",FB27))))))</f>
        <v>#N/A</v>
      </c>
      <c r="FB27" s="134" t="e">
        <f>IF(AND(OR(FD27="Да",FE27="Да",FF27="Да",FG27="Да",FH27="Да"),FO27="Да"),"Бор",IF(AND(FP27="Да",OR(FD27="Да",FE27="Да",FI27="Да")),"Бор",IF(AND(FS27="Да",FE27="Да"),"Бор,Медь",IF(AND(OR(FJ27="Да",FK27="Да",FL27="Да"),FE27="Да",Исходн.данные.!I27&lt;5,FT27="Да",FU27="Да"),"Молибден,Цинк",IF(AND(FM27="Да",OR(FE27="Да",FF27="Да",FG27="Да",FH27="Да",FI27="Да")),"Молибден,Цинк",IF(AND(OR(FJ27="Да",FK27="Да",FL27="Да",FM27="Да",FQ27="Да"),OR(FE27="Да",FF27="Да"),FT27="Да",FU27="Да",Исходн.данные.!I27&gt;5.5),"Медь,Цинк",FC27))))))</f>
        <v>#N/A</v>
      </c>
      <c r="FC27" s="23" t="e">
        <f t="shared" si="61"/>
        <v>#N/A</v>
      </c>
      <c r="FD27" s="38" t="str">
        <f>IF(OR(Исходн.данные.!F27=$CC$1,Исходн.данные.!F27=$CC$2,Исходн.данные.!F27=$CC$3,Исходн.данные.!F27=$CC$4),"Да","Нет")</f>
        <v>Нет</v>
      </c>
      <c r="FE27" s="38" t="str">
        <f>IF(Исходн.данные.!F27=$CC$5,"Да","Нет")</f>
        <v>Нет</v>
      </c>
      <c r="FF27" s="38" t="str">
        <f>IF(OR(Исходн.данные.!F27=$CC$6,Исходн.данные.!F27=$CC$7),"Да","Нет")</f>
        <v>Нет</v>
      </c>
      <c r="FG27" s="38" t="str">
        <f>IF(OR(Исходн.данные.!F27=$CC$8,Исходн.данные.!F27=$CC$9),"Да","Нет")</f>
        <v>Нет</v>
      </c>
      <c r="FH27" s="38" t="str">
        <f>IF(Исходн.данные.!F27=$CC$10,"Да","Нет")</f>
        <v>Нет</v>
      </c>
      <c r="FI27" s="38" t="str">
        <f>IF(OR(Исходн.данные.!F27=$CC$11,Исходн.данные.!F27=$CC$12),"Да","Нет")</f>
        <v>Нет</v>
      </c>
      <c r="FJ27" s="38" t="str">
        <f>IF(OR(Исходн.данные.!AH27=$BS$1,Исходн.данные.!AH27=$BQ$11,Исходн.данные.!AH27=$BQ$12),"Да","Нет")</f>
        <v>Нет</v>
      </c>
      <c r="FK27" s="38" t="str">
        <f>IF(OR(Исходн.данные.!AH27=$BS$2,Исходн.данные.!AH27=$BS$4),"Да","Нет")</f>
        <v>Нет</v>
      </c>
      <c r="FL27" s="38" t="str">
        <f>IF(OR(Исходн.данные.!AH27=$BS$3,Исходн.данные.!AH27=$BS$5),"Да","Нет")</f>
        <v>Нет</v>
      </c>
      <c r="FM27" s="38" t="str">
        <f>IF(OR(Исходн.данные.!AH27=$BS$9,Исходн.данные.!AH27=$BS$10,Исходн.данные.!AH27=$BS$11,Исходн.данные.!AH27=$BS$12),"Да","Нет")</f>
        <v>Нет</v>
      </c>
      <c r="FN27" s="38" t="str">
        <f>IF(OR(Исходн.данные.!AH27=$BS$6,Исходн.данные.!AH27=$BP$3),"Да","Нет")</f>
        <v>Нет</v>
      </c>
      <c r="FO27" s="38" t="str">
        <f>IF(Исходн.данные.!AH27=$BQ$9,"Да","Нет")</f>
        <v>Нет</v>
      </c>
      <c r="FP27" s="38" t="str">
        <f>IF(OR(Исходн.данные.!AH27=$BS$8,Исходн.данные.!AH27=$BT$8),"Да","Нет")</f>
        <v>Нет</v>
      </c>
      <c r="FQ27" s="38" t="str">
        <f>IF(OR(Исходн.данные.!AH27=$BQ$7,Исходн.данные.!AH27=$BQ$8),"Да","Нет")</f>
        <v>Нет</v>
      </c>
      <c r="FR27" s="38" t="str">
        <f>IF(Исходн.данные.!AI27=$BU$9,"Да","Нет")</f>
        <v>Нет</v>
      </c>
      <c r="FS27" s="38" t="str">
        <f>IF(OR(Исходн.данные.!AH27=$BP$1,Исходн.данные.!AH27=$BP$2),"Да","Нет")</f>
        <v>Нет</v>
      </c>
      <c r="FT27" s="38" t="e">
        <f>IF((Исходн.данные.!K27*GO27*GS27*GW27+BL27*0.6+Исходн.данные.!Q27*4.5*0.275)&gt;90,"Да","Нет")</f>
        <v>#N/A</v>
      </c>
      <c r="FU27" s="38" t="e">
        <f>IF((Исходн.данные.!M27*GS27*GZ27+BM27*0.225)&gt;35,"Да","Нет")</f>
        <v>#N/A</v>
      </c>
      <c r="FV27" s="38" t="str">
        <f>IF(Исходн.данные.!O27&gt;175,"Да","Нет")</f>
        <v>Нет</v>
      </c>
      <c r="FW27" s="39" t="str">
        <f>IF(Исходн.данные.!I27&gt;5.5,"Да","Нет")</f>
        <v>Нет</v>
      </c>
      <c r="FX27" s="39" t="str">
        <f>IF(Исходн.данные.!J27&lt;2,"Да","Нет")</f>
        <v>Да</v>
      </c>
      <c r="FY27" s="39" t="e">
        <f>IF(HF27=$FY$16,0,Исходн.данные.!K27*GO27*GS27*GW27/HF27)</f>
        <v>#N/A</v>
      </c>
      <c r="FZ27" s="39" t="e">
        <f>Исходн.данные.!M27*GS27*GZ27/HG27</f>
        <v>#N/A</v>
      </c>
      <c r="GA27" s="39" t="e">
        <f>IF(K_Wyn=$FY$16,0,IF(Исходн.данные.!N27=Исходн.данные.!$L$10,Исходн.данные.!O27/1.1*GS27*HC27/HH27,IF(Исходн.данные.!N27=Исходн.данные.!$L$12,Исходн.данные.!O27/1.5*GS27*HC27/HH27,Исходн.данные.!O27*GS27*HC27/HH27)))</f>
        <v>#N/A</v>
      </c>
      <c r="GB27" s="39" t="e">
        <f>IF(HF27=$FY$16,0,((Исходн.данные.!Q27*N_Org+Исходн.данные.!R27*N_Sider+Исходн.данные.!S27*N_Soloma)*AO27+Расчет!BC27*VLOOKUP(Исходн.данные.!T27,Справ!$A$3:$O$57,15)*AO27+BB27*VLOOKUP(Исходн.данные.!T27,Справ!$A$3:$O$57,15)*AL27+(Исходн.данные.!V27*N_Rizotorf+Исходн.данные.!W27*N_Rizoagr))/HF27)</f>
        <v>#N/A</v>
      </c>
      <c r="GC27" s="39" t="e">
        <f>IF(HG27=$FY$16,0,((Исходн.данные.!Q27*Р_Org+Исходн.данные.!R27*P_Sider+Исходн.данные.!S27*P_Soloma)*AP27+Расчет!BC27*VLOOKUP(Исходн.данные.!T27,Справ!$A$3:$P$57,16)*AP27+BB27*VLOOKUP(Исходн.данные.!T27,Справ!$A$3:$P$57,16)*AM27)/HG27)</f>
        <v>#N/A</v>
      </c>
      <c r="GD27" s="39" t="e">
        <f>IF(HH27=$FY$16,0,((Исходн.данные.!Q27*К_Org+Исходн.данные.!R27*K_Sider+Исходн.данные.!S27*K_Soloma)*AQ27+Расчет!BC27*VLOOKUP(Исходн.данные.!T27,Справ!$A$3:$Q$57,17)*AQ27+BB27*VLOOKUP(Исходн.данные.!T27,Справ!$A$3:$Q$57,17)*AN27)/HH27)</f>
        <v>#N/A</v>
      </c>
      <c r="GE27" s="39" t="e">
        <f>IF(HF27=$FY$16,0,(Исходн.данные.!X27*AR27+Исходн.данные.!AA27*N_Org*AL27+Исходн.данные.!AB27*N_Sider*AL27+Исходн.данные.!AC27*N_Soloma*AL27)/HF27)</f>
        <v>#N/A</v>
      </c>
      <c r="GF27" s="39" t="e">
        <f>IF(HG27=$FY$16,0,(Исходн.данные.!Y27*AS27+Исходн.данные.!AA27*Р_Org*AM27+Исходн.данные.!AB27*P_Sider*AM27+Исходн.данные.!AC27*P_Soloma*AM27)/HG27)</f>
        <v>#N/A</v>
      </c>
      <c r="GG27" s="39" t="e">
        <f>IF(HH27=$FY$16,0,(Исходн.данные.!Z27*AT27+Исходн.данные.!AA27*К_Org*AN27+Исходн.данные.!AB27*K_Sider*AN27+Исходн.данные.!AC27*K_Soloma*AN27)/HH27)</f>
        <v>#N/A</v>
      </c>
      <c r="GH27" s="39" t="e">
        <f>Исходн.данные.!AD27*AU27/HF27</f>
        <v>#N/A</v>
      </c>
      <c r="GI27" s="39" t="e">
        <f>Исходн.данные.!AE27*AV27/HG27</f>
        <v>#N/A</v>
      </c>
      <c r="GJ27" s="39" t="e">
        <f>Исходн.данные.!AF27*AW27/HH27</f>
        <v>#N/A</v>
      </c>
      <c r="GK27" s="55">
        <f>Исходн.данные.!AK27</f>
        <v>0</v>
      </c>
      <c r="GL27" s="11" t="e">
        <f t="shared" si="62"/>
        <v>#N/A</v>
      </c>
      <c r="GM27" s="11" t="e">
        <f t="shared" si="63"/>
        <v>#N/A</v>
      </c>
      <c r="GN27" s="11" t="e">
        <f t="shared" si="64"/>
        <v>#N/A</v>
      </c>
      <c r="GO27" s="57">
        <f t="shared" si="65"/>
        <v>19</v>
      </c>
      <c r="GP27" s="55">
        <f>IF(OR(Исходн.данные.!F27=$CE$1,Исходн.данные.!F27=$CE$2,Исходн.данные.!F27=$CE$3,Исходн.данные.!F27=$CE$4,Исходн.данные.!F27=$CE$5),GQ27,GR27)</f>
        <v>19</v>
      </c>
      <c r="GQ27" s="55">
        <f>IF(Исходн.данные.!F27=$CE$1,28,IF(Исходн.данные.!F27=$CE$2,26,IF(Исходн.данные.!F27=$CE$3,24,IF(Исходн.данные.!F27=$CE$4,22,IF(Исходн.данные.!F27=$CE$5,20,GR27)))))</f>
        <v>19</v>
      </c>
      <c r="GR27" s="55">
        <f>IF(Исходн.данные.!F27=$CE$6,18,IF(Исходн.данные.!F27=$CE$7,16,IF(Исходн.данные.!F27=$CE$8,14,IF(Исходн.данные.!F27=$CE$9,13,IF(Исходн.данные.!F27=$CE$10,12,19)))))</f>
        <v>19</v>
      </c>
      <c r="GS27" s="55">
        <f>IF(Исходн.данные.!G27="Пес",0.035*(40+2*Исходн.данные.!H27),IF(Исходн.данные.!G27="Суп",0.0325*(40+2*Исходн.данные.!H27),0.03*(40+2*Исходн.данные.!H27)))</f>
        <v>1.2</v>
      </c>
      <c r="GT27" s="55">
        <f>IF(Исходн.данные.!H27&lt;23,2.6,IF(AND(Исходн.данные.!H27&gt;22,Исходн.данные.!H27&lt;26),3,IF(AND(Исходн.данные.!H27&gt;25,Исходн.данные.!H27&lt;29),3.4,3.6)))</f>
        <v>2.6</v>
      </c>
      <c r="GU27" s="55">
        <f>IF(Исходн.данные.!H27&lt;23,2.8,IF(AND(Исходн.данные.!H27&gt;22,Исходн.данные.!H27&lt;26),3.2,IF(AND(Исходн.данные.!H27&gt;25,Исходн.данные.!H27&lt;29),3.6,3.9)))</f>
        <v>2.8</v>
      </c>
      <c r="GV27" s="55">
        <f>IF(Исходн.данные.!H27&lt;23,3,IF(AND(Исходн.данные.!H27&gt;22,Исходн.данные.!H27&lt;26),3.5,IF(AND(Исходн.данные.!H27&gt;25,Исходн.данные.!H27&lt;29),3.9,4.2)))</f>
        <v>3</v>
      </c>
      <c r="GW27" s="55" t="e">
        <f>IF(Исходн.данные.!P27="Ум",GX27,GY27)</f>
        <v>#N/A</v>
      </c>
      <c r="GX27" s="55" t="e">
        <f>VLOOKUP(Исходн.данные.!AI27,Коэффициенты!$J$7:$L$13,2,FALSE)</f>
        <v>#N/A</v>
      </c>
      <c r="GY27" s="55" t="e">
        <f>VLOOKUP(Исходн.данные.!AI27,Коэффициенты!$J$7:$L$13,3,FALSE)</f>
        <v>#N/A</v>
      </c>
      <c r="GZ27" s="55" t="e">
        <f>(IF(Исходн.данные.!M27&lt;50,0.11*VLOOKUP(Исходн.данные.!AH27,Культуры.Информация,7,FALSE),IF(Исходн.данные.!M27&gt;250,0.05*VLOOKUP(Исходн.данные.!AH27,Культуры.Информация,7,FALSE),VLOOKUP(Исходн.данные.!AH27,Культуры.Информация,5,FALSE)/100*($GX$6+$GY$6*Исходн.данные.!M27))))*Расчет2!AI27</f>
        <v>#N/A</v>
      </c>
      <c r="HA27" s="211"/>
      <c r="HB27" s="211"/>
      <c r="HC27" s="55" t="e">
        <f>(IF(Исходн.данные.!O27&lt;80,0.2*VLOOKUP(Исходн.данные.!AH27,Культуры.Информация,8,FALSE),IF(Исходн.данные.!O27&gt;240,0.09*VLOOKUP(Исходн.данные.!AH27,Культуры.Информация,8,FALSE),VLOOKUP(Исходн.данные.!AH27,Культуры.Информация,6,FALSE)/100*($HB$6+$HC$6*Исходн.данные.!O27))))*Расчет2!AJ27</f>
        <v>#N/A</v>
      </c>
      <c r="HD27" s="55">
        <f>IF(Исходн.данные.!O27&gt;240,0.09,IF(Исходн.данные.!O27&lt;30,0.3,$HE$10+$HD$10*Исходн.данные.!O27))</f>
        <v>0.3</v>
      </c>
      <c r="HE27" s="55">
        <f>IF(Исходн.данные.!O27&gt;240,0.17,IF(Исходн.данные.!O27&lt;30,0.5,$HF$12+$HE$12*Исходн.данные.!O27))</f>
        <v>0.5</v>
      </c>
      <c r="HF27" s="55" t="e">
        <f>VLOOKUP(Исходн.данные.!AH27,Справ!$A$3:$D$58,2,FALSE)</f>
        <v>#N/A</v>
      </c>
      <c r="HG27" s="55" t="e">
        <f>VLOOKUP(Исходн.данные.!AH27,Справ!$A$3:$D$58,3,FALSE)</f>
        <v>#N/A</v>
      </c>
      <c r="HH27" s="55" t="e">
        <f>VLOOKUP(Исходн.данные.!AH27,Справ!$A$3:$D$58,4,FALSE)</f>
        <v>#N/A</v>
      </c>
      <c r="HI27" s="11" t="e">
        <f t="shared" si="66"/>
        <v>#N/A</v>
      </c>
      <c r="HJ27" s="11" t="e">
        <f t="shared" si="67"/>
        <v>#N/A</v>
      </c>
      <c r="HK27" s="11" t="e">
        <f t="shared" si="68"/>
        <v>#N/A</v>
      </c>
      <c r="HL27" s="55">
        <f>IF(OR(Исходн.данные.!G27="Глин",Исходн.данные.!G27="Т_суг"),1.1,IF(Исходн.данные.!G27="Ср_суг",1,1))</f>
        <v>1</v>
      </c>
      <c r="HM27" s="55">
        <f>IF(OR(Исходн.данные.!G27="Глин",Исходн.данные.!G27="Т_суг"),0.9,IF(Исходн.данные.!G27="Ср_суг",1,1.2))</f>
        <v>1.2</v>
      </c>
      <c r="HN27" s="11" t="e">
        <f t="shared" si="69"/>
        <v>#N/A</v>
      </c>
      <c r="HO27" s="11" t="e">
        <f t="shared" si="70"/>
        <v>#N/A</v>
      </c>
      <c r="HP27" s="11" t="e">
        <f t="shared" si="71"/>
        <v>#N/A</v>
      </c>
      <c r="HQ27" t="e">
        <f t="shared" si="72"/>
        <v>#N/A</v>
      </c>
      <c r="HR27" t="e">
        <f t="shared" si="73"/>
        <v>#N/A</v>
      </c>
      <c r="HS27" t="e">
        <f t="shared" si="74"/>
        <v>#N/A</v>
      </c>
      <c r="HT27" t="e">
        <f t="shared" si="21"/>
        <v>#N/A</v>
      </c>
      <c r="HU27" t="e">
        <f t="shared" si="22"/>
        <v>#N/A</v>
      </c>
      <c r="HV27" t="e">
        <f t="shared" si="23"/>
        <v>#N/A</v>
      </c>
      <c r="HW27" t="e">
        <f t="shared" si="24"/>
        <v>#N/A</v>
      </c>
      <c r="HX27" t="e">
        <f t="shared" si="25"/>
        <v>#N/A</v>
      </c>
      <c r="HY27" t="e">
        <f t="shared" si="26"/>
        <v>#N/A</v>
      </c>
      <c r="HZ27" s="55">
        <f>IF(OR(Исходн.данные.!AI27="Оз_Ч_П",Исходн.данные.!AI27="Оз_З_П",Исходн.данные.!AI27="Яр_зер"),12,30)</f>
        <v>30</v>
      </c>
      <c r="IA27" t="e">
        <f t="shared" si="75"/>
        <v>#N/A</v>
      </c>
      <c r="IB27" t="e">
        <f t="shared" si="76"/>
        <v>#N/A</v>
      </c>
      <c r="IC27" t="e">
        <f t="shared" si="77"/>
        <v>#N/A</v>
      </c>
      <c r="ID27" s="11" t="e">
        <f t="shared" si="78"/>
        <v>#N/A</v>
      </c>
      <c r="IE27" s="11" t="e">
        <f t="shared" si="79"/>
        <v>#N/A</v>
      </c>
      <c r="IF27" s="11" t="e">
        <f t="shared" si="80"/>
        <v>#N/A</v>
      </c>
    </row>
    <row r="28" spans="35:240" x14ac:dyDescent="0.2">
      <c r="AI28">
        <f>IF(Исходн.данные.!I28&gt;6,1,1.85-(0.148*Исходн.данные.!I28))</f>
        <v>1.85</v>
      </c>
      <c r="AJ28">
        <f>IF(Исходн.данные.!I28&gt;6,1,2.434-(0.246*Исходн.данные.!I28))</f>
        <v>2.4340000000000002</v>
      </c>
      <c r="AL28" s="148" t="b">
        <f>IF(Исходн.данные.!$P28="Ум",N_OrgUd_2g_um,IF(Исходн.данные.!$P28="Об",N_OrgUd_2g_ob))</f>
        <v>0</v>
      </c>
      <c r="AM28" s="148" t="b">
        <f>IF(Исходн.данные.!$P28="Ум",P_OrgUd_2g_um,IF(Исходн.данные.!$P28="Об",P_OrgUd_2g_ob))</f>
        <v>0</v>
      </c>
      <c r="AN28" s="148" t="b">
        <f>IF(Исходн.данные.!$P28="Ум",K_OrgUd_2g_um,IF(Исходн.данные.!$P28="Об",K_OrgUd_2g_ob))</f>
        <v>0</v>
      </c>
      <c r="AO28" s="148" t="b">
        <f>IF(Исходн.данные.!$P28="Ум",N_OrgUd_1g_um,IF(Исходн.данные.!$P28="Об",N_OrgUd_1g_ob))</f>
        <v>0</v>
      </c>
      <c r="AP28" s="148" t="b">
        <f>IF(Исходн.данные.!$P28="Ум",P_OrgUd_1g_um,IF(Исходн.данные.!$P28="Об",P_OrgUd_1g_ob))</f>
        <v>0</v>
      </c>
      <c r="AQ28" s="148" t="b">
        <f>IF(Исходн.данные.!$P28="Ум",K_OrgUd_1g_um,IF(Исходн.данные.!$P28="Об",K_OrgUd_1g_ob))</f>
        <v>0</v>
      </c>
      <c r="AR28" t="b">
        <f>IF(Исходн.данные.!$P28="Ум",N_MinUd_2g_um,IF(Исходн.данные.!$P28="Об",N_MinUd_2g_ob))</f>
        <v>0</v>
      </c>
      <c r="AS28" t="b">
        <f>IF(Исходн.данные.!$P28="Ум",P_MinUd_2g_um,IF(Исходн.данные.!$P28="Об",P_MinUd_2g_ob))</f>
        <v>0</v>
      </c>
      <c r="AT28" t="b">
        <f>IF(Исходн.данные.!$P28="Ум",K_MinUd_2g_um,IF(Исходн.данные.!$P28="Об",K_MinUd_2g_ob))</f>
        <v>0</v>
      </c>
      <c r="AU28" t="b">
        <f>IF(Исходн.данные.!$P28="Ум",N_MinUd_1g_um,IF(Исходн.данные.!$P28="Об",N_MinUd_1g_ob))</f>
        <v>0</v>
      </c>
      <c r="AV28" t="b">
        <f>IF(Исходн.данные.!P28="Ум",P_MinUd_1g_um,IF(Исходн.данные.!P28="Об",P_MinUd_1g_ob))</f>
        <v>0</v>
      </c>
      <c r="AW28" t="b">
        <f>IF(Исходн.данные.!P28="Ум",K_MinUd_1g_um,IF(Исходн.данные.!P28="Об",K_MinUd_1g_ob))</f>
        <v>0</v>
      </c>
      <c r="AY28" t="e">
        <f>VLOOKUP(Исходн.данные.!T28,Справ!$A$3:$N$57,12)</f>
        <v>#N/A</v>
      </c>
      <c r="AZ28" t="e">
        <f>VLOOKUP(Исходн.данные.!T28,Справ!$A$3:$N$57,13)</f>
        <v>#N/A</v>
      </c>
      <c r="BA28" t="e">
        <f>VLOOKUP(Исходн.данные.!T28,Справ!$A$3:$N$57,14)</f>
        <v>#N/A</v>
      </c>
      <c r="BB28">
        <f>IF(Исходн.данные.!AH28=0,0,25)</f>
        <v>0</v>
      </c>
      <c r="BC28" s="141">
        <f>IF(Исходн.данные.!AH28=0,0,IF(Исходн.данные.!T28=0,25,BD28))</f>
        <v>0</v>
      </c>
      <c r="BD28" s="168" t="e">
        <f>AY28+AZ28*Исходн.данные.!U28-POWER(BA28,2)*Исходн.данные.!U28</f>
        <v>#N/A</v>
      </c>
      <c r="BE2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" s="25">
        <f>IF(Исходн.данные.!AH28=0,0,MIN(HN28:HP28))</f>
        <v>0</v>
      </c>
      <c r="BG28" s="9">
        <f>IF(Исходн.данные.!AH28=0,0,IF((HO28+10*0.25/HG28/HL28)&lt;17,17,HO28+10*0.25/HG28/HL28))</f>
        <v>0</v>
      </c>
      <c r="BH28" s="181">
        <f>IF(Исходн.данные.!AH28=0,0,HW28*HF28*HL28/AU28*AI28+Исходн.данные.!S28*10)</f>
        <v>0</v>
      </c>
      <c r="BI28" s="10"/>
      <c r="BJ28" s="182">
        <f>IF(Исходн.данные.!AH28=0,0,IF(HX28*HG28*HL28/AV28&lt;0,0,HX28*HG28*HL28/AV28*AJ28))</f>
        <v>0</v>
      </c>
      <c r="BK28" s="182">
        <f>IF(Исходн.данные.!AH28=0,0,HY28*HH28*HM28/AW28)</f>
        <v>0</v>
      </c>
      <c r="BL28" s="10">
        <f>IF(OR(Исходн.данные.!$AH28=$BP$1,Исходн.данные.!$AH28=$BP$2),0,IF(BH28&lt;0,0,IF(OR(Исходн.данные.!T28=Расчет!$BP$1,Исходн.данные.!T28=Расчет!$BP$2,Исходн.данные.!T28=Расчет!$BT$5,Исходн.данные.!T28=Расчет!$BT$6),BH28*0.5,IF(OR(Исходн.данные.!T28=Расчет!$BS$9,Исходн.данные.!T28=Расчет!$BS$10,Исходн.данные.!T28=Расчет!$BS$11,Исходн.данные.!T28=Расчет!$BS$12,Исходн.данные.!T28=Расчет!$BP$5),BH28*0.8,BH28))))</f>
        <v>0</v>
      </c>
      <c r="BM28" s="10">
        <f>IF(OR(Исходн.данные.!$AH28=$BP$1,Исходн.данные.!$AH28=$BP$2),0,IF(BJ28&lt;0,0,IF(Исходн.данные.!I28&lt;4.5,BJ28*1.2,IF(Исходн.данные.!I28&gt;5.1,BJ28,BJ28*((5.1-Исходн.данные.!I28)*0.333+1)))))</f>
        <v>0</v>
      </c>
      <c r="BN28" s="10">
        <f>IF(OR(Исходн.данные.!$AH28=$BP$1,Исходн.данные.!$AH28=$BP$2),60-Исходн.данные.!AF28,IF(BK28&lt;0,0,IF(Исходн.данные.!I28&lt;4.5,BK28*1.2,IF(Исходн.данные.!I28&gt;5.1,BK28,BK28*((5.1-Исходн.данные.!I28)*0.333+1)))))</f>
        <v>0</v>
      </c>
      <c r="BO28" s="9">
        <f>IF(BL28&lt;0,0,BL28*Исходн.данные.!$AJ28/1000)</f>
        <v>0</v>
      </c>
      <c r="BP28" s="9">
        <f>IF(BM28&lt;0,0,BM28*Исходн.данные.!$AJ28/1000)</f>
        <v>0</v>
      </c>
      <c r="BQ28" s="9">
        <f>IF(BN28&lt;0,0,BN28*Исходн.данные.!$AJ28/1000)</f>
        <v>0</v>
      </c>
      <c r="BR28" s="9">
        <f t="shared" si="27"/>
        <v>0</v>
      </c>
      <c r="BS28" s="10" t="str">
        <f t="shared" si="28"/>
        <v>Аммофос 12:52:00</v>
      </c>
      <c r="BT28" s="10" t="str">
        <f t="shared" si="29"/>
        <v>Аммофос 12:52:00</v>
      </c>
      <c r="BU28" s="10" t="str">
        <f t="shared" si="30"/>
        <v>Диаммофоска</v>
      </c>
      <c r="BV28" s="10">
        <f t="shared" si="31"/>
        <v>0</v>
      </c>
      <c r="BW28" s="10"/>
      <c r="BX28" s="10"/>
      <c r="BY28" s="9">
        <f>IF(BL28&lt;0,0,IF(OR(Исходн.данные.!AI28=Расчет!$BU$6,Исходн.данные.!AI28=Расчет!$BU$7),Расчет!BV28,IF(Исходн.данные.!$AG28=$BV$11,BL28,IF(OR(Исходн.данные.!$AH28=$BQ$7,Исходн.данные.!$AH28=$BQ$8),CB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0,IF(Исходн.данные.!$AI28=$BU$11,"Нет",IF(BL28&gt;30,30,BL28)))))))</f>
        <v>0</v>
      </c>
      <c r="BZ28" s="9">
        <f>IF(AND(Исходн.данные.!$AG28=$BV$11,BM28&lt;10),10,IF(Исходн.данные.!$AG28=$BV$11,BM28,IF(OR(Исходн.данные.!$AH28=$BQ$7,Исходн.данные.!$AH28=$BQ$8),CC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10,IF(Исходн.данные.!$AI28=$BU$11,"Нет",IF(BM28&gt;60,60,IF(BM28&lt;10,10,BM28)))))))</f>
        <v>10</v>
      </c>
      <c r="CA28" s="39">
        <f>IF(BN28&lt;0,0,IF(Исходн.данные.!$AG28=$BV$11,BN28,IF(OR(Исходн.данные.!$AH28=$BQ$7,Исходн.данные.!$AH28=$BQ$8),CD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0,IF(Исходн.данные.!$AI28=$BU$11,"Нет",IF(BN28&gt;30,30,BN28))))))</f>
        <v>0</v>
      </c>
      <c r="CB28" s="9">
        <f t="shared" si="32"/>
        <v>0</v>
      </c>
      <c r="CC28" s="9">
        <f t="shared" si="33"/>
        <v>0</v>
      </c>
      <c r="CD28" s="9">
        <f t="shared" si="34"/>
        <v>0</v>
      </c>
      <c r="CE28" s="12">
        <f t="shared" si="35"/>
        <v>10</v>
      </c>
      <c r="CF28" s="9">
        <f t="shared" si="36"/>
        <v>0</v>
      </c>
      <c r="CG28" s="9" t="s">
        <v>231</v>
      </c>
      <c r="CH28" s="132" t="str">
        <f>IF(Исходн.данные.!AP28=Расчет!$CI$16,"Нет",IF(Исходн.данные.!AL28&gt;0,Исходн.данные.!AL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BH$4,IF(OR(Исходн.данные.!AI28=Исходн.данные.!$AI$6,Исходн.данные.!AI28=Исходн.данные.!$AI$7),Расчет!BS28,IF(AND($CF28=0,$CE28&gt;0),EV28,ER28)))))</f>
        <v>Аммофос 12:52:00</v>
      </c>
      <c r="CI28" s="274">
        <f>IF(Расчет!$CH28="Нет","Нет",IF(Исходн.данные.!$AL28&gt;0,VLOOKUP(Расчет!$CH28,АшламаДВ_Irekle,2,FALSE),VLOOKUP(Расчет!$CH28,АшламаДВ_Gomumy,2,FALSE)))</f>
        <v>0.12</v>
      </c>
      <c r="CJ28" s="274">
        <f>IF(Расчет!$CH28="Нет","Нет",IF(Исходн.данные.!$AL28&gt;0,VLOOKUP(Расчет!$CH28,АшламаДВ_Irekle,3,FALSE),VLOOKUP(Расчет!$CH28,АшламаДВ_Gomumy,3,FALSE)))</f>
        <v>0.52</v>
      </c>
      <c r="CK28" s="274">
        <f>IF(Расчет!$CH28="Нет","Нет",IF(Исходн.данные.!$AL28&gt;0,VLOOKUP(Расчет!$CH28,АшламаДВ_Irekle,4,FALSE),VLOOKUP(Расчет!$CH28,АшламаДВ_Gomumy,4,FALSE)))</f>
        <v>0</v>
      </c>
      <c r="CL28" s="70"/>
      <c r="CM28" s="70"/>
      <c r="CN28" s="70"/>
      <c r="CO28" s="70"/>
      <c r="CP28" s="70"/>
      <c r="CQ28" s="70"/>
      <c r="CR28" s="10">
        <f t="shared" si="37"/>
        <v>0</v>
      </c>
      <c r="CS28" s="10">
        <f t="shared" si="38"/>
        <v>19.23076923076923</v>
      </c>
      <c r="CT28" s="10">
        <f t="shared" si="39"/>
        <v>0</v>
      </c>
      <c r="CU28" s="39">
        <f>IF($CH28="Нет",0,IF(CI28=0,30/MIN(CJ28:CK28),IF(Исходн.данные.!$AG28=$BV$11,CR28,IF(OR(Исходн.данные.!$AH28=$BQ$7,Исходн.данные.!$AH28=$BQ$8),90/CI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0,IF(Исходн.данные.!$AI28=$BU$11,"Нет",30/CI28))))))</f>
        <v>250</v>
      </c>
      <c r="CV28" s="39">
        <f>IF($CH28="Нет",0,IF(Исходн.данные.!AH28=0,0,IF(CJ28=0,60/MIN(CI28,CK28),IF(Исходн.данные.!$AG28=$BV$11,CS28,IF(OR(Исходн.данные.!$AH28=$BQ$7,Исходн.данные.!$AH28=$BQ$8),90/CJ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10/CJ28,IF(Исходн.данные.!$AI28=$BU$11,"Нет",60/CJ28)))))))</f>
        <v>0</v>
      </c>
      <c r="CW28" s="39">
        <f>IF($CH28="Нет",0,IF(Исходн.данные.!AH28=0,0,IF(CK28=0,30/MIN(CI28:CJ28),IF(Исходн.данные.!$AG28=$BV$11,CT28,IF(OR(Исходн.данные.!$AH28=$BQ$7,Исходн.данные.!$AH28=$BQ$8),90/CK28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0,IF(Исходн.данные.!$AI28=$BU$11,"Нет",30/CK28)))))))</f>
        <v>0</v>
      </c>
      <c r="CX28" s="133">
        <f>IF(Исходн.данные.!$AG28=$BV$11,MAX(CU28:CW28),IF(OR(Исходн.данные.!$AH28=$BS$8,Исходн.данные.!$AH28=$BQ$9,Исходн.данные.!$AH28=$BQ$10,Исходн.данные.!$AH28=$BQ$11,Исходн.данные.!$AH28=$BQ$12,Исходн.данные.!$AH28=$BP$3,Исходн.данные.!$AH28=$BT$8,$FM28="Да"),CV28,MIN(CU28:CW28)))</f>
        <v>0</v>
      </c>
      <c r="CY28" s="133">
        <f>IF(Исходн.данные.!AH28=0,0,IF(CR28&gt;$CX28,$CX28,CR28))</f>
        <v>0</v>
      </c>
      <c r="CZ28" s="133">
        <f>IF(Исходн.данные.!AH28=0,0,IF(CS28&gt;$CX28,$CX28,CS28))</f>
        <v>0</v>
      </c>
      <c r="DA28" s="133">
        <f>IF(Исходн.данные.!AH28=0,0,IF(CT28&gt;$CX28,$CX28,CT28))</f>
        <v>0</v>
      </c>
      <c r="DB28" s="10">
        <f t="shared" si="40"/>
        <v>0</v>
      </c>
      <c r="DC28" s="39">
        <f>DB28*Исходн.данные.!AJ28/1000</f>
        <v>0</v>
      </c>
      <c r="DD28" s="71">
        <f t="shared" si="41"/>
        <v>0</v>
      </c>
      <c r="DE28" s="9">
        <f t="shared" si="42"/>
        <v>0</v>
      </c>
      <c r="DF28" s="9">
        <f t="shared" si="43"/>
        <v>0</v>
      </c>
      <c r="DG28" s="39">
        <f>IF(BL28&lt;0,0,IF($CH28="Нет",BL28,IF(OR(Исходн.данные.!$AH28=$BP$1,Исходн.данные.!$AH28=$BP$2),0,IF(Исходн.данные.!AI28=$BU$11,BL28,IF(BL28-DD28&lt;0,0,BL28-DD28)))))</f>
        <v>0</v>
      </c>
      <c r="DH28" s="39">
        <f>IF(BM28&lt;0,0,IF($CH28="Нет",BM28,IF(OR(Исходн.данные.!$AH28=$BP$1,Исходн.данные.!$AH28=$BP$2),0,IF(Исходн.данные.!AJ28=$BU$11,BM28,IF(BM28-DE28&lt;0,0,BM28-DE28)))))</f>
        <v>0</v>
      </c>
      <c r="DI28" s="39">
        <f>IF(BN28&lt;0,0,IF($CH28="Нет",BN28,IF(OR(Исходн.данные.!$AH28=$BP$1,Исходн.данные.!$AH28=$BP$2),0,IF(Исходн.данные.!AK28=$BU$11,BN28,IF(BN28-DF28&lt;0,0,BN28-DF28)))))</f>
        <v>0</v>
      </c>
      <c r="DJ28" s="12">
        <f t="shared" si="44"/>
        <v>0</v>
      </c>
      <c r="DK28" s="9">
        <f t="shared" si="45"/>
        <v>0</v>
      </c>
      <c r="DL28" s="39">
        <f>IF(Исходн.данные.!AM28&gt;0,Исходн.данные.!AM28,IF(EG28&gt;0,$BH$10,0))</f>
        <v>0</v>
      </c>
      <c r="DM28" s="186">
        <f>IF($DL28=0,0,IF(Исходн.данные.!AM28&gt;0,VLOOKUP($DL28,АшламаДВ_Irekle,2,FALSE),VLOOKUP($DL28,АшламаДВ_Gomumy,2,FALSE)))</f>
        <v>0</v>
      </c>
      <c r="DN28" s="10">
        <f t="shared" si="46"/>
        <v>0</v>
      </c>
      <c r="DO28" s="9" t="str">
        <f>IF(Исходн.данные.!AN28&gt;0,Исходн.данные.!AN28,Удобрения!$B$37 )</f>
        <v>Хлор.калий</v>
      </c>
      <c r="DP28" s="9">
        <f>IF(Исходн.данные.!AN28&gt;0,VLOOKUP(DO28,АшламаДВ_Irekle,4,FALSE),VLOOKUP(DO28,АшламаДВ_Gomumy,4,FALSE))</f>
        <v>0.6</v>
      </c>
      <c r="DQ28" s="10">
        <f t="shared" si="47"/>
        <v>0</v>
      </c>
      <c r="DR28" s="132" t="str">
        <f>IF(Исходн.данные.!AO28&gt;0,Исходн.данные.!AO28,IF(DH28=0,BS$17,IF(AND($DK28=0,$DJ28&gt;0),EJ28,EN28)))</f>
        <v>Нет</v>
      </c>
      <c r="DS28" s="70" t="str">
        <f>IF($DR28="Нет","Нет",IF(Исходн.данные.!$AO28&gt;0,VLOOKUP($DR28,АшламаДВ_Irekle,2,FALSE),VLOOKUP($DR28,АшламаДВ_Gomumy,2,FALSE)))</f>
        <v>Нет</v>
      </c>
      <c r="DT28" s="70" t="str">
        <f>IF($DR28="Нет","Нет",IF(Исходн.данные.!$AO28&gt;0,VLOOKUP($DR28,АшламаДВ_Irekle,3,FALSE),VLOOKUP($DR28,АшламаДВ_Gomumy,3,FALSE)))</f>
        <v>Нет</v>
      </c>
      <c r="DU28" s="70" t="str">
        <f>IF($DR28="Нет","Нет",IF(Исходн.данные.!$AO28&gt;0,VLOOKUP($DR28,АшламаДВ_Irekle,4,FALSE),VLOOKUP($DR28,АшламаДВ_Gomumy,4,FALSE)))</f>
        <v>Нет</v>
      </c>
      <c r="DV28" s="70"/>
      <c r="DW28" s="70"/>
      <c r="DX28" s="70"/>
      <c r="DY28" s="10">
        <f t="shared" si="48"/>
        <v>0</v>
      </c>
      <c r="DZ28" s="10">
        <f t="shared" si="49"/>
        <v>0</v>
      </c>
      <c r="EA28" s="10">
        <f t="shared" si="50"/>
        <v>0</v>
      </c>
      <c r="EB28" s="10">
        <f t="shared" si="51"/>
        <v>0</v>
      </c>
      <c r="EC28" s="10">
        <f t="shared" si="52"/>
        <v>0</v>
      </c>
      <c r="ED28" s="10">
        <f t="shared" si="53"/>
        <v>0</v>
      </c>
      <c r="EE28" s="10">
        <f t="shared" si="54"/>
        <v>0</v>
      </c>
      <c r="EF28" s="39">
        <f>EB28*Исходн.данные.!AJ28/1000</f>
        <v>0</v>
      </c>
      <c r="EG28" s="9">
        <f t="shared" si="55"/>
        <v>0</v>
      </c>
      <c r="EH28" s="9">
        <f t="shared" si="56"/>
        <v>0</v>
      </c>
      <c r="EI28" s="39" t="e">
        <f t="shared" si="7"/>
        <v>#DIV/0!</v>
      </c>
      <c r="EJ28" s="9" t="str">
        <f t="shared" si="8"/>
        <v>Азопреципитат</v>
      </c>
      <c r="EK28" s="12">
        <f t="shared" si="9"/>
        <v>0.26</v>
      </c>
      <c r="EL28" s="12">
        <f t="shared" si="10"/>
        <v>0.13</v>
      </c>
      <c r="EM28" s="12">
        <f t="shared" si="11"/>
        <v>0</v>
      </c>
      <c r="EN28" s="12" t="str">
        <f t="shared" si="57"/>
        <v>Нет</v>
      </c>
      <c r="EO28" s="12">
        <f t="shared" si="12"/>
        <v>0</v>
      </c>
      <c r="EP28" s="12">
        <f t="shared" si="13"/>
        <v>0</v>
      </c>
      <c r="EQ28" s="12">
        <f t="shared" si="14"/>
        <v>0</v>
      </c>
      <c r="ER28" s="12" t="str">
        <f t="shared" si="58"/>
        <v>Диаммофоска</v>
      </c>
      <c r="ES28" s="12">
        <f t="shared" si="15"/>
        <v>0.1</v>
      </c>
      <c r="ET28" s="12">
        <f t="shared" si="16"/>
        <v>0.26</v>
      </c>
      <c r="EU28" s="12">
        <f t="shared" si="17"/>
        <v>0.26</v>
      </c>
      <c r="EV28" s="12" t="str">
        <f t="shared" si="59"/>
        <v>Аммофос 12:52:00</v>
      </c>
      <c r="EW28" s="12" t="str">
        <f t="shared" si="60"/>
        <v>Кемира Свекловичное-6</v>
      </c>
      <c r="EX28" s="12">
        <f t="shared" si="18"/>
        <v>0.16</v>
      </c>
      <c r="EY28" s="12">
        <f t="shared" si="19"/>
        <v>0.12</v>
      </c>
      <c r="EZ28" s="12">
        <f t="shared" si="20"/>
        <v>0.17</v>
      </c>
      <c r="FA28" s="38" t="e">
        <f>IF(AND(OR(FJ28=$FD$1,FM28=$FD$1,FO28=$FD$1,FQ28=$FD$1,FS28=$FD$1),FD28=$FD$1,Исходн.данные.!J28&lt;2,FU28=$FD$1),"Бор,Кобальт",IF(AND(FO28=$FD$1,FH28=$FD$1,Исходн.данные.!J28&lt;2,FU28=$FD$1),"Бор,Кобальт",IF(AND(OR(FJ28=$FD$1,FM28=$FD$1,FQ28=$FD$1),FE28=$FD$1,Исходн.данные.!J28&lt;2,FT28=$FD$1,FU28=$FD$1),"Бор,Медь,Цинк",IF(AND(OR(FJ28=$FD$1,FR28="Да"),FI28="Да",Исходн.данные.!J28&lt;2,FT28="Да",FU28="Да"),"Бор,Цинк,Медь",IF(AND(OR(FM28="Да",FQ28="Да"),FI28="Да",Исходн.данные.!J28&lt;2,FT28="Да",FU28="Да"),"Бор,Цинк",IF(AND(FN28="Да",OR(FD28="Да",FE28="Да")),"Бор",FB28))))))</f>
        <v>#N/A</v>
      </c>
      <c r="FB28" s="134" t="e">
        <f>IF(AND(OR(FD28="Да",FE28="Да",FF28="Да",FG28="Да",FH28="Да"),FO28="Да"),"Бор",IF(AND(FP28="Да",OR(FD28="Да",FE28="Да",FI28="Да")),"Бор",IF(AND(FS28="Да",FE28="Да"),"Бор,Медь",IF(AND(OR(FJ28="Да",FK28="Да",FL28="Да"),FE28="Да",Исходн.данные.!I28&lt;5,FT28="Да",FU28="Да"),"Молибден,Цинк",IF(AND(FM28="Да",OR(FE28="Да",FF28="Да",FG28="Да",FH28="Да",FI28="Да")),"Молибден,Цинк",IF(AND(OR(FJ28="Да",FK28="Да",FL28="Да",FM28="Да",FQ28="Да"),OR(FE28="Да",FF28="Да"),FT28="Да",FU28="Да",Исходн.данные.!I28&gt;5.5),"Медь,Цинк",FC28))))))</f>
        <v>#N/A</v>
      </c>
      <c r="FC28" s="23" t="e">
        <f t="shared" si="61"/>
        <v>#N/A</v>
      </c>
      <c r="FD28" s="38" t="str">
        <f>IF(OR(Исходн.данные.!F28=$CC$1,Исходн.данные.!F28=$CC$2,Исходн.данные.!F28=$CC$3,Исходн.данные.!F28=$CC$4),"Да","Нет")</f>
        <v>Нет</v>
      </c>
      <c r="FE28" s="38" t="str">
        <f>IF(Исходн.данные.!F28=$CC$5,"Да","Нет")</f>
        <v>Нет</v>
      </c>
      <c r="FF28" s="38" t="str">
        <f>IF(OR(Исходн.данные.!F28=$CC$6,Исходн.данные.!F28=$CC$7),"Да","Нет")</f>
        <v>Нет</v>
      </c>
      <c r="FG28" s="38" t="str">
        <f>IF(OR(Исходн.данные.!F28=$CC$8,Исходн.данные.!F28=$CC$9),"Да","Нет")</f>
        <v>Нет</v>
      </c>
      <c r="FH28" s="38" t="str">
        <f>IF(Исходн.данные.!F28=$CC$10,"Да","Нет")</f>
        <v>Нет</v>
      </c>
      <c r="FI28" s="38" t="str">
        <f>IF(OR(Исходн.данные.!F28=$CC$11,Исходн.данные.!F28=$CC$12),"Да","Нет")</f>
        <v>Нет</v>
      </c>
      <c r="FJ28" s="38" t="str">
        <f>IF(OR(Исходн.данные.!AH28=$BS$1,Исходн.данные.!AH28=$BQ$11,Исходн.данные.!AH28=$BQ$12),"Да","Нет")</f>
        <v>Нет</v>
      </c>
      <c r="FK28" s="38" t="str">
        <f>IF(OR(Исходн.данные.!AH28=$BS$2,Исходн.данные.!AH28=$BS$4),"Да","Нет")</f>
        <v>Нет</v>
      </c>
      <c r="FL28" s="38" t="str">
        <f>IF(OR(Исходн.данные.!AH28=$BS$3,Исходн.данные.!AH28=$BS$5),"Да","Нет")</f>
        <v>Нет</v>
      </c>
      <c r="FM28" s="38" t="str">
        <f>IF(OR(Исходн.данные.!AH28=$BS$9,Исходн.данные.!AH28=$BS$10,Исходн.данные.!AH28=$BS$11,Исходн.данные.!AH28=$BS$12),"Да","Нет")</f>
        <v>Нет</v>
      </c>
      <c r="FN28" s="38" t="str">
        <f>IF(OR(Исходн.данные.!AH28=$BS$6,Исходн.данные.!AH28=$BP$3),"Да","Нет")</f>
        <v>Нет</v>
      </c>
      <c r="FO28" s="38" t="str">
        <f>IF(Исходн.данные.!AH28=$BQ$9,"Да","Нет")</f>
        <v>Нет</v>
      </c>
      <c r="FP28" s="38" t="str">
        <f>IF(OR(Исходн.данные.!AH28=$BS$8,Исходн.данные.!AH28=$BT$8),"Да","Нет")</f>
        <v>Нет</v>
      </c>
      <c r="FQ28" s="38" t="str">
        <f>IF(OR(Исходн.данные.!AH28=$BQ$7,Исходн.данные.!AH28=$BQ$8),"Да","Нет")</f>
        <v>Нет</v>
      </c>
      <c r="FR28" s="38" t="str">
        <f>IF(Исходн.данные.!AI28=$BU$9,"Да","Нет")</f>
        <v>Нет</v>
      </c>
      <c r="FS28" s="38" t="str">
        <f>IF(OR(Исходн.данные.!AH28=$BP$1,Исходн.данные.!AH28=$BP$2),"Да","Нет")</f>
        <v>Нет</v>
      </c>
      <c r="FT28" s="38" t="e">
        <f>IF((Исходн.данные.!K28*GO28*GS28*GW28+BL28*0.6+Исходн.данные.!Q28*4.5*0.275)&gt;90,"Да","Нет")</f>
        <v>#N/A</v>
      </c>
      <c r="FU28" s="38" t="e">
        <f>IF((Исходн.данные.!M28*GS28*GZ28+BM28*0.225)&gt;35,"Да","Нет")</f>
        <v>#N/A</v>
      </c>
      <c r="FV28" s="38" t="str">
        <f>IF(Исходн.данные.!O28&gt;175,"Да","Нет")</f>
        <v>Нет</v>
      </c>
      <c r="FW28" s="39" t="str">
        <f>IF(Исходн.данные.!I28&gt;5.5,"Да","Нет")</f>
        <v>Нет</v>
      </c>
      <c r="FX28" s="39" t="str">
        <f>IF(Исходн.данные.!J28&lt;2,"Да","Нет")</f>
        <v>Да</v>
      </c>
      <c r="FY28" s="39" t="e">
        <f>IF(HF28=$FY$16,0,Исходн.данные.!K28*GO28*GS28*GW28/HF28)</f>
        <v>#N/A</v>
      </c>
      <c r="FZ28" s="39" t="e">
        <f>Исходн.данные.!M28*GS28*GZ28/HG28</f>
        <v>#N/A</v>
      </c>
      <c r="GA28" s="39" t="e">
        <f>IF(K_Wyn=$FY$16,0,IF(Исходн.данные.!N28=Исходн.данные.!$L$10,Исходн.данные.!O28/1.1*GS28*HC28/HH28,IF(Исходн.данные.!N28=Исходн.данные.!$L$12,Исходн.данные.!O28/1.5*GS28*HC28/HH28,Исходн.данные.!O28*GS28*HC28/HH28)))</f>
        <v>#N/A</v>
      </c>
      <c r="GB28" s="39" t="e">
        <f>IF(HF28=$FY$16,0,((Исходн.данные.!Q28*N_Org+Исходн.данные.!R28*N_Sider+Исходн.данные.!S28*N_Soloma)*AO28+Расчет!BC28*VLOOKUP(Исходн.данные.!T28,Справ!$A$3:$O$57,15)*AO28+BB28*VLOOKUP(Исходн.данные.!T28,Справ!$A$3:$O$57,15)*AL28+(Исходн.данные.!V28*N_Rizotorf+Исходн.данные.!W28*N_Rizoagr))/HF28)</f>
        <v>#N/A</v>
      </c>
      <c r="GC28" s="39" t="e">
        <f>IF(HG28=$FY$16,0,((Исходн.данные.!Q28*Р_Org+Исходн.данные.!R28*P_Sider+Исходн.данные.!S28*P_Soloma)*AP28+Расчет!BC28*VLOOKUP(Исходн.данные.!T28,Справ!$A$3:$P$57,16)*AP28+BB28*VLOOKUP(Исходн.данные.!T28,Справ!$A$3:$P$57,16)*AM28)/HG28)</f>
        <v>#N/A</v>
      </c>
      <c r="GD28" s="39" t="e">
        <f>IF(HH28=$FY$16,0,((Исходн.данные.!Q28*К_Org+Исходн.данные.!R28*K_Sider+Исходн.данные.!S28*K_Soloma)*AQ28+Расчет!BC28*VLOOKUP(Исходн.данные.!T28,Справ!$A$3:$Q$57,17)*AQ28+BB28*VLOOKUP(Исходн.данные.!T28,Справ!$A$3:$Q$57,17)*AN28)/HH28)</f>
        <v>#N/A</v>
      </c>
      <c r="GE28" s="39" t="e">
        <f>IF(HF28=$FY$16,0,(Исходн.данные.!X28*AR28+Исходн.данные.!AA28*N_Org*AL28+Исходн.данные.!AB28*N_Sider*AL28+Исходн.данные.!AC28*N_Soloma*AL28)/HF28)</f>
        <v>#N/A</v>
      </c>
      <c r="GF28" s="39" t="e">
        <f>IF(HG28=$FY$16,0,(Исходн.данные.!Y28*AS28+Исходн.данные.!AA28*Р_Org*AM28+Исходн.данные.!AB28*P_Sider*AM28+Исходн.данные.!AC28*P_Soloma*AM28)/HG28)</f>
        <v>#N/A</v>
      </c>
      <c r="GG28" s="39" t="e">
        <f>IF(HH28=$FY$16,0,(Исходн.данные.!Z28*AT28+Исходн.данные.!AA28*К_Org*AN28+Исходн.данные.!AB28*K_Sider*AN28+Исходн.данные.!AC28*K_Soloma*AN28)/HH28)</f>
        <v>#N/A</v>
      </c>
      <c r="GH28" s="39" t="e">
        <f>Исходн.данные.!AD28*AU28/HF28</f>
        <v>#N/A</v>
      </c>
      <c r="GI28" s="39" t="e">
        <f>Исходн.данные.!AE28*AV28/HG28</f>
        <v>#N/A</v>
      </c>
      <c r="GJ28" s="39" t="e">
        <f>Исходн.данные.!AF28*AW28/HH28</f>
        <v>#N/A</v>
      </c>
      <c r="GK28" s="55">
        <f>Исходн.данные.!AK28</f>
        <v>0</v>
      </c>
      <c r="GL28" s="11" t="e">
        <f t="shared" si="62"/>
        <v>#N/A</v>
      </c>
      <c r="GM28" s="11" t="e">
        <f t="shared" si="63"/>
        <v>#N/A</v>
      </c>
      <c r="GN28" s="11" t="e">
        <f t="shared" si="64"/>
        <v>#N/A</v>
      </c>
      <c r="GO28" s="57">
        <f t="shared" si="65"/>
        <v>19</v>
      </c>
      <c r="GP28" s="55">
        <f>IF(OR(Исходн.данные.!F28=$CE$1,Исходн.данные.!F28=$CE$2,Исходн.данные.!F28=$CE$3,Исходн.данные.!F28=$CE$4,Исходн.данные.!F28=$CE$5),GQ28,GR28)</f>
        <v>19</v>
      </c>
      <c r="GQ28" s="55">
        <f>IF(Исходн.данные.!F28=$CE$1,28,IF(Исходн.данные.!F28=$CE$2,26,IF(Исходн.данные.!F28=$CE$3,24,IF(Исходн.данные.!F28=$CE$4,22,IF(Исходн.данные.!F28=$CE$5,20,GR28)))))</f>
        <v>19</v>
      </c>
      <c r="GR28" s="55">
        <f>IF(Исходн.данные.!F28=$CE$6,18,IF(Исходн.данные.!F28=$CE$7,16,IF(Исходн.данные.!F28=$CE$8,14,IF(Исходн.данные.!F28=$CE$9,13,IF(Исходн.данные.!F28=$CE$10,12,19)))))</f>
        <v>19</v>
      </c>
      <c r="GS28" s="55">
        <f>IF(Исходн.данные.!G28="Пес",0.035*(40+2*Исходн.данные.!H28),IF(Исходн.данные.!G28="Суп",0.0325*(40+2*Исходн.данные.!H28),0.03*(40+2*Исходн.данные.!H28)))</f>
        <v>1.2</v>
      </c>
      <c r="GT28" s="55">
        <f>IF(Исходн.данные.!H28&lt;23,2.6,IF(AND(Исходн.данные.!H28&gt;22,Исходн.данные.!H28&lt;26),3,IF(AND(Исходн.данные.!H28&gt;25,Исходн.данные.!H28&lt;29),3.4,3.6)))</f>
        <v>2.6</v>
      </c>
      <c r="GU28" s="55">
        <f>IF(Исходн.данные.!H28&lt;23,2.8,IF(AND(Исходн.данные.!H28&gt;22,Исходн.данные.!H28&lt;26),3.2,IF(AND(Исходн.данные.!H28&gt;25,Исходн.данные.!H28&lt;29),3.6,3.9)))</f>
        <v>2.8</v>
      </c>
      <c r="GV28" s="55">
        <f>IF(Исходн.данные.!H28&lt;23,3,IF(AND(Исходн.данные.!H28&gt;22,Исходн.данные.!H28&lt;26),3.5,IF(AND(Исходн.данные.!H28&gt;25,Исходн.данные.!H28&lt;29),3.9,4.2)))</f>
        <v>3</v>
      </c>
      <c r="GW28" s="55" t="e">
        <f>IF(Исходн.данные.!P28="Ум",GX28,GY28)</f>
        <v>#N/A</v>
      </c>
      <c r="GX28" s="55" t="e">
        <f>VLOOKUP(Исходн.данные.!AI28,Коэффициенты!$J$7:$L$13,2,FALSE)</f>
        <v>#N/A</v>
      </c>
      <c r="GY28" s="55" t="e">
        <f>VLOOKUP(Исходн.данные.!AI28,Коэффициенты!$J$7:$L$13,3,FALSE)</f>
        <v>#N/A</v>
      </c>
      <c r="GZ28" s="55" t="e">
        <f>(IF(Исходн.данные.!M28&lt;50,0.11*VLOOKUP(Исходн.данные.!AH28,Культуры.Информация,7,FALSE),IF(Исходн.данные.!M28&gt;250,0.05*VLOOKUP(Исходн.данные.!AH28,Культуры.Информация,7,FALSE),VLOOKUP(Исходн.данные.!AH28,Культуры.Информация,5,FALSE)/100*($GX$6+$GY$6*Исходн.данные.!M28))))*Расчет2!AI28</f>
        <v>#N/A</v>
      </c>
      <c r="HA28" s="211"/>
      <c r="HB28" s="211"/>
      <c r="HC28" s="55" t="e">
        <f>(IF(Исходн.данные.!O28&lt;80,0.2*VLOOKUP(Исходн.данные.!AH28,Культуры.Информация,8,FALSE),IF(Исходн.данные.!O28&gt;240,0.09*VLOOKUP(Исходн.данные.!AH28,Культуры.Информация,8,FALSE),VLOOKUP(Исходн.данные.!AH28,Культуры.Информация,6,FALSE)/100*($HB$6+$HC$6*Исходн.данные.!O28))))*Расчет2!AJ28</f>
        <v>#N/A</v>
      </c>
      <c r="HD28" s="55">
        <f>IF(Исходн.данные.!O28&gt;240,0.09,IF(Исходн.данные.!O28&lt;30,0.3,$HE$10+$HD$10*Исходн.данные.!O28))</f>
        <v>0.3</v>
      </c>
      <c r="HE28" s="55">
        <f>IF(Исходн.данные.!O28&gt;240,0.17,IF(Исходн.данные.!O28&lt;30,0.5,$HF$12+$HE$12*Исходн.данные.!O28))</f>
        <v>0.5</v>
      </c>
      <c r="HF28" s="55" t="e">
        <f>VLOOKUP(Исходн.данные.!AH28,Справ!$A$3:$D$58,2,FALSE)</f>
        <v>#N/A</v>
      </c>
      <c r="HG28" s="55" t="e">
        <f>VLOOKUP(Исходн.данные.!AH28,Справ!$A$3:$D$58,3,FALSE)</f>
        <v>#N/A</v>
      </c>
      <c r="HH28" s="55" t="e">
        <f>VLOOKUP(Исходн.данные.!AH28,Справ!$A$3:$D$58,4,FALSE)</f>
        <v>#N/A</v>
      </c>
      <c r="HI28" s="11" t="e">
        <f t="shared" si="66"/>
        <v>#N/A</v>
      </c>
      <c r="HJ28" s="11" t="e">
        <f t="shared" si="67"/>
        <v>#N/A</v>
      </c>
      <c r="HK28" s="11" t="e">
        <f t="shared" si="68"/>
        <v>#N/A</v>
      </c>
      <c r="HL28" s="55">
        <f>IF(OR(Исходн.данные.!G28="Глин",Исходн.данные.!G28="Т_суг"),1.1,IF(Исходн.данные.!G28="Ср_суг",1,1))</f>
        <v>1</v>
      </c>
      <c r="HM28" s="55">
        <f>IF(OR(Исходн.данные.!G28="Глин",Исходн.данные.!G28="Т_суг"),0.9,IF(Исходн.данные.!G28="Ср_суг",1,1.2))</f>
        <v>1.2</v>
      </c>
      <c r="HN28" s="11" t="e">
        <f t="shared" si="69"/>
        <v>#N/A</v>
      </c>
      <c r="HO28" s="11" t="e">
        <f t="shared" si="70"/>
        <v>#N/A</v>
      </c>
      <c r="HP28" s="11" t="e">
        <f t="shared" si="71"/>
        <v>#N/A</v>
      </c>
      <c r="HQ28" t="e">
        <f t="shared" si="72"/>
        <v>#N/A</v>
      </c>
      <c r="HR28" t="e">
        <f t="shared" si="73"/>
        <v>#N/A</v>
      </c>
      <c r="HS28" t="e">
        <f t="shared" si="74"/>
        <v>#N/A</v>
      </c>
      <c r="HT28" t="e">
        <f t="shared" si="21"/>
        <v>#N/A</v>
      </c>
      <c r="HU28" t="e">
        <f t="shared" si="22"/>
        <v>#N/A</v>
      </c>
      <c r="HV28" t="e">
        <f t="shared" si="23"/>
        <v>#N/A</v>
      </c>
      <c r="HW28" t="e">
        <f t="shared" si="24"/>
        <v>#N/A</v>
      </c>
      <c r="HX28" t="e">
        <f t="shared" si="25"/>
        <v>#N/A</v>
      </c>
      <c r="HY28" t="e">
        <f t="shared" si="26"/>
        <v>#N/A</v>
      </c>
      <c r="HZ28" s="55">
        <f>IF(OR(Исходн.данные.!AI28="Оз_Ч_П",Исходн.данные.!AI28="Оз_З_П",Исходн.данные.!AI28="Яр_зер"),12,30)</f>
        <v>30</v>
      </c>
      <c r="IA28" t="e">
        <f t="shared" si="75"/>
        <v>#N/A</v>
      </c>
      <c r="IB28" t="e">
        <f t="shared" si="76"/>
        <v>#N/A</v>
      </c>
      <c r="IC28" t="e">
        <f t="shared" si="77"/>
        <v>#N/A</v>
      </c>
      <c r="ID28" s="11" t="e">
        <f t="shared" si="78"/>
        <v>#N/A</v>
      </c>
      <c r="IE28" s="11" t="e">
        <f t="shared" si="79"/>
        <v>#N/A</v>
      </c>
      <c r="IF28" s="11" t="e">
        <f t="shared" si="80"/>
        <v>#N/A</v>
      </c>
    </row>
    <row r="29" spans="35:240" x14ac:dyDescent="0.2">
      <c r="AI29">
        <f>IF(Исходн.данные.!I29&gt;6,1,1.85-(0.148*Исходн.данные.!I29))</f>
        <v>1.85</v>
      </c>
      <c r="AJ29">
        <f>IF(Исходн.данные.!I29&gt;6,1,2.434-(0.246*Исходн.данные.!I29))</f>
        <v>2.4340000000000002</v>
      </c>
      <c r="AL29" s="148" t="b">
        <f>IF(Исходн.данные.!$P29="Ум",N_OrgUd_2g_um,IF(Исходн.данные.!$P29="Об",N_OrgUd_2g_ob))</f>
        <v>0</v>
      </c>
      <c r="AM29" s="148" t="b">
        <f>IF(Исходн.данные.!$P29="Ум",P_OrgUd_2g_um,IF(Исходн.данные.!$P29="Об",P_OrgUd_2g_ob))</f>
        <v>0</v>
      </c>
      <c r="AN29" s="148" t="b">
        <f>IF(Исходн.данные.!$P29="Ум",K_OrgUd_2g_um,IF(Исходн.данные.!$P29="Об",K_OrgUd_2g_ob))</f>
        <v>0</v>
      </c>
      <c r="AO29" s="148" t="b">
        <f>IF(Исходн.данные.!$P29="Ум",N_OrgUd_1g_um,IF(Исходн.данные.!$P29="Об",N_OrgUd_1g_ob))</f>
        <v>0</v>
      </c>
      <c r="AP29" s="148" t="b">
        <f>IF(Исходн.данные.!$P29="Ум",P_OrgUd_1g_um,IF(Исходн.данные.!$P29="Об",P_OrgUd_1g_ob))</f>
        <v>0</v>
      </c>
      <c r="AQ29" s="148" t="b">
        <f>IF(Исходн.данные.!$P29="Ум",K_OrgUd_1g_um,IF(Исходн.данные.!$P29="Об",K_OrgUd_1g_ob))</f>
        <v>0</v>
      </c>
      <c r="AR29" t="b">
        <f>IF(Исходн.данные.!$P29="Ум",N_MinUd_2g_um,IF(Исходн.данные.!$P29="Об",N_MinUd_2g_ob))</f>
        <v>0</v>
      </c>
      <c r="AS29" t="b">
        <f>IF(Исходн.данные.!$P29="Ум",P_MinUd_2g_um,IF(Исходн.данные.!$P29="Об",P_MinUd_2g_ob))</f>
        <v>0</v>
      </c>
      <c r="AT29" t="b">
        <f>IF(Исходн.данные.!$P29="Ум",K_MinUd_2g_um,IF(Исходн.данные.!$P29="Об",K_MinUd_2g_ob))</f>
        <v>0</v>
      </c>
      <c r="AU29" t="b">
        <f>IF(Исходн.данные.!$P29="Ум",N_MinUd_1g_um,IF(Исходн.данные.!$P29="Об",N_MinUd_1g_ob))</f>
        <v>0</v>
      </c>
      <c r="AV29" t="b">
        <f>IF(Исходн.данные.!P29="Ум",P_MinUd_1g_um,IF(Исходн.данные.!P29="Об",P_MinUd_1g_ob))</f>
        <v>0</v>
      </c>
      <c r="AW29" t="b">
        <f>IF(Исходн.данные.!P29="Ум",K_MinUd_1g_um,IF(Исходн.данные.!P29="Об",K_MinUd_1g_ob))</f>
        <v>0</v>
      </c>
      <c r="AY29" t="e">
        <f>VLOOKUP(Исходн.данные.!T29,Справ!$A$3:$N$57,12)</f>
        <v>#N/A</v>
      </c>
      <c r="AZ29" t="e">
        <f>VLOOKUP(Исходн.данные.!T29,Справ!$A$3:$N$57,13)</f>
        <v>#N/A</v>
      </c>
      <c r="BA29" t="e">
        <f>VLOOKUP(Исходн.данные.!T29,Справ!$A$3:$N$57,14)</f>
        <v>#N/A</v>
      </c>
      <c r="BB29">
        <f>IF(Исходн.данные.!AH29=0,0,25)</f>
        <v>0</v>
      </c>
      <c r="BC29" s="141">
        <f>IF(Исходн.данные.!AH29=0,0,IF(Исходн.данные.!T29=0,25,BD29))</f>
        <v>0</v>
      </c>
      <c r="BD29" s="168" t="e">
        <f>AY29+AZ29*Исходн.данные.!U29-POWER(BA29,2)*Исходн.данные.!U29</f>
        <v>#N/A</v>
      </c>
      <c r="BE2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" s="25">
        <f>IF(Исходн.данные.!AH29=0,0,MIN(HN29:HP29))</f>
        <v>0</v>
      </c>
      <c r="BG29" s="9">
        <f>IF(Исходн.данные.!AH29=0,0,IF((HO29+10*0.25/HG29/HL29)&lt;17,17,HO29+10*0.25/HG29/HL29))</f>
        <v>0</v>
      </c>
      <c r="BH29" s="181">
        <f>IF(Исходн.данные.!AH29=0,0,HW29*HF29*HL29/AU29*AI29+Исходн.данные.!S29*10)</f>
        <v>0</v>
      </c>
      <c r="BI29" s="10"/>
      <c r="BJ29" s="182">
        <f>IF(Исходн.данные.!AH29=0,0,IF(HX29*HG29*HL29/AV29&lt;0,0,HX29*HG29*HL29/AV29*AJ29))</f>
        <v>0</v>
      </c>
      <c r="BK29" s="182">
        <f>IF(Исходн.данные.!AH29=0,0,HY29*HH29*HM29/AW29)</f>
        <v>0</v>
      </c>
      <c r="BL29" s="10">
        <f>IF(OR(Исходн.данные.!$AH29=$BP$1,Исходн.данные.!$AH29=$BP$2),0,IF(BH29&lt;0,0,IF(OR(Исходн.данные.!T29=Расчет!$BP$1,Исходн.данные.!T29=Расчет!$BP$2,Исходн.данные.!T29=Расчет!$BT$5,Исходн.данные.!T29=Расчет!$BT$6),BH29*0.5,IF(OR(Исходн.данные.!T29=Расчет!$BS$9,Исходн.данные.!T29=Расчет!$BS$10,Исходн.данные.!T29=Расчет!$BS$11,Исходн.данные.!T29=Расчет!$BS$12,Исходн.данные.!T29=Расчет!$BP$5),BH29*0.8,BH29))))</f>
        <v>0</v>
      </c>
      <c r="BM29" s="10">
        <f>IF(OR(Исходн.данные.!$AH29=$BP$1,Исходн.данные.!$AH29=$BP$2),0,IF(BJ29&lt;0,0,IF(Исходн.данные.!I29&lt;4.5,BJ29*1.2,IF(Исходн.данные.!I29&gt;5.1,BJ29,BJ29*((5.1-Исходн.данные.!I29)*0.333+1)))))</f>
        <v>0</v>
      </c>
      <c r="BN29" s="10">
        <f>IF(OR(Исходн.данные.!$AH29=$BP$1,Исходн.данные.!$AH29=$BP$2),60-Исходн.данные.!AF29,IF(BK29&lt;0,0,IF(Исходн.данные.!I29&lt;4.5,BK29*1.2,IF(Исходн.данные.!I29&gt;5.1,BK29,BK29*((5.1-Исходн.данные.!I29)*0.333+1)))))</f>
        <v>0</v>
      </c>
      <c r="BO29" s="9">
        <f>IF(BL29&lt;0,0,BL29*Исходн.данные.!$AJ29/1000)</f>
        <v>0</v>
      </c>
      <c r="BP29" s="9">
        <f>IF(BM29&lt;0,0,BM29*Исходн.данные.!$AJ29/1000)</f>
        <v>0</v>
      </c>
      <c r="BQ29" s="9">
        <f>IF(BN29&lt;0,0,BN29*Исходн.данные.!$AJ29/1000)</f>
        <v>0</v>
      </c>
      <c r="BR29" s="9">
        <f t="shared" si="27"/>
        <v>0</v>
      </c>
      <c r="BS29" s="10" t="str">
        <f t="shared" si="28"/>
        <v>Аммофос 12:52:00</v>
      </c>
      <c r="BT29" s="10" t="str">
        <f t="shared" si="29"/>
        <v>Аммофос 12:52:00</v>
      </c>
      <c r="BU29" s="10" t="str">
        <f t="shared" si="30"/>
        <v>Диаммофоска</v>
      </c>
      <c r="BV29" s="10">
        <f t="shared" si="31"/>
        <v>0</v>
      </c>
      <c r="BW29" s="10"/>
      <c r="BX29" s="10"/>
      <c r="BY29" s="9">
        <f>IF(BL29&lt;0,0,IF(OR(Исходн.данные.!AI29=Расчет!$BU$6,Исходн.данные.!AI29=Расчет!$BU$7),Расчет!BV29,IF(Исходн.данные.!$AG29=$BV$11,BL29,IF(OR(Исходн.данные.!$AH29=$BQ$7,Исходн.данные.!$AH29=$BQ$8),CB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0,IF(Исходн.данные.!$AI29=$BU$11,"Нет",IF(BL29&gt;30,30,BL29)))))))</f>
        <v>0</v>
      </c>
      <c r="BZ29" s="9">
        <f>IF(AND(Исходн.данные.!$AG29=$BV$11,BM29&lt;10),10,IF(Исходн.данные.!$AG29=$BV$11,BM29,IF(OR(Исходн.данные.!$AH29=$BQ$7,Исходн.данные.!$AH29=$BQ$8),CC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10,IF(Исходн.данные.!$AI29=$BU$11,"Нет",IF(BM29&gt;60,60,IF(BM29&lt;10,10,BM29)))))))</f>
        <v>10</v>
      </c>
      <c r="CA29" s="39">
        <f>IF(BN29&lt;0,0,IF(Исходн.данные.!$AG29=$BV$11,BN29,IF(OR(Исходн.данные.!$AH29=$BQ$7,Исходн.данные.!$AH29=$BQ$8),CD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0,IF(Исходн.данные.!$AI29=$BU$11,"Нет",IF(BN29&gt;30,30,BN29))))))</f>
        <v>0</v>
      </c>
      <c r="CB29" s="9">
        <f t="shared" si="32"/>
        <v>0</v>
      </c>
      <c r="CC29" s="9">
        <f t="shared" si="33"/>
        <v>0</v>
      </c>
      <c r="CD29" s="9">
        <f t="shared" si="34"/>
        <v>0</v>
      </c>
      <c r="CE29" s="12">
        <f t="shared" si="35"/>
        <v>10</v>
      </c>
      <c r="CF29" s="9">
        <f t="shared" si="36"/>
        <v>0</v>
      </c>
      <c r="CG29" s="9" t="s">
        <v>231</v>
      </c>
      <c r="CH29" s="132" t="str">
        <f>IF(Исходн.данные.!AP29=Расчет!$CI$16,"Нет",IF(Исходн.данные.!AL29&gt;0,Исходн.данные.!AL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BH$4,IF(OR(Исходн.данные.!AI29=Исходн.данные.!$AI$6,Исходн.данные.!AI29=Исходн.данные.!$AI$7),Расчет!BS29,IF(AND($CF29=0,$CE29&gt;0),EV29,ER29)))))</f>
        <v>Аммофос 12:52:00</v>
      </c>
      <c r="CI29" s="274">
        <f>IF(Расчет!$CH29="Нет","Нет",IF(Исходн.данные.!$AL29&gt;0,VLOOKUP(Расчет!$CH29,АшламаДВ_Irekle,2,FALSE),VLOOKUP(Расчет!$CH29,АшламаДВ_Gomumy,2,FALSE)))</f>
        <v>0.12</v>
      </c>
      <c r="CJ29" s="274">
        <f>IF(Расчет!$CH29="Нет","Нет",IF(Исходн.данные.!$AL29&gt;0,VLOOKUP(Расчет!$CH29,АшламаДВ_Irekle,3,FALSE),VLOOKUP(Расчет!$CH29,АшламаДВ_Gomumy,3,FALSE)))</f>
        <v>0.52</v>
      </c>
      <c r="CK29" s="274">
        <f>IF(Расчет!$CH29="Нет","Нет",IF(Исходн.данные.!$AL29&gt;0,VLOOKUP(Расчет!$CH29,АшламаДВ_Irekle,4,FALSE),VLOOKUP(Расчет!$CH29,АшламаДВ_Gomumy,4,FALSE)))</f>
        <v>0</v>
      </c>
      <c r="CL29" s="70"/>
      <c r="CM29" s="70"/>
      <c r="CN29" s="70"/>
      <c r="CO29" s="70"/>
      <c r="CP29" s="70"/>
      <c r="CQ29" s="70"/>
      <c r="CR29" s="10">
        <f t="shared" si="37"/>
        <v>0</v>
      </c>
      <c r="CS29" s="10">
        <f t="shared" si="38"/>
        <v>19.23076923076923</v>
      </c>
      <c r="CT29" s="10">
        <f t="shared" si="39"/>
        <v>0</v>
      </c>
      <c r="CU29" s="39">
        <f>IF($CH29="Нет",0,IF(CI29=0,30/MIN(CJ29:CK29),IF(Исходн.данные.!$AG29=$BV$11,CR29,IF(OR(Исходн.данные.!$AH29=$BQ$7,Исходн.данные.!$AH29=$BQ$8),90/CI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0,IF(Исходн.данные.!$AI29=$BU$11,"Нет",30/CI29))))))</f>
        <v>250</v>
      </c>
      <c r="CV29" s="39">
        <f>IF($CH29="Нет",0,IF(Исходн.данные.!AH29=0,0,IF(CJ29=0,60/MIN(CI29,CK29),IF(Исходн.данные.!$AG29=$BV$11,CS29,IF(OR(Исходн.данные.!$AH29=$BQ$7,Исходн.данные.!$AH29=$BQ$8),90/CJ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10/CJ29,IF(Исходн.данные.!$AI29=$BU$11,"Нет",60/CJ29)))))))</f>
        <v>0</v>
      </c>
      <c r="CW29" s="39">
        <f>IF($CH29="Нет",0,IF(Исходн.данные.!AH29=0,0,IF(CK29=0,30/MIN(CI29:CJ29),IF(Исходн.данные.!$AG29=$BV$11,CT29,IF(OR(Исходн.данные.!$AH29=$BQ$7,Исходн.данные.!$AH29=$BQ$8),90/CK29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0,IF(Исходн.данные.!$AI29=$BU$11,"Нет",30/CK29)))))))</f>
        <v>0</v>
      </c>
      <c r="CX29" s="133">
        <f>IF(Исходн.данные.!$AG29=$BV$11,MAX(CU29:CW29),IF(OR(Исходн.данные.!$AH29=$BS$8,Исходн.данные.!$AH29=$BQ$9,Исходн.данные.!$AH29=$BQ$10,Исходн.данные.!$AH29=$BQ$11,Исходн.данные.!$AH29=$BQ$12,Исходн.данные.!$AH29=$BP$3,Исходн.данные.!$AH29=$BT$8,$FM29="Да"),CV29,MIN(CU29:CW29)))</f>
        <v>0</v>
      </c>
      <c r="CY29" s="133">
        <f>IF(Исходн.данные.!AH29=0,0,IF(CR29&gt;$CX29,$CX29,CR29))</f>
        <v>0</v>
      </c>
      <c r="CZ29" s="133">
        <f>IF(Исходн.данные.!AH29=0,0,IF(CS29&gt;$CX29,$CX29,CS29))</f>
        <v>0</v>
      </c>
      <c r="DA29" s="133">
        <f>IF(Исходн.данные.!AH29=0,0,IF(CT29&gt;$CX29,$CX29,CT29))</f>
        <v>0</v>
      </c>
      <c r="DB29" s="10">
        <f t="shared" si="40"/>
        <v>0</v>
      </c>
      <c r="DC29" s="39">
        <f>DB29*Исходн.данные.!AJ29/1000</f>
        <v>0</v>
      </c>
      <c r="DD29" s="71">
        <f t="shared" si="41"/>
        <v>0</v>
      </c>
      <c r="DE29" s="9">
        <f t="shared" si="42"/>
        <v>0</v>
      </c>
      <c r="DF29" s="9">
        <f t="shared" si="43"/>
        <v>0</v>
      </c>
      <c r="DG29" s="39">
        <f>IF(BL29&lt;0,0,IF($CH29="Нет",BL29,IF(OR(Исходн.данные.!$AH29=$BP$1,Исходн.данные.!$AH29=$BP$2),0,IF(Исходн.данные.!AI29=$BU$11,BL29,IF(BL29-DD29&lt;0,0,BL29-DD29)))))</f>
        <v>0</v>
      </c>
      <c r="DH29" s="39">
        <f>IF(BM29&lt;0,0,IF($CH29="Нет",BM29,IF(OR(Исходн.данные.!$AH29=$BP$1,Исходн.данные.!$AH29=$BP$2),0,IF(Исходн.данные.!AJ29=$BU$11,BM29,IF(BM29-DE29&lt;0,0,BM29-DE29)))))</f>
        <v>0</v>
      </c>
      <c r="DI29" s="39">
        <f>IF(BN29&lt;0,0,IF($CH29="Нет",BN29,IF(OR(Исходн.данные.!$AH29=$BP$1,Исходн.данные.!$AH29=$BP$2),0,IF(Исходн.данные.!AK29=$BU$11,BN29,IF(BN29-DF29&lt;0,0,BN29-DF29)))))</f>
        <v>0</v>
      </c>
      <c r="DJ29" s="12">
        <f t="shared" si="44"/>
        <v>0</v>
      </c>
      <c r="DK29" s="9">
        <f t="shared" si="45"/>
        <v>0</v>
      </c>
      <c r="DL29" s="39">
        <f>IF(Исходн.данные.!AM29&gt;0,Исходн.данные.!AM29,IF(EG29&gt;0,$BH$10,0))</f>
        <v>0</v>
      </c>
      <c r="DM29" s="186">
        <f>IF($DL29=0,0,IF(Исходн.данные.!AM29&gt;0,VLOOKUP($DL29,АшламаДВ_Irekle,2,FALSE),VLOOKUP($DL29,АшламаДВ_Gomumy,2,FALSE)))</f>
        <v>0</v>
      </c>
      <c r="DN29" s="10">
        <f t="shared" si="46"/>
        <v>0</v>
      </c>
      <c r="DO29" s="9" t="str">
        <f>IF(Исходн.данные.!AN29&gt;0,Исходн.данные.!AN29,Удобрения!$B$37 )</f>
        <v>Хлор.калий</v>
      </c>
      <c r="DP29" s="9">
        <f>IF(Исходн.данные.!AN29&gt;0,VLOOKUP(Исходн.данные.!AN29,АшламаДВ_Irekle,4,FALSE),VLOOKUP(DO29,АшламаДВ_Gomumy,4,FALSE))</f>
        <v>0.6</v>
      </c>
      <c r="DQ29" s="10">
        <f t="shared" si="47"/>
        <v>0</v>
      </c>
      <c r="DR29" s="132" t="str">
        <f>IF(Исходн.данные.!AO29&gt;0,Исходн.данные.!AO29,IF(DH29=0,BS$17,IF(AND($DK29=0,$DJ29&gt;0),EJ29,EN29)))</f>
        <v>Нет</v>
      </c>
      <c r="DS29" s="70" t="str">
        <f>IF($DR29="Нет","Нет",IF(Исходн.данные.!$AO29&gt;0,VLOOKUP($DR29,АшламаДВ_Irekle,2,FALSE),VLOOKUP($DR29,АшламаДВ_Gomumy,2,FALSE)))</f>
        <v>Нет</v>
      </c>
      <c r="DT29" s="70" t="str">
        <f>IF($DR29="Нет","Нет",IF(Исходн.данные.!$AO29&gt;0,VLOOKUP($DR29,АшламаДВ_Irekle,3,FALSE),VLOOKUP($DR29,АшламаДВ_Gomumy,3,FALSE)))</f>
        <v>Нет</v>
      </c>
      <c r="DU29" s="70" t="str">
        <f>IF($DR29="Нет","Нет",IF(Исходн.данные.!$AO29&gt;0,VLOOKUP($DR29,АшламаДВ_Irekle,4,FALSE),VLOOKUP($DR29,АшламаДВ_Gomumy,4,FALSE)))</f>
        <v>Нет</v>
      </c>
      <c r="DV29" s="70"/>
      <c r="DW29" s="70"/>
      <c r="DX29" s="70"/>
      <c r="DY29" s="10">
        <f t="shared" si="48"/>
        <v>0</v>
      </c>
      <c r="DZ29" s="10">
        <f t="shared" si="49"/>
        <v>0</v>
      </c>
      <c r="EA29" s="10">
        <f t="shared" si="50"/>
        <v>0</v>
      </c>
      <c r="EB29" s="10">
        <f t="shared" si="51"/>
        <v>0</v>
      </c>
      <c r="EC29" s="10">
        <f t="shared" si="52"/>
        <v>0</v>
      </c>
      <c r="ED29" s="10">
        <f t="shared" si="53"/>
        <v>0</v>
      </c>
      <c r="EE29" s="10">
        <f t="shared" si="54"/>
        <v>0</v>
      </c>
      <c r="EF29" s="39">
        <f>EB29*Исходн.данные.!AJ29/1000</f>
        <v>0</v>
      </c>
      <c r="EG29" s="9">
        <f t="shared" si="55"/>
        <v>0</v>
      </c>
      <c r="EH29" s="9">
        <f t="shared" si="56"/>
        <v>0</v>
      </c>
      <c r="EI29" s="39" t="e">
        <f t="shared" si="7"/>
        <v>#DIV/0!</v>
      </c>
      <c r="EJ29" s="9" t="str">
        <f t="shared" si="8"/>
        <v>Азопреципитат</v>
      </c>
      <c r="EK29" s="12">
        <f t="shared" si="9"/>
        <v>0.26</v>
      </c>
      <c r="EL29" s="12">
        <f t="shared" si="10"/>
        <v>0.13</v>
      </c>
      <c r="EM29" s="12">
        <f t="shared" si="11"/>
        <v>0</v>
      </c>
      <c r="EN29" s="12" t="str">
        <f t="shared" si="57"/>
        <v>Нет</v>
      </c>
      <c r="EO29" s="12">
        <f t="shared" si="12"/>
        <v>0</v>
      </c>
      <c r="EP29" s="12">
        <f t="shared" si="13"/>
        <v>0</v>
      </c>
      <c r="EQ29" s="12">
        <f t="shared" si="14"/>
        <v>0</v>
      </c>
      <c r="ER29" s="12" t="str">
        <f t="shared" si="58"/>
        <v>Диаммофоска</v>
      </c>
      <c r="ES29" s="12">
        <f t="shared" si="15"/>
        <v>0.1</v>
      </c>
      <c r="ET29" s="12">
        <f t="shared" si="16"/>
        <v>0.26</v>
      </c>
      <c r="EU29" s="12">
        <f t="shared" si="17"/>
        <v>0.26</v>
      </c>
      <c r="EV29" s="12" t="str">
        <f t="shared" si="59"/>
        <v>Аммофос 12:52:00</v>
      </c>
      <c r="EW29" s="12" t="str">
        <f t="shared" si="60"/>
        <v>Кемира Свекловичное-6</v>
      </c>
      <c r="EX29" s="12">
        <f t="shared" si="18"/>
        <v>0.16</v>
      </c>
      <c r="EY29" s="12">
        <f t="shared" si="19"/>
        <v>0.12</v>
      </c>
      <c r="EZ29" s="12">
        <f t="shared" si="20"/>
        <v>0.17</v>
      </c>
      <c r="FA29" s="38" t="e">
        <f>IF(AND(OR(FJ29=$FD$1,FM29=$FD$1,FO29=$FD$1,FQ29=$FD$1,FS29=$FD$1),FD29=$FD$1,Исходн.данные.!J29&lt;2,FU29=$FD$1),"Бор,Кобальт",IF(AND(FO29=$FD$1,FH29=$FD$1,Исходн.данные.!J29&lt;2,FU29=$FD$1),"Бор,Кобальт",IF(AND(OR(FJ29=$FD$1,FM29=$FD$1,FQ29=$FD$1),FE29=$FD$1,Исходн.данные.!J29&lt;2,FT29=$FD$1,FU29=$FD$1),"Бор,Медь,Цинк",IF(AND(OR(FJ29=$FD$1,FR29="Да"),FI29="Да",Исходн.данные.!J29&lt;2,FT29="Да",FU29="Да"),"Бор,Цинк,Медь",IF(AND(OR(FM29="Да",FQ29="Да"),FI29="Да",Исходн.данные.!J29&lt;2,FT29="Да",FU29="Да"),"Бор,Цинк",IF(AND(FN29="Да",OR(FD29="Да",FE29="Да")),"Бор",FB29))))))</f>
        <v>#N/A</v>
      </c>
      <c r="FB29" s="134" t="e">
        <f>IF(AND(OR(FD29="Да",FE29="Да",FF29="Да",FG29="Да",FH29="Да"),FO29="Да"),"Бор",IF(AND(FP29="Да",OR(FD29="Да",FE29="Да",FI29="Да")),"Бор",IF(AND(FS29="Да",FE29="Да"),"Бор,Медь",IF(AND(OR(FJ29="Да",FK29="Да",FL29="Да"),FE29="Да",Исходн.данные.!I29&lt;5,FT29="Да",FU29="Да"),"Молибден,Цинк",IF(AND(FM29="Да",OR(FE29="Да",FF29="Да",FG29="Да",FH29="Да",FI29="Да")),"Молибден,Цинк",IF(AND(OR(FJ29="Да",FK29="Да",FL29="Да",FM29="Да",FQ29="Да"),OR(FE29="Да",FF29="Да"),FT29="Да",FU29="Да",Исходн.данные.!I29&gt;5.5),"Медь,Цинк",FC29))))))</f>
        <v>#N/A</v>
      </c>
      <c r="FC29" s="23" t="e">
        <f t="shared" si="61"/>
        <v>#N/A</v>
      </c>
      <c r="FD29" s="38" t="str">
        <f>IF(OR(Исходн.данные.!F29=$CC$1,Исходн.данные.!F29=$CC$2,Исходн.данные.!F29=$CC$3,Исходн.данные.!F29=$CC$4),"Да","Нет")</f>
        <v>Нет</v>
      </c>
      <c r="FE29" s="38" t="str">
        <f>IF(Исходн.данные.!F29=$CC$5,"Да","Нет")</f>
        <v>Нет</v>
      </c>
      <c r="FF29" s="38" t="str">
        <f>IF(OR(Исходн.данные.!F29=$CC$6,Исходн.данные.!F29=$CC$7),"Да","Нет")</f>
        <v>Нет</v>
      </c>
      <c r="FG29" s="38" t="str">
        <f>IF(OR(Исходн.данные.!F29=$CC$8,Исходн.данные.!F29=$CC$9),"Да","Нет")</f>
        <v>Нет</v>
      </c>
      <c r="FH29" s="38" t="str">
        <f>IF(Исходн.данные.!F29=$CC$10,"Да","Нет")</f>
        <v>Нет</v>
      </c>
      <c r="FI29" s="38" t="str">
        <f>IF(OR(Исходн.данные.!F29=$CC$11,Исходн.данные.!F29=$CC$12),"Да","Нет")</f>
        <v>Нет</v>
      </c>
      <c r="FJ29" s="38" t="str">
        <f>IF(OR(Исходн.данные.!AH29=$BS$1,Исходн.данные.!AH29=$BQ$11,Исходн.данные.!AH29=$BQ$12),"Да","Нет")</f>
        <v>Нет</v>
      </c>
      <c r="FK29" s="38" t="str">
        <f>IF(OR(Исходн.данные.!AH29=$BS$2,Исходн.данные.!AH29=$BS$4),"Да","Нет")</f>
        <v>Нет</v>
      </c>
      <c r="FL29" s="38" t="str">
        <f>IF(OR(Исходн.данные.!AH29=$BS$3,Исходн.данные.!AH29=$BS$5),"Да","Нет")</f>
        <v>Нет</v>
      </c>
      <c r="FM29" s="38" t="str">
        <f>IF(OR(Исходн.данные.!AH29=$BS$9,Исходн.данные.!AH29=$BS$10,Исходн.данные.!AH29=$BS$11,Исходн.данные.!AH29=$BS$12),"Да","Нет")</f>
        <v>Нет</v>
      </c>
      <c r="FN29" s="38" t="str">
        <f>IF(OR(Исходн.данные.!AH29=$BS$6,Исходн.данные.!AH29=$BP$3),"Да","Нет")</f>
        <v>Нет</v>
      </c>
      <c r="FO29" s="38" t="str">
        <f>IF(Исходн.данные.!AH29=$BQ$9,"Да","Нет")</f>
        <v>Нет</v>
      </c>
      <c r="FP29" s="38" t="str">
        <f>IF(OR(Исходн.данные.!AH29=$BS$8,Исходн.данные.!AH29=$BT$8),"Да","Нет")</f>
        <v>Нет</v>
      </c>
      <c r="FQ29" s="38" t="str">
        <f>IF(OR(Исходн.данные.!AH29=$BQ$7,Исходн.данные.!AH29=$BQ$8),"Да","Нет")</f>
        <v>Нет</v>
      </c>
      <c r="FR29" s="38" t="str">
        <f>IF(Исходн.данные.!AI29=$BU$9,"Да","Нет")</f>
        <v>Нет</v>
      </c>
      <c r="FS29" s="38" t="str">
        <f>IF(OR(Исходн.данные.!AH29=$BP$1,Исходн.данные.!AH29=$BP$2),"Да","Нет")</f>
        <v>Нет</v>
      </c>
      <c r="FT29" s="38" t="e">
        <f>IF((Исходн.данные.!K29*GO29*GS29*GW29+BL29*0.6+Исходн.данные.!Q29*4.5*0.275)&gt;90,"Да","Нет")</f>
        <v>#N/A</v>
      </c>
      <c r="FU29" s="38" t="e">
        <f>IF((Исходн.данные.!M29*GS29*GZ29+BM29*0.225)&gt;35,"Да","Нет")</f>
        <v>#N/A</v>
      </c>
      <c r="FV29" s="38" t="str">
        <f>IF(Исходн.данные.!O29&gt;175,"Да","Нет")</f>
        <v>Нет</v>
      </c>
      <c r="FW29" s="39" t="str">
        <f>IF(Исходн.данные.!I29&gt;5.5,"Да","Нет")</f>
        <v>Нет</v>
      </c>
      <c r="FX29" s="39" t="str">
        <f>IF(Исходн.данные.!J29&lt;2,"Да","Нет")</f>
        <v>Да</v>
      </c>
      <c r="FY29" s="39" t="e">
        <f>IF(HF29=$FY$16,0,Исходн.данные.!K29*GO29*GS29*GW29/HF29)</f>
        <v>#N/A</v>
      </c>
      <c r="FZ29" s="39" t="e">
        <f>Исходн.данные.!M29*GS29*GZ29/HG29</f>
        <v>#N/A</v>
      </c>
      <c r="GA29" s="39" t="e">
        <f>IF(K_Wyn=$FY$16,0,IF(Исходн.данные.!N29=Исходн.данные.!$L$10,Исходн.данные.!O29/1.1*GS29*HC29/HH29,IF(Исходн.данные.!N29=Исходн.данные.!$L$12,Исходн.данные.!O29/1.5*GS29*HC29/HH29,Исходн.данные.!O29*GS29*HC29/HH29)))</f>
        <v>#N/A</v>
      </c>
      <c r="GB29" s="39" t="e">
        <f>IF(HF29=$FY$16,0,((Исходн.данные.!Q29*N_Org+Исходн.данные.!R29*N_Sider+Исходн.данные.!S29*N_Soloma)*AO29+Расчет!BC29*VLOOKUP(Исходн.данные.!T29,Справ!$A$3:$O$57,15)*AO29+BB29*VLOOKUP(Исходн.данные.!T29,Справ!$A$3:$O$57,15)*AL29+(Исходн.данные.!V29*N_Rizotorf+Исходн.данные.!W29*N_Rizoagr))/HF29)</f>
        <v>#N/A</v>
      </c>
      <c r="GC29" s="39" t="e">
        <f>IF(HG29=$FY$16,0,((Исходн.данные.!Q29*Р_Org+Исходн.данные.!R29*P_Sider+Исходн.данные.!S29*P_Soloma)*AP29+Расчет!BC29*VLOOKUP(Исходн.данные.!T29,Справ!$A$3:$P$57,16)*AP29+BB29*VLOOKUP(Исходн.данные.!T29,Справ!$A$3:$P$57,16)*AM29)/HG29)</f>
        <v>#N/A</v>
      </c>
      <c r="GD29" s="39" t="e">
        <f>IF(HH29=$FY$16,0,((Исходн.данные.!Q29*К_Org+Исходн.данные.!R29*K_Sider+Исходн.данные.!S29*K_Soloma)*AQ29+Расчет!BC29*VLOOKUP(Исходн.данные.!T29,Справ!$A$3:$Q$57,17)*AQ29+BB29*VLOOKUP(Исходн.данные.!T29,Справ!$A$3:$Q$57,17)*AN29)/HH29)</f>
        <v>#N/A</v>
      </c>
      <c r="GE29" s="39" t="e">
        <f>IF(HF29=$FY$16,0,(Исходн.данные.!X29*AR29+Исходн.данные.!AA29*N_Org*AL29+Исходн.данные.!AB29*N_Sider*AL29+Исходн.данные.!AC29*N_Soloma*AL29)/HF29)</f>
        <v>#N/A</v>
      </c>
      <c r="GF29" s="39" t="e">
        <f>IF(HG29=$FY$16,0,(Исходн.данные.!Y29*AS29+Исходн.данные.!AA29*Р_Org*AM29+Исходн.данные.!AB29*P_Sider*AM29+Исходн.данные.!AC29*P_Soloma*AM29)/HG29)</f>
        <v>#N/A</v>
      </c>
      <c r="GG29" s="39" t="e">
        <f>IF(HH29=$FY$16,0,(Исходн.данные.!Z29*AT29+Исходн.данные.!AA29*К_Org*AN29+Исходн.данные.!AB29*K_Sider*AN29+Исходн.данные.!AC29*K_Soloma*AN29)/HH29)</f>
        <v>#N/A</v>
      </c>
      <c r="GH29" s="39" t="e">
        <f>Исходн.данные.!AD29*AU29/HF29</f>
        <v>#N/A</v>
      </c>
      <c r="GI29" s="39" t="e">
        <f>Исходн.данные.!AE29*AV29/HG29</f>
        <v>#N/A</v>
      </c>
      <c r="GJ29" s="39" t="e">
        <f>Исходн.данные.!AF29*AW29/HH29</f>
        <v>#N/A</v>
      </c>
      <c r="GK29" s="55">
        <f>Исходн.данные.!AK29</f>
        <v>0</v>
      </c>
      <c r="GL29" s="11" t="e">
        <f t="shared" si="62"/>
        <v>#N/A</v>
      </c>
      <c r="GM29" s="11" t="e">
        <f t="shared" si="63"/>
        <v>#N/A</v>
      </c>
      <c r="GN29" s="11" t="e">
        <f t="shared" si="64"/>
        <v>#N/A</v>
      </c>
      <c r="GO29" s="57">
        <f t="shared" si="65"/>
        <v>19</v>
      </c>
      <c r="GP29" s="55">
        <f>IF(OR(Исходн.данные.!F29=$CE$1,Исходн.данные.!F29=$CE$2,Исходн.данные.!F29=$CE$3,Исходн.данные.!F29=$CE$4,Исходн.данные.!F29=$CE$5),GQ29,GR29)</f>
        <v>19</v>
      </c>
      <c r="GQ29" s="55">
        <f>IF(Исходн.данные.!F29=$CE$1,28,IF(Исходн.данные.!F29=$CE$2,26,IF(Исходн.данные.!F29=$CE$3,24,IF(Исходн.данные.!F29=$CE$4,22,IF(Исходн.данные.!F29=$CE$5,20,GR29)))))</f>
        <v>19</v>
      </c>
      <c r="GR29" s="55">
        <f>IF(Исходн.данные.!F29=$CE$6,18,IF(Исходн.данные.!F29=$CE$7,16,IF(Исходн.данные.!F29=$CE$8,14,IF(Исходн.данные.!F29=$CE$9,13,IF(Исходн.данные.!F29=$CE$10,12,19)))))</f>
        <v>19</v>
      </c>
      <c r="GS29" s="55">
        <f>IF(Исходн.данные.!G29="Пес",0.035*(40+2*Исходн.данные.!H29),IF(Исходн.данные.!G29="Суп",0.0325*(40+2*Исходн.данные.!H29),0.03*(40+2*Исходн.данные.!H29)))</f>
        <v>1.2</v>
      </c>
      <c r="GT29" s="55">
        <f>IF(Исходн.данные.!H29&lt;23,2.6,IF(AND(Исходн.данные.!H29&gt;22,Исходн.данные.!H29&lt;26),3,IF(AND(Исходн.данные.!H29&gt;25,Исходн.данные.!H29&lt;29),3.4,3.6)))</f>
        <v>2.6</v>
      </c>
      <c r="GU29" s="55">
        <f>IF(Исходн.данные.!H29&lt;23,2.8,IF(AND(Исходн.данные.!H29&gt;22,Исходн.данные.!H29&lt;26),3.2,IF(AND(Исходн.данные.!H29&gt;25,Исходн.данные.!H29&lt;29),3.6,3.9)))</f>
        <v>2.8</v>
      </c>
      <c r="GV29" s="55">
        <f>IF(Исходн.данные.!H29&lt;23,3,IF(AND(Исходн.данные.!H29&gt;22,Исходн.данные.!H29&lt;26),3.5,IF(AND(Исходн.данные.!H29&gt;25,Исходн.данные.!H29&lt;29),3.9,4.2)))</f>
        <v>3</v>
      </c>
      <c r="GW29" s="55" t="e">
        <f>IF(Исходн.данные.!P29="Ум",GX29,GY29)</f>
        <v>#N/A</v>
      </c>
      <c r="GX29" s="55" t="e">
        <f>VLOOKUP(Исходн.данные.!AI29,Коэффициенты!$J$7:$L$13,2,FALSE)</f>
        <v>#N/A</v>
      </c>
      <c r="GY29" s="55" t="e">
        <f>VLOOKUP(Исходн.данные.!AI29,Коэффициенты!$J$7:$L$13,3,FALSE)</f>
        <v>#N/A</v>
      </c>
      <c r="GZ29" s="55" t="e">
        <f>(IF(Исходн.данные.!M29&lt;50,0.11*VLOOKUP(Исходн.данные.!AH29,Культуры.Информация,7,FALSE),IF(Исходн.данные.!M29&gt;250,0.05*VLOOKUP(Исходн.данные.!AH29,Культуры.Информация,7,FALSE),VLOOKUP(Исходн.данные.!AH29,Культуры.Информация,5,FALSE)/100*($GX$6+$GY$6*Исходн.данные.!M29))))*Расчет2!AI29</f>
        <v>#N/A</v>
      </c>
      <c r="HA29" s="211"/>
      <c r="HB29" s="211"/>
      <c r="HC29" s="55" t="e">
        <f>(IF(Исходн.данные.!O29&lt;80,0.2*VLOOKUP(Исходн.данные.!AH29,Культуры.Информация,8,FALSE),IF(Исходн.данные.!O29&gt;240,0.09*VLOOKUP(Исходн.данные.!AH29,Культуры.Информация,8,FALSE),VLOOKUP(Исходн.данные.!AH29,Культуры.Информация,6,FALSE)/100*($HB$6+$HC$6*Исходн.данные.!O29))))*Расчет2!AJ29</f>
        <v>#N/A</v>
      </c>
      <c r="HD29" s="55">
        <f>IF(Исходн.данные.!O29&gt;240,0.09,IF(Исходн.данные.!O29&lt;30,0.3,$HE$10+$HD$10*Исходн.данные.!O29))</f>
        <v>0.3</v>
      </c>
      <c r="HE29" s="55">
        <f>IF(Исходн.данные.!O29&gt;240,0.17,IF(Исходн.данные.!O29&lt;30,0.5,$HF$12+$HE$12*Исходн.данные.!O29))</f>
        <v>0.5</v>
      </c>
      <c r="HF29" s="55" t="e">
        <f>VLOOKUP(Исходн.данные.!AH29,Справ!$A$3:$D$58,2,FALSE)</f>
        <v>#N/A</v>
      </c>
      <c r="HG29" s="55" t="e">
        <f>VLOOKUP(Исходн.данные.!AH29,Справ!$A$3:$D$58,3,FALSE)</f>
        <v>#N/A</v>
      </c>
      <c r="HH29" s="55" t="e">
        <f>VLOOKUP(Исходн.данные.!AH29,Справ!$A$3:$D$58,4,FALSE)</f>
        <v>#N/A</v>
      </c>
      <c r="HI29" s="11" t="e">
        <f t="shared" si="66"/>
        <v>#N/A</v>
      </c>
      <c r="HJ29" s="11" t="e">
        <f t="shared" si="67"/>
        <v>#N/A</v>
      </c>
      <c r="HK29" s="11" t="e">
        <f t="shared" si="68"/>
        <v>#N/A</v>
      </c>
      <c r="HL29" s="55">
        <f>IF(OR(Исходн.данные.!G29="Глин",Исходн.данные.!G29="Т_суг"),1.1,IF(Исходн.данные.!G29="Ср_суг",1,1))</f>
        <v>1</v>
      </c>
      <c r="HM29" s="55">
        <f>IF(OR(Исходн.данные.!G29="Глин",Исходн.данные.!G29="Т_суг"),0.9,IF(Исходн.данные.!G29="Ср_суг",1,1.2))</f>
        <v>1.2</v>
      </c>
      <c r="HN29" s="11" t="e">
        <f t="shared" si="69"/>
        <v>#N/A</v>
      </c>
      <c r="HO29" s="11" t="e">
        <f t="shared" si="70"/>
        <v>#N/A</v>
      </c>
      <c r="HP29" s="11" t="e">
        <f t="shared" si="71"/>
        <v>#N/A</v>
      </c>
      <c r="HQ29" t="e">
        <f t="shared" si="72"/>
        <v>#N/A</v>
      </c>
      <c r="HR29" t="e">
        <f t="shared" si="73"/>
        <v>#N/A</v>
      </c>
      <c r="HS29" t="e">
        <f t="shared" si="74"/>
        <v>#N/A</v>
      </c>
      <c r="HT29" t="e">
        <f t="shared" si="21"/>
        <v>#N/A</v>
      </c>
      <c r="HU29" t="e">
        <f t="shared" si="22"/>
        <v>#N/A</v>
      </c>
      <c r="HV29" t="e">
        <f t="shared" si="23"/>
        <v>#N/A</v>
      </c>
      <c r="HW29" t="e">
        <f t="shared" si="24"/>
        <v>#N/A</v>
      </c>
      <c r="HX29" t="e">
        <f t="shared" si="25"/>
        <v>#N/A</v>
      </c>
      <c r="HY29" t="e">
        <f t="shared" si="26"/>
        <v>#N/A</v>
      </c>
      <c r="HZ29" s="55">
        <f>IF(OR(Исходн.данные.!AI29="Оз_Ч_П",Исходн.данные.!AI29="Оз_З_П",Исходн.данные.!AI29="Яр_зер"),12,30)</f>
        <v>30</v>
      </c>
      <c r="IA29" t="e">
        <f t="shared" si="75"/>
        <v>#N/A</v>
      </c>
      <c r="IB29" t="e">
        <f t="shared" si="76"/>
        <v>#N/A</v>
      </c>
      <c r="IC29" t="e">
        <f t="shared" si="77"/>
        <v>#N/A</v>
      </c>
      <c r="ID29" s="11" t="e">
        <f t="shared" si="78"/>
        <v>#N/A</v>
      </c>
      <c r="IE29" s="11" t="e">
        <f t="shared" si="79"/>
        <v>#N/A</v>
      </c>
      <c r="IF29" s="11" t="e">
        <f t="shared" si="80"/>
        <v>#N/A</v>
      </c>
    </row>
    <row r="30" spans="35:240" x14ac:dyDescent="0.2">
      <c r="AI30">
        <f>IF(Исходн.данные.!I30&gt;6,1,1.85-(0.148*Исходн.данные.!I30))</f>
        <v>1.85</v>
      </c>
      <c r="AJ30">
        <f>IF(Исходн.данные.!I30&gt;6,1,2.434-(0.246*Исходн.данные.!I30))</f>
        <v>2.4340000000000002</v>
      </c>
      <c r="AL30" s="148" t="b">
        <f>IF(Исходн.данные.!$P30="Ум",N_OrgUd_2g_um,IF(Исходн.данные.!$P30="Об",N_OrgUd_2g_ob))</f>
        <v>0</v>
      </c>
      <c r="AM30" s="148" t="b">
        <f>IF(Исходн.данные.!$P30="Ум",P_OrgUd_2g_um,IF(Исходн.данные.!$P30="Об",P_OrgUd_2g_ob))</f>
        <v>0</v>
      </c>
      <c r="AN30" s="148" t="b">
        <f>IF(Исходн.данные.!$P30="Ум",K_OrgUd_2g_um,IF(Исходн.данные.!$P30="Об",K_OrgUd_2g_ob))</f>
        <v>0</v>
      </c>
      <c r="AO30" s="148" t="b">
        <f>IF(Исходн.данные.!$P30="Ум",N_OrgUd_1g_um,IF(Исходн.данные.!$P30="Об",N_OrgUd_1g_ob))</f>
        <v>0</v>
      </c>
      <c r="AP30" s="148" t="b">
        <f>IF(Исходн.данные.!$P30="Ум",P_OrgUd_1g_um,IF(Исходн.данные.!$P30="Об",P_OrgUd_1g_ob))</f>
        <v>0</v>
      </c>
      <c r="AQ30" s="148" t="b">
        <f>IF(Исходн.данные.!$P30="Ум",K_OrgUd_1g_um,IF(Исходн.данные.!$P30="Об",K_OrgUd_1g_ob))</f>
        <v>0</v>
      </c>
      <c r="AR30" t="b">
        <f>IF(Исходн.данные.!$P30="Ум",N_MinUd_2g_um,IF(Исходн.данные.!$P30="Об",N_MinUd_2g_ob))</f>
        <v>0</v>
      </c>
      <c r="AS30" t="b">
        <f>IF(Исходн.данные.!$P30="Ум",P_MinUd_2g_um,IF(Исходн.данные.!$P30="Об",P_MinUd_2g_ob))</f>
        <v>0</v>
      </c>
      <c r="AT30" t="b">
        <f>IF(Исходн.данные.!$P30="Ум",K_MinUd_2g_um,IF(Исходн.данные.!$P30="Об",K_MinUd_2g_ob))</f>
        <v>0</v>
      </c>
      <c r="AU30" t="b">
        <f>IF(Исходн.данные.!$P30="Ум",N_MinUd_1g_um,IF(Исходн.данные.!$P30="Об",N_MinUd_1g_ob))</f>
        <v>0</v>
      </c>
      <c r="AV30" t="b">
        <f>IF(Исходн.данные.!P30="Ум",P_MinUd_1g_um,IF(Исходн.данные.!P30="Об",P_MinUd_1g_ob))</f>
        <v>0</v>
      </c>
      <c r="AW30" t="b">
        <f>IF(Исходн.данные.!P30="Ум",K_MinUd_1g_um,IF(Исходн.данные.!P30="Об",K_MinUd_1g_ob))</f>
        <v>0</v>
      </c>
      <c r="AY30" t="e">
        <f>VLOOKUP(Исходн.данные.!T30,Справ!$A$3:$N$57,12)</f>
        <v>#N/A</v>
      </c>
      <c r="AZ30" t="e">
        <f>VLOOKUP(Исходн.данные.!T30,Справ!$A$3:$N$57,13)</f>
        <v>#N/A</v>
      </c>
      <c r="BA30" t="e">
        <f>VLOOKUP(Исходн.данные.!T30,Справ!$A$3:$N$57,14)</f>
        <v>#N/A</v>
      </c>
      <c r="BB30">
        <f>IF(Исходн.данные.!AH30=0,0,25)</f>
        <v>0</v>
      </c>
      <c r="BC30" s="141">
        <f>IF(Исходн.данные.!AH30=0,0,IF(Исходн.данные.!T30=0,25,BD30))</f>
        <v>0</v>
      </c>
      <c r="BD30" s="168" t="e">
        <f>AY30+AZ30*Исходн.данные.!U30-POWER(BA30,2)*Исходн.данные.!U30</f>
        <v>#N/A</v>
      </c>
      <c r="BE3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" s="25">
        <f>IF(Исходн.данные.!AH30=0,0,MIN(HN30:HP30))</f>
        <v>0</v>
      </c>
      <c r="BG30" s="9">
        <f>IF(Исходн.данные.!AH30=0,0,IF((HO30+10*0.25/HG30/HL30)&lt;17,17,HO30+10*0.25/HG30/HL30))</f>
        <v>0</v>
      </c>
      <c r="BH30" s="181">
        <f>IF(Исходн.данные.!AH30=0,0,HW30*HF30*HL30/AU30*AI30+Исходн.данные.!S30*10)</f>
        <v>0</v>
      </c>
      <c r="BI30" s="10"/>
      <c r="BJ30" s="182">
        <f>IF(Исходн.данные.!AH30=0,0,IF(HX30*HG30*HL30/AV30&lt;0,0,HX30*HG30*HL30/AV30*AJ30))</f>
        <v>0</v>
      </c>
      <c r="BK30" s="182">
        <f>IF(Исходн.данные.!AH30=0,0,HY30*HH30*HM30/AW30)</f>
        <v>0</v>
      </c>
      <c r="BL30" s="10">
        <f>IF(OR(Исходн.данные.!$AH30=$BP$1,Исходн.данные.!$AH30=$BP$2),0,IF(BH30&lt;0,0,IF(OR(Исходн.данные.!T30=Расчет!$BP$1,Исходн.данные.!T30=Расчет!$BP$2,Исходн.данные.!T30=Расчет!$BT$5,Исходн.данные.!T30=Расчет!$BT$6),BH30*0.5,IF(OR(Исходн.данные.!T30=Расчет!$BS$9,Исходн.данные.!T30=Расчет!$BS$10,Исходн.данные.!T30=Расчет!$BS$11,Исходн.данные.!T30=Расчет!$BS$12,Исходн.данные.!T30=Расчет!$BP$5),BH30*0.8,BH30))))</f>
        <v>0</v>
      </c>
      <c r="BM30" s="10">
        <f>IF(OR(Исходн.данные.!$AH30=$BP$1,Исходн.данные.!$AH30=$BP$2),0,IF(BJ30&lt;0,0,IF(Исходн.данные.!I30&lt;4.5,BJ30*1.2,IF(Исходн.данные.!I30&gt;5.1,BJ30,BJ30*((5.1-Исходн.данные.!I30)*0.333+1)))))</f>
        <v>0</v>
      </c>
      <c r="BN30" s="10">
        <f>IF(OR(Исходн.данные.!$AH30=$BP$1,Исходн.данные.!$AH30=$BP$2),60-Исходн.данные.!AF30,IF(BK30&lt;0,0,IF(Исходн.данные.!I30&lt;4.5,BK30*1.2,IF(Исходн.данные.!I30&gt;5.1,BK30,BK30*((5.1-Исходн.данные.!I30)*0.333+1)))))</f>
        <v>0</v>
      </c>
      <c r="BO30" s="9">
        <f>IF(BL30&lt;0,0,BL30*Исходн.данные.!$AJ30/1000)</f>
        <v>0</v>
      </c>
      <c r="BP30" s="9">
        <f>IF(BM30&lt;0,0,BM30*Исходн.данные.!$AJ30/1000)</f>
        <v>0</v>
      </c>
      <c r="BQ30" s="9">
        <f>IF(BN30&lt;0,0,BN30*Исходн.данные.!$AJ30/1000)</f>
        <v>0</v>
      </c>
      <c r="BR30" s="9">
        <f t="shared" ref="BR30:BR93" si="81">SUMIF(BO30:BQ30,"&gt;0")</f>
        <v>0</v>
      </c>
      <c r="BS30" s="10" t="str">
        <f t="shared" ref="BS30:BS93" si="82">IF(AND($CF30=0,$CE30&gt;0),BT30,BU30)</f>
        <v>Аммофос 12:52:00</v>
      </c>
      <c r="BT30" s="10" t="str">
        <f t="shared" ref="BT30:BT93" si="83">IF(CE30&gt;3.3,$BH$4,IF(CE30&gt;1.5,$BH$3,IF(CE30&gt;0.75,$BH$2,$BH$1)))</f>
        <v>Аммофос 12:52:00</v>
      </c>
      <c r="BU30" s="10" t="str">
        <f t="shared" ref="BU30:BU93" si="84">IF(CE30&gt;2.4,$BH$9,IF(CE30&gt;1.8,$BH$8,IF(CE30&gt;1.1,$BH$7,IF(CE30&gt;0.65,$BH$6,$BH$5))))</f>
        <v>Диаммофоска</v>
      </c>
      <c r="BV30" s="10">
        <f t="shared" ref="BV30:BV93" si="85">IF(BL30&lt;0,0,IF(BL30*0.3&gt;30,30,BL30*0.3))</f>
        <v>0</v>
      </c>
      <c r="BW30" s="10"/>
      <c r="BX30" s="10"/>
      <c r="BY30" s="9">
        <f>IF(BL30&lt;0,0,IF(OR(Исходн.данные.!AI30=Расчет!$BU$6,Исходн.данные.!AI30=Расчет!$BU$7),Расчет!BV30,IF(Исходн.данные.!$AG30=$BV$11,BL30,IF(OR(Исходн.данные.!$AH30=$BQ$7,Исходн.данные.!$AH30=$BQ$8),CB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0,IF(Исходн.данные.!$AI30=$BU$11,"Нет",IF(BL30&gt;30,30,BL30)))))))</f>
        <v>0</v>
      </c>
      <c r="BZ30" s="9">
        <f>IF(AND(Исходн.данные.!$AG30=$BV$11,BM30&lt;10),10,IF(Исходн.данные.!$AG30=$BV$11,BM30,IF(OR(Исходн.данные.!$AH30=$BQ$7,Исходн.данные.!$AH30=$BQ$8),CC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10,IF(Исходн.данные.!$AI30=$BU$11,"Нет",IF(BM30&gt;60,60,IF(BM30&lt;10,10,BM30)))))))</f>
        <v>10</v>
      </c>
      <c r="CA30" s="39">
        <f>IF(BN30&lt;0,0,IF(Исходн.данные.!$AG30=$BV$11,BN30,IF(OR(Исходн.данные.!$AH30=$BQ$7,Исходн.данные.!$AH30=$BQ$8),CD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0,IF(Исходн.данные.!$AI30=$BU$11,"Нет",IF(BN30&gt;30,30,BN30))))))</f>
        <v>0</v>
      </c>
      <c r="CB30" s="9">
        <f t="shared" ref="CB30:CB93" si="86">IF(BL30&lt;0,0,IF(BL30&gt;90,90,BL30))</f>
        <v>0</v>
      </c>
      <c r="CC30" s="9">
        <f t="shared" ref="CC30:CC93" si="87">IF(BM30&lt;0,0,IF(BM30&gt;90,90,BM30))</f>
        <v>0</v>
      </c>
      <c r="CD30" s="9">
        <f t="shared" ref="CD30:CD93" si="88">IF(BN30&lt;0,0,IF(BN30&gt;90,90,BN30))</f>
        <v>0</v>
      </c>
      <c r="CE30" s="12">
        <f t="shared" ref="CE30:CE93" si="89">IF(BZ30="Нет",0,IF($BY30&gt;0,BZ30/$BY30,BZ30/1))</f>
        <v>10</v>
      </c>
      <c r="CF30" s="9">
        <f t="shared" ref="CF30:CF93" si="90">IF(BZ30="Нет",0,IF($BZ30&gt;0,CA30/$BZ30,CA30/1))</f>
        <v>0</v>
      </c>
      <c r="CG30" s="9" t="s">
        <v>231</v>
      </c>
      <c r="CH30" s="132" t="str">
        <f>IF(Исходн.данные.!AP30=Расчет!$CI$16,"Нет",IF(Исходн.данные.!AL30&gt;0,Исходн.данные.!AL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BH$4,IF(OR(Исходн.данные.!AI30=Исходн.данные.!$AI$6,Исходн.данные.!AI30=Исходн.данные.!$AI$7),Расчет!BS30,IF(AND($CF30=0,$CE30&gt;0),EV30,ER30)))))</f>
        <v>Аммофос 12:52:00</v>
      </c>
      <c r="CI30" s="274">
        <f>IF(Расчет!$CH30="Нет","Нет",IF(Исходн.данные.!$AL30&gt;0,VLOOKUP(Расчет!$CH30,АшламаДВ_Irekle,2,FALSE),VLOOKUP(Расчет!$CH30,АшламаДВ_Gomumy,2,FALSE)))</f>
        <v>0.12</v>
      </c>
      <c r="CJ30" s="274">
        <f>IF(Расчет!$CH30="Нет","Нет",IF(Исходн.данные.!$AL30&gt;0,VLOOKUP(Расчет!$CH30,АшламаДВ_Irekle,3,FALSE),VLOOKUP(Расчет!$CH30,АшламаДВ_Gomumy,3,FALSE)))</f>
        <v>0.52</v>
      </c>
      <c r="CK30" s="274">
        <f>IF(Расчет!$CH30="Нет","Нет",IF(Исходн.данные.!$AL30&gt;0,VLOOKUP(Расчет!$CH30,АшламаДВ_Irekle,4,FALSE),VLOOKUP(Расчет!$CH30,АшламаДВ_Gomumy,4,FALSE)))</f>
        <v>0</v>
      </c>
      <c r="CL30" s="70"/>
      <c r="CM30" s="70"/>
      <c r="CN30" s="70"/>
      <c r="CO30" s="70"/>
      <c r="CP30" s="70"/>
      <c r="CQ30" s="70"/>
      <c r="CR30" s="10">
        <f t="shared" ref="CR30:CR93" si="91">IF($CH30="Нет",0,IF(BY30&gt;0,BY30/CI30,0))</f>
        <v>0</v>
      </c>
      <c r="CS30" s="10">
        <f t="shared" ref="CS30:CS93" si="92">IF($CH30="Нет",0,IF(BZ30&gt;0,BZ30/CJ30,0))</f>
        <v>19.23076923076923</v>
      </c>
      <c r="CT30" s="10">
        <f t="shared" ref="CT30:CT93" si="93">IF($CH30="Нет",0,IF(CA30&gt;0,CA30/CK30,0))</f>
        <v>0</v>
      </c>
      <c r="CU30" s="39">
        <f>IF($CH30="Нет",0,IF(CI30=0,30/MIN(CJ30:CK30),IF(Исходн.данные.!$AG30=$BV$11,CR30,IF(OR(Исходн.данные.!$AH30=$BQ$7,Исходн.данные.!$AH30=$BQ$8),90/CI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0,IF(Исходн.данные.!$AI30=$BU$11,"Нет",30/CI30))))))</f>
        <v>250</v>
      </c>
      <c r="CV30" s="39">
        <f>IF($CH30="Нет",0,IF(Исходн.данные.!AH30=0,0,IF(CJ30=0,60/MIN(CI30,CK30),IF(Исходн.данные.!$AG30=$BV$11,CS30,IF(OR(Исходн.данные.!$AH30=$BQ$7,Исходн.данные.!$AH30=$BQ$8),90/CJ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10/CJ30,IF(Исходн.данные.!$AI30=$BU$11,"Нет",60/CJ30)))))))</f>
        <v>0</v>
      </c>
      <c r="CW30" s="39">
        <f>IF($CH30="Нет",0,IF(Исходн.данные.!AH30=0,0,IF(CK30=0,30/MIN(CI30:CJ30),IF(Исходн.данные.!$AG30=$BV$11,CT30,IF(OR(Исходн.данные.!$AH30=$BQ$7,Исходн.данные.!$AH30=$BQ$8),90/CK30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0,IF(Исходн.данные.!$AI30=$BU$11,"Нет",30/CK30)))))))</f>
        <v>0</v>
      </c>
      <c r="CX30" s="133">
        <f>IF(Исходн.данные.!$AG30=$BV$11,MAX(CU30:CW30),IF(OR(Исходн.данные.!$AH30=$BS$8,Исходн.данные.!$AH30=$BQ$9,Исходн.данные.!$AH30=$BQ$10,Исходн.данные.!$AH30=$BQ$11,Исходн.данные.!$AH30=$BQ$12,Исходн.данные.!$AH30=$BP$3,Исходн.данные.!$AH30=$BT$8,$FM30="Да"),CV30,MIN(CU30:CW30)))</f>
        <v>0</v>
      </c>
      <c r="CY30" s="133">
        <f>IF(Исходн.данные.!AH30=0,0,IF(CR30&gt;$CX30,$CX30,CR30))</f>
        <v>0</v>
      </c>
      <c r="CZ30" s="133">
        <f>IF(Исходн.данные.!AH30=0,0,IF(CS30&gt;$CX30,$CX30,CS30))</f>
        <v>0</v>
      </c>
      <c r="DA30" s="133">
        <f>IF(Исходн.данные.!AH30=0,0,IF(CT30&gt;$CX30,$CX30,CT30))</f>
        <v>0</v>
      </c>
      <c r="DB30" s="10">
        <f t="shared" ref="DB30:DB93" si="94">IF(BY30="Нет",0,CZ30)</f>
        <v>0</v>
      </c>
      <c r="DC30" s="39">
        <f>DB30*Исходн.данные.!AJ30/1000</f>
        <v>0</v>
      </c>
      <c r="DD30" s="71">
        <f t="shared" ref="DD30:DD93" si="95">$DB30*CI30</f>
        <v>0</v>
      </c>
      <c r="DE30" s="9">
        <f t="shared" ref="DE30:DE93" si="96">$DB30*CJ30</f>
        <v>0</v>
      </c>
      <c r="DF30" s="9">
        <f t="shared" ref="DF30:DF93" si="97">$DB30*CK30</f>
        <v>0</v>
      </c>
      <c r="DG30" s="39">
        <f>IF(BL30&lt;0,0,IF($CH30="Нет",BL30,IF(OR(Исходн.данные.!$AH30=$BP$1,Исходн.данные.!$AH30=$BP$2),0,IF(Исходн.данные.!AI30=$BU$11,BL30,IF(BL30-DD30&lt;0,0,BL30-DD30)))))</f>
        <v>0</v>
      </c>
      <c r="DH30" s="39">
        <f>IF(BM30&lt;0,0,IF($CH30="Нет",BM30,IF(OR(Исходн.данные.!$AH30=$BP$1,Исходн.данные.!$AH30=$BP$2),0,IF(Исходн.данные.!AJ30=$BU$11,BM30,IF(BM30-DE30&lt;0,0,BM30-DE30)))))</f>
        <v>0</v>
      </c>
      <c r="DI30" s="39">
        <f>IF(BN30&lt;0,0,IF($CH30="Нет",BN30,IF(OR(Исходн.данные.!$AH30=$BP$1,Исходн.данные.!$AH30=$BP$2),0,IF(Исходн.данные.!AK30=$BU$11,BN30,IF(BN30-DF30&lt;0,0,BN30-DF30)))))</f>
        <v>0</v>
      </c>
      <c r="DJ30" s="12">
        <f t="shared" ref="DJ30:DJ93" si="98">IF(DG30&gt;0,DH30/DG30,DH30)</f>
        <v>0</v>
      </c>
      <c r="DK30" s="9">
        <f t="shared" ref="DK30:DK93" si="99">IF(DH30&gt;0,DI30/DH30,DI30)</f>
        <v>0</v>
      </c>
      <c r="DL30" s="39">
        <f>IF(Исходн.данные.!AM30&gt;0,Исходн.данные.!AM30,IF(EG30&gt;0,$BH$10,0))</f>
        <v>0</v>
      </c>
      <c r="DM30" s="186">
        <f>IF($DL30=0,0,IF(Исходн.данные.!AM30&gt;0,VLOOKUP($DL30,АшламаДВ_Irekle,2,FALSE),VLOOKUP($DL30,АшламаДВ_Gomumy,2,FALSE)))</f>
        <v>0</v>
      </c>
      <c r="DN30" s="10">
        <f t="shared" si="46"/>
        <v>0</v>
      </c>
      <c r="DO30" s="9" t="str">
        <f>IF(Исходн.данные.!AN30&gt;0,Исходн.данные.!AN30,Удобрения!$B$37 )</f>
        <v>Хлор.калий</v>
      </c>
      <c r="DP30" s="9">
        <f>IF(Исходн.данные.!AN30&gt;0,VLOOKUP(Исходн.данные.!AN30,АшламаДВ_Irekle,4,FALSE),VLOOKUP(DO30,АшламаДВ_Gomumy,4,FALSE))</f>
        <v>0.6</v>
      </c>
      <c r="DQ30" s="10">
        <f t="shared" si="47"/>
        <v>0</v>
      </c>
      <c r="DR30" s="132" t="str">
        <f>IF(Исходн.данные.!AO30&gt;0,Исходн.данные.!AO30,IF(DH30=0,BS$17,IF(AND($DK30=0,$DJ30&gt;0),EJ30,EN30)))</f>
        <v>Нет</v>
      </c>
      <c r="DS30" s="70" t="str">
        <f>IF($DR30="Нет","Нет",IF(Исходн.данные.!$AO30&gt;0,VLOOKUP($DR30,АшламаДВ_Irekle,2,FALSE),VLOOKUP($DR30,АшламаДВ_Gomumy,2,FALSE)))</f>
        <v>Нет</v>
      </c>
      <c r="DT30" s="70" t="str">
        <f>IF($DR30="Нет","Нет",IF(Исходн.данные.!$AO30&gt;0,VLOOKUP($DR30,АшламаДВ_Irekle,3,FALSE),VLOOKUP($DR30,АшламаДВ_Gomumy,3,FALSE)))</f>
        <v>Нет</v>
      </c>
      <c r="DU30" s="70" t="str">
        <f>IF($DR30="Нет","Нет",IF(Исходн.данные.!$AO30&gt;0,VLOOKUP($DR30,АшламаДВ_Irekle,4,FALSE),VLOOKUP($DR30,АшламаДВ_Gomumy,4,FALSE)))</f>
        <v>Нет</v>
      </c>
      <c r="DV30" s="70"/>
      <c r="DW30" s="70"/>
      <c r="DX30" s="70"/>
      <c r="DY30" s="10">
        <f t="shared" ref="DY30:DY93" si="100">IF(DS30="Нет",0,IF(DS30=0,0,IF(DG30&gt;0,DG30/DS30,0)))</f>
        <v>0</v>
      </c>
      <c r="DZ30" s="10">
        <f t="shared" ref="DZ30:DZ93" si="101">IF(DT30="Нет",0,IF(DT30=0,0,IF(DH30&gt;0,DH30/DT30,0)))</f>
        <v>0</v>
      </c>
      <c r="EA30" s="10">
        <f t="shared" ref="EA30:EA93" si="102">IF(DU30="Нет",0,IF(DU30=0,0,IF(DI30&gt;0,DI30/DU30,0)))</f>
        <v>0</v>
      </c>
      <c r="EB30" s="10">
        <f t="shared" ref="EB30:EB93" si="103">DZ30</f>
        <v>0</v>
      </c>
      <c r="EC30" s="10">
        <f t="shared" ref="EC30:EC93" si="104">IF(DS30="Нет",0,$EB30*DS30)</f>
        <v>0</v>
      </c>
      <c r="ED30" s="10">
        <f t="shared" ref="ED30:ED93" si="105">IF(DT30="Нет",0,$EB30*DT30)</f>
        <v>0</v>
      </c>
      <c r="EE30" s="10">
        <f t="shared" ref="EE30:EE93" si="106">IF(DU30="Нет",0,$EB30*DU30)</f>
        <v>0</v>
      </c>
      <c r="EF30" s="39">
        <f>EB30*Исходн.данные.!AJ30/1000</f>
        <v>0</v>
      </c>
      <c r="EG30" s="9">
        <f t="shared" ref="EG30:EG93" si="107">DG30-EC30</f>
        <v>0</v>
      </c>
      <c r="EH30" s="9">
        <f t="shared" ref="EH30:EH93" si="108">DI30-EE30</f>
        <v>0</v>
      </c>
      <c r="EI30" s="39" t="e">
        <f t="shared" si="7"/>
        <v>#DIV/0!</v>
      </c>
      <c r="EJ30" s="9" t="str">
        <f t="shared" si="8"/>
        <v>Азопреципитат</v>
      </c>
      <c r="EK30" s="12">
        <f t="shared" si="9"/>
        <v>0.26</v>
      </c>
      <c r="EL30" s="12">
        <f t="shared" si="10"/>
        <v>0.13</v>
      </c>
      <c r="EM30" s="12">
        <f t="shared" si="11"/>
        <v>0</v>
      </c>
      <c r="EN30" s="12" t="str">
        <f t="shared" si="57"/>
        <v>Нет</v>
      </c>
      <c r="EO30" s="12">
        <f t="shared" si="12"/>
        <v>0</v>
      </c>
      <c r="EP30" s="12">
        <f t="shared" si="13"/>
        <v>0</v>
      </c>
      <c r="EQ30" s="12">
        <f t="shared" si="14"/>
        <v>0</v>
      </c>
      <c r="ER30" s="12" t="str">
        <f t="shared" ref="ER30:ER93" si="109">IF($BZ30=0,"Нет",IF($CA30/$BZ30&gt;1.4,BS$14,IF($CE30&gt;2.2,BH$9,IF($CE30&gt;1.5,BH$8,IF($CE30&gt;1,BH$7,IF($CE30&gt;0.5,BH$6,BH$5))))))</f>
        <v>Диаммофоска</v>
      </c>
      <c r="ES30" s="12">
        <f t="shared" si="15"/>
        <v>0.1</v>
      </c>
      <c r="ET30" s="12">
        <f t="shared" si="16"/>
        <v>0.26</v>
      </c>
      <c r="EU30" s="12">
        <f t="shared" si="17"/>
        <v>0.26</v>
      </c>
      <c r="EV30" s="12" t="str">
        <f t="shared" ref="EV30:EV93" si="110">IF(CE30&gt;2.6,$BH$4,IF(CE30&gt;0.9,$BH$3,IF(CE30&gt;0.5,$BH$2,$BH$1)))</f>
        <v>Аммофос 12:52:00</v>
      </c>
      <c r="EW30" s="12" t="str">
        <f t="shared" ref="EW30:EW93" si="111">IF($CF30&lt;0.14,BH$17,IF($CF30&lt;0.25,BH$16,IF($CF30&lt;0.51,BH$15,IF($CF30&lt;0.7,BH$14,IF($CF30&lt;1,BH$13,BH$12)))))</f>
        <v>Кемира Свекловичное-6</v>
      </c>
      <c r="EX30" s="12">
        <f t="shared" si="18"/>
        <v>0.16</v>
      </c>
      <c r="EY30" s="12">
        <f t="shared" si="19"/>
        <v>0.12</v>
      </c>
      <c r="EZ30" s="12">
        <f t="shared" si="20"/>
        <v>0.17</v>
      </c>
      <c r="FA30" s="38" t="e">
        <f>IF(AND(OR(FJ30=$FD$1,FM30=$FD$1,FO30=$FD$1,FQ30=$FD$1,FS30=$FD$1),FD30=$FD$1,Исходн.данные.!J30&lt;2,FU30=$FD$1),"Бор,Кобальт",IF(AND(FO30=$FD$1,FH30=$FD$1,Исходн.данные.!J30&lt;2,FU30=$FD$1),"Бор,Кобальт",IF(AND(OR(FJ30=$FD$1,FM30=$FD$1,FQ30=$FD$1),FE30=$FD$1,Исходн.данные.!J30&lt;2,FT30=$FD$1,FU30=$FD$1),"Бор,Медь,Цинк",IF(AND(OR(FJ30=$FD$1,FR30="Да"),FI30="Да",Исходн.данные.!J30&lt;2,FT30="Да",FU30="Да"),"Бор,Цинк,Медь",IF(AND(OR(FM30="Да",FQ30="Да"),FI30="Да",Исходн.данные.!J30&lt;2,FT30="Да",FU30="Да"),"Бор,Цинк",IF(AND(FN30="Да",OR(FD30="Да",FE30="Да")),"Бор",FB30))))))</f>
        <v>#N/A</v>
      </c>
      <c r="FB30" s="134" t="e">
        <f>IF(AND(OR(FD30="Да",FE30="Да",FF30="Да",FG30="Да",FH30="Да"),FO30="Да"),"Бор",IF(AND(FP30="Да",OR(FD30="Да",FE30="Да",FI30="Да")),"Бор",IF(AND(FS30="Да",FE30="Да"),"Бор,Медь",IF(AND(OR(FJ30="Да",FK30="Да",FL30="Да"),FE30="Да",Исходн.данные.!I30&lt;5,FT30="Да",FU30="Да"),"Молибден,Цинк",IF(AND(FM30="Да",OR(FE30="Да",FF30="Да",FG30="Да",FH30="Да",FI30="Да")),"Молибден,Цинк",IF(AND(OR(FJ30="Да",FK30="Да",FL30="Да",FM30="Да",FQ30="Да"),OR(FE30="Да",FF30="Да"),FT30="Да",FU30="Да",Исходн.данные.!I30&gt;5.5),"Медь,Цинк",FC30))))))</f>
        <v>#N/A</v>
      </c>
      <c r="FC30" s="23" t="e">
        <f t="shared" ref="FC30:FC93" si="112">IF(AND(OR(FJ30="Да",FL30="Да"),OR(FG30=$DF$12,FH30=$DF$12),FT30=$DF$12,FU30=$DF$12,FW30=$DF$12),"Медь,Цинк,Марганец",IF(AND(OR(FK30=$DF$12,FM30=$DF$12,FQ30=$DF$12),OR(FG30=$DF$12,FH30=$DF$12),FT30=$DF$12,FU30=$DF$12,FW30=$DF$12),"Медь,Цинк",IF(AND(FS30=$DF$12,OR(FE30=$DF$12,FF30=$DF$12,FG30=$DF$12,FH30=$DF$12),FT30=$DF$12,FW30=$DF$12),"Медь",IF(AND(OR(FJ30=$DF$12,FL30=$DF$12,FR30=$DF$12),FI30=$DF$12,FT30=$DF$12,FU29=$DF$12,FV30=$DF$12,FW30=$DF$12),"Цинк,Марганец","Не требуется"))))</f>
        <v>#N/A</v>
      </c>
      <c r="FD30" s="38" t="str">
        <f>IF(OR(Исходн.данные.!F30=$CC$1,Исходн.данные.!F30=$CC$2,Исходн.данные.!F30=$CC$3,Исходн.данные.!F30=$CC$4),"Да","Нет")</f>
        <v>Нет</v>
      </c>
      <c r="FE30" s="38" t="str">
        <f>IF(Исходн.данные.!F30=$CC$5,"Да","Нет")</f>
        <v>Нет</v>
      </c>
      <c r="FF30" s="38" t="str">
        <f>IF(OR(Исходн.данные.!F30=$CC$6,Исходн.данные.!F30=$CC$7),"Да","Нет")</f>
        <v>Нет</v>
      </c>
      <c r="FG30" s="38" t="str">
        <f>IF(OR(Исходн.данные.!F30=$CC$8,Исходн.данные.!F30=$CC$9),"Да","Нет")</f>
        <v>Нет</v>
      </c>
      <c r="FH30" s="38" t="str">
        <f>IF(Исходн.данные.!F30=$CC$10,"Да","Нет")</f>
        <v>Нет</v>
      </c>
      <c r="FI30" s="38" t="str">
        <f>IF(OR(Исходн.данные.!F30=$CC$11,Исходн.данные.!F30=$CC$12),"Да","Нет")</f>
        <v>Нет</v>
      </c>
      <c r="FJ30" s="38" t="str">
        <f>IF(OR(Исходн.данные.!AH30=$BS$1,Исходн.данные.!AH30=$BQ$11,Исходн.данные.!AH30=$BQ$12),"Да","Нет")</f>
        <v>Нет</v>
      </c>
      <c r="FK30" s="38" t="str">
        <f>IF(OR(Исходн.данные.!AH30=$BS$2,Исходн.данные.!AH30=$BS$4),"Да","Нет")</f>
        <v>Нет</v>
      </c>
      <c r="FL30" s="38" t="str">
        <f>IF(OR(Исходн.данные.!AH30=$BS$3,Исходн.данные.!AH30=$BS$5),"Да","Нет")</f>
        <v>Нет</v>
      </c>
      <c r="FM30" s="38" t="str">
        <f>IF(OR(Исходн.данные.!AH30=$BS$9,Исходн.данные.!AH30=$BS$10,Исходн.данные.!AH30=$BS$11,Исходн.данные.!AH30=$BS$12),"Да","Нет")</f>
        <v>Нет</v>
      </c>
      <c r="FN30" s="38" t="str">
        <f>IF(OR(Исходн.данные.!AH30=$BS$6,Исходн.данные.!AH30=$BP$3),"Да","Нет")</f>
        <v>Нет</v>
      </c>
      <c r="FO30" s="38" t="str">
        <f>IF(Исходн.данные.!AH30=$BQ$9,"Да","Нет")</f>
        <v>Нет</v>
      </c>
      <c r="FP30" s="38" t="str">
        <f>IF(OR(Исходн.данные.!AH30=$BS$8,Исходн.данные.!AH30=$BT$8),"Да","Нет")</f>
        <v>Нет</v>
      </c>
      <c r="FQ30" s="38" t="str">
        <f>IF(OR(Исходн.данные.!AH30=$BQ$7,Исходн.данные.!AH30=$BQ$8),"Да","Нет")</f>
        <v>Нет</v>
      </c>
      <c r="FR30" s="38" t="str">
        <f>IF(Исходн.данные.!AI30=$BU$9,"Да","Нет")</f>
        <v>Нет</v>
      </c>
      <c r="FS30" s="38" t="str">
        <f>IF(OR(Исходн.данные.!AH30=$BP$1,Исходн.данные.!AH30=$BP$2),"Да","Нет")</f>
        <v>Нет</v>
      </c>
      <c r="FT30" s="38" t="e">
        <f>IF((Исходн.данные.!K30*GO30*GS30*GW30+BL30*0.6+Исходн.данные.!Q30*4.5*0.275)&gt;90,"Да","Нет")</f>
        <v>#N/A</v>
      </c>
      <c r="FU30" s="38" t="e">
        <f>IF((Исходн.данные.!M30*GS30*GZ30+BM30*0.225)&gt;35,"Да","Нет")</f>
        <v>#N/A</v>
      </c>
      <c r="FV30" s="38" t="str">
        <f>IF(Исходн.данные.!O30&gt;175,"Да","Нет")</f>
        <v>Нет</v>
      </c>
      <c r="FW30" s="39" t="str">
        <f>IF(Исходн.данные.!I30&gt;5.5,"Да","Нет")</f>
        <v>Нет</v>
      </c>
      <c r="FX30" s="39" t="str">
        <f>IF(Исходн.данные.!J30&lt;2,"Да","Нет")</f>
        <v>Да</v>
      </c>
      <c r="FY30" s="39" t="e">
        <f>IF(HF30=$FY$16,0,Исходн.данные.!K30*GO30*GS30*GW30/HF30)</f>
        <v>#N/A</v>
      </c>
      <c r="FZ30" s="39" t="e">
        <f>Исходн.данные.!M30*GS30*GZ30/HG30</f>
        <v>#N/A</v>
      </c>
      <c r="GA30" s="39" t="e">
        <f>IF(K_Wyn=$FY$16,0,IF(Исходн.данные.!N30=Исходн.данные.!$L$10,Исходн.данные.!O30/1.1*GS30*HC30/HH30,IF(Исходн.данные.!N30=Исходн.данные.!$L$12,Исходн.данные.!O30/1.5*GS30*HC30/HH30,Исходн.данные.!O30*GS30*HC30/HH30)))</f>
        <v>#N/A</v>
      </c>
      <c r="GB30" s="39" t="e">
        <f>IF(HF30=$FY$16,0,((Исходн.данные.!Q30*N_Org+Исходн.данные.!R30*N_Sider+Исходн.данные.!S30*N_Soloma)*AO30+Расчет!BC30*VLOOKUP(Исходн.данные.!T30,Справ!$A$3:$O$57,15)*AO30+BB30*VLOOKUP(Исходн.данные.!T30,Справ!$A$3:$O$57,15)*AL30+(Исходн.данные.!V30*N_Rizotorf+Исходн.данные.!W30*N_Rizoagr))/HF30)</f>
        <v>#N/A</v>
      </c>
      <c r="GC30" s="39" t="e">
        <f>IF(HG30=$FY$16,0,((Исходн.данные.!Q30*Р_Org+Исходн.данные.!R30*P_Sider+Исходн.данные.!S30*P_Soloma)*AP30+Расчет!BC30*VLOOKUP(Исходн.данные.!T30,Справ!$A$3:$P$57,16)*AP30+BB30*VLOOKUP(Исходн.данные.!T30,Справ!$A$3:$P$57,16)*AM30)/HG30)</f>
        <v>#N/A</v>
      </c>
      <c r="GD30" s="39" t="e">
        <f>IF(HH30=$FY$16,0,((Исходн.данные.!Q30*К_Org+Исходн.данные.!R30*K_Sider+Исходн.данные.!S30*K_Soloma)*AQ30+Расчет!BC30*VLOOKUP(Исходн.данные.!T30,Справ!$A$3:$Q$57,17)*AQ30+BB30*VLOOKUP(Исходн.данные.!T30,Справ!$A$3:$Q$57,17)*AN30)/HH30)</f>
        <v>#N/A</v>
      </c>
      <c r="GE30" s="39" t="e">
        <f>IF(HF30=$FY$16,0,(Исходн.данные.!X30*AR30+Исходн.данные.!AA30*N_Org*AL30+Исходн.данные.!AB30*N_Sider*AL30+Исходн.данные.!AC30*N_Soloma*AL30)/HF30)</f>
        <v>#N/A</v>
      </c>
      <c r="GF30" s="39" t="e">
        <f>IF(HG30=$FY$16,0,(Исходн.данные.!Y30*AS30+Исходн.данные.!AA30*Р_Org*AM30+Исходн.данные.!AB30*P_Sider*AM30+Исходн.данные.!AC30*P_Soloma*AM30)/HG30)</f>
        <v>#N/A</v>
      </c>
      <c r="GG30" s="39" t="e">
        <f>IF(HH30=$FY$16,0,(Исходн.данные.!Z30*AT30+Исходн.данные.!AA30*К_Org*AN30+Исходн.данные.!AB30*K_Sider*AN30+Исходн.данные.!AC30*K_Soloma*AN30)/HH30)</f>
        <v>#N/A</v>
      </c>
      <c r="GH30" s="39" t="e">
        <f>Исходн.данные.!AD30*AU30/HF30</f>
        <v>#N/A</v>
      </c>
      <c r="GI30" s="39" t="e">
        <f>Исходн.данные.!AE30*AV30/HG30</f>
        <v>#N/A</v>
      </c>
      <c r="GJ30" s="39" t="e">
        <f>Исходн.данные.!AF30*AW30/HH30</f>
        <v>#N/A</v>
      </c>
      <c r="GK30" s="55">
        <f>Исходн.данные.!AK30</f>
        <v>0</v>
      </c>
      <c r="GL30" s="11" t="e">
        <f t="shared" ref="GL30:GL93" si="113">FY30</f>
        <v>#N/A</v>
      </c>
      <c r="GM30" s="11" t="e">
        <f t="shared" ref="GM30:GM93" si="114">FZ30</f>
        <v>#N/A</v>
      </c>
      <c r="GN30" s="11" t="e">
        <f t="shared" ref="GN30:GN93" si="115">GA30</f>
        <v>#N/A</v>
      </c>
      <c r="GO30" s="57">
        <f t="shared" ref="GO30:GO93" si="116">GP30</f>
        <v>19</v>
      </c>
      <c r="GP30" s="55">
        <f>IF(OR(Исходн.данные.!F30=$CE$1,Исходн.данные.!F30=$CE$2,Исходн.данные.!F30=$CE$3,Исходн.данные.!F30=$CE$4,Исходн.данные.!F30=$CE$5),GQ30,GR30)</f>
        <v>19</v>
      </c>
      <c r="GQ30" s="55">
        <f>IF(Исходн.данные.!F30=$CE$1,28,IF(Исходн.данные.!F30=$CE$2,26,IF(Исходн.данные.!F30=$CE$3,24,IF(Исходн.данные.!F30=$CE$4,22,IF(Исходн.данные.!F30=$CE$5,20,GR30)))))</f>
        <v>19</v>
      </c>
      <c r="GR30" s="55">
        <f>IF(Исходн.данные.!F30=$CE$6,18,IF(Исходн.данные.!F30=$CE$7,16,IF(Исходн.данные.!F30=$CE$8,14,IF(Исходн.данные.!F30=$CE$9,13,IF(Исходн.данные.!F30=$CE$10,12,19)))))</f>
        <v>19</v>
      </c>
      <c r="GS30" s="55">
        <f>IF(Исходн.данные.!G30="Пес",0.035*(40+2*Исходн.данные.!H30),IF(Исходн.данные.!G30="Суп",0.0325*(40+2*Исходн.данные.!H30),0.03*(40+2*Исходн.данные.!H30)))</f>
        <v>1.2</v>
      </c>
      <c r="GT30" s="55">
        <f>IF(Исходн.данные.!H30&lt;23,2.6,IF(AND(Исходн.данные.!H30&gt;22,Исходн.данные.!H30&lt;26),3,IF(AND(Исходн.данные.!H30&gt;25,Исходн.данные.!H30&lt;29),3.4,3.6)))</f>
        <v>2.6</v>
      </c>
      <c r="GU30" s="55">
        <f>IF(Исходн.данные.!H30&lt;23,2.8,IF(AND(Исходн.данные.!H30&gt;22,Исходн.данные.!H30&lt;26),3.2,IF(AND(Исходн.данные.!H30&gt;25,Исходн.данные.!H30&lt;29),3.6,3.9)))</f>
        <v>2.8</v>
      </c>
      <c r="GV30" s="55">
        <f>IF(Исходн.данные.!H30&lt;23,3,IF(AND(Исходн.данные.!H30&gt;22,Исходн.данные.!H30&lt;26),3.5,IF(AND(Исходн.данные.!H30&gt;25,Исходн.данные.!H30&lt;29),3.9,4.2)))</f>
        <v>3</v>
      </c>
      <c r="GW30" s="55" t="e">
        <f>IF(Исходн.данные.!P30="Ум",GX30,GY30)</f>
        <v>#N/A</v>
      </c>
      <c r="GX30" s="55" t="e">
        <f>VLOOKUP(Исходн.данные.!AI30,Коэффициенты!$J$7:$L$13,2,FALSE)</f>
        <v>#N/A</v>
      </c>
      <c r="GY30" s="55" t="e">
        <f>VLOOKUP(Исходн.данные.!AI30,Коэффициенты!$J$7:$L$13,3,FALSE)</f>
        <v>#N/A</v>
      </c>
      <c r="GZ30" s="55" t="e">
        <f>(IF(Исходн.данные.!M30&lt;50,0.11*VLOOKUP(Исходн.данные.!AH30,Культуры.Информация,7,FALSE),IF(Исходн.данные.!M30&gt;250,0.05*VLOOKUP(Исходн.данные.!AH30,Культуры.Информация,7,FALSE),VLOOKUP(Исходн.данные.!AH30,Культуры.Информация,5,FALSE)/100*($GX$6+$GY$6*Исходн.данные.!M30))))*Расчет2!AI30</f>
        <v>#N/A</v>
      </c>
      <c r="HA30" s="211"/>
      <c r="HB30" s="211"/>
      <c r="HC30" s="55" t="e">
        <f>(IF(Исходн.данные.!O30&lt;80,0.2*VLOOKUP(Исходн.данные.!AH30,Культуры.Информация,8,FALSE),IF(Исходн.данные.!O30&gt;240,0.09*VLOOKUP(Исходн.данные.!AH30,Культуры.Информация,8,FALSE),VLOOKUP(Исходн.данные.!AH30,Культуры.Информация,6,FALSE)/100*($HB$6+$HC$6*Исходн.данные.!O30))))*Расчет2!AJ30</f>
        <v>#N/A</v>
      </c>
      <c r="HD30" s="55">
        <f>IF(Исходн.данные.!O30&gt;240,0.09,IF(Исходн.данные.!O30&lt;30,0.3,$HE$10+$HD$10*Исходн.данные.!O30))</f>
        <v>0.3</v>
      </c>
      <c r="HE30" s="55">
        <f>IF(Исходн.данные.!O30&gt;240,0.17,IF(Исходн.данные.!O30&lt;30,0.5,$HF$12+$HE$12*Исходн.данные.!O30))</f>
        <v>0.5</v>
      </c>
      <c r="HF30" s="55" t="e">
        <f>VLOOKUP(Исходн.данные.!AH30,Справ!$A$3:$D$58,2,FALSE)</f>
        <v>#N/A</v>
      </c>
      <c r="HG30" s="55" t="e">
        <f>VLOOKUP(Исходн.данные.!AH30,Справ!$A$3:$D$58,3,FALSE)</f>
        <v>#N/A</v>
      </c>
      <c r="HH30" s="55" t="e">
        <f>VLOOKUP(Исходн.данные.!AH30,Справ!$A$3:$D$58,4,FALSE)</f>
        <v>#N/A</v>
      </c>
      <c r="HI30" s="11" t="e">
        <f t="shared" ref="HI30:HI93" si="117">$BG30-HQ30</f>
        <v>#N/A</v>
      </c>
      <c r="HJ30" s="11" t="e">
        <f t="shared" ref="HJ30:HJ93" si="118">$BG30-HR30</f>
        <v>#N/A</v>
      </c>
      <c r="HK30" s="11" t="e">
        <f t="shared" ref="HK30:HK93" si="119">$BG30-HS30</f>
        <v>#N/A</v>
      </c>
      <c r="HL30" s="55">
        <f>IF(OR(Исходн.данные.!G30="Глин",Исходн.данные.!G30="Т_суг"),1.1,IF(Исходн.данные.!G30="Ср_суг",1,1))</f>
        <v>1</v>
      </c>
      <c r="HM30" s="55">
        <f>IF(OR(Исходн.данные.!G30="Глин",Исходн.данные.!G30="Т_суг"),0.9,IF(Исходн.данные.!G30="Ср_суг",1,1.2))</f>
        <v>1.2</v>
      </c>
      <c r="HN30" s="11" t="e">
        <f t="shared" ref="HN30:HN93" si="120">FY30+GB30+GE30+GH30</f>
        <v>#N/A</v>
      </c>
      <c r="HO30" s="11" t="e">
        <f t="shared" ref="HO30:HO93" si="121">FZ30+GC30+GF30+GI30</f>
        <v>#N/A</v>
      </c>
      <c r="HP30" s="11" t="e">
        <f t="shared" ref="HP30:HP93" si="122">GA30+GD30+GG30+GJ30</f>
        <v>#N/A</v>
      </c>
      <c r="HQ30" t="e">
        <f t="shared" ref="HQ30:HQ93" si="123">HN30</f>
        <v>#N/A</v>
      </c>
      <c r="HR30" t="e">
        <f t="shared" ref="HR30:HR93" si="124">HO30</f>
        <v>#N/A</v>
      </c>
      <c r="HS30" t="e">
        <f t="shared" ref="HS30:HS93" si="125">HP30</f>
        <v>#N/A</v>
      </c>
      <c r="HT30" t="e">
        <f t="shared" si="21"/>
        <v>#N/A</v>
      </c>
      <c r="HU30" t="e">
        <f t="shared" si="22"/>
        <v>#N/A</v>
      </c>
      <c r="HV30" t="e">
        <f t="shared" si="23"/>
        <v>#N/A</v>
      </c>
      <c r="HW30" t="e">
        <f t="shared" si="24"/>
        <v>#N/A</v>
      </c>
      <c r="HX30" t="e">
        <f t="shared" si="25"/>
        <v>#N/A</v>
      </c>
      <c r="HY30" t="e">
        <f t="shared" si="26"/>
        <v>#N/A</v>
      </c>
      <c r="HZ30" s="55">
        <f>IF(OR(Исходн.данные.!AI30="Оз_Ч_П",Исходн.данные.!AI30="Оз_З_П",Исходн.данные.!AI30="Яр_зер"),12,30)</f>
        <v>30</v>
      </c>
      <c r="IA30" t="e">
        <f t="shared" ref="IA30:IA93" si="126">ABS(AVERAGE(HN30:HP30)-HN30)</f>
        <v>#N/A</v>
      </c>
      <c r="IB30" t="e">
        <f t="shared" ref="IB30:IB93" si="127">ABS(AVERAGE(HN30:HP30)-HO30)</f>
        <v>#N/A</v>
      </c>
      <c r="IC30" t="e">
        <f t="shared" ref="IC30:IC93" si="128">ABS(AVERAGE(HN30:HP30)-HP30)</f>
        <v>#N/A</v>
      </c>
      <c r="ID30" s="11" t="e">
        <f t="shared" ref="ID30:ID93" si="129">MAX(HN30:HP30)</f>
        <v>#N/A</v>
      </c>
      <c r="IE30" s="11" t="e">
        <f t="shared" ref="IE30:IE93" si="130">AVERAGE(HN30:HP30)</f>
        <v>#N/A</v>
      </c>
      <c r="IF30" s="11" t="e">
        <f t="shared" ref="IF30:IF93" si="131">MIN(HN30:HP30)</f>
        <v>#N/A</v>
      </c>
    </row>
    <row r="31" spans="35:240" x14ac:dyDescent="0.2">
      <c r="AI31">
        <f>IF(Исходн.данные.!I31&gt;6,1,1.85-(0.148*Исходн.данные.!I31))</f>
        <v>1.85</v>
      </c>
      <c r="AJ31">
        <f>IF(Исходн.данные.!I31&gt;6,1,2.434-(0.246*Исходн.данные.!I31))</f>
        <v>2.4340000000000002</v>
      </c>
      <c r="AL31" s="148" t="b">
        <f>IF(Исходн.данные.!$P31="Ум",N_OrgUd_2g_um,IF(Исходн.данные.!$P31="Об",N_OrgUd_2g_ob))</f>
        <v>0</v>
      </c>
      <c r="AM31" s="148" t="b">
        <f>IF(Исходн.данные.!$P31="Ум",P_OrgUd_2g_um,IF(Исходн.данные.!$P31="Об",P_OrgUd_2g_ob))</f>
        <v>0</v>
      </c>
      <c r="AN31" s="148" t="b">
        <f>IF(Исходн.данные.!$P31="Ум",K_OrgUd_2g_um,IF(Исходн.данные.!$P31="Об",K_OrgUd_2g_ob))</f>
        <v>0</v>
      </c>
      <c r="AO31" s="148" t="b">
        <f>IF(Исходн.данные.!$P31="Ум",N_OrgUd_1g_um,IF(Исходн.данные.!$P31="Об",N_OrgUd_1g_ob))</f>
        <v>0</v>
      </c>
      <c r="AP31" s="148" t="b">
        <f>IF(Исходн.данные.!$P31="Ум",P_OrgUd_1g_um,IF(Исходн.данные.!$P31="Об",P_OrgUd_1g_ob))</f>
        <v>0</v>
      </c>
      <c r="AQ31" s="148" t="b">
        <f>IF(Исходн.данные.!$P31="Ум",K_OrgUd_1g_um,IF(Исходн.данные.!$P31="Об",K_OrgUd_1g_ob))</f>
        <v>0</v>
      </c>
      <c r="AR31" t="b">
        <f>IF(Исходн.данные.!$P31="Ум",N_MinUd_2g_um,IF(Исходн.данные.!$P31="Об",N_MinUd_2g_ob))</f>
        <v>0</v>
      </c>
      <c r="AS31" t="b">
        <f>IF(Исходн.данные.!$P31="Ум",P_MinUd_2g_um,IF(Исходн.данные.!$P31="Об",P_MinUd_2g_ob))</f>
        <v>0</v>
      </c>
      <c r="AT31" t="b">
        <f>IF(Исходн.данные.!$P31="Ум",K_MinUd_2g_um,IF(Исходн.данные.!$P31="Об",K_MinUd_2g_ob))</f>
        <v>0</v>
      </c>
      <c r="AU31" t="b">
        <f>IF(Исходн.данные.!$P31="Ум",N_MinUd_1g_um,IF(Исходн.данные.!$P31="Об",N_MinUd_1g_ob))</f>
        <v>0</v>
      </c>
      <c r="AV31" t="b">
        <f>IF(Исходн.данные.!P31="Ум",P_MinUd_1g_um,IF(Исходн.данные.!P31="Об",P_MinUd_1g_ob))</f>
        <v>0</v>
      </c>
      <c r="AW31" t="b">
        <f>IF(Исходн.данные.!P31="Ум",K_MinUd_1g_um,IF(Исходн.данные.!P31="Об",K_MinUd_1g_ob))</f>
        <v>0</v>
      </c>
      <c r="AY31" t="e">
        <f>VLOOKUP(Исходн.данные.!T31,Справ!$A$3:$N$57,12)</f>
        <v>#N/A</v>
      </c>
      <c r="AZ31" t="e">
        <f>VLOOKUP(Исходн.данные.!T31,Справ!$A$3:$N$57,13)</f>
        <v>#N/A</v>
      </c>
      <c r="BA31" t="e">
        <f>VLOOKUP(Исходн.данные.!T31,Справ!$A$3:$N$57,14)</f>
        <v>#N/A</v>
      </c>
      <c r="BB31">
        <f>IF(Исходн.данные.!AH31=0,0,25)</f>
        <v>0</v>
      </c>
      <c r="BC31" s="141">
        <f>IF(Исходн.данные.!AH31=0,0,IF(Исходн.данные.!T31=0,25,BD31))</f>
        <v>0</v>
      </c>
      <c r="BD31" s="168" t="e">
        <f>AY31+AZ31*Исходн.данные.!U31-POWER(BA31,2)*Исходн.данные.!U31</f>
        <v>#N/A</v>
      </c>
      <c r="BE3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" s="25">
        <f>IF(Исходн.данные.!AH31=0,0,MIN(HN31:HP31))</f>
        <v>0</v>
      </c>
      <c r="BG31" s="9">
        <f>IF(Исходн.данные.!AH31=0,0,IF((HO31+10*0.25/HG31/HL31)&lt;17,17,HO31+10*0.25/HG31/HL31))</f>
        <v>0</v>
      </c>
      <c r="BH31" s="181">
        <f>IF(Исходн.данные.!AH31=0,0,HW31*HF31*HL31/AU31*AI31+Исходн.данные.!S31*10)</f>
        <v>0</v>
      </c>
      <c r="BI31" s="10"/>
      <c r="BJ31" s="182">
        <f>IF(Исходн.данные.!AH31=0,0,IF(HX31*HG31*HL31/AV31&lt;0,0,HX31*HG31*HL31/AV31*AJ31))</f>
        <v>0</v>
      </c>
      <c r="BK31" s="182">
        <f>IF(Исходн.данные.!AH31=0,0,HY31*HH31*HM31/AW31)</f>
        <v>0</v>
      </c>
      <c r="BL31" s="10">
        <f>IF(OR(Исходн.данные.!$AH31=$BP$1,Исходн.данные.!$AH31=$BP$2),0,IF(BH31&lt;0,0,IF(OR(Исходн.данные.!T31=Расчет!$BP$1,Исходн.данные.!T31=Расчет!$BP$2,Исходн.данные.!T31=Расчет!$BT$5,Исходн.данные.!T31=Расчет!$BT$6),BH31*0.5,IF(OR(Исходн.данные.!T31=Расчет!$BS$9,Исходн.данные.!T31=Расчет!$BS$10,Исходн.данные.!T31=Расчет!$BS$11,Исходн.данные.!T31=Расчет!$BS$12,Исходн.данные.!T31=Расчет!$BP$5),BH31*0.8,BH31))))</f>
        <v>0</v>
      </c>
      <c r="BM31" s="10">
        <f>IF(OR(Исходн.данные.!$AH31=$BP$1,Исходн.данные.!$AH31=$BP$2),0,IF(BJ31&lt;0,0,IF(Исходн.данные.!I31&lt;4.5,BJ31*1.2,IF(Исходн.данные.!I31&gt;5.1,BJ31,BJ31*((5.1-Исходн.данные.!I31)*0.333+1)))))</f>
        <v>0</v>
      </c>
      <c r="BN31" s="10">
        <f>IF(OR(Исходн.данные.!$AH31=$BP$1,Исходн.данные.!$AH31=$BP$2),60-Исходн.данные.!AF31,IF(BK31&lt;0,0,IF(Исходн.данные.!I31&lt;4.5,BK31*1.2,IF(Исходн.данные.!I31&gt;5.1,BK31,BK31*((5.1-Исходн.данные.!I31)*0.333+1)))))</f>
        <v>0</v>
      </c>
      <c r="BO31" s="9">
        <f>IF(BL31&lt;0,0,BL31*Исходн.данные.!$AJ31/1000)</f>
        <v>0</v>
      </c>
      <c r="BP31" s="9">
        <f>IF(BM31&lt;0,0,BM31*Исходн.данные.!$AJ31/1000)</f>
        <v>0</v>
      </c>
      <c r="BQ31" s="9">
        <f>IF(BN31&lt;0,0,BN31*Исходн.данные.!$AJ31/1000)</f>
        <v>0</v>
      </c>
      <c r="BR31" s="9">
        <f t="shared" si="81"/>
        <v>0</v>
      </c>
      <c r="BS31" s="10" t="str">
        <f t="shared" si="82"/>
        <v>Аммофос 12:52:00</v>
      </c>
      <c r="BT31" s="10" t="str">
        <f t="shared" si="83"/>
        <v>Аммофос 12:52:00</v>
      </c>
      <c r="BU31" s="10" t="str">
        <f t="shared" si="84"/>
        <v>Диаммофоска</v>
      </c>
      <c r="BV31" s="10">
        <f t="shared" si="85"/>
        <v>0</v>
      </c>
      <c r="BW31" s="10"/>
      <c r="BX31" s="10"/>
      <c r="BY31" s="9">
        <f>IF(BL31&lt;0,0,IF(OR(Исходн.данные.!AI31=Расчет!$BU$6,Исходн.данные.!AI31=Расчет!$BU$7),Расчет!BV31,IF(Исходн.данные.!$AG31=$BV$11,BL31,IF(OR(Исходн.данные.!$AH31=$BQ$7,Исходн.данные.!$AH31=$BQ$8),CB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0,IF(Исходн.данные.!$AI31=$BU$11,"Нет",IF(BL31&gt;30,30,BL31)))))))</f>
        <v>0</v>
      </c>
      <c r="BZ31" s="9">
        <f>IF(AND(Исходн.данные.!$AG31=$BV$11,BM31&lt;10),10,IF(Исходн.данные.!$AG31=$BV$11,BM31,IF(OR(Исходн.данные.!$AH31=$BQ$7,Исходн.данные.!$AH31=$BQ$8),CC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10,IF(Исходн.данные.!$AI31=$BU$11,"Нет",IF(BM31&gt;60,60,IF(BM31&lt;10,10,BM31)))))))</f>
        <v>10</v>
      </c>
      <c r="CA31" s="39">
        <f>IF(BN31&lt;0,0,IF(Исходн.данные.!$AG31=$BV$11,BN31,IF(OR(Исходн.данные.!$AH31=$BQ$7,Исходн.данные.!$AH31=$BQ$8),CD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0,IF(Исходн.данные.!$AI31=$BU$11,"Нет",IF(BN31&gt;30,30,BN31))))))</f>
        <v>0</v>
      </c>
      <c r="CB31" s="9">
        <f t="shared" si="86"/>
        <v>0</v>
      </c>
      <c r="CC31" s="9">
        <f t="shared" si="87"/>
        <v>0</v>
      </c>
      <c r="CD31" s="9">
        <f t="shared" si="88"/>
        <v>0</v>
      </c>
      <c r="CE31" s="12">
        <f t="shared" si="89"/>
        <v>10</v>
      </c>
      <c r="CF31" s="9">
        <f t="shared" si="90"/>
        <v>0</v>
      </c>
      <c r="CG31" s="9" t="s">
        <v>231</v>
      </c>
      <c r="CH31" s="132" t="str">
        <f>IF(Исходн.данные.!AP31=Расчет!$CI$16,"Нет",IF(Исходн.данные.!AL31&gt;0,Исходн.данные.!AL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BH$4,IF(OR(Исходн.данные.!AI31=Исходн.данные.!$AI$6,Исходн.данные.!AI31=Исходн.данные.!$AI$7),Расчет!BS31,IF(AND($CF31=0,$CE31&gt;0),EV31,ER31)))))</f>
        <v>Аммофос 12:52:00</v>
      </c>
      <c r="CI31" s="274">
        <f>IF(Расчет!$CH31="Нет","Нет",IF(Исходн.данные.!$AL31&gt;0,VLOOKUP(Расчет!$CH31,АшламаДВ_Irekle,2,FALSE),VLOOKUP(Расчет!$CH31,АшламаДВ_Gomumy,2,FALSE)))</f>
        <v>0.12</v>
      </c>
      <c r="CJ31" s="274">
        <f>IF(Расчет!$CH31="Нет","Нет",IF(Исходн.данные.!$AL31&gt;0,VLOOKUP(Расчет!$CH31,АшламаДВ_Irekle,3,FALSE),VLOOKUP(Расчет!$CH31,АшламаДВ_Gomumy,3,FALSE)))</f>
        <v>0.52</v>
      </c>
      <c r="CK31" s="274">
        <f>IF(Расчет!$CH31="Нет","Нет",IF(Исходн.данные.!$AL31&gt;0,VLOOKUP(Расчет!$CH31,АшламаДВ_Irekle,4,FALSE),VLOOKUP(Расчет!$CH31,АшламаДВ_Gomumy,4,FALSE)))</f>
        <v>0</v>
      </c>
      <c r="CL31" s="70"/>
      <c r="CM31" s="70"/>
      <c r="CN31" s="70"/>
      <c r="CO31" s="70"/>
      <c r="CP31" s="70"/>
      <c r="CQ31" s="70"/>
      <c r="CR31" s="10">
        <f t="shared" si="91"/>
        <v>0</v>
      </c>
      <c r="CS31" s="10">
        <f t="shared" si="92"/>
        <v>19.23076923076923</v>
      </c>
      <c r="CT31" s="10">
        <f t="shared" si="93"/>
        <v>0</v>
      </c>
      <c r="CU31" s="39">
        <f>IF($CH31="Нет",0,IF(CI31=0,30/MIN(CJ31:CK31),IF(Исходн.данные.!$AG31=$BV$11,CR31,IF(OR(Исходн.данные.!$AH31=$BQ$7,Исходн.данные.!$AH31=$BQ$8),90/CI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0,IF(Исходн.данные.!$AI31=$BU$11,"Нет",30/CI31))))))</f>
        <v>250</v>
      </c>
      <c r="CV31" s="39">
        <f>IF($CH31="Нет",0,IF(Исходн.данные.!AH31=0,0,IF(CJ31=0,60/MIN(CI31,CK31),IF(Исходн.данные.!$AG31=$BV$11,CS31,IF(OR(Исходн.данные.!$AH31=$BQ$7,Исходн.данные.!$AH31=$BQ$8),90/CJ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10/CJ31,IF(Исходн.данные.!$AI31=$BU$11,"Нет",60/CJ31)))))))</f>
        <v>0</v>
      </c>
      <c r="CW31" s="39">
        <f>IF($CH31="Нет",0,IF(Исходн.данные.!AH31=0,0,IF(CK31=0,30/MIN(CI31:CJ31),IF(Исходн.данные.!$AG31=$BV$11,CT31,IF(OR(Исходн.данные.!$AH31=$BQ$7,Исходн.данные.!$AH31=$BQ$8),90/CK31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0,IF(Исходн.данные.!$AI31=$BU$11,"Нет",30/CK31)))))))</f>
        <v>0</v>
      </c>
      <c r="CX31" s="133">
        <f>IF(Исходн.данные.!$AG31=$BV$11,MAX(CU31:CW31),IF(OR(Исходн.данные.!$AH31=$BS$8,Исходн.данные.!$AH31=$BQ$9,Исходн.данные.!$AH31=$BQ$10,Исходн.данные.!$AH31=$BQ$11,Исходн.данные.!$AH31=$BQ$12,Исходн.данные.!$AH31=$BP$3,Исходн.данные.!$AH31=$BT$8,$FM31="Да"),CV31,MIN(CU31:CW31)))</f>
        <v>0</v>
      </c>
      <c r="CY31" s="133">
        <f>IF(Исходн.данные.!AH31=0,0,IF(CR31&gt;$CX31,$CX31,CR31))</f>
        <v>0</v>
      </c>
      <c r="CZ31" s="133">
        <f>IF(Исходн.данные.!AH31=0,0,IF(CS31&gt;$CX31,$CX31,CS31))</f>
        <v>0</v>
      </c>
      <c r="DA31" s="133">
        <f>IF(Исходн.данные.!AH31=0,0,IF(CT31&gt;$CX31,$CX31,CT31))</f>
        <v>0</v>
      </c>
      <c r="DB31" s="10">
        <f t="shared" si="94"/>
        <v>0</v>
      </c>
      <c r="DC31" s="39">
        <f>DB31*Исходн.данные.!AJ31/1000</f>
        <v>0</v>
      </c>
      <c r="DD31" s="71">
        <f t="shared" si="95"/>
        <v>0</v>
      </c>
      <c r="DE31" s="9">
        <f t="shared" si="96"/>
        <v>0</v>
      </c>
      <c r="DF31" s="9">
        <f t="shared" si="97"/>
        <v>0</v>
      </c>
      <c r="DG31" s="39">
        <f>IF(BL31&lt;0,0,IF($CH31="Нет",BL31,IF(OR(Исходн.данные.!$AH31=$BP$1,Исходн.данные.!$AH31=$BP$2),0,IF(Исходн.данные.!AI31=$BU$11,BL31,IF(BL31-DD31&lt;0,0,BL31-DD31)))))</f>
        <v>0</v>
      </c>
      <c r="DH31" s="39">
        <f>IF(BM31&lt;0,0,IF($CH31="Нет",BM31,IF(OR(Исходн.данные.!$AH31=$BP$1,Исходн.данные.!$AH31=$BP$2),0,IF(Исходн.данные.!AJ31=$BU$11,BM31,IF(BM31-DE31&lt;0,0,BM31-DE31)))))</f>
        <v>0</v>
      </c>
      <c r="DI31" s="39">
        <f>IF(BN31&lt;0,0,IF($CH31="Нет",BN31,IF(OR(Исходн.данные.!$AH31=$BP$1,Исходн.данные.!$AH31=$BP$2),0,IF(Исходн.данные.!AK31=$BU$11,BN31,IF(BN31-DF31&lt;0,0,BN31-DF31)))))</f>
        <v>0</v>
      </c>
      <c r="DJ31" s="12">
        <f t="shared" si="98"/>
        <v>0</v>
      </c>
      <c r="DK31" s="9">
        <f t="shared" si="99"/>
        <v>0</v>
      </c>
      <c r="DL31" s="39">
        <f>IF(Исходн.данные.!AM31&gt;0,Исходн.данные.!AM31,IF(EG31&gt;0,$BH$10,0))</f>
        <v>0</v>
      </c>
      <c r="DM31" s="186">
        <f>IF($DL31=0,0,IF(Исходн.данные.!AM31&gt;0,VLOOKUP($DL31,АшламаДВ_Irekle,2,FALSE),VLOOKUP($DL31,АшламаДВ_Gomumy,2,FALSE)))</f>
        <v>0</v>
      </c>
      <c r="DN31" s="10">
        <f t="shared" si="46"/>
        <v>0</v>
      </c>
      <c r="DO31" s="9" t="str">
        <f>IF(Исходн.данные.!AN31&gt;0,Исходн.данные.!AN31,Удобрения!$B$37 )</f>
        <v>Хлор.калий</v>
      </c>
      <c r="DP31" s="9">
        <f>IF(Исходн.данные.!AN31&gt;0,VLOOKUP(Исходн.данные.!AN31,АшламаДВ_Irekle,4,FALSE),VLOOKUP(DO31,АшламаДВ_Gomumy,4,FALSE))</f>
        <v>0.6</v>
      </c>
      <c r="DQ31" s="10">
        <f t="shared" si="47"/>
        <v>0</v>
      </c>
      <c r="DR31" s="132" t="str">
        <f>IF(Исходн.данные.!AO31&gt;0,Исходн.данные.!AO31,IF(DH31=0,BS$17,IF(AND($DK31=0,$DJ31&gt;0),EJ31,EN31)))</f>
        <v>Нет</v>
      </c>
      <c r="DS31" s="70" t="str">
        <f>IF($DR31="Нет","Нет",IF(Исходн.данные.!$AO31&gt;0,VLOOKUP($DR31,АшламаДВ_Irekle,2,FALSE),VLOOKUP($DR31,АшламаДВ_Gomumy,2,FALSE)))</f>
        <v>Нет</v>
      </c>
      <c r="DT31" s="70" t="str">
        <f>IF($DR31="Нет","Нет",IF(Исходн.данные.!$AO31&gt;0,VLOOKUP($DR31,АшламаДВ_Irekle,3,FALSE),VLOOKUP($DR31,АшламаДВ_Gomumy,3,FALSE)))</f>
        <v>Нет</v>
      </c>
      <c r="DU31" s="70" t="str">
        <f>IF($DR31="Нет","Нет",IF(Исходн.данные.!$AO31&gt;0,VLOOKUP($DR31,АшламаДВ_Irekle,4,FALSE),VLOOKUP($DR31,АшламаДВ_Gomumy,4,FALSE)))</f>
        <v>Нет</v>
      </c>
      <c r="DV31" s="70"/>
      <c r="DW31" s="70"/>
      <c r="DX31" s="70"/>
      <c r="DY31" s="10">
        <f t="shared" si="100"/>
        <v>0</v>
      </c>
      <c r="DZ31" s="10">
        <f t="shared" si="101"/>
        <v>0</v>
      </c>
      <c r="EA31" s="10">
        <f t="shared" si="102"/>
        <v>0</v>
      </c>
      <c r="EB31" s="10">
        <f t="shared" si="103"/>
        <v>0</v>
      </c>
      <c r="EC31" s="10">
        <f t="shared" si="104"/>
        <v>0</v>
      </c>
      <c r="ED31" s="10">
        <f t="shared" si="105"/>
        <v>0</v>
      </c>
      <c r="EE31" s="10">
        <f t="shared" si="106"/>
        <v>0</v>
      </c>
      <c r="EF31" s="39">
        <f>EB31*Исходн.данные.!AJ31/1000</f>
        <v>0</v>
      </c>
      <c r="EG31" s="9">
        <f t="shared" si="107"/>
        <v>0</v>
      </c>
      <c r="EH31" s="9">
        <f t="shared" si="108"/>
        <v>0</v>
      </c>
      <c r="EI31" s="39" t="e">
        <f t="shared" si="7"/>
        <v>#DIV/0!</v>
      </c>
      <c r="EJ31" s="9" t="str">
        <f t="shared" si="8"/>
        <v>Азопреципитат</v>
      </c>
      <c r="EK31" s="12">
        <f t="shared" si="9"/>
        <v>0.26</v>
      </c>
      <c r="EL31" s="12">
        <f t="shared" si="10"/>
        <v>0.13</v>
      </c>
      <c r="EM31" s="12">
        <f t="shared" si="11"/>
        <v>0</v>
      </c>
      <c r="EN31" s="12" t="str">
        <f t="shared" si="57"/>
        <v>Нет</v>
      </c>
      <c r="EO31" s="12">
        <f t="shared" si="12"/>
        <v>0</v>
      </c>
      <c r="EP31" s="12">
        <f t="shared" si="13"/>
        <v>0</v>
      </c>
      <c r="EQ31" s="12">
        <f t="shared" si="14"/>
        <v>0</v>
      </c>
      <c r="ER31" s="12" t="str">
        <f t="shared" si="109"/>
        <v>Диаммофоска</v>
      </c>
      <c r="ES31" s="12">
        <f t="shared" si="15"/>
        <v>0.1</v>
      </c>
      <c r="ET31" s="12">
        <f t="shared" si="16"/>
        <v>0.26</v>
      </c>
      <c r="EU31" s="12">
        <f t="shared" si="17"/>
        <v>0.26</v>
      </c>
      <c r="EV31" s="12" t="str">
        <f t="shared" si="110"/>
        <v>Аммофос 12:52:00</v>
      </c>
      <c r="EW31" s="12" t="str">
        <f t="shared" si="111"/>
        <v>Кемира Свекловичное-6</v>
      </c>
      <c r="EX31" s="12">
        <f t="shared" si="18"/>
        <v>0.16</v>
      </c>
      <c r="EY31" s="12">
        <f t="shared" si="19"/>
        <v>0.12</v>
      </c>
      <c r="EZ31" s="12">
        <f t="shared" si="20"/>
        <v>0.17</v>
      </c>
      <c r="FA31" s="38" t="e">
        <f>IF(AND(OR(FJ31=$FD$1,FM31=$FD$1,FO31=$FD$1,FQ31=$FD$1,FS31=$FD$1),FD31=$FD$1,Исходн.данные.!J31&lt;2,FU31=$FD$1),"Бор,Кобальт",IF(AND(FO31=$FD$1,FH31=$FD$1,Исходн.данные.!J31&lt;2,FU31=$FD$1),"Бор,Кобальт",IF(AND(OR(FJ31=$FD$1,FM31=$FD$1,FQ31=$FD$1),FE31=$FD$1,Исходн.данные.!J31&lt;2,FT31=$FD$1,FU31=$FD$1),"Бор,Медь,Цинк",IF(AND(OR(FJ31=$FD$1,FR31="Да"),FI31="Да",Исходн.данные.!J31&lt;2,FT31="Да",FU31="Да"),"Бор,Цинк,Медь",IF(AND(OR(FM31="Да",FQ31="Да"),FI31="Да",Исходн.данные.!J31&lt;2,FT31="Да",FU31="Да"),"Бор,Цинк",IF(AND(FN31="Да",OR(FD31="Да",FE31="Да")),"Бор",FB31))))))</f>
        <v>#N/A</v>
      </c>
      <c r="FB31" s="134" t="e">
        <f>IF(AND(OR(FD31="Да",FE31="Да",FF31="Да",FG31="Да",FH31="Да"),FO31="Да"),"Бор",IF(AND(FP31="Да",OR(FD31="Да",FE31="Да",FI31="Да")),"Бор",IF(AND(FS31="Да",FE31="Да"),"Бор,Медь",IF(AND(OR(FJ31="Да",FK31="Да",FL31="Да"),FE31="Да",Исходн.данные.!I31&lt;5,FT31="Да",FU31="Да"),"Молибден,Цинк",IF(AND(FM31="Да",OR(FE31="Да",FF31="Да",FG31="Да",FH31="Да",FI31="Да")),"Молибден,Цинк",IF(AND(OR(FJ31="Да",FK31="Да",FL31="Да",FM31="Да",FQ31="Да"),OR(FE31="Да",FF31="Да"),FT31="Да",FU31="Да",Исходн.данные.!I31&gt;5.5),"Медь,Цинк",FC31))))))</f>
        <v>#N/A</v>
      </c>
      <c r="FC31" s="23" t="e">
        <f t="shared" si="112"/>
        <v>#N/A</v>
      </c>
      <c r="FD31" s="38" t="str">
        <f>IF(OR(Исходн.данные.!F31=$CC$1,Исходн.данные.!F31=$CC$2,Исходн.данные.!F31=$CC$3,Исходн.данные.!F31=$CC$4),"Да","Нет")</f>
        <v>Нет</v>
      </c>
      <c r="FE31" s="38" t="str">
        <f>IF(Исходн.данные.!F31=$CC$5,"Да","Нет")</f>
        <v>Нет</v>
      </c>
      <c r="FF31" s="38" t="str">
        <f>IF(OR(Исходн.данные.!F31=$CC$6,Исходн.данные.!F31=$CC$7),"Да","Нет")</f>
        <v>Нет</v>
      </c>
      <c r="FG31" s="38" t="str">
        <f>IF(OR(Исходн.данные.!F31=$CC$8,Исходн.данные.!F31=$CC$9),"Да","Нет")</f>
        <v>Нет</v>
      </c>
      <c r="FH31" s="38" t="str">
        <f>IF(Исходн.данные.!F31=$CC$10,"Да","Нет")</f>
        <v>Нет</v>
      </c>
      <c r="FI31" s="38" t="str">
        <f>IF(OR(Исходн.данные.!F31=$CC$11,Исходн.данные.!F31=$CC$12),"Да","Нет")</f>
        <v>Нет</v>
      </c>
      <c r="FJ31" s="38" t="str">
        <f>IF(OR(Исходн.данные.!AH31=$BS$1,Исходн.данные.!AH31=$BQ$11,Исходн.данные.!AH31=$BQ$12),"Да","Нет")</f>
        <v>Нет</v>
      </c>
      <c r="FK31" s="38" t="str">
        <f>IF(OR(Исходн.данные.!AH31=$BS$2,Исходн.данные.!AH31=$BS$4),"Да","Нет")</f>
        <v>Нет</v>
      </c>
      <c r="FL31" s="38" t="str">
        <f>IF(OR(Исходн.данные.!AH31=$BS$3,Исходн.данные.!AH31=$BS$5),"Да","Нет")</f>
        <v>Нет</v>
      </c>
      <c r="FM31" s="38" t="str">
        <f>IF(OR(Исходн.данные.!AH31=$BS$9,Исходн.данные.!AH31=$BS$10,Исходн.данные.!AH31=$BS$11,Исходн.данные.!AH31=$BS$12),"Да","Нет")</f>
        <v>Нет</v>
      </c>
      <c r="FN31" s="38" t="str">
        <f>IF(OR(Исходн.данные.!AH31=$BS$6,Исходн.данные.!AH31=$BP$3),"Да","Нет")</f>
        <v>Нет</v>
      </c>
      <c r="FO31" s="38" t="str">
        <f>IF(Исходн.данные.!AH31=$BQ$9,"Да","Нет")</f>
        <v>Нет</v>
      </c>
      <c r="FP31" s="38" t="str">
        <f>IF(OR(Исходн.данные.!AH31=$BS$8,Исходн.данные.!AH31=$BT$8),"Да","Нет")</f>
        <v>Нет</v>
      </c>
      <c r="FQ31" s="38" t="str">
        <f>IF(OR(Исходн.данные.!AH31=$BQ$7,Исходн.данные.!AH31=$BQ$8),"Да","Нет")</f>
        <v>Нет</v>
      </c>
      <c r="FR31" s="38" t="str">
        <f>IF(Исходн.данные.!AI31=$BU$9,"Да","Нет")</f>
        <v>Нет</v>
      </c>
      <c r="FS31" s="38" t="str">
        <f>IF(OR(Исходн.данные.!AH31=$BP$1,Исходн.данные.!AH31=$BP$2),"Да","Нет")</f>
        <v>Нет</v>
      </c>
      <c r="FT31" s="38" t="e">
        <f>IF((Исходн.данные.!K31*GO31*GS31*GW31+BL31*0.6+Исходн.данные.!Q31*4.5*0.275)&gt;90,"Да","Нет")</f>
        <v>#N/A</v>
      </c>
      <c r="FU31" s="38" t="e">
        <f>IF((Исходн.данные.!M31*GS31*GZ31+BM31*0.225)&gt;35,"Да","Нет")</f>
        <v>#N/A</v>
      </c>
      <c r="FV31" s="38" t="str">
        <f>IF(Исходн.данные.!O31&gt;175,"Да","Нет")</f>
        <v>Нет</v>
      </c>
      <c r="FW31" s="39" t="str">
        <f>IF(Исходн.данные.!I31&gt;5.5,"Да","Нет")</f>
        <v>Нет</v>
      </c>
      <c r="FX31" s="39" t="str">
        <f>IF(Исходн.данные.!J31&lt;2,"Да","Нет")</f>
        <v>Да</v>
      </c>
      <c r="FY31" s="39" t="e">
        <f>IF(HF31=$FY$16,0,Исходн.данные.!K31*GO31*GS31*GW31/HF31)</f>
        <v>#N/A</v>
      </c>
      <c r="FZ31" s="39" t="e">
        <f>Исходн.данные.!M31*GS31*GZ31/HG31</f>
        <v>#N/A</v>
      </c>
      <c r="GA31" s="39" t="e">
        <f>IF(K_Wyn=$FY$16,0,IF(Исходн.данные.!N31=Исходн.данные.!$L$10,Исходн.данные.!O31/1.1*GS31*HC31/HH31,IF(Исходн.данные.!N31=Исходн.данные.!$L$12,Исходн.данные.!O31/1.5*GS31*HC31/HH31,Исходн.данные.!O31*GS31*HC31/HH31)))</f>
        <v>#N/A</v>
      </c>
      <c r="GB31" s="39" t="e">
        <f>IF(HF31=$FY$16,0,((Исходн.данные.!Q31*N_Org+Исходн.данные.!R31*N_Sider+Исходн.данные.!S31*N_Soloma)*AO31+Расчет!BC31*VLOOKUP(Исходн.данные.!T31,Справ!$A$3:$O$57,15)*AO31+BB31*VLOOKUP(Исходн.данные.!T31,Справ!$A$3:$O$57,15)*AL31+(Исходн.данные.!V31*N_Rizotorf+Исходн.данные.!W31*N_Rizoagr))/HF31)</f>
        <v>#N/A</v>
      </c>
      <c r="GC31" s="39" t="e">
        <f>IF(HG31=$FY$16,0,((Исходн.данные.!Q31*Р_Org+Исходн.данные.!R31*P_Sider+Исходн.данные.!S31*P_Soloma)*AP31+Расчет!BC31*VLOOKUP(Исходн.данные.!T31,Справ!$A$3:$P$57,16)*AP31+BB31*VLOOKUP(Исходн.данные.!T31,Справ!$A$3:$P$57,16)*AM31)/HG31)</f>
        <v>#N/A</v>
      </c>
      <c r="GD31" s="39" t="e">
        <f>IF(HH31=$FY$16,0,((Исходн.данные.!Q31*К_Org+Исходн.данные.!R31*K_Sider+Исходн.данные.!S31*K_Soloma)*AQ31+Расчет!BC31*VLOOKUP(Исходн.данные.!T31,Справ!$A$3:$Q$57,17)*AQ31+BB31*VLOOKUP(Исходн.данные.!T31,Справ!$A$3:$Q$57,17)*AN31)/HH31)</f>
        <v>#N/A</v>
      </c>
      <c r="GE31" s="39" t="e">
        <f>IF(HF31=$FY$16,0,(Исходн.данные.!X31*AR31+Исходн.данные.!AA31*N_Org*AL31+Исходн.данные.!AB31*N_Sider*AL31+Исходн.данные.!AC31*N_Soloma*AL31)/HF31)</f>
        <v>#N/A</v>
      </c>
      <c r="GF31" s="39" t="e">
        <f>IF(HG31=$FY$16,0,(Исходн.данные.!Y31*AS31+Исходн.данные.!AA31*Р_Org*AM31+Исходн.данные.!AB31*P_Sider*AM31+Исходн.данные.!AC31*P_Soloma*AM31)/HG31)</f>
        <v>#N/A</v>
      </c>
      <c r="GG31" s="39" t="e">
        <f>IF(HH31=$FY$16,0,(Исходн.данные.!Z31*AT31+Исходн.данные.!AA31*К_Org*AN31+Исходн.данные.!AB31*K_Sider*AN31+Исходн.данные.!AC31*K_Soloma*AN31)/HH31)</f>
        <v>#N/A</v>
      </c>
      <c r="GH31" s="39" t="e">
        <f>Исходн.данные.!AD31*AU31/HF31</f>
        <v>#N/A</v>
      </c>
      <c r="GI31" s="39" t="e">
        <f>Исходн.данные.!AE31*AV31/HG31</f>
        <v>#N/A</v>
      </c>
      <c r="GJ31" s="39" t="e">
        <f>Исходн.данные.!AF31*AW31/HH31</f>
        <v>#N/A</v>
      </c>
      <c r="GK31" s="55">
        <f>Исходн.данные.!AK31</f>
        <v>0</v>
      </c>
      <c r="GL31" s="11" t="e">
        <f t="shared" si="113"/>
        <v>#N/A</v>
      </c>
      <c r="GM31" s="11" t="e">
        <f t="shared" si="114"/>
        <v>#N/A</v>
      </c>
      <c r="GN31" s="11" t="e">
        <f t="shared" si="115"/>
        <v>#N/A</v>
      </c>
      <c r="GO31" s="57">
        <f t="shared" si="116"/>
        <v>19</v>
      </c>
      <c r="GP31" s="55">
        <f>IF(OR(Исходн.данные.!F31=$CE$1,Исходн.данные.!F31=$CE$2,Исходн.данные.!F31=$CE$3,Исходн.данные.!F31=$CE$4,Исходн.данные.!F31=$CE$5),GQ31,GR31)</f>
        <v>19</v>
      </c>
      <c r="GQ31" s="55">
        <f>IF(Исходн.данные.!F31=$CE$1,28,IF(Исходн.данные.!F31=$CE$2,26,IF(Исходн.данные.!F31=$CE$3,24,IF(Исходн.данные.!F31=$CE$4,22,IF(Исходн.данные.!F31=$CE$5,20,GR31)))))</f>
        <v>19</v>
      </c>
      <c r="GR31" s="55">
        <f>IF(Исходн.данные.!F31=$CE$6,18,IF(Исходн.данные.!F31=$CE$7,16,IF(Исходн.данные.!F31=$CE$8,14,IF(Исходн.данные.!F31=$CE$9,13,IF(Исходн.данные.!F31=$CE$10,12,19)))))</f>
        <v>19</v>
      </c>
      <c r="GS31" s="55">
        <f>IF(Исходн.данные.!G31="Пес",0.035*(40+2*Исходн.данные.!H31),IF(Исходн.данные.!G31="Суп",0.0325*(40+2*Исходн.данные.!H31),0.03*(40+2*Исходн.данные.!H31)))</f>
        <v>1.2</v>
      </c>
      <c r="GT31" s="55">
        <f>IF(Исходн.данные.!H31&lt;23,2.6,IF(AND(Исходн.данные.!H31&gt;22,Исходн.данные.!H31&lt;26),3,IF(AND(Исходн.данные.!H31&gt;25,Исходн.данные.!H31&lt;29),3.4,3.6)))</f>
        <v>2.6</v>
      </c>
      <c r="GU31" s="55">
        <f>IF(Исходн.данные.!H31&lt;23,2.8,IF(AND(Исходн.данные.!H31&gt;22,Исходн.данные.!H31&lt;26),3.2,IF(AND(Исходн.данные.!H31&gt;25,Исходн.данные.!H31&lt;29),3.6,3.9)))</f>
        <v>2.8</v>
      </c>
      <c r="GV31" s="55">
        <f>IF(Исходн.данные.!H31&lt;23,3,IF(AND(Исходн.данные.!H31&gt;22,Исходн.данные.!H31&lt;26),3.5,IF(AND(Исходн.данные.!H31&gt;25,Исходн.данные.!H31&lt;29),3.9,4.2)))</f>
        <v>3</v>
      </c>
      <c r="GW31" s="55" t="e">
        <f>IF(Исходн.данные.!P31="Ум",GX31,GY31)</f>
        <v>#N/A</v>
      </c>
      <c r="GX31" s="55" t="e">
        <f>VLOOKUP(Исходн.данные.!AI31,Коэффициенты!$J$7:$L$13,2,FALSE)</f>
        <v>#N/A</v>
      </c>
      <c r="GY31" s="55" t="e">
        <f>VLOOKUP(Исходн.данные.!AI31,Коэффициенты!$J$7:$L$13,3,FALSE)</f>
        <v>#N/A</v>
      </c>
      <c r="GZ31" s="55" t="e">
        <f>(IF(Исходн.данные.!M31&lt;50,0.11*VLOOKUP(Исходн.данные.!AH31,Культуры.Информация,7,FALSE),IF(Исходн.данные.!M31&gt;250,0.05*VLOOKUP(Исходн.данные.!AH31,Культуры.Информация,7,FALSE),VLOOKUP(Исходн.данные.!AH31,Культуры.Информация,5,FALSE)/100*($GX$6+$GY$6*Исходн.данные.!M31))))*Расчет2!AI31</f>
        <v>#N/A</v>
      </c>
      <c r="HA31" s="211"/>
      <c r="HB31" s="211"/>
      <c r="HC31" s="55" t="e">
        <f>(IF(Исходн.данные.!O31&lt;80,0.2*VLOOKUP(Исходн.данные.!AH31,Культуры.Информация,8,FALSE),IF(Исходн.данные.!O31&gt;240,0.09*VLOOKUP(Исходн.данные.!AH31,Культуры.Информация,8,FALSE),VLOOKUP(Исходн.данные.!AH31,Культуры.Информация,6,FALSE)/100*($HB$6+$HC$6*Исходн.данные.!O31))))*Расчет2!AJ31</f>
        <v>#N/A</v>
      </c>
      <c r="HD31" s="55">
        <f>IF(Исходн.данные.!O31&gt;240,0.09,IF(Исходн.данные.!O31&lt;30,0.3,$HE$10+$HD$10*Исходн.данные.!O31))</f>
        <v>0.3</v>
      </c>
      <c r="HE31" s="55">
        <f>IF(Исходн.данные.!O31&gt;240,0.17,IF(Исходн.данные.!O31&lt;30,0.5,$HF$12+$HE$12*Исходн.данные.!O31))</f>
        <v>0.5</v>
      </c>
      <c r="HF31" s="55" t="e">
        <f>VLOOKUP(Исходн.данные.!AH31,Справ!$A$3:$D$58,2,FALSE)</f>
        <v>#N/A</v>
      </c>
      <c r="HG31" s="55" t="e">
        <f>VLOOKUP(Исходн.данные.!AH31,Справ!$A$3:$D$58,3,FALSE)</f>
        <v>#N/A</v>
      </c>
      <c r="HH31" s="55" t="e">
        <f>VLOOKUP(Исходн.данные.!AH31,Справ!$A$3:$D$58,4,FALSE)</f>
        <v>#N/A</v>
      </c>
      <c r="HI31" s="11" t="e">
        <f t="shared" si="117"/>
        <v>#N/A</v>
      </c>
      <c r="HJ31" s="11" t="e">
        <f t="shared" si="118"/>
        <v>#N/A</v>
      </c>
      <c r="HK31" s="11" t="e">
        <f t="shared" si="119"/>
        <v>#N/A</v>
      </c>
      <c r="HL31" s="55">
        <f>IF(OR(Исходн.данные.!G31="Глин",Исходн.данные.!G31="Т_суг"),1.1,IF(Исходн.данные.!G31="Ср_суг",1,1))</f>
        <v>1</v>
      </c>
      <c r="HM31" s="55">
        <f>IF(OR(Исходн.данные.!G31="Глин",Исходн.данные.!G31="Т_суг"),0.9,IF(Исходн.данные.!G31="Ср_суг",1,1.2))</f>
        <v>1.2</v>
      </c>
      <c r="HN31" s="11" t="e">
        <f t="shared" si="120"/>
        <v>#N/A</v>
      </c>
      <c r="HO31" s="11" t="e">
        <f t="shared" si="121"/>
        <v>#N/A</v>
      </c>
      <c r="HP31" s="11" t="e">
        <f t="shared" si="122"/>
        <v>#N/A</v>
      </c>
      <c r="HQ31" t="e">
        <f t="shared" si="123"/>
        <v>#N/A</v>
      </c>
      <c r="HR31" t="e">
        <f t="shared" si="124"/>
        <v>#N/A</v>
      </c>
      <c r="HS31" t="e">
        <f t="shared" si="125"/>
        <v>#N/A</v>
      </c>
      <c r="HT31" t="e">
        <f t="shared" si="21"/>
        <v>#N/A</v>
      </c>
      <c r="HU31" t="e">
        <f t="shared" si="22"/>
        <v>#N/A</v>
      </c>
      <c r="HV31" t="e">
        <f t="shared" si="23"/>
        <v>#N/A</v>
      </c>
      <c r="HW31" t="e">
        <f t="shared" si="24"/>
        <v>#N/A</v>
      </c>
      <c r="HX31" t="e">
        <f t="shared" si="25"/>
        <v>#N/A</v>
      </c>
      <c r="HY31" t="e">
        <f t="shared" si="26"/>
        <v>#N/A</v>
      </c>
      <c r="HZ31" s="55">
        <f>IF(OR(Исходн.данные.!AI31="Оз_Ч_П",Исходн.данные.!AI31="Оз_З_П",Исходн.данные.!AI31="Яр_зер"),12,30)</f>
        <v>30</v>
      </c>
      <c r="IA31" t="e">
        <f t="shared" si="126"/>
        <v>#N/A</v>
      </c>
      <c r="IB31" t="e">
        <f t="shared" si="127"/>
        <v>#N/A</v>
      </c>
      <c r="IC31" t="e">
        <f t="shared" si="128"/>
        <v>#N/A</v>
      </c>
      <c r="ID31" s="11" t="e">
        <f t="shared" si="129"/>
        <v>#N/A</v>
      </c>
      <c r="IE31" s="11" t="e">
        <f t="shared" si="130"/>
        <v>#N/A</v>
      </c>
      <c r="IF31" s="11" t="e">
        <f t="shared" si="131"/>
        <v>#N/A</v>
      </c>
    </row>
    <row r="32" spans="35:240" x14ac:dyDescent="0.2">
      <c r="AI32">
        <f>IF(Исходн.данные.!I32&gt;6,1,1.85-(0.148*Исходн.данные.!I32))</f>
        <v>1.85</v>
      </c>
      <c r="AJ32">
        <f>IF(Исходн.данные.!I32&gt;6,1,2.434-(0.246*Исходн.данные.!I32))</f>
        <v>2.4340000000000002</v>
      </c>
      <c r="AL32" s="148" t="b">
        <f>IF(Исходн.данные.!$P32="Ум",N_OrgUd_2g_um,IF(Исходн.данные.!$P32="Об",N_OrgUd_2g_ob))</f>
        <v>0</v>
      </c>
      <c r="AM32" s="148" t="b">
        <f>IF(Исходн.данные.!$P32="Ум",P_OrgUd_2g_um,IF(Исходн.данные.!$P32="Об",P_OrgUd_2g_ob))</f>
        <v>0</v>
      </c>
      <c r="AN32" s="148" t="b">
        <f>IF(Исходн.данные.!$P32="Ум",K_OrgUd_2g_um,IF(Исходн.данные.!$P32="Об",K_OrgUd_2g_ob))</f>
        <v>0</v>
      </c>
      <c r="AO32" s="148" t="b">
        <f>IF(Исходн.данные.!$P32="Ум",N_OrgUd_1g_um,IF(Исходн.данные.!$P32="Об",N_OrgUd_1g_ob))</f>
        <v>0</v>
      </c>
      <c r="AP32" s="148" t="b">
        <f>IF(Исходн.данные.!$P32="Ум",P_OrgUd_1g_um,IF(Исходн.данные.!$P32="Об",P_OrgUd_1g_ob))</f>
        <v>0</v>
      </c>
      <c r="AQ32" s="148" t="b">
        <f>IF(Исходн.данные.!$P32="Ум",K_OrgUd_1g_um,IF(Исходн.данные.!$P32="Об",K_OrgUd_1g_ob))</f>
        <v>0</v>
      </c>
      <c r="AR32" t="b">
        <f>IF(Исходн.данные.!$P32="Ум",N_MinUd_2g_um,IF(Исходн.данные.!$P32="Об",N_MinUd_2g_ob))</f>
        <v>0</v>
      </c>
      <c r="AS32" t="b">
        <f>IF(Исходн.данные.!$P32="Ум",P_MinUd_2g_um,IF(Исходн.данные.!$P32="Об",P_MinUd_2g_ob))</f>
        <v>0</v>
      </c>
      <c r="AT32" t="b">
        <f>IF(Исходн.данные.!$P32="Ум",K_MinUd_2g_um,IF(Исходн.данные.!$P32="Об",K_MinUd_2g_ob))</f>
        <v>0</v>
      </c>
      <c r="AU32" t="b">
        <f>IF(Исходн.данные.!$P32="Ум",N_MinUd_1g_um,IF(Исходн.данные.!$P32="Об",N_MinUd_1g_ob))</f>
        <v>0</v>
      </c>
      <c r="AV32" t="b">
        <f>IF(Исходн.данные.!P32="Ум",P_MinUd_1g_um,IF(Исходн.данные.!P32="Об",P_MinUd_1g_ob))</f>
        <v>0</v>
      </c>
      <c r="AW32" t="b">
        <f>IF(Исходн.данные.!P32="Ум",K_MinUd_1g_um,IF(Исходн.данные.!P32="Об",K_MinUd_1g_ob))</f>
        <v>0</v>
      </c>
      <c r="AY32" t="e">
        <f>VLOOKUP(Исходн.данные.!T32,Справ!$A$3:$N$57,12)</f>
        <v>#N/A</v>
      </c>
      <c r="AZ32" t="e">
        <f>VLOOKUP(Исходн.данные.!T32,Справ!$A$3:$N$57,13)</f>
        <v>#N/A</v>
      </c>
      <c r="BA32" t="e">
        <f>VLOOKUP(Исходн.данные.!T32,Справ!$A$3:$N$57,14)</f>
        <v>#N/A</v>
      </c>
      <c r="BB32">
        <f>IF(Исходн.данные.!AH32=0,0,25)</f>
        <v>0</v>
      </c>
      <c r="BC32" s="141">
        <f>IF(Исходн.данные.!AH32=0,0,IF(Исходн.данные.!T32=0,25,BD32))</f>
        <v>0</v>
      </c>
      <c r="BD32" s="168" t="e">
        <f>AY32+AZ32*Исходн.данные.!U32-POWER(BA32,2)*Исходн.данные.!U32</f>
        <v>#N/A</v>
      </c>
      <c r="BE3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" s="25">
        <f>IF(Исходн.данные.!AH32=0,0,MIN(HN32:HP32))</f>
        <v>0</v>
      </c>
      <c r="BG32" s="9">
        <f>IF(Исходн.данные.!AH32=0,0,IF((HO32+10*0.25/HG32/HL32)&lt;17,17,HO32+10*0.25/HG32/HL32))</f>
        <v>0</v>
      </c>
      <c r="BH32" s="181">
        <f>IF(Исходн.данные.!AH32=0,0,HW32*HF32*HL32/AU32*AI32+Исходн.данные.!S32*10)</f>
        <v>0</v>
      </c>
      <c r="BI32" s="10"/>
      <c r="BJ32" s="182">
        <f>IF(Исходн.данные.!AH32=0,0,IF(HX32*HG32*HL32/AV32&lt;0,0,HX32*HG32*HL32/AV32*AJ32))</f>
        <v>0</v>
      </c>
      <c r="BK32" s="182">
        <f>IF(Исходн.данные.!AH32=0,0,HY32*HH32*HM32/AW32)</f>
        <v>0</v>
      </c>
      <c r="BL32" s="10">
        <f>IF(OR(Исходн.данные.!$AH32=$BP$1,Исходн.данные.!$AH32=$BP$2),0,IF(BH32&lt;0,0,IF(OR(Исходн.данные.!T32=Расчет!$BP$1,Исходн.данные.!T32=Расчет!$BP$2,Исходн.данные.!T32=Расчет!$BT$5,Исходн.данные.!T32=Расчет!$BT$6),BH32*0.5,IF(OR(Исходн.данные.!T32=Расчет!$BS$9,Исходн.данные.!T32=Расчет!$BS$10,Исходн.данные.!T32=Расчет!$BS$11,Исходн.данные.!T32=Расчет!$BS$12,Исходн.данные.!T32=Расчет!$BP$5),BH32*0.8,BH32))))</f>
        <v>0</v>
      </c>
      <c r="BM32" s="10">
        <f>IF(OR(Исходн.данные.!$AH32=$BP$1,Исходн.данные.!$AH32=$BP$2),0,IF(BJ32&lt;0,0,IF(Исходн.данные.!I32&lt;4.5,BJ32*1.2,IF(Исходн.данные.!I32&gt;5.1,BJ32,BJ32*((5.1-Исходн.данные.!I32)*0.333+1)))))</f>
        <v>0</v>
      </c>
      <c r="BN32" s="10">
        <f>IF(OR(Исходн.данные.!$AH32=$BP$1,Исходн.данные.!$AH32=$BP$2),60-Исходн.данные.!AF32,IF(BK32&lt;0,0,IF(Исходн.данные.!I32&lt;4.5,BK32*1.2,IF(Исходн.данные.!I32&gt;5.1,BK32,BK32*((5.1-Исходн.данные.!I32)*0.333+1)))))</f>
        <v>0</v>
      </c>
      <c r="BO32" s="9">
        <f>IF(BL32&lt;0,0,BL32*Исходн.данные.!$AJ32/1000)</f>
        <v>0</v>
      </c>
      <c r="BP32" s="9">
        <f>IF(BM32&lt;0,0,BM32*Исходн.данные.!$AJ32/1000)</f>
        <v>0</v>
      </c>
      <c r="BQ32" s="9">
        <f>IF(BN32&lt;0,0,BN32*Исходн.данные.!$AJ32/1000)</f>
        <v>0</v>
      </c>
      <c r="BR32" s="9">
        <f t="shared" si="81"/>
        <v>0</v>
      </c>
      <c r="BS32" s="10" t="str">
        <f t="shared" si="82"/>
        <v>Аммофос 12:52:00</v>
      </c>
      <c r="BT32" s="10" t="str">
        <f t="shared" si="83"/>
        <v>Аммофос 12:52:00</v>
      </c>
      <c r="BU32" s="10" t="str">
        <f t="shared" si="84"/>
        <v>Диаммофоска</v>
      </c>
      <c r="BV32" s="10">
        <f t="shared" si="85"/>
        <v>0</v>
      </c>
      <c r="BW32" s="10"/>
      <c r="BX32" s="10"/>
      <c r="BY32" s="9">
        <f>IF(BL32&lt;0,0,IF(OR(Исходн.данные.!AI32=Расчет!$BU$6,Исходн.данные.!AI32=Расчет!$BU$7),Расчет!BV32,IF(Исходн.данные.!$AG32=$BV$11,BL32,IF(OR(Исходн.данные.!$AH32=$BQ$7,Исходн.данные.!$AH32=$BQ$8),CB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0,IF(Исходн.данные.!$AI32=$BU$11,"Нет",IF(BL32&gt;30,30,BL32)))))))</f>
        <v>0</v>
      </c>
      <c r="BZ32" s="9">
        <f>IF(AND(Исходн.данные.!$AG32=$BV$11,BM32&lt;10),10,IF(Исходн.данные.!$AG32=$BV$11,BM32,IF(OR(Исходн.данные.!$AH32=$BQ$7,Исходн.данные.!$AH32=$BQ$8),CC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10,IF(Исходн.данные.!$AI32=$BU$11,"Нет",IF(BM32&gt;60,60,IF(BM32&lt;10,10,BM32)))))))</f>
        <v>10</v>
      </c>
      <c r="CA32" s="39">
        <f>IF(BN32&lt;0,0,IF(Исходн.данные.!$AG32=$BV$11,BN32,IF(OR(Исходн.данные.!$AH32=$BQ$7,Исходн.данные.!$AH32=$BQ$8),CD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0,IF(Исходн.данные.!$AI32=$BU$11,"Нет",IF(BN32&gt;30,30,BN32))))))</f>
        <v>0</v>
      </c>
      <c r="CB32" s="9">
        <f t="shared" si="86"/>
        <v>0</v>
      </c>
      <c r="CC32" s="9">
        <f t="shared" si="87"/>
        <v>0</v>
      </c>
      <c r="CD32" s="9">
        <f t="shared" si="88"/>
        <v>0</v>
      </c>
      <c r="CE32" s="12">
        <f t="shared" si="89"/>
        <v>10</v>
      </c>
      <c r="CF32" s="9">
        <f t="shared" si="90"/>
        <v>0</v>
      </c>
      <c r="CG32" s="9" t="s">
        <v>231</v>
      </c>
      <c r="CH32" s="132" t="str">
        <f>IF(Исходн.данные.!AP32=Расчет!$CI$16,"Нет",IF(Исходн.данные.!AL32&gt;0,Исходн.данные.!AL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BH$4,IF(OR(Исходн.данные.!AI32=Исходн.данные.!$AI$6,Исходн.данные.!AI32=Исходн.данные.!$AI$7),Расчет!BS32,IF(AND($CF32=0,$CE32&gt;0),EV32,ER32)))))</f>
        <v>Аммофос 12:52:00</v>
      </c>
      <c r="CI32" s="274">
        <f>IF(Расчет!$CH32="Нет","Нет",IF(Исходн.данные.!$AL32&gt;0,VLOOKUP(Расчет!$CH32,АшламаДВ_Irekle,2,FALSE),VLOOKUP(Расчет!$CH32,АшламаДВ_Gomumy,2,FALSE)))</f>
        <v>0.12</v>
      </c>
      <c r="CJ32" s="274">
        <f>IF(Расчет!$CH32="Нет","Нет",IF(Исходн.данные.!$AL32&gt;0,VLOOKUP(Расчет!$CH32,АшламаДВ_Irekle,3,FALSE),VLOOKUP(Расчет!$CH32,АшламаДВ_Gomumy,3,FALSE)))</f>
        <v>0.52</v>
      </c>
      <c r="CK32" s="274">
        <f>IF(Расчет!$CH32="Нет","Нет",IF(Исходн.данные.!$AL32&gt;0,VLOOKUP(Расчет!$CH32,АшламаДВ_Irekle,4,FALSE),VLOOKUP(Расчет!$CH32,АшламаДВ_Gomumy,4,FALSE)))</f>
        <v>0</v>
      </c>
      <c r="CL32" s="70"/>
      <c r="CM32" s="70"/>
      <c r="CN32" s="70"/>
      <c r="CO32" s="70"/>
      <c r="CP32" s="70"/>
      <c r="CQ32" s="70"/>
      <c r="CR32" s="10">
        <f t="shared" si="91"/>
        <v>0</v>
      </c>
      <c r="CS32" s="10">
        <f t="shared" si="92"/>
        <v>19.23076923076923</v>
      </c>
      <c r="CT32" s="10">
        <f t="shared" si="93"/>
        <v>0</v>
      </c>
      <c r="CU32" s="39">
        <f>IF($CH32="Нет",0,IF(CI32=0,30/MIN(CJ32:CK32),IF(Исходн.данные.!$AG32=$BV$11,CR32,IF(OR(Исходн.данные.!$AH32=$BQ$7,Исходн.данные.!$AH32=$BQ$8),90/CI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0,IF(Исходн.данные.!$AI32=$BU$11,"Нет",30/CI32))))))</f>
        <v>250</v>
      </c>
      <c r="CV32" s="39">
        <f>IF($CH32="Нет",0,IF(Исходн.данные.!AH32=0,0,IF(CJ32=0,60/MIN(CI32,CK32),IF(Исходн.данные.!$AG32=$BV$11,CS32,IF(OR(Исходн.данные.!$AH32=$BQ$7,Исходн.данные.!$AH32=$BQ$8),90/CJ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10/CJ32,IF(Исходн.данные.!$AI32=$BU$11,"Нет",60/CJ32)))))))</f>
        <v>0</v>
      </c>
      <c r="CW32" s="39">
        <f>IF($CH32="Нет",0,IF(Исходн.данные.!AH32=0,0,IF(CK32=0,30/MIN(CI32:CJ32),IF(Исходн.данные.!$AG32=$BV$11,CT32,IF(OR(Исходн.данные.!$AH32=$BQ$7,Исходн.данные.!$AH32=$BQ$8),90/CK32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0,IF(Исходн.данные.!$AI32=$BU$11,"Нет",30/CK32)))))))</f>
        <v>0</v>
      </c>
      <c r="CX32" s="133">
        <f>IF(Исходн.данные.!$AG32=$BV$11,MAX(CU32:CW32),IF(OR(Исходн.данные.!$AH32=$BS$8,Исходн.данные.!$AH32=$BQ$9,Исходн.данные.!$AH32=$BQ$10,Исходн.данные.!$AH32=$BQ$11,Исходн.данные.!$AH32=$BQ$12,Исходн.данные.!$AH32=$BP$3,Исходн.данные.!$AH32=$BT$8,$FM32="Да"),CV32,MIN(CU32:CW32)))</f>
        <v>0</v>
      </c>
      <c r="CY32" s="133">
        <f>IF(Исходн.данные.!AH32=0,0,IF(CR32&gt;$CX32,$CX32,CR32))</f>
        <v>0</v>
      </c>
      <c r="CZ32" s="133">
        <f>IF(Исходн.данные.!AH32=0,0,IF(CS32&gt;$CX32,$CX32,CS32))</f>
        <v>0</v>
      </c>
      <c r="DA32" s="133">
        <f>IF(Исходн.данные.!AH32=0,0,IF(CT32&gt;$CX32,$CX32,CT32))</f>
        <v>0</v>
      </c>
      <c r="DB32" s="10">
        <f t="shared" si="94"/>
        <v>0</v>
      </c>
      <c r="DC32" s="39">
        <f>DB32*Исходн.данные.!AJ32/1000</f>
        <v>0</v>
      </c>
      <c r="DD32" s="71">
        <f t="shared" si="95"/>
        <v>0</v>
      </c>
      <c r="DE32" s="9">
        <f t="shared" si="96"/>
        <v>0</v>
      </c>
      <c r="DF32" s="9">
        <f t="shared" si="97"/>
        <v>0</v>
      </c>
      <c r="DG32" s="39">
        <f>IF(BL32&lt;0,0,IF($CH32="Нет",BL32,IF(OR(Исходн.данные.!$AH32=$BP$1,Исходн.данные.!$AH32=$BP$2),0,IF(Исходн.данные.!AI32=$BU$11,BL32,IF(BL32-DD32&lt;0,0,BL32-DD32)))))</f>
        <v>0</v>
      </c>
      <c r="DH32" s="39">
        <f>IF(BM32&lt;0,0,IF($CH32="Нет",BM32,IF(OR(Исходн.данные.!$AH32=$BP$1,Исходн.данные.!$AH32=$BP$2),0,IF(Исходн.данные.!AJ32=$BU$11,BM32,IF(BM32-DE32&lt;0,0,BM32-DE32)))))</f>
        <v>0</v>
      </c>
      <c r="DI32" s="39">
        <f>IF(BN32&lt;0,0,IF($CH32="Нет",BN32,IF(OR(Исходн.данные.!$AH32=$BP$1,Исходн.данные.!$AH32=$BP$2),0,IF(Исходн.данные.!AK32=$BU$11,BN32,IF(BN32-DF32&lt;0,0,BN32-DF32)))))</f>
        <v>0</v>
      </c>
      <c r="DJ32" s="12">
        <f t="shared" si="98"/>
        <v>0</v>
      </c>
      <c r="DK32" s="9">
        <f t="shared" si="99"/>
        <v>0</v>
      </c>
      <c r="DL32" s="39">
        <f>IF(Исходн.данные.!AM32&gt;0,Исходн.данные.!AM32,IF(EG32&gt;0,$BH$10,0))</f>
        <v>0</v>
      </c>
      <c r="DM32" s="186">
        <f>IF($DL32=0,0,IF(Исходн.данные.!AM32&gt;0,VLOOKUP($DL32,АшламаДВ_Irekle,2,FALSE),VLOOKUP($DL32,АшламаДВ_Gomumy,2,FALSE)))</f>
        <v>0</v>
      </c>
      <c r="DN32" s="10">
        <f t="shared" si="46"/>
        <v>0</v>
      </c>
      <c r="DO32" s="9" t="str">
        <f>IF(Исходн.данные.!AN32&gt;0,Исходн.данные.!AN32,Удобрения!$B$37 )</f>
        <v>Хлор.калий</v>
      </c>
      <c r="DP32" s="9">
        <f>IF(Исходн.данные.!AN32&gt;0,VLOOKUP(Исходн.данные.!AN32,АшламаДВ_Irekle,4,FALSE),VLOOKUP(DO32,АшламаДВ_Gomumy,4,FALSE))</f>
        <v>0.6</v>
      </c>
      <c r="DQ32" s="10">
        <f t="shared" si="47"/>
        <v>0</v>
      </c>
      <c r="DR32" s="132" t="str">
        <f>IF(Исходн.данные.!AO32&gt;0,Исходн.данные.!AO32,IF(DH32=0,BS$17,IF(AND($DK32=0,$DJ32&gt;0),EJ32,EN32)))</f>
        <v>Нет</v>
      </c>
      <c r="DS32" s="70" t="str">
        <f>IF($DR32="Нет","Нет",IF(Исходн.данные.!$AO32&gt;0,VLOOKUP($DR32,АшламаДВ_Irekle,2,FALSE),VLOOKUP($DR32,АшламаДВ_Gomumy,2,FALSE)))</f>
        <v>Нет</v>
      </c>
      <c r="DT32" s="70" t="str">
        <f>IF($DR32="Нет","Нет",IF(Исходн.данные.!$AO32&gt;0,VLOOKUP($DR32,АшламаДВ_Irekle,3,FALSE),VLOOKUP($DR32,АшламаДВ_Gomumy,3,FALSE)))</f>
        <v>Нет</v>
      </c>
      <c r="DU32" s="70" t="str">
        <f>IF($DR32="Нет","Нет",IF(Исходн.данные.!$AO32&gt;0,VLOOKUP($DR32,АшламаДВ_Irekle,4,FALSE),VLOOKUP($DR32,АшламаДВ_Gomumy,4,FALSE)))</f>
        <v>Нет</v>
      </c>
      <c r="DV32" s="70"/>
      <c r="DW32" s="70"/>
      <c r="DX32" s="70"/>
      <c r="DY32" s="10">
        <f t="shared" si="100"/>
        <v>0</v>
      </c>
      <c r="DZ32" s="10">
        <f t="shared" si="101"/>
        <v>0</v>
      </c>
      <c r="EA32" s="10">
        <f t="shared" si="102"/>
        <v>0</v>
      </c>
      <c r="EB32" s="10">
        <f t="shared" si="103"/>
        <v>0</v>
      </c>
      <c r="EC32" s="10">
        <f t="shared" si="104"/>
        <v>0</v>
      </c>
      <c r="ED32" s="10">
        <f t="shared" si="105"/>
        <v>0</v>
      </c>
      <c r="EE32" s="10">
        <f t="shared" si="106"/>
        <v>0</v>
      </c>
      <c r="EF32" s="39">
        <f>EB32*Исходн.данные.!AJ32/1000</f>
        <v>0</v>
      </c>
      <c r="EG32" s="9">
        <f t="shared" si="107"/>
        <v>0</v>
      </c>
      <c r="EH32" s="9">
        <f t="shared" si="108"/>
        <v>0</v>
      </c>
      <c r="EI32" s="39" t="e">
        <f t="shared" si="7"/>
        <v>#DIV/0!</v>
      </c>
      <c r="EJ32" s="9" t="str">
        <f t="shared" si="8"/>
        <v>Азопреципитат</v>
      </c>
      <c r="EK32" s="12">
        <f t="shared" si="9"/>
        <v>0.26</v>
      </c>
      <c r="EL32" s="12">
        <f t="shared" si="10"/>
        <v>0.13</v>
      </c>
      <c r="EM32" s="12">
        <f t="shared" si="11"/>
        <v>0</v>
      </c>
      <c r="EN32" s="12" t="str">
        <f t="shared" si="57"/>
        <v>Нет</v>
      </c>
      <c r="EO32" s="12">
        <f t="shared" si="12"/>
        <v>0</v>
      </c>
      <c r="EP32" s="12">
        <f t="shared" si="13"/>
        <v>0</v>
      </c>
      <c r="EQ32" s="12">
        <f t="shared" si="14"/>
        <v>0</v>
      </c>
      <c r="ER32" s="12" t="str">
        <f t="shared" si="109"/>
        <v>Диаммофоска</v>
      </c>
      <c r="ES32" s="12">
        <f t="shared" si="15"/>
        <v>0.1</v>
      </c>
      <c r="ET32" s="12">
        <f t="shared" si="16"/>
        <v>0.26</v>
      </c>
      <c r="EU32" s="12">
        <f t="shared" si="17"/>
        <v>0.26</v>
      </c>
      <c r="EV32" s="12" t="str">
        <f t="shared" si="110"/>
        <v>Аммофос 12:52:00</v>
      </c>
      <c r="EW32" s="12" t="str">
        <f t="shared" si="111"/>
        <v>Кемира Свекловичное-6</v>
      </c>
      <c r="EX32" s="12">
        <f t="shared" si="18"/>
        <v>0.16</v>
      </c>
      <c r="EY32" s="12">
        <f t="shared" si="19"/>
        <v>0.12</v>
      </c>
      <c r="EZ32" s="12">
        <f t="shared" si="20"/>
        <v>0.17</v>
      </c>
      <c r="FA32" s="38" t="e">
        <f>IF(AND(OR(FJ32=$FD$1,FM32=$FD$1,FO32=$FD$1,FQ32=$FD$1,FS32=$FD$1),FD32=$FD$1,Исходн.данные.!J32&lt;2,FU32=$FD$1),"Бор,Кобальт",IF(AND(FO32=$FD$1,FH32=$FD$1,Исходн.данные.!J32&lt;2,FU32=$FD$1),"Бор,Кобальт",IF(AND(OR(FJ32=$FD$1,FM32=$FD$1,FQ32=$FD$1),FE32=$FD$1,Исходн.данные.!J32&lt;2,FT32=$FD$1,FU32=$FD$1),"Бор,Медь,Цинк",IF(AND(OR(FJ32=$FD$1,FR32="Да"),FI32="Да",Исходн.данные.!J32&lt;2,FT32="Да",FU32="Да"),"Бор,Цинк,Медь",IF(AND(OR(FM32="Да",FQ32="Да"),FI32="Да",Исходн.данные.!J32&lt;2,FT32="Да",FU32="Да"),"Бор,Цинк",IF(AND(FN32="Да",OR(FD32="Да",FE32="Да")),"Бор",FB32))))))</f>
        <v>#N/A</v>
      </c>
      <c r="FB32" s="134" t="e">
        <f>IF(AND(OR(FD32="Да",FE32="Да",FF32="Да",FG32="Да",FH32="Да"),FO32="Да"),"Бор",IF(AND(FP32="Да",OR(FD32="Да",FE32="Да",FI32="Да")),"Бор",IF(AND(FS32="Да",FE32="Да"),"Бор,Медь",IF(AND(OR(FJ32="Да",FK32="Да",FL32="Да"),FE32="Да",Исходн.данные.!I32&lt;5,FT32="Да",FU32="Да"),"Молибден,Цинк",IF(AND(FM32="Да",OR(FE32="Да",FF32="Да",FG32="Да",FH32="Да",FI32="Да")),"Молибден,Цинк",IF(AND(OR(FJ32="Да",FK32="Да",FL32="Да",FM32="Да",FQ32="Да"),OR(FE32="Да",FF32="Да"),FT32="Да",FU32="Да",Исходн.данные.!I32&gt;5.5),"Медь,Цинк",FC32))))))</f>
        <v>#N/A</v>
      </c>
      <c r="FC32" s="23" t="e">
        <f t="shared" si="112"/>
        <v>#N/A</v>
      </c>
      <c r="FD32" s="38" t="str">
        <f>IF(OR(Исходн.данные.!F32=$CC$1,Исходн.данные.!F32=$CC$2,Исходн.данные.!F32=$CC$3,Исходн.данные.!F32=$CC$4),"Да","Нет")</f>
        <v>Нет</v>
      </c>
      <c r="FE32" s="38" t="str">
        <f>IF(Исходн.данные.!F32=$CC$5,"Да","Нет")</f>
        <v>Нет</v>
      </c>
      <c r="FF32" s="38" t="str">
        <f>IF(OR(Исходн.данные.!F32=$CC$6,Исходн.данные.!F32=$CC$7),"Да","Нет")</f>
        <v>Нет</v>
      </c>
      <c r="FG32" s="38" t="str">
        <f>IF(OR(Исходн.данные.!F32=$CC$8,Исходн.данные.!F32=$CC$9),"Да","Нет")</f>
        <v>Нет</v>
      </c>
      <c r="FH32" s="38" t="str">
        <f>IF(Исходн.данные.!F32=$CC$10,"Да","Нет")</f>
        <v>Нет</v>
      </c>
      <c r="FI32" s="38" t="str">
        <f>IF(OR(Исходн.данные.!F32=$CC$11,Исходн.данные.!F32=$CC$12),"Да","Нет")</f>
        <v>Нет</v>
      </c>
      <c r="FJ32" s="38" t="str">
        <f>IF(OR(Исходн.данные.!AH32=$BS$1,Исходн.данные.!AH32=$BQ$11,Исходн.данные.!AH32=$BQ$12),"Да","Нет")</f>
        <v>Нет</v>
      </c>
      <c r="FK32" s="38" t="str">
        <f>IF(OR(Исходн.данные.!AH32=$BS$2,Исходн.данные.!AH32=$BS$4),"Да","Нет")</f>
        <v>Нет</v>
      </c>
      <c r="FL32" s="38" t="str">
        <f>IF(OR(Исходн.данные.!AH32=$BS$3,Исходн.данные.!AH32=$BS$5),"Да","Нет")</f>
        <v>Нет</v>
      </c>
      <c r="FM32" s="38" t="str">
        <f>IF(OR(Исходн.данные.!AH32=$BS$9,Исходн.данные.!AH32=$BS$10,Исходн.данные.!AH32=$BS$11,Исходн.данные.!AH32=$BS$12),"Да","Нет")</f>
        <v>Нет</v>
      </c>
      <c r="FN32" s="38" t="str">
        <f>IF(OR(Исходн.данные.!AH32=$BS$6,Исходн.данные.!AH32=$BP$3),"Да","Нет")</f>
        <v>Нет</v>
      </c>
      <c r="FO32" s="38" t="str">
        <f>IF(Исходн.данные.!AH32=$BQ$9,"Да","Нет")</f>
        <v>Нет</v>
      </c>
      <c r="FP32" s="38" t="str">
        <f>IF(OR(Исходн.данные.!AH32=$BS$8,Исходн.данные.!AH32=$BT$8),"Да","Нет")</f>
        <v>Нет</v>
      </c>
      <c r="FQ32" s="38" t="str">
        <f>IF(OR(Исходн.данные.!AH32=$BQ$7,Исходн.данные.!AH32=$BQ$8),"Да","Нет")</f>
        <v>Нет</v>
      </c>
      <c r="FR32" s="38" t="str">
        <f>IF(Исходн.данные.!AI32=$BU$9,"Да","Нет")</f>
        <v>Нет</v>
      </c>
      <c r="FS32" s="38" t="str">
        <f>IF(OR(Исходн.данные.!AH32=$BP$1,Исходн.данные.!AH32=$BP$2),"Да","Нет")</f>
        <v>Нет</v>
      </c>
      <c r="FT32" s="38" t="e">
        <f>IF((Исходн.данные.!K32*GO32*GS32*GW32+BL32*0.6+Исходн.данные.!Q32*4.5*0.275)&gt;90,"Да","Нет")</f>
        <v>#N/A</v>
      </c>
      <c r="FU32" s="38" t="e">
        <f>IF((Исходн.данные.!M32*GS32*GZ32+BM32*0.225)&gt;35,"Да","Нет")</f>
        <v>#N/A</v>
      </c>
      <c r="FV32" s="38" t="str">
        <f>IF(Исходн.данные.!O32&gt;175,"Да","Нет")</f>
        <v>Нет</v>
      </c>
      <c r="FW32" s="39" t="str">
        <f>IF(Исходн.данные.!I32&gt;5.5,"Да","Нет")</f>
        <v>Нет</v>
      </c>
      <c r="FX32" s="39" t="str">
        <f>IF(Исходн.данные.!J32&lt;2,"Да","Нет")</f>
        <v>Да</v>
      </c>
      <c r="FY32" s="39" t="e">
        <f>IF(HF32=$FY$16,0,Исходн.данные.!K32*GO32*GS32*GW32/HF32)</f>
        <v>#N/A</v>
      </c>
      <c r="FZ32" s="39" t="e">
        <f>Исходн.данные.!M32*GS32*GZ32/HG32</f>
        <v>#N/A</v>
      </c>
      <c r="GA32" s="39" t="e">
        <f>IF(K_Wyn=$FY$16,0,IF(Исходн.данные.!N32=Исходн.данные.!$L$10,Исходн.данные.!O32/1.1*GS32*HC32/HH32,IF(Исходн.данные.!N32=Исходн.данные.!$L$12,Исходн.данные.!O32/1.5*GS32*HC32/HH32,Исходн.данные.!O32*GS32*HC32/HH32)))</f>
        <v>#N/A</v>
      </c>
      <c r="GB32" s="39" t="e">
        <f>IF(HF32=$FY$16,0,((Исходн.данные.!Q32*N_Org+Исходн.данные.!R32*N_Sider+Исходн.данные.!S32*N_Soloma)*AO32+Расчет!BC32*VLOOKUP(Исходн.данные.!T32,Справ!$A$3:$O$57,15)*AO32+BB32*VLOOKUP(Исходн.данные.!T32,Справ!$A$3:$O$57,15)*AL32+(Исходн.данные.!V32*N_Rizotorf+Исходн.данные.!W32*N_Rizoagr))/HF32)</f>
        <v>#N/A</v>
      </c>
      <c r="GC32" s="39" t="e">
        <f>IF(HG32=$FY$16,0,((Исходн.данные.!Q32*Р_Org+Исходн.данные.!R32*P_Sider+Исходн.данные.!S32*P_Soloma)*AP32+Расчет!BC32*VLOOKUP(Исходн.данные.!T32,Справ!$A$3:$P$57,16)*AP32+BB32*VLOOKUP(Исходн.данные.!T32,Справ!$A$3:$P$57,16)*AM32)/HG32)</f>
        <v>#N/A</v>
      </c>
      <c r="GD32" s="39" t="e">
        <f>IF(HH32=$FY$16,0,((Исходн.данные.!Q32*К_Org+Исходн.данные.!R32*K_Sider+Исходн.данные.!S32*K_Soloma)*AQ32+Расчет!BC32*VLOOKUP(Исходн.данные.!T32,Справ!$A$3:$Q$57,17)*AQ32+BB32*VLOOKUP(Исходн.данные.!T32,Справ!$A$3:$Q$57,17)*AN32)/HH32)</f>
        <v>#N/A</v>
      </c>
      <c r="GE32" s="39" t="e">
        <f>IF(HF32=$FY$16,0,(Исходн.данные.!X32*AR32+Исходн.данные.!AA32*N_Org*AL32+Исходн.данные.!AB32*N_Sider*AL32+Исходн.данные.!AC32*N_Soloma*AL32)/HF32)</f>
        <v>#N/A</v>
      </c>
      <c r="GF32" s="39" t="e">
        <f>IF(HG32=$FY$16,0,(Исходн.данные.!Y32*AS32+Исходн.данные.!AA32*Р_Org*AM32+Исходн.данные.!AB32*P_Sider*AM32+Исходн.данные.!AC32*P_Soloma*AM32)/HG32)</f>
        <v>#N/A</v>
      </c>
      <c r="GG32" s="39" t="e">
        <f>IF(HH32=$FY$16,0,(Исходн.данные.!Z32*AT32+Исходн.данные.!AA32*К_Org*AN32+Исходн.данные.!AB32*K_Sider*AN32+Исходн.данные.!AC32*K_Soloma*AN32)/HH32)</f>
        <v>#N/A</v>
      </c>
      <c r="GH32" s="39" t="e">
        <f>Исходн.данные.!AD32*AU32/HF32</f>
        <v>#N/A</v>
      </c>
      <c r="GI32" s="39" t="e">
        <f>Исходн.данные.!AE32*AV32/HG32</f>
        <v>#N/A</v>
      </c>
      <c r="GJ32" s="39" t="e">
        <f>Исходн.данные.!AF32*AW32/HH32</f>
        <v>#N/A</v>
      </c>
      <c r="GK32" s="55">
        <f>Исходн.данные.!AK32</f>
        <v>0</v>
      </c>
      <c r="GL32" s="11" t="e">
        <f t="shared" si="113"/>
        <v>#N/A</v>
      </c>
      <c r="GM32" s="11" t="e">
        <f t="shared" si="114"/>
        <v>#N/A</v>
      </c>
      <c r="GN32" s="11" t="e">
        <f t="shared" si="115"/>
        <v>#N/A</v>
      </c>
      <c r="GO32" s="57">
        <f t="shared" si="116"/>
        <v>19</v>
      </c>
      <c r="GP32" s="55">
        <f>IF(OR(Исходн.данные.!F32=$CE$1,Исходн.данные.!F32=$CE$2,Исходн.данные.!F32=$CE$3,Исходн.данные.!F32=$CE$4,Исходн.данные.!F32=$CE$5),GQ32,GR32)</f>
        <v>19</v>
      </c>
      <c r="GQ32" s="55">
        <f>IF(Исходн.данные.!F32=$CE$1,28,IF(Исходн.данные.!F32=$CE$2,26,IF(Исходн.данные.!F32=$CE$3,24,IF(Исходн.данные.!F32=$CE$4,22,IF(Исходн.данные.!F32=$CE$5,20,GR32)))))</f>
        <v>19</v>
      </c>
      <c r="GR32" s="55">
        <f>IF(Исходн.данные.!F32=$CE$6,18,IF(Исходн.данные.!F32=$CE$7,16,IF(Исходн.данные.!F32=$CE$8,14,IF(Исходн.данные.!F32=$CE$9,13,IF(Исходн.данные.!F32=$CE$10,12,19)))))</f>
        <v>19</v>
      </c>
      <c r="GS32" s="55">
        <f>IF(Исходн.данные.!G32="Пес",0.035*(40+2*Исходн.данные.!H32),IF(Исходн.данные.!G32="Суп",0.0325*(40+2*Исходн.данные.!H32),0.03*(40+2*Исходн.данные.!H32)))</f>
        <v>1.2</v>
      </c>
      <c r="GT32" s="55">
        <f>IF(Исходн.данные.!H32&lt;23,2.6,IF(AND(Исходн.данные.!H32&gt;22,Исходн.данные.!H32&lt;26),3,IF(AND(Исходн.данные.!H32&gt;25,Исходн.данные.!H32&lt;29),3.4,3.6)))</f>
        <v>2.6</v>
      </c>
      <c r="GU32" s="55">
        <f>IF(Исходн.данные.!H32&lt;23,2.8,IF(AND(Исходн.данные.!H32&gt;22,Исходн.данные.!H32&lt;26),3.2,IF(AND(Исходн.данные.!H32&gt;25,Исходн.данные.!H32&lt;29),3.6,3.9)))</f>
        <v>2.8</v>
      </c>
      <c r="GV32" s="55">
        <f>IF(Исходн.данные.!H32&lt;23,3,IF(AND(Исходн.данные.!H32&gt;22,Исходн.данные.!H32&lt;26),3.5,IF(AND(Исходн.данные.!H32&gt;25,Исходн.данные.!H32&lt;29),3.9,4.2)))</f>
        <v>3</v>
      </c>
      <c r="GW32" s="55" t="e">
        <f>IF(Исходн.данные.!P32="Ум",GX32,GY32)</f>
        <v>#N/A</v>
      </c>
      <c r="GX32" s="55" t="e">
        <f>VLOOKUP(Исходн.данные.!AI32,Коэффициенты!$J$7:$L$13,2,FALSE)</f>
        <v>#N/A</v>
      </c>
      <c r="GY32" s="55" t="e">
        <f>VLOOKUP(Исходн.данные.!AI32,Коэффициенты!$J$7:$L$13,3,FALSE)</f>
        <v>#N/A</v>
      </c>
      <c r="GZ32" s="55" t="e">
        <f>(IF(Исходн.данные.!M32&lt;50,0.11*VLOOKUP(Исходн.данные.!AH32,Культуры.Информация,7,FALSE),IF(Исходн.данные.!M32&gt;250,0.05*VLOOKUP(Исходн.данные.!AH32,Культуры.Информация,7,FALSE),VLOOKUP(Исходн.данные.!AH32,Культуры.Информация,5,FALSE)/100*($GX$6+$GY$6*Исходн.данные.!M32))))*Расчет2!AI32</f>
        <v>#N/A</v>
      </c>
      <c r="HA32" s="211"/>
      <c r="HB32" s="211"/>
      <c r="HC32" s="55" t="e">
        <f>(IF(Исходн.данные.!O32&lt;80,0.2*VLOOKUP(Исходн.данные.!AH32,Культуры.Информация,8,FALSE),IF(Исходн.данные.!O32&gt;240,0.09*VLOOKUP(Исходн.данные.!AH32,Культуры.Информация,8,FALSE),VLOOKUP(Исходн.данные.!AH32,Культуры.Информация,6,FALSE)/100*($HB$6+$HC$6*Исходн.данные.!O32))))*Расчет2!AJ32</f>
        <v>#N/A</v>
      </c>
      <c r="HD32" s="55">
        <f>IF(Исходн.данные.!O32&gt;240,0.09,IF(Исходн.данные.!O32&lt;30,0.3,$HE$10+$HD$10*Исходн.данные.!O32))</f>
        <v>0.3</v>
      </c>
      <c r="HE32" s="55">
        <f>IF(Исходн.данные.!O32&gt;240,0.17,IF(Исходн.данные.!O32&lt;30,0.5,$HF$12+$HE$12*Исходн.данные.!O32))</f>
        <v>0.5</v>
      </c>
      <c r="HF32" s="55" t="e">
        <f>VLOOKUP(Исходн.данные.!AH32,Справ!$A$3:$D$58,2,FALSE)</f>
        <v>#N/A</v>
      </c>
      <c r="HG32" s="55" t="e">
        <f>VLOOKUP(Исходн.данные.!AH32,Справ!$A$3:$D$58,3,FALSE)</f>
        <v>#N/A</v>
      </c>
      <c r="HH32" s="55" t="e">
        <f>VLOOKUP(Исходн.данные.!AH32,Справ!$A$3:$D$58,4,FALSE)</f>
        <v>#N/A</v>
      </c>
      <c r="HI32" s="11" t="e">
        <f t="shared" si="117"/>
        <v>#N/A</v>
      </c>
      <c r="HJ32" s="11" t="e">
        <f t="shared" si="118"/>
        <v>#N/A</v>
      </c>
      <c r="HK32" s="11" t="e">
        <f t="shared" si="119"/>
        <v>#N/A</v>
      </c>
      <c r="HL32" s="55">
        <f>IF(OR(Исходн.данные.!G32="Глин",Исходн.данные.!G32="Т_суг"),1.1,IF(Исходн.данные.!G32="Ср_суг",1,1))</f>
        <v>1</v>
      </c>
      <c r="HM32" s="55">
        <f>IF(OR(Исходн.данные.!G32="Глин",Исходн.данные.!G32="Т_суг"),0.9,IF(Исходн.данные.!G32="Ср_суг",1,1.2))</f>
        <v>1.2</v>
      </c>
      <c r="HN32" s="11" t="e">
        <f t="shared" si="120"/>
        <v>#N/A</v>
      </c>
      <c r="HO32" s="11" t="e">
        <f t="shared" si="121"/>
        <v>#N/A</v>
      </c>
      <c r="HP32" s="11" t="e">
        <f t="shared" si="122"/>
        <v>#N/A</v>
      </c>
      <c r="HQ32" t="e">
        <f t="shared" si="123"/>
        <v>#N/A</v>
      </c>
      <c r="HR32" t="e">
        <f t="shared" si="124"/>
        <v>#N/A</v>
      </c>
      <c r="HS32" t="e">
        <f t="shared" si="125"/>
        <v>#N/A</v>
      </c>
      <c r="HT32" t="e">
        <f t="shared" si="21"/>
        <v>#N/A</v>
      </c>
      <c r="HU32" t="e">
        <f t="shared" si="22"/>
        <v>#N/A</v>
      </c>
      <c r="HV32" t="e">
        <f t="shared" si="23"/>
        <v>#N/A</v>
      </c>
      <c r="HW32" t="e">
        <f t="shared" si="24"/>
        <v>#N/A</v>
      </c>
      <c r="HX32" t="e">
        <f t="shared" si="25"/>
        <v>#N/A</v>
      </c>
      <c r="HY32" t="e">
        <f t="shared" si="26"/>
        <v>#N/A</v>
      </c>
      <c r="HZ32" s="55">
        <f>IF(OR(Исходн.данные.!AI32="Оз_Ч_П",Исходн.данные.!AI32="Оз_З_П",Исходн.данные.!AI32="Яр_зер"),12,30)</f>
        <v>30</v>
      </c>
      <c r="IA32" t="e">
        <f t="shared" si="126"/>
        <v>#N/A</v>
      </c>
      <c r="IB32" t="e">
        <f t="shared" si="127"/>
        <v>#N/A</v>
      </c>
      <c r="IC32" t="e">
        <f t="shared" si="128"/>
        <v>#N/A</v>
      </c>
      <c r="ID32" s="11" t="e">
        <f t="shared" si="129"/>
        <v>#N/A</v>
      </c>
      <c r="IE32" s="11" t="e">
        <f t="shared" si="130"/>
        <v>#N/A</v>
      </c>
      <c r="IF32" s="11" t="e">
        <f t="shared" si="131"/>
        <v>#N/A</v>
      </c>
    </row>
    <row r="33" spans="35:240" x14ac:dyDescent="0.2">
      <c r="AI33">
        <f>IF(Исходн.данные.!I33&gt;6,1,1.85-(0.148*Исходн.данные.!I33))</f>
        <v>1.85</v>
      </c>
      <c r="AJ33">
        <f>IF(Исходн.данные.!I33&gt;6,1,2.434-(0.246*Исходн.данные.!I33))</f>
        <v>2.4340000000000002</v>
      </c>
      <c r="AL33" s="148" t="b">
        <f>IF(Исходн.данные.!$P33="Ум",N_OrgUd_2g_um,IF(Исходн.данные.!$P33="Об",N_OrgUd_2g_ob))</f>
        <v>0</v>
      </c>
      <c r="AM33" s="148" t="b">
        <f>IF(Исходн.данные.!$P33="Ум",P_OrgUd_2g_um,IF(Исходн.данные.!$P33="Об",P_OrgUd_2g_ob))</f>
        <v>0</v>
      </c>
      <c r="AN33" s="148" t="b">
        <f>IF(Исходн.данные.!$P33="Ум",K_OrgUd_2g_um,IF(Исходн.данные.!$P33="Об",K_OrgUd_2g_ob))</f>
        <v>0</v>
      </c>
      <c r="AO33" s="148" t="b">
        <f>IF(Исходн.данные.!$P33="Ум",N_OrgUd_1g_um,IF(Исходн.данные.!$P33="Об",N_OrgUd_1g_ob))</f>
        <v>0</v>
      </c>
      <c r="AP33" s="148" t="b">
        <f>IF(Исходн.данные.!$P33="Ум",P_OrgUd_1g_um,IF(Исходн.данные.!$P33="Об",P_OrgUd_1g_ob))</f>
        <v>0</v>
      </c>
      <c r="AQ33" s="148" t="b">
        <f>IF(Исходн.данные.!$P33="Ум",K_OrgUd_1g_um,IF(Исходн.данные.!$P33="Об",K_OrgUd_1g_ob))</f>
        <v>0</v>
      </c>
      <c r="AR33" t="b">
        <f>IF(Исходн.данные.!$P33="Ум",N_MinUd_2g_um,IF(Исходн.данные.!$P33="Об",N_MinUd_2g_ob))</f>
        <v>0</v>
      </c>
      <c r="AS33" t="b">
        <f>IF(Исходн.данные.!$P33="Ум",P_MinUd_2g_um,IF(Исходн.данные.!$P33="Об",P_MinUd_2g_ob))</f>
        <v>0</v>
      </c>
      <c r="AT33" t="b">
        <f>IF(Исходн.данные.!$P33="Ум",K_MinUd_2g_um,IF(Исходн.данные.!$P33="Об",K_MinUd_2g_ob))</f>
        <v>0</v>
      </c>
      <c r="AU33" t="b">
        <f>IF(Исходн.данные.!$P33="Ум",N_MinUd_1g_um,IF(Исходн.данные.!$P33="Об",N_MinUd_1g_ob))</f>
        <v>0</v>
      </c>
      <c r="AV33" t="b">
        <f>IF(Исходн.данные.!P33="Ум",P_MinUd_1g_um,IF(Исходн.данные.!P33="Об",P_MinUd_1g_ob))</f>
        <v>0</v>
      </c>
      <c r="AW33" t="b">
        <f>IF(Исходн.данные.!P33="Ум",K_MinUd_1g_um,IF(Исходн.данные.!P33="Об",K_MinUd_1g_ob))</f>
        <v>0</v>
      </c>
      <c r="AY33" t="e">
        <f>VLOOKUP(Исходн.данные.!T33,Справ!$A$3:$N$57,12)</f>
        <v>#N/A</v>
      </c>
      <c r="AZ33" t="e">
        <f>VLOOKUP(Исходн.данные.!T33,Справ!$A$3:$N$57,13)</f>
        <v>#N/A</v>
      </c>
      <c r="BA33" t="e">
        <f>VLOOKUP(Исходн.данные.!T33,Справ!$A$3:$N$57,14)</f>
        <v>#N/A</v>
      </c>
      <c r="BB33">
        <f>IF(Исходн.данные.!AH33=0,0,25)</f>
        <v>0</v>
      </c>
      <c r="BC33" s="141">
        <f>IF(Исходн.данные.!AH33=0,0,IF(Исходн.данные.!T33=0,25,BD33))</f>
        <v>0</v>
      </c>
      <c r="BD33" s="168" t="e">
        <f>AY33+AZ33*Исходн.данные.!U33-POWER(BA33,2)*Исходн.данные.!U33</f>
        <v>#N/A</v>
      </c>
      <c r="BE3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" s="25">
        <f>IF(Исходн.данные.!AH33=0,0,MIN(HN33:HP33))</f>
        <v>0</v>
      </c>
      <c r="BG33" s="9">
        <f>IF(Исходн.данные.!AH33=0,0,IF((HO33+10*0.25/HG33/HL33)&lt;17,17,HO33+10*0.25/HG33/HL33))</f>
        <v>0</v>
      </c>
      <c r="BH33" s="181">
        <f>IF(Исходн.данные.!AH33=0,0,HW33*HF33*HL33/AU33*AI33+Исходн.данные.!S33*10)</f>
        <v>0</v>
      </c>
      <c r="BI33" s="10"/>
      <c r="BJ33" s="182">
        <f>IF(Исходн.данные.!AH33=0,0,IF(HX33*HG33*HL33/AV33&lt;0,0,HX33*HG33*HL33/AV33*AJ33))</f>
        <v>0</v>
      </c>
      <c r="BK33" s="182">
        <f>IF(Исходн.данные.!AH33=0,0,HY33*HH33*HM33/AW33)</f>
        <v>0</v>
      </c>
      <c r="BL33" s="10">
        <f>IF(OR(Исходн.данные.!$AH33=$BP$1,Исходн.данные.!$AH33=$BP$2),0,IF(BH33&lt;0,0,IF(OR(Исходн.данные.!T33=Расчет!$BP$1,Исходн.данные.!T33=Расчет!$BP$2,Исходн.данные.!T33=Расчет!$BT$5,Исходн.данные.!T33=Расчет!$BT$6),BH33*0.5,IF(OR(Исходн.данные.!T33=Расчет!$BS$9,Исходн.данные.!T33=Расчет!$BS$10,Исходн.данные.!T33=Расчет!$BS$11,Исходн.данные.!T33=Расчет!$BS$12,Исходн.данные.!T33=Расчет!$BP$5),BH33*0.8,BH33))))</f>
        <v>0</v>
      </c>
      <c r="BM33" s="10">
        <f>IF(OR(Исходн.данные.!$AH33=$BP$1,Исходн.данные.!$AH33=$BP$2),0,IF(BJ33&lt;0,0,IF(Исходн.данные.!I33&lt;4.5,BJ33*1.2,IF(Исходн.данные.!I33&gt;5.1,BJ33,BJ33*((5.1-Исходн.данные.!I33)*0.333+1)))))</f>
        <v>0</v>
      </c>
      <c r="BN33" s="10">
        <f>IF(OR(Исходн.данные.!$AH33=$BP$1,Исходн.данные.!$AH33=$BP$2),60-Исходн.данные.!AF33,IF(BK33&lt;0,0,IF(Исходн.данные.!I33&lt;4.5,BK33*1.2,IF(Исходн.данные.!I33&gt;5.1,BK33,BK33*((5.1-Исходн.данные.!I33)*0.333+1)))))</f>
        <v>0</v>
      </c>
      <c r="BO33" s="9">
        <f>IF(BL33&lt;0,0,BL33*Исходн.данные.!$AJ33/1000)</f>
        <v>0</v>
      </c>
      <c r="BP33" s="9">
        <f>IF(BM33&lt;0,0,BM33*Исходн.данные.!$AJ33/1000)</f>
        <v>0</v>
      </c>
      <c r="BQ33" s="9">
        <f>IF(BN33&lt;0,0,BN33*Исходн.данные.!$AJ33/1000)</f>
        <v>0</v>
      </c>
      <c r="BR33" s="9">
        <f t="shared" si="81"/>
        <v>0</v>
      </c>
      <c r="BS33" s="10" t="str">
        <f t="shared" si="82"/>
        <v>Аммофос 12:52:00</v>
      </c>
      <c r="BT33" s="10" t="str">
        <f t="shared" si="83"/>
        <v>Аммофос 12:52:00</v>
      </c>
      <c r="BU33" s="10" t="str">
        <f t="shared" si="84"/>
        <v>Диаммофоска</v>
      </c>
      <c r="BV33" s="10">
        <f t="shared" si="85"/>
        <v>0</v>
      </c>
      <c r="BW33" s="10"/>
      <c r="BX33" s="10"/>
      <c r="BY33" s="9">
        <f>IF(BL33&lt;0,0,IF(OR(Исходн.данные.!AI33=Расчет!$BU$6,Исходн.данные.!AI33=Расчет!$BU$7),Расчет!BV33,IF(Исходн.данные.!$AG33=$BV$11,BL33,IF(OR(Исходн.данные.!$AH33=$BQ$7,Исходн.данные.!$AH33=$BQ$8),CB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0,IF(Исходн.данные.!$AI33=$BU$11,"Нет",IF(BL33&gt;30,30,BL33)))))))</f>
        <v>0</v>
      </c>
      <c r="BZ33" s="9">
        <f>IF(AND(Исходн.данные.!$AG33=$BV$11,BM33&lt;10),10,IF(Исходн.данные.!$AG33=$BV$11,BM33,IF(OR(Исходн.данные.!$AH33=$BQ$7,Исходн.данные.!$AH33=$BQ$8),CC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10,IF(Исходн.данные.!$AI33=$BU$11,"Нет",IF(BM33&gt;60,60,IF(BM33&lt;10,10,BM33)))))))</f>
        <v>10</v>
      </c>
      <c r="CA33" s="39">
        <f>IF(BN33&lt;0,0,IF(Исходн.данные.!$AG33=$BV$11,BN33,IF(OR(Исходн.данные.!$AH33=$BQ$7,Исходн.данные.!$AH33=$BQ$8),CD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0,IF(Исходн.данные.!$AI33=$BU$11,"Нет",IF(BN33&gt;30,30,BN33))))))</f>
        <v>0</v>
      </c>
      <c r="CB33" s="9">
        <f t="shared" si="86"/>
        <v>0</v>
      </c>
      <c r="CC33" s="9">
        <f t="shared" si="87"/>
        <v>0</v>
      </c>
      <c r="CD33" s="9">
        <f t="shared" si="88"/>
        <v>0</v>
      </c>
      <c r="CE33" s="12">
        <f t="shared" si="89"/>
        <v>10</v>
      </c>
      <c r="CF33" s="9">
        <f t="shared" si="90"/>
        <v>0</v>
      </c>
      <c r="CG33" s="9" t="s">
        <v>231</v>
      </c>
      <c r="CH33" s="132" t="str">
        <f>IF(Исходн.данные.!AP33=Расчет!$CI$16,"Нет",IF(Исходн.данные.!AL33&gt;0,Исходн.данные.!AL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BH$4,IF(OR(Исходн.данные.!AI33=Исходн.данные.!$AI$6,Исходн.данные.!AI33=Исходн.данные.!$AI$7),Расчет!BS33,IF(AND($CF33=0,$CE33&gt;0),EV33,ER33)))))</f>
        <v>Аммофос 12:52:00</v>
      </c>
      <c r="CI33" s="274">
        <f>IF(Расчет!$CH33="Нет","Нет",IF(Исходн.данные.!$AL33&gt;0,VLOOKUP(Расчет!$CH33,АшламаДВ_Irekle,2,FALSE),VLOOKUP(Расчет!$CH33,АшламаДВ_Gomumy,2,FALSE)))</f>
        <v>0.12</v>
      </c>
      <c r="CJ33" s="274">
        <f>IF(Расчет!$CH33="Нет","Нет",IF(Исходн.данные.!$AL33&gt;0,VLOOKUP(Расчет!$CH33,АшламаДВ_Irekle,3,FALSE),VLOOKUP(Расчет!$CH33,АшламаДВ_Gomumy,3,FALSE)))</f>
        <v>0.52</v>
      </c>
      <c r="CK33" s="274">
        <f>IF(Расчет!$CH33="Нет","Нет",IF(Исходн.данные.!$AL33&gt;0,VLOOKUP(Расчет!$CH33,АшламаДВ_Irekle,4,FALSE),VLOOKUP(Расчет!$CH33,АшламаДВ_Gomumy,4,FALSE)))</f>
        <v>0</v>
      </c>
      <c r="CL33" s="70"/>
      <c r="CM33" s="70"/>
      <c r="CN33" s="70"/>
      <c r="CO33" s="70"/>
      <c r="CP33" s="70"/>
      <c r="CQ33" s="70"/>
      <c r="CR33" s="10">
        <f t="shared" si="91"/>
        <v>0</v>
      </c>
      <c r="CS33" s="10">
        <f t="shared" si="92"/>
        <v>19.23076923076923</v>
      </c>
      <c r="CT33" s="10">
        <f t="shared" si="93"/>
        <v>0</v>
      </c>
      <c r="CU33" s="39">
        <f>IF($CH33="Нет",0,IF(CI33=0,30/MIN(CJ33:CK33),IF(Исходн.данные.!$AG33=$BV$11,CR33,IF(OR(Исходн.данные.!$AH33=$BQ$7,Исходн.данные.!$AH33=$BQ$8),90/CI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0,IF(Исходн.данные.!$AI33=$BU$11,"Нет",30/CI33))))))</f>
        <v>250</v>
      </c>
      <c r="CV33" s="39">
        <f>IF($CH33="Нет",0,IF(Исходн.данные.!AH33=0,0,IF(CJ33=0,60/MIN(CI33,CK33),IF(Исходн.данные.!$AG33=$BV$11,CS33,IF(OR(Исходн.данные.!$AH33=$BQ$7,Исходн.данные.!$AH33=$BQ$8),90/CJ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10/CJ33,IF(Исходн.данные.!$AI33=$BU$11,"Нет",60/CJ33)))))))</f>
        <v>0</v>
      </c>
      <c r="CW33" s="39">
        <f>IF($CH33="Нет",0,IF(Исходн.данные.!AH33=0,0,IF(CK33=0,30/MIN(CI33:CJ33),IF(Исходн.данные.!$AG33=$BV$11,CT33,IF(OR(Исходн.данные.!$AH33=$BQ$7,Исходн.данные.!$AH33=$BQ$8),90/CK33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0,IF(Исходн.данные.!$AI33=$BU$11,"Нет",30/CK33)))))))</f>
        <v>0</v>
      </c>
      <c r="CX33" s="133">
        <f>IF(Исходн.данные.!$AG33=$BV$11,MAX(CU33:CW33),IF(OR(Исходн.данные.!$AH33=$BS$8,Исходн.данные.!$AH33=$BQ$9,Исходн.данные.!$AH33=$BQ$10,Исходн.данные.!$AH33=$BQ$11,Исходн.данные.!$AH33=$BQ$12,Исходн.данные.!$AH33=$BP$3,Исходн.данные.!$AH33=$BT$8,$FM33="Да"),CV33,MIN(CU33:CW33)))</f>
        <v>0</v>
      </c>
      <c r="CY33" s="133">
        <f>IF(Исходн.данные.!AH33=0,0,IF(CR33&gt;$CX33,$CX33,CR33))</f>
        <v>0</v>
      </c>
      <c r="CZ33" s="133">
        <f>IF(Исходн.данные.!AH33=0,0,IF(CS33&gt;$CX33,$CX33,CS33))</f>
        <v>0</v>
      </c>
      <c r="DA33" s="133">
        <f>IF(Исходн.данные.!AH33=0,0,IF(CT33&gt;$CX33,$CX33,CT33))</f>
        <v>0</v>
      </c>
      <c r="DB33" s="10">
        <f t="shared" si="94"/>
        <v>0</v>
      </c>
      <c r="DC33" s="39">
        <f>DB33*Исходн.данные.!AJ33/1000</f>
        <v>0</v>
      </c>
      <c r="DD33" s="71">
        <f t="shared" si="95"/>
        <v>0</v>
      </c>
      <c r="DE33" s="9">
        <f t="shared" si="96"/>
        <v>0</v>
      </c>
      <c r="DF33" s="9">
        <f t="shared" si="97"/>
        <v>0</v>
      </c>
      <c r="DG33" s="39">
        <f>IF(BL33&lt;0,0,IF($CH33="Нет",BL33,IF(OR(Исходн.данные.!$AH33=$BP$1,Исходн.данные.!$AH33=$BP$2),0,IF(Исходн.данные.!AI33=$BU$11,BL33,IF(BL33-DD33&lt;0,0,BL33-DD33)))))</f>
        <v>0</v>
      </c>
      <c r="DH33" s="39">
        <f>IF(BM33&lt;0,0,IF($CH33="Нет",BM33,IF(OR(Исходн.данные.!$AH33=$BP$1,Исходн.данные.!$AH33=$BP$2),0,IF(Исходн.данные.!AJ33=$BU$11,BM33,IF(BM33-DE33&lt;0,0,BM33-DE33)))))</f>
        <v>0</v>
      </c>
      <c r="DI33" s="39">
        <f>IF(BN33&lt;0,0,IF($CH33="Нет",BN33,IF(OR(Исходн.данные.!$AH33=$BP$1,Исходн.данные.!$AH33=$BP$2),0,IF(Исходн.данные.!AK33=$BU$11,BN33,IF(BN33-DF33&lt;0,0,BN33-DF33)))))</f>
        <v>0</v>
      </c>
      <c r="DJ33" s="12">
        <f t="shared" si="98"/>
        <v>0</v>
      </c>
      <c r="DK33" s="9">
        <f t="shared" si="99"/>
        <v>0</v>
      </c>
      <c r="DL33" s="39">
        <f>IF(Исходн.данные.!AM33&gt;0,Исходн.данные.!AM33,IF(EG33&gt;0,$BH$10,0))</f>
        <v>0</v>
      </c>
      <c r="DM33" s="186">
        <f>IF($DL33=0,0,IF(Исходн.данные.!AM33&gt;0,VLOOKUP($DL33,АшламаДВ_Irekle,2,FALSE),VLOOKUP($DL33,АшламаДВ_Gomumy,2,FALSE)))</f>
        <v>0</v>
      </c>
      <c r="DN33" s="10">
        <f t="shared" si="46"/>
        <v>0</v>
      </c>
      <c r="DO33" s="9" t="str">
        <f>IF(Исходн.данные.!AN33&gt;0,Исходн.данные.!AN33,Удобрения!$B$37 )</f>
        <v>Хлор.калий</v>
      </c>
      <c r="DP33" s="9">
        <f>IF(Исходн.данные.!AN33&gt;0,VLOOKUP(Исходн.данные.!AN33,АшламаДВ_Irekle,4,FALSE),VLOOKUP(DO33,АшламаДВ_Gomumy,4,FALSE))</f>
        <v>0.6</v>
      </c>
      <c r="DQ33" s="10">
        <f t="shared" si="47"/>
        <v>0</v>
      </c>
      <c r="DR33" s="132" t="str">
        <f>IF(Исходн.данные.!AO33&gt;0,Исходн.данные.!AO33,IF(DH33=0,BS$17,IF(AND($DK33=0,$DJ33&gt;0),EJ33,EN33)))</f>
        <v>Нет</v>
      </c>
      <c r="DS33" s="70" t="str">
        <f>IF($DR33="Нет","Нет",IF(Исходн.данные.!$AO33&gt;0,VLOOKUP($DR33,АшламаДВ_Irekle,2,FALSE),VLOOKUP($DR33,АшламаДВ_Gomumy,2,FALSE)))</f>
        <v>Нет</v>
      </c>
      <c r="DT33" s="70" t="str">
        <f>IF($DR33="Нет","Нет",IF(Исходн.данные.!$AO33&gt;0,VLOOKUP($DR33,АшламаДВ_Irekle,3,FALSE),VLOOKUP($DR33,АшламаДВ_Gomumy,3,FALSE)))</f>
        <v>Нет</v>
      </c>
      <c r="DU33" s="70" t="str">
        <f>IF($DR33="Нет","Нет",IF(Исходн.данные.!$AO33&gt;0,VLOOKUP($DR33,АшламаДВ_Irekle,4,FALSE),VLOOKUP($DR33,АшламаДВ_Gomumy,4,FALSE)))</f>
        <v>Нет</v>
      </c>
      <c r="DV33" s="70"/>
      <c r="DW33" s="70"/>
      <c r="DX33" s="70"/>
      <c r="DY33" s="10">
        <f t="shared" si="100"/>
        <v>0</v>
      </c>
      <c r="DZ33" s="10">
        <f t="shared" si="101"/>
        <v>0</v>
      </c>
      <c r="EA33" s="10">
        <f t="shared" si="102"/>
        <v>0</v>
      </c>
      <c r="EB33" s="10">
        <f t="shared" si="103"/>
        <v>0</v>
      </c>
      <c r="EC33" s="10">
        <f t="shared" si="104"/>
        <v>0</v>
      </c>
      <c r="ED33" s="10">
        <f t="shared" si="105"/>
        <v>0</v>
      </c>
      <c r="EE33" s="10">
        <f t="shared" si="106"/>
        <v>0</v>
      </c>
      <c r="EF33" s="39">
        <f>EB33*Исходн.данные.!AJ33/1000</f>
        <v>0</v>
      </c>
      <c r="EG33" s="9">
        <f t="shared" si="107"/>
        <v>0</v>
      </c>
      <c r="EH33" s="9">
        <f t="shared" si="108"/>
        <v>0</v>
      </c>
      <c r="EI33" s="39" t="e">
        <f t="shared" si="7"/>
        <v>#DIV/0!</v>
      </c>
      <c r="EJ33" s="9" t="str">
        <f t="shared" si="8"/>
        <v>Азопреципитат</v>
      </c>
      <c r="EK33" s="12">
        <f t="shared" si="9"/>
        <v>0.26</v>
      </c>
      <c r="EL33" s="12">
        <f t="shared" si="10"/>
        <v>0.13</v>
      </c>
      <c r="EM33" s="12">
        <f t="shared" si="11"/>
        <v>0</v>
      </c>
      <c r="EN33" s="12" t="str">
        <f t="shared" si="57"/>
        <v>Нет</v>
      </c>
      <c r="EO33" s="12">
        <f t="shared" si="12"/>
        <v>0</v>
      </c>
      <c r="EP33" s="12">
        <f t="shared" si="13"/>
        <v>0</v>
      </c>
      <c r="EQ33" s="12">
        <f t="shared" si="14"/>
        <v>0</v>
      </c>
      <c r="ER33" s="12" t="str">
        <f t="shared" si="109"/>
        <v>Диаммофоска</v>
      </c>
      <c r="ES33" s="12">
        <f t="shared" si="15"/>
        <v>0.1</v>
      </c>
      <c r="ET33" s="12">
        <f t="shared" si="16"/>
        <v>0.26</v>
      </c>
      <c r="EU33" s="12">
        <f t="shared" si="17"/>
        <v>0.26</v>
      </c>
      <c r="EV33" s="12" t="str">
        <f t="shared" si="110"/>
        <v>Аммофос 12:52:00</v>
      </c>
      <c r="EW33" s="12" t="str">
        <f t="shared" si="111"/>
        <v>Кемира Свекловичное-6</v>
      </c>
      <c r="EX33" s="12">
        <f t="shared" si="18"/>
        <v>0.16</v>
      </c>
      <c r="EY33" s="12">
        <f t="shared" si="19"/>
        <v>0.12</v>
      </c>
      <c r="EZ33" s="12">
        <f t="shared" si="20"/>
        <v>0.17</v>
      </c>
      <c r="FA33" s="38" t="e">
        <f>IF(AND(OR(FJ33=$FD$1,FM33=$FD$1,FO33=$FD$1,FQ33=$FD$1,FS33=$FD$1),FD33=$FD$1,Исходн.данные.!J33&lt;2,FU33=$FD$1),"Бор,Кобальт",IF(AND(FO33=$FD$1,FH33=$FD$1,Исходн.данные.!J33&lt;2,FU33=$FD$1),"Бор,Кобальт",IF(AND(OR(FJ33=$FD$1,FM33=$FD$1,FQ33=$FD$1),FE33=$FD$1,Исходн.данные.!J33&lt;2,FT33=$FD$1,FU33=$FD$1),"Бор,Медь,Цинк",IF(AND(OR(FJ33=$FD$1,FR33="Да"),FI33="Да",Исходн.данные.!J33&lt;2,FT33="Да",FU33="Да"),"Бор,Цинк,Медь",IF(AND(OR(FM33="Да",FQ33="Да"),FI33="Да",Исходн.данные.!J33&lt;2,FT33="Да",FU33="Да"),"Бор,Цинк",IF(AND(FN33="Да",OR(FD33="Да",FE33="Да")),"Бор",FB33))))))</f>
        <v>#N/A</v>
      </c>
      <c r="FB33" s="134" t="e">
        <f>IF(AND(OR(FD33="Да",FE33="Да",FF33="Да",FG33="Да",FH33="Да"),FO33="Да"),"Бор",IF(AND(FP33="Да",OR(FD33="Да",FE33="Да",FI33="Да")),"Бор",IF(AND(FS33="Да",FE33="Да"),"Бор,Медь",IF(AND(OR(FJ33="Да",FK33="Да",FL33="Да"),FE33="Да",Исходн.данные.!I33&lt;5,FT33="Да",FU33="Да"),"Молибден,Цинк",IF(AND(FM33="Да",OR(FE33="Да",FF33="Да",FG33="Да",FH33="Да",FI33="Да")),"Молибден,Цинк",IF(AND(OR(FJ33="Да",FK33="Да",FL33="Да",FM33="Да",FQ33="Да"),OR(FE33="Да",FF33="Да"),FT33="Да",FU33="Да",Исходн.данные.!I33&gt;5.5),"Медь,Цинк",FC33))))))</f>
        <v>#N/A</v>
      </c>
      <c r="FC33" s="23" t="e">
        <f t="shared" si="112"/>
        <v>#N/A</v>
      </c>
      <c r="FD33" s="38" t="str">
        <f>IF(OR(Исходн.данные.!F33=$CC$1,Исходн.данные.!F33=$CC$2,Исходн.данные.!F33=$CC$3,Исходн.данные.!F33=$CC$4),"Да","Нет")</f>
        <v>Нет</v>
      </c>
      <c r="FE33" s="38" t="str">
        <f>IF(Исходн.данные.!F33=$CC$5,"Да","Нет")</f>
        <v>Нет</v>
      </c>
      <c r="FF33" s="38" t="str">
        <f>IF(OR(Исходн.данные.!F33=$CC$6,Исходн.данные.!F33=$CC$7),"Да","Нет")</f>
        <v>Нет</v>
      </c>
      <c r="FG33" s="38" t="str">
        <f>IF(OR(Исходн.данные.!F33=$CC$8,Исходн.данные.!F33=$CC$9),"Да","Нет")</f>
        <v>Нет</v>
      </c>
      <c r="FH33" s="38" t="str">
        <f>IF(Исходн.данные.!F33=$CC$10,"Да","Нет")</f>
        <v>Нет</v>
      </c>
      <c r="FI33" s="38" t="str">
        <f>IF(OR(Исходн.данные.!F33=$CC$11,Исходн.данные.!F33=$CC$12),"Да","Нет")</f>
        <v>Нет</v>
      </c>
      <c r="FJ33" s="38" t="str">
        <f>IF(OR(Исходн.данные.!AH33=$BS$1,Исходн.данные.!AH33=$BQ$11,Исходн.данные.!AH33=$BQ$12),"Да","Нет")</f>
        <v>Нет</v>
      </c>
      <c r="FK33" s="38" t="str">
        <f>IF(OR(Исходн.данные.!AH33=$BS$2,Исходн.данные.!AH33=$BS$4),"Да","Нет")</f>
        <v>Нет</v>
      </c>
      <c r="FL33" s="38" t="str">
        <f>IF(OR(Исходн.данные.!AH33=$BS$3,Исходн.данные.!AH33=$BS$5),"Да","Нет")</f>
        <v>Нет</v>
      </c>
      <c r="FM33" s="38" t="str">
        <f>IF(OR(Исходн.данные.!AH33=$BS$9,Исходн.данные.!AH33=$BS$10,Исходн.данные.!AH33=$BS$11,Исходн.данные.!AH33=$BS$12),"Да","Нет")</f>
        <v>Нет</v>
      </c>
      <c r="FN33" s="38" t="str">
        <f>IF(OR(Исходн.данные.!AH33=$BS$6,Исходн.данные.!AH33=$BP$3),"Да","Нет")</f>
        <v>Нет</v>
      </c>
      <c r="FO33" s="38" t="str">
        <f>IF(Исходн.данные.!AH33=$BQ$9,"Да","Нет")</f>
        <v>Нет</v>
      </c>
      <c r="FP33" s="38" t="str">
        <f>IF(OR(Исходн.данные.!AH33=$BS$8,Исходн.данные.!AH33=$BT$8),"Да","Нет")</f>
        <v>Нет</v>
      </c>
      <c r="FQ33" s="38" t="str">
        <f>IF(OR(Исходн.данные.!AH33=$BQ$7,Исходн.данные.!AH33=$BQ$8),"Да","Нет")</f>
        <v>Нет</v>
      </c>
      <c r="FR33" s="38" t="str">
        <f>IF(Исходн.данные.!AI33=$BU$9,"Да","Нет")</f>
        <v>Нет</v>
      </c>
      <c r="FS33" s="38" t="str">
        <f>IF(OR(Исходн.данные.!AH33=$BP$1,Исходн.данные.!AH33=$BP$2),"Да","Нет")</f>
        <v>Нет</v>
      </c>
      <c r="FT33" s="38" t="e">
        <f>IF((Исходн.данные.!K33*GO33*GS33*GW33+BL33*0.6+Исходн.данные.!Q33*4.5*0.275)&gt;90,"Да","Нет")</f>
        <v>#N/A</v>
      </c>
      <c r="FU33" s="38" t="e">
        <f>IF((Исходн.данные.!M33*GS33*GZ33+BM33*0.225)&gt;35,"Да","Нет")</f>
        <v>#N/A</v>
      </c>
      <c r="FV33" s="38" t="str">
        <f>IF(Исходн.данные.!O33&gt;175,"Да","Нет")</f>
        <v>Нет</v>
      </c>
      <c r="FW33" s="39" t="str">
        <f>IF(Исходн.данные.!I33&gt;5.5,"Да","Нет")</f>
        <v>Нет</v>
      </c>
      <c r="FX33" s="39" t="str">
        <f>IF(Исходн.данные.!J33&lt;2,"Да","Нет")</f>
        <v>Да</v>
      </c>
      <c r="FY33" s="39" t="e">
        <f>IF(HF33=$FY$16,0,Исходн.данные.!K33*GO33*GS33*GW33/HF33)</f>
        <v>#N/A</v>
      </c>
      <c r="FZ33" s="39" t="e">
        <f>Исходн.данные.!M33*GS33*GZ33/HG33</f>
        <v>#N/A</v>
      </c>
      <c r="GA33" s="39" t="e">
        <f>IF(K_Wyn=$FY$16,0,IF(Исходн.данные.!N33=Исходн.данные.!$L$10,Исходн.данные.!O33/1.1*GS33*HC33/HH33,IF(Исходн.данные.!N33=Исходн.данные.!$L$12,Исходн.данные.!O33/1.5*GS33*HC33/HH33,Исходн.данные.!O33*GS33*HC33/HH33)))</f>
        <v>#N/A</v>
      </c>
      <c r="GB33" s="39" t="e">
        <f>IF(HF33=$FY$16,0,((Исходн.данные.!Q33*N_Org+Исходн.данные.!R33*N_Sider+Исходн.данные.!S33*N_Soloma)*AO33+Расчет!BC33*VLOOKUP(Исходн.данные.!T33,Справ!$A$3:$O$57,15)*AO33+BB33*VLOOKUP(Исходн.данные.!T33,Справ!$A$3:$O$57,15)*AL33+(Исходн.данные.!V33*N_Rizotorf+Исходн.данные.!W33*N_Rizoagr))/HF33)</f>
        <v>#N/A</v>
      </c>
      <c r="GC33" s="39" t="e">
        <f>IF(HG33=$FY$16,0,((Исходн.данные.!Q33*Р_Org+Исходн.данные.!R33*P_Sider+Исходн.данные.!S33*P_Soloma)*AP33+Расчет!BC33*VLOOKUP(Исходн.данные.!T33,Справ!$A$3:$P$57,16)*AP33+BB33*VLOOKUP(Исходн.данные.!T33,Справ!$A$3:$P$57,16)*AM33)/HG33)</f>
        <v>#N/A</v>
      </c>
      <c r="GD33" s="39" t="e">
        <f>IF(HH33=$FY$16,0,((Исходн.данные.!Q33*К_Org+Исходн.данные.!R33*K_Sider+Исходн.данные.!S33*K_Soloma)*AQ33+Расчет!BC33*VLOOKUP(Исходн.данные.!T33,Справ!$A$3:$Q$57,17)*AQ33+BB33*VLOOKUP(Исходн.данные.!T33,Справ!$A$3:$Q$57,17)*AN33)/HH33)</f>
        <v>#N/A</v>
      </c>
      <c r="GE33" s="39" t="e">
        <f>IF(HF33=$FY$16,0,(Исходн.данные.!X33*AR33+Исходн.данные.!AA33*N_Org*AL33+Исходн.данные.!AB33*N_Sider*AL33+Исходн.данные.!AC33*N_Soloma*AL33)/HF33)</f>
        <v>#N/A</v>
      </c>
      <c r="GF33" s="39" t="e">
        <f>IF(HG33=$FY$16,0,(Исходн.данные.!Y33*AS33+Исходн.данные.!AA33*Р_Org*AM33+Исходн.данные.!AB33*P_Sider*AM33+Исходн.данные.!AC33*P_Soloma*AM33)/HG33)</f>
        <v>#N/A</v>
      </c>
      <c r="GG33" s="39" t="e">
        <f>IF(HH33=$FY$16,0,(Исходн.данные.!Z33*AT33+Исходн.данные.!AA33*К_Org*AN33+Исходн.данные.!AB33*K_Sider*AN33+Исходн.данные.!AC33*K_Soloma*AN33)/HH33)</f>
        <v>#N/A</v>
      </c>
      <c r="GH33" s="39" t="e">
        <f>Исходн.данные.!AD33*AU33/HF33</f>
        <v>#N/A</v>
      </c>
      <c r="GI33" s="39" t="e">
        <f>Исходн.данные.!AE33*AV33/HG33</f>
        <v>#N/A</v>
      </c>
      <c r="GJ33" s="39" t="e">
        <f>Исходн.данные.!AF33*AW33/HH33</f>
        <v>#N/A</v>
      </c>
      <c r="GK33" s="55">
        <f>Исходн.данные.!AK33</f>
        <v>0</v>
      </c>
      <c r="GL33" s="11" t="e">
        <f t="shared" si="113"/>
        <v>#N/A</v>
      </c>
      <c r="GM33" s="11" t="e">
        <f t="shared" si="114"/>
        <v>#N/A</v>
      </c>
      <c r="GN33" s="11" t="e">
        <f t="shared" si="115"/>
        <v>#N/A</v>
      </c>
      <c r="GO33" s="57">
        <f t="shared" si="116"/>
        <v>19</v>
      </c>
      <c r="GP33" s="55">
        <f>IF(OR(Исходн.данные.!F33=$CE$1,Исходн.данные.!F33=$CE$2,Исходн.данные.!F33=$CE$3,Исходн.данные.!F33=$CE$4,Исходн.данные.!F33=$CE$5),GQ33,GR33)</f>
        <v>19</v>
      </c>
      <c r="GQ33" s="55">
        <f>IF(Исходн.данные.!F33=$CE$1,28,IF(Исходн.данные.!F33=$CE$2,26,IF(Исходн.данные.!F33=$CE$3,24,IF(Исходн.данные.!F33=$CE$4,22,IF(Исходн.данные.!F33=$CE$5,20,GR33)))))</f>
        <v>19</v>
      </c>
      <c r="GR33" s="55">
        <f>IF(Исходн.данные.!F33=$CE$6,18,IF(Исходн.данные.!F33=$CE$7,16,IF(Исходн.данные.!F33=$CE$8,14,IF(Исходн.данные.!F33=$CE$9,13,IF(Исходн.данные.!F33=$CE$10,12,19)))))</f>
        <v>19</v>
      </c>
      <c r="GS33" s="55">
        <f>IF(Исходн.данные.!G33="Пес",0.035*(40+2*Исходн.данные.!H33),IF(Исходн.данные.!G33="Суп",0.0325*(40+2*Исходн.данные.!H33),0.03*(40+2*Исходн.данные.!H33)))</f>
        <v>1.2</v>
      </c>
      <c r="GT33" s="55">
        <f>IF(Исходн.данные.!H33&lt;23,2.6,IF(AND(Исходн.данные.!H33&gt;22,Исходн.данные.!H33&lt;26),3,IF(AND(Исходн.данные.!H33&gt;25,Исходн.данные.!H33&lt;29),3.4,3.6)))</f>
        <v>2.6</v>
      </c>
      <c r="GU33" s="55">
        <f>IF(Исходн.данные.!H33&lt;23,2.8,IF(AND(Исходн.данные.!H33&gt;22,Исходн.данные.!H33&lt;26),3.2,IF(AND(Исходн.данные.!H33&gt;25,Исходн.данные.!H33&lt;29),3.6,3.9)))</f>
        <v>2.8</v>
      </c>
      <c r="GV33" s="55">
        <f>IF(Исходн.данные.!H33&lt;23,3,IF(AND(Исходн.данные.!H33&gt;22,Исходн.данные.!H33&lt;26),3.5,IF(AND(Исходн.данные.!H33&gt;25,Исходн.данные.!H33&lt;29),3.9,4.2)))</f>
        <v>3</v>
      </c>
      <c r="GW33" s="55" t="e">
        <f>IF(Исходн.данные.!P33="Ум",GX33,GY33)</f>
        <v>#N/A</v>
      </c>
      <c r="GX33" s="55" t="e">
        <f>VLOOKUP(Исходн.данные.!AI33,Коэффициенты!$J$7:$L$13,2,FALSE)</f>
        <v>#N/A</v>
      </c>
      <c r="GY33" s="55" t="e">
        <f>VLOOKUP(Исходн.данные.!AI33,Коэффициенты!$J$7:$L$13,3,FALSE)</f>
        <v>#N/A</v>
      </c>
      <c r="GZ33" s="55" t="e">
        <f>(IF(Исходн.данные.!M33&lt;50,0.11*VLOOKUP(Исходн.данные.!AH33,Культуры.Информация,7,FALSE),IF(Исходн.данные.!M33&gt;250,0.05*VLOOKUP(Исходн.данные.!AH33,Культуры.Информация,7,FALSE),VLOOKUP(Исходн.данные.!AH33,Культуры.Информация,5,FALSE)/100*($GX$6+$GY$6*Исходн.данные.!M33))))*Расчет2!AI33</f>
        <v>#N/A</v>
      </c>
      <c r="HA33" s="211"/>
      <c r="HB33" s="211"/>
      <c r="HC33" s="55" t="e">
        <f>(IF(Исходн.данные.!O33&lt;80,0.2*VLOOKUP(Исходн.данные.!AH33,Культуры.Информация,8,FALSE),IF(Исходн.данные.!O33&gt;240,0.09*VLOOKUP(Исходн.данные.!AH33,Культуры.Информация,8,FALSE),VLOOKUP(Исходн.данные.!AH33,Культуры.Информация,6,FALSE)/100*($HB$6+$HC$6*Исходн.данные.!O33))))*Расчет2!AJ33</f>
        <v>#N/A</v>
      </c>
      <c r="HD33" s="55">
        <f>IF(Исходн.данные.!O33&gt;240,0.09,IF(Исходн.данные.!O33&lt;30,0.3,$HE$10+$HD$10*Исходн.данные.!O33))</f>
        <v>0.3</v>
      </c>
      <c r="HE33" s="55">
        <f>IF(Исходн.данные.!O33&gt;240,0.17,IF(Исходн.данные.!O33&lt;30,0.5,$HF$12+$HE$12*Исходн.данные.!O33))</f>
        <v>0.5</v>
      </c>
      <c r="HF33" s="55" t="e">
        <f>VLOOKUP(Исходн.данные.!AH33,Справ!$A$3:$D$58,2,FALSE)</f>
        <v>#N/A</v>
      </c>
      <c r="HG33" s="55" t="e">
        <f>VLOOKUP(Исходн.данные.!AH33,Справ!$A$3:$D$58,3,FALSE)</f>
        <v>#N/A</v>
      </c>
      <c r="HH33" s="55" t="e">
        <f>VLOOKUP(Исходн.данные.!AH33,Справ!$A$3:$D$58,4,FALSE)</f>
        <v>#N/A</v>
      </c>
      <c r="HI33" s="11" t="e">
        <f t="shared" si="117"/>
        <v>#N/A</v>
      </c>
      <c r="HJ33" s="11" t="e">
        <f t="shared" si="118"/>
        <v>#N/A</v>
      </c>
      <c r="HK33" s="11" t="e">
        <f t="shared" si="119"/>
        <v>#N/A</v>
      </c>
      <c r="HL33" s="55">
        <f>IF(OR(Исходн.данные.!G33="Глин",Исходн.данные.!G33="Т_суг"),1.1,IF(Исходн.данные.!G33="Ср_суг",1,1))</f>
        <v>1</v>
      </c>
      <c r="HM33" s="55">
        <f>IF(OR(Исходн.данные.!G33="Глин",Исходн.данные.!G33="Т_суг"),0.9,IF(Исходн.данные.!G33="Ср_суг",1,1.2))</f>
        <v>1.2</v>
      </c>
      <c r="HN33" s="11" t="e">
        <f t="shared" si="120"/>
        <v>#N/A</v>
      </c>
      <c r="HO33" s="11" t="e">
        <f t="shared" si="121"/>
        <v>#N/A</v>
      </c>
      <c r="HP33" s="11" t="e">
        <f t="shared" si="122"/>
        <v>#N/A</v>
      </c>
      <c r="HQ33" t="e">
        <f t="shared" si="123"/>
        <v>#N/A</v>
      </c>
      <c r="HR33" t="e">
        <f t="shared" si="124"/>
        <v>#N/A</v>
      </c>
      <c r="HS33" t="e">
        <f t="shared" si="125"/>
        <v>#N/A</v>
      </c>
      <c r="HT33" t="e">
        <f t="shared" si="21"/>
        <v>#N/A</v>
      </c>
      <c r="HU33" t="e">
        <f t="shared" si="22"/>
        <v>#N/A</v>
      </c>
      <c r="HV33" t="e">
        <f t="shared" si="23"/>
        <v>#N/A</v>
      </c>
      <c r="HW33" t="e">
        <f t="shared" si="24"/>
        <v>#N/A</v>
      </c>
      <c r="HX33" t="e">
        <f t="shared" si="25"/>
        <v>#N/A</v>
      </c>
      <c r="HY33" t="e">
        <f t="shared" si="26"/>
        <v>#N/A</v>
      </c>
      <c r="HZ33" s="55">
        <f>IF(OR(Исходн.данные.!AI33="Оз_Ч_П",Исходн.данные.!AI33="Оз_З_П",Исходн.данные.!AI33="Яр_зер"),12,30)</f>
        <v>30</v>
      </c>
      <c r="IA33" t="e">
        <f t="shared" si="126"/>
        <v>#N/A</v>
      </c>
      <c r="IB33" t="e">
        <f t="shared" si="127"/>
        <v>#N/A</v>
      </c>
      <c r="IC33" t="e">
        <f t="shared" si="128"/>
        <v>#N/A</v>
      </c>
      <c r="ID33" s="11" t="e">
        <f t="shared" si="129"/>
        <v>#N/A</v>
      </c>
      <c r="IE33" s="11" t="e">
        <f t="shared" si="130"/>
        <v>#N/A</v>
      </c>
      <c r="IF33" s="11" t="e">
        <f t="shared" si="131"/>
        <v>#N/A</v>
      </c>
    </row>
    <row r="34" spans="35:240" x14ac:dyDescent="0.2">
      <c r="AI34">
        <f>IF(Исходн.данные.!I34&gt;6,1,1.85-(0.148*Исходн.данные.!I34))</f>
        <v>1.85</v>
      </c>
      <c r="AJ34">
        <f>IF(Исходн.данные.!I34&gt;6,1,2.434-(0.246*Исходн.данные.!I34))</f>
        <v>2.4340000000000002</v>
      </c>
      <c r="AL34" s="148" t="b">
        <f>IF(Исходн.данные.!$P34="Ум",N_OrgUd_2g_um,IF(Исходн.данные.!$P34="Об",N_OrgUd_2g_ob))</f>
        <v>0</v>
      </c>
      <c r="AM34" s="148" t="b">
        <f>IF(Исходн.данные.!$P34="Ум",P_OrgUd_2g_um,IF(Исходн.данные.!$P34="Об",P_OrgUd_2g_ob))</f>
        <v>0</v>
      </c>
      <c r="AN34" s="148" t="b">
        <f>IF(Исходн.данные.!$P34="Ум",K_OrgUd_2g_um,IF(Исходн.данные.!$P34="Об",K_OrgUd_2g_ob))</f>
        <v>0</v>
      </c>
      <c r="AO34" s="148" t="b">
        <f>IF(Исходн.данные.!$P34="Ум",N_OrgUd_1g_um,IF(Исходн.данные.!$P34="Об",N_OrgUd_1g_ob))</f>
        <v>0</v>
      </c>
      <c r="AP34" s="148" t="b">
        <f>IF(Исходн.данные.!$P34="Ум",P_OrgUd_1g_um,IF(Исходн.данные.!$P34="Об",P_OrgUd_1g_ob))</f>
        <v>0</v>
      </c>
      <c r="AQ34" s="148" t="b">
        <f>IF(Исходн.данные.!$P34="Ум",K_OrgUd_1g_um,IF(Исходн.данные.!$P34="Об",K_OrgUd_1g_ob))</f>
        <v>0</v>
      </c>
      <c r="AR34" t="b">
        <f>IF(Исходн.данные.!$P34="Ум",N_MinUd_2g_um,IF(Исходн.данные.!$P34="Об",N_MinUd_2g_ob))</f>
        <v>0</v>
      </c>
      <c r="AS34" t="b">
        <f>IF(Исходн.данные.!$P34="Ум",P_MinUd_2g_um,IF(Исходн.данные.!$P34="Об",P_MinUd_2g_ob))</f>
        <v>0</v>
      </c>
      <c r="AT34" t="b">
        <f>IF(Исходн.данные.!$P34="Ум",K_MinUd_2g_um,IF(Исходн.данные.!$P34="Об",K_MinUd_2g_ob))</f>
        <v>0</v>
      </c>
      <c r="AU34" t="b">
        <f>IF(Исходн.данные.!$P34="Ум",N_MinUd_1g_um,IF(Исходн.данные.!$P34="Об",N_MinUd_1g_ob))</f>
        <v>0</v>
      </c>
      <c r="AV34" t="b">
        <f>IF(Исходн.данные.!P34="Ум",P_MinUd_1g_um,IF(Исходн.данные.!P34="Об",P_MinUd_1g_ob))</f>
        <v>0</v>
      </c>
      <c r="AW34" t="b">
        <f>IF(Исходн.данные.!P34="Ум",K_MinUd_1g_um,IF(Исходн.данные.!P34="Об",K_MinUd_1g_ob))</f>
        <v>0</v>
      </c>
      <c r="AY34" t="e">
        <f>VLOOKUP(Исходн.данные.!T34,Справ!$A$3:$N$57,12)</f>
        <v>#N/A</v>
      </c>
      <c r="AZ34" t="e">
        <f>VLOOKUP(Исходн.данные.!T34,Справ!$A$3:$N$57,13)</f>
        <v>#N/A</v>
      </c>
      <c r="BA34" t="e">
        <f>VLOOKUP(Исходн.данные.!T34,Справ!$A$3:$N$57,14)</f>
        <v>#N/A</v>
      </c>
      <c r="BB34">
        <f>IF(Исходн.данные.!AH34=0,0,25)</f>
        <v>0</v>
      </c>
      <c r="BC34" s="141">
        <f>IF(Исходн.данные.!AH34=0,0,IF(Исходн.данные.!T34=0,25,BD34))</f>
        <v>0</v>
      </c>
      <c r="BD34" s="168" t="e">
        <f>AY34+AZ34*Исходн.данные.!U34-POWER(BA34,2)*Исходн.данные.!U34</f>
        <v>#N/A</v>
      </c>
      <c r="BE3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" s="25">
        <f>IF(Исходн.данные.!AH34=0,0,MIN(HN34:HP34))</f>
        <v>0</v>
      </c>
      <c r="BG34" s="9">
        <f>IF(Исходн.данные.!AH34=0,0,IF((HO34+10*0.25/HG34/HL34)&lt;17,17,HO34+10*0.25/HG34/HL34))</f>
        <v>0</v>
      </c>
      <c r="BH34" s="181">
        <f>IF(Исходн.данные.!AH34=0,0,HW34*HF34*HL34/AU34*AI34+Исходн.данные.!S34*10)</f>
        <v>0</v>
      </c>
      <c r="BI34" s="10"/>
      <c r="BJ34" s="182">
        <f>IF(Исходн.данные.!AH34=0,0,IF(HX34*HG34*HL34/AV34&lt;0,0,HX34*HG34*HL34/AV34*AJ34))</f>
        <v>0</v>
      </c>
      <c r="BK34" s="182">
        <f>IF(Исходн.данные.!AH34=0,0,HY34*HH34*HM34/AW34)</f>
        <v>0</v>
      </c>
      <c r="BL34" s="10">
        <f>IF(OR(Исходн.данные.!$AH34=$BP$1,Исходн.данные.!$AH34=$BP$2),0,IF(BH34&lt;0,0,IF(OR(Исходн.данные.!T34=Расчет!$BP$1,Исходн.данные.!T34=Расчет!$BP$2,Исходн.данные.!T34=Расчет!$BT$5,Исходн.данные.!T34=Расчет!$BT$6),BH34*0.5,IF(OR(Исходн.данные.!T34=Расчет!$BS$9,Исходн.данные.!T34=Расчет!$BS$10,Исходн.данные.!T34=Расчет!$BS$11,Исходн.данные.!T34=Расчет!$BS$12,Исходн.данные.!T34=Расчет!$BP$5),BH34*0.8,BH34))))</f>
        <v>0</v>
      </c>
      <c r="BM34" s="10">
        <f>IF(OR(Исходн.данные.!$AH34=$BP$1,Исходн.данные.!$AH34=$BP$2),0,IF(BJ34&lt;0,0,IF(Исходн.данные.!I34&lt;4.5,BJ34*1.2,IF(Исходн.данные.!I34&gt;5.1,BJ34,BJ34*((5.1-Исходн.данные.!I34)*0.333+1)))))</f>
        <v>0</v>
      </c>
      <c r="BN34" s="10">
        <f>IF(OR(Исходн.данные.!$AH34=$BP$1,Исходн.данные.!$AH34=$BP$2),60-Исходн.данные.!AF34,IF(BK34&lt;0,0,IF(Исходн.данные.!I34&lt;4.5,BK34*1.2,IF(Исходн.данные.!I34&gt;5.1,BK34,BK34*((5.1-Исходн.данные.!I34)*0.333+1)))))</f>
        <v>0</v>
      </c>
      <c r="BO34" s="9">
        <f>IF(BL34&lt;0,0,BL34*Исходн.данные.!$AJ34/1000)</f>
        <v>0</v>
      </c>
      <c r="BP34" s="9">
        <f>IF(BM34&lt;0,0,BM34*Исходн.данные.!$AJ34/1000)</f>
        <v>0</v>
      </c>
      <c r="BQ34" s="9">
        <f>IF(BN34&lt;0,0,BN34*Исходн.данные.!$AJ34/1000)</f>
        <v>0</v>
      </c>
      <c r="BR34" s="9">
        <f t="shared" si="81"/>
        <v>0</v>
      </c>
      <c r="BS34" s="10" t="str">
        <f t="shared" si="82"/>
        <v>Аммофос 12:52:00</v>
      </c>
      <c r="BT34" s="10" t="str">
        <f t="shared" si="83"/>
        <v>Аммофос 12:52:00</v>
      </c>
      <c r="BU34" s="10" t="str">
        <f t="shared" si="84"/>
        <v>Диаммофоска</v>
      </c>
      <c r="BV34" s="10">
        <f t="shared" si="85"/>
        <v>0</v>
      </c>
      <c r="BW34" s="10"/>
      <c r="BX34" s="10"/>
      <c r="BY34" s="9">
        <f>IF(BL34&lt;0,0,IF(OR(Исходн.данные.!AI34=Расчет!$BU$6,Исходн.данные.!AI34=Расчет!$BU$7),Расчет!BV34,IF(Исходн.данные.!$AG34=$BV$11,BL34,IF(OR(Исходн.данные.!$AH34=$BQ$7,Исходн.данные.!$AH34=$BQ$8),CB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0,IF(Исходн.данные.!$AI34=$BU$11,"Нет",IF(BL34&gt;30,30,BL34)))))))</f>
        <v>0</v>
      </c>
      <c r="BZ34" s="9">
        <f>IF(AND(Исходн.данные.!$AG34=$BV$11,BM34&lt;10),10,IF(Исходн.данные.!$AG34=$BV$11,BM34,IF(OR(Исходн.данные.!$AH34=$BQ$7,Исходн.данные.!$AH34=$BQ$8),CC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10,IF(Исходн.данные.!$AI34=$BU$11,"Нет",IF(BM34&gt;60,60,IF(BM34&lt;10,10,BM34)))))))</f>
        <v>10</v>
      </c>
      <c r="CA34" s="39">
        <f>IF(BN34&lt;0,0,IF(Исходн.данные.!$AG34=$BV$11,BN34,IF(OR(Исходн.данные.!$AH34=$BQ$7,Исходн.данные.!$AH34=$BQ$8),CD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0,IF(Исходн.данные.!$AI34=$BU$11,"Нет",IF(BN34&gt;30,30,BN34))))))</f>
        <v>0</v>
      </c>
      <c r="CB34" s="9">
        <f t="shared" si="86"/>
        <v>0</v>
      </c>
      <c r="CC34" s="9">
        <f t="shared" si="87"/>
        <v>0</v>
      </c>
      <c r="CD34" s="9">
        <f t="shared" si="88"/>
        <v>0</v>
      </c>
      <c r="CE34" s="12">
        <f t="shared" si="89"/>
        <v>10</v>
      </c>
      <c r="CF34" s="9">
        <f t="shared" si="90"/>
        <v>0</v>
      </c>
      <c r="CG34" s="9" t="s">
        <v>231</v>
      </c>
      <c r="CH34" s="132" t="str">
        <f>IF(Исходн.данные.!AP34=Расчет!$CI$16,"Нет",IF(Исходн.данные.!AL34&gt;0,Исходн.данные.!AL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BH$4,IF(OR(Исходн.данные.!AI34=Исходн.данные.!$AI$6,Исходн.данные.!AI34=Исходн.данные.!$AI$7),Расчет!BS34,IF(AND($CF34=0,$CE34&gt;0),EV34,ER34)))))</f>
        <v>Аммофос 12:52:00</v>
      </c>
      <c r="CI34" s="274">
        <f>IF(Расчет!$CH34="Нет","Нет",IF(Исходн.данные.!$AL34&gt;0,VLOOKUP(Расчет!$CH34,АшламаДВ_Irekle,2,FALSE),VLOOKUP(Расчет!$CH34,АшламаДВ_Gomumy,2,FALSE)))</f>
        <v>0.12</v>
      </c>
      <c r="CJ34" s="274">
        <f>IF(Расчет!$CH34="Нет","Нет",IF(Исходн.данные.!$AL34&gt;0,VLOOKUP(Расчет!$CH34,АшламаДВ_Irekle,3,FALSE),VLOOKUP(Расчет!$CH34,АшламаДВ_Gomumy,3,FALSE)))</f>
        <v>0.52</v>
      </c>
      <c r="CK34" s="274">
        <f>IF(Расчет!$CH34="Нет","Нет",IF(Исходн.данные.!$AL34&gt;0,VLOOKUP(Расчет!$CH34,АшламаДВ_Irekle,4,FALSE),VLOOKUP(Расчет!$CH34,АшламаДВ_Gomumy,4,FALSE)))</f>
        <v>0</v>
      </c>
      <c r="CL34" s="70"/>
      <c r="CM34" s="70"/>
      <c r="CN34" s="70"/>
      <c r="CO34" s="70"/>
      <c r="CP34" s="70"/>
      <c r="CQ34" s="70"/>
      <c r="CR34" s="10">
        <f t="shared" si="91"/>
        <v>0</v>
      </c>
      <c r="CS34" s="10">
        <f t="shared" si="92"/>
        <v>19.23076923076923</v>
      </c>
      <c r="CT34" s="10">
        <f t="shared" si="93"/>
        <v>0</v>
      </c>
      <c r="CU34" s="39">
        <f>IF($CH34="Нет",0,IF(CI34=0,30/MIN(CJ34:CK34),IF(Исходн.данные.!$AG34=$BV$11,CR34,IF(OR(Исходн.данные.!$AH34=$BQ$7,Исходн.данные.!$AH34=$BQ$8),90/CI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0,IF(Исходн.данные.!$AI34=$BU$11,"Нет",30/CI34))))))</f>
        <v>250</v>
      </c>
      <c r="CV34" s="39">
        <f>IF($CH34="Нет",0,IF(Исходн.данные.!AH34=0,0,IF(CJ34=0,60/MIN(CI34,CK34),IF(Исходн.данные.!$AG34=$BV$11,CS34,IF(OR(Исходн.данные.!$AH34=$BQ$7,Исходн.данные.!$AH34=$BQ$8),90/CJ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10/CJ34,IF(Исходн.данные.!$AI34=$BU$11,"Нет",60/CJ34)))))))</f>
        <v>0</v>
      </c>
      <c r="CW34" s="39">
        <f>IF($CH34="Нет",0,IF(Исходн.данные.!AH34=0,0,IF(CK34=0,30/MIN(CI34:CJ34),IF(Исходн.данные.!$AG34=$BV$11,CT34,IF(OR(Исходн.данные.!$AH34=$BQ$7,Исходн.данные.!$AH34=$BQ$8),90/CK34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0,IF(Исходн.данные.!$AI34=$BU$11,"Нет",30/CK34)))))))</f>
        <v>0</v>
      </c>
      <c r="CX34" s="133">
        <f>IF(Исходн.данные.!$AG34=$BV$11,MAX(CU34:CW34),IF(OR(Исходн.данные.!$AH34=$BS$8,Исходн.данные.!$AH34=$BQ$9,Исходн.данные.!$AH34=$BQ$10,Исходн.данные.!$AH34=$BQ$11,Исходн.данные.!$AH34=$BQ$12,Исходн.данные.!$AH34=$BP$3,Исходн.данные.!$AH34=$BT$8,$FM34="Да"),CV34,MIN(CU34:CW34)))</f>
        <v>0</v>
      </c>
      <c r="CY34" s="133">
        <f>IF(Исходн.данные.!AH34=0,0,IF(CR34&gt;$CX34,$CX34,CR34))</f>
        <v>0</v>
      </c>
      <c r="CZ34" s="133">
        <f>IF(Исходн.данные.!AH34=0,0,IF(CS34&gt;$CX34,$CX34,CS34))</f>
        <v>0</v>
      </c>
      <c r="DA34" s="133">
        <f>IF(Исходн.данные.!AH34=0,0,IF(CT34&gt;$CX34,$CX34,CT34))</f>
        <v>0</v>
      </c>
      <c r="DB34" s="10">
        <f t="shared" si="94"/>
        <v>0</v>
      </c>
      <c r="DC34" s="39">
        <f>DB34*Исходн.данные.!AJ34/1000</f>
        <v>0</v>
      </c>
      <c r="DD34" s="71">
        <f t="shared" si="95"/>
        <v>0</v>
      </c>
      <c r="DE34" s="9">
        <f t="shared" si="96"/>
        <v>0</v>
      </c>
      <c r="DF34" s="9">
        <f t="shared" si="97"/>
        <v>0</v>
      </c>
      <c r="DG34" s="39">
        <f>IF(BL34&lt;0,0,IF($CH34="Нет",BL34,IF(OR(Исходн.данные.!$AH34=$BP$1,Исходн.данные.!$AH34=$BP$2),0,IF(Исходн.данные.!AI34=$BU$11,BL34,IF(BL34-DD34&lt;0,0,BL34-DD34)))))</f>
        <v>0</v>
      </c>
      <c r="DH34" s="39">
        <f>IF(BM34&lt;0,0,IF($CH34="Нет",BM34,IF(OR(Исходн.данные.!$AH34=$BP$1,Исходн.данные.!$AH34=$BP$2),0,IF(Исходн.данные.!AJ34=$BU$11,BM34,IF(BM34-DE34&lt;0,0,BM34-DE34)))))</f>
        <v>0</v>
      </c>
      <c r="DI34" s="39">
        <f>IF(BN34&lt;0,0,IF($CH34="Нет",BN34,IF(OR(Исходн.данные.!$AH34=$BP$1,Исходн.данные.!$AH34=$BP$2),0,IF(Исходн.данные.!AK34=$BU$11,BN34,IF(BN34-DF34&lt;0,0,BN34-DF34)))))</f>
        <v>0</v>
      </c>
      <c r="DJ34" s="12">
        <f t="shared" si="98"/>
        <v>0</v>
      </c>
      <c r="DK34" s="9">
        <f t="shared" si="99"/>
        <v>0</v>
      </c>
      <c r="DL34" s="39">
        <f>IF(Исходн.данные.!AM34&gt;0,Исходн.данные.!AM34,IF(EG34&gt;0,$BH$10,0))</f>
        <v>0</v>
      </c>
      <c r="DM34" s="186">
        <f>IF($DL34=0,0,IF(Исходн.данные.!AM34&gt;0,VLOOKUP($DL34,АшламаДВ_Irekle,2,FALSE),VLOOKUP($DL34,АшламаДВ_Gomumy,2,FALSE)))</f>
        <v>0</v>
      </c>
      <c r="DN34" s="10">
        <f t="shared" si="46"/>
        <v>0</v>
      </c>
      <c r="DO34" s="9" t="str">
        <f>IF(Исходн.данные.!AN34&gt;0,Исходн.данные.!AN34,Удобрения!$B$37 )</f>
        <v>Хлор.калий</v>
      </c>
      <c r="DP34" s="9">
        <f>IF(Исходн.данные.!AN34&gt;0,VLOOKUP(Исходн.данные.!AN34,АшламаДВ_Irekle,4,FALSE),VLOOKUP(DO34,АшламаДВ_Gomumy,4,FALSE))</f>
        <v>0.6</v>
      </c>
      <c r="DQ34" s="10">
        <f t="shared" si="47"/>
        <v>0</v>
      </c>
      <c r="DR34" s="132" t="str">
        <f>IF(Исходн.данные.!AO34&gt;0,Исходн.данные.!AO34,IF(DH34=0,BS$17,IF(AND($DK34=0,$DJ34&gt;0),EJ34,EN34)))</f>
        <v>Нет</v>
      </c>
      <c r="DS34" s="70" t="str">
        <f>IF($DR34="Нет","Нет",IF(Исходн.данные.!$AO34&gt;0,VLOOKUP($DR34,АшламаДВ_Irekle,2,FALSE),VLOOKUP($DR34,АшламаДВ_Gomumy,2,FALSE)))</f>
        <v>Нет</v>
      </c>
      <c r="DT34" s="70" t="str">
        <f>IF($DR34="Нет","Нет",IF(Исходн.данные.!$AO34&gt;0,VLOOKUP($DR34,АшламаДВ_Irekle,3,FALSE),VLOOKUP($DR34,АшламаДВ_Gomumy,3,FALSE)))</f>
        <v>Нет</v>
      </c>
      <c r="DU34" s="70" t="str">
        <f>IF($DR34="Нет","Нет",IF(Исходн.данные.!$AO34&gt;0,VLOOKUP($DR34,АшламаДВ_Irekle,4,FALSE),VLOOKUP($DR34,АшламаДВ_Gomumy,4,FALSE)))</f>
        <v>Нет</v>
      </c>
      <c r="DV34" s="70"/>
      <c r="DW34" s="70"/>
      <c r="DX34" s="70"/>
      <c r="DY34" s="10">
        <f t="shared" si="100"/>
        <v>0</v>
      </c>
      <c r="DZ34" s="10">
        <f t="shared" si="101"/>
        <v>0</v>
      </c>
      <c r="EA34" s="10">
        <f t="shared" si="102"/>
        <v>0</v>
      </c>
      <c r="EB34" s="10">
        <f t="shared" si="103"/>
        <v>0</v>
      </c>
      <c r="EC34" s="10">
        <f t="shared" si="104"/>
        <v>0</v>
      </c>
      <c r="ED34" s="10">
        <f t="shared" si="105"/>
        <v>0</v>
      </c>
      <c r="EE34" s="10">
        <f t="shared" si="106"/>
        <v>0</v>
      </c>
      <c r="EF34" s="39">
        <f>EB34*Исходн.данные.!AJ34/1000</f>
        <v>0</v>
      </c>
      <c r="EG34" s="9">
        <f t="shared" si="107"/>
        <v>0</v>
      </c>
      <c r="EH34" s="9">
        <f t="shared" si="108"/>
        <v>0</v>
      </c>
      <c r="EI34" s="39" t="e">
        <f t="shared" si="7"/>
        <v>#DIV/0!</v>
      </c>
      <c r="EJ34" s="9" t="str">
        <f t="shared" si="8"/>
        <v>Азопреципитат</v>
      </c>
      <c r="EK34" s="12">
        <f t="shared" si="9"/>
        <v>0.26</v>
      </c>
      <c r="EL34" s="12">
        <f t="shared" si="10"/>
        <v>0.13</v>
      </c>
      <c r="EM34" s="12">
        <f t="shared" si="11"/>
        <v>0</v>
      </c>
      <c r="EN34" s="12" t="str">
        <f t="shared" si="57"/>
        <v>Нет</v>
      </c>
      <c r="EO34" s="12">
        <f t="shared" si="12"/>
        <v>0</v>
      </c>
      <c r="EP34" s="12">
        <f t="shared" si="13"/>
        <v>0</v>
      </c>
      <c r="EQ34" s="12">
        <f t="shared" si="14"/>
        <v>0</v>
      </c>
      <c r="ER34" s="12" t="str">
        <f t="shared" si="109"/>
        <v>Диаммофоска</v>
      </c>
      <c r="ES34" s="12">
        <f t="shared" si="15"/>
        <v>0.1</v>
      </c>
      <c r="ET34" s="12">
        <f t="shared" si="16"/>
        <v>0.26</v>
      </c>
      <c r="EU34" s="12">
        <f t="shared" si="17"/>
        <v>0.26</v>
      </c>
      <c r="EV34" s="12" t="str">
        <f t="shared" si="110"/>
        <v>Аммофос 12:52:00</v>
      </c>
      <c r="EW34" s="12" t="str">
        <f t="shared" si="111"/>
        <v>Кемира Свекловичное-6</v>
      </c>
      <c r="EX34" s="12">
        <f t="shared" si="18"/>
        <v>0.16</v>
      </c>
      <c r="EY34" s="12">
        <f t="shared" si="19"/>
        <v>0.12</v>
      </c>
      <c r="EZ34" s="12">
        <f t="shared" si="20"/>
        <v>0.17</v>
      </c>
      <c r="FA34" s="38" t="e">
        <f>IF(AND(OR(FJ34=$FD$1,FM34=$FD$1,FO34=$FD$1,FQ34=$FD$1,FS34=$FD$1),FD34=$FD$1,Исходн.данные.!J34&lt;2,FU34=$FD$1),"Бор,Кобальт",IF(AND(FO34=$FD$1,FH34=$FD$1,Исходн.данные.!J34&lt;2,FU34=$FD$1),"Бор,Кобальт",IF(AND(OR(FJ34=$FD$1,FM34=$FD$1,FQ34=$FD$1),FE34=$FD$1,Исходн.данные.!J34&lt;2,FT34=$FD$1,FU34=$FD$1),"Бор,Медь,Цинк",IF(AND(OR(FJ34=$FD$1,FR34="Да"),FI34="Да",Исходн.данные.!J34&lt;2,FT34="Да",FU34="Да"),"Бор,Цинк,Медь",IF(AND(OR(FM34="Да",FQ34="Да"),FI34="Да",Исходн.данные.!J34&lt;2,FT34="Да",FU34="Да"),"Бор,Цинк",IF(AND(FN34="Да",OR(FD34="Да",FE34="Да")),"Бор",FB34))))))</f>
        <v>#N/A</v>
      </c>
      <c r="FB34" s="134" t="e">
        <f>IF(AND(OR(FD34="Да",FE34="Да",FF34="Да",FG34="Да",FH34="Да"),FO34="Да"),"Бор",IF(AND(FP34="Да",OR(FD34="Да",FE34="Да",FI34="Да")),"Бор",IF(AND(FS34="Да",FE34="Да"),"Бор,Медь",IF(AND(OR(FJ34="Да",FK34="Да",FL34="Да"),FE34="Да",Исходн.данные.!I34&lt;5,FT34="Да",FU34="Да"),"Молибден,Цинк",IF(AND(FM34="Да",OR(FE34="Да",FF34="Да",FG34="Да",FH34="Да",FI34="Да")),"Молибден,Цинк",IF(AND(OR(FJ34="Да",FK34="Да",FL34="Да",FM34="Да",FQ34="Да"),OR(FE34="Да",FF34="Да"),FT34="Да",FU34="Да",Исходн.данные.!I34&gt;5.5),"Медь,Цинк",FC34))))))</f>
        <v>#N/A</v>
      </c>
      <c r="FC34" s="23" t="e">
        <f t="shared" si="112"/>
        <v>#N/A</v>
      </c>
      <c r="FD34" s="38" t="str">
        <f>IF(OR(Исходн.данные.!F34=$CC$1,Исходн.данные.!F34=$CC$2,Исходн.данные.!F34=$CC$3,Исходн.данные.!F34=$CC$4),"Да","Нет")</f>
        <v>Нет</v>
      </c>
      <c r="FE34" s="38" t="str">
        <f>IF(Исходн.данные.!F34=$CC$5,"Да","Нет")</f>
        <v>Нет</v>
      </c>
      <c r="FF34" s="38" t="str">
        <f>IF(OR(Исходн.данные.!F34=$CC$6,Исходн.данные.!F34=$CC$7),"Да","Нет")</f>
        <v>Нет</v>
      </c>
      <c r="FG34" s="38" t="str">
        <f>IF(OR(Исходн.данные.!F34=$CC$8,Исходн.данные.!F34=$CC$9),"Да","Нет")</f>
        <v>Нет</v>
      </c>
      <c r="FH34" s="38" t="str">
        <f>IF(Исходн.данные.!F34=$CC$10,"Да","Нет")</f>
        <v>Нет</v>
      </c>
      <c r="FI34" s="38" t="str">
        <f>IF(OR(Исходн.данные.!F34=$CC$11,Исходн.данные.!F34=$CC$12),"Да","Нет")</f>
        <v>Нет</v>
      </c>
      <c r="FJ34" s="38" t="str">
        <f>IF(OR(Исходн.данные.!AH34=$BS$1,Исходн.данные.!AH34=$BQ$11,Исходн.данные.!AH34=$BQ$12),"Да","Нет")</f>
        <v>Нет</v>
      </c>
      <c r="FK34" s="38" t="str">
        <f>IF(OR(Исходн.данные.!AH34=$BS$2,Исходн.данные.!AH34=$BS$4),"Да","Нет")</f>
        <v>Нет</v>
      </c>
      <c r="FL34" s="38" t="str">
        <f>IF(OR(Исходн.данные.!AH34=$BS$3,Исходн.данные.!AH34=$BS$5),"Да","Нет")</f>
        <v>Нет</v>
      </c>
      <c r="FM34" s="38" t="str">
        <f>IF(OR(Исходн.данные.!AH34=$BS$9,Исходн.данные.!AH34=$BS$10,Исходн.данные.!AH34=$BS$11,Исходн.данные.!AH34=$BS$12),"Да","Нет")</f>
        <v>Нет</v>
      </c>
      <c r="FN34" s="38" t="str">
        <f>IF(OR(Исходн.данные.!AH34=$BS$6,Исходн.данные.!AH34=$BP$3),"Да","Нет")</f>
        <v>Нет</v>
      </c>
      <c r="FO34" s="38" t="str">
        <f>IF(Исходн.данные.!AH34=$BQ$9,"Да","Нет")</f>
        <v>Нет</v>
      </c>
      <c r="FP34" s="38" t="str">
        <f>IF(OR(Исходн.данные.!AH34=$BS$8,Исходн.данные.!AH34=$BT$8),"Да","Нет")</f>
        <v>Нет</v>
      </c>
      <c r="FQ34" s="38" t="str">
        <f>IF(OR(Исходн.данные.!AH34=$BQ$7,Исходн.данные.!AH34=$BQ$8),"Да","Нет")</f>
        <v>Нет</v>
      </c>
      <c r="FR34" s="38" t="str">
        <f>IF(Исходн.данные.!AI34=$BU$9,"Да","Нет")</f>
        <v>Нет</v>
      </c>
      <c r="FS34" s="38" t="str">
        <f>IF(OR(Исходн.данные.!AH34=$BP$1,Исходн.данные.!AH34=$BP$2),"Да","Нет")</f>
        <v>Нет</v>
      </c>
      <c r="FT34" s="38" t="e">
        <f>IF((Исходн.данные.!K34*GO34*GS34*GW34+BL34*0.6+Исходн.данные.!Q34*4.5*0.275)&gt;90,"Да","Нет")</f>
        <v>#N/A</v>
      </c>
      <c r="FU34" s="38" t="e">
        <f>IF((Исходн.данные.!M34*GS34*GZ34+BM34*0.225)&gt;35,"Да","Нет")</f>
        <v>#N/A</v>
      </c>
      <c r="FV34" s="38" t="str">
        <f>IF(Исходн.данные.!O34&gt;175,"Да","Нет")</f>
        <v>Нет</v>
      </c>
      <c r="FW34" s="39" t="str">
        <f>IF(Исходн.данные.!I34&gt;5.5,"Да","Нет")</f>
        <v>Нет</v>
      </c>
      <c r="FX34" s="39" t="str">
        <f>IF(Исходн.данные.!J34&lt;2,"Да","Нет")</f>
        <v>Да</v>
      </c>
      <c r="FY34" s="39" t="e">
        <f>IF(HF34=$FY$16,0,Исходн.данные.!K34*GO34*GS34*GW34/HF34)</f>
        <v>#N/A</v>
      </c>
      <c r="FZ34" s="39" t="e">
        <f>Исходн.данные.!M34*GS34*GZ34/HG34</f>
        <v>#N/A</v>
      </c>
      <c r="GA34" s="39" t="e">
        <f>IF(K_Wyn=$FY$16,0,IF(Исходн.данные.!N34=Исходн.данные.!$L$10,Исходн.данные.!O34/1.1*GS34*HC34/HH34,IF(Исходн.данные.!N34=Исходн.данные.!$L$12,Исходн.данные.!O34/1.5*GS34*HC34/HH34,Исходн.данные.!O34*GS34*HC34/HH34)))</f>
        <v>#N/A</v>
      </c>
      <c r="GB34" s="39" t="e">
        <f>IF(HF34=$FY$16,0,((Исходн.данные.!Q34*N_Org+Исходн.данные.!R34*N_Sider+Исходн.данные.!S34*N_Soloma)*AO34+Расчет!BC34*VLOOKUP(Исходн.данные.!T34,Справ!$A$3:$O$57,15)*AO34+BB34*VLOOKUP(Исходн.данные.!T34,Справ!$A$3:$O$57,15)*AL34+(Исходн.данные.!V34*N_Rizotorf+Исходн.данные.!W34*N_Rizoagr))/HF34)</f>
        <v>#N/A</v>
      </c>
      <c r="GC34" s="39" t="e">
        <f>IF(HG34=$FY$16,0,((Исходн.данные.!Q34*Р_Org+Исходн.данные.!R34*P_Sider+Исходн.данные.!S34*P_Soloma)*AP34+Расчет!BC34*VLOOKUP(Исходн.данные.!T34,Справ!$A$3:$P$57,16)*AP34+BB34*VLOOKUP(Исходн.данные.!T34,Справ!$A$3:$P$57,16)*AM34)/HG34)</f>
        <v>#N/A</v>
      </c>
      <c r="GD34" s="39" t="e">
        <f>IF(HH34=$FY$16,0,((Исходн.данные.!Q34*К_Org+Исходн.данные.!R34*K_Sider+Исходн.данные.!S34*K_Soloma)*AQ34+Расчет!BC34*VLOOKUP(Исходн.данные.!T34,Справ!$A$3:$Q$57,17)*AQ34+BB34*VLOOKUP(Исходн.данные.!T34,Справ!$A$3:$Q$57,17)*AN34)/HH34)</f>
        <v>#N/A</v>
      </c>
      <c r="GE34" s="39" t="e">
        <f>IF(HF34=$FY$16,0,(Исходн.данные.!X34*AR34+Исходн.данные.!AA34*N_Org*AL34+Исходн.данные.!AB34*N_Sider*AL34+Исходн.данные.!AC34*N_Soloma*AL34)/HF34)</f>
        <v>#N/A</v>
      </c>
      <c r="GF34" s="39" t="e">
        <f>IF(HG34=$FY$16,0,(Исходн.данные.!Y34*AS34+Исходн.данные.!AA34*Р_Org*AM34+Исходн.данные.!AB34*P_Sider*AM34+Исходн.данные.!AC34*P_Soloma*AM34)/HG34)</f>
        <v>#N/A</v>
      </c>
      <c r="GG34" s="39" t="e">
        <f>IF(HH34=$FY$16,0,(Исходн.данные.!Z34*AT34+Исходн.данные.!AA34*К_Org*AN34+Исходн.данные.!AB34*K_Sider*AN34+Исходн.данные.!AC34*K_Soloma*AN34)/HH34)</f>
        <v>#N/A</v>
      </c>
      <c r="GH34" s="39" t="e">
        <f>Исходн.данные.!AD34*AU34/HF34</f>
        <v>#N/A</v>
      </c>
      <c r="GI34" s="39" t="e">
        <f>Исходн.данные.!AE34*AV34/HG34</f>
        <v>#N/A</v>
      </c>
      <c r="GJ34" s="39" t="e">
        <f>Исходн.данные.!AF34*AW34/HH34</f>
        <v>#N/A</v>
      </c>
      <c r="GK34" s="55">
        <f>Исходн.данные.!AK34</f>
        <v>0</v>
      </c>
      <c r="GL34" s="11" t="e">
        <f t="shared" si="113"/>
        <v>#N/A</v>
      </c>
      <c r="GM34" s="11" t="e">
        <f t="shared" si="114"/>
        <v>#N/A</v>
      </c>
      <c r="GN34" s="11" t="e">
        <f t="shared" si="115"/>
        <v>#N/A</v>
      </c>
      <c r="GO34" s="57">
        <f t="shared" si="116"/>
        <v>19</v>
      </c>
      <c r="GP34" s="55">
        <f>IF(OR(Исходн.данные.!F34=$CE$1,Исходн.данные.!F34=$CE$2,Исходн.данные.!F34=$CE$3,Исходн.данные.!F34=$CE$4,Исходн.данные.!F34=$CE$5),GQ34,GR34)</f>
        <v>19</v>
      </c>
      <c r="GQ34" s="55">
        <f>IF(Исходн.данные.!F34=$CE$1,28,IF(Исходн.данные.!F34=$CE$2,26,IF(Исходн.данные.!F34=$CE$3,24,IF(Исходн.данные.!F34=$CE$4,22,IF(Исходн.данные.!F34=$CE$5,20,GR34)))))</f>
        <v>19</v>
      </c>
      <c r="GR34" s="55">
        <f>IF(Исходн.данные.!F34=$CE$6,18,IF(Исходн.данные.!F34=$CE$7,16,IF(Исходн.данные.!F34=$CE$8,14,IF(Исходн.данные.!F34=$CE$9,13,IF(Исходн.данные.!F34=$CE$10,12,19)))))</f>
        <v>19</v>
      </c>
      <c r="GS34" s="55">
        <f>IF(Исходн.данные.!G34="Пес",0.035*(40+2*Исходн.данные.!H34),IF(Исходн.данные.!G34="Суп",0.0325*(40+2*Исходн.данные.!H34),0.03*(40+2*Исходн.данные.!H34)))</f>
        <v>1.2</v>
      </c>
      <c r="GT34" s="55">
        <f>IF(Исходн.данные.!H34&lt;23,2.6,IF(AND(Исходн.данные.!H34&gt;22,Исходн.данные.!H34&lt;26),3,IF(AND(Исходн.данные.!H34&gt;25,Исходн.данные.!H34&lt;29),3.4,3.6)))</f>
        <v>2.6</v>
      </c>
      <c r="GU34" s="55">
        <f>IF(Исходн.данные.!H34&lt;23,2.8,IF(AND(Исходн.данные.!H34&gt;22,Исходн.данные.!H34&lt;26),3.2,IF(AND(Исходн.данные.!H34&gt;25,Исходн.данные.!H34&lt;29),3.6,3.9)))</f>
        <v>2.8</v>
      </c>
      <c r="GV34" s="55">
        <f>IF(Исходн.данные.!H34&lt;23,3,IF(AND(Исходн.данные.!H34&gt;22,Исходн.данные.!H34&lt;26),3.5,IF(AND(Исходн.данные.!H34&gt;25,Исходн.данные.!H34&lt;29),3.9,4.2)))</f>
        <v>3</v>
      </c>
      <c r="GW34" s="55" t="e">
        <f>IF(Исходн.данные.!P34="Ум",GX34,GY34)</f>
        <v>#N/A</v>
      </c>
      <c r="GX34" s="55" t="e">
        <f>VLOOKUP(Исходн.данные.!AI34,Коэффициенты!$J$7:$L$13,2,FALSE)</f>
        <v>#N/A</v>
      </c>
      <c r="GY34" s="55" t="e">
        <f>VLOOKUP(Исходн.данные.!AI34,Коэффициенты!$J$7:$L$13,3,FALSE)</f>
        <v>#N/A</v>
      </c>
      <c r="GZ34" s="55" t="e">
        <f>(IF(Исходн.данные.!M34&lt;50,0.11*VLOOKUP(Исходн.данные.!AH34,Культуры.Информация,7,FALSE),IF(Исходн.данные.!M34&gt;250,0.05*VLOOKUP(Исходн.данные.!AH34,Культуры.Информация,7,FALSE),VLOOKUP(Исходн.данные.!AH34,Культуры.Информация,5,FALSE)/100*($GX$6+$GY$6*Исходн.данные.!M34))))*Расчет2!AI34</f>
        <v>#N/A</v>
      </c>
      <c r="HA34" s="211"/>
      <c r="HB34" s="211"/>
      <c r="HC34" s="55" t="e">
        <f>(IF(Исходн.данные.!O34&lt;80,0.2*VLOOKUP(Исходн.данные.!AH34,Культуры.Информация,8,FALSE),IF(Исходн.данные.!O34&gt;240,0.09*VLOOKUP(Исходн.данные.!AH34,Культуры.Информация,8,FALSE),VLOOKUP(Исходн.данные.!AH34,Культуры.Информация,6,FALSE)/100*($HB$6+$HC$6*Исходн.данные.!O34))))*Расчет2!AJ34</f>
        <v>#N/A</v>
      </c>
      <c r="HD34" s="55">
        <f>IF(Исходн.данные.!O34&gt;240,0.09,IF(Исходн.данные.!O34&lt;30,0.3,$HE$10+$HD$10*Исходн.данные.!O34))</f>
        <v>0.3</v>
      </c>
      <c r="HE34" s="55">
        <f>IF(Исходн.данные.!O34&gt;240,0.17,IF(Исходн.данные.!O34&lt;30,0.5,$HF$12+$HE$12*Исходн.данные.!O34))</f>
        <v>0.5</v>
      </c>
      <c r="HF34" s="55" t="e">
        <f>VLOOKUP(Исходн.данные.!AH34,Справ!$A$3:$D$58,2,FALSE)</f>
        <v>#N/A</v>
      </c>
      <c r="HG34" s="55" t="e">
        <f>VLOOKUP(Исходн.данные.!AH34,Справ!$A$3:$D$58,3,FALSE)</f>
        <v>#N/A</v>
      </c>
      <c r="HH34" s="55" t="e">
        <f>VLOOKUP(Исходн.данные.!AH34,Справ!$A$3:$D$58,4,FALSE)</f>
        <v>#N/A</v>
      </c>
      <c r="HI34" s="11" t="e">
        <f t="shared" si="117"/>
        <v>#N/A</v>
      </c>
      <c r="HJ34" s="11" t="e">
        <f t="shared" si="118"/>
        <v>#N/A</v>
      </c>
      <c r="HK34" s="11" t="e">
        <f t="shared" si="119"/>
        <v>#N/A</v>
      </c>
      <c r="HL34" s="55">
        <f>IF(OR(Исходн.данные.!G34="Глин",Исходн.данные.!G34="Т_суг"),1.1,IF(Исходн.данные.!G34="Ср_суг",1,1))</f>
        <v>1</v>
      </c>
      <c r="HM34" s="55">
        <f>IF(OR(Исходн.данные.!G34="Глин",Исходн.данные.!G34="Т_суг"),0.9,IF(Исходн.данные.!G34="Ср_суг",1,1.2))</f>
        <v>1.2</v>
      </c>
      <c r="HN34" s="11" t="e">
        <f t="shared" si="120"/>
        <v>#N/A</v>
      </c>
      <c r="HO34" s="11" t="e">
        <f t="shared" si="121"/>
        <v>#N/A</v>
      </c>
      <c r="HP34" s="11" t="e">
        <f t="shared" si="122"/>
        <v>#N/A</v>
      </c>
      <c r="HQ34" t="e">
        <f t="shared" si="123"/>
        <v>#N/A</v>
      </c>
      <c r="HR34" t="e">
        <f t="shared" si="124"/>
        <v>#N/A</v>
      </c>
      <c r="HS34" t="e">
        <f t="shared" si="125"/>
        <v>#N/A</v>
      </c>
      <c r="HT34" t="e">
        <f t="shared" si="21"/>
        <v>#N/A</v>
      </c>
      <c r="HU34" t="e">
        <f t="shared" si="22"/>
        <v>#N/A</v>
      </c>
      <c r="HV34" t="e">
        <f t="shared" si="23"/>
        <v>#N/A</v>
      </c>
      <c r="HW34" t="e">
        <f t="shared" si="24"/>
        <v>#N/A</v>
      </c>
      <c r="HX34" t="e">
        <f t="shared" si="25"/>
        <v>#N/A</v>
      </c>
      <c r="HY34" t="e">
        <f t="shared" si="26"/>
        <v>#N/A</v>
      </c>
      <c r="HZ34" s="55">
        <f>IF(OR(Исходн.данные.!AI34="Оз_Ч_П",Исходн.данные.!AI34="Оз_З_П",Исходн.данные.!AI34="Яр_зер"),12,30)</f>
        <v>30</v>
      </c>
      <c r="IA34" t="e">
        <f t="shared" si="126"/>
        <v>#N/A</v>
      </c>
      <c r="IB34" t="e">
        <f t="shared" si="127"/>
        <v>#N/A</v>
      </c>
      <c r="IC34" t="e">
        <f t="shared" si="128"/>
        <v>#N/A</v>
      </c>
      <c r="ID34" s="11" t="e">
        <f t="shared" si="129"/>
        <v>#N/A</v>
      </c>
      <c r="IE34" s="11" t="e">
        <f t="shared" si="130"/>
        <v>#N/A</v>
      </c>
      <c r="IF34" s="11" t="e">
        <f t="shared" si="131"/>
        <v>#N/A</v>
      </c>
    </row>
    <row r="35" spans="35:240" x14ac:dyDescent="0.2">
      <c r="AI35">
        <f>IF(Исходн.данные.!I35&gt;6,1,1.85-(0.148*Исходн.данные.!I35))</f>
        <v>1.85</v>
      </c>
      <c r="AJ35">
        <f>IF(Исходн.данные.!I35&gt;6,1,2.434-(0.246*Исходн.данные.!I35))</f>
        <v>2.4340000000000002</v>
      </c>
      <c r="AL35" s="148" t="b">
        <f>IF(Исходн.данные.!$P35="Ум",N_OrgUd_2g_um,IF(Исходн.данные.!$P35="Об",N_OrgUd_2g_ob))</f>
        <v>0</v>
      </c>
      <c r="AM35" s="148" t="b">
        <f>IF(Исходн.данные.!$P35="Ум",P_OrgUd_2g_um,IF(Исходн.данные.!$P35="Об",P_OrgUd_2g_ob))</f>
        <v>0</v>
      </c>
      <c r="AN35" s="148" t="b">
        <f>IF(Исходн.данные.!$P35="Ум",K_OrgUd_2g_um,IF(Исходн.данные.!$P35="Об",K_OrgUd_2g_ob))</f>
        <v>0</v>
      </c>
      <c r="AO35" s="148" t="b">
        <f>IF(Исходн.данные.!$P35="Ум",N_OrgUd_1g_um,IF(Исходн.данные.!$P35="Об",N_OrgUd_1g_ob))</f>
        <v>0</v>
      </c>
      <c r="AP35" s="148" t="b">
        <f>IF(Исходн.данные.!$P35="Ум",P_OrgUd_1g_um,IF(Исходн.данные.!$P35="Об",P_OrgUd_1g_ob))</f>
        <v>0</v>
      </c>
      <c r="AQ35" s="148" t="b">
        <f>IF(Исходн.данные.!$P35="Ум",K_OrgUd_1g_um,IF(Исходн.данные.!$P35="Об",K_OrgUd_1g_ob))</f>
        <v>0</v>
      </c>
      <c r="AR35" t="b">
        <f>IF(Исходн.данные.!$P35="Ум",N_MinUd_2g_um,IF(Исходн.данные.!$P35="Об",N_MinUd_2g_ob))</f>
        <v>0</v>
      </c>
      <c r="AS35" t="b">
        <f>IF(Исходн.данные.!$P35="Ум",P_MinUd_2g_um,IF(Исходн.данные.!$P35="Об",P_MinUd_2g_ob))</f>
        <v>0</v>
      </c>
      <c r="AT35" t="b">
        <f>IF(Исходн.данные.!$P35="Ум",K_MinUd_2g_um,IF(Исходн.данные.!$P35="Об",K_MinUd_2g_ob))</f>
        <v>0</v>
      </c>
      <c r="AU35" t="b">
        <f>IF(Исходн.данные.!$P35="Ум",N_MinUd_1g_um,IF(Исходн.данные.!$P35="Об",N_MinUd_1g_ob))</f>
        <v>0</v>
      </c>
      <c r="AV35" t="b">
        <f>IF(Исходн.данные.!P35="Ум",P_MinUd_1g_um,IF(Исходн.данные.!P35="Об",P_MinUd_1g_ob))</f>
        <v>0</v>
      </c>
      <c r="AW35" t="b">
        <f>IF(Исходн.данные.!P35="Ум",K_MinUd_1g_um,IF(Исходн.данные.!P35="Об",K_MinUd_1g_ob))</f>
        <v>0</v>
      </c>
      <c r="AY35" t="e">
        <f>VLOOKUP(Исходн.данные.!T35,Справ!$A$3:$N$57,12)</f>
        <v>#N/A</v>
      </c>
      <c r="AZ35" t="e">
        <f>VLOOKUP(Исходн.данные.!T35,Справ!$A$3:$N$57,13)</f>
        <v>#N/A</v>
      </c>
      <c r="BA35" t="e">
        <f>VLOOKUP(Исходн.данные.!T35,Справ!$A$3:$N$57,14)</f>
        <v>#N/A</v>
      </c>
      <c r="BB35">
        <f>IF(Исходн.данные.!AH35=0,0,25)</f>
        <v>0</v>
      </c>
      <c r="BC35" s="141">
        <f>IF(Исходн.данные.!AH35=0,0,IF(Исходн.данные.!T35=0,25,BD35))</f>
        <v>0</v>
      </c>
      <c r="BD35" s="168" t="e">
        <f>AY35+AZ35*Исходн.данные.!U35-POWER(BA35,2)*Исходн.данные.!U35</f>
        <v>#N/A</v>
      </c>
      <c r="BE3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5" s="25">
        <f>IF(Исходн.данные.!AH35=0,0,MIN(HN35:HP35))</f>
        <v>0</v>
      </c>
      <c r="BG35" s="9">
        <f>IF(Исходн.данные.!AH35=0,0,IF((HO35+10*0.25/HG35/HL35)&lt;17,17,HO35+10*0.25/HG35/HL35))</f>
        <v>0</v>
      </c>
      <c r="BH35" s="181">
        <f>IF(Исходн.данные.!AH35=0,0,HW35*HF35*HL35/AU35*AI35+Исходн.данные.!S35*10)</f>
        <v>0</v>
      </c>
      <c r="BI35" s="10"/>
      <c r="BJ35" s="182">
        <f>IF(Исходн.данные.!AH35=0,0,IF(HX35*HG35*HL35/AV35&lt;0,0,HX35*HG35*HL35/AV35*AJ35))</f>
        <v>0</v>
      </c>
      <c r="BK35" s="182">
        <f>IF(Исходн.данные.!AH35=0,0,HY35*HH35*HM35/AW35)</f>
        <v>0</v>
      </c>
      <c r="BL35" s="10">
        <f>IF(OR(Исходн.данные.!$AH35=$BP$1,Исходн.данные.!$AH35=$BP$2),0,IF(BH35&lt;0,0,IF(OR(Исходн.данные.!T35=Расчет!$BP$1,Исходн.данные.!T35=Расчет!$BP$2,Исходн.данные.!T35=Расчет!$BT$5,Исходн.данные.!T35=Расчет!$BT$6),BH35*0.5,IF(OR(Исходн.данные.!T35=Расчет!$BS$9,Исходн.данные.!T35=Расчет!$BS$10,Исходн.данные.!T35=Расчет!$BS$11,Исходн.данные.!T35=Расчет!$BS$12,Исходн.данные.!T35=Расчет!$BP$5),BH35*0.8,BH35))))</f>
        <v>0</v>
      </c>
      <c r="BM35" s="10">
        <f>IF(OR(Исходн.данные.!$AH35=$BP$1,Исходн.данные.!$AH35=$BP$2),0,IF(BJ35&lt;0,0,IF(Исходн.данные.!I35&lt;4.5,BJ35*1.2,IF(Исходн.данные.!I35&gt;5.1,BJ35,BJ35*((5.1-Исходн.данные.!I35)*0.333+1)))))</f>
        <v>0</v>
      </c>
      <c r="BN35" s="10">
        <f>IF(OR(Исходн.данные.!$AH35=$BP$1,Исходн.данные.!$AH35=$BP$2),60-Исходн.данные.!AF35,IF(BK35&lt;0,0,IF(Исходн.данные.!I35&lt;4.5,BK35*1.2,IF(Исходн.данные.!I35&gt;5.1,BK35,BK35*((5.1-Исходн.данные.!I35)*0.333+1)))))</f>
        <v>0</v>
      </c>
      <c r="BO35" s="9">
        <f>IF(BL35&lt;0,0,BL35*Исходн.данные.!$AJ35/1000)</f>
        <v>0</v>
      </c>
      <c r="BP35" s="9">
        <f>IF(BM35&lt;0,0,BM35*Исходн.данные.!$AJ35/1000)</f>
        <v>0</v>
      </c>
      <c r="BQ35" s="9">
        <f>IF(BN35&lt;0,0,BN35*Исходн.данные.!$AJ35/1000)</f>
        <v>0</v>
      </c>
      <c r="BR35" s="9">
        <f t="shared" si="81"/>
        <v>0</v>
      </c>
      <c r="BS35" s="10" t="str">
        <f t="shared" si="82"/>
        <v>Аммофос 12:52:00</v>
      </c>
      <c r="BT35" s="10" t="str">
        <f t="shared" si="83"/>
        <v>Аммофос 12:52:00</v>
      </c>
      <c r="BU35" s="10" t="str">
        <f t="shared" si="84"/>
        <v>Диаммофоска</v>
      </c>
      <c r="BV35" s="10">
        <f t="shared" si="85"/>
        <v>0</v>
      </c>
      <c r="BW35" s="10"/>
      <c r="BX35" s="10"/>
      <c r="BY35" s="9">
        <f>IF(BL35&lt;0,0,IF(OR(Исходн.данные.!AI35=Расчет!$BU$6,Исходн.данные.!AI35=Расчет!$BU$7),Расчет!BV35,IF(Исходн.данные.!$AG35=$BV$11,BL35,IF(OR(Исходн.данные.!$AH35=$BQ$7,Исходн.данные.!$AH35=$BQ$8),CB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0,IF(Исходн.данные.!$AI35=$BU$11,"Нет",IF(BL35&gt;30,30,BL35)))))))</f>
        <v>0</v>
      </c>
      <c r="BZ35" s="9">
        <f>IF(AND(Исходн.данные.!$AG35=$BV$11,BM35&lt;10),10,IF(Исходн.данные.!$AG35=$BV$11,BM35,IF(OR(Исходн.данные.!$AH35=$BQ$7,Исходн.данные.!$AH35=$BQ$8),CC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10,IF(Исходн.данные.!$AI35=$BU$11,"Нет",IF(BM35&gt;60,60,IF(BM35&lt;10,10,BM35)))))))</f>
        <v>10</v>
      </c>
      <c r="CA35" s="39">
        <f>IF(BN35&lt;0,0,IF(Исходн.данные.!$AG35=$BV$11,BN35,IF(OR(Исходн.данные.!$AH35=$BQ$7,Исходн.данные.!$AH35=$BQ$8),CD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0,IF(Исходн.данные.!$AI35=$BU$11,"Нет",IF(BN35&gt;30,30,BN35))))))</f>
        <v>0</v>
      </c>
      <c r="CB35" s="9">
        <f t="shared" si="86"/>
        <v>0</v>
      </c>
      <c r="CC35" s="9">
        <f t="shared" si="87"/>
        <v>0</v>
      </c>
      <c r="CD35" s="9">
        <f t="shared" si="88"/>
        <v>0</v>
      </c>
      <c r="CE35" s="12">
        <f t="shared" si="89"/>
        <v>10</v>
      </c>
      <c r="CF35" s="9">
        <f t="shared" si="90"/>
        <v>0</v>
      </c>
      <c r="CG35" s="9" t="s">
        <v>231</v>
      </c>
      <c r="CH35" s="132" t="str">
        <f>IF(Исходн.данные.!AP35=Расчет!$CI$16,"Нет",IF(Исходн.данные.!AL35&gt;0,Исходн.данные.!AL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BH$4,IF(OR(Исходн.данные.!AI35=Исходн.данные.!$AI$6,Исходн.данные.!AI35=Исходн.данные.!$AI$7),Расчет!BS35,IF(AND($CF35=0,$CE35&gt;0),EV35,ER35)))))</f>
        <v>Аммофос 12:52:00</v>
      </c>
      <c r="CI35" s="274">
        <f>IF(Расчет!$CH35="Нет","Нет",IF(Исходн.данные.!$AL35&gt;0,VLOOKUP(Расчет!$CH35,АшламаДВ_Irekle,2,FALSE),VLOOKUP(Расчет!$CH35,АшламаДВ_Gomumy,2,FALSE)))</f>
        <v>0.12</v>
      </c>
      <c r="CJ35" s="274">
        <f>IF(Расчет!$CH35="Нет","Нет",IF(Исходн.данные.!$AL35&gt;0,VLOOKUP(Расчет!$CH35,АшламаДВ_Irekle,3,FALSE),VLOOKUP(Расчет!$CH35,АшламаДВ_Gomumy,3,FALSE)))</f>
        <v>0.52</v>
      </c>
      <c r="CK35" s="274">
        <f>IF(Расчет!$CH35="Нет","Нет",IF(Исходн.данные.!$AL35&gt;0,VLOOKUP(Расчет!$CH35,АшламаДВ_Irekle,4,FALSE),VLOOKUP(Расчет!$CH35,АшламаДВ_Gomumy,4,FALSE)))</f>
        <v>0</v>
      </c>
      <c r="CL35" s="70"/>
      <c r="CM35" s="70"/>
      <c r="CN35" s="70"/>
      <c r="CO35" s="70"/>
      <c r="CP35" s="70"/>
      <c r="CQ35" s="70"/>
      <c r="CR35" s="10">
        <f t="shared" si="91"/>
        <v>0</v>
      </c>
      <c r="CS35" s="10">
        <f t="shared" si="92"/>
        <v>19.23076923076923</v>
      </c>
      <c r="CT35" s="10">
        <f t="shared" si="93"/>
        <v>0</v>
      </c>
      <c r="CU35" s="39">
        <f>IF($CH35="Нет",0,IF(CI35=0,30/MIN(CJ35:CK35),IF(Исходн.данные.!$AG35=$BV$11,CR35,IF(OR(Исходн.данные.!$AH35=$BQ$7,Исходн.данные.!$AH35=$BQ$8),90/CI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0,IF(Исходн.данные.!$AI35=$BU$11,"Нет",30/CI35))))))</f>
        <v>250</v>
      </c>
      <c r="CV35" s="39">
        <f>IF($CH35="Нет",0,IF(Исходн.данные.!AH35=0,0,IF(CJ35=0,60/MIN(CI35,CK35),IF(Исходн.данные.!$AG35=$BV$11,CS35,IF(OR(Исходн.данные.!$AH35=$BQ$7,Исходн.данные.!$AH35=$BQ$8),90/CJ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10/CJ35,IF(Исходн.данные.!$AI35=$BU$11,"Нет",60/CJ35)))))))</f>
        <v>0</v>
      </c>
      <c r="CW35" s="39">
        <f>IF($CH35="Нет",0,IF(Исходн.данные.!AH35=0,0,IF(CK35=0,30/MIN(CI35:CJ35),IF(Исходн.данные.!$AG35=$BV$11,CT35,IF(OR(Исходн.данные.!$AH35=$BQ$7,Исходн.данные.!$AH35=$BQ$8),90/CK35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0,IF(Исходн.данные.!$AI35=$BU$11,"Нет",30/CK35)))))))</f>
        <v>0</v>
      </c>
      <c r="CX35" s="133">
        <f>IF(Исходн.данные.!$AG35=$BV$11,MAX(CU35:CW35),IF(OR(Исходн.данные.!$AH35=$BS$8,Исходн.данные.!$AH35=$BQ$9,Исходн.данные.!$AH35=$BQ$10,Исходн.данные.!$AH35=$BQ$11,Исходн.данные.!$AH35=$BQ$12,Исходн.данные.!$AH35=$BP$3,Исходн.данные.!$AH35=$BT$8,$FM35="Да"),CV35,MIN(CU35:CW35)))</f>
        <v>0</v>
      </c>
      <c r="CY35" s="133">
        <f>IF(Исходн.данные.!AH35=0,0,IF(CR35&gt;$CX35,$CX35,CR35))</f>
        <v>0</v>
      </c>
      <c r="CZ35" s="133">
        <f>IF(Исходн.данные.!AH35=0,0,IF(CS35&gt;$CX35,$CX35,CS35))</f>
        <v>0</v>
      </c>
      <c r="DA35" s="133">
        <f>IF(Исходн.данные.!AH35=0,0,IF(CT35&gt;$CX35,$CX35,CT35))</f>
        <v>0</v>
      </c>
      <c r="DB35" s="10">
        <f t="shared" si="94"/>
        <v>0</v>
      </c>
      <c r="DC35" s="39">
        <f>DB35*Исходн.данные.!AJ35/1000</f>
        <v>0</v>
      </c>
      <c r="DD35" s="71">
        <f t="shared" si="95"/>
        <v>0</v>
      </c>
      <c r="DE35" s="9">
        <f t="shared" si="96"/>
        <v>0</v>
      </c>
      <c r="DF35" s="9">
        <f t="shared" si="97"/>
        <v>0</v>
      </c>
      <c r="DG35" s="39">
        <f>IF(BL35&lt;0,0,IF($CH35="Нет",BL35,IF(OR(Исходн.данные.!$AH35=$BP$1,Исходн.данные.!$AH35=$BP$2),0,IF(Исходн.данные.!AI35=$BU$11,BL35,IF(BL35-DD35&lt;0,0,BL35-DD35)))))</f>
        <v>0</v>
      </c>
      <c r="DH35" s="39">
        <f>IF(BM35&lt;0,0,IF($CH35="Нет",BM35,IF(OR(Исходн.данные.!$AH35=$BP$1,Исходн.данные.!$AH35=$BP$2),0,IF(Исходн.данные.!AJ35=$BU$11,BM35,IF(BM35-DE35&lt;0,0,BM35-DE35)))))</f>
        <v>0</v>
      </c>
      <c r="DI35" s="39">
        <f>IF(BN35&lt;0,0,IF($CH35="Нет",BN35,IF(OR(Исходн.данные.!$AH35=$BP$1,Исходн.данные.!$AH35=$BP$2),0,IF(Исходн.данные.!AK35=$BU$11,BN35,IF(BN35-DF35&lt;0,0,BN35-DF35)))))</f>
        <v>0</v>
      </c>
      <c r="DJ35" s="12">
        <f t="shared" si="98"/>
        <v>0</v>
      </c>
      <c r="DK35" s="9">
        <f t="shared" si="99"/>
        <v>0</v>
      </c>
      <c r="DL35" s="39">
        <f>IF(Исходн.данные.!AM35&gt;0,Исходн.данные.!AM35,IF(EG35&gt;0,$BH$10,0))</f>
        <v>0</v>
      </c>
      <c r="DM35" s="186">
        <f>IF($DL35=0,0,IF(Исходн.данные.!AM35&gt;0,VLOOKUP($DL35,АшламаДВ_Irekle,2,FALSE),VLOOKUP($DL35,АшламаДВ_Gomumy,2,FALSE)))</f>
        <v>0</v>
      </c>
      <c r="DN35" s="10">
        <f t="shared" si="46"/>
        <v>0</v>
      </c>
      <c r="DO35" s="9" t="str">
        <f>IF(Исходн.данные.!AN35&gt;0,Исходн.данные.!AN35,Удобрения!$B$37 )</f>
        <v>Хлор.калий</v>
      </c>
      <c r="DP35" s="9">
        <f>IF(Исходн.данные.!AN35&gt;0,VLOOKUP(Исходн.данные.!AN35,АшламаДВ_Irekle,4,FALSE),VLOOKUP(DO35,АшламаДВ_Gomumy,4,FALSE))</f>
        <v>0.6</v>
      </c>
      <c r="DQ35" s="10">
        <f t="shared" si="47"/>
        <v>0</v>
      </c>
      <c r="DR35" s="132" t="str">
        <f>IF(Исходн.данные.!AO35&gt;0,Исходн.данные.!AO35,IF(DH35=0,BS$17,IF(AND($DK35=0,$DJ35&gt;0),EJ35,EN35)))</f>
        <v>Нет</v>
      </c>
      <c r="DS35" s="70" t="str">
        <f>IF($DR35="Нет","Нет",IF(Исходн.данные.!$AO35&gt;0,VLOOKUP($DR35,АшламаДВ_Irekle,2,FALSE),VLOOKUP($DR35,АшламаДВ_Gomumy,2,FALSE)))</f>
        <v>Нет</v>
      </c>
      <c r="DT35" s="70" t="str">
        <f>IF($DR35="Нет","Нет",IF(Исходн.данные.!$AO35&gt;0,VLOOKUP($DR35,АшламаДВ_Irekle,3,FALSE),VLOOKUP($DR35,АшламаДВ_Gomumy,3,FALSE)))</f>
        <v>Нет</v>
      </c>
      <c r="DU35" s="70" t="str">
        <f>IF($DR35="Нет","Нет",IF(Исходн.данные.!$AO35&gt;0,VLOOKUP($DR35,АшламаДВ_Irekle,4,FALSE),VLOOKUP($DR35,АшламаДВ_Gomumy,4,FALSE)))</f>
        <v>Нет</v>
      </c>
      <c r="DV35" s="70"/>
      <c r="DW35" s="70"/>
      <c r="DX35" s="70"/>
      <c r="DY35" s="10">
        <f t="shared" si="100"/>
        <v>0</v>
      </c>
      <c r="DZ35" s="10">
        <f t="shared" si="101"/>
        <v>0</v>
      </c>
      <c r="EA35" s="10">
        <f t="shared" si="102"/>
        <v>0</v>
      </c>
      <c r="EB35" s="10">
        <f t="shared" si="103"/>
        <v>0</v>
      </c>
      <c r="EC35" s="10">
        <f t="shared" si="104"/>
        <v>0</v>
      </c>
      <c r="ED35" s="10">
        <f t="shared" si="105"/>
        <v>0</v>
      </c>
      <c r="EE35" s="10">
        <f t="shared" si="106"/>
        <v>0</v>
      </c>
      <c r="EF35" s="39">
        <f>EB35*Исходн.данные.!AJ35/1000</f>
        <v>0</v>
      </c>
      <c r="EG35" s="9">
        <f t="shared" si="107"/>
        <v>0</v>
      </c>
      <c r="EH35" s="9">
        <f t="shared" si="108"/>
        <v>0</v>
      </c>
      <c r="EI35" s="39" t="e">
        <f t="shared" si="7"/>
        <v>#DIV/0!</v>
      </c>
      <c r="EJ35" s="9" t="str">
        <f t="shared" si="8"/>
        <v>Азопреципитат</v>
      </c>
      <c r="EK35" s="12">
        <f t="shared" si="9"/>
        <v>0.26</v>
      </c>
      <c r="EL35" s="12">
        <f t="shared" si="10"/>
        <v>0.13</v>
      </c>
      <c r="EM35" s="12">
        <f t="shared" si="11"/>
        <v>0</v>
      </c>
      <c r="EN35" s="12" t="str">
        <f t="shared" si="57"/>
        <v>Нет</v>
      </c>
      <c r="EO35" s="12">
        <f t="shared" si="12"/>
        <v>0</v>
      </c>
      <c r="EP35" s="12">
        <f t="shared" si="13"/>
        <v>0</v>
      </c>
      <c r="EQ35" s="12">
        <f t="shared" si="14"/>
        <v>0</v>
      </c>
      <c r="ER35" s="12" t="str">
        <f t="shared" si="109"/>
        <v>Диаммофоска</v>
      </c>
      <c r="ES35" s="12">
        <f t="shared" si="15"/>
        <v>0.1</v>
      </c>
      <c r="ET35" s="12">
        <f t="shared" si="16"/>
        <v>0.26</v>
      </c>
      <c r="EU35" s="12">
        <f t="shared" si="17"/>
        <v>0.26</v>
      </c>
      <c r="EV35" s="12" t="str">
        <f t="shared" si="110"/>
        <v>Аммофос 12:52:00</v>
      </c>
      <c r="EW35" s="12" t="str">
        <f t="shared" si="111"/>
        <v>Кемира Свекловичное-6</v>
      </c>
      <c r="EX35" s="12">
        <f t="shared" si="18"/>
        <v>0.16</v>
      </c>
      <c r="EY35" s="12">
        <f t="shared" si="19"/>
        <v>0.12</v>
      </c>
      <c r="EZ35" s="12">
        <f t="shared" si="20"/>
        <v>0.17</v>
      </c>
      <c r="FA35" s="38" t="e">
        <f>IF(AND(OR(FJ35=$FD$1,FM35=$FD$1,FO35=$FD$1,FQ35=$FD$1,FS35=$FD$1),FD35=$FD$1,Исходн.данные.!J35&lt;2,FU35=$FD$1),"Бор,Кобальт",IF(AND(FO35=$FD$1,FH35=$FD$1,Исходн.данные.!J35&lt;2,FU35=$FD$1),"Бор,Кобальт",IF(AND(OR(FJ35=$FD$1,FM35=$FD$1,FQ35=$FD$1),FE35=$FD$1,Исходн.данные.!J35&lt;2,FT35=$FD$1,FU35=$FD$1),"Бор,Медь,Цинк",IF(AND(OR(FJ35=$FD$1,FR35="Да"),FI35="Да",Исходн.данные.!J35&lt;2,FT35="Да",FU35="Да"),"Бор,Цинк,Медь",IF(AND(OR(FM35="Да",FQ35="Да"),FI35="Да",Исходн.данные.!J35&lt;2,FT35="Да",FU35="Да"),"Бор,Цинк",IF(AND(FN35="Да",OR(FD35="Да",FE35="Да")),"Бор",FB35))))))</f>
        <v>#N/A</v>
      </c>
      <c r="FB35" s="134" t="e">
        <f>IF(AND(OR(FD35="Да",FE35="Да",FF35="Да",FG35="Да",FH35="Да"),FO35="Да"),"Бор",IF(AND(FP35="Да",OR(FD35="Да",FE35="Да",FI35="Да")),"Бор",IF(AND(FS35="Да",FE35="Да"),"Бор,Медь",IF(AND(OR(FJ35="Да",FK35="Да",FL35="Да"),FE35="Да",Исходн.данные.!I35&lt;5,FT35="Да",FU35="Да"),"Молибден,Цинк",IF(AND(FM35="Да",OR(FE35="Да",FF35="Да",FG35="Да",FH35="Да",FI35="Да")),"Молибден,Цинк",IF(AND(OR(FJ35="Да",FK35="Да",FL35="Да",FM35="Да",FQ35="Да"),OR(FE35="Да",FF35="Да"),FT35="Да",FU35="Да",Исходн.данные.!I35&gt;5.5),"Медь,Цинк",FC35))))))</f>
        <v>#N/A</v>
      </c>
      <c r="FC35" s="23" t="e">
        <f t="shared" si="112"/>
        <v>#N/A</v>
      </c>
      <c r="FD35" s="38" t="str">
        <f>IF(OR(Исходн.данные.!F35=$CC$1,Исходн.данные.!F35=$CC$2,Исходн.данные.!F35=$CC$3,Исходн.данные.!F35=$CC$4),"Да","Нет")</f>
        <v>Нет</v>
      </c>
      <c r="FE35" s="38" t="str">
        <f>IF(Исходн.данные.!F35=$CC$5,"Да","Нет")</f>
        <v>Нет</v>
      </c>
      <c r="FF35" s="38" t="str">
        <f>IF(OR(Исходн.данные.!F35=$CC$6,Исходн.данные.!F35=$CC$7),"Да","Нет")</f>
        <v>Нет</v>
      </c>
      <c r="FG35" s="38" t="str">
        <f>IF(OR(Исходн.данные.!F35=$CC$8,Исходн.данные.!F35=$CC$9),"Да","Нет")</f>
        <v>Нет</v>
      </c>
      <c r="FH35" s="38" t="str">
        <f>IF(Исходн.данные.!F35=$CC$10,"Да","Нет")</f>
        <v>Нет</v>
      </c>
      <c r="FI35" s="38" t="str">
        <f>IF(OR(Исходн.данные.!F35=$CC$11,Исходн.данные.!F35=$CC$12),"Да","Нет")</f>
        <v>Нет</v>
      </c>
      <c r="FJ35" s="38" t="str">
        <f>IF(OR(Исходн.данные.!AH35=$BS$1,Исходн.данные.!AH35=$BQ$11,Исходн.данные.!AH35=$BQ$12),"Да","Нет")</f>
        <v>Нет</v>
      </c>
      <c r="FK35" s="38" t="str">
        <f>IF(OR(Исходн.данные.!AH35=$BS$2,Исходн.данные.!AH35=$BS$4),"Да","Нет")</f>
        <v>Нет</v>
      </c>
      <c r="FL35" s="38" t="str">
        <f>IF(OR(Исходн.данные.!AH35=$BS$3,Исходн.данные.!AH35=$BS$5),"Да","Нет")</f>
        <v>Нет</v>
      </c>
      <c r="FM35" s="38" t="str">
        <f>IF(OR(Исходн.данные.!AH35=$BS$9,Исходн.данные.!AH35=$BS$10,Исходн.данные.!AH35=$BS$11,Исходн.данные.!AH35=$BS$12),"Да","Нет")</f>
        <v>Нет</v>
      </c>
      <c r="FN35" s="38" t="str">
        <f>IF(OR(Исходн.данные.!AH35=$BS$6,Исходн.данные.!AH35=$BP$3),"Да","Нет")</f>
        <v>Нет</v>
      </c>
      <c r="FO35" s="38" t="str">
        <f>IF(Исходн.данные.!AH35=$BQ$9,"Да","Нет")</f>
        <v>Нет</v>
      </c>
      <c r="FP35" s="38" t="str">
        <f>IF(OR(Исходн.данные.!AH35=$BS$8,Исходн.данные.!AH35=$BT$8),"Да","Нет")</f>
        <v>Нет</v>
      </c>
      <c r="FQ35" s="38" t="str">
        <f>IF(OR(Исходн.данные.!AH35=$BQ$7,Исходн.данные.!AH35=$BQ$8),"Да","Нет")</f>
        <v>Нет</v>
      </c>
      <c r="FR35" s="38" t="str">
        <f>IF(Исходн.данные.!AI35=$BU$9,"Да","Нет")</f>
        <v>Нет</v>
      </c>
      <c r="FS35" s="38" t="str">
        <f>IF(OR(Исходн.данные.!AH35=$BP$1,Исходн.данные.!AH35=$BP$2),"Да","Нет")</f>
        <v>Нет</v>
      </c>
      <c r="FT35" s="38" t="e">
        <f>IF((Исходн.данные.!K35*GO35*GS35*GW35+BL35*0.6+Исходн.данные.!Q35*4.5*0.275)&gt;90,"Да","Нет")</f>
        <v>#N/A</v>
      </c>
      <c r="FU35" s="38" t="e">
        <f>IF((Исходн.данные.!M35*GS35*GZ35+BM35*0.225)&gt;35,"Да","Нет")</f>
        <v>#N/A</v>
      </c>
      <c r="FV35" s="38" t="str">
        <f>IF(Исходн.данные.!O35&gt;175,"Да","Нет")</f>
        <v>Нет</v>
      </c>
      <c r="FW35" s="39" t="str">
        <f>IF(Исходн.данные.!I35&gt;5.5,"Да","Нет")</f>
        <v>Нет</v>
      </c>
      <c r="FX35" s="39" t="str">
        <f>IF(Исходн.данные.!J35&lt;2,"Да","Нет")</f>
        <v>Да</v>
      </c>
      <c r="FY35" s="39" t="e">
        <f>IF(HF35=$FY$16,0,Исходн.данные.!K35*GO35*GS35*GW35/HF35)</f>
        <v>#N/A</v>
      </c>
      <c r="FZ35" s="39" t="e">
        <f>Исходн.данные.!M35*GS35*GZ35/HG35</f>
        <v>#N/A</v>
      </c>
      <c r="GA35" s="39" t="e">
        <f>IF(K_Wyn=$FY$16,0,IF(Исходн.данные.!N35=Исходн.данные.!$L$10,Исходн.данные.!O35/1.1*GS35*HC35/HH35,IF(Исходн.данные.!N35=Исходн.данные.!$L$12,Исходн.данные.!O35/1.5*GS35*HC35/HH35,Исходн.данные.!O35*GS35*HC35/HH35)))</f>
        <v>#N/A</v>
      </c>
      <c r="GB35" s="39" t="e">
        <f>IF(HF35=$FY$16,0,((Исходн.данные.!Q35*N_Org+Исходн.данные.!R35*N_Sider+Исходн.данные.!S35*N_Soloma)*AO35+Расчет!BC35*VLOOKUP(Исходн.данные.!T35,Справ!$A$3:$O$57,15)*AO35+BB35*VLOOKUP(Исходн.данные.!T35,Справ!$A$3:$O$57,15)*AL35+(Исходн.данные.!V35*N_Rizotorf+Исходн.данные.!W35*N_Rizoagr))/HF35)</f>
        <v>#N/A</v>
      </c>
      <c r="GC35" s="39" t="e">
        <f>IF(HG35=$FY$16,0,((Исходн.данные.!Q35*Р_Org+Исходн.данные.!R35*P_Sider+Исходн.данные.!S35*P_Soloma)*AP35+Расчет!BC35*VLOOKUP(Исходн.данные.!T35,Справ!$A$3:$P$57,16)*AP35+BB35*VLOOKUP(Исходн.данные.!T35,Справ!$A$3:$P$57,16)*AM35)/HG35)</f>
        <v>#N/A</v>
      </c>
      <c r="GD35" s="39" t="e">
        <f>IF(HH35=$FY$16,0,((Исходн.данные.!Q35*К_Org+Исходн.данные.!R35*K_Sider+Исходн.данные.!S35*K_Soloma)*AQ35+Расчет!BC35*VLOOKUP(Исходн.данные.!T35,Справ!$A$3:$Q$57,17)*AQ35+BB35*VLOOKUP(Исходн.данные.!T35,Справ!$A$3:$Q$57,17)*AN35)/HH35)</f>
        <v>#N/A</v>
      </c>
      <c r="GE35" s="39" t="e">
        <f>IF(HF35=$FY$16,0,(Исходн.данные.!X35*AR35+Исходн.данные.!AA35*N_Org*AL35+Исходн.данные.!AB35*N_Sider*AL35+Исходн.данные.!AC35*N_Soloma*AL35)/HF35)</f>
        <v>#N/A</v>
      </c>
      <c r="GF35" s="39" t="e">
        <f>IF(HG35=$FY$16,0,(Исходн.данные.!Y35*AS35+Исходн.данные.!AA35*Р_Org*AM35+Исходн.данные.!AB35*P_Sider*AM35+Исходн.данные.!AC35*P_Soloma*AM35)/HG35)</f>
        <v>#N/A</v>
      </c>
      <c r="GG35" s="39" t="e">
        <f>IF(HH35=$FY$16,0,(Исходн.данные.!Z35*AT35+Исходн.данные.!AA35*К_Org*AN35+Исходн.данные.!AB35*K_Sider*AN35+Исходн.данные.!AC35*K_Soloma*AN35)/HH35)</f>
        <v>#N/A</v>
      </c>
      <c r="GH35" s="39" t="e">
        <f>Исходн.данные.!AD35*AU35/HF35</f>
        <v>#N/A</v>
      </c>
      <c r="GI35" s="39" t="e">
        <f>Исходн.данные.!AE35*AV35/HG35</f>
        <v>#N/A</v>
      </c>
      <c r="GJ35" s="39" t="e">
        <f>Исходн.данные.!AF35*AW35/HH35</f>
        <v>#N/A</v>
      </c>
      <c r="GK35" s="55">
        <f>Исходн.данные.!AK35</f>
        <v>0</v>
      </c>
      <c r="GL35" s="11" t="e">
        <f t="shared" si="113"/>
        <v>#N/A</v>
      </c>
      <c r="GM35" s="11" t="e">
        <f t="shared" si="114"/>
        <v>#N/A</v>
      </c>
      <c r="GN35" s="11" t="e">
        <f t="shared" si="115"/>
        <v>#N/A</v>
      </c>
      <c r="GO35" s="57">
        <f t="shared" si="116"/>
        <v>19</v>
      </c>
      <c r="GP35" s="55">
        <f>IF(OR(Исходн.данные.!F35=$CE$1,Исходн.данные.!F35=$CE$2,Исходн.данные.!F35=$CE$3,Исходн.данные.!F35=$CE$4,Исходн.данные.!F35=$CE$5),GQ35,GR35)</f>
        <v>19</v>
      </c>
      <c r="GQ35" s="55">
        <f>IF(Исходн.данные.!F35=$CE$1,28,IF(Исходн.данные.!F35=$CE$2,26,IF(Исходн.данные.!F35=$CE$3,24,IF(Исходн.данные.!F35=$CE$4,22,IF(Исходн.данные.!F35=$CE$5,20,GR35)))))</f>
        <v>19</v>
      </c>
      <c r="GR35" s="55">
        <f>IF(Исходн.данные.!F35=$CE$6,18,IF(Исходн.данные.!F35=$CE$7,16,IF(Исходн.данные.!F35=$CE$8,14,IF(Исходн.данные.!F35=$CE$9,13,IF(Исходн.данные.!F35=$CE$10,12,19)))))</f>
        <v>19</v>
      </c>
      <c r="GS35" s="55">
        <f>IF(Исходн.данные.!G35="Пес",0.035*(40+2*Исходн.данные.!H35),IF(Исходн.данные.!G35="Суп",0.0325*(40+2*Исходн.данные.!H35),0.03*(40+2*Исходн.данные.!H35)))</f>
        <v>1.2</v>
      </c>
      <c r="GT35" s="55">
        <f>IF(Исходн.данные.!H35&lt;23,2.6,IF(AND(Исходн.данные.!H35&gt;22,Исходн.данные.!H35&lt;26),3,IF(AND(Исходн.данные.!H35&gt;25,Исходн.данные.!H35&lt;29),3.4,3.6)))</f>
        <v>2.6</v>
      </c>
      <c r="GU35" s="55">
        <f>IF(Исходн.данные.!H35&lt;23,2.8,IF(AND(Исходн.данные.!H35&gt;22,Исходн.данные.!H35&lt;26),3.2,IF(AND(Исходн.данные.!H35&gt;25,Исходн.данные.!H35&lt;29),3.6,3.9)))</f>
        <v>2.8</v>
      </c>
      <c r="GV35" s="55">
        <f>IF(Исходн.данные.!H35&lt;23,3,IF(AND(Исходн.данные.!H35&gt;22,Исходн.данные.!H35&lt;26),3.5,IF(AND(Исходн.данные.!H35&gt;25,Исходн.данные.!H35&lt;29),3.9,4.2)))</f>
        <v>3</v>
      </c>
      <c r="GW35" s="55" t="e">
        <f>IF(Исходн.данные.!P35="Ум",GX35,GY35)</f>
        <v>#N/A</v>
      </c>
      <c r="GX35" s="55" t="e">
        <f>VLOOKUP(Исходн.данные.!AI35,Коэффициенты!$J$7:$L$13,2,FALSE)</f>
        <v>#N/A</v>
      </c>
      <c r="GY35" s="55" t="e">
        <f>VLOOKUP(Исходн.данные.!AI35,Коэффициенты!$J$7:$L$13,3,FALSE)</f>
        <v>#N/A</v>
      </c>
      <c r="GZ35" s="55" t="e">
        <f>(IF(Исходн.данные.!M35&lt;50,0.11*VLOOKUP(Исходн.данные.!AH35,Культуры.Информация,7,FALSE),IF(Исходн.данные.!M35&gt;250,0.05*VLOOKUP(Исходн.данные.!AH35,Культуры.Информация,7,FALSE),VLOOKUP(Исходн.данные.!AH35,Культуры.Информация,5,FALSE)/100*($GX$6+$GY$6*Исходн.данные.!M35))))*Расчет2!AI35</f>
        <v>#N/A</v>
      </c>
      <c r="HA35" s="211"/>
      <c r="HB35" s="211"/>
      <c r="HC35" s="55" t="e">
        <f>(IF(Исходн.данные.!O35&lt;80,0.2*VLOOKUP(Исходн.данные.!AH35,Культуры.Информация,8,FALSE),IF(Исходн.данные.!O35&gt;240,0.09*VLOOKUP(Исходн.данные.!AH35,Культуры.Информация,8,FALSE),VLOOKUP(Исходн.данные.!AH35,Культуры.Информация,6,FALSE)/100*($HB$6+$HC$6*Исходн.данные.!O35))))*Расчет2!AJ35</f>
        <v>#N/A</v>
      </c>
      <c r="HD35" s="55">
        <f>IF(Исходн.данные.!O35&gt;240,0.09,IF(Исходн.данные.!O35&lt;30,0.3,$HE$10+$HD$10*Исходн.данные.!O35))</f>
        <v>0.3</v>
      </c>
      <c r="HE35" s="55">
        <f>IF(Исходн.данные.!O35&gt;240,0.17,IF(Исходн.данные.!O35&lt;30,0.5,$HF$12+$HE$12*Исходн.данные.!O35))</f>
        <v>0.5</v>
      </c>
      <c r="HF35" s="55" t="e">
        <f>VLOOKUP(Исходн.данные.!AH35,Справ!$A$3:$D$58,2,FALSE)</f>
        <v>#N/A</v>
      </c>
      <c r="HG35" s="55" t="e">
        <f>VLOOKUP(Исходн.данные.!AH35,Справ!$A$3:$D$58,3,FALSE)</f>
        <v>#N/A</v>
      </c>
      <c r="HH35" s="55" t="e">
        <f>VLOOKUP(Исходн.данные.!AH35,Справ!$A$3:$D$58,4,FALSE)</f>
        <v>#N/A</v>
      </c>
      <c r="HI35" s="11" t="e">
        <f t="shared" si="117"/>
        <v>#N/A</v>
      </c>
      <c r="HJ35" s="11" t="e">
        <f t="shared" si="118"/>
        <v>#N/A</v>
      </c>
      <c r="HK35" s="11" t="e">
        <f t="shared" si="119"/>
        <v>#N/A</v>
      </c>
      <c r="HL35" s="55">
        <f>IF(OR(Исходн.данные.!G35="Глин",Исходн.данные.!G35="Т_суг"),1.1,IF(Исходн.данные.!G35="Ср_суг",1,1))</f>
        <v>1</v>
      </c>
      <c r="HM35" s="55">
        <f>IF(OR(Исходн.данные.!G35="Глин",Исходн.данные.!G35="Т_суг"),0.9,IF(Исходн.данные.!G35="Ср_суг",1,1.2))</f>
        <v>1.2</v>
      </c>
      <c r="HN35" s="11" t="e">
        <f t="shared" si="120"/>
        <v>#N/A</v>
      </c>
      <c r="HO35" s="11" t="e">
        <f t="shared" si="121"/>
        <v>#N/A</v>
      </c>
      <c r="HP35" s="11" t="e">
        <f t="shared" si="122"/>
        <v>#N/A</v>
      </c>
      <c r="HQ35" t="e">
        <f t="shared" si="123"/>
        <v>#N/A</v>
      </c>
      <c r="HR35" t="e">
        <f t="shared" si="124"/>
        <v>#N/A</v>
      </c>
      <c r="HS35" t="e">
        <f t="shared" si="125"/>
        <v>#N/A</v>
      </c>
      <c r="HT35" t="e">
        <f t="shared" si="21"/>
        <v>#N/A</v>
      </c>
      <c r="HU35" t="e">
        <f t="shared" si="22"/>
        <v>#N/A</v>
      </c>
      <c r="HV35" t="e">
        <f t="shared" si="23"/>
        <v>#N/A</v>
      </c>
      <c r="HW35" t="e">
        <f t="shared" si="24"/>
        <v>#N/A</v>
      </c>
      <c r="HX35" t="e">
        <f t="shared" si="25"/>
        <v>#N/A</v>
      </c>
      <c r="HY35" t="e">
        <f t="shared" si="26"/>
        <v>#N/A</v>
      </c>
      <c r="HZ35" s="55">
        <f>IF(OR(Исходн.данные.!AI35="Оз_Ч_П",Исходн.данные.!AI35="Оз_З_П",Исходн.данные.!AI35="Яр_зер"),12,30)</f>
        <v>30</v>
      </c>
      <c r="IA35" t="e">
        <f t="shared" si="126"/>
        <v>#N/A</v>
      </c>
      <c r="IB35" t="e">
        <f t="shared" si="127"/>
        <v>#N/A</v>
      </c>
      <c r="IC35" t="e">
        <f t="shared" si="128"/>
        <v>#N/A</v>
      </c>
      <c r="ID35" s="11" t="e">
        <f t="shared" si="129"/>
        <v>#N/A</v>
      </c>
      <c r="IE35" s="11" t="e">
        <f t="shared" si="130"/>
        <v>#N/A</v>
      </c>
      <c r="IF35" s="11" t="e">
        <f t="shared" si="131"/>
        <v>#N/A</v>
      </c>
    </row>
    <row r="36" spans="35:240" x14ac:dyDescent="0.2">
      <c r="AI36">
        <f>IF(Исходн.данные.!I36&gt;6,1,1.85-(0.148*Исходн.данные.!I36))</f>
        <v>1.85</v>
      </c>
      <c r="AJ36">
        <f>IF(Исходн.данные.!I36&gt;6,1,2.434-(0.246*Исходн.данные.!I36))</f>
        <v>2.4340000000000002</v>
      </c>
      <c r="AL36" s="148" t="b">
        <f>IF(Исходн.данные.!$P36="Ум",N_OrgUd_2g_um,IF(Исходн.данные.!$P36="Об",N_OrgUd_2g_ob))</f>
        <v>0</v>
      </c>
      <c r="AM36" s="148" t="b">
        <f>IF(Исходн.данные.!$P36="Ум",P_OrgUd_2g_um,IF(Исходн.данные.!$P36="Об",P_OrgUd_2g_ob))</f>
        <v>0</v>
      </c>
      <c r="AN36" s="148" t="b">
        <f>IF(Исходн.данные.!$P36="Ум",K_OrgUd_2g_um,IF(Исходн.данные.!$P36="Об",K_OrgUd_2g_ob))</f>
        <v>0</v>
      </c>
      <c r="AO36" s="148" t="b">
        <f>IF(Исходн.данные.!$P36="Ум",N_OrgUd_1g_um,IF(Исходн.данные.!$P36="Об",N_OrgUd_1g_ob))</f>
        <v>0</v>
      </c>
      <c r="AP36" s="148" t="b">
        <f>IF(Исходн.данные.!$P36="Ум",P_OrgUd_1g_um,IF(Исходн.данные.!$P36="Об",P_OrgUd_1g_ob))</f>
        <v>0</v>
      </c>
      <c r="AQ36" s="148" t="b">
        <f>IF(Исходн.данные.!$P36="Ум",K_OrgUd_1g_um,IF(Исходн.данные.!$P36="Об",K_OrgUd_1g_ob))</f>
        <v>0</v>
      </c>
      <c r="AR36" t="b">
        <f>IF(Исходн.данные.!$P36="Ум",N_MinUd_2g_um,IF(Исходн.данные.!$P36="Об",N_MinUd_2g_ob))</f>
        <v>0</v>
      </c>
      <c r="AS36" t="b">
        <f>IF(Исходн.данные.!$P36="Ум",P_MinUd_2g_um,IF(Исходн.данные.!$P36="Об",P_MinUd_2g_ob))</f>
        <v>0</v>
      </c>
      <c r="AT36" t="b">
        <f>IF(Исходн.данные.!$P36="Ум",K_MinUd_2g_um,IF(Исходн.данные.!$P36="Об",K_MinUd_2g_ob))</f>
        <v>0</v>
      </c>
      <c r="AU36" t="b">
        <f>IF(Исходн.данные.!$P36="Ум",N_MinUd_1g_um,IF(Исходн.данные.!$P36="Об",N_MinUd_1g_ob))</f>
        <v>0</v>
      </c>
      <c r="AV36" t="b">
        <f>IF(Исходн.данные.!P36="Ум",P_MinUd_1g_um,IF(Исходн.данные.!P36="Об",P_MinUd_1g_ob))</f>
        <v>0</v>
      </c>
      <c r="AW36" t="b">
        <f>IF(Исходн.данные.!P36="Ум",K_MinUd_1g_um,IF(Исходн.данные.!P36="Об",K_MinUd_1g_ob))</f>
        <v>0</v>
      </c>
      <c r="AY36" t="e">
        <f>VLOOKUP(Исходн.данные.!T36,Справ!$A$3:$N$57,12)</f>
        <v>#N/A</v>
      </c>
      <c r="AZ36" t="e">
        <f>VLOOKUP(Исходн.данные.!T36,Справ!$A$3:$N$57,13)</f>
        <v>#N/A</v>
      </c>
      <c r="BA36" t="e">
        <f>VLOOKUP(Исходн.данные.!T36,Справ!$A$3:$N$57,14)</f>
        <v>#N/A</v>
      </c>
      <c r="BB36">
        <f>IF(Исходн.данные.!AH36=0,0,25)</f>
        <v>0</v>
      </c>
      <c r="BC36" s="141">
        <f>IF(Исходн.данные.!AH36=0,0,IF(Исходн.данные.!T36=0,25,BD36))</f>
        <v>0</v>
      </c>
      <c r="BD36" s="168" t="e">
        <f>AY36+AZ36*Исходн.данные.!U36-POWER(BA36,2)*Исходн.данные.!U36</f>
        <v>#N/A</v>
      </c>
      <c r="BE3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6" s="25">
        <f>IF(Исходн.данные.!AH36=0,0,MIN(HN36:HP36))</f>
        <v>0</v>
      </c>
      <c r="BG36" s="9">
        <f>IF(Исходн.данные.!AH36=0,0,IF((HO36+10*0.25/HG36/HL36)&lt;17,17,HO36+10*0.25/HG36/HL36))</f>
        <v>0</v>
      </c>
      <c r="BH36" s="181">
        <f>IF(Исходн.данные.!AH36=0,0,HW36*HF36*HL36/AU36*AI36+Исходн.данные.!S36*10)</f>
        <v>0</v>
      </c>
      <c r="BI36" s="10"/>
      <c r="BJ36" s="182">
        <f>IF(Исходн.данные.!AH36=0,0,IF(HX36*HG36*HL36/AV36&lt;0,0,HX36*HG36*HL36/AV36*AJ36))</f>
        <v>0</v>
      </c>
      <c r="BK36" s="182">
        <f>IF(Исходн.данные.!AH36=0,0,HY36*HH36*HM36/AW36)</f>
        <v>0</v>
      </c>
      <c r="BL36" s="10">
        <f>IF(OR(Исходн.данные.!$AH36=$BP$1,Исходн.данные.!$AH36=$BP$2),0,IF(BH36&lt;0,0,IF(OR(Исходн.данные.!T36=Расчет!$BP$1,Исходн.данные.!T36=Расчет!$BP$2,Исходн.данные.!T36=Расчет!$BT$5,Исходн.данные.!T36=Расчет!$BT$6),BH36*0.5,IF(OR(Исходн.данные.!T36=Расчет!$BS$9,Исходн.данные.!T36=Расчет!$BS$10,Исходн.данные.!T36=Расчет!$BS$11,Исходн.данные.!T36=Расчет!$BS$12,Исходн.данные.!T36=Расчет!$BP$5),BH36*0.8,BH36))))</f>
        <v>0</v>
      </c>
      <c r="BM36" s="10">
        <f>IF(OR(Исходн.данные.!$AH36=$BP$1,Исходн.данные.!$AH36=$BP$2),0,IF(BJ36&lt;0,0,IF(Исходн.данные.!I36&lt;4.5,BJ36*1.2,IF(Исходн.данные.!I36&gt;5.1,BJ36,BJ36*((5.1-Исходн.данные.!I36)*0.333+1)))))</f>
        <v>0</v>
      </c>
      <c r="BN36" s="10">
        <f>IF(OR(Исходн.данные.!$AH36=$BP$1,Исходн.данные.!$AH36=$BP$2),60-Исходн.данные.!AF36,IF(BK36&lt;0,0,IF(Исходн.данные.!I36&lt;4.5,BK36*1.2,IF(Исходн.данные.!I36&gt;5.1,BK36,BK36*((5.1-Исходн.данные.!I36)*0.333+1)))))</f>
        <v>0</v>
      </c>
      <c r="BO36" s="9">
        <f>IF(BL36&lt;0,0,BL36*Исходн.данные.!$AJ36/1000)</f>
        <v>0</v>
      </c>
      <c r="BP36" s="9">
        <f>IF(BM36&lt;0,0,BM36*Исходн.данные.!$AJ36/1000)</f>
        <v>0</v>
      </c>
      <c r="BQ36" s="9">
        <f>IF(BN36&lt;0,0,BN36*Исходн.данные.!$AJ36/1000)</f>
        <v>0</v>
      </c>
      <c r="BR36" s="9">
        <f t="shared" si="81"/>
        <v>0</v>
      </c>
      <c r="BS36" s="10" t="str">
        <f t="shared" si="82"/>
        <v>Аммофос 12:52:00</v>
      </c>
      <c r="BT36" s="10" t="str">
        <f t="shared" si="83"/>
        <v>Аммофос 12:52:00</v>
      </c>
      <c r="BU36" s="10" t="str">
        <f t="shared" si="84"/>
        <v>Диаммофоска</v>
      </c>
      <c r="BV36" s="10">
        <f t="shared" si="85"/>
        <v>0</v>
      </c>
      <c r="BW36" s="10"/>
      <c r="BX36" s="10"/>
      <c r="BY36" s="9">
        <f>IF(BL36&lt;0,0,IF(OR(Исходн.данные.!AI36=Расчет!$BU$6,Исходн.данные.!AI36=Расчет!$BU$7),Расчет!BV36,IF(Исходн.данные.!$AG36=$BV$11,BL36,IF(OR(Исходн.данные.!$AH36=$BQ$7,Исходн.данные.!$AH36=$BQ$8),CB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0,IF(Исходн.данные.!$AI36=$BU$11,"Нет",IF(BL36&gt;30,30,BL36)))))))</f>
        <v>0</v>
      </c>
      <c r="BZ36" s="9">
        <f>IF(AND(Исходн.данные.!$AG36=$BV$11,BM36&lt;10),10,IF(Исходн.данные.!$AG36=$BV$11,BM36,IF(OR(Исходн.данные.!$AH36=$BQ$7,Исходн.данные.!$AH36=$BQ$8),CC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10,IF(Исходн.данные.!$AI36=$BU$11,"Нет",IF(BM36&gt;60,60,IF(BM36&lt;10,10,BM36)))))))</f>
        <v>10</v>
      </c>
      <c r="CA36" s="39">
        <f>IF(BN36&lt;0,0,IF(Исходн.данные.!$AG36=$BV$11,BN36,IF(OR(Исходн.данные.!$AH36=$BQ$7,Исходн.данные.!$AH36=$BQ$8),CD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0,IF(Исходн.данные.!$AI36=$BU$11,"Нет",IF(BN36&gt;30,30,BN36))))))</f>
        <v>0</v>
      </c>
      <c r="CB36" s="9">
        <f t="shared" si="86"/>
        <v>0</v>
      </c>
      <c r="CC36" s="9">
        <f t="shared" si="87"/>
        <v>0</v>
      </c>
      <c r="CD36" s="9">
        <f t="shared" si="88"/>
        <v>0</v>
      </c>
      <c r="CE36" s="12">
        <f t="shared" si="89"/>
        <v>10</v>
      </c>
      <c r="CF36" s="9">
        <f t="shared" si="90"/>
        <v>0</v>
      </c>
      <c r="CG36" s="9" t="s">
        <v>231</v>
      </c>
      <c r="CH36" s="132" t="str">
        <f>IF(Исходн.данные.!AP36=Расчет!$CI$16,"Нет",IF(Исходн.данные.!AL36&gt;0,Исходн.данные.!AL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BH$4,IF(OR(Исходн.данные.!AI36=Исходн.данные.!$AI$6,Исходн.данные.!AI36=Исходн.данные.!$AI$7),Расчет!BS36,IF(AND($CF36=0,$CE36&gt;0),EV36,ER36)))))</f>
        <v>Аммофос 12:52:00</v>
      </c>
      <c r="CI36" s="274">
        <f>IF(Расчет!$CH36="Нет","Нет",IF(Исходн.данные.!$AL36&gt;0,VLOOKUP(Расчет!$CH36,АшламаДВ_Irekle,2,FALSE),VLOOKUP(Расчет!$CH36,АшламаДВ_Gomumy,2,FALSE)))</f>
        <v>0.12</v>
      </c>
      <c r="CJ36" s="274">
        <f>IF(Расчет!$CH36="Нет","Нет",IF(Исходн.данные.!$AL36&gt;0,VLOOKUP(Расчет!$CH36,АшламаДВ_Irekle,3,FALSE),VLOOKUP(Расчет!$CH36,АшламаДВ_Gomumy,3,FALSE)))</f>
        <v>0.52</v>
      </c>
      <c r="CK36" s="274">
        <f>IF(Расчет!$CH36="Нет","Нет",IF(Исходн.данные.!$AL36&gt;0,VLOOKUP(Расчет!$CH36,АшламаДВ_Irekle,4,FALSE),VLOOKUP(Расчет!$CH36,АшламаДВ_Gomumy,4,FALSE)))</f>
        <v>0</v>
      </c>
      <c r="CL36" s="70"/>
      <c r="CM36" s="70"/>
      <c r="CN36" s="70"/>
      <c r="CO36" s="70"/>
      <c r="CP36" s="70"/>
      <c r="CQ36" s="70"/>
      <c r="CR36" s="10">
        <f t="shared" si="91"/>
        <v>0</v>
      </c>
      <c r="CS36" s="10">
        <f t="shared" si="92"/>
        <v>19.23076923076923</v>
      </c>
      <c r="CT36" s="10">
        <f t="shared" si="93"/>
        <v>0</v>
      </c>
      <c r="CU36" s="39">
        <f>IF($CH36="Нет",0,IF(CI36=0,30/MIN(CJ36:CK36),IF(Исходн.данные.!$AG36=$BV$11,CR36,IF(OR(Исходн.данные.!$AH36=$BQ$7,Исходн.данные.!$AH36=$BQ$8),90/CI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0,IF(Исходн.данные.!$AI36=$BU$11,"Нет",30/CI36))))))</f>
        <v>250</v>
      </c>
      <c r="CV36" s="39">
        <f>IF($CH36="Нет",0,IF(Исходн.данные.!AH36=0,0,IF(CJ36=0,60/MIN(CI36,CK36),IF(Исходн.данные.!$AG36=$BV$11,CS36,IF(OR(Исходн.данные.!$AH36=$BQ$7,Исходн.данные.!$AH36=$BQ$8),90/CJ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10/CJ36,IF(Исходн.данные.!$AI36=$BU$11,"Нет",60/CJ36)))))))</f>
        <v>0</v>
      </c>
      <c r="CW36" s="39">
        <f>IF($CH36="Нет",0,IF(Исходн.данные.!AH36=0,0,IF(CK36=0,30/MIN(CI36:CJ36),IF(Исходн.данные.!$AG36=$BV$11,CT36,IF(OR(Исходн.данные.!$AH36=$BQ$7,Исходн.данные.!$AH36=$BQ$8),90/CK36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0,IF(Исходн.данные.!$AI36=$BU$11,"Нет",30/CK36)))))))</f>
        <v>0</v>
      </c>
      <c r="CX36" s="133">
        <f>IF(Исходн.данные.!$AG36=$BV$11,MAX(CU36:CW36),IF(OR(Исходн.данные.!$AH36=$BS$8,Исходн.данные.!$AH36=$BQ$9,Исходн.данные.!$AH36=$BQ$10,Исходн.данные.!$AH36=$BQ$11,Исходн.данные.!$AH36=$BQ$12,Исходн.данные.!$AH36=$BP$3,Исходн.данные.!$AH36=$BT$8,$FM36="Да"),CV36,MIN(CU36:CW36)))</f>
        <v>0</v>
      </c>
      <c r="CY36" s="133">
        <f>IF(Исходн.данные.!AH36=0,0,IF(CR36&gt;$CX36,$CX36,CR36))</f>
        <v>0</v>
      </c>
      <c r="CZ36" s="133">
        <f>IF(Исходн.данные.!AH36=0,0,IF(CS36&gt;$CX36,$CX36,CS36))</f>
        <v>0</v>
      </c>
      <c r="DA36" s="133">
        <f>IF(Исходн.данные.!AH36=0,0,IF(CT36&gt;$CX36,$CX36,CT36))</f>
        <v>0</v>
      </c>
      <c r="DB36" s="10">
        <f t="shared" si="94"/>
        <v>0</v>
      </c>
      <c r="DC36" s="39">
        <f>DB36*Исходн.данные.!AJ36/1000</f>
        <v>0</v>
      </c>
      <c r="DD36" s="71">
        <f t="shared" si="95"/>
        <v>0</v>
      </c>
      <c r="DE36" s="9">
        <f t="shared" si="96"/>
        <v>0</v>
      </c>
      <c r="DF36" s="9">
        <f t="shared" si="97"/>
        <v>0</v>
      </c>
      <c r="DG36" s="39">
        <f>IF(BL36&lt;0,0,IF($CH36="Нет",BL36,IF(OR(Исходн.данные.!$AH36=$BP$1,Исходн.данные.!$AH36=$BP$2),0,IF(Исходн.данные.!AI36=$BU$11,BL36,IF(BL36-DD36&lt;0,0,BL36-DD36)))))</f>
        <v>0</v>
      </c>
      <c r="DH36" s="39">
        <f>IF(BM36&lt;0,0,IF($CH36="Нет",BM36,IF(OR(Исходн.данные.!$AH36=$BP$1,Исходн.данные.!$AH36=$BP$2),0,IF(Исходн.данные.!AJ36=$BU$11,BM36,IF(BM36-DE36&lt;0,0,BM36-DE36)))))</f>
        <v>0</v>
      </c>
      <c r="DI36" s="39">
        <f>IF(BN36&lt;0,0,IF($CH36="Нет",BN36,IF(OR(Исходн.данные.!$AH36=$BP$1,Исходн.данные.!$AH36=$BP$2),0,IF(Исходн.данные.!AK36=$BU$11,BN36,IF(BN36-DF36&lt;0,0,BN36-DF36)))))</f>
        <v>0</v>
      </c>
      <c r="DJ36" s="12">
        <f t="shared" si="98"/>
        <v>0</v>
      </c>
      <c r="DK36" s="9">
        <f t="shared" si="99"/>
        <v>0</v>
      </c>
      <c r="DL36" s="39">
        <f>IF(Исходн.данные.!AM36&gt;0,Исходн.данные.!AM36,IF(EG36&gt;0,$BH$10,0))</f>
        <v>0</v>
      </c>
      <c r="DM36" s="186">
        <f>IF($DL36=0,0,IF(Исходн.данные.!AM36&gt;0,VLOOKUP($DL36,АшламаДВ_Irekle,2,FALSE),VLOOKUP($DL36,АшламаДВ_Gomumy,2,FALSE)))</f>
        <v>0</v>
      </c>
      <c r="DN36" s="10">
        <f t="shared" si="46"/>
        <v>0</v>
      </c>
      <c r="DO36" s="9" t="str">
        <f>IF(Исходн.данные.!AN36&gt;0,Исходн.данные.!AN36,Удобрения!$B$37 )</f>
        <v>Хлор.калий</v>
      </c>
      <c r="DP36" s="9">
        <f>IF(Исходн.данные.!AN36&gt;0,VLOOKUP(Исходн.данные.!AN36,АшламаДВ_Irekle,4,FALSE),VLOOKUP(DO36,АшламаДВ_Gomumy,4,FALSE))</f>
        <v>0.6</v>
      </c>
      <c r="DQ36" s="10">
        <f t="shared" si="47"/>
        <v>0</v>
      </c>
      <c r="DR36" s="132" t="str">
        <f>IF(Исходн.данные.!AO36&gt;0,Исходн.данные.!AO36,IF(DH36=0,BS$17,IF(AND($DK36=0,$DJ36&gt;0),EJ36,EN36)))</f>
        <v>Нет</v>
      </c>
      <c r="DS36" s="70" t="str">
        <f>IF($DR36="Нет","Нет",IF(Исходн.данные.!$AO36&gt;0,VLOOKUP($DR36,АшламаДВ_Irekle,2,FALSE),VLOOKUP($DR36,АшламаДВ_Gomumy,2,FALSE)))</f>
        <v>Нет</v>
      </c>
      <c r="DT36" s="70" t="str">
        <f>IF($DR36="Нет","Нет",IF(Исходн.данные.!$AO36&gt;0,VLOOKUP($DR36,АшламаДВ_Irekle,3,FALSE),VLOOKUP($DR36,АшламаДВ_Gomumy,3,FALSE)))</f>
        <v>Нет</v>
      </c>
      <c r="DU36" s="70" t="str">
        <f>IF($DR36="Нет","Нет",IF(Исходн.данные.!$AO36&gt;0,VLOOKUP($DR36,АшламаДВ_Irekle,4,FALSE),VLOOKUP($DR36,АшламаДВ_Gomumy,4,FALSE)))</f>
        <v>Нет</v>
      </c>
      <c r="DV36" s="70"/>
      <c r="DW36" s="70"/>
      <c r="DX36" s="70"/>
      <c r="DY36" s="10">
        <f t="shared" si="100"/>
        <v>0</v>
      </c>
      <c r="DZ36" s="10">
        <f t="shared" si="101"/>
        <v>0</v>
      </c>
      <c r="EA36" s="10">
        <f t="shared" si="102"/>
        <v>0</v>
      </c>
      <c r="EB36" s="10">
        <f t="shared" si="103"/>
        <v>0</v>
      </c>
      <c r="EC36" s="10">
        <f t="shared" si="104"/>
        <v>0</v>
      </c>
      <c r="ED36" s="10">
        <f t="shared" si="105"/>
        <v>0</v>
      </c>
      <c r="EE36" s="10">
        <f t="shared" si="106"/>
        <v>0</v>
      </c>
      <c r="EF36" s="39">
        <f>EB36*Исходн.данные.!AJ36/1000</f>
        <v>0</v>
      </c>
      <c r="EG36" s="9">
        <f t="shared" si="107"/>
        <v>0</v>
      </c>
      <c r="EH36" s="9">
        <f t="shared" si="108"/>
        <v>0</v>
      </c>
      <c r="EI36" s="39" t="e">
        <f t="shared" si="7"/>
        <v>#DIV/0!</v>
      </c>
      <c r="EJ36" s="9" t="str">
        <f t="shared" si="8"/>
        <v>Азопреципитат</v>
      </c>
      <c r="EK36" s="12">
        <f t="shared" si="9"/>
        <v>0.26</v>
      </c>
      <c r="EL36" s="12">
        <f t="shared" si="10"/>
        <v>0.13</v>
      </c>
      <c r="EM36" s="12">
        <f t="shared" si="11"/>
        <v>0</v>
      </c>
      <c r="EN36" s="12" t="str">
        <f t="shared" si="57"/>
        <v>Нет</v>
      </c>
      <c r="EO36" s="12">
        <f t="shared" si="12"/>
        <v>0</v>
      </c>
      <c r="EP36" s="12">
        <f t="shared" si="13"/>
        <v>0</v>
      </c>
      <c r="EQ36" s="12">
        <f t="shared" si="14"/>
        <v>0</v>
      </c>
      <c r="ER36" s="12" t="str">
        <f t="shared" si="109"/>
        <v>Диаммофоска</v>
      </c>
      <c r="ES36" s="12">
        <f t="shared" si="15"/>
        <v>0.1</v>
      </c>
      <c r="ET36" s="12">
        <f t="shared" si="16"/>
        <v>0.26</v>
      </c>
      <c r="EU36" s="12">
        <f t="shared" si="17"/>
        <v>0.26</v>
      </c>
      <c r="EV36" s="12" t="str">
        <f t="shared" si="110"/>
        <v>Аммофос 12:52:00</v>
      </c>
      <c r="EW36" s="12" t="str">
        <f t="shared" si="111"/>
        <v>Кемира Свекловичное-6</v>
      </c>
      <c r="EX36" s="12">
        <f t="shared" si="18"/>
        <v>0.16</v>
      </c>
      <c r="EY36" s="12">
        <f t="shared" si="19"/>
        <v>0.12</v>
      </c>
      <c r="EZ36" s="12">
        <f t="shared" si="20"/>
        <v>0.17</v>
      </c>
      <c r="FA36" s="38" t="e">
        <f>IF(AND(OR(FJ36=$FD$1,FM36=$FD$1,FO36=$FD$1,FQ36=$FD$1,FS36=$FD$1),FD36=$FD$1,Исходн.данные.!J36&lt;2,FU36=$FD$1),"Бор,Кобальт",IF(AND(FO36=$FD$1,FH36=$FD$1,Исходн.данные.!J36&lt;2,FU36=$FD$1),"Бор,Кобальт",IF(AND(OR(FJ36=$FD$1,FM36=$FD$1,FQ36=$FD$1),FE36=$FD$1,Исходн.данные.!J36&lt;2,FT36=$FD$1,FU36=$FD$1),"Бор,Медь,Цинк",IF(AND(OR(FJ36=$FD$1,FR36="Да"),FI36="Да",Исходн.данные.!J36&lt;2,FT36="Да",FU36="Да"),"Бор,Цинк,Медь",IF(AND(OR(FM36="Да",FQ36="Да"),FI36="Да",Исходн.данные.!J36&lt;2,FT36="Да",FU36="Да"),"Бор,Цинк",IF(AND(FN36="Да",OR(FD36="Да",FE36="Да")),"Бор",FB36))))))</f>
        <v>#N/A</v>
      </c>
      <c r="FB36" s="134" t="e">
        <f>IF(AND(OR(FD36="Да",FE36="Да",FF36="Да",FG36="Да",FH36="Да"),FO36="Да"),"Бор",IF(AND(FP36="Да",OR(FD36="Да",FE36="Да",FI36="Да")),"Бор",IF(AND(FS36="Да",FE36="Да"),"Бор,Медь",IF(AND(OR(FJ36="Да",FK36="Да",FL36="Да"),FE36="Да",Исходн.данные.!I36&lt;5,FT36="Да",FU36="Да"),"Молибден,Цинк",IF(AND(FM36="Да",OR(FE36="Да",FF36="Да",FG36="Да",FH36="Да",FI36="Да")),"Молибден,Цинк",IF(AND(OR(FJ36="Да",FK36="Да",FL36="Да",FM36="Да",FQ36="Да"),OR(FE36="Да",FF36="Да"),FT36="Да",FU36="Да",Исходн.данные.!I36&gt;5.5),"Медь,Цинк",FC36))))))</f>
        <v>#N/A</v>
      </c>
      <c r="FC36" s="23" t="e">
        <f t="shared" si="112"/>
        <v>#N/A</v>
      </c>
      <c r="FD36" s="38" t="str">
        <f>IF(OR(Исходн.данные.!F36=$CC$1,Исходн.данные.!F36=$CC$2,Исходн.данные.!F36=$CC$3,Исходн.данные.!F36=$CC$4),"Да","Нет")</f>
        <v>Нет</v>
      </c>
      <c r="FE36" s="38" t="str">
        <f>IF(Исходн.данные.!F36=$CC$5,"Да","Нет")</f>
        <v>Нет</v>
      </c>
      <c r="FF36" s="38" t="str">
        <f>IF(OR(Исходн.данные.!F36=$CC$6,Исходн.данные.!F36=$CC$7),"Да","Нет")</f>
        <v>Нет</v>
      </c>
      <c r="FG36" s="38" t="str">
        <f>IF(OR(Исходн.данные.!F36=$CC$8,Исходн.данные.!F36=$CC$9),"Да","Нет")</f>
        <v>Нет</v>
      </c>
      <c r="FH36" s="38" t="str">
        <f>IF(Исходн.данные.!F36=$CC$10,"Да","Нет")</f>
        <v>Нет</v>
      </c>
      <c r="FI36" s="38" t="str">
        <f>IF(OR(Исходн.данные.!F36=$CC$11,Исходн.данные.!F36=$CC$12),"Да","Нет")</f>
        <v>Нет</v>
      </c>
      <c r="FJ36" s="38" t="str">
        <f>IF(OR(Исходн.данные.!AH36=$BS$1,Исходн.данные.!AH36=$BQ$11,Исходн.данные.!AH36=$BQ$12),"Да","Нет")</f>
        <v>Нет</v>
      </c>
      <c r="FK36" s="38" t="str">
        <f>IF(OR(Исходн.данные.!AH36=$BS$2,Исходн.данные.!AH36=$BS$4),"Да","Нет")</f>
        <v>Нет</v>
      </c>
      <c r="FL36" s="38" t="str">
        <f>IF(OR(Исходн.данные.!AH36=$BS$3,Исходн.данные.!AH36=$BS$5),"Да","Нет")</f>
        <v>Нет</v>
      </c>
      <c r="FM36" s="38" t="str">
        <f>IF(OR(Исходн.данные.!AH36=$BS$9,Исходн.данные.!AH36=$BS$10,Исходн.данные.!AH36=$BS$11,Исходн.данные.!AH36=$BS$12),"Да","Нет")</f>
        <v>Нет</v>
      </c>
      <c r="FN36" s="38" t="str">
        <f>IF(OR(Исходн.данные.!AH36=$BS$6,Исходн.данные.!AH36=$BP$3),"Да","Нет")</f>
        <v>Нет</v>
      </c>
      <c r="FO36" s="38" t="str">
        <f>IF(Исходн.данные.!AH36=$BQ$9,"Да","Нет")</f>
        <v>Нет</v>
      </c>
      <c r="FP36" s="38" t="str">
        <f>IF(OR(Исходн.данные.!AH36=$BS$8,Исходн.данные.!AH36=$BT$8),"Да","Нет")</f>
        <v>Нет</v>
      </c>
      <c r="FQ36" s="38" t="str">
        <f>IF(OR(Исходн.данные.!AH36=$BQ$7,Исходн.данные.!AH36=$BQ$8),"Да","Нет")</f>
        <v>Нет</v>
      </c>
      <c r="FR36" s="38" t="str">
        <f>IF(Исходн.данные.!AI36=$BU$9,"Да","Нет")</f>
        <v>Нет</v>
      </c>
      <c r="FS36" s="38" t="str">
        <f>IF(OR(Исходн.данные.!AH36=$BP$1,Исходн.данные.!AH36=$BP$2),"Да","Нет")</f>
        <v>Нет</v>
      </c>
      <c r="FT36" s="38" t="e">
        <f>IF((Исходн.данные.!K36*GO36*GS36*GW36+BL36*0.6+Исходн.данные.!Q36*4.5*0.275)&gt;90,"Да","Нет")</f>
        <v>#N/A</v>
      </c>
      <c r="FU36" s="38" t="e">
        <f>IF((Исходн.данные.!M36*GS36*GZ36+BM36*0.225)&gt;35,"Да","Нет")</f>
        <v>#N/A</v>
      </c>
      <c r="FV36" s="38" t="str">
        <f>IF(Исходн.данные.!O36&gt;175,"Да","Нет")</f>
        <v>Нет</v>
      </c>
      <c r="FW36" s="39" t="str">
        <f>IF(Исходн.данные.!I36&gt;5.5,"Да","Нет")</f>
        <v>Нет</v>
      </c>
      <c r="FX36" s="39" t="str">
        <f>IF(Исходн.данные.!J36&lt;2,"Да","Нет")</f>
        <v>Да</v>
      </c>
      <c r="FY36" s="39" t="e">
        <f>IF(HF36=$FY$16,0,Исходн.данные.!K36*GO36*GS36*GW36/HF36)</f>
        <v>#N/A</v>
      </c>
      <c r="FZ36" s="39" t="e">
        <f>Исходн.данные.!M36*GS36*GZ36/HG36</f>
        <v>#N/A</v>
      </c>
      <c r="GA36" s="39" t="e">
        <f>IF(K_Wyn=$FY$16,0,IF(Исходн.данные.!N36=Исходн.данные.!$L$10,Исходн.данные.!O36/1.1*GS36*HC36/HH36,IF(Исходн.данные.!N36=Исходн.данные.!$L$12,Исходн.данные.!O36/1.5*GS36*HC36/HH36,Исходн.данные.!O36*GS36*HC36/HH36)))</f>
        <v>#N/A</v>
      </c>
      <c r="GB36" s="39" t="e">
        <f>IF(HF36=$FY$16,0,((Исходн.данные.!Q36*N_Org+Исходн.данные.!R36*N_Sider+Исходн.данные.!S36*N_Soloma)*AO36+Расчет!BC36*VLOOKUP(Исходн.данные.!T36,Справ!$A$3:$O$57,15)*AO36+BB36*VLOOKUP(Исходн.данные.!T36,Справ!$A$3:$O$57,15)*AL36+(Исходн.данные.!V36*N_Rizotorf+Исходн.данные.!W36*N_Rizoagr))/HF36)</f>
        <v>#N/A</v>
      </c>
      <c r="GC36" s="39" t="e">
        <f>IF(HG36=$FY$16,0,((Исходн.данные.!Q36*Р_Org+Исходн.данные.!R36*P_Sider+Исходн.данные.!S36*P_Soloma)*AP36+Расчет!BC36*VLOOKUP(Исходн.данные.!T36,Справ!$A$3:$P$57,16)*AP36+BB36*VLOOKUP(Исходн.данные.!T36,Справ!$A$3:$P$57,16)*AM36)/HG36)</f>
        <v>#N/A</v>
      </c>
      <c r="GD36" s="39" t="e">
        <f>IF(HH36=$FY$16,0,((Исходн.данные.!Q36*К_Org+Исходн.данные.!R36*K_Sider+Исходн.данные.!S36*K_Soloma)*AQ36+Расчет!BC36*VLOOKUP(Исходн.данные.!T36,Справ!$A$3:$Q$57,17)*AQ36+BB36*VLOOKUP(Исходн.данные.!T36,Справ!$A$3:$Q$57,17)*AN36)/HH36)</f>
        <v>#N/A</v>
      </c>
      <c r="GE36" s="39" t="e">
        <f>IF(HF36=$FY$16,0,(Исходн.данные.!X36*AR36+Исходн.данные.!AA36*N_Org*AL36+Исходн.данные.!AB36*N_Sider*AL36+Исходн.данные.!AC36*N_Soloma*AL36)/HF36)</f>
        <v>#N/A</v>
      </c>
      <c r="GF36" s="39" t="e">
        <f>IF(HG36=$FY$16,0,(Исходн.данные.!Y36*AS36+Исходн.данные.!AA36*Р_Org*AM36+Исходн.данные.!AB36*P_Sider*AM36+Исходн.данные.!AC36*P_Soloma*AM36)/HG36)</f>
        <v>#N/A</v>
      </c>
      <c r="GG36" s="39" t="e">
        <f>IF(HH36=$FY$16,0,(Исходн.данные.!Z36*AT36+Исходн.данные.!AA36*К_Org*AN36+Исходн.данные.!AB36*K_Sider*AN36+Исходн.данные.!AC36*K_Soloma*AN36)/HH36)</f>
        <v>#N/A</v>
      </c>
      <c r="GH36" s="39" t="e">
        <f>Исходн.данные.!AD36*AU36/HF36</f>
        <v>#N/A</v>
      </c>
      <c r="GI36" s="39" t="e">
        <f>Исходн.данные.!AE36*AV36/HG36</f>
        <v>#N/A</v>
      </c>
      <c r="GJ36" s="39" t="e">
        <f>Исходн.данные.!AF36*AW36/HH36</f>
        <v>#N/A</v>
      </c>
      <c r="GK36" s="55">
        <f>Исходн.данные.!AK36</f>
        <v>0</v>
      </c>
      <c r="GL36" s="11" t="e">
        <f t="shared" si="113"/>
        <v>#N/A</v>
      </c>
      <c r="GM36" s="11" t="e">
        <f t="shared" si="114"/>
        <v>#N/A</v>
      </c>
      <c r="GN36" s="11" t="e">
        <f t="shared" si="115"/>
        <v>#N/A</v>
      </c>
      <c r="GO36" s="57">
        <f t="shared" si="116"/>
        <v>19</v>
      </c>
      <c r="GP36" s="55">
        <f>IF(OR(Исходн.данные.!F36=$CE$1,Исходн.данные.!F36=$CE$2,Исходн.данные.!F36=$CE$3,Исходн.данные.!F36=$CE$4,Исходн.данные.!F36=$CE$5),GQ36,GR36)</f>
        <v>19</v>
      </c>
      <c r="GQ36" s="55">
        <f>IF(Исходн.данные.!F36=$CE$1,28,IF(Исходн.данные.!F36=$CE$2,26,IF(Исходн.данные.!F36=$CE$3,24,IF(Исходн.данные.!F36=$CE$4,22,IF(Исходн.данные.!F36=$CE$5,20,GR36)))))</f>
        <v>19</v>
      </c>
      <c r="GR36" s="55">
        <f>IF(Исходн.данные.!F36=$CE$6,18,IF(Исходн.данные.!F36=$CE$7,16,IF(Исходн.данные.!F36=$CE$8,14,IF(Исходн.данные.!F36=$CE$9,13,IF(Исходн.данные.!F36=$CE$10,12,19)))))</f>
        <v>19</v>
      </c>
      <c r="GS36" s="55">
        <f>IF(Исходн.данные.!G36="Пес",0.035*(40+2*Исходн.данные.!H36),IF(Исходн.данные.!G36="Суп",0.0325*(40+2*Исходн.данные.!H36),0.03*(40+2*Исходн.данные.!H36)))</f>
        <v>1.2</v>
      </c>
      <c r="GT36" s="55">
        <f>IF(Исходн.данные.!H36&lt;23,2.6,IF(AND(Исходн.данные.!H36&gt;22,Исходн.данные.!H36&lt;26),3,IF(AND(Исходн.данные.!H36&gt;25,Исходн.данные.!H36&lt;29),3.4,3.6)))</f>
        <v>2.6</v>
      </c>
      <c r="GU36" s="55">
        <f>IF(Исходн.данные.!H36&lt;23,2.8,IF(AND(Исходн.данные.!H36&gt;22,Исходн.данные.!H36&lt;26),3.2,IF(AND(Исходн.данные.!H36&gt;25,Исходн.данные.!H36&lt;29),3.6,3.9)))</f>
        <v>2.8</v>
      </c>
      <c r="GV36" s="55">
        <f>IF(Исходн.данные.!H36&lt;23,3,IF(AND(Исходн.данные.!H36&gt;22,Исходн.данные.!H36&lt;26),3.5,IF(AND(Исходн.данные.!H36&gt;25,Исходн.данные.!H36&lt;29),3.9,4.2)))</f>
        <v>3</v>
      </c>
      <c r="GW36" s="55" t="e">
        <f>IF(Исходн.данные.!P36="Ум",GX36,GY36)</f>
        <v>#N/A</v>
      </c>
      <c r="GX36" s="55" t="e">
        <f>VLOOKUP(Исходн.данные.!AI36,Коэффициенты!$J$7:$L$13,2,FALSE)</f>
        <v>#N/A</v>
      </c>
      <c r="GY36" s="55" t="e">
        <f>VLOOKUP(Исходн.данные.!AI36,Коэффициенты!$J$7:$L$13,3,FALSE)</f>
        <v>#N/A</v>
      </c>
      <c r="GZ36" s="55" t="e">
        <f>(IF(Исходн.данные.!M36&lt;50,0.11*VLOOKUP(Исходн.данные.!AH36,Культуры.Информация,7,FALSE),IF(Исходн.данные.!M36&gt;250,0.05*VLOOKUP(Исходн.данные.!AH36,Культуры.Информация,7,FALSE),VLOOKUP(Исходн.данные.!AH36,Культуры.Информация,5,FALSE)/100*($GX$6+$GY$6*Исходн.данные.!M36))))*Расчет2!AI36</f>
        <v>#N/A</v>
      </c>
      <c r="HA36" s="211"/>
      <c r="HB36" s="211"/>
      <c r="HC36" s="55" t="e">
        <f>(IF(Исходн.данные.!O36&lt;80,0.2*VLOOKUP(Исходн.данные.!AH36,Культуры.Информация,8,FALSE),IF(Исходн.данные.!O36&gt;240,0.09*VLOOKUP(Исходн.данные.!AH36,Культуры.Информация,8,FALSE),VLOOKUP(Исходн.данные.!AH36,Культуры.Информация,6,FALSE)/100*($HB$6+$HC$6*Исходн.данные.!O36))))*Расчет2!AJ36</f>
        <v>#N/A</v>
      </c>
      <c r="HD36" s="55">
        <f>IF(Исходн.данные.!O36&gt;240,0.09,IF(Исходн.данные.!O36&lt;30,0.3,$HE$10+$HD$10*Исходн.данные.!O36))</f>
        <v>0.3</v>
      </c>
      <c r="HE36" s="55">
        <f>IF(Исходн.данные.!O36&gt;240,0.17,IF(Исходн.данные.!O36&lt;30,0.5,$HF$12+$HE$12*Исходн.данные.!O36))</f>
        <v>0.5</v>
      </c>
      <c r="HF36" s="55" t="e">
        <f>VLOOKUP(Исходн.данные.!AH36,Справ!$A$3:$D$58,2,FALSE)</f>
        <v>#N/A</v>
      </c>
      <c r="HG36" s="55" t="e">
        <f>VLOOKUP(Исходн.данные.!AH36,Справ!$A$3:$D$58,3,FALSE)</f>
        <v>#N/A</v>
      </c>
      <c r="HH36" s="55" t="e">
        <f>VLOOKUP(Исходн.данные.!AH36,Справ!$A$3:$D$58,4,FALSE)</f>
        <v>#N/A</v>
      </c>
      <c r="HI36" s="11" t="e">
        <f t="shared" si="117"/>
        <v>#N/A</v>
      </c>
      <c r="HJ36" s="11" t="e">
        <f t="shared" si="118"/>
        <v>#N/A</v>
      </c>
      <c r="HK36" s="11" t="e">
        <f t="shared" si="119"/>
        <v>#N/A</v>
      </c>
      <c r="HL36" s="55">
        <f>IF(OR(Исходн.данные.!G36="Глин",Исходн.данные.!G36="Т_суг"),1.1,IF(Исходн.данные.!G36="Ср_суг",1,1))</f>
        <v>1</v>
      </c>
      <c r="HM36" s="55">
        <f>IF(OR(Исходн.данные.!G36="Глин",Исходн.данные.!G36="Т_суг"),0.9,IF(Исходн.данные.!G36="Ср_суг",1,1.2))</f>
        <v>1.2</v>
      </c>
      <c r="HN36" s="11" t="e">
        <f t="shared" si="120"/>
        <v>#N/A</v>
      </c>
      <c r="HO36" s="11" t="e">
        <f t="shared" si="121"/>
        <v>#N/A</v>
      </c>
      <c r="HP36" s="11" t="e">
        <f t="shared" si="122"/>
        <v>#N/A</v>
      </c>
      <c r="HQ36" t="e">
        <f t="shared" si="123"/>
        <v>#N/A</v>
      </c>
      <c r="HR36" t="e">
        <f t="shared" si="124"/>
        <v>#N/A</v>
      </c>
      <c r="HS36" t="e">
        <f t="shared" si="125"/>
        <v>#N/A</v>
      </c>
      <c r="HT36" t="e">
        <f t="shared" si="21"/>
        <v>#N/A</v>
      </c>
      <c r="HU36" t="e">
        <f t="shared" si="22"/>
        <v>#N/A</v>
      </c>
      <c r="HV36" t="e">
        <f t="shared" si="23"/>
        <v>#N/A</v>
      </c>
      <c r="HW36" t="e">
        <f t="shared" si="24"/>
        <v>#N/A</v>
      </c>
      <c r="HX36" t="e">
        <f t="shared" si="25"/>
        <v>#N/A</v>
      </c>
      <c r="HY36" t="e">
        <f t="shared" si="26"/>
        <v>#N/A</v>
      </c>
      <c r="HZ36" s="55">
        <f>IF(OR(Исходн.данные.!AI36="Оз_Ч_П",Исходн.данные.!AI36="Оз_З_П",Исходн.данные.!AI36="Яр_зер"),12,30)</f>
        <v>30</v>
      </c>
      <c r="IA36" t="e">
        <f t="shared" si="126"/>
        <v>#N/A</v>
      </c>
      <c r="IB36" t="e">
        <f t="shared" si="127"/>
        <v>#N/A</v>
      </c>
      <c r="IC36" t="e">
        <f t="shared" si="128"/>
        <v>#N/A</v>
      </c>
      <c r="ID36" s="11" t="e">
        <f t="shared" si="129"/>
        <v>#N/A</v>
      </c>
      <c r="IE36" s="11" t="e">
        <f t="shared" si="130"/>
        <v>#N/A</v>
      </c>
      <c r="IF36" s="11" t="e">
        <f t="shared" si="131"/>
        <v>#N/A</v>
      </c>
    </row>
    <row r="37" spans="35:240" x14ac:dyDescent="0.2">
      <c r="AI37">
        <f>IF(Исходн.данные.!I37&gt;6,1,1.85-(0.148*Исходн.данные.!I37))</f>
        <v>1.85</v>
      </c>
      <c r="AJ37">
        <f>IF(Исходн.данные.!I37&gt;6,1,2.434-(0.246*Исходн.данные.!I37))</f>
        <v>2.4340000000000002</v>
      </c>
      <c r="AL37" s="148" t="b">
        <f>IF(Исходн.данные.!$P37="Ум",N_OrgUd_2g_um,IF(Исходн.данные.!$P37="Об",N_OrgUd_2g_ob))</f>
        <v>0</v>
      </c>
      <c r="AM37" s="148" t="b">
        <f>IF(Исходн.данные.!$P37="Ум",P_OrgUd_2g_um,IF(Исходн.данные.!$P37="Об",P_OrgUd_2g_ob))</f>
        <v>0</v>
      </c>
      <c r="AN37" s="148" t="b">
        <f>IF(Исходн.данные.!$P37="Ум",K_OrgUd_2g_um,IF(Исходн.данные.!$P37="Об",K_OrgUd_2g_ob))</f>
        <v>0</v>
      </c>
      <c r="AO37" s="148" t="b">
        <f>IF(Исходн.данные.!$P37="Ум",N_OrgUd_1g_um,IF(Исходн.данные.!$P37="Об",N_OrgUd_1g_ob))</f>
        <v>0</v>
      </c>
      <c r="AP37" s="148" t="b">
        <f>IF(Исходн.данные.!$P37="Ум",P_OrgUd_1g_um,IF(Исходн.данные.!$P37="Об",P_OrgUd_1g_ob))</f>
        <v>0</v>
      </c>
      <c r="AQ37" s="148" t="b">
        <f>IF(Исходн.данные.!$P37="Ум",K_OrgUd_1g_um,IF(Исходн.данные.!$P37="Об",K_OrgUd_1g_ob))</f>
        <v>0</v>
      </c>
      <c r="AR37" t="b">
        <f>IF(Исходн.данные.!$P37="Ум",N_MinUd_2g_um,IF(Исходн.данные.!$P37="Об",N_MinUd_2g_ob))</f>
        <v>0</v>
      </c>
      <c r="AS37" t="b">
        <f>IF(Исходн.данные.!$P37="Ум",P_MinUd_2g_um,IF(Исходн.данные.!$P37="Об",P_MinUd_2g_ob))</f>
        <v>0</v>
      </c>
      <c r="AT37" t="b">
        <f>IF(Исходн.данные.!$P37="Ум",K_MinUd_2g_um,IF(Исходн.данные.!$P37="Об",K_MinUd_2g_ob))</f>
        <v>0</v>
      </c>
      <c r="AU37" t="b">
        <f>IF(Исходн.данные.!$P37="Ум",N_MinUd_1g_um,IF(Исходн.данные.!$P37="Об",N_MinUd_1g_ob))</f>
        <v>0</v>
      </c>
      <c r="AV37" t="b">
        <f>IF(Исходн.данные.!P37="Ум",P_MinUd_1g_um,IF(Исходн.данные.!P37="Об",P_MinUd_1g_ob))</f>
        <v>0</v>
      </c>
      <c r="AW37" t="b">
        <f>IF(Исходн.данные.!P37="Ум",K_MinUd_1g_um,IF(Исходн.данные.!P37="Об",K_MinUd_1g_ob))</f>
        <v>0</v>
      </c>
      <c r="AY37" t="e">
        <f>VLOOKUP(Исходн.данные.!T37,Справ!$A$3:$N$57,12)</f>
        <v>#N/A</v>
      </c>
      <c r="AZ37" t="e">
        <f>VLOOKUP(Исходн.данные.!T37,Справ!$A$3:$N$57,13)</f>
        <v>#N/A</v>
      </c>
      <c r="BA37" t="e">
        <f>VLOOKUP(Исходн.данные.!T37,Справ!$A$3:$N$57,14)</f>
        <v>#N/A</v>
      </c>
      <c r="BB37">
        <f>IF(Исходн.данные.!AH37=0,0,25)</f>
        <v>0</v>
      </c>
      <c r="BC37" s="141">
        <f>IF(Исходн.данные.!AH37=0,0,IF(Исходн.данные.!T37=0,25,BD37))</f>
        <v>0</v>
      </c>
      <c r="BD37" s="168" t="e">
        <f>AY37+AZ37*Исходн.данные.!U37-POWER(BA37,2)*Исходн.данные.!U37</f>
        <v>#N/A</v>
      </c>
      <c r="BE3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7" s="25">
        <f>IF(Исходн.данные.!AH37=0,0,MIN(HN37:HP37))</f>
        <v>0</v>
      </c>
      <c r="BG37" s="9">
        <f>IF(Исходн.данные.!AH37=0,0,IF((HO37+10*0.25/HG37/HL37)&lt;17,17,HO37+10*0.25/HG37/HL37))</f>
        <v>0</v>
      </c>
      <c r="BH37" s="181">
        <f>IF(Исходн.данные.!AH37=0,0,HW37*HF37*HL37/AU37*AI37+Исходн.данные.!S37*10)</f>
        <v>0</v>
      </c>
      <c r="BI37" s="10"/>
      <c r="BJ37" s="182">
        <f>IF(Исходн.данные.!AH37=0,0,IF(HX37*HG37*HL37/AV37&lt;0,0,HX37*HG37*HL37/AV37*AJ37))</f>
        <v>0</v>
      </c>
      <c r="BK37" s="182">
        <f>IF(Исходн.данные.!AH37=0,0,HY37*HH37*HM37/AW37)</f>
        <v>0</v>
      </c>
      <c r="BL37" s="10">
        <f>IF(OR(Исходн.данные.!$AH37=$BP$1,Исходн.данные.!$AH37=$BP$2),0,IF(BH37&lt;0,0,IF(OR(Исходн.данные.!T37=Расчет!$BP$1,Исходн.данные.!T37=Расчет!$BP$2,Исходн.данные.!T37=Расчет!$BT$5,Исходн.данные.!T37=Расчет!$BT$6),BH37*0.5,IF(OR(Исходн.данные.!T37=Расчет!$BS$9,Исходн.данные.!T37=Расчет!$BS$10,Исходн.данные.!T37=Расчет!$BS$11,Исходн.данные.!T37=Расчет!$BS$12,Исходн.данные.!T37=Расчет!$BP$5),BH37*0.8,BH37))))</f>
        <v>0</v>
      </c>
      <c r="BM37" s="10">
        <f>IF(OR(Исходн.данные.!$AH37=$BP$1,Исходн.данные.!$AH37=$BP$2),0,IF(BJ37&lt;0,0,IF(Исходн.данные.!I37&lt;4.5,BJ37*1.2,IF(Исходн.данные.!I37&gt;5.1,BJ37,BJ37*((5.1-Исходн.данные.!I37)*0.333+1)))))</f>
        <v>0</v>
      </c>
      <c r="BN37" s="10">
        <f>IF(OR(Исходн.данные.!$AH37=$BP$1,Исходн.данные.!$AH37=$BP$2),60-Исходн.данные.!AF37,IF(BK37&lt;0,0,IF(Исходн.данные.!I37&lt;4.5,BK37*1.2,IF(Исходн.данные.!I37&gt;5.1,BK37,BK37*((5.1-Исходн.данные.!I37)*0.333+1)))))</f>
        <v>0</v>
      </c>
      <c r="BO37" s="9">
        <f>IF(BL37&lt;0,0,BL37*Исходн.данные.!$AJ37/1000)</f>
        <v>0</v>
      </c>
      <c r="BP37" s="9">
        <f>IF(BM37&lt;0,0,BM37*Исходн.данные.!$AJ37/1000)</f>
        <v>0</v>
      </c>
      <c r="BQ37" s="9">
        <f>IF(BN37&lt;0,0,BN37*Исходн.данные.!$AJ37/1000)</f>
        <v>0</v>
      </c>
      <c r="BR37" s="9">
        <f t="shared" si="81"/>
        <v>0</v>
      </c>
      <c r="BS37" s="10" t="str">
        <f t="shared" si="82"/>
        <v>Аммофос 12:52:00</v>
      </c>
      <c r="BT37" s="10" t="str">
        <f t="shared" si="83"/>
        <v>Аммофос 12:52:00</v>
      </c>
      <c r="BU37" s="10" t="str">
        <f t="shared" si="84"/>
        <v>Диаммофоска</v>
      </c>
      <c r="BV37" s="10">
        <f t="shared" si="85"/>
        <v>0</v>
      </c>
      <c r="BW37" s="10"/>
      <c r="BX37" s="10"/>
      <c r="BY37" s="9">
        <f>IF(BL37&lt;0,0,IF(OR(Исходн.данные.!AI37=Расчет!$BU$6,Исходн.данные.!AI37=Расчет!$BU$7),Расчет!BV37,IF(Исходн.данные.!$AG37=$BV$11,BL37,IF(OR(Исходн.данные.!$AH37=$BQ$7,Исходн.данные.!$AH37=$BQ$8),CB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0,IF(Исходн.данные.!$AI37=$BU$11,"Нет",IF(BL37&gt;30,30,BL37)))))))</f>
        <v>0</v>
      </c>
      <c r="BZ37" s="9">
        <f>IF(AND(Исходн.данные.!$AG37=$BV$11,BM37&lt;10),10,IF(Исходн.данные.!$AG37=$BV$11,BM37,IF(OR(Исходн.данные.!$AH37=$BQ$7,Исходн.данные.!$AH37=$BQ$8),CC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10,IF(Исходн.данные.!$AI37=$BU$11,"Нет",IF(BM37&gt;60,60,IF(BM37&lt;10,10,BM37)))))))</f>
        <v>10</v>
      </c>
      <c r="CA37" s="39">
        <f>IF(BN37&lt;0,0,IF(Исходн.данные.!$AG37=$BV$11,BN37,IF(OR(Исходн.данные.!$AH37=$BQ$7,Исходн.данные.!$AH37=$BQ$8),CD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0,IF(Исходн.данные.!$AI37=$BU$11,"Нет",IF(BN37&gt;30,30,BN37))))))</f>
        <v>0</v>
      </c>
      <c r="CB37" s="9">
        <f t="shared" si="86"/>
        <v>0</v>
      </c>
      <c r="CC37" s="9">
        <f t="shared" si="87"/>
        <v>0</v>
      </c>
      <c r="CD37" s="9">
        <f t="shared" si="88"/>
        <v>0</v>
      </c>
      <c r="CE37" s="12">
        <f t="shared" si="89"/>
        <v>10</v>
      </c>
      <c r="CF37" s="9">
        <f t="shared" si="90"/>
        <v>0</v>
      </c>
      <c r="CG37" s="9" t="s">
        <v>231</v>
      </c>
      <c r="CH37" s="132" t="str">
        <f>IF(Исходн.данные.!AP37=Расчет!$CI$16,"Нет",IF(Исходн.данные.!AL37&gt;0,Исходн.данные.!AL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BH$4,IF(OR(Исходн.данные.!AI37=Исходн.данные.!$AI$6,Исходн.данные.!AI37=Исходн.данные.!$AI$7),Расчет!BS37,IF(AND($CF37=0,$CE37&gt;0),EV37,ER37)))))</f>
        <v>Аммофос 12:52:00</v>
      </c>
      <c r="CI37" s="274">
        <f>IF(Расчет!$CH37="Нет","Нет",IF(Исходн.данные.!$AL37&gt;0,VLOOKUP(Расчет!$CH37,АшламаДВ_Irekle,2,FALSE),VLOOKUP(Расчет!$CH37,АшламаДВ_Gomumy,2,FALSE)))</f>
        <v>0.12</v>
      </c>
      <c r="CJ37" s="274">
        <f>IF(Расчет!$CH37="Нет","Нет",IF(Исходн.данные.!$AL37&gt;0,VLOOKUP(Расчет!$CH37,АшламаДВ_Irekle,3,FALSE),VLOOKUP(Расчет!$CH37,АшламаДВ_Gomumy,3,FALSE)))</f>
        <v>0.52</v>
      </c>
      <c r="CK37" s="274">
        <f>IF(Расчет!$CH37="Нет","Нет",IF(Исходн.данные.!$AL37&gt;0,VLOOKUP(Расчет!$CH37,АшламаДВ_Irekle,4,FALSE),VLOOKUP(Расчет!$CH37,АшламаДВ_Gomumy,4,FALSE)))</f>
        <v>0</v>
      </c>
      <c r="CL37" s="70"/>
      <c r="CM37" s="70"/>
      <c r="CN37" s="70"/>
      <c r="CO37" s="70"/>
      <c r="CP37" s="70"/>
      <c r="CQ37" s="70"/>
      <c r="CR37" s="10">
        <f t="shared" si="91"/>
        <v>0</v>
      </c>
      <c r="CS37" s="10">
        <f t="shared" si="92"/>
        <v>19.23076923076923</v>
      </c>
      <c r="CT37" s="10">
        <f t="shared" si="93"/>
        <v>0</v>
      </c>
      <c r="CU37" s="39">
        <f>IF($CH37="Нет",0,IF(CI37=0,30/MIN(CJ37:CK37),IF(Исходн.данные.!$AG37=$BV$11,CR37,IF(OR(Исходн.данные.!$AH37=$BQ$7,Исходн.данные.!$AH37=$BQ$8),90/CI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0,IF(Исходн.данные.!$AI37=$BU$11,"Нет",30/CI37))))))</f>
        <v>250</v>
      </c>
      <c r="CV37" s="39">
        <f>IF($CH37="Нет",0,IF(Исходн.данные.!AH37=0,0,IF(CJ37=0,60/MIN(CI37,CK37),IF(Исходн.данные.!$AG37=$BV$11,CS37,IF(OR(Исходн.данные.!$AH37=$BQ$7,Исходн.данные.!$AH37=$BQ$8),90/CJ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10/CJ37,IF(Исходн.данные.!$AI37=$BU$11,"Нет",60/CJ37)))))))</f>
        <v>0</v>
      </c>
      <c r="CW37" s="39">
        <f>IF($CH37="Нет",0,IF(Исходн.данные.!AH37=0,0,IF(CK37=0,30/MIN(CI37:CJ37),IF(Исходн.данные.!$AG37=$BV$11,CT37,IF(OR(Исходн.данные.!$AH37=$BQ$7,Исходн.данные.!$AH37=$BQ$8),90/CK37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0,IF(Исходн.данные.!$AI37=$BU$11,"Нет",30/CK37)))))))</f>
        <v>0</v>
      </c>
      <c r="CX37" s="133">
        <f>IF(Исходн.данные.!$AG37=$BV$11,MAX(CU37:CW37),IF(OR(Исходн.данные.!$AH37=$BS$8,Исходн.данные.!$AH37=$BQ$9,Исходн.данные.!$AH37=$BQ$10,Исходн.данные.!$AH37=$BQ$11,Исходн.данные.!$AH37=$BQ$12,Исходн.данные.!$AH37=$BP$3,Исходн.данные.!$AH37=$BT$8,$FM37="Да"),CV37,MIN(CU37:CW37)))</f>
        <v>0</v>
      </c>
      <c r="CY37" s="133">
        <f>IF(Исходн.данные.!AH37=0,0,IF(CR37&gt;$CX37,$CX37,CR37))</f>
        <v>0</v>
      </c>
      <c r="CZ37" s="133">
        <f>IF(Исходн.данные.!AH37=0,0,IF(CS37&gt;$CX37,$CX37,CS37))</f>
        <v>0</v>
      </c>
      <c r="DA37" s="133">
        <f>IF(Исходн.данные.!AH37=0,0,IF(CT37&gt;$CX37,$CX37,CT37))</f>
        <v>0</v>
      </c>
      <c r="DB37" s="10">
        <f t="shared" si="94"/>
        <v>0</v>
      </c>
      <c r="DC37" s="39">
        <f>DB37*Исходн.данные.!AJ37/1000</f>
        <v>0</v>
      </c>
      <c r="DD37" s="71">
        <f t="shared" si="95"/>
        <v>0</v>
      </c>
      <c r="DE37" s="9">
        <f t="shared" si="96"/>
        <v>0</v>
      </c>
      <c r="DF37" s="9">
        <f t="shared" si="97"/>
        <v>0</v>
      </c>
      <c r="DG37" s="39">
        <f>IF(BL37&lt;0,0,IF($CH37="Нет",BL37,IF(OR(Исходн.данные.!$AH37=$BP$1,Исходн.данные.!$AH37=$BP$2),0,IF(Исходн.данные.!AI37=$BU$11,BL37,IF(BL37-DD37&lt;0,0,BL37-DD37)))))</f>
        <v>0</v>
      </c>
      <c r="DH37" s="39">
        <f>IF(BM37&lt;0,0,IF($CH37="Нет",BM37,IF(OR(Исходн.данные.!$AH37=$BP$1,Исходн.данные.!$AH37=$BP$2),0,IF(Исходн.данные.!AJ37=$BU$11,BM37,IF(BM37-DE37&lt;0,0,BM37-DE37)))))</f>
        <v>0</v>
      </c>
      <c r="DI37" s="39">
        <f>IF(BN37&lt;0,0,IF($CH37="Нет",BN37,IF(OR(Исходн.данные.!$AH37=$BP$1,Исходн.данные.!$AH37=$BP$2),0,IF(Исходн.данные.!AK37=$BU$11,BN37,IF(BN37-DF37&lt;0,0,BN37-DF37)))))</f>
        <v>0</v>
      </c>
      <c r="DJ37" s="12">
        <f t="shared" si="98"/>
        <v>0</v>
      </c>
      <c r="DK37" s="9">
        <f t="shared" si="99"/>
        <v>0</v>
      </c>
      <c r="DL37" s="39">
        <f>IF(Исходн.данные.!AM37&gt;0,Исходн.данные.!AM37,IF(EG37&gt;0,$BH$10,0))</f>
        <v>0</v>
      </c>
      <c r="DM37" s="186">
        <f>IF($DL37=0,0,IF(Исходн.данные.!AM37&gt;0,VLOOKUP($DL37,АшламаДВ_Irekle,2,FALSE),VLOOKUP($DL37,АшламаДВ_Gomumy,2,FALSE)))</f>
        <v>0</v>
      </c>
      <c r="DN37" s="10">
        <f t="shared" si="46"/>
        <v>0</v>
      </c>
      <c r="DO37" s="9" t="str">
        <f>IF(Исходн.данные.!AN37&gt;0,Исходн.данные.!AN37,Удобрения!$B$37 )</f>
        <v>Хлор.калий</v>
      </c>
      <c r="DP37" s="9">
        <f>IF(Исходн.данные.!AN37&gt;0,VLOOKUP(Исходн.данные.!AN37,АшламаДВ_Irekle,4,FALSE),VLOOKUP(DO37,АшламаДВ_Gomumy,4,FALSE))</f>
        <v>0.6</v>
      </c>
      <c r="DQ37" s="10">
        <f t="shared" si="47"/>
        <v>0</v>
      </c>
      <c r="DR37" s="132" t="str">
        <f>IF(Исходн.данные.!AO37&gt;0,Исходн.данные.!AO37,IF(DH37=0,BS$17,IF(AND($DK37=0,$DJ37&gt;0),EJ37,EN37)))</f>
        <v>Нет</v>
      </c>
      <c r="DS37" s="70" t="str">
        <f>IF($DR37="Нет","Нет",IF(Исходн.данные.!$AO37&gt;0,VLOOKUP($DR37,АшламаДВ_Irekle,2,FALSE),VLOOKUP($DR37,АшламаДВ_Gomumy,2,FALSE)))</f>
        <v>Нет</v>
      </c>
      <c r="DT37" s="70" t="str">
        <f>IF($DR37="Нет","Нет",IF(Исходн.данные.!$AO37&gt;0,VLOOKUP($DR37,АшламаДВ_Irekle,3,FALSE),VLOOKUP($DR37,АшламаДВ_Gomumy,3,FALSE)))</f>
        <v>Нет</v>
      </c>
      <c r="DU37" s="70" t="str">
        <f>IF($DR37="Нет","Нет",IF(Исходн.данные.!$AO37&gt;0,VLOOKUP($DR37,АшламаДВ_Irekle,4,FALSE),VLOOKUP($DR37,АшламаДВ_Gomumy,4,FALSE)))</f>
        <v>Нет</v>
      </c>
      <c r="DV37" s="70"/>
      <c r="DW37" s="70"/>
      <c r="DX37" s="70"/>
      <c r="DY37" s="10">
        <f t="shared" si="100"/>
        <v>0</v>
      </c>
      <c r="DZ37" s="10">
        <f t="shared" si="101"/>
        <v>0</v>
      </c>
      <c r="EA37" s="10">
        <f t="shared" si="102"/>
        <v>0</v>
      </c>
      <c r="EB37" s="10">
        <f t="shared" si="103"/>
        <v>0</v>
      </c>
      <c r="EC37" s="10">
        <f t="shared" si="104"/>
        <v>0</v>
      </c>
      <c r="ED37" s="10">
        <f t="shared" si="105"/>
        <v>0</v>
      </c>
      <c r="EE37" s="10">
        <f t="shared" si="106"/>
        <v>0</v>
      </c>
      <c r="EF37" s="39">
        <f>EB37*Исходн.данные.!AJ37/1000</f>
        <v>0</v>
      </c>
      <c r="EG37" s="9">
        <f t="shared" si="107"/>
        <v>0</v>
      </c>
      <c r="EH37" s="9">
        <f t="shared" si="108"/>
        <v>0</v>
      </c>
      <c r="EI37" s="39" t="e">
        <f t="shared" si="7"/>
        <v>#DIV/0!</v>
      </c>
      <c r="EJ37" s="9" t="str">
        <f t="shared" si="8"/>
        <v>Азопреципитат</v>
      </c>
      <c r="EK37" s="12">
        <f t="shared" si="9"/>
        <v>0.26</v>
      </c>
      <c r="EL37" s="12">
        <f t="shared" si="10"/>
        <v>0.13</v>
      </c>
      <c r="EM37" s="12">
        <f t="shared" si="11"/>
        <v>0</v>
      </c>
      <c r="EN37" s="12" t="str">
        <f t="shared" si="57"/>
        <v>Нет</v>
      </c>
      <c r="EO37" s="12">
        <f t="shared" si="12"/>
        <v>0</v>
      </c>
      <c r="EP37" s="12">
        <f t="shared" si="13"/>
        <v>0</v>
      </c>
      <c r="EQ37" s="12">
        <f t="shared" si="14"/>
        <v>0</v>
      </c>
      <c r="ER37" s="12" t="str">
        <f t="shared" si="109"/>
        <v>Диаммофоска</v>
      </c>
      <c r="ES37" s="12">
        <f t="shared" si="15"/>
        <v>0.1</v>
      </c>
      <c r="ET37" s="12">
        <f t="shared" si="16"/>
        <v>0.26</v>
      </c>
      <c r="EU37" s="12">
        <f t="shared" si="17"/>
        <v>0.26</v>
      </c>
      <c r="EV37" s="12" t="str">
        <f t="shared" si="110"/>
        <v>Аммофос 12:52:00</v>
      </c>
      <c r="EW37" s="12" t="str">
        <f t="shared" si="111"/>
        <v>Кемира Свекловичное-6</v>
      </c>
      <c r="EX37" s="12">
        <f t="shared" si="18"/>
        <v>0.16</v>
      </c>
      <c r="EY37" s="12">
        <f t="shared" si="19"/>
        <v>0.12</v>
      </c>
      <c r="EZ37" s="12">
        <f t="shared" si="20"/>
        <v>0.17</v>
      </c>
      <c r="FA37" s="38" t="e">
        <f>IF(AND(OR(FJ37=$FD$1,FM37=$FD$1,FO37=$FD$1,FQ37=$FD$1,FS37=$FD$1),FD37=$FD$1,Исходн.данные.!J37&lt;2,FU37=$FD$1),"Бор,Кобальт",IF(AND(FO37=$FD$1,FH37=$FD$1,Исходн.данные.!J37&lt;2,FU37=$FD$1),"Бор,Кобальт",IF(AND(OR(FJ37=$FD$1,FM37=$FD$1,FQ37=$FD$1),FE37=$FD$1,Исходн.данные.!J37&lt;2,FT37=$FD$1,FU37=$FD$1),"Бор,Медь,Цинк",IF(AND(OR(FJ37=$FD$1,FR37="Да"),FI37="Да",Исходн.данные.!J37&lt;2,FT37="Да",FU37="Да"),"Бор,Цинк,Медь",IF(AND(OR(FM37="Да",FQ37="Да"),FI37="Да",Исходн.данные.!J37&lt;2,FT37="Да",FU37="Да"),"Бор,Цинк",IF(AND(FN37="Да",OR(FD37="Да",FE37="Да")),"Бор",FB37))))))</f>
        <v>#N/A</v>
      </c>
      <c r="FB37" s="134" t="e">
        <f>IF(AND(OR(FD37="Да",FE37="Да",FF37="Да",FG37="Да",FH37="Да"),FO37="Да"),"Бор",IF(AND(FP37="Да",OR(FD37="Да",FE37="Да",FI37="Да")),"Бор",IF(AND(FS37="Да",FE37="Да"),"Бор,Медь",IF(AND(OR(FJ37="Да",FK37="Да",FL37="Да"),FE37="Да",Исходн.данные.!I37&lt;5,FT37="Да",FU37="Да"),"Молибден,Цинк",IF(AND(FM37="Да",OR(FE37="Да",FF37="Да",FG37="Да",FH37="Да",FI37="Да")),"Молибден,Цинк",IF(AND(OR(FJ37="Да",FK37="Да",FL37="Да",FM37="Да",FQ37="Да"),OR(FE37="Да",FF37="Да"),FT37="Да",FU37="Да",Исходн.данные.!I37&gt;5.5),"Медь,Цинк",FC37))))))</f>
        <v>#N/A</v>
      </c>
      <c r="FC37" s="23" t="e">
        <f t="shared" si="112"/>
        <v>#N/A</v>
      </c>
      <c r="FD37" s="38" t="str">
        <f>IF(OR(Исходн.данные.!F37=$CC$1,Исходн.данные.!F37=$CC$2,Исходн.данные.!F37=$CC$3,Исходн.данные.!F37=$CC$4),"Да","Нет")</f>
        <v>Нет</v>
      </c>
      <c r="FE37" s="38" t="str">
        <f>IF(Исходн.данные.!F37=$CC$5,"Да","Нет")</f>
        <v>Нет</v>
      </c>
      <c r="FF37" s="38" t="str">
        <f>IF(OR(Исходн.данные.!F37=$CC$6,Исходн.данные.!F37=$CC$7),"Да","Нет")</f>
        <v>Нет</v>
      </c>
      <c r="FG37" s="38" t="str">
        <f>IF(OR(Исходн.данные.!F37=$CC$8,Исходн.данные.!F37=$CC$9),"Да","Нет")</f>
        <v>Нет</v>
      </c>
      <c r="FH37" s="38" t="str">
        <f>IF(Исходн.данные.!F37=$CC$10,"Да","Нет")</f>
        <v>Нет</v>
      </c>
      <c r="FI37" s="38" t="str">
        <f>IF(OR(Исходн.данные.!F37=$CC$11,Исходн.данные.!F37=$CC$12),"Да","Нет")</f>
        <v>Нет</v>
      </c>
      <c r="FJ37" s="38" t="str">
        <f>IF(OR(Исходн.данные.!AH37=$BS$1,Исходн.данные.!AH37=$BQ$11,Исходн.данные.!AH37=$BQ$12),"Да","Нет")</f>
        <v>Нет</v>
      </c>
      <c r="FK37" s="38" t="str">
        <f>IF(OR(Исходн.данные.!AH37=$BS$2,Исходн.данные.!AH37=$BS$4),"Да","Нет")</f>
        <v>Нет</v>
      </c>
      <c r="FL37" s="38" t="str">
        <f>IF(OR(Исходн.данные.!AH37=$BS$3,Исходн.данные.!AH37=$BS$5),"Да","Нет")</f>
        <v>Нет</v>
      </c>
      <c r="FM37" s="38" t="str">
        <f>IF(OR(Исходн.данные.!AH37=$BS$9,Исходн.данные.!AH37=$BS$10,Исходн.данные.!AH37=$BS$11,Исходн.данные.!AH37=$BS$12),"Да","Нет")</f>
        <v>Нет</v>
      </c>
      <c r="FN37" s="38" t="str">
        <f>IF(OR(Исходн.данные.!AH37=$BS$6,Исходн.данные.!AH37=$BP$3),"Да","Нет")</f>
        <v>Нет</v>
      </c>
      <c r="FO37" s="38" t="str">
        <f>IF(Исходн.данные.!AH37=$BQ$9,"Да","Нет")</f>
        <v>Нет</v>
      </c>
      <c r="FP37" s="38" t="str">
        <f>IF(OR(Исходн.данные.!AH37=$BS$8,Исходн.данные.!AH37=$BT$8),"Да","Нет")</f>
        <v>Нет</v>
      </c>
      <c r="FQ37" s="38" t="str">
        <f>IF(OR(Исходн.данные.!AH37=$BQ$7,Исходн.данные.!AH37=$BQ$8),"Да","Нет")</f>
        <v>Нет</v>
      </c>
      <c r="FR37" s="38" t="str">
        <f>IF(Исходн.данные.!AI37=$BU$9,"Да","Нет")</f>
        <v>Нет</v>
      </c>
      <c r="FS37" s="38" t="str">
        <f>IF(OR(Исходн.данные.!AH37=$BP$1,Исходн.данные.!AH37=$BP$2),"Да","Нет")</f>
        <v>Нет</v>
      </c>
      <c r="FT37" s="38" t="e">
        <f>IF((Исходн.данные.!K37*GO37*GS37*GW37+BL37*0.6+Исходн.данные.!Q37*4.5*0.275)&gt;90,"Да","Нет")</f>
        <v>#N/A</v>
      </c>
      <c r="FU37" s="38" t="e">
        <f>IF((Исходн.данные.!M37*GS37*GZ37+BM37*0.225)&gt;35,"Да","Нет")</f>
        <v>#N/A</v>
      </c>
      <c r="FV37" s="38" t="str">
        <f>IF(Исходн.данные.!O37&gt;175,"Да","Нет")</f>
        <v>Нет</v>
      </c>
      <c r="FW37" s="39" t="str">
        <f>IF(Исходн.данные.!I37&gt;5.5,"Да","Нет")</f>
        <v>Нет</v>
      </c>
      <c r="FX37" s="39" t="str">
        <f>IF(Исходн.данные.!J37&lt;2,"Да","Нет")</f>
        <v>Да</v>
      </c>
      <c r="FY37" s="39" t="e">
        <f>IF(HF37=$FY$16,0,Исходн.данные.!K37*GO37*GS37*GW37/HF37)</f>
        <v>#N/A</v>
      </c>
      <c r="FZ37" s="39" t="e">
        <f>Исходн.данные.!M37*GS37*GZ37/HG37</f>
        <v>#N/A</v>
      </c>
      <c r="GA37" s="39" t="e">
        <f>IF(K_Wyn=$FY$16,0,IF(Исходн.данные.!N37=Исходн.данные.!$L$10,Исходн.данные.!O37/1.1*GS37*HC37/HH37,IF(Исходн.данные.!N37=Исходн.данные.!$L$12,Исходн.данные.!O37/1.5*GS37*HC37/HH37,Исходн.данные.!O37*GS37*HC37/HH37)))</f>
        <v>#N/A</v>
      </c>
      <c r="GB37" s="39" t="e">
        <f>IF(HF37=$FY$16,0,((Исходн.данные.!Q37*N_Org+Исходн.данные.!R37*N_Sider+Исходн.данные.!S37*N_Soloma)*AO37+Расчет!BC37*VLOOKUP(Исходн.данные.!T37,Справ!$A$3:$O$57,15)*AO37+BB37*VLOOKUP(Исходн.данные.!T37,Справ!$A$3:$O$57,15)*AL37+(Исходн.данные.!V37*N_Rizotorf+Исходн.данные.!W37*N_Rizoagr))/HF37)</f>
        <v>#N/A</v>
      </c>
      <c r="GC37" s="39" t="e">
        <f>IF(HG37=$FY$16,0,((Исходн.данные.!Q37*Р_Org+Исходн.данные.!R37*P_Sider+Исходн.данные.!S37*P_Soloma)*AP37+Расчет!BC37*VLOOKUP(Исходн.данные.!T37,Справ!$A$3:$P$57,16)*AP37+BB37*VLOOKUP(Исходн.данные.!T37,Справ!$A$3:$P$57,16)*AM37)/HG37)</f>
        <v>#N/A</v>
      </c>
      <c r="GD37" s="39" t="e">
        <f>IF(HH37=$FY$16,0,((Исходн.данные.!Q37*К_Org+Исходн.данные.!R37*K_Sider+Исходн.данные.!S37*K_Soloma)*AQ37+Расчет!BC37*VLOOKUP(Исходн.данные.!T37,Справ!$A$3:$Q$57,17)*AQ37+BB37*VLOOKUP(Исходн.данные.!T37,Справ!$A$3:$Q$57,17)*AN37)/HH37)</f>
        <v>#N/A</v>
      </c>
      <c r="GE37" s="39" t="e">
        <f>IF(HF37=$FY$16,0,(Исходн.данные.!X37*AR37+Исходн.данные.!AA37*N_Org*AL37+Исходн.данные.!AB37*N_Sider*AL37+Исходн.данные.!AC37*N_Soloma*AL37)/HF37)</f>
        <v>#N/A</v>
      </c>
      <c r="GF37" s="39" t="e">
        <f>IF(HG37=$FY$16,0,(Исходн.данные.!Y37*AS37+Исходн.данные.!AA37*Р_Org*AM37+Исходн.данные.!AB37*P_Sider*AM37+Исходн.данные.!AC37*P_Soloma*AM37)/HG37)</f>
        <v>#N/A</v>
      </c>
      <c r="GG37" s="39" t="e">
        <f>IF(HH37=$FY$16,0,(Исходн.данные.!Z37*AT37+Исходн.данные.!AA37*К_Org*AN37+Исходн.данные.!AB37*K_Sider*AN37+Исходн.данные.!AC37*K_Soloma*AN37)/HH37)</f>
        <v>#N/A</v>
      </c>
      <c r="GH37" s="39" t="e">
        <f>Исходн.данные.!AD37*AU37/HF37</f>
        <v>#N/A</v>
      </c>
      <c r="GI37" s="39" t="e">
        <f>Исходн.данные.!AE37*AV37/HG37</f>
        <v>#N/A</v>
      </c>
      <c r="GJ37" s="39" t="e">
        <f>Исходн.данные.!AF37*AW37/HH37</f>
        <v>#N/A</v>
      </c>
      <c r="GK37" s="55">
        <f>Исходн.данные.!AK37</f>
        <v>0</v>
      </c>
      <c r="GL37" s="11" t="e">
        <f t="shared" si="113"/>
        <v>#N/A</v>
      </c>
      <c r="GM37" s="11" t="e">
        <f t="shared" si="114"/>
        <v>#N/A</v>
      </c>
      <c r="GN37" s="11" t="e">
        <f t="shared" si="115"/>
        <v>#N/A</v>
      </c>
      <c r="GO37" s="57">
        <f t="shared" si="116"/>
        <v>19</v>
      </c>
      <c r="GP37" s="55">
        <f>IF(OR(Исходн.данные.!F37=$CE$1,Исходн.данные.!F37=$CE$2,Исходн.данные.!F37=$CE$3,Исходн.данные.!F37=$CE$4,Исходн.данные.!F37=$CE$5),GQ37,GR37)</f>
        <v>19</v>
      </c>
      <c r="GQ37" s="55">
        <f>IF(Исходн.данные.!F37=$CE$1,28,IF(Исходн.данные.!F37=$CE$2,26,IF(Исходн.данные.!F37=$CE$3,24,IF(Исходн.данные.!F37=$CE$4,22,IF(Исходн.данные.!F37=$CE$5,20,GR37)))))</f>
        <v>19</v>
      </c>
      <c r="GR37" s="55">
        <f>IF(Исходн.данные.!F37=$CE$6,18,IF(Исходн.данные.!F37=$CE$7,16,IF(Исходн.данные.!F37=$CE$8,14,IF(Исходн.данные.!F37=$CE$9,13,IF(Исходн.данные.!F37=$CE$10,12,19)))))</f>
        <v>19</v>
      </c>
      <c r="GS37" s="55">
        <f>IF(Исходн.данные.!G37="Пес",0.035*(40+2*Исходн.данные.!H37),IF(Исходн.данные.!G37="Суп",0.0325*(40+2*Исходн.данные.!H37),0.03*(40+2*Исходн.данные.!H37)))</f>
        <v>1.2</v>
      </c>
      <c r="GT37" s="55">
        <f>IF(Исходн.данные.!H37&lt;23,2.6,IF(AND(Исходн.данные.!H37&gt;22,Исходн.данные.!H37&lt;26),3,IF(AND(Исходн.данные.!H37&gt;25,Исходн.данные.!H37&lt;29),3.4,3.6)))</f>
        <v>2.6</v>
      </c>
      <c r="GU37" s="55">
        <f>IF(Исходн.данные.!H37&lt;23,2.8,IF(AND(Исходн.данные.!H37&gt;22,Исходн.данные.!H37&lt;26),3.2,IF(AND(Исходн.данные.!H37&gt;25,Исходн.данные.!H37&lt;29),3.6,3.9)))</f>
        <v>2.8</v>
      </c>
      <c r="GV37" s="55">
        <f>IF(Исходн.данные.!H37&lt;23,3,IF(AND(Исходн.данные.!H37&gt;22,Исходн.данные.!H37&lt;26),3.5,IF(AND(Исходн.данные.!H37&gt;25,Исходн.данные.!H37&lt;29),3.9,4.2)))</f>
        <v>3</v>
      </c>
      <c r="GW37" s="55" t="e">
        <f>IF(Исходн.данные.!P37="Ум",GX37,GY37)</f>
        <v>#N/A</v>
      </c>
      <c r="GX37" s="55" t="e">
        <f>VLOOKUP(Исходн.данные.!AI37,Коэффициенты!$J$7:$L$13,2,FALSE)</f>
        <v>#N/A</v>
      </c>
      <c r="GY37" s="55" t="e">
        <f>VLOOKUP(Исходн.данные.!AI37,Коэффициенты!$J$7:$L$13,3,FALSE)</f>
        <v>#N/A</v>
      </c>
      <c r="GZ37" s="55" t="e">
        <f>(IF(Исходн.данные.!M37&lt;50,0.11*VLOOKUP(Исходн.данные.!AH37,Культуры.Информация,7,FALSE),IF(Исходн.данные.!M37&gt;250,0.05*VLOOKUP(Исходн.данные.!AH37,Культуры.Информация,7,FALSE),VLOOKUP(Исходн.данные.!AH37,Культуры.Информация,5,FALSE)/100*($GX$6+$GY$6*Исходн.данные.!M37))))*Расчет2!AI37</f>
        <v>#N/A</v>
      </c>
      <c r="HA37" s="211"/>
      <c r="HB37" s="211"/>
      <c r="HC37" s="55" t="e">
        <f>(IF(Исходн.данные.!O37&lt;80,0.2*VLOOKUP(Исходн.данные.!AH37,Культуры.Информация,8,FALSE),IF(Исходн.данные.!O37&gt;240,0.09*VLOOKUP(Исходн.данные.!AH37,Культуры.Информация,8,FALSE),VLOOKUP(Исходн.данные.!AH37,Культуры.Информация,6,FALSE)/100*($HB$6+$HC$6*Исходн.данные.!O37))))*Расчет2!AJ37</f>
        <v>#N/A</v>
      </c>
      <c r="HD37" s="55">
        <f>IF(Исходн.данные.!O37&gt;240,0.09,IF(Исходн.данные.!O37&lt;30,0.3,$HE$10+$HD$10*Исходн.данные.!O37))</f>
        <v>0.3</v>
      </c>
      <c r="HE37" s="55">
        <f>IF(Исходн.данные.!O37&gt;240,0.17,IF(Исходн.данные.!O37&lt;30,0.5,$HF$12+$HE$12*Исходн.данные.!O37))</f>
        <v>0.5</v>
      </c>
      <c r="HF37" s="55" t="e">
        <f>VLOOKUP(Исходн.данные.!AH37,Справ!$A$3:$D$58,2,FALSE)</f>
        <v>#N/A</v>
      </c>
      <c r="HG37" s="55" t="e">
        <f>VLOOKUP(Исходн.данные.!AH37,Справ!$A$3:$D$58,3,FALSE)</f>
        <v>#N/A</v>
      </c>
      <c r="HH37" s="55" t="e">
        <f>VLOOKUP(Исходн.данные.!AH37,Справ!$A$3:$D$58,4,FALSE)</f>
        <v>#N/A</v>
      </c>
      <c r="HI37" s="11" t="e">
        <f t="shared" si="117"/>
        <v>#N/A</v>
      </c>
      <c r="HJ37" s="11" t="e">
        <f t="shared" si="118"/>
        <v>#N/A</v>
      </c>
      <c r="HK37" s="11" t="e">
        <f t="shared" si="119"/>
        <v>#N/A</v>
      </c>
      <c r="HL37" s="55">
        <f>IF(OR(Исходн.данные.!G37="Глин",Исходн.данные.!G37="Т_суг"),1.1,IF(Исходн.данные.!G37="Ср_суг",1,1))</f>
        <v>1</v>
      </c>
      <c r="HM37" s="55">
        <f>IF(OR(Исходн.данные.!G37="Глин",Исходн.данные.!G37="Т_суг"),0.9,IF(Исходн.данные.!G37="Ср_суг",1,1.2))</f>
        <v>1.2</v>
      </c>
      <c r="HN37" s="11" t="e">
        <f t="shared" si="120"/>
        <v>#N/A</v>
      </c>
      <c r="HO37" s="11" t="e">
        <f t="shared" si="121"/>
        <v>#N/A</v>
      </c>
      <c r="HP37" s="11" t="e">
        <f t="shared" si="122"/>
        <v>#N/A</v>
      </c>
      <c r="HQ37" t="e">
        <f t="shared" si="123"/>
        <v>#N/A</v>
      </c>
      <c r="HR37" t="e">
        <f t="shared" si="124"/>
        <v>#N/A</v>
      </c>
      <c r="HS37" t="e">
        <f t="shared" si="125"/>
        <v>#N/A</v>
      </c>
      <c r="HT37" t="e">
        <f t="shared" si="21"/>
        <v>#N/A</v>
      </c>
      <c r="HU37" t="e">
        <f t="shared" si="22"/>
        <v>#N/A</v>
      </c>
      <c r="HV37" t="e">
        <f t="shared" si="23"/>
        <v>#N/A</v>
      </c>
      <c r="HW37" t="e">
        <f t="shared" si="24"/>
        <v>#N/A</v>
      </c>
      <c r="HX37" t="e">
        <f t="shared" si="25"/>
        <v>#N/A</v>
      </c>
      <c r="HY37" t="e">
        <f t="shared" si="26"/>
        <v>#N/A</v>
      </c>
      <c r="HZ37" s="55">
        <f>IF(OR(Исходн.данные.!AI37="Оз_Ч_П",Исходн.данные.!AI37="Оз_З_П",Исходн.данные.!AI37="Яр_зер"),12,30)</f>
        <v>30</v>
      </c>
      <c r="IA37" t="e">
        <f t="shared" si="126"/>
        <v>#N/A</v>
      </c>
      <c r="IB37" t="e">
        <f t="shared" si="127"/>
        <v>#N/A</v>
      </c>
      <c r="IC37" t="e">
        <f t="shared" si="128"/>
        <v>#N/A</v>
      </c>
      <c r="ID37" s="11" t="e">
        <f t="shared" si="129"/>
        <v>#N/A</v>
      </c>
      <c r="IE37" s="11" t="e">
        <f t="shared" si="130"/>
        <v>#N/A</v>
      </c>
      <c r="IF37" s="11" t="e">
        <f t="shared" si="131"/>
        <v>#N/A</v>
      </c>
    </row>
    <row r="38" spans="35:240" x14ac:dyDescent="0.2">
      <c r="AI38">
        <f>IF(Исходн.данные.!I38&gt;6,1,1.85-(0.148*Исходн.данные.!I38))</f>
        <v>1.85</v>
      </c>
      <c r="AJ38">
        <f>IF(Исходн.данные.!I38&gt;6,1,2.434-(0.246*Исходн.данные.!I38))</f>
        <v>2.4340000000000002</v>
      </c>
      <c r="AL38" s="148" t="b">
        <f>IF(Исходн.данные.!$P38="Ум",N_OrgUd_2g_um,IF(Исходн.данные.!$P38="Об",N_OrgUd_2g_ob))</f>
        <v>0</v>
      </c>
      <c r="AM38" s="148" t="b">
        <f>IF(Исходн.данные.!$P38="Ум",P_OrgUd_2g_um,IF(Исходн.данные.!$P38="Об",P_OrgUd_2g_ob))</f>
        <v>0</v>
      </c>
      <c r="AN38" s="148" t="b">
        <f>IF(Исходн.данные.!$P38="Ум",K_OrgUd_2g_um,IF(Исходн.данные.!$P38="Об",K_OrgUd_2g_ob))</f>
        <v>0</v>
      </c>
      <c r="AO38" s="148" t="b">
        <f>IF(Исходн.данные.!$P38="Ум",N_OrgUd_1g_um,IF(Исходн.данные.!$P38="Об",N_OrgUd_1g_ob))</f>
        <v>0</v>
      </c>
      <c r="AP38" s="148" t="b">
        <f>IF(Исходн.данные.!$P38="Ум",P_OrgUd_1g_um,IF(Исходн.данные.!$P38="Об",P_OrgUd_1g_ob))</f>
        <v>0</v>
      </c>
      <c r="AQ38" s="148" t="b">
        <f>IF(Исходн.данные.!$P38="Ум",K_OrgUd_1g_um,IF(Исходн.данные.!$P38="Об",K_OrgUd_1g_ob))</f>
        <v>0</v>
      </c>
      <c r="AR38" t="b">
        <f>IF(Исходн.данные.!$P38="Ум",N_MinUd_2g_um,IF(Исходн.данные.!$P38="Об",N_MinUd_2g_ob))</f>
        <v>0</v>
      </c>
      <c r="AS38" t="b">
        <f>IF(Исходн.данные.!$P38="Ум",P_MinUd_2g_um,IF(Исходн.данные.!$P38="Об",P_MinUd_2g_ob))</f>
        <v>0</v>
      </c>
      <c r="AT38" t="b">
        <f>IF(Исходн.данные.!$P38="Ум",K_MinUd_2g_um,IF(Исходн.данные.!$P38="Об",K_MinUd_2g_ob))</f>
        <v>0</v>
      </c>
      <c r="AU38" t="b">
        <f>IF(Исходн.данные.!$P38="Ум",N_MinUd_1g_um,IF(Исходн.данные.!$P38="Об",N_MinUd_1g_ob))</f>
        <v>0</v>
      </c>
      <c r="AV38" t="b">
        <f>IF(Исходн.данные.!P38="Ум",P_MinUd_1g_um,IF(Исходн.данные.!P38="Об",P_MinUd_1g_ob))</f>
        <v>0</v>
      </c>
      <c r="AW38" t="b">
        <f>IF(Исходн.данные.!P38="Ум",K_MinUd_1g_um,IF(Исходн.данные.!P38="Об",K_MinUd_1g_ob))</f>
        <v>0</v>
      </c>
      <c r="AY38" t="e">
        <f>VLOOKUP(Исходн.данные.!T38,Справ!$A$3:$N$57,12)</f>
        <v>#N/A</v>
      </c>
      <c r="AZ38" t="e">
        <f>VLOOKUP(Исходн.данные.!T38,Справ!$A$3:$N$57,13)</f>
        <v>#N/A</v>
      </c>
      <c r="BA38" t="e">
        <f>VLOOKUP(Исходн.данные.!T38,Справ!$A$3:$N$57,14)</f>
        <v>#N/A</v>
      </c>
      <c r="BB38">
        <f>IF(Исходн.данные.!AH38=0,0,25)</f>
        <v>0</v>
      </c>
      <c r="BC38" s="141">
        <f>IF(Исходн.данные.!AH38=0,0,IF(Исходн.данные.!T38=0,25,BD38))</f>
        <v>0</v>
      </c>
      <c r="BD38" s="168" t="e">
        <f>AY38+AZ38*Исходн.данные.!U38-POWER(BA38,2)*Исходн.данные.!U38</f>
        <v>#N/A</v>
      </c>
      <c r="BE3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8" s="25">
        <f>IF(Исходн.данные.!AH38=0,0,MIN(HN38:HP38))</f>
        <v>0</v>
      </c>
      <c r="BG38" s="9">
        <f>IF(Исходн.данные.!AH38=0,0,IF((HO38+10*0.25/HG38/HL38)&lt;17,17,HO38+10*0.25/HG38/HL38))</f>
        <v>0</v>
      </c>
      <c r="BH38" s="181">
        <f>IF(Исходн.данные.!AH38=0,0,HW38*HF38*HL38/AU38*AI38+Исходн.данные.!S38*10)</f>
        <v>0</v>
      </c>
      <c r="BI38" s="10"/>
      <c r="BJ38" s="182">
        <f>IF(Исходн.данные.!AH38=0,0,IF(HX38*HG38*HL38/AV38&lt;0,0,HX38*HG38*HL38/AV38*AJ38))</f>
        <v>0</v>
      </c>
      <c r="BK38" s="182">
        <f>IF(Исходн.данные.!AH38=0,0,HY38*HH38*HM38/AW38)</f>
        <v>0</v>
      </c>
      <c r="BL38" s="10">
        <f>IF(OR(Исходн.данные.!$AH38=$BP$1,Исходн.данные.!$AH38=$BP$2),0,IF(BH38&lt;0,0,IF(OR(Исходн.данные.!T38=Расчет!$BP$1,Исходн.данные.!T38=Расчет!$BP$2,Исходн.данные.!T38=Расчет!$BT$5,Исходн.данные.!T38=Расчет!$BT$6),BH38*0.5,IF(OR(Исходн.данные.!T38=Расчет!$BS$9,Исходн.данные.!T38=Расчет!$BS$10,Исходн.данные.!T38=Расчет!$BS$11,Исходн.данные.!T38=Расчет!$BS$12,Исходн.данные.!T38=Расчет!$BP$5),BH38*0.8,BH38))))</f>
        <v>0</v>
      </c>
      <c r="BM38" s="10">
        <f>IF(OR(Исходн.данные.!$AH38=$BP$1,Исходн.данные.!$AH38=$BP$2),0,IF(BJ38&lt;0,0,IF(Исходн.данные.!I38&lt;4.5,BJ38*1.2,IF(Исходн.данные.!I38&gt;5.1,BJ38,BJ38*((5.1-Исходн.данные.!I38)*0.333+1)))))</f>
        <v>0</v>
      </c>
      <c r="BN38" s="10">
        <f>IF(OR(Исходн.данные.!$AH38=$BP$1,Исходн.данные.!$AH38=$BP$2),60-Исходн.данные.!AF38,IF(BK38&lt;0,0,IF(Исходн.данные.!I38&lt;4.5,BK38*1.2,IF(Исходн.данные.!I38&gt;5.1,BK38,BK38*((5.1-Исходн.данные.!I38)*0.333+1)))))</f>
        <v>0</v>
      </c>
      <c r="BO38" s="9">
        <f>IF(BL38&lt;0,0,BL38*Исходн.данные.!$AJ38/1000)</f>
        <v>0</v>
      </c>
      <c r="BP38" s="9">
        <f>IF(BM38&lt;0,0,BM38*Исходн.данные.!$AJ38/1000)</f>
        <v>0</v>
      </c>
      <c r="BQ38" s="9">
        <f>IF(BN38&lt;0,0,BN38*Исходн.данные.!$AJ38/1000)</f>
        <v>0</v>
      </c>
      <c r="BR38" s="9">
        <f t="shared" si="81"/>
        <v>0</v>
      </c>
      <c r="BS38" s="10" t="str">
        <f t="shared" si="82"/>
        <v>Аммофос 12:52:00</v>
      </c>
      <c r="BT38" s="10" t="str">
        <f t="shared" si="83"/>
        <v>Аммофос 12:52:00</v>
      </c>
      <c r="BU38" s="10" t="str">
        <f t="shared" si="84"/>
        <v>Диаммофоска</v>
      </c>
      <c r="BV38" s="10">
        <f t="shared" si="85"/>
        <v>0</v>
      </c>
      <c r="BW38" s="10"/>
      <c r="BX38" s="10"/>
      <c r="BY38" s="9">
        <f>IF(BL38&lt;0,0,IF(OR(Исходн.данные.!AI38=Расчет!$BU$6,Исходн.данные.!AI38=Расчет!$BU$7),Расчет!BV38,IF(Исходн.данные.!$AG38=$BV$11,BL38,IF(OR(Исходн.данные.!$AH38=$BQ$7,Исходн.данные.!$AH38=$BQ$8),CB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0,IF(Исходн.данные.!$AI38=$BU$11,"Нет",IF(BL38&gt;30,30,BL38)))))))</f>
        <v>0</v>
      </c>
      <c r="BZ38" s="9">
        <f>IF(AND(Исходн.данные.!$AG38=$BV$11,BM38&lt;10),10,IF(Исходн.данные.!$AG38=$BV$11,BM38,IF(OR(Исходн.данные.!$AH38=$BQ$7,Исходн.данные.!$AH38=$BQ$8),CC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10,IF(Исходн.данные.!$AI38=$BU$11,"Нет",IF(BM38&gt;60,60,IF(BM38&lt;10,10,BM38)))))))</f>
        <v>10</v>
      </c>
      <c r="CA38" s="39">
        <f>IF(BN38&lt;0,0,IF(Исходн.данные.!$AG38=$BV$11,BN38,IF(OR(Исходн.данные.!$AH38=$BQ$7,Исходн.данные.!$AH38=$BQ$8),CD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0,IF(Исходн.данные.!$AI38=$BU$11,"Нет",IF(BN38&gt;30,30,BN38))))))</f>
        <v>0</v>
      </c>
      <c r="CB38" s="9">
        <f t="shared" si="86"/>
        <v>0</v>
      </c>
      <c r="CC38" s="9">
        <f t="shared" si="87"/>
        <v>0</v>
      </c>
      <c r="CD38" s="9">
        <f t="shared" si="88"/>
        <v>0</v>
      </c>
      <c r="CE38" s="12">
        <f t="shared" si="89"/>
        <v>10</v>
      </c>
      <c r="CF38" s="9">
        <f t="shared" si="90"/>
        <v>0</v>
      </c>
      <c r="CG38" s="9" t="s">
        <v>231</v>
      </c>
      <c r="CH38" s="132" t="str">
        <f>IF(Исходн.данные.!AP38=Расчет!$CI$16,"Нет",IF(Исходн.данные.!AL38&gt;0,Исходн.данные.!AL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BH$4,IF(OR(Исходн.данные.!AI38=Исходн.данные.!$AI$6,Исходн.данные.!AI38=Исходн.данные.!$AI$7),Расчет!BS38,IF(AND($CF38=0,$CE38&gt;0),EV38,ER38)))))</f>
        <v>Аммофос 12:52:00</v>
      </c>
      <c r="CI38" s="274">
        <f>IF(Расчет!$CH38="Нет","Нет",IF(Исходн.данные.!$AL38&gt;0,VLOOKUP(Расчет!$CH38,АшламаДВ_Irekle,2,FALSE),VLOOKUP(Расчет!$CH38,АшламаДВ_Gomumy,2,FALSE)))</f>
        <v>0.12</v>
      </c>
      <c r="CJ38" s="274">
        <f>IF(Расчет!$CH38="Нет","Нет",IF(Исходн.данные.!$AL38&gt;0,VLOOKUP(Расчет!$CH38,АшламаДВ_Irekle,3,FALSE),VLOOKUP(Расчет!$CH38,АшламаДВ_Gomumy,3,FALSE)))</f>
        <v>0.52</v>
      </c>
      <c r="CK38" s="274">
        <f>IF(Расчет!$CH38="Нет","Нет",IF(Исходн.данные.!$AL38&gt;0,VLOOKUP(Расчет!$CH38,АшламаДВ_Irekle,4,FALSE),VLOOKUP(Расчет!$CH38,АшламаДВ_Gomumy,4,FALSE)))</f>
        <v>0</v>
      </c>
      <c r="CL38" s="70"/>
      <c r="CM38" s="70"/>
      <c r="CN38" s="70"/>
      <c r="CO38" s="70"/>
      <c r="CP38" s="70"/>
      <c r="CQ38" s="70"/>
      <c r="CR38" s="10">
        <f t="shared" si="91"/>
        <v>0</v>
      </c>
      <c r="CS38" s="10">
        <f t="shared" si="92"/>
        <v>19.23076923076923</v>
      </c>
      <c r="CT38" s="10">
        <f t="shared" si="93"/>
        <v>0</v>
      </c>
      <c r="CU38" s="39">
        <f>IF($CH38="Нет",0,IF(CI38=0,30/MIN(CJ38:CK38),IF(Исходн.данные.!$AG38=$BV$11,CR38,IF(OR(Исходн.данные.!$AH38=$BQ$7,Исходн.данные.!$AH38=$BQ$8),90/CI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0,IF(Исходн.данные.!$AI38=$BU$11,"Нет",30/CI38))))))</f>
        <v>250</v>
      </c>
      <c r="CV38" s="39">
        <f>IF($CH38="Нет",0,IF(Исходн.данные.!AH38=0,0,IF(CJ38=0,60/MIN(CI38,CK38),IF(Исходн.данные.!$AG38=$BV$11,CS38,IF(OR(Исходн.данные.!$AH38=$BQ$7,Исходн.данные.!$AH38=$BQ$8),90/CJ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10/CJ38,IF(Исходн.данные.!$AI38=$BU$11,"Нет",60/CJ38)))))))</f>
        <v>0</v>
      </c>
      <c r="CW38" s="39">
        <f>IF($CH38="Нет",0,IF(Исходн.данные.!AH38=0,0,IF(CK38=0,30/MIN(CI38:CJ38),IF(Исходн.данные.!$AG38=$BV$11,CT38,IF(OR(Исходн.данные.!$AH38=$BQ$7,Исходн.данные.!$AH38=$BQ$8),90/CK38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0,IF(Исходн.данные.!$AI38=$BU$11,"Нет",30/CK38)))))))</f>
        <v>0</v>
      </c>
      <c r="CX38" s="133">
        <f>IF(Исходн.данные.!$AG38=$BV$11,MAX(CU38:CW38),IF(OR(Исходн.данные.!$AH38=$BS$8,Исходн.данные.!$AH38=$BQ$9,Исходн.данные.!$AH38=$BQ$10,Исходн.данные.!$AH38=$BQ$11,Исходн.данные.!$AH38=$BQ$12,Исходн.данные.!$AH38=$BP$3,Исходн.данные.!$AH38=$BT$8,$FM38="Да"),CV38,MIN(CU38:CW38)))</f>
        <v>0</v>
      </c>
      <c r="CY38" s="133">
        <f>IF(Исходн.данные.!AH38=0,0,IF(CR38&gt;$CX38,$CX38,CR38))</f>
        <v>0</v>
      </c>
      <c r="CZ38" s="133">
        <f>IF(Исходн.данные.!AH38=0,0,IF(CS38&gt;$CX38,$CX38,CS38))</f>
        <v>0</v>
      </c>
      <c r="DA38" s="133">
        <f>IF(Исходн.данные.!AH38=0,0,IF(CT38&gt;$CX38,$CX38,CT38))</f>
        <v>0</v>
      </c>
      <c r="DB38" s="10">
        <f t="shared" si="94"/>
        <v>0</v>
      </c>
      <c r="DC38" s="39">
        <f>DB38*Исходн.данные.!AJ38/1000</f>
        <v>0</v>
      </c>
      <c r="DD38" s="71">
        <f t="shared" si="95"/>
        <v>0</v>
      </c>
      <c r="DE38" s="9">
        <f t="shared" si="96"/>
        <v>0</v>
      </c>
      <c r="DF38" s="9">
        <f t="shared" si="97"/>
        <v>0</v>
      </c>
      <c r="DG38" s="39">
        <f>IF(BL38&lt;0,0,IF($CH38="Нет",BL38,IF(OR(Исходн.данные.!$AH38=$BP$1,Исходн.данные.!$AH38=$BP$2),0,IF(Исходн.данные.!AI38=$BU$11,BL38,IF(BL38-DD38&lt;0,0,BL38-DD38)))))</f>
        <v>0</v>
      </c>
      <c r="DH38" s="39">
        <f>IF(BM38&lt;0,0,IF($CH38="Нет",BM38,IF(OR(Исходн.данные.!$AH38=$BP$1,Исходн.данные.!$AH38=$BP$2),0,IF(Исходн.данные.!AJ38=$BU$11,BM38,IF(BM38-DE38&lt;0,0,BM38-DE38)))))</f>
        <v>0</v>
      </c>
      <c r="DI38" s="39">
        <f>IF(BN38&lt;0,0,IF($CH38="Нет",BN38,IF(OR(Исходн.данные.!$AH38=$BP$1,Исходн.данные.!$AH38=$BP$2),0,IF(Исходн.данные.!AK38=$BU$11,BN38,IF(BN38-DF38&lt;0,0,BN38-DF38)))))</f>
        <v>0</v>
      </c>
      <c r="DJ38" s="12">
        <f t="shared" si="98"/>
        <v>0</v>
      </c>
      <c r="DK38" s="9">
        <f t="shared" si="99"/>
        <v>0</v>
      </c>
      <c r="DL38" s="39">
        <f>IF(Исходн.данные.!AM38&gt;0,Исходн.данные.!AM38,IF(EG38&gt;0,$BH$10,0))</f>
        <v>0</v>
      </c>
      <c r="DM38" s="186">
        <f>IF($DL38=0,0,IF(Исходн.данные.!AM38&gt;0,VLOOKUP($DL38,АшламаДВ_Irekle,2,FALSE),VLOOKUP($DL38,АшламаДВ_Gomumy,2,FALSE)))</f>
        <v>0</v>
      </c>
      <c r="DN38" s="10">
        <f t="shared" si="46"/>
        <v>0</v>
      </c>
      <c r="DO38" s="9" t="str">
        <f>IF(Исходн.данные.!AN38&gt;0,Исходн.данные.!AN38,Удобрения!$B$37 )</f>
        <v>Хлор.калий</v>
      </c>
      <c r="DP38" s="9">
        <f>IF(Исходн.данные.!AN38&gt;0,VLOOKUP(Исходн.данные.!AN38,АшламаДВ_Irekle,4,FALSE),VLOOKUP(DO38,АшламаДВ_Gomumy,4,FALSE))</f>
        <v>0.6</v>
      </c>
      <c r="DQ38" s="10">
        <f t="shared" si="47"/>
        <v>0</v>
      </c>
      <c r="DR38" s="132" t="str">
        <f>IF(Исходн.данные.!AO38&gt;0,Исходн.данные.!AO38,IF(DH38=0,BS$17,IF(AND($DK38=0,$DJ38&gt;0),EJ38,EN38)))</f>
        <v>Нет</v>
      </c>
      <c r="DS38" s="70" t="str">
        <f>IF($DR38="Нет","Нет",IF(Исходн.данные.!$AO38&gt;0,VLOOKUP($DR38,АшламаДВ_Irekle,2,FALSE),VLOOKUP($DR38,АшламаДВ_Gomumy,2,FALSE)))</f>
        <v>Нет</v>
      </c>
      <c r="DT38" s="70" t="str">
        <f>IF($DR38="Нет","Нет",IF(Исходн.данные.!$AO38&gt;0,VLOOKUP($DR38,АшламаДВ_Irekle,3,FALSE),VLOOKUP($DR38,АшламаДВ_Gomumy,3,FALSE)))</f>
        <v>Нет</v>
      </c>
      <c r="DU38" s="70" t="str">
        <f>IF($DR38="Нет","Нет",IF(Исходн.данные.!$AO38&gt;0,VLOOKUP($DR38,АшламаДВ_Irekle,4,FALSE),VLOOKUP($DR38,АшламаДВ_Gomumy,4,FALSE)))</f>
        <v>Нет</v>
      </c>
      <c r="DV38" s="70"/>
      <c r="DW38" s="70"/>
      <c r="DX38" s="70"/>
      <c r="DY38" s="10">
        <f t="shared" si="100"/>
        <v>0</v>
      </c>
      <c r="DZ38" s="10">
        <f t="shared" si="101"/>
        <v>0</v>
      </c>
      <c r="EA38" s="10">
        <f t="shared" si="102"/>
        <v>0</v>
      </c>
      <c r="EB38" s="10">
        <f t="shared" si="103"/>
        <v>0</v>
      </c>
      <c r="EC38" s="10">
        <f t="shared" si="104"/>
        <v>0</v>
      </c>
      <c r="ED38" s="10">
        <f t="shared" si="105"/>
        <v>0</v>
      </c>
      <c r="EE38" s="10">
        <f t="shared" si="106"/>
        <v>0</v>
      </c>
      <c r="EF38" s="39">
        <f>EB38*Исходн.данные.!AJ38/1000</f>
        <v>0</v>
      </c>
      <c r="EG38" s="9">
        <f t="shared" si="107"/>
        <v>0</v>
      </c>
      <c r="EH38" s="9">
        <f t="shared" si="108"/>
        <v>0</v>
      </c>
      <c r="EI38" s="39" t="e">
        <f t="shared" si="7"/>
        <v>#DIV/0!</v>
      </c>
      <c r="EJ38" s="9" t="str">
        <f t="shared" si="8"/>
        <v>Азопреципитат</v>
      </c>
      <c r="EK38" s="12">
        <f t="shared" si="9"/>
        <v>0.26</v>
      </c>
      <c r="EL38" s="12">
        <f t="shared" si="10"/>
        <v>0.13</v>
      </c>
      <c r="EM38" s="12">
        <f t="shared" si="11"/>
        <v>0</v>
      </c>
      <c r="EN38" s="12" t="str">
        <f t="shared" si="57"/>
        <v>Нет</v>
      </c>
      <c r="EO38" s="12">
        <f t="shared" si="12"/>
        <v>0</v>
      </c>
      <c r="EP38" s="12">
        <f t="shared" si="13"/>
        <v>0</v>
      </c>
      <c r="EQ38" s="12">
        <f t="shared" si="14"/>
        <v>0</v>
      </c>
      <c r="ER38" s="12" t="str">
        <f t="shared" si="109"/>
        <v>Диаммофоска</v>
      </c>
      <c r="ES38" s="12">
        <f t="shared" si="15"/>
        <v>0.1</v>
      </c>
      <c r="ET38" s="12">
        <f t="shared" si="16"/>
        <v>0.26</v>
      </c>
      <c r="EU38" s="12">
        <f t="shared" si="17"/>
        <v>0.26</v>
      </c>
      <c r="EV38" s="12" t="str">
        <f t="shared" si="110"/>
        <v>Аммофос 12:52:00</v>
      </c>
      <c r="EW38" s="12" t="str">
        <f t="shared" si="111"/>
        <v>Кемира Свекловичное-6</v>
      </c>
      <c r="EX38" s="12">
        <f t="shared" si="18"/>
        <v>0.16</v>
      </c>
      <c r="EY38" s="12">
        <f t="shared" si="19"/>
        <v>0.12</v>
      </c>
      <c r="EZ38" s="12">
        <f t="shared" si="20"/>
        <v>0.17</v>
      </c>
      <c r="FA38" s="38" t="e">
        <f>IF(AND(OR(FJ38=$FD$1,FM38=$FD$1,FO38=$FD$1,FQ38=$FD$1,FS38=$FD$1),FD38=$FD$1,Исходн.данные.!J38&lt;2,FU38=$FD$1),"Бор,Кобальт",IF(AND(FO38=$FD$1,FH38=$FD$1,Исходн.данные.!J38&lt;2,FU38=$FD$1),"Бор,Кобальт",IF(AND(OR(FJ38=$FD$1,FM38=$FD$1,FQ38=$FD$1),FE38=$FD$1,Исходн.данные.!J38&lt;2,FT38=$FD$1,FU38=$FD$1),"Бор,Медь,Цинк",IF(AND(OR(FJ38=$FD$1,FR38="Да"),FI38="Да",Исходн.данные.!J38&lt;2,FT38="Да",FU38="Да"),"Бор,Цинк,Медь",IF(AND(OR(FM38="Да",FQ38="Да"),FI38="Да",Исходн.данные.!J38&lt;2,FT38="Да",FU38="Да"),"Бор,Цинк",IF(AND(FN38="Да",OR(FD38="Да",FE38="Да")),"Бор",FB38))))))</f>
        <v>#N/A</v>
      </c>
      <c r="FB38" s="134" t="e">
        <f>IF(AND(OR(FD38="Да",FE38="Да",FF38="Да",FG38="Да",FH38="Да"),FO38="Да"),"Бор",IF(AND(FP38="Да",OR(FD38="Да",FE38="Да",FI38="Да")),"Бор",IF(AND(FS38="Да",FE38="Да"),"Бор,Медь",IF(AND(OR(FJ38="Да",FK38="Да",FL38="Да"),FE38="Да",Исходн.данные.!I38&lt;5,FT38="Да",FU38="Да"),"Молибден,Цинк",IF(AND(FM38="Да",OR(FE38="Да",FF38="Да",FG38="Да",FH38="Да",FI38="Да")),"Молибден,Цинк",IF(AND(OR(FJ38="Да",FK38="Да",FL38="Да",FM38="Да",FQ38="Да"),OR(FE38="Да",FF38="Да"),FT38="Да",FU38="Да",Исходн.данные.!I38&gt;5.5),"Медь,Цинк",FC38))))))</f>
        <v>#N/A</v>
      </c>
      <c r="FC38" s="23" t="e">
        <f t="shared" si="112"/>
        <v>#N/A</v>
      </c>
      <c r="FD38" s="38" t="str">
        <f>IF(OR(Исходн.данные.!F38=$CC$1,Исходн.данные.!F38=$CC$2,Исходн.данные.!F38=$CC$3,Исходн.данные.!F38=$CC$4),"Да","Нет")</f>
        <v>Нет</v>
      </c>
      <c r="FE38" s="38" t="str">
        <f>IF(Исходн.данные.!F38=$CC$5,"Да","Нет")</f>
        <v>Нет</v>
      </c>
      <c r="FF38" s="38" t="str">
        <f>IF(OR(Исходн.данные.!F38=$CC$6,Исходн.данные.!F38=$CC$7),"Да","Нет")</f>
        <v>Нет</v>
      </c>
      <c r="FG38" s="38" t="str">
        <f>IF(OR(Исходн.данные.!F38=$CC$8,Исходн.данные.!F38=$CC$9),"Да","Нет")</f>
        <v>Нет</v>
      </c>
      <c r="FH38" s="38" t="str">
        <f>IF(Исходн.данные.!F38=$CC$10,"Да","Нет")</f>
        <v>Нет</v>
      </c>
      <c r="FI38" s="38" t="str">
        <f>IF(OR(Исходн.данные.!F38=$CC$11,Исходн.данные.!F38=$CC$12),"Да","Нет")</f>
        <v>Нет</v>
      </c>
      <c r="FJ38" s="38" t="str">
        <f>IF(OR(Исходн.данные.!AH38=$BS$1,Исходн.данные.!AH38=$BQ$11,Исходн.данные.!AH38=$BQ$12),"Да","Нет")</f>
        <v>Нет</v>
      </c>
      <c r="FK38" s="38" t="str">
        <f>IF(OR(Исходн.данные.!AH38=$BS$2,Исходн.данные.!AH38=$BS$4),"Да","Нет")</f>
        <v>Нет</v>
      </c>
      <c r="FL38" s="38" t="str">
        <f>IF(OR(Исходн.данные.!AH38=$BS$3,Исходн.данные.!AH38=$BS$5),"Да","Нет")</f>
        <v>Нет</v>
      </c>
      <c r="FM38" s="38" t="str">
        <f>IF(OR(Исходн.данные.!AH38=$BS$9,Исходн.данные.!AH38=$BS$10,Исходн.данные.!AH38=$BS$11,Исходн.данные.!AH38=$BS$12),"Да","Нет")</f>
        <v>Нет</v>
      </c>
      <c r="FN38" s="38" t="str">
        <f>IF(OR(Исходн.данные.!AH38=$BS$6,Исходн.данные.!AH38=$BP$3),"Да","Нет")</f>
        <v>Нет</v>
      </c>
      <c r="FO38" s="38" t="str">
        <f>IF(Исходн.данные.!AH38=$BQ$9,"Да","Нет")</f>
        <v>Нет</v>
      </c>
      <c r="FP38" s="38" t="str">
        <f>IF(OR(Исходн.данные.!AH38=$BS$8,Исходн.данные.!AH38=$BT$8),"Да","Нет")</f>
        <v>Нет</v>
      </c>
      <c r="FQ38" s="38" t="str">
        <f>IF(OR(Исходн.данные.!AH38=$BQ$7,Исходн.данные.!AH38=$BQ$8),"Да","Нет")</f>
        <v>Нет</v>
      </c>
      <c r="FR38" s="38" t="str">
        <f>IF(Исходн.данные.!AI38=$BU$9,"Да","Нет")</f>
        <v>Нет</v>
      </c>
      <c r="FS38" s="38" t="str">
        <f>IF(OR(Исходн.данные.!AH38=$BP$1,Исходн.данные.!AH38=$BP$2),"Да","Нет")</f>
        <v>Нет</v>
      </c>
      <c r="FT38" s="38" t="e">
        <f>IF((Исходн.данные.!K38*GO38*GS38*GW38+BL38*0.6+Исходн.данные.!Q38*4.5*0.275)&gt;90,"Да","Нет")</f>
        <v>#N/A</v>
      </c>
      <c r="FU38" s="38" t="e">
        <f>IF((Исходн.данные.!M38*GS38*GZ38+BM38*0.225)&gt;35,"Да","Нет")</f>
        <v>#N/A</v>
      </c>
      <c r="FV38" s="38" t="str">
        <f>IF(Исходн.данные.!O38&gt;175,"Да","Нет")</f>
        <v>Нет</v>
      </c>
      <c r="FW38" s="39" t="str">
        <f>IF(Исходн.данные.!I38&gt;5.5,"Да","Нет")</f>
        <v>Нет</v>
      </c>
      <c r="FX38" s="39" t="str">
        <f>IF(Исходн.данные.!J38&lt;2,"Да","Нет")</f>
        <v>Да</v>
      </c>
      <c r="FY38" s="39" t="e">
        <f>IF(HF38=$FY$16,0,Исходн.данные.!K38*GO38*GS38*GW38/HF38)</f>
        <v>#N/A</v>
      </c>
      <c r="FZ38" s="39" t="e">
        <f>Исходн.данные.!M38*GS38*GZ38/HG38</f>
        <v>#N/A</v>
      </c>
      <c r="GA38" s="39" t="e">
        <f>IF(K_Wyn=$FY$16,0,IF(Исходн.данные.!N38=Исходн.данные.!$L$10,Исходн.данные.!O38/1.1*GS38*HC38/HH38,IF(Исходн.данные.!N38=Исходн.данные.!$L$12,Исходн.данные.!O38/1.5*GS38*HC38/HH38,Исходн.данные.!O38*GS38*HC38/HH38)))</f>
        <v>#N/A</v>
      </c>
      <c r="GB38" s="39" t="e">
        <f>IF(HF38=$FY$16,0,((Исходн.данные.!Q38*N_Org+Исходн.данные.!R38*N_Sider+Исходн.данные.!S38*N_Soloma)*AO38+Расчет!BC38*VLOOKUP(Исходн.данные.!T38,Справ!$A$3:$O$57,15)*AO38+BB38*VLOOKUP(Исходн.данные.!T38,Справ!$A$3:$O$57,15)*AL38+(Исходн.данные.!V38*N_Rizotorf+Исходн.данные.!W38*N_Rizoagr))/HF38)</f>
        <v>#N/A</v>
      </c>
      <c r="GC38" s="39" t="e">
        <f>IF(HG38=$FY$16,0,((Исходн.данные.!Q38*Р_Org+Исходн.данные.!R38*P_Sider+Исходн.данные.!S38*P_Soloma)*AP38+Расчет!BC38*VLOOKUP(Исходн.данные.!T38,Справ!$A$3:$P$57,16)*AP38+BB38*VLOOKUP(Исходн.данные.!T38,Справ!$A$3:$P$57,16)*AM38)/HG38)</f>
        <v>#N/A</v>
      </c>
      <c r="GD38" s="39" t="e">
        <f>IF(HH38=$FY$16,0,((Исходн.данные.!Q38*К_Org+Исходн.данные.!R38*K_Sider+Исходн.данные.!S38*K_Soloma)*AQ38+Расчет!BC38*VLOOKUP(Исходн.данные.!T38,Справ!$A$3:$Q$57,17)*AQ38+BB38*VLOOKUP(Исходн.данные.!T38,Справ!$A$3:$Q$57,17)*AN38)/HH38)</f>
        <v>#N/A</v>
      </c>
      <c r="GE38" s="39" t="e">
        <f>IF(HF38=$FY$16,0,(Исходн.данные.!X38*AR38+Исходн.данные.!AA38*N_Org*AL38+Исходн.данные.!AB38*N_Sider*AL38+Исходн.данные.!AC38*N_Soloma*AL38)/HF38)</f>
        <v>#N/A</v>
      </c>
      <c r="GF38" s="39" t="e">
        <f>IF(HG38=$FY$16,0,(Исходн.данные.!Y38*AS38+Исходн.данные.!AA38*Р_Org*AM38+Исходн.данные.!AB38*P_Sider*AM38+Исходн.данные.!AC38*P_Soloma*AM38)/HG38)</f>
        <v>#N/A</v>
      </c>
      <c r="GG38" s="39" t="e">
        <f>IF(HH38=$FY$16,0,(Исходн.данные.!Z38*AT38+Исходн.данные.!AA38*К_Org*AN38+Исходн.данные.!AB38*K_Sider*AN38+Исходн.данные.!AC38*K_Soloma*AN38)/HH38)</f>
        <v>#N/A</v>
      </c>
      <c r="GH38" s="39" t="e">
        <f>Исходн.данные.!AD38*AU38/HF38</f>
        <v>#N/A</v>
      </c>
      <c r="GI38" s="39" t="e">
        <f>Исходн.данные.!AE38*AV38/HG38</f>
        <v>#N/A</v>
      </c>
      <c r="GJ38" s="39" t="e">
        <f>Исходн.данные.!AF38*AW38/HH38</f>
        <v>#N/A</v>
      </c>
      <c r="GK38" s="55">
        <f>Исходн.данные.!AK38</f>
        <v>0</v>
      </c>
      <c r="GL38" s="11" t="e">
        <f t="shared" si="113"/>
        <v>#N/A</v>
      </c>
      <c r="GM38" s="11" t="e">
        <f t="shared" si="114"/>
        <v>#N/A</v>
      </c>
      <c r="GN38" s="11" t="e">
        <f t="shared" si="115"/>
        <v>#N/A</v>
      </c>
      <c r="GO38" s="57">
        <f t="shared" si="116"/>
        <v>19</v>
      </c>
      <c r="GP38" s="55">
        <f>IF(OR(Исходн.данные.!F38=$CE$1,Исходн.данные.!F38=$CE$2,Исходн.данные.!F38=$CE$3,Исходн.данные.!F38=$CE$4,Исходн.данные.!F38=$CE$5),GQ38,GR38)</f>
        <v>19</v>
      </c>
      <c r="GQ38" s="55">
        <f>IF(Исходн.данные.!F38=$CE$1,28,IF(Исходн.данные.!F38=$CE$2,26,IF(Исходн.данные.!F38=$CE$3,24,IF(Исходн.данные.!F38=$CE$4,22,IF(Исходн.данные.!F38=$CE$5,20,GR38)))))</f>
        <v>19</v>
      </c>
      <c r="GR38" s="55">
        <f>IF(Исходн.данные.!F38=$CE$6,18,IF(Исходн.данные.!F38=$CE$7,16,IF(Исходн.данные.!F38=$CE$8,14,IF(Исходн.данные.!F38=$CE$9,13,IF(Исходн.данные.!F38=$CE$10,12,19)))))</f>
        <v>19</v>
      </c>
      <c r="GS38" s="55">
        <f>IF(Исходн.данные.!G38="Пес",0.035*(40+2*Исходн.данные.!H38),IF(Исходн.данные.!G38="Суп",0.0325*(40+2*Исходн.данные.!H38),0.03*(40+2*Исходн.данные.!H38)))</f>
        <v>1.2</v>
      </c>
      <c r="GT38" s="55">
        <f>IF(Исходн.данные.!H38&lt;23,2.6,IF(AND(Исходн.данные.!H38&gt;22,Исходн.данные.!H38&lt;26),3,IF(AND(Исходн.данные.!H38&gt;25,Исходн.данные.!H38&lt;29),3.4,3.6)))</f>
        <v>2.6</v>
      </c>
      <c r="GU38" s="55">
        <f>IF(Исходн.данные.!H38&lt;23,2.8,IF(AND(Исходн.данные.!H38&gt;22,Исходн.данные.!H38&lt;26),3.2,IF(AND(Исходн.данные.!H38&gt;25,Исходн.данные.!H38&lt;29),3.6,3.9)))</f>
        <v>2.8</v>
      </c>
      <c r="GV38" s="55">
        <f>IF(Исходн.данные.!H38&lt;23,3,IF(AND(Исходн.данные.!H38&gt;22,Исходн.данные.!H38&lt;26),3.5,IF(AND(Исходн.данные.!H38&gt;25,Исходн.данные.!H38&lt;29),3.9,4.2)))</f>
        <v>3</v>
      </c>
      <c r="GW38" s="55" t="e">
        <f>IF(Исходн.данные.!P38="Ум",GX38,GY38)</f>
        <v>#N/A</v>
      </c>
      <c r="GX38" s="55" t="e">
        <f>VLOOKUP(Исходн.данные.!AI38,Коэффициенты!$J$7:$L$13,2,FALSE)</f>
        <v>#N/A</v>
      </c>
      <c r="GY38" s="55" t="e">
        <f>VLOOKUP(Исходн.данные.!AI38,Коэффициенты!$J$7:$L$13,3,FALSE)</f>
        <v>#N/A</v>
      </c>
      <c r="GZ38" s="55" t="e">
        <f>(IF(Исходн.данные.!M38&lt;50,0.11*VLOOKUP(Исходн.данные.!AH38,Культуры.Информация,7,FALSE),IF(Исходн.данные.!M38&gt;250,0.05*VLOOKUP(Исходн.данные.!AH38,Культуры.Информация,7,FALSE),VLOOKUP(Исходн.данные.!AH38,Культуры.Информация,5,FALSE)/100*($GX$6+$GY$6*Исходн.данные.!M38))))*Расчет2!AI38</f>
        <v>#N/A</v>
      </c>
      <c r="HA38" s="211"/>
      <c r="HB38" s="211"/>
      <c r="HC38" s="55" t="e">
        <f>(IF(Исходн.данные.!O38&lt;80,0.2*VLOOKUP(Исходн.данные.!AH38,Культуры.Информация,8,FALSE),IF(Исходн.данные.!O38&gt;240,0.09*VLOOKUP(Исходн.данные.!AH38,Культуры.Информация,8,FALSE),VLOOKUP(Исходн.данные.!AH38,Культуры.Информация,6,FALSE)/100*($HB$6+$HC$6*Исходн.данные.!O38))))*Расчет2!AJ38</f>
        <v>#N/A</v>
      </c>
      <c r="HD38" s="55">
        <f>IF(Исходн.данные.!O38&gt;240,0.09,IF(Исходн.данные.!O38&lt;30,0.3,$HE$10+$HD$10*Исходн.данные.!O38))</f>
        <v>0.3</v>
      </c>
      <c r="HE38" s="55">
        <f>IF(Исходн.данные.!O38&gt;240,0.17,IF(Исходн.данные.!O38&lt;30,0.5,$HF$12+$HE$12*Исходн.данные.!O38))</f>
        <v>0.5</v>
      </c>
      <c r="HF38" s="55" t="e">
        <f>VLOOKUP(Исходн.данные.!AH38,Справ!$A$3:$D$58,2,FALSE)</f>
        <v>#N/A</v>
      </c>
      <c r="HG38" s="55" t="e">
        <f>VLOOKUP(Исходн.данные.!AH38,Справ!$A$3:$D$58,3,FALSE)</f>
        <v>#N/A</v>
      </c>
      <c r="HH38" s="55" t="e">
        <f>VLOOKUP(Исходн.данные.!AH38,Справ!$A$3:$D$58,4,FALSE)</f>
        <v>#N/A</v>
      </c>
      <c r="HI38" s="11" t="e">
        <f t="shared" si="117"/>
        <v>#N/A</v>
      </c>
      <c r="HJ38" s="11" t="e">
        <f t="shared" si="118"/>
        <v>#N/A</v>
      </c>
      <c r="HK38" s="11" t="e">
        <f t="shared" si="119"/>
        <v>#N/A</v>
      </c>
      <c r="HL38" s="55">
        <f>IF(OR(Исходн.данные.!G38="Глин",Исходн.данные.!G38="Т_суг"),1.1,IF(Исходн.данные.!G38="Ср_суг",1,1))</f>
        <v>1</v>
      </c>
      <c r="HM38" s="55">
        <f>IF(OR(Исходн.данные.!G38="Глин",Исходн.данные.!G38="Т_суг"),0.9,IF(Исходн.данные.!G38="Ср_суг",1,1.2))</f>
        <v>1.2</v>
      </c>
      <c r="HN38" s="11" t="e">
        <f t="shared" si="120"/>
        <v>#N/A</v>
      </c>
      <c r="HO38" s="11" t="e">
        <f t="shared" si="121"/>
        <v>#N/A</v>
      </c>
      <c r="HP38" s="11" t="e">
        <f t="shared" si="122"/>
        <v>#N/A</v>
      </c>
      <c r="HQ38" t="e">
        <f t="shared" si="123"/>
        <v>#N/A</v>
      </c>
      <c r="HR38" t="e">
        <f t="shared" si="124"/>
        <v>#N/A</v>
      </c>
      <c r="HS38" t="e">
        <f t="shared" si="125"/>
        <v>#N/A</v>
      </c>
      <c r="HT38" t="e">
        <f t="shared" si="21"/>
        <v>#N/A</v>
      </c>
      <c r="HU38" t="e">
        <f t="shared" si="22"/>
        <v>#N/A</v>
      </c>
      <c r="HV38" t="e">
        <f t="shared" si="23"/>
        <v>#N/A</v>
      </c>
      <c r="HW38" t="e">
        <f t="shared" si="24"/>
        <v>#N/A</v>
      </c>
      <c r="HX38" t="e">
        <f t="shared" si="25"/>
        <v>#N/A</v>
      </c>
      <c r="HY38" t="e">
        <f t="shared" si="26"/>
        <v>#N/A</v>
      </c>
      <c r="HZ38" s="55">
        <f>IF(OR(Исходн.данные.!AI38="Оз_Ч_П",Исходн.данные.!AI38="Оз_З_П",Исходн.данные.!AI38="Яр_зер"),12,30)</f>
        <v>30</v>
      </c>
      <c r="IA38" t="e">
        <f t="shared" si="126"/>
        <v>#N/A</v>
      </c>
      <c r="IB38" t="e">
        <f t="shared" si="127"/>
        <v>#N/A</v>
      </c>
      <c r="IC38" t="e">
        <f t="shared" si="128"/>
        <v>#N/A</v>
      </c>
      <c r="ID38" s="11" t="e">
        <f t="shared" si="129"/>
        <v>#N/A</v>
      </c>
      <c r="IE38" s="11" t="e">
        <f t="shared" si="130"/>
        <v>#N/A</v>
      </c>
      <c r="IF38" s="11" t="e">
        <f t="shared" si="131"/>
        <v>#N/A</v>
      </c>
    </row>
    <row r="39" spans="35:240" x14ac:dyDescent="0.2">
      <c r="AI39">
        <f>IF(Исходн.данные.!I39&gt;6,1,1.85-(0.148*Исходн.данные.!I39))</f>
        <v>1.85</v>
      </c>
      <c r="AJ39">
        <f>IF(Исходн.данные.!I39&gt;6,1,2.434-(0.246*Исходн.данные.!I39))</f>
        <v>2.4340000000000002</v>
      </c>
      <c r="AL39" s="148" t="b">
        <f>IF(Исходн.данные.!$P39="Ум",N_OrgUd_2g_um,IF(Исходн.данные.!$P39="Об",N_OrgUd_2g_ob))</f>
        <v>0</v>
      </c>
      <c r="AM39" s="148" t="b">
        <f>IF(Исходн.данные.!$P39="Ум",P_OrgUd_2g_um,IF(Исходн.данные.!$P39="Об",P_OrgUd_2g_ob))</f>
        <v>0</v>
      </c>
      <c r="AN39" s="148" t="b">
        <f>IF(Исходн.данные.!$P39="Ум",K_OrgUd_2g_um,IF(Исходн.данные.!$P39="Об",K_OrgUd_2g_ob))</f>
        <v>0</v>
      </c>
      <c r="AO39" s="148" t="b">
        <f>IF(Исходн.данные.!$P39="Ум",N_OrgUd_1g_um,IF(Исходн.данные.!$P39="Об",N_OrgUd_1g_ob))</f>
        <v>0</v>
      </c>
      <c r="AP39" s="148" t="b">
        <f>IF(Исходн.данные.!$P39="Ум",P_OrgUd_1g_um,IF(Исходн.данные.!$P39="Об",P_OrgUd_1g_ob))</f>
        <v>0</v>
      </c>
      <c r="AQ39" s="148" t="b">
        <f>IF(Исходн.данные.!$P39="Ум",K_OrgUd_1g_um,IF(Исходн.данные.!$P39="Об",K_OrgUd_1g_ob))</f>
        <v>0</v>
      </c>
      <c r="AR39" t="b">
        <f>IF(Исходн.данные.!$P39="Ум",N_MinUd_2g_um,IF(Исходн.данные.!$P39="Об",N_MinUd_2g_ob))</f>
        <v>0</v>
      </c>
      <c r="AS39" t="b">
        <f>IF(Исходн.данные.!$P39="Ум",P_MinUd_2g_um,IF(Исходн.данные.!$P39="Об",P_MinUd_2g_ob))</f>
        <v>0</v>
      </c>
      <c r="AT39" t="b">
        <f>IF(Исходн.данные.!$P39="Ум",K_MinUd_2g_um,IF(Исходн.данные.!$P39="Об",K_MinUd_2g_ob))</f>
        <v>0</v>
      </c>
      <c r="AU39" t="b">
        <f>IF(Исходн.данные.!$P39="Ум",N_MinUd_1g_um,IF(Исходн.данные.!$P39="Об",N_MinUd_1g_ob))</f>
        <v>0</v>
      </c>
      <c r="AV39" t="b">
        <f>IF(Исходн.данные.!P39="Ум",P_MinUd_1g_um,IF(Исходн.данные.!P39="Об",P_MinUd_1g_ob))</f>
        <v>0</v>
      </c>
      <c r="AW39" t="b">
        <f>IF(Исходн.данные.!P39="Ум",K_MinUd_1g_um,IF(Исходн.данные.!P39="Об",K_MinUd_1g_ob))</f>
        <v>0</v>
      </c>
      <c r="AY39" t="e">
        <f>VLOOKUP(Исходн.данные.!T39,Справ!$A$3:$N$57,12)</f>
        <v>#N/A</v>
      </c>
      <c r="AZ39" t="e">
        <f>VLOOKUP(Исходн.данные.!T39,Справ!$A$3:$N$57,13)</f>
        <v>#N/A</v>
      </c>
      <c r="BA39" t="e">
        <f>VLOOKUP(Исходн.данные.!T39,Справ!$A$3:$N$57,14)</f>
        <v>#N/A</v>
      </c>
      <c r="BB39">
        <f>IF(Исходн.данные.!AH39=0,0,25)</f>
        <v>0</v>
      </c>
      <c r="BC39" s="141">
        <f>IF(Исходн.данные.!AH39=0,0,IF(Исходн.данные.!T39=0,25,BD39))</f>
        <v>0</v>
      </c>
      <c r="BD39" s="168" t="e">
        <f>AY39+AZ39*Исходн.данные.!U39-POWER(BA39,2)*Исходн.данные.!U39</f>
        <v>#N/A</v>
      </c>
      <c r="BE3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9" s="25">
        <f>IF(Исходн.данные.!AH39=0,0,MIN(HN39:HP39))</f>
        <v>0</v>
      </c>
      <c r="BG39" s="9">
        <f>IF(Исходн.данные.!AH39=0,0,IF((HO39+10*0.25/HG39/HL39)&lt;17,17,HO39+10*0.25/HG39/HL39))</f>
        <v>0</v>
      </c>
      <c r="BH39" s="181">
        <f>IF(Исходн.данные.!AH39=0,0,HW39*HF39*HL39/AU39*AI39+Исходн.данные.!S39*10)</f>
        <v>0</v>
      </c>
      <c r="BI39" s="10"/>
      <c r="BJ39" s="182">
        <f>IF(Исходн.данные.!AH39=0,0,IF(HX39*HG39*HL39/AV39&lt;0,0,HX39*HG39*HL39/AV39*AJ39))</f>
        <v>0</v>
      </c>
      <c r="BK39" s="182">
        <f>IF(Исходн.данные.!AH39=0,0,HY39*HH39*HM39/AW39)</f>
        <v>0</v>
      </c>
      <c r="BL39" s="10">
        <f>IF(OR(Исходн.данные.!$AH39=$BP$1,Исходн.данные.!$AH39=$BP$2),0,IF(BH39&lt;0,0,IF(OR(Исходн.данные.!T39=Расчет!$BP$1,Исходн.данные.!T39=Расчет!$BP$2,Исходн.данные.!T39=Расчет!$BT$5,Исходн.данные.!T39=Расчет!$BT$6),BH39*0.5,IF(OR(Исходн.данные.!T39=Расчет!$BS$9,Исходн.данные.!T39=Расчет!$BS$10,Исходн.данные.!T39=Расчет!$BS$11,Исходн.данные.!T39=Расчет!$BS$12,Исходн.данные.!T39=Расчет!$BP$5),BH39*0.8,BH39))))</f>
        <v>0</v>
      </c>
      <c r="BM39" s="10">
        <f>IF(OR(Исходн.данные.!$AH39=$BP$1,Исходн.данные.!$AH39=$BP$2),0,IF(BJ39&lt;0,0,IF(Исходн.данные.!I39&lt;4.5,BJ39*1.2,IF(Исходн.данные.!I39&gt;5.1,BJ39,BJ39*((5.1-Исходн.данные.!I39)*0.333+1)))))</f>
        <v>0</v>
      </c>
      <c r="BN39" s="10">
        <f>IF(OR(Исходн.данные.!$AH39=$BP$1,Исходн.данные.!$AH39=$BP$2),60-Исходн.данные.!AF39,IF(BK39&lt;0,0,IF(Исходн.данные.!I39&lt;4.5,BK39*1.2,IF(Исходн.данные.!I39&gt;5.1,BK39,BK39*((5.1-Исходн.данные.!I39)*0.333+1)))))</f>
        <v>0</v>
      </c>
      <c r="BO39" s="9">
        <f>IF(BL39&lt;0,0,BL39*Исходн.данные.!$AJ39/1000)</f>
        <v>0</v>
      </c>
      <c r="BP39" s="9">
        <f>IF(BM39&lt;0,0,BM39*Исходн.данные.!$AJ39/1000)</f>
        <v>0</v>
      </c>
      <c r="BQ39" s="9">
        <f>IF(BN39&lt;0,0,BN39*Исходн.данные.!$AJ39/1000)</f>
        <v>0</v>
      </c>
      <c r="BR39" s="9">
        <f t="shared" si="81"/>
        <v>0</v>
      </c>
      <c r="BS39" s="10" t="str">
        <f t="shared" si="82"/>
        <v>Аммофос 12:52:00</v>
      </c>
      <c r="BT39" s="10" t="str">
        <f t="shared" si="83"/>
        <v>Аммофос 12:52:00</v>
      </c>
      <c r="BU39" s="10" t="str">
        <f t="shared" si="84"/>
        <v>Диаммофоска</v>
      </c>
      <c r="BV39" s="10">
        <f t="shared" si="85"/>
        <v>0</v>
      </c>
      <c r="BW39" s="10"/>
      <c r="BX39" s="10"/>
      <c r="BY39" s="9">
        <f>IF(BL39&lt;0,0,IF(OR(Исходн.данные.!AI39=Расчет!$BU$6,Исходн.данные.!AI39=Расчет!$BU$7),Расчет!BV39,IF(Исходн.данные.!$AG39=$BV$11,BL39,IF(OR(Исходн.данные.!$AH39=$BQ$7,Исходн.данные.!$AH39=$BQ$8),CB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0,IF(Исходн.данные.!$AI39=$BU$11,"Нет",IF(BL39&gt;30,30,BL39)))))))</f>
        <v>0</v>
      </c>
      <c r="BZ39" s="9">
        <f>IF(AND(Исходн.данные.!$AG39=$BV$11,BM39&lt;10),10,IF(Исходн.данные.!$AG39=$BV$11,BM39,IF(OR(Исходн.данные.!$AH39=$BQ$7,Исходн.данные.!$AH39=$BQ$8),CC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10,IF(Исходн.данные.!$AI39=$BU$11,"Нет",IF(BM39&gt;60,60,IF(BM39&lt;10,10,BM39)))))))</f>
        <v>10</v>
      </c>
      <c r="CA39" s="39">
        <f>IF(BN39&lt;0,0,IF(Исходн.данные.!$AG39=$BV$11,BN39,IF(OR(Исходн.данные.!$AH39=$BQ$7,Исходн.данные.!$AH39=$BQ$8),CD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0,IF(Исходн.данные.!$AI39=$BU$11,"Нет",IF(BN39&gt;30,30,BN39))))))</f>
        <v>0</v>
      </c>
      <c r="CB39" s="9">
        <f t="shared" si="86"/>
        <v>0</v>
      </c>
      <c r="CC39" s="9">
        <f t="shared" si="87"/>
        <v>0</v>
      </c>
      <c r="CD39" s="9">
        <f t="shared" si="88"/>
        <v>0</v>
      </c>
      <c r="CE39" s="12">
        <f t="shared" si="89"/>
        <v>10</v>
      </c>
      <c r="CF39" s="9">
        <f t="shared" si="90"/>
        <v>0</v>
      </c>
      <c r="CG39" s="9" t="s">
        <v>231</v>
      </c>
      <c r="CH39" s="132" t="str">
        <f>IF(Исходн.данные.!AP39=Расчет!$CI$16,"Нет",IF(Исходн.данные.!AL39&gt;0,Исходн.данные.!AL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BH$4,IF(OR(Исходн.данные.!AI39=Исходн.данные.!$AI$6,Исходн.данные.!AI39=Исходн.данные.!$AI$7),Расчет!BS39,IF(AND($CF39=0,$CE39&gt;0),EV39,ER39)))))</f>
        <v>Аммофос 12:52:00</v>
      </c>
      <c r="CI39" s="274">
        <f>IF(Расчет!$CH39="Нет","Нет",IF(Исходн.данные.!$AL39&gt;0,VLOOKUP(Расчет!$CH39,АшламаДВ_Irekle,2,FALSE),VLOOKUP(Расчет!$CH39,АшламаДВ_Gomumy,2,FALSE)))</f>
        <v>0.12</v>
      </c>
      <c r="CJ39" s="274">
        <f>IF(Расчет!$CH39="Нет","Нет",IF(Исходн.данные.!$AL39&gt;0,VLOOKUP(Расчет!$CH39,АшламаДВ_Irekle,3,FALSE),VLOOKUP(Расчет!$CH39,АшламаДВ_Gomumy,3,FALSE)))</f>
        <v>0.52</v>
      </c>
      <c r="CK39" s="274">
        <f>IF(Расчет!$CH39="Нет","Нет",IF(Исходн.данные.!$AL39&gt;0,VLOOKUP(Расчет!$CH39,АшламаДВ_Irekle,4,FALSE),VLOOKUP(Расчет!$CH39,АшламаДВ_Gomumy,4,FALSE)))</f>
        <v>0</v>
      </c>
      <c r="CL39" s="70"/>
      <c r="CM39" s="70"/>
      <c r="CN39" s="70"/>
      <c r="CO39" s="70"/>
      <c r="CP39" s="70"/>
      <c r="CQ39" s="70"/>
      <c r="CR39" s="10">
        <f t="shared" si="91"/>
        <v>0</v>
      </c>
      <c r="CS39" s="10">
        <f t="shared" si="92"/>
        <v>19.23076923076923</v>
      </c>
      <c r="CT39" s="10">
        <f t="shared" si="93"/>
        <v>0</v>
      </c>
      <c r="CU39" s="39">
        <f>IF($CH39="Нет",0,IF(CI39=0,30/MIN(CJ39:CK39),IF(Исходн.данные.!$AG39=$BV$11,CR39,IF(OR(Исходн.данные.!$AH39=$BQ$7,Исходн.данные.!$AH39=$BQ$8),90/CI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0,IF(Исходн.данные.!$AI39=$BU$11,"Нет",30/CI39))))))</f>
        <v>250</v>
      </c>
      <c r="CV39" s="39">
        <f>IF($CH39="Нет",0,IF(Исходн.данные.!AH39=0,0,IF(CJ39=0,60/MIN(CI39,CK39),IF(Исходн.данные.!$AG39=$BV$11,CS39,IF(OR(Исходн.данные.!$AH39=$BQ$7,Исходн.данные.!$AH39=$BQ$8),90/CJ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10/CJ39,IF(Исходн.данные.!$AI39=$BU$11,"Нет",60/CJ39)))))))</f>
        <v>0</v>
      </c>
      <c r="CW39" s="39">
        <f>IF($CH39="Нет",0,IF(Исходн.данные.!AH39=0,0,IF(CK39=0,30/MIN(CI39:CJ39),IF(Исходн.данные.!$AG39=$BV$11,CT39,IF(OR(Исходн.данные.!$AH39=$BQ$7,Исходн.данные.!$AH39=$BQ$8),90/CK39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0,IF(Исходн.данные.!$AI39=$BU$11,"Нет",30/CK39)))))))</f>
        <v>0</v>
      </c>
      <c r="CX39" s="133">
        <f>IF(Исходн.данные.!$AG39=$BV$11,MAX(CU39:CW39),IF(OR(Исходн.данные.!$AH39=$BS$8,Исходн.данные.!$AH39=$BQ$9,Исходн.данные.!$AH39=$BQ$10,Исходн.данные.!$AH39=$BQ$11,Исходн.данные.!$AH39=$BQ$12,Исходн.данные.!$AH39=$BP$3,Исходн.данные.!$AH39=$BT$8,$FM39="Да"),CV39,MIN(CU39:CW39)))</f>
        <v>0</v>
      </c>
      <c r="CY39" s="133">
        <f>IF(Исходн.данные.!AH39=0,0,IF(CR39&gt;$CX39,$CX39,CR39))</f>
        <v>0</v>
      </c>
      <c r="CZ39" s="133">
        <f>IF(Исходн.данные.!AH39=0,0,IF(CS39&gt;$CX39,$CX39,CS39))</f>
        <v>0</v>
      </c>
      <c r="DA39" s="133">
        <f>IF(Исходн.данные.!AH39=0,0,IF(CT39&gt;$CX39,$CX39,CT39))</f>
        <v>0</v>
      </c>
      <c r="DB39" s="10">
        <f t="shared" si="94"/>
        <v>0</v>
      </c>
      <c r="DC39" s="39">
        <f>DB39*Исходн.данные.!AJ39/1000</f>
        <v>0</v>
      </c>
      <c r="DD39" s="71">
        <f t="shared" si="95"/>
        <v>0</v>
      </c>
      <c r="DE39" s="9">
        <f t="shared" si="96"/>
        <v>0</v>
      </c>
      <c r="DF39" s="9">
        <f t="shared" si="97"/>
        <v>0</v>
      </c>
      <c r="DG39" s="39">
        <f>IF(BL39&lt;0,0,IF($CH39="Нет",BL39,IF(OR(Исходн.данные.!$AH39=$BP$1,Исходн.данные.!$AH39=$BP$2),0,IF(Исходн.данные.!AI39=$BU$11,BL39,IF(BL39-DD39&lt;0,0,BL39-DD39)))))</f>
        <v>0</v>
      </c>
      <c r="DH39" s="39">
        <f>IF(BM39&lt;0,0,IF($CH39="Нет",BM39,IF(OR(Исходн.данные.!$AH39=$BP$1,Исходн.данные.!$AH39=$BP$2),0,IF(Исходн.данные.!AJ39=$BU$11,BM39,IF(BM39-DE39&lt;0,0,BM39-DE39)))))</f>
        <v>0</v>
      </c>
      <c r="DI39" s="39">
        <f>IF(BN39&lt;0,0,IF($CH39="Нет",BN39,IF(OR(Исходн.данные.!$AH39=$BP$1,Исходн.данные.!$AH39=$BP$2),0,IF(Исходн.данные.!AK39=$BU$11,BN39,IF(BN39-DF39&lt;0,0,BN39-DF39)))))</f>
        <v>0</v>
      </c>
      <c r="DJ39" s="12">
        <f t="shared" si="98"/>
        <v>0</v>
      </c>
      <c r="DK39" s="9">
        <f t="shared" si="99"/>
        <v>0</v>
      </c>
      <c r="DL39" s="39">
        <f>IF(Исходн.данные.!AM39&gt;0,Исходн.данные.!AM39,IF(EG39&gt;0,$BH$10,0))</f>
        <v>0</v>
      </c>
      <c r="DM39" s="186">
        <f>IF($DL39=0,0,IF(Исходн.данные.!AM39&gt;0,VLOOKUP($DL39,АшламаДВ_Irekle,2,FALSE),VLOOKUP($DL39,АшламаДВ_Gomumy,2,FALSE)))</f>
        <v>0</v>
      </c>
      <c r="DN39" s="10">
        <f t="shared" si="46"/>
        <v>0</v>
      </c>
      <c r="DO39" s="9" t="str">
        <f>IF(Исходн.данные.!AN39&gt;0,Исходн.данные.!AN39,Удобрения!$B$37 )</f>
        <v>Хлор.калий</v>
      </c>
      <c r="DP39" s="9">
        <f>IF(Исходн.данные.!AN39&gt;0,VLOOKUP(Исходн.данные.!AN39,АшламаДВ_Irekle,4,FALSE),VLOOKUP(DO39,АшламаДВ_Gomumy,4,FALSE))</f>
        <v>0.6</v>
      </c>
      <c r="DQ39" s="10">
        <f t="shared" si="47"/>
        <v>0</v>
      </c>
      <c r="DR39" s="132" t="str">
        <f>IF(Исходн.данные.!AO39&gt;0,Исходн.данные.!AO39,IF(DH39=0,BS$17,IF(AND($DK39=0,$DJ39&gt;0),EJ39,EN39)))</f>
        <v>Нет</v>
      </c>
      <c r="DS39" s="70" t="str">
        <f>IF($DR39="Нет","Нет",IF(Исходн.данные.!$AO39&gt;0,VLOOKUP($DR39,АшламаДВ_Irekle,2,FALSE),VLOOKUP($DR39,АшламаДВ_Gomumy,2,FALSE)))</f>
        <v>Нет</v>
      </c>
      <c r="DT39" s="70" t="str">
        <f>IF($DR39="Нет","Нет",IF(Исходн.данные.!$AO39&gt;0,VLOOKUP($DR39,АшламаДВ_Irekle,3,FALSE),VLOOKUP($DR39,АшламаДВ_Gomumy,3,FALSE)))</f>
        <v>Нет</v>
      </c>
      <c r="DU39" s="70" t="str">
        <f>IF($DR39="Нет","Нет",IF(Исходн.данные.!$AO39&gt;0,VLOOKUP($DR39,АшламаДВ_Irekle,4,FALSE),VLOOKUP($DR39,АшламаДВ_Gomumy,4,FALSE)))</f>
        <v>Нет</v>
      </c>
      <c r="DV39" s="70"/>
      <c r="DW39" s="70"/>
      <c r="DX39" s="70"/>
      <c r="DY39" s="10">
        <f t="shared" si="100"/>
        <v>0</v>
      </c>
      <c r="DZ39" s="10">
        <f t="shared" si="101"/>
        <v>0</v>
      </c>
      <c r="EA39" s="10">
        <f t="shared" si="102"/>
        <v>0</v>
      </c>
      <c r="EB39" s="10">
        <f t="shared" si="103"/>
        <v>0</v>
      </c>
      <c r="EC39" s="10">
        <f t="shared" si="104"/>
        <v>0</v>
      </c>
      <c r="ED39" s="10">
        <f t="shared" si="105"/>
        <v>0</v>
      </c>
      <c r="EE39" s="10">
        <f t="shared" si="106"/>
        <v>0</v>
      </c>
      <c r="EF39" s="39">
        <f>EB39*Исходн.данные.!AJ39/1000</f>
        <v>0</v>
      </c>
      <c r="EG39" s="9">
        <f t="shared" si="107"/>
        <v>0</v>
      </c>
      <c r="EH39" s="9">
        <f t="shared" si="108"/>
        <v>0</v>
      </c>
      <c r="EI39" s="39" t="e">
        <f t="shared" si="7"/>
        <v>#DIV/0!</v>
      </c>
      <c r="EJ39" s="9" t="str">
        <f t="shared" si="8"/>
        <v>Азопреципитат</v>
      </c>
      <c r="EK39" s="12">
        <f t="shared" si="9"/>
        <v>0.26</v>
      </c>
      <c r="EL39" s="12">
        <f t="shared" si="10"/>
        <v>0.13</v>
      </c>
      <c r="EM39" s="12">
        <f t="shared" si="11"/>
        <v>0</v>
      </c>
      <c r="EN39" s="12" t="str">
        <f t="shared" si="57"/>
        <v>Нет</v>
      </c>
      <c r="EO39" s="12">
        <f t="shared" si="12"/>
        <v>0</v>
      </c>
      <c r="EP39" s="12">
        <f t="shared" si="13"/>
        <v>0</v>
      </c>
      <c r="EQ39" s="12">
        <f t="shared" si="14"/>
        <v>0</v>
      </c>
      <c r="ER39" s="12" t="str">
        <f t="shared" si="109"/>
        <v>Диаммофоска</v>
      </c>
      <c r="ES39" s="12">
        <f t="shared" si="15"/>
        <v>0.1</v>
      </c>
      <c r="ET39" s="12">
        <f t="shared" si="16"/>
        <v>0.26</v>
      </c>
      <c r="EU39" s="12">
        <f t="shared" si="17"/>
        <v>0.26</v>
      </c>
      <c r="EV39" s="12" t="str">
        <f t="shared" si="110"/>
        <v>Аммофос 12:52:00</v>
      </c>
      <c r="EW39" s="12" t="str">
        <f t="shared" si="111"/>
        <v>Кемира Свекловичное-6</v>
      </c>
      <c r="EX39" s="12">
        <f t="shared" si="18"/>
        <v>0.16</v>
      </c>
      <c r="EY39" s="12">
        <f t="shared" si="19"/>
        <v>0.12</v>
      </c>
      <c r="EZ39" s="12">
        <f t="shared" si="20"/>
        <v>0.17</v>
      </c>
      <c r="FA39" s="38" t="e">
        <f>IF(AND(OR(FJ39=$FD$1,FM39=$FD$1,FO39=$FD$1,FQ39=$FD$1,FS39=$FD$1),FD39=$FD$1,Исходн.данные.!J39&lt;2,FU39=$FD$1),"Бор,Кобальт",IF(AND(FO39=$FD$1,FH39=$FD$1,Исходн.данные.!J39&lt;2,FU39=$FD$1),"Бор,Кобальт",IF(AND(OR(FJ39=$FD$1,FM39=$FD$1,FQ39=$FD$1),FE39=$FD$1,Исходн.данные.!J39&lt;2,FT39=$FD$1,FU39=$FD$1),"Бор,Медь,Цинк",IF(AND(OR(FJ39=$FD$1,FR39="Да"),FI39="Да",Исходн.данные.!J39&lt;2,FT39="Да",FU39="Да"),"Бор,Цинк,Медь",IF(AND(OR(FM39="Да",FQ39="Да"),FI39="Да",Исходн.данные.!J39&lt;2,FT39="Да",FU39="Да"),"Бор,Цинк",IF(AND(FN39="Да",OR(FD39="Да",FE39="Да")),"Бор",FB39))))))</f>
        <v>#N/A</v>
      </c>
      <c r="FB39" s="134" t="e">
        <f>IF(AND(OR(FD39="Да",FE39="Да",FF39="Да",FG39="Да",FH39="Да"),FO39="Да"),"Бор",IF(AND(FP39="Да",OR(FD39="Да",FE39="Да",FI39="Да")),"Бор",IF(AND(FS39="Да",FE39="Да"),"Бор,Медь",IF(AND(OR(FJ39="Да",FK39="Да",FL39="Да"),FE39="Да",Исходн.данные.!I39&lt;5,FT39="Да",FU39="Да"),"Молибден,Цинк",IF(AND(FM39="Да",OR(FE39="Да",FF39="Да",FG39="Да",FH39="Да",FI39="Да")),"Молибден,Цинк",IF(AND(OR(FJ39="Да",FK39="Да",FL39="Да",FM39="Да",FQ39="Да"),OR(FE39="Да",FF39="Да"),FT39="Да",FU39="Да",Исходн.данные.!I39&gt;5.5),"Медь,Цинк",FC39))))))</f>
        <v>#N/A</v>
      </c>
      <c r="FC39" s="23" t="e">
        <f t="shared" si="112"/>
        <v>#N/A</v>
      </c>
      <c r="FD39" s="38" t="str">
        <f>IF(OR(Исходн.данные.!F39=$CC$1,Исходн.данные.!F39=$CC$2,Исходн.данные.!F39=$CC$3,Исходн.данные.!F39=$CC$4),"Да","Нет")</f>
        <v>Нет</v>
      </c>
      <c r="FE39" s="38" t="str">
        <f>IF(Исходн.данные.!F39=$CC$5,"Да","Нет")</f>
        <v>Нет</v>
      </c>
      <c r="FF39" s="38" t="str">
        <f>IF(OR(Исходн.данные.!F39=$CC$6,Исходн.данные.!F39=$CC$7),"Да","Нет")</f>
        <v>Нет</v>
      </c>
      <c r="FG39" s="38" t="str">
        <f>IF(OR(Исходн.данные.!F39=$CC$8,Исходн.данные.!F39=$CC$9),"Да","Нет")</f>
        <v>Нет</v>
      </c>
      <c r="FH39" s="38" t="str">
        <f>IF(Исходн.данные.!F39=$CC$10,"Да","Нет")</f>
        <v>Нет</v>
      </c>
      <c r="FI39" s="38" t="str">
        <f>IF(OR(Исходн.данные.!F39=$CC$11,Исходн.данные.!F39=$CC$12),"Да","Нет")</f>
        <v>Нет</v>
      </c>
      <c r="FJ39" s="38" t="str">
        <f>IF(OR(Исходн.данные.!AH39=$BS$1,Исходн.данные.!AH39=$BQ$11,Исходн.данные.!AH39=$BQ$12),"Да","Нет")</f>
        <v>Нет</v>
      </c>
      <c r="FK39" s="38" t="str">
        <f>IF(OR(Исходн.данные.!AH39=$BS$2,Исходн.данные.!AH39=$BS$4),"Да","Нет")</f>
        <v>Нет</v>
      </c>
      <c r="FL39" s="38" t="str">
        <f>IF(OR(Исходн.данные.!AH39=$BS$3,Исходн.данные.!AH39=$BS$5),"Да","Нет")</f>
        <v>Нет</v>
      </c>
      <c r="FM39" s="38" t="str">
        <f>IF(OR(Исходн.данные.!AH39=$BS$9,Исходн.данные.!AH39=$BS$10,Исходн.данные.!AH39=$BS$11,Исходн.данные.!AH39=$BS$12),"Да","Нет")</f>
        <v>Нет</v>
      </c>
      <c r="FN39" s="38" t="str">
        <f>IF(OR(Исходн.данные.!AH39=$BS$6,Исходн.данные.!AH39=$BP$3),"Да","Нет")</f>
        <v>Нет</v>
      </c>
      <c r="FO39" s="38" t="str">
        <f>IF(Исходн.данные.!AH39=$BQ$9,"Да","Нет")</f>
        <v>Нет</v>
      </c>
      <c r="FP39" s="38" t="str">
        <f>IF(OR(Исходн.данные.!AH39=$BS$8,Исходн.данные.!AH39=$BT$8),"Да","Нет")</f>
        <v>Нет</v>
      </c>
      <c r="FQ39" s="38" t="str">
        <f>IF(OR(Исходн.данные.!AH39=$BQ$7,Исходн.данные.!AH39=$BQ$8),"Да","Нет")</f>
        <v>Нет</v>
      </c>
      <c r="FR39" s="38" t="str">
        <f>IF(Исходн.данные.!AI39=$BU$9,"Да","Нет")</f>
        <v>Нет</v>
      </c>
      <c r="FS39" s="38" t="str">
        <f>IF(OR(Исходн.данные.!AH39=$BP$1,Исходн.данные.!AH39=$BP$2),"Да","Нет")</f>
        <v>Нет</v>
      </c>
      <c r="FT39" s="38" t="e">
        <f>IF((Исходн.данные.!K39*GO39*GS39*GW39+BL39*0.6+Исходн.данные.!Q39*4.5*0.275)&gt;90,"Да","Нет")</f>
        <v>#N/A</v>
      </c>
      <c r="FU39" s="38" t="e">
        <f>IF((Исходн.данные.!M39*GS39*GZ39+BM39*0.225)&gt;35,"Да","Нет")</f>
        <v>#N/A</v>
      </c>
      <c r="FV39" s="38" t="str">
        <f>IF(Исходн.данные.!O39&gt;175,"Да","Нет")</f>
        <v>Нет</v>
      </c>
      <c r="FW39" s="39" t="str">
        <f>IF(Исходн.данные.!I39&gt;5.5,"Да","Нет")</f>
        <v>Нет</v>
      </c>
      <c r="FX39" s="39" t="str">
        <f>IF(Исходн.данные.!J39&lt;2,"Да","Нет")</f>
        <v>Да</v>
      </c>
      <c r="FY39" s="39" t="e">
        <f>IF(HF39=$FY$16,0,Исходн.данные.!K39*GO39*GS39*GW39/HF39)</f>
        <v>#N/A</v>
      </c>
      <c r="FZ39" s="39" t="e">
        <f>Исходн.данные.!M39*GS39*GZ39/HG39</f>
        <v>#N/A</v>
      </c>
      <c r="GA39" s="39" t="e">
        <f>IF(K_Wyn=$FY$16,0,IF(Исходн.данные.!N39=Исходн.данные.!$L$10,Исходн.данные.!O39/1.1*GS39*HC39/HH39,IF(Исходн.данные.!N39=Исходн.данные.!$L$12,Исходн.данные.!O39/1.5*GS39*HC39/HH39,Исходн.данные.!O39*GS39*HC39/HH39)))</f>
        <v>#N/A</v>
      </c>
      <c r="GB39" s="39" t="e">
        <f>IF(HF39=$FY$16,0,((Исходн.данные.!Q39*N_Org+Исходн.данные.!R39*N_Sider+Исходн.данные.!S39*N_Soloma)*AO39+Расчет!BC39*VLOOKUP(Исходн.данные.!T39,Справ!$A$3:$O$57,15)*AO39+BB39*VLOOKUP(Исходн.данные.!T39,Справ!$A$3:$O$57,15)*AL39+(Исходн.данные.!V39*N_Rizotorf+Исходн.данные.!W39*N_Rizoagr))/HF39)</f>
        <v>#N/A</v>
      </c>
      <c r="GC39" s="39" t="e">
        <f>IF(HG39=$FY$16,0,((Исходн.данные.!Q39*Р_Org+Исходн.данные.!R39*P_Sider+Исходн.данные.!S39*P_Soloma)*AP39+Расчет!BC39*VLOOKUP(Исходн.данные.!T39,Справ!$A$3:$P$57,16)*AP39+BB39*VLOOKUP(Исходн.данные.!T39,Справ!$A$3:$P$57,16)*AM39)/HG39)</f>
        <v>#N/A</v>
      </c>
      <c r="GD39" s="39" t="e">
        <f>IF(HH39=$FY$16,0,((Исходн.данные.!Q39*К_Org+Исходн.данные.!R39*K_Sider+Исходн.данные.!S39*K_Soloma)*AQ39+Расчет!BC39*VLOOKUP(Исходн.данные.!T39,Справ!$A$3:$Q$57,17)*AQ39+BB39*VLOOKUP(Исходн.данные.!T39,Справ!$A$3:$Q$57,17)*AN39)/HH39)</f>
        <v>#N/A</v>
      </c>
      <c r="GE39" s="39" t="e">
        <f>IF(HF39=$FY$16,0,(Исходн.данные.!X39*AR39+Исходн.данные.!AA39*N_Org*AL39+Исходн.данные.!AB39*N_Sider*AL39+Исходн.данные.!AC39*N_Soloma*AL39)/HF39)</f>
        <v>#N/A</v>
      </c>
      <c r="GF39" s="39" t="e">
        <f>IF(HG39=$FY$16,0,(Исходн.данные.!Y39*AS39+Исходн.данные.!AA39*Р_Org*AM39+Исходн.данные.!AB39*P_Sider*AM39+Исходн.данные.!AC39*P_Soloma*AM39)/HG39)</f>
        <v>#N/A</v>
      </c>
      <c r="GG39" s="39" t="e">
        <f>IF(HH39=$FY$16,0,(Исходн.данные.!Z39*AT39+Исходн.данные.!AA39*К_Org*AN39+Исходн.данные.!AB39*K_Sider*AN39+Исходн.данные.!AC39*K_Soloma*AN39)/HH39)</f>
        <v>#N/A</v>
      </c>
      <c r="GH39" s="39" t="e">
        <f>Исходн.данные.!AD39*AU39/HF39</f>
        <v>#N/A</v>
      </c>
      <c r="GI39" s="39" t="e">
        <f>Исходн.данные.!AE39*AV39/HG39</f>
        <v>#N/A</v>
      </c>
      <c r="GJ39" s="39" t="e">
        <f>Исходн.данные.!AF39*AW39/HH39</f>
        <v>#N/A</v>
      </c>
      <c r="GK39" s="55">
        <f>Исходн.данные.!AK39</f>
        <v>0</v>
      </c>
      <c r="GL39" s="11" t="e">
        <f t="shared" si="113"/>
        <v>#N/A</v>
      </c>
      <c r="GM39" s="11" t="e">
        <f t="shared" si="114"/>
        <v>#N/A</v>
      </c>
      <c r="GN39" s="11" t="e">
        <f t="shared" si="115"/>
        <v>#N/A</v>
      </c>
      <c r="GO39" s="57">
        <f t="shared" si="116"/>
        <v>19</v>
      </c>
      <c r="GP39" s="55">
        <f>IF(OR(Исходн.данные.!F39=$CE$1,Исходн.данные.!F39=$CE$2,Исходн.данные.!F39=$CE$3,Исходн.данные.!F39=$CE$4,Исходн.данные.!F39=$CE$5),GQ39,GR39)</f>
        <v>19</v>
      </c>
      <c r="GQ39" s="55">
        <f>IF(Исходн.данные.!F39=$CE$1,28,IF(Исходн.данные.!F39=$CE$2,26,IF(Исходн.данные.!F39=$CE$3,24,IF(Исходн.данные.!F39=$CE$4,22,IF(Исходн.данные.!F39=$CE$5,20,GR39)))))</f>
        <v>19</v>
      </c>
      <c r="GR39" s="55">
        <f>IF(Исходн.данные.!F39=$CE$6,18,IF(Исходн.данные.!F39=$CE$7,16,IF(Исходн.данные.!F39=$CE$8,14,IF(Исходн.данные.!F39=$CE$9,13,IF(Исходн.данные.!F39=$CE$10,12,19)))))</f>
        <v>19</v>
      </c>
      <c r="GS39" s="55">
        <f>IF(Исходн.данные.!G39="Пес",0.035*(40+2*Исходн.данные.!H39),IF(Исходн.данные.!G39="Суп",0.0325*(40+2*Исходн.данные.!H39),0.03*(40+2*Исходн.данные.!H39)))</f>
        <v>1.2</v>
      </c>
      <c r="GT39" s="55">
        <f>IF(Исходн.данные.!H39&lt;23,2.6,IF(AND(Исходн.данные.!H39&gt;22,Исходн.данные.!H39&lt;26),3,IF(AND(Исходн.данные.!H39&gt;25,Исходн.данные.!H39&lt;29),3.4,3.6)))</f>
        <v>2.6</v>
      </c>
      <c r="GU39" s="55">
        <f>IF(Исходн.данные.!H39&lt;23,2.8,IF(AND(Исходн.данные.!H39&gt;22,Исходн.данные.!H39&lt;26),3.2,IF(AND(Исходн.данные.!H39&gt;25,Исходн.данные.!H39&lt;29),3.6,3.9)))</f>
        <v>2.8</v>
      </c>
      <c r="GV39" s="55">
        <f>IF(Исходн.данные.!H39&lt;23,3,IF(AND(Исходн.данные.!H39&gt;22,Исходн.данные.!H39&lt;26),3.5,IF(AND(Исходн.данные.!H39&gt;25,Исходн.данные.!H39&lt;29),3.9,4.2)))</f>
        <v>3</v>
      </c>
      <c r="GW39" s="55" t="e">
        <f>IF(Исходн.данные.!P39="Ум",GX39,GY39)</f>
        <v>#N/A</v>
      </c>
      <c r="GX39" s="55" t="e">
        <f>VLOOKUP(Исходн.данные.!AI39,Коэффициенты!$J$7:$L$13,2,FALSE)</f>
        <v>#N/A</v>
      </c>
      <c r="GY39" s="55" t="e">
        <f>VLOOKUP(Исходн.данные.!AI39,Коэффициенты!$J$7:$L$13,3,FALSE)</f>
        <v>#N/A</v>
      </c>
      <c r="GZ39" s="55" t="e">
        <f>(IF(Исходн.данные.!M39&lt;50,0.11*VLOOKUP(Исходн.данные.!AH39,Культуры.Информация,7,FALSE),IF(Исходн.данные.!M39&gt;250,0.05*VLOOKUP(Исходн.данные.!AH39,Культуры.Информация,7,FALSE),VLOOKUP(Исходн.данные.!AH39,Культуры.Информация,5,FALSE)/100*($GX$6+$GY$6*Исходн.данные.!M39))))*Расчет2!AI39</f>
        <v>#N/A</v>
      </c>
      <c r="HA39" s="211"/>
      <c r="HB39" s="211"/>
      <c r="HC39" s="55" t="e">
        <f>(IF(Исходн.данные.!O39&lt;80,0.2*VLOOKUP(Исходн.данные.!AH39,Культуры.Информация,8,FALSE),IF(Исходн.данные.!O39&gt;240,0.09*VLOOKUP(Исходн.данные.!AH39,Культуры.Информация,8,FALSE),VLOOKUP(Исходн.данные.!AH39,Культуры.Информация,6,FALSE)/100*($HB$6+$HC$6*Исходн.данные.!O39))))*Расчет2!AJ39</f>
        <v>#N/A</v>
      </c>
      <c r="HD39" s="55">
        <f>IF(Исходн.данные.!O39&gt;240,0.09,IF(Исходн.данные.!O39&lt;30,0.3,$HE$10+$HD$10*Исходн.данные.!O39))</f>
        <v>0.3</v>
      </c>
      <c r="HE39" s="55">
        <f>IF(Исходн.данные.!O39&gt;240,0.17,IF(Исходн.данные.!O39&lt;30,0.5,$HF$12+$HE$12*Исходн.данные.!O39))</f>
        <v>0.5</v>
      </c>
      <c r="HF39" s="55" t="e">
        <f>VLOOKUP(Исходн.данные.!AH39,Справ!$A$3:$D$58,2,FALSE)</f>
        <v>#N/A</v>
      </c>
      <c r="HG39" s="55" t="e">
        <f>VLOOKUP(Исходн.данные.!AH39,Справ!$A$3:$D$58,3,FALSE)</f>
        <v>#N/A</v>
      </c>
      <c r="HH39" s="55" t="e">
        <f>VLOOKUP(Исходн.данные.!AH39,Справ!$A$3:$D$58,4,FALSE)</f>
        <v>#N/A</v>
      </c>
      <c r="HI39" s="11" t="e">
        <f t="shared" si="117"/>
        <v>#N/A</v>
      </c>
      <c r="HJ39" s="11" t="e">
        <f t="shared" si="118"/>
        <v>#N/A</v>
      </c>
      <c r="HK39" s="11" t="e">
        <f t="shared" si="119"/>
        <v>#N/A</v>
      </c>
      <c r="HL39" s="55">
        <f>IF(OR(Исходн.данные.!G39="Глин",Исходн.данные.!G39="Т_суг"),1.1,IF(Исходн.данные.!G39="Ср_суг",1,1))</f>
        <v>1</v>
      </c>
      <c r="HM39" s="55">
        <f>IF(OR(Исходн.данные.!G39="Глин",Исходн.данные.!G39="Т_суг"),0.9,IF(Исходн.данные.!G39="Ср_суг",1,1.2))</f>
        <v>1.2</v>
      </c>
      <c r="HN39" s="11" t="e">
        <f t="shared" si="120"/>
        <v>#N/A</v>
      </c>
      <c r="HO39" s="11" t="e">
        <f t="shared" si="121"/>
        <v>#N/A</v>
      </c>
      <c r="HP39" s="11" t="e">
        <f t="shared" si="122"/>
        <v>#N/A</v>
      </c>
      <c r="HQ39" t="e">
        <f t="shared" si="123"/>
        <v>#N/A</v>
      </c>
      <c r="HR39" t="e">
        <f t="shared" si="124"/>
        <v>#N/A</v>
      </c>
      <c r="HS39" t="e">
        <f t="shared" si="125"/>
        <v>#N/A</v>
      </c>
      <c r="HT39" t="e">
        <f t="shared" si="21"/>
        <v>#N/A</v>
      </c>
      <c r="HU39" t="e">
        <f t="shared" si="22"/>
        <v>#N/A</v>
      </c>
      <c r="HV39" t="e">
        <f t="shared" si="23"/>
        <v>#N/A</v>
      </c>
      <c r="HW39" t="e">
        <f t="shared" si="24"/>
        <v>#N/A</v>
      </c>
      <c r="HX39" t="e">
        <f t="shared" si="25"/>
        <v>#N/A</v>
      </c>
      <c r="HY39" t="e">
        <f t="shared" si="26"/>
        <v>#N/A</v>
      </c>
      <c r="HZ39" s="55">
        <f>IF(OR(Исходн.данные.!AI39="Оз_Ч_П",Исходн.данные.!AI39="Оз_З_П",Исходн.данные.!AI39="Яр_зер"),12,30)</f>
        <v>30</v>
      </c>
      <c r="IA39" t="e">
        <f t="shared" si="126"/>
        <v>#N/A</v>
      </c>
      <c r="IB39" t="e">
        <f t="shared" si="127"/>
        <v>#N/A</v>
      </c>
      <c r="IC39" t="e">
        <f t="shared" si="128"/>
        <v>#N/A</v>
      </c>
      <c r="ID39" s="11" t="e">
        <f t="shared" si="129"/>
        <v>#N/A</v>
      </c>
      <c r="IE39" s="11" t="e">
        <f t="shared" si="130"/>
        <v>#N/A</v>
      </c>
      <c r="IF39" s="11" t="e">
        <f t="shared" si="131"/>
        <v>#N/A</v>
      </c>
    </row>
    <row r="40" spans="35:240" x14ac:dyDescent="0.2">
      <c r="AI40">
        <f>IF(Исходн.данные.!I40&gt;6,1,1.85-(0.148*Исходн.данные.!I40))</f>
        <v>1.85</v>
      </c>
      <c r="AJ40">
        <f>IF(Исходн.данные.!I40&gt;6,1,2.434-(0.246*Исходн.данные.!I40))</f>
        <v>2.4340000000000002</v>
      </c>
      <c r="AL40" s="148" t="b">
        <f>IF(Исходн.данные.!$P40="Ум",N_OrgUd_2g_um,IF(Исходн.данные.!$P40="Об",N_OrgUd_2g_ob))</f>
        <v>0</v>
      </c>
      <c r="AM40" s="148" t="b">
        <f>IF(Исходн.данные.!$P40="Ум",P_OrgUd_2g_um,IF(Исходн.данные.!$P40="Об",P_OrgUd_2g_ob))</f>
        <v>0</v>
      </c>
      <c r="AN40" s="148" t="b">
        <f>IF(Исходн.данные.!$P40="Ум",K_OrgUd_2g_um,IF(Исходн.данные.!$P40="Об",K_OrgUd_2g_ob))</f>
        <v>0</v>
      </c>
      <c r="AO40" s="148" t="b">
        <f>IF(Исходн.данные.!$P40="Ум",N_OrgUd_1g_um,IF(Исходн.данные.!$P40="Об",N_OrgUd_1g_ob))</f>
        <v>0</v>
      </c>
      <c r="AP40" s="148" t="b">
        <f>IF(Исходн.данные.!$P40="Ум",P_OrgUd_1g_um,IF(Исходн.данные.!$P40="Об",P_OrgUd_1g_ob))</f>
        <v>0</v>
      </c>
      <c r="AQ40" s="148" t="b">
        <f>IF(Исходн.данные.!$P40="Ум",K_OrgUd_1g_um,IF(Исходн.данные.!$P40="Об",K_OrgUd_1g_ob))</f>
        <v>0</v>
      </c>
      <c r="AR40" t="b">
        <f>IF(Исходн.данные.!$P40="Ум",N_MinUd_2g_um,IF(Исходн.данные.!$P40="Об",N_MinUd_2g_ob))</f>
        <v>0</v>
      </c>
      <c r="AS40" t="b">
        <f>IF(Исходн.данные.!$P40="Ум",P_MinUd_2g_um,IF(Исходн.данные.!$P40="Об",P_MinUd_2g_ob))</f>
        <v>0</v>
      </c>
      <c r="AT40" t="b">
        <f>IF(Исходн.данные.!$P40="Ум",K_MinUd_2g_um,IF(Исходн.данные.!$P40="Об",K_MinUd_2g_ob))</f>
        <v>0</v>
      </c>
      <c r="AU40" t="b">
        <f>IF(Исходн.данные.!$P40="Ум",N_MinUd_1g_um,IF(Исходн.данные.!$P40="Об",N_MinUd_1g_ob))</f>
        <v>0</v>
      </c>
      <c r="AV40" t="b">
        <f>IF(Исходн.данные.!P40="Ум",P_MinUd_1g_um,IF(Исходн.данные.!P40="Об",P_MinUd_1g_ob))</f>
        <v>0</v>
      </c>
      <c r="AW40" t="b">
        <f>IF(Исходн.данные.!P40="Ум",K_MinUd_1g_um,IF(Исходн.данные.!P40="Об",K_MinUd_1g_ob))</f>
        <v>0</v>
      </c>
      <c r="AY40" t="e">
        <f>VLOOKUP(Исходн.данные.!T40,Справ!$A$3:$N$57,12)</f>
        <v>#N/A</v>
      </c>
      <c r="AZ40" t="e">
        <f>VLOOKUP(Исходн.данные.!T40,Справ!$A$3:$N$57,13)</f>
        <v>#N/A</v>
      </c>
      <c r="BA40" t="e">
        <f>VLOOKUP(Исходн.данные.!T40,Справ!$A$3:$N$57,14)</f>
        <v>#N/A</v>
      </c>
      <c r="BB40">
        <f>IF(Исходн.данные.!AH40=0,0,25)</f>
        <v>0</v>
      </c>
      <c r="BC40" s="141">
        <f>IF(Исходн.данные.!AH40=0,0,IF(Исходн.данные.!T40=0,25,BD40))</f>
        <v>0</v>
      </c>
      <c r="BD40" s="168" t="e">
        <f>AY40+AZ40*Исходн.данные.!U40-POWER(BA40,2)*Исходн.данные.!U40</f>
        <v>#N/A</v>
      </c>
      <c r="BE4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0" s="25">
        <f>IF(Исходн.данные.!AH40=0,0,MIN(HN40:HP40))</f>
        <v>0</v>
      </c>
      <c r="BG40" s="9">
        <f>IF(Исходн.данные.!AH40=0,0,IF((HO40+10*0.25/HG40/HL40)&lt;17,17,HO40+10*0.25/HG40/HL40))</f>
        <v>0</v>
      </c>
      <c r="BH40" s="181">
        <f>IF(Исходн.данные.!AH40=0,0,HW40*HF40*HL40/AU40*AI40+Исходн.данные.!S40*10)</f>
        <v>0</v>
      </c>
      <c r="BI40" s="10"/>
      <c r="BJ40" s="182">
        <f>IF(Исходн.данные.!AH40=0,0,IF(HX40*HG40*HL40/AV40&lt;0,0,HX40*HG40*HL40/AV40*AJ40))</f>
        <v>0</v>
      </c>
      <c r="BK40" s="182">
        <f>IF(Исходн.данные.!AH40=0,0,HY40*HH40*HM40/AW40)</f>
        <v>0</v>
      </c>
      <c r="BL40" s="10">
        <f>IF(OR(Исходн.данные.!$AH40=$BP$1,Исходн.данные.!$AH40=$BP$2),0,IF(BH40&lt;0,0,IF(OR(Исходн.данные.!T40=Расчет!$BP$1,Исходн.данные.!T40=Расчет!$BP$2,Исходн.данные.!T40=Расчет!$BT$5,Исходн.данные.!T40=Расчет!$BT$6),BH40*0.5,IF(OR(Исходн.данные.!T40=Расчет!$BS$9,Исходн.данные.!T40=Расчет!$BS$10,Исходн.данные.!T40=Расчет!$BS$11,Исходн.данные.!T40=Расчет!$BS$12,Исходн.данные.!T40=Расчет!$BP$5),BH40*0.8,BH40))))</f>
        <v>0</v>
      </c>
      <c r="BM40" s="10">
        <f>IF(OR(Исходн.данные.!$AH40=$BP$1,Исходн.данные.!$AH40=$BP$2),0,IF(BJ40&lt;0,0,IF(Исходн.данные.!I40&lt;4.5,BJ40*1.2,IF(Исходн.данные.!I40&gt;5.1,BJ40,BJ40*((5.1-Исходн.данные.!I40)*0.333+1)))))</f>
        <v>0</v>
      </c>
      <c r="BN40" s="10">
        <f>IF(OR(Исходн.данные.!$AH40=$BP$1,Исходн.данные.!$AH40=$BP$2),60-Исходн.данные.!AF40,IF(BK40&lt;0,0,IF(Исходн.данные.!I40&lt;4.5,BK40*1.2,IF(Исходн.данные.!I40&gt;5.1,BK40,BK40*((5.1-Исходн.данные.!I40)*0.333+1)))))</f>
        <v>0</v>
      </c>
      <c r="BO40" s="9">
        <f>IF(BL40&lt;0,0,BL40*Исходн.данные.!$AJ40/1000)</f>
        <v>0</v>
      </c>
      <c r="BP40" s="9">
        <f>IF(BM40&lt;0,0,BM40*Исходн.данные.!$AJ40/1000)</f>
        <v>0</v>
      </c>
      <c r="BQ40" s="9">
        <f>IF(BN40&lt;0,0,BN40*Исходн.данные.!$AJ40/1000)</f>
        <v>0</v>
      </c>
      <c r="BR40" s="9">
        <f t="shared" si="81"/>
        <v>0</v>
      </c>
      <c r="BS40" s="10" t="str">
        <f t="shared" si="82"/>
        <v>Аммофос 12:52:00</v>
      </c>
      <c r="BT40" s="10" t="str">
        <f t="shared" si="83"/>
        <v>Аммофос 12:52:00</v>
      </c>
      <c r="BU40" s="10" t="str">
        <f t="shared" si="84"/>
        <v>Диаммофоска</v>
      </c>
      <c r="BV40" s="10">
        <f t="shared" si="85"/>
        <v>0</v>
      </c>
      <c r="BW40" s="10"/>
      <c r="BX40" s="10"/>
      <c r="BY40" s="9">
        <f>IF(BL40&lt;0,0,IF(OR(Исходн.данные.!AI40=Расчет!$BU$6,Исходн.данные.!AI40=Расчет!$BU$7),Расчет!BV40,IF(Исходн.данные.!$AG40=$BV$11,BL40,IF(OR(Исходн.данные.!$AH40=$BQ$7,Исходн.данные.!$AH40=$BQ$8),CB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0,IF(Исходн.данные.!$AI40=$BU$11,"Нет",IF(BL40&gt;30,30,BL40)))))))</f>
        <v>0</v>
      </c>
      <c r="BZ40" s="9">
        <f>IF(AND(Исходн.данные.!$AG40=$BV$11,BM40&lt;10),10,IF(Исходн.данные.!$AG40=$BV$11,BM40,IF(OR(Исходн.данные.!$AH40=$BQ$7,Исходн.данные.!$AH40=$BQ$8),CC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10,IF(Исходн.данные.!$AI40=$BU$11,"Нет",IF(BM40&gt;60,60,IF(BM40&lt;10,10,BM40)))))))</f>
        <v>10</v>
      </c>
      <c r="CA40" s="39">
        <f>IF(BN40&lt;0,0,IF(Исходн.данные.!$AG40=$BV$11,BN40,IF(OR(Исходн.данные.!$AH40=$BQ$7,Исходн.данные.!$AH40=$BQ$8),CD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0,IF(Исходн.данные.!$AI40=$BU$11,"Нет",IF(BN40&gt;30,30,BN40))))))</f>
        <v>0</v>
      </c>
      <c r="CB40" s="9">
        <f t="shared" si="86"/>
        <v>0</v>
      </c>
      <c r="CC40" s="9">
        <f t="shared" si="87"/>
        <v>0</v>
      </c>
      <c r="CD40" s="9">
        <f t="shared" si="88"/>
        <v>0</v>
      </c>
      <c r="CE40" s="12">
        <f t="shared" si="89"/>
        <v>10</v>
      </c>
      <c r="CF40" s="9">
        <f t="shared" si="90"/>
        <v>0</v>
      </c>
      <c r="CG40" s="9" t="s">
        <v>231</v>
      </c>
      <c r="CH40" s="132" t="str">
        <f>IF(Исходн.данные.!AP40=Расчет!$CI$16,"Нет",IF(Исходн.данные.!AL40&gt;0,Исходн.данные.!AL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BH$4,IF(OR(Исходн.данные.!AI40=Исходн.данные.!$AI$6,Исходн.данные.!AI40=Исходн.данные.!$AI$7),Расчет!BS40,IF(AND($CF40=0,$CE40&gt;0),EV40,ER40)))))</f>
        <v>Аммофос 12:52:00</v>
      </c>
      <c r="CI40" s="274">
        <f>IF(Расчет!$CH40="Нет","Нет",IF(Исходн.данные.!$AL40&gt;0,VLOOKUP(Расчет!$CH40,АшламаДВ_Irekle,2,FALSE),VLOOKUP(Расчет!$CH40,АшламаДВ_Gomumy,2,FALSE)))</f>
        <v>0.12</v>
      </c>
      <c r="CJ40" s="274">
        <f>IF(Расчет!$CH40="Нет","Нет",IF(Исходн.данные.!$AL40&gt;0,VLOOKUP(Расчет!$CH40,АшламаДВ_Irekle,3,FALSE),VLOOKUP(Расчет!$CH40,АшламаДВ_Gomumy,3,FALSE)))</f>
        <v>0.52</v>
      </c>
      <c r="CK40" s="274">
        <f>IF(Расчет!$CH40="Нет","Нет",IF(Исходн.данные.!$AL40&gt;0,VLOOKUP(Расчет!$CH40,АшламаДВ_Irekle,4,FALSE),VLOOKUP(Расчет!$CH40,АшламаДВ_Gomumy,4,FALSE)))</f>
        <v>0</v>
      </c>
      <c r="CL40" s="70"/>
      <c r="CM40" s="70"/>
      <c r="CN40" s="70"/>
      <c r="CO40" s="70"/>
      <c r="CP40" s="70"/>
      <c r="CQ40" s="70"/>
      <c r="CR40" s="10">
        <f t="shared" si="91"/>
        <v>0</v>
      </c>
      <c r="CS40" s="10">
        <f t="shared" si="92"/>
        <v>19.23076923076923</v>
      </c>
      <c r="CT40" s="10">
        <f t="shared" si="93"/>
        <v>0</v>
      </c>
      <c r="CU40" s="39">
        <f>IF($CH40="Нет",0,IF(CI40=0,30/MIN(CJ40:CK40),IF(Исходн.данные.!$AG40=$BV$11,CR40,IF(OR(Исходн.данные.!$AH40=$BQ$7,Исходн.данные.!$AH40=$BQ$8),90/CI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0,IF(Исходн.данные.!$AI40=$BU$11,"Нет",30/CI40))))))</f>
        <v>250</v>
      </c>
      <c r="CV40" s="39">
        <f>IF($CH40="Нет",0,IF(Исходн.данные.!AH40=0,0,IF(CJ40=0,60/MIN(CI40,CK40),IF(Исходн.данные.!$AG40=$BV$11,CS40,IF(OR(Исходн.данные.!$AH40=$BQ$7,Исходн.данные.!$AH40=$BQ$8),90/CJ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10/CJ40,IF(Исходн.данные.!$AI40=$BU$11,"Нет",60/CJ40)))))))</f>
        <v>0</v>
      </c>
      <c r="CW40" s="39">
        <f>IF($CH40="Нет",0,IF(Исходн.данные.!AH40=0,0,IF(CK40=0,30/MIN(CI40:CJ40),IF(Исходн.данные.!$AG40=$BV$11,CT40,IF(OR(Исходн.данные.!$AH40=$BQ$7,Исходн.данные.!$AH40=$BQ$8),90/CK40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0,IF(Исходн.данные.!$AI40=$BU$11,"Нет",30/CK40)))))))</f>
        <v>0</v>
      </c>
      <c r="CX40" s="133">
        <f>IF(Исходн.данные.!$AG40=$BV$11,MAX(CU40:CW40),IF(OR(Исходн.данные.!$AH40=$BS$8,Исходн.данные.!$AH40=$BQ$9,Исходн.данные.!$AH40=$BQ$10,Исходн.данные.!$AH40=$BQ$11,Исходн.данные.!$AH40=$BQ$12,Исходн.данные.!$AH40=$BP$3,Исходн.данные.!$AH40=$BT$8,$FM40="Да"),CV40,MIN(CU40:CW40)))</f>
        <v>0</v>
      </c>
      <c r="CY40" s="133">
        <f>IF(Исходн.данные.!AH40=0,0,IF(CR40&gt;$CX40,$CX40,CR40))</f>
        <v>0</v>
      </c>
      <c r="CZ40" s="133">
        <f>IF(Исходн.данные.!AH40=0,0,IF(CS40&gt;$CX40,$CX40,CS40))</f>
        <v>0</v>
      </c>
      <c r="DA40" s="133">
        <f>IF(Исходн.данные.!AH40=0,0,IF(CT40&gt;$CX40,$CX40,CT40))</f>
        <v>0</v>
      </c>
      <c r="DB40" s="10">
        <f t="shared" si="94"/>
        <v>0</v>
      </c>
      <c r="DC40" s="39">
        <f>DB40*Исходн.данные.!AJ40/1000</f>
        <v>0</v>
      </c>
      <c r="DD40" s="71">
        <f t="shared" si="95"/>
        <v>0</v>
      </c>
      <c r="DE40" s="9">
        <f t="shared" si="96"/>
        <v>0</v>
      </c>
      <c r="DF40" s="9">
        <f t="shared" si="97"/>
        <v>0</v>
      </c>
      <c r="DG40" s="39">
        <f>IF(BL40&lt;0,0,IF($CH40="Нет",BL40,IF(OR(Исходн.данные.!$AH40=$BP$1,Исходн.данные.!$AH40=$BP$2),0,IF(Исходн.данные.!AI40=$BU$11,BL40,IF(BL40-DD40&lt;0,0,BL40-DD40)))))</f>
        <v>0</v>
      </c>
      <c r="DH40" s="39">
        <f>IF(BM40&lt;0,0,IF($CH40="Нет",BM40,IF(OR(Исходн.данные.!$AH40=$BP$1,Исходн.данные.!$AH40=$BP$2),0,IF(Исходн.данные.!AJ40=$BU$11,BM40,IF(BM40-DE40&lt;0,0,BM40-DE40)))))</f>
        <v>0</v>
      </c>
      <c r="DI40" s="39">
        <f>IF(BN40&lt;0,0,IF($CH40="Нет",BN40,IF(OR(Исходн.данные.!$AH40=$BP$1,Исходн.данные.!$AH40=$BP$2),0,IF(Исходн.данные.!AK40=$BU$11,BN40,IF(BN40-DF40&lt;0,0,BN40-DF40)))))</f>
        <v>0</v>
      </c>
      <c r="DJ40" s="12">
        <f t="shared" si="98"/>
        <v>0</v>
      </c>
      <c r="DK40" s="9">
        <f t="shared" si="99"/>
        <v>0</v>
      </c>
      <c r="DL40" s="39">
        <f>IF(Исходн.данные.!AM40&gt;0,Исходн.данные.!AM40,IF(EG40&gt;0,$BH$10,0))</f>
        <v>0</v>
      </c>
      <c r="DM40" s="186">
        <f>IF($DL40=0,0,IF(Исходн.данные.!AM40&gt;0,VLOOKUP($DL40,АшламаДВ_Irekle,2,FALSE),VLOOKUP($DL40,АшламаДВ_Gomumy,2,FALSE)))</f>
        <v>0</v>
      </c>
      <c r="DN40" s="10">
        <f t="shared" si="46"/>
        <v>0</v>
      </c>
      <c r="DO40" s="9" t="str">
        <f>IF(Исходн.данные.!AN40&gt;0,Исходн.данные.!AN40,Удобрения!$B$37 )</f>
        <v>Хлор.калий</v>
      </c>
      <c r="DP40" s="9">
        <f>IF(Исходн.данные.!AN40&gt;0,VLOOKUP(Исходн.данные.!AN40,АшламаДВ_Irekle,4,FALSE),VLOOKUP(DO40,АшламаДВ_Gomumy,4,FALSE))</f>
        <v>0.6</v>
      </c>
      <c r="DQ40" s="10">
        <f t="shared" si="47"/>
        <v>0</v>
      </c>
      <c r="DR40" s="132" t="str">
        <f>IF(Исходн.данные.!AO40&gt;0,Исходн.данные.!AO40,IF(DH40=0,BS$17,IF(AND($DK40=0,$DJ40&gt;0),EJ40,EN40)))</f>
        <v>Нет</v>
      </c>
      <c r="DS40" s="70" t="str">
        <f>IF($DR40="Нет","Нет",IF(Исходн.данные.!$AO40&gt;0,VLOOKUP($DR40,АшламаДВ_Irekle,2,FALSE),VLOOKUP($DR40,АшламаДВ_Gomumy,2,FALSE)))</f>
        <v>Нет</v>
      </c>
      <c r="DT40" s="70" t="str">
        <f>IF($DR40="Нет","Нет",IF(Исходн.данные.!$AO40&gt;0,VLOOKUP($DR40,АшламаДВ_Irekle,3,FALSE),VLOOKUP($DR40,АшламаДВ_Gomumy,3,FALSE)))</f>
        <v>Нет</v>
      </c>
      <c r="DU40" s="70" t="str">
        <f>IF($DR40="Нет","Нет",IF(Исходн.данные.!$AO40&gt;0,VLOOKUP($DR40,АшламаДВ_Irekle,4,FALSE),VLOOKUP($DR40,АшламаДВ_Gomumy,4,FALSE)))</f>
        <v>Нет</v>
      </c>
      <c r="DV40" s="70"/>
      <c r="DW40" s="70"/>
      <c r="DX40" s="70"/>
      <c r="DY40" s="10">
        <f t="shared" si="100"/>
        <v>0</v>
      </c>
      <c r="DZ40" s="10">
        <f t="shared" si="101"/>
        <v>0</v>
      </c>
      <c r="EA40" s="10">
        <f t="shared" si="102"/>
        <v>0</v>
      </c>
      <c r="EB40" s="10">
        <f t="shared" si="103"/>
        <v>0</v>
      </c>
      <c r="EC40" s="10">
        <f t="shared" si="104"/>
        <v>0</v>
      </c>
      <c r="ED40" s="10">
        <f t="shared" si="105"/>
        <v>0</v>
      </c>
      <c r="EE40" s="10">
        <f t="shared" si="106"/>
        <v>0</v>
      </c>
      <c r="EF40" s="39">
        <f>EB40*Исходн.данные.!AJ40/1000</f>
        <v>0</v>
      </c>
      <c r="EG40" s="9">
        <f t="shared" si="107"/>
        <v>0</v>
      </c>
      <c r="EH40" s="9">
        <f t="shared" si="108"/>
        <v>0</v>
      </c>
      <c r="EI40" s="39" t="e">
        <f t="shared" si="7"/>
        <v>#DIV/0!</v>
      </c>
      <c r="EJ40" s="9" t="str">
        <f t="shared" si="8"/>
        <v>Азопреципитат</v>
      </c>
      <c r="EK40" s="12">
        <f t="shared" si="9"/>
        <v>0.26</v>
      </c>
      <c r="EL40" s="12">
        <f t="shared" si="10"/>
        <v>0.13</v>
      </c>
      <c r="EM40" s="12">
        <f t="shared" si="11"/>
        <v>0</v>
      </c>
      <c r="EN40" s="12" t="str">
        <f t="shared" si="57"/>
        <v>Нет</v>
      </c>
      <c r="EO40" s="12">
        <f t="shared" si="12"/>
        <v>0</v>
      </c>
      <c r="EP40" s="12">
        <f t="shared" si="13"/>
        <v>0</v>
      </c>
      <c r="EQ40" s="12">
        <f t="shared" si="14"/>
        <v>0</v>
      </c>
      <c r="ER40" s="12" t="str">
        <f t="shared" si="109"/>
        <v>Диаммофоска</v>
      </c>
      <c r="ES40" s="12">
        <f t="shared" si="15"/>
        <v>0.1</v>
      </c>
      <c r="ET40" s="12">
        <f t="shared" si="16"/>
        <v>0.26</v>
      </c>
      <c r="EU40" s="12">
        <f t="shared" si="17"/>
        <v>0.26</v>
      </c>
      <c r="EV40" s="12" t="str">
        <f t="shared" si="110"/>
        <v>Аммофос 12:52:00</v>
      </c>
      <c r="EW40" s="12" t="str">
        <f t="shared" si="111"/>
        <v>Кемира Свекловичное-6</v>
      </c>
      <c r="EX40" s="12">
        <f t="shared" si="18"/>
        <v>0.16</v>
      </c>
      <c r="EY40" s="12">
        <f t="shared" si="19"/>
        <v>0.12</v>
      </c>
      <c r="EZ40" s="12">
        <f t="shared" si="20"/>
        <v>0.17</v>
      </c>
      <c r="FA40" s="38" t="e">
        <f>IF(AND(OR(FJ40=$FD$1,FM40=$FD$1,FO40=$FD$1,FQ40=$FD$1,FS40=$FD$1),FD40=$FD$1,Исходн.данные.!J40&lt;2,FU40=$FD$1),"Бор,Кобальт",IF(AND(FO40=$FD$1,FH40=$FD$1,Исходн.данные.!J40&lt;2,FU40=$FD$1),"Бор,Кобальт",IF(AND(OR(FJ40=$FD$1,FM40=$FD$1,FQ40=$FD$1),FE40=$FD$1,Исходн.данные.!J40&lt;2,FT40=$FD$1,FU40=$FD$1),"Бор,Медь,Цинк",IF(AND(OR(FJ40=$FD$1,FR40="Да"),FI40="Да",Исходн.данные.!J40&lt;2,FT40="Да",FU40="Да"),"Бор,Цинк,Медь",IF(AND(OR(FM40="Да",FQ40="Да"),FI40="Да",Исходн.данные.!J40&lt;2,FT40="Да",FU40="Да"),"Бор,Цинк",IF(AND(FN40="Да",OR(FD40="Да",FE40="Да")),"Бор",FB40))))))</f>
        <v>#N/A</v>
      </c>
      <c r="FB40" s="134" t="e">
        <f>IF(AND(OR(FD40="Да",FE40="Да",FF40="Да",FG40="Да",FH40="Да"),FO40="Да"),"Бор",IF(AND(FP40="Да",OR(FD40="Да",FE40="Да",FI40="Да")),"Бор",IF(AND(FS40="Да",FE40="Да"),"Бор,Медь",IF(AND(OR(FJ40="Да",FK40="Да",FL40="Да"),FE40="Да",Исходн.данные.!I40&lt;5,FT40="Да",FU40="Да"),"Молибден,Цинк",IF(AND(FM40="Да",OR(FE40="Да",FF40="Да",FG40="Да",FH40="Да",FI40="Да")),"Молибден,Цинк",IF(AND(OR(FJ40="Да",FK40="Да",FL40="Да",FM40="Да",FQ40="Да"),OR(FE40="Да",FF40="Да"),FT40="Да",FU40="Да",Исходн.данные.!I40&gt;5.5),"Медь,Цинк",FC40))))))</f>
        <v>#N/A</v>
      </c>
      <c r="FC40" s="23" t="e">
        <f t="shared" si="112"/>
        <v>#N/A</v>
      </c>
      <c r="FD40" s="38" t="str">
        <f>IF(OR(Исходн.данные.!F40=$CC$1,Исходн.данные.!F40=$CC$2,Исходн.данные.!F40=$CC$3,Исходн.данные.!F40=$CC$4),"Да","Нет")</f>
        <v>Нет</v>
      </c>
      <c r="FE40" s="38" t="str">
        <f>IF(Исходн.данные.!F40=$CC$5,"Да","Нет")</f>
        <v>Нет</v>
      </c>
      <c r="FF40" s="38" t="str">
        <f>IF(OR(Исходн.данные.!F40=$CC$6,Исходн.данные.!F40=$CC$7),"Да","Нет")</f>
        <v>Нет</v>
      </c>
      <c r="FG40" s="38" t="str">
        <f>IF(OR(Исходн.данные.!F40=$CC$8,Исходн.данные.!F40=$CC$9),"Да","Нет")</f>
        <v>Нет</v>
      </c>
      <c r="FH40" s="38" t="str">
        <f>IF(Исходн.данные.!F40=$CC$10,"Да","Нет")</f>
        <v>Нет</v>
      </c>
      <c r="FI40" s="38" t="str">
        <f>IF(OR(Исходн.данные.!F40=$CC$11,Исходн.данные.!F40=$CC$12),"Да","Нет")</f>
        <v>Нет</v>
      </c>
      <c r="FJ40" s="38" t="str">
        <f>IF(OR(Исходн.данные.!AH40=$BS$1,Исходн.данные.!AH40=$BQ$11,Исходн.данные.!AH40=$BQ$12),"Да","Нет")</f>
        <v>Нет</v>
      </c>
      <c r="FK40" s="38" t="str">
        <f>IF(OR(Исходн.данные.!AH40=$BS$2,Исходн.данные.!AH40=$BS$4),"Да","Нет")</f>
        <v>Нет</v>
      </c>
      <c r="FL40" s="38" t="str">
        <f>IF(OR(Исходн.данные.!AH40=$BS$3,Исходн.данные.!AH40=$BS$5),"Да","Нет")</f>
        <v>Нет</v>
      </c>
      <c r="FM40" s="38" t="str">
        <f>IF(OR(Исходн.данные.!AH40=$BS$9,Исходн.данные.!AH40=$BS$10,Исходн.данные.!AH40=$BS$11,Исходн.данные.!AH40=$BS$12),"Да","Нет")</f>
        <v>Нет</v>
      </c>
      <c r="FN40" s="38" t="str">
        <f>IF(OR(Исходн.данные.!AH40=$BS$6,Исходн.данные.!AH40=$BP$3),"Да","Нет")</f>
        <v>Нет</v>
      </c>
      <c r="FO40" s="38" t="str">
        <f>IF(Исходн.данные.!AH40=$BQ$9,"Да","Нет")</f>
        <v>Нет</v>
      </c>
      <c r="FP40" s="38" t="str">
        <f>IF(OR(Исходн.данные.!AH40=$BS$8,Исходн.данные.!AH40=$BT$8),"Да","Нет")</f>
        <v>Нет</v>
      </c>
      <c r="FQ40" s="38" t="str">
        <f>IF(OR(Исходн.данные.!AH40=$BQ$7,Исходн.данные.!AH40=$BQ$8),"Да","Нет")</f>
        <v>Нет</v>
      </c>
      <c r="FR40" s="38" t="str">
        <f>IF(Исходн.данные.!AI40=$BU$9,"Да","Нет")</f>
        <v>Нет</v>
      </c>
      <c r="FS40" s="38" t="str">
        <f>IF(OR(Исходн.данные.!AH40=$BP$1,Исходн.данные.!AH40=$BP$2),"Да","Нет")</f>
        <v>Нет</v>
      </c>
      <c r="FT40" s="38" t="e">
        <f>IF((Исходн.данные.!K40*GO40*GS40*GW40+BL40*0.6+Исходн.данные.!Q40*4.5*0.275)&gt;90,"Да","Нет")</f>
        <v>#N/A</v>
      </c>
      <c r="FU40" s="38" t="e">
        <f>IF((Исходн.данные.!M40*GS40*GZ40+BM40*0.225)&gt;35,"Да","Нет")</f>
        <v>#N/A</v>
      </c>
      <c r="FV40" s="38" t="str">
        <f>IF(Исходн.данные.!O40&gt;175,"Да","Нет")</f>
        <v>Нет</v>
      </c>
      <c r="FW40" s="39" t="str">
        <f>IF(Исходн.данные.!I40&gt;5.5,"Да","Нет")</f>
        <v>Нет</v>
      </c>
      <c r="FX40" s="39" t="str">
        <f>IF(Исходн.данные.!J40&lt;2,"Да","Нет")</f>
        <v>Да</v>
      </c>
      <c r="FY40" s="39" t="e">
        <f>IF(HF40=$FY$16,0,Исходн.данные.!K40*GO40*GS40*GW40/HF40)</f>
        <v>#N/A</v>
      </c>
      <c r="FZ40" s="39" t="e">
        <f>Исходн.данные.!M40*GS40*GZ40/HG40</f>
        <v>#N/A</v>
      </c>
      <c r="GA40" s="39" t="e">
        <f>IF(K_Wyn=$FY$16,0,IF(Исходн.данные.!N40=Исходн.данные.!$L$10,Исходн.данные.!O40/1.1*GS40*HC40/HH40,IF(Исходн.данные.!N40=Исходн.данные.!$L$12,Исходн.данные.!O40/1.5*GS40*HC40/HH40,Исходн.данные.!O40*GS40*HC40/HH40)))</f>
        <v>#N/A</v>
      </c>
      <c r="GB40" s="39" t="e">
        <f>IF(HF40=$FY$16,0,((Исходн.данные.!Q40*N_Org+Исходн.данные.!R40*N_Sider+Исходн.данные.!S40*N_Soloma)*AO40+Расчет!BC40*VLOOKUP(Исходн.данные.!T40,Справ!$A$3:$O$57,15)*AO40+BB40*VLOOKUP(Исходн.данные.!T40,Справ!$A$3:$O$57,15)*AL40+(Исходн.данные.!V40*N_Rizotorf+Исходн.данные.!W40*N_Rizoagr))/HF40)</f>
        <v>#N/A</v>
      </c>
      <c r="GC40" s="39" t="e">
        <f>IF(HG40=$FY$16,0,((Исходн.данные.!Q40*Р_Org+Исходн.данные.!R40*P_Sider+Исходн.данные.!S40*P_Soloma)*AP40+Расчет!BC40*VLOOKUP(Исходн.данные.!T40,Справ!$A$3:$P$57,16)*AP40+BB40*VLOOKUP(Исходн.данные.!T40,Справ!$A$3:$P$57,16)*AM40)/HG40)</f>
        <v>#N/A</v>
      </c>
      <c r="GD40" s="39" t="e">
        <f>IF(HH40=$FY$16,0,((Исходн.данные.!Q40*К_Org+Исходн.данные.!R40*K_Sider+Исходн.данные.!S40*K_Soloma)*AQ40+Расчет!BC40*VLOOKUP(Исходн.данные.!T40,Справ!$A$3:$Q$57,17)*AQ40+BB40*VLOOKUP(Исходн.данные.!T40,Справ!$A$3:$Q$57,17)*AN40)/HH40)</f>
        <v>#N/A</v>
      </c>
      <c r="GE40" s="39" t="e">
        <f>IF(HF40=$FY$16,0,(Исходн.данные.!X40*AR40+Исходн.данные.!AA40*N_Org*AL40+Исходн.данные.!AB40*N_Sider*AL40+Исходн.данные.!AC40*N_Soloma*AL40)/HF40)</f>
        <v>#N/A</v>
      </c>
      <c r="GF40" s="39" t="e">
        <f>IF(HG40=$FY$16,0,(Исходн.данные.!Y40*AS40+Исходн.данные.!AA40*Р_Org*AM40+Исходн.данные.!AB40*P_Sider*AM40+Исходн.данные.!AC40*P_Soloma*AM40)/HG40)</f>
        <v>#N/A</v>
      </c>
      <c r="GG40" s="39" t="e">
        <f>IF(HH40=$FY$16,0,(Исходн.данные.!Z40*AT40+Исходн.данные.!AA40*К_Org*AN40+Исходн.данные.!AB40*K_Sider*AN40+Исходн.данные.!AC40*K_Soloma*AN40)/HH40)</f>
        <v>#N/A</v>
      </c>
      <c r="GH40" s="39" t="e">
        <f>Исходн.данные.!AD40*AU40/HF40</f>
        <v>#N/A</v>
      </c>
      <c r="GI40" s="39" t="e">
        <f>Исходн.данные.!AE40*AV40/HG40</f>
        <v>#N/A</v>
      </c>
      <c r="GJ40" s="39" t="e">
        <f>Исходн.данные.!AF40*AW40/HH40</f>
        <v>#N/A</v>
      </c>
      <c r="GK40" s="55">
        <f>Исходн.данные.!AK40</f>
        <v>0</v>
      </c>
      <c r="GL40" s="11" t="e">
        <f t="shared" si="113"/>
        <v>#N/A</v>
      </c>
      <c r="GM40" s="11" t="e">
        <f t="shared" si="114"/>
        <v>#N/A</v>
      </c>
      <c r="GN40" s="11" t="e">
        <f t="shared" si="115"/>
        <v>#N/A</v>
      </c>
      <c r="GO40" s="57">
        <f t="shared" si="116"/>
        <v>19</v>
      </c>
      <c r="GP40" s="55">
        <f>IF(OR(Исходн.данные.!F40=$CE$1,Исходн.данные.!F40=$CE$2,Исходн.данные.!F40=$CE$3,Исходн.данные.!F40=$CE$4,Исходн.данные.!F40=$CE$5),GQ40,GR40)</f>
        <v>19</v>
      </c>
      <c r="GQ40" s="55">
        <f>IF(Исходн.данные.!F40=$CE$1,28,IF(Исходн.данные.!F40=$CE$2,26,IF(Исходн.данные.!F40=$CE$3,24,IF(Исходн.данные.!F40=$CE$4,22,IF(Исходн.данные.!F40=$CE$5,20,GR40)))))</f>
        <v>19</v>
      </c>
      <c r="GR40" s="55">
        <f>IF(Исходн.данные.!F40=$CE$6,18,IF(Исходн.данные.!F40=$CE$7,16,IF(Исходн.данные.!F40=$CE$8,14,IF(Исходн.данные.!F40=$CE$9,13,IF(Исходн.данные.!F40=$CE$10,12,19)))))</f>
        <v>19</v>
      </c>
      <c r="GS40" s="55">
        <f>IF(Исходн.данные.!G40="Пес",0.035*(40+2*Исходн.данные.!H40),IF(Исходн.данные.!G40="Суп",0.0325*(40+2*Исходн.данные.!H40),0.03*(40+2*Исходн.данные.!H40)))</f>
        <v>1.2</v>
      </c>
      <c r="GT40" s="55">
        <f>IF(Исходн.данные.!H40&lt;23,2.6,IF(AND(Исходн.данные.!H40&gt;22,Исходн.данные.!H40&lt;26),3,IF(AND(Исходн.данные.!H40&gt;25,Исходн.данные.!H40&lt;29),3.4,3.6)))</f>
        <v>2.6</v>
      </c>
      <c r="GU40" s="55">
        <f>IF(Исходн.данные.!H40&lt;23,2.8,IF(AND(Исходн.данные.!H40&gt;22,Исходн.данные.!H40&lt;26),3.2,IF(AND(Исходн.данные.!H40&gt;25,Исходн.данные.!H40&lt;29),3.6,3.9)))</f>
        <v>2.8</v>
      </c>
      <c r="GV40" s="55">
        <f>IF(Исходн.данные.!H40&lt;23,3,IF(AND(Исходн.данные.!H40&gt;22,Исходн.данные.!H40&lt;26),3.5,IF(AND(Исходн.данные.!H40&gt;25,Исходн.данные.!H40&lt;29),3.9,4.2)))</f>
        <v>3</v>
      </c>
      <c r="GW40" s="55" t="e">
        <f>IF(Исходн.данные.!P40="Ум",GX40,GY40)</f>
        <v>#N/A</v>
      </c>
      <c r="GX40" s="55" t="e">
        <f>VLOOKUP(Исходн.данные.!AI40,Коэффициенты!$J$7:$L$13,2,FALSE)</f>
        <v>#N/A</v>
      </c>
      <c r="GY40" s="55" t="e">
        <f>VLOOKUP(Исходн.данные.!AI40,Коэффициенты!$J$7:$L$13,3,FALSE)</f>
        <v>#N/A</v>
      </c>
      <c r="GZ40" s="55" t="e">
        <f>(IF(Исходн.данные.!M40&lt;50,0.11*VLOOKUP(Исходн.данные.!AH40,Культуры.Информация,7,FALSE),IF(Исходн.данные.!M40&gt;250,0.05*VLOOKUP(Исходн.данные.!AH40,Культуры.Информация,7,FALSE),VLOOKUP(Исходн.данные.!AH40,Культуры.Информация,5,FALSE)/100*($GX$6+$GY$6*Исходн.данные.!M40))))*Расчет2!AI40</f>
        <v>#N/A</v>
      </c>
      <c r="HA40" s="211"/>
      <c r="HB40" s="211"/>
      <c r="HC40" s="55" t="e">
        <f>(IF(Исходн.данные.!O40&lt;80,0.2*VLOOKUP(Исходн.данные.!AH40,Культуры.Информация,8,FALSE),IF(Исходн.данные.!O40&gt;240,0.09*VLOOKUP(Исходн.данные.!AH40,Культуры.Информация,8,FALSE),VLOOKUP(Исходн.данные.!AH40,Культуры.Информация,6,FALSE)/100*($HB$6+$HC$6*Исходн.данные.!O40))))*Расчет2!AJ40</f>
        <v>#N/A</v>
      </c>
      <c r="HD40" s="55">
        <f>IF(Исходн.данные.!O40&gt;240,0.09,IF(Исходн.данные.!O40&lt;30,0.3,$HE$10+$HD$10*Исходн.данные.!O40))</f>
        <v>0.3</v>
      </c>
      <c r="HE40" s="55">
        <f>IF(Исходн.данные.!O40&gt;240,0.17,IF(Исходн.данные.!O40&lt;30,0.5,$HF$12+$HE$12*Исходн.данные.!O40))</f>
        <v>0.5</v>
      </c>
      <c r="HF40" s="55" t="e">
        <f>VLOOKUP(Исходн.данные.!AH40,Справ!$A$3:$D$58,2,FALSE)</f>
        <v>#N/A</v>
      </c>
      <c r="HG40" s="55" t="e">
        <f>VLOOKUP(Исходн.данные.!AH40,Справ!$A$3:$D$58,3,FALSE)</f>
        <v>#N/A</v>
      </c>
      <c r="HH40" s="55" t="e">
        <f>VLOOKUP(Исходн.данные.!AH40,Справ!$A$3:$D$58,4,FALSE)</f>
        <v>#N/A</v>
      </c>
      <c r="HI40" s="11" t="e">
        <f t="shared" si="117"/>
        <v>#N/A</v>
      </c>
      <c r="HJ40" s="11" t="e">
        <f t="shared" si="118"/>
        <v>#N/A</v>
      </c>
      <c r="HK40" s="11" t="e">
        <f t="shared" si="119"/>
        <v>#N/A</v>
      </c>
      <c r="HL40" s="55">
        <f>IF(OR(Исходн.данные.!G40="Глин",Исходн.данные.!G40="Т_суг"),1.1,IF(Исходн.данные.!G40="Ср_суг",1,1))</f>
        <v>1</v>
      </c>
      <c r="HM40" s="55">
        <f>IF(OR(Исходн.данные.!G40="Глин",Исходн.данные.!G40="Т_суг"),0.9,IF(Исходн.данные.!G40="Ср_суг",1,1.2))</f>
        <v>1.2</v>
      </c>
      <c r="HN40" s="11" t="e">
        <f t="shared" si="120"/>
        <v>#N/A</v>
      </c>
      <c r="HO40" s="11" t="e">
        <f t="shared" si="121"/>
        <v>#N/A</v>
      </c>
      <c r="HP40" s="11" t="e">
        <f t="shared" si="122"/>
        <v>#N/A</v>
      </c>
      <c r="HQ40" t="e">
        <f t="shared" si="123"/>
        <v>#N/A</v>
      </c>
      <c r="HR40" t="e">
        <f t="shared" si="124"/>
        <v>#N/A</v>
      </c>
      <c r="HS40" t="e">
        <f t="shared" si="125"/>
        <v>#N/A</v>
      </c>
      <c r="HT40" t="e">
        <f t="shared" si="21"/>
        <v>#N/A</v>
      </c>
      <c r="HU40" t="e">
        <f t="shared" si="22"/>
        <v>#N/A</v>
      </c>
      <c r="HV40" t="e">
        <f t="shared" si="23"/>
        <v>#N/A</v>
      </c>
      <c r="HW40" t="e">
        <f t="shared" si="24"/>
        <v>#N/A</v>
      </c>
      <c r="HX40" t="e">
        <f t="shared" si="25"/>
        <v>#N/A</v>
      </c>
      <c r="HY40" t="e">
        <f t="shared" si="26"/>
        <v>#N/A</v>
      </c>
      <c r="HZ40" s="55">
        <f>IF(OR(Исходн.данные.!AI40="Оз_Ч_П",Исходн.данные.!AI40="Оз_З_П",Исходн.данные.!AI40="Яр_зер"),12,30)</f>
        <v>30</v>
      </c>
      <c r="IA40" t="e">
        <f t="shared" si="126"/>
        <v>#N/A</v>
      </c>
      <c r="IB40" t="e">
        <f t="shared" si="127"/>
        <v>#N/A</v>
      </c>
      <c r="IC40" t="e">
        <f t="shared" si="128"/>
        <v>#N/A</v>
      </c>
      <c r="ID40" s="11" t="e">
        <f t="shared" si="129"/>
        <v>#N/A</v>
      </c>
      <c r="IE40" s="11" t="e">
        <f t="shared" si="130"/>
        <v>#N/A</v>
      </c>
      <c r="IF40" s="11" t="e">
        <f t="shared" si="131"/>
        <v>#N/A</v>
      </c>
    </row>
    <row r="41" spans="35:240" x14ac:dyDescent="0.2">
      <c r="AI41">
        <f>IF(Исходн.данные.!I41&gt;6,1,1.85-(0.148*Исходн.данные.!I41))</f>
        <v>1.85</v>
      </c>
      <c r="AJ41">
        <f>IF(Исходн.данные.!I41&gt;6,1,2.434-(0.246*Исходн.данные.!I41))</f>
        <v>2.4340000000000002</v>
      </c>
      <c r="AL41" s="148" t="b">
        <f>IF(Исходн.данные.!$P41="Ум",N_OrgUd_2g_um,IF(Исходн.данные.!$P41="Об",N_OrgUd_2g_ob))</f>
        <v>0</v>
      </c>
      <c r="AM41" s="148" t="b">
        <f>IF(Исходн.данные.!$P41="Ум",P_OrgUd_2g_um,IF(Исходн.данные.!$P41="Об",P_OrgUd_2g_ob))</f>
        <v>0</v>
      </c>
      <c r="AN41" s="148" t="b">
        <f>IF(Исходн.данные.!$P41="Ум",K_OrgUd_2g_um,IF(Исходн.данные.!$P41="Об",K_OrgUd_2g_ob))</f>
        <v>0</v>
      </c>
      <c r="AO41" s="148" t="b">
        <f>IF(Исходн.данные.!$P41="Ум",N_OrgUd_1g_um,IF(Исходн.данные.!$P41="Об",N_OrgUd_1g_ob))</f>
        <v>0</v>
      </c>
      <c r="AP41" s="148" t="b">
        <f>IF(Исходн.данные.!$P41="Ум",P_OrgUd_1g_um,IF(Исходн.данные.!$P41="Об",P_OrgUd_1g_ob))</f>
        <v>0</v>
      </c>
      <c r="AQ41" s="148" t="b">
        <f>IF(Исходн.данные.!$P41="Ум",K_OrgUd_1g_um,IF(Исходн.данные.!$P41="Об",K_OrgUd_1g_ob))</f>
        <v>0</v>
      </c>
      <c r="AR41" t="b">
        <f>IF(Исходн.данные.!$P41="Ум",N_MinUd_2g_um,IF(Исходн.данные.!$P41="Об",N_MinUd_2g_ob))</f>
        <v>0</v>
      </c>
      <c r="AS41" t="b">
        <f>IF(Исходн.данные.!$P41="Ум",P_MinUd_2g_um,IF(Исходн.данные.!$P41="Об",P_MinUd_2g_ob))</f>
        <v>0</v>
      </c>
      <c r="AT41" t="b">
        <f>IF(Исходн.данные.!$P41="Ум",K_MinUd_2g_um,IF(Исходн.данные.!$P41="Об",K_MinUd_2g_ob))</f>
        <v>0</v>
      </c>
      <c r="AU41" t="b">
        <f>IF(Исходн.данные.!$P41="Ум",N_MinUd_1g_um,IF(Исходн.данные.!$P41="Об",N_MinUd_1g_ob))</f>
        <v>0</v>
      </c>
      <c r="AV41" t="b">
        <f>IF(Исходн.данные.!P41="Ум",P_MinUd_1g_um,IF(Исходн.данные.!P41="Об",P_MinUd_1g_ob))</f>
        <v>0</v>
      </c>
      <c r="AW41" t="b">
        <f>IF(Исходн.данные.!P41="Ум",K_MinUd_1g_um,IF(Исходн.данные.!P41="Об",K_MinUd_1g_ob))</f>
        <v>0</v>
      </c>
      <c r="AY41" t="e">
        <f>VLOOKUP(Исходн.данные.!T41,Справ!$A$3:$N$57,12)</f>
        <v>#N/A</v>
      </c>
      <c r="AZ41" t="e">
        <f>VLOOKUP(Исходн.данные.!T41,Справ!$A$3:$N$57,13)</f>
        <v>#N/A</v>
      </c>
      <c r="BA41" t="e">
        <f>VLOOKUP(Исходн.данные.!T41,Справ!$A$3:$N$57,14)</f>
        <v>#N/A</v>
      </c>
      <c r="BB41">
        <f>IF(Исходн.данные.!AH41=0,0,25)</f>
        <v>0</v>
      </c>
      <c r="BC41" s="141">
        <f>IF(Исходн.данные.!AH41=0,0,IF(Исходн.данные.!T41=0,25,BD41))</f>
        <v>0</v>
      </c>
      <c r="BD41" s="168" t="e">
        <f>AY41+AZ41*Исходн.данные.!U41-POWER(BA41,2)*Исходн.данные.!U41</f>
        <v>#N/A</v>
      </c>
      <c r="BE4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1" s="25">
        <f>IF(Исходн.данные.!AH41=0,0,MIN(HN41:HP41))</f>
        <v>0</v>
      </c>
      <c r="BG41" s="9">
        <f>IF(Исходн.данные.!AH41=0,0,IF((HO41+10*0.25/HG41/HL41)&lt;17,17,HO41+10*0.25/HG41/HL41))</f>
        <v>0</v>
      </c>
      <c r="BH41" s="181">
        <f>IF(Исходн.данные.!AH41=0,0,HW41*HF41*HL41/AU41*AI41+Исходн.данные.!S41*10)</f>
        <v>0</v>
      </c>
      <c r="BI41" s="10"/>
      <c r="BJ41" s="182">
        <f>IF(Исходн.данные.!AH41=0,0,IF(HX41*HG41*HL41/AV41&lt;0,0,HX41*HG41*HL41/AV41*AJ41))</f>
        <v>0</v>
      </c>
      <c r="BK41" s="182">
        <f>IF(Исходн.данные.!AH41=0,0,HY41*HH41*HM41/AW41)</f>
        <v>0</v>
      </c>
      <c r="BL41" s="10">
        <f>IF(OR(Исходн.данные.!$AH41=$BP$1,Исходн.данные.!$AH41=$BP$2),0,IF(BH41&lt;0,0,IF(OR(Исходн.данные.!T41=Расчет!$BP$1,Исходн.данные.!T41=Расчет!$BP$2,Исходн.данные.!T41=Расчет!$BT$5,Исходн.данные.!T41=Расчет!$BT$6),BH41*0.5,IF(OR(Исходн.данные.!T41=Расчет!$BS$9,Исходн.данные.!T41=Расчет!$BS$10,Исходн.данные.!T41=Расчет!$BS$11,Исходн.данные.!T41=Расчет!$BS$12,Исходн.данные.!T41=Расчет!$BP$5),BH41*0.8,BH41))))</f>
        <v>0</v>
      </c>
      <c r="BM41" s="10">
        <f>IF(OR(Исходн.данные.!$AH41=$BP$1,Исходн.данные.!$AH41=$BP$2),0,IF(BJ41&lt;0,0,IF(Исходн.данные.!I41&lt;4.5,BJ41*1.2,IF(Исходн.данные.!I41&gt;5.1,BJ41,BJ41*((5.1-Исходн.данные.!I41)*0.333+1)))))</f>
        <v>0</v>
      </c>
      <c r="BN41" s="10">
        <f>IF(OR(Исходн.данные.!$AH41=$BP$1,Исходн.данные.!$AH41=$BP$2),60-Исходн.данные.!AF41,IF(BK41&lt;0,0,IF(Исходн.данные.!I41&lt;4.5,BK41*1.2,IF(Исходн.данные.!I41&gt;5.1,BK41,BK41*((5.1-Исходн.данные.!I41)*0.333+1)))))</f>
        <v>0</v>
      </c>
      <c r="BO41" s="9">
        <f>IF(BL41&lt;0,0,BL41*Исходн.данные.!$AJ41/1000)</f>
        <v>0</v>
      </c>
      <c r="BP41" s="9">
        <f>IF(BM41&lt;0,0,BM41*Исходн.данные.!$AJ41/1000)</f>
        <v>0</v>
      </c>
      <c r="BQ41" s="9">
        <f>IF(BN41&lt;0,0,BN41*Исходн.данные.!$AJ41/1000)</f>
        <v>0</v>
      </c>
      <c r="BR41" s="9">
        <f t="shared" si="81"/>
        <v>0</v>
      </c>
      <c r="BS41" s="10" t="str">
        <f t="shared" si="82"/>
        <v>Аммофос 12:52:00</v>
      </c>
      <c r="BT41" s="10" t="str">
        <f t="shared" si="83"/>
        <v>Аммофос 12:52:00</v>
      </c>
      <c r="BU41" s="10" t="str">
        <f t="shared" si="84"/>
        <v>Диаммофоска</v>
      </c>
      <c r="BV41" s="10">
        <f t="shared" si="85"/>
        <v>0</v>
      </c>
      <c r="BW41" s="10"/>
      <c r="BX41" s="10"/>
      <c r="BY41" s="9">
        <f>IF(BL41&lt;0,0,IF(OR(Исходн.данные.!AI41=Расчет!$BU$6,Исходн.данные.!AI41=Расчет!$BU$7),Расчет!BV41,IF(Исходн.данные.!$AG41=$BV$11,BL41,IF(OR(Исходн.данные.!$AH41=$BQ$7,Исходн.данные.!$AH41=$BQ$8),CB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0,IF(Исходн.данные.!$AI41=$BU$11,"Нет",IF(BL41&gt;30,30,BL41)))))))</f>
        <v>0</v>
      </c>
      <c r="BZ41" s="9">
        <f>IF(AND(Исходн.данные.!$AG41=$BV$11,BM41&lt;10),10,IF(Исходн.данные.!$AG41=$BV$11,BM41,IF(OR(Исходн.данные.!$AH41=$BQ$7,Исходн.данные.!$AH41=$BQ$8),CC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10,IF(Исходн.данные.!$AI41=$BU$11,"Нет",IF(BM41&gt;60,60,IF(BM41&lt;10,10,BM41)))))))</f>
        <v>10</v>
      </c>
      <c r="CA41" s="39">
        <f>IF(BN41&lt;0,0,IF(Исходн.данные.!$AG41=$BV$11,BN41,IF(OR(Исходн.данные.!$AH41=$BQ$7,Исходн.данные.!$AH41=$BQ$8),CD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0,IF(Исходн.данные.!$AI41=$BU$11,"Нет",IF(BN41&gt;30,30,BN41))))))</f>
        <v>0</v>
      </c>
      <c r="CB41" s="9">
        <f t="shared" si="86"/>
        <v>0</v>
      </c>
      <c r="CC41" s="9">
        <f t="shared" si="87"/>
        <v>0</v>
      </c>
      <c r="CD41" s="9">
        <f t="shared" si="88"/>
        <v>0</v>
      </c>
      <c r="CE41" s="12">
        <f t="shared" si="89"/>
        <v>10</v>
      </c>
      <c r="CF41" s="9">
        <f t="shared" si="90"/>
        <v>0</v>
      </c>
      <c r="CG41" s="9" t="s">
        <v>231</v>
      </c>
      <c r="CH41" s="132" t="str">
        <f>IF(Исходн.данные.!AP41=Расчет!$CI$16,"Нет",IF(Исходн.данные.!AL41&gt;0,Исходн.данные.!AL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BH$4,IF(OR(Исходн.данные.!AI41=Исходн.данные.!$AI$6,Исходн.данные.!AI41=Исходн.данные.!$AI$7),Расчет!BS41,IF(AND($CF41=0,$CE41&gt;0),EV41,ER41)))))</f>
        <v>Аммофос 12:52:00</v>
      </c>
      <c r="CI41" s="274">
        <f>IF(Расчет!$CH41="Нет","Нет",IF(Исходн.данные.!$AL41&gt;0,VLOOKUP(Расчет!$CH41,АшламаДВ_Irekle,2,FALSE),VLOOKUP(Расчет!$CH41,АшламаДВ_Gomumy,2,FALSE)))</f>
        <v>0.12</v>
      </c>
      <c r="CJ41" s="274">
        <f>IF(Расчет!$CH41="Нет","Нет",IF(Исходн.данные.!$AL41&gt;0,VLOOKUP(Расчет!$CH41,АшламаДВ_Irekle,3,FALSE),VLOOKUP(Расчет!$CH41,АшламаДВ_Gomumy,3,FALSE)))</f>
        <v>0.52</v>
      </c>
      <c r="CK41" s="274">
        <f>IF(Расчет!$CH41="Нет","Нет",IF(Исходн.данные.!$AL41&gt;0,VLOOKUP(Расчет!$CH41,АшламаДВ_Irekle,4,FALSE),VLOOKUP(Расчет!$CH41,АшламаДВ_Gomumy,4,FALSE)))</f>
        <v>0</v>
      </c>
      <c r="CL41" s="70"/>
      <c r="CM41" s="70"/>
      <c r="CN41" s="70"/>
      <c r="CO41" s="70"/>
      <c r="CP41" s="70"/>
      <c r="CQ41" s="70"/>
      <c r="CR41" s="10">
        <f t="shared" si="91"/>
        <v>0</v>
      </c>
      <c r="CS41" s="10">
        <f t="shared" si="92"/>
        <v>19.23076923076923</v>
      </c>
      <c r="CT41" s="10">
        <f t="shared" si="93"/>
        <v>0</v>
      </c>
      <c r="CU41" s="39">
        <f>IF($CH41="Нет",0,IF(CI41=0,30/MIN(CJ41:CK41),IF(Исходн.данные.!$AG41=$BV$11,CR41,IF(OR(Исходн.данные.!$AH41=$BQ$7,Исходн.данные.!$AH41=$BQ$8),90/CI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0,IF(Исходн.данные.!$AI41=$BU$11,"Нет",30/CI41))))))</f>
        <v>250</v>
      </c>
      <c r="CV41" s="39">
        <f>IF($CH41="Нет",0,IF(Исходн.данные.!AH41=0,0,IF(CJ41=0,60/MIN(CI41,CK41),IF(Исходн.данные.!$AG41=$BV$11,CS41,IF(OR(Исходн.данные.!$AH41=$BQ$7,Исходн.данные.!$AH41=$BQ$8),90/CJ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10/CJ41,IF(Исходн.данные.!$AI41=$BU$11,"Нет",60/CJ41)))))))</f>
        <v>0</v>
      </c>
      <c r="CW41" s="39">
        <f>IF($CH41="Нет",0,IF(Исходн.данные.!AH41=0,0,IF(CK41=0,30/MIN(CI41:CJ41),IF(Исходн.данные.!$AG41=$BV$11,CT41,IF(OR(Исходн.данные.!$AH41=$BQ$7,Исходн.данные.!$AH41=$BQ$8),90/CK41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0,IF(Исходн.данные.!$AI41=$BU$11,"Нет",30/CK41)))))))</f>
        <v>0</v>
      </c>
      <c r="CX41" s="133">
        <f>IF(Исходн.данные.!$AG41=$BV$11,MAX(CU41:CW41),IF(OR(Исходн.данные.!$AH41=$BS$8,Исходн.данные.!$AH41=$BQ$9,Исходн.данные.!$AH41=$BQ$10,Исходн.данные.!$AH41=$BQ$11,Исходн.данные.!$AH41=$BQ$12,Исходн.данные.!$AH41=$BP$3,Исходн.данные.!$AH41=$BT$8,$FM41="Да"),CV41,MIN(CU41:CW41)))</f>
        <v>0</v>
      </c>
      <c r="CY41" s="133">
        <f>IF(Исходн.данные.!AH41=0,0,IF(CR41&gt;$CX41,$CX41,CR41))</f>
        <v>0</v>
      </c>
      <c r="CZ41" s="133">
        <f>IF(Исходн.данные.!AH41=0,0,IF(CS41&gt;$CX41,$CX41,CS41))</f>
        <v>0</v>
      </c>
      <c r="DA41" s="133">
        <f>IF(Исходн.данные.!AH41=0,0,IF(CT41&gt;$CX41,$CX41,CT41))</f>
        <v>0</v>
      </c>
      <c r="DB41" s="10">
        <f t="shared" si="94"/>
        <v>0</v>
      </c>
      <c r="DC41" s="39">
        <f>DB41*Исходн.данные.!AJ41/1000</f>
        <v>0</v>
      </c>
      <c r="DD41" s="71">
        <f t="shared" si="95"/>
        <v>0</v>
      </c>
      <c r="DE41" s="9">
        <f t="shared" si="96"/>
        <v>0</v>
      </c>
      <c r="DF41" s="9">
        <f t="shared" si="97"/>
        <v>0</v>
      </c>
      <c r="DG41" s="39">
        <f>IF(BL41&lt;0,0,IF($CH41="Нет",BL41,IF(OR(Исходн.данные.!$AH41=$BP$1,Исходн.данные.!$AH41=$BP$2),0,IF(Исходн.данные.!AI41=$BU$11,BL41,IF(BL41-DD41&lt;0,0,BL41-DD41)))))</f>
        <v>0</v>
      </c>
      <c r="DH41" s="39">
        <f>IF(BM41&lt;0,0,IF($CH41="Нет",BM41,IF(OR(Исходн.данные.!$AH41=$BP$1,Исходн.данные.!$AH41=$BP$2),0,IF(Исходн.данные.!AJ41=$BU$11,BM41,IF(BM41-DE41&lt;0,0,BM41-DE41)))))</f>
        <v>0</v>
      </c>
      <c r="DI41" s="39">
        <f>IF(BN41&lt;0,0,IF($CH41="Нет",BN41,IF(OR(Исходн.данные.!$AH41=$BP$1,Исходн.данные.!$AH41=$BP$2),0,IF(Исходн.данные.!AK41=$BU$11,BN41,IF(BN41-DF41&lt;0,0,BN41-DF41)))))</f>
        <v>0</v>
      </c>
      <c r="DJ41" s="12">
        <f t="shared" si="98"/>
        <v>0</v>
      </c>
      <c r="DK41" s="9">
        <f t="shared" si="99"/>
        <v>0</v>
      </c>
      <c r="DL41" s="39">
        <f>IF(Исходн.данные.!AM41&gt;0,Исходн.данные.!AM41,IF(EG41&gt;0,$BH$10,0))</f>
        <v>0</v>
      </c>
      <c r="DM41" s="186">
        <f>IF($DL41=0,0,IF(Исходн.данные.!AM41&gt;0,VLOOKUP($DL41,АшламаДВ_Irekle,2,FALSE),VLOOKUP($DL41,АшламаДВ_Gomumy,2,FALSE)))</f>
        <v>0</v>
      </c>
      <c r="DN41" s="10">
        <f t="shared" si="46"/>
        <v>0</v>
      </c>
      <c r="DO41" s="9" t="str">
        <f>IF(Исходн.данные.!AN41&gt;0,Исходн.данные.!AN41,Удобрения!$B$37 )</f>
        <v>Хлор.калий</v>
      </c>
      <c r="DP41" s="9">
        <f>IF(Исходн.данные.!AN41&gt;0,VLOOKUP(Исходн.данные.!AN41,АшламаДВ_Irekle,4,FALSE),VLOOKUP(DO41,АшламаДВ_Gomumy,4,FALSE))</f>
        <v>0.6</v>
      </c>
      <c r="DQ41" s="10">
        <f t="shared" si="47"/>
        <v>0</v>
      </c>
      <c r="DR41" s="132" t="str">
        <f>IF(Исходн.данные.!AO41&gt;0,Исходн.данные.!AO41,IF(DH41=0,BS$17,IF(AND($DK41=0,$DJ41&gt;0),EJ41,EN41)))</f>
        <v>Нет</v>
      </c>
      <c r="DS41" s="70" t="str">
        <f>IF($DR41="Нет","Нет",IF(Исходн.данные.!$AO41&gt;0,VLOOKUP($DR41,АшламаДВ_Irekle,2,FALSE),VLOOKUP($DR41,АшламаДВ_Gomumy,2,FALSE)))</f>
        <v>Нет</v>
      </c>
      <c r="DT41" s="70" t="str">
        <f>IF($DR41="Нет","Нет",IF(Исходн.данные.!$AO41&gt;0,VLOOKUP($DR41,АшламаДВ_Irekle,3,FALSE),VLOOKUP($DR41,АшламаДВ_Gomumy,3,FALSE)))</f>
        <v>Нет</v>
      </c>
      <c r="DU41" s="70" t="str">
        <f>IF($DR41="Нет","Нет",IF(Исходн.данные.!$AO41&gt;0,VLOOKUP($DR41,АшламаДВ_Irekle,4,FALSE),VLOOKUP($DR41,АшламаДВ_Gomumy,4,FALSE)))</f>
        <v>Нет</v>
      </c>
      <c r="DV41" s="70"/>
      <c r="DW41" s="70"/>
      <c r="DX41" s="70"/>
      <c r="DY41" s="10">
        <f t="shared" si="100"/>
        <v>0</v>
      </c>
      <c r="DZ41" s="10">
        <f t="shared" si="101"/>
        <v>0</v>
      </c>
      <c r="EA41" s="10">
        <f t="shared" si="102"/>
        <v>0</v>
      </c>
      <c r="EB41" s="10">
        <f t="shared" si="103"/>
        <v>0</v>
      </c>
      <c r="EC41" s="10">
        <f t="shared" si="104"/>
        <v>0</v>
      </c>
      <c r="ED41" s="10">
        <f t="shared" si="105"/>
        <v>0</v>
      </c>
      <c r="EE41" s="10">
        <f t="shared" si="106"/>
        <v>0</v>
      </c>
      <c r="EF41" s="39">
        <f>EB41*Исходн.данные.!AJ41/1000</f>
        <v>0</v>
      </c>
      <c r="EG41" s="9">
        <f t="shared" si="107"/>
        <v>0</v>
      </c>
      <c r="EH41" s="9">
        <f t="shared" si="108"/>
        <v>0</v>
      </c>
      <c r="EI41" s="39" t="e">
        <f t="shared" si="7"/>
        <v>#DIV/0!</v>
      </c>
      <c r="EJ41" s="9" t="str">
        <f t="shared" si="8"/>
        <v>Азопреципитат</v>
      </c>
      <c r="EK41" s="12">
        <f t="shared" si="9"/>
        <v>0.26</v>
      </c>
      <c r="EL41" s="12">
        <f t="shared" si="10"/>
        <v>0.13</v>
      </c>
      <c r="EM41" s="12">
        <f t="shared" si="11"/>
        <v>0</v>
      </c>
      <c r="EN41" s="12" t="str">
        <f t="shared" si="57"/>
        <v>Нет</v>
      </c>
      <c r="EO41" s="12">
        <f t="shared" si="12"/>
        <v>0</v>
      </c>
      <c r="EP41" s="12">
        <f t="shared" si="13"/>
        <v>0</v>
      </c>
      <c r="EQ41" s="12">
        <f t="shared" si="14"/>
        <v>0</v>
      </c>
      <c r="ER41" s="12" t="str">
        <f t="shared" si="109"/>
        <v>Диаммофоска</v>
      </c>
      <c r="ES41" s="12">
        <f t="shared" si="15"/>
        <v>0.1</v>
      </c>
      <c r="ET41" s="12">
        <f t="shared" si="16"/>
        <v>0.26</v>
      </c>
      <c r="EU41" s="12">
        <f t="shared" si="17"/>
        <v>0.26</v>
      </c>
      <c r="EV41" s="12" t="str">
        <f t="shared" si="110"/>
        <v>Аммофос 12:52:00</v>
      </c>
      <c r="EW41" s="12" t="str">
        <f t="shared" si="111"/>
        <v>Кемира Свекловичное-6</v>
      </c>
      <c r="EX41" s="12">
        <f t="shared" si="18"/>
        <v>0.16</v>
      </c>
      <c r="EY41" s="12">
        <f t="shared" si="19"/>
        <v>0.12</v>
      </c>
      <c r="EZ41" s="12">
        <f t="shared" si="20"/>
        <v>0.17</v>
      </c>
      <c r="FA41" s="38" t="e">
        <f>IF(AND(OR(FJ41=$FD$1,FM41=$FD$1,FO41=$FD$1,FQ41=$FD$1,FS41=$FD$1),FD41=$FD$1,Исходн.данные.!J41&lt;2,FU41=$FD$1),"Бор,Кобальт",IF(AND(FO41=$FD$1,FH41=$FD$1,Исходн.данные.!J41&lt;2,FU41=$FD$1),"Бор,Кобальт",IF(AND(OR(FJ41=$FD$1,FM41=$FD$1,FQ41=$FD$1),FE41=$FD$1,Исходн.данные.!J41&lt;2,FT41=$FD$1,FU41=$FD$1),"Бор,Медь,Цинк",IF(AND(OR(FJ41=$FD$1,FR41="Да"),FI41="Да",Исходн.данные.!J41&lt;2,FT41="Да",FU41="Да"),"Бор,Цинк,Медь",IF(AND(OR(FM41="Да",FQ41="Да"),FI41="Да",Исходн.данные.!J41&lt;2,FT41="Да",FU41="Да"),"Бор,Цинк",IF(AND(FN41="Да",OR(FD41="Да",FE41="Да")),"Бор",FB41))))))</f>
        <v>#N/A</v>
      </c>
      <c r="FB41" s="134" t="e">
        <f>IF(AND(OR(FD41="Да",FE41="Да",FF41="Да",FG41="Да",FH41="Да"),FO41="Да"),"Бор",IF(AND(FP41="Да",OR(FD41="Да",FE41="Да",FI41="Да")),"Бор",IF(AND(FS41="Да",FE41="Да"),"Бор,Медь",IF(AND(OR(FJ41="Да",FK41="Да",FL41="Да"),FE41="Да",Исходн.данные.!I41&lt;5,FT41="Да",FU41="Да"),"Молибден,Цинк",IF(AND(FM41="Да",OR(FE41="Да",FF41="Да",FG41="Да",FH41="Да",FI41="Да")),"Молибден,Цинк",IF(AND(OR(FJ41="Да",FK41="Да",FL41="Да",FM41="Да",FQ41="Да"),OR(FE41="Да",FF41="Да"),FT41="Да",FU41="Да",Исходн.данные.!I41&gt;5.5),"Медь,Цинк",FC41))))))</f>
        <v>#N/A</v>
      </c>
      <c r="FC41" s="23" t="e">
        <f t="shared" si="112"/>
        <v>#N/A</v>
      </c>
      <c r="FD41" s="38" t="str">
        <f>IF(OR(Исходн.данные.!F41=$CC$1,Исходн.данные.!F41=$CC$2,Исходн.данные.!F41=$CC$3,Исходн.данные.!F41=$CC$4),"Да","Нет")</f>
        <v>Нет</v>
      </c>
      <c r="FE41" s="38" t="str">
        <f>IF(Исходн.данные.!F41=$CC$5,"Да","Нет")</f>
        <v>Нет</v>
      </c>
      <c r="FF41" s="38" t="str">
        <f>IF(OR(Исходн.данные.!F41=$CC$6,Исходн.данные.!F41=$CC$7),"Да","Нет")</f>
        <v>Нет</v>
      </c>
      <c r="FG41" s="38" t="str">
        <f>IF(OR(Исходн.данные.!F41=$CC$8,Исходн.данные.!F41=$CC$9),"Да","Нет")</f>
        <v>Нет</v>
      </c>
      <c r="FH41" s="38" t="str">
        <f>IF(Исходн.данные.!F41=$CC$10,"Да","Нет")</f>
        <v>Нет</v>
      </c>
      <c r="FI41" s="38" t="str">
        <f>IF(OR(Исходн.данные.!F41=$CC$11,Исходн.данные.!F41=$CC$12),"Да","Нет")</f>
        <v>Нет</v>
      </c>
      <c r="FJ41" s="38" t="str">
        <f>IF(OR(Исходн.данные.!AH41=$BS$1,Исходн.данные.!AH41=$BQ$11,Исходн.данные.!AH41=$BQ$12),"Да","Нет")</f>
        <v>Нет</v>
      </c>
      <c r="FK41" s="38" t="str">
        <f>IF(OR(Исходн.данные.!AH41=$BS$2,Исходн.данные.!AH41=$BS$4),"Да","Нет")</f>
        <v>Нет</v>
      </c>
      <c r="FL41" s="38" t="str">
        <f>IF(OR(Исходн.данные.!AH41=$BS$3,Исходн.данные.!AH41=$BS$5),"Да","Нет")</f>
        <v>Нет</v>
      </c>
      <c r="FM41" s="38" t="str">
        <f>IF(OR(Исходн.данные.!AH41=$BS$9,Исходн.данные.!AH41=$BS$10,Исходн.данные.!AH41=$BS$11,Исходн.данные.!AH41=$BS$12),"Да","Нет")</f>
        <v>Нет</v>
      </c>
      <c r="FN41" s="38" t="str">
        <f>IF(OR(Исходн.данные.!AH41=$BS$6,Исходн.данные.!AH41=$BP$3),"Да","Нет")</f>
        <v>Нет</v>
      </c>
      <c r="FO41" s="38" t="str">
        <f>IF(Исходн.данные.!AH41=$BQ$9,"Да","Нет")</f>
        <v>Нет</v>
      </c>
      <c r="FP41" s="38" t="str">
        <f>IF(OR(Исходн.данные.!AH41=$BS$8,Исходн.данные.!AH41=$BT$8),"Да","Нет")</f>
        <v>Нет</v>
      </c>
      <c r="FQ41" s="38" t="str">
        <f>IF(OR(Исходн.данные.!AH41=$BQ$7,Исходн.данные.!AH41=$BQ$8),"Да","Нет")</f>
        <v>Нет</v>
      </c>
      <c r="FR41" s="38" t="str">
        <f>IF(Исходн.данные.!AI41=$BU$9,"Да","Нет")</f>
        <v>Нет</v>
      </c>
      <c r="FS41" s="38" t="str">
        <f>IF(OR(Исходн.данные.!AH41=$BP$1,Исходн.данные.!AH41=$BP$2),"Да","Нет")</f>
        <v>Нет</v>
      </c>
      <c r="FT41" s="38" t="e">
        <f>IF((Исходн.данные.!K41*GO41*GS41*GW41+BL41*0.6+Исходн.данные.!Q41*4.5*0.275)&gt;90,"Да","Нет")</f>
        <v>#N/A</v>
      </c>
      <c r="FU41" s="38" t="e">
        <f>IF((Исходн.данные.!M41*GS41*GZ41+BM41*0.225)&gt;35,"Да","Нет")</f>
        <v>#N/A</v>
      </c>
      <c r="FV41" s="38" t="str">
        <f>IF(Исходн.данные.!O41&gt;175,"Да","Нет")</f>
        <v>Нет</v>
      </c>
      <c r="FW41" s="39" t="str">
        <f>IF(Исходн.данные.!I41&gt;5.5,"Да","Нет")</f>
        <v>Нет</v>
      </c>
      <c r="FX41" s="39" t="str">
        <f>IF(Исходн.данные.!J41&lt;2,"Да","Нет")</f>
        <v>Да</v>
      </c>
      <c r="FY41" s="39" t="e">
        <f>IF(HF41=$FY$16,0,Исходн.данные.!K41*GO41*GS41*GW41/HF41)</f>
        <v>#N/A</v>
      </c>
      <c r="FZ41" s="39" t="e">
        <f>Исходн.данные.!M41*GS41*GZ41/HG41</f>
        <v>#N/A</v>
      </c>
      <c r="GA41" s="39" t="e">
        <f>IF(K_Wyn=$FY$16,0,IF(Исходн.данные.!N41=Исходн.данные.!$L$10,Исходн.данные.!O41/1.1*GS41*HC41/HH41,IF(Исходн.данные.!N41=Исходн.данные.!$L$12,Исходн.данные.!O41/1.5*GS41*HC41/HH41,Исходн.данные.!O41*GS41*HC41/HH41)))</f>
        <v>#N/A</v>
      </c>
      <c r="GB41" s="39" t="e">
        <f>IF(HF41=$FY$16,0,((Исходн.данные.!Q41*N_Org+Исходн.данные.!R41*N_Sider+Исходн.данные.!S41*N_Soloma)*AO41+Расчет!BC41*VLOOKUP(Исходн.данные.!T41,Справ!$A$3:$O$57,15)*AO41+BB41*VLOOKUP(Исходн.данные.!T41,Справ!$A$3:$O$57,15)*AL41+(Исходн.данные.!V41*N_Rizotorf+Исходн.данные.!W41*N_Rizoagr))/HF41)</f>
        <v>#N/A</v>
      </c>
      <c r="GC41" s="39" t="e">
        <f>IF(HG41=$FY$16,0,((Исходн.данные.!Q41*Р_Org+Исходн.данные.!R41*P_Sider+Исходн.данные.!S41*P_Soloma)*AP41+Расчет!BC41*VLOOKUP(Исходн.данные.!T41,Справ!$A$3:$P$57,16)*AP41+BB41*VLOOKUP(Исходн.данные.!T41,Справ!$A$3:$P$57,16)*AM41)/HG41)</f>
        <v>#N/A</v>
      </c>
      <c r="GD41" s="39" t="e">
        <f>IF(HH41=$FY$16,0,((Исходн.данные.!Q41*К_Org+Исходн.данные.!R41*K_Sider+Исходн.данные.!S41*K_Soloma)*AQ41+Расчет!BC41*VLOOKUP(Исходн.данные.!T41,Справ!$A$3:$Q$57,17)*AQ41+BB41*VLOOKUP(Исходн.данные.!T41,Справ!$A$3:$Q$57,17)*AN41)/HH41)</f>
        <v>#N/A</v>
      </c>
      <c r="GE41" s="39" t="e">
        <f>IF(HF41=$FY$16,0,(Исходн.данные.!X41*AR41+Исходн.данные.!AA41*N_Org*AL41+Исходн.данные.!AB41*N_Sider*AL41+Исходн.данные.!AC41*N_Soloma*AL41)/HF41)</f>
        <v>#N/A</v>
      </c>
      <c r="GF41" s="39" t="e">
        <f>IF(HG41=$FY$16,0,(Исходн.данные.!Y41*AS41+Исходн.данные.!AA41*Р_Org*AM41+Исходн.данные.!AB41*P_Sider*AM41+Исходн.данные.!AC41*P_Soloma*AM41)/HG41)</f>
        <v>#N/A</v>
      </c>
      <c r="GG41" s="39" t="e">
        <f>IF(HH41=$FY$16,0,(Исходн.данные.!Z41*AT41+Исходн.данные.!AA41*К_Org*AN41+Исходн.данные.!AB41*K_Sider*AN41+Исходн.данные.!AC41*K_Soloma*AN41)/HH41)</f>
        <v>#N/A</v>
      </c>
      <c r="GH41" s="39" t="e">
        <f>Исходн.данные.!AD41*AU41/HF41</f>
        <v>#N/A</v>
      </c>
      <c r="GI41" s="39" t="e">
        <f>Исходн.данные.!AE41*AV41/HG41</f>
        <v>#N/A</v>
      </c>
      <c r="GJ41" s="39" t="e">
        <f>Исходн.данные.!AF41*AW41/HH41</f>
        <v>#N/A</v>
      </c>
      <c r="GK41" s="55">
        <f>Исходн.данные.!AK41</f>
        <v>0</v>
      </c>
      <c r="GL41" s="11" t="e">
        <f t="shared" si="113"/>
        <v>#N/A</v>
      </c>
      <c r="GM41" s="11" t="e">
        <f t="shared" si="114"/>
        <v>#N/A</v>
      </c>
      <c r="GN41" s="11" t="e">
        <f t="shared" si="115"/>
        <v>#N/A</v>
      </c>
      <c r="GO41" s="57">
        <f t="shared" si="116"/>
        <v>19</v>
      </c>
      <c r="GP41" s="55">
        <f>IF(OR(Исходн.данные.!F41=$CE$1,Исходн.данные.!F41=$CE$2,Исходн.данные.!F41=$CE$3,Исходн.данные.!F41=$CE$4,Исходн.данные.!F41=$CE$5),GQ41,GR41)</f>
        <v>19</v>
      </c>
      <c r="GQ41" s="55">
        <f>IF(Исходн.данные.!F41=$CE$1,28,IF(Исходн.данные.!F41=$CE$2,26,IF(Исходн.данные.!F41=$CE$3,24,IF(Исходн.данные.!F41=$CE$4,22,IF(Исходн.данные.!F41=$CE$5,20,GR41)))))</f>
        <v>19</v>
      </c>
      <c r="GR41" s="55">
        <f>IF(Исходн.данные.!F41=$CE$6,18,IF(Исходн.данные.!F41=$CE$7,16,IF(Исходн.данные.!F41=$CE$8,14,IF(Исходн.данные.!F41=$CE$9,13,IF(Исходн.данные.!F41=$CE$10,12,19)))))</f>
        <v>19</v>
      </c>
      <c r="GS41" s="55">
        <f>IF(Исходн.данные.!G41="Пес",0.035*(40+2*Исходн.данные.!H41),IF(Исходн.данные.!G41="Суп",0.0325*(40+2*Исходн.данные.!H41),0.03*(40+2*Исходн.данные.!H41)))</f>
        <v>1.2</v>
      </c>
      <c r="GT41" s="55">
        <f>IF(Исходн.данные.!H41&lt;23,2.6,IF(AND(Исходн.данные.!H41&gt;22,Исходн.данные.!H41&lt;26),3,IF(AND(Исходн.данные.!H41&gt;25,Исходн.данные.!H41&lt;29),3.4,3.6)))</f>
        <v>2.6</v>
      </c>
      <c r="GU41" s="55">
        <f>IF(Исходн.данные.!H41&lt;23,2.8,IF(AND(Исходн.данные.!H41&gt;22,Исходн.данные.!H41&lt;26),3.2,IF(AND(Исходн.данные.!H41&gt;25,Исходн.данные.!H41&lt;29),3.6,3.9)))</f>
        <v>2.8</v>
      </c>
      <c r="GV41" s="55">
        <f>IF(Исходн.данные.!H41&lt;23,3,IF(AND(Исходн.данные.!H41&gt;22,Исходн.данные.!H41&lt;26),3.5,IF(AND(Исходн.данные.!H41&gt;25,Исходн.данные.!H41&lt;29),3.9,4.2)))</f>
        <v>3</v>
      </c>
      <c r="GW41" s="55" t="e">
        <f>IF(Исходн.данные.!P41="Ум",GX41,GY41)</f>
        <v>#N/A</v>
      </c>
      <c r="GX41" s="55" t="e">
        <f>VLOOKUP(Исходн.данные.!AI41,Коэффициенты!$J$7:$L$13,2,FALSE)</f>
        <v>#N/A</v>
      </c>
      <c r="GY41" s="55" t="e">
        <f>VLOOKUP(Исходн.данные.!AI41,Коэффициенты!$J$7:$L$13,3,FALSE)</f>
        <v>#N/A</v>
      </c>
      <c r="GZ41" s="55" t="e">
        <f>(IF(Исходн.данные.!M41&lt;50,0.11*VLOOKUP(Исходн.данные.!AH41,Культуры.Информация,7,FALSE),IF(Исходн.данные.!M41&gt;250,0.05*VLOOKUP(Исходн.данные.!AH41,Культуры.Информация,7,FALSE),VLOOKUP(Исходн.данные.!AH41,Культуры.Информация,5,FALSE)/100*($GX$6+$GY$6*Исходн.данные.!M41))))*Расчет2!AI41</f>
        <v>#N/A</v>
      </c>
      <c r="HA41" s="211"/>
      <c r="HB41" s="211"/>
      <c r="HC41" s="55" t="e">
        <f>(IF(Исходн.данные.!O41&lt;80,0.2*VLOOKUP(Исходн.данные.!AH41,Культуры.Информация,8,FALSE),IF(Исходн.данные.!O41&gt;240,0.09*VLOOKUP(Исходн.данные.!AH41,Культуры.Информация,8,FALSE),VLOOKUP(Исходн.данные.!AH41,Культуры.Информация,6,FALSE)/100*($HB$6+$HC$6*Исходн.данные.!O41))))*Расчет2!AJ41</f>
        <v>#N/A</v>
      </c>
      <c r="HD41" s="55">
        <f>IF(Исходн.данные.!O41&gt;240,0.09,IF(Исходн.данные.!O41&lt;30,0.3,$HE$10+$HD$10*Исходн.данные.!O41))</f>
        <v>0.3</v>
      </c>
      <c r="HE41" s="55">
        <f>IF(Исходн.данные.!O41&gt;240,0.17,IF(Исходн.данные.!O41&lt;30,0.5,$HF$12+$HE$12*Исходн.данные.!O41))</f>
        <v>0.5</v>
      </c>
      <c r="HF41" s="55" t="e">
        <f>VLOOKUP(Исходн.данные.!AH41,Справ!$A$3:$D$58,2,FALSE)</f>
        <v>#N/A</v>
      </c>
      <c r="HG41" s="55" t="e">
        <f>VLOOKUP(Исходн.данные.!AH41,Справ!$A$3:$D$58,3,FALSE)</f>
        <v>#N/A</v>
      </c>
      <c r="HH41" s="55" t="e">
        <f>VLOOKUP(Исходн.данные.!AH41,Справ!$A$3:$D$58,4,FALSE)</f>
        <v>#N/A</v>
      </c>
      <c r="HI41" s="11" t="e">
        <f t="shared" si="117"/>
        <v>#N/A</v>
      </c>
      <c r="HJ41" s="11" t="e">
        <f t="shared" si="118"/>
        <v>#N/A</v>
      </c>
      <c r="HK41" s="11" t="e">
        <f t="shared" si="119"/>
        <v>#N/A</v>
      </c>
      <c r="HL41" s="55">
        <f>IF(OR(Исходн.данные.!G41="Глин",Исходн.данные.!G41="Т_суг"),1.1,IF(Исходн.данные.!G41="Ср_суг",1,1))</f>
        <v>1</v>
      </c>
      <c r="HM41" s="55">
        <f>IF(OR(Исходн.данные.!G41="Глин",Исходн.данные.!G41="Т_суг"),0.9,IF(Исходн.данные.!G41="Ср_суг",1,1.2))</f>
        <v>1.2</v>
      </c>
      <c r="HN41" s="11" t="e">
        <f t="shared" si="120"/>
        <v>#N/A</v>
      </c>
      <c r="HO41" s="11" t="e">
        <f t="shared" si="121"/>
        <v>#N/A</v>
      </c>
      <c r="HP41" s="11" t="e">
        <f t="shared" si="122"/>
        <v>#N/A</v>
      </c>
      <c r="HQ41" t="e">
        <f t="shared" si="123"/>
        <v>#N/A</v>
      </c>
      <c r="HR41" t="e">
        <f t="shared" si="124"/>
        <v>#N/A</v>
      </c>
      <c r="HS41" t="e">
        <f t="shared" si="125"/>
        <v>#N/A</v>
      </c>
      <c r="HT41" t="e">
        <f t="shared" si="21"/>
        <v>#N/A</v>
      </c>
      <c r="HU41" t="e">
        <f t="shared" si="22"/>
        <v>#N/A</v>
      </c>
      <c r="HV41" t="e">
        <f t="shared" si="23"/>
        <v>#N/A</v>
      </c>
      <c r="HW41" t="e">
        <f t="shared" si="24"/>
        <v>#N/A</v>
      </c>
      <c r="HX41" t="e">
        <f t="shared" si="25"/>
        <v>#N/A</v>
      </c>
      <c r="HY41" t="e">
        <f t="shared" si="26"/>
        <v>#N/A</v>
      </c>
      <c r="HZ41" s="55">
        <f>IF(OR(Исходн.данные.!AI41="Оз_Ч_П",Исходн.данные.!AI41="Оз_З_П",Исходн.данные.!AI41="Яр_зер"),12,30)</f>
        <v>30</v>
      </c>
      <c r="IA41" t="e">
        <f t="shared" si="126"/>
        <v>#N/A</v>
      </c>
      <c r="IB41" t="e">
        <f t="shared" si="127"/>
        <v>#N/A</v>
      </c>
      <c r="IC41" t="e">
        <f t="shared" si="128"/>
        <v>#N/A</v>
      </c>
      <c r="ID41" s="11" t="e">
        <f t="shared" si="129"/>
        <v>#N/A</v>
      </c>
      <c r="IE41" s="11" t="e">
        <f t="shared" si="130"/>
        <v>#N/A</v>
      </c>
      <c r="IF41" s="11" t="e">
        <f t="shared" si="131"/>
        <v>#N/A</v>
      </c>
    </row>
    <row r="42" spans="35:240" x14ac:dyDescent="0.2">
      <c r="AI42">
        <f>IF(Исходн.данные.!I42&gt;6,1,1.85-(0.148*Исходн.данные.!I42))</f>
        <v>1.85</v>
      </c>
      <c r="AJ42">
        <f>IF(Исходн.данные.!I42&gt;6,1,2.434-(0.246*Исходн.данные.!I42))</f>
        <v>2.4340000000000002</v>
      </c>
      <c r="AL42" s="148" t="b">
        <f>IF(Исходн.данные.!$P42="Ум",N_OrgUd_2g_um,IF(Исходн.данные.!$P42="Об",N_OrgUd_2g_ob))</f>
        <v>0</v>
      </c>
      <c r="AM42" s="148" t="b">
        <f>IF(Исходн.данные.!$P42="Ум",P_OrgUd_2g_um,IF(Исходн.данные.!$P42="Об",P_OrgUd_2g_ob))</f>
        <v>0</v>
      </c>
      <c r="AN42" s="148" t="b">
        <f>IF(Исходн.данные.!$P42="Ум",K_OrgUd_2g_um,IF(Исходн.данные.!$P42="Об",K_OrgUd_2g_ob))</f>
        <v>0</v>
      </c>
      <c r="AO42" s="148" t="b">
        <f>IF(Исходн.данные.!$P42="Ум",N_OrgUd_1g_um,IF(Исходн.данные.!$P42="Об",N_OrgUd_1g_ob))</f>
        <v>0</v>
      </c>
      <c r="AP42" s="148" t="b">
        <f>IF(Исходн.данные.!$P42="Ум",P_OrgUd_1g_um,IF(Исходн.данные.!$P42="Об",P_OrgUd_1g_ob))</f>
        <v>0</v>
      </c>
      <c r="AQ42" s="148" t="b">
        <f>IF(Исходн.данные.!$P42="Ум",K_OrgUd_1g_um,IF(Исходн.данные.!$P42="Об",K_OrgUd_1g_ob))</f>
        <v>0</v>
      </c>
      <c r="AR42" t="b">
        <f>IF(Исходн.данные.!$P42="Ум",N_MinUd_2g_um,IF(Исходн.данные.!$P42="Об",N_MinUd_2g_ob))</f>
        <v>0</v>
      </c>
      <c r="AS42" t="b">
        <f>IF(Исходн.данные.!$P42="Ум",P_MinUd_2g_um,IF(Исходн.данные.!$P42="Об",P_MinUd_2g_ob))</f>
        <v>0</v>
      </c>
      <c r="AT42" t="b">
        <f>IF(Исходн.данные.!$P42="Ум",K_MinUd_2g_um,IF(Исходн.данные.!$P42="Об",K_MinUd_2g_ob))</f>
        <v>0</v>
      </c>
      <c r="AU42" t="b">
        <f>IF(Исходн.данные.!$P42="Ум",N_MinUd_1g_um,IF(Исходн.данные.!$P42="Об",N_MinUd_1g_ob))</f>
        <v>0</v>
      </c>
      <c r="AV42" t="b">
        <f>IF(Исходн.данные.!P42="Ум",P_MinUd_1g_um,IF(Исходн.данные.!P42="Об",P_MinUd_1g_ob))</f>
        <v>0</v>
      </c>
      <c r="AW42" t="b">
        <f>IF(Исходн.данные.!P42="Ум",K_MinUd_1g_um,IF(Исходн.данные.!P42="Об",K_MinUd_1g_ob))</f>
        <v>0</v>
      </c>
      <c r="AY42" t="e">
        <f>VLOOKUP(Исходн.данные.!T42,Справ!$A$3:$N$57,12)</f>
        <v>#N/A</v>
      </c>
      <c r="AZ42" t="e">
        <f>VLOOKUP(Исходн.данные.!T42,Справ!$A$3:$N$57,13)</f>
        <v>#N/A</v>
      </c>
      <c r="BA42" t="e">
        <f>VLOOKUP(Исходн.данные.!T42,Справ!$A$3:$N$57,14)</f>
        <v>#N/A</v>
      </c>
      <c r="BB42">
        <f>IF(Исходн.данные.!AH42=0,0,25)</f>
        <v>0</v>
      </c>
      <c r="BC42" s="141">
        <f>IF(Исходн.данные.!AH42=0,0,IF(Исходн.данные.!T42=0,25,BD42))</f>
        <v>0</v>
      </c>
      <c r="BD42" s="168" t="e">
        <f>AY42+AZ42*Исходн.данные.!U42-POWER(BA42,2)*Исходн.данные.!U42</f>
        <v>#N/A</v>
      </c>
      <c r="BE4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2" s="25">
        <f>IF(Исходн.данные.!AH42=0,0,MIN(HN42:HP42))</f>
        <v>0</v>
      </c>
      <c r="BG42" s="9">
        <f>IF(Исходн.данные.!AH42=0,0,IF((HO42+10*0.25/HG42/HL42)&lt;17,17,HO42+10*0.25/HG42/HL42))</f>
        <v>0</v>
      </c>
      <c r="BH42" s="181">
        <f>IF(Исходн.данные.!AH42=0,0,HW42*HF42*HL42/AU42*AI42+Исходн.данные.!S42*10)</f>
        <v>0</v>
      </c>
      <c r="BI42" s="10"/>
      <c r="BJ42" s="182">
        <f>IF(Исходн.данные.!AH42=0,0,IF(HX42*HG42*HL42/AV42&lt;0,0,HX42*HG42*HL42/AV42*AJ42))</f>
        <v>0</v>
      </c>
      <c r="BK42" s="182">
        <f>IF(Исходн.данные.!AH42=0,0,HY42*HH42*HM42/AW42)</f>
        <v>0</v>
      </c>
      <c r="BL42" s="10">
        <f>IF(OR(Исходн.данные.!$AH42=$BP$1,Исходн.данные.!$AH42=$BP$2),0,IF(BH42&lt;0,0,IF(OR(Исходн.данные.!T42=Расчет!$BP$1,Исходн.данные.!T42=Расчет!$BP$2,Исходн.данные.!T42=Расчет!$BT$5,Исходн.данные.!T42=Расчет!$BT$6),BH42*0.5,IF(OR(Исходн.данные.!T42=Расчет!$BS$9,Исходн.данные.!T42=Расчет!$BS$10,Исходн.данные.!T42=Расчет!$BS$11,Исходн.данные.!T42=Расчет!$BS$12,Исходн.данные.!T42=Расчет!$BP$5),BH42*0.8,BH42))))</f>
        <v>0</v>
      </c>
      <c r="BM42" s="10">
        <f>IF(OR(Исходн.данные.!$AH42=$BP$1,Исходн.данные.!$AH42=$BP$2),0,IF(BJ42&lt;0,0,IF(Исходн.данные.!I42&lt;4.5,BJ42*1.2,IF(Исходн.данные.!I42&gt;5.1,BJ42,BJ42*((5.1-Исходн.данные.!I42)*0.333+1)))))</f>
        <v>0</v>
      </c>
      <c r="BN42" s="10">
        <f>IF(OR(Исходн.данные.!$AH42=$BP$1,Исходн.данные.!$AH42=$BP$2),60-Исходн.данные.!AF42,IF(BK42&lt;0,0,IF(Исходн.данные.!I42&lt;4.5,BK42*1.2,IF(Исходн.данные.!I42&gt;5.1,BK42,BK42*((5.1-Исходн.данные.!I42)*0.333+1)))))</f>
        <v>0</v>
      </c>
      <c r="BO42" s="9">
        <f>IF(BL42&lt;0,0,BL42*Исходн.данные.!$AJ42/1000)</f>
        <v>0</v>
      </c>
      <c r="BP42" s="9">
        <f>IF(BM42&lt;0,0,BM42*Исходн.данные.!$AJ42/1000)</f>
        <v>0</v>
      </c>
      <c r="BQ42" s="9">
        <f>IF(BN42&lt;0,0,BN42*Исходн.данные.!$AJ42/1000)</f>
        <v>0</v>
      </c>
      <c r="BR42" s="9">
        <f t="shared" si="81"/>
        <v>0</v>
      </c>
      <c r="BS42" s="10" t="str">
        <f t="shared" si="82"/>
        <v>Аммофос 12:52:00</v>
      </c>
      <c r="BT42" s="10" t="str">
        <f t="shared" si="83"/>
        <v>Аммофос 12:52:00</v>
      </c>
      <c r="BU42" s="10" t="str">
        <f t="shared" si="84"/>
        <v>Диаммофоска</v>
      </c>
      <c r="BV42" s="10">
        <f t="shared" si="85"/>
        <v>0</v>
      </c>
      <c r="BW42" s="10"/>
      <c r="BX42" s="10"/>
      <c r="BY42" s="9">
        <f>IF(BL42&lt;0,0,IF(OR(Исходн.данные.!AI42=Расчет!$BU$6,Исходн.данные.!AI42=Расчет!$BU$7),Расчет!BV42,IF(Исходн.данные.!$AG42=$BV$11,BL42,IF(OR(Исходн.данные.!$AH42=$BQ$7,Исходн.данные.!$AH42=$BQ$8),CB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0,IF(Исходн.данные.!$AI42=$BU$11,"Нет",IF(BL42&gt;30,30,BL42)))))))</f>
        <v>0</v>
      </c>
      <c r="BZ42" s="9">
        <f>IF(AND(Исходн.данные.!$AG42=$BV$11,BM42&lt;10),10,IF(Исходн.данные.!$AG42=$BV$11,BM42,IF(OR(Исходн.данные.!$AH42=$BQ$7,Исходн.данные.!$AH42=$BQ$8),CC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10,IF(Исходн.данные.!$AI42=$BU$11,"Нет",IF(BM42&gt;60,60,IF(BM42&lt;10,10,BM42)))))))</f>
        <v>10</v>
      </c>
      <c r="CA42" s="39">
        <f>IF(BN42&lt;0,0,IF(Исходн.данные.!$AG42=$BV$11,BN42,IF(OR(Исходн.данные.!$AH42=$BQ$7,Исходн.данные.!$AH42=$BQ$8),CD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0,IF(Исходн.данные.!$AI42=$BU$11,"Нет",IF(BN42&gt;30,30,BN42))))))</f>
        <v>0</v>
      </c>
      <c r="CB42" s="9">
        <f t="shared" si="86"/>
        <v>0</v>
      </c>
      <c r="CC42" s="9">
        <f t="shared" si="87"/>
        <v>0</v>
      </c>
      <c r="CD42" s="9">
        <f t="shared" si="88"/>
        <v>0</v>
      </c>
      <c r="CE42" s="12">
        <f t="shared" si="89"/>
        <v>10</v>
      </c>
      <c r="CF42" s="9">
        <f t="shared" si="90"/>
        <v>0</v>
      </c>
      <c r="CG42" s="9" t="s">
        <v>231</v>
      </c>
      <c r="CH42" s="132" t="str">
        <f>IF(Исходн.данные.!AP42=Расчет!$CI$16,"Нет",IF(Исходн.данные.!AL42&gt;0,Исходн.данные.!AL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BH$4,IF(OR(Исходн.данные.!AI42=Исходн.данные.!$AI$6,Исходн.данные.!AI42=Исходн.данные.!$AI$7),Расчет!BS42,IF(AND($CF42=0,$CE42&gt;0),EV42,ER42)))))</f>
        <v>Аммофос 12:52:00</v>
      </c>
      <c r="CI42" s="274">
        <f>IF(Расчет!$CH42="Нет","Нет",IF(Исходн.данные.!$AL42&gt;0,VLOOKUP(Расчет!$CH42,АшламаДВ_Irekle,2,FALSE),VLOOKUP(Расчет!$CH42,АшламаДВ_Gomumy,2,FALSE)))</f>
        <v>0.12</v>
      </c>
      <c r="CJ42" s="274">
        <f>IF(Расчет!$CH42="Нет","Нет",IF(Исходн.данные.!$AL42&gt;0,VLOOKUP(Расчет!$CH42,АшламаДВ_Irekle,3,FALSE),VLOOKUP(Расчет!$CH42,АшламаДВ_Gomumy,3,FALSE)))</f>
        <v>0.52</v>
      </c>
      <c r="CK42" s="274">
        <f>IF(Расчет!$CH42="Нет","Нет",IF(Исходн.данные.!$AL42&gt;0,VLOOKUP(Расчет!$CH42,АшламаДВ_Irekle,4,FALSE),VLOOKUP(Расчет!$CH42,АшламаДВ_Gomumy,4,FALSE)))</f>
        <v>0</v>
      </c>
      <c r="CL42" s="70"/>
      <c r="CM42" s="70"/>
      <c r="CN42" s="70"/>
      <c r="CO42" s="70"/>
      <c r="CP42" s="70"/>
      <c r="CQ42" s="70"/>
      <c r="CR42" s="10">
        <f t="shared" si="91"/>
        <v>0</v>
      </c>
      <c r="CS42" s="10">
        <f t="shared" si="92"/>
        <v>19.23076923076923</v>
      </c>
      <c r="CT42" s="10">
        <f t="shared" si="93"/>
        <v>0</v>
      </c>
      <c r="CU42" s="39">
        <f>IF($CH42="Нет",0,IF(CI42=0,30/MIN(CJ42:CK42),IF(Исходн.данные.!$AG42=$BV$11,CR42,IF(OR(Исходн.данные.!$AH42=$BQ$7,Исходн.данные.!$AH42=$BQ$8),90/CI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0,IF(Исходн.данные.!$AI42=$BU$11,"Нет",30/CI42))))))</f>
        <v>250</v>
      </c>
      <c r="CV42" s="39">
        <f>IF($CH42="Нет",0,IF(Исходн.данные.!AH42=0,0,IF(CJ42=0,60/MIN(CI42,CK42),IF(Исходн.данные.!$AG42=$BV$11,CS42,IF(OR(Исходн.данные.!$AH42=$BQ$7,Исходн.данные.!$AH42=$BQ$8),90/CJ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10/CJ42,IF(Исходн.данные.!$AI42=$BU$11,"Нет",60/CJ42)))))))</f>
        <v>0</v>
      </c>
      <c r="CW42" s="39">
        <f>IF($CH42="Нет",0,IF(Исходн.данные.!AH42=0,0,IF(CK42=0,30/MIN(CI42:CJ42),IF(Исходн.данные.!$AG42=$BV$11,CT42,IF(OR(Исходн.данные.!$AH42=$BQ$7,Исходн.данные.!$AH42=$BQ$8),90/CK42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0,IF(Исходн.данные.!$AI42=$BU$11,"Нет",30/CK42)))))))</f>
        <v>0</v>
      </c>
      <c r="CX42" s="133">
        <f>IF(Исходн.данные.!$AG42=$BV$11,MAX(CU42:CW42),IF(OR(Исходн.данные.!$AH42=$BS$8,Исходн.данные.!$AH42=$BQ$9,Исходн.данные.!$AH42=$BQ$10,Исходн.данные.!$AH42=$BQ$11,Исходн.данные.!$AH42=$BQ$12,Исходн.данные.!$AH42=$BP$3,Исходн.данные.!$AH42=$BT$8,$FM42="Да"),CV42,MIN(CU42:CW42)))</f>
        <v>0</v>
      </c>
      <c r="CY42" s="133">
        <f>IF(Исходн.данные.!AH42=0,0,IF(CR42&gt;$CX42,$CX42,CR42))</f>
        <v>0</v>
      </c>
      <c r="CZ42" s="133">
        <f>IF(Исходн.данные.!AH42=0,0,IF(CS42&gt;$CX42,$CX42,CS42))</f>
        <v>0</v>
      </c>
      <c r="DA42" s="133">
        <f>IF(Исходн.данные.!AH42=0,0,IF(CT42&gt;$CX42,$CX42,CT42))</f>
        <v>0</v>
      </c>
      <c r="DB42" s="10">
        <f t="shared" si="94"/>
        <v>0</v>
      </c>
      <c r="DC42" s="39">
        <f>DB42*Исходн.данные.!AJ42/1000</f>
        <v>0</v>
      </c>
      <c r="DD42" s="71">
        <f t="shared" si="95"/>
        <v>0</v>
      </c>
      <c r="DE42" s="9">
        <f t="shared" si="96"/>
        <v>0</v>
      </c>
      <c r="DF42" s="9">
        <f t="shared" si="97"/>
        <v>0</v>
      </c>
      <c r="DG42" s="39">
        <f>IF(BL42&lt;0,0,IF($CH42="Нет",BL42,IF(OR(Исходн.данные.!$AH42=$BP$1,Исходн.данные.!$AH42=$BP$2),0,IF(Исходн.данные.!AI42=$BU$11,BL42,IF(BL42-DD42&lt;0,0,BL42-DD42)))))</f>
        <v>0</v>
      </c>
      <c r="DH42" s="39">
        <f>IF(BM42&lt;0,0,IF($CH42="Нет",BM42,IF(OR(Исходн.данные.!$AH42=$BP$1,Исходн.данные.!$AH42=$BP$2),0,IF(Исходн.данные.!AJ42=$BU$11,BM42,IF(BM42-DE42&lt;0,0,BM42-DE42)))))</f>
        <v>0</v>
      </c>
      <c r="DI42" s="39">
        <f>IF(BN42&lt;0,0,IF($CH42="Нет",BN42,IF(OR(Исходн.данные.!$AH42=$BP$1,Исходн.данные.!$AH42=$BP$2),0,IF(Исходн.данные.!AK42=$BU$11,BN42,IF(BN42-DF42&lt;0,0,BN42-DF42)))))</f>
        <v>0</v>
      </c>
      <c r="DJ42" s="12">
        <f t="shared" si="98"/>
        <v>0</v>
      </c>
      <c r="DK42" s="9">
        <f t="shared" si="99"/>
        <v>0</v>
      </c>
      <c r="DL42" s="39">
        <f>IF(Исходн.данные.!AM42&gt;0,Исходн.данные.!AM42,IF(EG42&gt;0,$BH$10,0))</f>
        <v>0</v>
      </c>
      <c r="DM42" s="186">
        <f>IF($DL42=0,0,IF(Исходн.данные.!AM42&gt;0,VLOOKUP($DL42,АшламаДВ_Irekle,2,FALSE),VLOOKUP($DL42,АшламаДВ_Gomumy,2,FALSE)))</f>
        <v>0</v>
      </c>
      <c r="DN42" s="10">
        <f t="shared" si="46"/>
        <v>0</v>
      </c>
      <c r="DO42" s="9" t="str">
        <f>IF(Исходн.данные.!AN42&gt;0,Исходн.данные.!AN42,Удобрения!$B$37 )</f>
        <v>Хлор.калий</v>
      </c>
      <c r="DP42" s="9">
        <f>IF(Исходн.данные.!AN42&gt;0,VLOOKUP(Исходн.данные.!AN42,АшламаДВ_Irekle,4,FALSE),VLOOKUP(DO42,АшламаДВ_Gomumy,4,FALSE))</f>
        <v>0.6</v>
      </c>
      <c r="DQ42" s="10">
        <f t="shared" si="47"/>
        <v>0</v>
      </c>
      <c r="DR42" s="132" t="str">
        <f>IF(Исходн.данные.!AO42&gt;0,Исходн.данные.!AO42,IF(DH42=0,BS$17,IF(AND($DK42=0,$DJ42&gt;0),EJ42,EN42)))</f>
        <v>Нет</v>
      </c>
      <c r="DS42" s="70" t="str">
        <f>IF($DR42="Нет","Нет",IF(Исходн.данные.!$AO42&gt;0,VLOOKUP($DR42,АшламаДВ_Irekle,2,FALSE),VLOOKUP($DR42,АшламаДВ_Gomumy,2,FALSE)))</f>
        <v>Нет</v>
      </c>
      <c r="DT42" s="70" t="str">
        <f>IF($DR42="Нет","Нет",IF(Исходн.данные.!$AO42&gt;0,VLOOKUP($DR42,АшламаДВ_Irekle,3,FALSE),VLOOKUP($DR42,АшламаДВ_Gomumy,3,FALSE)))</f>
        <v>Нет</v>
      </c>
      <c r="DU42" s="70" t="str">
        <f>IF($DR42="Нет","Нет",IF(Исходн.данные.!$AO42&gt;0,VLOOKUP($DR42,АшламаДВ_Irekle,4,FALSE),VLOOKUP($DR42,АшламаДВ_Gomumy,4,FALSE)))</f>
        <v>Нет</v>
      </c>
      <c r="DV42" s="70"/>
      <c r="DW42" s="70"/>
      <c r="DX42" s="70"/>
      <c r="DY42" s="10">
        <f t="shared" si="100"/>
        <v>0</v>
      </c>
      <c r="DZ42" s="10">
        <f t="shared" si="101"/>
        <v>0</v>
      </c>
      <c r="EA42" s="10">
        <f t="shared" si="102"/>
        <v>0</v>
      </c>
      <c r="EB42" s="10">
        <f t="shared" si="103"/>
        <v>0</v>
      </c>
      <c r="EC42" s="10">
        <f t="shared" si="104"/>
        <v>0</v>
      </c>
      <c r="ED42" s="10">
        <f t="shared" si="105"/>
        <v>0</v>
      </c>
      <c r="EE42" s="10">
        <f t="shared" si="106"/>
        <v>0</v>
      </c>
      <c r="EF42" s="39">
        <f>EB42*Исходн.данные.!AJ42/1000</f>
        <v>0</v>
      </c>
      <c r="EG42" s="9">
        <f t="shared" si="107"/>
        <v>0</v>
      </c>
      <c r="EH42" s="9">
        <f t="shared" si="108"/>
        <v>0</v>
      </c>
      <c r="EI42" s="39" t="e">
        <f t="shared" si="7"/>
        <v>#DIV/0!</v>
      </c>
      <c r="EJ42" s="9" t="str">
        <f t="shared" si="8"/>
        <v>Азопреципитат</v>
      </c>
      <c r="EK42" s="12">
        <f t="shared" si="9"/>
        <v>0.26</v>
      </c>
      <c r="EL42" s="12">
        <f t="shared" si="10"/>
        <v>0.13</v>
      </c>
      <c r="EM42" s="12">
        <f t="shared" si="11"/>
        <v>0</v>
      </c>
      <c r="EN42" s="12" t="str">
        <f t="shared" si="57"/>
        <v>Нет</v>
      </c>
      <c r="EO42" s="12">
        <f t="shared" si="12"/>
        <v>0</v>
      </c>
      <c r="EP42" s="12">
        <f t="shared" si="13"/>
        <v>0</v>
      </c>
      <c r="EQ42" s="12">
        <f t="shared" si="14"/>
        <v>0</v>
      </c>
      <c r="ER42" s="12" t="str">
        <f t="shared" si="109"/>
        <v>Диаммофоска</v>
      </c>
      <c r="ES42" s="12">
        <f t="shared" si="15"/>
        <v>0.1</v>
      </c>
      <c r="ET42" s="12">
        <f t="shared" si="16"/>
        <v>0.26</v>
      </c>
      <c r="EU42" s="12">
        <f t="shared" si="17"/>
        <v>0.26</v>
      </c>
      <c r="EV42" s="12" t="str">
        <f t="shared" si="110"/>
        <v>Аммофос 12:52:00</v>
      </c>
      <c r="EW42" s="12" t="str">
        <f t="shared" si="111"/>
        <v>Кемира Свекловичное-6</v>
      </c>
      <c r="EX42" s="12">
        <f t="shared" si="18"/>
        <v>0.16</v>
      </c>
      <c r="EY42" s="12">
        <f t="shared" si="19"/>
        <v>0.12</v>
      </c>
      <c r="EZ42" s="12">
        <f t="shared" si="20"/>
        <v>0.17</v>
      </c>
      <c r="FA42" s="38" t="e">
        <f>IF(AND(OR(FJ42=$FD$1,FM42=$FD$1,FO42=$FD$1,FQ42=$FD$1,FS42=$FD$1),FD42=$FD$1,Исходн.данные.!J42&lt;2,FU42=$FD$1),"Бор,Кобальт",IF(AND(FO42=$FD$1,FH42=$FD$1,Исходн.данные.!J42&lt;2,FU42=$FD$1),"Бор,Кобальт",IF(AND(OR(FJ42=$FD$1,FM42=$FD$1,FQ42=$FD$1),FE42=$FD$1,Исходн.данные.!J42&lt;2,FT42=$FD$1,FU42=$FD$1),"Бор,Медь,Цинк",IF(AND(OR(FJ42=$FD$1,FR42="Да"),FI42="Да",Исходн.данные.!J42&lt;2,FT42="Да",FU42="Да"),"Бор,Цинк,Медь",IF(AND(OR(FM42="Да",FQ42="Да"),FI42="Да",Исходн.данные.!J42&lt;2,FT42="Да",FU42="Да"),"Бор,Цинк",IF(AND(FN42="Да",OR(FD42="Да",FE42="Да")),"Бор",FB42))))))</f>
        <v>#N/A</v>
      </c>
      <c r="FB42" s="134" t="e">
        <f>IF(AND(OR(FD42="Да",FE42="Да",FF42="Да",FG42="Да",FH42="Да"),FO42="Да"),"Бор",IF(AND(FP42="Да",OR(FD42="Да",FE42="Да",FI42="Да")),"Бор",IF(AND(FS42="Да",FE42="Да"),"Бор,Медь",IF(AND(OR(FJ42="Да",FK42="Да",FL42="Да"),FE42="Да",Исходн.данные.!I42&lt;5,FT42="Да",FU42="Да"),"Молибден,Цинк",IF(AND(FM42="Да",OR(FE42="Да",FF42="Да",FG42="Да",FH42="Да",FI42="Да")),"Молибден,Цинк",IF(AND(OR(FJ42="Да",FK42="Да",FL42="Да",FM42="Да",FQ42="Да"),OR(FE42="Да",FF42="Да"),FT42="Да",FU42="Да",Исходн.данные.!I42&gt;5.5),"Медь,Цинк",FC42))))))</f>
        <v>#N/A</v>
      </c>
      <c r="FC42" s="23" t="e">
        <f t="shared" si="112"/>
        <v>#N/A</v>
      </c>
      <c r="FD42" s="38" t="str">
        <f>IF(OR(Исходн.данные.!F42=$CC$1,Исходн.данные.!F42=$CC$2,Исходн.данные.!F42=$CC$3,Исходн.данные.!F42=$CC$4),"Да","Нет")</f>
        <v>Нет</v>
      </c>
      <c r="FE42" s="38" t="str">
        <f>IF(Исходн.данные.!F42=$CC$5,"Да","Нет")</f>
        <v>Нет</v>
      </c>
      <c r="FF42" s="38" t="str">
        <f>IF(OR(Исходн.данные.!F42=$CC$6,Исходн.данные.!F42=$CC$7),"Да","Нет")</f>
        <v>Нет</v>
      </c>
      <c r="FG42" s="38" t="str">
        <f>IF(OR(Исходн.данные.!F42=$CC$8,Исходн.данные.!F42=$CC$9),"Да","Нет")</f>
        <v>Нет</v>
      </c>
      <c r="FH42" s="38" t="str">
        <f>IF(Исходн.данные.!F42=$CC$10,"Да","Нет")</f>
        <v>Нет</v>
      </c>
      <c r="FI42" s="38" t="str">
        <f>IF(OR(Исходн.данные.!F42=$CC$11,Исходн.данные.!F42=$CC$12),"Да","Нет")</f>
        <v>Нет</v>
      </c>
      <c r="FJ42" s="38" t="str">
        <f>IF(OR(Исходн.данные.!AH42=$BS$1,Исходн.данные.!AH42=$BQ$11,Исходн.данные.!AH42=$BQ$12),"Да","Нет")</f>
        <v>Нет</v>
      </c>
      <c r="FK42" s="38" t="str">
        <f>IF(OR(Исходн.данные.!AH42=$BS$2,Исходн.данные.!AH42=$BS$4),"Да","Нет")</f>
        <v>Нет</v>
      </c>
      <c r="FL42" s="38" t="str">
        <f>IF(OR(Исходн.данные.!AH42=$BS$3,Исходн.данные.!AH42=$BS$5),"Да","Нет")</f>
        <v>Нет</v>
      </c>
      <c r="FM42" s="38" t="str">
        <f>IF(OR(Исходн.данные.!AH42=$BS$9,Исходн.данные.!AH42=$BS$10,Исходн.данные.!AH42=$BS$11,Исходн.данные.!AH42=$BS$12),"Да","Нет")</f>
        <v>Нет</v>
      </c>
      <c r="FN42" s="38" t="str">
        <f>IF(OR(Исходн.данные.!AH42=$BS$6,Исходн.данные.!AH42=$BP$3),"Да","Нет")</f>
        <v>Нет</v>
      </c>
      <c r="FO42" s="38" t="str">
        <f>IF(Исходн.данные.!AH42=$BQ$9,"Да","Нет")</f>
        <v>Нет</v>
      </c>
      <c r="FP42" s="38" t="str">
        <f>IF(OR(Исходн.данные.!AH42=$BS$8,Исходн.данные.!AH42=$BT$8),"Да","Нет")</f>
        <v>Нет</v>
      </c>
      <c r="FQ42" s="38" t="str">
        <f>IF(OR(Исходн.данные.!AH42=$BQ$7,Исходн.данные.!AH42=$BQ$8),"Да","Нет")</f>
        <v>Нет</v>
      </c>
      <c r="FR42" s="38" t="str">
        <f>IF(Исходн.данные.!AI42=$BU$9,"Да","Нет")</f>
        <v>Нет</v>
      </c>
      <c r="FS42" s="38" t="str">
        <f>IF(OR(Исходн.данные.!AH42=$BP$1,Исходн.данные.!AH42=$BP$2),"Да","Нет")</f>
        <v>Нет</v>
      </c>
      <c r="FT42" s="38" t="e">
        <f>IF((Исходн.данные.!K42*GO42*GS42*GW42+BL42*0.6+Исходн.данные.!Q42*4.5*0.275)&gt;90,"Да","Нет")</f>
        <v>#N/A</v>
      </c>
      <c r="FU42" s="38" t="e">
        <f>IF((Исходн.данные.!M42*GS42*GZ42+BM42*0.225)&gt;35,"Да","Нет")</f>
        <v>#N/A</v>
      </c>
      <c r="FV42" s="38" t="str">
        <f>IF(Исходн.данные.!O42&gt;175,"Да","Нет")</f>
        <v>Нет</v>
      </c>
      <c r="FW42" s="39" t="str">
        <f>IF(Исходн.данные.!I42&gt;5.5,"Да","Нет")</f>
        <v>Нет</v>
      </c>
      <c r="FX42" s="39" t="str">
        <f>IF(Исходн.данные.!J42&lt;2,"Да","Нет")</f>
        <v>Да</v>
      </c>
      <c r="FY42" s="39" t="e">
        <f>IF(HF42=$FY$16,0,Исходн.данные.!K42*GO42*GS42*GW42/HF42)</f>
        <v>#N/A</v>
      </c>
      <c r="FZ42" s="39" t="e">
        <f>Исходн.данные.!M42*GS42*GZ42/HG42</f>
        <v>#N/A</v>
      </c>
      <c r="GA42" s="39" t="e">
        <f>IF(K_Wyn=$FY$16,0,IF(Исходн.данные.!N42=Исходн.данные.!$L$10,Исходн.данные.!O42/1.1*GS42*HC42/HH42,IF(Исходн.данные.!N42=Исходн.данные.!$L$12,Исходн.данные.!O42/1.5*GS42*HC42/HH42,Исходн.данные.!O42*GS42*HC42/HH42)))</f>
        <v>#N/A</v>
      </c>
      <c r="GB42" s="39" t="e">
        <f>IF(HF42=$FY$16,0,((Исходн.данные.!Q42*N_Org+Исходн.данные.!R42*N_Sider+Исходн.данные.!S42*N_Soloma)*AO42+Расчет!BC42*VLOOKUP(Исходн.данные.!T42,Справ!$A$3:$O$57,15)*AO42+BB42*VLOOKUP(Исходн.данные.!T42,Справ!$A$3:$O$57,15)*AL42+(Исходн.данные.!V42*N_Rizotorf+Исходн.данные.!W42*N_Rizoagr))/HF42)</f>
        <v>#N/A</v>
      </c>
      <c r="GC42" s="39" t="e">
        <f>IF(HG42=$FY$16,0,((Исходн.данные.!Q42*Р_Org+Исходн.данные.!R42*P_Sider+Исходн.данные.!S42*P_Soloma)*AP42+Расчет!BC42*VLOOKUP(Исходн.данные.!T42,Справ!$A$3:$P$57,16)*AP42+BB42*VLOOKUP(Исходн.данные.!T42,Справ!$A$3:$P$57,16)*AM42)/HG42)</f>
        <v>#N/A</v>
      </c>
      <c r="GD42" s="39" t="e">
        <f>IF(HH42=$FY$16,0,((Исходн.данные.!Q42*К_Org+Исходн.данные.!R42*K_Sider+Исходн.данные.!S42*K_Soloma)*AQ42+Расчет!BC42*VLOOKUP(Исходн.данные.!T42,Справ!$A$3:$Q$57,17)*AQ42+BB42*VLOOKUP(Исходн.данные.!T42,Справ!$A$3:$Q$57,17)*AN42)/HH42)</f>
        <v>#N/A</v>
      </c>
      <c r="GE42" s="39" t="e">
        <f>IF(HF42=$FY$16,0,(Исходн.данные.!X42*AR42+Исходн.данные.!AA42*N_Org*AL42+Исходн.данные.!AB42*N_Sider*AL42+Исходн.данные.!AC42*N_Soloma*AL42)/HF42)</f>
        <v>#N/A</v>
      </c>
      <c r="GF42" s="39" t="e">
        <f>IF(HG42=$FY$16,0,(Исходн.данные.!Y42*AS42+Исходн.данные.!AA42*Р_Org*AM42+Исходн.данные.!AB42*P_Sider*AM42+Исходн.данные.!AC42*P_Soloma*AM42)/HG42)</f>
        <v>#N/A</v>
      </c>
      <c r="GG42" s="39" t="e">
        <f>IF(HH42=$FY$16,0,(Исходн.данные.!Z42*AT42+Исходн.данные.!AA42*К_Org*AN42+Исходн.данные.!AB42*K_Sider*AN42+Исходн.данные.!AC42*K_Soloma*AN42)/HH42)</f>
        <v>#N/A</v>
      </c>
      <c r="GH42" s="39" t="e">
        <f>Исходн.данные.!AD42*AU42/HF42</f>
        <v>#N/A</v>
      </c>
      <c r="GI42" s="39" t="e">
        <f>Исходн.данные.!AE42*AV42/HG42</f>
        <v>#N/A</v>
      </c>
      <c r="GJ42" s="39" t="e">
        <f>Исходн.данные.!AF42*AW42/HH42</f>
        <v>#N/A</v>
      </c>
      <c r="GK42" s="55">
        <f>Исходн.данные.!AK42</f>
        <v>0</v>
      </c>
      <c r="GL42" s="11" t="e">
        <f t="shared" si="113"/>
        <v>#N/A</v>
      </c>
      <c r="GM42" s="11" t="e">
        <f t="shared" si="114"/>
        <v>#N/A</v>
      </c>
      <c r="GN42" s="11" t="e">
        <f t="shared" si="115"/>
        <v>#N/A</v>
      </c>
      <c r="GO42" s="57">
        <f t="shared" si="116"/>
        <v>19</v>
      </c>
      <c r="GP42" s="55">
        <f>IF(OR(Исходн.данные.!F42=$CE$1,Исходн.данные.!F42=$CE$2,Исходн.данные.!F42=$CE$3,Исходн.данные.!F42=$CE$4,Исходн.данные.!F42=$CE$5),GQ42,GR42)</f>
        <v>19</v>
      </c>
      <c r="GQ42" s="55">
        <f>IF(Исходн.данные.!F42=$CE$1,28,IF(Исходн.данные.!F42=$CE$2,26,IF(Исходн.данные.!F42=$CE$3,24,IF(Исходн.данные.!F42=$CE$4,22,IF(Исходн.данные.!F42=$CE$5,20,GR42)))))</f>
        <v>19</v>
      </c>
      <c r="GR42" s="55">
        <f>IF(Исходн.данные.!F42=$CE$6,18,IF(Исходн.данные.!F42=$CE$7,16,IF(Исходн.данные.!F42=$CE$8,14,IF(Исходн.данные.!F42=$CE$9,13,IF(Исходн.данные.!F42=$CE$10,12,19)))))</f>
        <v>19</v>
      </c>
      <c r="GS42" s="55">
        <f>IF(Исходн.данные.!G42="Пес",0.035*(40+2*Исходн.данные.!H42),IF(Исходн.данные.!G42="Суп",0.0325*(40+2*Исходн.данные.!H42),0.03*(40+2*Исходн.данные.!H42)))</f>
        <v>1.2</v>
      </c>
      <c r="GT42" s="55">
        <f>IF(Исходн.данные.!H42&lt;23,2.6,IF(AND(Исходн.данные.!H42&gt;22,Исходн.данные.!H42&lt;26),3,IF(AND(Исходн.данные.!H42&gt;25,Исходн.данные.!H42&lt;29),3.4,3.6)))</f>
        <v>2.6</v>
      </c>
      <c r="GU42" s="55">
        <f>IF(Исходн.данные.!H42&lt;23,2.8,IF(AND(Исходн.данные.!H42&gt;22,Исходн.данные.!H42&lt;26),3.2,IF(AND(Исходн.данные.!H42&gt;25,Исходн.данные.!H42&lt;29),3.6,3.9)))</f>
        <v>2.8</v>
      </c>
      <c r="GV42" s="55">
        <f>IF(Исходн.данные.!H42&lt;23,3,IF(AND(Исходн.данные.!H42&gt;22,Исходн.данные.!H42&lt;26),3.5,IF(AND(Исходн.данные.!H42&gt;25,Исходн.данные.!H42&lt;29),3.9,4.2)))</f>
        <v>3</v>
      </c>
      <c r="GW42" s="55" t="e">
        <f>IF(Исходн.данные.!P42="Ум",GX42,GY42)</f>
        <v>#N/A</v>
      </c>
      <c r="GX42" s="55" t="e">
        <f>VLOOKUP(Исходн.данные.!AI42,Коэффициенты!$J$7:$L$13,2,FALSE)</f>
        <v>#N/A</v>
      </c>
      <c r="GY42" s="55" t="e">
        <f>VLOOKUP(Исходн.данные.!AI42,Коэффициенты!$J$7:$L$13,3,FALSE)</f>
        <v>#N/A</v>
      </c>
      <c r="GZ42" s="55" t="e">
        <f>(IF(Исходн.данные.!M42&lt;50,0.11*VLOOKUP(Исходн.данные.!AH42,Культуры.Информация,7,FALSE),IF(Исходн.данные.!M42&gt;250,0.05*VLOOKUP(Исходн.данные.!AH42,Культуры.Информация,7,FALSE),VLOOKUP(Исходн.данные.!AH42,Культуры.Информация,5,FALSE)/100*($GX$6+$GY$6*Исходн.данные.!M42))))*Расчет2!AI42</f>
        <v>#N/A</v>
      </c>
      <c r="HA42" s="211"/>
      <c r="HB42" s="211"/>
      <c r="HC42" s="55" t="e">
        <f>(IF(Исходн.данные.!O42&lt;80,0.2*VLOOKUP(Исходн.данные.!AH42,Культуры.Информация,8,FALSE),IF(Исходн.данные.!O42&gt;240,0.09*VLOOKUP(Исходн.данные.!AH42,Культуры.Информация,8,FALSE),VLOOKUP(Исходн.данные.!AH42,Культуры.Информация,6,FALSE)/100*($HB$6+$HC$6*Исходн.данные.!O42))))*Расчет2!AJ42</f>
        <v>#N/A</v>
      </c>
      <c r="HD42" s="55">
        <f>IF(Исходн.данные.!O42&gt;240,0.09,IF(Исходн.данные.!O42&lt;30,0.3,$HE$10+$HD$10*Исходн.данные.!O42))</f>
        <v>0.3</v>
      </c>
      <c r="HE42" s="55">
        <f>IF(Исходн.данные.!O42&gt;240,0.17,IF(Исходн.данные.!O42&lt;30,0.5,$HF$12+$HE$12*Исходн.данные.!O42))</f>
        <v>0.5</v>
      </c>
      <c r="HF42" s="55" t="e">
        <f>VLOOKUP(Исходн.данные.!AH42,Справ!$A$3:$D$58,2,FALSE)</f>
        <v>#N/A</v>
      </c>
      <c r="HG42" s="55" t="e">
        <f>VLOOKUP(Исходн.данные.!AH42,Справ!$A$3:$D$58,3,FALSE)</f>
        <v>#N/A</v>
      </c>
      <c r="HH42" s="55" t="e">
        <f>VLOOKUP(Исходн.данные.!AH42,Справ!$A$3:$D$58,4,FALSE)</f>
        <v>#N/A</v>
      </c>
      <c r="HI42" s="11" t="e">
        <f t="shared" si="117"/>
        <v>#N/A</v>
      </c>
      <c r="HJ42" s="11" t="e">
        <f t="shared" si="118"/>
        <v>#N/A</v>
      </c>
      <c r="HK42" s="11" t="e">
        <f t="shared" si="119"/>
        <v>#N/A</v>
      </c>
      <c r="HL42" s="55">
        <f>IF(OR(Исходн.данные.!G42="Глин",Исходн.данные.!G42="Т_суг"),1.1,IF(Исходн.данные.!G42="Ср_суг",1,1))</f>
        <v>1</v>
      </c>
      <c r="HM42" s="55">
        <f>IF(OR(Исходн.данные.!G42="Глин",Исходн.данные.!G42="Т_суг"),0.9,IF(Исходн.данные.!G42="Ср_суг",1,1.2))</f>
        <v>1.2</v>
      </c>
      <c r="HN42" s="11" t="e">
        <f t="shared" si="120"/>
        <v>#N/A</v>
      </c>
      <c r="HO42" s="11" t="e">
        <f t="shared" si="121"/>
        <v>#N/A</v>
      </c>
      <c r="HP42" s="11" t="e">
        <f t="shared" si="122"/>
        <v>#N/A</v>
      </c>
      <c r="HQ42" t="e">
        <f t="shared" si="123"/>
        <v>#N/A</v>
      </c>
      <c r="HR42" t="e">
        <f t="shared" si="124"/>
        <v>#N/A</v>
      </c>
      <c r="HS42" t="e">
        <f t="shared" si="125"/>
        <v>#N/A</v>
      </c>
      <c r="HT42" t="e">
        <f t="shared" si="21"/>
        <v>#N/A</v>
      </c>
      <c r="HU42" t="e">
        <f t="shared" si="22"/>
        <v>#N/A</v>
      </c>
      <c r="HV42" t="e">
        <f t="shared" si="23"/>
        <v>#N/A</v>
      </c>
      <c r="HW42" t="e">
        <f t="shared" si="24"/>
        <v>#N/A</v>
      </c>
      <c r="HX42" t="e">
        <f t="shared" si="25"/>
        <v>#N/A</v>
      </c>
      <c r="HY42" t="e">
        <f t="shared" si="26"/>
        <v>#N/A</v>
      </c>
      <c r="HZ42" s="55">
        <f>IF(OR(Исходн.данные.!AI42="Оз_Ч_П",Исходн.данные.!AI42="Оз_З_П",Исходн.данные.!AI42="Яр_зер"),12,30)</f>
        <v>30</v>
      </c>
      <c r="IA42" t="e">
        <f t="shared" si="126"/>
        <v>#N/A</v>
      </c>
      <c r="IB42" t="e">
        <f t="shared" si="127"/>
        <v>#N/A</v>
      </c>
      <c r="IC42" t="e">
        <f t="shared" si="128"/>
        <v>#N/A</v>
      </c>
      <c r="ID42" s="11" t="e">
        <f t="shared" si="129"/>
        <v>#N/A</v>
      </c>
      <c r="IE42" s="11" t="e">
        <f t="shared" si="130"/>
        <v>#N/A</v>
      </c>
      <c r="IF42" s="11" t="e">
        <f t="shared" si="131"/>
        <v>#N/A</v>
      </c>
    </row>
    <row r="43" spans="35:240" x14ac:dyDescent="0.2">
      <c r="AI43">
        <f>IF(Исходн.данные.!I43&gt;6,1,1.85-(0.148*Исходн.данные.!I43))</f>
        <v>1.85</v>
      </c>
      <c r="AJ43">
        <f>IF(Исходн.данные.!I43&gt;6,1,2.434-(0.246*Исходн.данные.!I43))</f>
        <v>2.4340000000000002</v>
      </c>
      <c r="AL43" s="148" t="b">
        <f>IF(Исходн.данные.!$P43="Ум",N_OrgUd_2g_um,IF(Исходн.данные.!$P43="Об",N_OrgUd_2g_ob))</f>
        <v>0</v>
      </c>
      <c r="AM43" s="148" t="b">
        <f>IF(Исходн.данные.!$P43="Ум",P_OrgUd_2g_um,IF(Исходн.данные.!$P43="Об",P_OrgUd_2g_ob))</f>
        <v>0</v>
      </c>
      <c r="AN43" s="148" t="b">
        <f>IF(Исходн.данные.!$P43="Ум",K_OrgUd_2g_um,IF(Исходн.данные.!$P43="Об",K_OrgUd_2g_ob))</f>
        <v>0</v>
      </c>
      <c r="AO43" s="148" t="b">
        <f>IF(Исходн.данные.!$P43="Ум",N_OrgUd_1g_um,IF(Исходн.данные.!$P43="Об",N_OrgUd_1g_ob))</f>
        <v>0</v>
      </c>
      <c r="AP43" s="148" t="b">
        <f>IF(Исходн.данные.!$P43="Ум",P_OrgUd_1g_um,IF(Исходн.данные.!$P43="Об",P_OrgUd_1g_ob))</f>
        <v>0</v>
      </c>
      <c r="AQ43" s="148" t="b">
        <f>IF(Исходн.данные.!$P43="Ум",K_OrgUd_1g_um,IF(Исходн.данные.!$P43="Об",K_OrgUd_1g_ob))</f>
        <v>0</v>
      </c>
      <c r="AR43" t="b">
        <f>IF(Исходн.данные.!$P43="Ум",N_MinUd_2g_um,IF(Исходн.данные.!$P43="Об",N_MinUd_2g_ob))</f>
        <v>0</v>
      </c>
      <c r="AS43" t="b">
        <f>IF(Исходн.данные.!$P43="Ум",P_MinUd_2g_um,IF(Исходн.данные.!$P43="Об",P_MinUd_2g_ob))</f>
        <v>0</v>
      </c>
      <c r="AT43" t="b">
        <f>IF(Исходн.данные.!$P43="Ум",K_MinUd_2g_um,IF(Исходн.данные.!$P43="Об",K_MinUd_2g_ob))</f>
        <v>0</v>
      </c>
      <c r="AU43" t="b">
        <f>IF(Исходн.данные.!$P43="Ум",N_MinUd_1g_um,IF(Исходн.данные.!$P43="Об",N_MinUd_1g_ob))</f>
        <v>0</v>
      </c>
      <c r="AV43" t="b">
        <f>IF(Исходн.данные.!P43="Ум",P_MinUd_1g_um,IF(Исходн.данные.!P43="Об",P_MinUd_1g_ob))</f>
        <v>0</v>
      </c>
      <c r="AW43" t="b">
        <f>IF(Исходн.данные.!P43="Ум",K_MinUd_1g_um,IF(Исходн.данные.!P43="Об",K_MinUd_1g_ob))</f>
        <v>0</v>
      </c>
      <c r="AY43" t="e">
        <f>VLOOKUP(Исходн.данные.!T43,Справ!$A$3:$N$57,12)</f>
        <v>#N/A</v>
      </c>
      <c r="AZ43" t="e">
        <f>VLOOKUP(Исходн.данные.!T43,Справ!$A$3:$N$57,13)</f>
        <v>#N/A</v>
      </c>
      <c r="BA43" t="e">
        <f>VLOOKUP(Исходн.данные.!T43,Справ!$A$3:$N$57,14)</f>
        <v>#N/A</v>
      </c>
      <c r="BB43">
        <f>IF(Исходн.данные.!AH43=0,0,25)</f>
        <v>0</v>
      </c>
      <c r="BC43" s="141">
        <f>IF(Исходн.данные.!AH43=0,0,IF(Исходн.данные.!T43=0,25,BD43))</f>
        <v>0</v>
      </c>
      <c r="BD43" s="168" t="e">
        <f>AY43+AZ43*Исходн.данные.!U43-POWER(BA43,2)*Исходн.данные.!U43</f>
        <v>#N/A</v>
      </c>
      <c r="BE4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3" s="25">
        <f>IF(Исходн.данные.!AH43=0,0,MIN(HN43:HP43))</f>
        <v>0</v>
      </c>
      <c r="BG43" s="9">
        <f>IF(Исходн.данные.!AH43=0,0,IF((HO43+10*0.25/HG43/HL43)&lt;17,17,HO43+10*0.25/HG43/HL43))</f>
        <v>0</v>
      </c>
      <c r="BH43" s="181">
        <f>IF(Исходн.данные.!AH43=0,0,HW43*HF43*HL43/AU43*AI43+Исходн.данные.!S43*10)</f>
        <v>0</v>
      </c>
      <c r="BI43" s="10"/>
      <c r="BJ43" s="182">
        <f>IF(Исходн.данные.!AH43=0,0,IF(HX43*HG43*HL43/AV43&lt;0,0,HX43*HG43*HL43/AV43*AJ43))</f>
        <v>0</v>
      </c>
      <c r="BK43" s="182">
        <f>IF(Исходн.данные.!AH43=0,0,HY43*HH43*HM43/AW43)</f>
        <v>0</v>
      </c>
      <c r="BL43" s="10">
        <f>IF(OR(Исходн.данные.!$AH43=$BP$1,Исходн.данные.!$AH43=$BP$2),0,IF(BH43&lt;0,0,IF(OR(Исходн.данные.!T43=Расчет!$BP$1,Исходн.данные.!T43=Расчет!$BP$2,Исходн.данные.!T43=Расчет!$BT$5,Исходн.данные.!T43=Расчет!$BT$6),BH43*0.5,IF(OR(Исходн.данные.!T43=Расчет!$BS$9,Исходн.данные.!T43=Расчет!$BS$10,Исходн.данные.!T43=Расчет!$BS$11,Исходн.данные.!T43=Расчет!$BS$12,Исходн.данные.!T43=Расчет!$BP$5),BH43*0.8,BH43))))</f>
        <v>0</v>
      </c>
      <c r="BM43" s="10">
        <f>IF(OR(Исходн.данные.!$AH43=$BP$1,Исходн.данные.!$AH43=$BP$2),0,IF(BJ43&lt;0,0,IF(Исходн.данные.!I43&lt;4.5,BJ43*1.2,IF(Исходн.данные.!I43&gt;5.1,BJ43,BJ43*((5.1-Исходн.данные.!I43)*0.333+1)))))</f>
        <v>0</v>
      </c>
      <c r="BN43" s="10">
        <f>IF(OR(Исходн.данные.!$AH43=$BP$1,Исходн.данные.!$AH43=$BP$2),60-Исходн.данные.!AF43,IF(BK43&lt;0,0,IF(Исходн.данные.!I43&lt;4.5,BK43*1.2,IF(Исходн.данные.!I43&gt;5.1,BK43,BK43*((5.1-Исходн.данные.!I43)*0.333+1)))))</f>
        <v>0</v>
      </c>
      <c r="BO43" s="9">
        <f>IF(BL43&lt;0,0,BL43*Исходн.данные.!$AJ43/1000)</f>
        <v>0</v>
      </c>
      <c r="BP43" s="9">
        <f>IF(BM43&lt;0,0,BM43*Исходн.данные.!$AJ43/1000)</f>
        <v>0</v>
      </c>
      <c r="BQ43" s="9">
        <f>IF(BN43&lt;0,0,BN43*Исходн.данные.!$AJ43/1000)</f>
        <v>0</v>
      </c>
      <c r="BR43" s="9">
        <f t="shared" si="81"/>
        <v>0</v>
      </c>
      <c r="BS43" s="10" t="str">
        <f t="shared" si="82"/>
        <v>Аммофос 12:52:00</v>
      </c>
      <c r="BT43" s="10" t="str">
        <f t="shared" si="83"/>
        <v>Аммофос 12:52:00</v>
      </c>
      <c r="BU43" s="10" t="str">
        <f t="shared" si="84"/>
        <v>Диаммофоска</v>
      </c>
      <c r="BV43" s="10">
        <f t="shared" si="85"/>
        <v>0</v>
      </c>
      <c r="BW43" s="10"/>
      <c r="BX43" s="10"/>
      <c r="BY43" s="9">
        <f>IF(BL43&lt;0,0,IF(OR(Исходн.данные.!AI43=Расчет!$BU$6,Исходн.данные.!AI43=Расчет!$BU$7),Расчет!BV43,IF(Исходн.данные.!$AG43=$BV$11,BL43,IF(OR(Исходн.данные.!$AH43=$BQ$7,Исходн.данные.!$AH43=$BQ$8),CB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0,IF(Исходн.данные.!$AI43=$BU$11,"Нет",IF(BL43&gt;30,30,BL43)))))))</f>
        <v>0</v>
      </c>
      <c r="BZ43" s="9">
        <f>IF(AND(Исходн.данные.!$AG43=$BV$11,BM43&lt;10),10,IF(Исходн.данные.!$AG43=$BV$11,BM43,IF(OR(Исходн.данные.!$AH43=$BQ$7,Исходн.данные.!$AH43=$BQ$8),CC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10,IF(Исходн.данные.!$AI43=$BU$11,"Нет",IF(BM43&gt;60,60,IF(BM43&lt;10,10,BM43)))))))</f>
        <v>10</v>
      </c>
      <c r="CA43" s="39">
        <f>IF(BN43&lt;0,0,IF(Исходн.данные.!$AG43=$BV$11,BN43,IF(OR(Исходн.данные.!$AH43=$BQ$7,Исходн.данные.!$AH43=$BQ$8),CD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0,IF(Исходн.данные.!$AI43=$BU$11,"Нет",IF(BN43&gt;30,30,BN43))))))</f>
        <v>0</v>
      </c>
      <c r="CB43" s="9">
        <f t="shared" si="86"/>
        <v>0</v>
      </c>
      <c r="CC43" s="9">
        <f t="shared" si="87"/>
        <v>0</v>
      </c>
      <c r="CD43" s="9">
        <f t="shared" si="88"/>
        <v>0</v>
      </c>
      <c r="CE43" s="12">
        <f t="shared" si="89"/>
        <v>10</v>
      </c>
      <c r="CF43" s="9">
        <f t="shared" si="90"/>
        <v>0</v>
      </c>
      <c r="CG43" s="9" t="s">
        <v>231</v>
      </c>
      <c r="CH43" s="132" t="str">
        <f>IF(Исходн.данные.!AP43=Расчет!$CI$16,"Нет",IF(Исходн.данные.!AL43&gt;0,Исходн.данные.!AL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BH$4,IF(OR(Исходн.данные.!AI43=Исходн.данные.!$AI$6,Исходн.данные.!AI43=Исходн.данные.!$AI$7),Расчет!BS43,IF(AND($CF43=0,$CE43&gt;0),EV43,ER43)))))</f>
        <v>Аммофос 12:52:00</v>
      </c>
      <c r="CI43" s="274">
        <f>IF(Расчет!$CH43="Нет","Нет",IF(Исходн.данные.!$AL43&gt;0,VLOOKUP(Расчет!$CH43,АшламаДВ_Irekle,2,FALSE),VLOOKUP(Расчет!$CH43,АшламаДВ_Gomumy,2,FALSE)))</f>
        <v>0.12</v>
      </c>
      <c r="CJ43" s="274">
        <f>IF(Расчет!$CH43="Нет","Нет",IF(Исходн.данные.!$AL43&gt;0,VLOOKUP(Расчет!$CH43,АшламаДВ_Irekle,3,FALSE),VLOOKUP(Расчет!$CH43,АшламаДВ_Gomumy,3,FALSE)))</f>
        <v>0.52</v>
      </c>
      <c r="CK43" s="274">
        <f>IF(Расчет!$CH43="Нет","Нет",IF(Исходн.данные.!$AL43&gt;0,VLOOKUP(Расчет!$CH43,АшламаДВ_Irekle,4,FALSE),VLOOKUP(Расчет!$CH43,АшламаДВ_Gomumy,4,FALSE)))</f>
        <v>0</v>
      </c>
      <c r="CL43" s="70"/>
      <c r="CM43" s="70"/>
      <c r="CN43" s="70"/>
      <c r="CO43" s="70"/>
      <c r="CP43" s="70"/>
      <c r="CQ43" s="70"/>
      <c r="CR43" s="10">
        <f t="shared" si="91"/>
        <v>0</v>
      </c>
      <c r="CS43" s="10">
        <f t="shared" si="92"/>
        <v>19.23076923076923</v>
      </c>
      <c r="CT43" s="10">
        <f t="shared" si="93"/>
        <v>0</v>
      </c>
      <c r="CU43" s="39">
        <f>IF($CH43="Нет",0,IF(CI43=0,30/MIN(CJ43:CK43),IF(Исходн.данные.!$AG43=$BV$11,CR43,IF(OR(Исходн.данные.!$AH43=$BQ$7,Исходн.данные.!$AH43=$BQ$8),90/CI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0,IF(Исходн.данные.!$AI43=$BU$11,"Нет",30/CI43))))))</f>
        <v>250</v>
      </c>
      <c r="CV43" s="39">
        <f>IF($CH43="Нет",0,IF(Исходн.данные.!AH43=0,0,IF(CJ43=0,60/MIN(CI43,CK43),IF(Исходн.данные.!$AG43=$BV$11,CS43,IF(OR(Исходн.данные.!$AH43=$BQ$7,Исходн.данные.!$AH43=$BQ$8),90/CJ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10/CJ43,IF(Исходн.данные.!$AI43=$BU$11,"Нет",60/CJ43)))))))</f>
        <v>0</v>
      </c>
      <c r="CW43" s="39">
        <f>IF($CH43="Нет",0,IF(Исходн.данные.!AH43=0,0,IF(CK43=0,30/MIN(CI43:CJ43),IF(Исходн.данные.!$AG43=$BV$11,CT43,IF(OR(Исходн.данные.!$AH43=$BQ$7,Исходн.данные.!$AH43=$BQ$8),90/CK43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0,IF(Исходн.данные.!$AI43=$BU$11,"Нет",30/CK43)))))))</f>
        <v>0</v>
      </c>
      <c r="CX43" s="133">
        <f>IF(Исходн.данные.!$AG43=$BV$11,MAX(CU43:CW43),IF(OR(Исходн.данные.!$AH43=$BS$8,Исходн.данные.!$AH43=$BQ$9,Исходн.данные.!$AH43=$BQ$10,Исходн.данные.!$AH43=$BQ$11,Исходн.данные.!$AH43=$BQ$12,Исходн.данные.!$AH43=$BP$3,Исходн.данные.!$AH43=$BT$8,$FM43="Да"),CV43,MIN(CU43:CW43)))</f>
        <v>0</v>
      </c>
      <c r="CY43" s="133">
        <f>IF(Исходн.данные.!AH43=0,0,IF(CR43&gt;$CX43,$CX43,CR43))</f>
        <v>0</v>
      </c>
      <c r="CZ43" s="133">
        <f>IF(Исходн.данные.!AH43=0,0,IF(CS43&gt;$CX43,$CX43,CS43))</f>
        <v>0</v>
      </c>
      <c r="DA43" s="133">
        <f>IF(Исходн.данные.!AH43=0,0,IF(CT43&gt;$CX43,$CX43,CT43))</f>
        <v>0</v>
      </c>
      <c r="DB43" s="10">
        <f t="shared" si="94"/>
        <v>0</v>
      </c>
      <c r="DC43" s="39">
        <f>DB43*Исходн.данные.!AJ43/1000</f>
        <v>0</v>
      </c>
      <c r="DD43" s="71">
        <f t="shared" si="95"/>
        <v>0</v>
      </c>
      <c r="DE43" s="9">
        <f t="shared" si="96"/>
        <v>0</v>
      </c>
      <c r="DF43" s="9">
        <f t="shared" si="97"/>
        <v>0</v>
      </c>
      <c r="DG43" s="39">
        <f>IF(BL43&lt;0,0,IF($CH43="Нет",BL43,IF(OR(Исходн.данные.!$AH43=$BP$1,Исходн.данные.!$AH43=$BP$2),0,IF(Исходн.данные.!AI43=$BU$11,BL43,IF(BL43-DD43&lt;0,0,BL43-DD43)))))</f>
        <v>0</v>
      </c>
      <c r="DH43" s="39">
        <f>IF(BM43&lt;0,0,IF($CH43="Нет",BM43,IF(OR(Исходн.данные.!$AH43=$BP$1,Исходн.данные.!$AH43=$BP$2),0,IF(Исходн.данные.!AJ43=$BU$11,BM43,IF(BM43-DE43&lt;0,0,BM43-DE43)))))</f>
        <v>0</v>
      </c>
      <c r="DI43" s="39">
        <f>IF(BN43&lt;0,0,IF($CH43="Нет",BN43,IF(OR(Исходн.данные.!$AH43=$BP$1,Исходн.данные.!$AH43=$BP$2),0,IF(Исходн.данные.!AK43=$BU$11,BN43,IF(BN43-DF43&lt;0,0,BN43-DF43)))))</f>
        <v>0</v>
      </c>
      <c r="DJ43" s="12">
        <f t="shared" si="98"/>
        <v>0</v>
      </c>
      <c r="DK43" s="9">
        <f t="shared" si="99"/>
        <v>0</v>
      </c>
      <c r="DL43" s="39">
        <f>IF(Исходн.данные.!AM43&gt;0,Исходн.данные.!AM43,IF(EG43&gt;0,$BH$10,0))</f>
        <v>0</v>
      </c>
      <c r="DM43" s="186">
        <f>IF($DL43=0,0,IF(Исходн.данные.!AM43&gt;0,VLOOKUP($DL43,АшламаДВ_Irekle,2,FALSE),VLOOKUP($DL43,АшламаДВ_Gomumy,2,FALSE)))</f>
        <v>0</v>
      </c>
      <c r="DN43" s="10">
        <f t="shared" si="46"/>
        <v>0</v>
      </c>
      <c r="DO43" s="9" t="str">
        <f>IF(Исходн.данные.!AN43&gt;0,Исходн.данные.!AN43,Удобрения!$B$37 )</f>
        <v>Хлор.калий</v>
      </c>
      <c r="DP43" s="9">
        <f>IF(Исходн.данные.!AN43&gt;0,VLOOKUP(Исходн.данные.!AN43,АшламаДВ_Irekle,4,FALSE),VLOOKUP(DO43,АшламаДВ_Gomumy,4,FALSE))</f>
        <v>0.6</v>
      </c>
      <c r="DQ43" s="10">
        <f t="shared" si="47"/>
        <v>0</v>
      </c>
      <c r="DR43" s="132" t="str">
        <f>IF(Исходн.данные.!AO43&gt;0,Исходн.данные.!AO43,IF(DH43=0,BS$17,IF(AND($DK43=0,$DJ43&gt;0),EJ43,EN43)))</f>
        <v>Нет</v>
      </c>
      <c r="DS43" s="70" t="str">
        <f>IF($DR43="Нет","Нет",IF(Исходн.данные.!$AO43&gt;0,VLOOKUP($DR43,АшламаДВ_Irekle,2,FALSE),VLOOKUP($DR43,АшламаДВ_Gomumy,2,FALSE)))</f>
        <v>Нет</v>
      </c>
      <c r="DT43" s="70" t="str">
        <f>IF($DR43="Нет","Нет",IF(Исходн.данные.!$AO43&gt;0,VLOOKUP($DR43,АшламаДВ_Irekle,3,FALSE),VLOOKUP($DR43,АшламаДВ_Gomumy,3,FALSE)))</f>
        <v>Нет</v>
      </c>
      <c r="DU43" s="70" t="str">
        <f>IF($DR43="Нет","Нет",IF(Исходн.данные.!$AO43&gt;0,VLOOKUP($DR43,АшламаДВ_Irekle,4,FALSE),VLOOKUP($DR43,АшламаДВ_Gomumy,4,FALSE)))</f>
        <v>Нет</v>
      </c>
      <c r="DV43" s="70"/>
      <c r="DW43" s="70"/>
      <c r="DX43" s="70"/>
      <c r="DY43" s="10">
        <f t="shared" si="100"/>
        <v>0</v>
      </c>
      <c r="DZ43" s="10">
        <f t="shared" si="101"/>
        <v>0</v>
      </c>
      <c r="EA43" s="10">
        <f t="shared" si="102"/>
        <v>0</v>
      </c>
      <c r="EB43" s="10">
        <f t="shared" si="103"/>
        <v>0</v>
      </c>
      <c r="EC43" s="10">
        <f t="shared" si="104"/>
        <v>0</v>
      </c>
      <c r="ED43" s="10">
        <f t="shared" si="105"/>
        <v>0</v>
      </c>
      <c r="EE43" s="10">
        <f t="shared" si="106"/>
        <v>0</v>
      </c>
      <c r="EF43" s="39">
        <f>EB43*Исходн.данные.!AJ43/1000</f>
        <v>0</v>
      </c>
      <c r="EG43" s="9">
        <f t="shared" si="107"/>
        <v>0</v>
      </c>
      <c r="EH43" s="9">
        <f t="shared" si="108"/>
        <v>0</v>
      </c>
      <c r="EI43" s="39" t="e">
        <f t="shared" si="7"/>
        <v>#DIV/0!</v>
      </c>
      <c r="EJ43" s="9" t="str">
        <f t="shared" si="8"/>
        <v>Азопреципитат</v>
      </c>
      <c r="EK43" s="12">
        <f t="shared" si="9"/>
        <v>0.26</v>
      </c>
      <c r="EL43" s="12">
        <f t="shared" si="10"/>
        <v>0.13</v>
      </c>
      <c r="EM43" s="12">
        <f t="shared" si="11"/>
        <v>0</v>
      </c>
      <c r="EN43" s="12" t="str">
        <f t="shared" si="57"/>
        <v>Нет</v>
      </c>
      <c r="EO43" s="12">
        <f t="shared" si="12"/>
        <v>0</v>
      </c>
      <c r="EP43" s="12">
        <f t="shared" si="13"/>
        <v>0</v>
      </c>
      <c r="EQ43" s="12">
        <f t="shared" si="14"/>
        <v>0</v>
      </c>
      <c r="ER43" s="12" t="str">
        <f t="shared" si="109"/>
        <v>Диаммофоска</v>
      </c>
      <c r="ES43" s="12">
        <f t="shared" si="15"/>
        <v>0.1</v>
      </c>
      <c r="ET43" s="12">
        <f t="shared" si="16"/>
        <v>0.26</v>
      </c>
      <c r="EU43" s="12">
        <f t="shared" si="17"/>
        <v>0.26</v>
      </c>
      <c r="EV43" s="12" t="str">
        <f t="shared" si="110"/>
        <v>Аммофос 12:52:00</v>
      </c>
      <c r="EW43" s="12" t="str">
        <f t="shared" si="111"/>
        <v>Кемира Свекловичное-6</v>
      </c>
      <c r="EX43" s="12">
        <f t="shared" si="18"/>
        <v>0.16</v>
      </c>
      <c r="EY43" s="12">
        <f t="shared" si="19"/>
        <v>0.12</v>
      </c>
      <c r="EZ43" s="12">
        <f t="shared" si="20"/>
        <v>0.17</v>
      </c>
      <c r="FA43" s="38" t="e">
        <f>IF(AND(OR(FJ43=$FD$1,FM43=$FD$1,FO43=$FD$1,FQ43=$FD$1,FS43=$FD$1),FD43=$FD$1,Исходн.данные.!J43&lt;2,FU43=$FD$1),"Бор,Кобальт",IF(AND(FO43=$FD$1,FH43=$FD$1,Исходн.данные.!J43&lt;2,FU43=$FD$1),"Бор,Кобальт",IF(AND(OR(FJ43=$FD$1,FM43=$FD$1,FQ43=$FD$1),FE43=$FD$1,Исходн.данные.!J43&lt;2,FT43=$FD$1,FU43=$FD$1),"Бор,Медь,Цинк",IF(AND(OR(FJ43=$FD$1,FR43="Да"),FI43="Да",Исходн.данные.!J43&lt;2,FT43="Да",FU43="Да"),"Бор,Цинк,Медь",IF(AND(OR(FM43="Да",FQ43="Да"),FI43="Да",Исходн.данные.!J43&lt;2,FT43="Да",FU43="Да"),"Бор,Цинк",IF(AND(FN43="Да",OR(FD43="Да",FE43="Да")),"Бор",FB43))))))</f>
        <v>#N/A</v>
      </c>
      <c r="FB43" s="134" t="e">
        <f>IF(AND(OR(FD43="Да",FE43="Да",FF43="Да",FG43="Да",FH43="Да"),FO43="Да"),"Бор",IF(AND(FP43="Да",OR(FD43="Да",FE43="Да",FI43="Да")),"Бор",IF(AND(FS43="Да",FE43="Да"),"Бор,Медь",IF(AND(OR(FJ43="Да",FK43="Да",FL43="Да"),FE43="Да",Исходн.данные.!I43&lt;5,FT43="Да",FU43="Да"),"Молибден,Цинк",IF(AND(FM43="Да",OR(FE43="Да",FF43="Да",FG43="Да",FH43="Да",FI43="Да")),"Молибден,Цинк",IF(AND(OR(FJ43="Да",FK43="Да",FL43="Да",FM43="Да",FQ43="Да"),OR(FE43="Да",FF43="Да"),FT43="Да",FU43="Да",Исходн.данные.!I43&gt;5.5),"Медь,Цинк",FC43))))))</f>
        <v>#N/A</v>
      </c>
      <c r="FC43" s="23" t="e">
        <f t="shared" si="112"/>
        <v>#N/A</v>
      </c>
      <c r="FD43" s="38" t="str">
        <f>IF(OR(Исходн.данные.!F43=$CC$1,Исходн.данные.!F43=$CC$2,Исходн.данные.!F43=$CC$3,Исходн.данные.!F43=$CC$4),"Да","Нет")</f>
        <v>Нет</v>
      </c>
      <c r="FE43" s="38" t="str">
        <f>IF(Исходн.данные.!F43=$CC$5,"Да","Нет")</f>
        <v>Нет</v>
      </c>
      <c r="FF43" s="38" t="str">
        <f>IF(OR(Исходн.данные.!F43=$CC$6,Исходн.данные.!F43=$CC$7),"Да","Нет")</f>
        <v>Нет</v>
      </c>
      <c r="FG43" s="38" t="str">
        <f>IF(OR(Исходн.данные.!F43=$CC$8,Исходн.данные.!F43=$CC$9),"Да","Нет")</f>
        <v>Нет</v>
      </c>
      <c r="FH43" s="38" t="str">
        <f>IF(Исходн.данные.!F43=$CC$10,"Да","Нет")</f>
        <v>Нет</v>
      </c>
      <c r="FI43" s="38" t="str">
        <f>IF(OR(Исходн.данные.!F43=$CC$11,Исходн.данные.!F43=$CC$12),"Да","Нет")</f>
        <v>Нет</v>
      </c>
      <c r="FJ43" s="38" t="str">
        <f>IF(OR(Исходн.данные.!AH43=$BS$1,Исходн.данные.!AH43=$BQ$11,Исходн.данные.!AH43=$BQ$12),"Да","Нет")</f>
        <v>Нет</v>
      </c>
      <c r="FK43" s="38" t="str">
        <f>IF(OR(Исходн.данные.!AH43=$BS$2,Исходн.данные.!AH43=$BS$4),"Да","Нет")</f>
        <v>Нет</v>
      </c>
      <c r="FL43" s="38" t="str">
        <f>IF(OR(Исходн.данные.!AH43=$BS$3,Исходн.данные.!AH43=$BS$5),"Да","Нет")</f>
        <v>Нет</v>
      </c>
      <c r="FM43" s="38" t="str">
        <f>IF(OR(Исходн.данные.!AH43=$BS$9,Исходн.данные.!AH43=$BS$10,Исходн.данные.!AH43=$BS$11,Исходн.данные.!AH43=$BS$12),"Да","Нет")</f>
        <v>Нет</v>
      </c>
      <c r="FN43" s="38" t="str">
        <f>IF(OR(Исходн.данные.!AH43=$BS$6,Исходн.данные.!AH43=$BP$3),"Да","Нет")</f>
        <v>Нет</v>
      </c>
      <c r="FO43" s="38" t="str">
        <f>IF(Исходн.данные.!AH43=$BQ$9,"Да","Нет")</f>
        <v>Нет</v>
      </c>
      <c r="FP43" s="38" t="str">
        <f>IF(OR(Исходн.данные.!AH43=$BS$8,Исходн.данные.!AH43=$BT$8),"Да","Нет")</f>
        <v>Нет</v>
      </c>
      <c r="FQ43" s="38" t="str">
        <f>IF(OR(Исходн.данные.!AH43=$BQ$7,Исходн.данные.!AH43=$BQ$8),"Да","Нет")</f>
        <v>Нет</v>
      </c>
      <c r="FR43" s="38" t="str">
        <f>IF(Исходн.данные.!AI43=$BU$9,"Да","Нет")</f>
        <v>Нет</v>
      </c>
      <c r="FS43" s="38" t="str">
        <f>IF(OR(Исходн.данные.!AH43=$BP$1,Исходн.данные.!AH43=$BP$2),"Да","Нет")</f>
        <v>Нет</v>
      </c>
      <c r="FT43" s="38" t="e">
        <f>IF((Исходн.данные.!K43*GO43*GS43*GW43+BL43*0.6+Исходн.данные.!Q43*4.5*0.275)&gt;90,"Да","Нет")</f>
        <v>#N/A</v>
      </c>
      <c r="FU43" s="38" t="e">
        <f>IF((Исходн.данные.!M43*GS43*GZ43+BM43*0.225)&gt;35,"Да","Нет")</f>
        <v>#N/A</v>
      </c>
      <c r="FV43" s="38" t="str">
        <f>IF(Исходн.данные.!O43&gt;175,"Да","Нет")</f>
        <v>Нет</v>
      </c>
      <c r="FW43" s="39" t="str">
        <f>IF(Исходн.данные.!I43&gt;5.5,"Да","Нет")</f>
        <v>Нет</v>
      </c>
      <c r="FX43" s="39" t="str">
        <f>IF(Исходн.данные.!J43&lt;2,"Да","Нет")</f>
        <v>Да</v>
      </c>
      <c r="FY43" s="39" t="e">
        <f>IF(HF43=$FY$16,0,Исходн.данные.!K43*GO43*GS43*GW43/HF43)</f>
        <v>#N/A</v>
      </c>
      <c r="FZ43" s="39" t="e">
        <f>Исходн.данные.!M43*GS43*GZ43/HG43</f>
        <v>#N/A</v>
      </c>
      <c r="GA43" s="39" t="e">
        <f>IF(K_Wyn=$FY$16,0,IF(Исходн.данные.!N43=Исходн.данные.!$L$10,Исходн.данные.!O43/1.1*GS43*HC43/HH43,IF(Исходн.данные.!N43=Исходн.данные.!$L$12,Исходн.данные.!O43/1.5*GS43*HC43/HH43,Исходн.данные.!O43*GS43*HC43/HH43)))</f>
        <v>#N/A</v>
      </c>
      <c r="GB43" s="39" t="e">
        <f>IF(HF43=$FY$16,0,((Исходн.данные.!Q43*N_Org+Исходн.данные.!R43*N_Sider+Исходн.данные.!S43*N_Soloma)*AO43+Расчет!BC43*VLOOKUP(Исходн.данные.!T43,Справ!$A$3:$O$57,15)*AO43+BB43*VLOOKUP(Исходн.данные.!T43,Справ!$A$3:$O$57,15)*AL43+(Исходн.данные.!V43*N_Rizotorf+Исходн.данные.!W43*N_Rizoagr))/HF43)</f>
        <v>#N/A</v>
      </c>
      <c r="GC43" s="39" t="e">
        <f>IF(HG43=$FY$16,0,((Исходн.данные.!Q43*Р_Org+Исходн.данные.!R43*P_Sider+Исходн.данные.!S43*P_Soloma)*AP43+Расчет!BC43*VLOOKUP(Исходн.данные.!T43,Справ!$A$3:$P$57,16)*AP43+BB43*VLOOKUP(Исходн.данные.!T43,Справ!$A$3:$P$57,16)*AM43)/HG43)</f>
        <v>#N/A</v>
      </c>
      <c r="GD43" s="39" t="e">
        <f>IF(HH43=$FY$16,0,((Исходн.данные.!Q43*К_Org+Исходн.данные.!R43*K_Sider+Исходн.данные.!S43*K_Soloma)*AQ43+Расчет!BC43*VLOOKUP(Исходн.данные.!T43,Справ!$A$3:$Q$57,17)*AQ43+BB43*VLOOKUP(Исходн.данные.!T43,Справ!$A$3:$Q$57,17)*AN43)/HH43)</f>
        <v>#N/A</v>
      </c>
      <c r="GE43" s="39" t="e">
        <f>IF(HF43=$FY$16,0,(Исходн.данные.!X43*AR43+Исходн.данные.!AA43*N_Org*AL43+Исходн.данные.!AB43*N_Sider*AL43+Исходн.данные.!AC43*N_Soloma*AL43)/HF43)</f>
        <v>#N/A</v>
      </c>
      <c r="GF43" s="39" t="e">
        <f>IF(HG43=$FY$16,0,(Исходн.данные.!Y43*AS43+Исходн.данные.!AA43*Р_Org*AM43+Исходн.данные.!AB43*P_Sider*AM43+Исходн.данные.!AC43*P_Soloma*AM43)/HG43)</f>
        <v>#N/A</v>
      </c>
      <c r="GG43" s="39" t="e">
        <f>IF(HH43=$FY$16,0,(Исходн.данные.!Z43*AT43+Исходн.данные.!AA43*К_Org*AN43+Исходн.данные.!AB43*K_Sider*AN43+Исходн.данные.!AC43*K_Soloma*AN43)/HH43)</f>
        <v>#N/A</v>
      </c>
      <c r="GH43" s="39" t="e">
        <f>Исходн.данные.!AD43*AU43/HF43</f>
        <v>#N/A</v>
      </c>
      <c r="GI43" s="39" t="e">
        <f>Исходн.данные.!AE43*AV43/HG43</f>
        <v>#N/A</v>
      </c>
      <c r="GJ43" s="39" t="e">
        <f>Исходн.данные.!AF43*AW43/HH43</f>
        <v>#N/A</v>
      </c>
      <c r="GK43" s="55">
        <f>Исходн.данные.!AK43</f>
        <v>0</v>
      </c>
      <c r="GL43" s="11" t="e">
        <f t="shared" si="113"/>
        <v>#N/A</v>
      </c>
      <c r="GM43" s="11" t="e">
        <f t="shared" si="114"/>
        <v>#N/A</v>
      </c>
      <c r="GN43" s="11" t="e">
        <f t="shared" si="115"/>
        <v>#N/A</v>
      </c>
      <c r="GO43" s="57">
        <f t="shared" si="116"/>
        <v>19</v>
      </c>
      <c r="GP43" s="55">
        <f>IF(OR(Исходн.данные.!F43=$CE$1,Исходн.данные.!F43=$CE$2,Исходн.данные.!F43=$CE$3,Исходн.данные.!F43=$CE$4,Исходн.данные.!F43=$CE$5),GQ43,GR43)</f>
        <v>19</v>
      </c>
      <c r="GQ43" s="55">
        <f>IF(Исходн.данные.!F43=$CE$1,28,IF(Исходн.данные.!F43=$CE$2,26,IF(Исходн.данные.!F43=$CE$3,24,IF(Исходн.данные.!F43=$CE$4,22,IF(Исходн.данные.!F43=$CE$5,20,GR43)))))</f>
        <v>19</v>
      </c>
      <c r="GR43" s="55">
        <f>IF(Исходн.данные.!F43=$CE$6,18,IF(Исходн.данные.!F43=$CE$7,16,IF(Исходн.данные.!F43=$CE$8,14,IF(Исходн.данные.!F43=$CE$9,13,IF(Исходн.данные.!F43=$CE$10,12,19)))))</f>
        <v>19</v>
      </c>
      <c r="GS43" s="55">
        <f>IF(Исходн.данные.!G43="Пес",0.035*(40+2*Исходн.данные.!H43),IF(Исходн.данные.!G43="Суп",0.0325*(40+2*Исходн.данные.!H43),0.03*(40+2*Исходн.данные.!H43)))</f>
        <v>1.2</v>
      </c>
      <c r="GT43" s="55">
        <f>IF(Исходн.данные.!H43&lt;23,2.6,IF(AND(Исходн.данные.!H43&gt;22,Исходн.данные.!H43&lt;26),3,IF(AND(Исходн.данные.!H43&gt;25,Исходн.данные.!H43&lt;29),3.4,3.6)))</f>
        <v>2.6</v>
      </c>
      <c r="GU43" s="55">
        <f>IF(Исходн.данные.!H43&lt;23,2.8,IF(AND(Исходн.данные.!H43&gt;22,Исходн.данные.!H43&lt;26),3.2,IF(AND(Исходн.данные.!H43&gt;25,Исходн.данные.!H43&lt;29),3.6,3.9)))</f>
        <v>2.8</v>
      </c>
      <c r="GV43" s="55">
        <f>IF(Исходн.данные.!H43&lt;23,3,IF(AND(Исходн.данные.!H43&gt;22,Исходн.данные.!H43&lt;26),3.5,IF(AND(Исходн.данные.!H43&gt;25,Исходн.данные.!H43&lt;29),3.9,4.2)))</f>
        <v>3</v>
      </c>
      <c r="GW43" s="55" t="e">
        <f>IF(Исходн.данные.!P43="Ум",GX43,GY43)</f>
        <v>#N/A</v>
      </c>
      <c r="GX43" s="55" t="e">
        <f>VLOOKUP(Исходн.данные.!AI43,Коэффициенты!$J$7:$L$13,2,FALSE)</f>
        <v>#N/A</v>
      </c>
      <c r="GY43" s="55" t="e">
        <f>VLOOKUP(Исходн.данные.!AI43,Коэффициенты!$J$7:$L$13,3,FALSE)</f>
        <v>#N/A</v>
      </c>
      <c r="GZ43" s="55" t="e">
        <f>(IF(Исходн.данные.!M43&lt;50,0.11*VLOOKUP(Исходн.данные.!AH43,Культуры.Информация,7,FALSE),IF(Исходн.данные.!M43&gt;250,0.05*VLOOKUP(Исходн.данные.!AH43,Культуры.Информация,7,FALSE),VLOOKUP(Исходн.данные.!AH43,Культуры.Информация,5,FALSE)/100*($GX$6+$GY$6*Исходн.данные.!M43))))*Расчет2!AI43</f>
        <v>#N/A</v>
      </c>
      <c r="HA43" s="211"/>
      <c r="HB43" s="211"/>
      <c r="HC43" s="55" t="e">
        <f>(IF(Исходн.данные.!O43&lt;80,0.2*VLOOKUP(Исходн.данные.!AH43,Культуры.Информация,8,FALSE),IF(Исходн.данные.!O43&gt;240,0.09*VLOOKUP(Исходн.данные.!AH43,Культуры.Информация,8,FALSE),VLOOKUP(Исходн.данные.!AH43,Культуры.Информация,6,FALSE)/100*($HB$6+$HC$6*Исходн.данные.!O43))))*Расчет2!AJ43</f>
        <v>#N/A</v>
      </c>
      <c r="HD43" s="55">
        <f>IF(Исходн.данные.!O43&gt;240,0.09,IF(Исходн.данные.!O43&lt;30,0.3,$HE$10+$HD$10*Исходн.данные.!O43))</f>
        <v>0.3</v>
      </c>
      <c r="HE43" s="55">
        <f>IF(Исходн.данные.!O43&gt;240,0.17,IF(Исходн.данные.!O43&lt;30,0.5,$HF$12+$HE$12*Исходн.данные.!O43))</f>
        <v>0.5</v>
      </c>
      <c r="HF43" s="55" t="e">
        <f>VLOOKUP(Исходн.данные.!AH43,Справ!$A$3:$D$58,2,FALSE)</f>
        <v>#N/A</v>
      </c>
      <c r="HG43" s="55" t="e">
        <f>VLOOKUP(Исходн.данные.!AH43,Справ!$A$3:$D$58,3,FALSE)</f>
        <v>#N/A</v>
      </c>
      <c r="HH43" s="55" t="e">
        <f>VLOOKUP(Исходн.данные.!AH43,Справ!$A$3:$D$58,4,FALSE)</f>
        <v>#N/A</v>
      </c>
      <c r="HI43" s="11" t="e">
        <f t="shared" si="117"/>
        <v>#N/A</v>
      </c>
      <c r="HJ43" s="11" t="e">
        <f t="shared" si="118"/>
        <v>#N/A</v>
      </c>
      <c r="HK43" s="11" t="e">
        <f t="shared" si="119"/>
        <v>#N/A</v>
      </c>
      <c r="HL43" s="55">
        <f>IF(OR(Исходн.данные.!G43="Глин",Исходн.данные.!G43="Т_суг"),1.1,IF(Исходн.данные.!G43="Ср_суг",1,1))</f>
        <v>1</v>
      </c>
      <c r="HM43" s="55">
        <f>IF(OR(Исходн.данные.!G43="Глин",Исходн.данные.!G43="Т_суг"),0.9,IF(Исходн.данные.!G43="Ср_суг",1,1.2))</f>
        <v>1.2</v>
      </c>
      <c r="HN43" s="11" t="e">
        <f t="shared" si="120"/>
        <v>#N/A</v>
      </c>
      <c r="HO43" s="11" t="e">
        <f t="shared" si="121"/>
        <v>#N/A</v>
      </c>
      <c r="HP43" s="11" t="e">
        <f t="shared" si="122"/>
        <v>#N/A</v>
      </c>
      <c r="HQ43" t="e">
        <f t="shared" si="123"/>
        <v>#N/A</v>
      </c>
      <c r="HR43" t="e">
        <f t="shared" si="124"/>
        <v>#N/A</v>
      </c>
      <c r="HS43" t="e">
        <f t="shared" si="125"/>
        <v>#N/A</v>
      </c>
      <c r="HT43" t="e">
        <f t="shared" si="21"/>
        <v>#N/A</v>
      </c>
      <c r="HU43" t="e">
        <f t="shared" si="22"/>
        <v>#N/A</v>
      </c>
      <c r="HV43" t="e">
        <f t="shared" si="23"/>
        <v>#N/A</v>
      </c>
      <c r="HW43" t="e">
        <f t="shared" si="24"/>
        <v>#N/A</v>
      </c>
      <c r="HX43" t="e">
        <f t="shared" si="25"/>
        <v>#N/A</v>
      </c>
      <c r="HY43" t="e">
        <f t="shared" si="26"/>
        <v>#N/A</v>
      </c>
      <c r="HZ43" s="55">
        <f>IF(OR(Исходн.данные.!AI43="Оз_Ч_П",Исходн.данные.!AI43="Оз_З_П",Исходн.данные.!AI43="Яр_зер"),12,30)</f>
        <v>30</v>
      </c>
      <c r="IA43" t="e">
        <f t="shared" si="126"/>
        <v>#N/A</v>
      </c>
      <c r="IB43" t="e">
        <f t="shared" si="127"/>
        <v>#N/A</v>
      </c>
      <c r="IC43" t="e">
        <f t="shared" si="128"/>
        <v>#N/A</v>
      </c>
      <c r="ID43" s="11" t="e">
        <f t="shared" si="129"/>
        <v>#N/A</v>
      </c>
      <c r="IE43" s="11" t="e">
        <f t="shared" si="130"/>
        <v>#N/A</v>
      </c>
      <c r="IF43" s="11" t="e">
        <f t="shared" si="131"/>
        <v>#N/A</v>
      </c>
    </row>
    <row r="44" spans="35:240" x14ac:dyDescent="0.2">
      <c r="AI44">
        <f>IF(Исходн.данные.!I44&gt;6,1,1.85-(0.148*Исходн.данные.!I44))</f>
        <v>1.85</v>
      </c>
      <c r="AJ44">
        <f>IF(Исходн.данные.!I44&gt;6,1,2.434-(0.246*Исходн.данные.!I44))</f>
        <v>2.4340000000000002</v>
      </c>
      <c r="AL44" s="148" t="b">
        <f>IF(Исходн.данные.!$P44="Ум",N_OrgUd_2g_um,IF(Исходн.данные.!$P44="Об",N_OrgUd_2g_ob))</f>
        <v>0</v>
      </c>
      <c r="AM44" s="148" t="b">
        <f>IF(Исходн.данные.!$P44="Ум",P_OrgUd_2g_um,IF(Исходн.данные.!$P44="Об",P_OrgUd_2g_ob))</f>
        <v>0</v>
      </c>
      <c r="AN44" s="148" t="b">
        <f>IF(Исходн.данные.!$P44="Ум",K_OrgUd_2g_um,IF(Исходн.данные.!$P44="Об",K_OrgUd_2g_ob))</f>
        <v>0</v>
      </c>
      <c r="AO44" s="148" t="b">
        <f>IF(Исходн.данные.!$P44="Ум",N_OrgUd_1g_um,IF(Исходн.данные.!$P44="Об",N_OrgUd_1g_ob))</f>
        <v>0</v>
      </c>
      <c r="AP44" s="148" t="b">
        <f>IF(Исходн.данные.!$P44="Ум",P_OrgUd_1g_um,IF(Исходн.данные.!$P44="Об",P_OrgUd_1g_ob))</f>
        <v>0</v>
      </c>
      <c r="AQ44" s="148" t="b">
        <f>IF(Исходн.данные.!$P44="Ум",K_OrgUd_1g_um,IF(Исходн.данные.!$P44="Об",K_OrgUd_1g_ob))</f>
        <v>0</v>
      </c>
      <c r="AR44" t="b">
        <f>IF(Исходн.данные.!$P44="Ум",N_MinUd_2g_um,IF(Исходн.данные.!$P44="Об",N_MinUd_2g_ob))</f>
        <v>0</v>
      </c>
      <c r="AS44" t="b">
        <f>IF(Исходн.данные.!$P44="Ум",P_MinUd_2g_um,IF(Исходн.данные.!$P44="Об",P_MinUd_2g_ob))</f>
        <v>0</v>
      </c>
      <c r="AT44" t="b">
        <f>IF(Исходн.данные.!$P44="Ум",K_MinUd_2g_um,IF(Исходн.данные.!$P44="Об",K_MinUd_2g_ob))</f>
        <v>0</v>
      </c>
      <c r="AU44" t="b">
        <f>IF(Исходн.данные.!$P44="Ум",N_MinUd_1g_um,IF(Исходн.данные.!$P44="Об",N_MinUd_1g_ob))</f>
        <v>0</v>
      </c>
      <c r="AV44" t="b">
        <f>IF(Исходн.данные.!P44="Ум",P_MinUd_1g_um,IF(Исходн.данные.!P44="Об",P_MinUd_1g_ob))</f>
        <v>0</v>
      </c>
      <c r="AW44" t="b">
        <f>IF(Исходн.данные.!P44="Ум",K_MinUd_1g_um,IF(Исходн.данные.!P44="Об",K_MinUd_1g_ob))</f>
        <v>0</v>
      </c>
      <c r="AY44" t="e">
        <f>VLOOKUP(Исходн.данные.!T44,Справ!$A$3:$N$57,12)</f>
        <v>#N/A</v>
      </c>
      <c r="AZ44" t="e">
        <f>VLOOKUP(Исходн.данные.!T44,Справ!$A$3:$N$57,13)</f>
        <v>#N/A</v>
      </c>
      <c r="BA44" t="e">
        <f>VLOOKUP(Исходн.данные.!T44,Справ!$A$3:$N$57,14)</f>
        <v>#N/A</v>
      </c>
      <c r="BB44">
        <f>IF(Исходн.данные.!AH44=0,0,25)</f>
        <v>0</v>
      </c>
      <c r="BC44" s="141">
        <f>IF(Исходн.данные.!AH44=0,0,IF(Исходн.данные.!T44=0,25,BD44))</f>
        <v>0</v>
      </c>
      <c r="BD44" s="168" t="e">
        <f>AY44+AZ44*Исходн.данные.!U44-POWER(BA44,2)*Исходн.данные.!U44</f>
        <v>#N/A</v>
      </c>
      <c r="BE4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4" s="25">
        <f>IF(Исходн.данные.!AH44=0,0,MIN(HN44:HP44))</f>
        <v>0</v>
      </c>
      <c r="BG44" s="9">
        <f>IF(Исходн.данные.!AH44=0,0,IF((HO44+10*0.25/HG44/HL44)&lt;17,17,HO44+10*0.25/HG44/HL44))</f>
        <v>0</v>
      </c>
      <c r="BH44" s="181">
        <f>IF(Исходн.данные.!AH44=0,0,HW44*HF44*HL44/AU44*AI44+Исходн.данные.!S44*10)</f>
        <v>0</v>
      </c>
      <c r="BI44" s="10"/>
      <c r="BJ44" s="182">
        <f>IF(Исходн.данные.!AH44=0,0,IF(HX44*HG44*HL44/AV44&lt;0,0,HX44*HG44*HL44/AV44*AJ44))</f>
        <v>0</v>
      </c>
      <c r="BK44" s="182">
        <f>IF(Исходн.данные.!AH44=0,0,HY44*HH44*HM44/AW44)</f>
        <v>0</v>
      </c>
      <c r="BL44" s="10">
        <f>IF(OR(Исходн.данные.!$AH44=$BP$1,Исходн.данные.!$AH44=$BP$2),0,IF(BH44&lt;0,0,IF(OR(Исходн.данные.!T44=Расчет!$BP$1,Исходн.данные.!T44=Расчет!$BP$2,Исходн.данные.!T44=Расчет!$BT$5,Исходн.данные.!T44=Расчет!$BT$6),BH44*0.5,IF(OR(Исходн.данные.!T44=Расчет!$BS$9,Исходн.данные.!T44=Расчет!$BS$10,Исходн.данные.!T44=Расчет!$BS$11,Исходн.данные.!T44=Расчет!$BS$12,Исходн.данные.!T44=Расчет!$BP$5),BH44*0.8,BH44))))</f>
        <v>0</v>
      </c>
      <c r="BM44" s="10">
        <f>IF(OR(Исходн.данные.!$AH44=$BP$1,Исходн.данные.!$AH44=$BP$2),0,IF(BJ44&lt;0,0,IF(Исходн.данные.!I44&lt;4.5,BJ44*1.2,IF(Исходн.данные.!I44&gt;5.1,BJ44,BJ44*((5.1-Исходн.данные.!I44)*0.333+1)))))</f>
        <v>0</v>
      </c>
      <c r="BN44" s="10">
        <f>IF(OR(Исходн.данные.!$AH44=$BP$1,Исходн.данные.!$AH44=$BP$2),60-Исходн.данные.!AF44,IF(BK44&lt;0,0,IF(Исходн.данные.!I44&lt;4.5,BK44*1.2,IF(Исходн.данные.!I44&gt;5.1,BK44,BK44*((5.1-Исходн.данные.!I44)*0.333+1)))))</f>
        <v>0</v>
      </c>
      <c r="BO44" s="9">
        <f>IF(BL44&lt;0,0,BL44*Исходн.данные.!$AJ44/1000)</f>
        <v>0</v>
      </c>
      <c r="BP44" s="9">
        <f>IF(BM44&lt;0,0,BM44*Исходн.данные.!$AJ44/1000)</f>
        <v>0</v>
      </c>
      <c r="BQ44" s="9">
        <f>IF(BN44&lt;0,0,BN44*Исходн.данные.!$AJ44/1000)</f>
        <v>0</v>
      </c>
      <c r="BR44" s="9">
        <f t="shared" si="81"/>
        <v>0</v>
      </c>
      <c r="BS44" s="10" t="str">
        <f t="shared" si="82"/>
        <v>Аммофос 12:52:00</v>
      </c>
      <c r="BT44" s="10" t="str">
        <f t="shared" si="83"/>
        <v>Аммофос 12:52:00</v>
      </c>
      <c r="BU44" s="10" t="str">
        <f t="shared" si="84"/>
        <v>Диаммофоска</v>
      </c>
      <c r="BV44" s="10">
        <f t="shared" si="85"/>
        <v>0</v>
      </c>
      <c r="BW44" s="10"/>
      <c r="BX44" s="10"/>
      <c r="BY44" s="9">
        <f>IF(BL44&lt;0,0,IF(OR(Исходн.данные.!AI44=Расчет!$BU$6,Исходн.данные.!AI44=Расчет!$BU$7),Расчет!BV44,IF(Исходн.данные.!$AG44=$BV$11,BL44,IF(OR(Исходн.данные.!$AH44=$BQ$7,Исходн.данные.!$AH44=$BQ$8),CB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0,IF(Исходн.данные.!$AI44=$BU$11,"Нет",IF(BL44&gt;30,30,BL44)))))))</f>
        <v>0</v>
      </c>
      <c r="BZ44" s="9">
        <f>IF(AND(Исходн.данные.!$AG44=$BV$11,BM44&lt;10),10,IF(Исходн.данные.!$AG44=$BV$11,BM44,IF(OR(Исходн.данные.!$AH44=$BQ$7,Исходн.данные.!$AH44=$BQ$8),CC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10,IF(Исходн.данные.!$AI44=$BU$11,"Нет",IF(BM44&gt;60,60,IF(BM44&lt;10,10,BM44)))))))</f>
        <v>10</v>
      </c>
      <c r="CA44" s="39">
        <f>IF(BN44&lt;0,0,IF(Исходн.данные.!$AG44=$BV$11,BN44,IF(OR(Исходн.данные.!$AH44=$BQ$7,Исходн.данные.!$AH44=$BQ$8),CD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0,IF(Исходн.данные.!$AI44=$BU$11,"Нет",IF(BN44&gt;30,30,BN44))))))</f>
        <v>0</v>
      </c>
      <c r="CB44" s="9">
        <f t="shared" si="86"/>
        <v>0</v>
      </c>
      <c r="CC44" s="9">
        <f t="shared" si="87"/>
        <v>0</v>
      </c>
      <c r="CD44" s="9">
        <f t="shared" si="88"/>
        <v>0</v>
      </c>
      <c r="CE44" s="12">
        <f t="shared" si="89"/>
        <v>10</v>
      </c>
      <c r="CF44" s="9">
        <f t="shared" si="90"/>
        <v>0</v>
      </c>
      <c r="CG44" s="9" t="s">
        <v>231</v>
      </c>
      <c r="CH44" s="132" t="str">
        <f>IF(Исходн.данные.!AP44=Расчет!$CI$16,"Нет",IF(Исходн.данные.!AL44&gt;0,Исходн.данные.!AL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BH$4,IF(OR(Исходн.данные.!AI44=Исходн.данные.!$AI$6,Исходн.данные.!AI44=Исходн.данные.!$AI$7),Расчет!BS44,IF(AND($CF44=0,$CE44&gt;0),EV44,ER44)))))</f>
        <v>Аммофос 12:52:00</v>
      </c>
      <c r="CI44" s="274">
        <f>IF(Расчет!$CH44="Нет","Нет",IF(Исходн.данные.!$AL44&gt;0,VLOOKUP(Расчет!$CH44,АшламаДВ_Irekle,2,FALSE),VLOOKUP(Расчет!$CH44,АшламаДВ_Gomumy,2,FALSE)))</f>
        <v>0.12</v>
      </c>
      <c r="CJ44" s="274">
        <f>IF(Расчет!$CH44="Нет","Нет",IF(Исходн.данные.!$AL44&gt;0,VLOOKUP(Расчет!$CH44,АшламаДВ_Irekle,3,FALSE),VLOOKUP(Расчет!$CH44,АшламаДВ_Gomumy,3,FALSE)))</f>
        <v>0.52</v>
      </c>
      <c r="CK44" s="274">
        <f>IF(Расчет!$CH44="Нет","Нет",IF(Исходн.данные.!$AL44&gt;0,VLOOKUP(Расчет!$CH44,АшламаДВ_Irekle,4,FALSE),VLOOKUP(Расчет!$CH44,АшламаДВ_Gomumy,4,FALSE)))</f>
        <v>0</v>
      </c>
      <c r="CL44" s="70"/>
      <c r="CM44" s="70"/>
      <c r="CN44" s="70"/>
      <c r="CO44" s="70"/>
      <c r="CP44" s="70"/>
      <c r="CQ44" s="70"/>
      <c r="CR44" s="10">
        <f t="shared" si="91"/>
        <v>0</v>
      </c>
      <c r="CS44" s="10">
        <f t="shared" si="92"/>
        <v>19.23076923076923</v>
      </c>
      <c r="CT44" s="10">
        <f t="shared" si="93"/>
        <v>0</v>
      </c>
      <c r="CU44" s="39">
        <f>IF($CH44="Нет",0,IF(CI44=0,30/MIN(CJ44:CK44),IF(Исходн.данные.!$AG44=$BV$11,CR44,IF(OR(Исходн.данные.!$AH44=$BQ$7,Исходн.данные.!$AH44=$BQ$8),90/CI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0,IF(Исходн.данные.!$AI44=$BU$11,"Нет",30/CI44))))))</f>
        <v>250</v>
      </c>
      <c r="CV44" s="39">
        <f>IF($CH44="Нет",0,IF(Исходн.данные.!AH44=0,0,IF(CJ44=0,60/MIN(CI44,CK44),IF(Исходн.данные.!$AG44=$BV$11,CS44,IF(OR(Исходн.данные.!$AH44=$BQ$7,Исходн.данные.!$AH44=$BQ$8),90/CJ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10/CJ44,IF(Исходн.данные.!$AI44=$BU$11,"Нет",60/CJ44)))))))</f>
        <v>0</v>
      </c>
      <c r="CW44" s="39">
        <f>IF($CH44="Нет",0,IF(Исходн.данные.!AH44=0,0,IF(CK44=0,30/MIN(CI44:CJ44),IF(Исходн.данные.!$AG44=$BV$11,CT44,IF(OR(Исходн.данные.!$AH44=$BQ$7,Исходн.данные.!$AH44=$BQ$8),90/CK44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0,IF(Исходн.данные.!$AI44=$BU$11,"Нет",30/CK44)))))))</f>
        <v>0</v>
      </c>
      <c r="CX44" s="133">
        <f>IF(Исходн.данные.!$AG44=$BV$11,MAX(CU44:CW44),IF(OR(Исходн.данные.!$AH44=$BS$8,Исходн.данные.!$AH44=$BQ$9,Исходн.данные.!$AH44=$BQ$10,Исходн.данные.!$AH44=$BQ$11,Исходн.данные.!$AH44=$BQ$12,Исходн.данные.!$AH44=$BP$3,Исходн.данные.!$AH44=$BT$8,$FM44="Да"),CV44,MIN(CU44:CW44)))</f>
        <v>0</v>
      </c>
      <c r="CY44" s="133">
        <f>IF(Исходн.данные.!AH44=0,0,IF(CR44&gt;$CX44,$CX44,CR44))</f>
        <v>0</v>
      </c>
      <c r="CZ44" s="133">
        <f>IF(Исходн.данные.!AH44=0,0,IF(CS44&gt;$CX44,$CX44,CS44))</f>
        <v>0</v>
      </c>
      <c r="DA44" s="133">
        <f>IF(Исходн.данные.!AH44=0,0,IF(CT44&gt;$CX44,$CX44,CT44))</f>
        <v>0</v>
      </c>
      <c r="DB44" s="10">
        <f t="shared" si="94"/>
        <v>0</v>
      </c>
      <c r="DC44" s="39">
        <f>DB44*Исходн.данные.!AJ44/1000</f>
        <v>0</v>
      </c>
      <c r="DD44" s="71">
        <f t="shared" si="95"/>
        <v>0</v>
      </c>
      <c r="DE44" s="9">
        <f t="shared" si="96"/>
        <v>0</v>
      </c>
      <c r="DF44" s="9">
        <f t="shared" si="97"/>
        <v>0</v>
      </c>
      <c r="DG44" s="39">
        <f>IF(BL44&lt;0,0,IF($CH44="Нет",BL44,IF(OR(Исходн.данные.!$AH44=$BP$1,Исходн.данные.!$AH44=$BP$2),0,IF(Исходн.данные.!AI44=$BU$11,BL44,IF(BL44-DD44&lt;0,0,BL44-DD44)))))</f>
        <v>0</v>
      </c>
      <c r="DH44" s="39">
        <f>IF(BM44&lt;0,0,IF($CH44="Нет",BM44,IF(OR(Исходн.данные.!$AH44=$BP$1,Исходн.данные.!$AH44=$BP$2),0,IF(Исходн.данные.!AJ44=$BU$11,BM44,IF(BM44-DE44&lt;0,0,BM44-DE44)))))</f>
        <v>0</v>
      </c>
      <c r="DI44" s="39">
        <f>IF(BN44&lt;0,0,IF($CH44="Нет",BN44,IF(OR(Исходн.данные.!$AH44=$BP$1,Исходн.данные.!$AH44=$BP$2),0,IF(Исходн.данные.!AK44=$BU$11,BN44,IF(BN44-DF44&lt;0,0,BN44-DF44)))))</f>
        <v>0</v>
      </c>
      <c r="DJ44" s="12">
        <f t="shared" si="98"/>
        <v>0</v>
      </c>
      <c r="DK44" s="9">
        <f t="shared" si="99"/>
        <v>0</v>
      </c>
      <c r="DL44" s="39">
        <f>IF(Исходн.данные.!AM44&gt;0,Исходн.данные.!AM44,IF(EG44&gt;0,$BH$10,0))</f>
        <v>0</v>
      </c>
      <c r="DM44" s="186">
        <f>IF($DL44=0,0,IF(Исходн.данные.!AM44&gt;0,VLOOKUP($DL44,АшламаДВ_Irekle,2,FALSE),VLOOKUP($DL44,АшламаДВ_Gomumy,2,FALSE)))</f>
        <v>0</v>
      </c>
      <c r="DN44" s="10">
        <f t="shared" si="46"/>
        <v>0</v>
      </c>
      <c r="DO44" s="9" t="str">
        <f>IF(Исходн.данные.!AN44&gt;0,Исходн.данные.!AN44,Удобрения!$B$37 )</f>
        <v>Хлор.калий</v>
      </c>
      <c r="DP44" s="9">
        <f>IF(Исходн.данные.!AN44&gt;0,VLOOKUP(Исходн.данные.!AN44,АшламаДВ_Irekle,4,FALSE),VLOOKUP(DO44,АшламаДВ_Gomumy,4,FALSE))</f>
        <v>0.6</v>
      </c>
      <c r="DQ44" s="10">
        <f t="shared" si="47"/>
        <v>0</v>
      </c>
      <c r="DR44" s="132" t="str">
        <f>IF(Исходн.данные.!AO44&gt;0,Исходн.данные.!AO44,IF(DH44=0,BS$17,IF(AND($DK44=0,$DJ44&gt;0),EJ44,EN44)))</f>
        <v>Нет</v>
      </c>
      <c r="DS44" s="70" t="str">
        <f>IF($DR44="Нет","Нет",IF(Исходн.данные.!$AO44&gt;0,VLOOKUP($DR44,АшламаДВ_Irekle,2,FALSE),VLOOKUP($DR44,АшламаДВ_Gomumy,2,FALSE)))</f>
        <v>Нет</v>
      </c>
      <c r="DT44" s="70" t="str">
        <f>IF($DR44="Нет","Нет",IF(Исходн.данные.!$AO44&gt;0,VLOOKUP($DR44,АшламаДВ_Irekle,3,FALSE),VLOOKUP($DR44,АшламаДВ_Gomumy,3,FALSE)))</f>
        <v>Нет</v>
      </c>
      <c r="DU44" s="70" t="str">
        <f>IF($DR44="Нет","Нет",IF(Исходн.данные.!$AO44&gt;0,VLOOKUP($DR44,АшламаДВ_Irekle,4,FALSE),VLOOKUP($DR44,АшламаДВ_Gomumy,4,FALSE)))</f>
        <v>Нет</v>
      </c>
      <c r="DV44" s="70"/>
      <c r="DW44" s="70"/>
      <c r="DX44" s="70"/>
      <c r="DY44" s="10">
        <f t="shared" si="100"/>
        <v>0</v>
      </c>
      <c r="DZ44" s="10">
        <f t="shared" si="101"/>
        <v>0</v>
      </c>
      <c r="EA44" s="10">
        <f t="shared" si="102"/>
        <v>0</v>
      </c>
      <c r="EB44" s="10">
        <f t="shared" si="103"/>
        <v>0</v>
      </c>
      <c r="EC44" s="10">
        <f t="shared" si="104"/>
        <v>0</v>
      </c>
      <c r="ED44" s="10">
        <f t="shared" si="105"/>
        <v>0</v>
      </c>
      <c r="EE44" s="10">
        <f t="shared" si="106"/>
        <v>0</v>
      </c>
      <c r="EF44" s="39">
        <f>EB44*Исходн.данные.!AJ44/1000</f>
        <v>0</v>
      </c>
      <c r="EG44" s="9">
        <f t="shared" si="107"/>
        <v>0</v>
      </c>
      <c r="EH44" s="9">
        <f t="shared" si="108"/>
        <v>0</v>
      </c>
      <c r="EI44" s="39" t="e">
        <f t="shared" si="7"/>
        <v>#DIV/0!</v>
      </c>
      <c r="EJ44" s="9" t="str">
        <f t="shared" si="8"/>
        <v>Азопреципитат</v>
      </c>
      <c r="EK44" s="12">
        <f t="shared" si="9"/>
        <v>0.26</v>
      </c>
      <c r="EL44" s="12">
        <f t="shared" si="10"/>
        <v>0.13</v>
      </c>
      <c r="EM44" s="12">
        <f t="shared" si="11"/>
        <v>0</v>
      </c>
      <c r="EN44" s="12" t="str">
        <f t="shared" si="57"/>
        <v>Нет</v>
      </c>
      <c r="EO44" s="12">
        <f t="shared" si="12"/>
        <v>0</v>
      </c>
      <c r="EP44" s="12">
        <f t="shared" si="13"/>
        <v>0</v>
      </c>
      <c r="EQ44" s="12">
        <f t="shared" si="14"/>
        <v>0</v>
      </c>
      <c r="ER44" s="12" t="str">
        <f t="shared" si="109"/>
        <v>Диаммофоска</v>
      </c>
      <c r="ES44" s="12">
        <f t="shared" si="15"/>
        <v>0.1</v>
      </c>
      <c r="ET44" s="12">
        <f t="shared" si="16"/>
        <v>0.26</v>
      </c>
      <c r="EU44" s="12">
        <f t="shared" si="17"/>
        <v>0.26</v>
      </c>
      <c r="EV44" s="12" t="str">
        <f t="shared" si="110"/>
        <v>Аммофос 12:52:00</v>
      </c>
      <c r="EW44" s="12" t="str">
        <f t="shared" si="111"/>
        <v>Кемира Свекловичное-6</v>
      </c>
      <c r="EX44" s="12">
        <f t="shared" si="18"/>
        <v>0.16</v>
      </c>
      <c r="EY44" s="12">
        <f t="shared" si="19"/>
        <v>0.12</v>
      </c>
      <c r="EZ44" s="12">
        <f t="shared" si="20"/>
        <v>0.17</v>
      </c>
      <c r="FA44" s="38" t="e">
        <f>IF(AND(OR(FJ44=$FD$1,FM44=$FD$1,FO44=$FD$1,FQ44=$FD$1,FS44=$FD$1),FD44=$FD$1,Исходн.данные.!J44&lt;2,FU44=$FD$1),"Бор,Кобальт",IF(AND(FO44=$FD$1,FH44=$FD$1,Исходн.данные.!J44&lt;2,FU44=$FD$1),"Бор,Кобальт",IF(AND(OR(FJ44=$FD$1,FM44=$FD$1,FQ44=$FD$1),FE44=$FD$1,Исходн.данные.!J44&lt;2,FT44=$FD$1,FU44=$FD$1),"Бор,Медь,Цинк",IF(AND(OR(FJ44=$FD$1,FR44="Да"),FI44="Да",Исходн.данные.!J44&lt;2,FT44="Да",FU44="Да"),"Бор,Цинк,Медь",IF(AND(OR(FM44="Да",FQ44="Да"),FI44="Да",Исходн.данные.!J44&lt;2,FT44="Да",FU44="Да"),"Бор,Цинк",IF(AND(FN44="Да",OR(FD44="Да",FE44="Да")),"Бор",FB44))))))</f>
        <v>#N/A</v>
      </c>
      <c r="FB44" s="134" t="e">
        <f>IF(AND(OR(FD44="Да",FE44="Да",FF44="Да",FG44="Да",FH44="Да"),FO44="Да"),"Бор",IF(AND(FP44="Да",OR(FD44="Да",FE44="Да",FI44="Да")),"Бор",IF(AND(FS44="Да",FE44="Да"),"Бор,Медь",IF(AND(OR(FJ44="Да",FK44="Да",FL44="Да"),FE44="Да",Исходн.данные.!I44&lt;5,FT44="Да",FU44="Да"),"Молибден,Цинк",IF(AND(FM44="Да",OR(FE44="Да",FF44="Да",FG44="Да",FH44="Да",FI44="Да")),"Молибден,Цинк",IF(AND(OR(FJ44="Да",FK44="Да",FL44="Да",FM44="Да",FQ44="Да"),OR(FE44="Да",FF44="Да"),FT44="Да",FU44="Да",Исходн.данные.!I44&gt;5.5),"Медь,Цинк",FC44))))))</f>
        <v>#N/A</v>
      </c>
      <c r="FC44" s="23" t="e">
        <f t="shared" si="112"/>
        <v>#N/A</v>
      </c>
      <c r="FD44" s="38" t="str">
        <f>IF(OR(Исходн.данные.!F44=$CC$1,Исходн.данные.!F44=$CC$2,Исходн.данные.!F44=$CC$3,Исходн.данные.!F44=$CC$4),"Да","Нет")</f>
        <v>Нет</v>
      </c>
      <c r="FE44" s="38" t="str">
        <f>IF(Исходн.данные.!F44=$CC$5,"Да","Нет")</f>
        <v>Нет</v>
      </c>
      <c r="FF44" s="38" t="str">
        <f>IF(OR(Исходн.данные.!F44=$CC$6,Исходн.данные.!F44=$CC$7),"Да","Нет")</f>
        <v>Нет</v>
      </c>
      <c r="FG44" s="38" t="str">
        <f>IF(OR(Исходн.данные.!F44=$CC$8,Исходн.данные.!F44=$CC$9),"Да","Нет")</f>
        <v>Нет</v>
      </c>
      <c r="FH44" s="38" t="str">
        <f>IF(Исходн.данные.!F44=$CC$10,"Да","Нет")</f>
        <v>Нет</v>
      </c>
      <c r="FI44" s="38" t="str">
        <f>IF(OR(Исходн.данные.!F44=$CC$11,Исходн.данные.!F44=$CC$12),"Да","Нет")</f>
        <v>Нет</v>
      </c>
      <c r="FJ44" s="38" t="str">
        <f>IF(OR(Исходн.данные.!AH44=$BS$1,Исходн.данные.!AH44=$BQ$11,Исходн.данные.!AH44=$BQ$12),"Да","Нет")</f>
        <v>Нет</v>
      </c>
      <c r="FK44" s="38" t="str">
        <f>IF(OR(Исходн.данные.!AH44=$BS$2,Исходн.данные.!AH44=$BS$4),"Да","Нет")</f>
        <v>Нет</v>
      </c>
      <c r="FL44" s="38" t="str">
        <f>IF(OR(Исходн.данные.!AH44=$BS$3,Исходн.данные.!AH44=$BS$5),"Да","Нет")</f>
        <v>Нет</v>
      </c>
      <c r="FM44" s="38" t="str">
        <f>IF(OR(Исходн.данные.!AH44=$BS$9,Исходн.данные.!AH44=$BS$10,Исходн.данные.!AH44=$BS$11,Исходн.данные.!AH44=$BS$12),"Да","Нет")</f>
        <v>Нет</v>
      </c>
      <c r="FN44" s="38" t="str">
        <f>IF(OR(Исходн.данные.!AH44=$BS$6,Исходн.данные.!AH44=$BP$3),"Да","Нет")</f>
        <v>Нет</v>
      </c>
      <c r="FO44" s="38" t="str">
        <f>IF(Исходн.данные.!AH44=$BQ$9,"Да","Нет")</f>
        <v>Нет</v>
      </c>
      <c r="FP44" s="38" t="str">
        <f>IF(OR(Исходн.данные.!AH44=$BS$8,Исходн.данные.!AH44=$BT$8),"Да","Нет")</f>
        <v>Нет</v>
      </c>
      <c r="FQ44" s="38" t="str">
        <f>IF(OR(Исходн.данные.!AH44=$BQ$7,Исходн.данные.!AH44=$BQ$8),"Да","Нет")</f>
        <v>Нет</v>
      </c>
      <c r="FR44" s="38" t="str">
        <f>IF(Исходн.данные.!AI44=$BU$9,"Да","Нет")</f>
        <v>Нет</v>
      </c>
      <c r="FS44" s="38" t="str">
        <f>IF(OR(Исходн.данные.!AH44=$BP$1,Исходн.данные.!AH44=$BP$2),"Да","Нет")</f>
        <v>Нет</v>
      </c>
      <c r="FT44" s="38" t="e">
        <f>IF((Исходн.данные.!K44*GO44*GS44*GW44+BL44*0.6+Исходн.данные.!Q44*4.5*0.275)&gt;90,"Да","Нет")</f>
        <v>#N/A</v>
      </c>
      <c r="FU44" s="38" t="e">
        <f>IF((Исходн.данные.!M44*GS44*GZ44+BM44*0.225)&gt;35,"Да","Нет")</f>
        <v>#N/A</v>
      </c>
      <c r="FV44" s="38" t="str">
        <f>IF(Исходн.данные.!O44&gt;175,"Да","Нет")</f>
        <v>Нет</v>
      </c>
      <c r="FW44" s="39" t="str">
        <f>IF(Исходн.данные.!I44&gt;5.5,"Да","Нет")</f>
        <v>Нет</v>
      </c>
      <c r="FX44" s="39" t="str">
        <f>IF(Исходн.данные.!J44&lt;2,"Да","Нет")</f>
        <v>Да</v>
      </c>
      <c r="FY44" s="39" t="e">
        <f>IF(HF44=$FY$16,0,Исходн.данные.!K44*GO44*GS44*GW44/HF44)</f>
        <v>#N/A</v>
      </c>
      <c r="FZ44" s="39" t="e">
        <f>Исходн.данные.!M44*GS44*GZ44/HG44</f>
        <v>#N/A</v>
      </c>
      <c r="GA44" s="39" t="e">
        <f>IF(K_Wyn=$FY$16,0,IF(Исходн.данные.!N44=Исходн.данные.!$L$10,Исходн.данные.!O44/1.1*GS44*HC44/HH44,IF(Исходн.данные.!N44=Исходн.данные.!$L$12,Исходн.данные.!O44/1.5*GS44*HC44/HH44,Исходн.данные.!O44*GS44*HC44/HH44)))</f>
        <v>#N/A</v>
      </c>
      <c r="GB44" s="39" t="e">
        <f>IF(HF44=$FY$16,0,((Исходн.данные.!Q44*N_Org+Исходн.данные.!R44*N_Sider+Исходн.данные.!S44*N_Soloma)*AO44+Расчет!BC44*VLOOKUP(Исходн.данные.!T44,Справ!$A$3:$O$57,15)*AO44+BB44*VLOOKUP(Исходн.данные.!T44,Справ!$A$3:$O$57,15)*AL44+(Исходн.данные.!V44*N_Rizotorf+Исходн.данные.!W44*N_Rizoagr))/HF44)</f>
        <v>#N/A</v>
      </c>
      <c r="GC44" s="39" t="e">
        <f>IF(HG44=$FY$16,0,((Исходн.данные.!Q44*Р_Org+Исходн.данные.!R44*P_Sider+Исходн.данные.!S44*P_Soloma)*AP44+Расчет!BC44*VLOOKUP(Исходн.данные.!T44,Справ!$A$3:$P$57,16)*AP44+BB44*VLOOKUP(Исходн.данные.!T44,Справ!$A$3:$P$57,16)*AM44)/HG44)</f>
        <v>#N/A</v>
      </c>
      <c r="GD44" s="39" t="e">
        <f>IF(HH44=$FY$16,0,((Исходн.данные.!Q44*К_Org+Исходн.данные.!R44*K_Sider+Исходн.данные.!S44*K_Soloma)*AQ44+Расчет!BC44*VLOOKUP(Исходн.данные.!T44,Справ!$A$3:$Q$57,17)*AQ44+BB44*VLOOKUP(Исходн.данные.!T44,Справ!$A$3:$Q$57,17)*AN44)/HH44)</f>
        <v>#N/A</v>
      </c>
      <c r="GE44" s="39" t="e">
        <f>IF(HF44=$FY$16,0,(Исходн.данные.!X44*AR44+Исходн.данные.!AA44*N_Org*AL44+Исходн.данные.!AB44*N_Sider*AL44+Исходн.данные.!AC44*N_Soloma*AL44)/HF44)</f>
        <v>#N/A</v>
      </c>
      <c r="GF44" s="39" t="e">
        <f>IF(HG44=$FY$16,0,(Исходн.данные.!Y44*AS44+Исходн.данные.!AA44*Р_Org*AM44+Исходн.данные.!AB44*P_Sider*AM44+Исходн.данные.!AC44*P_Soloma*AM44)/HG44)</f>
        <v>#N/A</v>
      </c>
      <c r="GG44" s="39" t="e">
        <f>IF(HH44=$FY$16,0,(Исходн.данные.!Z44*AT44+Исходн.данные.!AA44*К_Org*AN44+Исходн.данные.!AB44*K_Sider*AN44+Исходн.данные.!AC44*K_Soloma*AN44)/HH44)</f>
        <v>#N/A</v>
      </c>
      <c r="GH44" s="39" t="e">
        <f>Исходн.данные.!AD44*AU44/HF44</f>
        <v>#N/A</v>
      </c>
      <c r="GI44" s="39" t="e">
        <f>Исходн.данные.!AE44*AV44/HG44</f>
        <v>#N/A</v>
      </c>
      <c r="GJ44" s="39" t="e">
        <f>Исходн.данные.!AF44*AW44/HH44</f>
        <v>#N/A</v>
      </c>
      <c r="GK44" s="55">
        <f>Исходн.данные.!AK44</f>
        <v>0</v>
      </c>
      <c r="GL44" s="11" t="e">
        <f t="shared" si="113"/>
        <v>#N/A</v>
      </c>
      <c r="GM44" s="11" t="e">
        <f t="shared" si="114"/>
        <v>#N/A</v>
      </c>
      <c r="GN44" s="11" t="e">
        <f t="shared" si="115"/>
        <v>#N/A</v>
      </c>
      <c r="GO44" s="57">
        <f t="shared" si="116"/>
        <v>19</v>
      </c>
      <c r="GP44" s="55">
        <f>IF(OR(Исходн.данные.!F44=$CE$1,Исходн.данные.!F44=$CE$2,Исходн.данные.!F44=$CE$3,Исходн.данные.!F44=$CE$4,Исходн.данные.!F44=$CE$5),GQ44,GR44)</f>
        <v>19</v>
      </c>
      <c r="GQ44" s="55">
        <f>IF(Исходн.данные.!F44=$CE$1,28,IF(Исходн.данные.!F44=$CE$2,26,IF(Исходн.данные.!F44=$CE$3,24,IF(Исходн.данные.!F44=$CE$4,22,IF(Исходн.данные.!F44=$CE$5,20,GR44)))))</f>
        <v>19</v>
      </c>
      <c r="GR44" s="55">
        <f>IF(Исходн.данные.!F44=$CE$6,18,IF(Исходн.данные.!F44=$CE$7,16,IF(Исходн.данные.!F44=$CE$8,14,IF(Исходн.данные.!F44=$CE$9,13,IF(Исходн.данные.!F44=$CE$10,12,19)))))</f>
        <v>19</v>
      </c>
      <c r="GS44" s="55">
        <f>IF(Исходн.данные.!G44="Пес",0.035*(40+2*Исходн.данные.!H44),IF(Исходн.данные.!G44="Суп",0.0325*(40+2*Исходн.данные.!H44),0.03*(40+2*Исходн.данные.!H44)))</f>
        <v>1.2</v>
      </c>
      <c r="GT44" s="55">
        <f>IF(Исходн.данные.!H44&lt;23,2.6,IF(AND(Исходн.данные.!H44&gt;22,Исходн.данные.!H44&lt;26),3,IF(AND(Исходн.данные.!H44&gt;25,Исходн.данные.!H44&lt;29),3.4,3.6)))</f>
        <v>2.6</v>
      </c>
      <c r="GU44" s="55">
        <f>IF(Исходн.данные.!H44&lt;23,2.8,IF(AND(Исходн.данные.!H44&gt;22,Исходн.данные.!H44&lt;26),3.2,IF(AND(Исходн.данные.!H44&gt;25,Исходн.данные.!H44&lt;29),3.6,3.9)))</f>
        <v>2.8</v>
      </c>
      <c r="GV44" s="55">
        <f>IF(Исходн.данные.!H44&lt;23,3,IF(AND(Исходн.данные.!H44&gt;22,Исходн.данные.!H44&lt;26),3.5,IF(AND(Исходн.данные.!H44&gt;25,Исходн.данные.!H44&lt;29),3.9,4.2)))</f>
        <v>3</v>
      </c>
      <c r="GW44" s="55" t="e">
        <f>IF(Исходн.данные.!P44="Ум",GX44,GY44)</f>
        <v>#N/A</v>
      </c>
      <c r="GX44" s="55" t="e">
        <f>VLOOKUP(Исходн.данные.!AI44,Коэффициенты!$J$7:$L$13,2,FALSE)</f>
        <v>#N/A</v>
      </c>
      <c r="GY44" s="55" t="e">
        <f>VLOOKUP(Исходн.данные.!AI44,Коэффициенты!$J$7:$L$13,3,FALSE)</f>
        <v>#N/A</v>
      </c>
      <c r="GZ44" s="55" t="e">
        <f>(IF(Исходн.данные.!M44&lt;50,0.11*VLOOKUP(Исходн.данные.!AH44,Культуры.Информация,7,FALSE),IF(Исходн.данные.!M44&gt;250,0.05*VLOOKUP(Исходн.данные.!AH44,Культуры.Информация,7,FALSE),VLOOKUP(Исходн.данные.!AH44,Культуры.Информация,5,FALSE)/100*($GX$6+$GY$6*Исходн.данные.!M44))))*Расчет2!AI44</f>
        <v>#N/A</v>
      </c>
      <c r="HA44" s="211"/>
      <c r="HB44" s="211"/>
      <c r="HC44" s="55" t="e">
        <f>(IF(Исходн.данные.!O44&lt;80,0.2*VLOOKUP(Исходн.данные.!AH44,Культуры.Информация,8,FALSE),IF(Исходн.данные.!O44&gt;240,0.09*VLOOKUP(Исходн.данные.!AH44,Культуры.Информация,8,FALSE),VLOOKUP(Исходн.данные.!AH44,Культуры.Информация,6,FALSE)/100*($HB$6+$HC$6*Исходн.данные.!O44))))*Расчет2!AJ44</f>
        <v>#N/A</v>
      </c>
      <c r="HD44" s="55">
        <f>IF(Исходн.данные.!O44&gt;240,0.09,IF(Исходн.данные.!O44&lt;30,0.3,$HE$10+$HD$10*Исходн.данные.!O44))</f>
        <v>0.3</v>
      </c>
      <c r="HE44" s="55">
        <f>IF(Исходн.данные.!O44&gt;240,0.17,IF(Исходн.данные.!O44&lt;30,0.5,$HF$12+$HE$12*Исходн.данные.!O44))</f>
        <v>0.5</v>
      </c>
      <c r="HF44" s="55" t="e">
        <f>VLOOKUP(Исходн.данные.!AH44,Справ!$A$3:$D$58,2,FALSE)</f>
        <v>#N/A</v>
      </c>
      <c r="HG44" s="55" t="e">
        <f>VLOOKUP(Исходн.данные.!AH44,Справ!$A$3:$D$58,3,FALSE)</f>
        <v>#N/A</v>
      </c>
      <c r="HH44" s="55" t="e">
        <f>VLOOKUP(Исходн.данные.!AH44,Справ!$A$3:$D$58,4,FALSE)</f>
        <v>#N/A</v>
      </c>
      <c r="HI44" s="11" t="e">
        <f t="shared" si="117"/>
        <v>#N/A</v>
      </c>
      <c r="HJ44" s="11" t="e">
        <f t="shared" si="118"/>
        <v>#N/A</v>
      </c>
      <c r="HK44" s="11" t="e">
        <f t="shared" si="119"/>
        <v>#N/A</v>
      </c>
      <c r="HL44" s="55">
        <f>IF(OR(Исходн.данные.!G44="Глин",Исходн.данные.!G44="Т_суг"),1.1,IF(Исходн.данные.!G44="Ср_суг",1,1))</f>
        <v>1</v>
      </c>
      <c r="HM44" s="55">
        <f>IF(OR(Исходн.данные.!G44="Глин",Исходн.данные.!G44="Т_суг"),0.9,IF(Исходн.данные.!G44="Ср_суг",1,1.2))</f>
        <v>1.2</v>
      </c>
      <c r="HN44" s="11" t="e">
        <f t="shared" si="120"/>
        <v>#N/A</v>
      </c>
      <c r="HO44" s="11" t="e">
        <f t="shared" si="121"/>
        <v>#N/A</v>
      </c>
      <c r="HP44" s="11" t="e">
        <f t="shared" si="122"/>
        <v>#N/A</v>
      </c>
      <c r="HQ44" t="e">
        <f t="shared" si="123"/>
        <v>#N/A</v>
      </c>
      <c r="HR44" t="e">
        <f t="shared" si="124"/>
        <v>#N/A</v>
      </c>
      <c r="HS44" t="e">
        <f t="shared" si="125"/>
        <v>#N/A</v>
      </c>
      <c r="HT44" t="e">
        <f t="shared" si="21"/>
        <v>#N/A</v>
      </c>
      <c r="HU44" t="e">
        <f t="shared" si="22"/>
        <v>#N/A</v>
      </c>
      <c r="HV44" t="e">
        <f t="shared" si="23"/>
        <v>#N/A</v>
      </c>
      <c r="HW44" t="e">
        <f t="shared" si="24"/>
        <v>#N/A</v>
      </c>
      <c r="HX44" t="e">
        <f t="shared" si="25"/>
        <v>#N/A</v>
      </c>
      <c r="HY44" t="e">
        <f t="shared" si="26"/>
        <v>#N/A</v>
      </c>
      <c r="HZ44" s="55">
        <f>IF(OR(Исходн.данные.!AI44="Оз_Ч_П",Исходн.данные.!AI44="Оз_З_П",Исходн.данные.!AI44="Яр_зер"),12,30)</f>
        <v>30</v>
      </c>
      <c r="IA44" t="e">
        <f t="shared" si="126"/>
        <v>#N/A</v>
      </c>
      <c r="IB44" t="e">
        <f t="shared" si="127"/>
        <v>#N/A</v>
      </c>
      <c r="IC44" t="e">
        <f t="shared" si="128"/>
        <v>#N/A</v>
      </c>
      <c r="ID44" s="11" t="e">
        <f t="shared" si="129"/>
        <v>#N/A</v>
      </c>
      <c r="IE44" s="11" t="e">
        <f t="shared" si="130"/>
        <v>#N/A</v>
      </c>
      <c r="IF44" s="11" t="e">
        <f t="shared" si="131"/>
        <v>#N/A</v>
      </c>
    </row>
    <row r="45" spans="35:240" x14ac:dyDescent="0.2">
      <c r="AI45">
        <f>IF(Исходн.данные.!I45&gt;6,1,1.85-(0.148*Исходн.данные.!I45))</f>
        <v>1.85</v>
      </c>
      <c r="AJ45">
        <f>IF(Исходн.данные.!I45&gt;6,1,2.434-(0.246*Исходн.данные.!I45))</f>
        <v>2.4340000000000002</v>
      </c>
      <c r="AL45" s="148" t="b">
        <f>IF(Исходн.данные.!$P45="Ум",N_OrgUd_2g_um,IF(Исходн.данные.!$P45="Об",N_OrgUd_2g_ob))</f>
        <v>0</v>
      </c>
      <c r="AM45" s="148" t="b">
        <f>IF(Исходн.данные.!$P45="Ум",P_OrgUd_2g_um,IF(Исходн.данные.!$P45="Об",P_OrgUd_2g_ob))</f>
        <v>0</v>
      </c>
      <c r="AN45" s="148" t="b">
        <f>IF(Исходн.данные.!$P45="Ум",K_OrgUd_2g_um,IF(Исходн.данные.!$P45="Об",K_OrgUd_2g_ob))</f>
        <v>0</v>
      </c>
      <c r="AO45" s="148" t="b">
        <f>IF(Исходн.данные.!$P45="Ум",N_OrgUd_1g_um,IF(Исходн.данные.!$P45="Об",N_OrgUd_1g_ob))</f>
        <v>0</v>
      </c>
      <c r="AP45" s="148" t="b">
        <f>IF(Исходн.данные.!$P45="Ум",P_OrgUd_1g_um,IF(Исходн.данные.!$P45="Об",P_OrgUd_1g_ob))</f>
        <v>0</v>
      </c>
      <c r="AQ45" s="148" t="b">
        <f>IF(Исходн.данные.!$P45="Ум",K_OrgUd_1g_um,IF(Исходн.данные.!$P45="Об",K_OrgUd_1g_ob))</f>
        <v>0</v>
      </c>
      <c r="AR45" t="b">
        <f>IF(Исходн.данные.!$P45="Ум",N_MinUd_2g_um,IF(Исходн.данные.!$P45="Об",N_MinUd_2g_ob))</f>
        <v>0</v>
      </c>
      <c r="AS45" t="b">
        <f>IF(Исходн.данные.!$P45="Ум",P_MinUd_2g_um,IF(Исходн.данные.!$P45="Об",P_MinUd_2g_ob))</f>
        <v>0</v>
      </c>
      <c r="AT45" t="b">
        <f>IF(Исходн.данные.!$P45="Ум",K_MinUd_2g_um,IF(Исходн.данные.!$P45="Об",K_MinUd_2g_ob))</f>
        <v>0</v>
      </c>
      <c r="AU45" t="b">
        <f>IF(Исходн.данные.!$P45="Ум",N_MinUd_1g_um,IF(Исходн.данные.!$P45="Об",N_MinUd_1g_ob))</f>
        <v>0</v>
      </c>
      <c r="AV45" t="b">
        <f>IF(Исходн.данные.!P45="Ум",P_MinUd_1g_um,IF(Исходн.данные.!P45="Об",P_MinUd_1g_ob))</f>
        <v>0</v>
      </c>
      <c r="AW45" t="b">
        <f>IF(Исходн.данные.!P45="Ум",K_MinUd_1g_um,IF(Исходн.данные.!P45="Об",K_MinUd_1g_ob))</f>
        <v>0</v>
      </c>
      <c r="AY45" t="e">
        <f>VLOOKUP(Исходн.данные.!T45,Справ!$A$3:$N$57,12)</f>
        <v>#N/A</v>
      </c>
      <c r="AZ45" t="e">
        <f>VLOOKUP(Исходн.данные.!T45,Справ!$A$3:$N$57,13)</f>
        <v>#N/A</v>
      </c>
      <c r="BA45" t="e">
        <f>VLOOKUP(Исходн.данные.!T45,Справ!$A$3:$N$57,14)</f>
        <v>#N/A</v>
      </c>
      <c r="BB45">
        <f>IF(Исходн.данные.!AH45=0,0,25)</f>
        <v>0</v>
      </c>
      <c r="BC45" s="141">
        <f>IF(Исходн.данные.!AH45=0,0,IF(Исходн.данные.!T45=0,25,BD45))</f>
        <v>0</v>
      </c>
      <c r="BD45" s="168" t="e">
        <f>AY45+AZ45*Исходн.данные.!U45-POWER(BA45,2)*Исходн.данные.!U45</f>
        <v>#N/A</v>
      </c>
      <c r="BE4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5" s="25">
        <f>IF(Исходн.данные.!AH45=0,0,MIN(HN45:HP45))</f>
        <v>0</v>
      </c>
      <c r="BG45" s="9">
        <f>IF(Исходн.данные.!AH45=0,0,IF((HO45+10*0.25/HG45/HL45)&lt;17,17,HO45+10*0.25/HG45/HL45))</f>
        <v>0</v>
      </c>
      <c r="BH45" s="181">
        <f>IF(Исходн.данные.!AH45=0,0,HW45*HF45*HL45/AU45*AI45+Исходн.данные.!S45*10)</f>
        <v>0</v>
      </c>
      <c r="BI45" s="10"/>
      <c r="BJ45" s="182">
        <f>IF(Исходн.данные.!AH45=0,0,IF(HX45*HG45*HL45/AV45&lt;0,0,HX45*HG45*HL45/AV45*AJ45))</f>
        <v>0</v>
      </c>
      <c r="BK45" s="182">
        <f>IF(Исходн.данные.!AH45=0,0,HY45*HH45*HM45/AW45)</f>
        <v>0</v>
      </c>
      <c r="BL45" s="10">
        <f>IF(OR(Исходн.данные.!$AH45=$BP$1,Исходн.данные.!$AH45=$BP$2),0,IF(BH45&lt;0,0,IF(OR(Исходн.данные.!T45=Расчет!$BP$1,Исходн.данные.!T45=Расчет!$BP$2,Исходн.данные.!T45=Расчет!$BT$5,Исходн.данные.!T45=Расчет!$BT$6),BH45*0.5,IF(OR(Исходн.данные.!T45=Расчет!$BS$9,Исходн.данные.!T45=Расчет!$BS$10,Исходн.данные.!T45=Расчет!$BS$11,Исходн.данные.!T45=Расчет!$BS$12,Исходн.данные.!T45=Расчет!$BP$5),BH45*0.8,BH45))))</f>
        <v>0</v>
      </c>
      <c r="BM45" s="10">
        <f>IF(OR(Исходн.данные.!$AH45=$BP$1,Исходн.данные.!$AH45=$BP$2),0,IF(BJ45&lt;0,0,IF(Исходн.данные.!I45&lt;4.5,BJ45*1.2,IF(Исходн.данные.!I45&gt;5.1,BJ45,BJ45*((5.1-Исходн.данные.!I45)*0.333+1)))))</f>
        <v>0</v>
      </c>
      <c r="BN45" s="10">
        <f>IF(OR(Исходн.данные.!$AH45=$BP$1,Исходн.данные.!$AH45=$BP$2),60-Исходн.данные.!AF45,IF(BK45&lt;0,0,IF(Исходн.данные.!I45&lt;4.5,BK45*1.2,IF(Исходн.данные.!I45&gt;5.1,BK45,BK45*((5.1-Исходн.данные.!I45)*0.333+1)))))</f>
        <v>0</v>
      </c>
      <c r="BO45" s="9">
        <f>IF(BL45&lt;0,0,BL45*Исходн.данные.!$AJ45/1000)</f>
        <v>0</v>
      </c>
      <c r="BP45" s="9">
        <f>IF(BM45&lt;0,0,BM45*Исходн.данные.!$AJ45/1000)</f>
        <v>0</v>
      </c>
      <c r="BQ45" s="9">
        <f>IF(BN45&lt;0,0,BN45*Исходн.данные.!$AJ45/1000)</f>
        <v>0</v>
      </c>
      <c r="BR45" s="9">
        <f t="shared" si="81"/>
        <v>0</v>
      </c>
      <c r="BS45" s="10" t="str">
        <f t="shared" si="82"/>
        <v>Аммофос 12:52:00</v>
      </c>
      <c r="BT45" s="10" t="str">
        <f t="shared" si="83"/>
        <v>Аммофос 12:52:00</v>
      </c>
      <c r="BU45" s="10" t="str">
        <f t="shared" si="84"/>
        <v>Диаммофоска</v>
      </c>
      <c r="BV45" s="10">
        <f t="shared" si="85"/>
        <v>0</v>
      </c>
      <c r="BW45" s="10"/>
      <c r="BX45" s="10"/>
      <c r="BY45" s="9">
        <f>IF(BL45&lt;0,0,IF(OR(Исходн.данные.!AI45=Расчет!$BU$6,Исходн.данные.!AI45=Расчет!$BU$7),Расчет!BV45,IF(Исходн.данные.!$AG45=$BV$11,BL45,IF(OR(Исходн.данные.!$AH45=$BQ$7,Исходн.данные.!$AH45=$BQ$8),CB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0,IF(Исходн.данные.!$AI45=$BU$11,"Нет",IF(BL45&gt;30,30,BL45)))))))</f>
        <v>0</v>
      </c>
      <c r="BZ45" s="9">
        <f>IF(AND(Исходн.данные.!$AG45=$BV$11,BM45&lt;10),10,IF(Исходн.данные.!$AG45=$BV$11,BM45,IF(OR(Исходн.данные.!$AH45=$BQ$7,Исходн.данные.!$AH45=$BQ$8),CC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10,IF(Исходн.данные.!$AI45=$BU$11,"Нет",IF(BM45&gt;60,60,IF(BM45&lt;10,10,BM45)))))))</f>
        <v>10</v>
      </c>
      <c r="CA45" s="39">
        <f>IF(BN45&lt;0,0,IF(Исходн.данные.!$AG45=$BV$11,BN45,IF(OR(Исходн.данные.!$AH45=$BQ$7,Исходн.данные.!$AH45=$BQ$8),CD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0,IF(Исходн.данные.!$AI45=$BU$11,"Нет",IF(BN45&gt;30,30,BN45))))))</f>
        <v>0</v>
      </c>
      <c r="CB45" s="9">
        <f t="shared" si="86"/>
        <v>0</v>
      </c>
      <c r="CC45" s="9">
        <f t="shared" si="87"/>
        <v>0</v>
      </c>
      <c r="CD45" s="9">
        <f t="shared" si="88"/>
        <v>0</v>
      </c>
      <c r="CE45" s="12">
        <f t="shared" si="89"/>
        <v>10</v>
      </c>
      <c r="CF45" s="9">
        <f t="shared" si="90"/>
        <v>0</v>
      </c>
      <c r="CG45" s="9" t="s">
        <v>231</v>
      </c>
      <c r="CH45" s="132" t="str">
        <f>IF(Исходн.данные.!AP45=Расчет!$CI$16,"Нет",IF(Исходн.данные.!AL45&gt;0,Исходн.данные.!AL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BH$4,IF(OR(Исходн.данные.!AI45=Исходн.данные.!$AI$6,Исходн.данные.!AI45=Исходн.данные.!$AI$7),Расчет!BS45,IF(AND($CF45=0,$CE45&gt;0),EV45,ER45)))))</f>
        <v>Аммофос 12:52:00</v>
      </c>
      <c r="CI45" s="274">
        <f>IF(Расчет!$CH45="Нет","Нет",IF(Исходн.данные.!$AL45&gt;0,VLOOKUP(Расчет!$CH45,АшламаДВ_Irekle,2,FALSE),VLOOKUP(Расчет!$CH45,АшламаДВ_Gomumy,2,FALSE)))</f>
        <v>0.12</v>
      </c>
      <c r="CJ45" s="274">
        <f>IF(Расчет!$CH45="Нет","Нет",IF(Исходн.данные.!$AL45&gt;0,VLOOKUP(Расчет!$CH45,АшламаДВ_Irekle,3,FALSE),VLOOKUP(Расчет!$CH45,АшламаДВ_Gomumy,3,FALSE)))</f>
        <v>0.52</v>
      </c>
      <c r="CK45" s="274">
        <f>IF(Расчет!$CH45="Нет","Нет",IF(Исходн.данные.!$AL45&gt;0,VLOOKUP(Расчет!$CH45,АшламаДВ_Irekle,4,FALSE),VLOOKUP(Расчет!$CH45,АшламаДВ_Gomumy,4,FALSE)))</f>
        <v>0</v>
      </c>
      <c r="CL45" s="70"/>
      <c r="CM45" s="70"/>
      <c r="CN45" s="70"/>
      <c r="CO45" s="70"/>
      <c r="CP45" s="70"/>
      <c r="CQ45" s="70"/>
      <c r="CR45" s="10">
        <f t="shared" si="91"/>
        <v>0</v>
      </c>
      <c r="CS45" s="10">
        <f t="shared" si="92"/>
        <v>19.23076923076923</v>
      </c>
      <c r="CT45" s="10">
        <f t="shared" si="93"/>
        <v>0</v>
      </c>
      <c r="CU45" s="39">
        <f>IF($CH45="Нет",0,IF(CI45=0,30/MIN(CJ45:CK45),IF(Исходн.данные.!$AG45=$BV$11,CR45,IF(OR(Исходн.данные.!$AH45=$BQ$7,Исходн.данные.!$AH45=$BQ$8),90/CI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0,IF(Исходн.данные.!$AI45=$BU$11,"Нет",30/CI45))))))</f>
        <v>250</v>
      </c>
      <c r="CV45" s="39">
        <f>IF($CH45="Нет",0,IF(Исходн.данные.!AH45=0,0,IF(CJ45=0,60/MIN(CI45,CK45),IF(Исходн.данные.!$AG45=$BV$11,CS45,IF(OR(Исходн.данные.!$AH45=$BQ$7,Исходн.данные.!$AH45=$BQ$8),90/CJ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10/CJ45,IF(Исходн.данные.!$AI45=$BU$11,"Нет",60/CJ45)))))))</f>
        <v>0</v>
      </c>
      <c r="CW45" s="39">
        <f>IF($CH45="Нет",0,IF(Исходн.данные.!AH45=0,0,IF(CK45=0,30/MIN(CI45:CJ45),IF(Исходн.данные.!$AG45=$BV$11,CT45,IF(OR(Исходн.данные.!$AH45=$BQ$7,Исходн.данные.!$AH45=$BQ$8),90/CK45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0,IF(Исходн.данные.!$AI45=$BU$11,"Нет",30/CK45)))))))</f>
        <v>0</v>
      </c>
      <c r="CX45" s="133">
        <f>IF(Исходн.данные.!$AG45=$BV$11,MAX(CU45:CW45),IF(OR(Исходн.данные.!$AH45=$BS$8,Исходн.данные.!$AH45=$BQ$9,Исходн.данные.!$AH45=$BQ$10,Исходн.данные.!$AH45=$BQ$11,Исходн.данные.!$AH45=$BQ$12,Исходн.данные.!$AH45=$BP$3,Исходн.данные.!$AH45=$BT$8,$FM45="Да"),CV45,MIN(CU45:CW45)))</f>
        <v>0</v>
      </c>
      <c r="CY45" s="133">
        <f>IF(Исходн.данные.!AH45=0,0,IF(CR45&gt;$CX45,$CX45,CR45))</f>
        <v>0</v>
      </c>
      <c r="CZ45" s="133">
        <f>IF(Исходн.данные.!AH45=0,0,IF(CS45&gt;$CX45,$CX45,CS45))</f>
        <v>0</v>
      </c>
      <c r="DA45" s="133">
        <f>IF(Исходн.данные.!AH45=0,0,IF(CT45&gt;$CX45,$CX45,CT45))</f>
        <v>0</v>
      </c>
      <c r="DB45" s="10">
        <f t="shared" si="94"/>
        <v>0</v>
      </c>
      <c r="DC45" s="39">
        <f>DB45*Исходн.данные.!AJ45/1000</f>
        <v>0</v>
      </c>
      <c r="DD45" s="71">
        <f t="shared" si="95"/>
        <v>0</v>
      </c>
      <c r="DE45" s="9">
        <f t="shared" si="96"/>
        <v>0</v>
      </c>
      <c r="DF45" s="9">
        <f t="shared" si="97"/>
        <v>0</v>
      </c>
      <c r="DG45" s="39">
        <f>IF(BL45&lt;0,0,IF($CH45="Нет",BL45,IF(OR(Исходн.данные.!$AH45=$BP$1,Исходн.данные.!$AH45=$BP$2),0,IF(Исходн.данные.!AI45=$BU$11,BL45,IF(BL45-DD45&lt;0,0,BL45-DD45)))))</f>
        <v>0</v>
      </c>
      <c r="DH45" s="39">
        <f>IF(BM45&lt;0,0,IF($CH45="Нет",BM45,IF(OR(Исходн.данные.!$AH45=$BP$1,Исходн.данные.!$AH45=$BP$2),0,IF(Исходн.данные.!AJ45=$BU$11,BM45,IF(BM45-DE45&lt;0,0,BM45-DE45)))))</f>
        <v>0</v>
      </c>
      <c r="DI45" s="39">
        <f>IF(BN45&lt;0,0,IF($CH45="Нет",BN45,IF(OR(Исходн.данные.!$AH45=$BP$1,Исходн.данные.!$AH45=$BP$2),0,IF(Исходн.данные.!AK45=$BU$11,BN45,IF(BN45-DF45&lt;0,0,BN45-DF45)))))</f>
        <v>0</v>
      </c>
      <c r="DJ45" s="12">
        <f t="shared" si="98"/>
        <v>0</v>
      </c>
      <c r="DK45" s="9">
        <f t="shared" si="99"/>
        <v>0</v>
      </c>
      <c r="DL45" s="39">
        <f>IF(Исходн.данные.!AM45&gt;0,Исходн.данные.!AM45,IF(EG45&gt;0,$BH$10,0))</f>
        <v>0</v>
      </c>
      <c r="DM45" s="186">
        <f>IF($DL45=0,0,IF(Исходн.данные.!AM45&gt;0,VLOOKUP($DL45,АшламаДВ_Irekle,2,FALSE),VLOOKUP($DL45,АшламаДВ_Gomumy,2,FALSE)))</f>
        <v>0</v>
      </c>
      <c r="DN45" s="10">
        <f t="shared" si="46"/>
        <v>0</v>
      </c>
      <c r="DO45" s="9" t="str">
        <f>IF(Исходн.данные.!AN45&gt;0,Исходн.данные.!AN45,Удобрения!$B$37 )</f>
        <v>Хлор.калий</v>
      </c>
      <c r="DP45" s="9">
        <f>IF(Исходн.данные.!AN45&gt;0,VLOOKUP(Исходн.данные.!AN45,АшламаДВ_Irekle,4,FALSE),VLOOKUP(DO45,АшламаДВ_Gomumy,4,FALSE))</f>
        <v>0.6</v>
      </c>
      <c r="DQ45" s="10">
        <f t="shared" si="47"/>
        <v>0</v>
      </c>
      <c r="DR45" s="132" t="str">
        <f>IF(Исходн.данные.!AO45&gt;0,Исходн.данные.!AO45,IF(DH45=0,BS$17,IF(AND($DK45=0,$DJ45&gt;0),EJ45,EN45)))</f>
        <v>Нет</v>
      </c>
      <c r="DS45" s="70" t="str">
        <f>IF($DR45="Нет","Нет",IF(Исходн.данные.!$AO45&gt;0,VLOOKUP($DR45,АшламаДВ_Irekle,2,FALSE),VLOOKUP($DR45,АшламаДВ_Gomumy,2,FALSE)))</f>
        <v>Нет</v>
      </c>
      <c r="DT45" s="70" t="str">
        <f>IF($DR45="Нет","Нет",IF(Исходн.данные.!$AO45&gt;0,VLOOKUP($DR45,АшламаДВ_Irekle,3,FALSE),VLOOKUP($DR45,АшламаДВ_Gomumy,3,FALSE)))</f>
        <v>Нет</v>
      </c>
      <c r="DU45" s="70" t="str">
        <f>IF($DR45="Нет","Нет",IF(Исходн.данные.!$AO45&gt;0,VLOOKUP($DR45,АшламаДВ_Irekle,4,FALSE),VLOOKUP($DR45,АшламаДВ_Gomumy,4,FALSE)))</f>
        <v>Нет</v>
      </c>
      <c r="DV45" s="70"/>
      <c r="DW45" s="70"/>
      <c r="DX45" s="70"/>
      <c r="DY45" s="10">
        <f t="shared" si="100"/>
        <v>0</v>
      </c>
      <c r="DZ45" s="10">
        <f t="shared" si="101"/>
        <v>0</v>
      </c>
      <c r="EA45" s="10">
        <f t="shared" si="102"/>
        <v>0</v>
      </c>
      <c r="EB45" s="10">
        <f t="shared" si="103"/>
        <v>0</v>
      </c>
      <c r="EC45" s="10">
        <f t="shared" si="104"/>
        <v>0</v>
      </c>
      <c r="ED45" s="10">
        <f t="shared" si="105"/>
        <v>0</v>
      </c>
      <c r="EE45" s="10">
        <f t="shared" si="106"/>
        <v>0</v>
      </c>
      <c r="EF45" s="39">
        <f>EB45*Исходн.данные.!AJ45/1000</f>
        <v>0</v>
      </c>
      <c r="EG45" s="9">
        <f t="shared" si="107"/>
        <v>0</v>
      </c>
      <c r="EH45" s="9">
        <f t="shared" si="108"/>
        <v>0</v>
      </c>
      <c r="EI45" s="39" t="e">
        <f t="shared" si="7"/>
        <v>#DIV/0!</v>
      </c>
      <c r="EJ45" s="9" t="str">
        <f t="shared" si="8"/>
        <v>Азопреципитат</v>
      </c>
      <c r="EK45" s="12">
        <f t="shared" si="9"/>
        <v>0.26</v>
      </c>
      <c r="EL45" s="12">
        <f t="shared" si="10"/>
        <v>0.13</v>
      </c>
      <c r="EM45" s="12">
        <f t="shared" si="11"/>
        <v>0</v>
      </c>
      <c r="EN45" s="12" t="str">
        <f t="shared" si="57"/>
        <v>Нет</v>
      </c>
      <c r="EO45" s="12">
        <f t="shared" si="12"/>
        <v>0</v>
      </c>
      <c r="EP45" s="12">
        <f t="shared" si="13"/>
        <v>0</v>
      </c>
      <c r="EQ45" s="12">
        <f t="shared" si="14"/>
        <v>0</v>
      </c>
      <c r="ER45" s="12" t="str">
        <f t="shared" si="109"/>
        <v>Диаммофоска</v>
      </c>
      <c r="ES45" s="12">
        <f t="shared" si="15"/>
        <v>0.1</v>
      </c>
      <c r="ET45" s="12">
        <f t="shared" si="16"/>
        <v>0.26</v>
      </c>
      <c r="EU45" s="12">
        <f t="shared" si="17"/>
        <v>0.26</v>
      </c>
      <c r="EV45" s="12" t="str">
        <f t="shared" si="110"/>
        <v>Аммофос 12:52:00</v>
      </c>
      <c r="EW45" s="12" t="str">
        <f t="shared" si="111"/>
        <v>Кемира Свекловичное-6</v>
      </c>
      <c r="EX45" s="12">
        <f t="shared" si="18"/>
        <v>0.16</v>
      </c>
      <c r="EY45" s="12">
        <f t="shared" si="19"/>
        <v>0.12</v>
      </c>
      <c r="EZ45" s="12">
        <f t="shared" si="20"/>
        <v>0.17</v>
      </c>
      <c r="FA45" s="38" t="e">
        <f>IF(AND(OR(FJ45=$FD$1,FM45=$FD$1,FO45=$FD$1,FQ45=$FD$1,FS45=$FD$1),FD45=$FD$1,Исходн.данные.!J45&lt;2,FU45=$FD$1),"Бор,Кобальт",IF(AND(FO45=$FD$1,FH45=$FD$1,Исходн.данные.!J45&lt;2,FU45=$FD$1),"Бор,Кобальт",IF(AND(OR(FJ45=$FD$1,FM45=$FD$1,FQ45=$FD$1),FE45=$FD$1,Исходн.данные.!J45&lt;2,FT45=$FD$1,FU45=$FD$1),"Бор,Медь,Цинк",IF(AND(OR(FJ45=$FD$1,FR45="Да"),FI45="Да",Исходн.данные.!J45&lt;2,FT45="Да",FU45="Да"),"Бор,Цинк,Медь",IF(AND(OR(FM45="Да",FQ45="Да"),FI45="Да",Исходн.данные.!J45&lt;2,FT45="Да",FU45="Да"),"Бор,Цинк",IF(AND(FN45="Да",OR(FD45="Да",FE45="Да")),"Бор",FB45))))))</f>
        <v>#N/A</v>
      </c>
      <c r="FB45" s="134" t="e">
        <f>IF(AND(OR(FD45="Да",FE45="Да",FF45="Да",FG45="Да",FH45="Да"),FO45="Да"),"Бор",IF(AND(FP45="Да",OR(FD45="Да",FE45="Да",FI45="Да")),"Бор",IF(AND(FS45="Да",FE45="Да"),"Бор,Медь",IF(AND(OR(FJ45="Да",FK45="Да",FL45="Да"),FE45="Да",Исходн.данные.!I45&lt;5,FT45="Да",FU45="Да"),"Молибден,Цинк",IF(AND(FM45="Да",OR(FE45="Да",FF45="Да",FG45="Да",FH45="Да",FI45="Да")),"Молибден,Цинк",IF(AND(OR(FJ45="Да",FK45="Да",FL45="Да",FM45="Да",FQ45="Да"),OR(FE45="Да",FF45="Да"),FT45="Да",FU45="Да",Исходн.данные.!I45&gt;5.5),"Медь,Цинк",FC45))))))</f>
        <v>#N/A</v>
      </c>
      <c r="FC45" s="23" t="e">
        <f t="shared" si="112"/>
        <v>#N/A</v>
      </c>
      <c r="FD45" s="38" t="str">
        <f>IF(OR(Исходн.данные.!F45=$CC$1,Исходн.данные.!F45=$CC$2,Исходн.данные.!F45=$CC$3,Исходн.данные.!F45=$CC$4),"Да","Нет")</f>
        <v>Нет</v>
      </c>
      <c r="FE45" s="38" t="str">
        <f>IF(Исходн.данные.!F45=$CC$5,"Да","Нет")</f>
        <v>Нет</v>
      </c>
      <c r="FF45" s="38" t="str">
        <f>IF(OR(Исходн.данные.!F45=$CC$6,Исходн.данные.!F45=$CC$7),"Да","Нет")</f>
        <v>Нет</v>
      </c>
      <c r="FG45" s="38" t="str">
        <f>IF(OR(Исходн.данные.!F45=$CC$8,Исходн.данные.!F45=$CC$9),"Да","Нет")</f>
        <v>Нет</v>
      </c>
      <c r="FH45" s="38" t="str">
        <f>IF(Исходн.данные.!F45=$CC$10,"Да","Нет")</f>
        <v>Нет</v>
      </c>
      <c r="FI45" s="38" t="str">
        <f>IF(OR(Исходн.данные.!F45=$CC$11,Исходн.данные.!F45=$CC$12),"Да","Нет")</f>
        <v>Нет</v>
      </c>
      <c r="FJ45" s="38" t="str">
        <f>IF(OR(Исходн.данные.!AH45=$BS$1,Исходн.данные.!AH45=$BQ$11,Исходн.данные.!AH45=$BQ$12),"Да","Нет")</f>
        <v>Нет</v>
      </c>
      <c r="FK45" s="38" t="str">
        <f>IF(OR(Исходн.данные.!AH45=$BS$2,Исходн.данные.!AH45=$BS$4),"Да","Нет")</f>
        <v>Нет</v>
      </c>
      <c r="FL45" s="38" t="str">
        <f>IF(OR(Исходн.данные.!AH45=$BS$3,Исходн.данные.!AH45=$BS$5),"Да","Нет")</f>
        <v>Нет</v>
      </c>
      <c r="FM45" s="38" t="str">
        <f>IF(OR(Исходн.данные.!AH45=$BS$9,Исходн.данные.!AH45=$BS$10,Исходн.данные.!AH45=$BS$11,Исходн.данные.!AH45=$BS$12),"Да","Нет")</f>
        <v>Нет</v>
      </c>
      <c r="FN45" s="38" t="str">
        <f>IF(OR(Исходн.данные.!AH45=$BS$6,Исходн.данные.!AH45=$BP$3),"Да","Нет")</f>
        <v>Нет</v>
      </c>
      <c r="FO45" s="38" t="str">
        <f>IF(Исходн.данные.!AH45=$BQ$9,"Да","Нет")</f>
        <v>Нет</v>
      </c>
      <c r="FP45" s="38" t="str">
        <f>IF(OR(Исходн.данные.!AH45=$BS$8,Исходн.данные.!AH45=$BT$8),"Да","Нет")</f>
        <v>Нет</v>
      </c>
      <c r="FQ45" s="38" t="str">
        <f>IF(OR(Исходн.данные.!AH45=$BQ$7,Исходн.данные.!AH45=$BQ$8),"Да","Нет")</f>
        <v>Нет</v>
      </c>
      <c r="FR45" s="38" t="str">
        <f>IF(Исходн.данные.!AI45=$BU$9,"Да","Нет")</f>
        <v>Нет</v>
      </c>
      <c r="FS45" s="38" t="str">
        <f>IF(OR(Исходн.данные.!AH45=$BP$1,Исходн.данные.!AH45=$BP$2),"Да","Нет")</f>
        <v>Нет</v>
      </c>
      <c r="FT45" s="38" t="e">
        <f>IF((Исходн.данные.!K45*GO45*GS45*GW45+BL45*0.6+Исходн.данные.!Q45*4.5*0.275)&gt;90,"Да","Нет")</f>
        <v>#N/A</v>
      </c>
      <c r="FU45" s="38" t="e">
        <f>IF((Исходн.данные.!M45*GS45*GZ45+BM45*0.225)&gt;35,"Да","Нет")</f>
        <v>#N/A</v>
      </c>
      <c r="FV45" s="38" t="str">
        <f>IF(Исходн.данные.!O45&gt;175,"Да","Нет")</f>
        <v>Нет</v>
      </c>
      <c r="FW45" s="39" t="str">
        <f>IF(Исходн.данные.!I45&gt;5.5,"Да","Нет")</f>
        <v>Нет</v>
      </c>
      <c r="FX45" s="39" t="str">
        <f>IF(Исходн.данные.!J45&lt;2,"Да","Нет")</f>
        <v>Да</v>
      </c>
      <c r="FY45" s="39" t="e">
        <f>IF(HF45=$FY$16,0,Исходн.данные.!K45*GO45*GS45*GW45/HF45)</f>
        <v>#N/A</v>
      </c>
      <c r="FZ45" s="39" t="e">
        <f>Исходн.данные.!M45*GS45*GZ45/HG45</f>
        <v>#N/A</v>
      </c>
      <c r="GA45" s="39" t="e">
        <f>IF(K_Wyn=$FY$16,0,IF(Исходн.данные.!N45=Исходн.данные.!$L$10,Исходн.данные.!O45/1.1*GS45*HC45/HH45,IF(Исходн.данные.!N45=Исходн.данные.!$L$12,Исходн.данные.!O45/1.5*GS45*HC45/HH45,Исходн.данные.!O45*GS45*HC45/HH45)))</f>
        <v>#N/A</v>
      </c>
      <c r="GB45" s="39" t="e">
        <f>IF(HF45=$FY$16,0,((Исходн.данные.!Q45*N_Org+Исходн.данные.!R45*N_Sider+Исходн.данные.!S45*N_Soloma)*AO45+Расчет!BC45*VLOOKUP(Исходн.данные.!T45,Справ!$A$3:$O$57,15)*AO45+BB45*VLOOKUP(Исходн.данные.!T45,Справ!$A$3:$O$57,15)*AL45+(Исходн.данные.!V45*N_Rizotorf+Исходн.данные.!W45*N_Rizoagr))/HF45)</f>
        <v>#N/A</v>
      </c>
      <c r="GC45" s="39" t="e">
        <f>IF(HG45=$FY$16,0,((Исходн.данные.!Q45*Р_Org+Исходн.данные.!R45*P_Sider+Исходн.данные.!S45*P_Soloma)*AP45+Расчет!BC45*VLOOKUP(Исходн.данные.!T45,Справ!$A$3:$P$57,16)*AP45+BB45*VLOOKUP(Исходн.данные.!T45,Справ!$A$3:$P$57,16)*AM45)/HG45)</f>
        <v>#N/A</v>
      </c>
      <c r="GD45" s="39" t="e">
        <f>IF(HH45=$FY$16,0,((Исходн.данные.!Q45*К_Org+Исходн.данные.!R45*K_Sider+Исходн.данные.!S45*K_Soloma)*AQ45+Расчет!BC45*VLOOKUP(Исходн.данные.!T45,Справ!$A$3:$Q$57,17)*AQ45+BB45*VLOOKUP(Исходн.данные.!T45,Справ!$A$3:$Q$57,17)*AN45)/HH45)</f>
        <v>#N/A</v>
      </c>
      <c r="GE45" s="39" t="e">
        <f>IF(HF45=$FY$16,0,(Исходн.данные.!X45*AR45+Исходн.данные.!AA45*N_Org*AL45+Исходн.данные.!AB45*N_Sider*AL45+Исходн.данные.!AC45*N_Soloma*AL45)/HF45)</f>
        <v>#N/A</v>
      </c>
      <c r="GF45" s="39" t="e">
        <f>IF(HG45=$FY$16,0,(Исходн.данные.!Y45*AS45+Исходн.данные.!AA45*Р_Org*AM45+Исходн.данные.!AB45*P_Sider*AM45+Исходн.данные.!AC45*P_Soloma*AM45)/HG45)</f>
        <v>#N/A</v>
      </c>
      <c r="GG45" s="39" t="e">
        <f>IF(HH45=$FY$16,0,(Исходн.данные.!Z45*AT45+Исходн.данные.!AA45*К_Org*AN45+Исходн.данные.!AB45*K_Sider*AN45+Исходн.данные.!AC45*K_Soloma*AN45)/HH45)</f>
        <v>#N/A</v>
      </c>
      <c r="GH45" s="39" t="e">
        <f>Исходн.данные.!AD45*AU45/HF45</f>
        <v>#N/A</v>
      </c>
      <c r="GI45" s="39" t="e">
        <f>Исходн.данные.!AE45*AV45/HG45</f>
        <v>#N/A</v>
      </c>
      <c r="GJ45" s="39" t="e">
        <f>Исходн.данные.!AF45*AW45/HH45</f>
        <v>#N/A</v>
      </c>
      <c r="GK45" s="55">
        <f>Исходн.данные.!AK45</f>
        <v>0</v>
      </c>
      <c r="GL45" s="11" t="e">
        <f t="shared" si="113"/>
        <v>#N/A</v>
      </c>
      <c r="GM45" s="11" t="e">
        <f t="shared" si="114"/>
        <v>#N/A</v>
      </c>
      <c r="GN45" s="11" t="e">
        <f t="shared" si="115"/>
        <v>#N/A</v>
      </c>
      <c r="GO45" s="57">
        <f t="shared" si="116"/>
        <v>19</v>
      </c>
      <c r="GP45" s="55">
        <f>IF(OR(Исходн.данные.!F45=$CE$1,Исходн.данные.!F45=$CE$2,Исходн.данные.!F45=$CE$3,Исходн.данные.!F45=$CE$4,Исходн.данные.!F45=$CE$5),GQ45,GR45)</f>
        <v>19</v>
      </c>
      <c r="GQ45" s="55">
        <f>IF(Исходн.данные.!F45=$CE$1,28,IF(Исходн.данные.!F45=$CE$2,26,IF(Исходн.данные.!F45=$CE$3,24,IF(Исходн.данные.!F45=$CE$4,22,IF(Исходн.данные.!F45=$CE$5,20,GR45)))))</f>
        <v>19</v>
      </c>
      <c r="GR45" s="55">
        <f>IF(Исходн.данные.!F45=$CE$6,18,IF(Исходн.данные.!F45=$CE$7,16,IF(Исходн.данные.!F45=$CE$8,14,IF(Исходн.данные.!F45=$CE$9,13,IF(Исходн.данные.!F45=$CE$10,12,19)))))</f>
        <v>19</v>
      </c>
      <c r="GS45" s="55">
        <f>IF(Исходн.данные.!G45="Пес",0.035*(40+2*Исходн.данные.!H45),IF(Исходн.данные.!G45="Суп",0.0325*(40+2*Исходн.данные.!H45),0.03*(40+2*Исходн.данные.!H45)))</f>
        <v>1.2</v>
      </c>
      <c r="GT45" s="55">
        <f>IF(Исходн.данные.!H45&lt;23,2.6,IF(AND(Исходн.данные.!H45&gt;22,Исходн.данные.!H45&lt;26),3,IF(AND(Исходн.данные.!H45&gt;25,Исходн.данные.!H45&lt;29),3.4,3.6)))</f>
        <v>2.6</v>
      </c>
      <c r="GU45" s="55">
        <f>IF(Исходн.данные.!H45&lt;23,2.8,IF(AND(Исходн.данные.!H45&gt;22,Исходн.данные.!H45&lt;26),3.2,IF(AND(Исходн.данные.!H45&gt;25,Исходн.данные.!H45&lt;29),3.6,3.9)))</f>
        <v>2.8</v>
      </c>
      <c r="GV45" s="55">
        <f>IF(Исходн.данные.!H45&lt;23,3,IF(AND(Исходн.данные.!H45&gt;22,Исходн.данные.!H45&lt;26),3.5,IF(AND(Исходн.данные.!H45&gt;25,Исходн.данные.!H45&lt;29),3.9,4.2)))</f>
        <v>3</v>
      </c>
      <c r="GW45" s="55" t="e">
        <f>IF(Исходн.данные.!P45="Ум",GX45,GY45)</f>
        <v>#N/A</v>
      </c>
      <c r="GX45" s="55" t="e">
        <f>VLOOKUP(Исходн.данные.!AI45,Коэффициенты!$J$7:$L$13,2,FALSE)</f>
        <v>#N/A</v>
      </c>
      <c r="GY45" s="55" t="e">
        <f>VLOOKUP(Исходн.данные.!AI45,Коэффициенты!$J$7:$L$13,3,FALSE)</f>
        <v>#N/A</v>
      </c>
      <c r="GZ45" s="55" t="e">
        <f>(IF(Исходн.данные.!M45&lt;50,0.11*VLOOKUP(Исходн.данные.!AH45,Культуры.Информация,7,FALSE),IF(Исходн.данные.!M45&gt;250,0.05*VLOOKUP(Исходн.данные.!AH45,Культуры.Информация,7,FALSE),VLOOKUP(Исходн.данные.!AH45,Культуры.Информация,5,FALSE)/100*($GX$6+$GY$6*Исходн.данные.!M45))))*Расчет2!AI45</f>
        <v>#N/A</v>
      </c>
      <c r="HA45" s="211"/>
      <c r="HB45" s="211"/>
      <c r="HC45" s="55" t="e">
        <f>(IF(Исходн.данные.!O45&lt;80,0.2*VLOOKUP(Исходн.данные.!AH45,Культуры.Информация,8,FALSE),IF(Исходн.данные.!O45&gt;240,0.09*VLOOKUP(Исходн.данные.!AH45,Культуры.Информация,8,FALSE),VLOOKUP(Исходн.данные.!AH45,Культуры.Информация,6,FALSE)/100*($HB$6+$HC$6*Исходн.данные.!O45))))*Расчет2!AJ45</f>
        <v>#N/A</v>
      </c>
      <c r="HD45" s="55">
        <f>IF(Исходн.данные.!O45&gt;240,0.09,IF(Исходн.данные.!O45&lt;30,0.3,$HE$10+$HD$10*Исходн.данные.!O45))</f>
        <v>0.3</v>
      </c>
      <c r="HE45" s="55">
        <f>IF(Исходн.данные.!O45&gt;240,0.17,IF(Исходн.данные.!O45&lt;30,0.5,$HF$12+$HE$12*Исходн.данные.!O45))</f>
        <v>0.5</v>
      </c>
      <c r="HF45" s="55" t="e">
        <f>VLOOKUP(Исходн.данные.!AH45,Справ!$A$3:$D$58,2,FALSE)</f>
        <v>#N/A</v>
      </c>
      <c r="HG45" s="55" t="e">
        <f>VLOOKUP(Исходн.данные.!AH45,Справ!$A$3:$D$58,3,FALSE)</f>
        <v>#N/A</v>
      </c>
      <c r="HH45" s="55" t="e">
        <f>VLOOKUP(Исходн.данные.!AH45,Справ!$A$3:$D$58,4,FALSE)</f>
        <v>#N/A</v>
      </c>
      <c r="HI45" s="11" t="e">
        <f t="shared" si="117"/>
        <v>#N/A</v>
      </c>
      <c r="HJ45" s="11" t="e">
        <f t="shared" si="118"/>
        <v>#N/A</v>
      </c>
      <c r="HK45" s="11" t="e">
        <f t="shared" si="119"/>
        <v>#N/A</v>
      </c>
      <c r="HL45" s="55">
        <f>IF(OR(Исходн.данные.!G45="Глин",Исходн.данные.!G45="Т_суг"),1.1,IF(Исходн.данные.!G45="Ср_суг",1,1))</f>
        <v>1</v>
      </c>
      <c r="HM45" s="55">
        <f>IF(OR(Исходн.данные.!G45="Глин",Исходн.данные.!G45="Т_суг"),0.9,IF(Исходн.данные.!G45="Ср_суг",1,1.2))</f>
        <v>1.2</v>
      </c>
      <c r="HN45" s="11" t="e">
        <f t="shared" si="120"/>
        <v>#N/A</v>
      </c>
      <c r="HO45" s="11" t="e">
        <f t="shared" si="121"/>
        <v>#N/A</v>
      </c>
      <c r="HP45" s="11" t="e">
        <f t="shared" si="122"/>
        <v>#N/A</v>
      </c>
      <c r="HQ45" t="e">
        <f t="shared" si="123"/>
        <v>#N/A</v>
      </c>
      <c r="HR45" t="e">
        <f t="shared" si="124"/>
        <v>#N/A</v>
      </c>
      <c r="HS45" t="e">
        <f t="shared" si="125"/>
        <v>#N/A</v>
      </c>
      <c r="HT45" t="e">
        <f t="shared" si="21"/>
        <v>#N/A</v>
      </c>
      <c r="HU45" t="e">
        <f t="shared" si="22"/>
        <v>#N/A</v>
      </c>
      <c r="HV45" t="e">
        <f t="shared" si="23"/>
        <v>#N/A</v>
      </c>
      <c r="HW45" t="e">
        <f t="shared" si="24"/>
        <v>#N/A</v>
      </c>
      <c r="HX45" t="e">
        <f t="shared" si="25"/>
        <v>#N/A</v>
      </c>
      <c r="HY45" t="e">
        <f t="shared" si="26"/>
        <v>#N/A</v>
      </c>
      <c r="HZ45" s="55">
        <f>IF(OR(Исходн.данные.!AI45="Оз_Ч_П",Исходн.данные.!AI45="Оз_З_П",Исходн.данные.!AI45="Яр_зер"),12,30)</f>
        <v>30</v>
      </c>
      <c r="IA45" t="e">
        <f t="shared" si="126"/>
        <v>#N/A</v>
      </c>
      <c r="IB45" t="e">
        <f t="shared" si="127"/>
        <v>#N/A</v>
      </c>
      <c r="IC45" t="e">
        <f t="shared" si="128"/>
        <v>#N/A</v>
      </c>
      <c r="ID45" s="11" t="e">
        <f t="shared" si="129"/>
        <v>#N/A</v>
      </c>
      <c r="IE45" s="11" t="e">
        <f t="shared" si="130"/>
        <v>#N/A</v>
      </c>
      <c r="IF45" s="11" t="e">
        <f t="shared" si="131"/>
        <v>#N/A</v>
      </c>
    </row>
    <row r="46" spans="35:240" x14ac:dyDescent="0.2">
      <c r="AI46">
        <f>IF(Исходн.данные.!I46&gt;6,1,1.85-(0.148*Исходн.данные.!I46))</f>
        <v>1.85</v>
      </c>
      <c r="AJ46">
        <f>IF(Исходн.данные.!I46&gt;6,1,2.434-(0.246*Исходн.данные.!I46))</f>
        <v>2.4340000000000002</v>
      </c>
      <c r="AL46" s="148" t="b">
        <f>IF(Исходн.данные.!$P46="Ум",N_OrgUd_2g_um,IF(Исходн.данные.!$P46="Об",N_OrgUd_2g_ob))</f>
        <v>0</v>
      </c>
      <c r="AM46" s="148" t="b">
        <f>IF(Исходн.данные.!$P46="Ум",P_OrgUd_2g_um,IF(Исходн.данные.!$P46="Об",P_OrgUd_2g_ob))</f>
        <v>0</v>
      </c>
      <c r="AN46" s="148" t="b">
        <f>IF(Исходн.данные.!$P46="Ум",K_OrgUd_2g_um,IF(Исходн.данные.!$P46="Об",K_OrgUd_2g_ob))</f>
        <v>0</v>
      </c>
      <c r="AO46" s="148" t="b">
        <f>IF(Исходн.данные.!$P46="Ум",N_OrgUd_1g_um,IF(Исходн.данные.!$P46="Об",N_OrgUd_1g_ob))</f>
        <v>0</v>
      </c>
      <c r="AP46" s="148" t="b">
        <f>IF(Исходн.данные.!$P46="Ум",P_OrgUd_1g_um,IF(Исходн.данные.!$P46="Об",P_OrgUd_1g_ob))</f>
        <v>0</v>
      </c>
      <c r="AQ46" s="148" t="b">
        <f>IF(Исходн.данные.!$P46="Ум",K_OrgUd_1g_um,IF(Исходн.данные.!$P46="Об",K_OrgUd_1g_ob))</f>
        <v>0</v>
      </c>
      <c r="AR46" t="b">
        <f>IF(Исходн.данные.!$P46="Ум",N_MinUd_2g_um,IF(Исходн.данные.!$P46="Об",N_MinUd_2g_ob))</f>
        <v>0</v>
      </c>
      <c r="AS46" t="b">
        <f>IF(Исходн.данные.!$P46="Ум",P_MinUd_2g_um,IF(Исходн.данные.!$P46="Об",P_MinUd_2g_ob))</f>
        <v>0</v>
      </c>
      <c r="AT46" t="b">
        <f>IF(Исходн.данные.!$P46="Ум",K_MinUd_2g_um,IF(Исходн.данные.!$P46="Об",K_MinUd_2g_ob))</f>
        <v>0</v>
      </c>
      <c r="AU46" t="b">
        <f>IF(Исходн.данные.!$P46="Ум",N_MinUd_1g_um,IF(Исходн.данные.!$P46="Об",N_MinUd_1g_ob))</f>
        <v>0</v>
      </c>
      <c r="AV46" t="b">
        <f>IF(Исходн.данные.!P46="Ум",P_MinUd_1g_um,IF(Исходн.данные.!P46="Об",P_MinUd_1g_ob))</f>
        <v>0</v>
      </c>
      <c r="AW46" t="b">
        <f>IF(Исходн.данные.!P46="Ум",K_MinUd_1g_um,IF(Исходн.данные.!P46="Об",K_MinUd_1g_ob))</f>
        <v>0</v>
      </c>
      <c r="AY46" t="e">
        <f>VLOOKUP(Исходн.данные.!T46,Справ!$A$3:$N$57,12)</f>
        <v>#N/A</v>
      </c>
      <c r="AZ46" t="e">
        <f>VLOOKUP(Исходн.данные.!T46,Справ!$A$3:$N$57,13)</f>
        <v>#N/A</v>
      </c>
      <c r="BA46" t="e">
        <f>VLOOKUP(Исходн.данные.!T46,Справ!$A$3:$N$57,14)</f>
        <v>#N/A</v>
      </c>
      <c r="BB46">
        <f>IF(Исходн.данные.!AH46=0,0,25)</f>
        <v>0</v>
      </c>
      <c r="BC46" s="141">
        <f>IF(Исходн.данные.!AH46=0,0,IF(Исходн.данные.!T46=0,25,BD46))</f>
        <v>0</v>
      </c>
      <c r="BD46" s="168" t="e">
        <f>AY46+AZ46*Исходн.данные.!U46-POWER(BA46,2)*Исходн.данные.!U46</f>
        <v>#N/A</v>
      </c>
      <c r="BE4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6" s="25">
        <f>IF(Исходн.данные.!AH46=0,0,MIN(HN46:HP46))</f>
        <v>0</v>
      </c>
      <c r="BG46" s="9">
        <f>IF(Исходн.данные.!AH46=0,0,IF((HO46+10*0.25/HG46/HL46)&lt;17,17,HO46+10*0.25/HG46/HL46))</f>
        <v>0</v>
      </c>
      <c r="BH46" s="181">
        <f>IF(Исходн.данные.!AH46=0,0,HW46*HF46*HL46/AU46*AI46+Исходн.данные.!S46*10)</f>
        <v>0</v>
      </c>
      <c r="BI46" s="10"/>
      <c r="BJ46" s="182">
        <f>IF(Исходн.данные.!AH46=0,0,IF(HX46*HG46*HL46/AV46&lt;0,0,HX46*HG46*HL46/AV46*AJ46))</f>
        <v>0</v>
      </c>
      <c r="BK46" s="182">
        <f>IF(Исходн.данные.!AH46=0,0,HY46*HH46*HM46/AW46)</f>
        <v>0</v>
      </c>
      <c r="BL46" s="10">
        <f>IF(OR(Исходн.данные.!$AH46=$BP$1,Исходн.данные.!$AH46=$BP$2),0,IF(BH46&lt;0,0,IF(OR(Исходн.данные.!T46=Расчет!$BP$1,Исходн.данные.!T46=Расчет!$BP$2,Исходн.данные.!T46=Расчет!$BT$5,Исходн.данные.!T46=Расчет!$BT$6),BH46*0.5,IF(OR(Исходн.данные.!T46=Расчет!$BS$9,Исходн.данные.!T46=Расчет!$BS$10,Исходн.данные.!T46=Расчет!$BS$11,Исходн.данные.!T46=Расчет!$BS$12,Исходн.данные.!T46=Расчет!$BP$5),BH46*0.8,BH46))))</f>
        <v>0</v>
      </c>
      <c r="BM46" s="10">
        <f>IF(OR(Исходн.данные.!$AH46=$BP$1,Исходн.данные.!$AH46=$BP$2),0,IF(BJ46&lt;0,0,IF(Исходн.данные.!I46&lt;4.5,BJ46*1.2,IF(Исходн.данные.!I46&gt;5.1,BJ46,BJ46*((5.1-Исходн.данные.!I46)*0.333+1)))))</f>
        <v>0</v>
      </c>
      <c r="BN46" s="10">
        <f>IF(OR(Исходн.данные.!$AH46=$BP$1,Исходн.данные.!$AH46=$BP$2),60-Исходн.данные.!AF46,IF(BK46&lt;0,0,IF(Исходн.данные.!I46&lt;4.5,BK46*1.2,IF(Исходн.данные.!I46&gt;5.1,BK46,BK46*((5.1-Исходн.данные.!I46)*0.333+1)))))</f>
        <v>0</v>
      </c>
      <c r="BO46" s="9">
        <f>IF(BL46&lt;0,0,BL46*Исходн.данные.!$AJ46/1000)</f>
        <v>0</v>
      </c>
      <c r="BP46" s="9">
        <f>IF(BM46&lt;0,0,BM46*Исходн.данные.!$AJ46/1000)</f>
        <v>0</v>
      </c>
      <c r="BQ46" s="9">
        <f>IF(BN46&lt;0,0,BN46*Исходн.данные.!$AJ46/1000)</f>
        <v>0</v>
      </c>
      <c r="BR46" s="9">
        <f t="shared" si="81"/>
        <v>0</v>
      </c>
      <c r="BS46" s="10" t="str">
        <f t="shared" si="82"/>
        <v>Аммофос 12:52:00</v>
      </c>
      <c r="BT46" s="10" t="str">
        <f t="shared" si="83"/>
        <v>Аммофос 12:52:00</v>
      </c>
      <c r="BU46" s="10" t="str">
        <f t="shared" si="84"/>
        <v>Диаммофоска</v>
      </c>
      <c r="BV46" s="10">
        <f t="shared" si="85"/>
        <v>0</v>
      </c>
      <c r="BW46" s="10"/>
      <c r="BX46" s="10"/>
      <c r="BY46" s="9">
        <f>IF(BL46&lt;0,0,IF(OR(Исходн.данные.!AI46=Расчет!$BU$6,Исходн.данные.!AI46=Расчет!$BU$7),Расчет!BV46,IF(Исходн.данные.!$AG46=$BV$11,BL46,IF(OR(Исходн.данные.!$AH46=$BQ$7,Исходн.данные.!$AH46=$BQ$8),CB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0,IF(Исходн.данные.!$AI46=$BU$11,"Нет",IF(BL46&gt;30,30,BL46)))))))</f>
        <v>0</v>
      </c>
      <c r="BZ46" s="9">
        <f>IF(AND(Исходн.данные.!$AG46=$BV$11,BM46&lt;10),10,IF(Исходн.данные.!$AG46=$BV$11,BM46,IF(OR(Исходн.данные.!$AH46=$BQ$7,Исходн.данные.!$AH46=$BQ$8),CC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10,IF(Исходн.данные.!$AI46=$BU$11,"Нет",IF(BM46&gt;60,60,IF(BM46&lt;10,10,BM46)))))))</f>
        <v>10</v>
      </c>
      <c r="CA46" s="39">
        <f>IF(BN46&lt;0,0,IF(Исходн.данные.!$AG46=$BV$11,BN46,IF(OR(Исходн.данные.!$AH46=$BQ$7,Исходн.данные.!$AH46=$BQ$8),CD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0,IF(Исходн.данные.!$AI46=$BU$11,"Нет",IF(BN46&gt;30,30,BN46))))))</f>
        <v>0</v>
      </c>
      <c r="CB46" s="9">
        <f t="shared" si="86"/>
        <v>0</v>
      </c>
      <c r="CC46" s="9">
        <f t="shared" si="87"/>
        <v>0</v>
      </c>
      <c r="CD46" s="9">
        <f t="shared" si="88"/>
        <v>0</v>
      </c>
      <c r="CE46" s="12">
        <f t="shared" si="89"/>
        <v>10</v>
      </c>
      <c r="CF46" s="9">
        <f t="shared" si="90"/>
        <v>0</v>
      </c>
      <c r="CG46" s="9" t="s">
        <v>231</v>
      </c>
      <c r="CH46" s="132" t="str">
        <f>IF(Исходн.данные.!AP46=Расчет!$CI$16,"Нет",IF(Исходн.данные.!AL46&gt;0,Исходн.данные.!AL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BH$4,IF(OR(Исходн.данные.!AI46=Исходн.данные.!$AI$6,Исходн.данные.!AI46=Исходн.данные.!$AI$7),Расчет!BS46,IF(AND($CF46=0,$CE46&gt;0),EV46,ER46)))))</f>
        <v>Аммофос 12:52:00</v>
      </c>
      <c r="CI46" s="274">
        <f>IF(Расчет!$CH46="Нет","Нет",IF(Исходн.данные.!$AL46&gt;0,VLOOKUP(Расчет!$CH46,АшламаДВ_Irekle,2,FALSE),VLOOKUP(Расчет!$CH46,АшламаДВ_Gomumy,2,FALSE)))</f>
        <v>0.12</v>
      </c>
      <c r="CJ46" s="274">
        <f>IF(Расчет!$CH46="Нет","Нет",IF(Исходн.данные.!$AL46&gt;0,VLOOKUP(Расчет!$CH46,АшламаДВ_Irekle,3,FALSE),VLOOKUP(Расчет!$CH46,АшламаДВ_Gomumy,3,FALSE)))</f>
        <v>0.52</v>
      </c>
      <c r="CK46" s="274">
        <f>IF(Расчет!$CH46="Нет","Нет",IF(Исходн.данные.!$AL46&gt;0,VLOOKUP(Расчет!$CH46,АшламаДВ_Irekle,4,FALSE),VLOOKUP(Расчет!$CH46,АшламаДВ_Gomumy,4,FALSE)))</f>
        <v>0</v>
      </c>
      <c r="CL46" s="70"/>
      <c r="CM46" s="70"/>
      <c r="CN46" s="70"/>
      <c r="CO46" s="70"/>
      <c r="CP46" s="70"/>
      <c r="CQ46" s="70"/>
      <c r="CR46" s="10">
        <f t="shared" si="91"/>
        <v>0</v>
      </c>
      <c r="CS46" s="10">
        <f t="shared" si="92"/>
        <v>19.23076923076923</v>
      </c>
      <c r="CT46" s="10">
        <f t="shared" si="93"/>
        <v>0</v>
      </c>
      <c r="CU46" s="39">
        <f>IF($CH46="Нет",0,IF(CI46=0,30/MIN(CJ46:CK46),IF(Исходн.данные.!$AG46=$BV$11,CR46,IF(OR(Исходн.данные.!$AH46=$BQ$7,Исходн.данные.!$AH46=$BQ$8),90/CI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0,IF(Исходн.данные.!$AI46=$BU$11,"Нет",30/CI46))))))</f>
        <v>250</v>
      </c>
      <c r="CV46" s="39">
        <f>IF($CH46="Нет",0,IF(Исходн.данные.!AH46=0,0,IF(CJ46=0,60/MIN(CI46,CK46),IF(Исходн.данные.!$AG46=$BV$11,CS46,IF(OR(Исходн.данные.!$AH46=$BQ$7,Исходн.данные.!$AH46=$BQ$8),90/CJ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10/CJ46,IF(Исходн.данные.!$AI46=$BU$11,"Нет",60/CJ46)))))))</f>
        <v>0</v>
      </c>
      <c r="CW46" s="39">
        <f>IF($CH46="Нет",0,IF(Исходн.данные.!AH46=0,0,IF(CK46=0,30/MIN(CI46:CJ46),IF(Исходн.данные.!$AG46=$BV$11,CT46,IF(OR(Исходн.данные.!$AH46=$BQ$7,Исходн.данные.!$AH46=$BQ$8),90/CK46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0,IF(Исходн.данные.!$AI46=$BU$11,"Нет",30/CK46)))))))</f>
        <v>0</v>
      </c>
      <c r="CX46" s="133">
        <f>IF(Исходн.данные.!$AG46=$BV$11,MAX(CU46:CW46),IF(OR(Исходн.данные.!$AH46=$BS$8,Исходн.данные.!$AH46=$BQ$9,Исходн.данные.!$AH46=$BQ$10,Исходн.данные.!$AH46=$BQ$11,Исходн.данные.!$AH46=$BQ$12,Исходн.данные.!$AH46=$BP$3,Исходн.данные.!$AH46=$BT$8,$FM46="Да"),CV46,MIN(CU46:CW46)))</f>
        <v>0</v>
      </c>
      <c r="CY46" s="133">
        <f>IF(Исходн.данные.!AH46=0,0,IF(CR46&gt;$CX46,$CX46,CR46))</f>
        <v>0</v>
      </c>
      <c r="CZ46" s="133">
        <f>IF(Исходн.данные.!AH46=0,0,IF(CS46&gt;$CX46,$CX46,CS46))</f>
        <v>0</v>
      </c>
      <c r="DA46" s="133">
        <f>IF(Исходн.данные.!AH46=0,0,IF(CT46&gt;$CX46,$CX46,CT46))</f>
        <v>0</v>
      </c>
      <c r="DB46" s="10">
        <f t="shared" si="94"/>
        <v>0</v>
      </c>
      <c r="DC46" s="39">
        <f>DB46*Исходн.данные.!AJ46/1000</f>
        <v>0</v>
      </c>
      <c r="DD46" s="71">
        <f t="shared" si="95"/>
        <v>0</v>
      </c>
      <c r="DE46" s="9">
        <f t="shared" si="96"/>
        <v>0</v>
      </c>
      <c r="DF46" s="9">
        <f t="shared" si="97"/>
        <v>0</v>
      </c>
      <c r="DG46" s="39">
        <f>IF(BL46&lt;0,0,IF($CH46="Нет",BL46,IF(OR(Исходн.данные.!$AH46=$BP$1,Исходн.данные.!$AH46=$BP$2),0,IF(Исходн.данные.!AI46=$BU$11,BL46,IF(BL46-DD46&lt;0,0,BL46-DD46)))))</f>
        <v>0</v>
      </c>
      <c r="DH46" s="39">
        <f>IF(BM46&lt;0,0,IF($CH46="Нет",BM46,IF(OR(Исходн.данные.!$AH46=$BP$1,Исходн.данные.!$AH46=$BP$2),0,IF(Исходн.данные.!AJ46=$BU$11,BM46,IF(BM46-DE46&lt;0,0,BM46-DE46)))))</f>
        <v>0</v>
      </c>
      <c r="DI46" s="39">
        <f>IF(BN46&lt;0,0,IF($CH46="Нет",BN46,IF(OR(Исходн.данные.!$AH46=$BP$1,Исходн.данные.!$AH46=$BP$2),0,IF(Исходн.данные.!AK46=$BU$11,BN46,IF(BN46-DF46&lt;0,0,BN46-DF46)))))</f>
        <v>0</v>
      </c>
      <c r="DJ46" s="12">
        <f t="shared" si="98"/>
        <v>0</v>
      </c>
      <c r="DK46" s="9">
        <f t="shared" si="99"/>
        <v>0</v>
      </c>
      <c r="DL46" s="39">
        <f>IF(Исходн.данные.!AM46&gt;0,Исходн.данные.!AM46,IF(EG46&gt;0,$BH$10,0))</f>
        <v>0</v>
      </c>
      <c r="DM46" s="186">
        <f>IF($DL46=0,0,IF(Исходн.данные.!AM46&gt;0,VLOOKUP($DL46,АшламаДВ_Irekle,2,FALSE),VLOOKUP($DL46,АшламаДВ_Gomumy,2,FALSE)))</f>
        <v>0</v>
      </c>
      <c r="DN46" s="10">
        <f t="shared" si="46"/>
        <v>0</v>
      </c>
      <c r="DO46" s="9" t="str">
        <f>IF(Исходн.данные.!AN46&gt;0,Исходн.данные.!AN46,Удобрения!$B$37 )</f>
        <v>Хлор.калий</v>
      </c>
      <c r="DP46" s="9">
        <f>IF(Исходн.данные.!AN46&gt;0,VLOOKUP(Исходн.данные.!AN46,АшламаДВ_Irekle,4,FALSE),VLOOKUP(DO46,АшламаДВ_Gomumy,4,FALSE))</f>
        <v>0.6</v>
      </c>
      <c r="DQ46" s="10">
        <f t="shared" si="47"/>
        <v>0</v>
      </c>
      <c r="DR46" s="132" t="str">
        <f>IF(Исходн.данные.!AO46&gt;0,Исходн.данные.!AO46,IF(DH46=0,BS$17,IF(AND($DK46=0,$DJ46&gt;0),EJ46,EN46)))</f>
        <v>Нет</v>
      </c>
      <c r="DS46" s="70" t="str">
        <f>IF($DR46="Нет","Нет",IF(Исходн.данные.!$AO46&gt;0,VLOOKUP($DR46,АшламаДВ_Irekle,2,FALSE),VLOOKUP($DR46,АшламаДВ_Gomumy,2,FALSE)))</f>
        <v>Нет</v>
      </c>
      <c r="DT46" s="70" t="str">
        <f>IF($DR46="Нет","Нет",IF(Исходн.данные.!$AO46&gt;0,VLOOKUP($DR46,АшламаДВ_Irekle,3,FALSE),VLOOKUP($DR46,АшламаДВ_Gomumy,3,FALSE)))</f>
        <v>Нет</v>
      </c>
      <c r="DU46" s="70" t="str">
        <f>IF($DR46="Нет","Нет",IF(Исходн.данные.!$AO46&gt;0,VLOOKUP($DR46,АшламаДВ_Irekle,4,FALSE),VLOOKUP($DR46,АшламаДВ_Gomumy,4,FALSE)))</f>
        <v>Нет</v>
      </c>
      <c r="DV46" s="70"/>
      <c r="DW46" s="70"/>
      <c r="DX46" s="70"/>
      <c r="DY46" s="10">
        <f t="shared" si="100"/>
        <v>0</v>
      </c>
      <c r="DZ46" s="10">
        <f t="shared" si="101"/>
        <v>0</v>
      </c>
      <c r="EA46" s="10">
        <f t="shared" si="102"/>
        <v>0</v>
      </c>
      <c r="EB46" s="10">
        <f t="shared" si="103"/>
        <v>0</v>
      </c>
      <c r="EC46" s="10">
        <f t="shared" si="104"/>
        <v>0</v>
      </c>
      <c r="ED46" s="10">
        <f t="shared" si="105"/>
        <v>0</v>
      </c>
      <c r="EE46" s="10">
        <f t="shared" si="106"/>
        <v>0</v>
      </c>
      <c r="EF46" s="39">
        <f>EB46*Исходн.данные.!AJ46/1000</f>
        <v>0</v>
      </c>
      <c r="EG46" s="9">
        <f t="shared" si="107"/>
        <v>0</v>
      </c>
      <c r="EH46" s="9">
        <f t="shared" si="108"/>
        <v>0</v>
      </c>
      <c r="EI46" s="39" t="e">
        <f t="shared" si="7"/>
        <v>#DIV/0!</v>
      </c>
      <c r="EJ46" s="9" t="str">
        <f t="shared" si="8"/>
        <v>Азопреципитат</v>
      </c>
      <c r="EK46" s="12">
        <f t="shared" si="9"/>
        <v>0.26</v>
      </c>
      <c r="EL46" s="12">
        <f t="shared" si="10"/>
        <v>0.13</v>
      </c>
      <c r="EM46" s="12">
        <f t="shared" si="11"/>
        <v>0</v>
      </c>
      <c r="EN46" s="12" t="str">
        <f t="shared" si="57"/>
        <v>Нет</v>
      </c>
      <c r="EO46" s="12">
        <f t="shared" si="12"/>
        <v>0</v>
      </c>
      <c r="EP46" s="12">
        <f t="shared" si="13"/>
        <v>0</v>
      </c>
      <c r="EQ46" s="12">
        <f t="shared" si="14"/>
        <v>0</v>
      </c>
      <c r="ER46" s="12" t="str">
        <f t="shared" si="109"/>
        <v>Диаммофоска</v>
      </c>
      <c r="ES46" s="12">
        <f t="shared" si="15"/>
        <v>0.1</v>
      </c>
      <c r="ET46" s="12">
        <f t="shared" si="16"/>
        <v>0.26</v>
      </c>
      <c r="EU46" s="12">
        <f t="shared" si="17"/>
        <v>0.26</v>
      </c>
      <c r="EV46" s="12" t="str">
        <f t="shared" si="110"/>
        <v>Аммофос 12:52:00</v>
      </c>
      <c r="EW46" s="12" t="str">
        <f t="shared" si="111"/>
        <v>Кемира Свекловичное-6</v>
      </c>
      <c r="EX46" s="12">
        <f t="shared" si="18"/>
        <v>0.16</v>
      </c>
      <c r="EY46" s="12">
        <f t="shared" si="19"/>
        <v>0.12</v>
      </c>
      <c r="EZ46" s="12">
        <f t="shared" si="20"/>
        <v>0.17</v>
      </c>
      <c r="FA46" s="38" t="e">
        <f>IF(AND(OR(FJ46=$FD$1,FM46=$FD$1,FO46=$FD$1,FQ46=$FD$1,FS46=$FD$1),FD46=$FD$1,Исходн.данные.!J46&lt;2,FU46=$FD$1),"Бор,Кобальт",IF(AND(FO46=$FD$1,FH46=$FD$1,Исходн.данные.!J46&lt;2,FU46=$FD$1),"Бор,Кобальт",IF(AND(OR(FJ46=$FD$1,FM46=$FD$1,FQ46=$FD$1),FE46=$FD$1,Исходн.данные.!J46&lt;2,FT46=$FD$1,FU46=$FD$1),"Бор,Медь,Цинк",IF(AND(OR(FJ46=$FD$1,FR46="Да"),FI46="Да",Исходн.данные.!J46&lt;2,FT46="Да",FU46="Да"),"Бор,Цинк,Медь",IF(AND(OR(FM46="Да",FQ46="Да"),FI46="Да",Исходн.данные.!J46&lt;2,FT46="Да",FU46="Да"),"Бор,Цинк",IF(AND(FN46="Да",OR(FD46="Да",FE46="Да")),"Бор",FB46))))))</f>
        <v>#N/A</v>
      </c>
      <c r="FB46" s="134" t="e">
        <f>IF(AND(OR(FD46="Да",FE46="Да",FF46="Да",FG46="Да",FH46="Да"),FO46="Да"),"Бор",IF(AND(FP46="Да",OR(FD46="Да",FE46="Да",FI46="Да")),"Бор",IF(AND(FS46="Да",FE46="Да"),"Бор,Медь",IF(AND(OR(FJ46="Да",FK46="Да",FL46="Да"),FE46="Да",Исходн.данные.!I46&lt;5,FT46="Да",FU46="Да"),"Молибден,Цинк",IF(AND(FM46="Да",OR(FE46="Да",FF46="Да",FG46="Да",FH46="Да",FI46="Да")),"Молибден,Цинк",IF(AND(OR(FJ46="Да",FK46="Да",FL46="Да",FM46="Да",FQ46="Да"),OR(FE46="Да",FF46="Да"),FT46="Да",FU46="Да",Исходн.данные.!I46&gt;5.5),"Медь,Цинк",FC46))))))</f>
        <v>#N/A</v>
      </c>
      <c r="FC46" s="23" t="e">
        <f t="shared" si="112"/>
        <v>#N/A</v>
      </c>
      <c r="FD46" s="38" t="str">
        <f>IF(OR(Исходн.данные.!F46=$CC$1,Исходн.данные.!F46=$CC$2,Исходн.данные.!F46=$CC$3,Исходн.данные.!F46=$CC$4),"Да","Нет")</f>
        <v>Нет</v>
      </c>
      <c r="FE46" s="38" t="str">
        <f>IF(Исходн.данные.!F46=$CC$5,"Да","Нет")</f>
        <v>Нет</v>
      </c>
      <c r="FF46" s="38" t="str">
        <f>IF(OR(Исходн.данные.!F46=$CC$6,Исходн.данные.!F46=$CC$7),"Да","Нет")</f>
        <v>Нет</v>
      </c>
      <c r="FG46" s="38" t="str">
        <f>IF(OR(Исходн.данные.!F46=$CC$8,Исходн.данные.!F46=$CC$9),"Да","Нет")</f>
        <v>Нет</v>
      </c>
      <c r="FH46" s="38" t="str">
        <f>IF(Исходн.данные.!F46=$CC$10,"Да","Нет")</f>
        <v>Нет</v>
      </c>
      <c r="FI46" s="38" t="str">
        <f>IF(OR(Исходн.данные.!F46=$CC$11,Исходн.данные.!F46=$CC$12),"Да","Нет")</f>
        <v>Нет</v>
      </c>
      <c r="FJ46" s="38" t="str">
        <f>IF(OR(Исходн.данные.!AH46=$BS$1,Исходн.данные.!AH46=$BQ$11,Исходн.данные.!AH46=$BQ$12),"Да","Нет")</f>
        <v>Нет</v>
      </c>
      <c r="FK46" s="38" t="str">
        <f>IF(OR(Исходн.данные.!AH46=$BS$2,Исходн.данные.!AH46=$BS$4),"Да","Нет")</f>
        <v>Нет</v>
      </c>
      <c r="FL46" s="38" t="str">
        <f>IF(OR(Исходн.данные.!AH46=$BS$3,Исходн.данные.!AH46=$BS$5),"Да","Нет")</f>
        <v>Нет</v>
      </c>
      <c r="FM46" s="38" t="str">
        <f>IF(OR(Исходн.данные.!AH46=$BS$9,Исходн.данные.!AH46=$BS$10,Исходн.данные.!AH46=$BS$11,Исходн.данные.!AH46=$BS$12),"Да","Нет")</f>
        <v>Нет</v>
      </c>
      <c r="FN46" s="38" t="str">
        <f>IF(OR(Исходн.данные.!AH46=$BS$6,Исходн.данные.!AH46=$BP$3),"Да","Нет")</f>
        <v>Нет</v>
      </c>
      <c r="FO46" s="38" t="str">
        <f>IF(Исходн.данные.!AH46=$BQ$9,"Да","Нет")</f>
        <v>Нет</v>
      </c>
      <c r="FP46" s="38" t="str">
        <f>IF(OR(Исходн.данные.!AH46=$BS$8,Исходн.данные.!AH46=$BT$8),"Да","Нет")</f>
        <v>Нет</v>
      </c>
      <c r="FQ46" s="38" t="str">
        <f>IF(OR(Исходн.данные.!AH46=$BQ$7,Исходн.данные.!AH46=$BQ$8),"Да","Нет")</f>
        <v>Нет</v>
      </c>
      <c r="FR46" s="38" t="str">
        <f>IF(Исходн.данные.!AI46=$BU$9,"Да","Нет")</f>
        <v>Нет</v>
      </c>
      <c r="FS46" s="38" t="str">
        <f>IF(OR(Исходн.данные.!AH46=$BP$1,Исходн.данные.!AH46=$BP$2),"Да","Нет")</f>
        <v>Нет</v>
      </c>
      <c r="FT46" s="38" t="e">
        <f>IF((Исходн.данные.!K46*GO46*GS46*GW46+BL46*0.6+Исходн.данные.!Q46*4.5*0.275)&gt;90,"Да","Нет")</f>
        <v>#N/A</v>
      </c>
      <c r="FU46" s="38" t="e">
        <f>IF((Исходн.данные.!M46*GS46*GZ46+BM46*0.225)&gt;35,"Да","Нет")</f>
        <v>#N/A</v>
      </c>
      <c r="FV46" s="38" t="str">
        <f>IF(Исходн.данные.!O46&gt;175,"Да","Нет")</f>
        <v>Нет</v>
      </c>
      <c r="FW46" s="39" t="str">
        <f>IF(Исходн.данные.!I46&gt;5.5,"Да","Нет")</f>
        <v>Нет</v>
      </c>
      <c r="FX46" s="39" t="str">
        <f>IF(Исходн.данные.!J46&lt;2,"Да","Нет")</f>
        <v>Да</v>
      </c>
      <c r="FY46" s="39" t="e">
        <f>IF(HF46=$FY$16,0,Исходн.данные.!K46*GO46*GS46*GW46/HF46)</f>
        <v>#N/A</v>
      </c>
      <c r="FZ46" s="39" t="e">
        <f>Исходн.данные.!M46*GS46*GZ46/HG46</f>
        <v>#N/A</v>
      </c>
      <c r="GA46" s="39" t="e">
        <f>IF(K_Wyn=$FY$16,0,IF(Исходн.данные.!N46=Исходн.данные.!$L$10,Исходн.данные.!O46/1.1*GS46*HC46/HH46,IF(Исходн.данные.!N46=Исходн.данные.!$L$12,Исходн.данные.!O46/1.5*GS46*HC46/HH46,Исходн.данные.!O46*GS46*HC46/HH46)))</f>
        <v>#N/A</v>
      </c>
      <c r="GB46" s="39" t="e">
        <f>IF(HF46=$FY$16,0,((Исходн.данные.!Q46*N_Org+Исходн.данные.!R46*N_Sider+Исходн.данные.!S46*N_Soloma)*AO46+Расчет!BC46*VLOOKUP(Исходн.данные.!T46,Справ!$A$3:$O$57,15)*AO46+BB46*VLOOKUP(Исходн.данные.!T46,Справ!$A$3:$O$57,15)*AL46+(Исходн.данные.!V46*N_Rizotorf+Исходн.данные.!W46*N_Rizoagr))/HF46)</f>
        <v>#N/A</v>
      </c>
      <c r="GC46" s="39" t="e">
        <f>IF(HG46=$FY$16,0,((Исходн.данные.!Q46*Р_Org+Исходн.данные.!R46*P_Sider+Исходн.данные.!S46*P_Soloma)*AP46+Расчет!BC46*VLOOKUP(Исходн.данные.!T46,Справ!$A$3:$P$57,16)*AP46+BB46*VLOOKUP(Исходн.данные.!T46,Справ!$A$3:$P$57,16)*AM46)/HG46)</f>
        <v>#N/A</v>
      </c>
      <c r="GD46" s="39" t="e">
        <f>IF(HH46=$FY$16,0,((Исходн.данные.!Q46*К_Org+Исходн.данные.!R46*K_Sider+Исходн.данные.!S46*K_Soloma)*AQ46+Расчет!BC46*VLOOKUP(Исходн.данные.!T46,Справ!$A$3:$Q$57,17)*AQ46+BB46*VLOOKUP(Исходн.данные.!T46,Справ!$A$3:$Q$57,17)*AN46)/HH46)</f>
        <v>#N/A</v>
      </c>
      <c r="GE46" s="39" t="e">
        <f>IF(HF46=$FY$16,0,(Исходн.данные.!X46*AR46+Исходн.данные.!AA46*N_Org*AL46+Исходн.данные.!AB46*N_Sider*AL46+Исходн.данные.!AC46*N_Soloma*AL46)/HF46)</f>
        <v>#N/A</v>
      </c>
      <c r="GF46" s="39" t="e">
        <f>IF(HG46=$FY$16,0,(Исходн.данные.!Y46*AS46+Исходн.данные.!AA46*Р_Org*AM46+Исходн.данные.!AB46*P_Sider*AM46+Исходн.данные.!AC46*P_Soloma*AM46)/HG46)</f>
        <v>#N/A</v>
      </c>
      <c r="GG46" s="39" t="e">
        <f>IF(HH46=$FY$16,0,(Исходн.данные.!Z46*AT46+Исходн.данные.!AA46*К_Org*AN46+Исходн.данные.!AB46*K_Sider*AN46+Исходн.данные.!AC46*K_Soloma*AN46)/HH46)</f>
        <v>#N/A</v>
      </c>
      <c r="GH46" s="39" t="e">
        <f>Исходн.данные.!AD46*AU46/HF46</f>
        <v>#N/A</v>
      </c>
      <c r="GI46" s="39" t="e">
        <f>Исходн.данные.!AE46*AV46/HG46</f>
        <v>#N/A</v>
      </c>
      <c r="GJ46" s="39" t="e">
        <f>Исходн.данные.!AF46*AW46/HH46</f>
        <v>#N/A</v>
      </c>
      <c r="GK46" s="55">
        <f>Исходн.данные.!AK46</f>
        <v>0</v>
      </c>
      <c r="GL46" s="11" t="e">
        <f t="shared" si="113"/>
        <v>#N/A</v>
      </c>
      <c r="GM46" s="11" t="e">
        <f t="shared" si="114"/>
        <v>#N/A</v>
      </c>
      <c r="GN46" s="11" t="e">
        <f t="shared" si="115"/>
        <v>#N/A</v>
      </c>
      <c r="GO46" s="57">
        <f t="shared" si="116"/>
        <v>19</v>
      </c>
      <c r="GP46" s="55">
        <f>IF(OR(Исходн.данные.!F46=$CE$1,Исходн.данные.!F46=$CE$2,Исходн.данные.!F46=$CE$3,Исходн.данные.!F46=$CE$4,Исходн.данные.!F46=$CE$5),GQ46,GR46)</f>
        <v>19</v>
      </c>
      <c r="GQ46" s="55">
        <f>IF(Исходн.данные.!F46=$CE$1,28,IF(Исходн.данные.!F46=$CE$2,26,IF(Исходн.данные.!F46=$CE$3,24,IF(Исходн.данные.!F46=$CE$4,22,IF(Исходн.данные.!F46=$CE$5,20,GR46)))))</f>
        <v>19</v>
      </c>
      <c r="GR46" s="55">
        <f>IF(Исходн.данные.!F46=$CE$6,18,IF(Исходн.данные.!F46=$CE$7,16,IF(Исходн.данные.!F46=$CE$8,14,IF(Исходн.данные.!F46=$CE$9,13,IF(Исходн.данные.!F46=$CE$10,12,19)))))</f>
        <v>19</v>
      </c>
      <c r="GS46" s="55">
        <f>IF(Исходн.данные.!G46="Пес",0.035*(40+2*Исходн.данные.!H46),IF(Исходн.данные.!G46="Суп",0.0325*(40+2*Исходн.данные.!H46),0.03*(40+2*Исходн.данные.!H46)))</f>
        <v>1.2</v>
      </c>
      <c r="GT46" s="55">
        <f>IF(Исходн.данные.!H46&lt;23,2.6,IF(AND(Исходн.данные.!H46&gt;22,Исходн.данные.!H46&lt;26),3,IF(AND(Исходн.данные.!H46&gt;25,Исходн.данные.!H46&lt;29),3.4,3.6)))</f>
        <v>2.6</v>
      </c>
      <c r="GU46" s="55">
        <f>IF(Исходн.данные.!H46&lt;23,2.8,IF(AND(Исходн.данные.!H46&gt;22,Исходн.данные.!H46&lt;26),3.2,IF(AND(Исходн.данные.!H46&gt;25,Исходн.данные.!H46&lt;29),3.6,3.9)))</f>
        <v>2.8</v>
      </c>
      <c r="GV46" s="55">
        <f>IF(Исходн.данные.!H46&lt;23,3,IF(AND(Исходн.данные.!H46&gt;22,Исходн.данные.!H46&lt;26),3.5,IF(AND(Исходн.данные.!H46&gt;25,Исходн.данные.!H46&lt;29),3.9,4.2)))</f>
        <v>3</v>
      </c>
      <c r="GW46" s="55" t="e">
        <f>IF(Исходн.данные.!P46="Ум",GX46,GY46)</f>
        <v>#N/A</v>
      </c>
      <c r="GX46" s="55" t="e">
        <f>VLOOKUP(Исходн.данные.!AI46,Коэффициенты!$J$7:$L$13,2,FALSE)</f>
        <v>#N/A</v>
      </c>
      <c r="GY46" s="55" t="e">
        <f>VLOOKUP(Исходн.данные.!AI46,Коэффициенты!$J$7:$L$13,3,FALSE)</f>
        <v>#N/A</v>
      </c>
      <c r="GZ46" s="55" t="e">
        <f>(IF(Исходн.данные.!M46&lt;50,0.11*VLOOKUP(Исходн.данные.!AH46,Культуры.Информация,7,FALSE),IF(Исходн.данные.!M46&gt;250,0.05*VLOOKUP(Исходн.данные.!AH46,Культуры.Информация,7,FALSE),VLOOKUP(Исходн.данные.!AH46,Культуры.Информация,5,FALSE)/100*($GX$6+$GY$6*Исходн.данные.!M46))))*Расчет2!AI46</f>
        <v>#N/A</v>
      </c>
      <c r="HA46" s="211"/>
      <c r="HB46" s="211"/>
      <c r="HC46" s="55" t="e">
        <f>(IF(Исходн.данные.!O46&lt;80,0.2*VLOOKUP(Исходн.данные.!AH46,Культуры.Информация,8,FALSE),IF(Исходн.данные.!O46&gt;240,0.09*VLOOKUP(Исходн.данные.!AH46,Культуры.Информация,8,FALSE),VLOOKUP(Исходн.данные.!AH46,Культуры.Информация,6,FALSE)/100*($HB$6+$HC$6*Исходн.данные.!O46))))*Расчет2!AJ46</f>
        <v>#N/A</v>
      </c>
      <c r="HD46" s="55">
        <f>IF(Исходн.данные.!O46&gt;240,0.09,IF(Исходн.данные.!O46&lt;30,0.3,$HE$10+$HD$10*Исходн.данные.!O46))</f>
        <v>0.3</v>
      </c>
      <c r="HE46" s="55">
        <f>IF(Исходн.данные.!O46&gt;240,0.17,IF(Исходн.данные.!O46&lt;30,0.5,$HF$12+$HE$12*Исходн.данные.!O46))</f>
        <v>0.5</v>
      </c>
      <c r="HF46" s="55" t="e">
        <f>VLOOKUP(Исходн.данные.!AH46,Справ!$A$3:$D$58,2,FALSE)</f>
        <v>#N/A</v>
      </c>
      <c r="HG46" s="55" t="e">
        <f>VLOOKUP(Исходн.данные.!AH46,Справ!$A$3:$D$58,3,FALSE)</f>
        <v>#N/A</v>
      </c>
      <c r="HH46" s="55" t="e">
        <f>VLOOKUP(Исходн.данные.!AH46,Справ!$A$3:$D$58,4,FALSE)</f>
        <v>#N/A</v>
      </c>
      <c r="HI46" s="11" t="e">
        <f t="shared" si="117"/>
        <v>#N/A</v>
      </c>
      <c r="HJ46" s="11" t="e">
        <f t="shared" si="118"/>
        <v>#N/A</v>
      </c>
      <c r="HK46" s="11" t="e">
        <f t="shared" si="119"/>
        <v>#N/A</v>
      </c>
      <c r="HL46" s="55">
        <f>IF(OR(Исходн.данные.!G46="Глин",Исходн.данные.!G46="Т_суг"),1.1,IF(Исходн.данные.!G46="Ср_суг",1,1))</f>
        <v>1</v>
      </c>
      <c r="HM46" s="55">
        <f>IF(OR(Исходн.данные.!G46="Глин",Исходн.данные.!G46="Т_суг"),0.9,IF(Исходн.данные.!G46="Ср_суг",1,1.2))</f>
        <v>1.2</v>
      </c>
      <c r="HN46" s="11" t="e">
        <f t="shared" si="120"/>
        <v>#N/A</v>
      </c>
      <c r="HO46" s="11" t="e">
        <f t="shared" si="121"/>
        <v>#N/A</v>
      </c>
      <c r="HP46" s="11" t="e">
        <f t="shared" si="122"/>
        <v>#N/A</v>
      </c>
      <c r="HQ46" t="e">
        <f t="shared" si="123"/>
        <v>#N/A</v>
      </c>
      <c r="HR46" t="e">
        <f t="shared" si="124"/>
        <v>#N/A</v>
      </c>
      <c r="HS46" t="e">
        <f t="shared" si="125"/>
        <v>#N/A</v>
      </c>
      <c r="HT46" t="e">
        <f t="shared" si="21"/>
        <v>#N/A</v>
      </c>
      <c r="HU46" t="e">
        <f t="shared" si="22"/>
        <v>#N/A</v>
      </c>
      <c r="HV46" t="e">
        <f t="shared" si="23"/>
        <v>#N/A</v>
      </c>
      <c r="HW46" t="e">
        <f t="shared" si="24"/>
        <v>#N/A</v>
      </c>
      <c r="HX46" t="e">
        <f t="shared" si="25"/>
        <v>#N/A</v>
      </c>
      <c r="HY46" t="e">
        <f t="shared" si="26"/>
        <v>#N/A</v>
      </c>
      <c r="HZ46" s="55">
        <f>IF(OR(Исходн.данные.!AI46="Оз_Ч_П",Исходн.данные.!AI46="Оз_З_П",Исходн.данные.!AI46="Яр_зер"),12,30)</f>
        <v>30</v>
      </c>
      <c r="IA46" t="e">
        <f t="shared" si="126"/>
        <v>#N/A</v>
      </c>
      <c r="IB46" t="e">
        <f t="shared" si="127"/>
        <v>#N/A</v>
      </c>
      <c r="IC46" t="e">
        <f t="shared" si="128"/>
        <v>#N/A</v>
      </c>
      <c r="ID46" s="11" t="e">
        <f t="shared" si="129"/>
        <v>#N/A</v>
      </c>
      <c r="IE46" s="11" t="e">
        <f t="shared" si="130"/>
        <v>#N/A</v>
      </c>
      <c r="IF46" s="11" t="e">
        <f t="shared" si="131"/>
        <v>#N/A</v>
      </c>
    </row>
    <row r="47" spans="35:240" x14ac:dyDescent="0.2">
      <c r="AI47">
        <f>IF(Исходн.данные.!I47&gt;6,1,1.85-(0.148*Исходн.данные.!I47))</f>
        <v>1.85</v>
      </c>
      <c r="AJ47">
        <f>IF(Исходн.данные.!I47&gt;6,1,2.434-(0.246*Исходн.данные.!I47))</f>
        <v>2.4340000000000002</v>
      </c>
      <c r="AL47" s="148" t="b">
        <f>IF(Исходн.данные.!$P47="Ум",N_OrgUd_2g_um,IF(Исходн.данные.!$P47="Об",N_OrgUd_2g_ob))</f>
        <v>0</v>
      </c>
      <c r="AM47" s="148" t="b">
        <f>IF(Исходн.данные.!$P47="Ум",P_OrgUd_2g_um,IF(Исходн.данные.!$P47="Об",P_OrgUd_2g_ob))</f>
        <v>0</v>
      </c>
      <c r="AN47" s="148" t="b">
        <f>IF(Исходн.данные.!$P47="Ум",K_OrgUd_2g_um,IF(Исходн.данные.!$P47="Об",K_OrgUd_2g_ob))</f>
        <v>0</v>
      </c>
      <c r="AO47" s="148" t="b">
        <f>IF(Исходн.данные.!$P47="Ум",N_OrgUd_1g_um,IF(Исходн.данные.!$P47="Об",N_OrgUd_1g_ob))</f>
        <v>0</v>
      </c>
      <c r="AP47" s="148" t="b">
        <f>IF(Исходн.данные.!$P47="Ум",P_OrgUd_1g_um,IF(Исходн.данные.!$P47="Об",P_OrgUd_1g_ob))</f>
        <v>0</v>
      </c>
      <c r="AQ47" s="148" t="b">
        <f>IF(Исходн.данные.!$P47="Ум",K_OrgUd_1g_um,IF(Исходн.данные.!$P47="Об",K_OrgUd_1g_ob))</f>
        <v>0</v>
      </c>
      <c r="AR47" t="b">
        <f>IF(Исходн.данные.!$P47="Ум",N_MinUd_2g_um,IF(Исходн.данные.!$P47="Об",N_MinUd_2g_ob))</f>
        <v>0</v>
      </c>
      <c r="AS47" t="b">
        <f>IF(Исходн.данные.!$P47="Ум",P_MinUd_2g_um,IF(Исходн.данные.!$P47="Об",P_MinUd_2g_ob))</f>
        <v>0</v>
      </c>
      <c r="AT47" t="b">
        <f>IF(Исходн.данные.!$P47="Ум",K_MinUd_2g_um,IF(Исходн.данные.!$P47="Об",K_MinUd_2g_ob))</f>
        <v>0</v>
      </c>
      <c r="AU47" t="b">
        <f>IF(Исходн.данные.!$P47="Ум",N_MinUd_1g_um,IF(Исходн.данные.!$P47="Об",N_MinUd_1g_ob))</f>
        <v>0</v>
      </c>
      <c r="AV47" t="b">
        <f>IF(Исходн.данные.!P47="Ум",P_MinUd_1g_um,IF(Исходн.данные.!P47="Об",P_MinUd_1g_ob))</f>
        <v>0</v>
      </c>
      <c r="AW47" t="b">
        <f>IF(Исходн.данные.!P47="Ум",K_MinUd_1g_um,IF(Исходн.данные.!P47="Об",K_MinUd_1g_ob))</f>
        <v>0</v>
      </c>
      <c r="AY47" t="e">
        <f>VLOOKUP(Исходн.данные.!T47,Справ!$A$3:$N$57,12)</f>
        <v>#N/A</v>
      </c>
      <c r="AZ47" t="e">
        <f>VLOOKUP(Исходн.данные.!T47,Справ!$A$3:$N$57,13)</f>
        <v>#N/A</v>
      </c>
      <c r="BA47" t="e">
        <f>VLOOKUP(Исходн.данные.!T47,Справ!$A$3:$N$57,14)</f>
        <v>#N/A</v>
      </c>
      <c r="BB47">
        <f>IF(Исходн.данные.!AH47=0,0,25)</f>
        <v>0</v>
      </c>
      <c r="BC47" s="141">
        <f>IF(Исходн.данные.!AH47=0,0,IF(Исходн.данные.!T47=0,25,BD47))</f>
        <v>0</v>
      </c>
      <c r="BD47" s="168" t="e">
        <f>AY47+AZ47*Исходн.данные.!U47-POWER(BA47,2)*Исходн.данные.!U47</f>
        <v>#N/A</v>
      </c>
      <c r="BE4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7" s="25">
        <f>IF(Исходн.данные.!AH47=0,0,MIN(HN47:HP47))</f>
        <v>0</v>
      </c>
      <c r="BG47" s="9">
        <f>IF(Исходн.данные.!AH47=0,0,IF((HO47+10*0.25/HG47/HL47)&lt;17,17,HO47+10*0.25/HG47/HL47))</f>
        <v>0</v>
      </c>
      <c r="BH47" s="181">
        <f>IF(Исходн.данные.!AH47=0,0,HW47*HF47*HL47/AU47*AI47+Исходн.данные.!S47*10)</f>
        <v>0</v>
      </c>
      <c r="BI47" s="10"/>
      <c r="BJ47" s="182">
        <f>IF(Исходн.данные.!AH47=0,0,IF(HX47*HG47*HL47/AV47&lt;0,0,HX47*HG47*HL47/AV47*AJ47))</f>
        <v>0</v>
      </c>
      <c r="BK47" s="182">
        <f>IF(Исходн.данные.!AH47=0,0,HY47*HH47*HM47/AW47)</f>
        <v>0</v>
      </c>
      <c r="BL47" s="10">
        <f>IF(OR(Исходн.данные.!$AH47=$BP$1,Исходн.данные.!$AH47=$BP$2),0,IF(BH47&lt;0,0,IF(OR(Исходн.данные.!T47=Расчет!$BP$1,Исходн.данные.!T47=Расчет!$BP$2,Исходн.данные.!T47=Расчет!$BT$5,Исходн.данные.!T47=Расчет!$BT$6),BH47*0.5,IF(OR(Исходн.данные.!T47=Расчет!$BS$9,Исходн.данные.!T47=Расчет!$BS$10,Исходн.данные.!T47=Расчет!$BS$11,Исходн.данные.!T47=Расчет!$BS$12,Исходн.данные.!T47=Расчет!$BP$5),BH47*0.8,BH47))))</f>
        <v>0</v>
      </c>
      <c r="BM47" s="10">
        <f>IF(OR(Исходн.данные.!$AH47=$BP$1,Исходн.данные.!$AH47=$BP$2),0,IF(BJ47&lt;0,0,IF(Исходн.данные.!I47&lt;4.5,BJ47*1.2,IF(Исходн.данные.!I47&gt;5.1,BJ47,BJ47*((5.1-Исходн.данные.!I47)*0.333+1)))))</f>
        <v>0</v>
      </c>
      <c r="BN47" s="10">
        <f>IF(OR(Исходн.данные.!$AH47=$BP$1,Исходн.данные.!$AH47=$BP$2),60-Исходн.данные.!AF47,IF(BK47&lt;0,0,IF(Исходн.данные.!I47&lt;4.5,BK47*1.2,IF(Исходн.данные.!I47&gt;5.1,BK47,BK47*((5.1-Исходн.данные.!I47)*0.333+1)))))</f>
        <v>0</v>
      </c>
      <c r="BO47" s="9">
        <f>IF(BL47&lt;0,0,BL47*Исходн.данные.!$AJ47/1000)</f>
        <v>0</v>
      </c>
      <c r="BP47" s="9">
        <f>IF(BM47&lt;0,0,BM47*Исходн.данные.!$AJ47/1000)</f>
        <v>0</v>
      </c>
      <c r="BQ47" s="9">
        <f>IF(BN47&lt;0,0,BN47*Исходн.данные.!$AJ47/1000)</f>
        <v>0</v>
      </c>
      <c r="BR47" s="9">
        <f t="shared" si="81"/>
        <v>0</v>
      </c>
      <c r="BS47" s="10" t="str">
        <f t="shared" si="82"/>
        <v>Аммофос 12:52:00</v>
      </c>
      <c r="BT47" s="10" t="str">
        <f t="shared" si="83"/>
        <v>Аммофос 12:52:00</v>
      </c>
      <c r="BU47" s="10" t="str">
        <f t="shared" si="84"/>
        <v>Диаммофоска</v>
      </c>
      <c r="BV47" s="10">
        <f t="shared" si="85"/>
        <v>0</v>
      </c>
      <c r="BW47" s="10"/>
      <c r="BX47" s="10"/>
      <c r="BY47" s="9">
        <f>IF(BL47&lt;0,0,IF(OR(Исходн.данные.!AI47=Расчет!$BU$6,Исходн.данные.!AI47=Расчет!$BU$7),Расчет!BV47,IF(Исходн.данные.!$AG47=$BV$11,BL47,IF(OR(Исходн.данные.!$AH47=$BQ$7,Исходн.данные.!$AH47=$BQ$8),CB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0,IF(Исходн.данные.!$AI47=$BU$11,"Нет",IF(BL47&gt;30,30,BL47)))))))</f>
        <v>0</v>
      </c>
      <c r="BZ47" s="9">
        <f>IF(AND(Исходн.данные.!$AG47=$BV$11,BM47&lt;10),10,IF(Исходн.данные.!$AG47=$BV$11,BM47,IF(OR(Исходн.данные.!$AH47=$BQ$7,Исходн.данные.!$AH47=$BQ$8),CC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10,IF(Исходн.данные.!$AI47=$BU$11,"Нет",IF(BM47&gt;60,60,IF(BM47&lt;10,10,BM47)))))))</f>
        <v>10</v>
      </c>
      <c r="CA47" s="39">
        <f>IF(BN47&lt;0,0,IF(Исходн.данные.!$AG47=$BV$11,BN47,IF(OR(Исходн.данные.!$AH47=$BQ$7,Исходн.данные.!$AH47=$BQ$8),CD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0,IF(Исходн.данные.!$AI47=$BU$11,"Нет",IF(BN47&gt;30,30,BN47))))))</f>
        <v>0</v>
      </c>
      <c r="CB47" s="9">
        <f t="shared" si="86"/>
        <v>0</v>
      </c>
      <c r="CC47" s="9">
        <f t="shared" si="87"/>
        <v>0</v>
      </c>
      <c r="CD47" s="9">
        <f t="shared" si="88"/>
        <v>0</v>
      </c>
      <c r="CE47" s="12">
        <f t="shared" si="89"/>
        <v>10</v>
      </c>
      <c r="CF47" s="9">
        <f t="shared" si="90"/>
        <v>0</v>
      </c>
      <c r="CG47" s="9" t="s">
        <v>231</v>
      </c>
      <c r="CH47" s="132" t="str">
        <f>IF(Исходн.данные.!AP47=Расчет!$CI$16,"Нет",IF(Исходн.данные.!AL47&gt;0,Исходн.данные.!AL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BH$4,IF(OR(Исходн.данные.!AI47=Исходн.данные.!$AI$6,Исходн.данные.!AI47=Исходн.данные.!$AI$7),Расчет!BS47,IF(AND($CF47=0,$CE47&gt;0),EV47,ER47)))))</f>
        <v>Аммофос 12:52:00</v>
      </c>
      <c r="CI47" s="274">
        <f>IF(Расчет!$CH47="Нет","Нет",IF(Исходн.данные.!$AL47&gt;0,VLOOKUP(Расчет!$CH47,АшламаДВ_Irekle,2,FALSE),VLOOKUP(Расчет!$CH47,АшламаДВ_Gomumy,2,FALSE)))</f>
        <v>0.12</v>
      </c>
      <c r="CJ47" s="274">
        <f>IF(Расчет!$CH47="Нет","Нет",IF(Исходн.данные.!$AL47&gt;0,VLOOKUP(Расчет!$CH47,АшламаДВ_Irekle,3,FALSE),VLOOKUP(Расчет!$CH47,АшламаДВ_Gomumy,3,FALSE)))</f>
        <v>0.52</v>
      </c>
      <c r="CK47" s="274">
        <f>IF(Расчет!$CH47="Нет","Нет",IF(Исходн.данные.!$AL47&gt;0,VLOOKUP(Расчет!$CH47,АшламаДВ_Irekle,4,FALSE),VLOOKUP(Расчет!$CH47,АшламаДВ_Gomumy,4,FALSE)))</f>
        <v>0</v>
      </c>
      <c r="CL47" s="70"/>
      <c r="CM47" s="70"/>
      <c r="CN47" s="70"/>
      <c r="CO47" s="70"/>
      <c r="CP47" s="70"/>
      <c r="CQ47" s="70"/>
      <c r="CR47" s="10">
        <f t="shared" si="91"/>
        <v>0</v>
      </c>
      <c r="CS47" s="10">
        <f t="shared" si="92"/>
        <v>19.23076923076923</v>
      </c>
      <c r="CT47" s="10">
        <f t="shared" si="93"/>
        <v>0</v>
      </c>
      <c r="CU47" s="39">
        <f>IF($CH47="Нет",0,IF(CI47=0,30/MIN(CJ47:CK47),IF(Исходн.данные.!$AG47=$BV$11,CR47,IF(OR(Исходн.данные.!$AH47=$BQ$7,Исходн.данные.!$AH47=$BQ$8),90/CI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0,IF(Исходн.данные.!$AI47=$BU$11,"Нет",30/CI47))))))</f>
        <v>250</v>
      </c>
      <c r="CV47" s="39">
        <f>IF($CH47="Нет",0,IF(Исходн.данные.!AH47=0,0,IF(CJ47=0,60/MIN(CI47,CK47),IF(Исходн.данные.!$AG47=$BV$11,CS47,IF(OR(Исходн.данные.!$AH47=$BQ$7,Исходн.данные.!$AH47=$BQ$8),90/CJ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10/CJ47,IF(Исходн.данные.!$AI47=$BU$11,"Нет",60/CJ47)))))))</f>
        <v>0</v>
      </c>
      <c r="CW47" s="39">
        <f>IF($CH47="Нет",0,IF(Исходн.данные.!AH47=0,0,IF(CK47=0,30/MIN(CI47:CJ47),IF(Исходн.данные.!$AG47=$BV$11,CT47,IF(OR(Исходн.данные.!$AH47=$BQ$7,Исходн.данные.!$AH47=$BQ$8),90/CK47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0,IF(Исходн.данные.!$AI47=$BU$11,"Нет",30/CK47)))))))</f>
        <v>0</v>
      </c>
      <c r="CX47" s="133">
        <f>IF(Исходн.данные.!$AG47=$BV$11,MAX(CU47:CW47),IF(OR(Исходн.данные.!$AH47=$BS$8,Исходн.данные.!$AH47=$BQ$9,Исходн.данные.!$AH47=$BQ$10,Исходн.данные.!$AH47=$BQ$11,Исходн.данные.!$AH47=$BQ$12,Исходн.данные.!$AH47=$BP$3,Исходн.данные.!$AH47=$BT$8,$FM47="Да"),CV47,MIN(CU47:CW47)))</f>
        <v>0</v>
      </c>
      <c r="CY47" s="133">
        <f>IF(Исходн.данные.!AH47=0,0,IF(CR47&gt;$CX47,$CX47,CR47))</f>
        <v>0</v>
      </c>
      <c r="CZ47" s="133">
        <f>IF(Исходн.данные.!AH47=0,0,IF(CS47&gt;$CX47,$CX47,CS47))</f>
        <v>0</v>
      </c>
      <c r="DA47" s="133">
        <f>IF(Исходн.данные.!AH47=0,0,IF(CT47&gt;$CX47,$CX47,CT47))</f>
        <v>0</v>
      </c>
      <c r="DB47" s="10">
        <f t="shared" si="94"/>
        <v>0</v>
      </c>
      <c r="DC47" s="39">
        <f>DB47*Исходн.данные.!AJ47/1000</f>
        <v>0</v>
      </c>
      <c r="DD47" s="71">
        <f t="shared" si="95"/>
        <v>0</v>
      </c>
      <c r="DE47" s="9">
        <f t="shared" si="96"/>
        <v>0</v>
      </c>
      <c r="DF47" s="9">
        <f t="shared" si="97"/>
        <v>0</v>
      </c>
      <c r="DG47" s="39">
        <f>IF(BL47&lt;0,0,IF($CH47="Нет",BL47,IF(OR(Исходн.данные.!$AH47=$BP$1,Исходн.данные.!$AH47=$BP$2),0,IF(Исходн.данные.!AI47=$BU$11,BL47,IF(BL47-DD47&lt;0,0,BL47-DD47)))))</f>
        <v>0</v>
      </c>
      <c r="DH47" s="39">
        <f>IF(BM47&lt;0,0,IF($CH47="Нет",BM47,IF(OR(Исходн.данные.!$AH47=$BP$1,Исходн.данные.!$AH47=$BP$2),0,IF(Исходн.данные.!AJ47=$BU$11,BM47,IF(BM47-DE47&lt;0,0,BM47-DE47)))))</f>
        <v>0</v>
      </c>
      <c r="DI47" s="39">
        <f>IF(BN47&lt;0,0,IF($CH47="Нет",BN47,IF(OR(Исходн.данные.!$AH47=$BP$1,Исходн.данные.!$AH47=$BP$2),0,IF(Исходн.данные.!AK47=$BU$11,BN47,IF(BN47-DF47&lt;0,0,BN47-DF47)))))</f>
        <v>0</v>
      </c>
      <c r="DJ47" s="12">
        <f t="shared" si="98"/>
        <v>0</v>
      </c>
      <c r="DK47" s="9">
        <f t="shared" si="99"/>
        <v>0</v>
      </c>
      <c r="DL47" s="39">
        <f>IF(Исходн.данные.!AM47&gt;0,Исходн.данные.!AM47,IF(EG47&gt;0,$BH$10,0))</f>
        <v>0</v>
      </c>
      <c r="DM47" s="186">
        <f>IF($DL47=0,0,IF(Исходн.данные.!AM47&gt;0,VLOOKUP($DL47,АшламаДВ_Irekle,2,FALSE),VLOOKUP($DL47,АшламаДВ_Gomumy,2,FALSE)))</f>
        <v>0</v>
      </c>
      <c r="DN47" s="10">
        <f t="shared" si="46"/>
        <v>0</v>
      </c>
      <c r="DO47" s="9" t="str">
        <f>IF(Исходн.данные.!AN47&gt;0,Исходн.данные.!AN47,Удобрения!$B$37 )</f>
        <v>Хлор.калий</v>
      </c>
      <c r="DP47" s="9">
        <f>IF(Исходн.данные.!AN47&gt;0,VLOOKUP(Исходн.данные.!AN47,АшламаДВ_Irekle,4,FALSE),VLOOKUP(DO47,АшламаДВ_Gomumy,4,FALSE))</f>
        <v>0.6</v>
      </c>
      <c r="DQ47" s="10">
        <f t="shared" si="47"/>
        <v>0</v>
      </c>
      <c r="DR47" s="132" t="str">
        <f>IF(Исходн.данные.!AO47&gt;0,Исходн.данные.!AO47,IF(DH47=0,BS$17,IF(AND($DK47=0,$DJ47&gt;0),EJ47,EN47)))</f>
        <v>Нет</v>
      </c>
      <c r="DS47" s="70" t="str">
        <f>IF($DR47="Нет","Нет",IF(Исходн.данные.!$AO47&gt;0,VLOOKUP($DR47,АшламаДВ_Irekle,2,FALSE),VLOOKUP($DR47,АшламаДВ_Gomumy,2,FALSE)))</f>
        <v>Нет</v>
      </c>
      <c r="DT47" s="70" t="str">
        <f>IF($DR47="Нет","Нет",IF(Исходн.данные.!$AO47&gt;0,VLOOKUP($DR47,АшламаДВ_Irekle,3,FALSE),VLOOKUP($DR47,АшламаДВ_Gomumy,3,FALSE)))</f>
        <v>Нет</v>
      </c>
      <c r="DU47" s="70" t="str">
        <f>IF($DR47="Нет","Нет",IF(Исходн.данные.!$AO47&gt;0,VLOOKUP($DR47,АшламаДВ_Irekle,4,FALSE),VLOOKUP($DR47,АшламаДВ_Gomumy,4,FALSE)))</f>
        <v>Нет</v>
      </c>
      <c r="DV47" s="70"/>
      <c r="DW47" s="70"/>
      <c r="DX47" s="70"/>
      <c r="DY47" s="10">
        <f t="shared" si="100"/>
        <v>0</v>
      </c>
      <c r="DZ47" s="10">
        <f t="shared" si="101"/>
        <v>0</v>
      </c>
      <c r="EA47" s="10">
        <f t="shared" si="102"/>
        <v>0</v>
      </c>
      <c r="EB47" s="10">
        <f t="shared" si="103"/>
        <v>0</v>
      </c>
      <c r="EC47" s="10">
        <f t="shared" si="104"/>
        <v>0</v>
      </c>
      <c r="ED47" s="10">
        <f t="shared" si="105"/>
        <v>0</v>
      </c>
      <c r="EE47" s="10">
        <f t="shared" si="106"/>
        <v>0</v>
      </c>
      <c r="EF47" s="39">
        <f>EB47*Исходн.данные.!AJ47/1000</f>
        <v>0</v>
      </c>
      <c r="EG47" s="9">
        <f t="shared" si="107"/>
        <v>0</v>
      </c>
      <c r="EH47" s="9">
        <f t="shared" si="108"/>
        <v>0</v>
      </c>
      <c r="EI47" s="39" t="e">
        <f t="shared" si="7"/>
        <v>#DIV/0!</v>
      </c>
      <c r="EJ47" s="9" t="str">
        <f t="shared" si="8"/>
        <v>Азопреципитат</v>
      </c>
      <c r="EK47" s="12">
        <f t="shared" si="9"/>
        <v>0.26</v>
      </c>
      <c r="EL47" s="12">
        <f t="shared" si="10"/>
        <v>0.13</v>
      </c>
      <c r="EM47" s="12">
        <f t="shared" si="11"/>
        <v>0</v>
      </c>
      <c r="EN47" s="12" t="str">
        <f t="shared" si="57"/>
        <v>Нет</v>
      </c>
      <c r="EO47" s="12">
        <f t="shared" si="12"/>
        <v>0</v>
      </c>
      <c r="EP47" s="12">
        <f t="shared" si="13"/>
        <v>0</v>
      </c>
      <c r="EQ47" s="12">
        <f t="shared" si="14"/>
        <v>0</v>
      </c>
      <c r="ER47" s="12" t="str">
        <f t="shared" si="109"/>
        <v>Диаммофоска</v>
      </c>
      <c r="ES47" s="12">
        <f t="shared" si="15"/>
        <v>0.1</v>
      </c>
      <c r="ET47" s="12">
        <f t="shared" si="16"/>
        <v>0.26</v>
      </c>
      <c r="EU47" s="12">
        <f t="shared" si="17"/>
        <v>0.26</v>
      </c>
      <c r="EV47" s="12" t="str">
        <f t="shared" si="110"/>
        <v>Аммофос 12:52:00</v>
      </c>
      <c r="EW47" s="12" t="str">
        <f t="shared" si="111"/>
        <v>Кемира Свекловичное-6</v>
      </c>
      <c r="EX47" s="12">
        <f t="shared" si="18"/>
        <v>0.16</v>
      </c>
      <c r="EY47" s="12">
        <f t="shared" si="19"/>
        <v>0.12</v>
      </c>
      <c r="EZ47" s="12">
        <f t="shared" si="20"/>
        <v>0.17</v>
      </c>
      <c r="FA47" s="38" t="e">
        <f>IF(AND(OR(FJ47=$FD$1,FM47=$FD$1,FO47=$FD$1,FQ47=$FD$1,FS47=$FD$1),FD47=$FD$1,Исходн.данные.!J47&lt;2,FU47=$FD$1),"Бор,Кобальт",IF(AND(FO47=$FD$1,FH47=$FD$1,Исходн.данные.!J47&lt;2,FU47=$FD$1),"Бор,Кобальт",IF(AND(OR(FJ47=$FD$1,FM47=$FD$1,FQ47=$FD$1),FE47=$FD$1,Исходн.данные.!J47&lt;2,FT47=$FD$1,FU47=$FD$1),"Бор,Медь,Цинк",IF(AND(OR(FJ47=$FD$1,FR47="Да"),FI47="Да",Исходн.данные.!J47&lt;2,FT47="Да",FU47="Да"),"Бор,Цинк,Медь",IF(AND(OR(FM47="Да",FQ47="Да"),FI47="Да",Исходн.данные.!J47&lt;2,FT47="Да",FU47="Да"),"Бор,Цинк",IF(AND(FN47="Да",OR(FD47="Да",FE47="Да")),"Бор",FB47))))))</f>
        <v>#N/A</v>
      </c>
      <c r="FB47" s="134" t="e">
        <f>IF(AND(OR(FD47="Да",FE47="Да",FF47="Да",FG47="Да",FH47="Да"),FO47="Да"),"Бор",IF(AND(FP47="Да",OR(FD47="Да",FE47="Да",FI47="Да")),"Бор",IF(AND(FS47="Да",FE47="Да"),"Бор,Медь",IF(AND(OR(FJ47="Да",FK47="Да",FL47="Да"),FE47="Да",Исходн.данные.!I47&lt;5,FT47="Да",FU47="Да"),"Молибден,Цинк",IF(AND(FM47="Да",OR(FE47="Да",FF47="Да",FG47="Да",FH47="Да",FI47="Да")),"Молибден,Цинк",IF(AND(OR(FJ47="Да",FK47="Да",FL47="Да",FM47="Да",FQ47="Да"),OR(FE47="Да",FF47="Да"),FT47="Да",FU47="Да",Исходн.данные.!I47&gt;5.5),"Медь,Цинк",FC47))))))</f>
        <v>#N/A</v>
      </c>
      <c r="FC47" s="23" t="e">
        <f t="shared" si="112"/>
        <v>#N/A</v>
      </c>
      <c r="FD47" s="38" t="str">
        <f>IF(OR(Исходн.данные.!F47=$CC$1,Исходн.данные.!F47=$CC$2,Исходн.данные.!F47=$CC$3,Исходн.данные.!F47=$CC$4),"Да","Нет")</f>
        <v>Нет</v>
      </c>
      <c r="FE47" s="38" t="str">
        <f>IF(Исходн.данные.!F47=$CC$5,"Да","Нет")</f>
        <v>Нет</v>
      </c>
      <c r="FF47" s="38" t="str">
        <f>IF(OR(Исходн.данные.!F47=$CC$6,Исходн.данные.!F47=$CC$7),"Да","Нет")</f>
        <v>Нет</v>
      </c>
      <c r="FG47" s="38" t="str">
        <f>IF(OR(Исходн.данные.!F47=$CC$8,Исходн.данные.!F47=$CC$9),"Да","Нет")</f>
        <v>Нет</v>
      </c>
      <c r="FH47" s="38" t="str">
        <f>IF(Исходн.данные.!F47=$CC$10,"Да","Нет")</f>
        <v>Нет</v>
      </c>
      <c r="FI47" s="38" t="str">
        <f>IF(OR(Исходн.данные.!F47=$CC$11,Исходн.данные.!F47=$CC$12),"Да","Нет")</f>
        <v>Нет</v>
      </c>
      <c r="FJ47" s="38" t="str">
        <f>IF(OR(Исходн.данные.!AH47=$BS$1,Исходн.данные.!AH47=$BQ$11,Исходн.данные.!AH47=$BQ$12),"Да","Нет")</f>
        <v>Нет</v>
      </c>
      <c r="FK47" s="38" t="str">
        <f>IF(OR(Исходн.данные.!AH47=$BS$2,Исходн.данные.!AH47=$BS$4),"Да","Нет")</f>
        <v>Нет</v>
      </c>
      <c r="FL47" s="38" t="str">
        <f>IF(OR(Исходн.данные.!AH47=$BS$3,Исходн.данные.!AH47=$BS$5),"Да","Нет")</f>
        <v>Нет</v>
      </c>
      <c r="FM47" s="38" t="str">
        <f>IF(OR(Исходн.данные.!AH47=$BS$9,Исходн.данные.!AH47=$BS$10,Исходн.данные.!AH47=$BS$11,Исходн.данные.!AH47=$BS$12),"Да","Нет")</f>
        <v>Нет</v>
      </c>
      <c r="FN47" s="38" t="str">
        <f>IF(OR(Исходн.данные.!AH47=$BS$6,Исходн.данные.!AH47=$BP$3),"Да","Нет")</f>
        <v>Нет</v>
      </c>
      <c r="FO47" s="38" t="str">
        <f>IF(Исходн.данные.!AH47=$BQ$9,"Да","Нет")</f>
        <v>Нет</v>
      </c>
      <c r="FP47" s="38" t="str">
        <f>IF(OR(Исходн.данные.!AH47=$BS$8,Исходн.данные.!AH47=$BT$8),"Да","Нет")</f>
        <v>Нет</v>
      </c>
      <c r="FQ47" s="38" t="str">
        <f>IF(OR(Исходн.данные.!AH47=$BQ$7,Исходн.данные.!AH47=$BQ$8),"Да","Нет")</f>
        <v>Нет</v>
      </c>
      <c r="FR47" s="38" t="str">
        <f>IF(Исходн.данные.!AI47=$BU$9,"Да","Нет")</f>
        <v>Нет</v>
      </c>
      <c r="FS47" s="38" t="str">
        <f>IF(OR(Исходн.данные.!AH47=$BP$1,Исходн.данные.!AH47=$BP$2),"Да","Нет")</f>
        <v>Нет</v>
      </c>
      <c r="FT47" s="38" t="e">
        <f>IF((Исходн.данные.!K47*GO47*GS47*GW47+BL47*0.6+Исходн.данные.!Q47*4.5*0.275)&gt;90,"Да","Нет")</f>
        <v>#N/A</v>
      </c>
      <c r="FU47" s="38" t="e">
        <f>IF((Исходн.данные.!M47*GS47*GZ47+BM47*0.225)&gt;35,"Да","Нет")</f>
        <v>#N/A</v>
      </c>
      <c r="FV47" s="38" t="str">
        <f>IF(Исходн.данные.!O47&gt;175,"Да","Нет")</f>
        <v>Нет</v>
      </c>
      <c r="FW47" s="39" t="str">
        <f>IF(Исходн.данные.!I47&gt;5.5,"Да","Нет")</f>
        <v>Нет</v>
      </c>
      <c r="FX47" s="39" t="str">
        <f>IF(Исходн.данные.!J47&lt;2,"Да","Нет")</f>
        <v>Да</v>
      </c>
      <c r="FY47" s="39" t="e">
        <f>IF(HF47=$FY$16,0,Исходн.данные.!K47*GO47*GS47*GW47/HF47)</f>
        <v>#N/A</v>
      </c>
      <c r="FZ47" s="39" t="e">
        <f>Исходн.данные.!M47*GS47*GZ47/HG47</f>
        <v>#N/A</v>
      </c>
      <c r="GA47" s="39" t="e">
        <f>IF(K_Wyn=$FY$16,0,IF(Исходн.данные.!N47=Исходн.данные.!$L$10,Исходн.данные.!O47/1.1*GS47*HC47/HH47,IF(Исходн.данные.!N47=Исходн.данные.!$L$12,Исходн.данные.!O47/1.5*GS47*HC47/HH47,Исходн.данные.!O47*GS47*HC47/HH47)))</f>
        <v>#N/A</v>
      </c>
      <c r="GB47" s="39" t="e">
        <f>IF(HF47=$FY$16,0,((Исходн.данные.!Q47*N_Org+Исходн.данные.!R47*N_Sider+Исходн.данные.!S47*N_Soloma)*AO47+Расчет!BC47*VLOOKUP(Исходн.данные.!T47,Справ!$A$3:$O$57,15)*AO47+BB47*VLOOKUP(Исходн.данные.!T47,Справ!$A$3:$O$57,15)*AL47+(Исходн.данные.!V47*N_Rizotorf+Исходн.данные.!W47*N_Rizoagr))/HF47)</f>
        <v>#N/A</v>
      </c>
      <c r="GC47" s="39" t="e">
        <f>IF(HG47=$FY$16,0,((Исходн.данные.!Q47*Р_Org+Исходн.данные.!R47*P_Sider+Исходн.данные.!S47*P_Soloma)*AP47+Расчет!BC47*VLOOKUP(Исходн.данные.!T47,Справ!$A$3:$P$57,16)*AP47+BB47*VLOOKUP(Исходн.данные.!T47,Справ!$A$3:$P$57,16)*AM47)/HG47)</f>
        <v>#N/A</v>
      </c>
      <c r="GD47" s="39" t="e">
        <f>IF(HH47=$FY$16,0,((Исходн.данные.!Q47*К_Org+Исходн.данные.!R47*K_Sider+Исходн.данные.!S47*K_Soloma)*AQ47+Расчет!BC47*VLOOKUP(Исходн.данные.!T47,Справ!$A$3:$Q$57,17)*AQ47+BB47*VLOOKUP(Исходн.данные.!T47,Справ!$A$3:$Q$57,17)*AN47)/HH47)</f>
        <v>#N/A</v>
      </c>
      <c r="GE47" s="39" t="e">
        <f>IF(HF47=$FY$16,0,(Исходн.данные.!X47*AR47+Исходн.данные.!AA47*N_Org*AL47+Исходн.данные.!AB47*N_Sider*AL47+Исходн.данные.!AC47*N_Soloma*AL47)/HF47)</f>
        <v>#N/A</v>
      </c>
      <c r="GF47" s="39" t="e">
        <f>IF(HG47=$FY$16,0,(Исходн.данные.!Y47*AS47+Исходн.данные.!AA47*Р_Org*AM47+Исходн.данные.!AB47*P_Sider*AM47+Исходн.данные.!AC47*P_Soloma*AM47)/HG47)</f>
        <v>#N/A</v>
      </c>
      <c r="GG47" s="39" t="e">
        <f>IF(HH47=$FY$16,0,(Исходн.данные.!Z47*AT47+Исходн.данные.!AA47*К_Org*AN47+Исходн.данные.!AB47*K_Sider*AN47+Исходн.данные.!AC47*K_Soloma*AN47)/HH47)</f>
        <v>#N/A</v>
      </c>
      <c r="GH47" s="39" t="e">
        <f>Исходн.данные.!AD47*AU47/HF47</f>
        <v>#N/A</v>
      </c>
      <c r="GI47" s="39" t="e">
        <f>Исходн.данные.!AE47*AV47/HG47</f>
        <v>#N/A</v>
      </c>
      <c r="GJ47" s="39" t="e">
        <f>Исходн.данные.!AF47*AW47/HH47</f>
        <v>#N/A</v>
      </c>
      <c r="GK47" s="55">
        <f>Исходн.данные.!AK47</f>
        <v>0</v>
      </c>
      <c r="GL47" s="11" t="e">
        <f t="shared" si="113"/>
        <v>#N/A</v>
      </c>
      <c r="GM47" s="11" t="e">
        <f t="shared" si="114"/>
        <v>#N/A</v>
      </c>
      <c r="GN47" s="11" t="e">
        <f t="shared" si="115"/>
        <v>#N/A</v>
      </c>
      <c r="GO47" s="57">
        <f t="shared" si="116"/>
        <v>19</v>
      </c>
      <c r="GP47" s="55">
        <f>IF(OR(Исходн.данные.!F47=$CE$1,Исходн.данные.!F47=$CE$2,Исходн.данные.!F47=$CE$3,Исходн.данные.!F47=$CE$4,Исходн.данные.!F47=$CE$5),GQ47,GR47)</f>
        <v>19</v>
      </c>
      <c r="GQ47" s="55">
        <f>IF(Исходн.данные.!F47=$CE$1,28,IF(Исходн.данные.!F47=$CE$2,26,IF(Исходн.данные.!F47=$CE$3,24,IF(Исходн.данные.!F47=$CE$4,22,IF(Исходн.данные.!F47=$CE$5,20,GR47)))))</f>
        <v>19</v>
      </c>
      <c r="GR47" s="55">
        <f>IF(Исходн.данные.!F47=$CE$6,18,IF(Исходн.данные.!F47=$CE$7,16,IF(Исходн.данные.!F47=$CE$8,14,IF(Исходн.данные.!F47=$CE$9,13,IF(Исходн.данные.!F47=$CE$10,12,19)))))</f>
        <v>19</v>
      </c>
      <c r="GS47" s="55">
        <f>IF(Исходн.данные.!G47="Пес",0.035*(40+2*Исходн.данные.!H47),IF(Исходн.данные.!G47="Суп",0.0325*(40+2*Исходн.данные.!H47),0.03*(40+2*Исходн.данные.!H47)))</f>
        <v>1.2</v>
      </c>
      <c r="GT47" s="55">
        <f>IF(Исходн.данные.!H47&lt;23,2.6,IF(AND(Исходн.данные.!H47&gt;22,Исходн.данные.!H47&lt;26),3,IF(AND(Исходн.данные.!H47&gt;25,Исходн.данные.!H47&lt;29),3.4,3.6)))</f>
        <v>2.6</v>
      </c>
      <c r="GU47" s="55">
        <f>IF(Исходн.данные.!H47&lt;23,2.8,IF(AND(Исходн.данные.!H47&gt;22,Исходн.данные.!H47&lt;26),3.2,IF(AND(Исходн.данные.!H47&gt;25,Исходн.данные.!H47&lt;29),3.6,3.9)))</f>
        <v>2.8</v>
      </c>
      <c r="GV47" s="55">
        <f>IF(Исходн.данные.!H47&lt;23,3,IF(AND(Исходн.данные.!H47&gt;22,Исходн.данные.!H47&lt;26),3.5,IF(AND(Исходн.данные.!H47&gt;25,Исходн.данные.!H47&lt;29),3.9,4.2)))</f>
        <v>3</v>
      </c>
      <c r="GW47" s="55" t="e">
        <f>IF(Исходн.данные.!P47="Ум",GX47,GY47)</f>
        <v>#N/A</v>
      </c>
      <c r="GX47" s="55" t="e">
        <f>VLOOKUP(Исходн.данные.!AI47,Коэффициенты!$J$7:$L$13,2,FALSE)</f>
        <v>#N/A</v>
      </c>
      <c r="GY47" s="55" t="e">
        <f>VLOOKUP(Исходн.данные.!AI47,Коэффициенты!$J$7:$L$13,3,FALSE)</f>
        <v>#N/A</v>
      </c>
      <c r="GZ47" s="55" t="e">
        <f>(IF(Исходн.данные.!M47&lt;50,0.11*VLOOKUP(Исходн.данные.!AH47,Культуры.Информация,7,FALSE),IF(Исходн.данные.!M47&gt;250,0.05*VLOOKUP(Исходн.данные.!AH47,Культуры.Информация,7,FALSE),VLOOKUP(Исходн.данные.!AH47,Культуры.Информация,5,FALSE)/100*($GX$6+$GY$6*Исходн.данные.!M47))))*Расчет2!AI47</f>
        <v>#N/A</v>
      </c>
      <c r="HA47" s="211"/>
      <c r="HB47" s="211"/>
      <c r="HC47" s="55" t="e">
        <f>(IF(Исходн.данные.!O47&lt;80,0.2*VLOOKUP(Исходн.данные.!AH47,Культуры.Информация,8,FALSE),IF(Исходн.данные.!O47&gt;240,0.09*VLOOKUP(Исходн.данные.!AH47,Культуры.Информация,8,FALSE),VLOOKUP(Исходн.данные.!AH47,Культуры.Информация,6,FALSE)/100*($HB$6+$HC$6*Исходн.данные.!O47))))*Расчет2!AJ47</f>
        <v>#N/A</v>
      </c>
      <c r="HD47" s="55">
        <f>IF(Исходн.данные.!O47&gt;240,0.09,IF(Исходн.данные.!O47&lt;30,0.3,$HE$10+$HD$10*Исходн.данные.!O47))</f>
        <v>0.3</v>
      </c>
      <c r="HE47" s="55">
        <f>IF(Исходн.данные.!O47&gt;240,0.17,IF(Исходн.данные.!O47&lt;30,0.5,$HF$12+$HE$12*Исходн.данные.!O47))</f>
        <v>0.5</v>
      </c>
      <c r="HF47" s="55" t="e">
        <f>VLOOKUP(Исходн.данные.!AH47,Справ!$A$3:$D$58,2,FALSE)</f>
        <v>#N/A</v>
      </c>
      <c r="HG47" s="55" t="e">
        <f>VLOOKUP(Исходн.данные.!AH47,Справ!$A$3:$D$58,3,FALSE)</f>
        <v>#N/A</v>
      </c>
      <c r="HH47" s="55" t="e">
        <f>VLOOKUP(Исходн.данные.!AH47,Справ!$A$3:$D$58,4,FALSE)</f>
        <v>#N/A</v>
      </c>
      <c r="HI47" s="11" t="e">
        <f t="shared" si="117"/>
        <v>#N/A</v>
      </c>
      <c r="HJ47" s="11" t="e">
        <f t="shared" si="118"/>
        <v>#N/A</v>
      </c>
      <c r="HK47" s="11" t="e">
        <f t="shared" si="119"/>
        <v>#N/A</v>
      </c>
      <c r="HL47" s="55">
        <f>IF(OR(Исходн.данные.!G47="Глин",Исходн.данные.!G47="Т_суг"),1.1,IF(Исходн.данные.!G47="Ср_суг",1,1))</f>
        <v>1</v>
      </c>
      <c r="HM47" s="55">
        <f>IF(OR(Исходн.данные.!G47="Глин",Исходн.данные.!G47="Т_суг"),0.9,IF(Исходн.данные.!G47="Ср_суг",1,1.2))</f>
        <v>1.2</v>
      </c>
      <c r="HN47" s="11" t="e">
        <f t="shared" si="120"/>
        <v>#N/A</v>
      </c>
      <c r="HO47" s="11" t="e">
        <f t="shared" si="121"/>
        <v>#N/A</v>
      </c>
      <c r="HP47" s="11" t="e">
        <f t="shared" si="122"/>
        <v>#N/A</v>
      </c>
      <c r="HQ47" t="e">
        <f t="shared" si="123"/>
        <v>#N/A</v>
      </c>
      <c r="HR47" t="e">
        <f t="shared" si="124"/>
        <v>#N/A</v>
      </c>
      <c r="HS47" t="e">
        <f t="shared" si="125"/>
        <v>#N/A</v>
      </c>
      <c r="HT47" t="e">
        <f t="shared" si="21"/>
        <v>#N/A</v>
      </c>
      <c r="HU47" t="e">
        <f t="shared" si="22"/>
        <v>#N/A</v>
      </c>
      <c r="HV47" t="e">
        <f t="shared" si="23"/>
        <v>#N/A</v>
      </c>
      <c r="HW47" t="e">
        <f t="shared" si="24"/>
        <v>#N/A</v>
      </c>
      <c r="HX47" t="e">
        <f t="shared" si="25"/>
        <v>#N/A</v>
      </c>
      <c r="HY47" t="e">
        <f t="shared" si="26"/>
        <v>#N/A</v>
      </c>
      <c r="HZ47" s="55">
        <f>IF(OR(Исходн.данные.!AI47="Оз_Ч_П",Исходн.данные.!AI47="Оз_З_П",Исходн.данные.!AI47="Яр_зер"),12,30)</f>
        <v>30</v>
      </c>
      <c r="IA47" t="e">
        <f t="shared" si="126"/>
        <v>#N/A</v>
      </c>
      <c r="IB47" t="e">
        <f t="shared" si="127"/>
        <v>#N/A</v>
      </c>
      <c r="IC47" t="e">
        <f t="shared" si="128"/>
        <v>#N/A</v>
      </c>
      <c r="ID47" s="11" t="e">
        <f t="shared" si="129"/>
        <v>#N/A</v>
      </c>
      <c r="IE47" s="11" t="e">
        <f t="shared" si="130"/>
        <v>#N/A</v>
      </c>
      <c r="IF47" s="11" t="e">
        <f t="shared" si="131"/>
        <v>#N/A</v>
      </c>
    </row>
    <row r="48" spans="35:240" x14ac:dyDescent="0.2">
      <c r="AI48">
        <f>IF(Исходн.данные.!I48&gt;6,1,1.85-(0.148*Исходн.данные.!I48))</f>
        <v>1.85</v>
      </c>
      <c r="AJ48">
        <f>IF(Исходн.данные.!I48&gt;6,1,2.434-(0.246*Исходн.данные.!I48))</f>
        <v>2.4340000000000002</v>
      </c>
      <c r="AL48" s="148" t="b">
        <f>IF(Исходн.данные.!$P48="Ум",N_OrgUd_2g_um,IF(Исходн.данные.!$P48="Об",N_OrgUd_2g_ob))</f>
        <v>0</v>
      </c>
      <c r="AM48" s="148" t="b">
        <f>IF(Исходн.данные.!$P48="Ум",P_OrgUd_2g_um,IF(Исходн.данные.!$P48="Об",P_OrgUd_2g_ob))</f>
        <v>0</v>
      </c>
      <c r="AN48" s="148" t="b">
        <f>IF(Исходн.данные.!$P48="Ум",K_OrgUd_2g_um,IF(Исходн.данные.!$P48="Об",K_OrgUd_2g_ob))</f>
        <v>0</v>
      </c>
      <c r="AO48" s="148" t="b">
        <f>IF(Исходн.данные.!$P48="Ум",N_OrgUd_1g_um,IF(Исходн.данные.!$P48="Об",N_OrgUd_1g_ob))</f>
        <v>0</v>
      </c>
      <c r="AP48" s="148" t="b">
        <f>IF(Исходн.данные.!$P48="Ум",P_OrgUd_1g_um,IF(Исходн.данные.!$P48="Об",P_OrgUd_1g_ob))</f>
        <v>0</v>
      </c>
      <c r="AQ48" s="148" t="b">
        <f>IF(Исходн.данные.!$P48="Ум",K_OrgUd_1g_um,IF(Исходн.данные.!$P48="Об",K_OrgUd_1g_ob))</f>
        <v>0</v>
      </c>
      <c r="AR48" t="b">
        <f>IF(Исходн.данные.!$P48="Ум",N_MinUd_2g_um,IF(Исходн.данные.!$P48="Об",N_MinUd_2g_ob))</f>
        <v>0</v>
      </c>
      <c r="AS48" t="b">
        <f>IF(Исходн.данные.!$P48="Ум",P_MinUd_2g_um,IF(Исходн.данные.!$P48="Об",P_MinUd_2g_ob))</f>
        <v>0</v>
      </c>
      <c r="AT48" t="b">
        <f>IF(Исходн.данные.!$P48="Ум",K_MinUd_2g_um,IF(Исходн.данные.!$P48="Об",K_MinUd_2g_ob))</f>
        <v>0</v>
      </c>
      <c r="AU48" t="b">
        <f>IF(Исходн.данные.!$P48="Ум",N_MinUd_1g_um,IF(Исходн.данные.!$P48="Об",N_MinUd_1g_ob))</f>
        <v>0</v>
      </c>
      <c r="AV48" t="b">
        <f>IF(Исходн.данные.!P48="Ум",P_MinUd_1g_um,IF(Исходн.данные.!P48="Об",P_MinUd_1g_ob))</f>
        <v>0</v>
      </c>
      <c r="AW48" t="b">
        <f>IF(Исходн.данные.!P48="Ум",K_MinUd_1g_um,IF(Исходн.данные.!P48="Об",K_MinUd_1g_ob))</f>
        <v>0</v>
      </c>
      <c r="AY48" t="e">
        <f>VLOOKUP(Исходн.данные.!T48,Справ!$A$3:$N$57,12)</f>
        <v>#N/A</v>
      </c>
      <c r="AZ48" t="e">
        <f>VLOOKUP(Исходн.данные.!T48,Справ!$A$3:$N$57,13)</f>
        <v>#N/A</v>
      </c>
      <c r="BA48" t="e">
        <f>VLOOKUP(Исходн.данные.!T48,Справ!$A$3:$N$57,14)</f>
        <v>#N/A</v>
      </c>
      <c r="BB48">
        <f>IF(Исходн.данные.!AH48=0,0,25)</f>
        <v>0</v>
      </c>
      <c r="BC48" s="141">
        <f>IF(Исходн.данные.!AH48=0,0,IF(Исходн.данные.!T48=0,25,BD48))</f>
        <v>0</v>
      </c>
      <c r="BD48" s="168" t="e">
        <f>AY48+AZ48*Исходн.данные.!U48-POWER(BA48,2)*Исходн.данные.!U48</f>
        <v>#N/A</v>
      </c>
      <c r="BE4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8" s="25">
        <f>IF(Исходн.данные.!AH48=0,0,MIN(HN48:HP48))</f>
        <v>0</v>
      </c>
      <c r="BG48" s="9">
        <f>IF(Исходн.данные.!AH48=0,0,IF((HO48+10*0.25/HG48/HL48)&lt;17,17,HO48+10*0.25/HG48/HL48))</f>
        <v>0</v>
      </c>
      <c r="BH48" s="181">
        <f>IF(Исходн.данные.!AH48=0,0,HW48*HF48*HL48/AU48*AI48+Исходн.данные.!S48*10)</f>
        <v>0</v>
      </c>
      <c r="BI48" s="10"/>
      <c r="BJ48" s="182">
        <f>IF(Исходн.данные.!AH48=0,0,IF(HX48*HG48*HL48/AV48&lt;0,0,HX48*HG48*HL48/AV48*AJ48))</f>
        <v>0</v>
      </c>
      <c r="BK48" s="182">
        <f>IF(Исходн.данные.!AH48=0,0,HY48*HH48*HM48/AW48)</f>
        <v>0</v>
      </c>
      <c r="BL48" s="10">
        <f>IF(OR(Исходн.данные.!$AH48=$BP$1,Исходн.данные.!$AH48=$BP$2),0,IF(BH48&lt;0,0,IF(OR(Исходн.данные.!T48=Расчет!$BP$1,Исходн.данные.!T48=Расчет!$BP$2,Исходн.данные.!T48=Расчет!$BT$5,Исходн.данные.!T48=Расчет!$BT$6),BH48*0.5,IF(OR(Исходн.данные.!T48=Расчет!$BS$9,Исходн.данные.!T48=Расчет!$BS$10,Исходн.данные.!T48=Расчет!$BS$11,Исходн.данные.!T48=Расчет!$BS$12,Исходн.данные.!T48=Расчет!$BP$5),BH48*0.8,BH48))))</f>
        <v>0</v>
      </c>
      <c r="BM48" s="10">
        <f>IF(OR(Исходн.данные.!$AH48=$BP$1,Исходн.данные.!$AH48=$BP$2),0,IF(BJ48&lt;0,0,IF(Исходн.данные.!I48&lt;4.5,BJ48*1.2,IF(Исходн.данные.!I48&gt;5.1,BJ48,BJ48*((5.1-Исходн.данные.!I48)*0.333+1)))))</f>
        <v>0</v>
      </c>
      <c r="BN48" s="10">
        <f>IF(OR(Исходн.данные.!$AH48=$BP$1,Исходн.данные.!$AH48=$BP$2),60-Исходн.данные.!AF48,IF(BK48&lt;0,0,IF(Исходн.данные.!I48&lt;4.5,BK48*1.2,IF(Исходн.данные.!I48&gt;5.1,BK48,BK48*((5.1-Исходн.данные.!I48)*0.333+1)))))</f>
        <v>0</v>
      </c>
      <c r="BO48" s="9">
        <f>IF(BL48&lt;0,0,BL48*Исходн.данные.!$AJ48/1000)</f>
        <v>0</v>
      </c>
      <c r="BP48" s="9">
        <f>IF(BM48&lt;0,0,BM48*Исходн.данные.!$AJ48/1000)</f>
        <v>0</v>
      </c>
      <c r="BQ48" s="9">
        <f>IF(BN48&lt;0,0,BN48*Исходн.данные.!$AJ48/1000)</f>
        <v>0</v>
      </c>
      <c r="BR48" s="9">
        <f t="shared" si="81"/>
        <v>0</v>
      </c>
      <c r="BS48" s="10" t="str">
        <f t="shared" si="82"/>
        <v>Аммофос 12:52:00</v>
      </c>
      <c r="BT48" s="10" t="str">
        <f t="shared" si="83"/>
        <v>Аммофос 12:52:00</v>
      </c>
      <c r="BU48" s="10" t="str">
        <f t="shared" si="84"/>
        <v>Диаммофоска</v>
      </c>
      <c r="BV48" s="10">
        <f t="shared" si="85"/>
        <v>0</v>
      </c>
      <c r="BW48" s="10"/>
      <c r="BX48" s="10"/>
      <c r="BY48" s="9">
        <f>IF(BL48&lt;0,0,IF(OR(Исходн.данные.!AI48=Расчет!$BU$6,Исходн.данные.!AI48=Расчет!$BU$7),Расчет!BV48,IF(Исходн.данные.!$AG48=$BV$11,BL48,IF(OR(Исходн.данные.!$AH48=$BQ$7,Исходн.данные.!$AH48=$BQ$8),CB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0,IF(Исходн.данные.!$AI48=$BU$11,"Нет",IF(BL48&gt;30,30,BL48)))))))</f>
        <v>0</v>
      </c>
      <c r="BZ48" s="9">
        <f>IF(AND(Исходн.данные.!$AG48=$BV$11,BM48&lt;10),10,IF(Исходн.данные.!$AG48=$BV$11,BM48,IF(OR(Исходн.данные.!$AH48=$BQ$7,Исходн.данные.!$AH48=$BQ$8),CC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10,IF(Исходн.данные.!$AI48=$BU$11,"Нет",IF(BM48&gt;60,60,IF(BM48&lt;10,10,BM48)))))))</f>
        <v>10</v>
      </c>
      <c r="CA48" s="39">
        <f>IF(BN48&lt;0,0,IF(Исходн.данные.!$AG48=$BV$11,BN48,IF(OR(Исходн.данные.!$AH48=$BQ$7,Исходн.данные.!$AH48=$BQ$8),CD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0,IF(Исходн.данные.!$AI48=$BU$11,"Нет",IF(BN48&gt;30,30,BN48))))))</f>
        <v>0</v>
      </c>
      <c r="CB48" s="9">
        <f t="shared" si="86"/>
        <v>0</v>
      </c>
      <c r="CC48" s="9">
        <f t="shared" si="87"/>
        <v>0</v>
      </c>
      <c r="CD48" s="9">
        <f t="shared" si="88"/>
        <v>0</v>
      </c>
      <c r="CE48" s="12">
        <f t="shared" si="89"/>
        <v>10</v>
      </c>
      <c r="CF48" s="9">
        <f t="shared" si="90"/>
        <v>0</v>
      </c>
      <c r="CG48" s="9" t="s">
        <v>231</v>
      </c>
      <c r="CH48" s="132" t="str">
        <f>IF(Исходн.данные.!AP48=Расчет!$CI$16,"Нет",IF(Исходн.данные.!AL48&gt;0,Исходн.данные.!AL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BH$4,IF(OR(Исходн.данные.!AI48=Исходн.данные.!$AI$6,Исходн.данные.!AI48=Исходн.данные.!$AI$7),Расчет!BS48,IF(AND($CF48=0,$CE48&gt;0),EV48,ER48)))))</f>
        <v>Аммофос 12:52:00</v>
      </c>
      <c r="CI48" s="274">
        <f>IF(Расчет!$CH48="Нет","Нет",IF(Исходн.данные.!$AL48&gt;0,VLOOKUP(Расчет!$CH48,АшламаДВ_Irekle,2,FALSE),VLOOKUP(Расчет!$CH48,АшламаДВ_Gomumy,2,FALSE)))</f>
        <v>0.12</v>
      </c>
      <c r="CJ48" s="274">
        <f>IF(Расчет!$CH48="Нет","Нет",IF(Исходн.данные.!$AL48&gt;0,VLOOKUP(Расчет!$CH48,АшламаДВ_Irekle,3,FALSE),VLOOKUP(Расчет!$CH48,АшламаДВ_Gomumy,3,FALSE)))</f>
        <v>0.52</v>
      </c>
      <c r="CK48" s="274">
        <f>IF(Расчет!$CH48="Нет","Нет",IF(Исходн.данные.!$AL48&gt;0,VLOOKUP(Расчет!$CH48,АшламаДВ_Irekle,4,FALSE),VLOOKUP(Расчет!$CH48,АшламаДВ_Gomumy,4,FALSE)))</f>
        <v>0</v>
      </c>
      <c r="CL48" s="70"/>
      <c r="CM48" s="70"/>
      <c r="CN48" s="70"/>
      <c r="CO48" s="70"/>
      <c r="CP48" s="70"/>
      <c r="CQ48" s="70"/>
      <c r="CR48" s="10">
        <f t="shared" si="91"/>
        <v>0</v>
      </c>
      <c r="CS48" s="10">
        <f t="shared" si="92"/>
        <v>19.23076923076923</v>
      </c>
      <c r="CT48" s="10">
        <f t="shared" si="93"/>
        <v>0</v>
      </c>
      <c r="CU48" s="39">
        <f>IF($CH48="Нет",0,IF(CI48=0,30/MIN(CJ48:CK48),IF(Исходн.данные.!$AG48=$BV$11,CR48,IF(OR(Исходн.данные.!$AH48=$BQ$7,Исходн.данные.!$AH48=$BQ$8),90/CI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0,IF(Исходн.данные.!$AI48=$BU$11,"Нет",30/CI48))))))</f>
        <v>250</v>
      </c>
      <c r="CV48" s="39">
        <f>IF($CH48="Нет",0,IF(Исходн.данные.!AH48=0,0,IF(CJ48=0,60/MIN(CI48,CK48),IF(Исходн.данные.!$AG48=$BV$11,CS48,IF(OR(Исходн.данные.!$AH48=$BQ$7,Исходн.данные.!$AH48=$BQ$8),90/CJ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10/CJ48,IF(Исходн.данные.!$AI48=$BU$11,"Нет",60/CJ48)))))))</f>
        <v>0</v>
      </c>
      <c r="CW48" s="39">
        <f>IF($CH48="Нет",0,IF(Исходн.данные.!AH48=0,0,IF(CK48=0,30/MIN(CI48:CJ48),IF(Исходн.данные.!$AG48=$BV$11,CT48,IF(OR(Исходн.данные.!$AH48=$BQ$7,Исходн.данные.!$AH48=$BQ$8),90/CK48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0,IF(Исходн.данные.!$AI48=$BU$11,"Нет",30/CK48)))))))</f>
        <v>0</v>
      </c>
      <c r="CX48" s="133">
        <f>IF(Исходн.данные.!$AG48=$BV$11,MAX(CU48:CW48),IF(OR(Исходн.данные.!$AH48=$BS$8,Исходн.данные.!$AH48=$BQ$9,Исходн.данные.!$AH48=$BQ$10,Исходн.данные.!$AH48=$BQ$11,Исходн.данные.!$AH48=$BQ$12,Исходн.данные.!$AH48=$BP$3,Исходн.данные.!$AH48=$BT$8,$FM48="Да"),CV48,MIN(CU48:CW48)))</f>
        <v>0</v>
      </c>
      <c r="CY48" s="133">
        <f>IF(Исходн.данные.!AH48=0,0,IF(CR48&gt;$CX48,$CX48,CR48))</f>
        <v>0</v>
      </c>
      <c r="CZ48" s="133">
        <f>IF(Исходн.данные.!AH48=0,0,IF(CS48&gt;$CX48,$CX48,CS48))</f>
        <v>0</v>
      </c>
      <c r="DA48" s="133">
        <f>IF(Исходн.данные.!AH48=0,0,IF(CT48&gt;$CX48,$CX48,CT48))</f>
        <v>0</v>
      </c>
      <c r="DB48" s="10">
        <f t="shared" si="94"/>
        <v>0</v>
      </c>
      <c r="DC48" s="39">
        <f>DB48*Исходн.данные.!AJ48/1000</f>
        <v>0</v>
      </c>
      <c r="DD48" s="71">
        <f t="shared" si="95"/>
        <v>0</v>
      </c>
      <c r="DE48" s="9">
        <f t="shared" si="96"/>
        <v>0</v>
      </c>
      <c r="DF48" s="9">
        <f t="shared" si="97"/>
        <v>0</v>
      </c>
      <c r="DG48" s="39">
        <f>IF(BL48&lt;0,0,IF($CH48="Нет",BL48,IF(OR(Исходн.данные.!$AH48=$BP$1,Исходн.данные.!$AH48=$BP$2),0,IF(Исходн.данные.!AI48=$BU$11,BL48,IF(BL48-DD48&lt;0,0,BL48-DD48)))))</f>
        <v>0</v>
      </c>
      <c r="DH48" s="39">
        <f>IF(BM48&lt;0,0,IF($CH48="Нет",BM48,IF(OR(Исходн.данные.!$AH48=$BP$1,Исходн.данные.!$AH48=$BP$2),0,IF(Исходн.данные.!AJ48=$BU$11,BM48,IF(BM48-DE48&lt;0,0,BM48-DE48)))))</f>
        <v>0</v>
      </c>
      <c r="DI48" s="39">
        <f>IF(BN48&lt;0,0,IF($CH48="Нет",BN48,IF(OR(Исходн.данные.!$AH48=$BP$1,Исходн.данные.!$AH48=$BP$2),0,IF(Исходн.данные.!AK48=$BU$11,BN48,IF(BN48-DF48&lt;0,0,BN48-DF48)))))</f>
        <v>0</v>
      </c>
      <c r="DJ48" s="12">
        <f t="shared" si="98"/>
        <v>0</v>
      </c>
      <c r="DK48" s="9">
        <f t="shared" si="99"/>
        <v>0</v>
      </c>
      <c r="DL48" s="39">
        <f>IF(Исходн.данные.!AM48&gt;0,Исходн.данные.!AM48,IF(EG48&gt;0,$BH$10,0))</f>
        <v>0</v>
      </c>
      <c r="DM48" s="186">
        <f>IF($DL48=0,0,IF(Исходн.данные.!AM48&gt;0,VLOOKUP($DL48,АшламаДВ_Irekle,2,FALSE),VLOOKUP($DL48,АшламаДВ_Gomumy,2,FALSE)))</f>
        <v>0</v>
      </c>
      <c r="DN48" s="10">
        <f t="shared" si="46"/>
        <v>0</v>
      </c>
      <c r="DO48" s="9" t="str">
        <f>IF(Исходн.данные.!AN48&gt;0,Исходн.данные.!AN48,Удобрения!$B$37 )</f>
        <v>Хлор.калий</v>
      </c>
      <c r="DP48" s="9">
        <f>IF(Исходн.данные.!AN48&gt;0,VLOOKUP(Исходн.данные.!AN48,АшламаДВ_Irekle,4,FALSE),VLOOKUP(DO48,АшламаДВ_Gomumy,4,FALSE))</f>
        <v>0.6</v>
      </c>
      <c r="DQ48" s="10">
        <f t="shared" si="47"/>
        <v>0</v>
      </c>
      <c r="DR48" s="132" t="str">
        <f>IF(Исходн.данные.!AO48&gt;0,Исходн.данные.!AO48,IF(DH48=0,BS$17,IF(AND($DK48=0,$DJ48&gt;0),EJ48,EN48)))</f>
        <v>Нет</v>
      </c>
      <c r="DS48" s="70" t="str">
        <f>IF($DR48="Нет","Нет",IF(Исходн.данные.!$AO48&gt;0,VLOOKUP($DR48,АшламаДВ_Irekle,2,FALSE),VLOOKUP($DR48,АшламаДВ_Gomumy,2,FALSE)))</f>
        <v>Нет</v>
      </c>
      <c r="DT48" s="70" t="str">
        <f>IF($DR48="Нет","Нет",IF(Исходн.данные.!$AO48&gt;0,VLOOKUP($DR48,АшламаДВ_Irekle,3,FALSE),VLOOKUP($DR48,АшламаДВ_Gomumy,3,FALSE)))</f>
        <v>Нет</v>
      </c>
      <c r="DU48" s="70" t="str">
        <f>IF($DR48="Нет","Нет",IF(Исходн.данные.!$AO48&gt;0,VLOOKUP($DR48,АшламаДВ_Irekle,4,FALSE),VLOOKUP($DR48,АшламаДВ_Gomumy,4,FALSE)))</f>
        <v>Нет</v>
      </c>
      <c r="DV48" s="70"/>
      <c r="DW48" s="70"/>
      <c r="DX48" s="70"/>
      <c r="DY48" s="10">
        <f t="shared" si="100"/>
        <v>0</v>
      </c>
      <c r="DZ48" s="10">
        <f t="shared" si="101"/>
        <v>0</v>
      </c>
      <c r="EA48" s="10">
        <f t="shared" si="102"/>
        <v>0</v>
      </c>
      <c r="EB48" s="10">
        <f t="shared" si="103"/>
        <v>0</v>
      </c>
      <c r="EC48" s="10">
        <f t="shared" si="104"/>
        <v>0</v>
      </c>
      <c r="ED48" s="10">
        <f t="shared" si="105"/>
        <v>0</v>
      </c>
      <c r="EE48" s="10">
        <f t="shared" si="106"/>
        <v>0</v>
      </c>
      <c r="EF48" s="39">
        <f>EB48*Исходн.данные.!AJ48/1000</f>
        <v>0</v>
      </c>
      <c r="EG48" s="9">
        <f t="shared" si="107"/>
        <v>0</v>
      </c>
      <c r="EH48" s="9">
        <f t="shared" si="108"/>
        <v>0</v>
      </c>
      <c r="EI48" s="39" t="e">
        <f t="shared" si="7"/>
        <v>#DIV/0!</v>
      </c>
      <c r="EJ48" s="9" t="str">
        <f t="shared" si="8"/>
        <v>Азопреципитат</v>
      </c>
      <c r="EK48" s="12">
        <f t="shared" si="9"/>
        <v>0.26</v>
      </c>
      <c r="EL48" s="12">
        <f t="shared" si="10"/>
        <v>0.13</v>
      </c>
      <c r="EM48" s="12">
        <f t="shared" si="11"/>
        <v>0</v>
      </c>
      <c r="EN48" s="12" t="str">
        <f t="shared" si="57"/>
        <v>Нет</v>
      </c>
      <c r="EO48" s="12">
        <f t="shared" si="12"/>
        <v>0</v>
      </c>
      <c r="EP48" s="12">
        <f t="shared" si="13"/>
        <v>0</v>
      </c>
      <c r="EQ48" s="12">
        <f t="shared" si="14"/>
        <v>0</v>
      </c>
      <c r="ER48" s="12" t="str">
        <f t="shared" si="109"/>
        <v>Диаммофоска</v>
      </c>
      <c r="ES48" s="12">
        <f t="shared" si="15"/>
        <v>0.1</v>
      </c>
      <c r="ET48" s="12">
        <f t="shared" si="16"/>
        <v>0.26</v>
      </c>
      <c r="EU48" s="12">
        <f t="shared" si="17"/>
        <v>0.26</v>
      </c>
      <c r="EV48" s="12" t="str">
        <f t="shared" si="110"/>
        <v>Аммофос 12:52:00</v>
      </c>
      <c r="EW48" s="12" t="str">
        <f t="shared" si="111"/>
        <v>Кемира Свекловичное-6</v>
      </c>
      <c r="EX48" s="12">
        <f t="shared" si="18"/>
        <v>0.16</v>
      </c>
      <c r="EY48" s="12">
        <f t="shared" si="19"/>
        <v>0.12</v>
      </c>
      <c r="EZ48" s="12">
        <f t="shared" si="20"/>
        <v>0.17</v>
      </c>
      <c r="FA48" s="38" t="e">
        <f>IF(AND(OR(FJ48=$FD$1,FM48=$FD$1,FO48=$FD$1,FQ48=$FD$1,FS48=$FD$1),FD48=$FD$1,Исходн.данные.!J48&lt;2,FU48=$FD$1),"Бор,Кобальт",IF(AND(FO48=$FD$1,FH48=$FD$1,Исходн.данные.!J48&lt;2,FU48=$FD$1),"Бор,Кобальт",IF(AND(OR(FJ48=$FD$1,FM48=$FD$1,FQ48=$FD$1),FE48=$FD$1,Исходн.данные.!J48&lt;2,FT48=$FD$1,FU48=$FD$1),"Бор,Медь,Цинк",IF(AND(OR(FJ48=$FD$1,FR48="Да"),FI48="Да",Исходн.данные.!J48&lt;2,FT48="Да",FU48="Да"),"Бор,Цинк,Медь",IF(AND(OR(FM48="Да",FQ48="Да"),FI48="Да",Исходн.данные.!J48&lt;2,FT48="Да",FU48="Да"),"Бор,Цинк",IF(AND(FN48="Да",OR(FD48="Да",FE48="Да")),"Бор",FB48))))))</f>
        <v>#N/A</v>
      </c>
      <c r="FB48" s="134" t="e">
        <f>IF(AND(OR(FD48="Да",FE48="Да",FF48="Да",FG48="Да",FH48="Да"),FO48="Да"),"Бор",IF(AND(FP48="Да",OR(FD48="Да",FE48="Да",FI48="Да")),"Бор",IF(AND(FS48="Да",FE48="Да"),"Бор,Медь",IF(AND(OR(FJ48="Да",FK48="Да",FL48="Да"),FE48="Да",Исходн.данные.!I48&lt;5,FT48="Да",FU48="Да"),"Молибден,Цинк",IF(AND(FM48="Да",OR(FE48="Да",FF48="Да",FG48="Да",FH48="Да",FI48="Да")),"Молибден,Цинк",IF(AND(OR(FJ48="Да",FK48="Да",FL48="Да",FM48="Да",FQ48="Да"),OR(FE48="Да",FF48="Да"),FT48="Да",FU48="Да",Исходн.данные.!I48&gt;5.5),"Медь,Цинк",FC48))))))</f>
        <v>#N/A</v>
      </c>
      <c r="FC48" s="23" t="e">
        <f t="shared" si="112"/>
        <v>#N/A</v>
      </c>
      <c r="FD48" s="38" t="str">
        <f>IF(OR(Исходн.данные.!F48=$CC$1,Исходн.данные.!F48=$CC$2,Исходн.данные.!F48=$CC$3,Исходн.данные.!F48=$CC$4),"Да","Нет")</f>
        <v>Нет</v>
      </c>
      <c r="FE48" s="38" t="str">
        <f>IF(Исходн.данные.!F48=$CC$5,"Да","Нет")</f>
        <v>Нет</v>
      </c>
      <c r="FF48" s="38" t="str">
        <f>IF(OR(Исходн.данные.!F48=$CC$6,Исходн.данные.!F48=$CC$7),"Да","Нет")</f>
        <v>Нет</v>
      </c>
      <c r="FG48" s="38" t="str">
        <f>IF(OR(Исходн.данные.!F48=$CC$8,Исходн.данные.!F48=$CC$9),"Да","Нет")</f>
        <v>Нет</v>
      </c>
      <c r="FH48" s="38" t="str">
        <f>IF(Исходн.данные.!F48=$CC$10,"Да","Нет")</f>
        <v>Нет</v>
      </c>
      <c r="FI48" s="38" t="str">
        <f>IF(OR(Исходн.данные.!F48=$CC$11,Исходн.данные.!F48=$CC$12),"Да","Нет")</f>
        <v>Нет</v>
      </c>
      <c r="FJ48" s="38" t="str">
        <f>IF(OR(Исходн.данные.!AH48=$BS$1,Исходн.данные.!AH48=$BQ$11,Исходн.данные.!AH48=$BQ$12),"Да","Нет")</f>
        <v>Нет</v>
      </c>
      <c r="FK48" s="38" t="str">
        <f>IF(OR(Исходн.данные.!AH48=$BS$2,Исходн.данные.!AH48=$BS$4),"Да","Нет")</f>
        <v>Нет</v>
      </c>
      <c r="FL48" s="38" t="str">
        <f>IF(OR(Исходн.данные.!AH48=$BS$3,Исходн.данные.!AH48=$BS$5),"Да","Нет")</f>
        <v>Нет</v>
      </c>
      <c r="FM48" s="38" t="str">
        <f>IF(OR(Исходн.данные.!AH48=$BS$9,Исходн.данные.!AH48=$BS$10,Исходн.данные.!AH48=$BS$11,Исходн.данные.!AH48=$BS$12),"Да","Нет")</f>
        <v>Нет</v>
      </c>
      <c r="FN48" s="38" t="str">
        <f>IF(OR(Исходн.данные.!AH48=$BS$6,Исходн.данные.!AH48=$BP$3),"Да","Нет")</f>
        <v>Нет</v>
      </c>
      <c r="FO48" s="38" t="str">
        <f>IF(Исходн.данные.!AH48=$BQ$9,"Да","Нет")</f>
        <v>Нет</v>
      </c>
      <c r="FP48" s="38" t="str">
        <f>IF(OR(Исходн.данные.!AH48=$BS$8,Исходн.данные.!AH48=$BT$8),"Да","Нет")</f>
        <v>Нет</v>
      </c>
      <c r="FQ48" s="38" t="str">
        <f>IF(OR(Исходн.данные.!AH48=$BQ$7,Исходн.данные.!AH48=$BQ$8),"Да","Нет")</f>
        <v>Нет</v>
      </c>
      <c r="FR48" s="38" t="str">
        <f>IF(Исходн.данные.!AI48=$BU$9,"Да","Нет")</f>
        <v>Нет</v>
      </c>
      <c r="FS48" s="38" t="str">
        <f>IF(OR(Исходн.данные.!AH48=$BP$1,Исходн.данные.!AH48=$BP$2),"Да","Нет")</f>
        <v>Нет</v>
      </c>
      <c r="FT48" s="38" t="e">
        <f>IF((Исходн.данные.!K48*GO48*GS48*GW48+BL48*0.6+Исходн.данные.!Q48*4.5*0.275)&gt;90,"Да","Нет")</f>
        <v>#N/A</v>
      </c>
      <c r="FU48" s="38" t="e">
        <f>IF((Исходн.данные.!M48*GS48*GZ48+BM48*0.225)&gt;35,"Да","Нет")</f>
        <v>#N/A</v>
      </c>
      <c r="FV48" s="38" t="str">
        <f>IF(Исходн.данные.!O48&gt;175,"Да","Нет")</f>
        <v>Нет</v>
      </c>
      <c r="FW48" s="39" t="str">
        <f>IF(Исходн.данные.!I48&gt;5.5,"Да","Нет")</f>
        <v>Нет</v>
      </c>
      <c r="FX48" s="39" t="str">
        <f>IF(Исходн.данные.!J48&lt;2,"Да","Нет")</f>
        <v>Да</v>
      </c>
      <c r="FY48" s="39" t="e">
        <f>IF(HF48=$FY$16,0,Исходн.данные.!K48*GO48*GS48*GW48/HF48)</f>
        <v>#N/A</v>
      </c>
      <c r="FZ48" s="39" t="e">
        <f>Исходн.данные.!M48*GS48*GZ48/HG48</f>
        <v>#N/A</v>
      </c>
      <c r="GA48" s="39" t="e">
        <f>IF(K_Wyn=$FY$16,0,IF(Исходн.данные.!N48=Исходн.данные.!$L$10,Исходн.данные.!O48/1.1*GS48*HC48/HH48,IF(Исходн.данные.!N48=Исходн.данные.!$L$12,Исходн.данные.!O48/1.5*GS48*HC48/HH48,Исходн.данные.!O48*GS48*HC48/HH48)))</f>
        <v>#N/A</v>
      </c>
      <c r="GB48" s="39" t="e">
        <f>IF(HF48=$FY$16,0,((Исходн.данные.!Q48*N_Org+Исходн.данные.!R48*N_Sider+Исходн.данные.!S48*N_Soloma)*AO48+Расчет!BC48*VLOOKUP(Исходн.данные.!T48,Справ!$A$3:$O$57,15)*AO48+BB48*VLOOKUP(Исходн.данные.!T48,Справ!$A$3:$O$57,15)*AL48+(Исходн.данные.!V48*N_Rizotorf+Исходн.данные.!W48*N_Rizoagr))/HF48)</f>
        <v>#N/A</v>
      </c>
      <c r="GC48" s="39" t="e">
        <f>IF(HG48=$FY$16,0,((Исходн.данные.!Q48*Р_Org+Исходн.данные.!R48*P_Sider+Исходн.данные.!S48*P_Soloma)*AP48+Расчет!BC48*VLOOKUP(Исходн.данные.!T48,Справ!$A$3:$P$57,16)*AP48+BB48*VLOOKUP(Исходн.данные.!T48,Справ!$A$3:$P$57,16)*AM48)/HG48)</f>
        <v>#N/A</v>
      </c>
      <c r="GD48" s="39" t="e">
        <f>IF(HH48=$FY$16,0,((Исходн.данные.!Q48*К_Org+Исходн.данные.!R48*K_Sider+Исходн.данные.!S48*K_Soloma)*AQ48+Расчет!BC48*VLOOKUP(Исходн.данные.!T48,Справ!$A$3:$Q$57,17)*AQ48+BB48*VLOOKUP(Исходн.данные.!T48,Справ!$A$3:$Q$57,17)*AN48)/HH48)</f>
        <v>#N/A</v>
      </c>
      <c r="GE48" s="39" t="e">
        <f>IF(HF48=$FY$16,0,(Исходн.данные.!X48*AR48+Исходн.данные.!AA48*N_Org*AL48+Исходн.данные.!AB48*N_Sider*AL48+Исходн.данные.!AC48*N_Soloma*AL48)/HF48)</f>
        <v>#N/A</v>
      </c>
      <c r="GF48" s="39" t="e">
        <f>IF(HG48=$FY$16,0,(Исходн.данные.!Y48*AS48+Исходн.данные.!AA48*Р_Org*AM48+Исходн.данные.!AB48*P_Sider*AM48+Исходн.данные.!AC48*P_Soloma*AM48)/HG48)</f>
        <v>#N/A</v>
      </c>
      <c r="GG48" s="39" t="e">
        <f>IF(HH48=$FY$16,0,(Исходн.данные.!Z48*AT48+Исходн.данные.!AA48*К_Org*AN48+Исходн.данные.!AB48*K_Sider*AN48+Исходн.данные.!AC48*K_Soloma*AN48)/HH48)</f>
        <v>#N/A</v>
      </c>
      <c r="GH48" s="39" t="e">
        <f>Исходн.данные.!AD48*AU48/HF48</f>
        <v>#N/A</v>
      </c>
      <c r="GI48" s="39" t="e">
        <f>Исходн.данные.!AE48*AV48/HG48</f>
        <v>#N/A</v>
      </c>
      <c r="GJ48" s="39" t="e">
        <f>Исходн.данные.!AF48*AW48/HH48</f>
        <v>#N/A</v>
      </c>
      <c r="GK48" s="55">
        <f>Исходн.данные.!AK48</f>
        <v>0</v>
      </c>
      <c r="GL48" s="11" t="e">
        <f t="shared" si="113"/>
        <v>#N/A</v>
      </c>
      <c r="GM48" s="11" t="e">
        <f t="shared" si="114"/>
        <v>#N/A</v>
      </c>
      <c r="GN48" s="11" t="e">
        <f t="shared" si="115"/>
        <v>#N/A</v>
      </c>
      <c r="GO48" s="57">
        <f t="shared" si="116"/>
        <v>19</v>
      </c>
      <c r="GP48" s="55">
        <f>IF(OR(Исходн.данные.!F48=$CE$1,Исходн.данные.!F48=$CE$2,Исходн.данные.!F48=$CE$3,Исходн.данные.!F48=$CE$4,Исходн.данные.!F48=$CE$5),GQ48,GR48)</f>
        <v>19</v>
      </c>
      <c r="GQ48" s="55">
        <f>IF(Исходн.данные.!F48=$CE$1,28,IF(Исходн.данные.!F48=$CE$2,26,IF(Исходн.данные.!F48=$CE$3,24,IF(Исходн.данные.!F48=$CE$4,22,IF(Исходн.данные.!F48=$CE$5,20,GR48)))))</f>
        <v>19</v>
      </c>
      <c r="GR48" s="55">
        <f>IF(Исходн.данные.!F48=$CE$6,18,IF(Исходн.данные.!F48=$CE$7,16,IF(Исходн.данные.!F48=$CE$8,14,IF(Исходн.данные.!F48=$CE$9,13,IF(Исходн.данные.!F48=$CE$10,12,19)))))</f>
        <v>19</v>
      </c>
      <c r="GS48" s="55">
        <f>IF(Исходн.данные.!G48="Пес",0.035*(40+2*Исходн.данные.!H48),IF(Исходн.данные.!G48="Суп",0.0325*(40+2*Исходн.данные.!H48),0.03*(40+2*Исходн.данные.!H48)))</f>
        <v>1.2</v>
      </c>
      <c r="GT48" s="55">
        <f>IF(Исходн.данные.!H48&lt;23,2.6,IF(AND(Исходн.данные.!H48&gt;22,Исходн.данные.!H48&lt;26),3,IF(AND(Исходн.данные.!H48&gt;25,Исходн.данные.!H48&lt;29),3.4,3.6)))</f>
        <v>2.6</v>
      </c>
      <c r="GU48" s="55">
        <f>IF(Исходн.данные.!H48&lt;23,2.8,IF(AND(Исходн.данные.!H48&gt;22,Исходн.данные.!H48&lt;26),3.2,IF(AND(Исходн.данные.!H48&gt;25,Исходн.данные.!H48&lt;29),3.6,3.9)))</f>
        <v>2.8</v>
      </c>
      <c r="GV48" s="55">
        <f>IF(Исходн.данные.!H48&lt;23,3,IF(AND(Исходн.данные.!H48&gt;22,Исходн.данные.!H48&lt;26),3.5,IF(AND(Исходн.данные.!H48&gt;25,Исходн.данные.!H48&lt;29),3.9,4.2)))</f>
        <v>3</v>
      </c>
      <c r="GW48" s="55" t="e">
        <f>IF(Исходн.данные.!P48="Ум",GX48,GY48)</f>
        <v>#N/A</v>
      </c>
      <c r="GX48" s="55" t="e">
        <f>VLOOKUP(Исходн.данные.!AI48,Коэффициенты!$J$7:$L$13,2,FALSE)</f>
        <v>#N/A</v>
      </c>
      <c r="GY48" s="55" t="e">
        <f>VLOOKUP(Исходн.данные.!AI48,Коэффициенты!$J$7:$L$13,3,FALSE)</f>
        <v>#N/A</v>
      </c>
      <c r="GZ48" s="55" t="e">
        <f>(IF(Исходн.данные.!M48&lt;50,0.11*VLOOKUP(Исходн.данные.!AH48,Культуры.Информация,7,FALSE),IF(Исходн.данные.!M48&gt;250,0.05*VLOOKUP(Исходн.данные.!AH48,Культуры.Информация,7,FALSE),VLOOKUP(Исходн.данные.!AH48,Культуры.Информация,5,FALSE)/100*($GX$6+$GY$6*Исходн.данные.!M48))))*Расчет2!AI48</f>
        <v>#N/A</v>
      </c>
      <c r="HA48" s="211"/>
      <c r="HB48" s="211"/>
      <c r="HC48" s="55" t="e">
        <f>(IF(Исходн.данные.!O48&lt;80,0.2*VLOOKUP(Исходн.данные.!AH48,Культуры.Информация,8,FALSE),IF(Исходн.данные.!O48&gt;240,0.09*VLOOKUP(Исходн.данные.!AH48,Культуры.Информация,8,FALSE),VLOOKUP(Исходн.данные.!AH48,Культуры.Информация,6,FALSE)/100*($HB$6+$HC$6*Исходн.данные.!O48))))*Расчет2!AJ48</f>
        <v>#N/A</v>
      </c>
      <c r="HD48" s="55">
        <f>IF(Исходн.данные.!O48&gt;240,0.09,IF(Исходн.данные.!O48&lt;30,0.3,$HE$10+$HD$10*Исходн.данные.!O48))</f>
        <v>0.3</v>
      </c>
      <c r="HE48" s="55">
        <f>IF(Исходн.данные.!O48&gt;240,0.17,IF(Исходн.данные.!O48&lt;30,0.5,$HF$12+$HE$12*Исходн.данные.!O48))</f>
        <v>0.5</v>
      </c>
      <c r="HF48" s="55" t="e">
        <f>VLOOKUP(Исходн.данные.!AH48,Справ!$A$3:$D$58,2,FALSE)</f>
        <v>#N/A</v>
      </c>
      <c r="HG48" s="55" t="e">
        <f>VLOOKUP(Исходн.данные.!AH48,Справ!$A$3:$D$58,3,FALSE)</f>
        <v>#N/A</v>
      </c>
      <c r="HH48" s="55" t="e">
        <f>VLOOKUP(Исходн.данные.!AH48,Справ!$A$3:$D$58,4,FALSE)</f>
        <v>#N/A</v>
      </c>
      <c r="HI48" s="11" t="e">
        <f t="shared" si="117"/>
        <v>#N/A</v>
      </c>
      <c r="HJ48" s="11" t="e">
        <f t="shared" si="118"/>
        <v>#N/A</v>
      </c>
      <c r="HK48" s="11" t="e">
        <f t="shared" si="119"/>
        <v>#N/A</v>
      </c>
      <c r="HL48" s="55">
        <f>IF(OR(Исходн.данные.!G48="Глин",Исходн.данные.!G48="Т_суг"),1.1,IF(Исходн.данные.!G48="Ср_суг",1,1))</f>
        <v>1</v>
      </c>
      <c r="HM48" s="55">
        <f>IF(OR(Исходн.данные.!G48="Глин",Исходн.данные.!G48="Т_суг"),0.9,IF(Исходн.данные.!G48="Ср_суг",1,1.2))</f>
        <v>1.2</v>
      </c>
      <c r="HN48" s="11" t="e">
        <f t="shared" si="120"/>
        <v>#N/A</v>
      </c>
      <c r="HO48" s="11" t="e">
        <f t="shared" si="121"/>
        <v>#N/A</v>
      </c>
      <c r="HP48" s="11" t="e">
        <f t="shared" si="122"/>
        <v>#N/A</v>
      </c>
      <c r="HQ48" t="e">
        <f t="shared" si="123"/>
        <v>#N/A</v>
      </c>
      <c r="HR48" t="e">
        <f t="shared" si="124"/>
        <v>#N/A</v>
      </c>
      <c r="HS48" t="e">
        <f t="shared" si="125"/>
        <v>#N/A</v>
      </c>
      <c r="HT48" t="e">
        <f t="shared" si="21"/>
        <v>#N/A</v>
      </c>
      <c r="HU48" t="e">
        <f t="shared" si="22"/>
        <v>#N/A</v>
      </c>
      <c r="HV48" t="e">
        <f t="shared" si="23"/>
        <v>#N/A</v>
      </c>
      <c r="HW48" t="e">
        <f t="shared" si="24"/>
        <v>#N/A</v>
      </c>
      <c r="HX48" t="e">
        <f t="shared" si="25"/>
        <v>#N/A</v>
      </c>
      <c r="HY48" t="e">
        <f t="shared" si="26"/>
        <v>#N/A</v>
      </c>
      <c r="HZ48" s="55">
        <f>IF(OR(Исходн.данные.!AI48="Оз_Ч_П",Исходн.данные.!AI48="Оз_З_П",Исходн.данные.!AI48="Яр_зер"),12,30)</f>
        <v>30</v>
      </c>
      <c r="IA48" t="e">
        <f t="shared" si="126"/>
        <v>#N/A</v>
      </c>
      <c r="IB48" t="e">
        <f t="shared" si="127"/>
        <v>#N/A</v>
      </c>
      <c r="IC48" t="e">
        <f t="shared" si="128"/>
        <v>#N/A</v>
      </c>
      <c r="ID48" s="11" t="e">
        <f t="shared" si="129"/>
        <v>#N/A</v>
      </c>
      <c r="IE48" s="11" t="e">
        <f t="shared" si="130"/>
        <v>#N/A</v>
      </c>
      <c r="IF48" s="11" t="e">
        <f t="shared" si="131"/>
        <v>#N/A</v>
      </c>
    </row>
    <row r="49" spans="35:240" x14ac:dyDescent="0.2">
      <c r="AI49">
        <f>IF(Исходн.данные.!I49&gt;6,1,1.85-(0.148*Исходн.данные.!I49))</f>
        <v>1.85</v>
      </c>
      <c r="AJ49">
        <f>IF(Исходн.данные.!I49&gt;6,1,2.434-(0.246*Исходн.данные.!I49))</f>
        <v>2.4340000000000002</v>
      </c>
      <c r="AL49" s="148" t="b">
        <f>IF(Исходн.данные.!$P49="Ум",N_OrgUd_2g_um,IF(Исходн.данные.!$P49="Об",N_OrgUd_2g_ob))</f>
        <v>0</v>
      </c>
      <c r="AM49" s="148" t="b">
        <f>IF(Исходн.данные.!$P49="Ум",P_OrgUd_2g_um,IF(Исходн.данные.!$P49="Об",P_OrgUd_2g_ob))</f>
        <v>0</v>
      </c>
      <c r="AN49" s="148" t="b">
        <f>IF(Исходн.данные.!$P49="Ум",K_OrgUd_2g_um,IF(Исходн.данные.!$P49="Об",K_OrgUd_2g_ob))</f>
        <v>0</v>
      </c>
      <c r="AO49" s="148" t="b">
        <f>IF(Исходн.данные.!$P49="Ум",N_OrgUd_1g_um,IF(Исходн.данные.!$P49="Об",N_OrgUd_1g_ob))</f>
        <v>0</v>
      </c>
      <c r="AP49" s="148" t="b">
        <f>IF(Исходн.данные.!$P49="Ум",P_OrgUd_1g_um,IF(Исходн.данные.!$P49="Об",P_OrgUd_1g_ob))</f>
        <v>0</v>
      </c>
      <c r="AQ49" s="148" t="b">
        <f>IF(Исходн.данные.!$P49="Ум",K_OrgUd_1g_um,IF(Исходн.данные.!$P49="Об",K_OrgUd_1g_ob))</f>
        <v>0</v>
      </c>
      <c r="AR49" t="b">
        <f>IF(Исходн.данные.!$P49="Ум",N_MinUd_2g_um,IF(Исходн.данные.!$P49="Об",N_MinUd_2g_ob))</f>
        <v>0</v>
      </c>
      <c r="AS49" t="b">
        <f>IF(Исходн.данные.!$P49="Ум",P_MinUd_2g_um,IF(Исходн.данные.!$P49="Об",P_MinUd_2g_ob))</f>
        <v>0</v>
      </c>
      <c r="AT49" t="b">
        <f>IF(Исходн.данные.!$P49="Ум",K_MinUd_2g_um,IF(Исходн.данные.!$P49="Об",K_MinUd_2g_ob))</f>
        <v>0</v>
      </c>
      <c r="AU49" t="b">
        <f>IF(Исходн.данные.!$P49="Ум",N_MinUd_1g_um,IF(Исходн.данные.!$P49="Об",N_MinUd_1g_ob))</f>
        <v>0</v>
      </c>
      <c r="AV49" t="b">
        <f>IF(Исходн.данные.!P49="Ум",P_MinUd_1g_um,IF(Исходн.данные.!P49="Об",P_MinUd_1g_ob))</f>
        <v>0</v>
      </c>
      <c r="AW49" t="b">
        <f>IF(Исходн.данные.!P49="Ум",K_MinUd_1g_um,IF(Исходн.данные.!P49="Об",K_MinUd_1g_ob))</f>
        <v>0</v>
      </c>
      <c r="AY49" t="e">
        <f>VLOOKUP(Исходн.данные.!T49,Справ!$A$3:$N$57,12)</f>
        <v>#N/A</v>
      </c>
      <c r="AZ49" t="e">
        <f>VLOOKUP(Исходн.данные.!T49,Справ!$A$3:$N$57,13)</f>
        <v>#N/A</v>
      </c>
      <c r="BA49" t="e">
        <f>VLOOKUP(Исходн.данные.!T49,Справ!$A$3:$N$57,14)</f>
        <v>#N/A</v>
      </c>
      <c r="BB49">
        <f>IF(Исходн.данные.!AH49=0,0,25)</f>
        <v>0</v>
      </c>
      <c r="BC49" s="141">
        <f>IF(Исходн.данные.!AH49=0,0,IF(Исходн.данные.!T49=0,25,BD49))</f>
        <v>0</v>
      </c>
      <c r="BD49" s="168" t="e">
        <f>AY49+AZ49*Исходн.данные.!U49-POWER(BA49,2)*Исходн.данные.!U49</f>
        <v>#N/A</v>
      </c>
      <c r="BE4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49" s="25">
        <f>IF(Исходн.данные.!AH49=0,0,MIN(HN49:HP49))</f>
        <v>0</v>
      </c>
      <c r="BG49" s="9">
        <f>IF(Исходн.данные.!AH49=0,0,IF((HO49+10*0.25/HG49/HL49)&lt;17,17,HO49+10*0.25/HG49/HL49))</f>
        <v>0</v>
      </c>
      <c r="BH49" s="181">
        <f>IF(Исходн.данные.!AH49=0,0,HW49*HF49*HL49/AU49*AI49+Исходн.данные.!S49*10)</f>
        <v>0</v>
      </c>
      <c r="BI49" s="10"/>
      <c r="BJ49" s="182">
        <f>IF(Исходн.данные.!AH49=0,0,IF(HX49*HG49*HL49/AV49&lt;0,0,HX49*HG49*HL49/AV49*AJ49))</f>
        <v>0</v>
      </c>
      <c r="BK49" s="182">
        <f>IF(Исходн.данные.!AH49=0,0,HY49*HH49*HM49/AW49)</f>
        <v>0</v>
      </c>
      <c r="BL49" s="10">
        <f>IF(OR(Исходн.данные.!$AH49=$BP$1,Исходн.данные.!$AH49=$BP$2),0,IF(BH49&lt;0,0,IF(OR(Исходн.данные.!T49=Расчет!$BP$1,Исходн.данные.!T49=Расчет!$BP$2,Исходн.данные.!T49=Расчет!$BT$5,Исходн.данные.!T49=Расчет!$BT$6),BH49*0.5,IF(OR(Исходн.данные.!T49=Расчет!$BS$9,Исходн.данные.!T49=Расчет!$BS$10,Исходн.данные.!T49=Расчет!$BS$11,Исходн.данные.!T49=Расчет!$BS$12,Исходн.данные.!T49=Расчет!$BP$5),BH49*0.8,BH49))))</f>
        <v>0</v>
      </c>
      <c r="BM49" s="10">
        <f>IF(OR(Исходн.данные.!$AH49=$BP$1,Исходн.данные.!$AH49=$BP$2),0,IF(BJ49&lt;0,0,IF(Исходн.данные.!I49&lt;4.5,BJ49*1.2,IF(Исходн.данные.!I49&gt;5.1,BJ49,BJ49*((5.1-Исходн.данные.!I49)*0.333+1)))))</f>
        <v>0</v>
      </c>
      <c r="BN49" s="10">
        <f>IF(OR(Исходн.данные.!$AH49=$BP$1,Исходн.данные.!$AH49=$BP$2),60-Исходн.данные.!AF49,IF(BK49&lt;0,0,IF(Исходн.данные.!I49&lt;4.5,BK49*1.2,IF(Исходн.данные.!I49&gt;5.1,BK49,BK49*((5.1-Исходн.данные.!I49)*0.333+1)))))</f>
        <v>0</v>
      </c>
      <c r="BO49" s="9">
        <f>IF(BL49&lt;0,0,BL49*Исходн.данные.!$AJ49/1000)</f>
        <v>0</v>
      </c>
      <c r="BP49" s="9">
        <f>IF(BM49&lt;0,0,BM49*Исходн.данные.!$AJ49/1000)</f>
        <v>0</v>
      </c>
      <c r="BQ49" s="9">
        <f>IF(BN49&lt;0,0,BN49*Исходн.данные.!$AJ49/1000)</f>
        <v>0</v>
      </c>
      <c r="BR49" s="9">
        <f t="shared" si="81"/>
        <v>0</v>
      </c>
      <c r="BS49" s="10" t="str">
        <f t="shared" si="82"/>
        <v>Аммофос 12:52:00</v>
      </c>
      <c r="BT49" s="10" t="str">
        <f t="shared" si="83"/>
        <v>Аммофос 12:52:00</v>
      </c>
      <c r="BU49" s="10" t="str">
        <f t="shared" si="84"/>
        <v>Диаммофоска</v>
      </c>
      <c r="BV49" s="10">
        <f t="shared" si="85"/>
        <v>0</v>
      </c>
      <c r="BW49" s="10"/>
      <c r="BX49" s="10"/>
      <c r="BY49" s="9">
        <f>IF(BL49&lt;0,0,IF(OR(Исходн.данные.!AI49=Расчет!$BU$6,Исходн.данные.!AI49=Расчет!$BU$7),Расчет!BV49,IF(Исходн.данные.!$AG49=$BV$11,BL49,IF(OR(Исходн.данные.!$AH49=$BQ$7,Исходн.данные.!$AH49=$BQ$8),CB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0,IF(Исходн.данные.!$AI49=$BU$11,"Нет",IF(BL49&gt;30,30,BL49)))))))</f>
        <v>0</v>
      </c>
      <c r="BZ49" s="9">
        <f>IF(AND(Исходн.данные.!$AG49=$BV$11,BM49&lt;10),10,IF(Исходн.данные.!$AG49=$BV$11,BM49,IF(OR(Исходн.данные.!$AH49=$BQ$7,Исходн.данные.!$AH49=$BQ$8),CC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10,IF(Исходн.данные.!$AI49=$BU$11,"Нет",IF(BM49&gt;60,60,IF(BM49&lt;10,10,BM49)))))))</f>
        <v>10</v>
      </c>
      <c r="CA49" s="39">
        <f>IF(BN49&lt;0,0,IF(Исходн.данные.!$AG49=$BV$11,BN49,IF(OR(Исходн.данные.!$AH49=$BQ$7,Исходн.данные.!$AH49=$BQ$8),CD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0,IF(Исходн.данные.!$AI49=$BU$11,"Нет",IF(BN49&gt;30,30,BN49))))))</f>
        <v>0</v>
      </c>
      <c r="CB49" s="9">
        <f t="shared" si="86"/>
        <v>0</v>
      </c>
      <c r="CC49" s="9">
        <f t="shared" si="87"/>
        <v>0</v>
      </c>
      <c r="CD49" s="9">
        <f t="shared" si="88"/>
        <v>0</v>
      </c>
      <c r="CE49" s="12">
        <f t="shared" si="89"/>
        <v>10</v>
      </c>
      <c r="CF49" s="9">
        <f t="shared" si="90"/>
        <v>0</v>
      </c>
      <c r="CG49" s="9" t="s">
        <v>231</v>
      </c>
      <c r="CH49" s="132" t="str">
        <f>IF(Исходн.данные.!AP49=Расчет!$CI$16,"Нет",IF(Исходн.данные.!AL49&gt;0,Исходн.данные.!AL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BH$4,IF(OR(Исходн.данные.!AI49=Исходн.данные.!$AI$6,Исходн.данные.!AI49=Исходн.данные.!$AI$7),Расчет!BS49,IF(AND($CF49=0,$CE49&gt;0),EV49,ER49)))))</f>
        <v>Аммофос 12:52:00</v>
      </c>
      <c r="CI49" s="274">
        <f>IF(Расчет!$CH49="Нет","Нет",IF(Исходн.данные.!$AL49&gt;0,VLOOKUP(Расчет!$CH49,АшламаДВ_Irekle,2,FALSE),VLOOKUP(Расчет!$CH49,АшламаДВ_Gomumy,2,FALSE)))</f>
        <v>0.12</v>
      </c>
      <c r="CJ49" s="274">
        <f>IF(Расчет!$CH49="Нет","Нет",IF(Исходн.данные.!$AL49&gt;0,VLOOKUP(Расчет!$CH49,АшламаДВ_Irekle,3,FALSE),VLOOKUP(Расчет!$CH49,АшламаДВ_Gomumy,3,FALSE)))</f>
        <v>0.52</v>
      </c>
      <c r="CK49" s="274">
        <f>IF(Расчет!$CH49="Нет","Нет",IF(Исходн.данные.!$AL49&gt;0,VLOOKUP(Расчет!$CH49,АшламаДВ_Irekle,4,FALSE),VLOOKUP(Расчет!$CH49,АшламаДВ_Gomumy,4,FALSE)))</f>
        <v>0</v>
      </c>
      <c r="CL49" s="70"/>
      <c r="CM49" s="70"/>
      <c r="CN49" s="70"/>
      <c r="CO49" s="70"/>
      <c r="CP49" s="70"/>
      <c r="CQ49" s="70"/>
      <c r="CR49" s="10">
        <f t="shared" si="91"/>
        <v>0</v>
      </c>
      <c r="CS49" s="10">
        <f t="shared" si="92"/>
        <v>19.23076923076923</v>
      </c>
      <c r="CT49" s="10">
        <f t="shared" si="93"/>
        <v>0</v>
      </c>
      <c r="CU49" s="39">
        <f>IF($CH49="Нет",0,IF(CI49=0,30/MIN(CJ49:CK49),IF(Исходн.данные.!$AG49=$BV$11,CR49,IF(OR(Исходн.данные.!$AH49=$BQ$7,Исходн.данные.!$AH49=$BQ$8),90/CI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0,IF(Исходн.данные.!$AI49=$BU$11,"Нет",30/CI49))))))</f>
        <v>250</v>
      </c>
      <c r="CV49" s="39">
        <f>IF($CH49="Нет",0,IF(Исходн.данные.!AH49=0,0,IF(CJ49=0,60/MIN(CI49,CK49),IF(Исходн.данные.!$AG49=$BV$11,CS49,IF(OR(Исходн.данные.!$AH49=$BQ$7,Исходн.данные.!$AH49=$BQ$8),90/CJ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10/CJ49,IF(Исходн.данные.!$AI49=$BU$11,"Нет",60/CJ49)))))))</f>
        <v>0</v>
      </c>
      <c r="CW49" s="39">
        <f>IF($CH49="Нет",0,IF(Исходн.данные.!AH49=0,0,IF(CK49=0,30/MIN(CI49:CJ49),IF(Исходн.данные.!$AG49=$BV$11,CT49,IF(OR(Исходн.данные.!$AH49=$BQ$7,Исходн.данные.!$AH49=$BQ$8),90/CK49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0,IF(Исходн.данные.!$AI49=$BU$11,"Нет",30/CK49)))))))</f>
        <v>0</v>
      </c>
      <c r="CX49" s="133">
        <f>IF(Исходн.данные.!$AG49=$BV$11,MAX(CU49:CW49),IF(OR(Исходн.данные.!$AH49=$BS$8,Исходн.данные.!$AH49=$BQ$9,Исходн.данные.!$AH49=$BQ$10,Исходн.данные.!$AH49=$BQ$11,Исходн.данные.!$AH49=$BQ$12,Исходн.данные.!$AH49=$BP$3,Исходн.данные.!$AH49=$BT$8,$FM49="Да"),CV49,MIN(CU49:CW49)))</f>
        <v>0</v>
      </c>
      <c r="CY49" s="133">
        <f>IF(Исходн.данные.!AH49=0,0,IF(CR49&gt;$CX49,$CX49,CR49))</f>
        <v>0</v>
      </c>
      <c r="CZ49" s="133">
        <f>IF(Исходн.данные.!AH49=0,0,IF(CS49&gt;$CX49,$CX49,CS49))</f>
        <v>0</v>
      </c>
      <c r="DA49" s="133">
        <f>IF(Исходн.данные.!AH49=0,0,IF(CT49&gt;$CX49,$CX49,CT49))</f>
        <v>0</v>
      </c>
      <c r="DB49" s="10">
        <f t="shared" si="94"/>
        <v>0</v>
      </c>
      <c r="DC49" s="39">
        <f>DB49*Исходн.данные.!AJ49/1000</f>
        <v>0</v>
      </c>
      <c r="DD49" s="71">
        <f t="shared" si="95"/>
        <v>0</v>
      </c>
      <c r="DE49" s="9">
        <f t="shared" si="96"/>
        <v>0</v>
      </c>
      <c r="DF49" s="9">
        <f t="shared" si="97"/>
        <v>0</v>
      </c>
      <c r="DG49" s="39">
        <f>IF(BL49&lt;0,0,IF($CH49="Нет",BL49,IF(OR(Исходн.данные.!$AH49=$BP$1,Исходн.данные.!$AH49=$BP$2),0,IF(Исходн.данные.!AI49=$BU$11,BL49,IF(BL49-DD49&lt;0,0,BL49-DD49)))))</f>
        <v>0</v>
      </c>
      <c r="DH49" s="39">
        <f>IF(BM49&lt;0,0,IF($CH49="Нет",BM49,IF(OR(Исходн.данные.!$AH49=$BP$1,Исходн.данные.!$AH49=$BP$2),0,IF(Исходн.данные.!AJ49=$BU$11,BM49,IF(BM49-DE49&lt;0,0,BM49-DE49)))))</f>
        <v>0</v>
      </c>
      <c r="DI49" s="39">
        <f>IF(BN49&lt;0,0,IF($CH49="Нет",BN49,IF(OR(Исходн.данные.!$AH49=$BP$1,Исходн.данные.!$AH49=$BP$2),0,IF(Исходн.данные.!AK49=$BU$11,BN49,IF(BN49-DF49&lt;0,0,BN49-DF49)))))</f>
        <v>0</v>
      </c>
      <c r="DJ49" s="12">
        <f t="shared" si="98"/>
        <v>0</v>
      </c>
      <c r="DK49" s="9">
        <f t="shared" si="99"/>
        <v>0</v>
      </c>
      <c r="DL49" s="39">
        <f>IF(Исходн.данные.!AM49&gt;0,Исходн.данные.!AM49,IF(EG49&gt;0,$BH$10,0))</f>
        <v>0</v>
      </c>
      <c r="DM49" s="186">
        <f>IF($DL49=0,0,IF(Исходн.данные.!AM49&gt;0,VLOOKUP($DL49,АшламаДВ_Irekle,2,FALSE),VLOOKUP($DL49,АшламаДВ_Gomumy,2,FALSE)))</f>
        <v>0</v>
      </c>
      <c r="DN49" s="10">
        <f t="shared" si="46"/>
        <v>0</v>
      </c>
      <c r="DO49" s="9" t="str">
        <f>IF(Исходн.данные.!AN49&gt;0,Исходн.данные.!AN49,Удобрения!$B$37 )</f>
        <v>Хлор.калий</v>
      </c>
      <c r="DP49" s="9">
        <f>IF(Исходн.данные.!AN49&gt;0,VLOOKUP(Исходн.данные.!AN49,АшламаДВ_Irekle,4,FALSE),VLOOKUP(DO49,АшламаДВ_Gomumy,4,FALSE))</f>
        <v>0.6</v>
      </c>
      <c r="DQ49" s="10">
        <f t="shared" si="47"/>
        <v>0</v>
      </c>
      <c r="DR49" s="132" t="str">
        <f>IF(Исходн.данные.!AO49&gt;0,Исходн.данные.!AO49,IF(DH49=0,BS$17,IF(AND($DK49=0,$DJ49&gt;0),EJ49,EN49)))</f>
        <v>Нет</v>
      </c>
      <c r="DS49" s="70" t="str">
        <f>IF($DR49="Нет","Нет",IF(Исходн.данные.!$AO49&gt;0,VLOOKUP($DR49,АшламаДВ_Irekle,2,FALSE),VLOOKUP($DR49,АшламаДВ_Gomumy,2,FALSE)))</f>
        <v>Нет</v>
      </c>
      <c r="DT49" s="70" t="str">
        <f>IF($DR49="Нет","Нет",IF(Исходн.данные.!$AO49&gt;0,VLOOKUP($DR49,АшламаДВ_Irekle,3,FALSE),VLOOKUP($DR49,АшламаДВ_Gomumy,3,FALSE)))</f>
        <v>Нет</v>
      </c>
      <c r="DU49" s="70" t="str">
        <f>IF($DR49="Нет","Нет",IF(Исходн.данные.!$AO49&gt;0,VLOOKUP($DR49,АшламаДВ_Irekle,4,FALSE),VLOOKUP($DR49,АшламаДВ_Gomumy,4,FALSE)))</f>
        <v>Нет</v>
      </c>
      <c r="DV49" s="70"/>
      <c r="DW49" s="70"/>
      <c r="DX49" s="70"/>
      <c r="DY49" s="10">
        <f t="shared" si="100"/>
        <v>0</v>
      </c>
      <c r="DZ49" s="10">
        <f t="shared" si="101"/>
        <v>0</v>
      </c>
      <c r="EA49" s="10">
        <f t="shared" si="102"/>
        <v>0</v>
      </c>
      <c r="EB49" s="10">
        <f t="shared" si="103"/>
        <v>0</v>
      </c>
      <c r="EC49" s="10">
        <f t="shared" si="104"/>
        <v>0</v>
      </c>
      <c r="ED49" s="10">
        <f t="shared" si="105"/>
        <v>0</v>
      </c>
      <c r="EE49" s="10">
        <f t="shared" si="106"/>
        <v>0</v>
      </c>
      <c r="EF49" s="39">
        <f>EB49*Исходн.данные.!AJ49/1000</f>
        <v>0</v>
      </c>
      <c r="EG49" s="9">
        <f t="shared" si="107"/>
        <v>0</v>
      </c>
      <c r="EH49" s="9">
        <f t="shared" si="108"/>
        <v>0</v>
      </c>
      <c r="EI49" s="39" t="e">
        <f t="shared" si="7"/>
        <v>#DIV/0!</v>
      </c>
      <c r="EJ49" s="9" t="str">
        <f t="shared" si="8"/>
        <v>Азопреципитат</v>
      </c>
      <c r="EK49" s="12">
        <f t="shared" si="9"/>
        <v>0.26</v>
      </c>
      <c r="EL49" s="12">
        <f t="shared" si="10"/>
        <v>0.13</v>
      </c>
      <c r="EM49" s="12">
        <f t="shared" si="11"/>
        <v>0</v>
      </c>
      <c r="EN49" s="12" t="str">
        <f t="shared" si="57"/>
        <v>Нет</v>
      </c>
      <c r="EO49" s="12">
        <f t="shared" si="12"/>
        <v>0</v>
      </c>
      <c r="EP49" s="12">
        <f t="shared" si="13"/>
        <v>0</v>
      </c>
      <c r="EQ49" s="12">
        <f t="shared" si="14"/>
        <v>0</v>
      </c>
      <c r="ER49" s="12" t="str">
        <f t="shared" si="109"/>
        <v>Диаммофоска</v>
      </c>
      <c r="ES49" s="12">
        <f t="shared" si="15"/>
        <v>0.1</v>
      </c>
      <c r="ET49" s="12">
        <f t="shared" si="16"/>
        <v>0.26</v>
      </c>
      <c r="EU49" s="12">
        <f t="shared" si="17"/>
        <v>0.26</v>
      </c>
      <c r="EV49" s="12" t="str">
        <f t="shared" si="110"/>
        <v>Аммофос 12:52:00</v>
      </c>
      <c r="EW49" s="12" t="str">
        <f t="shared" si="111"/>
        <v>Кемира Свекловичное-6</v>
      </c>
      <c r="EX49" s="12">
        <f t="shared" si="18"/>
        <v>0.16</v>
      </c>
      <c r="EY49" s="12">
        <f t="shared" si="19"/>
        <v>0.12</v>
      </c>
      <c r="EZ49" s="12">
        <f t="shared" si="20"/>
        <v>0.17</v>
      </c>
      <c r="FA49" s="38" t="e">
        <f>IF(AND(OR(FJ49=$FD$1,FM49=$FD$1,FO49=$FD$1,FQ49=$FD$1,FS49=$FD$1),FD49=$FD$1,Исходн.данные.!J49&lt;2,FU49=$FD$1),"Бор,Кобальт",IF(AND(FO49=$FD$1,FH49=$FD$1,Исходн.данные.!J49&lt;2,FU49=$FD$1),"Бор,Кобальт",IF(AND(OR(FJ49=$FD$1,FM49=$FD$1,FQ49=$FD$1),FE49=$FD$1,Исходн.данные.!J49&lt;2,FT49=$FD$1,FU49=$FD$1),"Бор,Медь,Цинк",IF(AND(OR(FJ49=$FD$1,FR49="Да"),FI49="Да",Исходн.данные.!J49&lt;2,FT49="Да",FU49="Да"),"Бор,Цинк,Медь",IF(AND(OR(FM49="Да",FQ49="Да"),FI49="Да",Исходн.данные.!J49&lt;2,FT49="Да",FU49="Да"),"Бор,Цинк",IF(AND(FN49="Да",OR(FD49="Да",FE49="Да")),"Бор",FB49))))))</f>
        <v>#N/A</v>
      </c>
      <c r="FB49" s="134" t="e">
        <f>IF(AND(OR(FD49="Да",FE49="Да",FF49="Да",FG49="Да",FH49="Да"),FO49="Да"),"Бор",IF(AND(FP49="Да",OR(FD49="Да",FE49="Да",FI49="Да")),"Бор",IF(AND(FS49="Да",FE49="Да"),"Бор,Медь",IF(AND(OR(FJ49="Да",FK49="Да",FL49="Да"),FE49="Да",Исходн.данные.!I49&lt;5,FT49="Да",FU49="Да"),"Молибден,Цинк",IF(AND(FM49="Да",OR(FE49="Да",FF49="Да",FG49="Да",FH49="Да",FI49="Да")),"Молибден,Цинк",IF(AND(OR(FJ49="Да",FK49="Да",FL49="Да",FM49="Да",FQ49="Да"),OR(FE49="Да",FF49="Да"),FT49="Да",FU49="Да",Исходн.данные.!I49&gt;5.5),"Медь,Цинк",FC49))))))</f>
        <v>#N/A</v>
      </c>
      <c r="FC49" s="23" t="e">
        <f t="shared" si="112"/>
        <v>#N/A</v>
      </c>
      <c r="FD49" s="38" t="str">
        <f>IF(OR(Исходн.данные.!F49=$CC$1,Исходн.данные.!F49=$CC$2,Исходн.данные.!F49=$CC$3,Исходн.данные.!F49=$CC$4),"Да","Нет")</f>
        <v>Нет</v>
      </c>
      <c r="FE49" s="38" t="str">
        <f>IF(Исходн.данные.!F49=$CC$5,"Да","Нет")</f>
        <v>Нет</v>
      </c>
      <c r="FF49" s="38" t="str">
        <f>IF(OR(Исходн.данные.!F49=$CC$6,Исходн.данные.!F49=$CC$7),"Да","Нет")</f>
        <v>Нет</v>
      </c>
      <c r="FG49" s="38" t="str">
        <f>IF(OR(Исходн.данные.!F49=$CC$8,Исходн.данные.!F49=$CC$9),"Да","Нет")</f>
        <v>Нет</v>
      </c>
      <c r="FH49" s="38" t="str">
        <f>IF(Исходн.данные.!F49=$CC$10,"Да","Нет")</f>
        <v>Нет</v>
      </c>
      <c r="FI49" s="38" t="str">
        <f>IF(OR(Исходн.данные.!F49=$CC$11,Исходн.данные.!F49=$CC$12),"Да","Нет")</f>
        <v>Нет</v>
      </c>
      <c r="FJ49" s="38" t="str">
        <f>IF(OR(Исходн.данные.!AH49=$BS$1,Исходн.данные.!AH49=$BQ$11,Исходн.данные.!AH49=$BQ$12),"Да","Нет")</f>
        <v>Нет</v>
      </c>
      <c r="FK49" s="38" t="str">
        <f>IF(OR(Исходн.данные.!AH49=$BS$2,Исходн.данные.!AH49=$BS$4),"Да","Нет")</f>
        <v>Нет</v>
      </c>
      <c r="FL49" s="38" t="str">
        <f>IF(OR(Исходн.данные.!AH49=$BS$3,Исходн.данные.!AH49=$BS$5),"Да","Нет")</f>
        <v>Нет</v>
      </c>
      <c r="FM49" s="38" t="str">
        <f>IF(OR(Исходн.данные.!AH49=$BS$9,Исходн.данные.!AH49=$BS$10,Исходн.данные.!AH49=$BS$11,Исходн.данные.!AH49=$BS$12),"Да","Нет")</f>
        <v>Нет</v>
      </c>
      <c r="FN49" s="38" t="str">
        <f>IF(OR(Исходн.данные.!AH49=$BS$6,Исходн.данные.!AH49=$BP$3),"Да","Нет")</f>
        <v>Нет</v>
      </c>
      <c r="FO49" s="38" t="str">
        <f>IF(Исходн.данные.!AH49=$BQ$9,"Да","Нет")</f>
        <v>Нет</v>
      </c>
      <c r="FP49" s="38" t="str">
        <f>IF(OR(Исходн.данные.!AH49=$BS$8,Исходн.данные.!AH49=$BT$8),"Да","Нет")</f>
        <v>Нет</v>
      </c>
      <c r="FQ49" s="38" t="str">
        <f>IF(OR(Исходн.данные.!AH49=$BQ$7,Исходн.данные.!AH49=$BQ$8),"Да","Нет")</f>
        <v>Нет</v>
      </c>
      <c r="FR49" s="38" t="str">
        <f>IF(Исходн.данные.!AI49=$BU$9,"Да","Нет")</f>
        <v>Нет</v>
      </c>
      <c r="FS49" s="38" t="str">
        <f>IF(OR(Исходн.данные.!AH49=$BP$1,Исходн.данные.!AH49=$BP$2),"Да","Нет")</f>
        <v>Нет</v>
      </c>
      <c r="FT49" s="38" t="e">
        <f>IF((Исходн.данные.!K49*GO49*GS49*GW49+BL49*0.6+Исходн.данные.!Q49*4.5*0.275)&gt;90,"Да","Нет")</f>
        <v>#N/A</v>
      </c>
      <c r="FU49" s="38" t="e">
        <f>IF((Исходн.данные.!M49*GS49*GZ49+BM49*0.225)&gt;35,"Да","Нет")</f>
        <v>#N/A</v>
      </c>
      <c r="FV49" s="38" t="str">
        <f>IF(Исходн.данные.!O49&gt;175,"Да","Нет")</f>
        <v>Нет</v>
      </c>
      <c r="FW49" s="39" t="str">
        <f>IF(Исходн.данные.!I49&gt;5.5,"Да","Нет")</f>
        <v>Нет</v>
      </c>
      <c r="FX49" s="39" t="str">
        <f>IF(Исходн.данные.!J49&lt;2,"Да","Нет")</f>
        <v>Да</v>
      </c>
      <c r="FY49" s="39" t="e">
        <f>IF(HF49=$FY$16,0,Исходн.данные.!K49*GO49*GS49*GW49/HF49)</f>
        <v>#N/A</v>
      </c>
      <c r="FZ49" s="39" t="e">
        <f>Исходн.данные.!M49*GS49*GZ49/HG49</f>
        <v>#N/A</v>
      </c>
      <c r="GA49" s="39" t="e">
        <f>IF(K_Wyn=$FY$16,0,IF(Исходн.данные.!N49=Исходн.данные.!$L$10,Исходн.данные.!O49/1.1*GS49*HC49/HH49,IF(Исходн.данные.!N49=Исходн.данные.!$L$12,Исходн.данные.!O49/1.5*GS49*HC49/HH49,Исходн.данные.!O49*GS49*HC49/HH49)))</f>
        <v>#N/A</v>
      </c>
      <c r="GB49" s="39" t="e">
        <f>IF(HF49=$FY$16,0,((Исходн.данные.!Q49*N_Org+Исходн.данные.!R49*N_Sider+Исходн.данные.!S49*N_Soloma)*AO49+Расчет!BC49*VLOOKUP(Исходн.данные.!T49,Справ!$A$3:$O$57,15)*AO49+BB49*VLOOKUP(Исходн.данные.!T49,Справ!$A$3:$O$57,15)*AL49+(Исходн.данные.!V49*N_Rizotorf+Исходн.данные.!W49*N_Rizoagr))/HF49)</f>
        <v>#N/A</v>
      </c>
      <c r="GC49" s="39" t="e">
        <f>IF(HG49=$FY$16,0,((Исходн.данные.!Q49*Р_Org+Исходн.данные.!R49*P_Sider+Исходн.данные.!S49*P_Soloma)*AP49+Расчет!BC49*VLOOKUP(Исходн.данные.!T49,Справ!$A$3:$P$57,16)*AP49+BB49*VLOOKUP(Исходн.данные.!T49,Справ!$A$3:$P$57,16)*AM49)/HG49)</f>
        <v>#N/A</v>
      </c>
      <c r="GD49" s="39" t="e">
        <f>IF(HH49=$FY$16,0,((Исходн.данные.!Q49*К_Org+Исходн.данные.!R49*K_Sider+Исходн.данные.!S49*K_Soloma)*AQ49+Расчет!BC49*VLOOKUP(Исходн.данные.!T49,Справ!$A$3:$Q$57,17)*AQ49+BB49*VLOOKUP(Исходн.данные.!T49,Справ!$A$3:$Q$57,17)*AN49)/HH49)</f>
        <v>#N/A</v>
      </c>
      <c r="GE49" s="39" t="e">
        <f>IF(HF49=$FY$16,0,(Исходн.данные.!X49*AR49+Исходн.данные.!AA49*N_Org*AL49+Исходн.данные.!AB49*N_Sider*AL49+Исходн.данные.!AC49*N_Soloma*AL49)/HF49)</f>
        <v>#N/A</v>
      </c>
      <c r="GF49" s="39" t="e">
        <f>IF(HG49=$FY$16,0,(Исходн.данные.!Y49*AS49+Исходн.данные.!AA49*Р_Org*AM49+Исходн.данные.!AB49*P_Sider*AM49+Исходн.данные.!AC49*P_Soloma*AM49)/HG49)</f>
        <v>#N/A</v>
      </c>
      <c r="GG49" s="39" t="e">
        <f>IF(HH49=$FY$16,0,(Исходн.данные.!Z49*AT49+Исходн.данные.!AA49*К_Org*AN49+Исходн.данные.!AB49*K_Sider*AN49+Исходн.данные.!AC49*K_Soloma*AN49)/HH49)</f>
        <v>#N/A</v>
      </c>
      <c r="GH49" s="39" t="e">
        <f>Исходн.данные.!AD49*AU49/HF49</f>
        <v>#N/A</v>
      </c>
      <c r="GI49" s="39" t="e">
        <f>Исходн.данные.!AE49*AV49/HG49</f>
        <v>#N/A</v>
      </c>
      <c r="GJ49" s="39" t="e">
        <f>Исходн.данные.!AF49*AW49/HH49</f>
        <v>#N/A</v>
      </c>
      <c r="GK49" s="55">
        <f>Исходн.данные.!AK49</f>
        <v>0</v>
      </c>
      <c r="GL49" s="11" t="e">
        <f t="shared" si="113"/>
        <v>#N/A</v>
      </c>
      <c r="GM49" s="11" t="e">
        <f t="shared" si="114"/>
        <v>#N/A</v>
      </c>
      <c r="GN49" s="11" t="e">
        <f t="shared" si="115"/>
        <v>#N/A</v>
      </c>
      <c r="GO49" s="57">
        <f t="shared" si="116"/>
        <v>19</v>
      </c>
      <c r="GP49" s="55">
        <f>IF(OR(Исходн.данные.!F49=$CE$1,Исходн.данные.!F49=$CE$2,Исходн.данные.!F49=$CE$3,Исходн.данные.!F49=$CE$4,Исходн.данные.!F49=$CE$5),GQ49,GR49)</f>
        <v>19</v>
      </c>
      <c r="GQ49" s="55">
        <f>IF(Исходн.данные.!F49=$CE$1,28,IF(Исходн.данные.!F49=$CE$2,26,IF(Исходн.данные.!F49=$CE$3,24,IF(Исходн.данные.!F49=$CE$4,22,IF(Исходн.данные.!F49=$CE$5,20,GR49)))))</f>
        <v>19</v>
      </c>
      <c r="GR49" s="55">
        <f>IF(Исходн.данные.!F49=$CE$6,18,IF(Исходн.данные.!F49=$CE$7,16,IF(Исходн.данные.!F49=$CE$8,14,IF(Исходн.данные.!F49=$CE$9,13,IF(Исходн.данные.!F49=$CE$10,12,19)))))</f>
        <v>19</v>
      </c>
      <c r="GS49" s="55">
        <f>IF(Исходн.данные.!G49="Пес",0.035*(40+2*Исходн.данные.!H49),IF(Исходн.данные.!G49="Суп",0.0325*(40+2*Исходн.данные.!H49),0.03*(40+2*Исходн.данные.!H49)))</f>
        <v>1.2</v>
      </c>
      <c r="GT49" s="55">
        <f>IF(Исходн.данные.!H49&lt;23,2.6,IF(AND(Исходн.данные.!H49&gt;22,Исходн.данные.!H49&lt;26),3,IF(AND(Исходн.данные.!H49&gt;25,Исходн.данные.!H49&lt;29),3.4,3.6)))</f>
        <v>2.6</v>
      </c>
      <c r="GU49" s="55">
        <f>IF(Исходн.данные.!H49&lt;23,2.8,IF(AND(Исходн.данные.!H49&gt;22,Исходн.данные.!H49&lt;26),3.2,IF(AND(Исходн.данные.!H49&gt;25,Исходн.данные.!H49&lt;29),3.6,3.9)))</f>
        <v>2.8</v>
      </c>
      <c r="GV49" s="55">
        <f>IF(Исходн.данные.!H49&lt;23,3,IF(AND(Исходн.данные.!H49&gt;22,Исходн.данные.!H49&lt;26),3.5,IF(AND(Исходн.данные.!H49&gt;25,Исходн.данные.!H49&lt;29),3.9,4.2)))</f>
        <v>3</v>
      </c>
      <c r="GW49" s="55" t="e">
        <f>IF(Исходн.данные.!P49="Ум",GX49,GY49)</f>
        <v>#N/A</v>
      </c>
      <c r="GX49" s="55" t="e">
        <f>VLOOKUP(Исходн.данные.!AI49,Коэффициенты!$J$7:$L$13,2,FALSE)</f>
        <v>#N/A</v>
      </c>
      <c r="GY49" s="55" t="e">
        <f>VLOOKUP(Исходн.данные.!AI49,Коэффициенты!$J$7:$L$13,3,FALSE)</f>
        <v>#N/A</v>
      </c>
      <c r="GZ49" s="55" t="e">
        <f>(IF(Исходн.данные.!M49&lt;50,0.11*VLOOKUP(Исходн.данные.!AH49,Культуры.Информация,7,FALSE),IF(Исходн.данные.!M49&gt;250,0.05*VLOOKUP(Исходн.данные.!AH49,Культуры.Информация,7,FALSE),VLOOKUP(Исходн.данные.!AH49,Культуры.Информация,5,FALSE)/100*($GX$6+$GY$6*Исходн.данные.!M49))))*Расчет2!AI49</f>
        <v>#N/A</v>
      </c>
      <c r="HA49" s="211"/>
      <c r="HB49" s="211"/>
      <c r="HC49" s="55" t="e">
        <f>(IF(Исходн.данные.!O49&lt;80,0.2*VLOOKUP(Исходн.данные.!AH49,Культуры.Информация,8,FALSE),IF(Исходн.данные.!O49&gt;240,0.09*VLOOKUP(Исходн.данные.!AH49,Культуры.Информация,8,FALSE),VLOOKUP(Исходн.данные.!AH49,Культуры.Информация,6,FALSE)/100*($HB$6+$HC$6*Исходн.данные.!O49))))*Расчет2!AJ49</f>
        <v>#N/A</v>
      </c>
      <c r="HD49" s="55">
        <f>IF(Исходн.данные.!O49&gt;240,0.09,IF(Исходн.данные.!O49&lt;30,0.3,$HE$10+$HD$10*Исходн.данные.!O49))</f>
        <v>0.3</v>
      </c>
      <c r="HE49" s="55">
        <f>IF(Исходн.данные.!O49&gt;240,0.17,IF(Исходн.данные.!O49&lt;30,0.5,$HF$12+$HE$12*Исходн.данные.!O49))</f>
        <v>0.5</v>
      </c>
      <c r="HF49" s="55" t="e">
        <f>VLOOKUP(Исходн.данные.!AH49,Справ!$A$3:$D$58,2,FALSE)</f>
        <v>#N/A</v>
      </c>
      <c r="HG49" s="55" t="e">
        <f>VLOOKUP(Исходн.данные.!AH49,Справ!$A$3:$D$58,3,FALSE)</f>
        <v>#N/A</v>
      </c>
      <c r="HH49" s="55" t="e">
        <f>VLOOKUP(Исходн.данные.!AH49,Справ!$A$3:$D$58,4,FALSE)</f>
        <v>#N/A</v>
      </c>
      <c r="HI49" s="11" t="e">
        <f t="shared" si="117"/>
        <v>#N/A</v>
      </c>
      <c r="HJ49" s="11" t="e">
        <f t="shared" si="118"/>
        <v>#N/A</v>
      </c>
      <c r="HK49" s="11" t="e">
        <f t="shared" si="119"/>
        <v>#N/A</v>
      </c>
      <c r="HL49" s="55">
        <f>IF(OR(Исходн.данные.!G49="Глин",Исходн.данные.!G49="Т_суг"),1.1,IF(Исходн.данные.!G49="Ср_суг",1,1))</f>
        <v>1</v>
      </c>
      <c r="HM49" s="55">
        <f>IF(OR(Исходн.данные.!G49="Глин",Исходн.данные.!G49="Т_суг"),0.9,IF(Исходн.данные.!G49="Ср_суг",1,1.2))</f>
        <v>1.2</v>
      </c>
      <c r="HN49" s="11" t="e">
        <f t="shared" si="120"/>
        <v>#N/A</v>
      </c>
      <c r="HO49" s="11" t="e">
        <f t="shared" si="121"/>
        <v>#N/A</v>
      </c>
      <c r="HP49" s="11" t="e">
        <f t="shared" si="122"/>
        <v>#N/A</v>
      </c>
      <c r="HQ49" t="e">
        <f t="shared" si="123"/>
        <v>#N/A</v>
      </c>
      <c r="HR49" t="e">
        <f t="shared" si="124"/>
        <v>#N/A</v>
      </c>
      <c r="HS49" t="e">
        <f t="shared" si="125"/>
        <v>#N/A</v>
      </c>
      <c r="HT49" t="e">
        <f t="shared" si="21"/>
        <v>#N/A</v>
      </c>
      <c r="HU49" t="e">
        <f t="shared" si="22"/>
        <v>#N/A</v>
      </c>
      <c r="HV49" t="e">
        <f t="shared" si="23"/>
        <v>#N/A</v>
      </c>
      <c r="HW49" t="e">
        <f t="shared" si="24"/>
        <v>#N/A</v>
      </c>
      <c r="HX49" t="e">
        <f t="shared" si="25"/>
        <v>#N/A</v>
      </c>
      <c r="HY49" t="e">
        <f t="shared" si="26"/>
        <v>#N/A</v>
      </c>
      <c r="HZ49" s="55">
        <f>IF(OR(Исходн.данные.!AI49="Оз_Ч_П",Исходн.данные.!AI49="Оз_З_П",Исходн.данные.!AI49="Яр_зер"),12,30)</f>
        <v>30</v>
      </c>
      <c r="IA49" t="e">
        <f t="shared" si="126"/>
        <v>#N/A</v>
      </c>
      <c r="IB49" t="e">
        <f t="shared" si="127"/>
        <v>#N/A</v>
      </c>
      <c r="IC49" t="e">
        <f t="shared" si="128"/>
        <v>#N/A</v>
      </c>
      <c r="ID49" s="11" t="e">
        <f t="shared" si="129"/>
        <v>#N/A</v>
      </c>
      <c r="IE49" s="11" t="e">
        <f t="shared" si="130"/>
        <v>#N/A</v>
      </c>
      <c r="IF49" s="11" t="e">
        <f t="shared" si="131"/>
        <v>#N/A</v>
      </c>
    </row>
    <row r="50" spans="35:240" x14ac:dyDescent="0.2">
      <c r="AI50">
        <f>IF(Исходн.данные.!I50&gt;6,1,1.85-(0.148*Исходн.данные.!I50))</f>
        <v>1.85</v>
      </c>
      <c r="AJ50">
        <f>IF(Исходн.данные.!I50&gt;6,1,2.434-(0.246*Исходн.данные.!I50))</f>
        <v>2.4340000000000002</v>
      </c>
      <c r="AL50" s="148" t="b">
        <f>IF(Исходн.данные.!$P50="Ум",N_OrgUd_2g_um,IF(Исходн.данные.!$P50="Об",N_OrgUd_2g_ob))</f>
        <v>0</v>
      </c>
      <c r="AM50" s="148" t="b">
        <f>IF(Исходн.данные.!$P50="Ум",P_OrgUd_2g_um,IF(Исходн.данные.!$P50="Об",P_OrgUd_2g_ob))</f>
        <v>0</v>
      </c>
      <c r="AN50" s="148" t="b">
        <f>IF(Исходн.данные.!$P50="Ум",K_OrgUd_2g_um,IF(Исходн.данные.!$P50="Об",K_OrgUd_2g_ob))</f>
        <v>0</v>
      </c>
      <c r="AO50" s="148" t="b">
        <f>IF(Исходн.данные.!$P50="Ум",N_OrgUd_1g_um,IF(Исходн.данные.!$P50="Об",N_OrgUd_1g_ob))</f>
        <v>0</v>
      </c>
      <c r="AP50" s="148" t="b">
        <f>IF(Исходн.данные.!$P50="Ум",P_OrgUd_1g_um,IF(Исходн.данные.!$P50="Об",P_OrgUd_1g_ob))</f>
        <v>0</v>
      </c>
      <c r="AQ50" s="148" t="b">
        <f>IF(Исходн.данные.!$P50="Ум",K_OrgUd_1g_um,IF(Исходн.данные.!$P50="Об",K_OrgUd_1g_ob))</f>
        <v>0</v>
      </c>
      <c r="AR50" t="b">
        <f>IF(Исходн.данные.!$P50="Ум",N_MinUd_2g_um,IF(Исходн.данные.!$P50="Об",N_MinUd_2g_ob))</f>
        <v>0</v>
      </c>
      <c r="AS50" t="b">
        <f>IF(Исходн.данные.!$P50="Ум",P_MinUd_2g_um,IF(Исходн.данные.!$P50="Об",P_MinUd_2g_ob))</f>
        <v>0</v>
      </c>
      <c r="AT50" t="b">
        <f>IF(Исходн.данные.!$P50="Ум",K_MinUd_2g_um,IF(Исходн.данные.!$P50="Об",K_MinUd_2g_ob))</f>
        <v>0</v>
      </c>
      <c r="AU50" t="b">
        <f>IF(Исходн.данные.!$P50="Ум",N_MinUd_1g_um,IF(Исходн.данные.!$P50="Об",N_MinUd_1g_ob))</f>
        <v>0</v>
      </c>
      <c r="AV50" t="b">
        <f>IF(Исходн.данные.!P50="Ум",P_MinUd_1g_um,IF(Исходн.данные.!P50="Об",P_MinUd_1g_ob))</f>
        <v>0</v>
      </c>
      <c r="AW50" t="b">
        <f>IF(Исходн.данные.!P50="Ум",K_MinUd_1g_um,IF(Исходн.данные.!P50="Об",K_MinUd_1g_ob))</f>
        <v>0</v>
      </c>
      <c r="AY50" t="e">
        <f>VLOOKUP(Исходн.данные.!T50,Справ!$A$3:$N$57,12)</f>
        <v>#N/A</v>
      </c>
      <c r="AZ50" t="e">
        <f>VLOOKUP(Исходн.данные.!T50,Справ!$A$3:$N$57,13)</f>
        <v>#N/A</v>
      </c>
      <c r="BA50" t="e">
        <f>VLOOKUP(Исходн.данные.!T50,Справ!$A$3:$N$57,14)</f>
        <v>#N/A</v>
      </c>
      <c r="BB50">
        <f>IF(Исходн.данные.!AH50=0,0,25)</f>
        <v>0</v>
      </c>
      <c r="BC50" s="141">
        <f>IF(Исходн.данные.!AH50=0,0,IF(Исходн.данные.!T50=0,25,BD50))</f>
        <v>0</v>
      </c>
      <c r="BD50" s="168" t="e">
        <f>AY50+AZ50*Исходн.данные.!U50-POWER(BA50,2)*Исходн.данные.!U50</f>
        <v>#N/A</v>
      </c>
      <c r="BE5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0" s="25">
        <f>IF(Исходн.данные.!AH50=0,0,MIN(HN50:HP50))</f>
        <v>0</v>
      </c>
      <c r="BG50" s="9">
        <f>IF(Исходн.данные.!AH50=0,0,IF((HO50+10*0.25/HG50/HL50)&lt;17,17,HO50+10*0.25/HG50/HL50))</f>
        <v>0</v>
      </c>
      <c r="BH50" s="181">
        <f>IF(Исходн.данные.!AH50=0,0,HW50*HF50*HL50/AU50*AI50+Исходн.данные.!S50*10)</f>
        <v>0</v>
      </c>
      <c r="BI50" s="10"/>
      <c r="BJ50" s="182">
        <f>IF(Исходн.данные.!AH50=0,0,IF(HX50*HG50*HL50/AV50&lt;0,0,HX50*HG50*HL50/AV50*AJ50))</f>
        <v>0</v>
      </c>
      <c r="BK50" s="182">
        <f>IF(Исходн.данные.!AH50=0,0,HY50*HH50*HM50/AW50)</f>
        <v>0</v>
      </c>
      <c r="BL50" s="10">
        <f>IF(OR(Исходн.данные.!$AH50=$BP$1,Исходн.данные.!$AH50=$BP$2),0,IF(BH50&lt;0,0,IF(OR(Исходн.данные.!T50=Расчет!$BP$1,Исходн.данные.!T50=Расчет!$BP$2,Исходн.данные.!T50=Расчет!$BT$5,Исходн.данные.!T50=Расчет!$BT$6),BH50*0.5,IF(OR(Исходн.данные.!T50=Расчет!$BS$9,Исходн.данные.!T50=Расчет!$BS$10,Исходн.данные.!T50=Расчет!$BS$11,Исходн.данные.!T50=Расчет!$BS$12,Исходн.данные.!T50=Расчет!$BP$5),BH50*0.8,BH50))))</f>
        <v>0</v>
      </c>
      <c r="BM50" s="10">
        <f>IF(OR(Исходн.данные.!$AH50=$BP$1,Исходн.данные.!$AH50=$BP$2),0,IF(BJ50&lt;0,0,IF(Исходн.данные.!I50&lt;4.5,BJ50*1.2,IF(Исходн.данные.!I50&gt;5.1,BJ50,BJ50*((5.1-Исходн.данные.!I50)*0.333+1)))))</f>
        <v>0</v>
      </c>
      <c r="BN50" s="10">
        <f>IF(OR(Исходн.данные.!$AH50=$BP$1,Исходн.данные.!$AH50=$BP$2),60-Исходн.данные.!AF50,IF(BK50&lt;0,0,IF(Исходн.данные.!I50&lt;4.5,BK50*1.2,IF(Исходн.данные.!I50&gt;5.1,BK50,BK50*((5.1-Исходн.данные.!I50)*0.333+1)))))</f>
        <v>0</v>
      </c>
      <c r="BO50" s="9">
        <f>IF(BL50&lt;0,0,BL50*Исходн.данные.!$AJ50/1000)</f>
        <v>0</v>
      </c>
      <c r="BP50" s="9">
        <f>IF(BM50&lt;0,0,BM50*Исходн.данные.!$AJ50/1000)</f>
        <v>0</v>
      </c>
      <c r="BQ50" s="9">
        <f>IF(BN50&lt;0,0,BN50*Исходн.данные.!$AJ50/1000)</f>
        <v>0</v>
      </c>
      <c r="BR50" s="9">
        <f t="shared" si="81"/>
        <v>0</v>
      </c>
      <c r="BS50" s="10" t="str">
        <f t="shared" si="82"/>
        <v>Аммофос 12:52:00</v>
      </c>
      <c r="BT50" s="10" t="str">
        <f t="shared" si="83"/>
        <v>Аммофос 12:52:00</v>
      </c>
      <c r="BU50" s="10" t="str">
        <f t="shared" si="84"/>
        <v>Диаммофоска</v>
      </c>
      <c r="BV50" s="10">
        <f t="shared" si="85"/>
        <v>0</v>
      </c>
      <c r="BW50" s="10"/>
      <c r="BX50" s="10"/>
      <c r="BY50" s="9">
        <f>IF(BL50&lt;0,0,IF(OR(Исходн.данные.!AI50=Расчет!$BU$6,Исходн.данные.!AI50=Расчет!$BU$7),Расчет!BV50,IF(Исходн.данные.!$AG50=$BV$11,BL50,IF(OR(Исходн.данные.!$AH50=$BQ$7,Исходн.данные.!$AH50=$BQ$8),CB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0,IF(Исходн.данные.!$AI50=$BU$11,"Нет",IF(BL50&gt;30,30,BL50)))))))</f>
        <v>0</v>
      </c>
      <c r="BZ50" s="9">
        <f>IF(AND(Исходн.данные.!$AG50=$BV$11,BM50&lt;10),10,IF(Исходн.данные.!$AG50=$BV$11,BM50,IF(OR(Исходн.данные.!$AH50=$BQ$7,Исходн.данные.!$AH50=$BQ$8),CC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10,IF(Исходн.данные.!$AI50=$BU$11,"Нет",IF(BM50&gt;60,60,IF(BM50&lt;10,10,BM50)))))))</f>
        <v>10</v>
      </c>
      <c r="CA50" s="39">
        <f>IF(BN50&lt;0,0,IF(Исходн.данные.!$AG50=$BV$11,BN50,IF(OR(Исходн.данные.!$AH50=$BQ$7,Исходн.данные.!$AH50=$BQ$8),CD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0,IF(Исходн.данные.!$AI50=$BU$11,"Нет",IF(BN50&gt;30,30,BN50))))))</f>
        <v>0</v>
      </c>
      <c r="CB50" s="9">
        <f t="shared" si="86"/>
        <v>0</v>
      </c>
      <c r="CC50" s="9">
        <f t="shared" si="87"/>
        <v>0</v>
      </c>
      <c r="CD50" s="9">
        <f t="shared" si="88"/>
        <v>0</v>
      </c>
      <c r="CE50" s="12">
        <f t="shared" si="89"/>
        <v>10</v>
      </c>
      <c r="CF50" s="9">
        <f t="shared" si="90"/>
        <v>0</v>
      </c>
      <c r="CG50" s="9" t="s">
        <v>231</v>
      </c>
      <c r="CH50" s="132" t="str">
        <f>IF(Исходн.данные.!AP50=Расчет!$CI$16,"Нет",IF(Исходн.данные.!AL50&gt;0,Исходн.данные.!AL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BH$4,IF(OR(Исходн.данные.!AI50=Исходн.данные.!$AI$6,Исходн.данные.!AI50=Исходн.данные.!$AI$7),Расчет!BS50,IF(AND($CF50=0,$CE50&gt;0),EV50,ER50)))))</f>
        <v>Аммофос 12:52:00</v>
      </c>
      <c r="CI50" s="274">
        <f>IF(Расчет!$CH50="Нет","Нет",IF(Исходн.данные.!$AL50&gt;0,VLOOKUP(Расчет!$CH50,АшламаДВ_Irekle,2,FALSE),VLOOKUP(Расчет!$CH50,АшламаДВ_Gomumy,2,FALSE)))</f>
        <v>0.12</v>
      </c>
      <c r="CJ50" s="274">
        <f>IF(Расчет!$CH50="Нет","Нет",IF(Исходн.данные.!$AL50&gt;0,VLOOKUP(Расчет!$CH50,АшламаДВ_Irekle,3,FALSE),VLOOKUP(Расчет!$CH50,АшламаДВ_Gomumy,3,FALSE)))</f>
        <v>0.52</v>
      </c>
      <c r="CK50" s="274">
        <f>IF(Расчет!$CH50="Нет","Нет",IF(Исходн.данные.!$AL50&gt;0,VLOOKUP(Расчет!$CH50,АшламаДВ_Irekle,4,FALSE),VLOOKUP(Расчет!$CH50,АшламаДВ_Gomumy,4,FALSE)))</f>
        <v>0</v>
      </c>
      <c r="CL50" s="70"/>
      <c r="CM50" s="70"/>
      <c r="CN50" s="70"/>
      <c r="CO50" s="70"/>
      <c r="CP50" s="70"/>
      <c r="CQ50" s="70"/>
      <c r="CR50" s="10">
        <f t="shared" si="91"/>
        <v>0</v>
      </c>
      <c r="CS50" s="10">
        <f t="shared" si="92"/>
        <v>19.23076923076923</v>
      </c>
      <c r="CT50" s="10">
        <f t="shared" si="93"/>
        <v>0</v>
      </c>
      <c r="CU50" s="39">
        <f>IF($CH50="Нет",0,IF(CI50=0,30/MIN(CJ50:CK50),IF(Исходн.данные.!$AG50=$BV$11,CR50,IF(OR(Исходн.данные.!$AH50=$BQ$7,Исходн.данные.!$AH50=$BQ$8),90/CI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0,IF(Исходн.данные.!$AI50=$BU$11,"Нет",30/CI50))))))</f>
        <v>250</v>
      </c>
      <c r="CV50" s="39">
        <f>IF($CH50="Нет",0,IF(Исходн.данные.!AH50=0,0,IF(CJ50=0,60/MIN(CI50,CK50),IF(Исходн.данные.!$AG50=$BV$11,CS50,IF(OR(Исходн.данные.!$AH50=$BQ$7,Исходн.данные.!$AH50=$BQ$8),90/CJ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10/CJ50,IF(Исходн.данные.!$AI50=$BU$11,"Нет",60/CJ50)))))))</f>
        <v>0</v>
      </c>
      <c r="CW50" s="39">
        <f>IF($CH50="Нет",0,IF(Исходн.данные.!AH50=0,0,IF(CK50=0,30/MIN(CI50:CJ50),IF(Исходн.данные.!$AG50=$BV$11,CT50,IF(OR(Исходн.данные.!$AH50=$BQ$7,Исходн.данные.!$AH50=$BQ$8),90/CK50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0,IF(Исходн.данные.!$AI50=$BU$11,"Нет",30/CK50)))))))</f>
        <v>0</v>
      </c>
      <c r="CX50" s="133">
        <f>IF(Исходн.данные.!$AG50=$BV$11,MAX(CU50:CW50),IF(OR(Исходн.данные.!$AH50=$BS$8,Исходн.данные.!$AH50=$BQ$9,Исходн.данные.!$AH50=$BQ$10,Исходн.данные.!$AH50=$BQ$11,Исходн.данные.!$AH50=$BQ$12,Исходн.данные.!$AH50=$BP$3,Исходн.данные.!$AH50=$BT$8,$FM50="Да"),CV50,MIN(CU50:CW50)))</f>
        <v>0</v>
      </c>
      <c r="CY50" s="133">
        <f>IF(Исходн.данные.!AH50=0,0,IF(CR50&gt;$CX50,$CX50,CR50))</f>
        <v>0</v>
      </c>
      <c r="CZ50" s="133">
        <f>IF(Исходн.данные.!AH50=0,0,IF(CS50&gt;$CX50,$CX50,CS50))</f>
        <v>0</v>
      </c>
      <c r="DA50" s="133">
        <f>IF(Исходн.данные.!AH50=0,0,IF(CT50&gt;$CX50,$CX50,CT50))</f>
        <v>0</v>
      </c>
      <c r="DB50" s="10">
        <f t="shared" si="94"/>
        <v>0</v>
      </c>
      <c r="DC50" s="39">
        <f>DB50*Исходн.данные.!AJ50/1000</f>
        <v>0</v>
      </c>
      <c r="DD50" s="71">
        <f t="shared" si="95"/>
        <v>0</v>
      </c>
      <c r="DE50" s="9">
        <f t="shared" si="96"/>
        <v>0</v>
      </c>
      <c r="DF50" s="9">
        <f t="shared" si="97"/>
        <v>0</v>
      </c>
      <c r="DG50" s="39">
        <f>IF(BL50&lt;0,0,IF($CH50="Нет",BL50,IF(OR(Исходн.данные.!$AH50=$BP$1,Исходн.данные.!$AH50=$BP$2),0,IF(Исходн.данные.!AI50=$BU$11,BL50,IF(BL50-DD50&lt;0,0,BL50-DD50)))))</f>
        <v>0</v>
      </c>
      <c r="DH50" s="39">
        <f>IF(BM50&lt;0,0,IF($CH50="Нет",BM50,IF(OR(Исходн.данные.!$AH50=$BP$1,Исходн.данные.!$AH50=$BP$2),0,IF(Исходн.данные.!AJ50=$BU$11,BM50,IF(BM50-DE50&lt;0,0,BM50-DE50)))))</f>
        <v>0</v>
      </c>
      <c r="DI50" s="39">
        <f>IF(BN50&lt;0,0,IF($CH50="Нет",BN50,IF(OR(Исходн.данные.!$AH50=$BP$1,Исходн.данные.!$AH50=$BP$2),0,IF(Исходн.данные.!AK50=$BU$11,BN50,IF(BN50-DF50&lt;0,0,BN50-DF50)))))</f>
        <v>0</v>
      </c>
      <c r="DJ50" s="12">
        <f t="shared" si="98"/>
        <v>0</v>
      </c>
      <c r="DK50" s="9">
        <f t="shared" si="99"/>
        <v>0</v>
      </c>
      <c r="DL50" s="39">
        <f>IF(Исходн.данные.!AM50&gt;0,Исходн.данные.!AM50,IF(EG50&gt;0,$BH$10,0))</f>
        <v>0</v>
      </c>
      <c r="DM50" s="186">
        <f>IF($DL50=0,0,IF(Исходн.данные.!AM50&gt;0,VLOOKUP($DL50,АшламаДВ_Irekle,2,FALSE),VLOOKUP($DL50,АшламаДВ_Gomumy,2,FALSE)))</f>
        <v>0</v>
      </c>
      <c r="DN50" s="10">
        <f t="shared" si="46"/>
        <v>0</v>
      </c>
      <c r="DO50" s="9" t="str">
        <f>IF(Исходн.данные.!AN50&gt;0,Исходн.данные.!AN50,Удобрения!$B$37 )</f>
        <v>Хлор.калий</v>
      </c>
      <c r="DP50" s="9">
        <f>IF(Исходн.данные.!AN50&gt;0,VLOOKUP(Исходн.данные.!AN50,АшламаДВ_Irekle,4,FALSE),VLOOKUP(DO50,АшламаДВ_Gomumy,4,FALSE))</f>
        <v>0.6</v>
      </c>
      <c r="DQ50" s="10">
        <f t="shared" si="47"/>
        <v>0</v>
      </c>
      <c r="DR50" s="132" t="str">
        <f>IF(Исходн.данные.!AO50&gt;0,Исходн.данные.!AO50,IF(DH50=0,BS$17,IF(AND($DK50=0,$DJ50&gt;0),EJ50,EN50)))</f>
        <v>Нет</v>
      </c>
      <c r="DS50" s="70" t="str">
        <f>IF($DR50="Нет","Нет",IF(Исходн.данные.!$AO50&gt;0,VLOOKUP($DR50,АшламаДВ_Irekle,2,FALSE),VLOOKUP($DR50,АшламаДВ_Gomumy,2,FALSE)))</f>
        <v>Нет</v>
      </c>
      <c r="DT50" s="70" t="str">
        <f>IF($DR50="Нет","Нет",IF(Исходн.данные.!$AO50&gt;0,VLOOKUP($DR50,АшламаДВ_Irekle,3,FALSE),VLOOKUP($DR50,АшламаДВ_Gomumy,3,FALSE)))</f>
        <v>Нет</v>
      </c>
      <c r="DU50" s="70" t="str">
        <f>IF($DR50="Нет","Нет",IF(Исходн.данные.!$AO50&gt;0,VLOOKUP($DR50,АшламаДВ_Irekle,4,FALSE),VLOOKUP($DR50,АшламаДВ_Gomumy,4,FALSE)))</f>
        <v>Нет</v>
      </c>
      <c r="DV50" s="70"/>
      <c r="DW50" s="70"/>
      <c r="DX50" s="70"/>
      <c r="DY50" s="10">
        <f t="shared" si="100"/>
        <v>0</v>
      </c>
      <c r="DZ50" s="10">
        <f t="shared" si="101"/>
        <v>0</v>
      </c>
      <c r="EA50" s="10">
        <f t="shared" si="102"/>
        <v>0</v>
      </c>
      <c r="EB50" s="10">
        <f t="shared" si="103"/>
        <v>0</v>
      </c>
      <c r="EC50" s="10">
        <f t="shared" si="104"/>
        <v>0</v>
      </c>
      <c r="ED50" s="10">
        <f t="shared" si="105"/>
        <v>0</v>
      </c>
      <c r="EE50" s="10">
        <f t="shared" si="106"/>
        <v>0</v>
      </c>
      <c r="EF50" s="39">
        <f>EB50*Исходн.данные.!AJ50/1000</f>
        <v>0</v>
      </c>
      <c r="EG50" s="9">
        <f t="shared" si="107"/>
        <v>0</v>
      </c>
      <c r="EH50" s="9">
        <f t="shared" si="108"/>
        <v>0</v>
      </c>
      <c r="EI50" s="39" t="e">
        <f t="shared" si="7"/>
        <v>#DIV/0!</v>
      </c>
      <c r="EJ50" s="9" t="str">
        <f t="shared" si="8"/>
        <v>Азопреципитат</v>
      </c>
      <c r="EK50" s="12">
        <f t="shared" si="9"/>
        <v>0.26</v>
      </c>
      <c r="EL50" s="12">
        <f t="shared" si="10"/>
        <v>0.13</v>
      </c>
      <c r="EM50" s="12">
        <f t="shared" si="11"/>
        <v>0</v>
      </c>
      <c r="EN50" s="12" t="str">
        <f t="shared" si="57"/>
        <v>Нет</v>
      </c>
      <c r="EO50" s="12">
        <f t="shared" si="12"/>
        <v>0</v>
      </c>
      <c r="EP50" s="12">
        <f t="shared" si="13"/>
        <v>0</v>
      </c>
      <c r="EQ50" s="12">
        <f t="shared" si="14"/>
        <v>0</v>
      </c>
      <c r="ER50" s="12" t="str">
        <f t="shared" si="109"/>
        <v>Диаммофоска</v>
      </c>
      <c r="ES50" s="12">
        <f t="shared" si="15"/>
        <v>0.1</v>
      </c>
      <c r="ET50" s="12">
        <f t="shared" si="16"/>
        <v>0.26</v>
      </c>
      <c r="EU50" s="12">
        <f t="shared" si="17"/>
        <v>0.26</v>
      </c>
      <c r="EV50" s="12" t="str">
        <f t="shared" si="110"/>
        <v>Аммофос 12:52:00</v>
      </c>
      <c r="EW50" s="12" t="str">
        <f t="shared" si="111"/>
        <v>Кемира Свекловичное-6</v>
      </c>
      <c r="EX50" s="12">
        <f t="shared" si="18"/>
        <v>0.16</v>
      </c>
      <c r="EY50" s="12">
        <f t="shared" si="19"/>
        <v>0.12</v>
      </c>
      <c r="EZ50" s="12">
        <f t="shared" si="20"/>
        <v>0.17</v>
      </c>
      <c r="FA50" s="38" t="e">
        <f>IF(AND(OR(FJ50=$FD$1,FM50=$FD$1,FO50=$FD$1,FQ50=$FD$1,FS50=$FD$1),FD50=$FD$1,Исходн.данные.!J50&lt;2,FU50=$FD$1),"Бор,Кобальт",IF(AND(FO50=$FD$1,FH50=$FD$1,Исходн.данные.!J50&lt;2,FU50=$FD$1),"Бор,Кобальт",IF(AND(OR(FJ50=$FD$1,FM50=$FD$1,FQ50=$FD$1),FE50=$FD$1,Исходн.данные.!J50&lt;2,FT50=$FD$1,FU50=$FD$1),"Бор,Медь,Цинк",IF(AND(OR(FJ50=$FD$1,FR50="Да"),FI50="Да",Исходн.данные.!J50&lt;2,FT50="Да",FU50="Да"),"Бор,Цинк,Медь",IF(AND(OR(FM50="Да",FQ50="Да"),FI50="Да",Исходн.данные.!J50&lt;2,FT50="Да",FU50="Да"),"Бор,Цинк",IF(AND(FN50="Да",OR(FD50="Да",FE50="Да")),"Бор",FB50))))))</f>
        <v>#N/A</v>
      </c>
      <c r="FB50" s="134" t="e">
        <f>IF(AND(OR(FD50="Да",FE50="Да",FF50="Да",FG50="Да",FH50="Да"),FO50="Да"),"Бор",IF(AND(FP50="Да",OR(FD50="Да",FE50="Да",FI50="Да")),"Бор",IF(AND(FS50="Да",FE50="Да"),"Бор,Медь",IF(AND(OR(FJ50="Да",FK50="Да",FL50="Да"),FE50="Да",Исходн.данные.!I50&lt;5,FT50="Да",FU50="Да"),"Молибден,Цинк",IF(AND(FM50="Да",OR(FE50="Да",FF50="Да",FG50="Да",FH50="Да",FI50="Да")),"Молибден,Цинк",IF(AND(OR(FJ50="Да",FK50="Да",FL50="Да",FM50="Да",FQ50="Да"),OR(FE50="Да",FF50="Да"),FT50="Да",FU50="Да",Исходн.данные.!I50&gt;5.5),"Медь,Цинк",FC50))))))</f>
        <v>#N/A</v>
      </c>
      <c r="FC50" s="23" t="e">
        <f t="shared" si="112"/>
        <v>#N/A</v>
      </c>
      <c r="FD50" s="38" t="str">
        <f>IF(OR(Исходн.данные.!F50=$CC$1,Исходн.данные.!F50=$CC$2,Исходн.данные.!F50=$CC$3,Исходн.данные.!F50=$CC$4),"Да","Нет")</f>
        <v>Нет</v>
      </c>
      <c r="FE50" s="38" t="str">
        <f>IF(Исходн.данные.!F50=$CC$5,"Да","Нет")</f>
        <v>Нет</v>
      </c>
      <c r="FF50" s="38" t="str">
        <f>IF(OR(Исходн.данные.!F50=$CC$6,Исходн.данные.!F50=$CC$7),"Да","Нет")</f>
        <v>Нет</v>
      </c>
      <c r="FG50" s="38" t="str">
        <f>IF(OR(Исходн.данные.!F50=$CC$8,Исходн.данные.!F50=$CC$9),"Да","Нет")</f>
        <v>Нет</v>
      </c>
      <c r="FH50" s="38" t="str">
        <f>IF(Исходн.данные.!F50=$CC$10,"Да","Нет")</f>
        <v>Нет</v>
      </c>
      <c r="FI50" s="38" t="str">
        <f>IF(OR(Исходн.данные.!F50=$CC$11,Исходн.данные.!F50=$CC$12),"Да","Нет")</f>
        <v>Нет</v>
      </c>
      <c r="FJ50" s="38" t="str">
        <f>IF(OR(Исходн.данные.!AH50=$BS$1,Исходн.данные.!AH50=$BQ$11,Исходн.данные.!AH50=$BQ$12),"Да","Нет")</f>
        <v>Нет</v>
      </c>
      <c r="FK50" s="38" t="str">
        <f>IF(OR(Исходн.данные.!AH50=$BS$2,Исходн.данные.!AH50=$BS$4),"Да","Нет")</f>
        <v>Нет</v>
      </c>
      <c r="FL50" s="38" t="str">
        <f>IF(OR(Исходн.данные.!AH50=$BS$3,Исходн.данные.!AH50=$BS$5),"Да","Нет")</f>
        <v>Нет</v>
      </c>
      <c r="FM50" s="38" t="str">
        <f>IF(OR(Исходн.данные.!AH50=$BS$9,Исходн.данные.!AH50=$BS$10,Исходн.данные.!AH50=$BS$11,Исходн.данные.!AH50=$BS$12),"Да","Нет")</f>
        <v>Нет</v>
      </c>
      <c r="FN50" s="38" t="str">
        <f>IF(OR(Исходн.данные.!AH50=$BS$6,Исходн.данные.!AH50=$BP$3),"Да","Нет")</f>
        <v>Нет</v>
      </c>
      <c r="FO50" s="38" t="str">
        <f>IF(Исходн.данные.!AH50=$BQ$9,"Да","Нет")</f>
        <v>Нет</v>
      </c>
      <c r="FP50" s="38" t="str">
        <f>IF(OR(Исходн.данные.!AH50=$BS$8,Исходн.данные.!AH50=$BT$8),"Да","Нет")</f>
        <v>Нет</v>
      </c>
      <c r="FQ50" s="38" t="str">
        <f>IF(OR(Исходн.данные.!AH50=$BQ$7,Исходн.данные.!AH50=$BQ$8),"Да","Нет")</f>
        <v>Нет</v>
      </c>
      <c r="FR50" s="38" t="str">
        <f>IF(Исходн.данные.!AI50=$BU$9,"Да","Нет")</f>
        <v>Нет</v>
      </c>
      <c r="FS50" s="38" t="str">
        <f>IF(OR(Исходн.данные.!AH50=$BP$1,Исходн.данные.!AH50=$BP$2),"Да","Нет")</f>
        <v>Нет</v>
      </c>
      <c r="FT50" s="38" t="e">
        <f>IF((Исходн.данные.!K50*GO50*GS50*GW50+BL50*0.6+Исходн.данные.!Q50*4.5*0.275)&gt;90,"Да","Нет")</f>
        <v>#N/A</v>
      </c>
      <c r="FU50" s="38" t="e">
        <f>IF((Исходн.данные.!M50*GS50*GZ50+BM50*0.225)&gt;35,"Да","Нет")</f>
        <v>#N/A</v>
      </c>
      <c r="FV50" s="38" t="str">
        <f>IF(Исходн.данные.!O50&gt;175,"Да","Нет")</f>
        <v>Нет</v>
      </c>
      <c r="FW50" s="39" t="str">
        <f>IF(Исходн.данные.!I50&gt;5.5,"Да","Нет")</f>
        <v>Нет</v>
      </c>
      <c r="FX50" s="39" t="str">
        <f>IF(Исходн.данные.!J50&lt;2,"Да","Нет")</f>
        <v>Да</v>
      </c>
      <c r="FY50" s="39" t="e">
        <f>IF(HF50=$FY$16,0,Исходн.данные.!K50*GO50*GS50*GW50/HF50)</f>
        <v>#N/A</v>
      </c>
      <c r="FZ50" s="39" t="e">
        <f>Исходн.данные.!M50*GS50*GZ50/HG50</f>
        <v>#N/A</v>
      </c>
      <c r="GA50" s="39" t="e">
        <f>IF(K_Wyn=$FY$16,0,IF(Исходн.данные.!N50=Исходн.данные.!$L$10,Исходн.данные.!O50/1.1*GS50*HC50/HH50,IF(Исходн.данные.!N50=Исходн.данные.!$L$12,Исходн.данные.!O50/1.5*GS50*HC50/HH50,Исходн.данные.!O50*GS50*HC50/HH50)))</f>
        <v>#N/A</v>
      </c>
      <c r="GB50" s="39" t="e">
        <f>IF(HF50=$FY$16,0,((Исходн.данные.!Q50*N_Org+Исходн.данные.!R50*N_Sider+Исходн.данные.!S50*N_Soloma)*AO50+Расчет!BC50*VLOOKUP(Исходн.данные.!T50,Справ!$A$3:$O$57,15)*AO50+BB50*VLOOKUP(Исходн.данные.!T50,Справ!$A$3:$O$57,15)*AL50+(Исходн.данные.!V50*N_Rizotorf+Исходн.данные.!W50*N_Rizoagr))/HF50)</f>
        <v>#N/A</v>
      </c>
      <c r="GC50" s="39" t="e">
        <f>IF(HG50=$FY$16,0,((Исходн.данные.!Q50*Р_Org+Исходн.данные.!R50*P_Sider+Исходн.данные.!S50*P_Soloma)*AP50+Расчет!BC50*VLOOKUP(Исходн.данные.!T50,Справ!$A$3:$P$57,16)*AP50+BB50*VLOOKUP(Исходн.данные.!T50,Справ!$A$3:$P$57,16)*AM50)/HG50)</f>
        <v>#N/A</v>
      </c>
      <c r="GD50" s="39" t="e">
        <f>IF(HH50=$FY$16,0,((Исходн.данные.!Q50*К_Org+Исходн.данные.!R50*K_Sider+Исходн.данные.!S50*K_Soloma)*AQ50+Расчет!BC50*VLOOKUP(Исходн.данные.!T50,Справ!$A$3:$Q$57,17)*AQ50+BB50*VLOOKUP(Исходн.данные.!T50,Справ!$A$3:$Q$57,17)*AN50)/HH50)</f>
        <v>#N/A</v>
      </c>
      <c r="GE50" s="39" t="e">
        <f>IF(HF50=$FY$16,0,(Исходн.данные.!X50*AR50+Исходн.данные.!AA50*N_Org*AL50+Исходн.данные.!AB50*N_Sider*AL50+Исходн.данные.!AC50*N_Soloma*AL50)/HF50)</f>
        <v>#N/A</v>
      </c>
      <c r="GF50" s="39" t="e">
        <f>IF(HG50=$FY$16,0,(Исходн.данные.!Y50*AS50+Исходн.данные.!AA50*Р_Org*AM50+Исходн.данные.!AB50*P_Sider*AM50+Исходн.данные.!AC50*P_Soloma*AM50)/HG50)</f>
        <v>#N/A</v>
      </c>
      <c r="GG50" s="39" t="e">
        <f>IF(HH50=$FY$16,0,(Исходн.данные.!Z50*AT50+Исходн.данные.!AA50*К_Org*AN50+Исходн.данные.!AB50*K_Sider*AN50+Исходн.данные.!AC50*K_Soloma*AN50)/HH50)</f>
        <v>#N/A</v>
      </c>
      <c r="GH50" s="39" t="e">
        <f>Исходн.данные.!AD50*AU50/HF50</f>
        <v>#N/A</v>
      </c>
      <c r="GI50" s="39" t="e">
        <f>Исходн.данные.!AE50*AV50/HG50</f>
        <v>#N/A</v>
      </c>
      <c r="GJ50" s="39" t="e">
        <f>Исходн.данные.!AF50*AW50/HH50</f>
        <v>#N/A</v>
      </c>
      <c r="GK50" s="55">
        <f>Исходн.данные.!AK50</f>
        <v>0</v>
      </c>
      <c r="GL50" s="11" t="e">
        <f t="shared" si="113"/>
        <v>#N/A</v>
      </c>
      <c r="GM50" s="11" t="e">
        <f t="shared" si="114"/>
        <v>#N/A</v>
      </c>
      <c r="GN50" s="11" t="e">
        <f t="shared" si="115"/>
        <v>#N/A</v>
      </c>
      <c r="GO50" s="57">
        <f t="shared" si="116"/>
        <v>19</v>
      </c>
      <c r="GP50" s="55">
        <f>IF(OR(Исходн.данные.!F50=$CE$1,Исходн.данные.!F50=$CE$2,Исходн.данные.!F50=$CE$3,Исходн.данные.!F50=$CE$4,Исходн.данные.!F50=$CE$5),GQ50,GR50)</f>
        <v>19</v>
      </c>
      <c r="GQ50" s="55">
        <f>IF(Исходн.данные.!F50=$CE$1,28,IF(Исходн.данные.!F50=$CE$2,26,IF(Исходн.данные.!F50=$CE$3,24,IF(Исходн.данные.!F50=$CE$4,22,IF(Исходн.данные.!F50=$CE$5,20,GR50)))))</f>
        <v>19</v>
      </c>
      <c r="GR50" s="55">
        <f>IF(Исходн.данные.!F50=$CE$6,18,IF(Исходн.данные.!F50=$CE$7,16,IF(Исходн.данные.!F50=$CE$8,14,IF(Исходн.данные.!F50=$CE$9,13,IF(Исходн.данные.!F50=$CE$10,12,19)))))</f>
        <v>19</v>
      </c>
      <c r="GS50" s="55">
        <f>IF(Исходн.данные.!G50="Пес",0.035*(40+2*Исходн.данные.!H50),IF(Исходн.данные.!G50="Суп",0.0325*(40+2*Исходн.данные.!H50),0.03*(40+2*Исходн.данные.!H50)))</f>
        <v>1.2</v>
      </c>
      <c r="GT50" s="55">
        <f>IF(Исходн.данные.!H50&lt;23,2.6,IF(AND(Исходн.данные.!H50&gt;22,Исходн.данные.!H50&lt;26),3,IF(AND(Исходн.данные.!H50&gt;25,Исходн.данные.!H50&lt;29),3.4,3.6)))</f>
        <v>2.6</v>
      </c>
      <c r="GU50" s="55">
        <f>IF(Исходн.данные.!H50&lt;23,2.8,IF(AND(Исходн.данные.!H50&gt;22,Исходн.данные.!H50&lt;26),3.2,IF(AND(Исходн.данные.!H50&gt;25,Исходн.данные.!H50&lt;29),3.6,3.9)))</f>
        <v>2.8</v>
      </c>
      <c r="GV50" s="55">
        <f>IF(Исходн.данные.!H50&lt;23,3,IF(AND(Исходн.данные.!H50&gt;22,Исходн.данные.!H50&lt;26),3.5,IF(AND(Исходн.данные.!H50&gt;25,Исходн.данные.!H50&lt;29),3.9,4.2)))</f>
        <v>3</v>
      </c>
      <c r="GW50" s="55" t="e">
        <f>IF(Исходн.данные.!P50="Ум",GX50,GY50)</f>
        <v>#N/A</v>
      </c>
      <c r="GX50" s="55" t="e">
        <f>VLOOKUP(Исходн.данные.!AI50,Коэффициенты!$J$7:$L$13,2,FALSE)</f>
        <v>#N/A</v>
      </c>
      <c r="GY50" s="55" t="e">
        <f>VLOOKUP(Исходн.данные.!AI50,Коэффициенты!$J$7:$L$13,3,FALSE)</f>
        <v>#N/A</v>
      </c>
      <c r="GZ50" s="55" t="e">
        <f>(IF(Исходн.данные.!M50&lt;50,0.11*VLOOKUP(Исходн.данные.!AH50,Культуры.Информация,7,FALSE),IF(Исходн.данные.!M50&gt;250,0.05*VLOOKUP(Исходн.данные.!AH50,Культуры.Информация,7,FALSE),VLOOKUP(Исходн.данные.!AH50,Культуры.Информация,5,FALSE)/100*($GX$6+$GY$6*Исходн.данные.!M50))))*Расчет2!AI50</f>
        <v>#N/A</v>
      </c>
      <c r="HA50" s="211"/>
      <c r="HB50" s="211"/>
      <c r="HC50" s="55" t="e">
        <f>(IF(Исходн.данные.!O50&lt;80,0.2*VLOOKUP(Исходн.данные.!AH50,Культуры.Информация,8,FALSE),IF(Исходн.данные.!O50&gt;240,0.09*VLOOKUP(Исходн.данные.!AH50,Культуры.Информация,8,FALSE),VLOOKUP(Исходн.данные.!AH50,Культуры.Информация,6,FALSE)/100*($HB$6+$HC$6*Исходн.данные.!O50))))*Расчет2!AJ50</f>
        <v>#N/A</v>
      </c>
      <c r="HD50" s="55">
        <f>IF(Исходн.данные.!O50&gt;240,0.09,IF(Исходн.данные.!O50&lt;30,0.3,$HE$10+$HD$10*Исходн.данные.!O50))</f>
        <v>0.3</v>
      </c>
      <c r="HE50" s="55">
        <f>IF(Исходн.данные.!O50&gt;240,0.17,IF(Исходн.данные.!O50&lt;30,0.5,$HF$12+$HE$12*Исходн.данные.!O50))</f>
        <v>0.5</v>
      </c>
      <c r="HF50" s="55" t="e">
        <f>VLOOKUP(Исходн.данные.!AH50,Справ!$A$3:$D$58,2,FALSE)</f>
        <v>#N/A</v>
      </c>
      <c r="HG50" s="55" t="e">
        <f>VLOOKUP(Исходн.данные.!AH50,Справ!$A$3:$D$58,3,FALSE)</f>
        <v>#N/A</v>
      </c>
      <c r="HH50" s="55" t="e">
        <f>VLOOKUP(Исходн.данные.!AH50,Справ!$A$3:$D$58,4,FALSE)</f>
        <v>#N/A</v>
      </c>
      <c r="HI50" s="11" t="e">
        <f t="shared" si="117"/>
        <v>#N/A</v>
      </c>
      <c r="HJ50" s="11" t="e">
        <f t="shared" si="118"/>
        <v>#N/A</v>
      </c>
      <c r="HK50" s="11" t="e">
        <f t="shared" si="119"/>
        <v>#N/A</v>
      </c>
      <c r="HL50" s="55">
        <f>IF(OR(Исходн.данные.!G50="Глин",Исходн.данные.!G50="Т_суг"),1.1,IF(Исходн.данные.!G50="Ср_суг",1,1))</f>
        <v>1</v>
      </c>
      <c r="HM50" s="55">
        <f>IF(OR(Исходн.данные.!G50="Глин",Исходн.данные.!G50="Т_суг"),0.9,IF(Исходн.данные.!G50="Ср_суг",1,1.2))</f>
        <v>1.2</v>
      </c>
      <c r="HN50" s="11" t="e">
        <f t="shared" si="120"/>
        <v>#N/A</v>
      </c>
      <c r="HO50" s="11" t="e">
        <f t="shared" si="121"/>
        <v>#N/A</v>
      </c>
      <c r="HP50" s="11" t="e">
        <f t="shared" si="122"/>
        <v>#N/A</v>
      </c>
      <c r="HQ50" t="e">
        <f t="shared" si="123"/>
        <v>#N/A</v>
      </c>
      <c r="HR50" t="e">
        <f t="shared" si="124"/>
        <v>#N/A</v>
      </c>
      <c r="HS50" t="e">
        <f t="shared" si="125"/>
        <v>#N/A</v>
      </c>
      <c r="HT50" t="e">
        <f t="shared" si="21"/>
        <v>#N/A</v>
      </c>
      <c r="HU50" t="e">
        <f t="shared" si="22"/>
        <v>#N/A</v>
      </c>
      <c r="HV50" t="e">
        <f t="shared" si="23"/>
        <v>#N/A</v>
      </c>
      <c r="HW50" t="e">
        <f t="shared" si="24"/>
        <v>#N/A</v>
      </c>
      <c r="HX50" t="e">
        <f t="shared" si="25"/>
        <v>#N/A</v>
      </c>
      <c r="HY50" t="e">
        <f t="shared" si="26"/>
        <v>#N/A</v>
      </c>
      <c r="HZ50" s="55">
        <f>IF(OR(Исходн.данные.!AI50="Оз_Ч_П",Исходн.данные.!AI50="Оз_З_П",Исходн.данные.!AI50="Яр_зер"),12,30)</f>
        <v>30</v>
      </c>
      <c r="IA50" t="e">
        <f t="shared" si="126"/>
        <v>#N/A</v>
      </c>
      <c r="IB50" t="e">
        <f t="shared" si="127"/>
        <v>#N/A</v>
      </c>
      <c r="IC50" t="e">
        <f t="shared" si="128"/>
        <v>#N/A</v>
      </c>
      <c r="ID50" s="11" t="e">
        <f t="shared" si="129"/>
        <v>#N/A</v>
      </c>
      <c r="IE50" s="11" t="e">
        <f t="shared" si="130"/>
        <v>#N/A</v>
      </c>
      <c r="IF50" s="11" t="e">
        <f t="shared" si="131"/>
        <v>#N/A</v>
      </c>
    </row>
    <row r="51" spans="35:240" x14ac:dyDescent="0.2">
      <c r="AI51">
        <f>IF(Исходн.данные.!I51&gt;6,1,1.85-(0.148*Исходн.данные.!I51))</f>
        <v>1.85</v>
      </c>
      <c r="AJ51">
        <f>IF(Исходн.данные.!I51&gt;6,1,2.434-(0.246*Исходн.данные.!I51))</f>
        <v>2.4340000000000002</v>
      </c>
      <c r="AL51" s="148" t="b">
        <f>IF(Исходн.данные.!$P51="Ум",N_OrgUd_2g_um,IF(Исходн.данные.!$P51="Об",N_OrgUd_2g_ob))</f>
        <v>0</v>
      </c>
      <c r="AM51" s="148" t="b">
        <f>IF(Исходн.данные.!$P51="Ум",P_OrgUd_2g_um,IF(Исходн.данные.!$P51="Об",P_OrgUd_2g_ob))</f>
        <v>0</v>
      </c>
      <c r="AN51" s="148" t="b">
        <f>IF(Исходн.данные.!$P51="Ум",K_OrgUd_2g_um,IF(Исходн.данные.!$P51="Об",K_OrgUd_2g_ob))</f>
        <v>0</v>
      </c>
      <c r="AO51" s="148" t="b">
        <f>IF(Исходн.данные.!$P51="Ум",N_OrgUd_1g_um,IF(Исходн.данные.!$P51="Об",N_OrgUd_1g_ob))</f>
        <v>0</v>
      </c>
      <c r="AP51" s="148" t="b">
        <f>IF(Исходн.данные.!$P51="Ум",P_OrgUd_1g_um,IF(Исходн.данные.!$P51="Об",P_OrgUd_1g_ob))</f>
        <v>0</v>
      </c>
      <c r="AQ51" s="148" t="b">
        <f>IF(Исходн.данные.!$P51="Ум",K_OrgUd_1g_um,IF(Исходн.данные.!$P51="Об",K_OrgUd_1g_ob))</f>
        <v>0</v>
      </c>
      <c r="AR51" t="b">
        <f>IF(Исходн.данные.!$P51="Ум",N_MinUd_2g_um,IF(Исходн.данные.!$P51="Об",N_MinUd_2g_ob))</f>
        <v>0</v>
      </c>
      <c r="AS51" t="b">
        <f>IF(Исходн.данные.!$P51="Ум",P_MinUd_2g_um,IF(Исходн.данные.!$P51="Об",P_MinUd_2g_ob))</f>
        <v>0</v>
      </c>
      <c r="AT51" t="b">
        <f>IF(Исходн.данные.!$P51="Ум",K_MinUd_2g_um,IF(Исходн.данные.!$P51="Об",K_MinUd_2g_ob))</f>
        <v>0</v>
      </c>
      <c r="AU51" t="b">
        <f>IF(Исходн.данные.!$P51="Ум",N_MinUd_1g_um,IF(Исходн.данные.!$P51="Об",N_MinUd_1g_ob))</f>
        <v>0</v>
      </c>
      <c r="AV51" t="b">
        <f>IF(Исходн.данные.!P51="Ум",P_MinUd_1g_um,IF(Исходн.данные.!P51="Об",P_MinUd_1g_ob))</f>
        <v>0</v>
      </c>
      <c r="AW51" t="b">
        <f>IF(Исходн.данные.!P51="Ум",K_MinUd_1g_um,IF(Исходн.данные.!P51="Об",K_MinUd_1g_ob))</f>
        <v>0</v>
      </c>
      <c r="AY51" t="e">
        <f>VLOOKUP(Исходн.данные.!T51,Справ!$A$3:$N$57,12)</f>
        <v>#N/A</v>
      </c>
      <c r="AZ51" t="e">
        <f>VLOOKUP(Исходн.данные.!T51,Справ!$A$3:$N$57,13)</f>
        <v>#N/A</v>
      </c>
      <c r="BA51" t="e">
        <f>VLOOKUP(Исходн.данные.!T51,Справ!$A$3:$N$57,14)</f>
        <v>#N/A</v>
      </c>
      <c r="BB51">
        <f>IF(Исходн.данные.!AH51=0,0,25)</f>
        <v>0</v>
      </c>
      <c r="BC51" s="141">
        <f>IF(Исходн.данные.!AH51=0,0,IF(Исходн.данные.!T51=0,25,BD51))</f>
        <v>0</v>
      </c>
      <c r="BD51" s="168" t="e">
        <f>AY51+AZ51*Исходн.данные.!U51-POWER(BA51,2)*Исходн.данные.!U51</f>
        <v>#N/A</v>
      </c>
      <c r="BE5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1" s="25">
        <f>IF(Исходн.данные.!AH51=0,0,MIN(HN51:HP51))</f>
        <v>0</v>
      </c>
      <c r="BG51" s="9">
        <f>IF(Исходн.данные.!AH51=0,0,IF((HO51+10*0.25/HG51/HL51)&lt;17,17,HO51+10*0.25/HG51/HL51))</f>
        <v>0</v>
      </c>
      <c r="BH51" s="181">
        <f>IF(Исходн.данные.!AH51=0,0,HW51*HF51*HL51/AU51*AI51+Исходн.данные.!S51*10)</f>
        <v>0</v>
      </c>
      <c r="BI51" s="10"/>
      <c r="BJ51" s="182">
        <f>IF(Исходн.данные.!AH51=0,0,IF(HX51*HG51*HL51/AV51&lt;0,0,HX51*HG51*HL51/AV51*AJ51))</f>
        <v>0</v>
      </c>
      <c r="BK51" s="182">
        <f>IF(Исходн.данные.!AH51=0,0,HY51*HH51*HM51/AW51)</f>
        <v>0</v>
      </c>
      <c r="BL51" s="10">
        <f>IF(OR(Исходн.данные.!$AH51=$BP$1,Исходн.данные.!$AH51=$BP$2),0,IF(BH51&lt;0,0,IF(OR(Исходн.данные.!T51=Расчет!$BP$1,Исходн.данные.!T51=Расчет!$BP$2,Исходн.данные.!T51=Расчет!$BT$5,Исходн.данные.!T51=Расчет!$BT$6),BH51*0.5,IF(OR(Исходн.данные.!T51=Расчет!$BS$9,Исходн.данные.!T51=Расчет!$BS$10,Исходн.данные.!T51=Расчет!$BS$11,Исходн.данные.!T51=Расчет!$BS$12,Исходн.данные.!T51=Расчет!$BP$5),BH51*0.8,BH51))))</f>
        <v>0</v>
      </c>
      <c r="BM51" s="10">
        <f>IF(OR(Исходн.данные.!$AH51=$BP$1,Исходн.данные.!$AH51=$BP$2),0,IF(BJ51&lt;0,0,IF(Исходн.данные.!I51&lt;4.5,BJ51*1.2,IF(Исходн.данные.!I51&gt;5.1,BJ51,BJ51*((5.1-Исходн.данные.!I51)*0.333+1)))))</f>
        <v>0</v>
      </c>
      <c r="BN51" s="10">
        <f>IF(OR(Исходн.данные.!$AH51=$BP$1,Исходн.данные.!$AH51=$BP$2),60-Исходн.данные.!AF51,IF(BK51&lt;0,0,IF(Исходн.данные.!I51&lt;4.5,BK51*1.2,IF(Исходн.данные.!I51&gt;5.1,BK51,BK51*((5.1-Исходн.данные.!I51)*0.333+1)))))</f>
        <v>0</v>
      </c>
      <c r="BO51" s="9">
        <f>IF(BL51&lt;0,0,BL51*Исходн.данные.!$AJ51/1000)</f>
        <v>0</v>
      </c>
      <c r="BP51" s="9">
        <f>IF(BM51&lt;0,0,BM51*Исходн.данные.!$AJ51/1000)</f>
        <v>0</v>
      </c>
      <c r="BQ51" s="9">
        <f>IF(BN51&lt;0,0,BN51*Исходн.данные.!$AJ51/1000)</f>
        <v>0</v>
      </c>
      <c r="BR51" s="9">
        <f t="shared" si="81"/>
        <v>0</v>
      </c>
      <c r="BS51" s="10" t="str">
        <f t="shared" si="82"/>
        <v>Аммофос 12:52:00</v>
      </c>
      <c r="BT51" s="10" t="str">
        <f t="shared" si="83"/>
        <v>Аммофос 12:52:00</v>
      </c>
      <c r="BU51" s="10" t="str">
        <f t="shared" si="84"/>
        <v>Диаммофоска</v>
      </c>
      <c r="BV51" s="10">
        <f t="shared" si="85"/>
        <v>0</v>
      </c>
      <c r="BW51" s="10"/>
      <c r="BX51" s="10"/>
      <c r="BY51" s="9">
        <f>IF(BL51&lt;0,0,IF(OR(Исходн.данные.!AI51=Расчет!$BU$6,Исходн.данные.!AI51=Расчет!$BU$7),Расчет!BV51,IF(Исходн.данные.!$AG51=$BV$11,BL51,IF(OR(Исходн.данные.!$AH51=$BQ$7,Исходн.данные.!$AH51=$BQ$8),CB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0,IF(Исходн.данные.!$AI51=$BU$11,"Нет",IF(BL51&gt;30,30,BL51)))))))</f>
        <v>0</v>
      </c>
      <c r="BZ51" s="9">
        <f>IF(AND(Исходн.данные.!$AG51=$BV$11,BM51&lt;10),10,IF(Исходн.данные.!$AG51=$BV$11,BM51,IF(OR(Исходн.данные.!$AH51=$BQ$7,Исходн.данные.!$AH51=$BQ$8),CC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10,IF(Исходн.данные.!$AI51=$BU$11,"Нет",IF(BM51&gt;60,60,IF(BM51&lt;10,10,BM51)))))))</f>
        <v>10</v>
      </c>
      <c r="CA51" s="39">
        <f>IF(BN51&lt;0,0,IF(Исходн.данные.!$AG51=$BV$11,BN51,IF(OR(Исходн.данные.!$AH51=$BQ$7,Исходн.данные.!$AH51=$BQ$8),CD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0,IF(Исходн.данные.!$AI51=$BU$11,"Нет",IF(BN51&gt;30,30,BN51))))))</f>
        <v>0</v>
      </c>
      <c r="CB51" s="9">
        <f t="shared" si="86"/>
        <v>0</v>
      </c>
      <c r="CC51" s="9">
        <f t="shared" si="87"/>
        <v>0</v>
      </c>
      <c r="CD51" s="9">
        <f t="shared" si="88"/>
        <v>0</v>
      </c>
      <c r="CE51" s="12">
        <f t="shared" si="89"/>
        <v>10</v>
      </c>
      <c r="CF51" s="9">
        <f t="shared" si="90"/>
        <v>0</v>
      </c>
      <c r="CG51" s="9" t="s">
        <v>231</v>
      </c>
      <c r="CH51" s="132" t="str">
        <f>IF(Исходн.данные.!AP51=Расчет!$CI$16,"Нет",IF(Исходн.данные.!AL51&gt;0,Исходн.данные.!AL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BH$4,IF(OR(Исходн.данные.!AI51=Исходн.данные.!$AI$6,Исходн.данные.!AI51=Исходн.данные.!$AI$7),Расчет!BS51,IF(AND($CF51=0,$CE51&gt;0),EV51,ER51)))))</f>
        <v>Аммофос 12:52:00</v>
      </c>
      <c r="CI51" s="274">
        <f>IF(Расчет!$CH51="Нет","Нет",IF(Исходн.данные.!$AL51&gt;0,VLOOKUP(Расчет!$CH51,АшламаДВ_Irekle,2,FALSE),VLOOKUP(Расчет!$CH51,АшламаДВ_Gomumy,2,FALSE)))</f>
        <v>0.12</v>
      </c>
      <c r="CJ51" s="274">
        <f>IF(Расчет!$CH51="Нет","Нет",IF(Исходн.данные.!$AL51&gt;0,VLOOKUP(Расчет!$CH51,АшламаДВ_Irekle,3,FALSE),VLOOKUP(Расчет!$CH51,АшламаДВ_Gomumy,3,FALSE)))</f>
        <v>0.52</v>
      </c>
      <c r="CK51" s="274">
        <f>IF(Расчет!$CH51="Нет","Нет",IF(Исходн.данные.!$AL51&gt;0,VLOOKUP(Расчет!$CH51,АшламаДВ_Irekle,4,FALSE),VLOOKUP(Расчет!$CH51,АшламаДВ_Gomumy,4,FALSE)))</f>
        <v>0</v>
      </c>
      <c r="CL51" s="70"/>
      <c r="CM51" s="70"/>
      <c r="CN51" s="70"/>
      <c r="CO51" s="70"/>
      <c r="CP51" s="70"/>
      <c r="CQ51" s="70"/>
      <c r="CR51" s="10">
        <f t="shared" si="91"/>
        <v>0</v>
      </c>
      <c r="CS51" s="10">
        <f t="shared" si="92"/>
        <v>19.23076923076923</v>
      </c>
      <c r="CT51" s="10">
        <f t="shared" si="93"/>
        <v>0</v>
      </c>
      <c r="CU51" s="39">
        <f>IF($CH51="Нет",0,IF(CI51=0,30/MIN(CJ51:CK51),IF(Исходн.данные.!$AG51=$BV$11,CR51,IF(OR(Исходн.данные.!$AH51=$BQ$7,Исходн.данные.!$AH51=$BQ$8),90/CI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0,IF(Исходн.данные.!$AI51=$BU$11,"Нет",30/CI51))))))</f>
        <v>250</v>
      </c>
      <c r="CV51" s="39">
        <f>IF($CH51="Нет",0,IF(Исходн.данные.!AH51=0,0,IF(CJ51=0,60/MIN(CI51,CK51),IF(Исходн.данные.!$AG51=$BV$11,CS51,IF(OR(Исходн.данные.!$AH51=$BQ$7,Исходн.данные.!$AH51=$BQ$8),90/CJ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10/CJ51,IF(Исходн.данные.!$AI51=$BU$11,"Нет",60/CJ51)))))))</f>
        <v>0</v>
      </c>
      <c r="CW51" s="39">
        <f>IF($CH51="Нет",0,IF(Исходн.данные.!AH51=0,0,IF(CK51=0,30/MIN(CI51:CJ51),IF(Исходн.данные.!$AG51=$BV$11,CT51,IF(OR(Исходн.данные.!$AH51=$BQ$7,Исходн.данные.!$AH51=$BQ$8),90/CK51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0,IF(Исходн.данные.!$AI51=$BU$11,"Нет",30/CK51)))))))</f>
        <v>0</v>
      </c>
      <c r="CX51" s="133">
        <f>IF(Исходн.данные.!$AG51=$BV$11,MAX(CU51:CW51),IF(OR(Исходн.данные.!$AH51=$BS$8,Исходн.данные.!$AH51=$BQ$9,Исходн.данные.!$AH51=$BQ$10,Исходн.данные.!$AH51=$BQ$11,Исходн.данные.!$AH51=$BQ$12,Исходн.данные.!$AH51=$BP$3,Исходн.данные.!$AH51=$BT$8,$FM51="Да"),CV51,MIN(CU51:CW51)))</f>
        <v>0</v>
      </c>
      <c r="CY51" s="133">
        <f>IF(Исходн.данные.!AH51=0,0,IF(CR51&gt;$CX51,$CX51,CR51))</f>
        <v>0</v>
      </c>
      <c r="CZ51" s="133">
        <f>IF(Исходн.данные.!AH51=0,0,IF(CS51&gt;$CX51,$CX51,CS51))</f>
        <v>0</v>
      </c>
      <c r="DA51" s="133">
        <f>IF(Исходн.данные.!AH51=0,0,IF(CT51&gt;$CX51,$CX51,CT51))</f>
        <v>0</v>
      </c>
      <c r="DB51" s="10">
        <f t="shared" si="94"/>
        <v>0</v>
      </c>
      <c r="DC51" s="39">
        <f>DB51*Исходн.данные.!AJ51/1000</f>
        <v>0</v>
      </c>
      <c r="DD51" s="71">
        <f t="shared" si="95"/>
        <v>0</v>
      </c>
      <c r="DE51" s="9">
        <f t="shared" si="96"/>
        <v>0</v>
      </c>
      <c r="DF51" s="9">
        <f t="shared" si="97"/>
        <v>0</v>
      </c>
      <c r="DG51" s="39">
        <f>IF(BL51&lt;0,0,IF($CH51="Нет",BL51,IF(OR(Исходн.данные.!$AH51=$BP$1,Исходн.данные.!$AH51=$BP$2),0,IF(Исходн.данные.!AI51=$BU$11,BL51,IF(BL51-DD51&lt;0,0,BL51-DD51)))))</f>
        <v>0</v>
      </c>
      <c r="DH51" s="39">
        <f>IF(BM51&lt;0,0,IF($CH51="Нет",BM51,IF(OR(Исходн.данные.!$AH51=$BP$1,Исходн.данные.!$AH51=$BP$2),0,IF(Исходн.данные.!AJ51=$BU$11,BM51,IF(BM51-DE51&lt;0,0,BM51-DE51)))))</f>
        <v>0</v>
      </c>
      <c r="DI51" s="39">
        <f>IF(BN51&lt;0,0,IF($CH51="Нет",BN51,IF(OR(Исходн.данные.!$AH51=$BP$1,Исходн.данные.!$AH51=$BP$2),0,IF(Исходн.данные.!AK51=$BU$11,BN51,IF(BN51-DF51&lt;0,0,BN51-DF51)))))</f>
        <v>0</v>
      </c>
      <c r="DJ51" s="12">
        <f t="shared" si="98"/>
        <v>0</v>
      </c>
      <c r="DK51" s="9">
        <f t="shared" si="99"/>
        <v>0</v>
      </c>
      <c r="DL51" s="39">
        <f>IF(Исходн.данные.!AM51&gt;0,Исходн.данные.!AM51,IF(EG51&gt;0,$BH$10,0))</f>
        <v>0</v>
      </c>
      <c r="DM51" s="186">
        <f>IF($DL51=0,0,IF(Исходн.данные.!AM51&gt;0,VLOOKUP($DL51,АшламаДВ_Irekle,2,FALSE),VLOOKUP($DL51,АшламаДВ_Gomumy,2,FALSE)))</f>
        <v>0</v>
      </c>
      <c r="DN51" s="10">
        <f t="shared" si="46"/>
        <v>0</v>
      </c>
      <c r="DO51" s="9" t="str">
        <f>IF(Исходн.данные.!AN51&gt;0,Исходн.данные.!AN51,Удобрения!$B$37 )</f>
        <v>Хлор.калий</v>
      </c>
      <c r="DP51" s="9">
        <f>IF(Исходн.данные.!AN51&gt;0,VLOOKUP(Исходн.данные.!AN51,АшламаДВ_Irekle,4,FALSE),VLOOKUP(DO51,АшламаДВ_Gomumy,4,FALSE))</f>
        <v>0.6</v>
      </c>
      <c r="DQ51" s="10">
        <f t="shared" si="47"/>
        <v>0</v>
      </c>
      <c r="DR51" s="132" t="str">
        <f>IF(Исходн.данные.!AO51&gt;0,Исходн.данные.!AO51,IF(DH51=0,BS$17,IF(AND($DK51=0,$DJ51&gt;0),EJ51,EN51)))</f>
        <v>Нет</v>
      </c>
      <c r="DS51" s="70" t="str">
        <f>IF($DR51="Нет","Нет",IF(Исходн.данные.!$AO51&gt;0,VLOOKUP($DR51,АшламаДВ_Irekle,2,FALSE),VLOOKUP($DR51,АшламаДВ_Gomumy,2,FALSE)))</f>
        <v>Нет</v>
      </c>
      <c r="DT51" s="70" t="str">
        <f>IF($DR51="Нет","Нет",IF(Исходн.данные.!$AO51&gt;0,VLOOKUP($DR51,АшламаДВ_Irekle,3,FALSE),VLOOKUP($DR51,АшламаДВ_Gomumy,3,FALSE)))</f>
        <v>Нет</v>
      </c>
      <c r="DU51" s="70" t="str">
        <f>IF($DR51="Нет","Нет",IF(Исходн.данные.!$AO51&gt;0,VLOOKUP($DR51,АшламаДВ_Irekle,4,FALSE),VLOOKUP($DR51,АшламаДВ_Gomumy,4,FALSE)))</f>
        <v>Нет</v>
      </c>
      <c r="DV51" s="70"/>
      <c r="DW51" s="70"/>
      <c r="DX51" s="70"/>
      <c r="DY51" s="10">
        <f t="shared" si="100"/>
        <v>0</v>
      </c>
      <c r="DZ51" s="10">
        <f t="shared" si="101"/>
        <v>0</v>
      </c>
      <c r="EA51" s="10">
        <f t="shared" si="102"/>
        <v>0</v>
      </c>
      <c r="EB51" s="10">
        <f t="shared" si="103"/>
        <v>0</v>
      </c>
      <c r="EC51" s="10">
        <f t="shared" si="104"/>
        <v>0</v>
      </c>
      <c r="ED51" s="10">
        <f t="shared" si="105"/>
        <v>0</v>
      </c>
      <c r="EE51" s="10">
        <f t="shared" si="106"/>
        <v>0</v>
      </c>
      <c r="EF51" s="39">
        <f>EB51*Исходн.данные.!AJ51/1000</f>
        <v>0</v>
      </c>
      <c r="EG51" s="9">
        <f t="shared" si="107"/>
        <v>0</v>
      </c>
      <c r="EH51" s="9">
        <f t="shared" si="108"/>
        <v>0</v>
      </c>
      <c r="EI51" s="39" t="e">
        <f t="shared" si="7"/>
        <v>#DIV/0!</v>
      </c>
      <c r="EJ51" s="9" t="str">
        <f t="shared" si="8"/>
        <v>Азопреципитат</v>
      </c>
      <c r="EK51" s="12">
        <f t="shared" si="9"/>
        <v>0.26</v>
      </c>
      <c r="EL51" s="12">
        <f t="shared" si="10"/>
        <v>0.13</v>
      </c>
      <c r="EM51" s="12">
        <f t="shared" si="11"/>
        <v>0</v>
      </c>
      <c r="EN51" s="12" t="str">
        <f t="shared" si="57"/>
        <v>Нет</v>
      </c>
      <c r="EO51" s="12">
        <f t="shared" si="12"/>
        <v>0</v>
      </c>
      <c r="EP51" s="12">
        <f t="shared" si="13"/>
        <v>0</v>
      </c>
      <c r="EQ51" s="12">
        <f t="shared" si="14"/>
        <v>0</v>
      </c>
      <c r="ER51" s="12" t="str">
        <f t="shared" si="109"/>
        <v>Диаммофоска</v>
      </c>
      <c r="ES51" s="12">
        <f t="shared" si="15"/>
        <v>0.1</v>
      </c>
      <c r="ET51" s="12">
        <f t="shared" si="16"/>
        <v>0.26</v>
      </c>
      <c r="EU51" s="12">
        <f t="shared" si="17"/>
        <v>0.26</v>
      </c>
      <c r="EV51" s="12" t="str">
        <f t="shared" si="110"/>
        <v>Аммофос 12:52:00</v>
      </c>
      <c r="EW51" s="12" t="str">
        <f t="shared" si="111"/>
        <v>Кемира Свекловичное-6</v>
      </c>
      <c r="EX51" s="12">
        <f t="shared" si="18"/>
        <v>0.16</v>
      </c>
      <c r="EY51" s="12">
        <f t="shared" si="19"/>
        <v>0.12</v>
      </c>
      <c r="EZ51" s="12">
        <f t="shared" si="20"/>
        <v>0.17</v>
      </c>
      <c r="FA51" s="38" t="e">
        <f>IF(AND(OR(FJ51=$FD$1,FM51=$FD$1,FO51=$FD$1,FQ51=$FD$1,FS51=$FD$1),FD51=$FD$1,Исходн.данные.!J51&lt;2,FU51=$FD$1),"Бор,Кобальт",IF(AND(FO51=$FD$1,FH51=$FD$1,Исходн.данные.!J51&lt;2,FU51=$FD$1),"Бор,Кобальт",IF(AND(OR(FJ51=$FD$1,FM51=$FD$1,FQ51=$FD$1),FE51=$FD$1,Исходн.данные.!J51&lt;2,FT51=$FD$1,FU51=$FD$1),"Бор,Медь,Цинк",IF(AND(OR(FJ51=$FD$1,FR51="Да"),FI51="Да",Исходн.данные.!J51&lt;2,FT51="Да",FU51="Да"),"Бор,Цинк,Медь",IF(AND(OR(FM51="Да",FQ51="Да"),FI51="Да",Исходн.данные.!J51&lt;2,FT51="Да",FU51="Да"),"Бор,Цинк",IF(AND(FN51="Да",OR(FD51="Да",FE51="Да")),"Бор",FB51))))))</f>
        <v>#N/A</v>
      </c>
      <c r="FB51" s="134" t="e">
        <f>IF(AND(OR(FD51="Да",FE51="Да",FF51="Да",FG51="Да",FH51="Да"),FO51="Да"),"Бор",IF(AND(FP51="Да",OR(FD51="Да",FE51="Да",FI51="Да")),"Бор",IF(AND(FS51="Да",FE51="Да"),"Бор,Медь",IF(AND(OR(FJ51="Да",FK51="Да",FL51="Да"),FE51="Да",Исходн.данные.!I51&lt;5,FT51="Да",FU51="Да"),"Молибден,Цинк",IF(AND(FM51="Да",OR(FE51="Да",FF51="Да",FG51="Да",FH51="Да",FI51="Да")),"Молибден,Цинк",IF(AND(OR(FJ51="Да",FK51="Да",FL51="Да",FM51="Да",FQ51="Да"),OR(FE51="Да",FF51="Да"),FT51="Да",FU51="Да",Исходн.данные.!I51&gt;5.5),"Медь,Цинк",FC51))))))</f>
        <v>#N/A</v>
      </c>
      <c r="FC51" s="23" t="e">
        <f t="shared" si="112"/>
        <v>#N/A</v>
      </c>
      <c r="FD51" s="38" t="str">
        <f>IF(OR(Исходн.данные.!F51=$CC$1,Исходн.данные.!F51=$CC$2,Исходн.данные.!F51=$CC$3,Исходн.данные.!F51=$CC$4),"Да","Нет")</f>
        <v>Нет</v>
      </c>
      <c r="FE51" s="38" t="str">
        <f>IF(Исходн.данные.!F51=$CC$5,"Да","Нет")</f>
        <v>Нет</v>
      </c>
      <c r="FF51" s="38" t="str">
        <f>IF(OR(Исходн.данные.!F51=$CC$6,Исходн.данные.!F51=$CC$7),"Да","Нет")</f>
        <v>Нет</v>
      </c>
      <c r="FG51" s="38" t="str">
        <f>IF(OR(Исходн.данные.!F51=$CC$8,Исходн.данные.!F51=$CC$9),"Да","Нет")</f>
        <v>Нет</v>
      </c>
      <c r="FH51" s="38" t="str">
        <f>IF(Исходн.данные.!F51=$CC$10,"Да","Нет")</f>
        <v>Нет</v>
      </c>
      <c r="FI51" s="38" t="str">
        <f>IF(OR(Исходн.данные.!F51=$CC$11,Исходн.данные.!F51=$CC$12),"Да","Нет")</f>
        <v>Нет</v>
      </c>
      <c r="FJ51" s="38" t="str">
        <f>IF(OR(Исходн.данные.!AH51=$BS$1,Исходн.данные.!AH51=$BQ$11,Исходн.данные.!AH51=$BQ$12),"Да","Нет")</f>
        <v>Нет</v>
      </c>
      <c r="FK51" s="38" t="str">
        <f>IF(OR(Исходн.данные.!AH51=$BS$2,Исходн.данные.!AH51=$BS$4),"Да","Нет")</f>
        <v>Нет</v>
      </c>
      <c r="FL51" s="38" t="str">
        <f>IF(OR(Исходн.данные.!AH51=$BS$3,Исходн.данные.!AH51=$BS$5),"Да","Нет")</f>
        <v>Нет</v>
      </c>
      <c r="FM51" s="38" t="str">
        <f>IF(OR(Исходн.данные.!AH51=$BS$9,Исходн.данные.!AH51=$BS$10,Исходн.данные.!AH51=$BS$11,Исходн.данные.!AH51=$BS$12),"Да","Нет")</f>
        <v>Нет</v>
      </c>
      <c r="FN51" s="38" t="str">
        <f>IF(OR(Исходн.данные.!AH51=$BS$6,Исходн.данные.!AH51=$BP$3),"Да","Нет")</f>
        <v>Нет</v>
      </c>
      <c r="FO51" s="38" t="str">
        <f>IF(Исходн.данные.!AH51=$BQ$9,"Да","Нет")</f>
        <v>Нет</v>
      </c>
      <c r="FP51" s="38" t="str">
        <f>IF(OR(Исходн.данные.!AH51=$BS$8,Исходн.данные.!AH51=$BT$8),"Да","Нет")</f>
        <v>Нет</v>
      </c>
      <c r="FQ51" s="38" t="str">
        <f>IF(OR(Исходн.данные.!AH51=$BQ$7,Исходн.данные.!AH51=$BQ$8),"Да","Нет")</f>
        <v>Нет</v>
      </c>
      <c r="FR51" s="38" t="str">
        <f>IF(Исходн.данные.!AI51=$BU$9,"Да","Нет")</f>
        <v>Нет</v>
      </c>
      <c r="FS51" s="38" t="str">
        <f>IF(OR(Исходн.данные.!AH51=$BP$1,Исходн.данные.!AH51=$BP$2),"Да","Нет")</f>
        <v>Нет</v>
      </c>
      <c r="FT51" s="38" t="e">
        <f>IF((Исходн.данные.!K51*GO51*GS51*GW51+BL51*0.6+Исходн.данные.!Q51*4.5*0.275)&gt;90,"Да","Нет")</f>
        <v>#N/A</v>
      </c>
      <c r="FU51" s="38" t="e">
        <f>IF((Исходн.данные.!M51*GS51*GZ51+BM51*0.225)&gt;35,"Да","Нет")</f>
        <v>#N/A</v>
      </c>
      <c r="FV51" s="38" t="str">
        <f>IF(Исходн.данные.!O51&gt;175,"Да","Нет")</f>
        <v>Нет</v>
      </c>
      <c r="FW51" s="39" t="str">
        <f>IF(Исходн.данные.!I51&gt;5.5,"Да","Нет")</f>
        <v>Нет</v>
      </c>
      <c r="FX51" s="39" t="str">
        <f>IF(Исходн.данные.!J51&lt;2,"Да","Нет")</f>
        <v>Да</v>
      </c>
      <c r="FY51" s="39" t="e">
        <f>IF(HF51=$FY$16,0,Исходн.данные.!K51*GO51*GS51*GW51/HF51)</f>
        <v>#N/A</v>
      </c>
      <c r="FZ51" s="39" t="e">
        <f>Исходн.данные.!M51*GS51*GZ51/HG51</f>
        <v>#N/A</v>
      </c>
      <c r="GA51" s="39" t="e">
        <f>IF(K_Wyn=$FY$16,0,IF(Исходн.данные.!N51=Исходн.данные.!$L$10,Исходн.данные.!O51/1.1*GS51*HC51/HH51,IF(Исходн.данные.!N51=Исходн.данные.!$L$12,Исходн.данные.!O51/1.5*GS51*HC51/HH51,Исходн.данные.!O51*GS51*HC51/HH51)))</f>
        <v>#N/A</v>
      </c>
      <c r="GB51" s="39" t="e">
        <f>IF(HF51=$FY$16,0,((Исходн.данные.!Q51*N_Org+Исходн.данные.!R51*N_Sider+Исходн.данные.!S51*N_Soloma)*AO51+Расчет!BC51*VLOOKUP(Исходн.данные.!T51,Справ!$A$3:$O$57,15)*AO51+BB51*VLOOKUP(Исходн.данные.!T51,Справ!$A$3:$O$57,15)*AL51+(Исходн.данные.!V51*N_Rizotorf+Исходн.данные.!W51*N_Rizoagr))/HF51)</f>
        <v>#N/A</v>
      </c>
      <c r="GC51" s="39" t="e">
        <f>IF(HG51=$FY$16,0,((Исходн.данные.!Q51*Р_Org+Исходн.данные.!R51*P_Sider+Исходн.данные.!S51*P_Soloma)*AP51+Расчет!BC51*VLOOKUP(Исходн.данные.!T51,Справ!$A$3:$P$57,16)*AP51+BB51*VLOOKUP(Исходн.данные.!T51,Справ!$A$3:$P$57,16)*AM51)/HG51)</f>
        <v>#N/A</v>
      </c>
      <c r="GD51" s="39" t="e">
        <f>IF(HH51=$FY$16,0,((Исходн.данные.!Q51*К_Org+Исходн.данные.!R51*K_Sider+Исходн.данные.!S51*K_Soloma)*AQ51+Расчет!BC51*VLOOKUP(Исходн.данные.!T51,Справ!$A$3:$Q$57,17)*AQ51+BB51*VLOOKUP(Исходн.данные.!T51,Справ!$A$3:$Q$57,17)*AN51)/HH51)</f>
        <v>#N/A</v>
      </c>
      <c r="GE51" s="39" t="e">
        <f>IF(HF51=$FY$16,0,(Исходн.данные.!X51*AR51+Исходн.данные.!AA51*N_Org*AL51+Исходн.данные.!AB51*N_Sider*AL51+Исходн.данные.!AC51*N_Soloma*AL51)/HF51)</f>
        <v>#N/A</v>
      </c>
      <c r="GF51" s="39" t="e">
        <f>IF(HG51=$FY$16,0,(Исходн.данные.!Y51*AS51+Исходн.данные.!AA51*Р_Org*AM51+Исходн.данные.!AB51*P_Sider*AM51+Исходн.данные.!AC51*P_Soloma*AM51)/HG51)</f>
        <v>#N/A</v>
      </c>
      <c r="GG51" s="39" t="e">
        <f>IF(HH51=$FY$16,0,(Исходн.данные.!Z51*AT51+Исходн.данные.!AA51*К_Org*AN51+Исходн.данные.!AB51*K_Sider*AN51+Исходн.данные.!AC51*K_Soloma*AN51)/HH51)</f>
        <v>#N/A</v>
      </c>
      <c r="GH51" s="39" t="e">
        <f>Исходн.данные.!AD51*AU51/HF51</f>
        <v>#N/A</v>
      </c>
      <c r="GI51" s="39" t="e">
        <f>Исходн.данные.!AE51*AV51/HG51</f>
        <v>#N/A</v>
      </c>
      <c r="GJ51" s="39" t="e">
        <f>Исходн.данные.!AF51*AW51/HH51</f>
        <v>#N/A</v>
      </c>
      <c r="GK51" s="55">
        <f>Исходн.данные.!AK51</f>
        <v>0</v>
      </c>
      <c r="GL51" s="11" t="e">
        <f t="shared" si="113"/>
        <v>#N/A</v>
      </c>
      <c r="GM51" s="11" t="e">
        <f t="shared" si="114"/>
        <v>#N/A</v>
      </c>
      <c r="GN51" s="11" t="e">
        <f t="shared" si="115"/>
        <v>#N/A</v>
      </c>
      <c r="GO51" s="57">
        <f t="shared" si="116"/>
        <v>19</v>
      </c>
      <c r="GP51" s="55">
        <f>IF(OR(Исходн.данные.!F51=$CE$1,Исходн.данные.!F51=$CE$2,Исходн.данные.!F51=$CE$3,Исходн.данные.!F51=$CE$4,Исходн.данные.!F51=$CE$5),GQ51,GR51)</f>
        <v>19</v>
      </c>
      <c r="GQ51" s="55">
        <f>IF(Исходн.данные.!F51=$CE$1,28,IF(Исходн.данные.!F51=$CE$2,26,IF(Исходн.данные.!F51=$CE$3,24,IF(Исходн.данные.!F51=$CE$4,22,IF(Исходн.данные.!F51=$CE$5,20,GR51)))))</f>
        <v>19</v>
      </c>
      <c r="GR51" s="55">
        <f>IF(Исходн.данные.!F51=$CE$6,18,IF(Исходн.данные.!F51=$CE$7,16,IF(Исходн.данные.!F51=$CE$8,14,IF(Исходн.данные.!F51=$CE$9,13,IF(Исходн.данные.!F51=$CE$10,12,19)))))</f>
        <v>19</v>
      </c>
      <c r="GS51" s="55">
        <f>IF(Исходн.данные.!G51="Пес",0.035*(40+2*Исходн.данные.!H51),IF(Исходн.данные.!G51="Суп",0.0325*(40+2*Исходн.данные.!H51),0.03*(40+2*Исходн.данные.!H51)))</f>
        <v>1.2</v>
      </c>
      <c r="GT51" s="55">
        <f>IF(Исходн.данные.!H51&lt;23,2.6,IF(AND(Исходн.данные.!H51&gt;22,Исходн.данные.!H51&lt;26),3,IF(AND(Исходн.данные.!H51&gt;25,Исходн.данные.!H51&lt;29),3.4,3.6)))</f>
        <v>2.6</v>
      </c>
      <c r="GU51" s="55">
        <f>IF(Исходн.данные.!H51&lt;23,2.8,IF(AND(Исходн.данные.!H51&gt;22,Исходн.данные.!H51&lt;26),3.2,IF(AND(Исходн.данные.!H51&gt;25,Исходн.данные.!H51&lt;29),3.6,3.9)))</f>
        <v>2.8</v>
      </c>
      <c r="GV51" s="55">
        <f>IF(Исходн.данные.!H51&lt;23,3,IF(AND(Исходн.данные.!H51&gt;22,Исходн.данные.!H51&lt;26),3.5,IF(AND(Исходн.данные.!H51&gt;25,Исходн.данные.!H51&lt;29),3.9,4.2)))</f>
        <v>3</v>
      </c>
      <c r="GW51" s="55" t="e">
        <f>IF(Исходн.данные.!P51="Ум",GX51,GY51)</f>
        <v>#N/A</v>
      </c>
      <c r="GX51" s="55" t="e">
        <f>VLOOKUP(Исходн.данные.!AI51,Коэффициенты!$J$7:$L$13,2,FALSE)</f>
        <v>#N/A</v>
      </c>
      <c r="GY51" s="55" t="e">
        <f>VLOOKUP(Исходн.данные.!AI51,Коэффициенты!$J$7:$L$13,3,FALSE)</f>
        <v>#N/A</v>
      </c>
      <c r="GZ51" s="55" t="e">
        <f>(IF(Исходн.данные.!M51&lt;50,0.11*VLOOKUP(Исходн.данные.!AH51,Культуры.Информация,7,FALSE),IF(Исходн.данные.!M51&gt;250,0.05*VLOOKUP(Исходн.данные.!AH51,Культуры.Информация,7,FALSE),VLOOKUP(Исходн.данные.!AH51,Культуры.Информация,5,FALSE)/100*($GX$6+$GY$6*Исходн.данные.!M51))))*Расчет2!AI51</f>
        <v>#N/A</v>
      </c>
      <c r="HA51" s="211"/>
      <c r="HB51" s="211"/>
      <c r="HC51" s="55" t="e">
        <f>(IF(Исходн.данные.!O51&lt;80,0.2*VLOOKUP(Исходн.данные.!AH51,Культуры.Информация,8,FALSE),IF(Исходн.данные.!O51&gt;240,0.09*VLOOKUP(Исходн.данные.!AH51,Культуры.Информация,8,FALSE),VLOOKUP(Исходн.данные.!AH51,Культуры.Информация,6,FALSE)/100*($HB$6+$HC$6*Исходн.данные.!O51))))*Расчет2!AJ51</f>
        <v>#N/A</v>
      </c>
      <c r="HD51" s="55">
        <f>IF(Исходн.данные.!O51&gt;240,0.09,IF(Исходн.данные.!O51&lt;30,0.3,$HE$10+$HD$10*Исходн.данные.!O51))</f>
        <v>0.3</v>
      </c>
      <c r="HE51" s="55">
        <f>IF(Исходн.данные.!O51&gt;240,0.17,IF(Исходн.данные.!O51&lt;30,0.5,$HF$12+$HE$12*Исходн.данные.!O51))</f>
        <v>0.5</v>
      </c>
      <c r="HF51" s="55" t="e">
        <f>VLOOKUP(Исходн.данные.!AH51,Справ!$A$3:$D$58,2,FALSE)</f>
        <v>#N/A</v>
      </c>
      <c r="HG51" s="55" t="e">
        <f>VLOOKUP(Исходн.данные.!AH51,Справ!$A$3:$D$58,3,FALSE)</f>
        <v>#N/A</v>
      </c>
      <c r="HH51" s="55" t="e">
        <f>VLOOKUP(Исходн.данные.!AH51,Справ!$A$3:$D$58,4,FALSE)</f>
        <v>#N/A</v>
      </c>
      <c r="HI51" s="11" t="e">
        <f t="shared" si="117"/>
        <v>#N/A</v>
      </c>
      <c r="HJ51" s="11" t="e">
        <f t="shared" si="118"/>
        <v>#N/A</v>
      </c>
      <c r="HK51" s="11" t="e">
        <f t="shared" si="119"/>
        <v>#N/A</v>
      </c>
      <c r="HL51" s="55">
        <f>IF(OR(Исходн.данные.!G51="Глин",Исходн.данные.!G51="Т_суг"),1.1,IF(Исходн.данные.!G51="Ср_суг",1,1))</f>
        <v>1</v>
      </c>
      <c r="HM51" s="55">
        <f>IF(OR(Исходн.данные.!G51="Глин",Исходн.данные.!G51="Т_суг"),0.9,IF(Исходн.данные.!G51="Ср_суг",1,1.2))</f>
        <v>1.2</v>
      </c>
      <c r="HN51" s="11" t="e">
        <f t="shared" si="120"/>
        <v>#N/A</v>
      </c>
      <c r="HO51" s="11" t="e">
        <f t="shared" si="121"/>
        <v>#N/A</v>
      </c>
      <c r="HP51" s="11" t="e">
        <f t="shared" si="122"/>
        <v>#N/A</v>
      </c>
      <c r="HQ51" t="e">
        <f t="shared" si="123"/>
        <v>#N/A</v>
      </c>
      <c r="HR51" t="e">
        <f t="shared" si="124"/>
        <v>#N/A</v>
      </c>
      <c r="HS51" t="e">
        <f t="shared" si="125"/>
        <v>#N/A</v>
      </c>
      <c r="HT51" t="e">
        <f t="shared" si="21"/>
        <v>#N/A</v>
      </c>
      <c r="HU51" t="e">
        <f t="shared" si="22"/>
        <v>#N/A</v>
      </c>
      <c r="HV51" t="e">
        <f t="shared" si="23"/>
        <v>#N/A</v>
      </c>
      <c r="HW51" t="e">
        <f t="shared" si="24"/>
        <v>#N/A</v>
      </c>
      <c r="HX51" t="e">
        <f t="shared" si="25"/>
        <v>#N/A</v>
      </c>
      <c r="HY51" t="e">
        <f t="shared" si="26"/>
        <v>#N/A</v>
      </c>
      <c r="HZ51" s="55">
        <f>IF(OR(Исходн.данные.!AI51="Оз_Ч_П",Исходн.данные.!AI51="Оз_З_П",Исходн.данные.!AI51="Яр_зер"),12,30)</f>
        <v>30</v>
      </c>
      <c r="IA51" t="e">
        <f t="shared" si="126"/>
        <v>#N/A</v>
      </c>
      <c r="IB51" t="e">
        <f t="shared" si="127"/>
        <v>#N/A</v>
      </c>
      <c r="IC51" t="e">
        <f t="shared" si="128"/>
        <v>#N/A</v>
      </c>
      <c r="ID51" s="11" t="e">
        <f t="shared" si="129"/>
        <v>#N/A</v>
      </c>
      <c r="IE51" s="11" t="e">
        <f t="shared" si="130"/>
        <v>#N/A</v>
      </c>
      <c r="IF51" s="11" t="e">
        <f t="shared" si="131"/>
        <v>#N/A</v>
      </c>
    </row>
    <row r="52" spans="35:240" x14ac:dyDescent="0.2">
      <c r="AI52">
        <f>IF(Исходн.данные.!I52&gt;6,1,1.85-(0.148*Исходн.данные.!I52))</f>
        <v>1.85</v>
      </c>
      <c r="AJ52">
        <f>IF(Исходн.данные.!I52&gt;6,1,2.434-(0.246*Исходн.данные.!I52))</f>
        <v>2.4340000000000002</v>
      </c>
      <c r="AL52" s="148" t="b">
        <f>IF(Исходн.данные.!$P52="Ум",N_OrgUd_2g_um,IF(Исходн.данные.!$P52="Об",N_OrgUd_2g_ob))</f>
        <v>0</v>
      </c>
      <c r="AM52" s="148" t="b">
        <f>IF(Исходн.данные.!$P52="Ум",P_OrgUd_2g_um,IF(Исходн.данные.!$P52="Об",P_OrgUd_2g_ob))</f>
        <v>0</v>
      </c>
      <c r="AN52" s="148" t="b">
        <f>IF(Исходн.данные.!$P52="Ум",K_OrgUd_2g_um,IF(Исходн.данные.!$P52="Об",K_OrgUd_2g_ob))</f>
        <v>0</v>
      </c>
      <c r="AO52" s="148" t="b">
        <f>IF(Исходн.данные.!$P52="Ум",N_OrgUd_1g_um,IF(Исходн.данные.!$P52="Об",N_OrgUd_1g_ob))</f>
        <v>0</v>
      </c>
      <c r="AP52" s="148" t="b">
        <f>IF(Исходн.данные.!$P52="Ум",P_OrgUd_1g_um,IF(Исходн.данные.!$P52="Об",P_OrgUd_1g_ob))</f>
        <v>0</v>
      </c>
      <c r="AQ52" s="148" t="b">
        <f>IF(Исходн.данные.!$P52="Ум",K_OrgUd_1g_um,IF(Исходн.данные.!$P52="Об",K_OrgUd_1g_ob))</f>
        <v>0</v>
      </c>
      <c r="AR52" t="b">
        <f>IF(Исходн.данные.!$P52="Ум",N_MinUd_2g_um,IF(Исходн.данные.!$P52="Об",N_MinUd_2g_ob))</f>
        <v>0</v>
      </c>
      <c r="AS52" t="b">
        <f>IF(Исходн.данные.!$P52="Ум",P_MinUd_2g_um,IF(Исходн.данные.!$P52="Об",P_MinUd_2g_ob))</f>
        <v>0</v>
      </c>
      <c r="AT52" t="b">
        <f>IF(Исходн.данные.!$P52="Ум",K_MinUd_2g_um,IF(Исходн.данные.!$P52="Об",K_MinUd_2g_ob))</f>
        <v>0</v>
      </c>
      <c r="AU52" t="b">
        <f>IF(Исходн.данные.!$P52="Ум",N_MinUd_1g_um,IF(Исходн.данные.!$P52="Об",N_MinUd_1g_ob))</f>
        <v>0</v>
      </c>
      <c r="AV52" t="b">
        <f>IF(Исходн.данные.!P52="Ум",P_MinUd_1g_um,IF(Исходн.данные.!P52="Об",P_MinUd_1g_ob))</f>
        <v>0</v>
      </c>
      <c r="AW52" t="b">
        <f>IF(Исходн.данные.!P52="Ум",K_MinUd_1g_um,IF(Исходн.данные.!P52="Об",K_MinUd_1g_ob))</f>
        <v>0</v>
      </c>
      <c r="AY52" t="e">
        <f>VLOOKUP(Исходн.данные.!T52,Справ!$A$3:$N$57,12)</f>
        <v>#N/A</v>
      </c>
      <c r="AZ52" t="e">
        <f>VLOOKUP(Исходн.данные.!T52,Справ!$A$3:$N$57,13)</f>
        <v>#N/A</v>
      </c>
      <c r="BA52" t="e">
        <f>VLOOKUP(Исходн.данные.!T52,Справ!$A$3:$N$57,14)</f>
        <v>#N/A</v>
      </c>
      <c r="BB52">
        <f>IF(Исходн.данные.!AH52=0,0,25)</f>
        <v>0</v>
      </c>
      <c r="BC52" s="141">
        <f>IF(Исходн.данные.!AH52=0,0,IF(Исходн.данные.!T52=0,25,BD52))</f>
        <v>0</v>
      </c>
      <c r="BD52" s="168" t="e">
        <f>AY52+AZ52*Исходн.данные.!U52-POWER(BA52,2)*Исходн.данные.!U52</f>
        <v>#N/A</v>
      </c>
      <c r="BE5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2" s="25">
        <f>IF(Исходн.данные.!AH52=0,0,MIN(HN52:HP52))</f>
        <v>0</v>
      </c>
      <c r="BG52" s="9">
        <f>IF(Исходн.данные.!AH52=0,0,IF((HO52+10*0.25/HG52/HL52)&lt;17,17,HO52+10*0.25/HG52/HL52))</f>
        <v>0</v>
      </c>
      <c r="BH52" s="181">
        <f>IF(Исходн.данные.!AH52=0,0,HW52*HF52*HL52/AU52*AI52+Исходн.данные.!S52*10)</f>
        <v>0</v>
      </c>
      <c r="BI52" s="10"/>
      <c r="BJ52" s="182">
        <f>IF(Исходн.данные.!AH52=0,0,IF(HX52*HG52*HL52/AV52&lt;0,0,HX52*HG52*HL52/AV52*AJ52))</f>
        <v>0</v>
      </c>
      <c r="BK52" s="182">
        <f>IF(Исходн.данные.!AH52=0,0,HY52*HH52*HM52/AW52)</f>
        <v>0</v>
      </c>
      <c r="BL52" s="10">
        <f>IF(OR(Исходн.данные.!$AH52=$BP$1,Исходн.данные.!$AH52=$BP$2),0,IF(BH52&lt;0,0,IF(OR(Исходн.данные.!T52=Расчет!$BP$1,Исходн.данные.!T52=Расчет!$BP$2,Исходн.данные.!T52=Расчет!$BT$5,Исходн.данные.!T52=Расчет!$BT$6),BH52*0.5,IF(OR(Исходн.данные.!T52=Расчет!$BS$9,Исходн.данные.!T52=Расчет!$BS$10,Исходн.данные.!T52=Расчет!$BS$11,Исходн.данные.!T52=Расчет!$BS$12,Исходн.данные.!T52=Расчет!$BP$5),BH52*0.8,BH52))))</f>
        <v>0</v>
      </c>
      <c r="BM52" s="10">
        <f>IF(OR(Исходн.данные.!$AH52=$BP$1,Исходн.данные.!$AH52=$BP$2),0,IF(BJ52&lt;0,0,IF(Исходн.данные.!I52&lt;4.5,BJ52*1.2,IF(Исходн.данные.!I52&gt;5.1,BJ52,BJ52*((5.1-Исходн.данные.!I52)*0.333+1)))))</f>
        <v>0</v>
      </c>
      <c r="BN52" s="10">
        <f>IF(OR(Исходн.данные.!$AH52=$BP$1,Исходн.данные.!$AH52=$BP$2),60-Исходн.данные.!AF52,IF(BK52&lt;0,0,IF(Исходн.данные.!I52&lt;4.5,BK52*1.2,IF(Исходн.данные.!I52&gt;5.1,BK52,BK52*((5.1-Исходн.данные.!I52)*0.333+1)))))</f>
        <v>0</v>
      </c>
      <c r="BO52" s="9">
        <f>IF(BL52&lt;0,0,BL52*Исходн.данные.!$AJ52/1000)</f>
        <v>0</v>
      </c>
      <c r="BP52" s="9">
        <f>IF(BM52&lt;0,0,BM52*Исходн.данные.!$AJ52/1000)</f>
        <v>0</v>
      </c>
      <c r="BQ52" s="9">
        <f>IF(BN52&lt;0,0,BN52*Исходн.данные.!$AJ52/1000)</f>
        <v>0</v>
      </c>
      <c r="BR52" s="9">
        <f t="shared" si="81"/>
        <v>0</v>
      </c>
      <c r="BS52" s="10" t="str">
        <f t="shared" si="82"/>
        <v>Аммофос 12:52:00</v>
      </c>
      <c r="BT52" s="10" t="str">
        <f t="shared" si="83"/>
        <v>Аммофос 12:52:00</v>
      </c>
      <c r="BU52" s="10" t="str">
        <f t="shared" si="84"/>
        <v>Диаммофоска</v>
      </c>
      <c r="BV52" s="10">
        <f t="shared" si="85"/>
        <v>0</v>
      </c>
      <c r="BW52" s="10"/>
      <c r="BX52" s="10"/>
      <c r="BY52" s="9">
        <f>IF(BL52&lt;0,0,IF(OR(Исходн.данные.!AI52=Расчет!$BU$6,Исходн.данные.!AI52=Расчет!$BU$7),Расчет!BV52,IF(Исходн.данные.!$AG52=$BV$11,BL52,IF(OR(Исходн.данные.!$AH52=$BQ$7,Исходн.данные.!$AH52=$BQ$8),CB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0,IF(Исходн.данные.!$AI52=$BU$11,"Нет",IF(BL52&gt;30,30,BL52)))))))</f>
        <v>0</v>
      </c>
      <c r="BZ52" s="9">
        <f>IF(AND(Исходн.данные.!$AG52=$BV$11,BM52&lt;10),10,IF(Исходн.данные.!$AG52=$BV$11,BM52,IF(OR(Исходн.данные.!$AH52=$BQ$7,Исходн.данные.!$AH52=$BQ$8),CC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10,IF(Исходн.данные.!$AI52=$BU$11,"Нет",IF(BM52&gt;60,60,IF(BM52&lt;10,10,BM52)))))))</f>
        <v>10</v>
      </c>
      <c r="CA52" s="39">
        <f>IF(BN52&lt;0,0,IF(Исходн.данные.!$AG52=$BV$11,BN52,IF(OR(Исходн.данные.!$AH52=$BQ$7,Исходн.данные.!$AH52=$BQ$8),CD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0,IF(Исходн.данные.!$AI52=$BU$11,"Нет",IF(BN52&gt;30,30,BN52))))))</f>
        <v>0</v>
      </c>
      <c r="CB52" s="9">
        <f t="shared" si="86"/>
        <v>0</v>
      </c>
      <c r="CC52" s="9">
        <f t="shared" si="87"/>
        <v>0</v>
      </c>
      <c r="CD52" s="9">
        <f t="shared" si="88"/>
        <v>0</v>
      </c>
      <c r="CE52" s="12">
        <f t="shared" si="89"/>
        <v>10</v>
      </c>
      <c r="CF52" s="9">
        <f t="shared" si="90"/>
        <v>0</v>
      </c>
      <c r="CG52" s="9" t="s">
        <v>231</v>
      </c>
      <c r="CH52" s="132" t="str">
        <f>IF(Исходн.данные.!AP52=Расчет!$CI$16,"Нет",IF(Исходн.данные.!AL52&gt;0,Исходн.данные.!AL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BH$4,IF(OR(Исходн.данные.!AI52=Исходн.данные.!$AI$6,Исходн.данные.!AI52=Исходн.данные.!$AI$7),Расчет!BS52,IF(AND($CF52=0,$CE52&gt;0),EV52,ER52)))))</f>
        <v>Аммофос 12:52:00</v>
      </c>
      <c r="CI52" s="274">
        <f>IF(Расчет!$CH52="Нет","Нет",IF(Исходн.данные.!$AL52&gt;0,VLOOKUP(Расчет!$CH52,АшламаДВ_Irekle,2,FALSE),VLOOKUP(Расчет!$CH52,АшламаДВ_Gomumy,2,FALSE)))</f>
        <v>0.12</v>
      </c>
      <c r="CJ52" s="274">
        <f>IF(Расчет!$CH52="Нет","Нет",IF(Исходн.данные.!$AL52&gt;0,VLOOKUP(Расчет!$CH52,АшламаДВ_Irekle,3,FALSE),VLOOKUP(Расчет!$CH52,АшламаДВ_Gomumy,3,FALSE)))</f>
        <v>0.52</v>
      </c>
      <c r="CK52" s="274">
        <f>IF(Расчет!$CH52="Нет","Нет",IF(Исходн.данные.!$AL52&gt;0,VLOOKUP(Расчет!$CH52,АшламаДВ_Irekle,4,FALSE),VLOOKUP(Расчет!$CH52,АшламаДВ_Gomumy,4,FALSE)))</f>
        <v>0</v>
      </c>
      <c r="CL52" s="70"/>
      <c r="CM52" s="70"/>
      <c r="CN52" s="70"/>
      <c r="CO52" s="70"/>
      <c r="CP52" s="70"/>
      <c r="CQ52" s="70"/>
      <c r="CR52" s="10">
        <f t="shared" si="91"/>
        <v>0</v>
      </c>
      <c r="CS52" s="10">
        <f t="shared" si="92"/>
        <v>19.23076923076923</v>
      </c>
      <c r="CT52" s="10">
        <f t="shared" si="93"/>
        <v>0</v>
      </c>
      <c r="CU52" s="39">
        <f>IF($CH52="Нет",0,IF(CI52=0,30/MIN(CJ52:CK52),IF(Исходн.данные.!$AG52=$BV$11,CR52,IF(OR(Исходн.данные.!$AH52=$BQ$7,Исходн.данные.!$AH52=$BQ$8),90/CI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0,IF(Исходн.данные.!$AI52=$BU$11,"Нет",30/CI52))))))</f>
        <v>250</v>
      </c>
      <c r="CV52" s="39">
        <f>IF($CH52="Нет",0,IF(Исходн.данные.!AH52=0,0,IF(CJ52=0,60/MIN(CI52,CK52),IF(Исходн.данные.!$AG52=$BV$11,CS52,IF(OR(Исходн.данные.!$AH52=$BQ$7,Исходн.данные.!$AH52=$BQ$8),90/CJ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10/CJ52,IF(Исходн.данные.!$AI52=$BU$11,"Нет",60/CJ52)))))))</f>
        <v>0</v>
      </c>
      <c r="CW52" s="39">
        <f>IF($CH52="Нет",0,IF(Исходн.данные.!AH52=0,0,IF(CK52=0,30/MIN(CI52:CJ52),IF(Исходн.данные.!$AG52=$BV$11,CT52,IF(OR(Исходн.данные.!$AH52=$BQ$7,Исходн.данные.!$AH52=$BQ$8),90/CK52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0,IF(Исходн.данные.!$AI52=$BU$11,"Нет",30/CK52)))))))</f>
        <v>0</v>
      </c>
      <c r="CX52" s="133">
        <f>IF(Исходн.данные.!$AG52=$BV$11,MAX(CU52:CW52),IF(OR(Исходн.данные.!$AH52=$BS$8,Исходн.данные.!$AH52=$BQ$9,Исходн.данные.!$AH52=$BQ$10,Исходн.данные.!$AH52=$BQ$11,Исходн.данные.!$AH52=$BQ$12,Исходн.данные.!$AH52=$BP$3,Исходн.данные.!$AH52=$BT$8,$FM52="Да"),CV52,MIN(CU52:CW52)))</f>
        <v>0</v>
      </c>
      <c r="CY52" s="133">
        <f>IF(Исходн.данные.!AH52=0,0,IF(CR52&gt;$CX52,$CX52,CR52))</f>
        <v>0</v>
      </c>
      <c r="CZ52" s="133">
        <f>IF(Исходн.данные.!AH52=0,0,IF(CS52&gt;$CX52,$CX52,CS52))</f>
        <v>0</v>
      </c>
      <c r="DA52" s="133">
        <f>IF(Исходн.данные.!AH52=0,0,IF(CT52&gt;$CX52,$CX52,CT52))</f>
        <v>0</v>
      </c>
      <c r="DB52" s="10">
        <f t="shared" si="94"/>
        <v>0</v>
      </c>
      <c r="DC52" s="39">
        <f>DB52*Исходн.данные.!AJ52/1000</f>
        <v>0</v>
      </c>
      <c r="DD52" s="71">
        <f t="shared" si="95"/>
        <v>0</v>
      </c>
      <c r="DE52" s="9">
        <f t="shared" si="96"/>
        <v>0</v>
      </c>
      <c r="DF52" s="9">
        <f t="shared" si="97"/>
        <v>0</v>
      </c>
      <c r="DG52" s="39">
        <f>IF(BL52&lt;0,0,IF($CH52="Нет",BL52,IF(OR(Исходн.данные.!$AH52=$BP$1,Исходн.данные.!$AH52=$BP$2),0,IF(Исходн.данные.!AI52=$BU$11,BL52,IF(BL52-DD52&lt;0,0,BL52-DD52)))))</f>
        <v>0</v>
      </c>
      <c r="DH52" s="39">
        <f>IF(BM52&lt;0,0,IF($CH52="Нет",BM52,IF(OR(Исходн.данные.!$AH52=$BP$1,Исходн.данные.!$AH52=$BP$2),0,IF(Исходн.данные.!AJ52=$BU$11,BM52,IF(BM52-DE52&lt;0,0,BM52-DE52)))))</f>
        <v>0</v>
      </c>
      <c r="DI52" s="39">
        <f>IF(BN52&lt;0,0,IF($CH52="Нет",BN52,IF(OR(Исходн.данные.!$AH52=$BP$1,Исходн.данные.!$AH52=$BP$2),0,IF(Исходн.данные.!AK52=$BU$11,BN52,IF(BN52-DF52&lt;0,0,BN52-DF52)))))</f>
        <v>0</v>
      </c>
      <c r="DJ52" s="12">
        <f t="shared" si="98"/>
        <v>0</v>
      </c>
      <c r="DK52" s="9">
        <f t="shared" si="99"/>
        <v>0</v>
      </c>
      <c r="DL52" s="39">
        <f>IF(Исходн.данные.!AM52&gt;0,Исходн.данные.!AM52,IF(EG52&gt;0,$BH$10,0))</f>
        <v>0</v>
      </c>
      <c r="DM52" s="186">
        <f>IF($DL52=0,0,IF(Исходн.данные.!AM52&gt;0,VLOOKUP($DL52,АшламаДВ_Irekle,2,FALSE),VLOOKUP($DL52,АшламаДВ_Gomumy,2,FALSE)))</f>
        <v>0</v>
      </c>
      <c r="DN52" s="10">
        <f t="shared" si="46"/>
        <v>0</v>
      </c>
      <c r="DO52" s="9" t="str">
        <f>IF(Исходн.данные.!AN52&gt;0,Исходн.данные.!AN52,Удобрения!$B$37 )</f>
        <v>Хлор.калий</v>
      </c>
      <c r="DP52" s="9">
        <f>IF(Исходн.данные.!AN52&gt;0,VLOOKUP(Исходн.данные.!AN52,АшламаДВ_Irekle,4,FALSE),VLOOKUP(DO52,АшламаДВ_Gomumy,4,FALSE))</f>
        <v>0.6</v>
      </c>
      <c r="DQ52" s="10">
        <f t="shared" si="47"/>
        <v>0</v>
      </c>
      <c r="DR52" s="132" t="str">
        <f>IF(Исходн.данные.!AO52&gt;0,Исходн.данные.!AO52,IF(DH52=0,BS$17,IF(AND($DK52=0,$DJ52&gt;0),EJ52,EN52)))</f>
        <v>Нет</v>
      </c>
      <c r="DS52" s="70" t="str">
        <f>IF($DR52="Нет","Нет",IF(Исходн.данные.!$AO52&gt;0,VLOOKUP($DR52,АшламаДВ_Irekle,2,FALSE),VLOOKUP($DR52,АшламаДВ_Gomumy,2,FALSE)))</f>
        <v>Нет</v>
      </c>
      <c r="DT52" s="70" t="str">
        <f>IF($DR52="Нет","Нет",IF(Исходн.данные.!$AO52&gt;0,VLOOKUP($DR52,АшламаДВ_Irekle,3,FALSE),VLOOKUP($DR52,АшламаДВ_Gomumy,3,FALSE)))</f>
        <v>Нет</v>
      </c>
      <c r="DU52" s="70" t="str">
        <f>IF($DR52="Нет","Нет",IF(Исходн.данные.!$AO52&gt;0,VLOOKUP($DR52,АшламаДВ_Irekle,4,FALSE),VLOOKUP($DR52,АшламаДВ_Gomumy,4,FALSE)))</f>
        <v>Нет</v>
      </c>
      <c r="DV52" s="70"/>
      <c r="DW52" s="70"/>
      <c r="DX52" s="70"/>
      <c r="DY52" s="10">
        <f t="shared" si="100"/>
        <v>0</v>
      </c>
      <c r="DZ52" s="10">
        <f t="shared" si="101"/>
        <v>0</v>
      </c>
      <c r="EA52" s="10">
        <f t="shared" si="102"/>
        <v>0</v>
      </c>
      <c r="EB52" s="10">
        <f t="shared" si="103"/>
        <v>0</v>
      </c>
      <c r="EC52" s="10">
        <f t="shared" si="104"/>
        <v>0</v>
      </c>
      <c r="ED52" s="10">
        <f t="shared" si="105"/>
        <v>0</v>
      </c>
      <c r="EE52" s="10">
        <f t="shared" si="106"/>
        <v>0</v>
      </c>
      <c r="EF52" s="39">
        <f>EB52*Исходн.данные.!AJ52/1000</f>
        <v>0</v>
      </c>
      <c r="EG52" s="9">
        <f t="shared" si="107"/>
        <v>0</v>
      </c>
      <c r="EH52" s="9">
        <f t="shared" si="108"/>
        <v>0</v>
      </c>
      <c r="EI52" s="39" t="e">
        <f t="shared" si="7"/>
        <v>#DIV/0!</v>
      </c>
      <c r="EJ52" s="9" t="str">
        <f t="shared" si="8"/>
        <v>Азопреципитат</v>
      </c>
      <c r="EK52" s="12">
        <f t="shared" si="9"/>
        <v>0.26</v>
      </c>
      <c r="EL52" s="12">
        <f t="shared" si="10"/>
        <v>0.13</v>
      </c>
      <c r="EM52" s="12">
        <f t="shared" si="11"/>
        <v>0</v>
      </c>
      <c r="EN52" s="12" t="str">
        <f t="shared" si="57"/>
        <v>Нет</v>
      </c>
      <c r="EO52" s="12">
        <f t="shared" si="12"/>
        <v>0</v>
      </c>
      <c r="EP52" s="12">
        <f t="shared" si="13"/>
        <v>0</v>
      </c>
      <c r="EQ52" s="12">
        <f t="shared" si="14"/>
        <v>0</v>
      </c>
      <c r="ER52" s="12" t="str">
        <f t="shared" si="109"/>
        <v>Диаммофоска</v>
      </c>
      <c r="ES52" s="12">
        <f t="shared" si="15"/>
        <v>0.1</v>
      </c>
      <c r="ET52" s="12">
        <f t="shared" si="16"/>
        <v>0.26</v>
      </c>
      <c r="EU52" s="12">
        <f t="shared" si="17"/>
        <v>0.26</v>
      </c>
      <c r="EV52" s="12" t="str">
        <f t="shared" si="110"/>
        <v>Аммофос 12:52:00</v>
      </c>
      <c r="EW52" s="12" t="str">
        <f t="shared" si="111"/>
        <v>Кемира Свекловичное-6</v>
      </c>
      <c r="EX52" s="12">
        <f t="shared" si="18"/>
        <v>0.16</v>
      </c>
      <c r="EY52" s="12">
        <f t="shared" si="19"/>
        <v>0.12</v>
      </c>
      <c r="EZ52" s="12">
        <f t="shared" si="20"/>
        <v>0.17</v>
      </c>
      <c r="FA52" s="38" t="e">
        <f>IF(AND(OR(FJ52=$FD$1,FM52=$FD$1,FO52=$FD$1,FQ52=$FD$1,FS52=$FD$1),FD52=$FD$1,Исходн.данные.!J52&lt;2,FU52=$FD$1),"Бор,Кобальт",IF(AND(FO52=$FD$1,FH52=$FD$1,Исходн.данные.!J52&lt;2,FU52=$FD$1),"Бор,Кобальт",IF(AND(OR(FJ52=$FD$1,FM52=$FD$1,FQ52=$FD$1),FE52=$FD$1,Исходн.данные.!J52&lt;2,FT52=$FD$1,FU52=$FD$1),"Бор,Медь,Цинк",IF(AND(OR(FJ52=$FD$1,FR52="Да"),FI52="Да",Исходн.данные.!J52&lt;2,FT52="Да",FU52="Да"),"Бор,Цинк,Медь",IF(AND(OR(FM52="Да",FQ52="Да"),FI52="Да",Исходн.данные.!J52&lt;2,FT52="Да",FU52="Да"),"Бор,Цинк",IF(AND(FN52="Да",OR(FD52="Да",FE52="Да")),"Бор",FB52))))))</f>
        <v>#N/A</v>
      </c>
      <c r="FB52" s="134" t="e">
        <f>IF(AND(OR(FD52="Да",FE52="Да",FF52="Да",FG52="Да",FH52="Да"),FO52="Да"),"Бор",IF(AND(FP52="Да",OR(FD52="Да",FE52="Да",FI52="Да")),"Бор",IF(AND(FS52="Да",FE52="Да"),"Бор,Медь",IF(AND(OR(FJ52="Да",FK52="Да",FL52="Да"),FE52="Да",Исходн.данные.!I52&lt;5,FT52="Да",FU52="Да"),"Молибден,Цинк",IF(AND(FM52="Да",OR(FE52="Да",FF52="Да",FG52="Да",FH52="Да",FI52="Да")),"Молибден,Цинк",IF(AND(OR(FJ52="Да",FK52="Да",FL52="Да",FM52="Да",FQ52="Да"),OR(FE52="Да",FF52="Да"),FT52="Да",FU52="Да",Исходн.данные.!I52&gt;5.5),"Медь,Цинк",FC52))))))</f>
        <v>#N/A</v>
      </c>
      <c r="FC52" s="23" t="e">
        <f t="shared" si="112"/>
        <v>#N/A</v>
      </c>
      <c r="FD52" s="38" t="str">
        <f>IF(OR(Исходн.данные.!F52=$CC$1,Исходн.данные.!F52=$CC$2,Исходн.данные.!F52=$CC$3,Исходн.данные.!F52=$CC$4),"Да","Нет")</f>
        <v>Нет</v>
      </c>
      <c r="FE52" s="38" t="str">
        <f>IF(Исходн.данные.!F52=$CC$5,"Да","Нет")</f>
        <v>Нет</v>
      </c>
      <c r="FF52" s="38" t="str">
        <f>IF(OR(Исходн.данные.!F52=$CC$6,Исходн.данные.!F52=$CC$7),"Да","Нет")</f>
        <v>Нет</v>
      </c>
      <c r="FG52" s="38" t="str">
        <f>IF(OR(Исходн.данные.!F52=$CC$8,Исходн.данные.!F52=$CC$9),"Да","Нет")</f>
        <v>Нет</v>
      </c>
      <c r="FH52" s="38" t="str">
        <f>IF(Исходн.данные.!F52=$CC$10,"Да","Нет")</f>
        <v>Нет</v>
      </c>
      <c r="FI52" s="38" t="str">
        <f>IF(OR(Исходн.данные.!F52=$CC$11,Исходн.данные.!F52=$CC$12),"Да","Нет")</f>
        <v>Нет</v>
      </c>
      <c r="FJ52" s="38" t="str">
        <f>IF(OR(Исходн.данные.!AH52=$BS$1,Исходн.данные.!AH52=$BQ$11,Исходн.данные.!AH52=$BQ$12),"Да","Нет")</f>
        <v>Нет</v>
      </c>
      <c r="FK52" s="38" t="str">
        <f>IF(OR(Исходн.данные.!AH52=$BS$2,Исходн.данные.!AH52=$BS$4),"Да","Нет")</f>
        <v>Нет</v>
      </c>
      <c r="FL52" s="38" t="str">
        <f>IF(OR(Исходн.данные.!AH52=$BS$3,Исходн.данные.!AH52=$BS$5),"Да","Нет")</f>
        <v>Нет</v>
      </c>
      <c r="FM52" s="38" t="str">
        <f>IF(OR(Исходн.данные.!AH52=$BS$9,Исходн.данные.!AH52=$BS$10,Исходн.данные.!AH52=$BS$11,Исходн.данные.!AH52=$BS$12),"Да","Нет")</f>
        <v>Нет</v>
      </c>
      <c r="FN52" s="38" t="str">
        <f>IF(OR(Исходн.данные.!AH52=$BS$6,Исходн.данные.!AH52=$BP$3),"Да","Нет")</f>
        <v>Нет</v>
      </c>
      <c r="FO52" s="38" t="str">
        <f>IF(Исходн.данные.!AH52=$BQ$9,"Да","Нет")</f>
        <v>Нет</v>
      </c>
      <c r="FP52" s="38" t="str">
        <f>IF(OR(Исходн.данные.!AH52=$BS$8,Исходн.данные.!AH52=$BT$8),"Да","Нет")</f>
        <v>Нет</v>
      </c>
      <c r="FQ52" s="38" t="str">
        <f>IF(OR(Исходн.данные.!AH52=$BQ$7,Исходн.данные.!AH52=$BQ$8),"Да","Нет")</f>
        <v>Нет</v>
      </c>
      <c r="FR52" s="38" t="str">
        <f>IF(Исходн.данные.!AI52=$BU$9,"Да","Нет")</f>
        <v>Нет</v>
      </c>
      <c r="FS52" s="38" t="str">
        <f>IF(OR(Исходн.данные.!AH52=$BP$1,Исходн.данные.!AH52=$BP$2),"Да","Нет")</f>
        <v>Нет</v>
      </c>
      <c r="FT52" s="38" t="e">
        <f>IF((Исходн.данные.!K52*GO52*GS52*GW52+BL52*0.6+Исходн.данные.!Q52*4.5*0.275)&gt;90,"Да","Нет")</f>
        <v>#N/A</v>
      </c>
      <c r="FU52" s="38" t="e">
        <f>IF((Исходн.данные.!M52*GS52*GZ52+BM52*0.225)&gt;35,"Да","Нет")</f>
        <v>#N/A</v>
      </c>
      <c r="FV52" s="38" t="str">
        <f>IF(Исходн.данные.!O52&gt;175,"Да","Нет")</f>
        <v>Нет</v>
      </c>
      <c r="FW52" s="39" t="str">
        <f>IF(Исходн.данные.!I52&gt;5.5,"Да","Нет")</f>
        <v>Нет</v>
      </c>
      <c r="FX52" s="39" t="str">
        <f>IF(Исходн.данные.!J52&lt;2,"Да","Нет")</f>
        <v>Да</v>
      </c>
      <c r="FY52" s="39" t="e">
        <f>IF(HF52=$FY$16,0,Исходн.данные.!K52*GO52*GS52*GW52/HF52)</f>
        <v>#N/A</v>
      </c>
      <c r="FZ52" s="39" t="e">
        <f>Исходн.данные.!M52*GS52*GZ52/HG52</f>
        <v>#N/A</v>
      </c>
      <c r="GA52" s="39" t="e">
        <f>IF(K_Wyn=$FY$16,0,IF(Исходн.данные.!N52=Исходн.данные.!$L$10,Исходн.данные.!O52/1.1*GS52*HC52/HH52,IF(Исходн.данные.!N52=Исходн.данные.!$L$12,Исходн.данные.!O52/1.5*GS52*HC52/HH52,Исходн.данные.!O52*GS52*HC52/HH52)))</f>
        <v>#N/A</v>
      </c>
      <c r="GB52" s="39" t="e">
        <f>IF(HF52=$FY$16,0,((Исходн.данные.!Q52*N_Org+Исходн.данные.!R52*N_Sider+Исходн.данные.!S52*N_Soloma)*AO52+Расчет!BC52*VLOOKUP(Исходн.данные.!T52,Справ!$A$3:$O$57,15)*AO52+BB52*VLOOKUP(Исходн.данные.!T52,Справ!$A$3:$O$57,15)*AL52+(Исходн.данные.!V52*N_Rizotorf+Исходн.данные.!W52*N_Rizoagr))/HF52)</f>
        <v>#N/A</v>
      </c>
      <c r="GC52" s="39" t="e">
        <f>IF(HG52=$FY$16,0,((Исходн.данные.!Q52*Р_Org+Исходн.данные.!R52*P_Sider+Исходн.данные.!S52*P_Soloma)*AP52+Расчет!BC52*VLOOKUP(Исходн.данные.!T52,Справ!$A$3:$P$57,16)*AP52+BB52*VLOOKUP(Исходн.данные.!T52,Справ!$A$3:$P$57,16)*AM52)/HG52)</f>
        <v>#N/A</v>
      </c>
      <c r="GD52" s="39" t="e">
        <f>IF(HH52=$FY$16,0,((Исходн.данные.!Q52*К_Org+Исходн.данные.!R52*K_Sider+Исходн.данные.!S52*K_Soloma)*AQ52+Расчет!BC52*VLOOKUP(Исходн.данные.!T52,Справ!$A$3:$Q$57,17)*AQ52+BB52*VLOOKUP(Исходн.данные.!T52,Справ!$A$3:$Q$57,17)*AN52)/HH52)</f>
        <v>#N/A</v>
      </c>
      <c r="GE52" s="39" t="e">
        <f>IF(HF52=$FY$16,0,(Исходн.данные.!X52*AR52+Исходн.данные.!AA52*N_Org*AL52+Исходн.данные.!AB52*N_Sider*AL52+Исходн.данные.!AC52*N_Soloma*AL52)/HF52)</f>
        <v>#N/A</v>
      </c>
      <c r="GF52" s="39" t="e">
        <f>IF(HG52=$FY$16,0,(Исходн.данные.!Y52*AS52+Исходн.данные.!AA52*Р_Org*AM52+Исходн.данные.!AB52*P_Sider*AM52+Исходн.данные.!AC52*P_Soloma*AM52)/HG52)</f>
        <v>#N/A</v>
      </c>
      <c r="GG52" s="39" t="e">
        <f>IF(HH52=$FY$16,0,(Исходн.данные.!Z52*AT52+Исходн.данные.!AA52*К_Org*AN52+Исходн.данные.!AB52*K_Sider*AN52+Исходн.данные.!AC52*K_Soloma*AN52)/HH52)</f>
        <v>#N/A</v>
      </c>
      <c r="GH52" s="39" t="e">
        <f>Исходн.данные.!AD52*AU52/HF52</f>
        <v>#N/A</v>
      </c>
      <c r="GI52" s="39" t="e">
        <f>Исходн.данные.!AE52*AV52/HG52</f>
        <v>#N/A</v>
      </c>
      <c r="GJ52" s="39" t="e">
        <f>Исходн.данные.!AF52*AW52/HH52</f>
        <v>#N/A</v>
      </c>
      <c r="GK52" s="55">
        <f>Исходн.данные.!AK52</f>
        <v>0</v>
      </c>
      <c r="GL52" s="11" t="e">
        <f t="shared" si="113"/>
        <v>#N/A</v>
      </c>
      <c r="GM52" s="11" t="e">
        <f t="shared" si="114"/>
        <v>#N/A</v>
      </c>
      <c r="GN52" s="11" t="e">
        <f t="shared" si="115"/>
        <v>#N/A</v>
      </c>
      <c r="GO52" s="57">
        <f t="shared" si="116"/>
        <v>19</v>
      </c>
      <c r="GP52" s="55">
        <f>IF(OR(Исходн.данные.!F52=$CE$1,Исходн.данные.!F52=$CE$2,Исходн.данные.!F52=$CE$3,Исходн.данные.!F52=$CE$4,Исходн.данные.!F52=$CE$5),GQ52,GR52)</f>
        <v>19</v>
      </c>
      <c r="GQ52" s="55">
        <f>IF(Исходн.данные.!F52=$CE$1,28,IF(Исходн.данные.!F52=$CE$2,26,IF(Исходн.данные.!F52=$CE$3,24,IF(Исходн.данные.!F52=$CE$4,22,IF(Исходн.данные.!F52=$CE$5,20,GR52)))))</f>
        <v>19</v>
      </c>
      <c r="GR52" s="55">
        <f>IF(Исходн.данные.!F52=$CE$6,18,IF(Исходн.данные.!F52=$CE$7,16,IF(Исходн.данные.!F52=$CE$8,14,IF(Исходн.данные.!F52=$CE$9,13,IF(Исходн.данные.!F52=$CE$10,12,19)))))</f>
        <v>19</v>
      </c>
      <c r="GS52" s="55">
        <f>IF(Исходн.данные.!G52="Пес",0.035*(40+2*Исходн.данные.!H52),IF(Исходн.данные.!G52="Суп",0.0325*(40+2*Исходн.данные.!H52),0.03*(40+2*Исходн.данные.!H52)))</f>
        <v>1.2</v>
      </c>
      <c r="GT52" s="55">
        <f>IF(Исходн.данные.!H52&lt;23,2.6,IF(AND(Исходн.данные.!H52&gt;22,Исходн.данные.!H52&lt;26),3,IF(AND(Исходн.данные.!H52&gt;25,Исходн.данные.!H52&lt;29),3.4,3.6)))</f>
        <v>2.6</v>
      </c>
      <c r="GU52" s="55">
        <f>IF(Исходн.данные.!H52&lt;23,2.8,IF(AND(Исходн.данные.!H52&gt;22,Исходн.данные.!H52&lt;26),3.2,IF(AND(Исходн.данные.!H52&gt;25,Исходн.данные.!H52&lt;29),3.6,3.9)))</f>
        <v>2.8</v>
      </c>
      <c r="GV52" s="55">
        <f>IF(Исходн.данные.!H52&lt;23,3,IF(AND(Исходн.данные.!H52&gt;22,Исходн.данные.!H52&lt;26),3.5,IF(AND(Исходн.данные.!H52&gt;25,Исходн.данные.!H52&lt;29),3.9,4.2)))</f>
        <v>3</v>
      </c>
      <c r="GW52" s="55" t="e">
        <f>IF(Исходн.данные.!P52="Ум",GX52,GY52)</f>
        <v>#N/A</v>
      </c>
      <c r="GX52" s="55" t="e">
        <f>VLOOKUP(Исходн.данные.!AI52,Коэффициенты!$J$7:$L$13,2,FALSE)</f>
        <v>#N/A</v>
      </c>
      <c r="GY52" s="55" t="e">
        <f>VLOOKUP(Исходн.данные.!AI52,Коэффициенты!$J$7:$L$13,3,FALSE)</f>
        <v>#N/A</v>
      </c>
      <c r="GZ52" s="55" t="e">
        <f>(IF(Исходн.данные.!M52&lt;50,0.11*VLOOKUP(Исходн.данные.!AH52,Культуры.Информация,7,FALSE),IF(Исходн.данные.!M52&gt;250,0.05*VLOOKUP(Исходн.данные.!AH52,Культуры.Информация,7,FALSE),VLOOKUP(Исходн.данные.!AH52,Культуры.Информация,5,FALSE)/100*($GX$6+$GY$6*Исходн.данные.!M52))))*Расчет2!AI52</f>
        <v>#N/A</v>
      </c>
      <c r="HA52" s="211"/>
      <c r="HB52" s="211"/>
      <c r="HC52" s="55" t="e">
        <f>(IF(Исходн.данные.!O52&lt;80,0.2*VLOOKUP(Исходн.данные.!AH52,Культуры.Информация,8,FALSE),IF(Исходн.данные.!O52&gt;240,0.09*VLOOKUP(Исходн.данные.!AH52,Культуры.Информация,8,FALSE),VLOOKUP(Исходн.данные.!AH52,Культуры.Информация,6,FALSE)/100*($HB$6+$HC$6*Исходн.данные.!O52))))*Расчет2!AJ52</f>
        <v>#N/A</v>
      </c>
      <c r="HD52" s="55">
        <f>IF(Исходн.данные.!O52&gt;240,0.09,IF(Исходн.данные.!O52&lt;30,0.3,$HE$10+$HD$10*Исходн.данные.!O52))</f>
        <v>0.3</v>
      </c>
      <c r="HE52" s="55">
        <f>IF(Исходн.данные.!O52&gt;240,0.17,IF(Исходн.данные.!O52&lt;30,0.5,$HF$12+$HE$12*Исходн.данные.!O52))</f>
        <v>0.5</v>
      </c>
      <c r="HF52" s="55" t="e">
        <f>VLOOKUP(Исходн.данные.!AH52,Справ!$A$3:$D$58,2,FALSE)</f>
        <v>#N/A</v>
      </c>
      <c r="HG52" s="55" t="e">
        <f>VLOOKUP(Исходн.данные.!AH52,Справ!$A$3:$D$58,3,FALSE)</f>
        <v>#N/A</v>
      </c>
      <c r="HH52" s="55" t="e">
        <f>VLOOKUP(Исходн.данные.!AH52,Справ!$A$3:$D$58,4,FALSE)</f>
        <v>#N/A</v>
      </c>
      <c r="HI52" s="11" t="e">
        <f t="shared" si="117"/>
        <v>#N/A</v>
      </c>
      <c r="HJ52" s="11" t="e">
        <f t="shared" si="118"/>
        <v>#N/A</v>
      </c>
      <c r="HK52" s="11" t="e">
        <f t="shared" si="119"/>
        <v>#N/A</v>
      </c>
      <c r="HL52" s="55">
        <f>IF(OR(Исходн.данные.!G52="Глин",Исходн.данные.!G52="Т_суг"),1.1,IF(Исходн.данные.!G52="Ср_суг",1,1))</f>
        <v>1</v>
      </c>
      <c r="HM52" s="55">
        <f>IF(OR(Исходн.данные.!G52="Глин",Исходн.данные.!G52="Т_суг"),0.9,IF(Исходн.данные.!G52="Ср_суг",1,1.2))</f>
        <v>1.2</v>
      </c>
      <c r="HN52" s="11" t="e">
        <f t="shared" si="120"/>
        <v>#N/A</v>
      </c>
      <c r="HO52" s="11" t="e">
        <f t="shared" si="121"/>
        <v>#N/A</v>
      </c>
      <c r="HP52" s="11" t="e">
        <f t="shared" si="122"/>
        <v>#N/A</v>
      </c>
      <c r="HQ52" t="e">
        <f t="shared" si="123"/>
        <v>#N/A</v>
      </c>
      <c r="HR52" t="e">
        <f t="shared" si="124"/>
        <v>#N/A</v>
      </c>
      <c r="HS52" t="e">
        <f t="shared" si="125"/>
        <v>#N/A</v>
      </c>
      <c r="HT52" t="e">
        <f t="shared" si="21"/>
        <v>#N/A</v>
      </c>
      <c r="HU52" t="e">
        <f t="shared" si="22"/>
        <v>#N/A</v>
      </c>
      <c r="HV52" t="e">
        <f t="shared" si="23"/>
        <v>#N/A</v>
      </c>
      <c r="HW52" t="e">
        <f t="shared" si="24"/>
        <v>#N/A</v>
      </c>
      <c r="HX52" t="e">
        <f t="shared" si="25"/>
        <v>#N/A</v>
      </c>
      <c r="HY52" t="e">
        <f t="shared" si="26"/>
        <v>#N/A</v>
      </c>
      <c r="HZ52" s="55">
        <f>IF(OR(Исходн.данные.!AI52="Оз_Ч_П",Исходн.данные.!AI52="Оз_З_П",Исходн.данные.!AI52="Яр_зер"),12,30)</f>
        <v>30</v>
      </c>
      <c r="IA52" t="e">
        <f t="shared" si="126"/>
        <v>#N/A</v>
      </c>
      <c r="IB52" t="e">
        <f t="shared" si="127"/>
        <v>#N/A</v>
      </c>
      <c r="IC52" t="e">
        <f t="shared" si="128"/>
        <v>#N/A</v>
      </c>
      <c r="ID52" s="11" t="e">
        <f t="shared" si="129"/>
        <v>#N/A</v>
      </c>
      <c r="IE52" s="11" t="e">
        <f t="shared" si="130"/>
        <v>#N/A</v>
      </c>
      <c r="IF52" s="11" t="e">
        <f t="shared" si="131"/>
        <v>#N/A</v>
      </c>
    </row>
    <row r="53" spans="35:240" x14ac:dyDescent="0.2">
      <c r="AI53">
        <f>IF(Исходн.данные.!I53&gt;6,1,1.85-(0.148*Исходн.данные.!I53))</f>
        <v>1.85</v>
      </c>
      <c r="AJ53">
        <f>IF(Исходн.данные.!I53&gt;6,1,2.434-(0.246*Исходн.данные.!I53))</f>
        <v>2.4340000000000002</v>
      </c>
      <c r="AL53" s="148" t="b">
        <f>IF(Исходн.данные.!$P53="Ум",N_OrgUd_2g_um,IF(Исходн.данные.!$P53="Об",N_OrgUd_2g_ob))</f>
        <v>0</v>
      </c>
      <c r="AM53" s="148" t="b">
        <f>IF(Исходн.данные.!$P53="Ум",P_OrgUd_2g_um,IF(Исходн.данные.!$P53="Об",P_OrgUd_2g_ob))</f>
        <v>0</v>
      </c>
      <c r="AN53" s="148" t="b">
        <f>IF(Исходн.данные.!$P53="Ум",K_OrgUd_2g_um,IF(Исходн.данные.!$P53="Об",K_OrgUd_2g_ob))</f>
        <v>0</v>
      </c>
      <c r="AO53" s="148" t="b">
        <f>IF(Исходн.данные.!$P53="Ум",N_OrgUd_1g_um,IF(Исходн.данные.!$P53="Об",N_OrgUd_1g_ob))</f>
        <v>0</v>
      </c>
      <c r="AP53" s="148" t="b">
        <f>IF(Исходн.данные.!$P53="Ум",P_OrgUd_1g_um,IF(Исходн.данные.!$P53="Об",P_OrgUd_1g_ob))</f>
        <v>0</v>
      </c>
      <c r="AQ53" s="148" t="b">
        <f>IF(Исходн.данные.!$P53="Ум",K_OrgUd_1g_um,IF(Исходн.данные.!$P53="Об",K_OrgUd_1g_ob))</f>
        <v>0</v>
      </c>
      <c r="AR53" t="b">
        <f>IF(Исходн.данные.!$P53="Ум",N_MinUd_2g_um,IF(Исходн.данные.!$P53="Об",N_MinUd_2g_ob))</f>
        <v>0</v>
      </c>
      <c r="AS53" t="b">
        <f>IF(Исходн.данные.!$P53="Ум",P_MinUd_2g_um,IF(Исходн.данные.!$P53="Об",P_MinUd_2g_ob))</f>
        <v>0</v>
      </c>
      <c r="AT53" t="b">
        <f>IF(Исходн.данные.!$P53="Ум",K_MinUd_2g_um,IF(Исходн.данные.!$P53="Об",K_MinUd_2g_ob))</f>
        <v>0</v>
      </c>
      <c r="AU53" t="b">
        <f>IF(Исходн.данные.!$P53="Ум",N_MinUd_1g_um,IF(Исходн.данные.!$P53="Об",N_MinUd_1g_ob))</f>
        <v>0</v>
      </c>
      <c r="AV53" t="b">
        <f>IF(Исходн.данные.!P53="Ум",P_MinUd_1g_um,IF(Исходн.данные.!P53="Об",P_MinUd_1g_ob))</f>
        <v>0</v>
      </c>
      <c r="AW53" t="b">
        <f>IF(Исходн.данные.!P53="Ум",K_MinUd_1g_um,IF(Исходн.данные.!P53="Об",K_MinUd_1g_ob))</f>
        <v>0</v>
      </c>
      <c r="AY53" t="e">
        <f>VLOOKUP(Исходн.данные.!T53,Справ!$A$3:$N$57,12)</f>
        <v>#N/A</v>
      </c>
      <c r="AZ53" t="e">
        <f>VLOOKUP(Исходн.данные.!T53,Справ!$A$3:$N$57,13)</f>
        <v>#N/A</v>
      </c>
      <c r="BA53" t="e">
        <f>VLOOKUP(Исходн.данные.!T53,Справ!$A$3:$N$57,14)</f>
        <v>#N/A</v>
      </c>
      <c r="BB53">
        <f>IF(Исходн.данные.!AH53=0,0,25)</f>
        <v>0</v>
      </c>
      <c r="BC53" s="141">
        <f>IF(Исходн.данные.!AH53=0,0,IF(Исходн.данные.!T53=0,25,BD53))</f>
        <v>0</v>
      </c>
      <c r="BD53" s="168" t="e">
        <f>AY53+AZ53*Исходн.данные.!U53-POWER(BA53,2)*Исходн.данные.!U53</f>
        <v>#N/A</v>
      </c>
      <c r="BE5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3" s="25">
        <f>IF(Исходн.данные.!AH53=0,0,MIN(HN53:HP53))</f>
        <v>0</v>
      </c>
      <c r="BG53" s="9">
        <f>IF(Исходн.данные.!AH53=0,0,IF((HO53+10*0.25/HG53/HL53)&lt;17,17,HO53+10*0.25/HG53/HL53))</f>
        <v>0</v>
      </c>
      <c r="BH53" s="181">
        <f>IF(Исходн.данные.!AH53=0,0,HW53*HF53*HL53/AU53*AI53+Исходн.данные.!S53*10)</f>
        <v>0</v>
      </c>
      <c r="BI53" s="10"/>
      <c r="BJ53" s="182">
        <f>IF(Исходн.данные.!AH53=0,0,IF(HX53*HG53*HL53/AV53&lt;0,0,HX53*HG53*HL53/AV53*AJ53))</f>
        <v>0</v>
      </c>
      <c r="BK53" s="182">
        <f>IF(Исходн.данные.!AH53=0,0,HY53*HH53*HM53/AW53)</f>
        <v>0</v>
      </c>
      <c r="BL53" s="10">
        <f>IF(OR(Исходн.данные.!$AH53=$BP$1,Исходн.данные.!$AH53=$BP$2),0,IF(BH53&lt;0,0,IF(OR(Исходн.данные.!T53=Расчет!$BP$1,Исходн.данные.!T53=Расчет!$BP$2,Исходн.данные.!T53=Расчет!$BT$5,Исходн.данные.!T53=Расчет!$BT$6),BH53*0.5,IF(OR(Исходн.данные.!T53=Расчет!$BS$9,Исходн.данные.!T53=Расчет!$BS$10,Исходн.данные.!T53=Расчет!$BS$11,Исходн.данные.!T53=Расчет!$BS$12,Исходн.данные.!T53=Расчет!$BP$5),BH53*0.8,BH53))))</f>
        <v>0</v>
      </c>
      <c r="BM53" s="10">
        <f>IF(OR(Исходн.данные.!$AH53=$BP$1,Исходн.данные.!$AH53=$BP$2),0,IF(BJ53&lt;0,0,IF(Исходн.данные.!I53&lt;4.5,BJ53*1.2,IF(Исходн.данные.!I53&gt;5.1,BJ53,BJ53*((5.1-Исходн.данные.!I53)*0.333+1)))))</f>
        <v>0</v>
      </c>
      <c r="BN53" s="10">
        <f>IF(OR(Исходн.данные.!$AH53=$BP$1,Исходн.данные.!$AH53=$BP$2),60-Исходн.данные.!AF53,IF(BK53&lt;0,0,IF(Исходн.данные.!I53&lt;4.5,BK53*1.2,IF(Исходн.данные.!I53&gt;5.1,BK53,BK53*((5.1-Исходн.данные.!I53)*0.333+1)))))</f>
        <v>0</v>
      </c>
      <c r="BO53" s="9">
        <f>IF(BL53&lt;0,0,BL53*Исходн.данные.!$AJ53/1000)</f>
        <v>0</v>
      </c>
      <c r="BP53" s="9">
        <f>IF(BM53&lt;0,0,BM53*Исходн.данные.!$AJ53/1000)</f>
        <v>0</v>
      </c>
      <c r="BQ53" s="9">
        <f>IF(BN53&lt;0,0,BN53*Исходн.данные.!$AJ53/1000)</f>
        <v>0</v>
      </c>
      <c r="BR53" s="9">
        <f t="shared" si="81"/>
        <v>0</v>
      </c>
      <c r="BS53" s="10" t="str">
        <f t="shared" si="82"/>
        <v>Аммофос 12:52:00</v>
      </c>
      <c r="BT53" s="10" t="str">
        <f t="shared" si="83"/>
        <v>Аммофос 12:52:00</v>
      </c>
      <c r="BU53" s="10" t="str">
        <f t="shared" si="84"/>
        <v>Диаммофоска</v>
      </c>
      <c r="BV53" s="10">
        <f t="shared" si="85"/>
        <v>0</v>
      </c>
      <c r="BW53" s="10"/>
      <c r="BX53" s="10"/>
      <c r="BY53" s="9">
        <f>IF(BL53&lt;0,0,IF(OR(Исходн.данные.!AI53=Расчет!$BU$6,Исходн.данные.!AI53=Расчет!$BU$7),Расчет!BV53,IF(Исходн.данные.!$AG53=$BV$11,BL53,IF(OR(Исходн.данные.!$AH53=$BQ$7,Исходн.данные.!$AH53=$BQ$8),CB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0,IF(Исходн.данные.!$AI53=$BU$11,"Нет",IF(BL53&gt;30,30,BL53)))))))</f>
        <v>0</v>
      </c>
      <c r="BZ53" s="9">
        <f>IF(AND(Исходн.данные.!$AG53=$BV$11,BM53&lt;10),10,IF(Исходн.данные.!$AG53=$BV$11,BM53,IF(OR(Исходн.данные.!$AH53=$BQ$7,Исходн.данные.!$AH53=$BQ$8),CC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10,IF(Исходн.данные.!$AI53=$BU$11,"Нет",IF(BM53&gt;60,60,IF(BM53&lt;10,10,BM53)))))))</f>
        <v>10</v>
      </c>
      <c r="CA53" s="39">
        <f>IF(BN53&lt;0,0,IF(Исходн.данные.!$AG53=$BV$11,BN53,IF(OR(Исходн.данные.!$AH53=$BQ$7,Исходн.данные.!$AH53=$BQ$8),CD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0,IF(Исходн.данные.!$AI53=$BU$11,"Нет",IF(BN53&gt;30,30,BN53))))))</f>
        <v>0</v>
      </c>
      <c r="CB53" s="9">
        <f t="shared" si="86"/>
        <v>0</v>
      </c>
      <c r="CC53" s="9">
        <f t="shared" si="87"/>
        <v>0</v>
      </c>
      <c r="CD53" s="9">
        <f t="shared" si="88"/>
        <v>0</v>
      </c>
      <c r="CE53" s="12">
        <f t="shared" si="89"/>
        <v>10</v>
      </c>
      <c r="CF53" s="9">
        <f t="shared" si="90"/>
        <v>0</v>
      </c>
      <c r="CG53" s="9" t="s">
        <v>231</v>
      </c>
      <c r="CH53" s="132" t="str">
        <f>IF(Исходн.данные.!AP53=Расчет!$CI$16,"Нет",IF(Исходн.данные.!AL53&gt;0,Исходн.данные.!AL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BH$4,IF(OR(Исходн.данные.!AI53=Исходн.данные.!$AI$6,Исходн.данные.!AI53=Исходн.данные.!$AI$7),Расчет!BS53,IF(AND($CF53=0,$CE53&gt;0),EV53,ER53)))))</f>
        <v>Аммофос 12:52:00</v>
      </c>
      <c r="CI53" s="274">
        <f>IF(Расчет!$CH53="Нет","Нет",IF(Исходн.данные.!$AL53&gt;0,VLOOKUP(Расчет!$CH53,АшламаДВ_Irekle,2,FALSE),VLOOKUP(Расчет!$CH53,АшламаДВ_Gomumy,2,FALSE)))</f>
        <v>0.12</v>
      </c>
      <c r="CJ53" s="274">
        <f>IF(Расчет!$CH53="Нет","Нет",IF(Исходн.данные.!$AL53&gt;0,VLOOKUP(Расчет!$CH53,АшламаДВ_Irekle,3,FALSE),VLOOKUP(Расчет!$CH53,АшламаДВ_Gomumy,3,FALSE)))</f>
        <v>0.52</v>
      </c>
      <c r="CK53" s="274">
        <f>IF(Расчет!$CH53="Нет","Нет",IF(Исходн.данные.!$AL53&gt;0,VLOOKUP(Расчет!$CH53,АшламаДВ_Irekle,4,FALSE),VLOOKUP(Расчет!$CH53,АшламаДВ_Gomumy,4,FALSE)))</f>
        <v>0</v>
      </c>
      <c r="CL53" s="70"/>
      <c r="CM53" s="70"/>
      <c r="CN53" s="70"/>
      <c r="CO53" s="70"/>
      <c r="CP53" s="70"/>
      <c r="CQ53" s="70"/>
      <c r="CR53" s="10">
        <f t="shared" si="91"/>
        <v>0</v>
      </c>
      <c r="CS53" s="10">
        <f t="shared" si="92"/>
        <v>19.23076923076923</v>
      </c>
      <c r="CT53" s="10">
        <f t="shared" si="93"/>
        <v>0</v>
      </c>
      <c r="CU53" s="39">
        <f>IF($CH53="Нет",0,IF(CI53=0,30/MIN(CJ53:CK53),IF(Исходн.данные.!$AG53=$BV$11,CR53,IF(OR(Исходн.данные.!$AH53=$BQ$7,Исходн.данные.!$AH53=$BQ$8),90/CI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0,IF(Исходн.данные.!$AI53=$BU$11,"Нет",30/CI53))))))</f>
        <v>250</v>
      </c>
      <c r="CV53" s="39">
        <f>IF($CH53="Нет",0,IF(Исходн.данные.!AH53=0,0,IF(CJ53=0,60/MIN(CI53,CK53),IF(Исходн.данные.!$AG53=$BV$11,CS53,IF(OR(Исходн.данные.!$AH53=$BQ$7,Исходн.данные.!$AH53=$BQ$8),90/CJ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10/CJ53,IF(Исходн.данные.!$AI53=$BU$11,"Нет",60/CJ53)))))))</f>
        <v>0</v>
      </c>
      <c r="CW53" s="39">
        <f>IF($CH53="Нет",0,IF(Исходн.данные.!AH53=0,0,IF(CK53=0,30/MIN(CI53:CJ53),IF(Исходн.данные.!$AG53=$BV$11,CT53,IF(OR(Исходн.данные.!$AH53=$BQ$7,Исходн.данные.!$AH53=$BQ$8),90/CK53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0,IF(Исходн.данные.!$AI53=$BU$11,"Нет",30/CK53)))))))</f>
        <v>0</v>
      </c>
      <c r="CX53" s="133">
        <f>IF(Исходн.данные.!$AG53=$BV$11,MAX(CU53:CW53),IF(OR(Исходн.данные.!$AH53=$BS$8,Исходн.данные.!$AH53=$BQ$9,Исходн.данные.!$AH53=$BQ$10,Исходн.данные.!$AH53=$BQ$11,Исходн.данные.!$AH53=$BQ$12,Исходн.данные.!$AH53=$BP$3,Исходн.данные.!$AH53=$BT$8,$FM53="Да"),CV53,MIN(CU53:CW53)))</f>
        <v>0</v>
      </c>
      <c r="CY53" s="133">
        <f>IF(Исходн.данные.!AH53=0,0,IF(CR53&gt;$CX53,$CX53,CR53))</f>
        <v>0</v>
      </c>
      <c r="CZ53" s="133">
        <f>IF(Исходн.данные.!AH53=0,0,IF(CS53&gt;$CX53,$CX53,CS53))</f>
        <v>0</v>
      </c>
      <c r="DA53" s="133">
        <f>IF(Исходн.данные.!AH53=0,0,IF(CT53&gt;$CX53,$CX53,CT53))</f>
        <v>0</v>
      </c>
      <c r="DB53" s="10">
        <f t="shared" si="94"/>
        <v>0</v>
      </c>
      <c r="DC53" s="39">
        <f>DB53*Исходн.данные.!AJ53/1000</f>
        <v>0</v>
      </c>
      <c r="DD53" s="71">
        <f t="shared" si="95"/>
        <v>0</v>
      </c>
      <c r="DE53" s="9">
        <f t="shared" si="96"/>
        <v>0</v>
      </c>
      <c r="DF53" s="9">
        <f t="shared" si="97"/>
        <v>0</v>
      </c>
      <c r="DG53" s="39">
        <f>IF(BL53&lt;0,0,IF($CH53="Нет",BL53,IF(OR(Исходн.данные.!$AH53=$BP$1,Исходн.данные.!$AH53=$BP$2),0,IF(Исходн.данные.!AI53=$BU$11,BL53,IF(BL53-DD53&lt;0,0,BL53-DD53)))))</f>
        <v>0</v>
      </c>
      <c r="DH53" s="39">
        <f>IF(BM53&lt;0,0,IF($CH53="Нет",BM53,IF(OR(Исходн.данные.!$AH53=$BP$1,Исходн.данные.!$AH53=$BP$2),0,IF(Исходн.данные.!AJ53=$BU$11,BM53,IF(BM53-DE53&lt;0,0,BM53-DE53)))))</f>
        <v>0</v>
      </c>
      <c r="DI53" s="39">
        <f>IF(BN53&lt;0,0,IF($CH53="Нет",BN53,IF(OR(Исходн.данные.!$AH53=$BP$1,Исходн.данные.!$AH53=$BP$2),0,IF(Исходн.данные.!AK53=$BU$11,BN53,IF(BN53-DF53&lt;0,0,BN53-DF53)))))</f>
        <v>0</v>
      </c>
      <c r="DJ53" s="12">
        <f t="shared" si="98"/>
        <v>0</v>
      </c>
      <c r="DK53" s="9">
        <f t="shared" si="99"/>
        <v>0</v>
      </c>
      <c r="DL53" s="39">
        <f>IF(Исходн.данные.!AM53&gt;0,Исходн.данные.!AM53,IF(EG53&gt;0,$BH$10,0))</f>
        <v>0</v>
      </c>
      <c r="DM53" s="186">
        <f>IF($DL53=0,0,IF(Исходн.данные.!AM53&gt;0,VLOOKUP($DL53,АшламаДВ_Irekle,2,FALSE),VLOOKUP($DL53,АшламаДВ_Gomumy,2,FALSE)))</f>
        <v>0</v>
      </c>
      <c r="DN53" s="10">
        <f t="shared" si="46"/>
        <v>0</v>
      </c>
      <c r="DO53" s="9" t="str">
        <f>IF(Исходн.данные.!AN53&gt;0,Исходн.данные.!AN53,Удобрения!$B$37 )</f>
        <v>Хлор.калий</v>
      </c>
      <c r="DP53" s="9">
        <f>IF(Исходн.данные.!AN53&gt;0,VLOOKUP(Исходн.данные.!AN53,АшламаДВ_Irekle,4,FALSE),VLOOKUP(DO53,АшламаДВ_Gomumy,4,FALSE))</f>
        <v>0.6</v>
      </c>
      <c r="DQ53" s="10">
        <f t="shared" si="47"/>
        <v>0</v>
      </c>
      <c r="DR53" s="132" t="str">
        <f>IF(Исходн.данные.!AO53&gt;0,Исходн.данные.!AO53,IF(DH53=0,BS$17,IF(AND($DK53=0,$DJ53&gt;0),EJ53,EN53)))</f>
        <v>Нет</v>
      </c>
      <c r="DS53" s="70" t="str">
        <f>IF($DR53="Нет","Нет",IF(Исходн.данные.!$AO53&gt;0,VLOOKUP($DR53,АшламаДВ_Irekle,2,FALSE),VLOOKUP($DR53,АшламаДВ_Gomumy,2,FALSE)))</f>
        <v>Нет</v>
      </c>
      <c r="DT53" s="70" t="str">
        <f>IF($DR53="Нет","Нет",IF(Исходн.данные.!$AO53&gt;0,VLOOKUP($DR53,АшламаДВ_Irekle,3,FALSE),VLOOKUP($DR53,АшламаДВ_Gomumy,3,FALSE)))</f>
        <v>Нет</v>
      </c>
      <c r="DU53" s="70" t="str">
        <f>IF($DR53="Нет","Нет",IF(Исходн.данные.!$AO53&gt;0,VLOOKUP($DR53,АшламаДВ_Irekle,4,FALSE),VLOOKUP($DR53,АшламаДВ_Gomumy,4,FALSE)))</f>
        <v>Нет</v>
      </c>
      <c r="DV53" s="70"/>
      <c r="DW53" s="70"/>
      <c r="DX53" s="70"/>
      <c r="DY53" s="10">
        <f t="shared" si="100"/>
        <v>0</v>
      </c>
      <c r="DZ53" s="10">
        <f t="shared" si="101"/>
        <v>0</v>
      </c>
      <c r="EA53" s="10">
        <f t="shared" si="102"/>
        <v>0</v>
      </c>
      <c r="EB53" s="10">
        <f t="shared" si="103"/>
        <v>0</v>
      </c>
      <c r="EC53" s="10">
        <f t="shared" si="104"/>
        <v>0</v>
      </c>
      <c r="ED53" s="10">
        <f t="shared" si="105"/>
        <v>0</v>
      </c>
      <c r="EE53" s="10">
        <f t="shared" si="106"/>
        <v>0</v>
      </c>
      <c r="EF53" s="39">
        <f>EB53*Исходн.данные.!AJ53/1000</f>
        <v>0</v>
      </c>
      <c r="EG53" s="9">
        <f t="shared" si="107"/>
        <v>0</v>
      </c>
      <c r="EH53" s="9">
        <f t="shared" si="108"/>
        <v>0</v>
      </c>
      <c r="EI53" s="39" t="e">
        <f t="shared" si="7"/>
        <v>#DIV/0!</v>
      </c>
      <c r="EJ53" s="9" t="str">
        <f t="shared" si="8"/>
        <v>Азопреципитат</v>
      </c>
      <c r="EK53" s="12">
        <f t="shared" si="9"/>
        <v>0.26</v>
      </c>
      <c r="EL53" s="12">
        <f t="shared" si="10"/>
        <v>0.13</v>
      </c>
      <c r="EM53" s="12">
        <f t="shared" si="11"/>
        <v>0</v>
      </c>
      <c r="EN53" s="12" t="str">
        <f t="shared" si="57"/>
        <v>Нет</v>
      </c>
      <c r="EO53" s="12">
        <f t="shared" si="12"/>
        <v>0</v>
      </c>
      <c r="EP53" s="12">
        <f t="shared" si="13"/>
        <v>0</v>
      </c>
      <c r="EQ53" s="12">
        <f t="shared" si="14"/>
        <v>0</v>
      </c>
      <c r="ER53" s="12" t="str">
        <f t="shared" si="109"/>
        <v>Диаммофоска</v>
      </c>
      <c r="ES53" s="12">
        <f t="shared" si="15"/>
        <v>0.1</v>
      </c>
      <c r="ET53" s="12">
        <f t="shared" si="16"/>
        <v>0.26</v>
      </c>
      <c r="EU53" s="12">
        <f t="shared" si="17"/>
        <v>0.26</v>
      </c>
      <c r="EV53" s="12" t="str">
        <f t="shared" si="110"/>
        <v>Аммофос 12:52:00</v>
      </c>
      <c r="EW53" s="12" t="str">
        <f t="shared" si="111"/>
        <v>Кемира Свекловичное-6</v>
      </c>
      <c r="EX53" s="12">
        <f t="shared" si="18"/>
        <v>0.16</v>
      </c>
      <c r="EY53" s="12">
        <f t="shared" si="19"/>
        <v>0.12</v>
      </c>
      <c r="EZ53" s="12">
        <f t="shared" si="20"/>
        <v>0.17</v>
      </c>
      <c r="FA53" s="38" t="e">
        <f>IF(AND(OR(FJ53=$FD$1,FM53=$FD$1,FO53=$FD$1,FQ53=$FD$1,FS53=$FD$1),FD53=$FD$1,Исходн.данные.!J53&lt;2,FU53=$FD$1),"Бор,Кобальт",IF(AND(FO53=$FD$1,FH53=$FD$1,Исходн.данные.!J53&lt;2,FU53=$FD$1),"Бор,Кобальт",IF(AND(OR(FJ53=$FD$1,FM53=$FD$1,FQ53=$FD$1),FE53=$FD$1,Исходн.данные.!J53&lt;2,FT53=$FD$1,FU53=$FD$1),"Бор,Медь,Цинк",IF(AND(OR(FJ53=$FD$1,FR53="Да"),FI53="Да",Исходн.данные.!J53&lt;2,FT53="Да",FU53="Да"),"Бор,Цинк,Медь",IF(AND(OR(FM53="Да",FQ53="Да"),FI53="Да",Исходн.данные.!J53&lt;2,FT53="Да",FU53="Да"),"Бор,Цинк",IF(AND(FN53="Да",OR(FD53="Да",FE53="Да")),"Бор",FB53))))))</f>
        <v>#N/A</v>
      </c>
      <c r="FB53" s="134" t="e">
        <f>IF(AND(OR(FD53="Да",FE53="Да",FF53="Да",FG53="Да",FH53="Да"),FO53="Да"),"Бор",IF(AND(FP53="Да",OR(FD53="Да",FE53="Да",FI53="Да")),"Бор",IF(AND(FS53="Да",FE53="Да"),"Бор,Медь",IF(AND(OR(FJ53="Да",FK53="Да",FL53="Да"),FE53="Да",Исходн.данные.!I53&lt;5,FT53="Да",FU53="Да"),"Молибден,Цинк",IF(AND(FM53="Да",OR(FE53="Да",FF53="Да",FG53="Да",FH53="Да",FI53="Да")),"Молибден,Цинк",IF(AND(OR(FJ53="Да",FK53="Да",FL53="Да",FM53="Да",FQ53="Да"),OR(FE53="Да",FF53="Да"),FT53="Да",FU53="Да",Исходн.данные.!I53&gt;5.5),"Медь,Цинк",FC53))))))</f>
        <v>#N/A</v>
      </c>
      <c r="FC53" s="23" t="e">
        <f t="shared" si="112"/>
        <v>#N/A</v>
      </c>
      <c r="FD53" s="38" t="str">
        <f>IF(OR(Исходн.данные.!F53=$CC$1,Исходн.данные.!F53=$CC$2,Исходн.данные.!F53=$CC$3,Исходн.данные.!F53=$CC$4),"Да","Нет")</f>
        <v>Нет</v>
      </c>
      <c r="FE53" s="38" t="str">
        <f>IF(Исходн.данные.!F53=$CC$5,"Да","Нет")</f>
        <v>Нет</v>
      </c>
      <c r="FF53" s="38" t="str">
        <f>IF(OR(Исходн.данные.!F53=$CC$6,Исходн.данные.!F53=$CC$7),"Да","Нет")</f>
        <v>Нет</v>
      </c>
      <c r="FG53" s="38" t="str">
        <f>IF(OR(Исходн.данные.!F53=$CC$8,Исходн.данные.!F53=$CC$9),"Да","Нет")</f>
        <v>Нет</v>
      </c>
      <c r="FH53" s="38" t="str">
        <f>IF(Исходн.данные.!F53=$CC$10,"Да","Нет")</f>
        <v>Нет</v>
      </c>
      <c r="FI53" s="38" t="str">
        <f>IF(OR(Исходн.данные.!F53=$CC$11,Исходн.данные.!F53=$CC$12),"Да","Нет")</f>
        <v>Нет</v>
      </c>
      <c r="FJ53" s="38" t="str">
        <f>IF(OR(Исходн.данные.!AH53=$BS$1,Исходн.данные.!AH53=$BQ$11,Исходн.данные.!AH53=$BQ$12),"Да","Нет")</f>
        <v>Нет</v>
      </c>
      <c r="FK53" s="38" t="str">
        <f>IF(OR(Исходн.данные.!AH53=$BS$2,Исходн.данные.!AH53=$BS$4),"Да","Нет")</f>
        <v>Нет</v>
      </c>
      <c r="FL53" s="38" t="str">
        <f>IF(OR(Исходн.данные.!AH53=$BS$3,Исходн.данные.!AH53=$BS$5),"Да","Нет")</f>
        <v>Нет</v>
      </c>
      <c r="FM53" s="38" t="str">
        <f>IF(OR(Исходн.данные.!AH53=$BS$9,Исходн.данные.!AH53=$BS$10,Исходн.данные.!AH53=$BS$11,Исходн.данные.!AH53=$BS$12),"Да","Нет")</f>
        <v>Нет</v>
      </c>
      <c r="FN53" s="38" t="str">
        <f>IF(OR(Исходн.данные.!AH53=$BS$6,Исходн.данные.!AH53=$BP$3),"Да","Нет")</f>
        <v>Нет</v>
      </c>
      <c r="FO53" s="38" t="str">
        <f>IF(Исходн.данные.!AH53=$BQ$9,"Да","Нет")</f>
        <v>Нет</v>
      </c>
      <c r="FP53" s="38" t="str">
        <f>IF(OR(Исходн.данные.!AH53=$BS$8,Исходн.данные.!AH53=$BT$8),"Да","Нет")</f>
        <v>Нет</v>
      </c>
      <c r="FQ53" s="38" t="str">
        <f>IF(OR(Исходн.данные.!AH53=$BQ$7,Исходн.данные.!AH53=$BQ$8),"Да","Нет")</f>
        <v>Нет</v>
      </c>
      <c r="FR53" s="38" t="str">
        <f>IF(Исходн.данные.!AI53=$BU$9,"Да","Нет")</f>
        <v>Нет</v>
      </c>
      <c r="FS53" s="38" t="str">
        <f>IF(OR(Исходн.данные.!AH53=$BP$1,Исходн.данные.!AH53=$BP$2),"Да","Нет")</f>
        <v>Нет</v>
      </c>
      <c r="FT53" s="38" t="e">
        <f>IF((Исходн.данные.!K53*GO53*GS53*GW53+BL53*0.6+Исходн.данные.!Q53*4.5*0.275)&gt;90,"Да","Нет")</f>
        <v>#N/A</v>
      </c>
      <c r="FU53" s="38" t="e">
        <f>IF((Исходн.данные.!M53*GS53*GZ53+BM53*0.225)&gt;35,"Да","Нет")</f>
        <v>#N/A</v>
      </c>
      <c r="FV53" s="38" t="str">
        <f>IF(Исходн.данные.!O53&gt;175,"Да","Нет")</f>
        <v>Нет</v>
      </c>
      <c r="FW53" s="39" t="str">
        <f>IF(Исходн.данные.!I53&gt;5.5,"Да","Нет")</f>
        <v>Нет</v>
      </c>
      <c r="FX53" s="39" t="str">
        <f>IF(Исходн.данные.!J53&lt;2,"Да","Нет")</f>
        <v>Да</v>
      </c>
      <c r="FY53" s="39" t="e">
        <f>IF(HF53=$FY$16,0,Исходн.данные.!K53*GO53*GS53*GW53/HF53)</f>
        <v>#N/A</v>
      </c>
      <c r="FZ53" s="39" t="e">
        <f>Исходн.данные.!M53*GS53*GZ53/HG53</f>
        <v>#N/A</v>
      </c>
      <c r="GA53" s="39" t="e">
        <f>IF(K_Wyn=$FY$16,0,IF(Исходн.данные.!N53=Исходн.данные.!$L$10,Исходн.данные.!O53/1.1*GS53*HC53/HH53,IF(Исходн.данные.!N53=Исходн.данные.!$L$12,Исходн.данные.!O53/1.5*GS53*HC53/HH53,Исходн.данные.!O53*GS53*HC53/HH53)))</f>
        <v>#N/A</v>
      </c>
      <c r="GB53" s="39" t="e">
        <f>IF(HF53=$FY$16,0,((Исходн.данные.!Q53*N_Org+Исходн.данные.!R53*N_Sider+Исходн.данные.!S53*N_Soloma)*AO53+Расчет!BC53*VLOOKUP(Исходн.данные.!T53,Справ!$A$3:$O$57,15)*AO53+BB53*VLOOKUP(Исходн.данные.!T53,Справ!$A$3:$O$57,15)*AL53+(Исходн.данные.!V53*N_Rizotorf+Исходн.данные.!W53*N_Rizoagr))/HF53)</f>
        <v>#N/A</v>
      </c>
      <c r="GC53" s="39" t="e">
        <f>IF(HG53=$FY$16,0,((Исходн.данные.!Q53*Р_Org+Исходн.данные.!R53*P_Sider+Исходн.данные.!S53*P_Soloma)*AP53+Расчет!BC53*VLOOKUP(Исходн.данные.!T53,Справ!$A$3:$P$57,16)*AP53+BB53*VLOOKUP(Исходн.данные.!T53,Справ!$A$3:$P$57,16)*AM53)/HG53)</f>
        <v>#N/A</v>
      </c>
      <c r="GD53" s="39" t="e">
        <f>IF(HH53=$FY$16,0,((Исходн.данные.!Q53*К_Org+Исходн.данные.!R53*K_Sider+Исходн.данные.!S53*K_Soloma)*AQ53+Расчет!BC53*VLOOKUP(Исходн.данные.!T53,Справ!$A$3:$Q$57,17)*AQ53+BB53*VLOOKUP(Исходн.данные.!T53,Справ!$A$3:$Q$57,17)*AN53)/HH53)</f>
        <v>#N/A</v>
      </c>
      <c r="GE53" s="39" t="e">
        <f>IF(HF53=$FY$16,0,(Исходн.данные.!X53*AR53+Исходн.данные.!AA53*N_Org*AL53+Исходн.данные.!AB53*N_Sider*AL53+Исходн.данные.!AC53*N_Soloma*AL53)/HF53)</f>
        <v>#N/A</v>
      </c>
      <c r="GF53" s="39" t="e">
        <f>IF(HG53=$FY$16,0,(Исходн.данные.!Y53*AS53+Исходн.данные.!AA53*Р_Org*AM53+Исходн.данные.!AB53*P_Sider*AM53+Исходн.данные.!AC53*P_Soloma*AM53)/HG53)</f>
        <v>#N/A</v>
      </c>
      <c r="GG53" s="39" t="e">
        <f>IF(HH53=$FY$16,0,(Исходн.данные.!Z53*AT53+Исходн.данные.!AA53*К_Org*AN53+Исходн.данные.!AB53*K_Sider*AN53+Исходн.данные.!AC53*K_Soloma*AN53)/HH53)</f>
        <v>#N/A</v>
      </c>
      <c r="GH53" s="39" t="e">
        <f>Исходн.данные.!AD53*AU53/HF53</f>
        <v>#N/A</v>
      </c>
      <c r="GI53" s="39" t="e">
        <f>Исходн.данные.!AE53*AV53/HG53</f>
        <v>#N/A</v>
      </c>
      <c r="GJ53" s="39" t="e">
        <f>Исходн.данные.!AF53*AW53/HH53</f>
        <v>#N/A</v>
      </c>
      <c r="GK53" s="55">
        <f>Исходн.данные.!AK53</f>
        <v>0</v>
      </c>
      <c r="GL53" s="11" t="e">
        <f t="shared" si="113"/>
        <v>#N/A</v>
      </c>
      <c r="GM53" s="11" t="e">
        <f t="shared" si="114"/>
        <v>#N/A</v>
      </c>
      <c r="GN53" s="11" t="e">
        <f t="shared" si="115"/>
        <v>#N/A</v>
      </c>
      <c r="GO53" s="57">
        <f t="shared" si="116"/>
        <v>19</v>
      </c>
      <c r="GP53" s="55">
        <f>IF(OR(Исходн.данные.!F53=$CE$1,Исходн.данные.!F53=$CE$2,Исходн.данные.!F53=$CE$3,Исходн.данные.!F53=$CE$4,Исходн.данные.!F53=$CE$5),GQ53,GR53)</f>
        <v>19</v>
      </c>
      <c r="GQ53" s="55">
        <f>IF(Исходн.данные.!F53=$CE$1,28,IF(Исходн.данные.!F53=$CE$2,26,IF(Исходн.данные.!F53=$CE$3,24,IF(Исходн.данные.!F53=$CE$4,22,IF(Исходн.данные.!F53=$CE$5,20,GR53)))))</f>
        <v>19</v>
      </c>
      <c r="GR53" s="55">
        <f>IF(Исходн.данные.!F53=$CE$6,18,IF(Исходн.данные.!F53=$CE$7,16,IF(Исходн.данные.!F53=$CE$8,14,IF(Исходн.данные.!F53=$CE$9,13,IF(Исходн.данные.!F53=$CE$10,12,19)))))</f>
        <v>19</v>
      </c>
      <c r="GS53" s="55">
        <f>IF(Исходн.данные.!G53="Пес",0.035*(40+2*Исходн.данные.!H53),IF(Исходн.данные.!G53="Суп",0.0325*(40+2*Исходн.данные.!H53),0.03*(40+2*Исходн.данные.!H53)))</f>
        <v>1.2</v>
      </c>
      <c r="GT53" s="55">
        <f>IF(Исходн.данные.!H53&lt;23,2.6,IF(AND(Исходн.данные.!H53&gt;22,Исходн.данные.!H53&lt;26),3,IF(AND(Исходн.данные.!H53&gt;25,Исходн.данные.!H53&lt;29),3.4,3.6)))</f>
        <v>2.6</v>
      </c>
      <c r="GU53" s="55">
        <f>IF(Исходн.данные.!H53&lt;23,2.8,IF(AND(Исходн.данные.!H53&gt;22,Исходн.данные.!H53&lt;26),3.2,IF(AND(Исходн.данные.!H53&gt;25,Исходн.данные.!H53&lt;29),3.6,3.9)))</f>
        <v>2.8</v>
      </c>
      <c r="GV53" s="55">
        <f>IF(Исходн.данные.!H53&lt;23,3,IF(AND(Исходн.данные.!H53&gt;22,Исходн.данные.!H53&lt;26),3.5,IF(AND(Исходн.данные.!H53&gt;25,Исходн.данные.!H53&lt;29),3.9,4.2)))</f>
        <v>3</v>
      </c>
      <c r="GW53" s="55" t="e">
        <f>IF(Исходн.данные.!P53="Ум",GX53,GY53)</f>
        <v>#N/A</v>
      </c>
      <c r="GX53" s="55" t="e">
        <f>VLOOKUP(Исходн.данные.!AI53,Коэффициенты!$J$7:$L$13,2,FALSE)</f>
        <v>#N/A</v>
      </c>
      <c r="GY53" s="55" t="e">
        <f>VLOOKUP(Исходн.данные.!AI53,Коэффициенты!$J$7:$L$13,3,FALSE)</f>
        <v>#N/A</v>
      </c>
      <c r="GZ53" s="55" t="e">
        <f>(IF(Исходн.данные.!M53&lt;50,0.11*VLOOKUP(Исходн.данные.!AH53,Культуры.Информация,7,FALSE),IF(Исходн.данные.!M53&gt;250,0.05*VLOOKUP(Исходн.данные.!AH53,Культуры.Информация,7,FALSE),VLOOKUP(Исходн.данные.!AH53,Культуры.Информация,5,FALSE)/100*($GX$6+$GY$6*Исходн.данные.!M53))))*Расчет2!AI53</f>
        <v>#N/A</v>
      </c>
      <c r="HA53" s="211"/>
      <c r="HB53" s="211"/>
      <c r="HC53" s="55" t="e">
        <f>(IF(Исходн.данные.!O53&lt;80,0.2*VLOOKUP(Исходн.данные.!AH53,Культуры.Информация,8,FALSE),IF(Исходн.данные.!O53&gt;240,0.09*VLOOKUP(Исходн.данные.!AH53,Культуры.Информация,8,FALSE),VLOOKUP(Исходн.данные.!AH53,Культуры.Информация,6,FALSE)/100*($HB$6+$HC$6*Исходн.данные.!O53))))*Расчет2!AJ53</f>
        <v>#N/A</v>
      </c>
      <c r="HD53" s="55">
        <f>IF(Исходн.данные.!O53&gt;240,0.09,IF(Исходн.данные.!O53&lt;30,0.3,$HE$10+$HD$10*Исходн.данные.!O53))</f>
        <v>0.3</v>
      </c>
      <c r="HE53" s="55">
        <f>IF(Исходн.данные.!O53&gt;240,0.17,IF(Исходн.данные.!O53&lt;30,0.5,$HF$12+$HE$12*Исходн.данные.!O53))</f>
        <v>0.5</v>
      </c>
      <c r="HF53" s="55" t="e">
        <f>VLOOKUP(Исходн.данные.!AH53,Справ!$A$3:$D$58,2,FALSE)</f>
        <v>#N/A</v>
      </c>
      <c r="HG53" s="55" t="e">
        <f>VLOOKUP(Исходн.данные.!AH53,Справ!$A$3:$D$58,3,FALSE)</f>
        <v>#N/A</v>
      </c>
      <c r="HH53" s="55" t="e">
        <f>VLOOKUP(Исходн.данные.!AH53,Справ!$A$3:$D$58,4,FALSE)</f>
        <v>#N/A</v>
      </c>
      <c r="HI53" s="11" t="e">
        <f t="shared" si="117"/>
        <v>#N/A</v>
      </c>
      <c r="HJ53" s="11" t="e">
        <f t="shared" si="118"/>
        <v>#N/A</v>
      </c>
      <c r="HK53" s="11" t="e">
        <f t="shared" si="119"/>
        <v>#N/A</v>
      </c>
      <c r="HL53" s="55">
        <f>IF(OR(Исходн.данные.!G53="Глин",Исходн.данные.!G53="Т_суг"),1.1,IF(Исходн.данные.!G53="Ср_суг",1,1))</f>
        <v>1</v>
      </c>
      <c r="HM53" s="55">
        <f>IF(OR(Исходн.данные.!G53="Глин",Исходн.данные.!G53="Т_суг"),0.9,IF(Исходн.данные.!G53="Ср_суг",1,1.2))</f>
        <v>1.2</v>
      </c>
      <c r="HN53" s="11" t="e">
        <f t="shared" si="120"/>
        <v>#N/A</v>
      </c>
      <c r="HO53" s="11" t="e">
        <f t="shared" si="121"/>
        <v>#N/A</v>
      </c>
      <c r="HP53" s="11" t="e">
        <f t="shared" si="122"/>
        <v>#N/A</v>
      </c>
      <c r="HQ53" t="e">
        <f t="shared" si="123"/>
        <v>#N/A</v>
      </c>
      <c r="HR53" t="e">
        <f t="shared" si="124"/>
        <v>#N/A</v>
      </c>
      <c r="HS53" t="e">
        <f t="shared" si="125"/>
        <v>#N/A</v>
      </c>
      <c r="HT53" t="e">
        <f t="shared" si="21"/>
        <v>#N/A</v>
      </c>
      <c r="HU53" t="e">
        <f t="shared" si="22"/>
        <v>#N/A</v>
      </c>
      <c r="HV53" t="e">
        <f t="shared" si="23"/>
        <v>#N/A</v>
      </c>
      <c r="HW53" t="e">
        <f t="shared" si="24"/>
        <v>#N/A</v>
      </c>
      <c r="HX53" t="e">
        <f t="shared" si="25"/>
        <v>#N/A</v>
      </c>
      <c r="HY53" t="e">
        <f t="shared" si="26"/>
        <v>#N/A</v>
      </c>
      <c r="HZ53" s="55">
        <f>IF(OR(Исходн.данные.!AI53="Оз_Ч_П",Исходн.данные.!AI53="Оз_З_П",Исходн.данные.!AI53="Яр_зер"),12,30)</f>
        <v>30</v>
      </c>
      <c r="IA53" t="e">
        <f t="shared" si="126"/>
        <v>#N/A</v>
      </c>
      <c r="IB53" t="e">
        <f t="shared" si="127"/>
        <v>#N/A</v>
      </c>
      <c r="IC53" t="e">
        <f t="shared" si="128"/>
        <v>#N/A</v>
      </c>
      <c r="ID53" s="11" t="e">
        <f t="shared" si="129"/>
        <v>#N/A</v>
      </c>
      <c r="IE53" s="11" t="e">
        <f t="shared" si="130"/>
        <v>#N/A</v>
      </c>
      <c r="IF53" s="11" t="e">
        <f t="shared" si="131"/>
        <v>#N/A</v>
      </c>
    </row>
    <row r="54" spans="35:240" x14ac:dyDescent="0.2">
      <c r="AI54">
        <f>IF(Исходн.данные.!I54&gt;6,1,1.85-(0.148*Исходн.данные.!I54))</f>
        <v>1.85</v>
      </c>
      <c r="AJ54">
        <f>IF(Исходн.данные.!I54&gt;6,1,2.434-(0.246*Исходн.данные.!I54))</f>
        <v>2.4340000000000002</v>
      </c>
      <c r="AL54" s="148" t="b">
        <f>IF(Исходн.данные.!$P54="Ум",N_OrgUd_2g_um,IF(Исходн.данные.!$P54="Об",N_OrgUd_2g_ob))</f>
        <v>0</v>
      </c>
      <c r="AM54" s="148" t="b">
        <f>IF(Исходн.данные.!$P54="Ум",P_OrgUd_2g_um,IF(Исходн.данные.!$P54="Об",P_OrgUd_2g_ob))</f>
        <v>0</v>
      </c>
      <c r="AN54" s="148" t="b">
        <f>IF(Исходн.данные.!$P54="Ум",K_OrgUd_2g_um,IF(Исходн.данные.!$P54="Об",K_OrgUd_2g_ob))</f>
        <v>0</v>
      </c>
      <c r="AO54" s="148" t="b">
        <f>IF(Исходн.данные.!$P54="Ум",N_OrgUd_1g_um,IF(Исходн.данные.!$P54="Об",N_OrgUd_1g_ob))</f>
        <v>0</v>
      </c>
      <c r="AP54" s="148" t="b">
        <f>IF(Исходн.данные.!$P54="Ум",P_OrgUd_1g_um,IF(Исходн.данные.!$P54="Об",P_OrgUd_1g_ob))</f>
        <v>0</v>
      </c>
      <c r="AQ54" s="148" t="b">
        <f>IF(Исходн.данные.!$P54="Ум",K_OrgUd_1g_um,IF(Исходн.данные.!$P54="Об",K_OrgUd_1g_ob))</f>
        <v>0</v>
      </c>
      <c r="AR54" t="b">
        <f>IF(Исходн.данные.!$P54="Ум",N_MinUd_2g_um,IF(Исходн.данные.!$P54="Об",N_MinUd_2g_ob))</f>
        <v>0</v>
      </c>
      <c r="AS54" t="b">
        <f>IF(Исходн.данные.!$P54="Ум",P_MinUd_2g_um,IF(Исходн.данные.!$P54="Об",P_MinUd_2g_ob))</f>
        <v>0</v>
      </c>
      <c r="AT54" t="b">
        <f>IF(Исходн.данные.!$P54="Ум",K_MinUd_2g_um,IF(Исходн.данные.!$P54="Об",K_MinUd_2g_ob))</f>
        <v>0</v>
      </c>
      <c r="AU54" t="b">
        <f>IF(Исходн.данные.!$P54="Ум",N_MinUd_1g_um,IF(Исходн.данные.!$P54="Об",N_MinUd_1g_ob))</f>
        <v>0</v>
      </c>
      <c r="AV54" t="b">
        <f>IF(Исходн.данные.!P54="Ум",P_MinUd_1g_um,IF(Исходн.данные.!P54="Об",P_MinUd_1g_ob))</f>
        <v>0</v>
      </c>
      <c r="AW54" t="b">
        <f>IF(Исходн.данные.!P54="Ум",K_MinUd_1g_um,IF(Исходн.данные.!P54="Об",K_MinUd_1g_ob))</f>
        <v>0</v>
      </c>
      <c r="AY54" t="e">
        <f>VLOOKUP(Исходн.данные.!T54,Справ!$A$3:$N$57,12)</f>
        <v>#N/A</v>
      </c>
      <c r="AZ54" t="e">
        <f>VLOOKUP(Исходн.данные.!T54,Справ!$A$3:$N$57,13)</f>
        <v>#N/A</v>
      </c>
      <c r="BA54" t="e">
        <f>VLOOKUP(Исходн.данные.!T54,Справ!$A$3:$N$57,14)</f>
        <v>#N/A</v>
      </c>
      <c r="BB54">
        <f>IF(Исходн.данные.!AH54=0,0,25)</f>
        <v>0</v>
      </c>
      <c r="BC54" s="141">
        <f>IF(Исходн.данные.!AH54=0,0,IF(Исходн.данные.!T54=0,25,BD54))</f>
        <v>0</v>
      </c>
      <c r="BD54" s="168" t="e">
        <f>AY54+AZ54*Исходн.данные.!U54-POWER(BA54,2)*Исходн.данные.!U54</f>
        <v>#N/A</v>
      </c>
      <c r="BE5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4" s="25">
        <f>IF(Исходн.данные.!AH54=0,0,MIN(HN54:HP54))</f>
        <v>0</v>
      </c>
      <c r="BG54" s="9">
        <f>IF(Исходн.данные.!AH54=0,0,IF((HO54+10*0.25/HG54/HL54)&lt;17,17,HO54+10*0.25/HG54/HL54))</f>
        <v>0</v>
      </c>
      <c r="BH54" s="181">
        <f>IF(Исходн.данные.!AH54=0,0,HW54*HF54*HL54/AU54*AI54+Исходн.данные.!S54*10)</f>
        <v>0</v>
      </c>
      <c r="BI54" s="10"/>
      <c r="BJ54" s="182">
        <f>IF(Исходн.данные.!AH54=0,0,IF(HX54*HG54*HL54/AV54&lt;0,0,HX54*HG54*HL54/AV54*AJ54))</f>
        <v>0</v>
      </c>
      <c r="BK54" s="182">
        <f>IF(Исходн.данные.!AH54=0,0,HY54*HH54*HM54/AW54)</f>
        <v>0</v>
      </c>
      <c r="BL54" s="10">
        <f>IF(OR(Исходн.данные.!$AH54=$BP$1,Исходн.данные.!$AH54=$BP$2),0,IF(BH54&lt;0,0,IF(OR(Исходн.данные.!T54=Расчет!$BP$1,Исходн.данные.!T54=Расчет!$BP$2,Исходн.данные.!T54=Расчет!$BT$5,Исходн.данные.!T54=Расчет!$BT$6),BH54*0.5,IF(OR(Исходн.данные.!T54=Расчет!$BS$9,Исходн.данные.!T54=Расчет!$BS$10,Исходн.данные.!T54=Расчет!$BS$11,Исходн.данные.!T54=Расчет!$BS$12,Исходн.данные.!T54=Расчет!$BP$5),BH54*0.8,BH54))))</f>
        <v>0</v>
      </c>
      <c r="BM54" s="10">
        <f>IF(OR(Исходн.данные.!$AH54=$BP$1,Исходн.данные.!$AH54=$BP$2),0,IF(BJ54&lt;0,0,IF(Исходн.данные.!I54&lt;4.5,BJ54*1.2,IF(Исходн.данные.!I54&gt;5.1,BJ54,BJ54*((5.1-Исходн.данные.!I54)*0.333+1)))))</f>
        <v>0</v>
      </c>
      <c r="BN54" s="10">
        <f>IF(OR(Исходн.данные.!$AH54=$BP$1,Исходн.данные.!$AH54=$BP$2),60-Исходн.данные.!AF54,IF(BK54&lt;0,0,IF(Исходн.данные.!I54&lt;4.5,BK54*1.2,IF(Исходн.данные.!I54&gt;5.1,BK54,BK54*((5.1-Исходн.данные.!I54)*0.333+1)))))</f>
        <v>0</v>
      </c>
      <c r="BO54" s="9">
        <f>IF(BL54&lt;0,0,BL54*Исходн.данные.!$AJ54/1000)</f>
        <v>0</v>
      </c>
      <c r="BP54" s="9">
        <f>IF(BM54&lt;0,0,BM54*Исходн.данные.!$AJ54/1000)</f>
        <v>0</v>
      </c>
      <c r="BQ54" s="9">
        <f>IF(BN54&lt;0,0,BN54*Исходн.данные.!$AJ54/1000)</f>
        <v>0</v>
      </c>
      <c r="BR54" s="9">
        <f t="shared" si="81"/>
        <v>0</v>
      </c>
      <c r="BS54" s="10" t="str">
        <f t="shared" si="82"/>
        <v>Аммофос 12:52:00</v>
      </c>
      <c r="BT54" s="10" t="str">
        <f t="shared" si="83"/>
        <v>Аммофос 12:52:00</v>
      </c>
      <c r="BU54" s="10" t="str">
        <f t="shared" si="84"/>
        <v>Диаммофоска</v>
      </c>
      <c r="BV54" s="10">
        <f t="shared" si="85"/>
        <v>0</v>
      </c>
      <c r="BW54" s="10"/>
      <c r="BX54" s="10"/>
      <c r="BY54" s="9">
        <f>IF(BL54&lt;0,0,IF(OR(Исходн.данные.!AI54=Расчет!$BU$6,Исходн.данные.!AI54=Расчет!$BU$7),Расчет!BV54,IF(Исходн.данные.!$AG54=$BV$11,BL54,IF(OR(Исходн.данные.!$AH54=$BQ$7,Исходн.данные.!$AH54=$BQ$8),CB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0,IF(Исходн.данные.!$AI54=$BU$11,"Нет",IF(BL54&gt;30,30,BL54)))))))</f>
        <v>0</v>
      </c>
      <c r="BZ54" s="9">
        <f>IF(AND(Исходн.данные.!$AG54=$BV$11,BM54&lt;10),10,IF(Исходн.данные.!$AG54=$BV$11,BM54,IF(OR(Исходн.данные.!$AH54=$BQ$7,Исходн.данные.!$AH54=$BQ$8),CC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10,IF(Исходн.данные.!$AI54=$BU$11,"Нет",IF(BM54&gt;60,60,IF(BM54&lt;10,10,BM54)))))))</f>
        <v>10</v>
      </c>
      <c r="CA54" s="39">
        <f>IF(BN54&lt;0,0,IF(Исходн.данные.!$AG54=$BV$11,BN54,IF(OR(Исходн.данные.!$AH54=$BQ$7,Исходн.данные.!$AH54=$BQ$8),CD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0,IF(Исходн.данные.!$AI54=$BU$11,"Нет",IF(BN54&gt;30,30,BN54))))))</f>
        <v>0</v>
      </c>
      <c r="CB54" s="9">
        <f t="shared" si="86"/>
        <v>0</v>
      </c>
      <c r="CC54" s="9">
        <f t="shared" si="87"/>
        <v>0</v>
      </c>
      <c r="CD54" s="9">
        <f t="shared" si="88"/>
        <v>0</v>
      </c>
      <c r="CE54" s="12">
        <f t="shared" si="89"/>
        <v>10</v>
      </c>
      <c r="CF54" s="9">
        <f t="shared" si="90"/>
        <v>0</v>
      </c>
      <c r="CG54" s="9" t="s">
        <v>231</v>
      </c>
      <c r="CH54" s="132" t="str">
        <f>IF(Исходн.данные.!AP54=Расчет!$CI$16,"Нет",IF(Исходн.данные.!AL54&gt;0,Исходн.данные.!AL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BH$4,IF(OR(Исходн.данные.!AI54=Исходн.данные.!$AI$6,Исходн.данные.!AI54=Исходн.данные.!$AI$7),Расчет!BS54,IF(AND($CF54=0,$CE54&gt;0),EV54,ER54)))))</f>
        <v>Аммофос 12:52:00</v>
      </c>
      <c r="CI54" s="274">
        <f>IF(Расчет!$CH54="Нет","Нет",IF(Исходн.данные.!$AL54&gt;0,VLOOKUP(Расчет!$CH54,АшламаДВ_Irekle,2,FALSE),VLOOKUP(Расчет!$CH54,АшламаДВ_Gomumy,2,FALSE)))</f>
        <v>0.12</v>
      </c>
      <c r="CJ54" s="274">
        <f>IF(Расчет!$CH54="Нет","Нет",IF(Исходн.данные.!$AL54&gt;0,VLOOKUP(Расчет!$CH54,АшламаДВ_Irekle,3,FALSE),VLOOKUP(Расчет!$CH54,АшламаДВ_Gomumy,3,FALSE)))</f>
        <v>0.52</v>
      </c>
      <c r="CK54" s="274">
        <f>IF(Расчет!$CH54="Нет","Нет",IF(Исходн.данные.!$AL54&gt;0,VLOOKUP(Расчет!$CH54,АшламаДВ_Irekle,4,FALSE),VLOOKUP(Расчет!$CH54,АшламаДВ_Gomumy,4,FALSE)))</f>
        <v>0</v>
      </c>
      <c r="CL54" s="70"/>
      <c r="CM54" s="70"/>
      <c r="CN54" s="70"/>
      <c r="CO54" s="70"/>
      <c r="CP54" s="70"/>
      <c r="CQ54" s="70"/>
      <c r="CR54" s="10">
        <f t="shared" si="91"/>
        <v>0</v>
      </c>
      <c r="CS54" s="10">
        <f t="shared" si="92"/>
        <v>19.23076923076923</v>
      </c>
      <c r="CT54" s="10">
        <f t="shared" si="93"/>
        <v>0</v>
      </c>
      <c r="CU54" s="39">
        <f>IF($CH54="Нет",0,IF(CI54=0,30/MIN(CJ54:CK54),IF(Исходн.данные.!$AG54=$BV$11,CR54,IF(OR(Исходн.данные.!$AH54=$BQ$7,Исходн.данные.!$AH54=$BQ$8),90/CI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0,IF(Исходн.данные.!$AI54=$BU$11,"Нет",30/CI54))))))</f>
        <v>250</v>
      </c>
      <c r="CV54" s="39">
        <f>IF($CH54="Нет",0,IF(Исходн.данные.!AH54=0,0,IF(CJ54=0,60/MIN(CI54,CK54),IF(Исходн.данные.!$AG54=$BV$11,CS54,IF(OR(Исходн.данные.!$AH54=$BQ$7,Исходн.данные.!$AH54=$BQ$8),90/CJ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10/CJ54,IF(Исходн.данные.!$AI54=$BU$11,"Нет",60/CJ54)))))))</f>
        <v>0</v>
      </c>
      <c r="CW54" s="39">
        <f>IF($CH54="Нет",0,IF(Исходн.данные.!AH54=0,0,IF(CK54=0,30/MIN(CI54:CJ54),IF(Исходн.данные.!$AG54=$BV$11,CT54,IF(OR(Исходн.данные.!$AH54=$BQ$7,Исходн.данные.!$AH54=$BQ$8),90/CK54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0,IF(Исходн.данные.!$AI54=$BU$11,"Нет",30/CK54)))))))</f>
        <v>0</v>
      </c>
      <c r="CX54" s="133">
        <f>IF(Исходн.данные.!$AG54=$BV$11,MAX(CU54:CW54),IF(OR(Исходн.данные.!$AH54=$BS$8,Исходн.данные.!$AH54=$BQ$9,Исходн.данные.!$AH54=$BQ$10,Исходн.данные.!$AH54=$BQ$11,Исходн.данные.!$AH54=$BQ$12,Исходн.данные.!$AH54=$BP$3,Исходн.данные.!$AH54=$BT$8,$FM54="Да"),CV54,MIN(CU54:CW54)))</f>
        <v>0</v>
      </c>
      <c r="CY54" s="133">
        <f>IF(Исходн.данные.!AH54=0,0,IF(CR54&gt;$CX54,$CX54,CR54))</f>
        <v>0</v>
      </c>
      <c r="CZ54" s="133">
        <f>IF(Исходн.данные.!AH54=0,0,IF(CS54&gt;$CX54,$CX54,CS54))</f>
        <v>0</v>
      </c>
      <c r="DA54" s="133">
        <f>IF(Исходн.данные.!AH54=0,0,IF(CT54&gt;$CX54,$CX54,CT54))</f>
        <v>0</v>
      </c>
      <c r="DB54" s="10">
        <f t="shared" si="94"/>
        <v>0</v>
      </c>
      <c r="DC54" s="39">
        <f>DB54*Исходн.данные.!AJ54/1000</f>
        <v>0</v>
      </c>
      <c r="DD54" s="71">
        <f t="shared" si="95"/>
        <v>0</v>
      </c>
      <c r="DE54" s="9">
        <f t="shared" si="96"/>
        <v>0</v>
      </c>
      <c r="DF54" s="9">
        <f t="shared" si="97"/>
        <v>0</v>
      </c>
      <c r="DG54" s="39">
        <f>IF(BL54&lt;0,0,IF($CH54="Нет",BL54,IF(OR(Исходн.данные.!$AH54=$BP$1,Исходн.данные.!$AH54=$BP$2),0,IF(Исходн.данные.!AI54=$BU$11,BL54,IF(BL54-DD54&lt;0,0,BL54-DD54)))))</f>
        <v>0</v>
      </c>
      <c r="DH54" s="39">
        <f>IF(BM54&lt;0,0,IF($CH54="Нет",BM54,IF(OR(Исходн.данные.!$AH54=$BP$1,Исходн.данные.!$AH54=$BP$2),0,IF(Исходн.данные.!AJ54=$BU$11,BM54,IF(BM54-DE54&lt;0,0,BM54-DE54)))))</f>
        <v>0</v>
      </c>
      <c r="DI54" s="39">
        <f>IF(BN54&lt;0,0,IF($CH54="Нет",BN54,IF(OR(Исходн.данные.!$AH54=$BP$1,Исходн.данные.!$AH54=$BP$2),0,IF(Исходн.данные.!AK54=$BU$11,BN54,IF(BN54-DF54&lt;0,0,BN54-DF54)))))</f>
        <v>0</v>
      </c>
      <c r="DJ54" s="12">
        <f t="shared" si="98"/>
        <v>0</v>
      </c>
      <c r="DK54" s="9">
        <f t="shared" si="99"/>
        <v>0</v>
      </c>
      <c r="DL54" s="39">
        <f>IF(Исходн.данные.!AM54&gt;0,Исходн.данные.!AM54,IF(EG54&gt;0,$BH$10,0))</f>
        <v>0</v>
      </c>
      <c r="DM54" s="186">
        <f>IF($DL54=0,0,IF(Исходн.данные.!AM54&gt;0,VLOOKUP($DL54,АшламаДВ_Irekle,2,FALSE),VLOOKUP($DL54,АшламаДВ_Gomumy,2,FALSE)))</f>
        <v>0</v>
      </c>
      <c r="DN54" s="10">
        <f t="shared" si="46"/>
        <v>0</v>
      </c>
      <c r="DO54" s="9" t="str">
        <f>IF(Исходн.данные.!AN54&gt;0,Исходн.данные.!AN54,Удобрения!$B$37 )</f>
        <v>Хлор.калий</v>
      </c>
      <c r="DP54" s="9">
        <f>IF(Исходн.данные.!AN54&gt;0,VLOOKUP(Исходн.данные.!AN54,АшламаДВ_Irekle,4,FALSE),VLOOKUP(DO54,АшламаДВ_Gomumy,4,FALSE))</f>
        <v>0.6</v>
      </c>
      <c r="DQ54" s="10">
        <f t="shared" si="47"/>
        <v>0</v>
      </c>
      <c r="DR54" s="132" t="str">
        <f>IF(Исходн.данные.!AO54&gt;0,Исходн.данные.!AO54,IF(DH54=0,BS$17,IF(AND($DK54=0,$DJ54&gt;0),EJ54,EN54)))</f>
        <v>Нет</v>
      </c>
      <c r="DS54" s="70" t="str">
        <f>IF($DR54="Нет","Нет",IF(Исходн.данные.!$AO54&gt;0,VLOOKUP($DR54,АшламаДВ_Irekle,2,FALSE),VLOOKUP($DR54,АшламаДВ_Gomumy,2,FALSE)))</f>
        <v>Нет</v>
      </c>
      <c r="DT54" s="70" t="str">
        <f>IF($DR54="Нет","Нет",IF(Исходн.данные.!$AO54&gt;0,VLOOKUP($DR54,АшламаДВ_Irekle,3,FALSE),VLOOKUP($DR54,АшламаДВ_Gomumy,3,FALSE)))</f>
        <v>Нет</v>
      </c>
      <c r="DU54" s="70" t="str">
        <f>IF($DR54="Нет","Нет",IF(Исходн.данные.!$AO54&gt;0,VLOOKUP($DR54,АшламаДВ_Irekle,4,FALSE),VLOOKUP($DR54,АшламаДВ_Gomumy,4,FALSE)))</f>
        <v>Нет</v>
      </c>
      <c r="DV54" s="70"/>
      <c r="DW54" s="70"/>
      <c r="DX54" s="70"/>
      <c r="DY54" s="10">
        <f t="shared" si="100"/>
        <v>0</v>
      </c>
      <c r="DZ54" s="10">
        <f t="shared" si="101"/>
        <v>0</v>
      </c>
      <c r="EA54" s="10">
        <f t="shared" si="102"/>
        <v>0</v>
      </c>
      <c r="EB54" s="10">
        <f t="shared" si="103"/>
        <v>0</v>
      </c>
      <c r="EC54" s="10">
        <f t="shared" si="104"/>
        <v>0</v>
      </c>
      <c r="ED54" s="10">
        <f t="shared" si="105"/>
        <v>0</v>
      </c>
      <c r="EE54" s="10">
        <f t="shared" si="106"/>
        <v>0</v>
      </c>
      <c r="EF54" s="39">
        <f>EB54*Исходн.данные.!AJ54/1000</f>
        <v>0</v>
      </c>
      <c r="EG54" s="9">
        <f t="shared" si="107"/>
        <v>0</v>
      </c>
      <c r="EH54" s="9">
        <f t="shared" si="108"/>
        <v>0</v>
      </c>
      <c r="EI54" s="39" t="e">
        <f t="shared" si="7"/>
        <v>#DIV/0!</v>
      </c>
      <c r="EJ54" s="9" t="str">
        <f t="shared" si="8"/>
        <v>Азопреципитат</v>
      </c>
      <c r="EK54" s="12">
        <f t="shared" si="9"/>
        <v>0.26</v>
      </c>
      <c r="EL54" s="12">
        <f t="shared" si="10"/>
        <v>0.13</v>
      </c>
      <c r="EM54" s="12">
        <f t="shared" si="11"/>
        <v>0</v>
      </c>
      <c r="EN54" s="12" t="str">
        <f t="shared" si="57"/>
        <v>Нет</v>
      </c>
      <c r="EO54" s="12">
        <f t="shared" si="12"/>
        <v>0</v>
      </c>
      <c r="EP54" s="12">
        <f t="shared" si="13"/>
        <v>0</v>
      </c>
      <c r="EQ54" s="12">
        <f t="shared" si="14"/>
        <v>0</v>
      </c>
      <c r="ER54" s="12" t="str">
        <f t="shared" si="109"/>
        <v>Диаммофоска</v>
      </c>
      <c r="ES54" s="12">
        <f t="shared" si="15"/>
        <v>0.1</v>
      </c>
      <c r="ET54" s="12">
        <f t="shared" si="16"/>
        <v>0.26</v>
      </c>
      <c r="EU54" s="12">
        <f t="shared" si="17"/>
        <v>0.26</v>
      </c>
      <c r="EV54" s="12" t="str">
        <f t="shared" si="110"/>
        <v>Аммофос 12:52:00</v>
      </c>
      <c r="EW54" s="12" t="str">
        <f t="shared" si="111"/>
        <v>Кемира Свекловичное-6</v>
      </c>
      <c r="EX54" s="12">
        <f t="shared" si="18"/>
        <v>0.16</v>
      </c>
      <c r="EY54" s="12">
        <f t="shared" si="19"/>
        <v>0.12</v>
      </c>
      <c r="EZ54" s="12">
        <f t="shared" si="20"/>
        <v>0.17</v>
      </c>
      <c r="FA54" s="38" t="e">
        <f>IF(AND(OR(FJ54=$FD$1,FM54=$FD$1,FO54=$FD$1,FQ54=$FD$1,FS54=$FD$1),FD54=$FD$1,Исходн.данные.!J54&lt;2,FU54=$FD$1),"Бор,Кобальт",IF(AND(FO54=$FD$1,FH54=$FD$1,Исходн.данные.!J54&lt;2,FU54=$FD$1),"Бор,Кобальт",IF(AND(OR(FJ54=$FD$1,FM54=$FD$1,FQ54=$FD$1),FE54=$FD$1,Исходн.данные.!J54&lt;2,FT54=$FD$1,FU54=$FD$1),"Бор,Медь,Цинк",IF(AND(OR(FJ54=$FD$1,FR54="Да"),FI54="Да",Исходн.данные.!J54&lt;2,FT54="Да",FU54="Да"),"Бор,Цинк,Медь",IF(AND(OR(FM54="Да",FQ54="Да"),FI54="Да",Исходн.данные.!J54&lt;2,FT54="Да",FU54="Да"),"Бор,Цинк",IF(AND(FN54="Да",OR(FD54="Да",FE54="Да")),"Бор",FB54))))))</f>
        <v>#N/A</v>
      </c>
      <c r="FB54" s="134" t="e">
        <f>IF(AND(OR(FD54="Да",FE54="Да",FF54="Да",FG54="Да",FH54="Да"),FO54="Да"),"Бор",IF(AND(FP54="Да",OR(FD54="Да",FE54="Да",FI54="Да")),"Бор",IF(AND(FS54="Да",FE54="Да"),"Бор,Медь",IF(AND(OR(FJ54="Да",FK54="Да",FL54="Да"),FE54="Да",Исходн.данные.!I54&lt;5,FT54="Да",FU54="Да"),"Молибден,Цинк",IF(AND(FM54="Да",OR(FE54="Да",FF54="Да",FG54="Да",FH54="Да",FI54="Да")),"Молибден,Цинк",IF(AND(OR(FJ54="Да",FK54="Да",FL54="Да",FM54="Да",FQ54="Да"),OR(FE54="Да",FF54="Да"),FT54="Да",FU54="Да",Исходн.данные.!I54&gt;5.5),"Медь,Цинк",FC54))))))</f>
        <v>#N/A</v>
      </c>
      <c r="FC54" s="23" t="e">
        <f t="shared" si="112"/>
        <v>#N/A</v>
      </c>
      <c r="FD54" s="38" t="str">
        <f>IF(OR(Исходн.данные.!F54=$CC$1,Исходн.данные.!F54=$CC$2,Исходн.данные.!F54=$CC$3,Исходн.данные.!F54=$CC$4),"Да","Нет")</f>
        <v>Нет</v>
      </c>
      <c r="FE54" s="38" t="str">
        <f>IF(Исходн.данные.!F54=$CC$5,"Да","Нет")</f>
        <v>Нет</v>
      </c>
      <c r="FF54" s="38" t="str">
        <f>IF(OR(Исходн.данные.!F54=$CC$6,Исходн.данные.!F54=$CC$7),"Да","Нет")</f>
        <v>Нет</v>
      </c>
      <c r="FG54" s="38" t="str">
        <f>IF(OR(Исходн.данные.!F54=$CC$8,Исходн.данные.!F54=$CC$9),"Да","Нет")</f>
        <v>Нет</v>
      </c>
      <c r="FH54" s="38" t="str">
        <f>IF(Исходн.данные.!F54=$CC$10,"Да","Нет")</f>
        <v>Нет</v>
      </c>
      <c r="FI54" s="38" t="str">
        <f>IF(OR(Исходн.данные.!F54=$CC$11,Исходн.данные.!F54=$CC$12),"Да","Нет")</f>
        <v>Нет</v>
      </c>
      <c r="FJ54" s="38" t="str">
        <f>IF(OR(Исходн.данные.!AH54=$BS$1,Исходн.данные.!AH54=$BQ$11,Исходн.данные.!AH54=$BQ$12),"Да","Нет")</f>
        <v>Нет</v>
      </c>
      <c r="FK54" s="38" t="str">
        <f>IF(OR(Исходн.данные.!AH54=$BS$2,Исходн.данные.!AH54=$BS$4),"Да","Нет")</f>
        <v>Нет</v>
      </c>
      <c r="FL54" s="38" t="str">
        <f>IF(OR(Исходн.данные.!AH54=$BS$3,Исходн.данные.!AH54=$BS$5),"Да","Нет")</f>
        <v>Нет</v>
      </c>
      <c r="FM54" s="38" t="str">
        <f>IF(OR(Исходн.данные.!AH54=$BS$9,Исходн.данные.!AH54=$BS$10,Исходн.данные.!AH54=$BS$11,Исходн.данные.!AH54=$BS$12),"Да","Нет")</f>
        <v>Нет</v>
      </c>
      <c r="FN54" s="38" t="str">
        <f>IF(OR(Исходн.данные.!AH54=$BS$6,Исходн.данные.!AH54=$BP$3),"Да","Нет")</f>
        <v>Нет</v>
      </c>
      <c r="FO54" s="38" t="str">
        <f>IF(Исходн.данные.!AH54=$BQ$9,"Да","Нет")</f>
        <v>Нет</v>
      </c>
      <c r="FP54" s="38" t="str">
        <f>IF(OR(Исходн.данные.!AH54=$BS$8,Исходн.данные.!AH54=$BT$8),"Да","Нет")</f>
        <v>Нет</v>
      </c>
      <c r="FQ54" s="38" t="str">
        <f>IF(OR(Исходн.данные.!AH54=$BQ$7,Исходн.данные.!AH54=$BQ$8),"Да","Нет")</f>
        <v>Нет</v>
      </c>
      <c r="FR54" s="38" t="str">
        <f>IF(Исходн.данные.!AI54=$BU$9,"Да","Нет")</f>
        <v>Нет</v>
      </c>
      <c r="FS54" s="38" t="str">
        <f>IF(OR(Исходн.данные.!AH54=$BP$1,Исходн.данные.!AH54=$BP$2),"Да","Нет")</f>
        <v>Нет</v>
      </c>
      <c r="FT54" s="38" t="e">
        <f>IF((Исходн.данные.!K54*GO54*GS54*GW54+BL54*0.6+Исходн.данные.!Q54*4.5*0.275)&gt;90,"Да","Нет")</f>
        <v>#N/A</v>
      </c>
      <c r="FU54" s="38" t="e">
        <f>IF((Исходн.данные.!M54*GS54*GZ54+BM54*0.225)&gt;35,"Да","Нет")</f>
        <v>#N/A</v>
      </c>
      <c r="FV54" s="38" t="str">
        <f>IF(Исходн.данные.!O54&gt;175,"Да","Нет")</f>
        <v>Нет</v>
      </c>
      <c r="FW54" s="39" t="str">
        <f>IF(Исходн.данные.!I54&gt;5.5,"Да","Нет")</f>
        <v>Нет</v>
      </c>
      <c r="FX54" s="39" t="str">
        <f>IF(Исходн.данные.!J54&lt;2,"Да","Нет")</f>
        <v>Да</v>
      </c>
      <c r="FY54" s="39" t="e">
        <f>IF(HF54=$FY$16,0,Исходн.данные.!K54*GO54*GS54*GW54/HF54)</f>
        <v>#N/A</v>
      </c>
      <c r="FZ54" s="39" t="e">
        <f>Исходн.данные.!M54*GS54*GZ54/HG54</f>
        <v>#N/A</v>
      </c>
      <c r="GA54" s="39" t="e">
        <f>IF(K_Wyn=$FY$16,0,IF(Исходн.данные.!N54=Исходн.данные.!$L$10,Исходн.данные.!O54/1.1*GS54*HC54/HH54,IF(Исходн.данные.!N54=Исходн.данные.!$L$12,Исходн.данные.!O54/1.5*GS54*HC54/HH54,Исходн.данные.!O54*GS54*HC54/HH54)))</f>
        <v>#N/A</v>
      </c>
      <c r="GB54" s="39" t="e">
        <f>IF(HF54=$FY$16,0,((Исходн.данные.!Q54*N_Org+Исходн.данные.!R54*N_Sider+Исходн.данные.!S54*N_Soloma)*AO54+Расчет!BC54*VLOOKUP(Исходн.данные.!T54,Справ!$A$3:$O$57,15)*AO54+BB54*VLOOKUP(Исходн.данные.!T54,Справ!$A$3:$O$57,15)*AL54+(Исходн.данные.!V54*N_Rizotorf+Исходн.данные.!W54*N_Rizoagr))/HF54)</f>
        <v>#N/A</v>
      </c>
      <c r="GC54" s="39" t="e">
        <f>IF(HG54=$FY$16,0,((Исходн.данные.!Q54*Р_Org+Исходн.данные.!R54*P_Sider+Исходн.данные.!S54*P_Soloma)*AP54+Расчет!BC54*VLOOKUP(Исходн.данные.!T54,Справ!$A$3:$P$57,16)*AP54+BB54*VLOOKUP(Исходн.данные.!T54,Справ!$A$3:$P$57,16)*AM54)/HG54)</f>
        <v>#N/A</v>
      </c>
      <c r="GD54" s="39" t="e">
        <f>IF(HH54=$FY$16,0,((Исходн.данные.!Q54*К_Org+Исходн.данные.!R54*K_Sider+Исходн.данные.!S54*K_Soloma)*AQ54+Расчет!BC54*VLOOKUP(Исходн.данные.!T54,Справ!$A$3:$Q$57,17)*AQ54+BB54*VLOOKUP(Исходн.данные.!T54,Справ!$A$3:$Q$57,17)*AN54)/HH54)</f>
        <v>#N/A</v>
      </c>
      <c r="GE54" s="39" t="e">
        <f>IF(HF54=$FY$16,0,(Исходн.данные.!X54*AR54+Исходн.данные.!AA54*N_Org*AL54+Исходн.данные.!AB54*N_Sider*AL54+Исходн.данные.!AC54*N_Soloma*AL54)/HF54)</f>
        <v>#N/A</v>
      </c>
      <c r="GF54" s="39" t="e">
        <f>IF(HG54=$FY$16,0,(Исходн.данные.!Y54*AS54+Исходн.данные.!AA54*Р_Org*AM54+Исходн.данные.!AB54*P_Sider*AM54+Исходн.данные.!AC54*P_Soloma*AM54)/HG54)</f>
        <v>#N/A</v>
      </c>
      <c r="GG54" s="39" t="e">
        <f>IF(HH54=$FY$16,0,(Исходн.данные.!Z54*AT54+Исходн.данные.!AA54*К_Org*AN54+Исходн.данные.!AB54*K_Sider*AN54+Исходн.данные.!AC54*K_Soloma*AN54)/HH54)</f>
        <v>#N/A</v>
      </c>
      <c r="GH54" s="39" t="e">
        <f>Исходн.данные.!AD54*AU54/HF54</f>
        <v>#N/A</v>
      </c>
      <c r="GI54" s="39" t="e">
        <f>Исходн.данные.!AE54*AV54/HG54</f>
        <v>#N/A</v>
      </c>
      <c r="GJ54" s="39" t="e">
        <f>Исходн.данные.!AF54*AW54/HH54</f>
        <v>#N/A</v>
      </c>
      <c r="GK54" s="55">
        <f>Исходн.данные.!AK54</f>
        <v>0</v>
      </c>
      <c r="GL54" s="11" t="e">
        <f t="shared" si="113"/>
        <v>#N/A</v>
      </c>
      <c r="GM54" s="11" t="e">
        <f t="shared" si="114"/>
        <v>#N/A</v>
      </c>
      <c r="GN54" s="11" t="e">
        <f t="shared" si="115"/>
        <v>#N/A</v>
      </c>
      <c r="GO54" s="57">
        <f t="shared" si="116"/>
        <v>19</v>
      </c>
      <c r="GP54" s="55">
        <f>IF(OR(Исходн.данные.!F54=$CE$1,Исходн.данные.!F54=$CE$2,Исходн.данные.!F54=$CE$3,Исходн.данные.!F54=$CE$4,Исходн.данные.!F54=$CE$5),GQ54,GR54)</f>
        <v>19</v>
      </c>
      <c r="GQ54" s="55">
        <f>IF(Исходн.данные.!F54=$CE$1,28,IF(Исходн.данные.!F54=$CE$2,26,IF(Исходн.данные.!F54=$CE$3,24,IF(Исходн.данные.!F54=$CE$4,22,IF(Исходн.данные.!F54=$CE$5,20,GR54)))))</f>
        <v>19</v>
      </c>
      <c r="GR54" s="55">
        <f>IF(Исходн.данные.!F54=$CE$6,18,IF(Исходн.данные.!F54=$CE$7,16,IF(Исходн.данные.!F54=$CE$8,14,IF(Исходн.данные.!F54=$CE$9,13,IF(Исходн.данные.!F54=$CE$10,12,19)))))</f>
        <v>19</v>
      </c>
      <c r="GS54" s="55">
        <f>IF(Исходн.данные.!G54="Пес",0.035*(40+2*Исходн.данные.!H54),IF(Исходн.данные.!G54="Суп",0.0325*(40+2*Исходн.данные.!H54),0.03*(40+2*Исходн.данные.!H54)))</f>
        <v>1.2</v>
      </c>
      <c r="GT54" s="55">
        <f>IF(Исходн.данные.!H54&lt;23,2.6,IF(AND(Исходн.данные.!H54&gt;22,Исходн.данные.!H54&lt;26),3,IF(AND(Исходн.данные.!H54&gt;25,Исходн.данные.!H54&lt;29),3.4,3.6)))</f>
        <v>2.6</v>
      </c>
      <c r="GU54" s="55">
        <f>IF(Исходн.данные.!H54&lt;23,2.8,IF(AND(Исходн.данные.!H54&gt;22,Исходн.данные.!H54&lt;26),3.2,IF(AND(Исходн.данные.!H54&gt;25,Исходн.данные.!H54&lt;29),3.6,3.9)))</f>
        <v>2.8</v>
      </c>
      <c r="GV54" s="55">
        <f>IF(Исходн.данные.!H54&lt;23,3,IF(AND(Исходн.данные.!H54&gt;22,Исходн.данные.!H54&lt;26),3.5,IF(AND(Исходн.данные.!H54&gt;25,Исходн.данные.!H54&lt;29),3.9,4.2)))</f>
        <v>3</v>
      </c>
      <c r="GW54" s="55" t="e">
        <f>IF(Исходн.данные.!P54="Ум",GX54,GY54)</f>
        <v>#N/A</v>
      </c>
      <c r="GX54" s="55" t="e">
        <f>VLOOKUP(Исходн.данные.!AI54,Коэффициенты!$J$7:$L$13,2,FALSE)</f>
        <v>#N/A</v>
      </c>
      <c r="GY54" s="55" t="e">
        <f>VLOOKUP(Исходн.данные.!AI54,Коэффициенты!$J$7:$L$13,3,FALSE)</f>
        <v>#N/A</v>
      </c>
      <c r="GZ54" s="55" t="e">
        <f>(IF(Исходн.данные.!M54&lt;50,0.11*VLOOKUP(Исходн.данные.!AH54,Культуры.Информация,7,FALSE),IF(Исходн.данные.!M54&gt;250,0.05*VLOOKUP(Исходн.данные.!AH54,Культуры.Информация,7,FALSE),VLOOKUP(Исходн.данные.!AH54,Культуры.Информация,5,FALSE)/100*($GX$6+$GY$6*Исходн.данные.!M54))))*Расчет2!AI54</f>
        <v>#N/A</v>
      </c>
      <c r="HA54" s="211"/>
      <c r="HB54" s="211"/>
      <c r="HC54" s="55" t="e">
        <f>(IF(Исходн.данные.!O54&lt;80,0.2*VLOOKUP(Исходн.данные.!AH54,Культуры.Информация,8,FALSE),IF(Исходн.данные.!O54&gt;240,0.09*VLOOKUP(Исходн.данные.!AH54,Культуры.Информация,8,FALSE),VLOOKUP(Исходн.данные.!AH54,Культуры.Информация,6,FALSE)/100*($HB$6+$HC$6*Исходн.данные.!O54))))*Расчет2!AJ54</f>
        <v>#N/A</v>
      </c>
      <c r="HD54" s="55">
        <f>IF(Исходн.данные.!O54&gt;240,0.09,IF(Исходн.данные.!O54&lt;30,0.3,$HE$10+$HD$10*Исходн.данные.!O54))</f>
        <v>0.3</v>
      </c>
      <c r="HE54" s="55">
        <f>IF(Исходн.данные.!O54&gt;240,0.17,IF(Исходн.данные.!O54&lt;30,0.5,$HF$12+$HE$12*Исходн.данные.!O54))</f>
        <v>0.5</v>
      </c>
      <c r="HF54" s="55" t="e">
        <f>VLOOKUP(Исходн.данные.!AH54,Справ!$A$3:$D$58,2,FALSE)</f>
        <v>#N/A</v>
      </c>
      <c r="HG54" s="55" t="e">
        <f>VLOOKUP(Исходн.данные.!AH54,Справ!$A$3:$D$58,3,FALSE)</f>
        <v>#N/A</v>
      </c>
      <c r="HH54" s="55" t="e">
        <f>VLOOKUP(Исходн.данные.!AH54,Справ!$A$3:$D$58,4,FALSE)</f>
        <v>#N/A</v>
      </c>
      <c r="HI54" s="11" t="e">
        <f t="shared" si="117"/>
        <v>#N/A</v>
      </c>
      <c r="HJ54" s="11" t="e">
        <f t="shared" si="118"/>
        <v>#N/A</v>
      </c>
      <c r="HK54" s="11" t="e">
        <f t="shared" si="119"/>
        <v>#N/A</v>
      </c>
      <c r="HL54" s="55">
        <f>IF(OR(Исходн.данные.!G54="Глин",Исходн.данные.!G54="Т_суг"),1.1,IF(Исходн.данные.!G54="Ср_суг",1,1))</f>
        <v>1</v>
      </c>
      <c r="HM54" s="55">
        <f>IF(OR(Исходн.данные.!G54="Глин",Исходн.данные.!G54="Т_суг"),0.9,IF(Исходн.данные.!G54="Ср_суг",1,1.2))</f>
        <v>1.2</v>
      </c>
      <c r="HN54" s="11" t="e">
        <f t="shared" si="120"/>
        <v>#N/A</v>
      </c>
      <c r="HO54" s="11" t="e">
        <f t="shared" si="121"/>
        <v>#N/A</v>
      </c>
      <c r="HP54" s="11" t="e">
        <f t="shared" si="122"/>
        <v>#N/A</v>
      </c>
      <c r="HQ54" t="e">
        <f t="shared" si="123"/>
        <v>#N/A</v>
      </c>
      <c r="HR54" t="e">
        <f t="shared" si="124"/>
        <v>#N/A</v>
      </c>
      <c r="HS54" t="e">
        <f t="shared" si="125"/>
        <v>#N/A</v>
      </c>
      <c r="HT54" t="e">
        <f t="shared" si="21"/>
        <v>#N/A</v>
      </c>
      <c r="HU54" t="e">
        <f t="shared" si="22"/>
        <v>#N/A</v>
      </c>
      <c r="HV54" t="e">
        <f t="shared" si="23"/>
        <v>#N/A</v>
      </c>
      <c r="HW54" t="e">
        <f t="shared" si="24"/>
        <v>#N/A</v>
      </c>
      <c r="HX54" t="e">
        <f t="shared" si="25"/>
        <v>#N/A</v>
      </c>
      <c r="HY54" t="e">
        <f t="shared" si="26"/>
        <v>#N/A</v>
      </c>
      <c r="HZ54" s="55">
        <f>IF(OR(Исходн.данные.!AI54="Оз_Ч_П",Исходн.данные.!AI54="Оз_З_П",Исходн.данные.!AI54="Яр_зер"),12,30)</f>
        <v>30</v>
      </c>
      <c r="IA54" t="e">
        <f t="shared" si="126"/>
        <v>#N/A</v>
      </c>
      <c r="IB54" t="e">
        <f t="shared" si="127"/>
        <v>#N/A</v>
      </c>
      <c r="IC54" t="e">
        <f t="shared" si="128"/>
        <v>#N/A</v>
      </c>
      <c r="ID54" s="11" t="e">
        <f t="shared" si="129"/>
        <v>#N/A</v>
      </c>
      <c r="IE54" s="11" t="e">
        <f t="shared" si="130"/>
        <v>#N/A</v>
      </c>
      <c r="IF54" s="11" t="e">
        <f t="shared" si="131"/>
        <v>#N/A</v>
      </c>
    </row>
    <row r="55" spans="35:240" x14ac:dyDescent="0.2">
      <c r="AI55">
        <f>IF(Исходн.данные.!I55&gt;6,1,1.85-(0.148*Исходн.данные.!I55))</f>
        <v>1.85</v>
      </c>
      <c r="AJ55">
        <f>IF(Исходн.данные.!I55&gt;6,1,2.434-(0.246*Исходн.данные.!I55))</f>
        <v>2.4340000000000002</v>
      </c>
      <c r="AL55" s="148" t="b">
        <f>IF(Исходн.данные.!$P55="Ум",N_OrgUd_2g_um,IF(Исходн.данные.!$P55="Об",N_OrgUd_2g_ob))</f>
        <v>0</v>
      </c>
      <c r="AM55" s="148" t="b">
        <f>IF(Исходн.данные.!$P55="Ум",P_OrgUd_2g_um,IF(Исходн.данные.!$P55="Об",P_OrgUd_2g_ob))</f>
        <v>0</v>
      </c>
      <c r="AN55" s="148" t="b">
        <f>IF(Исходн.данные.!$P55="Ум",K_OrgUd_2g_um,IF(Исходн.данные.!$P55="Об",K_OrgUd_2g_ob))</f>
        <v>0</v>
      </c>
      <c r="AO55" s="148" t="b">
        <f>IF(Исходн.данные.!$P55="Ум",N_OrgUd_1g_um,IF(Исходн.данные.!$P55="Об",N_OrgUd_1g_ob))</f>
        <v>0</v>
      </c>
      <c r="AP55" s="148" t="b">
        <f>IF(Исходн.данные.!$P55="Ум",P_OrgUd_1g_um,IF(Исходн.данные.!$P55="Об",P_OrgUd_1g_ob))</f>
        <v>0</v>
      </c>
      <c r="AQ55" s="148" t="b">
        <f>IF(Исходн.данные.!$P55="Ум",K_OrgUd_1g_um,IF(Исходн.данные.!$P55="Об",K_OrgUd_1g_ob))</f>
        <v>0</v>
      </c>
      <c r="AR55" t="b">
        <f>IF(Исходн.данные.!$P55="Ум",N_MinUd_2g_um,IF(Исходн.данные.!$P55="Об",N_MinUd_2g_ob))</f>
        <v>0</v>
      </c>
      <c r="AS55" t="b">
        <f>IF(Исходн.данные.!$P55="Ум",P_MinUd_2g_um,IF(Исходн.данные.!$P55="Об",P_MinUd_2g_ob))</f>
        <v>0</v>
      </c>
      <c r="AT55" t="b">
        <f>IF(Исходн.данные.!$P55="Ум",K_MinUd_2g_um,IF(Исходн.данные.!$P55="Об",K_MinUd_2g_ob))</f>
        <v>0</v>
      </c>
      <c r="AU55" t="b">
        <f>IF(Исходн.данные.!$P55="Ум",N_MinUd_1g_um,IF(Исходн.данные.!$P55="Об",N_MinUd_1g_ob))</f>
        <v>0</v>
      </c>
      <c r="AV55" t="b">
        <f>IF(Исходн.данные.!P55="Ум",P_MinUd_1g_um,IF(Исходн.данные.!P55="Об",P_MinUd_1g_ob))</f>
        <v>0</v>
      </c>
      <c r="AW55" t="b">
        <f>IF(Исходн.данные.!P55="Ум",K_MinUd_1g_um,IF(Исходн.данные.!P55="Об",K_MinUd_1g_ob))</f>
        <v>0</v>
      </c>
      <c r="AY55" t="e">
        <f>VLOOKUP(Исходн.данные.!T55,Справ!$A$3:$N$57,12)</f>
        <v>#N/A</v>
      </c>
      <c r="AZ55" t="e">
        <f>VLOOKUP(Исходн.данные.!T55,Справ!$A$3:$N$57,13)</f>
        <v>#N/A</v>
      </c>
      <c r="BA55" t="e">
        <f>VLOOKUP(Исходн.данные.!T55,Справ!$A$3:$N$57,14)</f>
        <v>#N/A</v>
      </c>
      <c r="BB55">
        <f>IF(Исходн.данные.!AH55=0,0,25)</f>
        <v>0</v>
      </c>
      <c r="BC55" s="141">
        <f>IF(Исходн.данные.!AH55=0,0,IF(Исходн.данные.!T55=0,25,BD55))</f>
        <v>0</v>
      </c>
      <c r="BD55" s="168" t="e">
        <f>AY55+AZ55*Исходн.данные.!U55-POWER(BA55,2)*Исходн.данные.!U55</f>
        <v>#N/A</v>
      </c>
      <c r="BE5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5" s="25">
        <f>IF(Исходн.данные.!AH55=0,0,MIN(HN55:HP55))</f>
        <v>0</v>
      </c>
      <c r="BG55" s="9">
        <f>IF(Исходн.данные.!AH55=0,0,IF((HO55+10*0.25/HG55/HL55)&lt;17,17,HO55+10*0.25/HG55/HL55))</f>
        <v>0</v>
      </c>
      <c r="BH55" s="181">
        <f>IF(Исходн.данные.!AH55=0,0,HW55*HF55*HL55/AU55*AI55+Исходн.данные.!S55*10)</f>
        <v>0</v>
      </c>
      <c r="BI55" s="10"/>
      <c r="BJ55" s="182">
        <f>IF(Исходн.данные.!AH55=0,0,IF(HX55*HG55*HL55/AV55&lt;0,0,HX55*HG55*HL55/AV55*AJ55))</f>
        <v>0</v>
      </c>
      <c r="BK55" s="182">
        <f>IF(Исходн.данные.!AH55=0,0,HY55*HH55*HM55/AW55)</f>
        <v>0</v>
      </c>
      <c r="BL55" s="10">
        <f>IF(OR(Исходн.данные.!$AH55=$BP$1,Исходн.данные.!$AH55=$BP$2),0,IF(BH55&lt;0,0,IF(OR(Исходн.данные.!T55=Расчет!$BP$1,Исходн.данные.!T55=Расчет!$BP$2,Исходн.данные.!T55=Расчет!$BT$5,Исходн.данные.!T55=Расчет!$BT$6),BH55*0.5,IF(OR(Исходн.данные.!T55=Расчет!$BS$9,Исходн.данные.!T55=Расчет!$BS$10,Исходн.данные.!T55=Расчет!$BS$11,Исходн.данные.!T55=Расчет!$BS$12,Исходн.данные.!T55=Расчет!$BP$5),BH55*0.8,BH55))))</f>
        <v>0</v>
      </c>
      <c r="BM55" s="10">
        <f>IF(OR(Исходн.данные.!$AH55=$BP$1,Исходн.данные.!$AH55=$BP$2),0,IF(BJ55&lt;0,0,IF(Исходн.данные.!I55&lt;4.5,BJ55*1.2,IF(Исходн.данные.!I55&gt;5.1,BJ55,BJ55*((5.1-Исходн.данные.!I55)*0.333+1)))))</f>
        <v>0</v>
      </c>
      <c r="BN55" s="10">
        <f>IF(OR(Исходн.данные.!$AH55=$BP$1,Исходн.данные.!$AH55=$BP$2),60-Исходн.данные.!AF55,IF(BK55&lt;0,0,IF(Исходн.данные.!I55&lt;4.5,BK55*1.2,IF(Исходн.данные.!I55&gt;5.1,BK55,BK55*((5.1-Исходн.данные.!I55)*0.333+1)))))</f>
        <v>0</v>
      </c>
      <c r="BO55" s="9">
        <f>IF(BL55&lt;0,0,BL55*Исходн.данные.!$AJ55/1000)</f>
        <v>0</v>
      </c>
      <c r="BP55" s="9">
        <f>IF(BM55&lt;0,0,BM55*Исходн.данные.!$AJ55/1000)</f>
        <v>0</v>
      </c>
      <c r="BQ55" s="9">
        <f>IF(BN55&lt;0,0,BN55*Исходн.данные.!$AJ55/1000)</f>
        <v>0</v>
      </c>
      <c r="BR55" s="9">
        <f t="shared" si="81"/>
        <v>0</v>
      </c>
      <c r="BS55" s="10" t="str">
        <f t="shared" si="82"/>
        <v>Аммофос 12:52:00</v>
      </c>
      <c r="BT55" s="10" t="str">
        <f t="shared" si="83"/>
        <v>Аммофос 12:52:00</v>
      </c>
      <c r="BU55" s="10" t="str">
        <f t="shared" si="84"/>
        <v>Диаммофоска</v>
      </c>
      <c r="BV55" s="10">
        <f t="shared" si="85"/>
        <v>0</v>
      </c>
      <c r="BW55" s="10"/>
      <c r="BX55" s="10"/>
      <c r="BY55" s="9">
        <f>IF(BL55&lt;0,0,IF(OR(Исходн.данные.!AI55=Расчет!$BU$6,Исходн.данные.!AI55=Расчет!$BU$7),Расчет!BV55,IF(Исходн.данные.!$AG55=$BV$11,BL55,IF(OR(Исходн.данные.!$AH55=$BQ$7,Исходн.данные.!$AH55=$BQ$8),CB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0,IF(Исходн.данные.!$AI55=$BU$11,"Нет",IF(BL55&gt;30,30,BL55)))))))</f>
        <v>0</v>
      </c>
      <c r="BZ55" s="9">
        <f>IF(AND(Исходн.данные.!$AG55=$BV$11,BM55&lt;10),10,IF(Исходн.данные.!$AG55=$BV$11,BM55,IF(OR(Исходн.данные.!$AH55=$BQ$7,Исходн.данные.!$AH55=$BQ$8),CC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10,IF(Исходн.данные.!$AI55=$BU$11,"Нет",IF(BM55&gt;60,60,IF(BM55&lt;10,10,BM55)))))))</f>
        <v>10</v>
      </c>
      <c r="CA55" s="39">
        <f>IF(BN55&lt;0,0,IF(Исходн.данные.!$AG55=$BV$11,BN55,IF(OR(Исходн.данные.!$AH55=$BQ$7,Исходн.данные.!$AH55=$BQ$8),CD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0,IF(Исходн.данные.!$AI55=$BU$11,"Нет",IF(BN55&gt;30,30,BN55))))))</f>
        <v>0</v>
      </c>
      <c r="CB55" s="9">
        <f t="shared" si="86"/>
        <v>0</v>
      </c>
      <c r="CC55" s="9">
        <f t="shared" si="87"/>
        <v>0</v>
      </c>
      <c r="CD55" s="9">
        <f t="shared" si="88"/>
        <v>0</v>
      </c>
      <c r="CE55" s="12">
        <f t="shared" si="89"/>
        <v>10</v>
      </c>
      <c r="CF55" s="9">
        <f t="shared" si="90"/>
        <v>0</v>
      </c>
      <c r="CG55" s="9" t="s">
        <v>231</v>
      </c>
      <c r="CH55" s="132" t="str">
        <f>IF(Исходн.данные.!AP55=Расчет!$CI$16,"Нет",IF(Исходн.данные.!AL55&gt;0,Исходн.данные.!AL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BH$4,IF(OR(Исходн.данные.!AI55=Исходн.данные.!$AI$6,Исходн.данные.!AI55=Исходн.данные.!$AI$7),Расчет!BS55,IF(AND($CF55=0,$CE55&gt;0),EV55,ER55)))))</f>
        <v>Аммофос 12:52:00</v>
      </c>
      <c r="CI55" s="274">
        <f>IF(Расчет!$CH55="Нет","Нет",IF(Исходн.данные.!$AL55&gt;0,VLOOKUP(Расчет!$CH55,АшламаДВ_Irekle,2,FALSE),VLOOKUP(Расчет!$CH55,АшламаДВ_Gomumy,2,FALSE)))</f>
        <v>0.12</v>
      </c>
      <c r="CJ55" s="274">
        <f>IF(Расчет!$CH55="Нет","Нет",IF(Исходн.данные.!$AL55&gt;0,VLOOKUP(Расчет!$CH55,АшламаДВ_Irekle,3,FALSE),VLOOKUP(Расчет!$CH55,АшламаДВ_Gomumy,3,FALSE)))</f>
        <v>0.52</v>
      </c>
      <c r="CK55" s="274">
        <f>IF(Расчет!$CH55="Нет","Нет",IF(Исходн.данные.!$AL55&gt;0,VLOOKUP(Расчет!$CH55,АшламаДВ_Irekle,4,FALSE),VLOOKUP(Расчет!$CH55,АшламаДВ_Gomumy,4,FALSE)))</f>
        <v>0</v>
      </c>
      <c r="CL55" s="70"/>
      <c r="CM55" s="70"/>
      <c r="CN55" s="70"/>
      <c r="CO55" s="70"/>
      <c r="CP55" s="70"/>
      <c r="CQ55" s="70"/>
      <c r="CR55" s="10">
        <f t="shared" si="91"/>
        <v>0</v>
      </c>
      <c r="CS55" s="10">
        <f t="shared" si="92"/>
        <v>19.23076923076923</v>
      </c>
      <c r="CT55" s="10">
        <f t="shared" si="93"/>
        <v>0</v>
      </c>
      <c r="CU55" s="39">
        <f>IF($CH55="Нет",0,IF(CI55=0,30/MIN(CJ55:CK55),IF(Исходн.данные.!$AG55=$BV$11,CR55,IF(OR(Исходн.данные.!$AH55=$BQ$7,Исходн.данные.!$AH55=$BQ$8),90/CI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0,IF(Исходн.данные.!$AI55=$BU$11,"Нет",30/CI55))))))</f>
        <v>250</v>
      </c>
      <c r="CV55" s="39">
        <f>IF($CH55="Нет",0,IF(Исходн.данные.!AH55=0,0,IF(CJ55=0,60/MIN(CI55,CK55),IF(Исходн.данные.!$AG55=$BV$11,CS55,IF(OR(Исходн.данные.!$AH55=$BQ$7,Исходн.данные.!$AH55=$BQ$8),90/CJ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10/CJ55,IF(Исходн.данные.!$AI55=$BU$11,"Нет",60/CJ55)))))))</f>
        <v>0</v>
      </c>
      <c r="CW55" s="39">
        <f>IF($CH55="Нет",0,IF(Исходн.данные.!AH55=0,0,IF(CK55=0,30/MIN(CI55:CJ55),IF(Исходн.данные.!$AG55=$BV$11,CT55,IF(OR(Исходн.данные.!$AH55=$BQ$7,Исходн.данные.!$AH55=$BQ$8),90/CK55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0,IF(Исходн.данные.!$AI55=$BU$11,"Нет",30/CK55)))))))</f>
        <v>0</v>
      </c>
      <c r="CX55" s="133">
        <f>IF(Исходн.данные.!$AG55=$BV$11,MAX(CU55:CW55),IF(OR(Исходн.данные.!$AH55=$BS$8,Исходн.данные.!$AH55=$BQ$9,Исходн.данные.!$AH55=$BQ$10,Исходн.данные.!$AH55=$BQ$11,Исходн.данные.!$AH55=$BQ$12,Исходн.данные.!$AH55=$BP$3,Исходн.данные.!$AH55=$BT$8,$FM55="Да"),CV55,MIN(CU55:CW55)))</f>
        <v>0</v>
      </c>
      <c r="CY55" s="133">
        <f>IF(Исходн.данные.!AH55=0,0,IF(CR55&gt;$CX55,$CX55,CR55))</f>
        <v>0</v>
      </c>
      <c r="CZ55" s="133">
        <f>IF(Исходн.данные.!AH55=0,0,IF(CS55&gt;$CX55,$CX55,CS55))</f>
        <v>0</v>
      </c>
      <c r="DA55" s="133">
        <f>IF(Исходн.данные.!AH55=0,0,IF(CT55&gt;$CX55,$CX55,CT55))</f>
        <v>0</v>
      </c>
      <c r="DB55" s="10">
        <f t="shared" si="94"/>
        <v>0</v>
      </c>
      <c r="DC55" s="39">
        <f>DB55*Исходн.данные.!AJ55/1000</f>
        <v>0</v>
      </c>
      <c r="DD55" s="71">
        <f t="shared" si="95"/>
        <v>0</v>
      </c>
      <c r="DE55" s="9">
        <f t="shared" si="96"/>
        <v>0</v>
      </c>
      <c r="DF55" s="9">
        <f t="shared" si="97"/>
        <v>0</v>
      </c>
      <c r="DG55" s="39">
        <f>IF(BL55&lt;0,0,IF($CH55="Нет",BL55,IF(OR(Исходн.данные.!$AH55=$BP$1,Исходн.данные.!$AH55=$BP$2),0,IF(Исходн.данные.!AI55=$BU$11,BL55,IF(BL55-DD55&lt;0,0,BL55-DD55)))))</f>
        <v>0</v>
      </c>
      <c r="DH55" s="39">
        <f>IF(BM55&lt;0,0,IF($CH55="Нет",BM55,IF(OR(Исходн.данные.!$AH55=$BP$1,Исходн.данные.!$AH55=$BP$2),0,IF(Исходн.данные.!AJ55=$BU$11,BM55,IF(BM55-DE55&lt;0,0,BM55-DE55)))))</f>
        <v>0</v>
      </c>
      <c r="DI55" s="39">
        <f>IF(BN55&lt;0,0,IF($CH55="Нет",BN55,IF(OR(Исходн.данные.!$AH55=$BP$1,Исходн.данные.!$AH55=$BP$2),0,IF(Исходн.данные.!AK55=$BU$11,BN55,IF(BN55-DF55&lt;0,0,BN55-DF55)))))</f>
        <v>0</v>
      </c>
      <c r="DJ55" s="12">
        <f t="shared" si="98"/>
        <v>0</v>
      </c>
      <c r="DK55" s="9">
        <f t="shared" si="99"/>
        <v>0</v>
      </c>
      <c r="DL55" s="39">
        <f>IF(Исходн.данные.!AM55&gt;0,Исходн.данные.!AM55,IF(EG55&gt;0,$BH$10,0))</f>
        <v>0</v>
      </c>
      <c r="DM55" s="186">
        <f>IF($DL55=0,0,IF(Исходн.данные.!AM55&gt;0,VLOOKUP($DL55,АшламаДВ_Irekle,2,FALSE),VLOOKUP($DL55,АшламаДВ_Gomumy,2,FALSE)))</f>
        <v>0</v>
      </c>
      <c r="DN55" s="10">
        <f t="shared" si="46"/>
        <v>0</v>
      </c>
      <c r="DO55" s="9" t="str">
        <f>IF(Исходн.данные.!AN55&gt;0,Исходн.данные.!AN55,Удобрения!$B$37 )</f>
        <v>Хлор.калий</v>
      </c>
      <c r="DP55" s="9">
        <f>IF(Исходн.данные.!AN55&gt;0,VLOOKUP(Исходн.данные.!AN55,АшламаДВ_Irekle,4,FALSE),VLOOKUP(DO55,АшламаДВ_Gomumy,4,FALSE))</f>
        <v>0.6</v>
      </c>
      <c r="DQ55" s="10">
        <f t="shared" si="47"/>
        <v>0</v>
      </c>
      <c r="DR55" s="132" t="str">
        <f>IF(Исходн.данные.!AO55&gt;0,Исходн.данные.!AO55,IF(DH55=0,BS$17,IF(AND($DK55=0,$DJ55&gt;0),EJ55,EN55)))</f>
        <v>Нет</v>
      </c>
      <c r="DS55" s="70" t="str">
        <f>IF($DR55="Нет","Нет",IF(Исходн.данные.!$AO55&gt;0,VLOOKUP($DR55,АшламаДВ_Irekle,2,FALSE),VLOOKUP($DR55,АшламаДВ_Gomumy,2,FALSE)))</f>
        <v>Нет</v>
      </c>
      <c r="DT55" s="70" t="str">
        <f>IF($DR55="Нет","Нет",IF(Исходн.данные.!$AO55&gt;0,VLOOKUP($DR55,АшламаДВ_Irekle,3,FALSE),VLOOKUP($DR55,АшламаДВ_Gomumy,3,FALSE)))</f>
        <v>Нет</v>
      </c>
      <c r="DU55" s="70" t="str">
        <f>IF($DR55="Нет","Нет",IF(Исходн.данные.!$AO55&gt;0,VLOOKUP($DR55,АшламаДВ_Irekle,4,FALSE),VLOOKUP($DR55,АшламаДВ_Gomumy,4,FALSE)))</f>
        <v>Нет</v>
      </c>
      <c r="DV55" s="70"/>
      <c r="DW55" s="70"/>
      <c r="DX55" s="70"/>
      <c r="DY55" s="10">
        <f t="shared" si="100"/>
        <v>0</v>
      </c>
      <c r="DZ55" s="10">
        <f t="shared" si="101"/>
        <v>0</v>
      </c>
      <c r="EA55" s="10">
        <f t="shared" si="102"/>
        <v>0</v>
      </c>
      <c r="EB55" s="10">
        <f t="shared" si="103"/>
        <v>0</v>
      </c>
      <c r="EC55" s="10">
        <f t="shared" si="104"/>
        <v>0</v>
      </c>
      <c r="ED55" s="10">
        <f t="shared" si="105"/>
        <v>0</v>
      </c>
      <c r="EE55" s="10">
        <f t="shared" si="106"/>
        <v>0</v>
      </c>
      <c r="EF55" s="39">
        <f>EB55*Исходн.данные.!AJ55/1000</f>
        <v>0</v>
      </c>
      <c r="EG55" s="9">
        <f t="shared" si="107"/>
        <v>0</v>
      </c>
      <c r="EH55" s="9">
        <f t="shared" si="108"/>
        <v>0</v>
      </c>
      <c r="EI55" s="39" t="e">
        <f t="shared" si="7"/>
        <v>#DIV/0!</v>
      </c>
      <c r="EJ55" s="9" t="str">
        <f t="shared" si="8"/>
        <v>Азопреципитат</v>
      </c>
      <c r="EK55" s="12">
        <f t="shared" si="9"/>
        <v>0.26</v>
      </c>
      <c r="EL55" s="12">
        <f t="shared" si="10"/>
        <v>0.13</v>
      </c>
      <c r="EM55" s="12">
        <f t="shared" si="11"/>
        <v>0</v>
      </c>
      <c r="EN55" s="12" t="str">
        <f t="shared" si="57"/>
        <v>Нет</v>
      </c>
      <c r="EO55" s="12">
        <f t="shared" si="12"/>
        <v>0</v>
      </c>
      <c r="EP55" s="12">
        <f t="shared" si="13"/>
        <v>0</v>
      </c>
      <c r="EQ55" s="12">
        <f t="shared" si="14"/>
        <v>0</v>
      </c>
      <c r="ER55" s="12" t="str">
        <f t="shared" si="109"/>
        <v>Диаммофоска</v>
      </c>
      <c r="ES55" s="12">
        <f t="shared" si="15"/>
        <v>0.1</v>
      </c>
      <c r="ET55" s="12">
        <f t="shared" si="16"/>
        <v>0.26</v>
      </c>
      <c r="EU55" s="12">
        <f t="shared" si="17"/>
        <v>0.26</v>
      </c>
      <c r="EV55" s="12" t="str">
        <f t="shared" si="110"/>
        <v>Аммофос 12:52:00</v>
      </c>
      <c r="EW55" s="12" t="str">
        <f t="shared" si="111"/>
        <v>Кемира Свекловичное-6</v>
      </c>
      <c r="EX55" s="12">
        <f t="shared" si="18"/>
        <v>0.16</v>
      </c>
      <c r="EY55" s="12">
        <f t="shared" si="19"/>
        <v>0.12</v>
      </c>
      <c r="EZ55" s="12">
        <f t="shared" si="20"/>
        <v>0.17</v>
      </c>
      <c r="FA55" s="38" t="e">
        <f>IF(AND(OR(FJ55=$FD$1,FM55=$FD$1,FO55=$FD$1,FQ55=$FD$1,FS55=$FD$1),FD55=$FD$1,Исходн.данные.!J55&lt;2,FU55=$FD$1),"Бор,Кобальт",IF(AND(FO55=$FD$1,FH55=$FD$1,Исходн.данные.!J55&lt;2,FU55=$FD$1),"Бор,Кобальт",IF(AND(OR(FJ55=$FD$1,FM55=$FD$1,FQ55=$FD$1),FE55=$FD$1,Исходн.данные.!J55&lt;2,FT55=$FD$1,FU55=$FD$1),"Бор,Медь,Цинк",IF(AND(OR(FJ55=$FD$1,FR55="Да"),FI55="Да",Исходн.данные.!J55&lt;2,FT55="Да",FU55="Да"),"Бор,Цинк,Медь",IF(AND(OR(FM55="Да",FQ55="Да"),FI55="Да",Исходн.данные.!J55&lt;2,FT55="Да",FU55="Да"),"Бор,Цинк",IF(AND(FN55="Да",OR(FD55="Да",FE55="Да")),"Бор",FB55))))))</f>
        <v>#N/A</v>
      </c>
      <c r="FB55" s="134" t="e">
        <f>IF(AND(OR(FD55="Да",FE55="Да",FF55="Да",FG55="Да",FH55="Да"),FO55="Да"),"Бор",IF(AND(FP55="Да",OR(FD55="Да",FE55="Да",FI55="Да")),"Бор",IF(AND(FS55="Да",FE55="Да"),"Бор,Медь",IF(AND(OR(FJ55="Да",FK55="Да",FL55="Да"),FE55="Да",Исходн.данные.!I55&lt;5,FT55="Да",FU55="Да"),"Молибден,Цинк",IF(AND(FM55="Да",OR(FE55="Да",FF55="Да",FG55="Да",FH55="Да",FI55="Да")),"Молибден,Цинк",IF(AND(OR(FJ55="Да",FK55="Да",FL55="Да",FM55="Да",FQ55="Да"),OR(FE55="Да",FF55="Да"),FT55="Да",FU55="Да",Исходн.данные.!I55&gt;5.5),"Медь,Цинк",FC55))))))</f>
        <v>#N/A</v>
      </c>
      <c r="FC55" s="23" t="e">
        <f t="shared" si="112"/>
        <v>#N/A</v>
      </c>
      <c r="FD55" s="38" t="str">
        <f>IF(OR(Исходн.данные.!F55=$CC$1,Исходн.данные.!F55=$CC$2,Исходн.данные.!F55=$CC$3,Исходн.данные.!F55=$CC$4),"Да","Нет")</f>
        <v>Нет</v>
      </c>
      <c r="FE55" s="38" t="str">
        <f>IF(Исходн.данные.!F55=$CC$5,"Да","Нет")</f>
        <v>Нет</v>
      </c>
      <c r="FF55" s="38" t="str">
        <f>IF(OR(Исходн.данные.!F55=$CC$6,Исходн.данные.!F55=$CC$7),"Да","Нет")</f>
        <v>Нет</v>
      </c>
      <c r="FG55" s="38" t="str">
        <f>IF(OR(Исходн.данные.!F55=$CC$8,Исходн.данные.!F55=$CC$9),"Да","Нет")</f>
        <v>Нет</v>
      </c>
      <c r="FH55" s="38" t="str">
        <f>IF(Исходн.данные.!F55=$CC$10,"Да","Нет")</f>
        <v>Нет</v>
      </c>
      <c r="FI55" s="38" t="str">
        <f>IF(OR(Исходн.данные.!F55=$CC$11,Исходн.данные.!F55=$CC$12),"Да","Нет")</f>
        <v>Нет</v>
      </c>
      <c r="FJ55" s="38" t="str">
        <f>IF(OR(Исходн.данные.!AH55=$BS$1,Исходн.данные.!AH55=$BQ$11,Исходн.данные.!AH55=$BQ$12),"Да","Нет")</f>
        <v>Нет</v>
      </c>
      <c r="FK55" s="38" t="str">
        <f>IF(OR(Исходн.данные.!AH55=$BS$2,Исходн.данные.!AH55=$BS$4),"Да","Нет")</f>
        <v>Нет</v>
      </c>
      <c r="FL55" s="38" t="str">
        <f>IF(OR(Исходн.данные.!AH55=$BS$3,Исходн.данные.!AH55=$BS$5),"Да","Нет")</f>
        <v>Нет</v>
      </c>
      <c r="FM55" s="38" t="str">
        <f>IF(OR(Исходн.данные.!AH55=$BS$9,Исходн.данные.!AH55=$BS$10,Исходн.данные.!AH55=$BS$11,Исходн.данные.!AH55=$BS$12),"Да","Нет")</f>
        <v>Нет</v>
      </c>
      <c r="FN55" s="38" t="str">
        <f>IF(OR(Исходн.данные.!AH55=$BS$6,Исходн.данные.!AH55=$BP$3),"Да","Нет")</f>
        <v>Нет</v>
      </c>
      <c r="FO55" s="38" t="str">
        <f>IF(Исходн.данные.!AH55=$BQ$9,"Да","Нет")</f>
        <v>Нет</v>
      </c>
      <c r="FP55" s="38" t="str">
        <f>IF(OR(Исходн.данные.!AH55=$BS$8,Исходн.данные.!AH55=$BT$8),"Да","Нет")</f>
        <v>Нет</v>
      </c>
      <c r="FQ55" s="38" t="str">
        <f>IF(OR(Исходн.данные.!AH55=$BQ$7,Исходн.данные.!AH55=$BQ$8),"Да","Нет")</f>
        <v>Нет</v>
      </c>
      <c r="FR55" s="38" t="str">
        <f>IF(Исходн.данные.!AI55=$BU$9,"Да","Нет")</f>
        <v>Нет</v>
      </c>
      <c r="FS55" s="38" t="str">
        <f>IF(OR(Исходн.данные.!AH55=$BP$1,Исходн.данные.!AH55=$BP$2),"Да","Нет")</f>
        <v>Нет</v>
      </c>
      <c r="FT55" s="38" t="e">
        <f>IF((Исходн.данные.!K55*GO55*GS55*GW55+BL55*0.6+Исходн.данные.!Q55*4.5*0.275)&gt;90,"Да","Нет")</f>
        <v>#N/A</v>
      </c>
      <c r="FU55" s="38" t="e">
        <f>IF((Исходн.данные.!M55*GS55*GZ55+BM55*0.225)&gt;35,"Да","Нет")</f>
        <v>#N/A</v>
      </c>
      <c r="FV55" s="38" t="str">
        <f>IF(Исходн.данные.!O55&gt;175,"Да","Нет")</f>
        <v>Нет</v>
      </c>
      <c r="FW55" s="39" t="str">
        <f>IF(Исходн.данные.!I55&gt;5.5,"Да","Нет")</f>
        <v>Нет</v>
      </c>
      <c r="FX55" s="39" t="str">
        <f>IF(Исходн.данные.!J55&lt;2,"Да","Нет")</f>
        <v>Да</v>
      </c>
      <c r="FY55" s="39" t="e">
        <f>IF(HF55=$FY$16,0,Исходн.данные.!K55*GO55*GS55*GW55/HF55)</f>
        <v>#N/A</v>
      </c>
      <c r="FZ55" s="39" t="e">
        <f>Исходн.данные.!M55*GS55*GZ55/HG55</f>
        <v>#N/A</v>
      </c>
      <c r="GA55" s="39" t="e">
        <f>IF(K_Wyn=$FY$16,0,IF(Исходн.данные.!N55=Исходн.данные.!$L$10,Исходн.данные.!O55/1.1*GS55*HC55/HH55,IF(Исходн.данные.!N55=Исходн.данные.!$L$12,Исходн.данные.!O55/1.5*GS55*HC55/HH55,Исходн.данные.!O55*GS55*HC55/HH55)))</f>
        <v>#N/A</v>
      </c>
      <c r="GB55" s="39" t="e">
        <f>IF(HF55=$FY$16,0,((Исходн.данные.!Q55*N_Org+Исходн.данные.!R55*N_Sider+Исходн.данные.!S55*N_Soloma)*AO55+Расчет!BC55*VLOOKUP(Исходн.данные.!T55,Справ!$A$3:$O$57,15)*AO55+BB55*VLOOKUP(Исходн.данные.!T55,Справ!$A$3:$O$57,15)*AL55+(Исходн.данные.!V55*N_Rizotorf+Исходн.данные.!W55*N_Rizoagr))/HF55)</f>
        <v>#N/A</v>
      </c>
      <c r="GC55" s="39" t="e">
        <f>IF(HG55=$FY$16,0,((Исходн.данные.!Q55*Р_Org+Исходн.данные.!R55*P_Sider+Исходн.данные.!S55*P_Soloma)*AP55+Расчет!BC55*VLOOKUP(Исходн.данные.!T55,Справ!$A$3:$P$57,16)*AP55+BB55*VLOOKUP(Исходн.данные.!T55,Справ!$A$3:$P$57,16)*AM55)/HG55)</f>
        <v>#N/A</v>
      </c>
      <c r="GD55" s="39" t="e">
        <f>IF(HH55=$FY$16,0,((Исходн.данные.!Q55*К_Org+Исходн.данные.!R55*K_Sider+Исходн.данные.!S55*K_Soloma)*AQ55+Расчет!BC55*VLOOKUP(Исходн.данные.!T55,Справ!$A$3:$Q$57,17)*AQ55+BB55*VLOOKUP(Исходн.данные.!T55,Справ!$A$3:$Q$57,17)*AN55)/HH55)</f>
        <v>#N/A</v>
      </c>
      <c r="GE55" s="39" t="e">
        <f>IF(HF55=$FY$16,0,(Исходн.данные.!X55*AR55+Исходн.данные.!AA55*N_Org*AL55+Исходн.данные.!AB55*N_Sider*AL55+Исходн.данные.!AC55*N_Soloma*AL55)/HF55)</f>
        <v>#N/A</v>
      </c>
      <c r="GF55" s="39" t="e">
        <f>IF(HG55=$FY$16,0,(Исходн.данные.!Y55*AS55+Исходн.данные.!AA55*Р_Org*AM55+Исходн.данные.!AB55*P_Sider*AM55+Исходн.данные.!AC55*P_Soloma*AM55)/HG55)</f>
        <v>#N/A</v>
      </c>
      <c r="GG55" s="39" t="e">
        <f>IF(HH55=$FY$16,0,(Исходн.данные.!Z55*AT55+Исходн.данные.!AA55*К_Org*AN55+Исходн.данные.!AB55*K_Sider*AN55+Исходн.данные.!AC55*K_Soloma*AN55)/HH55)</f>
        <v>#N/A</v>
      </c>
      <c r="GH55" s="39" t="e">
        <f>Исходн.данные.!AD55*AU55/HF55</f>
        <v>#N/A</v>
      </c>
      <c r="GI55" s="39" t="e">
        <f>Исходн.данные.!AE55*AV55/HG55</f>
        <v>#N/A</v>
      </c>
      <c r="GJ55" s="39" t="e">
        <f>Исходн.данные.!AF55*AW55/HH55</f>
        <v>#N/A</v>
      </c>
      <c r="GK55" s="55">
        <f>Исходн.данные.!AK55</f>
        <v>0</v>
      </c>
      <c r="GL55" s="11" t="e">
        <f t="shared" si="113"/>
        <v>#N/A</v>
      </c>
      <c r="GM55" s="11" t="e">
        <f t="shared" si="114"/>
        <v>#N/A</v>
      </c>
      <c r="GN55" s="11" t="e">
        <f t="shared" si="115"/>
        <v>#N/A</v>
      </c>
      <c r="GO55" s="57">
        <f t="shared" si="116"/>
        <v>19</v>
      </c>
      <c r="GP55" s="55">
        <f>IF(OR(Исходн.данные.!F55=$CE$1,Исходн.данные.!F55=$CE$2,Исходн.данные.!F55=$CE$3,Исходн.данные.!F55=$CE$4,Исходн.данные.!F55=$CE$5),GQ55,GR55)</f>
        <v>19</v>
      </c>
      <c r="GQ55" s="55">
        <f>IF(Исходн.данные.!F55=$CE$1,28,IF(Исходн.данные.!F55=$CE$2,26,IF(Исходн.данные.!F55=$CE$3,24,IF(Исходн.данные.!F55=$CE$4,22,IF(Исходн.данные.!F55=$CE$5,20,GR55)))))</f>
        <v>19</v>
      </c>
      <c r="GR55" s="55">
        <f>IF(Исходн.данные.!F55=$CE$6,18,IF(Исходн.данные.!F55=$CE$7,16,IF(Исходн.данные.!F55=$CE$8,14,IF(Исходн.данные.!F55=$CE$9,13,IF(Исходн.данные.!F55=$CE$10,12,19)))))</f>
        <v>19</v>
      </c>
      <c r="GS55" s="55">
        <f>IF(Исходн.данные.!G55="Пес",0.035*(40+2*Исходн.данные.!H55),IF(Исходн.данные.!G55="Суп",0.0325*(40+2*Исходн.данные.!H55),0.03*(40+2*Исходн.данные.!H55)))</f>
        <v>1.2</v>
      </c>
      <c r="GT55" s="55">
        <f>IF(Исходн.данные.!H55&lt;23,2.6,IF(AND(Исходн.данные.!H55&gt;22,Исходн.данные.!H55&lt;26),3,IF(AND(Исходн.данные.!H55&gt;25,Исходн.данные.!H55&lt;29),3.4,3.6)))</f>
        <v>2.6</v>
      </c>
      <c r="GU55" s="55">
        <f>IF(Исходн.данные.!H55&lt;23,2.8,IF(AND(Исходн.данные.!H55&gt;22,Исходн.данные.!H55&lt;26),3.2,IF(AND(Исходн.данные.!H55&gt;25,Исходн.данные.!H55&lt;29),3.6,3.9)))</f>
        <v>2.8</v>
      </c>
      <c r="GV55" s="55">
        <f>IF(Исходн.данные.!H55&lt;23,3,IF(AND(Исходн.данные.!H55&gt;22,Исходн.данные.!H55&lt;26),3.5,IF(AND(Исходн.данные.!H55&gt;25,Исходн.данные.!H55&lt;29),3.9,4.2)))</f>
        <v>3</v>
      </c>
      <c r="GW55" s="55" t="e">
        <f>IF(Исходн.данные.!P55="Ум",GX55,GY55)</f>
        <v>#N/A</v>
      </c>
      <c r="GX55" s="55" t="e">
        <f>VLOOKUP(Исходн.данные.!AI55,Коэффициенты!$J$7:$L$13,2,FALSE)</f>
        <v>#N/A</v>
      </c>
      <c r="GY55" s="55" t="e">
        <f>VLOOKUP(Исходн.данные.!AI55,Коэффициенты!$J$7:$L$13,3,FALSE)</f>
        <v>#N/A</v>
      </c>
      <c r="GZ55" s="55" t="e">
        <f>(IF(Исходн.данные.!M55&lt;50,0.11*VLOOKUP(Исходн.данные.!AH55,Культуры.Информация,7,FALSE),IF(Исходн.данные.!M55&gt;250,0.05*VLOOKUP(Исходн.данные.!AH55,Культуры.Информация,7,FALSE),VLOOKUP(Исходн.данные.!AH55,Культуры.Информация,5,FALSE)/100*($GX$6+$GY$6*Исходн.данные.!M55))))*Расчет2!AI55</f>
        <v>#N/A</v>
      </c>
      <c r="HA55" s="211"/>
      <c r="HB55" s="211"/>
      <c r="HC55" s="55" t="e">
        <f>(IF(Исходн.данные.!O55&lt;80,0.2*VLOOKUP(Исходн.данные.!AH55,Культуры.Информация,8,FALSE),IF(Исходн.данные.!O55&gt;240,0.09*VLOOKUP(Исходн.данные.!AH55,Культуры.Информация,8,FALSE),VLOOKUP(Исходн.данные.!AH55,Культуры.Информация,6,FALSE)/100*($HB$6+$HC$6*Исходн.данные.!O55))))*Расчет2!AJ55</f>
        <v>#N/A</v>
      </c>
      <c r="HD55" s="55">
        <f>IF(Исходн.данные.!O55&gt;240,0.09,IF(Исходн.данные.!O55&lt;30,0.3,$HE$10+$HD$10*Исходн.данные.!O55))</f>
        <v>0.3</v>
      </c>
      <c r="HE55" s="55">
        <f>IF(Исходн.данные.!O55&gt;240,0.17,IF(Исходн.данные.!O55&lt;30,0.5,$HF$12+$HE$12*Исходн.данные.!O55))</f>
        <v>0.5</v>
      </c>
      <c r="HF55" s="55" t="e">
        <f>VLOOKUP(Исходн.данные.!AH55,Справ!$A$3:$D$58,2,FALSE)</f>
        <v>#N/A</v>
      </c>
      <c r="HG55" s="55" t="e">
        <f>VLOOKUP(Исходн.данные.!AH55,Справ!$A$3:$D$58,3,FALSE)</f>
        <v>#N/A</v>
      </c>
      <c r="HH55" s="55" t="e">
        <f>VLOOKUP(Исходн.данные.!AH55,Справ!$A$3:$D$58,4,FALSE)</f>
        <v>#N/A</v>
      </c>
      <c r="HI55" s="11" t="e">
        <f t="shared" si="117"/>
        <v>#N/A</v>
      </c>
      <c r="HJ55" s="11" t="e">
        <f t="shared" si="118"/>
        <v>#N/A</v>
      </c>
      <c r="HK55" s="11" t="e">
        <f t="shared" si="119"/>
        <v>#N/A</v>
      </c>
      <c r="HL55" s="55">
        <f>IF(OR(Исходн.данные.!G55="Глин",Исходн.данные.!G55="Т_суг"),1.1,IF(Исходн.данные.!G55="Ср_суг",1,1))</f>
        <v>1</v>
      </c>
      <c r="HM55" s="55">
        <f>IF(OR(Исходн.данные.!G55="Глин",Исходн.данные.!G55="Т_суг"),0.9,IF(Исходн.данные.!G55="Ср_суг",1,1.2))</f>
        <v>1.2</v>
      </c>
      <c r="HN55" s="11" t="e">
        <f t="shared" si="120"/>
        <v>#N/A</v>
      </c>
      <c r="HO55" s="11" t="e">
        <f t="shared" si="121"/>
        <v>#N/A</v>
      </c>
      <c r="HP55" s="11" t="e">
        <f t="shared" si="122"/>
        <v>#N/A</v>
      </c>
      <c r="HQ55" t="e">
        <f t="shared" si="123"/>
        <v>#N/A</v>
      </c>
      <c r="HR55" t="e">
        <f t="shared" si="124"/>
        <v>#N/A</v>
      </c>
      <c r="HS55" t="e">
        <f t="shared" si="125"/>
        <v>#N/A</v>
      </c>
      <c r="HT55" t="e">
        <f t="shared" si="21"/>
        <v>#N/A</v>
      </c>
      <c r="HU55" t="e">
        <f t="shared" si="22"/>
        <v>#N/A</v>
      </c>
      <c r="HV55" t="e">
        <f t="shared" si="23"/>
        <v>#N/A</v>
      </c>
      <c r="HW55" t="e">
        <f t="shared" si="24"/>
        <v>#N/A</v>
      </c>
      <c r="HX55" t="e">
        <f t="shared" si="25"/>
        <v>#N/A</v>
      </c>
      <c r="HY55" t="e">
        <f t="shared" si="26"/>
        <v>#N/A</v>
      </c>
      <c r="HZ55" s="55">
        <f>IF(OR(Исходн.данные.!AI55="Оз_Ч_П",Исходн.данные.!AI55="Оз_З_П",Исходн.данные.!AI55="Яр_зер"),12,30)</f>
        <v>30</v>
      </c>
      <c r="IA55" t="e">
        <f t="shared" si="126"/>
        <v>#N/A</v>
      </c>
      <c r="IB55" t="e">
        <f t="shared" si="127"/>
        <v>#N/A</v>
      </c>
      <c r="IC55" t="e">
        <f t="shared" si="128"/>
        <v>#N/A</v>
      </c>
      <c r="ID55" s="11" t="e">
        <f t="shared" si="129"/>
        <v>#N/A</v>
      </c>
      <c r="IE55" s="11" t="e">
        <f t="shared" si="130"/>
        <v>#N/A</v>
      </c>
      <c r="IF55" s="11" t="e">
        <f t="shared" si="131"/>
        <v>#N/A</v>
      </c>
    </row>
    <row r="56" spans="35:240" x14ac:dyDescent="0.2">
      <c r="AI56">
        <f>IF(Исходн.данные.!I56&gt;6,1,1.85-(0.148*Исходн.данные.!I56))</f>
        <v>1.85</v>
      </c>
      <c r="AJ56">
        <f>IF(Исходн.данные.!I56&gt;6,1,2.434-(0.246*Исходн.данные.!I56))</f>
        <v>2.4340000000000002</v>
      </c>
      <c r="AL56" s="148" t="b">
        <f>IF(Исходн.данные.!$P56="Ум",N_OrgUd_2g_um,IF(Исходн.данные.!$P56="Об",N_OrgUd_2g_ob))</f>
        <v>0</v>
      </c>
      <c r="AM56" s="148" t="b">
        <f>IF(Исходн.данные.!$P56="Ум",P_OrgUd_2g_um,IF(Исходн.данные.!$P56="Об",P_OrgUd_2g_ob))</f>
        <v>0</v>
      </c>
      <c r="AN56" s="148" t="b">
        <f>IF(Исходн.данные.!$P56="Ум",K_OrgUd_2g_um,IF(Исходн.данные.!$P56="Об",K_OrgUd_2g_ob))</f>
        <v>0</v>
      </c>
      <c r="AO56" s="148" t="b">
        <f>IF(Исходн.данные.!$P56="Ум",N_OrgUd_1g_um,IF(Исходн.данные.!$P56="Об",N_OrgUd_1g_ob))</f>
        <v>0</v>
      </c>
      <c r="AP56" s="148" t="b">
        <f>IF(Исходн.данные.!$P56="Ум",P_OrgUd_1g_um,IF(Исходн.данные.!$P56="Об",P_OrgUd_1g_ob))</f>
        <v>0</v>
      </c>
      <c r="AQ56" s="148" t="b">
        <f>IF(Исходн.данные.!$P56="Ум",K_OrgUd_1g_um,IF(Исходн.данные.!$P56="Об",K_OrgUd_1g_ob))</f>
        <v>0</v>
      </c>
      <c r="AR56" t="b">
        <f>IF(Исходн.данные.!$P56="Ум",N_MinUd_2g_um,IF(Исходн.данные.!$P56="Об",N_MinUd_2g_ob))</f>
        <v>0</v>
      </c>
      <c r="AS56" t="b">
        <f>IF(Исходн.данные.!$P56="Ум",P_MinUd_2g_um,IF(Исходн.данные.!$P56="Об",P_MinUd_2g_ob))</f>
        <v>0</v>
      </c>
      <c r="AT56" t="b">
        <f>IF(Исходн.данные.!$P56="Ум",K_MinUd_2g_um,IF(Исходн.данные.!$P56="Об",K_MinUd_2g_ob))</f>
        <v>0</v>
      </c>
      <c r="AU56" t="b">
        <f>IF(Исходн.данные.!$P56="Ум",N_MinUd_1g_um,IF(Исходн.данные.!$P56="Об",N_MinUd_1g_ob))</f>
        <v>0</v>
      </c>
      <c r="AV56" t="b">
        <f>IF(Исходн.данные.!P56="Ум",P_MinUd_1g_um,IF(Исходн.данные.!P56="Об",P_MinUd_1g_ob))</f>
        <v>0</v>
      </c>
      <c r="AW56" t="b">
        <f>IF(Исходн.данные.!P56="Ум",K_MinUd_1g_um,IF(Исходн.данные.!P56="Об",K_MinUd_1g_ob))</f>
        <v>0</v>
      </c>
      <c r="AY56" t="e">
        <f>VLOOKUP(Исходн.данные.!T56,Справ!$A$3:$N$57,12)</f>
        <v>#N/A</v>
      </c>
      <c r="AZ56" t="e">
        <f>VLOOKUP(Исходн.данные.!T56,Справ!$A$3:$N$57,13)</f>
        <v>#N/A</v>
      </c>
      <c r="BA56" t="e">
        <f>VLOOKUP(Исходн.данные.!T56,Справ!$A$3:$N$57,14)</f>
        <v>#N/A</v>
      </c>
      <c r="BB56">
        <f>IF(Исходн.данные.!AH56=0,0,25)</f>
        <v>0</v>
      </c>
      <c r="BC56" s="141">
        <f>IF(Исходн.данные.!AH56=0,0,IF(Исходн.данные.!T56=0,25,BD56))</f>
        <v>0</v>
      </c>
      <c r="BD56" s="168" t="e">
        <f>AY56+AZ56*Исходн.данные.!U56-POWER(BA56,2)*Исходн.данные.!U56</f>
        <v>#N/A</v>
      </c>
      <c r="BE5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6" s="25">
        <f>IF(Исходн.данные.!AH56=0,0,MIN(HN56:HP56))</f>
        <v>0</v>
      </c>
      <c r="BG56" s="9">
        <f>IF(Исходн.данные.!AH56=0,0,IF((HO56+10*0.25/HG56/HL56)&lt;17,17,HO56+10*0.25/HG56/HL56))</f>
        <v>0</v>
      </c>
      <c r="BH56" s="181">
        <f>IF(Исходн.данные.!AH56=0,0,HW56*HF56*HL56/AU56*AI56+Исходн.данные.!S56*10)</f>
        <v>0</v>
      </c>
      <c r="BI56" s="10"/>
      <c r="BJ56" s="182">
        <f>IF(Исходн.данные.!AH56=0,0,IF(HX56*HG56*HL56/AV56&lt;0,0,HX56*HG56*HL56/AV56*AJ56))</f>
        <v>0</v>
      </c>
      <c r="BK56" s="182">
        <f>IF(Исходн.данные.!AH56=0,0,HY56*HH56*HM56/AW56)</f>
        <v>0</v>
      </c>
      <c r="BL56" s="10">
        <f>IF(OR(Исходн.данные.!$AH56=$BP$1,Исходн.данные.!$AH56=$BP$2),0,IF(BH56&lt;0,0,IF(OR(Исходн.данные.!T56=Расчет!$BP$1,Исходн.данные.!T56=Расчет!$BP$2,Исходн.данные.!T56=Расчет!$BT$5,Исходн.данные.!T56=Расчет!$BT$6),BH56*0.5,IF(OR(Исходн.данные.!T56=Расчет!$BS$9,Исходн.данные.!T56=Расчет!$BS$10,Исходн.данные.!T56=Расчет!$BS$11,Исходн.данные.!T56=Расчет!$BS$12,Исходн.данные.!T56=Расчет!$BP$5),BH56*0.8,BH56))))</f>
        <v>0</v>
      </c>
      <c r="BM56" s="10">
        <f>IF(OR(Исходн.данные.!$AH56=$BP$1,Исходн.данные.!$AH56=$BP$2),0,IF(BJ56&lt;0,0,IF(Исходн.данные.!I56&lt;4.5,BJ56*1.2,IF(Исходн.данные.!I56&gt;5.1,BJ56,BJ56*((5.1-Исходн.данные.!I56)*0.333+1)))))</f>
        <v>0</v>
      </c>
      <c r="BN56" s="10">
        <f>IF(OR(Исходн.данные.!$AH56=$BP$1,Исходн.данные.!$AH56=$BP$2),60-Исходн.данные.!AF56,IF(BK56&lt;0,0,IF(Исходн.данные.!I56&lt;4.5,BK56*1.2,IF(Исходн.данные.!I56&gt;5.1,BK56,BK56*((5.1-Исходн.данные.!I56)*0.333+1)))))</f>
        <v>0</v>
      </c>
      <c r="BO56" s="9">
        <f>IF(BL56&lt;0,0,BL56*Исходн.данные.!$AJ56/1000)</f>
        <v>0</v>
      </c>
      <c r="BP56" s="9">
        <f>IF(BM56&lt;0,0,BM56*Исходн.данные.!$AJ56/1000)</f>
        <v>0</v>
      </c>
      <c r="BQ56" s="9">
        <f>IF(BN56&lt;0,0,BN56*Исходн.данные.!$AJ56/1000)</f>
        <v>0</v>
      </c>
      <c r="BR56" s="9">
        <f t="shared" si="81"/>
        <v>0</v>
      </c>
      <c r="BS56" s="10" t="str">
        <f t="shared" si="82"/>
        <v>Аммофос 12:52:00</v>
      </c>
      <c r="BT56" s="10" t="str">
        <f t="shared" si="83"/>
        <v>Аммофос 12:52:00</v>
      </c>
      <c r="BU56" s="10" t="str">
        <f t="shared" si="84"/>
        <v>Диаммофоска</v>
      </c>
      <c r="BV56" s="10">
        <f t="shared" si="85"/>
        <v>0</v>
      </c>
      <c r="BW56" s="10"/>
      <c r="BX56" s="10"/>
      <c r="BY56" s="9">
        <f>IF(BL56&lt;0,0,IF(OR(Исходн.данные.!AI56=Расчет!$BU$6,Исходн.данные.!AI56=Расчет!$BU$7),Расчет!BV56,IF(Исходн.данные.!$AG56=$BV$11,BL56,IF(OR(Исходн.данные.!$AH56=$BQ$7,Исходн.данные.!$AH56=$BQ$8),CB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0,IF(Исходн.данные.!$AI56=$BU$11,"Нет",IF(BL56&gt;30,30,BL56)))))))</f>
        <v>0</v>
      </c>
      <c r="BZ56" s="9">
        <f>IF(AND(Исходн.данные.!$AG56=$BV$11,BM56&lt;10),10,IF(Исходн.данные.!$AG56=$BV$11,BM56,IF(OR(Исходн.данные.!$AH56=$BQ$7,Исходн.данные.!$AH56=$BQ$8),CC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10,IF(Исходн.данные.!$AI56=$BU$11,"Нет",IF(BM56&gt;60,60,IF(BM56&lt;10,10,BM56)))))))</f>
        <v>10</v>
      </c>
      <c r="CA56" s="39">
        <f>IF(BN56&lt;0,0,IF(Исходн.данные.!$AG56=$BV$11,BN56,IF(OR(Исходн.данные.!$AH56=$BQ$7,Исходн.данные.!$AH56=$BQ$8),CD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0,IF(Исходн.данные.!$AI56=$BU$11,"Нет",IF(BN56&gt;30,30,BN56))))))</f>
        <v>0</v>
      </c>
      <c r="CB56" s="9">
        <f t="shared" si="86"/>
        <v>0</v>
      </c>
      <c r="CC56" s="9">
        <f t="shared" si="87"/>
        <v>0</v>
      </c>
      <c r="CD56" s="9">
        <f t="shared" si="88"/>
        <v>0</v>
      </c>
      <c r="CE56" s="12">
        <f t="shared" si="89"/>
        <v>10</v>
      </c>
      <c r="CF56" s="9">
        <f t="shared" si="90"/>
        <v>0</v>
      </c>
      <c r="CG56" s="9" t="s">
        <v>231</v>
      </c>
      <c r="CH56" s="132" t="str">
        <f>IF(Исходн.данные.!AP56=Расчет!$CI$16,"Нет",IF(Исходн.данные.!AL56&gt;0,Исходн.данные.!AL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BH$4,IF(OR(Исходн.данные.!AI56=Исходн.данные.!$AI$6,Исходн.данные.!AI56=Исходн.данные.!$AI$7),Расчет!BS56,IF(AND($CF56=0,$CE56&gt;0),EV56,ER56)))))</f>
        <v>Аммофос 12:52:00</v>
      </c>
      <c r="CI56" s="274">
        <f>IF(Расчет!$CH56="Нет","Нет",IF(Исходн.данные.!$AL56&gt;0,VLOOKUP(Расчет!$CH56,АшламаДВ_Irekle,2,FALSE),VLOOKUP(Расчет!$CH56,АшламаДВ_Gomumy,2,FALSE)))</f>
        <v>0.12</v>
      </c>
      <c r="CJ56" s="274">
        <f>IF(Расчет!$CH56="Нет","Нет",IF(Исходн.данные.!$AL56&gt;0,VLOOKUP(Расчет!$CH56,АшламаДВ_Irekle,3,FALSE),VLOOKUP(Расчет!$CH56,АшламаДВ_Gomumy,3,FALSE)))</f>
        <v>0.52</v>
      </c>
      <c r="CK56" s="274">
        <f>IF(Расчет!$CH56="Нет","Нет",IF(Исходн.данные.!$AL56&gt;0,VLOOKUP(Расчет!$CH56,АшламаДВ_Irekle,4,FALSE),VLOOKUP(Расчет!$CH56,АшламаДВ_Gomumy,4,FALSE)))</f>
        <v>0</v>
      </c>
      <c r="CL56" s="70"/>
      <c r="CM56" s="70"/>
      <c r="CN56" s="70"/>
      <c r="CO56" s="70"/>
      <c r="CP56" s="70"/>
      <c r="CQ56" s="70"/>
      <c r="CR56" s="10">
        <f t="shared" si="91"/>
        <v>0</v>
      </c>
      <c r="CS56" s="10">
        <f t="shared" si="92"/>
        <v>19.23076923076923</v>
      </c>
      <c r="CT56" s="10">
        <f t="shared" si="93"/>
        <v>0</v>
      </c>
      <c r="CU56" s="39">
        <f>IF($CH56="Нет",0,IF(CI56=0,30/MIN(CJ56:CK56),IF(Исходн.данные.!$AG56=$BV$11,CR56,IF(OR(Исходн.данные.!$AH56=$BQ$7,Исходн.данные.!$AH56=$BQ$8),90/CI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0,IF(Исходн.данные.!$AI56=$BU$11,"Нет",30/CI56))))))</f>
        <v>250</v>
      </c>
      <c r="CV56" s="39">
        <f>IF($CH56="Нет",0,IF(Исходн.данные.!AH56=0,0,IF(CJ56=0,60/MIN(CI56,CK56),IF(Исходн.данные.!$AG56=$BV$11,CS56,IF(OR(Исходн.данные.!$AH56=$BQ$7,Исходн.данные.!$AH56=$BQ$8),90/CJ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10/CJ56,IF(Исходн.данные.!$AI56=$BU$11,"Нет",60/CJ56)))))))</f>
        <v>0</v>
      </c>
      <c r="CW56" s="39">
        <f>IF($CH56="Нет",0,IF(Исходн.данные.!AH56=0,0,IF(CK56=0,30/MIN(CI56:CJ56),IF(Исходн.данные.!$AG56=$BV$11,CT56,IF(OR(Исходн.данные.!$AH56=$BQ$7,Исходн.данные.!$AH56=$BQ$8),90/CK56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0,IF(Исходн.данные.!$AI56=$BU$11,"Нет",30/CK56)))))))</f>
        <v>0</v>
      </c>
      <c r="CX56" s="133">
        <f>IF(Исходн.данные.!$AG56=$BV$11,MAX(CU56:CW56),IF(OR(Исходн.данные.!$AH56=$BS$8,Исходн.данные.!$AH56=$BQ$9,Исходн.данные.!$AH56=$BQ$10,Исходн.данные.!$AH56=$BQ$11,Исходн.данные.!$AH56=$BQ$12,Исходн.данные.!$AH56=$BP$3,Исходн.данные.!$AH56=$BT$8,$FM56="Да"),CV56,MIN(CU56:CW56)))</f>
        <v>0</v>
      </c>
      <c r="CY56" s="133">
        <f>IF(Исходн.данные.!AH56=0,0,IF(CR56&gt;$CX56,$CX56,CR56))</f>
        <v>0</v>
      </c>
      <c r="CZ56" s="133">
        <f>IF(Исходн.данные.!AH56=0,0,IF(CS56&gt;$CX56,$CX56,CS56))</f>
        <v>0</v>
      </c>
      <c r="DA56" s="133">
        <f>IF(Исходн.данные.!AH56=0,0,IF(CT56&gt;$CX56,$CX56,CT56))</f>
        <v>0</v>
      </c>
      <c r="DB56" s="10">
        <f t="shared" si="94"/>
        <v>0</v>
      </c>
      <c r="DC56" s="39">
        <f>DB56*Исходн.данные.!AJ56/1000</f>
        <v>0</v>
      </c>
      <c r="DD56" s="71">
        <f t="shared" si="95"/>
        <v>0</v>
      </c>
      <c r="DE56" s="9">
        <f t="shared" si="96"/>
        <v>0</v>
      </c>
      <c r="DF56" s="9">
        <f t="shared" si="97"/>
        <v>0</v>
      </c>
      <c r="DG56" s="39">
        <f>IF(BL56&lt;0,0,IF($CH56="Нет",BL56,IF(OR(Исходн.данные.!$AH56=$BP$1,Исходн.данные.!$AH56=$BP$2),0,IF(Исходн.данные.!AI56=$BU$11,BL56,IF(BL56-DD56&lt;0,0,BL56-DD56)))))</f>
        <v>0</v>
      </c>
      <c r="DH56" s="39">
        <f>IF(BM56&lt;0,0,IF($CH56="Нет",BM56,IF(OR(Исходн.данные.!$AH56=$BP$1,Исходн.данные.!$AH56=$BP$2),0,IF(Исходн.данные.!AJ56=$BU$11,BM56,IF(BM56-DE56&lt;0,0,BM56-DE56)))))</f>
        <v>0</v>
      </c>
      <c r="DI56" s="39">
        <f>IF(BN56&lt;0,0,IF($CH56="Нет",BN56,IF(OR(Исходн.данные.!$AH56=$BP$1,Исходн.данные.!$AH56=$BP$2),0,IF(Исходн.данные.!AK56=$BU$11,BN56,IF(BN56-DF56&lt;0,0,BN56-DF56)))))</f>
        <v>0</v>
      </c>
      <c r="DJ56" s="12">
        <f t="shared" si="98"/>
        <v>0</v>
      </c>
      <c r="DK56" s="9">
        <f t="shared" si="99"/>
        <v>0</v>
      </c>
      <c r="DL56" s="39">
        <f>IF(Исходн.данные.!AM56&gt;0,Исходн.данные.!AM56,IF(EG56&gt;0,$BH$10,0))</f>
        <v>0</v>
      </c>
      <c r="DM56" s="186">
        <f>IF($DL56=0,0,IF(Исходн.данные.!AM56&gt;0,VLOOKUP($DL56,АшламаДВ_Irekle,2,FALSE),VLOOKUP($DL56,АшламаДВ_Gomumy,2,FALSE)))</f>
        <v>0</v>
      </c>
      <c r="DN56" s="10">
        <f t="shared" si="46"/>
        <v>0</v>
      </c>
      <c r="DO56" s="9" t="str">
        <f>IF(Исходн.данные.!AN56&gt;0,Исходн.данные.!AN56,Удобрения!$B$37 )</f>
        <v>Хлор.калий</v>
      </c>
      <c r="DP56" s="9">
        <f>IF(Исходн.данные.!AN56&gt;0,VLOOKUP(Исходн.данные.!AN56,АшламаДВ_Irekle,4,FALSE),VLOOKUP(DO56,АшламаДВ_Gomumy,4,FALSE))</f>
        <v>0.6</v>
      </c>
      <c r="DQ56" s="10">
        <f t="shared" si="47"/>
        <v>0</v>
      </c>
      <c r="DR56" s="132" t="str">
        <f>IF(Исходн.данные.!AO56&gt;0,Исходн.данные.!AO56,IF(DH56=0,BS$17,IF(AND($DK56=0,$DJ56&gt;0),EJ56,EN56)))</f>
        <v>Нет</v>
      </c>
      <c r="DS56" s="70" t="str">
        <f>IF($DR56="Нет","Нет",IF(Исходн.данные.!$AO56&gt;0,VLOOKUP($DR56,АшламаДВ_Irekle,2,FALSE),VLOOKUP($DR56,АшламаДВ_Gomumy,2,FALSE)))</f>
        <v>Нет</v>
      </c>
      <c r="DT56" s="70" t="str">
        <f>IF($DR56="Нет","Нет",IF(Исходн.данные.!$AO56&gt;0,VLOOKUP($DR56,АшламаДВ_Irekle,3,FALSE),VLOOKUP($DR56,АшламаДВ_Gomumy,3,FALSE)))</f>
        <v>Нет</v>
      </c>
      <c r="DU56" s="70" t="str">
        <f>IF($DR56="Нет","Нет",IF(Исходн.данные.!$AO56&gt;0,VLOOKUP($DR56,АшламаДВ_Irekle,4,FALSE),VLOOKUP($DR56,АшламаДВ_Gomumy,4,FALSE)))</f>
        <v>Нет</v>
      </c>
      <c r="DV56" s="70"/>
      <c r="DW56" s="70"/>
      <c r="DX56" s="70"/>
      <c r="DY56" s="10">
        <f t="shared" si="100"/>
        <v>0</v>
      </c>
      <c r="DZ56" s="10">
        <f t="shared" si="101"/>
        <v>0</v>
      </c>
      <c r="EA56" s="10">
        <f t="shared" si="102"/>
        <v>0</v>
      </c>
      <c r="EB56" s="10">
        <f t="shared" si="103"/>
        <v>0</v>
      </c>
      <c r="EC56" s="10">
        <f t="shared" si="104"/>
        <v>0</v>
      </c>
      <c r="ED56" s="10">
        <f t="shared" si="105"/>
        <v>0</v>
      </c>
      <c r="EE56" s="10">
        <f t="shared" si="106"/>
        <v>0</v>
      </c>
      <c r="EF56" s="39">
        <f>EB56*Исходн.данные.!AJ56/1000</f>
        <v>0</v>
      </c>
      <c r="EG56" s="9">
        <f t="shared" si="107"/>
        <v>0</v>
      </c>
      <c r="EH56" s="9">
        <f t="shared" si="108"/>
        <v>0</v>
      </c>
      <c r="EI56" s="39" t="e">
        <f t="shared" si="7"/>
        <v>#DIV/0!</v>
      </c>
      <c r="EJ56" s="9" t="str">
        <f t="shared" si="8"/>
        <v>Азопреципитат</v>
      </c>
      <c r="EK56" s="12">
        <f t="shared" si="9"/>
        <v>0.26</v>
      </c>
      <c r="EL56" s="12">
        <f t="shared" si="10"/>
        <v>0.13</v>
      </c>
      <c r="EM56" s="12">
        <f t="shared" si="11"/>
        <v>0</v>
      </c>
      <c r="EN56" s="12" t="str">
        <f t="shared" si="57"/>
        <v>Нет</v>
      </c>
      <c r="EO56" s="12">
        <f t="shared" si="12"/>
        <v>0</v>
      </c>
      <c r="EP56" s="12">
        <f t="shared" si="13"/>
        <v>0</v>
      </c>
      <c r="EQ56" s="12">
        <f t="shared" si="14"/>
        <v>0</v>
      </c>
      <c r="ER56" s="12" t="str">
        <f t="shared" si="109"/>
        <v>Диаммофоска</v>
      </c>
      <c r="ES56" s="12">
        <f t="shared" si="15"/>
        <v>0.1</v>
      </c>
      <c r="ET56" s="12">
        <f t="shared" si="16"/>
        <v>0.26</v>
      </c>
      <c r="EU56" s="12">
        <f t="shared" si="17"/>
        <v>0.26</v>
      </c>
      <c r="EV56" s="12" t="str">
        <f t="shared" si="110"/>
        <v>Аммофос 12:52:00</v>
      </c>
      <c r="EW56" s="12" t="str">
        <f t="shared" si="111"/>
        <v>Кемира Свекловичное-6</v>
      </c>
      <c r="EX56" s="12">
        <f t="shared" si="18"/>
        <v>0.16</v>
      </c>
      <c r="EY56" s="12">
        <f t="shared" si="19"/>
        <v>0.12</v>
      </c>
      <c r="EZ56" s="12">
        <f t="shared" si="20"/>
        <v>0.17</v>
      </c>
      <c r="FA56" s="38" t="e">
        <f>IF(AND(OR(FJ56=$FD$1,FM56=$FD$1,FO56=$FD$1,FQ56=$FD$1,FS56=$FD$1),FD56=$FD$1,Исходн.данные.!J56&lt;2,FU56=$FD$1),"Бор,Кобальт",IF(AND(FO56=$FD$1,FH56=$FD$1,Исходн.данные.!J56&lt;2,FU56=$FD$1),"Бор,Кобальт",IF(AND(OR(FJ56=$FD$1,FM56=$FD$1,FQ56=$FD$1),FE56=$FD$1,Исходн.данные.!J56&lt;2,FT56=$FD$1,FU56=$FD$1),"Бор,Медь,Цинк",IF(AND(OR(FJ56=$FD$1,FR56="Да"),FI56="Да",Исходн.данные.!J56&lt;2,FT56="Да",FU56="Да"),"Бор,Цинк,Медь",IF(AND(OR(FM56="Да",FQ56="Да"),FI56="Да",Исходн.данные.!J56&lt;2,FT56="Да",FU56="Да"),"Бор,Цинк",IF(AND(FN56="Да",OR(FD56="Да",FE56="Да")),"Бор",FB56))))))</f>
        <v>#N/A</v>
      </c>
      <c r="FB56" s="134" t="e">
        <f>IF(AND(OR(FD56="Да",FE56="Да",FF56="Да",FG56="Да",FH56="Да"),FO56="Да"),"Бор",IF(AND(FP56="Да",OR(FD56="Да",FE56="Да",FI56="Да")),"Бор",IF(AND(FS56="Да",FE56="Да"),"Бор,Медь",IF(AND(OR(FJ56="Да",FK56="Да",FL56="Да"),FE56="Да",Исходн.данные.!I56&lt;5,FT56="Да",FU56="Да"),"Молибден,Цинк",IF(AND(FM56="Да",OR(FE56="Да",FF56="Да",FG56="Да",FH56="Да",FI56="Да")),"Молибден,Цинк",IF(AND(OR(FJ56="Да",FK56="Да",FL56="Да",FM56="Да",FQ56="Да"),OR(FE56="Да",FF56="Да"),FT56="Да",FU56="Да",Исходн.данные.!I56&gt;5.5),"Медь,Цинк",FC56))))))</f>
        <v>#N/A</v>
      </c>
      <c r="FC56" s="23" t="e">
        <f t="shared" si="112"/>
        <v>#N/A</v>
      </c>
      <c r="FD56" s="38" t="str">
        <f>IF(OR(Исходн.данные.!F56=$CC$1,Исходн.данные.!F56=$CC$2,Исходн.данные.!F56=$CC$3,Исходн.данные.!F56=$CC$4),"Да","Нет")</f>
        <v>Нет</v>
      </c>
      <c r="FE56" s="38" t="str">
        <f>IF(Исходн.данные.!F56=$CC$5,"Да","Нет")</f>
        <v>Нет</v>
      </c>
      <c r="FF56" s="38" t="str">
        <f>IF(OR(Исходн.данные.!F56=$CC$6,Исходн.данные.!F56=$CC$7),"Да","Нет")</f>
        <v>Нет</v>
      </c>
      <c r="FG56" s="38" t="str">
        <f>IF(OR(Исходн.данные.!F56=$CC$8,Исходн.данные.!F56=$CC$9),"Да","Нет")</f>
        <v>Нет</v>
      </c>
      <c r="FH56" s="38" t="str">
        <f>IF(Исходн.данные.!F56=$CC$10,"Да","Нет")</f>
        <v>Нет</v>
      </c>
      <c r="FI56" s="38" t="str">
        <f>IF(OR(Исходн.данные.!F56=$CC$11,Исходн.данные.!F56=$CC$12),"Да","Нет")</f>
        <v>Нет</v>
      </c>
      <c r="FJ56" s="38" t="str">
        <f>IF(OR(Исходн.данные.!AH56=$BS$1,Исходн.данные.!AH56=$BQ$11,Исходн.данные.!AH56=$BQ$12),"Да","Нет")</f>
        <v>Нет</v>
      </c>
      <c r="FK56" s="38" t="str">
        <f>IF(OR(Исходн.данные.!AH56=$BS$2,Исходн.данные.!AH56=$BS$4),"Да","Нет")</f>
        <v>Нет</v>
      </c>
      <c r="FL56" s="38" t="str">
        <f>IF(OR(Исходн.данные.!AH56=$BS$3,Исходн.данные.!AH56=$BS$5),"Да","Нет")</f>
        <v>Нет</v>
      </c>
      <c r="FM56" s="38" t="str">
        <f>IF(OR(Исходн.данные.!AH56=$BS$9,Исходн.данные.!AH56=$BS$10,Исходн.данные.!AH56=$BS$11,Исходн.данные.!AH56=$BS$12),"Да","Нет")</f>
        <v>Нет</v>
      </c>
      <c r="FN56" s="38" t="str">
        <f>IF(OR(Исходн.данные.!AH56=$BS$6,Исходн.данные.!AH56=$BP$3),"Да","Нет")</f>
        <v>Нет</v>
      </c>
      <c r="FO56" s="38" t="str">
        <f>IF(Исходн.данные.!AH56=$BQ$9,"Да","Нет")</f>
        <v>Нет</v>
      </c>
      <c r="FP56" s="38" t="str">
        <f>IF(OR(Исходн.данные.!AH56=$BS$8,Исходн.данные.!AH56=$BT$8),"Да","Нет")</f>
        <v>Нет</v>
      </c>
      <c r="FQ56" s="38" t="str">
        <f>IF(OR(Исходн.данные.!AH56=$BQ$7,Исходн.данные.!AH56=$BQ$8),"Да","Нет")</f>
        <v>Нет</v>
      </c>
      <c r="FR56" s="38" t="str">
        <f>IF(Исходн.данные.!AI56=$BU$9,"Да","Нет")</f>
        <v>Нет</v>
      </c>
      <c r="FS56" s="38" t="str">
        <f>IF(OR(Исходн.данные.!AH56=$BP$1,Исходн.данные.!AH56=$BP$2),"Да","Нет")</f>
        <v>Нет</v>
      </c>
      <c r="FT56" s="38" t="e">
        <f>IF((Исходн.данные.!K56*GO56*GS56*GW56+BL56*0.6+Исходн.данные.!Q56*4.5*0.275)&gt;90,"Да","Нет")</f>
        <v>#N/A</v>
      </c>
      <c r="FU56" s="38" t="e">
        <f>IF((Исходн.данные.!M56*GS56*GZ56+BM56*0.225)&gt;35,"Да","Нет")</f>
        <v>#N/A</v>
      </c>
      <c r="FV56" s="38" t="str">
        <f>IF(Исходн.данные.!O56&gt;175,"Да","Нет")</f>
        <v>Нет</v>
      </c>
      <c r="FW56" s="39" t="str">
        <f>IF(Исходн.данные.!I56&gt;5.5,"Да","Нет")</f>
        <v>Нет</v>
      </c>
      <c r="FX56" s="39" t="str">
        <f>IF(Исходн.данные.!J56&lt;2,"Да","Нет")</f>
        <v>Да</v>
      </c>
      <c r="FY56" s="39" t="e">
        <f>IF(HF56=$FY$16,0,Исходн.данные.!K56*GO56*GS56*GW56/HF56)</f>
        <v>#N/A</v>
      </c>
      <c r="FZ56" s="39" t="e">
        <f>Исходн.данные.!M56*GS56*GZ56/HG56</f>
        <v>#N/A</v>
      </c>
      <c r="GA56" s="39" t="e">
        <f>IF(K_Wyn=$FY$16,0,IF(Исходн.данные.!N56=Исходн.данные.!$L$10,Исходн.данные.!O56/1.1*GS56*HC56/HH56,IF(Исходн.данные.!N56=Исходн.данные.!$L$12,Исходн.данные.!O56/1.5*GS56*HC56/HH56,Исходн.данные.!O56*GS56*HC56/HH56)))</f>
        <v>#N/A</v>
      </c>
      <c r="GB56" s="39" t="e">
        <f>IF(HF56=$FY$16,0,((Исходн.данные.!Q56*N_Org+Исходн.данные.!R56*N_Sider+Исходн.данные.!S56*N_Soloma)*AO56+Расчет!BC56*VLOOKUP(Исходн.данные.!T56,Справ!$A$3:$O$57,15)*AO56+BB56*VLOOKUP(Исходн.данные.!T56,Справ!$A$3:$O$57,15)*AL56+(Исходн.данные.!V56*N_Rizotorf+Исходн.данные.!W56*N_Rizoagr))/HF56)</f>
        <v>#N/A</v>
      </c>
      <c r="GC56" s="39" t="e">
        <f>IF(HG56=$FY$16,0,((Исходн.данные.!Q56*Р_Org+Исходн.данные.!R56*P_Sider+Исходн.данные.!S56*P_Soloma)*AP56+Расчет!BC56*VLOOKUP(Исходн.данные.!T56,Справ!$A$3:$P$57,16)*AP56+BB56*VLOOKUP(Исходн.данные.!T56,Справ!$A$3:$P$57,16)*AM56)/HG56)</f>
        <v>#N/A</v>
      </c>
      <c r="GD56" s="39" t="e">
        <f>IF(HH56=$FY$16,0,((Исходн.данные.!Q56*К_Org+Исходн.данные.!R56*K_Sider+Исходн.данные.!S56*K_Soloma)*AQ56+Расчет!BC56*VLOOKUP(Исходн.данные.!T56,Справ!$A$3:$Q$57,17)*AQ56+BB56*VLOOKUP(Исходн.данные.!T56,Справ!$A$3:$Q$57,17)*AN56)/HH56)</f>
        <v>#N/A</v>
      </c>
      <c r="GE56" s="39" t="e">
        <f>IF(HF56=$FY$16,0,(Исходн.данные.!X56*AR56+Исходн.данные.!AA56*N_Org*AL56+Исходн.данные.!AB56*N_Sider*AL56+Исходн.данные.!AC56*N_Soloma*AL56)/HF56)</f>
        <v>#N/A</v>
      </c>
      <c r="GF56" s="39" t="e">
        <f>IF(HG56=$FY$16,0,(Исходн.данные.!Y56*AS56+Исходн.данные.!AA56*Р_Org*AM56+Исходн.данные.!AB56*P_Sider*AM56+Исходн.данные.!AC56*P_Soloma*AM56)/HG56)</f>
        <v>#N/A</v>
      </c>
      <c r="GG56" s="39" t="e">
        <f>IF(HH56=$FY$16,0,(Исходн.данные.!Z56*AT56+Исходн.данные.!AA56*К_Org*AN56+Исходн.данные.!AB56*K_Sider*AN56+Исходн.данные.!AC56*K_Soloma*AN56)/HH56)</f>
        <v>#N/A</v>
      </c>
      <c r="GH56" s="39" t="e">
        <f>Исходн.данные.!AD56*AU56/HF56</f>
        <v>#N/A</v>
      </c>
      <c r="GI56" s="39" t="e">
        <f>Исходн.данные.!AE56*AV56/HG56</f>
        <v>#N/A</v>
      </c>
      <c r="GJ56" s="39" t="e">
        <f>Исходн.данные.!AF56*AW56/HH56</f>
        <v>#N/A</v>
      </c>
      <c r="GK56" s="55">
        <f>Исходн.данные.!AK56</f>
        <v>0</v>
      </c>
      <c r="GL56" s="11" t="e">
        <f t="shared" si="113"/>
        <v>#N/A</v>
      </c>
      <c r="GM56" s="11" t="e">
        <f t="shared" si="114"/>
        <v>#N/A</v>
      </c>
      <c r="GN56" s="11" t="e">
        <f t="shared" si="115"/>
        <v>#N/A</v>
      </c>
      <c r="GO56" s="57">
        <f t="shared" si="116"/>
        <v>19</v>
      </c>
      <c r="GP56" s="55">
        <f>IF(OR(Исходн.данные.!F56=$CE$1,Исходн.данные.!F56=$CE$2,Исходн.данные.!F56=$CE$3,Исходн.данные.!F56=$CE$4,Исходн.данные.!F56=$CE$5),GQ56,GR56)</f>
        <v>19</v>
      </c>
      <c r="GQ56" s="55">
        <f>IF(Исходн.данные.!F56=$CE$1,28,IF(Исходн.данные.!F56=$CE$2,26,IF(Исходн.данные.!F56=$CE$3,24,IF(Исходн.данные.!F56=$CE$4,22,IF(Исходн.данные.!F56=$CE$5,20,GR56)))))</f>
        <v>19</v>
      </c>
      <c r="GR56" s="55">
        <f>IF(Исходн.данные.!F56=$CE$6,18,IF(Исходн.данные.!F56=$CE$7,16,IF(Исходн.данные.!F56=$CE$8,14,IF(Исходн.данные.!F56=$CE$9,13,IF(Исходн.данные.!F56=$CE$10,12,19)))))</f>
        <v>19</v>
      </c>
      <c r="GS56" s="55">
        <f>IF(Исходн.данные.!G56="Пес",0.035*(40+2*Исходн.данные.!H56),IF(Исходн.данные.!G56="Суп",0.0325*(40+2*Исходн.данные.!H56),0.03*(40+2*Исходн.данные.!H56)))</f>
        <v>1.2</v>
      </c>
      <c r="GT56" s="55">
        <f>IF(Исходн.данные.!H56&lt;23,2.6,IF(AND(Исходн.данные.!H56&gt;22,Исходн.данные.!H56&lt;26),3,IF(AND(Исходн.данные.!H56&gt;25,Исходн.данные.!H56&lt;29),3.4,3.6)))</f>
        <v>2.6</v>
      </c>
      <c r="GU56" s="55">
        <f>IF(Исходн.данные.!H56&lt;23,2.8,IF(AND(Исходн.данные.!H56&gt;22,Исходн.данные.!H56&lt;26),3.2,IF(AND(Исходн.данные.!H56&gt;25,Исходн.данные.!H56&lt;29),3.6,3.9)))</f>
        <v>2.8</v>
      </c>
      <c r="GV56" s="55">
        <f>IF(Исходн.данные.!H56&lt;23,3,IF(AND(Исходн.данные.!H56&gt;22,Исходн.данные.!H56&lt;26),3.5,IF(AND(Исходн.данные.!H56&gt;25,Исходн.данные.!H56&lt;29),3.9,4.2)))</f>
        <v>3</v>
      </c>
      <c r="GW56" s="55" t="e">
        <f>IF(Исходн.данные.!P56="Ум",GX56,GY56)</f>
        <v>#N/A</v>
      </c>
      <c r="GX56" s="55" t="e">
        <f>VLOOKUP(Исходн.данные.!AI56,Коэффициенты!$J$7:$L$13,2,FALSE)</f>
        <v>#N/A</v>
      </c>
      <c r="GY56" s="55" t="e">
        <f>VLOOKUP(Исходн.данные.!AI56,Коэффициенты!$J$7:$L$13,3,FALSE)</f>
        <v>#N/A</v>
      </c>
      <c r="GZ56" s="55" t="e">
        <f>(IF(Исходн.данные.!M56&lt;50,0.11*VLOOKUP(Исходн.данные.!AH56,Культуры.Информация,7,FALSE),IF(Исходн.данные.!M56&gt;250,0.05*VLOOKUP(Исходн.данные.!AH56,Культуры.Информация,7,FALSE),VLOOKUP(Исходн.данные.!AH56,Культуры.Информация,5,FALSE)/100*($GX$6+$GY$6*Исходн.данные.!M56))))*Расчет2!AI56</f>
        <v>#N/A</v>
      </c>
      <c r="HA56" s="211"/>
      <c r="HB56" s="211"/>
      <c r="HC56" s="55" t="e">
        <f>(IF(Исходн.данные.!O56&lt;80,0.2*VLOOKUP(Исходн.данные.!AH56,Культуры.Информация,8,FALSE),IF(Исходн.данные.!O56&gt;240,0.09*VLOOKUP(Исходн.данные.!AH56,Культуры.Информация,8,FALSE),VLOOKUP(Исходн.данные.!AH56,Культуры.Информация,6,FALSE)/100*($HB$6+$HC$6*Исходн.данные.!O56))))*Расчет2!AJ56</f>
        <v>#N/A</v>
      </c>
      <c r="HD56" s="55">
        <f>IF(Исходн.данные.!O56&gt;240,0.09,IF(Исходн.данные.!O56&lt;30,0.3,$HE$10+$HD$10*Исходн.данные.!O56))</f>
        <v>0.3</v>
      </c>
      <c r="HE56" s="55">
        <f>IF(Исходн.данные.!O56&gt;240,0.17,IF(Исходн.данные.!O56&lt;30,0.5,$HF$12+$HE$12*Исходн.данные.!O56))</f>
        <v>0.5</v>
      </c>
      <c r="HF56" s="55" t="e">
        <f>VLOOKUP(Исходн.данные.!AH56,Справ!$A$3:$D$58,2,FALSE)</f>
        <v>#N/A</v>
      </c>
      <c r="HG56" s="55" t="e">
        <f>VLOOKUP(Исходн.данные.!AH56,Справ!$A$3:$D$58,3,FALSE)</f>
        <v>#N/A</v>
      </c>
      <c r="HH56" s="55" t="e">
        <f>VLOOKUP(Исходн.данные.!AH56,Справ!$A$3:$D$58,4,FALSE)</f>
        <v>#N/A</v>
      </c>
      <c r="HI56" s="11" t="e">
        <f t="shared" si="117"/>
        <v>#N/A</v>
      </c>
      <c r="HJ56" s="11" t="e">
        <f t="shared" si="118"/>
        <v>#N/A</v>
      </c>
      <c r="HK56" s="11" t="e">
        <f t="shared" si="119"/>
        <v>#N/A</v>
      </c>
      <c r="HL56" s="55">
        <f>IF(OR(Исходн.данные.!G56="Глин",Исходн.данные.!G56="Т_суг"),1.1,IF(Исходн.данные.!G56="Ср_суг",1,1))</f>
        <v>1</v>
      </c>
      <c r="HM56" s="55">
        <f>IF(OR(Исходн.данные.!G56="Глин",Исходн.данные.!G56="Т_суг"),0.9,IF(Исходн.данные.!G56="Ср_суг",1,1.2))</f>
        <v>1.2</v>
      </c>
      <c r="HN56" s="11" t="e">
        <f t="shared" si="120"/>
        <v>#N/A</v>
      </c>
      <c r="HO56" s="11" t="e">
        <f t="shared" si="121"/>
        <v>#N/A</v>
      </c>
      <c r="HP56" s="11" t="e">
        <f t="shared" si="122"/>
        <v>#N/A</v>
      </c>
      <c r="HQ56" t="e">
        <f t="shared" si="123"/>
        <v>#N/A</v>
      </c>
      <c r="HR56" t="e">
        <f t="shared" si="124"/>
        <v>#N/A</v>
      </c>
      <c r="HS56" t="e">
        <f t="shared" si="125"/>
        <v>#N/A</v>
      </c>
      <c r="HT56" t="e">
        <f t="shared" si="21"/>
        <v>#N/A</v>
      </c>
      <c r="HU56" t="e">
        <f t="shared" si="22"/>
        <v>#N/A</v>
      </c>
      <c r="HV56" t="e">
        <f t="shared" si="23"/>
        <v>#N/A</v>
      </c>
      <c r="HW56" t="e">
        <f t="shared" si="24"/>
        <v>#N/A</v>
      </c>
      <c r="HX56" t="e">
        <f t="shared" si="25"/>
        <v>#N/A</v>
      </c>
      <c r="HY56" t="e">
        <f t="shared" si="26"/>
        <v>#N/A</v>
      </c>
      <c r="HZ56" s="55">
        <f>IF(OR(Исходн.данные.!AI56="Оз_Ч_П",Исходн.данные.!AI56="Оз_З_П",Исходн.данные.!AI56="Яр_зер"),12,30)</f>
        <v>30</v>
      </c>
      <c r="IA56" t="e">
        <f t="shared" si="126"/>
        <v>#N/A</v>
      </c>
      <c r="IB56" t="e">
        <f t="shared" si="127"/>
        <v>#N/A</v>
      </c>
      <c r="IC56" t="e">
        <f t="shared" si="128"/>
        <v>#N/A</v>
      </c>
      <c r="ID56" s="11" t="e">
        <f t="shared" si="129"/>
        <v>#N/A</v>
      </c>
      <c r="IE56" s="11" t="e">
        <f t="shared" si="130"/>
        <v>#N/A</v>
      </c>
      <c r="IF56" s="11" t="e">
        <f t="shared" si="131"/>
        <v>#N/A</v>
      </c>
    </row>
    <row r="57" spans="35:240" x14ac:dyDescent="0.2">
      <c r="AI57">
        <f>IF(Исходн.данные.!I57&gt;6,1,1.85-(0.148*Исходн.данные.!I57))</f>
        <v>1.85</v>
      </c>
      <c r="AJ57">
        <f>IF(Исходн.данные.!I57&gt;6,1,2.434-(0.246*Исходн.данные.!I57))</f>
        <v>2.4340000000000002</v>
      </c>
      <c r="AL57" s="148" t="b">
        <f>IF(Исходн.данные.!$P57="Ум",N_OrgUd_2g_um,IF(Исходн.данные.!$P57="Об",N_OrgUd_2g_ob))</f>
        <v>0</v>
      </c>
      <c r="AM57" s="148" t="b">
        <f>IF(Исходн.данные.!$P57="Ум",P_OrgUd_2g_um,IF(Исходн.данные.!$P57="Об",P_OrgUd_2g_ob))</f>
        <v>0</v>
      </c>
      <c r="AN57" s="148" t="b">
        <f>IF(Исходн.данные.!$P57="Ум",K_OrgUd_2g_um,IF(Исходн.данные.!$P57="Об",K_OrgUd_2g_ob))</f>
        <v>0</v>
      </c>
      <c r="AO57" s="148" t="b">
        <f>IF(Исходн.данные.!$P57="Ум",N_OrgUd_1g_um,IF(Исходн.данные.!$P57="Об",N_OrgUd_1g_ob))</f>
        <v>0</v>
      </c>
      <c r="AP57" s="148" t="b">
        <f>IF(Исходн.данные.!$P57="Ум",P_OrgUd_1g_um,IF(Исходн.данные.!$P57="Об",P_OrgUd_1g_ob))</f>
        <v>0</v>
      </c>
      <c r="AQ57" s="148" t="b">
        <f>IF(Исходн.данные.!$P57="Ум",K_OrgUd_1g_um,IF(Исходн.данные.!$P57="Об",K_OrgUd_1g_ob))</f>
        <v>0</v>
      </c>
      <c r="AR57" t="b">
        <f>IF(Исходн.данные.!$P57="Ум",N_MinUd_2g_um,IF(Исходн.данные.!$P57="Об",N_MinUd_2g_ob))</f>
        <v>0</v>
      </c>
      <c r="AS57" t="b">
        <f>IF(Исходн.данные.!$P57="Ум",P_MinUd_2g_um,IF(Исходн.данные.!$P57="Об",P_MinUd_2g_ob))</f>
        <v>0</v>
      </c>
      <c r="AT57" t="b">
        <f>IF(Исходн.данные.!$P57="Ум",K_MinUd_2g_um,IF(Исходн.данные.!$P57="Об",K_MinUd_2g_ob))</f>
        <v>0</v>
      </c>
      <c r="AU57" t="b">
        <f>IF(Исходн.данные.!$P57="Ум",N_MinUd_1g_um,IF(Исходн.данные.!$P57="Об",N_MinUd_1g_ob))</f>
        <v>0</v>
      </c>
      <c r="AV57" t="b">
        <f>IF(Исходн.данные.!P57="Ум",P_MinUd_1g_um,IF(Исходн.данные.!P57="Об",P_MinUd_1g_ob))</f>
        <v>0</v>
      </c>
      <c r="AW57" t="b">
        <f>IF(Исходн.данные.!P57="Ум",K_MinUd_1g_um,IF(Исходн.данные.!P57="Об",K_MinUd_1g_ob))</f>
        <v>0</v>
      </c>
      <c r="AY57" t="e">
        <f>VLOOKUP(Исходн.данные.!T57,Справ!$A$3:$N$57,12)</f>
        <v>#N/A</v>
      </c>
      <c r="AZ57" t="e">
        <f>VLOOKUP(Исходн.данные.!T57,Справ!$A$3:$N$57,13)</f>
        <v>#N/A</v>
      </c>
      <c r="BA57" t="e">
        <f>VLOOKUP(Исходн.данные.!T57,Справ!$A$3:$N$57,14)</f>
        <v>#N/A</v>
      </c>
      <c r="BB57">
        <f>IF(Исходн.данные.!AH57=0,0,25)</f>
        <v>0</v>
      </c>
      <c r="BC57" s="141">
        <f>IF(Исходн.данные.!AH57=0,0,IF(Исходн.данные.!T57=0,25,BD57))</f>
        <v>0</v>
      </c>
      <c r="BD57" s="168" t="e">
        <f>AY57+AZ57*Исходн.данные.!U57-POWER(BA57,2)*Исходн.данные.!U57</f>
        <v>#N/A</v>
      </c>
      <c r="BE5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7" s="25">
        <f>IF(Исходн.данные.!AH57=0,0,MIN(HN57:HP57))</f>
        <v>0</v>
      </c>
      <c r="BG57" s="9">
        <f>IF(Исходн.данные.!AH57=0,0,IF((HO57+10*0.25/HG57/HL57)&lt;17,17,HO57+10*0.25/HG57/HL57))</f>
        <v>0</v>
      </c>
      <c r="BH57" s="181">
        <f>IF(Исходн.данные.!AH57=0,0,HW57*HF57*HL57/AU57*AI57+Исходн.данные.!S57*10)</f>
        <v>0</v>
      </c>
      <c r="BI57" s="10"/>
      <c r="BJ57" s="182">
        <f>IF(Исходн.данные.!AH57=0,0,IF(HX57*HG57*HL57/AV57&lt;0,0,HX57*HG57*HL57/AV57*AJ57))</f>
        <v>0</v>
      </c>
      <c r="BK57" s="182">
        <f>IF(Исходн.данные.!AH57=0,0,HY57*HH57*HM57/AW57)</f>
        <v>0</v>
      </c>
      <c r="BL57" s="10">
        <f>IF(OR(Исходн.данные.!$AH57=$BP$1,Исходн.данные.!$AH57=$BP$2),0,IF(BH57&lt;0,0,IF(OR(Исходн.данные.!T57=Расчет!$BP$1,Исходн.данные.!T57=Расчет!$BP$2,Исходн.данные.!T57=Расчет!$BT$5,Исходн.данные.!T57=Расчет!$BT$6),BH57*0.5,IF(OR(Исходн.данные.!T57=Расчет!$BS$9,Исходн.данные.!T57=Расчет!$BS$10,Исходн.данные.!T57=Расчет!$BS$11,Исходн.данные.!T57=Расчет!$BS$12,Исходн.данные.!T57=Расчет!$BP$5),BH57*0.8,BH57))))</f>
        <v>0</v>
      </c>
      <c r="BM57" s="10">
        <f>IF(OR(Исходн.данные.!$AH57=$BP$1,Исходн.данные.!$AH57=$BP$2),0,IF(BJ57&lt;0,0,IF(Исходн.данные.!I57&lt;4.5,BJ57*1.2,IF(Исходн.данные.!I57&gt;5.1,BJ57,BJ57*((5.1-Исходн.данные.!I57)*0.333+1)))))</f>
        <v>0</v>
      </c>
      <c r="BN57" s="10">
        <f>IF(OR(Исходн.данные.!$AH57=$BP$1,Исходн.данные.!$AH57=$BP$2),60-Исходн.данные.!AF57,IF(BK57&lt;0,0,IF(Исходн.данные.!I57&lt;4.5,BK57*1.2,IF(Исходн.данные.!I57&gt;5.1,BK57,BK57*((5.1-Исходн.данные.!I57)*0.333+1)))))</f>
        <v>0</v>
      </c>
      <c r="BO57" s="9">
        <f>IF(BL57&lt;0,0,BL57*Исходн.данные.!$AJ57/1000)</f>
        <v>0</v>
      </c>
      <c r="BP57" s="9">
        <f>IF(BM57&lt;0,0,BM57*Исходн.данные.!$AJ57/1000)</f>
        <v>0</v>
      </c>
      <c r="BQ57" s="9">
        <f>IF(BN57&lt;0,0,BN57*Исходн.данные.!$AJ57/1000)</f>
        <v>0</v>
      </c>
      <c r="BR57" s="9">
        <f t="shared" si="81"/>
        <v>0</v>
      </c>
      <c r="BS57" s="10" t="str">
        <f t="shared" si="82"/>
        <v>Аммофос 12:52:00</v>
      </c>
      <c r="BT57" s="10" t="str">
        <f t="shared" si="83"/>
        <v>Аммофос 12:52:00</v>
      </c>
      <c r="BU57" s="10" t="str">
        <f t="shared" si="84"/>
        <v>Диаммофоска</v>
      </c>
      <c r="BV57" s="10">
        <f t="shared" si="85"/>
        <v>0</v>
      </c>
      <c r="BW57" s="10"/>
      <c r="BX57" s="10"/>
      <c r="BY57" s="9">
        <f>IF(BL57&lt;0,0,IF(OR(Исходн.данные.!AI57=Расчет!$BU$6,Исходн.данные.!AI57=Расчет!$BU$7),Расчет!BV57,IF(Исходн.данные.!$AG57=$BV$11,BL57,IF(OR(Исходн.данные.!$AH57=$BQ$7,Исходн.данные.!$AH57=$BQ$8),CB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0,IF(Исходн.данные.!$AI57=$BU$11,"Нет",IF(BL57&gt;30,30,BL57)))))))</f>
        <v>0</v>
      </c>
      <c r="BZ57" s="9">
        <f>IF(AND(Исходн.данные.!$AG57=$BV$11,BM57&lt;10),10,IF(Исходн.данные.!$AG57=$BV$11,BM57,IF(OR(Исходн.данные.!$AH57=$BQ$7,Исходн.данные.!$AH57=$BQ$8),CC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10,IF(Исходн.данные.!$AI57=$BU$11,"Нет",IF(BM57&gt;60,60,IF(BM57&lt;10,10,BM57)))))))</f>
        <v>10</v>
      </c>
      <c r="CA57" s="39">
        <f>IF(BN57&lt;0,0,IF(Исходн.данные.!$AG57=$BV$11,BN57,IF(OR(Исходн.данные.!$AH57=$BQ$7,Исходн.данные.!$AH57=$BQ$8),CD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0,IF(Исходн.данные.!$AI57=$BU$11,"Нет",IF(BN57&gt;30,30,BN57))))))</f>
        <v>0</v>
      </c>
      <c r="CB57" s="9">
        <f t="shared" si="86"/>
        <v>0</v>
      </c>
      <c r="CC57" s="9">
        <f t="shared" si="87"/>
        <v>0</v>
      </c>
      <c r="CD57" s="9">
        <f t="shared" si="88"/>
        <v>0</v>
      </c>
      <c r="CE57" s="12">
        <f t="shared" si="89"/>
        <v>10</v>
      </c>
      <c r="CF57" s="9">
        <f t="shared" si="90"/>
        <v>0</v>
      </c>
      <c r="CG57" s="9" t="s">
        <v>231</v>
      </c>
      <c r="CH57" s="132" t="str">
        <f>IF(Исходн.данные.!AP57=Расчет!$CI$16,"Нет",IF(Исходн.данные.!AL57&gt;0,Исходн.данные.!AL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BH$4,IF(OR(Исходн.данные.!AI57=Исходн.данные.!$AI$6,Исходн.данные.!AI57=Исходн.данные.!$AI$7),Расчет!BS57,IF(AND($CF57=0,$CE57&gt;0),EV57,ER57)))))</f>
        <v>Аммофос 12:52:00</v>
      </c>
      <c r="CI57" s="274">
        <f>IF(Расчет!$CH57="Нет","Нет",IF(Исходн.данные.!$AL57&gt;0,VLOOKUP(Расчет!$CH57,АшламаДВ_Irekle,2,FALSE),VLOOKUP(Расчет!$CH57,АшламаДВ_Gomumy,2,FALSE)))</f>
        <v>0.12</v>
      </c>
      <c r="CJ57" s="274">
        <f>IF(Расчет!$CH57="Нет","Нет",IF(Исходн.данные.!$AL57&gt;0,VLOOKUP(Расчет!$CH57,АшламаДВ_Irekle,3,FALSE),VLOOKUP(Расчет!$CH57,АшламаДВ_Gomumy,3,FALSE)))</f>
        <v>0.52</v>
      </c>
      <c r="CK57" s="274">
        <f>IF(Расчет!$CH57="Нет","Нет",IF(Исходн.данные.!$AL57&gt;0,VLOOKUP(Расчет!$CH57,АшламаДВ_Irekle,4,FALSE),VLOOKUP(Расчет!$CH57,АшламаДВ_Gomumy,4,FALSE)))</f>
        <v>0</v>
      </c>
      <c r="CL57" s="70"/>
      <c r="CM57" s="70"/>
      <c r="CN57" s="70"/>
      <c r="CO57" s="70"/>
      <c r="CP57" s="70"/>
      <c r="CQ57" s="70"/>
      <c r="CR57" s="10">
        <f t="shared" si="91"/>
        <v>0</v>
      </c>
      <c r="CS57" s="10">
        <f t="shared" si="92"/>
        <v>19.23076923076923</v>
      </c>
      <c r="CT57" s="10">
        <f t="shared" si="93"/>
        <v>0</v>
      </c>
      <c r="CU57" s="39">
        <f>IF($CH57="Нет",0,IF(CI57=0,30/MIN(CJ57:CK57),IF(Исходн.данные.!$AG57=$BV$11,CR57,IF(OR(Исходн.данные.!$AH57=$BQ$7,Исходн.данные.!$AH57=$BQ$8),90/CI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0,IF(Исходн.данные.!$AI57=$BU$11,"Нет",30/CI57))))))</f>
        <v>250</v>
      </c>
      <c r="CV57" s="39">
        <f>IF($CH57="Нет",0,IF(Исходн.данные.!AH57=0,0,IF(CJ57=0,60/MIN(CI57,CK57),IF(Исходн.данные.!$AG57=$BV$11,CS57,IF(OR(Исходн.данные.!$AH57=$BQ$7,Исходн.данные.!$AH57=$BQ$8),90/CJ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10/CJ57,IF(Исходн.данные.!$AI57=$BU$11,"Нет",60/CJ57)))))))</f>
        <v>0</v>
      </c>
      <c r="CW57" s="39">
        <f>IF($CH57="Нет",0,IF(Исходн.данные.!AH57=0,0,IF(CK57=0,30/MIN(CI57:CJ57),IF(Исходн.данные.!$AG57=$BV$11,CT57,IF(OR(Исходн.данные.!$AH57=$BQ$7,Исходн.данные.!$AH57=$BQ$8),90/CK57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0,IF(Исходн.данные.!$AI57=$BU$11,"Нет",30/CK57)))))))</f>
        <v>0</v>
      </c>
      <c r="CX57" s="133">
        <f>IF(Исходн.данные.!$AG57=$BV$11,MAX(CU57:CW57),IF(OR(Исходн.данные.!$AH57=$BS$8,Исходн.данные.!$AH57=$BQ$9,Исходн.данные.!$AH57=$BQ$10,Исходн.данные.!$AH57=$BQ$11,Исходн.данные.!$AH57=$BQ$12,Исходн.данные.!$AH57=$BP$3,Исходн.данные.!$AH57=$BT$8,$FM57="Да"),CV57,MIN(CU57:CW57)))</f>
        <v>0</v>
      </c>
      <c r="CY57" s="133">
        <f>IF(Исходн.данные.!AH57=0,0,IF(CR57&gt;$CX57,$CX57,CR57))</f>
        <v>0</v>
      </c>
      <c r="CZ57" s="133">
        <f>IF(Исходн.данные.!AH57=0,0,IF(CS57&gt;$CX57,$CX57,CS57))</f>
        <v>0</v>
      </c>
      <c r="DA57" s="133">
        <f>IF(Исходн.данные.!AH57=0,0,IF(CT57&gt;$CX57,$CX57,CT57))</f>
        <v>0</v>
      </c>
      <c r="DB57" s="10">
        <f t="shared" si="94"/>
        <v>0</v>
      </c>
      <c r="DC57" s="39">
        <f>DB57*Исходн.данные.!AJ57/1000</f>
        <v>0</v>
      </c>
      <c r="DD57" s="71">
        <f t="shared" si="95"/>
        <v>0</v>
      </c>
      <c r="DE57" s="9">
        <f t="shared" si="96"/>
        <v>0</v>
      </c>
      <c r="DF57" s="9">
        <f t="shared" si="97"/>
        <v>0</v>
      </c>
      <c r="DG57" s="39">
        <f>IF(BL57&lt;0,0,IF($CH57="Нет",BL57,IF(OR(Исходн.данные.!$AH57=$BP$1,Исходн.данные.!$AH57=$BP$2),0,IF(Исходн.данные.!AI57=$BU$11,BL57,IF(BL57-DD57&lt;0,0,BL57-DD57)))))</f>
        <v>0</v>
      </c>
      <c r="DH57" s="39">
        <f>IF(BM57&lt;0,0,IF($CH57="Нет",BM57,IF(OR(Исходн.данные.!$AH57=$BP$1,Исходн.данные.!$AH57=$BP$2),0,IF(Исходн.данные.!AJ57=$BU$11,BM57,IF(BM57-DE57&lt;0,0,BM57-DE57)))))</f>
        <v>0</v>
      </c>
      <c r="DI57" s="39">
        <f>IF(BN57&lt;0,0,IF($CH57="Нет",BN57,IF(OR(Исходн.данные.!$AH57=$BP$1,Исходн.данные.!$AH57=$BP$2),0,IF(Исходн.данные.!AK57=$BU$11,BN57,IF(BN57-DF57&lt;0,0,BN57-DF57)))))</f>
        <v>0</v>
      </c>
      <c r="DJ57" s="12">
        <f t="shared" si="98"/>
        <v>0</v>
      </c>
      <c r="DK57" s="9">
        <f t="shared" si="99"/>
        <v>0</v>
      </c>
      <c r="DL57" s="39">
        <f>IF(Исходн.данные.!AM57&gt;0,Исходн.данные.!AM57,IF(EG57&gt;0,$BH$10,0))</f>
        <v>0</v>
      </c>
      <c r="DM57" s="186">
        <f>IF($DL57=0,0,IF(Исходн.данные.!AM57&gt;0,VLOOKUP($DL57,АшламаДВ_Irekle,2,FALSE),VLOOKUP($DL57,АшламаДВ_Gomumy,2,FALSE)))</f>
        <v>0</v>
      </c>
      <c r="DN57" s="10">
        <f t="shared" si="46"/>
        <v>0</v>
      </c>
      <c r="DO57" s="9" t="str">
        <f>IF(Исходн.данные.!AN57&gt;0,Исходн.данные.!AN57,Удобрения!$B$37 )</f>
        <v>Хлор.калий</v>
      </c>
      <c r="DP57" s="9">
        <f>IF(Исходн.данные.!AN57&gt;0,VLOOKUP(Исходн.данные.!AN57,АшламаДВ_Irekle,4,FALSE),VLOOKUP(DO57,АшламаДВ_Gomumy,4,FALSE))</f>
        <v>0.6</v>
      </c>
      <c r="DQ57" s="10">
        <f t="shared" si="47"/>
        <v>0</v>
      </c>
      <c r="DR57" s="132" t="str">
        <f>IF(Исходн.данные.!AO57&gt;0,Исходн.данные.!AO57,IF(DH57=0,BS$17,IF(AND($DK57=0,$DJ57&gt;0),EJ57,EN57)))</f>
        <v>Нет</v>
      </c>
      <c r="DS57" s="70" t="str">
        <f>IF($DR57="Нет","Нет",IF(Исходн.данные.!$AO57&gt;0,VLOOKUP($DR57,АшламаДВ_Irekle,2,FALSE),VLOOKUP($DR57,АшламаДВ_Gomumy,2,FALSE)))</f>
        <v>Нет</v>
      </c>
      <c r="DT57" s="70" t="str">
        <f>IF($DR57="Нет","Нет",IF(Исходн.данные.!$AO57&gt;0,VLOOKUP($DR57,АшламаДВ_Irekle,3,FALSE),VLOOKUP($DR57,АшламаДВ_Gomumy,3,FALSE)))</f>
        <v>Нет</v>
      </c>
      <c r="DU57" s="70" t="str">
        <f>IF($DR57="Нет","Нет",IF(Исходн.данные.!$AO57&gt;0,VLOOKUP($DR57,АшламаДВ_Irekle,4,FALSE),VLOOKUP($DR57,АшламаДВ_Gomumy,4,FALSE)))</f>
        <v>Нет</v>
      </c>
      <c r="DV57" s="70"/>
      <c r="DW57" s="70"/>
      <c r="DX57" s="70"/>
      <c r="DY57" s="10">
        <f t="shared" si="100"/>
        <v>0</v>
      </c>
      <c r="DZ57" s="10">
        <f t="shared" si="101"/>
        <v>0</v>
      </c>
      <c r="EA57" s="10">
        <f t="shared" si="102"/>
        <v>0</v>
      </c>
      <c r="EB57" s="10">
        <f t="shared" si="103"/>
        <v>0</v>
      </c>
      <c r="EC57" s="10">
        <f t="shared" si="104"/>
        <v>0</v>
      </c>
      <c r="ED57" s="10">
        <f t="shared" si="105"/>
        <v>0</v>
      </c>
      <c r="EE57" s="10">
        <f t="shared" si="106"/>
        <v>0</v>
      </c>
      <c r="EF57" s="39">
        <f>EB57*Исходн.данные.!AJ57/1000</f>
        <v>0</v>
      </c>
      <c r="EG57" s="9">
        <f t="shared" si="107"/>
        <v>0</v>
      </c>
      <c r="EH57" s="9">
        <f t="shared" si="108"/>
        <v>0</v>
      </c>
      <c r="EI57" s="39" t="e">
        <f t="shared" si="7"/>
        <v>#DIV/0!</v>
      </c>
      <c r="EJ57" s="9" t="str">
        <f t="shared" si="8"/>
        <v>Азопреципитат</v>
      </c>
      <c r="EK57" s="12">
        <f t="shared" si="9"/>
        <v>0.26</v>
      </c>
      <c r="EL57" s="12">
        <f t="shared" si="10"/>
        <v>0.13</v>
      </c>
      <c r="EM57" s="12">
        <f t="shared" si="11"/>
        <v>0</v>
      </c>
      <c r="EN57" s="12" t="str">
        <f t="shared" si="57"/>
        <v>Нет</v>
      </c>
      <c r="EO57" s="12">
        <f t="shared" si="12"/>
        <v>0</v>
      </c>
      <c r="EP57" s="12">
        <f t="shared" si="13"/>
        <v>0</v>
      </c>
      <c r="EQ57" s="12">
        <f t="shared" si="14"/>
        <v>0</v>
      </c>
      <c r="ER57" s="12" t="str">
        <f t="shared" si="109"/>
        <v>Диаммофоска</v>
      </c>
      <c r="ES57" s="12">
        <f t="shared" si="15"/>
        <v>0.1</v>
      </c>
      <c r="ET57" s="12">
        <f t="shared" si="16"/>
        <v>0.26</v>
      </c>
      <c r="EU57" s="12">
        <f t="shared" si="17"/>
        <v>0.26</v>
      </c>
      <c r="EV57" s="12" t="str">
        <f t="shared" si="110"/>
        <v>Аммофос 12:52:00</v>
      </c>
      <c r="EW57" s="12" t="str">
        <f t="shared" si="111"/>
        <v>Кемира Свекловичное-6</v>
      </c>
      <c r="EX57" s="12">
        <f t="shared" si="18"/>
        <v>0.16</v>
      </c>
      <c r="EY57" s="12">
        <f t="shared" si="19"/>
        <v>0.12</v>
      </c>
      <c r="EZ57" s="12">
        <f t="shared" si="20"/>
        <v>0.17</v>
      </c>
      <c r="FA57" s="38" t="e">
        <f>IF(AND(OR(FJ57=$FD$1,FM57=$FD$1,FO57=$FD$1,FQ57=$FD$1,FS57=$FD$1),FD57=$FD$1,Исходн.данные.!J57&lt;2,FU57=$FD$1),"Бор,Кобальт",IF(AND(FO57=$FD$1,FH57=$FD$1,Исходн.данные.!J57&lt;2,FU57=$FD$1),"Бор,Кобальт",IF(AND(OR(FJ57=$FD$1,FM57=$FD$1,FQ57=$FD$1),FE57=$FD$1,Исходн.данные.!J57&lt;2,FT57=$FD$1,FU57=$FD$1),"Бор,Медь,Цинк",IF(AND(OR(FJ57=$FD$1,FR57="Да"),FI57="Да",Исходн.данные.!J57&lt;2,FT57="Да",FU57="Да"),"Бор,Цинк,Медь",IF(AND(OR(FM57="Да",FQ57="Да"),FI57="Да",Исходн.данные.!J57&lt;2,FT57="Да",FU57="Да"),"Бор,Цинк",IF(AND(FN57="Да",OR(FD57="Да",FE57="Да")),"Бор",FB57))))))</f>
        <v>#N/A</v>
      </c>
      <c r="FB57" s="134" t="e">
        <f>IF(AND(OR(FD57="Да",FE57="Да",FF57="Да",FG57="Да",FH57="Да"),FO57="Да"),"Бор",IF(AND(FP57="Да",OR(FD57="Да",FE57="Да",FI57="Да")),"Бор",IF(AND(FS57="Да",FE57="Да"),"Бор,Медь",IF(AND(OR(FJ57="Да",FK57="Да",FL57="Да"),FE57="Да",Исходн.данные.!I57&lt;5,FT57="Да",FU57="Да"),"Молибден,Цинк",IF(AND(FM57="Да",OR(FE57="Да",FF57="Да",FG57="Да",FH57="Да",FI57="Да")),"Молибден,Цинк",IF(AND(OR(FJ57="Да",FK57="Да",FL57="Да",FM57="Да",FQ57="Да"),OR(FE57="Да",FF57="Да"),FT57="Да",FU57="Да",Исходн.данные.!I57&gt;5.5),"Медь,Цинк",FC57))))))</f>
        <v>#N/A</v>
      </c>
      <c r="FC57" s="23" t="e">
        <f t="shared" si="112"/>
        <v>#N/A</v>
      </c>
      <c r="FD57" s="38" t="str">
        <f>IF(OR(Исходн.данные.!F57=$CC$1,Исходн.данные.!F57=$CC$2,Исходн.данные.!F57=$CC$3,Исходн.данные.!F57=$CC$4),"Да","Нет")</f>
        <v>Нет</v>
      </c>
      <c r="FE57" s="38" t="str">
        <f>IF(Исходн.данные.!F57=$CC$5,"Да","Нет")</f>
        <v>Нет</v>
      </c>
      <c r="FF57" s="38" t="str">
        <f>IF(OR(Исходн.данные.!F57=$CC$6,Исходн.данные.!F57=$CC$7),"Да","Нет")</f>
        <v>Нет</v>
      </c>
      <c r="FG57" s="38" t="str">
        <f>IF(OR(Исходн.данные.!F57=$CC$8,Исходн.данные.!F57=$CC$9),"Да","Нет")</f>
        <v>Нет</v>
      </c>
      <c r="FH57" s="38" t="str">
        <f>IF(Исходн.данные.!F57=$CC$10,"Да","Нет")</f>
        <v>Нет</v>
      </c>
      <c r="FI57" s="38" t="str">
        <f>IF(OR(Исходн.данные.!F57=$CC$11,Исходн.данные.!F57=$CC$12),"Да","Нет")</f>
        <v>Нет</v>
      </c>
      <c r="FJ57" s="38" t="str">
        <f>IF(OR(Исходн.данные.!AH57=$BS$1,Исходн.данные.!AH57=$BQ$11,Исходн.данные.!AH57=$BQ$12),"Да","Нет")</f>
        <v>Нет</v>
      </c>
      <c r="FK57" s="38" t="str">
        <f>IF(OR(Исходн.данные.!AH57=$BS$2,Исходн.данные.!AH57=$BS$4),"Да","Нет")</f>
        <v>Нет</v>
      </c>
      <c r="FL57" s="38" t="str">
        <f>IF(OR(Исходн.данные.!AH57=$BS$3,Исходн.данные.!AH57=$BS$5),"Да","Нет")</f>
        <v>Нет</v>
      </c>
      <c r="FM57" s="38" t="str">
        <f>IF(OR(Исходн.данные.!AH57=$BS$9,Исходн.данные.!AH57=$BS$10,Исходн.данные.!AH57=$BS$11,Исходн.данные.!AH57=$BS$12),"Да","Нет")</f>
        <v>Нет</v>
      </c>
      <c r="FN57" s="38" t="str">
        <f>IF(OR(Исходн.данные.!AH57=$BS$6,Исходн.данные.!AH57=$BP$3),"Да","Нет")</f>
        <v>Нет</v>
      </c>
      <c r="FO57" s="38" t="str">
        <f>IF(Исходн.данные.!AH57=$BQ$9,"Да","Нет")</f>
        <v>Нет</v>
      </c>
      <c r="FP57" s="38" t="str">
        <f>IF(OR(Исходн.данные.!AH57=$BS$8,Исходн.данные.!AH57=$BT$8),"Да","Нет")</f>
        <v>Нет</v>
      </c>
      <c r="FQ57" s="38" t="str">
        <f>IF(OR(Исходн.данные.!AH57=$BQ$7,Исходн.данные.!AH57=$BQ$8),"Да","Нет")</f>
        <v>Нет</v>
      </c>
      <c r="FR57" s="38" t="str">
        <f>IF(Исходн.данные.!AI57=$BU$9,"Да","Нет")</f>
        <v>Нет</v>
      </c>
      <c r="FS57" s="38" t="str">
        <f>IF(OR(Исходн.данные.!AH57=$BP$1,Исходн.данные.!AH57=$BP$2),"Да","Нет")</f>
        <v>Нет</v>
      </c>
      <c r="FT57" s="38" t="e">
        <f>IF((Исходн.данные.!K57*GO57*GS57*GW57+BL57*0.6+Исходн.данные.!Q57*4.5*0.275)&gt;90,"Да","Нет")</f>
        <v>#N/A</v>
      </c>
      <c r="FU57" s="38" t="e">
        <f>IF((Исходн.данные.!M57*GS57*GZ57+BM57*0.225)&gt;35,"Да","Нет")</f>
        <v>#N/A</v>
      </c>
      <c r="FV57" s="38" t="str">
        <f>IF(Исходн.данные.!O57&gt;175,"Да","Нет")</f>
        <v>Нет</v>
      </c>
      <c r="FW57" s="39" t="str">
        <f>IF(Исходн.данные.!I57&gt;5.5,"Да","Нет")</f>
        <v>Нет</v>
      </c>
      <c r="FX57" s="39" t="str">
        <f>IF(Исходн.данные.!J57&lt;2,"Да","Нет")</f>
        <v>Да</v>
      </c>
      <c r="FY57" s="39" t="e">
        <f>IF(HF57=$FY$16,0,Исходн.данные.!K57*GO57*GS57*GW57/HF57)</f>
        <v>#N/A</v>
      </c>
      <c r="FZ57" s="39" t="e">
        <f>Исходн.данные.!M57*GS57*GZ57/HG57</f>
        <v>#N/A</v>
      </c>
      <c r="GA57" s="39" t="e">
        <f>IF(K_Wyn=$FY$16,0,IF(Исходн.данные.!N57=Исходн.данные.!$L$10,Исходн.данные.!O57/1.1*GS57*HC57/HH57,IF(Исходн.данные.!N57=Исходн.данные.!$L$12,Исходн.данные.!O57/1.5*GS57*HC57/HH57,Исходн.данные.!O57*GS57*HC57/HH57)))</f>
        <v>#N/A</v>
      </c>
      <c r="GB57" s="39" t="e">
        <f>IF(HF57=$FY$16,0,((Исходн.данные.!Q57*N_Org+Исходн.данные.!R57*N_Sider+Исходн.данные.!S57*N_Soloma)*AO57+Расчет!BC57*VLOOKUP(Исходн.данные.!T57,Справ!$A$3:$O$57,15)*AO57+BB57*VLOOKUP(Исходн.данные.!T57,Справ!$A$3:$O$57,15)*AL57+(Исходн.данные.!V57*N_Rizotorf+Исходн.данные.!W57*N_Rizoagr))/HF57)</f>
        <v>#N/A</v>
      </c>
      <c r="GC57" s="39" t="e">
        <f>IF(HG57=$FY$16,0,((Исходн.данные.!Q57*Р_Org+Исходн.данные.!R57*P_Sider+Исходн.данные.!S57*P_Soloma)*AP57+Расчет!BC57*VLOOKUP(Исходн.данные.!T57,Справ!$A$3:$P$57,16)*AP57+BB57*VLOOKUP(Исходн.данные.!T57,Справ!$A$3:$P$57,16)*AM57)/HG57)</f>
        <v>#N/A</v>
      </c>
      <c r="GD57" s="39" t="e">
        <f>IF(HH57=$FY$16,0,((Исходн.данные.!Q57*К_Org+Исходн.данные.!R57*K_Sider+Исходн.данные.!S57*K_Soloma)*AQ57+Расчет!BC57*VLOOKUP(Исходн.данные.!T57,Справ!$A$3:$Q$57,17)*AQ57+BB57*VLOOKUP(Исходн.данные.!T57,Справ!$A$3:$Q$57,17)*AN57)/HH57)</f>
        <v>#N/A</v>
      </c>
      <c r="GE57" s="39" t="e">
        <f>IF(HF57=$FY$16,0,(Исходн.данные.!X57*AR57+Исходн.данные.!AA57*N_Org*AL57+Исходн.данные.!AB57*N_Sider*AL57+Исходн.данные.!AC57*N_Soloma*AL57)/HF57)</f>
        <v>#N/A</v>
      </c>
      <c r="GF57" s="39" t="e">
        <f>IF(HG57=$FY$16,0,(Исходн.данные.!Y57*AS57+Исходн.данные.!AA57*Р_Org*AM57+Исходн.данные.!AB57*P_Sider*AM57+Исходн.данные.!AC57*P_Soloma*AM57)/HG57)</f>
        <v>#N/A</v>
      </c>
      <c r="GG57" s="39" t="e">
        <f>IF(HH57=$FY$16,0,(Исходн.данные.!Z57*AT57+Исходн.данные.!AA57*К_Org*AN57+Исходн.данные.!AB57*K_Sider*AN57+Исходн.данные.!AC57*K_Soloma*AN57)/HH57)</f>
        <v>#N/A</v>
      </c>
      <c r="GH57" s="39" t="e">
        <f>Исходн.данные.!AD57*AU57/HF57</f>
        <v>#N/A</v>
      </c>
      <c r="GI57" s="39" t="e">
        <f>Исходн.данные.!AE57*AV57/HG57</f>
        <v>#N/A</v>
      </c>
      <c r="GJ57" s="39" t="e">
        <f>Исходн.данные.!AF57*AW57/HH57</f>
        <v>#N/A</v>
      </c>
      <c r="GK57" s="55">
        <f>Исходн.данные.!AK57</f>
        <v>0</v>
      </c>
      <c r="GL57" s="11" t="e">
        <f t="shared" si="113"/>
        <v>#N/A</v>
      </c>
      <c r="GM57" s="11" t="e">
        <f t="shared" si="114"/>
        <v>#N/A</v>
      </c>
      <c r="GN57" s="11" t="e">
        <f t="shared" si="115"/>
        <v>#N/A</v>
      </c>
      <c r="GO57" s="57">
        <f t="shared" si="116"/>
        <v>19</v>
      </c>
      <c r="GP57" s="55">
        <f>IF(OR(Исходн.данные.!F57=$CE$1,Исходн.данные.!F57=$CE$2,Исходн.данные.!F57=$CE$3,Исходн.данные.!F57=$CE$4,Исходн.данные.!F57=$CE$5),GQ57,GR57)</f>
        <v>19</v>
      </c>
      <c r="GQ57" s="55">
        <f>IF(Исходн.данные.!F57=$CE$1,28,IF(Исходн.данные.!F57=$CE$2,26,IF(Исходн.данные.!F57=$CE$3,24,IF(Исходн.данные.!F57=$CE$4,22,IF(Исходн.данные.!F57=$CE$5,20,GR57)))))</f>
        <v>19</v>
      </c>
      <c r="GR57" s="55">
        <f>IF(Исходн.данные.!F57=$CE$6,18,IF(Исходн.данные.!F57=$CE$7,16,IF(Исходн.данные.!F57=$CE$8,14,IF(Исходн.данные.!F57=$CE$9,13,IF(Исходн.данные.!F57=$CE$10,12,19)))))</f>
        <v>19</v>
      </c>
      <c r="GS57" s="55">
        <f>IF(Исходн.данные.!G57="Пес",0.035*(40+2*Исходн.данные.!H57),IF(Исходн.данные.!G57="Суп",0.0325*(40+2*Исходн.данные.!H57),0.03*(40+2*Исходн.данные.!H57)))</f>
        <v>1.2</v>
      </c>
      <c r="GT57" s="55">
        <f>IF(Исходн.данные.!H57&lt;23,2.6,IF(AND(Исходн.данные.!H57&gt;22,Исходн.данные.!H57&lt;26),3,IF(AND(Исходн.данные.!H57&gt;25,Исходн.данные.!H57&lt;29),3.4,3.6)))</f>
        <v>2.6</v>
      </c>
      <c r="GU57" s="55">
        <f>IF(Исходн.данные.!H57&lt;23,2.8,IF(AND(Исходн.данные.!H57&gt;22,Исходн.данные.!H57&lt;26),3.2,IF(AND(Исходн.данные.!H57&gt;25,Исходн.данные.!H57&lt;29),3.6,3.9)))</f>
        <v>2.8</v>
      </c>
      <c r="GV57" s="55">
        <f>IF(Исходн.данные.!H57&lt;23,3,IF(AND(Исходн.данные.!H57&gt;22,Исходн.данные.!H57&lt;26),3.5,IF(AND(Исходн.данные.!H57&gt;25,Исходн.данные.!H57&lt;29),3.9,4.2)))</f>
        <v>3</v>
      </c>
      <c r="GW57" s="55" t="e">
        <f>IF(Исходн.данные.!P57="Ум",GX57,GY57)</f>
        <v>#N/A</v>
      </c>
      <c r="GX57" s="55" t="e">
        <f>VLOOKUP(Исходн.данные.!AI57,Коэффициенты!$J$7:$L$13,2,FALSE)</f>
        <v>#N/A</v>
      </c>
      <c r="GY57" s="55" t="e">
        <f>VLOOKUP(Исходн.данные.!AI57,Коэффициенты!$J$7:$L$13,3,FALSE)</f>
        <v>#N/A</v>
      </c>
      <c r="GZ57" s="55" t="e">
        <f>(IF(Исходн.данные.!M57&lt;50,0.11*VLOOKUP(Исходн.данные.!AH57,Культуры.Информация,7,FALSE),IF(Исходн.данные.!M57&gt;250,0.05*VLOOKUP(Исходн.данные.!AH57,Культуры.Информация,7,FALSE),VLOOKUP(Исходн.данные.!AH57,Культуры.Информация,5,FALSE)/100*($GX$6+$GY$6*Исходн.данные.!M57))))*Расчет2!AI57</f>
        <v>#N/A</v>
      </c>
      <c r="HA57" s="211"/>
      <c r="HB57" s="211"/>
      <c r="HC57" s="55" t="e">
        <f>(IF(Исходн.данные.!O57&lt;80,0.2*VLOOKUP(Исходн.данные.!AH57,Культуры.Информация,8,FALSE),IF(Исходн.данные.!O57&gt;240,0.09*VLOOKUP(Исходн.данные.!AH57,Культуры.Информация,8,FALSE),VLOOKUP(Исходн.данные.!AH57,Культуры.Информация,6,FALSE)/100*($HB$6+$HC$6*Исходн.данные.!O57))))*Расчет2!AJ57</f>
        <v>#N/A</v>
      </c>
      <c r="HD57" s="55">
        <f>IF(Исходн.данные.!O57&gt;240,0.09,IF(Исходн.данные.!O57&lt;30,0.3,$HE$10+$HD$10*Исходн.данные.!O57))</f>
        <v>0.3</v>
      </c>
      <c r="HE57" s="55">
        <f>IF(Исходн.данные.!O57&gt;240,0.17,IF(Исходн.данные.!O57&lt;30,0.5,$HF$12+$HE$12*Исходн.данные.!O57))</f>
        <v>0.5</v>
      </c>
      <c r="HF57" s="55" t="e">
        <f>VLOOKUP(Исходн.данные.!AH57,Справ!$A$3:$D$58,2,FALSE)</f>
        <v>#N/A</v>
      </c>
      <c r="HG57" s="55" t="e">
        <f>VLOOKUP(Исходн.данные.!AH57,Справ!$A$3:$D$58,3,FALSE)</f>
        <v>#N/A</v>
      </c>
      <c r="HH57" s="55" t="e">
        <f>VLOOKUP(Исходн.данные.!AH57,Справ!$A$3:$D$58,4,FALSE)</f>
        <v>#N/A</v>
      </c>
      <c r="HI57" s="11" t="e">
        <f t="shared" si="117"/>
        <v>#N/A</v>
      </c>
      <c r="HJ57" s="11" t="e">
        <f t="shared" si="118"/>
        <v>#N/A</v>
      </c>
      <c r="HK57" s="11" t="e">
        <f t="shared" si="119"/>
        <v>#N/A</v>
      </c>
      <c r="HL57" s="55">
        <f>IF(OR(Исходн.данные.!G57="Глин",Исходн.данные.!G57="Т_суг"),1.1,IF(Исходн.данные.!G57="Ср_суг",1,1))</f>
        <v>1</v>
      </c>
      <c r="HM57" s="55">
        <f>IF(OR(Исходн.данные.!G57="Глин",Исходн.данные.!G57="Т_суг"),0.9,IF(Исходн.данные.!G57="Ср_суг",1,1.2))</f>
        <v>1.2</v>
      </c>
      <c r="HN57" s="11" t="e">
        <f t="shared" si="120"/>
        <v>#N/A</v>
      </c>
      <c r="HO57" s="11" t="e">
        <f t="shared" si="121"/>
        <v>#N/A</v>
      </c>
      <c r="HP57" s="11" t="e">
        <f t="shared" si="122"/>
        <v>#N/A</v>
      </c>
      <c r="HQ57" t="e">
        <f t="shared" si="123"/>
        <v>#N/A</v>
      </c>
      <c r="HR57" t="e">
        <f t="shared" si="124"/>
        <v>#N/A</v>
      </c>
      <c r="HS57" t="e">
        <f t="shared" si="125"/>
        <v>#N/A</v>
      </c>
      <c r="HT57" t="e">
        <f t="shared" si="21"/>
        <v>#N/A</v>
      </c>
      <c r="HU57" t="e">
        <f t="shared" si="22"/>
        <v>#N/A</v>
      </c>
      <c r="HV57" t="e">
        <f t="shared" si="23"/>
        <v>#N/A</v>
      </c>
      <c r="HW57" t="e">
        <f t="shared" si="24"/>
        <v>#N/A</v>
      </c>
      <c r="HX57" t="e">
        <f t="shared" si="25"/>
        <v>#N/A</v>
      </c>
      <c r="HY57" t="e">
        <f t="shared" si="26"/>
        <v>#N/A</v>
      </c>
      <c r="HZ57" s="55">
        <f>IF(OR(Исходн.данные.!AI57="Оз_Ч_П",Исходн.данные.!AI57="Оз_З_П",Исходн.данные.!AI57="Яр_зер"),12,30)</f>
        <v>30</v>
      </c>
      <c r="IA57" t="e">
        <f t="shared" si="126"/>
        <v>#N/A</v>
      </c>
      <c r="IB57" t="e">
        <f t="shared" si="127"/>
        <v>#N/A</v>
      </c>
      <c r="IC57" t="e">
        <f t="shared" si="128"/>
        <v>#N/A</v>
      </c>
      <c r="ID57" s="11" t="e">
        <f t="shared" si="129"/>
        <v>#N/A</v>
      </c>
      <c r="IE57" s="11" t="e">
        <f t="shared" si="130"/>
        <v>#N/A</v>
      </c>
      <c r="IF57" s="11" t="e">
        <f t="shared" si="131"/>
        <v>#N/A</v>
      </c>
    </row>
    <row r="58" spans="35:240" x14ac:dyDescent="0.2">
      <c r="AI58">
        <f>IF(Исходн.данные.!I58&gt;6,1,1.85-(0.148*Исходн.данные.!I58))</f>
        <v>1.85</v>
      </c>
      <c r="AJ58">
        <f>IF(Исходн.данные.!I58&gt;6,1,2.434-(0.246*Исходн.данные.!I58))</f>
        <v>2.4340000000000002</v>
      </c>
      <c r="AL58" s="148" t="b">
        <f>IF(Исходн.данные.!$P58="Ум",N_OrgUd_2g_um,IF(Исходн.данные.!$P58="Об",N_OrgUd_2g_ob))</f>
        <v>0</v>
      </c>
      <c r="AM58" s="148" t="b">
        <f>IF(Исходн.данные.!$P58="Ум",P_OrgUd_2g_um,IF(Исходн.данные.!$P58="Об",P_OrgUd_2g_ob))</f>
        <v>0</v>
      </c>
      <c r="AN58" s="148" t="b">
        <f>IF(Исходн.данные.!$P58="Ум",K_OrgUd_2g_um,IF(Исходн.данные.!$P58="Об",K_OrgUd_2g_ob))</f>
        <v>0</v>
      </c>
      <c r="AO58" s="148" t="b">
        <f>IF(Исходн.данные.!$P58="Ум",N_OrgUd_1g_um,IF(Исходн.данные.!$P58="Об",N_OrgUd_1g_ob))</f>
        <v>0</v>
      </c>
      <c r="AP58" s="148" t="b">
        <f>IF(Исходн.данные.!$P58="Ум",P_OrgUd_1g_um,IF(Исходн.данные.!$P58="Об",P_OrgUd_1g_ob))</f>
        <v>0</v>
      </c>
      <c r="AQ58" s="148" t="b">
        <f>IF(Исходн.данные.!$P58="Ум",K_OrgUd_1g_um,IF(Исходн.данные.!$P58="Об",K_OrgUd_1g_ob))</f>
        <v>0</v>
      </c>
      <c r="AR58" t="b">
        <f>IF(Исходн.данные.!$P58="Ум",N_MinUd_2g_um,IF(Исходн.данные.!$P58="Об",N_MinUd_2g_ob))</f>
        <v>0</v>
      </c>
      <c r="AS58" t="b">
        <f>IF(Исходн.данные.!$P58="Ум",P_MinUd_2g_um,IF(Исходн.данные.!$P58="Об",P_MinUd_2g_ob))</f>
        <v>0</v>
      </c>
      <c r="AT58" t="b">
        <f>IF(Исходн.данные.!$P58="Ум",K_MinUd_2g_um,IF(Исходн.данные.!$P58="Об",K_MinUd_2g_ob))</f>
        <v>0</v>
      </c>
      <c r="AU58" t="b">
        <f>IF(Исходн.данные.!$P58="Ум",N_MinUd_1g_um,IF(Исходн.данные.!$P58="Об",N_MinUd_1g_ob))</f>
        <v>0</v>
      </c>
      <c r="AV58" t="b">
        <f>IF(Исходн.данные.!P58="Ум",P_MinUd_1g_um,IF(Исходн.данные.!P58="Об",P_MinUd_1g_ob))</f>
        <v>0</v>
      </c>
      <c r="AW58" t="b">
        <f>IF(Исходн.данные.!P58="Ум",K_MinUd_1g_um,IF(Исходн.данные.!P58="Об",K_MinUd_1g_ob))</f>
        <v>0</v>
      </c>
      <c r="AY58" t="e">
        <f>VLOOKUP(Исходн.данные.!T58,Справ!$A$3:$N$57,12)</f>
        <v>#N/A</v>
      </c>
      <c r="AZ58" t="e">
        <f>VLOOKUP(Исходн.данные.!T58,Справ!$A$3:$N$57,13)</f>
        <v>#N/A</v>
      </c>
      <c r="BA58" t="e">
        <f>VLOOKUP(Исходн.данные.!T58,Справ!$A$3:$N$57,14)</f>
        <v>#N/A</v>
      </c>
      <c r="BB58">
        <f>IF(Исходн.данные.!AH58=0,0,25)</f>
        <v>0</v>
      </c>
      <c r="BC58" s="141">
        <f>IF(Исходн.данные.!AH58=0,0,IF(Исходн.данные.!T58=0,25,BD58))</f>
        <v>0</v>
      </c>
      <c r="BD58" s="168" t="e">
        <f>AY58+AZ58*Исходн.данные.!U58-POWER(BA58,2)*Исходн.данные.!U58</f>
        <v>#N/A</v>
      </c>
      <c r="BE5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8" s="25">
        <f>IF(Исходн.данные.!AH58=0,0,MIN(HN58:HP58))</f>
        <v>0</v>
      </c>
      <c r="BG58" s="9">
        <f>IF(Исходн.данные.!AH58=0,0,IF((HO58+10*0.25/HG58/HL58)&lt;17,17,HO58+10*0.25/HG58/HL58))</f>
        <v>0</v>
      </c>
      <c r="BH58" s="181">
        <f>IF(Исходн.данные.!AH58=0,0,HW58*HF58*HL58/AU58*AI58+Исходн.данные.!S58*10)</f>
        <v>0</v>
      </c>
      <c r="BI58" s="10"/>
      <c r="BJ58" s="182">
        <f>IF(Исходн.данные.!AH58=0,0,IF(HX58*HG58*HL58/AV58&lt;0,0,HX58*HG58*HL58/AV58*AJ58))</f>
        <v>0</v>
      </c>
      <c r="BK58" s="182">
        <f>IF(Исходн.данные.!AH58=0,0,HY58*HH58*HM58/AW58)</f>
        <v>0</v>
      </c>
      <c r="BL58" s="10">
        <f>IF(OR(Исходн.данные.!$AH58=$BP$1,Исходн.данные.!$AH58=$BP$2),0,IF(BH58&lt;0,0,IF(OR(Исходн.данные.!T58=Расчет!$BP$1,Исходн.данные.!T58=Расчет!$BP$2,Исходн.данные.!T58=Расчет!$BT$5,Исходн.данные.!T58=Расчет!$BT$6),BH58*0.5,IF(OR(Исходн.данные.!T58=Расчет!$BS$9,Исходн.данные.!T58=Расчет!$BS$10,Исходн.данные.!T58=Расчет!$BS$11,Исходн.данные.!T58=Расчет!$BS$12,Исходн.данные.!T58=Расчет!$BP$5),BH58*0.8,BH58))))</f>
        <v>0</v>
      </c>
      <c r="BM58" s="10">
        <f>IF(OR(Исходн.данные.!$AH58=$BP$1,Исходн.данные.!$AH58=$BP$2),0,IF(BJ58&lt;0,0,IF(Исходн.данные.!I58&lt;4.5,BJ58*1.2,IF(Исходн.данные.!I58&gt;5.1,BJ58,BJ58*((5.1-Исходн.данные.!I58)*0.333+1)))))</f>
        <v>0</v>
      </c>
      <c r="BN58" s="10">
        <f>IF(OR(Исходн.данные.!$AH58=$BP$1,Исходн.данные.!$AH58=$BP$2),60-Исходн.данные.!AF58,IF(BK58&lt;0,0,IF(Исходн.данные.!I58&lt;4.5,BK58*1.2,IF(Исходн.данные.!I58&gt;5.1,BK58,BK58*((5.1-Исходн.данные.!I58)*0.333+1)))))</f>
        <v>0</v>
      </c>
      <c r="BO58" s="9">
        <f>IF(BL58&lt;0,0,BL58*Исходн.данные.!$AJ58/1000)</f>
        <v>0</v>
      </c>
      <c r="BP58" s="9">
        <f>IF(BM58&lt;0,0,BM58*Исходн.данные.!$AJ58/1000)</f>
        <v>0</v>
      </c>
      <c r="BQ58" s="9">
        <f>IF(BN58&lt;0,0,BN58*Исходн.данные.!$AJ58/1000)</f>
        <v>0</v>
      </c>
      <c r="BR58" s="9">
        <f t="shared" si="81"/>
        <v>0</v>
      </c>
      <c r="BS58" s="10" t="str">
        <f t="shared" si="82"/>
        <v>Аммофос 12:52:00</v>
      </c>
      <c r="BT58" s="10" t="str">
        <f t="shared" si="83"/>
        <v>Аммофос 12:52:00</v>
      </c>
      <c r="BU58" s="10" t="str">
        <f t="shared" si="84"/>
        <v>Диаммофоска</v>
      </c>
      <c r="BV58" s="10">
        <f t="shared" si="85"/>
        <v>0</v>
      </c>
      <c r="BW58" s="10"/>
      <c r="BX58" s="10"/>
      <c r="BY58" s="9">
        <f>IF(BL58&lt;0,0,IF(OR(Исходн.данные.!AI58=Расчет!$BU$6,Исходн.данные.!AI58=Расчет!$BU$7),Расчет!BV58,IF(Исходн.данные.!$AG58=$BV$11,BL58,IF(OR(Исходн.данные.!$AH58=$BQ$7,Исходн.данные.!$AH58=$BQ$8),CB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0,IF(Исходн.данные.!$AI58=$BU$11,"Нет",IF(BL58&gt;30,30,BL58)))))))</f>
        <v>0</v>
      </c>
      <c r="BZ58" s="9">
        <f>IF(AND(Исходн.данные.!$AG58=$BV$11,BM58&lt;10),10,IF(Исходн.данные.!$AG58=$BV$11,BM58,IF(OR(Исходн.данные.!$AH58=$BQ$7,Исходн.данные.!$AH58=$BQ$8),CC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10,IF(Исходн.данные.!$AI58=$BU$11,"Нет",IF(BM58&gt;60,60,IF(BM58&lt;10,10,BM58)))))))</f>
        <v>10</v>
      </c>
      <c r="CA58" s="39">
        <f>IF(BN58&lt;0,0,IF(Исходн.данные.!$AG58=$BV$11,BN58,IF(OR(Исходн.данные.!$AH58=$BQ$7,Исходн.данные.!$AH58=$BQ$8),CD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0,IF(Исходн.данные.!$AI58=$BU$11,"Нет",IF(BN58&gt;30,30,BN58))))))</f>
        <v>0</v>
      </c>
      <c r="CB58" s="9">
        <f t="shared" si="86"/>
        <v>0</v>
      </c>
      <c r="CC58" s="9">
        <f t="shared" si="87"/>
        <v>0</v>
      </c>
      <c r="CD58" s="9">
        <f t="shared" si="88"/>
        <v>0</v>
      </c>
      <c r="CE58" s="12">
        <f t="shared" si="89"/>
        <v>10</v>
      </c>
      <c r="CF58" s="9">
        <f t="shared" si="90"/>
        <v>0</v>
      </c>
      <c r="CG58" s="9" t="s">
        <v>231</v>
      </c>
      <c r="CH58" s="132" t="str">
        <f>IF(Исходн.данные.!AP58=Расчет!$CI$16,"Нет",IF(Исходн.данные.!AL58&gt;0,Исходн.данные.!AL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BH$4,IF(OR(Исходн.данные.!AI58=Исходн.данные.!$AI$6,Исходн.данные.!AI58=Исходн.данные.!$AI$7),Расчет!BS58,IF(AND($CF58=0,$CE58&gt;0),EV58,ER58)))))</f>
        <v>Аммофос 12:52:00</v>
      </c>
      <c r="CI58" s="274">
        <f>IF(Расчет!$CH58="Нет","Нет",IF(Исходн.данные.!$AL58&gt;0,VLOOKUP(Расчет!$CH58,АшламаДВ_Irekle,2,FALSE),VLOOKUP(Расчет!$CH58,АшламаДВ_Gomumy,2,FALSE)))</f>
        <v>0.12</v>
      </c>
      <c r="CJ58" s="274">
        <f>IF(Расчет!$CH58="Нет","Нет",IF(Исходн.данные.!$AL58&gt;0,VLOOKUP(Расчет!$CH58,АшламаДВ_Irekle,3,FALSE),VLOOKUP(Расчет!$CH58,АшламаДВ_Gomumy,3,FALSE)))</f>
        <v>0.52</v>
      </c>
      <c r="CK58" s="274">
        <f>IF(Расчет!$CH58="Нет","Нет",IF(Исходн.данные.!$AL58&gt;0,VLOOKUP(Расчет!$CH58,АшламаДВ_Irekle,4,FALSE),VLOOKUP(Расчет!$CH58,АшламаДВ_Gomumy,4,FALSE)))</f>
        <v>0</v>
      </c>
      <c r="CL58" s="70"/>
      <c r="CM58" s="70"/>
      <c r="CN58" s="70"/>
      <c r="CO58" s="70"/>
      <c r="CP58" s="70"/>
      <c r="CQ58" s="70"/>
      <c r="CR58" s="10">
        <f t="shared" si="91"/>
        <v>0</v>
      </c>
      <c r="CS58" s="10">
        <f t="shared" si="92"/>
        <v>19.23076923076923</v>
      </c>
      <c r="CT58" s="10">
        <f t="shared" si="93"/>
        <v>0</v>
      </c>
      <c r="CU58" s="39">
        <f>IF($CH58="Нет",0,IF(CI58=0,30/MIN(CJ58:CK58),IF(Исходн.данные.!$AG58=$BV$11,CR58,IF(OR(Исходн.данные.!$AH58=$BQ$7,Исходн.данные.!$AH58=$BQ$8),90/CI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0,IF(Исходн.данные.!$AI58=$BU$11,"Нет",30/CI58))))))</f>
        <v>250</v>
      </c>
      <c r="CV58" s="39">
        <f>IF($CH58="Нет",0,IF(Исходн.данные.!AH58=0,0,IF(CJ58=0,60/MIN(CI58,CK58),IF(Исходн.данные.!$AG58=$BV$11,CS58,IF(OR(Исходн.данные.!$AH58=$BQ$7,Исходн.данные.!$AH58=$BQ$8),90/CJ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10/CJ58,IF(Исходн.данные.!$AI58=$BU$11,"Нет",60/CJ58)))))))</f>
        <v>0</v>
      </c>
      <c r="CW58" s="39">
        <f>IF($CH58="Нет",0,IF(Исходн.данные.!AH58=0,0,IF(CK58=0,30/MIN(CI58:CJ58),IF(Исходн.данные.!$AG58=$BV$11,CT58,IF(OR(Исходн.данные.!$AH58=$BQ$7,Исходн.данные.!$AH58=$BQ$8),90/CK58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0,IF(Исходн.данные.!$AI58=$BU$11,"Нет",30/CK58)))))))</f>
        <v>0</v>
      </c>
      <c r="CX58" s="133">
        <f>IF(Исходн.данные.!$AG58=$BV$11,MAX(CU58:CW58),IF(OR(Исходн.данные.!$AH58=$BS$8,Исходн.данные.!$AH58=$BQ$9,Исходн.данные.!$AH58=$BQ$10,Исходн.данные.!$AH58=$BQ$11,Исходн.данные.!$AH58=$BQ$12,Исходн.данные.!$AH58=$BP$3,Исходн.данные.!$AH58=$BT$8,$FM58="Да"),CV58,MIN(CU58:CW58)))</f>
        <v>0</v>
      </c>
      <c r="CY58" s="133">
        <f>IF(Исходн.данные.!AH58=0,0,IF(CR58&gt;$CX58,$CX58,CR58))</f>
        <v>0</v>
      </c>
      <c r="CZ58" s="133">
        <f>IF(Исходн.данные.!AH58=0,0,IF(CS58&gt;$CX58,$CX58,CS58))</f>
        <v>0</v>
      </c>
      <c r="DA58" s="133">
        <f>IF(Исходн.данные.!AH58=0,0,IF(CT58&gt;$CX58,$CX58,CT58))</f>
        <v>0</v>
      </c>
      <c r="DB58" s="10">
        <f t="shared" si="94"/>
        <v>0</v>
      </c>
      <c r="DC58" s="39">
        <f>DB58*Исходн.данные.!AJ58/1000</f>
        <v>0</v>
      </c>
      <c r="DD58" s="71">
        <f t="shared" si="95"/>
        <v>0</v>
      </c>
      <c r="DE58" s="9">
        <f t="shared" si="96"/>
        <v>0</v>
      </c>
      <c r="DF58" s="9">
        <f t="shared" si="97"/>
        <v>0</v>
      </c>
      <c r="DG58" s="39">
        <f>IF(BL58&lt;0,0,IF($CH58="Нет",BL58,IF(OR(Исходн.данные.!$AH58=$BP$1,Исходн.данные.!$AH58=$BP$2),0,IF(Исходн.данные.!AI58=$BU$11,BL58,IF(BL58-DD58&lt;0,0,BL58-DD58)))))</f>
        <v>0</v>
      </c>
      <c r="DH58" s="39">
        <f>IF(BM58&lt;0,0,IF($CH58="Нет",BM58,IF(OR(Исходн.данные.!$AH58=$BP$1,Исходн.данные.!$AH58=$BP$2),0,IF(Исходн.данные.!AJ58=$BU$11,BM58,IF(BM58-DE58&lt;0,0,BM58-DE58)))))</f>
        <v>0</v>
      </c>
      <c r="DI58" s="39">
        <f>IF(BN58&lt;0,0,IF($CH58="Нет",BN58,IF(OR(Исходн.данные.!$AH58=$BP$1,Исходн.данные.!$AH58=$BP$2),0,IF(Исходн.данные.!AK58=$BU$11,BN58,IF(BN58-DF58&lt;0,0,BN58-DF58)))))</f>
        <v>0</v>
      </c>
      <c r="DJ58" s="12">
        <f t="shared" si="98"/>
        <v>0</v>
      </c>
      <c r="DK58" s="9">
        <f t="shared" si="99"/>
        <v>0</v>
      </c>
      <c r="DL58" s="39">
        <f>IF(Исходн.данные.!AM58&gt;0,Исходн.данные.!AM58,IF(EG58&gt;0,$BH$10,0))</f>
        <v>0</v>
      </c>
      <c r="DM58" s="186">
        <f>IF($DL58=0,0,IF(Исходн.данные.!AM58&gt;0,VLOOKUP($DL58,АшламаДВ_Irekle,2,FALSE),VLOOKUP($DL58,АшламаДВ_Gomumy,2,FALSE)))</f>
        <v>0</v>
      </c>
      <c r="DN58" s="10">
        <f t="shared" si="46"/>
        <v>0</v>
      </c>
      <c r="DO58" s="9" t="str">
        <f>IF(Исходн.данные.!AN58&gt;0,Исходн.данные.!AN58,Удобрения!$B$37 )</f>
        <v>Хлор.калий</v>
      </c>
      <c r="DP58" s="9">
        <f>IF(Исходн.данные.!AN58&gt;0,VLOOKUP(Исходн.данные.!AN58,АшламаДВ_Irekle,4,FALSE),VLOOKUP(DO58,АшламаДВ_Gomumy,4,FALSE))</f>
        <v>0.6</v>
      </c>
      <c r="DQ58" s="10">
        <f t="shared" si="47"/>
        <v>0</v>
      </c>
      <c r="DR58" s="132" t="str">
        <f>IF(Исходн.данные.!AO58&gt;0,Исходн.данные.!AO58,IF(DH58=0,BS$17,IF(AND($DK58=0,$DJ58&gt;0),EJ58,EN58)))</f>
        <v>Нет</v>
      </c>
      <c r="DS58" s="70" t="str">
        <f>IF($DR58="Нет","Нет",IF(Исходн.данные.!$AO58&gt;0,VLOOKUP($DR58,АшламаДВ_Irekle,2,FALSE),VLOOKUP($DR58,АшламаДВ_Gomumy,2,FALSE)))</f>
        <v>Нет</v>
      </c>
      <c r="DT58" s="70" t="str">
        <f>IF($DR58="Нет","Нет",IF(Исходн.данные.!$AO58&gt;0,VLOOKUP($DR58,АшламаДВ_Irekle,3,FALSE),VLOOKUP($DR58,АшламаДВ_Gomumy,3,FALSE)))</f>
        <v>Нет</v>
      </c>
      <c r="DU58" s="70" t="str">
        <f>IF($DR58="Нет","Нет",IF(Исходн.данные.!$AO58&gt;0,VLOOKUP($DR58,АшламаДВ_Irekle,4,FALSE),VLOOKUP($DR58,АшламаДВ_Gomumy,4,FALSE)))</f>
        <v>Нет</v>
      </c>
      <c r="DV58" s="70"/>
      <c r="DW58" s="70"/>
      <c r="DX58" s="70"/>
      <c r="DY58" s="10">
        <f t="shared" si="100"/>
        <v>0</v>
      </c>
      <c r="DZ58" s="10">
        <f t="shared" si="101"/>
        <v>0</v>
      </c>
      <c r="EA58" s="10">
        <f t="shared" si="102"/>
        <v>0</v>
      </c>
      <c r="EB58" s="10">
        <f t="shared" si="103"/>
        <v>0</v>
      </c>
      <c r="EC58" s="10">
        <f t="shared" si="104"/>
        <v>0</v>
      </c>
      <c r="ED58" s="10">
        <f t="shared" si="105"/>
        <v>0</v>
      </c>
      <c r="EE58" s="10">
        <f t="shared" si="106"/>
        <v>0</v>
      </c>
      <c r="EF58" s="39">
        <f>EB58*Исходн.данные.!AJ58/1000</f>
        <v>0</v>
      </c>
      <c r="EG58" s="9">
        <f t="shared" si="107"/>
        <v>0</v>
      </c>
      <c r="EH58" s="9">
        <f t="shared" si="108"/>
        <v>0</v>
      </c>
      <c r="EI58" s="39" t="e">
        <f t="shared" si="7"/>
        <v>#DIV/0!</v>
      </c>
      <c r="EJ58" s="9" t="str">
        <f t="shared" si="8"/>
        <v>Азопреципитат</v>
      </c>
      <c r="EK58" s="12">
        <f t="shared" si="9"/>
        <v>0.26</v>
      </c>
      <c r="EL58" s="12">
        <f t="shared" si="10"/>
        <v>0.13</v>
      </c>
      <c r="EM58" s="12">
        <f t="shared" si="11"/>
        <v>0</v>
      </c>
      <c r="EN58" s="12" t="str">
        <f t="shared" si="57"/>
        <v>Нет</v>
      </c>
      <c r="EO58" s="12">
        <f t="shared" si="12"/>
        <v>0</v>
      </c>
      <c r="EP58" s="12">
        <f t="shared" si="13"/>
        <v>0</v>
      </c>
      <c r="EQ58" s="12">
        <f t="shared" si="14"/>
        <v>0</v>
      </c>
      <c r="ER58" s="12" t="str">
        <f t="shared" si="109"/>
        <v>Диаммофоска</v>
      </c>
      <c r="ES58" s="12">
        <f t="shared" si="15"/>
        <v>0.1</v>
      </c>
      <c r="ET58" s="12">
        <f t="shared" si="16"/>
        <v>0.26</v>
      </c>
      <c r="EU58" s="12">
        <f t="shared" si="17"/>
        <v>0.26</v>
      </c>
      <c r="EV58" s="12" t="str">
        <f t="shared" si="110"/>
        <v>Аммофос 12:52:00</v>
      </c>
      <c r="EW58" s="12" t="str">
        <f t="shared" si="111"/>
        <v>Кемира Свекловичное-6</v>
      </c>
      <c r="EX58" s="12">
        <f t="shared" si="18"/>
        <v>0.16</v>
      </c>
      <c r="EY58" s="12">
        <f t="shared" si="19"/>
        <v>0.12</v>
      </c>
      <c r="EZ58" s="12">
        <f t="shared" si="20"/>
        <v>0.17</v>
      </c>
      <c r="FA58" s="38" t="e">
        <f>IF(AND(OR(FJ58=$FD$1,FM58=$FD$1,FO58=$FD$1,FQ58=$FD$1,FS58=$FD$1),FD58=$FD$1,Исходн.данные.!J58&lt;2,FU58=$FD$1),"Бор,Кобальт",IF(AND(FO58=$FD$1,FH58=$FD$1,Исходн.данные.!J58&lt;2,FU58=$FD$1),"Бор,Кобальт",IF(AND(OR(FJ58=$FD$1,FM58=$FD$1,FQ58=$FD$1),FE58=$FD$1,Исходн.данные.!J58&lt;2,FT58=$FD$1,FU58=$FD$1),"Бор,Медь,Цинк",IF(AND(OR(FJ58=$FD$1,FR58="Да"),FI58="Да",Исходн.данные.!J58&lt;2,FT58="Да",FU58="Да"),"Бор,Цинк,Медь",IF(AND(OR(FM58="Да",FQ58="Да"),FI58="Да",Исходн.данные.!J58&lt;2,FT58="Да",FU58="Да"),"Бор,Цинк",IF(AND(FN58="Да",OR(FD58="Да",FE58="Да")),"Бор",FB58))))))</f>
        <v>#N/A</v>
      </c>
      <c r="FB58" s="134" t="e">
        <f>IF(AND(OR(FD58="Да",FE58="Да",FF58="Да",FG58="Да",FH58="Да"),FO58="Да"),"Бор",IF(AND(FP58="Да",OR(FD58="Да",FE58="Да",FI58="Да")),"Бор",IF(AND(FS58="Да",FE58="Да"),"Бор,Медь",IF(AND(OR(FJ58="Да",FK58="Да",FL58="Да"),FE58="Да",Исходн.данные.!I58&lt;5,FT58="Да",FU58="Да"),"Молибден,Цинк",IF(AND(FM58="Да",OR(FE58="Да",FF58="Да",FG58="Да",FH58="Да",FI58="Да")),"Молибден,Цинк",IF(AND(OR(FJ58="Да",FK58="Да",FL58="Да",FM58="Да",FQ58="Да"),OR(FE58="Да",FF58="Да"),FT58="Да",FU58="Да",Исходн.данные.!I58&gt;5.5),"Медь,Цинк",FC58))))))</f>
        <v>#N/A</v>
      </c>
      <c r="FC58" s="23" t="e">
        <f t="shared" si="112"/>
        <v>#N/A</v>
      </c>
      <c r="FD58" s="38" t="str">
        <f>IF(OR(Исходн.данные.!F58=$CC$1,Исходн.данные.!F58=$CC$2,Исходн.данные.!F58=$CC$3,Исходн.данные.!F58=$CC$4),"Да","Нет")</f>
        <v>Нет</v>
      </c>
      <c r="FE58" s="38" t="str">
        <f>IF(Исходн.данные.!F58=$CC$5,"Да","Нет")</f>
        <v>Нет</v>
      </c>
      <c r="FF58" s="38" t="str">
        <f>IF(OR(Исходн.данные.!F58=$CC$6,Исходн.данные.!F58=$CC$7),"Да","Нет")</f>
        <v>Нет</v>
      </c>
      <c r="FG58" s="38" t="str">
        <f>IF(OR(Исходн.данные.!F58=$CC$8,Исходн.данные.!F58=$CC$9),"Да","Нет")</f>
        <v>Нет</v>
      </c>
      <c r="FH58" s="38" t="str">
        <f>IF(Исходн.данные.!F58=$CC$10,"Да","Нет")</f>
        <v>Нет</v>
      </c>
      <c r="FI58" s="38" t="str">
        <f>IF(OR(Исходн.данные.!F58=$CC$11,Исходн.данные.!F58=$CC$12),"Да","Нет")</f>
        <v>Нет</v>
      </c>
      <c r="FJ58" s="38" t="str">
        <f>IF(OR(Исходн.данные.!AH58=$BS$1,Исходн.данные.!AH58=$BQ$11,Исходн.данные.!AH58=$BQ$12),"Да","Нет")</f>
        <v>Нет</v>
      </c>
      <c r="FK58" s="38" t="str">
        <f>IF(OR(Исходн.данные.!AH58=$BS$2,Исходн.данные.!AH58=$BS$4),"Да","Нет")</f>
        <v>Нет</v>
      </c>
      <c r="FL58" s="38" t="str">
        <f>IF(OR(Исходн.данные.!AH58=$BS$3,Исходн.данные.!AH58=$BS$5),"Да","Нет")</f>
        <v>Нет</v>
      </c>
      <c r="FM58" s="38" t="str">
        <f>IF(OR(Исходн.данные.!AH58=$BS$9,Исходн.данные.!AH58=$BS$10,Исходн.данные.!AH58=$BS$11,Исходн.данные.!AH58=$BS$12),"Да","Нет")</f>
        <v>Нет</v>
      </c>
      <c r="FN58" s="38" t="str">
        <f>IF(OR(Исходн.данные.!AH58=$BS$6,Исходн.данные.!AH58=$BP$3),"Да","Нет")</f>
        <v>Нет</v>
      </c>
      <c r="FO58" s="38" t="str">
        <f>IF(Исходн.данные.!AH58=$BQ$9,"Да","Нет")</f>
        <v>Нет</v>
      </c>
      <c r="FP58" s="38" t="str">
        <f>IF(OR(Исходн.данные.!AH58=$BS$8,Исходн.данные.!AH58=$BT$8),"Да","Нет")</f>
        <v>Нет</v>
      </c>
      <c r="FQ58" s="38" t="str">
        <f>IF(OR(Исходн.данные.!AH58=$BQ$7,Исходн.данные.!AH58=$BQ$8),"Да","Нет")</f>
        <v>Нет</v>
      </c>
      <c r="FR58" s="38" t="str">
        <f>IF(Исходн.данные.!AI58=$BU$9,"Да","Нет")</f>
        <v>Нет</v>
      </c>
      <c r="FS58" s="38" t="str">
        <f>IF(OR(Исходн.данные.!AH58=$BP$1,Исходн.данные.!AH58=$BP$2),"Да","Нет")</f>
        <v>Нет</v>
      </c>
      <c r="FT58" s="38" t="e">
        <f>IF((Исходн.данные.!K58*GO58*GS58*GW58+BL58*0.6+Исходн.данные.!Q58*4.5*0.275)&gt;90,"Да","Нет")</f>
        <v>#N/A</v>
      </c>
      <c r="FU58" s="38" t="e">
        <f>IF((Исходн.данные.!M58*GS58*GZ58+BM58*0.225)&gt;35,"Да","Нет")</f>
        <v>#N/A</v>
      </c>
      <c r="FV58" s="38" t="str">
        <f>IF(Исходн.данные.!O58&gt;175,"Да","Нет")</f>
        <v>Нет</v>
      </c>
      <c r="FW58" s="39" t="str">
        <f>IF(Исходн.данные.!I58&gt;5.5,"Да","Нет")</f>
        <v>Нет</v>
      </c>
      <c r="FX58" s="39" t="str">
        <f>IF(Исходн.данные.!J58&lt;2,"Да","Нет")</f>
        <v>Да</v>
      </c>
      <c r="FY58" s="39" t="e">
        <f>IF(HF58=$FY$16,0,Исходн.данные.!K58*GO58*GS58*GW58/HF58)</f>
        <v>#N/A</v>
      </c>
      <c r="FZ58" s="39" t="e">
        <f>Исходн.данные.!M58*GS58*GZ58/HG58</f>
        <v>#N/A</v>
      </c>
      <c r="GA58" s="39" t="e">
        <f>IF(K_Wyn=$FY$16,0,IF(Исходн.данные.!N58=Исходн.данные.!$L$10,Исходн.данные.!O58/1.1*GS58*HC58/HH58,IF(Исходн.данные.!N58=Исходн.данные.!$L$12,Исходн.данные.!O58/1.5*GS58*HC58/HH58,Исходн.данные.!O58*GS58*HC58/HH58)))</f>
        <v>#N/A</v>
      </c>
      <c r="GB58" s="39" t="e">
        <f>IF(HF58=$FY$16,0,((Исходн.данные.!Q58*N_Org+Исходн.данные.!R58*N_Sider+Исходн.данные.!S58*N_Soloma)*AO58+Расчет!BC58*VLOOKUP(Исходн.данные.!T58,Справ!$A$3:$O$57,15)*AO58+BB58*VLOOKUP(Исходн.данные.!T58,Справ!$A$3:$O$57,15)*AL58+(Исходн.данные.!V58*N_Rizotorf+Исходн.данные.!W58*N_Rizoagr))/HF58)</f>
        <v>#N/A</v>
      </c>
      <c r="GC58" s="39" t="e">
        <f>IF(HG58=$FY$16,0,((Исходн.данные.!Q58*Р_Org+Исходн.данные.!R58*P_Sider+Исходн.данные.!S58*P_Soloma)*AP58+Расчет!BC58*VLOOKUP(Исходн.данные.!T58,Справ!$A$3:$P$57,16)*AP58+BB58*VLOOKUP(Исходн.данные.!T58,Справ!$A$3:$P$57,16)*AM58)/HG58)</f>
        <v>#N/A</v>
      </c>
      <c r="GD58" s="39" t="e">
        <f>IF(HH58=$FY$16,0,((Исходн.данные.!Q58*К_Org+Исходн.данные.!R58*K_Sider+Исходн.данные.!S58*K_Soloma)*AQ58+Расчет!BC58*VLOOKUP(Исходн.данные.!T58,Справ!$A$3:$Q$57,17)*AQ58+BB58*VLOOKUP(Исходн.данные.!T58,Справ!$A$3:$Q$57,17)*AN58)/HH58)</f>
        <v>#N/A</v>
      </c>
      <c r="GE58" s="39" t="e">
        <f>IF(HF58=$FY$16,0,(Исходн.данные.!X58*AR58+Исходн.данные.!AA58*N_Org*AL58+Исходн.данные.!AB58*N_Sider*AL58+Исходн.данные.!AC58*N_Soloma*AL58)/HF58)</f>
        <v>#N/A</v>
      </c>
      <c r="GF58" s="39" t="e">
        <f>IF(HG58=$FY$16,0,(Исходн.данные.!Y58*AS58+Исходн.данные.!AA58*Р_Org*AM58+Исходн.данные.!AB58*P_Sider*AM58+Исходн.данные.!AC58*P_Soloma*AM58)/HG58)</f>
        <v>#N/A</v>
      </c>
      <c r="GG58" s="39" t="e">
        <f>IF(HH58=$FY$16,0,(Исходн.данные.!Z58*AT58+Исходн.данные.!AA58*К_Org*AN58+Исходн.данные.!AB58*K_Sider*AN58+Исходн.данные.!AC58*K_Soloma*AN58)/HH58)</f>
        <v>#N/A</v>
      </c>
      <c r="GH58" s="39" t="e">
        <f>Исходн.данные.!AD58*AU58/HF58</f>
        <v>#N/A</v>
      </c>
      <c r="GI58" s="39" t="e">
        <f>Исходн.данные.!AE58*AV58/HG58</f>
        <v>#N/A</v>
      </c>
      <c r="GJ58" s="39" t="e">
        <f>Исходн.данные.!AF58*AW58/HH58</f>
        <v>#N/A</v>
      </c>
      <c r="GK58" s="55">
        <f>Исходн.данные.!AK58</f>
        <v>0</v>
      </c>
      <c r="GL58" s="11" t="e">
        <f t="shared" si="113"/>
        <v>#N/A</v>
      </c>
      <c r="GM58" s="11" t="e">
        <f t="shared" si="114"/>
        <v>#N/A</v>
      </c>
      <c r="GN58" s="11" t="e">
        <f t="shared" si="115"/>
        <v>#N/A</v>
      </c>
      <c r="GO58" s="57">
        <f t="shared" si="116"/>
        <v>19</v>
      </c>
      <c r="GP58" s="55">
        <f>IF(OR(Исходн.данные.!F58=$CE$1,Исходн.данные.!F58=$CE$2,Исходн.данные.!F58=$CE$3,Исходн.данные.!F58=$CE$4,Исходн.данные.!F58=$CE$5),GQ58,GR58)</f>
        <v>19</v>
      </c>
      <c r="GQ58" s="55">
        <f>IF(Исходн.данные.!F58=$CE$1,28,IF(Исходн.данные.!F58=$CE$2,26,IF(Исходн.данные.!F58=$CE$3,24,IF(Исходн.данные.!F58=$CE$4,22,IF(Исходн.данные.!F58=$CE$5,20,GR58)))))</f>
        <v>19</v>
      </c>
      <c r="GR58" s="55">
        <f>IF(Исходн.данные.!F58=$CE$6,18,IF(Исходн.данные.!F58=$CE$7,16,IF(Исходн.данные.!F58=$CE$8,14,IF(Исходн.данные.!F58=$CE$9,13,IF(Исходн.данные.!F58=$CE$10,12,19)))))</f>
        <v>19</v>
      </c>
      <c r="GS58" s="55">
        <f>IF(Исходн.данные.!G58="Пес",0.035*(40+2*Исходн.данные.!H58),IF(Исходн.данные.!G58="Суп",0.0325*(40+2*Исходн.данные.!H58),0.03*(40+2*Исходн.данные.!H58)))</f>
        <v>1.2</v>
      </c>
      <c r="GT58" s="55">
        <f>IF(Исходн.данные.!H58&lt;23,2.6,IF(AND(Исходн.данные.!H58&gt;22,Исходн.данные.!H58&lt;26),3,IF(AND(Исходн.данные.!H58&gt;25,Исходн.данные.!H58&lt;29),3.4,3.6)))</f>
        <v>2.6</v>
      </c>
      <c r="GU58" s="55">
        <f>IF(Исходн.данные.!H58&lt;23,2.8,IF(AND(Исходн.данные.!H58&gt;22,Исходн.данные.!H58&lt;26),3.2,IF(AND(Исходн.данные.!H58&gt;25,Исходн.данные.!H58&lt;29),3.6,3.9)))</f>
        <v>2.8</v>
      </c>
      <c r="GV58" s="55">
        <f>IF(Исходн.данные.!H58&lt;23,3,IF(AND(Исходн.данные.!H58&gt;22,Исходн.данные.!H58&lt;26),3.5,IF(AND(Исходн.данные.!H58&gt;25,Исходн.данные.!H58&lt;29),3.9,4.2)))</f>
        <v>3</v>
      </c>
      <c r="GW58" s="55" t="e">
        <f>IF(Исходн.данные.!P58="Ум",GX58,GY58)</f>
        <v>#N/A</v>
      </c>
      <c r="GX58" s="55" t="e">
        <f>VLOOKUP(Исходн.данные.!AI58,Коэффициенты!$J$7:$L$13,2,FALSE)</f>
        <v>#N/A</v>
      </c>
      <c r="GY58" s="55" t="e">
        <f>VLOOKUP(Исходн.данные.!AI58,Коэффициенты!$J$7:$L$13,3,FALSE)</f>
        <v>#N/A</v>
      </c>
      <c r="GZ58" s="55" t="e">
        <f>(IF(Исходн.данные.!M58&lt;50,0.11*VLOOKUP(Исходн.данные.!AH58,Культуры.Информация,7,FALSE),IF(Исходн.данные.!M58&gt;250,0.05*VLOOKUP(Исходн.данные.!AH58,Культуры.Информация,7,FALSE),VLOOKUP(Исходн.данные.!AH58,Культуры.Информация,5,FALSE)/100*($GX$6+$GY$6*Исходн.данные.!M58))))*Расчет2!AI58</f>
        <v>#N/A</v>
      </c>
      <c r="HA58" s="211"/>
      <c r="HB58" s="211"/>
      <c r="HC58" s="55" t="e">
        <f>(IF(Исходн.данные.!O58&lt;80,0.2*VLOOKUP(Исходн.данные.!AH58,Культуры.Информация,8,FALSE),IF(Исходн.данные.!O58&gt;240,0.09*VLOOKUP(Исходн.данные.!AH58,Культуры.Информация,8,FALSE),VLOOKUP(Исходн.данные.!AH58,Культуры.Информация,6,FALSE)/100*($HB$6+$HC$6*Исходн.данные.!O58))))*Расчет2!AJ58</f>
        <v>#N/A</v>
      </c>
      <c r="HD58" s="55">
        <f>IF(Исходн.данные.!O58&gt;240,0.09,IF(Исходн.данные.!O58&lt;30,0.3,$HE$10+$HD$10*Исходн.данные.!O58))</f>
        <v>0.3</v>
      </c>
      <c r="HE58" s="55">
        <f>IF(Исходн.данные.!O58&gt;240,0.17,IF(Исходн.данные.!O58&lt;30,0.5,$HF$12+$HE$12*Исходн.данные.!O58))</f>
        <v>0.5</v>
      </c>
      <c r="HF58" s="55" t="e">
        <f>VLOOKUP(Исходн.данные.!AH58,Справ!$A$3:$D$58,2,FALSE)</f>
        <v>#N/A</v>
      </c>
      <c r="HG58" s="55" t="e">
        <f>VLOOKUP(Исходн.данные.!AH58,Справ!$A$3:$D$58,3,FALSE)</f>
        <v>#N/A</v>
      </c>
      <c r="HH58" s="55" t="e">
        <f>VLOOKUP(Исходн.данные.!AH58,Справ!$A$3:$D$58,4,FALSE)</f>
        <v>#N/A</v>
      </c>
      <c r="HI58" s="11" t="e">
        <f t="shared" si="117"/>
        <v>#N/A</v>
      </c>
      <c r="HJ58" s="11" t="e">
        <f t="shared" si="118"/>
        <v>#N/A</v>
      </c>
      <c r="HK58" s="11" t="e">
        <f t="shared" si="119"/>
        <v>#N/A</v>
      </c>
      <c r="HL58" s="55">
        <f>IF(OR(Исходн.данные.!G58="Глин",Исходн.данные.!G58="Т_суг"),1.1,IF(Исходн.данные.!G58="Ср_суг",1,1))</f>
        <v>1</v>
      </c>
      <c r="HM58" s="55">
        <f>IF(OR(Исходн.данные.!G58="Глин",Исходн.данные.!G58="Т_суг"),0.9,IF(Исходн.данные.!G58="Ср_суг",1,1.2))</f>
        <v>1.2</v>
      </c>
      <c r="HN58" s="11" t="e">
        <f t="shared" si="120"/>
        <v>#N/A</v>
      </c>
      <c r="HO58" s="11" t="e">
        <f t="shared" si="121"/>
        <v>#N/A</v>
      </c>
      <c r="HP58" s="11" t="e">
        <f t="shared" si="122"/>
        <v>#N/A</v>
      </c>
      <c r="HQ58" t="e">
        <f t="shared" si="123"/>
        <v>#N/A</v>
      </c>
      <c r="HR58" t="e">
        <f t="shared" si="124"/>
        <v>#N/A</v>
      </c>
      <c r="HS58" t="e">
        <f t="shared" si="125"/>
        <v>#N/A</v>
      </c>
      <c r="HT58" t="e">
        <f t="shared" si="21"/>
        <v>#N/A</v>
      </c>
      <c r="HU58" t="e">
        <f t="shared" si="22"/>
        <v>#N/A</v>
      </c>
      <c r="HV58" t="e">
        <f t="shared" si="23"/>
        <v>#N/A</v>
      </c>
      <c r="HW58" t="e">
        <f t="shared" si="24"/>
        <v>#N/A</v>
      </c>
      <c r="HX58" t="e">
        <f t="shared" si="25"/>
        <v>#N/A</v>
      </c>
      <c r="HY58" t="e">
        <f t="shared" si="26"/>
        <v>#N/A</v>
      </c>
      <c r="HZ58" s="55">
        <f>IF(OR(Исходн.данные.!AI58="Оз_Ч_П",Исходн.данные.!AI58="Оз_З_П",Исходн.данные.!AI58="Яр_зер"),12,30)</f>
        <v>30</v>
      </c>
      <c r="IA58" t="e">
        <f t="shared" si="126"/>
        <v>#N/A</v>
      </c>
      <c r="IB58" t="e">
        <f t="shared" si="127"/>
        <v>#N/A</v>
      </c>
      <c r="IC58" t="e">
        <f t="shared" si="128"/>
        <v>#N/A</v>
      </c>
      <c r="ID58" s="11" t="e">
        <f t="shared" si="129"/>
        <v>#N/A</v>
      </c>
      <c r="IE58" s="11" t="e">
        <f t="shared" si="130"/>
        <v>#N/A</v>
      </c>
      <c r="IF58" s="11" t="e">
        <f t="shared" si="131"/>
        <v>#N/A</v>
      </c>
    </row>
    <row r="59" spans="35:240" x14ac:dyDescent="0.2">
      <c r="AI59">
        <f>IF(Исходн.данные.!I59&gt;6,1,1.85-(0.148*Исходн.данные.!I59))</f>
        <v>1.85</v>
      </c>
      <c r="AJ59">
        <f>IF(Исходн.данные.!I59&gt;6,1,2.434-(0.246*Исходн.данные.!I59))</f>
        <v>2.4340000000000002</v>
      </c>
      <c r="AL59" s="148" t="b">
        <f>IF(Исходн.данные.!$P59="Ум",N_OrgUd_2g_um,IF(Исходн.данные.!$P59="Об",N_OrgUd_2g_ob))</f>
        <v>0</v>
      </c>
      <c r="AM59" s="148" t="b">
        <f>IF(Исходн.данные.!$P59="Ум",P_OrgUd_2g_um,IF(Исходн.данные.!$P59="Об",P_OrgUd_2g_ob))</f>
        <v>0</v>
      </c>
      <c r="AN59" s="148" t="b">
        <f>IF(Исходн.данные.!$P59="Ум",K_OrgUd_2g_um,IF(Исходн.данные.!$P59="Об",K_OrgUd_2g_ob))</f>
        <v>0</v>
      </c>
      <c r="AO59" s="148" t="b">
        <f>IF(Исходн.данные.!$P59="Ум",N_OrgUd_1g_um,IF(Исходн.данные.!$P59="Об",N_OrgUd_1g_ob))</f>
        <v>0</v>
      </c>
      <c r="AP59" s="148" t="b">
        <f>IF(Исходн.данные.!$P59="Ум",P_OrgUd_1g_um,IF(Исходн.данные.!$P59="Об",P_OrgUd_1g_ob))</f>
        <v>0</v>
      </c>
      <c r="AQ59" s="148" t="b">
        <f>IF(Исходн.данные.!$P59="Ум",K_OrgUd_1g_um,IF(Исходн.данные.!$P59="Об",K_OrgUd_1g_ob))</f>
        <v>0</v>
      </c>
      <c r="AR59" t="b">
        <f>IF(Исходн.данные.!$P59="Ум",N_MinUd_2g_um,IF(Исходн.данные.!$P59="Об",N_MinUd_2g_ob))</f>
        <v>0</v>
      </c>
      <c r="AS59" t="b">
        <f>IF(Исходн.данные.!$P59="Ум",P_MinUd_2g_um,IF(Исходн.данные.!$P59="Об",P_MinUd_2g_ob))</f>
        <v>0</v>
      </c>
      <c r="AT59" t="b">
        <f>IF(Исходн.данные.!$P59="Ум",K_MinUd_2g_um,IF(Исходн.данные.!$P59="Об",K_MinUd_2g_ob))</f>
        <v>0</v>
      </c>
      <c r="AU59" t="b">
        <f>IF(Исходн.данные.!$P59="Ум",N_MinUd_1g_um,IF(Исходн.данные.!$P59="Об",N_MinUd_1g_ob))</f>
        <v>0</v>
      </c>
      <c r="AV59" t="b">
        <f>IF(Исходн.данные.!P59="Ум",P_MinUd_1g_um,IF(Исходн.данные.!P59="Об",P_MinUd_1g_ob))</f>
        <v>0</v>
      </c>
      <c r="AW59" t="b">
        <f>IF(Исходн.данные.!P59="Ум",K_MinUd_1g_um,IF(Исходн.данные.!P59="Об",K_MinUd_1g_ob))</f>
        <v>0</v>
      </c>
      <c r="AY59" t="e">
        <f>VLOOKUP(Исходн.данные.!T59,Справ!$A$3:$N$57,12)</f>
        <v>#N/A</v>
      </c>
      <c r="AZ59" t="e">
        <f>VLOOKUP(Исходн.данные.!T59,Справ!$A$3:$N$57,13)</f>
        <v>#N/A</v>
      </c>
      <c r="BA59" t="e">
        <f>VLOOKUP(Исходн.данные.!T59,Справ!$A$3:$N$57,14)</f>
        <v>#N/A</v>
      </c>
      <c r="BB59">
        <f>IF(Исходн.данные.!AH59=0,0,25)</f>
        <v>0</v>
      </c>
      <c r="BC59" s="141">
        <f>IF(Исходн.данные.!AH59=0,0,IF(Исходн.данные.!T59=0,25,BD59))</f>
        <v>0</v>
      </c>
      <c r="BD59" s="168" t="e">
        <f>AY59+AZ59*Исходн.данные.!U59-POWER(BA59,2)*Исходн.данные.!U59</f>
        <v>#N/A</v>
      </c>
      <c r="BE5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59" s="25">
        <f>IF(Исходн.данные.!AH59=0,0,MIN(HN59:HP59))</f>
        <v>0</v>
      </c>
      <c r="BG59" s="9">
        <f>IF(Исходн.данные.!AH59=0,0,IF((HO59+10*0.25/HG59/HL59)&lt;17,17,HO59+10*0.25/HG59/HL59))</f>
        <v>0</v>
      </c>
      <c r="BH59" s="181">
        <f>IF(Исходн.данные.!AH59=0,0,HW59*HF59*HL59/AU59*AI59+Исходн.данные.!S59*10)</f>
        <v>0</v>
      </c>
      <c r="BI59" s="10"/>
      <c r="BJ59" s="182">
        <f>IF(Исходн.данные.!AH59=0,0,IF(HX59*HG59*HL59/AV59&lt;0,0,HX59*HG59*HL59/AV59*AJ59))</f>
        <v>0</v>
      </c>
      <c r="BK59" s="182">
        <f>IF(Исходн.данные.!AH59=0,0,HY59*HH59*HM59/AW59)</f>
        <v>0</v>
      </c>
      <c r="BL59" s="10">
        <f>IF(OR(Исходн.данные.!$AH59=$BP$1,Исходн.данные.!$AH59=$BP$2),0,IF(BH59&lt;0,0,IF(OR(Исходн.данные.!T59=Расчет!$BP$1,Исходн.данные.!T59=Расчет!$BP$2,Исходн.данные.!T59=Расчет!$BT$5,Исходн.данные.!T59=Расчет!$BT$6),BH59*0.5,IF(OR(Исходн.данные.!T59=Расчет!$BS$9,Исходн.данные.!T59=Расчет!$BS$10,Исходн.данные.!T59=Расчет!$BS$11,Исходн.данные.!T59=Расчет!$BS$12,Исходн.данные.!T59=Расчет!$BP$5),BH59*0.8,BH59))))</f>
        <v>0</v>
      </c>
      <c r="BM59" s="10">
        <f>IF(OR(Исходн.данные.!$AH59=$BP$1,Исходн.данные.!$AH59=$BP$2),0,IF(BJ59&lt;0,0,IF(Исходн.данные.!I59&lt;4.5,BJ59*1.2,IF(Исходн.данные.!I59&gt;5.1,BJ59,BJ59*((5.1-Исходн.данные.!I59)*0.333+1)))))</f>
        <v>0</v>
      </c>
      <c r="BN59" s="10">
        <f>IF(OR(Исходн.данные.!$AH59=$BP$1,Исходн.данные.!$AH59=$BP$2),60-Исходн.данные.!AF59,IF(BK59&lt;0,0,IF(Исходн.данные.!I59&lt;4.5,BK59*1.2,IF(Исходн.данные.!I59&gt;5.1,BK59,BK59*((5.1-Исходн.данные.!I59)*0.333+1)))))</f>
        <v>0</v>
      </c>
      <c r="BO59" s="9">
        <f>IF(BL59&lt;0,0,BL59*Исходн.данные.!$AJ59/1000)</f>
        <v>0</v>
      </c>
      <c r="BP59" s="9">
        <f>IF(BM59&lt;0,0,BM59*Исходн.данные.!$AJ59/1000)</f>
        <v>0</v>
      </c>
      <c r="BQ59" s="9">
        <f>IF(BN59&lt;0,0,BN59*Исходн.данные.!$AJ59/1000)</f>
        <v>0</v>
      </c>
      <c r="BR59" s="9">
        <f t="shared" si="81"/>
        <v>0</v>
      </c>
      <c r="BS59" s="10" t="str">
        <f t="shared" si="82"/>
        <v>Аммофос 12:52:00</v>
      </c>
      <c r="BT59" s="10" t="str">
        <f t="shared" si="83"/>
        <v>Аммофос 12:52:00</v>
      </c>
      <c r="BU59" s="10" t="str">
        <f t="shared" si="84"/>
        <v>Диаммофоска</v>
      </c>
      <c r="BV59" s="10">
        <f t="shared" si="85"/>
        <v>0</v>
      </c>
      <c r="BW59" s="10"/>
      <c r="BX59" s="10"/>
      <c r="BY59" s="9">
        <f>IF(BL59&lt;0,0,IF(OR(Исходн.данные.!AI59=Расчет!$BU$6,Исходн.данные.!AI59=Расчет!$BU$7),Расчет!BV59,IF(Исходн.данные.!$AG59=$BV$11,BL59,IF(OR(Исходн.данные.!$AH59=$BQ$7,Исходн.данные.!$AH59=$BQ$8),CB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0,IF(Исходн.данные.!$AI59=$BU$11,"Нет",IF(BL59&gt;30,30,BL59)))))))</f>
        <v>0</v>
      </c>
      <c r="BZ59" s="9">
        <f>IF(AND(Исходн.данные.!$AG59=$BV$11,BM59&lt;10),10,IF(Исходн.данные.!$AG59=$BV$11,BM59,IF(OR(Исходн.данные.!$AH59=$BQ$7,Исходн.данные.!$AH59=$BQ$8),CC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10,IF(Исходн.данные.!$AI59=$BU$11,"Нет",IF(BM59&gt;60,60,IF(BM59&lt;10,10,BM59)))))))</f>
        <v>10</v>
      </c>
      <c r="CA59" s="39">
        <f>IF(BN59&lt;0,0,IF(Исходн.данные.!$AG59=$BV$11,BN59,IF(OR(Исходн.данные.!$AH59=$BQ$7,Исходн.данные.!$AH59=$BQ$8),CD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0,IF(Исходн.данные.!$AI59=$BU$11,"Нет",IF(BN59&gt;30,30,BN59))))))</f>
        <v>0</v>
      </c>
      <c r="CB59" s="9">
        <f t="shared" si="86"/>
        <v>0</v>
      </c>
      <c r="CC59" s="9">
        <f t="shared" si="87"/>
        <v>0</v>
      </c>
      <c r="CD59" s="9">
        <f t="shared" si="88"/>
        <v>0</v>
      </c>
      <c r="CE59" s="12">
        <f t="shared" si="89"/>
        <v>10</v>
      </c>
      <c r="CF59" s="9">
        <f t="shared" si="90"/>
        <v>0</v>
      </c>
      <c r="CG59" s="9" t="s">
        <v>231</v>
      </c>
      <c r="CH59" s="132" t="str">
        <f>IF(Исходн.данные.!AP59=Расчет!$CI$16,"Нет",IF(Исходн.данные.!AL59&gt;0,Исходн.данные.!AL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BH$4,IF(OR(Исходн.данные.!AI59=Исходн.данные.!$AI$6,Исходн.данные.!AI59=Исходн.данные.!$AI$7),Расчет!BS59,IF(AND($CF59=0,$CE59&gt;0),EV59,ER59)))))</f>
        <v>Аммофос 12:52:00</v>
      </c>
      <c r="CI59" s="274">
        <f>IF(Расчет!$CH59="Нет","Нет",IF(Исходн.данные.!$AL59&gt;0,VLOOKUP(Расчет!$CH59,АшламаДВ_Irekle,2,FALSE),VLOOKUP(Расчет!$CH59,АшламаДВ_Gomumy,2,FALSE)))</f>
        <v>0.12</v>
      </c>
      <c r="CJ59" s="274">
        <f>IF(Расчет!$CH59="Нет","Нет",IF(Исходн.данные.!$AL59&gt;0,VLOOKUP(Расчет!$CH59,АшламаДВ_Irekle,3,FALSE),VLOOKUP(Расчет!$CH59,АшламаДВ_Gomumy,3,FALSE)))</f>
        <v>0.52</v>
      </c>
      <c r="CK59" s="274">
        <f>IF(Расчет!$CH59="Нет","Нет",IF(Исходн.данные.!$AL59&gt;0,VLOOKUP(Расчет!$CH59,АшламаДВ_Irekle,4,FALSE),VLOOKUP(Расчет!$CH59,АшламаДВ_Gomumy,4,FALSE)))</f>
        <v>0</v>
      </c>
      <c r="CL59" s="70"/>
      <c r="CM59" s="70"/>
      <c r="CN59" s="70"/>
      <c r="CO59" s="70"/>
      <c r="CP59" s="70"/>
      <c r="CQ59" s="70"/>
      <c r="CR59" s="10">
        <f t="shared" si="91"/>
        <v>0</v>
      </c>
      <c r="CS59" s="10">
        <f t="shared" si="92"/>
        <v>19.23076923076923</v>
      </c>
      <c r="CT59" s="10">
        <f t="shared" si="93"/>
        <v>0</v>
      </c>
      <c r="CU59" s="39">
        <f>IF($CH59="Нет",0,IF(CI59=0,30/MIN(CJ59:CK59),IF(Исходн.данные.!$AG59=$BV$11,CR59,IF(OR(Исходн.данные.!$AH59=$BQ$7,Исходн.данные.!$AH59=$BQ$8),90/CI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0,IF(Исходн.данные.!$AI59=$BU$11,"Нет",30/CI59))))))</f>
        <v>250</v>
      </c>
      <c r="CV59" s="39">
        <f>IF($CH59="Нет",0,IF(Исходн.данные.!AH59=0,0,IF(CJ59=0,60/MIN(CI59,CK59),IF(Исходн.данные.!$AG59=$BV$11,CS59,IF(OR(Исходн.данные.!$AH59=$BQ$7,Исходн.данные.!$AH59=$BQ$8),90/CJ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10/CJ59,IF(Исходн.данные.!$AI59=$BU$11,"Нет",60/CJ59)))))))</f>
        <v>0</v>
      </c>
      <c r="CW59" s="39">
        <f>IF($CH59="Нет",0,IF(Исходн.данные.!AH59=0,0,IF(CK59=0,30/MIN(CI59:CJ59),IF(Исходн.данные.!$AG59=$BV$11,CT59,IF(OR(Исходн.данные.!$AH59=$BQ$7,Исходн.данные.!$AH59=$BQ$8),90/CK59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0,IF(Исходн.данные.!$AI59=$BU$11,"Нет",30/CK59)))))))</f>
        <v>0</v>
      </c>
      <c r="CX59" s="133">
        <f>IF(Исходн.данные.!$AG59=$BV$11,MAX(CU59:CW59),IF(OR(Исходн.данные.!$AH59=$BS$8,Исходн.данные.!$AH59=$BQ$9,Исходн.данные.!$AH59=$BQ$10,Исходн.данные.!$AH59=$BQ$11,Исходн.данные.!$AH59=$BQ$12,Исходн.данные.!$AH59=$BP$3,Исходн.данные.!$AH59=$BT$8,$FM59="Да"),CV59,MIN(CU59:CW59)))</f>
        <v>0</v>
      </c>
      <c r="CY59" s="133">
        <f>IF(Исходн.данные.!AH59=0,0,IF(CR59&gt;$CX59,$CX59,CR59))</f>
        <v>0</v>
      </c>
      <c r="CZ59" s="133">
        <f>IF(Исходн.данные.!AH59=0,0,IF(CS59&gt;$CX59,$CX59,CS59))</f>
        <v>0</v>
      </c>
      <c r="DA59" s="133">
        <f>IF(Исходн.данные.!AH59=0,0,IF(CT59&gt;$CX59,$CX59,CT59))</f>
        <v>0</v>
      </c>
      <c r="DB59" s="10">
        <f t="shared" si="94"/>
        <v>0</v>
      </c>
      <c r="DC59" s="39">
        <f>DB59*Исходн.данные.!AJ59/1000</f>
        <v>0</v>
      </c>
      <c r="DD59" s="71">
        <f t="shared" si="95"/>
        <v>0</v>
      </c>
      <c r="DE59" s="9">
        <f t="shared" si="96"/>
        <v>0</v>
      </c>
      <c r="DF59" s="9">
        <f t="shared" si="97"/>
        <v>0</v>
      </c>
      <c r="DG59" s="39">
        <f>IF(BL59&lt;0,0,IF($CH59="Нет",BL59,IF(OR(Исходн.данные.!$AH59=$BP$1,Исходн.данные.!$AH59=$BP$2),0,IF(Исходн.данные.!AI59=$BU$11,BL59,IF(BL59-DD59&lt;0,0,BL59-DD59)))))</f>
        <v>0</v>
      </c>
      <c r="DH59" s="39">
        <f>IF(BM59&lt;0,0,IF($CH59="Нет",BM59,IF(OR(Исходн.данные.!$AH59=$BP$1,Исходн.данные.!$AH59=$BP$2),0,IF(Исходн.данные.!AJ59=$BU$11,BM59,IF(BM59-DE59&lt;0,0,BM59-DE59)))))</f>
        <v>0</v>
      </c>
      <c r="DI59" s="39">
        <f>IF(BN59&lt;0,0,IF($CH59="Нет",BN59,IF(OR(Исходн.данные.!$AH59=$BP$1,Исходн.данные.!$AH59=$BP$2),0,IF(Исходн.данные.!AK59=$BU$11,BN59,IF(BN59-DF59&lt;0,0,BN59-DF59)))))</f>
        <v>0</v>
      </c>
      <c r="DJ59" s="12">
        <f t="shared" si="98"/>
        <v>0</v>
      </c>
      <c r="DK59" s="9">
        <f t="shared" si="99"/>
        <v>0</v>
      </c>
      <c r="DL59" s="39">
        <f>IF(Исходн.данные.!AM59&gt;0,Исходн.данные.!AM59,IF(EG59&gt;0,$BH$10,0))</f>
        <v>0</v>
      </c>
      <c r="DM59" s="186">
        <f>IF($DL59=0,0,IF(Исходн.данные.!AM59&gt;0,VLOOKUP($DL59,АшламаДВ_Irekle,2,FALSE),VLOOKUP($DL59,АшламаДВ_Gomumy,2,FALSE)))</f>
        <v>0</v>
      </c>
      <c r="DN59" s="10">
        <f t="shared" si="46"/>
        <v>0</v>
      </c>
      <c r="DO59" s="9" t="str">
        <f>IF(Исходн.данные.!AN59&gt;0,Исходн.данные.!AN59,Удобрения!$B$37 )</f>
        <v>Хлор.калий</v>
      </c>
      <c r="DP59" s="9">
        <f>IF(Исходн.данные.!AN59&gt;0,VLOOKUP(Исходн.данные.!AN59,АшламаДВ_Irekle,4,FALSE),VLOOKUP(DO59,АшламаДВ_Gomumy,4,FALSE))</f>
        <v>0.6</v>
      </c>
      <c r="DQ59" s="10">
        <f t="shared" si="47"/>
        <v>0</v>
      </c>
      <c r="DR59" s="132" t="str">
        <f>IF(Исходн.данные.!AO59&gt;0,Исходн.данные.!AO59,IF(DH59=0,BS$17,IF(AND($DK59=0,$DJ59&gt;0),EJ59,EN59)))</f>
        <v>Нет</v>
      </c>
      <c r="DS59" s="70" t="str">
        <f>IF($DR59="Нет","Нет",IF(Исходн.данные.!$AO59&gt;0,VLOOKUP($DR59,АшламаДВ_Irekle,2,FALSE),VLOOKUP($DR59,АшламаДВ_Gomumy,2,FALSE)))</f>
        <v>Нет</v>
      </c>
      <c r="DT59" s="70" t="str">
        <f>IF($DR59="Нет","Нет",IF(Исходн.данные.!$AO59&gt;0,VLOOKUP($DR59,АшламаДВ_Irekle,3,FALSE),VLOOKUP($DR59,АшламаДВ_Gomumy,3,FALSE)))</f>
        <v>Нет</v>
      </c>
      <c r="DU59" s="70" t="str">
        <f>IF($DR59="Нет","Нет",IF(Исходн.данные.!$AO59&gt;0,VLOOKUP($DR59,АшламаДВ_Irekle,4,FALSE),VLOOKUP($DR59,АшламаДВ_Gomumy,4,FALSE)))</f>
        <v>Нет</v>
      </c>
      <c r="DV59" s="70"/>
      <c r="DW59" s="70"/>
      <c r="DX59" s="70"/>
      <c r="DY59" s="10">
        <f t="shared" si="100"/>
        <v>0</v>
      </c>
      <c r="DZ59" s="10">
        <f t="shared" si="101"/>
        <v>0</v>
      </c>
      <c r="EA59" s="10">
        <f t="shared" si="102"/>
        <v>0</v>
      </c>
      <c r="EB59" s="10">
        <f t="shared" si="103"/>
        <v>0</v>
      </c>
      <c r="EC59" s="10">
        <f t="shared" si="104"/>
        <v>0</v>
      </c>
      <c r="ED59" s="10">
        <f t="shared" si="105"/>
        <v>0</v>
      </c>
      <c r="EE59" s="10">
        <f t="shared" si="106"/>
        <v>0</v>
      </c>
      <c r="EF59" s="39">
        <f>EB59*Исходн.данные.!AJ59/1000</f>
        <v>0</v>
      </c>
      <c r="EG59" s="9">
        <f t="shared" si="107"/>
        <v>0</v>
      </c>
      <c r="EH59" s="9">
        <f t="shared" si="108"/>
        <v>0</v>
      </c>
      <c r="EI59" s="39" t="e">
        <f t="shared" si="7"/>
        <v>#DIV/0!</v>
      </c>
      <c r="EJ59" s="9" t="str">
        <f t="shared" si="8"/>
        <v>Азопреципитат</v>
      </c>
      <c r="EK59" s="12">
        <f t="shared" si="9"/>
        <v>0.26</v>
      </c>
      <c r="EL59" s="12">
        <f t="shared" si="10"/>
        <v>0.13</v>
      </c>
      <c r="EM59" s="12">
        <f t="shared" si="11"/>
        <v>0</v>
      </c>
      <c r="EN59" s="12" t="str">
        <f t="shared" si="57"/>
        <v>Нет</v>
      </c>
      <c r="EO59" s="12">
        <f t="shared" si="12"/>
        <v>0</v>
      </c>
      <c r="EP59" s="12">
        <f t="shared" si="13"/>
        <v>0</v>
      </c>
      <c r="EQ59" s="12">
        <f t="shared" si="14"/>
        <v>0</v>
      </c>
      <c r="ER59" s="12" t="str">
        <f t="shared" si="109"/>
        <v>Диаммофоска</v>
      </c>
      <c r="ES59" s="12">
        <f t="shared" si="15"/>
        <v>0.1</v>
      </c>
      <c r="ET59" s="12">
        <f t="shared" si="16"/>
        <v>0.26</v>
      </c>
      <c r="EU59" s="12">
        <f t="shared" si="17"/>
        <v>0.26</v>
      </c>
      <c r="EV59" s="12" t="str">
        <f t="shared" si="110"/>
        <v>Аммофос 12:52:00</v>
      </c>
      <c r="EW59" s="12" t="str">
        <f t="shared" si="111"/>
        <v>Кемира Свекловичное-6</v>
      </c>
      <c r="EX59" s="12">
        <f t="shared" si="18"/>
        <v>0.16</v>
      </c>
      <c r="EY59" s="12">
        <f t="shared" si="19"/>
        <v>0.12</v>
      </c>
      <c r="EZ59" s="12">
        <f t="shared" si="20"/>
        <v>0.17</v>
      </c>
      <c r="FA59" s="38" t="e">
        <f>IF(AND(OR(FJ59=$FD$1,FM59=$FD$1,FO59=$FD$1,FQ59=$FD$1,FS59=$FD$1),FD59=$FD$1,Исходн.данные.!J59&lt;2,FU59=$FD$1),"Бор,Кобальт",IF(AND(FO59=$FD$1,FH59=$FD$1,Исходн.данные.!J59&lt;2,FU59=$FD$1),"Бор,Кобальт",IF(AND(OR(FJ59=$FD$1,FM59=$FD$1,FQ59=$FD$1),FE59=$FD$1,Исходн.данные.!J59&lt;2,FT59=$FD$1,FU59=$FD$1),"Бор,Медь,Цинк",IF(AND(OR(FJ59=$FD$1,FR59="Да"),FI59="Да",Исходн.данные.!J59&lt;2,FT59="Да",FU59="Да"),"Бор,Цинк,Медь",IF(AND(OR(FM59="Да",FQ59="Да"),FI59="Да",Исходн.данные.!J59&lt;2,FT59="Да",FU59="Да"),"Бор,Цинк",IF(AND(FN59="Да",OR(FD59="Да",FE59="Да")),"Бор",FB59))))))</f>
        <v>#N/A</v>
      </c>
      <c r="FB59" s="134" t="e">
        <f>IF(AND(OR(FD59="Да",FE59="Да",FF59="Да",FG59="Да",FH59="Да"),FO59="Да"),"Бор",IF(AND(FP59="Да",OR(FD59="Да",FE59="Да",FI59="Да")),"Бор",IF(AND(FS59="Да",FE59="Да"),"Бор,Медь",IF(AND(OR(FJ59="Да",FK59="Да",FL59="Да"),FE59="Да",Исходн.данные.!I59&lt;5,FT59="Да",FU59="Да"),"Молибден,Цинк",IF(AND(FM59="Да",OR(FE59="Да",FF59="Да",FG59="Да",FH59="Да",FI59="Да")),"Молибден,Цинк",IF(AND(OR(FJ59="Да",FK59="Да",FL59="Да",FM59="Да",FQ59="Да"),OR(FE59="Да",FF59="Да"),FT59="Да",FU59="Да",Исходн.данные.!I59&gt;5.5),"Медь,Цинк",FC59))))))</f>
        <v>#N/A</v>
      </c>
      <c r="FC59" s="23" t="e">
        <f t="shared" si="112"/>
        <v>#N/A</v>
      </c>
      <c r="FD59" s="38" t="str">
        <f>IF(OR(Исходн.данные.!F59=$CC$1,Исходн.данные.!F59=$CC$2,Исходн.данные.!F59=$CC$3,Исходн.данные.!F59=$CC$4),"Да","Нет")</f>
        <v>Нет</v>
      </c>
      <c r="FE59" s="38" t="str">
        <f>IF(Исходн.данные.!F59=$CC$5,"Да","Нет")</f>
        <v>Нет</v>
      </c>
      <c r="FF59" s="38" t="str">
        <f>IF(OR(Исходн.данные.!F59=$CC$6,Исходн.данные.!F59=$CC$7),"Да","Нет")</f>
        <v>Нет</v>
      </c>
      <c r="FG59" s="38" t="str">
        <f>IF(OR(Исходн.данные.!F59=$CC$8,Исходн.данные.!F59=$CC$9),"Да","Нет")</f>
        <v>Нет</v>
      </c>
      <c r="FH59" s="38" t="str">
        <f>IF(Исходн.данные.!F59=$CC$10,"Да","Нет")</f>
        <v>Нет</v>
      </c>
      <c r="FI59" s="38" t="str">
        <f>IF(OR(Исходн.данные.!F59=$CC$11,Исходн.данные.!F59=$CC$12),"Да","Нет")</f>
        <v>Нет</v>
      </c>
      <c r="FJ59" s="38" t="str">
        <f>IF(OR(Исходн.данные.!AH59=$BS$1,Исходн.данные.!AH59=$BQ$11,Исходн.данные.!AH59=$BQ$12),"Да","Нет")</f>
        <v>Нет</v>
      </c>
      <c r="FK59" s="38" t="str">
        <f>IF(OR(Исходн.данные.!AH59=$BS$2,Исходн.данные.!AH59=$BS$4),"Да","Нет")</f>
        <v>Нет</v>
      </c>
      <c r="FL59" s="38" t="str">
        <f>IF(OR(Исходн.данные.!AH59=$BS$3,Исходн.данные.!AH59=$BS$5),"Да","Нет")</f>
        <v>Нет</v>
      </c>
      <c r="FM59" s="38" t="str">
        <f>IF(OR(Исходн.данные.!AH59=$BS$9,Исходн.данные.!AH59=$BS$10,Исходн.данные.!AH59=$BS$11,Исходн.данные.!AH59=$BS$12),"Да","Нет")</f>
        <v>Нет</v>
      </c>
      <c r="FN59" s="38" t="str">
        <f>IF(OR(Исходн.данные.!AH59=$BS$6,Исходн.данные.!AH59=$BP$3),"Да","Нет")</f>
        <v>Нет</v>
      </c>
      <c r="FO59" s="38" t="str">
        <f>IF(Исходн.данные.!AH59=$BQ$9,"Да","Нет")</f>
        <v>Нет</v>
      </c>
      <c r="FP59" s="38" t="str">
        <f>IF(OR(Исходн.данные.!AH59=$BS$8,Исходн.данные.!AH59=$BT$8),"Да","Нет")</f>
        <v>Нет</v>
      </c>
      <c r="FQ59" s="38" t="str">
        <f>IF(OR(Исходн.данные.!AH59=$BQ$7,Исходн.данные.!AH59=$BQ$8),"Да","Нет")</f>
        <v>Нет</v>
      </c>
      <c r="FR59" s="38" t="str">
        <f>IF(Исходн.данные.!AI59=$BU$9,"Да","Нет")</f>
        <v>Нет</v>
      </c>
      <c r="FS59" s="38" t="str">
        <f>IF(OR(Исходн.данные.!AH59=$BP$1,Исходн.данные.!AH59=$BP$2),"Да","Нет")</f>
        <v>Нет</v>
      </c>
      <c r="FT59" s="38" t="e">
        <f>IF((Исходн.данные.!K59*GO59*GS59*GW59+BL59*0.6+Исходн.данные.!Q59*4.5*0.275)&gt;90,"Да","Нет")</f>
        <v>#N/A</v>
      </c>
      <c r="FU59" s="38" t="e">
        <f>IF((Исходн.данные.!M59*GS59*GZ59+BM59*0.225)&gt;35,"Да","Нет")</f>
        <v>#N/A</v>
      </c>
      <c r="FV59" s="38" t="str">
        <f>IF(Исходн.данные.!O59&gt;175,"Да","Нет")</f>
        <v>Нет</v>
      </c>
      <c r="FW59" s="39" t="str">
        <f>IF(Исходн.данные.!I59&gt;5.5,"Да","Нет")</f>
        <v>Нет</v>
      </c>
      <c r="FX59" s="39" t="str">
        <f>IF(Исходн.данные.!J59&lt;2,"Да","Нет")</f>
        <v>Да</v>
      </c>
      <c r="FY59" s="39" t="e">
        <f>IF(HF59=$FY$16,0,Исходн.данные.!K59*GO59*GS59*GW59/HF59)</f>
        <v>#N/A</v>
      </c>
      <c r="FZ59" s="39" t="e">
        <f>Исходн.данные.!M59*GS59*GZ59/HG59</f>
        <v>#N/A</v>
      </c>
      <c r="GA59" s="39" t="e">
        <f>IF(K_Wyn=$FY$16,0,IF(Исходн.данные.!N59=Исходн.данные.!$L$10,Исходн.данные.!O59/1.1*GS59*HC59/HH59,IF(Исходн.данные.!N59=Исходн.данные.!$L$12,Исходн.данные.!O59/1.5*GS59*HC59/HH59,Исходн.данные.!O59*GS59*HC59/HH59)))</f>
        <v>#N/A</v>
      </c>
      <c r="GB59" s="39" t="e">
        <f>IF(HF59=$FY$16,0,((Исходн.данные.!Q59*N_Org+Исходн.данные.!R59*N_Sider+Исходн.данные.!S59*N_Soloma)*AO59+Расчет!BC59*VLOOKUP(Исходн.данные.!T59,Справ!$A$3:$O$57,15)*AO59+BB59*VLOOKUP(Исходн.данные.!T59,Справ!$A$3:$O$57,15)*AL59+(Исходн.данные.!V59*N_Rizotorf+Исходн.данные.!W59*N_Rizoagr))/HF59)</f>
        <v>#N/A</v>
      </c>
      <c r="GC59" s="39" t="e">
        <f>IF(HG59=$FY$16,0,((Исходн.данные.!Q59*Р_Org+Исходн.данные.!R59*P_Sider+Исходн.данные.!S59*P_Soloma)*AP59+Расчет!BC59*VLOOKUP(Исходн.данные.!T59,Справ!$A$3:$P$57,16)*AP59+BB59*VLOOKUP(Исходн.данные.!T59,Справ!$A$3:$P$57,16)*AM59)/HG59)</f>
        <v>#N/A</v>
      </c>
      <c r="GD59" s="39" t="e">
        <f>IF(HH59=$FY$16,0,((Исходн.данные.!Q59*К_Org+Исходн.данные.!R59*K_Sider+Исходн.данные.!S59*K_Soloma)*AQ59+Расчет!BC59*VLOOKUP(Исходн.данные.!T59,Справ!$A$3:$Q$57,17)*AQ59+BB59*VLOOKUP(Исходн.данные.!T59,Справ!$A$3:$Q$57,17)*AN59)/HH59)</f>
        <v>#N/A</v>
      </c>
      <c r="GE59" s="39" t="e">
        <f>IF(HF59=$FY$16,0,(Исходн.данные.!X59*AR59+Исходн.данные.!AA59*N_Org*AL59+Исходн.данные.!AB59*N_Sider*AL59+Исходн.данные.!AC59*N_Soloma*AL59)/HF59)</f>
        <v>#N/A</v>
      </c>
      <c r="GF59" s="39" t="e">
        <f>IF(HG59=$FY$16,0,(Исходн.данные.!Y59*AS59+Исходн.данные.!AA59*Р_Org*AM59+Исходн.данные.!AB59*P_Sider*AM59+Исходн.данные.!AC59*P_Soloma*AM59)/HG59)</f>
        <v>#N/A</v>
      </c>
      <c r="GG59" s="39" t="e">
        <f>IF(HH59=$FY$16,0,(Исходн.данные.!Z59*AT59+Исходн.данные.!AA59*К_Org*AN59+Исходн.данные.!AB59*K_Sider*AN59+Исходн.данные.!AC59*K_Soloma*AN59)/HH59)</f>
        <v>#N/A</v>
      </c>
      <c r="GH59" s="39" t="e">
        <f>Исходн.данные.!AD59*AU59/HF59</f>
        <v>#N/A</v>
      </c>
      <c r="GI59" s="39" t="e">
        <f>Исходн.данные.!AE59*AV59/HG59</f>
        <v>#N/A</v>
      </c>
      <c r="GJ59" s="39" t="e">
        <f>Исходн.данные.!AF59*AW59/HH59</f>
        <v>#N/A</v>
      </c>
      <c r="GK59" s="55">
        <f>Исходн.данные.!AK59</f>
        <v>0</v>
      </c>
      <c r="GL59" s="11" t="e">
        <f t="shared" si="113"/>
        <v>#N/A</v>
      </c>
      <c r="GM59" s="11" t="e">
        <f t="shared" si="114"/>
        <v>#N/A</v>
      </c>
      <c r="GN59" s="11" t="e">
        <f t="shared" si="115"/>
        <v>#N/A</v>
      </c>
      <c r="GO59" s="57">
        <f t="shared" si="116"/>
        <v>19</v>
      </c>
      <c r="GP59" s="55">
        <f>IF(OR(Исходн.данные.!F59=$CE$1,Исходн.данные.!F59=$CE$2,Исходн.данные.!F59=$CE$3,Исходн.данные.!F59=$CE$4,Исходн.данные.!F59=$CE$5),GQ59,GR59)</f>
        <v>19</v>
      </c>
      <c r="GQ59" s="55">
        <f>IF(Исходн.данные.!F59=$CE$1,28,IF(Исходн.данные.!F59=$CE$2,26,IF(Исходн.данные.!F59=$CE$3,24,IF(Исходн.данные.!F59=$CE$4,22,IF(Исходн.данные.!F59=$CE$5,20,GR59)))))</f>
        <v>19</v>
      </c>
      <c r="GR59" s="55">
        <f>IF(Исходн.данные.!F59=$CE$6,18,IF(Исходн.данные.!F59=$CE$7,16,IF(Исходн.данные.!F59=$CE$8,14,IF(Исходн.данные.!F59=$CE$9,13,IF(Исходн.данные.!F59=$CE$10,12,19)))))</f>
        <v>19</v>
      </c>
      <c r="GS59" s="55">
        <f>IF(Исходн.данные.!G59="Пес",0.035*(40+2*Исходн.данные.!H59),IF(Исходн.данные.!G59="Суп",0.0325*(40+2*Исходн.данные.!H59),0.03*(40+2*Исходн.данные.!H59)))</f>
        <v>1.2</v>
      </c>
      <c r="GT59" s="55">
        <f>IF(Исходн.данные.!H59&lt;23,2.6,IF(AND(Исходн.данные.!H59&gt;22,Исходн.данные.!H59&lt;26),3,IF(AND(Исходн.данные.!H59&gt;25,Исходн.данные.!H59&lt;29),3.4,3.6)))</f>
        <v>2.6</v>
      </c>
      <c r="GU59" s="55">
        <f>IF(Исходн.данные.!H59&lt;23,2.8,IF(AND(Исходн.данные.!H59&gt;22,Исходн.данные.!H59&lt;26),3.2,IF(AND(Исходн.данные.!H59&gt;25,Исходн.данные.!H59&lt;29),3.6,3.9)))</f>
        <v>2.8</v>
      </c>
      <c r="GV59" s="55">
        <f>IF(Исходн.данные.!H59&lt;23,3,IF(AND(Исходн.данные.!H59&gt;22,Исходн.данные.!H59&lt;26),3.5,IF(AND(Исходн.данные.!H59&gt;25,Исходн.данные.!H59&lt;29),3.9,4.2)))</f>
        <v>3</v>
      </c>
      <c r="GW59" s="55" t="e">
        <f>IF(Исходн.данные.!P59="Ум",GX59,GY59)</f>
        <v>#N/A</v>
      </c>
      <c r="GX59" s="55" t="e">
        <f>VLOOKUP(Исходн.данные.!AI59,Коэффициенты!$J$7:$L$13,2,FALSE)</f>
        <v>#N/A</v>
      </c>
      <c r="GY59" s="55" t="e">
        <f>VLOOKUP(Исходн.данные.!AI59,Коэффициенты!$J$7:$L$13,3,FALSE)</f>
        <v>#N/A</v>
      </c>
      <c r="GZ59" s="55" t="e">
        <f>(IF(Исходн.данные.!M59&lt;50,0.11*VLOOKUP(Исходн.данные.!AH59,Культуры.Информация,7,FALSE),IF(Исходн.данные.!M59&gt;250,0.05*VLOOKUP(Исходн.данные.!AH59,Культуры.Информация,7,FALSE),VLOOKUP(Исходн.данные.!AH59,Культуры.Информация,5,FALSE)/100*($GX$6+$GY$6*Исходн.данные.!M59))))*Расчет2!AI59</f>
        <v>#N/A</v>
      </c>
      <c r="HA59" s="211"/>
      <c r="HB59" s="211"/>
      <c r="HC59" s="55" t="e">
        <f>(IF(Исходн.данные.!O59&lt;80,0.2*VLOOKUP(Исходн.данные.!AH59,Культуры.Информация,8,FALSE),IF(Исходн.данные.!O59&gt;240,0.09*VLOOKUP(Исходн.данные.!AH59,Культуры.Информация,8,FALSE),VLOOKUP(Исходн.данные.!AH59,Культуры.Информация,6,FALSE)/100*($HB$6+$HC$6*Исходн.данные.!O59))))*Расчет2!AJ59</f>
        <v>#N/A</v>
      </c>
      <c r="HD59" s="55">
        <f>IF(Исходн.данные.!O59&gt;240,0.09,IF(Исходн.данные.!O59&lt;30,0.3,$HE$10+$HD$10*Исходн.данные.!O59))</f>
        <v>0.3</v>
      </c>
      <c r="HE59" s="55">
        <f>IF(Исходн.данные.!O59&gt;240,0.17,IF(Исходн.данные.!O59&lt;30,0.5,$HF$12+$HE$12*Исходн.данные.!O59))</f>
        <v>0.5</v>
      </c>
      <c r="HF59" s="55" t="e">
        <f>VLOOKUP(Исходн.данные.!AH59,Справ!$A$3:$D$58,2,FALSE)</f>
        <v>#N/A</v>
      </c>
      <c r="HG59" s="55" t="e">
        <f>VLOOKUP(Исходн.данные.!AH59,Справ!$A$3:$D$58,3,FALSE)</f>
        <v>#N/A</v>
      </c>
      <c r="HH59" s="55" t="e">
        <f>VLOOKUP(Исходн.данные.!AH59,Справ!$A$3:$D$58,4,FALSE)</f>
        <v>#N/A</v>
      </c>
      <c r="HI59" s="11" t="e">
        <f t="shared" si="117"/>
        <v>#N/A</v>
      </c>
      <c r="HJ59" s="11" t="e">
        <f t="shared" si="118"/>
        <v>#N/A</v>
      </c>
      <c r="HK59" s="11" t="e">
        <f t="shared" si="119"/>
        <v>#N/A</v>
      </c>
      <c r="HL59" s="55">
        <f>IF(OR(Исходн.данные.!G59="Глин",Исходн.данные.!G59="Т_суг"),1.1,IF(Исходн.данные.!G59="Ср_суг",1,1))</f>
        <v>1</v>
      </c>
      <c r="HM59" s="55">
        <f>IF(OR(Исходн.данные.!G59="Глин",Исходн.данные.!G59="Т_суг"),0.9,IF(Исходн.данные.!G59="Ср_суг",1,1.2))</f>
        <v>1.2</v>
      </c>
      <c r="HN59" s="11" t="e">
        <f t="shared" si="120"/>
        <v>#N/A</v>
      </c>
      <c r="HO59" s="11" t="e">
        <f t="shared" si="121"/>
        <v>#N/A</v>
      </c>
      <c r="HP59" s="11" t="e">
        <f t="shared" si="122"/>
        <v>#N/A</v>
      </c>
      <c r="HQ59" t="e">
        <f t="shared" si="123"/>
        <v>#N/A</v>
      </c>
      <c r="HR59" t="e">
        <f t="shared" si="124"/>
        <v>#N/A</v>
      </c>
      <c r="HS59" t="e">
        <f t="shared" si="125"/>
        <v>#N/A</v>
      </c>
      <c r="HT59" t="e">
        <f t="shared" si="21"/>
        <v>#N/A</v>
      </c>
      <c r="HU59" t="e">
        <f t="shared" si="22"/>
        <v>#N/A</v>
      </c>
      <c r="HV59" t="e">
        <f t="shared" si="23"/>
        <v>#N/A</v>
      </c>
      <c r="HW59" t="e">
        <f t="shared" si="24"/>
        <v>#N/A</v>
      </c>
      <c r="HX59" t="e">
        <f t="shared" si="25"/>
        <v>#N/A</v>
      </c>
      <c r="HY59" t="e">
        <f t="shared" si="26"/>
        <v>#N/A</v>
      </c>
      <c r="HZ59" s="55">
        <f>IF(OR(Исходн.данные.!AI59="Оз_Ч_П",Исходн.данные.!AI59="Оз_З_П",Исходн.данные.!AI59="Яр_зер"),12,30)</f>
        <v>30</v>
      </c>
      <c r="IA59" t="e">
        <f t="shared" si="126"/>
        <v>#N/A</v>
      </c>
      <c r="IB59" t="e">
        <f t="shared" si="127"/>
        <v>#N/A</v>
      </c>
      <c r="IC59" t="e">
        <f t="shared" si="128"/>
        <v>#N/A</v>
      </c>
      <c r="ID59" s="11" t="e">
        <f t="shared" si="129"/>
        <v>#N/A</v>
      </c>
      <c r="IE59" s="11" t="e">
        <f t="shared" si="130"/>
        <v>#N/A</v>
      </c>
      <c r="IF59" s="11" t="e">
        <f t="shared" si="131"/>
        <v>#N/A</v>
      </c>
    </row>
    <row r="60" spans="35:240" x14ac:dyDescent="0.2">
      <c r="AI60">
        <f>IF(Исходн.данные.!I60&gt;6,1,1.85-(0.148*Исходн.данные.!I60))</f>
        <v>1.85</v>
      </c>
      <c r="AJ60">
        <f>IF(Исходн.данные.!I60&gt;6,1,2.434-(0.246*Исходн.данные.!I60))</f>
        <v>2.4340000000000002</v>
      </c>
      <c r="AL60" s="148" t="b">
        <f>IF(Исходн.данные.!$P60="Ум",N_OrgUd_2g_um,IF(Исходн.данные.!$P60="Об",N_OrgUd_2g_ob))</f>
        <v>0</v>
      </c>
      <c r="AM60" s="148" t="b">
        <f>IF(Исходн.данные.!$P60="Ум",P_OrgUd_2g_um,IF(Исходн.данные.!$P60="Об",P_OrgUd_2g_ob))</f>
        <v>0</v>
      </c>
      <c r="AN60" s="148" t="b">
        <f>IF(Исходн.данные.!$P60="Ум",K_OrgUd_2g_um,IF(Исходн.данные.!$P60="Об",K_OrgUd_2g_ob))</f>
        <v>0</v>
      </c>
      <c r="AO60" s="148" t="b">
        <f>IF(Исходн.данные.!$P60="Ум",N_OrgUd_1g_um,IF(Исходн.данные.!$P60="Об",N_OrgUd_1g_ob))</f>
        <v>0</v>
      </c>
      <c r="AP60" s="148" t="b">
        <f>IF(Исходн.данные.!$P60="Ум",P_OrgUd_1g_um,IF(Исходн.данные.!$P60="Об",P_OrgUd_1g_ob))</f>
        <v>0</v>
      </c>
      <c r="AQ60" s="148" t="b">
        <f>IF(Исходн.данные.!$P60="Ум",K_OrgUd_1g_um,IF(Исходн.данные.!$P60="Об",K_OrgUd_1g_ob))</f>
        <v>0</v>
      </c>
      <c r="AR60" t="b">
        <f>IF(Исходн.данные.!$P60="Ум",N_MinUd_2g_um,IF(Исходн.данные.!$P60="Об",N_MinUd_2g_ob))</f>
        <v>0</v>
      </c>
      <c r="AS60" t="b">
        <f>IF(Исходн.данные.!$P60="Ум",P_MinUd_2g_um,IF(Исходн.данные.!$P60="Об",P_MinUd_2g_ob))</f>
        <v>0</v>
      </c>
      <c r="AT60" t="b">
        <f>IF(Исходн.данные.!$P60="Ум",K_MinUd_2g_um,IF(Исходн.данные.!$P60="Об",K_MinUd_2g_ob))</f>
        <v>0</v>
      </c>
      <c r="AU60" t="b">
        <f>IF(Исходн.данные.!$P60="Ум",N_MinUd_1g_um,IF(Исходн.данные.!$P60="Об",N_MinUd_1g_ob))</f>
        <v>0</v>
      </c>
      <c r="AV60" t="b">
        <f>IF(Исходн.данные.!P60="Ум",P_MinUd_1g_um,IF(Исходн.данные.!P60="Об",P_MinUd_1g_ob))</f>
        <v>0</v>
      </c>
      <c r="AW60" t="b">
        <f>IF(Исходн.данные.!P60="Ум",K_MinUd_1g_um,IF(Исходн.данные.!P60="Об",K_MinUd_1g_ob))</f>
        <v>0</v>
      </c>
      <c r="AY60" t="e">
        <f>VLOOKUP(Исходн.данные.!T60,Справ!$A$3:$N$57,12)</f>
        <v>#N/A</v>
      </c>
      <c r="AZ60" t="e">
        <f>VLOOKUP(Исходн.данные.!T60,Справ!$A$3:$N$57,13)</f>
        <v>#N/A</v>
      </c>
      <c r="BA60" t="e">
        <f>VLOOKUP(Исходн.данные.!T60,Справ!$A$3:$N$57,14)</f>
        <v>#N/A</v>
      </c>
      <c r="BB60">
        <f>IF(Исходн.данные.!AH60=0,0,25)</f>
        <v>0</v>
      </c>
      <c r="BC60" s="141">
        <f>IF(Исходн.данные.!AH60=0,0,IF(Исходн.данные.!T60=0,25,BD60))</f>
        <v>0</v>
      </c>
      <c r="BD60" s="168" t="e">
        <f>AY60+AZ60*Исходн.данные.!U60-POWER(BA60,2)*Исходн.данные.!U60</f>
        <v>#N/A</v>
      </c>
      <c r="BE6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0" s="25">
        <f>IF(Исходн.данные.!AH60=0,0,MIN(HN60:HP60))</f>
        <v>0</v>
      </c>
      <c r="BG60" s="9">
        <f>IF(Исходн.данные.!AH60=0,0,IF((HO60+10*0.25/HG60/HL60)&lt;17,17,HO60+10*0.25/HG60/HL60))</f>
        <v>0</v>
      </c>
      <c r="BH60" s="181">
        <f>IF(Исходн.данные.!AH60=0,0,HW60*HF60*HL60/AU60*AI60+Исходн.данные.!S60*10)</f>
        <v>0</v>
      </c>
      <c r="BI60" s="10"/>
      <c r="BJ60" s="182">
        <f>IF(Исходн.данные.!AH60=0,0,IF(HX60*HG60*HL60/AV60&lt;0,0,HX60*HG60*HL60/AV60*AJ60))</f>
        <v>0</v>
      </c>
      <c r="BK60" s="182">
        <f>IF(Исходн.данные.!AH60=0,0,HY60*HH60*HM60/AW60)</f>
        <v>0</v>
      </c>
      <c r="BL60" s="10">
        <f>IF(OR(Исходн.данные.!$AH60=$BP$1,Исходн.данные.!$AH60=$BP$2),0,IF(BH60&lt;0,0,IF(OR(Исходн.данные.!T60=Расчет!$BP$1,Исходн.данные.!T60=Расчет!$BP$2,Исходн.данные.!T60=Расчет!$BT$5,Исходн.данные.!T60=Расчет!$BT$6),BH60*0.5,IF(OR(Исходн.данные.!T60=Расчет!$BS$9,Исходн.данные.!T60=Расчет!$BS$10,Исходн.данные.!T60=Расчет!$BS$11,Исходн.данные.!T60=Расчет!$BS$12,Исходн.данные.!T60=Расчет!$BP$5),BH60*0.8,BH60))))</f>
        <v>0</v>
      </c>
      <c r="BM60" s="10">
        <f>IF(OR(Исходн.данные.!$AH60=$BP$1,Исходн.данные.!$AH60=$BP$2),0,IF(BJ60&lt;0,0,IF(Исходн.данные.!I60&lt;4.5,BJ60*1.2,IF(Исходн.данные.!I60&gt;5.1,BJ60,BJ60*((5.1-Исходн.данные.!I60)*0.333+1)))))</f>
        <v>0</v>
      </c>
      <c r="BN60" s="10">
        <f>IF(OR(Исходн.данные.!$AH60=$BP$1,Исходн.данные.!$AH60=$BP$2),60-Исходн.данные.!AF60,IF(BK60&lt;0,0,IF(Исходн.данные.!I60&lt;4.5,BK60*1.2,IF(Исходн.данные.!I60&gt;5.1,BK60,BK60*((5.1-Исходн.данные.!I60)*0.333+1)))))</f>
        <v>0</v>
      </c>
      <c r="BO60" s="9">
        <f>IF(BL60&lt;0,0,BL60*Исходн.данные.!$AJ60/1000)</f>
        <v>0</v>
      </c>
      <c r="BP60" s="9">
        <f>IF(BM60&lt;0,0,BM60*Исходн.данные.!$AJ60/1000)</f>
        <v>0</v>
      </c>
      <c r="BQ60" s="9">
        <f>IF(BN60&lt;0,0,BN60*Исходн.данные.!$AJ60/1000)</f>
        <v>0</v>
      </c>
      <c r="BR60" s="9">
        <f t="shared" si="81"/>
        <v>0</v>
      </c>
      <c r="BS60" s="10" t="str">
        <f t="shared" si="82"/>
        <v>Аммофос 12:52:00</v>
      </c>
      <c r="BT60" s="10" t="str">
        <f t="shared" si="83"/>
        <v>Аммофос 12:52:00</v>
      </c>
      <c r="BU60" s="10" t="str">
        <f t="shared" si="84"/>
        <v>Диаммофоска</v>
      </c>
      <c r="BV60" s="10">
        <f t="shared" si="85"/>
        <v>0</v>
      </c>
      <c r="BW60" s="10"/>
      <c r="BX60" s="10"/>
      <c r="BY60" s="9">
        <f>IF(BL60&lt;0,0,IF(OR(Исходн.данные.!AI60=Расчет!$BU$6,Исходн.данные.!AI60=Расчет!$BU$7),Расчет!BV60,IF(Исходн.данные.!$AG60=$BV$11,BL60,IF(OR(Исходн.данные.!$AH60=$BQ$7,Исходн.данные.!$AH60=$BQ$8),CB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0,IF(Исходн.данные.!$AI60=$BU$11,"Нет",IF(BL60&gt;30,30,BL60)))))))</f>
        <v>0</v>
      </c>
      <c r="BZ60" s="9">
        <f>IF(AND(Исходн.данные.!$AG60=$BV$11,BM60&lt;10),10,IF(Исходн.данные.!$AG60=$BV$11,BM60,IF(OR(Исходн.данные.!$AH60=$BQ$7,Исходн.данные.!$AH60=$BQ$8),CC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10,IF(Исходн.данные.!$AI60=$BU$11,"Нет",IF(BM60&gt;60,60,IF(BM60&lt;10,10,BM60)))))))</f>
        <v>10</v>
      </c>
      <c r="CA60" s="39">
        <f>IF(BN60&lt;0,0,IF(Исходн.данные.!$AG60=$BV$11,BN60,IF(OR(Исходн.данные.!$AH60=$BQ$7,Исходн.данные.!$AH60=$BQ$8),CD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0,IF(Исходн.данные.!$AI60=$BU$11,"Нет",IF(BN60&gt;30,30,BN60))))))</f>
        <v>0</v>
      </c>
      <c r="CB60" s="9">
        <f t="shared" si="86"/>
        <v>0</v>
      </c>
      <c r="CC60" s="9">
        <f t="shared" si="87"/>
        <v>0</v>
      </c>
      <c r="CD60" s="9">
        <f t="shared" si="88"/>
        <v>0</v>
      </c>
      <c r="CE60" s="12">
        <f t="shared" si="89"/>
        <v>10</v>
      </c>
      <c r="CF60" s="9">
        <f t="shared" si="90"/>
        <v>0</v>
      </c>
      <c r="CG60" s="9" t="s">
        <v>231</v>
      </c>
      <c r="CH60" s="132" t="str">
        <f>IF(Исходн.данные.!AP60=Расчет!$CI$16,"Нет",IF(Исходн.данные.!AL60&gt;0,Исходн.данные.!AL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BH$4,IF(OR(Исходн.данные.!AI60=Исходн.данные.!$AI$6,Исходн.данные.!AI60=Исходн.данные.!$AI$7),Расчет!BS60,IF(AND($CF60=0,$CE60&gt;0),EV60,ER60)))))</f>
        <v>Аммофос 12:52:00</v>
      </c>
      <c r="CI60" s="274">
        <f>IF(Расчет!$CH60="Нет","Нет",IF(Исходн.данные.!$AL60&gt;0,VLOOKUP(Расчет!$CH60,АшламаДВ_Irekle,2,FALSE),VLOOKUP(Расчет!$CH60,АшламаДВ_Gomumy,2,FALSE)))</f>
        <v>0.12</v>
      </c>
      <c r="CJ60" s="274">
        <f>IF(Расчет!$CH60="Нет","Нет",IF(Исходн.данные.!$AL60&gt;0,VLOOKUP(Расчет!$CH60,АшламаДВ_Irekle,3,FALSE),VLOOKUP(Расчет!$CH60,АшламаДВ_Gomumy,3,FALSE)))</f>
        <v>0.52</v>
      </c>
      <c r="CK60" s="274">
        <f>IF(Расчет!$CH60="Нет","Нет",IF(Исходн.данные.!$AL60&gt;0,VLOOKUP(Расчет!$CH60,АшламаДВ_Irekle,4,FALSE),VLOOKUP(Расчет!$CH60,АшламаДВ_Gomumy,4,FALSE)))</f>
        <v>0</v>
      </c>
      <c r="CL60" s="70"/>
      <c r="CM60" s="70"/>
      <c r="CN60" s="70"/>
      <c r="CO60" s="70"/>
      <c r="CP60" s="70"/>
      <c r="CQ60" s="70"/>
      <c r="CR60" s="10">
        <f t="shared" si="91"/>
        <v>0</v>
      </c>
      <c r="CS60" s="10">
        <f t="shared" si="92"/>
        <v>19.23076923076923</v>
      </c>
      <c r="CT60" s="10">
        <f t="shared" si="93"/>
        <v>0</v>
      </c>
      <c r="CU60" s="39">
        <f>IF($CH60="Нет",0,IF(CI60=0,30/MIN(CJ60:CK60),IF(Исходн.данные.!$AG60=$BV$11,CR60,IF(OR(Исходн.данные.!$AH60=$BQ$7,Исходн.данные.!$AH60=$BQ$8),90/CI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0,IF(Исходн.данные.!$AI60=$BU$11,"Нет",30/CI60))))))</f>
        <v>250</v>
      </c>
      <c r="CV60" s="39">
        <f>IF($CH60="Нет",0,IF(Исходн.данные.!AH60=0,0,IF(CJ60=0,60/MIN(CI60,CK60),IF(Исходн.данные.!$AG60=$BV$11,CS60,IF(OR(Исходн.данные.!$AH60=$BQ$7,Исходн.данные.!$AH60=$BQ$8),90/CJ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10/CJ60,IF(Исходн.данные.!$AI60=$BU$11,"Нет",60/CJ60)))))))</f>
        <v>0</v>
      </c>
      <c r="CW60" s="39">
        <f>IF($CH60="Нет",0,IF(Исходн.данные.!AH60=0,0,IF(CK60=0,30/MIN(CI60:CJ60),IF(Исходн.данные.!$AG60=$BV$11,CT60,IF(OR(Исходн.данные.!$AH60=$BQ$7,Исходн.данные.!$AH60=$BQ$8),90/CK60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0,IF(Исходн.данные.!$AI60=$BU$11,"Нет",30/CK60)))))))</f>
        <v>0</v>
      </c>
      <c r="CX60" s="133">
        <f>IF(Исходн.данные.!$AG60=$BV$11,MAX(CU60:CW60),IF(OR(Исходн.данные.!$AH60=$BS$8,Исходн.данные.!$AH60=$BQ$9,Исходн.данные.!$AH60=$BQ$10,Исходн.данные.!$AH60=$BQ$11,Исходн.данные.!$AH60=$BQ$12,Исходн.данные.!$AH60=$BP$3,Исходн.данные.!$AH60=$BT$8,$FM60="Да"),CV60,MIN(CU60:CW60)))</f>
        <v>0</v>
      </c>
      <c r="CY60" s="133">
        <f>IF(Исходн.данные.!AH60=0,0,IF(CR60&gt;$CX60,$CX60,CR60))</f>
        <v>0</v>
      </c>
      <c r="CZ60" s="133">
        <f>IF(Исходн.данные.!AH60=0,0,IF(CS60&gt;$CX60,$CX60,CS60))</f>
        <v>0</v>
      </c>
      <c r="DA60" s="133">
        <f>IF(Исходн.данные.!AH60=0,0,IF(CT60&gt;$CX60,$CX60,CT60))</f>
        <v>0</v>
      </c>
      <c r="DB60" s="10">
        <f t="shared" si="94"/>
        <v>0</v>
      </c>
      <c r="DC60" s="39">
        <f>DB60*Исходн.данные.!AJ60/1000</f>
        <v>0</v>
      </c>
      <c r="DD60" s="71">
        <f t="shared" si="95"/>
        <v>0</v>
      </c>
      <c r="DE60" s="9">
        <f t="shared" si="96"/>
        <v>0</v>
      </c>
      <c r="DF60" s="9">
        <f t="shared" si="97"/>
        <v>0</v>
      </c>
      <c r="DG60" s="39">
        <f>IF(BL60&lt;0,0,IF($CH60="Нет",BL60,IF(OR(Исходн.данные.!$AH60=$BP$1,Исходн.данные.!$AH60=$BP$2),0,IF(Исходн.данные.!AI60=$BU$11,BL60,IF(BL60-DD60&lt;0,0,BL60-DD60)))))</f>
        <v>0</v>
      </c>
      <c r="DH60" s="39">
        <f>IF(BM60&lt;0,0,IF($CH60="Нет",BM60,IF(OR(Исходн.данные.!$AH60=$BP$1,Исходн.данные.!$AH60=$BP$2),0,IF(Исходн.данные.!AJ60=$BU$11,BM60,IF(BM60-DE60&lt;0,0,BM60-DE60)))))</f>
        <v>0</v>
      </c>
      <c r="DI60" s="39">
        <f>IF(BN60&lt;0,0,IF($CH60="Нет",BN60,IF(OR(Исходн.данные.!$AH60=$BP$1,Исходн.данные.!$AH60=$BP$2),0,IF(Исходн.данные.!AK60=$BU$11,BN60,IF(BN60-DF60&lt;0,0,BN60-DF60)))))</f>
        <v>0</v>
      </c>
      <c r="DJ60" s="12">
        <f t="shared" si="98"/>
        <v>0</v>
      </c>
      <c r="DK60" s="9">
        <f t="shared" si="99"/>
        <v>0</v>
      </c>
      <c r="DL60" s="39">
        <f>IF(Исходн.данные.!AM60&gt;0,Исходн.данные.!AM60,IF(EG60&gt;0,$BH$10,0))</f>
        <v>0</v>
      </c>
      <c r="DM60" s="186">
        <f>IF($DL60=0,0,IF(Исходн.данные.!AM60&gt;0,VLOOKUP($DL60,АшламаДВ_Irekle,2,FALSE),VLOOKUP($DL60,АшламаДВ_Gomumy,2,FALSE)))</f>
        <v>0</v>
      </c>
      <c r="DN60" s="10">
        <f t="shared" si="46"/>
        <v>0</v>
      </c>
      <c r="DO60" s="9" t="str">
        <f>IF(Исходн.данные.!AN60&gt;0,Исходн.данные.!AN60,Удобрения!$B$37 )</f>
        <v>Хлор.калий</v>
      </c>
      <c r="DP60" s="9">
        <f>IF(Исходн.данные.!AN60&gt;0,VLOOKUP(Исходн.данные.!AN60,АшламаДВ_Irekle,4,FALSE),VLOOKUP(DO60,АшламаДВ_Gomumy,4,FALSE))</f>
        <v>0.6</v>
      </c>
      <c r="DQ60" s="10">
        <f t="shared" si="47"/>
        <v>0</v>
      </c>
      <c r="DR60" s="132" t="str">
        <f>IF(Исходн.данные.!AO60&gt;0,Исходн.данные.!AO60,IF(DH60=0,BS$17,IF(AND($DK60=0,$DJ60&gt;0),EJ60,EN60)))</f>
        <v>Нет</v>
      </c>
      <c r="DS60" s="70" t="str">
        <f>IF($DR60="Нет","Нет",IF(Исходн.данные.!$AO60&gt;0,VLOOKUP($DR60,АшламаДВ_Irekle,2,FALSE),VLOOKUP($DR60,АшламаДВ_Gomumy,2,FALSE)))</f>
        <v>Нет</v>
      </c>
      <c r="DT60" s="70" t="str">
        <f>IF($DR60="Нет","Нет",IF(Исходн.данные.!$AO60&gt;0,VLOOKUP($DR60,АшламаДВ_Irekle,3,FALSE),VLOOKUP($DR60,АшламаДВ_Gomumy,3,FALSE)))</f>
        <v>Нет</v>
      </c>
      <c r="DU60" s="70" t="str">
        <f>IF($DR60="Нет","Нет",IF(Исходн.данные.!$AO60&gt;0,VLOOKUP($DR60,АшламаДВ_Irekle,4,FALSE),VLOOKUP($DR60,АшламаДВ_Gomumy,4,FALSE)))</f>
        <v>Нет</v>
      </c>
      <c r="DV60" s="70"/>
      <c r="DW60" s="70"/>
      <c r="DX60" s="70"/>
      <c r="DY60" s="10">
        <f t="shared" si="100"/>
        <v>0</v>
      </c>
      <c r="DZ60" s="10">
        <f t="shared" si="101"/>
        <v>0</v>
      </c>
      <c r="EA60" s="10">
        <f t="shared" si="102"/>
        <v>0</v>
      </c>
      <c r="EB60" s="10">
        <f t="shared" si="103"/>
        <v>0</v>
      </c>
      <c r="EC60" s="10">
        <f t="shared" si="104"/>
        <v>0</v>
      </c>
      <c r="ED60" s="10">
        <f t="shared" si="105"/>
        <v>0</v>
      </c>
      <c r="EE60" s="10">
        <f t="shared" si="106"/>
        <v>0</v>
      </c>
      <c r="EF60" s="39">
        <f>EB60*Исходн.данные.!AJ60/1000</f>
        <v>0</v>
      </c>
      <c r="EG60" s="9">
        <f t="shared" si="107"/>
        <v>0</v>
      </c>
      <c r="EH60" s="9">
        <f t="shared" si="108"/>
        <v>0</v>
      </c>
      <c r="EI60" s="39" t="e">
        <f t="shared" si="7"/>
        <v>#DIV/0!</v>
      </c>
      <c r="EJ60" s="9" t="str">
        <f t="shared" si="8"/>
        <v>Азопреципитат</v>
      </c>
      <c r="EK60" s="12">
        <f t="shared" si="9"/>
        <v>0.26</v>
      </c>
      <c r="EL60" s="12">
        <f t="shared" si="10"/>
        <v>0.13</v>
      </c>
      <c r="EM60" s="12">
        <f t="shared" si="11"/>
        <v>0</v>
      </c>
      <c r="EN60" s="12" t="str">
        <f t="shared" si="57"/>
        <v>Нет</v>
      </c>
      <c r="EO60" s="12">
        <f t="shared" si="12"/>
        <v>0</v>
      </c>
      <c r="EP60" s="12">
        <f t="shared" si="13"/>
        <v>0</v>
      </c>
      <c r="EQ60" s="12">
        <f t="shared" si="14"/>
        <v>0</v>
      </c>
      <c r="ER60" s="12" t="str">
        <f t="shared" si="109"/>
        <v>Диаммофоска</v>
      </c>
      <c r="ES60" s="12">
        <f t="shared" si="15"/>
        <v>0.1</v>
      </c>
      <c r="ET60" s="12">
        <f t="shared" si="16"/>
        <v>0.26</v>
      </c>
      <c r="EU60" s="12">
        <f t="shared" si="17"/>
        <v>0.26</v>
      </c>
      <c r="EV60" s="12" t="str">
        <f t="shared" si="110"/>
        <v>Аммофос 12:52:00</v>
      </c>
      <c r="EW60" s="12" t="str">
        <f t="shared" si="111"/>
        <v>Кемира Свекловичное-6</v>
      </c>
      <c r="EX60" s="12">
        <f t="shared" si="18"/>
        <v>0.16</v>
      </c>
      <c r="EY60" s="12">
        <f t="shared" si="19"/>
        <v>0.12</v>
      </c>
      <c r="EZ60" s="12">
        <f t="shared" si="20"/>
        <v>0.17</v>
      </c>
      <c r="FA60" s="38" t="e">
        <f>IF(AND(OR(FJ60=$FD$1,FM60=$FD$1,FO60=$FD$1,FQ60=$FD$1,FS60=$FD$1),FD60=$FD$1,Исходн.данные.!J60&lt;2,FU60=$FD$1),"Бор,Кобальт",IF(AND(FO60=$FD$1,FH60=$FD$1,Исходн.данные.!J60&lt;2,FU60=$FD$1),"Бор,Кобальт",IF(AND(OR(FJ60=$FD$1,FM60=$FD$1,FQ60=$FD$1),FE60=$FD$1,Исходн.данные.!J60&lt;2,FT60=$FD$1,FU60=$FD$1),"Бор,Медь,Цинк",IF(AND(OR(FJ60=$FD$1,FR60="Да"),FI60="Да",Исходн.данные.!J60&lt;2,FT60="Да",FU60="Да"),"Бор,Цинк,Медь",IF(AND(OR(FM60="Да",FQ60="Да"),FI60="Да",Исходн.данные.!J60&lt;2,FT60="Да",FU60="Да"),"Бор,Цинк",IF(AND(FN60="Да",OR(FD60="Да",FE60="Да")),"Бор",FB60))))))</f>
        <v>#N/A</v>
      </c>
      <c r="FB60" s="134" t="e">
        <f>IF(AND(OR(FD60="Да",FE60="Да",FF60="Да",FG60="Да",FH60="Да"),FO60="Да"),"Бор",IF(AND(FP60="Да",OR(FD60="Да",FE60="Да",FI60="Да")),"Бор",IF(AND(FS60="Да",FE60="Да"),"Бор,Медь",IF(AND(OR(FJ60="Да",FK60="Да",FL60="Да"),FE60="Да",Исходн.данные.!I60&lt;5,FT60="Да",FU60="Да"),"Молибден,Цинк",IF(AND(FM60="Да",OR(FE60="Да",FF60="Да",FG60="Да",FH60="Да",FI60="Да")),"Молибден,Цинк",IF(AND(OR(FJ60="Да",FK60="Да",FL60="Да",FM60="Да",FQ60="Да"),OR(FE60="Да",FF60="Да"),FT60="Да",FU60="Да",Исходн.данные.!I60&gt;5.5),"Медь,Цинк",FC60))))))</f>
        <v>#N/A</v>
      </c>
      <c r="FC60" s="23" t="e">
        <f t="shared" si="112"/>
        <v>#N/A</v>
      </c>
      <c r="FD60" s="38" t="str">
        <f>IF(OR(Исходн.данные.!F60=$CC$1,Исходн.данные.!F60=$CC$2,Исходн.данные.!F60=$CC$3,Исходн.данные.!F60=$CC$4),"Да","Нет")</f>
        <v>Нет</v>
      </c>
      <c r="FE60" s="38" t="str">
        <f>IF(Исходн.данные.!F60=$CC$5,"Да","Нет")</f>
        <v>Нет</v>
      </c>
      <c r="FF60" s="38" t="str">
        <f>IF(OR(Исходн.данные.!F60=$CC$6,Исходн.данные.!F60=$CC$7),"Да","Нет")</f>
        <v>Нет</v>
      </c>
      <c r="FG60" s="38" t="str">
        <f>IF(OR(Исходн.данные.!F60=$CC$8,Исходн.данные.!F60=$CC$9),"Да","Нет")</f>
        <v>Нет</v>
      </c>
      <c r="FH60" s="38" t="str">
        <f>IF(Исходн.данные.!F60=$CC$10,"Да","Нет")</f>
        <v>Нет</v>
      </c>
      <c r="FI60" s="38" t="str">
        <f>IF(OR(Исходн.данные.!F60=$CC$11,Исходн.данные.!F60=$CC$12),"Да","Нет")</f>
        <v>Нет</v>
      </c>
      <c r="FJ60" s="38" t="str">
        <f>IF(OR(Исходн.данные.!AH60=$BS$1,Исходн.данные.!AH60=$BQ$11,Исходн.данные.!AH60=$BQ$12),"Да","Нет")</f>
        <v>Нет</v>
      </c>
      <c r="FK60" s="38" t="str">
        <f>IF(OR(Исходн.данные.!AH60=$BS$2,Исходн.данные.!AH60=$BS$4),"Да","Нет")</f>
        <v>Нет</v>
      </c>
      <c r="FL60" s="38" t="str">
        <f>IF(OR(Исходн.данные.!AH60=$BS$3,Исходн.данные.!AH60=$BS$5),"Да","Нет")</f>
        <v>Нет</v>
      </c>
      <c r="FM60" s="38" t="str">
        <f>IF(OR(Исходн.данные.!AH60=$BS$9,Исходн.данные.!AH60=$BS$10,Исходн.данные.!AH60=$BS$11,Исходн.данные.!AH60=$BS$12),"Да","Нет")</f>
        <v>Нет</v>
      </c>
      <c r="FN60" s="38" t="str">
        <f>IF(OR(Исходн.данные.!AH60=$BS$6,Исходн.данные.!AH60=$BP$3),"Да","Нет")</f>
        <v>Нет</v>
      </c>
      <c r="FO60" s="38" t="str">
        <f>IF(Исходн.данные.!AH60=$BQ$9,"Да","Нет")</f>
        <v>Нет</v>
      </c>
      <c r="FP60" s="38" t="str">
        <f>IF(OR(Исходн.данные.!AH60=$BS$8,Исходн.данные.!AH60=$BT$8),"Да","Нет")</f>
        <v>Нет</v>
      </c>
      <c r="FQ60" s="38" t="str">
        <f>IF(OR(Исходн.данные.!AH60=$BQ$7,Исходн.данные.!AH60=$BQ$8),"Да","Нет")</f>
        <v>Нет</v>
      </c>
      <c r="FR60" s="38" t="str">
        <f>IF(Исходн.данные.!AI60=$BU$9,"Да","Нет")</f>
        <v>Нет</v>
      </c>
      <c r="FS60" s="38" t="str">
        <f>IF(OR(Исходн.данные.!AH60=$BP$1,Исходн.данные.!AH60=$BP$2),"Да","Нет")</f>
        <v>Нет</v>
      </c>
      <c r="FT60" s="38" t="e">
        <f>IF((Исходн.данные.!K60*GO60*GS60*GW60+BL60*0.6+Исходн.данные.!Q60*4.5*0.275)&gt;90,"Да","Нет")</f>
        <v>#N/A</v>
      </c>
      <c r="FU60" s="38" t="e">
        <f>IF((Исходн.данные.!M60*GS60*GZ60+BM60*0.225)&gt;35,"Да","Нет")</f>
        <v>#N/A</v>
      </c>
      <c r="FV60" s="38" t="str">
        <f>IF(Исходн.данные.!O60&gt;175,"Да","Нет")</f>
        <v>Нет</v>
      </c>
      <c r="FW60" s="39" t="str">
        <f>IF(Исходн.данные.!I60&gt;5.5,"Да","Нет")</f>
        <v>Нет</v>
      </c>
      <c r="FX60" s="39" t="str">
        <f>IF(Исходн.данные.!J60&lt;2,"Да","Нет")</f>
        <v>Да</v>
      </c>
      <c r="FY60" s="39" t="e">
        <f>IF(HF60=$FY$16,0,Исходн.данные.!K60*GO60*GS60*GW60/HF60)</f>
        <v>#N/A</v>
      </c>
      <c r="FZ60" s="39" t="e">
        <f>Исходн.данные.!M60*GS60*GZ60/HG60</f>
        <v>#N/A</v>
      </c>
      <c r="GA60" s="39" t="e">
        <f>IF(K_Wyn=$FY$16,0,IF(Исходн.данные.!N60=Исходн.данные.!$L$10,Исходн.данные.!O60/1.1*GS60*HC60/HH60,IF(Исходн.данные.!N60=Исходн.данные.!$L$12,Исходн.данные.!O60/1.5*GS60*HC60/HH60,Исходн.данные.!O60*GS60*HC60/HH60)))</f>
        <v>#N/A</v>
      </c>
      <c r="GB60" s="39" t="e">
        <f>IF(HF60=$FY$16,0,((Исходн.данные.!Q60*N_Org+Исходн.данные.!R60*N_Sider+Исходн.данные.!S60*N_Soloma)*AO60+Расчет!BC60*VLOOKUP(Исходн.данные.!T60,Справ!$A$3:$O$57,15)*AO60+BB60*VLOOKUP(Исходн.данные.!T60,Справ!$A$3:$O$57,15)*AL60+(Исходн.данные.!V60*N_Rizotorf+Исходн.данные.!W60*N_Rizoagr))/HF60)</f>
        <v>#N/A</v>
      </c>
      <c r="GC60" s="39" t="e">
        <f>IF(HG60=$FY$16,0,((Исходн.данные.!Q60*Р_Org+Исходн.данные.!R60*P_Sider+Исходн.данные.!S60*P_Soloma)*AP60+Расчет!BC60*VLOOKUP(Исходн.данные.!T60,Справ!$A$3:$P$57,16)*AP60+BB60*VLOOKUP(Исходн.данные.!T60,Справ!$A$3:$P$57,16)*AM60)/HG60)</f>
        <v>#N/A</v>
      </c>
      <c r="GD60" s="39" t="e">
        <f>IF(HH60=$FY$16,0,((Исходн.данные.!Q60*К_Org+Исходн.данные.!R60*K_Sider+Исходн.данные.!S60*K_Soloma)*AQ60+Расчет!BC60*VLOOKUP(Исходн.данные.!T60,Справ!$A$3:$Q$57,17)*AQ60+BB60*VLOOKUP(Исходн.данные.!T60,Справ!$A$3:$Q$57,17)*AN60)/HH60)</f>
        <v>#N/A</v>
      </c>
      <c r="GE60" s="39" t="e">
        <f>IF(HF60=$FY$16,0,(Исходн.данные.!X60*AR60+Исходн.данные.!AA60*N_Org*AL60+Исходн.данные.!AB60*N_Sider*AL60+Исходн.данные.!AC60*N_Soloma*AL60)/HF60)</f>
        <v>#N/A</v>
      </c>
      <c r="GF60" s="39" t="e">
        <f>IF(HG60=$FY$16,0,(Исходн.данные.!Y60*AS60+Исходн.данные.!AA60*Р_Org*AM60+Исходн.данные.!AB60*P_Sider*AM60+Исходн.данные.!AC60*P_Soloma*AM60)/HG60)</f>
        <v>#N/A</v>
      </c>
      <c r="GG60" s="39" t="e">
        <f>IF(HH60=$FY$16,0,(Исходн.данные.!Z60*AT60+Исходн.данные.!AA60*К_Org*AN60+Исходн.данные.!AB60*K_Sider*AN60+Исходн.данные.!AC60*K_Soloma*AN60)/HH60)</f>
        <v>#N/A</v>
      </c>
      <c r="GH60" s="39" t="e">
        <f>Исходн.данные.!AD60*AU60/HF60</f>
        <v>#N/A</v>
      </c>
      <c r="GI60" s="39" t="e">
        <f>Исходн.данные.!AE60*AV60/HG60</f>
        <v>#N/A</v>
      </c>
      <c r="GJ60" s="39" t="e">
        <f>Исходн.данные.!AF60*AW60/HH60</f>
        <v>#N/A</v>
      </c>
      <c r="GK60" s="55">
        <f>Исходн.данные.!AK60</f>
        <v>0</v>
      </c>
      <c r="GL60" s="11" t="e">
        <f t="shared" si="113"/>
        <v>#N/A</v>
      </c>
      <c r="GM60" s="11" t="e">
        <f t="shared" si="114"/>
        <v>#N/A</v>
      </c>
      <c r="GN60" s="11" t="e">
        <f t="shared" si="115"/>
        <v>#N/A</v>
      </c>
      <c r="GO60" s="57">
        <f t="shared" si="116"/>
        <v>19</v>
      </c>
      <c r="GP60" s="55">
        <f>IF(OR(Исходн.данные.!F60=$CE$1,Исходн.данные.!F60=$CE$2,Исходн.данные.!F60=$CE$3,Исходн.данные.!F60=$CE$4,Исходн.данные.!F60=$CE$5),GQ60,GR60)</f>
        <v>19</v>
      </c>
      <c r="GQ60" s="55">
        <f>IF(Исходн.данные.!F60=$CE$1,28,IF(Исходн.данные.!F60=$CE$2,26,IF(Исходн.данные.!F60=$CE$3,24,IF(Исходн.данные.!F60=$CE$4,22,IF(Исходн.данные.!F60=$CE$5,20,GR60)))))</f>
        <v>19</v>
      </c>
      <c r="GR60" s="55">
        <f>IF(Исходн.данные.!F60=$CE$6,18,IF(Исходн.данные.!F60=$CE$7,16,IF(Исходн.данные.!F60=$CE$8,14,IF(Исходн.данные.!F60=$CE$9,13,IF(Исходн.данные.!F60=$CE$10,12,19)))))</f>
        <v>19</v>
      </c>
      <c r="GS60" s="55">
        <f>IF(Исходн.данные.!G60="Пес",0.035*(40+2*Исходн.данные.!H60),IF(Исходн.данные.!G60="Суп",0.0325*(40+2*Исходн.данные.!H60),0.03*(40+2*Исходн.данные.!H60)))</f>
        <v>1.2</v>
      </c>
      <c r="GT60" s="55">
        <f>IF(Исходн.данные.!H60&lt;23,2.6,IF(AND(Исходн.данные.!H60&gt;22,Исходн.данные.!H60&lt;26),3,IF(AND(Исходн.данные.!H60&gt;25,Исходн.данные.!H60&lt;29),3.4,3.6)))</f>
        <v>2.6</v>
      </c>
      <c r="GU60" s="55">
        <f>IF(Исходн.данные.!H60&lt;23,2.8,IF(AND(Исходн.данные.!H60&gt;22,Исходн.данные.!H60&lt;26),3.2,IF(AND(Исходн.данные.!H60&gt;25,Исходн.данные.!H60&lt;29),3.6,3.9)))</f>
        <v>2.8</v>
      </c>
      <c r="GV60" s="55">
        <f>IF(Исходн.данные.!H60&lt;23,3,IF(AND(Исходн.данные.!H60&gt;22,Исходн.данные.!H60&lt;26),3.5,IF(AND(Исходн.данные.!H60&gt;25,Исходн.данные.!H60&lt;29),3.9,4.2)))</f>
        <v>3</v>
      </c>
      <c r="GW60" s="55" t="e">
        <f>IF(Исходн.данные.!P60="Ум",GX60,GY60)</f>
        <v>#N/A</v>
      </c>
      <c r="GX60" s="55" t="e">
        <f>VLOOKUP(Исходн.данные.!AI60,Коэффициенты!$J$7:$L$13,2,FALSE)</f>
        <v>#N/A</v>
      </c>
      <c r="GY60" s="55" t="e">
        <f>VLOOKUP(Исходн.данные.!AI60,Коэффициенты!$J$7:$L$13,3,FALSE)</f>
        <v>#N/A</v>
      </c>
      <c r="GZ60" s="55" t="e">
        <f>(IF(Исходн.данные.!M60&lt;50,0.11*VLOOKUP(Исходн.данные.!AH60,Культуры.Информация,7,FALSE),IF(Исходн.данные.!M60&gt;250,0.05*VLOOKUP(Исходн.данные.!AH60,Культуры.Информация,7,FALSE),VLOOKUP(Исходн.данные.!AH60,Культуры.Информация,5,FALSE)/100*($GX$6+$GY$6*Исходн.данные.!M60))))*Расчет2!AI60</f>
        <v>#N/A</v>
      </c>
      <c r="HA60" s="211"/>
      <c r="HB60" s="211"/>
      <c r="HC60" s="55" t="e">
        <f>(IF(Исходн.данные.!O60&lt;80,0.2*VLOOKUP(Исходн.данные.!AH60,Культуры.Информация,8,FALSE),IF(Исходн.данные.!O60&gt;240,0.09*VLOOKUP(Исходн.данные.!AH60,Культуры.Информация,8,FALSE),VLOOKUP(Исходн.данные.!AH60,Культуры.Информация,6,FALSE)/100*($HB$6+$HC$6*Исходн.данные.!O60))))*Расчет2!AJ60</f>
        <v>#N/A</v>
      </c>
      <c r="HD60" s="55">
        <f>IF(Исходн.данные.!O60&gt;240,0.09,IF(Исходн.данные.!O60&lt;30,0.3,$HE$10+$HD$10*Исходн.данные.!O60))</f>
        <v>0.3</v>
      </c>
      <c r="HE60" s="55">
        <f>IF(Исходн.данные.!O60&gt;240,0.17,IF(Исходн.данные.!O60&lt;30,0.5,$HF$12+$HE$12*Исходн.данные.!O60))</f>
        <v>0.5</v>
      </c>
      <c r="HF60" s="55" t="e">
        <f>VLOOKUP(Исходн.данные.!AH60,Справ!$A$3:$D$58,2,FALSE)</f>
        <v>#N/A</v>
      </c>
      <c r="HG60" s="55" t="e">
        <f>VLOOKUP(Исходн.данные.!AH60,Справ!$A$3:$D$58,3,FALSE)</f>
        <v>#N/A</v>
      </c>
      <c r="HH60" s="55" t="e">
        <f>VLOOKUP(Исходн.данные.!AH60,Справ!$A$3:$D$58,4,FALSE)</f>
        <v>#N/A</v>
      </c>
      <c r="HI60" s="11" t="e">
        <f t="shared" si="117"/>
        <v>#N/A</v>
      </c>
      <c r="HJ60" s="11" t="e">
        <f t="shared" si="118"/>
        <v>#N/A</v>
      </c>
      <c r="HK60" s="11" t="e">
        <f t="shared" si="119"/>
        <v>#N/A</v>
      </c>
      <c r="HL60" s="55">
        <f>IF(OR(Исходн.данные.!G60="Глин",Исходн.данные.!G60="Т_суг"),1.1,IF(Исходн.данные.!G60="Ср_суг",1,1))</f>
        <v>1</v>
      </c>
      <c r="HM60" s="55">
        <f>IF(OR(Исходн.данные.!G60="Глин",Исходн.данные.!G60="Т_суг"),0.9,IF(Исходн.данные.!G60="Ср_суг",1,1.2))</f>
        <v>1.2</v>
      </c>
      <c r="HN60" s="11" t="e">
        <f t="shared" si="120"/>
        <v>#N/A</v>
      </c>
      <c r="HO60" s="11" t="e">
        <f t="shared" si="121"/>
        <v>#N/A</v>
      </c>
      <c r="HP60" s="11" t="e">
        <f t="shared" si="122"/>
        <v>#N/A</v>
      </c>
      <c r="HQ60" t="e">
        <f t="shared" si="123"/>
        <v>#N/A</v>
      </c>
      <c r="HR60" t="e">
        <f t="shared" si="124"/>
        <v>#N/A</v>
      </c>
      <c r="HS60" t="e">
        <f t="shared" si="125"/>
        <v>#N/A</v>
      </c>
      <c r="HT60" t="e">
        <f t="shared" si="21"/>
        <v>#N/A</v>
      </c>
      <c r="HU60" t="e">
        <f t="shared" si="22"/>
        <v>#N/A</v>
      </c>
      <c r="HV60" t="e">
        <f t="shared" si="23"/>
        <v>#N/A</v>
      </c>
      <c r="HW60" t="e">
        <f t="shared" si="24"/>
        <v>#N/A</v>
      </c>
      <c r="HX60" t="e">
        <f t="shared" si="25"/>
        <v>#N/A</v>
      </c>
      <c r="HY60" t="e">
        <f t="shared" si="26"/>
        <v>#N/A</v>
      </c>
      <c r="HZ60" s="55">
        <f>IF(OR(Исходн.данные.!AI60="Оз_Ч_П",Исходн.данные.!AI60="Оз_З_П",Исходн.данные.!AI60="Яр_зер"),12,30)</f>
        <v>30</v>
      </c>
      <c r="IA60" t="e">
        <f t="shared" si="126"/>
        <v>#N/A</v>
      </c>
      <c r="IB60" t="e">
        <f t="shared" si="127"/>
        <v>#N/A</v>
      </c>
      <c r="IC60" t="e">
        <f t="shared" si="128"/>
        <v>#N/A</v>
      </c>
      <c r="ID60" s="11" t="e">
        <f t="shared" si="129"/>
        <v>#N/A</v>
      </c>
      <c r="IE60" s="11" t="e">
        <f t="shared" si="130"/>
        <v>#N/A</v>
      </c>
      <c r="IF60" s="11" t="e">
        <f t="shared" si="131"/>
        <v>#N/A</v>
      </c>
    </row>
    <row r="61" spans="35:240" x14ac:dyDescent="0.2">
      <c r="AI61">
        <f>IF(Исходн.данные.!I61&gt;6,1,1.85-(0.148*Исходн.данные.!I61))</f>
        <v>1.85</v>
      </c>
      <c r="AJ61">
        <f>IF(Исходн.данные.!I61&gt;6,1,2.434-(0.246*Исходн.данные.!I61))</f>
        <v>2.4340000000000002</v>
      </c>
      <c r="AL61" s="148" t="b">
        <f>IF(Исходн.данные.!$P61="Ум",N_OrgUd_2g_um,IF(Исходн.данные.!$P61="Об",N_OrgUd_2g_ob))</f>
        <v>0</v>
      </c>
      <c r="AM61" s="148" t="b">
        <f>IF(Исходн.данные.!$P61="Ум",P_OrgUd_2g_um,IF(Исходн.данные.!$P61="Об",P_OrgUd_2g_ob))</f>
        <v>0</v>
      </c>
      <c r="AN61" s="148" t="b">
        <f>IF(Исходн.данные.!$P61="Ум",K_OrgUd_2g_um,IF(Исходн.данные.!$P61="Об",K_OrgUd_2g_ob))</f>
        <v>0</v>
      </c>
      <c r="AO61" s="148" t="b">
        <f>IF(Исходн.данные.!$P61="Ум",N_OrgUd_1g_um,IF(Исходн.данные.!$P61="Об",N_OrgUd_1g_ob))</f>
        <v>0</v>
      </c>
      <c r="AP61" s="148" t="b">
        <f>IF(Исходн.данные.!$P61="Ум",P_OrgUd_1g_um,IF(Исходн.данные.!$P61="Об",P_OrgUd_1g_ob))</f>
        <v>0</v>
      </c>
      <c r="AQ61" s="148" t="b">
        <f>IF(Исходн.данные.!$P61="Ум",K_OrgUd_1g_um,IF(Исходн.данные.!$P61="Об",K_OrgUd_1g_ob))</f>
        <v>0</v>
      </c>
      <c r="AR61" t="b">
        <f>IF(Исходн.данные.!$P61="Ум",N_MinUd_2g_um,IF(Исходн.данные.!$P61="Об",N_MinUd_2g_ob))</f>
        <v>0</v>
      </c>
      <c r="AS61" t="b">
        <f>IF(Исходн.данные.!$P61="Ум",P_MinUd_2g_um,IF(Исходн.данные.!$P61="Об",P_MinUd_2g_ob))</f>
        <v>0</v>
      </c>
      <c r="AT61" t="b">
        <f>IF(Исходн.данные.!$P61="Ум",K_MinUd_2g_um,IF(Исходн.данные.!$P61="Об",K_MinUd_2g_ob))</f>
        <v>0</v>
      </c>
      <c r="AU61" t="b">
        <f>IF(Исходн.данные.!$P61="Ум",N_MinUd_1g_um,IF(Исходн.данные.!$P61="Об",N_MinUd_1g_ob))</f>
        <v>0</v>
      </c>
      <c r="AV61" t="b">
        <f>IF(Исходн.данные.!P61="Ум",P_MinUd_1g_um,IF(Исходн.данные.!P61="Об",P_MinUd_1g_ob))</f>
        <v>0</v>
      </c>
      <c r="AW61" t="b">
        <f>IF(Исходн.данные.!P61="Ум",K_MinUd_1g_um,IF(Исходн.данные.!P61="Об",K_MinUd_1g_ob))</f>
        <v>0</v>
      </c>
      <c r="AY61" t="e">
        <f>VLOOKUP(Исходн.данные.!T61,Справ!$A$3:$N$57,12)</f>
        <v>#N/A</v>
      </c>
      <c r="AZ61" t="e">
        <f>VLOOKUP(Исходн.данные.!T61,Справ!$A$3:$N$57,13)</f>
        <v>#N/A</v>
      </c>
      <c r="BA61" t="e">
        <f>VLOOKUP(Исходн.данные.!T61,Справ!$A$3:$N$57,14)</f>
        <v>#N/A</v>
      </c>
      <c r="BB61">
        <f>IF(Исходн.данные.!AH61=0,0,25)</f>
        <v>0</v>
      </c>
      <c r="BC61" s="141">
        <f>IF(Исходн.данные.!AH61=0,0,IF(Исходн.данные.!T61=0,25,BD61))</f>
        <v>0</v>
      </c>
      <c r="BD61" s="168" t="e">
        <f>AY61+AZ61*Исходн.данные.!U61-POWER(BA61,2)*Исходн.данные.!U61</f>
        <v>#N/A</v>
      </c>
      <c r="BE6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1" s="25">
        <f>IF(Исходн.данные.!AH61=0,0,MIN(HN61:HP61))</f>
        <v>0</v>
      </c>
      <c r="BG61" s="9">
        <f>IF(Исходн.данные.!AH61=0,0,IF((HO61+10*0.25/HG61/HL61)&lt;17,17,HO61+10*0.25/HG61/HL61))</f>
        <v>0</v>
      </c>
      <c r="BH61" s="181">
        <f>IF(Исходн.данные.!AH61=0,0,HW61*HF61*HL61/AU61*AI61+Исходн.данные.!S61*10)</f>
        <v>0</v>
      </c>
      <c r="BI61" s="10"/>
      <c r="BJ61" s="182">
        <f>IF(Исходн.данные.!AH61=0,0,IF(HX61*HG61*HL61/AV61&lt;0,0,HX61*HG61*HL61/AV61*AJ61))</f>
        <v>0</v>
      </c>
      <c r="BK61" s="182">
        <f>IF(Исходн.данные.!AH61=0,0,HY61*HH61*HM61/AW61)</f>
        <v>0</v>
      </c>
      <c r="BL61" s="10">
        <f>IF(OR(Исходн.данные.!$AH61=$BP$1,Исходн.данные.!$AH61=$BP$2),0,IF(BH61&lt;0,0,IF(OR(Исходн.данные.!T61=Расчет!$BP$1,Исходн.данные.!T61=Расчет!$BP$2,Исходн.данные.!T61=Расчет!$BT$5,Исходн.данные.!T61=Расчет!$BT$6),BH61*0.5,IF(OR(Исходн.данные.!T61=Расчет!$BS$9,Исходн.данные.!T61=Расчет!$BS$10,Исходн.данные.!T61=Расчет!$BS$11,Исходн.данные.!T61=Расчет!$BS$12,Исходн.данные.!T61=Расчет!$BP$5),BH61*0.8,BH61))))</f>
        <v>0</v>
      </c>
      <c r="BM61" s="10">
        <f>IF(OR(Исходн.данные.!$AH61=$BP$1,Исходн.данные.!$AH61=$BP$2),0,IF(BJ61&lt;0,0,IF(Исходн.данные.!I61&lt;4.5,BJ61*1.2,IF(Исходн.данные.!I61&gt;5.1,BJ61,BJ61*((5.1-Исходн.данные.!I61)*0.333+1)))))</f>
        <v>0</v>
      </c>
      <c r="BN61" s="10">
        <f>IF(OR(Исходн.данные.!$AH61=$BP$1,Исходн.данные.!$AH61=$BP$2),60-Исходн.данные.!AF61,IF(BK61&lt;0,0,IF(Исходн.данные.!I61&lt;4.5,BK61*1.2,IF(Исходн.данные.!I61&gt;5.1,BK61,BK61*((5.1-Исходн.данные.!I61)*0.333+1)))))</f>
        <v>0</v>
      </c>
      <c r="BO61" s="9">
        <f>IF(BL61&lt;0,0,BL61*Исходн.данные.!$AJ61/1000)</f>
        <v>0</v>
      </c>
      <c r="BP61" s="9">
        <f>IF(BM61&lt;0,0,BM61*Исходн.данные.!$AJ61/1000)</f>
        <v>0</v>
      </c>
      <c r="BQ61" s="9">
        <f>IF(BN61&lt;0,0,BN61*Исходн.данные.!$AJ61/1000)</f>
        <v>0</v>
      </c>
      <c r="BR61" s="9">
        <f t="shared" si="81"/>
        <v>0</v>
      </c>
      <c r="BS61" s="10" t="str">
        <f t="shared" si="82"/>
        <v>Аммофос 12:52:00</v>
      </c>
      <c r="BT61" s="10" t="str">
        <f t="shared" si="83"/>
        <v>Аммофос 12:52:00</v>
      </c>
      <c r="BU61" s="10" t="str">
        <f t="shared" si="84"/>
        <v>Диаммофоска</v>
      </c>
      <c r="BV61" s="10">
        <f t="shared" si="85"/>
        <v>0</v>
      </c>
      <c r="BW61" s="10"/>
      <c r="BX61" s="10"/>
      <c r="BY61" s="9">
        <f>IF(BL61&lt;0,0,IF(OR(Исходн.данные.!AI61=Расчет!$BU$6,Исходн.данные.!AI61=Расчет!$BU$7),Расчет!BV61,IF(Исходн.данные.!$AG61=$BV$11,BL61,IF(OR(Исходн.данные.!$AH61=$BQ$7,Исходн.данные.!$AH61=$BQ$8),CB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0,IF(Исходн.данные.!$AI61=$BU$11,"Нет",IF(BL61&gt;30,30,BL61)))))))</f>
        <v>0</v>
      </c>
      <c r="BZ61" s="9">
        <f>IF(AND(Исходн.данные.!$AG61=$BV$11,BM61&lt;10),10,IF(Исходн.данные.!$AG61=$BV$11,BM61,IF(OR(Исходн.данные.!$AH61=$BQ$7,Исходн.данные.!$AH61=$BQ$8),CC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10,IF(Исходн.данные.!$AI61=$BU$11,"Нет",IF(BM61&gt;60,60,IF(BM61&lt;10,10,BM61)))))))</f>
        <v>10</v>
      </c>
      <c r="CA61" s="39">
        <f>IF(BN61&lt;0,0,IF(Исходн.данные.!$AG61=$BV$11,BN61,IF(OR(Исходн.данные.!$AH61=$BQ$7,Исходн.данные.!$AH61=$BQ$8),CD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0,IF(Исходн.данные.!$AI61=$BU$11,"Нет",IF(BN61&gt;30,30,BN61))))))</f>
        <v>0</v>
      </c>
      <c r="CB61" s="9">
        <f t="shared" si="86"/>
        <v>0</v>
      </c>
      <c r="CC61" s="9">
        <f t="shared" si="87"/>
        <v>0</v>
      </c>
      <c r="CD61" s="9">
        <f t="shared" si="88"/>
        <v>0</v>
      </c>
      <c r="CE61" s="12">
        <f t="shared" si="89"/>
        <v>10</v>
      </c>
      <c r="CF61" s="9">
        <f t="shared" si="90"/>
        <v>0</v>
      </c>
      <c r="CG61" s="9" t="s">
        <v>231</v>
      </c>
      <c r="CH61" s="132" t="str">
        <f>IF(Исходн.данные.!AP61=Расчет!$CI$16,"Нет",IF(Исходн.данные.!AL61&gt;0,Исходн.данные.!AL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BH$4,IF(OR(Исходн.данные.!AI61=Исходн.данные.!$AI$6,Исходн.данные.!AI61=Исходн.данные.!$AI$7),Расчет!BS61,IF(AND($CF61=0,$CE61&gt;0),EV61,ER61)))))</f>
        <v>Аммофос 12:52:00</v>
      </c>
      <c r="CI61" s="274">
        <f>IF(Расчет!$CH61="Нет","Нет",IF(Исходн.данные.!$AL61&gt;0,VLOOKUP(Расчет!$CH61,АшламаДВ_Irekle,2,FALSE),VLOOKUP(Расчет!$CH61,АшламаДВ_Gomumy,2,FALSE)))</f>
        <v>0.12</v>
      </c>
      <c r="CJ61" s="274">
        <f>IF(Расчет!$CH61="Нет","Нет",IF(Исходн.данные.!$AL61&gt;0,VLOOKUP(Расчет!$CH61,АшламаДВ_Irekle,3,FALSE),VLOOKUP(Расчет!$CH61,АшламаДВ_Gomumy,3,FALSE)))</f>
        <v>0.52</v>
      </c>
      <c r="CK61" s="274">
        <f>IF(Расчет!$CH61="Нет","Нет",IF(Исходн.данные.!$AL61&gt;0,VLOOKUP(Расчет!$CH61,АшламаДВ_Irekle,4,FALSE),VLOOKUP(Расчет!$CH61,АшламаДВ_Gomumy,4,FALSE)))</f>
        <v>0</v>
      </c>
      <c r="CL61" s="70"/>
      <c r="CM61" s="70"/>
      <c r="CN61" s="70"/>
      <c r="CO61" s="70"/>
      <c r="CP61" s="70"/>
      <c r="CQ61" s="70"/>
      <c r="CR61" s="10">
        <f t="shared" si="91"/>
        <v>0</v>
      </c>
      <c r="CS61" s="10">
        <f t="shared" si="92"/>
        <v>19.23076923076923</v>
      </c>
      <c r="CT61" s="10">
        <f t="shared" si="93"/>
        <v>0</v>
      </c>
      <c r="CU61" s="39">
        <f>IF($CH61="Нет",0,IF(CI61=0,30/MIN(CJ61:CK61),IF(Исходн.данные.!$AG61=$BV$11,CR61,IF(OR(Исходн.данные.!$AH61=$BQ$7,Исходн.данные.!$AH61=$BQ$8),90/CI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0,IF(Исходн.данные.!$AI61=$BU$11,"Нет",30/CI61))))))</f>
        <v>250</v>
      </c>
      <c r="CV61" s="39">
        <f>IF($CH61="Нет",0,IF(Исходн.данные.!AH61=0,0,IF(CJ61=0,60/MIN(CI61,CK61),IF(Исходн.данные.!$AG61=$BV$11,CS61,IF(OR(Исходн.данные.!$AH61=$BQ$7,Исходн.данные.!$AH61=$BQ$8),90/CJ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10/CJ61,IF(Исходн.данные.!$AI61=$BU$11,"Нет",60/CJ61)))))))</f>
        <v>0</v>
      </c>
      <c r="CW61" s="39">
        <f>IF($CH61="Нет",0,IF(Исходн.данные.!AH61=0,0,IF(CK61=0,30/MIN(CI61:CJ61),IF(Исходн.данные.!$AG61=$BV$11,CT61,IF(OR(Исходн.данные.!$AH61=$BQ$7,Исходн.данные.!$AH61=$BQ$8),90/CK61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0,IF(Исходн.данные.!$AI61=$BU$11,"Нет",30/CK61)))))))</f>
        <v>0</v>
      </c>
      <c r="CX61" s="133">
        <f>IF(Исходн.данные.!$AG61=$BV$11,MAX(CU61:CW61),IF(OR(Исходн.данные.!$AH61=$BS$8,Исходн.данные.!$AH61=$BQ$9,Исходн.данные.!$AH61=$BQ$10,Исходн.данные.!$AH61=$BQ$11,Исходн.данные.!$AH61=$BQ$12,Исходн.данные.!$AH61=$BP$3,Исходн.данные.!$AH61=$BT$8,$FM61="Да"),CV61,MIN(CU61:CW61)))</f>
        <v>0</v>
      </c>
      <c r="CY61" s="133">
        <f>IF(Исходн.данные.!AH61=0,0,IF(CR61&gt;$CX61,$CX61,CR61))</f>
        <v>0</v>
      </c>
      <c r="CZ61" s="133">
        <f>IF(Исходн.данные.!AH61=0,0,IF(CS61&gt;$CX61,$CX61,CS61))</f>
        <v>0</v>
      </c>
      <c r="DA61" s="133">
        <f>IF(Исходн.данные.!AH61=0,0,IF(CT61&gt;$CX61,$CX61,CT61))</f>
        <v>0</v>
      </c>
      <c r="DB61" s="10">
        <f t="shared" si="94"/>
        <v>0</v>
      </c>
      <c r="DC61" s="39">
        <f>DB61*Исходн.данные.!AJ61/1000</f>
        <v>0</v>
      </c>
      <c r="DD61" s="71">
        <f t="shared" si="95"/>
        <v>0</v>
      </c>
      <c r="DE61" s="9">
        <f t="shared" si="96"/>
        <v>0</v>
      </c>
      <c r="DF61" s="9">
        <f t="shared" si="97"/>
        <v>0</v>
      </c>
      <c r="DG61" s="39">
        <f>IF(BL61&lt;0,0,IF($CH61="Нет",BL61,IF(OR(Исходн.данные.!$AH61=$BP$1,Исходн.данные.!$AH61=$BP$2),0,IF(Исходн.данные.!AI61=$BU$11,BL61,IF(BL61-DD61&lt;0,0,BL61-DD61)))))</f>
        <v>0</v>
      </c>
      <c r="DH61" s="39">
        <f>IF(BM61&lt;0,0,IF($CH61="Нет",BM61,IF(OR(Исходн.данные.!$AH61=$BP$1,Исходн.данные.!$AH61=$BP$2),0,IF(Исходн.данные.!AJ61=$BU$11,BM61,IF(BM61-DE61&lt;0,0,BM61-DE61)))))</f>
        <v>0</v>
      </c>
      <c r="DI61" s="39">
        <f>IF(BN61&lt;0,0,IF($CH61="Нет",BN61,IF(OR(Исходн.данные.!$AH61=$BP$1,Исходн.данные.!$AH61=$BP$2),0,IF(Исходн.данные.!AK61=$BU$11,BN61,IF(BN61-DF61&lt;0,0,BN61-DF61)))))</f>
        <v>0</v>
      </c>
      <c r="DJ61" s="12">
        <f t="shared" si="98"/>
        <v>0</v>
      </c>
      <c r="DK61" s="9">
        <f t="shared" si="99"/>
        <v>0</v>
      </c>
      <c r="DL61" s="39">
        <f>IF(Исходн.данные.!AM61&gt;0,Исходн.данные.!AM61,IF(EG61&gt;0,$BH$10,0))</f>
        <v>0</v>
      </c>
      <c r="DM61" s="186">
        <f>IF($DL61=0,0,IF(Исходн.данные.!AM61&gt;0,VLOOKUP($DL61,АшламаДВ_Irekle,2,FALSE),VLOOKUP($DL61,АшламаДВ_Gomumy,2,FALSE)))</f>
        <v>0</v>
      </c>
      <c r="DN61" s="10">
        <f t="shared" si="46"/>
        <v>0</v>
      </c>
      <c r="DO61" s="9" t="str">
        <f>IF(Исходн.данные.!AN61&gt;0,Исходн.данные.!AN61,Удобрения!$B$37 )</f>
        <v>Хлор.калий</v>
      </c>
      <c r="DP61" s="9">
        <f>IF(Исходн.данные.!AN61&gt;0,VLOOKUP(Исходн.данные.!AN61,АшламаДВ_Irekle,4,FALSE),VLOOKUP(DO61,АшламаДВ_Gomumy,4,FALSE))</f>
        <v>0.6</v>
      </c>
      <c r="DQ61" s="10">
        <f t="shared" si="47"/>
        <v>0</v>
      </c>
      <c r="DR61" s="132" t="str">
        <f>IF(Исходн.данные.!AO61&gt;0,Исходн.данные.!AO61,IF(DH61=0,BS$17,IF(AND($DK61=0,$DJ61&gt;0),EJ61,EN61)))</f>
        <v>Нет</v>
      </c>
      <c r="DS61" s="70" t="str">
        <f>IF($DR61="Нет","Нет",IF(Исходн.данные.!$AO61&gt;0,VLOOKUP($DR61,АшламаДВ_Irekle,2,FALSE),VLOOKUP($DR61,АшламаДВ_Gomumy,2,FALSE)))</f>
        <v>Нет</v>
      </c>
      <c r="DT61" s="70" t="str">
        <f>IF($DR61="Нет","Нет",IF(Исходн.данные.!$AO61&gt;0,VLOOKUP($DR61,АшламаДВ_Irekle,3,FALSE),VLOOKUP($DR61,АшламаДВ_Gomumy,3,FALSE)))</f>
        <v>Нет</v>
      </c>
      <c r="DU61" s="70" t="str">
        <f>IF($DR61="Нет","Нет",IF(Исходн.данные.!$AO61&gt;0,VLOOKUP($DR61,АшламаДВ_Irekle,4,FALSE),VLOOKUP($DR61,АшламаДВ_Gomumy,4,FALSE)))</f>
        <v>Нет</v>
      </c>
      <c r="DV61" s="70"/>
      <c r="DW61" s="70"/>
      <c r="DX61" s="70"/>
      <c r="DY61" s="10">
        <f t="shared" si="100"/>
        <v>0</v>
      </c>
      <c r="DZ61" s="10">
        <f t="shared" si="101"/>
        <v>0</v>
      </c>
      <c r="EA61" s="10">
        <f t="shared" si="102"/>
        <v>0</v>
      </c>
      <c r="EB61" s="10">
        <f t="shared" si="103"/>
        <v>0</v>
      </c>
      <c r="EC61" s="10">
        <f t="shared" si="104"/>
        <v>0</v>
      </c>
      <c r="ED61" s="10">
        <f t="shared" si="105"/>
        <v>0</v>
      </c>
      <c r="EE61" s="10">
        <f t="shared" si="106"/>
        <v>0</v>
      </c>
      <c r="EF61" s="39">
        <f>EB61*Исходн.данные.!AJ61/1000</f>
        <v>0</v>
      </c>
      <c r="EG61" s="9">
        <f t="shared" si="107"/>
        <v>0</v>
      </c>
      <c r="EH61" s="9">
        <f t="shared" si="108"/>
        <v>0</v>
      </c>
      <c r="EI61" s="39" t="e">
        <f t="shared" si="7"/>
        <v>#DIV/0!</v>
      </c>
      <c r="EJ61" s="9" t="str">
        <f t="shared" si="8"/>
        <v>Азопреципитат</v>
      </c>
      <c r="EK61" s="12">
        <f t="shared" si="9"/>
        <v>0.26</v>
      </c>
      <c r="EL61" s="12">
        <f t="shared" si="10"/>
        <v>0.13</v>
      </c>
      <c r="EM61" s="12">
        <f t="shared" si="11"/>
        <v>0</v>
      </c>
      <c r="EN61" s="12" t="str">
        <f t="shared" si="57"/>
        <v>Нет</v>
      </c>
      <c r="EO61" s="12">
        <f t="shared" si="12"/>
        <v>0</v>
      </c>
      <c r="EP61" s="12">
        <f t="shared" si="13"/>
        <v>0</v>
      </c>
      <c r="EQ61" s="12">
        <f t="shared" si="14"/>
        <v>0</v>
      </c>
      <c r="ER61" s="12" t="str">
        <f t="shared" si="109"/>
        <v>Диаммофоска</v>
      </c>
      <c r="ES61" s="12">
        <f t="shared" si="15"/>
        <v>0.1</v>
      </c>
      <c r="ET61" s="12">
        <f t="shared" si="16"/>
        <v>0.26</v>
      </c>
      <c r="EU61" s="12">
        <f t="shared" si="17"/>
        <v>0.26</v>
      </c>
      <c r="EV61" s="12" t="str">
        <f t="shared" si="110"/>
        <v>Аммофос 12:52:00</v>
      </c>
      <c r="EW61" s="12" t="str">
        <f t="shared" si="111"/>
        <v>Кемира Свекловичное-6</v>
      </c>
      <c r="EX61" s="12">
        <f t="shared" si="18"/>
        <v>0.16</v>
      </c>
      <c r="EY61" s="12">
        <f t="shared" si="19"/>
        <v>0.12</v>
      </c>
      <c r="EZ61" s="12">
        <f t="shared" si="20"/>
        <v>0.17</v>
      </c>
      <c r="FA61" s="38" t="e">
        <f>IF(AND(OR(FJ61=$FD$1,FM61=$FD$1,FO61=$FD$1,FQ61=$FD$1,FS61=$FD$1),FD61=$FD$1,Исходн.данные.!J61&lt;2,FU61=$FD$1),"Бор,Кобальт",IF(AND(FO61=$FD$1,FH61=$FD$1,Исходн.данные.!J61&lt;2,FU61=$FD$1),"Бор,Кобальт",IF(AND(OR(FJ61=$FD$1,FM61=$FD$1,FQ61=$FD$1),FE61=$FD$1,Исходн.данные.!J61&lt;2,FT61=$FD$1,FU61=$FD$1),"Бор,Медь,Цинк",IF(AND(OR(FJ61=$FD$1,FR61="Да"),FI61="Да",Исходн.данные.!J61&lt;2,FT61="Да",FU61="Да"),"Бор,Цинк,Медь",IF(AND(OR(FM61="Да",FQ61="Да"),FI61="Да",Исходн.данные.!J61&lt;2,FT61="Да",FU61="Да"),"Бор,Цинк",IF(AND(FN61="Да",OR(FD61="Да",FE61="Да")),"Бор",FB61))))))</f>
        <v>#N/A</v>
      </c>
      <c r="FB61" s="134" t="e">
        <f>IF(AND(OR(FD61="Да",FE61="Да",FF61="Да",FG61="Да",FH61="Да"),FO61="Да"),"Бор",IF(AND(FP61="Да",OR(FD61="Да",FE61="Да",FI61="Да")),"Бор",IF(AND(FS61="Да",FE61="Да"),"Бор,Медь",IF(AND(OR(FJ61="Да",FK61="Да",FL61="Да"),FE61="Да",Исходн.данные.!I61&lt;5,FT61="Да",FU61="Да"),"Молибден,Цинк",IF(AND(FM61="Да",OR(FE61="Да",FF61="Да",FG61="Да",FH61="Да",FI61="Да")),"Молибден,Цинк",IF(AND(OR(FJ61="Да",FK61="Да",FL61="Да",FM61="Да",FQ61="Да"),OR(FE61="Да",FF61="Да"),FT61="Да",FU61="Да",Исходн.данные.!I61&gt;5.5),"Медь,Цинк",FC61))))))</f>
        <v>#N/A</v>
      </c>
      <c r="FC61" s="23" t="e">
        <f t="shared" si="112"/>
        <v>#N/A</v>
      </c>
      <c r="FD61" s="38" t="str">
        <f>IF(OR(Исходн.данные.!F61=$CC$1,Исходн.данные.!F61=$CC$2,Исходн.данные.!F61=$CC$3,Исходн.данные.!F61=$CC$4),"Да","Нет")</f>
        <v>Нет</v>
      </c>
      <c r="FE61" s="38" t="str">
        <f>IF(Исходн.данные.!F61=$CC$5,"Да","Нет")</f>
        <v>Нет</v>
      </c>
      <c r="FF61" s="38" t="str">
        <f>IF(OR(Исходн.данные.!F61=$CC$6,Исходн.данные.!F61=$CC$7),"Да","Нет")</f>
        <v>Нет</v>
      </c>
      <c r="FG61" s="38" t="str">
        <f>IF(OR(Исходн.данные.!F61=$CC$8,Исходн.данные.!F61=$CC$9),"Да","Нет")</f>
        <v>Нет</v>
      </c>
      <c r="FH61" s="38" t="str">
        <f>IF(Исходн.данные.!F61=$CC$10,"Да","Нет")</f>
        <v>Нет</v>
      </c>
      <c r="FI61" s="38" t="str">
        <f>IF(OR(Исходн.данные.!F61=$CC$11,Исходн.данные.!F61=$CC$12),"Да","Нет")</f>
        <v>Нет</v>
      </c>
      <c r="FJ61" s="38" t="str">
        <f>IF(OR(Исходн.данные.!AH61=$BS$1,Исходн.данные.!AH61=$BQ$11,Исходн.данные.!AH61=$BQ$12),"Да","Нет")</f>
        <v>Нет</v>
      </c>
      <c r="FK61" s="38" t="str">
        <f>IF(OR(Исходн.данные.!AH61=$BS$2,Исходн.данные.!AH61=$BS$4),"Да","Нет")</f>
        <v>Нет</v>
      </c>
      <c r="FL61" s="38" t="str">
        <f>IF(OR(Исходн.данные.!AH61=$BS$3,Исходн.данные.!AH61=$BS$5),"Да","Нет")</f>
        <v>Нет</v>
      </c>
      <c r="FM61" s="38" t="str">
        <f>IF(OR(Исходн.данные.!AH61=$BS$9,Исходн.данные.!AH61=$BS$10,Исходн.данные.!AH61=$BS$11,Исходн.данные.!AH61=$BS$12),"Да","Нет")</f>
        <v>Нет</v>
      </c>
      <c r="FN61" s="38" t="str">
        <f>IF(OR(Исходн.данные.!AH61=$BS$6,Исходн.данные.!AH61=$BP$3),"Да","Нет")</f>
        <v>Нет</v>
      </c>
      <c r="FO61" s="38" t="str">
        <f>IF(Исходн.данные.!AH61=$BQ$9,"Да","Нет")</f>
        <v>Нет</v>
      </c>
      <c r="FP61" s="38" t="str">
        <f>IF(OR(Исходн.данные.!AH61=$BS$8,Исходн.данные.!AH61=$BT$8),"Да","Нет")</f>
        <v>Нет</v>
      </c>
      <c r="FQ61" s="38" t="str">
        <f>IF(OR(Исходн.данные.!AH61=$BQ$7,Исходн.данные.!AH61=$BQ$8),"Да","Нет")</f>
        <v>Нет</v>
      </c>
      <c r="FR61" s="38" t="str">
        <f>IF(Исходн.данные.!AI61=$BU$9,"Да","Нет")</f>
        <v>Нет</v>
      </c>
      <c r="FS61" s="38" t="str">
        <f>IF(OR(Исходн.данные.!AH61=$BP$1,Исходн.данные.!AH61=$BP$2),"Да","Нет")</f>
        <v>Нет</v>
      </c>
      <c r="FT61" s="38" t="e">
        <f>IF((Исходн.данные.!K61*GO61*GS61*GW61+BL61*0.6+Исходн.данные.!Q61*4.5*0.275)&gt;90,"Да","Нет")</f>
        <v>#N/A</v>
      </c>
      <c r="FU61" s="38" t="e">
        <f>IF((Исходн.данные.!M61*GS61*GZ61+BM61*0.225)&gt;35,"Да","Нет")</f>
        <v>#N/A</v>
      </c>
      <c r="FV61" s="38" t="str">
        <f>IF(Исходн.данные.!O61&gt;175,"Да","Нет")</f>
        <v>Нет</v>
      </c>
      <c r="FW61" s="39" t="str">
        <f>IF(Исходн.данные.!I61&gt;5.5,"Да","Нет")</f>
        <v>Нет</v>
      </c>
      <c r="FX61" s="39" t="str">
        <f>IF(Исходн.данные.!J61&lt;2,"Да","Нет")</f>
        <v>Да</v>
      </c>
      <c r="FY61" s="39" t="e">
        <f>IF(HF61=$FY$16,0,Исходн.данные.!K61*GO61*GS61*GW61/HF61)</f>
        <v>#N/A</v>
      </c>
      <c r="FZ61" s="39" t="e">
        <f>Исходн.данные.!M61*GS61*GZ61/HG61</f>
        <v>#N/A</v>
      </c>
      <c r="GA61" s="39" t="e">
        <f>IF(K_Wyn=$FY$16,0,IF(Исходн.данные.!N61=Исходн.данные.!$L$10,Исходн.данные.!O61/1.1*GS61*HC61/HH61,IF(Исходн.данные.!N61=Исходн.данные.!$L$12,Исходн.данные.!O61/1.5*GS61*HC61/HH61,Исходн.данные.!O61*GS61*HC61/HH61)))</f>
        <v>#N/A</v>
      </c>
      <c r="GB61" s="39" t="e">
        <f>IF(HF61=$FY$16,0,((Исходн.данные.!Q61*N_Org+Исходн.данные.!R61*N_Sider+Исходн.данные.!S61*N_Soloma)*AO61+Расчет!BC61*VLOOKUP(Исходн.данные.!T61,Справ!$A$3:$O$57,15)*AO61+BB61*VLOOKUP(Исходн.данные.!T61,Справ!$A$3:$O$57,15)*AL61+(Исходн.данные.!V61*N_Rizotorf+Исходн.данные.!W61*N_Rizoagr))/HF61)</f>
        <v>#N/A</v>
      </c>
      <c r="GC61" s="39" t="e">
        <f>IF(HG61=$FY$16,0,((Исходн.данные.!Q61*Р_Org+Исходн.данные.!R61*P_Sider+Исходн.данные.!S61*P_Soloma)*AP61+Расчет!BC61*VLOOKUP(Исходн.данные.!T61,Справ!$A$3:$P$57,16)*AP61+BB61*VLOOKUP(Исходн.данные.!T61,Справ!$A$3:$P$57,16)*AM61)/HG61)</f>
        <v>#N/A</v>
      </c>
      <c r="GD61" s="39" t="e">
        <f>IF(HH61=$FY$16,0,((Исходн.данные.!Q61*К_Org+Исходн.данные.!R61*K_Sider+Исходн.данные.!S61*K_Soloma)*AQ61+Расчет!BC61*VLOOKUP(Исходн.данные.!T61,Справ!$A$3:$Q$57,17)*AQ61+BB61*VLOOKUP(Исходн.данные.!T61,Справ!$A$3:$Q$57,17)*AN61)/HH61)</f>
        <v>#N/A</v>
      </c>
      <c r="GE61" s="39" t="e">
        <f>IF(HF61=$FY$16,0,(Исходн.данные.!X61*AR61+Исходн.данные.!AA61*N_Org*AL61+Исходн.данные.!AB61*N_Sider*AL61+Исходн.данные.!AC61*N_Soloma*AL61)/HF61)</f>
        <v>#N/A</v>
      </c>
      <c r="GF61" s="39" t="e">
        <f>IF(HG61=$FY$16,0,(Исходн.данные.!Y61*AS61+Исходн.данные.!AA61*Р_Org*AM61+Исходн.данные.!AB61*P_Sider*AM61+Исходн.данные.!AC61*P_Soloma*AM61)/HG61)</f>
        <v>#N/A</v>
      </c>
      <c r="GG61" s="39" t="e">
        <f>IF(HH61=$FY$16,0,(Исходн.данные.!Z61*AT61+Исходн.данные.!AA61*К_Org*AN61+Исходн.данные.!AB61*K_Sider*AN61+Исходн.данные.!AC61*K_Soloma*AN61)/HH61)</f>
        <v>#N/A</v>
      </c>
      <c r="GH61" s="39" t="e">
        <f>Исходн.данные.!AD61*AU61/HF61</f>
        <v>#N/A</v>
      </c>
      <c r="GI61" s="39" t="e">
        <f>Исходн.данные.!AE61*AV61/HG61</f>
        <v>#N/A</v>
      </c>
      <c r="GJ61" s="39" t="e">
        <f>Исходн.данные.!AF61*AW61/HH61</f>
        <v>#N/A</v>
      </c>
      <c r="GK61" s="55">
        <f>Исходн.данные.!AK61</f>
        <v>0</v>
      </c>
      <c r="GL61" s="11" t="e">
        <f t="shared" si="113"/>
        <v>#N/A</v>
      </c>
      <c r="GM61" s="11" t="e">
        <f t="shared" si="114"/>
        <v>#N/A</v>
      </c>
      <c r="GN61" s="11" t="e">
        <f t="shared" si="115"/>
        <v>#N/A</v>
      </c>
      <c r="GO61" s="57">
        <f t="shared" si="116"/>
        <v>19</v>
      </c>
      <c r="GP61" s="55">
        <f>IF(OR(Исходн.данные.!F61=$CE$1,Исходн.данные.!F61=$CE$2,Исходн.данные.!F61=$CE$3,Исходн.данные.!F61=$CE$4,Исходн.данные.!F61=$CE$5),GQ61,GR61)</f>
        <v>19</v>
      </c>
      <c r="GQ61" s="55">
        <f>IF(Исходн.данные.!F61=$CE$1,28,IF(Исходн.данные.!F61=$CE$2,26,IF(Исходн.данные.!F61=$CE$3,24,IF(Исходн.данные.!F61=$CE$4,22,IF(Исходн.данные.!F61=$CE$5,20,GR61)))))</f>
        <v>19</v>
      </c>
      <c r="GR61" s="55">
        <f>IF(Исходн.данные.!F61=$CE$6,18,IF(Исходн.данные.!F61=$CE$7,16,IF(Исходн.данные.!F61=$CE$8,14,IF(Исходн.данные.!F61=$CE$9,13,IF(Исходн.данные.!F61=$CE$10,12,19)))))</f>
        <v>19</v>
      </c>
      <c r="GS61" s="55">
        <f>IF(Исходн.данные.!G61="Пес",0.035*(40+2*Исходн.данные.!H61),IF(Исходн.данные.!G61="Суп",0.0325*(40+2*Исходн.данные.!H61),0.03*(40+2*Исходн.данные.!H61)))</f>
        <v>1.2</v>
      </c>
      <c r="GT61" s="55">
        <f>IF(Исходн.данные.!H61&lt;23,2.6,IF(AND(Исходн.данные.!H61&gt;22,Исходн.данные.!H61&lt;26),3,IF(AND(Исходн.данные.!H61&gt;25,Исходн.данные.!H61&lt;29),3.4,3.6)))</f>
        <v>2.6</v>
      </c>
      <c r="GU61" s="55">
        <f>IF(Исходн.данные.!H61&lt;23,2.8,IF(AND(Исходн.данные.!H61&gt;22,Исходн.данные.!H61&lt;26),3.2,IF(AND(Исходн.данные.!H61&gt;25,Исходн.данные.!H61&lt;29),3.6,3.9)))</f>
        <v>2.8</v>
      </c>
      <c r="GV61" s="55">
        <f>IF(Исходн.данные.!H61&lt;23,3,IF(AND(Исходн.данные.!H61&gt;22,Исходн.данные.!H61&lt;26),3.5,IF(AND(Исходн.данные.!H61&gt;25,Исходн.данные.!H61&lt;29),3.9,4.2)))</f>
        <v>3</v>
      </c>
      <c r="GW61" s="55" t="e">
        <f>IF(Исходн.данные.!P61="Ум",GX61,GY61)</f>
        <v>#N/A</v>
      </c>
      <c r="GX61" s="55" t="e">
        <f>VLOOKUP(Исходн.данные.!AI61,Коэффициенты!$J$7:$L$13,2,FALSE)</f>
        <v>#N/A</v>
      </c>
      <c r="GY61" s="55" t="e">
        <f>VLOOKUP(Исходн.данные.!AI61,Коэффициенты!$J$7:$L$13,3,FALSE)</f>
        <v>#N/A</v>
      </c>
      <c r="GZ61" s="55" t="e">
        <f>(IF(Исходн.данные.!M61&lt;50,0.11*VLOOKUP(Исходн.данные.!AH61,Культуры.Информация,7,FALSE),IF(Исходн.данные.!M61&gt;250,0.05*VLOOKUP(Исходн.данные.!AH61,Культуры.Информация,7,FALSE),VLOOKUP(Исходн.данные.!AH61,Культуры.Информация,5,FALSE)/100*($GX$6+$GY$6*Исходн.данные.!M61))))*Расчет2!AI61</f>
        <v>#N/A</v>
      </c>
      <c r="HA61" s="211"/>
      <c r="HB61" s="211"/>
      <c r="HC61" s="55" t="e">
        <f>(IF(Исходн.данные.!O61&lt;80,0.2*VLOOKUP(Исходн.данные.!AH61,Культуры.Информация,8,FALSE),IF(Исходн.данные.!O61&gt;240,0.09*VLOOKUP(Исходн.данные.!AH61,Культуры.Информация,8,FALSE),VLOOKUP(Исходн.данные.!AH61,Культуры.Информация,6,FALSE)/100*($HB$6+$HC$6*Исходн.данные.!O61))))*Расчет2!AJ61</f>
        <v>#N/A</v>
      </c>
      <c r="HD61" s="55">
        <f>IF(Исходн.данные.!O61&gt;240,0.09,IF(Исходн.данные.!O61&lt;30,0.3,$HE$10+$HD$10*Исходн.данные.!O61))</f>
        <v>0.3</v>
      </c>
      <c r="HE61" s="55">
        <f>IF(Исходн.данные.!O61&gt;240,0.17,IF(Исходн.данные.!O61&lt;30,0.5,$HF$12+$HE$12*Исходн.данные.!O61))</f>
        <v>0.5</v>
      </c>
      <c r="HF61" s="55" t="e">
        <f>VLOOKUP(Исходн.данные.!AH61,Справ!$A$3:$D$58,2,FALSE)</f>
        <v>#N/A</v>
      </c>
      <c r="HG61" s="55" t="e">
        <f>VLOOKUP(Исходн.данные.!AH61,Справ!$A$3:$D$58,3,FALSE)</f>
        <v>#N/A</v>
      </c>
      <c r="HH61" s="55" t="e">
        <f>VLOOKUP(Исходн.данные.!AH61,Справ!$A$3:$D$58,4,FALSE)</f>
        <v>#N/A</v>
      </c>
      <c r="HI61" s="11" t="e">
        <f t="shared" si="117"/>
        <v>#N/A</v>
      </c>
      <c r="HJ61" s="11" t="e">
        <f t="shared" si="118"/>
        <v>#N/A</v>
      </c>
      <c r="HK61" s="11" t="e">
        <f t="shared" si="119"/>
        <v>#N/A</v>
      </c>
      <c r="HL61" s="55">
        <f>IF(OR(Исходн.данные.!G61="Глин",Исходн.данные.!G61="Т_суг"),1.1,IF(Исходн.данные.!G61="Ср_суг",1,1))</f>
        <v>1</v>
      </c>
      <c r="HM61" s="55">
        <f>IF(OR(Исходн.данные.!G61="Глин",Исходн.данные.!G61="Т_суг"),0.9,IF(Исходн.данные.!G61="Ср_суг",1,1.2))</f>
        <v>1.2</v>
      </c>
      <c r="HN61" s="11" t="e">
        <f t="shared" si="120"/>
        <v>#N/A</v>
      </c>
      <c r="HO61" s="11" t="e">
        <f t="shared" si="121"/>
        <v>#N/A</v>
      </c>
      <c r="HP61" s="11" t="e">
        <f t="shared" si="122"/>
        <v>#N/A</v>
      </c>
      <c r="HQ61" t="e">
        <f t="shared" si="123"/>
        <v>#N/A</v>
      </c>
      <c r="HR61" t="e">
        <f t="shared" si="124"/>
        <v>#N/A</v>
      </c>
      <c r="HS61" t="e">
        <f t="shared" si="125"/>
        <v>#N/A</v>
      </c>
      <c r="HT61" t="e">
        <f t="shared" si="21"/>
        <v>#N/A</v>
      </c>
      <c r="HU61" t="e">
        <f t="shared" si="22"/>
        <v>#N/A</v>
      </c>
      <c r="HV61" t="e">
        <f t="shared" si="23"/>
        <v>#N/A</v>
      </c>
      <c r="HW61" t="e">
        <f t="shared" si="24"/>
        <v>#N/A</v>
      </c>
      <c r="HX61" t="e">
        <f t="shared" si="25"/>
        <v>#N/A</v>
      </c>
      <c r="HY61" t="e">
        <f t="shared" si="26"/>
        <v>#N/A</v>
      </c>
      <c r="HZ61" s="55">
        <f>IF(OR(Исходн.данные.!AI61="Оз_Ч_П",Исходн.данные.!AI61="Оз_З_П",Исходн.данные.!AI61="Яр_зер"),12,30)</f>
        <v>30</v>
      </c>
      <c r="IA61" t="e">
        <f t="shared" si="126"/>
        <v>#N/A</v>
      </c>
      <c r="IB61" t="e">
        <f t="shared" si="127"/>
        <v>#N/A</v>
      </c>
      <c r="IC61" t="e">
        <f t="shared" si="128"/>
        <v>#N/A</v>
      </c>
      <c r="ID61" s="11" t="e">
        <f t="shared" si="129"/>
        <v>#N/A</v>
      </c>
      <c r="IE61" s="11" t="e">
        <f t="shared" si="130"/>
        <v>#N/A</v>
      </c>
      <c r="IF61" s="11" t="e">
        <f t="shared" si="131"/>
        <v>#N/A</v>
      </c>
    </row>
    <row r="62" spans="35:240" x14ac:dyDescent="0.2">
      <c r="AI62">
        <f>IF(Исходн.данные.!I62&gt;6,1,1.85-(0.148*Исходн.данные.!I62))</f>
        <v>1.85</v>
      </c>
      <c r="AJ62">
        <f>IF(Исходн.данные.!I62&gt;6,1,2.434-(0.246*Исходн.данные.!I62))</f>
        <v>2.4340000000000002</v>
      </c>
      <c r="AL62" s="148" t="b">
        <f>IF(Исходн.данные.!$P62="Ум",N_OrgUd_2g_um,IF(Исходн.данные.!$P62="Об",N_OrgUd_2g_ob))</f>
        <v>0</v>
      </c>
      <c r="AM62" s="148" t="b">
        <f>IF(Исходн.данные.!$P62="Ум",P_OrgUd_2g_um,IF(Исходн.данные.!$P62="Об",P_OrgUd_2g_ob))</f>
        <v>0</v>
      </c>
      <c r="AN62" s="148" t="b">
        <f>IF(Исходн.данные.!$P62="Ум",K_OrgUd_2g_um,IF(Исходн.данные.!$P62="Об",K_OrgUd_2g_ob))</f>
        <v>0</v>
      </c>
      <c r="AO62" s="148" t="b">
        <f>IF(Исходн.данные.!$P62="Ум",N_OrgUd_1g_um,IF(Исходн.данные.!$P62="Об",N_OrgUd_1g_ob))</f>
        <v>0</v>
      </c>
      <c r="AP62" s="148" t="b">
        <f>IF(Исходн.данные.!$P62="Ум",P_OrgUd_1g_um,IF(Исходн.данные.!$P62="Об",P_OrgUd_1g_ob))</f>
        <v>0</v>
      </c>
      <c r="AQ62" s="148" t="b">
        <f>IF(Исходн.данные.!$P62="Ум",K_OrgUd_1g_um,IF(Исходн.данные.!$P62="Об",K_OrgUd_1g_ob))</f>
        <v>0</v>
      </c>
      <c r="AR62" t="b">
        <f>IF(Исходн.данные.!$P62="Ум",N_MinUd_2g_um,IF(Исходн.данные.!$P62="Об",N_MinUd_2g_ob))</f>
        <v>0</v>
      </c>
      <c r="AS62" t="b">
        <f>IF(Исходн.данные.!$P62="Ум",P_MinUd_2g_um,IF(Исходн.данные.!$P62="Об",P_MinUd_2g_ob))</f>
        <v>0</v>
      </c>
      <c r="AT62" t="b">
        <f>IF(Исходн.данные.!$P62="Ум",K_MinUd_2g_um,IF(Исходн.данные.!$P62="Об",K_MinUd_2g_ob))</f>
        <v>0</v>
      </c>
      <c r="AU62" t="b">
        <f>IF(Исходн.данные.!$P62="Ум",N_MinUd_1g_um,IF(Исходн.данные.!$P62="Об",N_MinUd_1g_ob))</f>
        <v>0</v>
      </c>
      <c r="AV62" t="b">
        <f>IF(Исходн.данные.!P62="Ум",P_MinUd_1g_um,IF(Исходн.данные.!P62="Об",P_MinUd_1g_ob))</f>
        <v>0</v>
      </c>
      <c r="AW62" t="b">
        <f>IF(Исходн.данные.!P62="Ум",K_MinUd_1g_um,IF(Исходн.данные.!P62="Об",K_MinUd_1g_ob))</f>
        <v>0</v>
      </c>
      <c r="AY62" t="e">
        <f>VLOOKUP(Исходн.данные.!T62,Справ!$A$3:$N$57,12)</f>
        <v>#N/A</v>
      </c>
      <c r="AZ62" t="e">
        <f>VLOOKUP(Исходн.данные.!T62,Справ!$A$3:$N$57,13)</f>
        <v>#N/A</v>
      </c>
      <c r="BA62" t="e">
        <f>VLOOKUP(Исходн.данные.!T62,Справ!$A$3:$N$57,14)</f>
        <v>#N/A</v>
      </c>
      <c r="BB62">
        <f>IF(Исходн.данные.!AH62=0,0,25)</f>
        <v>0</v>
      </c>
      <c r="BC62" s="141">
        <f>IF(Исходн.данные.!AH62=0,0,IF(Исходн.данные.!T62=0,25,BD62))</f>
        <v>0</v>
      </c>
      <c r="BD62" s="168" t="e">
        <f>AY62+AZ62*Исходн.данные.!U62-POWER(BA62,2)*Исходн.данные.!U62</f>
        <v>#N/A</v>
      </c>
      <c r="BE6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2" s="25">
        <f>IF(Исходн.данные.!AH62=0,0,MIN(HN62:HP62))</f>
        <v>0</v>
      </c>
      <c r="BG62" s="9">
        <f>IF(Исходн.данные.!AH62=0,0,IF((HO62+10*0.25/HG62/HL62)&lt;17,17,HO62+10*0.25/HG62/HL62))</f>
        <v>0</v>
      </c>
      <c r="BH62" s="181">
        <f>IF(Исходн.данные.!AH62=0,0,HW62*HF62*HL62/AU62*AI62+Исходн.данные.!S62*10)</f>
        <v>0</v>
      </c>
      <c r="BI62" s="10"/>
      <c r="BJ62" s="182">
        <f>IF(Исходн.данные.!AH62=0,0,IF(HX62*HG62*HL62/AV62&lt;0,0,HX62*HG62*HL62/AV62*AJ62))</f>
        <v>0</v>
      </c>
      <c r="BK62" s="182">
        <f>IF(Исходн.данные.!AH62=0,0,HY62*HH62*HM62/AW62)</f>
        <v>0</v>
      </c>
      <c r="BL62" s="10">
        <f>IF(OR(Исходн.данные.!$AH62=$BP$1,Исходн.данные.!$AH62=$BP$2),0,IF(BH62&lt;0,0,IF(OR(Исходн.данные.!T62=Расчет!$BP$1,Исходн.данные.!T62=Расчет!$BP$2,Исходн.данные.!T62=Расчет!$BT$5,Исходн.данные.!T62=Расчет!$BT$6),BH62*0.5,IF(OR(Исходн.данные.!T62=Расчет!$BS$9,Исходн.данные.!T62=Расчет!$BS$10,Исходн.данные.!T62=Расчет!$BS$11,Исходн.данные.!T62=Расчет!$BS$12,Исходн.данные.!T62=Расчет!$BP$5),BH62*0.8,BH62))))</f>
        <v>0</v>
      </c>
      <c r="BM62" s="10">
        <f>IF(OR(Исходн.данные.!$AH62=$BP$1,Исходн.данные.!$AH62=$BP$2),0,IF(BJ62&lt;0,0,IF(Исходн.данные.!I62&lt;4.5,BJ62*1.2,IF(Исходн.данные.!I62&gt;5.1,BJ62,BJ62*((5.1-Исходн.данные.!I62)*0.333+1)))))</f>
        <v>0</v>
      </c>
      <c r="BN62" s="10">
        <f>IF(OR(Исходн.данные.!$AH62=$BP$1,Исходн.данные.!$AH62=$BP$2),60-Исходн.данные.!AF62,IF(BK62&lt;0,0,IF(Исходн.данные.!I62&lt;4.5,BK62*1.2,IF(Исходн.данные.!I62&gt;5.1,BK62,BK62*((5.1-Исходн.данные.!I62)*0.333+1)))))</f>
        <v>0</v>
      </c>
      <c r="BO62" s="9">
        <f>IF(BL62&lt;0,0,BL62*Исходн.данные.!$AJ62/1000)</f>
        <v>0</v>
      </c>
      <c r="BP62" s="9">
        <f>IF(BM62&lt;0,0,BM62*Исходн.данные.!$AJ62/1000)</f>
        <v>0</v>
      </c>
      <c r="BQ62" s="9">
        <f>IF(BN62&lt;0,0,BN62*Исходн.данные.!$AJ62/1000)</f>
        <v>0</v>
      </c>
      <c r="BR62" s="9">
        <f t="shared" si="81"/>
        <v>0</v>
      </c>
      <c r="BS62" s="10" t="str">
        <f t="shared" si="82"/>
        <v>Аммофос 12:52:00</v>
      </c>
      <c r="BT62" s="10" t="str">
        <f t="shared" si="83"/>
        <v>Аммофос 12:52:00</v>
      </c>
      <c r="BU62" s="10" t="str">
        <f t="shared" si="84"/>
        <v>Диаммофоска</v>
      </c>
      <c r="BV62" s="10">
        <f t="shared" si="85"/>
        <v>0</v>
      </c>
      <c r="BW62" s="10"/>
      <c r="BX62" s="10"/>
      <c r="BY62" s="9">
        <f>IF(BL62&lt;0,0,IF(OR(Исходн.данные.!AI62=Расчет!$BU$6,Исходн.данные.!AI62=Расчет!$BU$7),Расчет!BV62,IF(Исходн.данные.!$AG62=$BV$11,BL62,IF(OR(Исходн.данные.!$AH62=$BQ$7,Исходн.данные.!$AH62=$BQ$8),CB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0,IF(Исходн.данные.!$AI62=$BU$11,"Нет",IF(BL62&gt;30,30,BL62)))))))</f>
        <v>0</v>
      </c>
      <c r="BZ62" s="9">
        <f>IF(AND(Исходн.данные.!$AG62=$BV$11,BM62&lt;10),10,IF(Исходн.данные.!$AG62=$BV$11,BM62,IF(OR(Исходн.данные.!$AH62=$BQ$7,Исходн.данные.!$AH62=$BQ$8),CC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10,IF(Исходн.данные.!$AI62=$BU$11,"Нет",IF(BM62&gt;60,60,IF(BM62&lt;10,10,BM62)))))))</f>
        <v>10</v>
      </c>
      <c r="CA62" s="39">
        <f>IF(BN62&lt;0,0,IF(Исходн.данные.!$AG62=$BV$11,BN62,IF(OR(Исходн.данные.!$AH62=$BQ$7,Исходн.данные.!$AH62=$BQ$8),CD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0,IF(Исходн.данные.!$AI62=$BU$11,"Нет",IF(BN62&gt;30,30,BN62))))))</f>
        <v>0</v>
      </c>
      <c r="CB62" s="9">
        <f t="shared" si="86"/>
        <v>0</v>
      </c>
      <c r="CC62" s="9">
        <f t="shared" si="87"/>
        <v>0</v>
      </c>
      <c r="CD62" s="9">
        <f t="shared" si="88"/>
        <v>0</v>
      </c>
      <c r="CE62" s="12">
        <f t="shared" si="89"/>
        <v>10</v>
      </c>
      <c r="CF62" s="9">
        <f t="shared" si="90"/>
        <v>0</v>
      </c>
      <c r="CG62" s="9" t="s">
        <v>231</v>
      </c>
      <c r="CH62" s="132" t="str">
        <f>IF(Исходн.данные.!AP62=Расчет!$CI$16,"Нет",IF(Исходн.данные.!AL62&gt;0,Исходн.данные.!AL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BH$4,IF(OR(Исходн.данные.!AI62=Исходн.данные.!$AI$6,Исходн.данные.!AI62=Исходн.данные.!$AI$7),Расчет!BS62,IF(AND($CF62=0,$CE62&gt;0),EV62,ER62)))))</f>
        <v>Аммофос 12:52:00</v>
      </c>
      <c r="CI62" s="274">
        <f>IF(Расчет!$CH62="Нет","Нет",IF(Исходн.данные.!$AL62&gt;0,VLOOKUP(Расчет!$CH62,АшламаДВ_Irekle,2,FALSE),VLOOKUP(Расчет!$CH62,АшламаДВ_Gomumy,2,FALSE)))</f>
        <v>0.12</v>
      </c>
      <c r="CJ62" s="274">
        <f>IF(Расчет!$CH62="Нет","Нет",IF(Исходн.данные.!$AL62&gt;0,VLOOKUP(Расчет!$CH62,АшламаДВ_Irekle,3,FALSE),VLOOKUP(Расчет!$CH62,АшламаДВ_Gomumy,3,FALSE)))</f>
        <v>0.52</v>
      </c>
      <c r="CK62" s="274">
        <f>IF(Расчет!$CH62="Нет","Нет",IF(Исходн.данные.!$AL62&gt;0,VLOOKUP(Расчет!$CH62,АшламаДВ_Irekle,4,FALSE),VLOOKUP(Расчет!$CH62,АшламаДВ_Gomumy,4,FALSE)))</f>
        <v>0</v>
      </c>
      <c r="CL62" s="70"/>
      <c r="CM62" s="70"/>
      <c r="CN62" s="70"/>
      <c r="CO62" s="70"/>
      <c r="CP62" s="70"/>
      <c r="CQ62" s="70"/>
      <c r="CR62" s="10">
        <f t="shared" si="91"/>
        <v>0</v>
      </c>
      <c r="CS62" s="10">
        <f t="shared" si="92"/>
        <v>19.23076923076923</v>
      </c>
      <c r="CT62" s="10">
        <f t="shared" si="93"/>
        <v>0</v>
      </c>
      <c r="CU62" s="39">
        <f>IF($CH62="Нет",0,IF(CI62=0,30/MIN(CJ62:CK62),IF(Исходн.данные.!$AG62=$BV$11,CR62,IF(OR(Исходн.данные.!$AH62=$BQ$7,Исходн.данные.!$AH62=$BQ$8),90/CI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0,IF(Исходн.данные.!$AI62=$BU$11,"Нет",30/CI62))))))</f>
        <v>250</v>
      </c>
      <c r="CV62" s="39">
        <f>IF($CH62="Нет",0,IF(Исходн.данные.!AH62=0,0,IF(CJ62=0,60/MIN(CI62,CK62),IF(Исходн.данные.!$AG62=$BV$11,CS62,IF(OR(Исходн.данные.!$AH62=$BQ$7,Исходн.данные.!$AH62=$BQ$8),90/CJ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10/CJ62,IF(Исходн.данные.!$AI62=$BU$11,"Нет",60/CJ62)))))))</f>
        <v>0</v>
      </c>
      <c r="CW62" s="39">
        <f>IF($CH62="Нет",0,IF(Исходн.данные.!AH62=0,0,IF(CK62=0,30/MIN(CI62:CJ62),IF(Исходн.данные.!$AG62=$BV$11,CT62,IF(OR(Исходн.данные.!$AH62=$BQ$7,Исходн.данные.!$AH62=$BQ$8),90/CK62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0,IF(Исходн.данные.!$AI62=$BU$11,"Нет",30/CK62)))))))</f>
        <v>0</v>
      </c>
      <c r="CX62" s="133">
        <f>IF(Исходн.данные.!$AG62=$BV$11,MAX(CU62:CW62),IF(OR(Исходн.данные.!$AH62=$BS$8,Исходн.данные.!$AH62=$BQ$9,Исходн.данные.!$AH62=$BQ$10,Исходн.данные.!$AH62=$BQ$11,Исходн.данные.!$AH62=$BQ$12,Исходн.данные.!$AH62=$BP$3,Исходн.данные.!$AH62=$BT$8,$FM62="Да"),CV62,MIN(CU62:CW62)))</f>
        <v>0</v>
      </c>
      <c r="CY62" s="133">
        <f>IF(Исходн.данные.!AH62=0,0,IF(CR62&gt;$CX62,$CX62,CR62))</f>
        <v>0</v>
      </c>
      <c r="CZ62" s="133">
        <f>IF(Исходн.данные.!AH62=0,0,IF(CS62&gt;$CX62,$CX62,CS62))</f>
        <v>0</v>
      </c>
      <c r="DA62" s="133">
        <f>IF(Исходн.данные.!AH62=0,0,IF(CT62&gt;$CX62,$CX62,CT62))</f>
        <v>0</v>
      </c>
      <c r="DB62" s="10">
        <f t="shared" si="94"/>
        <v>0</v>
      </c>
      <c r="DC62" s="39">
        <f>DB62*Исходн.данные.!AJ62/1000</f>
        <v>0</v>
      </c>
      <c r="DD62" s="71">
        <f t="shared" si="95"/>
        <v>0</v>
      </c>
      <c r="DE62" s="9">
        <f t="shared" si="96"/>
        <v>0</v>
      </c>
      <c r="DF62" s="9">
        <f t="shared" si="97"/>
        <v>0</v>
      </c>
      <c r="DG62" s="39">
        <f>IF(BL62&lt;0,0,IF($CH62="Нет",BL62,IF(OR(Исходн.данные.!$AH62=$BP$1,Исходн.данные.!$AH62=$BP$2),0,IF(Исходн.данные.!AI62=$BU$11,BL62,IF(BL62-DD62&lt;0,0,BL62-DD62)))))</f>
        <v>0</v>
      </c>
      <c r="DH62" s="39">
        <f>IF(BM62&lt;0,0,IF($CH62="Нет",BM62,IF(OR(Исходн.данные.!$AH62=$BP$1,Исходн.данные.!$AH62=$BP$2),0,IF(Исходн.данные.!AJ62=$BU$11,BM62,IF(BM62-DE62&lt;0,0,BM62-DE62)))))</f>
        <v>0</v>
      </c>
      <c r="DI62" s="39">
        <f>IF(BN62&lt;0,0,IF($CH62="Нет",BN62,IF(OR(Исходн.данные.!$AH62=$BP$1,Исходн.данные.!$AH62=$BP$2),0,IF(Исходн.данные.!AK62=$BU$11,BN62,IF(BN62-DF62&lt;0,0,BN62-DF62)))))</f>
        <v>0</v>
      </c>
      <c r="DJ62" s="12">
        <f t="shared" si="98"/>
        <v>0</v>
      </c>
      <c r="DK62" s="9">
        <f t="shared" si="99"/>
        <v>0</v>
      </c>
      <c r="DL62" s="39">
        <f>IF(Исходн.данные.!AM62&gt;0,Исходн.данные.!AM62,IF(EG62&gt;0,$BH$10,0))</f>
        <v>0</v>
      </c>
      <c r="DM62" s="186">
        <f>IF($DL62=0,0,IF(Исходн.данные.!AM62&gt;0,VLOOKUP($DL62,АшламаДВ_Irekle,2,FALSE),VLOOKUP($DL62,АшламаДВ_Gomumy,2,FALSE)))</f>
        <v>0</v>
      </c>
      <c r="DN62" s="10">
        <f t="shared" si="46"/>
        <v>0</v>
      </c>
      <c r="DO62" s="9" t="str">
        <f>IF(Исходн.данные.!AN62&gt;0,Исходн.данные.!AN62,Удобрения!$B$37 )</f>
        <v>Хлор.калий</v>
      </c>
      <c r="DP62" s="9">
        <f>IF(Исходн.данные.!AN62&gt;0,VLOOKUP(Исходн.данные.!AN62,АшламаДВ_Irekle,4,FALSE),VLOOKUP(DO62,АшламаДВ_Gomumy,4,FALSE))</f>
        <v>0.6</v>
      </c>
      <c r="DQ62" s="10">
        <f t="shared" si="47"/>
        <v>0</v>
      </c>
      <c r="DR62" s="132" t="str">
        <f>IF(Исходн.данные.!AO62&gt;0,Исходн.данные.!AO62,IF(DH62=0,BS$17,IF(AND($DK62=0,$DJ62&gt;0),EJ62,EN62)))</f>
        <v>Нет</v>
      </c>
      <c r="DS62" s="70" t="str">
        <f>IF($DR62="Нет","Нет",IF(Исходн.данные.!$AO62&gt;0,VLOOKUP($DR62,АшламаДВ_Irekle,2,FALSE),VLOOKUP($DR62,АшламаДВ_Gomumy,2,FALSE)))</f>
        <v>Нет</v>
      </c>
      <c r="DT62" s="70" t="str">
        <f>IF($DR62="Нет","Нет",IF(Исходн.данные.!$AO62&gt;0,VLOOKUP($DR62,АшламаДВ_Irekle,3,FALSE),VLOOKUP($DR62,АшламаДВ_Gomumy,3,FALSE)))</f>
        <v>Нет</v>
      </c>
      <c r="DU62" s="70" t="str">
        <f>IF($DR62="Нет","Нет",IF(Исходн.данные.!$AO62&gt;0,VLOOKUP($DR62,АшламаДВ_Irekle,4,FALSE),VLOOKUP($DR62,АшламаДВ_Gomumy,4,FALSE)))</f>
        <v>Нет</v>
      </c>
      <c r="DV62" s="70"/>
      <c r="DW62" s="70"/>
      <c r="DX62" s="70"/>
      <c r="DY62" s="10">
        <f t="shared" si="100"/>
        <v>0</v>
      </c>
      <c r="DZ62" s="10">
        <f t="shared" si="101"/>
        <v>0</v>
      </c>
      <c r="EA62" s="10">
        <f t="shared" si="102"/>
        <v>0</v>
      </c>
      <c r="EB62" s="10">
        <f t="shared" si="103"/>
        <v>0</v>
      </c>
      <c r="EC62" s="10">
        <f t="shared" si="104"/>
        <v>0</v>
      </c>
      <c r="ED62" s="10">
        <f t="shared" si="105"/>
        <v>0</v>
      </c>
      <c r="EE62" s="10">
        <f t="shared" si="106"/>
        <v>0</v>
      </c>
      <c r="EF62" s="39">
        <f>EB62*Исходн.данные.!AJ62/1000</f>
        <v>0</v>
      </c>
      <c r="EG62" s="9">
        <f t="shared" si="107"/>
        <v>0</v>
      </c>
      <c r="EH62" s="9">
        <f t="shared" si="108"/>
        <v>0</v>
      </c>
      <c r="EI62" s="39" t="e">
        <f t="shared" si="7"/>
        <v>#DIV/0!</v>
      </c>
      <c r="EJ62" s="9" t="str">
        <f t="shared" si="8"/>
        <v>Азопреципитат</v>
      </c>
      <c r="EK62" s="12">
        <f t="shared" si="9"/>
        <v>0.26</v>
      </c>
      <c r="EL62" s="12">
        <f t="shared" si="10"/>
        <v>0.13</v>
      </c>
      <c r="EM62" s="12">
        <f t="shared" si="11"/>
        <v>0</v>
      </c>
      <c r="EN62" s="12" t="str">
        <f t="shared" si="57"/>
        <v>Нет</v>
      </c>
      <c r="EO62" s="12">
        <f t="shared" si="12"/>
        <v>0</v>
      </c>
      <c r="EP62" s="12">
        <f t="shared" si="13"/>
        <v>0</v>
      </c>
      <c r="EQ62" s="12">
        <f t="shared" si="14"/>
        <v>0</v>
      </c>
      <c r="ER62" s="12" t="str">
        <f t="shared" si="109"/>
        <v>Диаммофоска</v>
      </c>
      <c r="ES62" s="12">
        <f t="shared" si="15"/>
        <v>0.1</v>
      </c>
      <c r="ET62" s="12">
        <f t="shared" si="16"/>
        <v>0.26</v>
      </c>
      <c r="EU62" s="12">
        <f t="shared" si="17"/>
        <v>0.26</v>
      </c>
      <c r="EV62" s="12" t="str">
        <f t="shared" si="110"/>
        <v>Аммофос 12:52:00</v>
      </c>
      <c r="EW62" s="12" t="str">
        <f t="shared" si="111"/>
        <v>Кемира Свекловичное-6</v>
      </c>
      <c r="EX62" s="12">
        <f t="shared" si="18"/>
        <v>0.16</v>
      </c>
      <c r="EY62" s="12">
        <f t="shared" si="19"/>
        <v>0.12</v>
      </c>
      <c r="EZ62" s="12">
        <f t="shared" si="20"/>
        <v>0.17</v>
      </c>
      <c r="FA62" s="38" t="e">
        <f>IF(AND(OR(FJ62=$FD$1,FM62=$FD$1,FO62=$FD$1,FQ62=$FD$1,FS62=$FD$1),FD62=$FD$1,Исходн.данные.!J62&lt;2,FU62=$FD$1),"Бор,Кобальт",IF(AND(FO62=$FD$1,FH62=$FD$1,Исходн.данные.!J62&lt;2,FU62=$FD$1),"Бор,Кобальт",IF(AND(OR(FJ62=$FD$1,FM62=$FD$1,FQ62=$FD$1),FE62=$FD$1,Исходн.данные.!J62&lt;2,FT62=$FD$1,FU62=$FD$1),"Бор,Медь,Цинк",IF(AND(OR(FJ62=$FD$1,FR62="Да"),FI62="Да",Исходн.данные.!J62&lt;2,FT62="Да",FU62="Да"),"Бор,Цинк,Медь",IF(AND(OR(FM62="Да",FQ62="Да"),FI62="Да",Исходн.данные.!J62&lt;2,FT62="Да",FU62="Да"),"Бор,Цинк",IF(AND(FN62="Да",OR(FD62="Да",FE62="Да")),"Бор",FB62))))))</f>
        <v>#N/A</v>
      </c>
      <c r="FB62" s="134" t="e">
        <f>IF(AND(OR(FD62="Да",FE62="Да",FF62="Да",FG62="Да",FH62="Да"),FO62="Да"),"Бор",IF(AND(FP62="Да",OR(FD62="Да",FE62="Да",FI62="Да")),"Бор",IF(AND(FS62="Да",FE62="Да"),"Бор,Медь",IF(AND(OR(FJ62="Да",FK62="Да",FL62="Да"),FE62="Да",Исходн.данные.!I62&lt;5,FT62="Да",FU62="Да"),"Молибден,Цинк",IF(AND(FM62="Да",OR(FE62="Да",FF62="Да",FG62="Да",FH62="Да",FI62="Да")),"Молибден,Цинк",IF(AND(OR(FJ62="Да",FK62="Да",FL62="Да",FM62="Да",FQ62="Да"),OR(FE62="Да",FF62="Да"),FT62="Да",FU62="Да",Исходн.данные.!I62&gt;5.5),"Медь,Цинк",FC62))))))</f>
        <v>#N/A</v>
      </c>
      <c r="FC62" s="23" t="e">
        <f t="shared" si="112"/>
        <v>#N/A</v>
      </c>
      <c r="FD62" s="38" t="str">
        <f>IF(OR(Исходн.данные.!F62=$CC$1,Исходн.данные.!F62=$CC$2,Исходн.данные.!F62=$CC$3,Исходн.данные.!F62=$CC$4),"Да","Нет")</f>
        <v>Нет</v>
      </c>
      <c r="FE62" s="38" t="str">
        <f>IF(Исходн.данные.!F62=$CC$5,"Да","Нет")</f>
        <v>Нет</v>
      </c>
      <c r="FF62" s="38" t="str">
        <f>IF(OR(Исходн.данные.!F62=$CC$6,Исходн.данные.!F62=$CC$7),"Да","Нет")</f>
        <v>Нет</v>
      </c>
      <c r="FG62" s="38" t="str">
        <f>IF(OR(Исходн.данные.!F62=$CC$8,Исходн.данные.!F62=$CC$9),"Да","Нет")</f>
        <v>Нет</v>
      </c>
      <c r="FH62" s="38" t="str">
        <f>IF(Исходн.данные.!F62=$CC$10,"Да","Нет")</f>
        <v>Нет</v>
      </c>
      <c r="FI62" s="38" t="str">
        <f>IF(OR(Исходн.данные.!F62=$CC$11,Исходн.данные.!F62=$CC$12),"Да","Нет")</f>
        <v>Нет</v>
      </c>
      <c r="FJ62" s="38" t="str">
        <f>IF(OR(Исходн.данные.!AH62=$BS$1,Исходн.данные.!AH62=$BQ$11,Исходн.данные.!AH62=$BQ$12),"Да","Нет")</f>
        <v>Нет</v>
      </c>
      <c r="FK62" s="38" t="str">
        <f>IF(OR(Исходн.данные.!AH62=$BS$2,Исходн.данные.!AH62=$BS$4),"Да","Нет")</f>
        <v>Нет</v>
      </c>
      <c r="FL62" s="38" t="str">
        <f>IF(OR(Исходн.данные.!AH62=$BS$3,Исходн.данные.!AH62=$BS$5),"Да","Нет")</f>
        <v>Нет</v>
      </c>
      <c r="FM62" s="38" t="str">
        <f>IF(OR(Исходн.данные.!AH62=$BS$9,Исходн.данные.!AH62=$BS$10,Исходн.данные.!AH62=$BS$11,Исходн.данные.!AH62=$BS$12),"Да","Нет")</f>
        <v>Нет</v>
      </c>
      <c r="FN62" s="38" t="str">
        <f>IF(OR(Исходн.данные.!AH62=$BS$6,Исходн.данные.!AH62=$BP$3),"Да","Нет")</f>
        <v>Нет</v>
      </c>
      <c r="FO62" s="38" t="str">
        <f>IF(Исходн.данные.!AH62=$BQ$9,"Да","Нет")</f>
        <v>Нет</v>
      </c>
      <c r="FP62" s="38" t="str">
        <f>IF(OR(Исходн.данные.!AH62=$BS$8,Исходн.данные.!AH62=$BT$8),"Да","Нет")</f>
        <v>Нет</v>
      </c>
      <c r="FQ62" s="38" t="str">
        <f>IF(OR(Исходн.данные.!AH62=$BQ$7,Исходн.данные.!AH62=$BQ$8),"Да","Нет")</f>
        <v>Нет</v>
      </c>
      <c r="FR62" s="38" t="str">
        <f>IF(Исходн.данные.!AI62=$BU$9,"Да","Нет")</f>
        <v>Нет</v>
      </c>
      <c r="FS62" s="38" t="str">
        <f>IF(OR(Исходн.данные.!AH62=$BP$1,Исходн.данные.!AH62=$BP$2),"Да","Нет")</f>
        <v>Нет</v>
      </c>
      <c r="FT62" s="38" t="e">
        <f>IF((Исходн.данные.!K62*GO62*GS62*GW62+BL62*0.6+Исходн.данные.!Q62*4.5*0.275)&gt;90,"Да","Нет")</f>
        <v>#N/A</v>
      </c>
      <c r="FU62" s="38" t="e">
        <f>IF((Исходн.данные.!M62*GS62*GZ62+BM62*0.225)&gt;35,"Да","Нет")</f>
        <v>#N/A</v>
      </c>
      <c r="FV62" s="38" t="str">
        <f>IF(Исходн.данные.!O62&gt;175,"Да","Нет")</f>
        <v>Нет</v>
      </c>
      <c r="FW62" s="39" t="str">
        <f>IF(Исходн.данные.!I62&gt;5.5,"Да","Нет")</f>
        <v>Нет</v>
      </c>
      <c r="FX62" s="39" t="str">
        <f>IF(Исходн.данные.!J62&lt;2,"Да","Нет")</f>
        <v>Да</v>
      </c>
      <c r="FY62" s="39" t="e">
        <f>IF(HF62=$FY$16,0,Исходн.данные.!K62*GO62*GS62*GW62/HF62)</f>
        <v>#N/A</v>
      </c>
      <c r="FZ62" s="39" t="e">
        <f>Исходн.данные.!M62*GS62*GZ62/HG62</f>
        <v>#N/A</v>
      </c>
      <c r="GA62" s="39" t="e">
        <f>IF(K_Wyn=$FY$16,0,IF(Исходн.данные.!N62=Исходн.данные.!$L$10,Исходн.данные.!O62/1.1*GS62*HC62/HH62,IF(Исходн.данные.!N62=Исходн.данные.!$L$12,Исходн.данные.!O62/1.5*GS62*HC62/HH62,Исходн.данные.!O62*GS62*HC62/HH62)))</f>
        <v>#N/A</v>
      </c>
      <c r="GB62" s="39" t="e">
        <f>IF(HF62=$FY$16,0,((Исходн.данные.!Q62*N_Org+Исходн.данные.!R62*N_Sider+Исходн.данные.!S62*N_Soloma)*AO62+Расчет!BC62*VLOOKUP(Исходн.данные.!T62,Справ!$A$3:$O$57,15)*AO62+BB62*VLOOKUP(Исходн.данные.!T62,Справ!$A$3:$O$57,15)*AL62+(Исходн.данные.!V62*N_Rizotorf+Исходн.данные.!W62*N_Rizoagr))/HF62)</f>
        <v>#N/A</v>
      </c>
      <c r="GC62" s="39" t="e">
        <f>IF(HG62=$FY$16,0,((Исходн.данные.!Q62*Р_Org+Исходн.данные.!R62*P_Sider+Исходн.данные.!S62*P_Soloma)*AP62+Расчет!BC62*VLOOKUP(Исходн.данные.!T62,Справ!$A$3:$P$57,16)*AP62+BB62*VLOOKUP(Исходн.данные.!T62,Справ!$A$3:$P$57,16)*AM62)/HG62)</f>
        <v>#N/A</v>
      </c>
      <c r="GD62" s="39" t="e">
        <f>IF(HH62=$FY$16,0,((Исходн.данные.!Q62*К_Org+Исходн.данные.!R62*K_Sider+Исходн.данные.!S62*K_Soloma)*AQ62+Расчет!BC62*VLOOKUP(Исходн.данные.!T62,Справ!$A$3:$Q$57,17)*AQ62+BB62*VLOOKUP(Исходн.данные.!T62,Справ!$A$3:$Q$57,17)*AN62)/HH62)</f>
        <v>#N/A</v>
      </c>
      <c r="GE62" s="39" t="e">
        <f>IF(HF62=$FY$16,0,(Исходн.данные.!X62*AR62+Исходн.данные.!AA62*N_Org*AL62+Исходн.данные.!AB62*N_Sider*AL62+Исходн.данные.!AC62*N_Soloma*AL62)/HF62)</f>
        <v>#N/A</v>
      </c>
      <c r="GF62" s="39" t="e">
        <f>IF(HG62=$FY$16,0,(Исходн.данные.!Y62*AS62+Исходн.данные.!AA62*Р_Org*AM62+Исходн.данные.!AB62*P_Sider*AM62+Исходн.данные.!AC62*P_Soloma*AM62)/HG62)</f>
        <v>#N/A</v>
      </c>
      <c r="GG62" s="39" t="e">
        <f>IF(HH62=$FY$16,0,(Исходн.данные.!Z62*AT62+Исходн.данные.!AA62*К_Org*AN62+Исходн.данные.!AB62*K_Sider*AN62+Исходн.данные.!AC62*K_Soloma*AN62)/HH62)</f>
        <v>#N/A</v>
      </c>
      <c r="GH62" s="39" t="e">
        <f>Исходн.данные.!AD62*AU62/HF62</f>
        <v>#N/A</v>
      </c>
      <c r="GI62" s="39" t="e">
        <f>Исходн.данные.!AE62*AV62/HG62</f>
        <v>#N/A</v>
      </c>
      <c r="GJ62" s="39" t="e">
        <f>Исходн.данные.!AF62*AW62/HH62</f>
        <v>#N/A</v>
      </c>
      <c r="GK62" s="55">
        <f>Исходн.данные.!AK62</f>
        <v>0</v>
      </c>
      <c r="GL62" s="11" t="e">
        <f t="shared" si="113"/>
        <v>#N/A</v>
      </c>
      <c r="GM62" s="11" t="e">
        <f t="shared" si="114"/>
        <v>#N/A</v>
      </c>
      <c r="GN62" s="11" t="e">
        <f t="shared" si="115"/>
        <v>#N/A</v>
      </c>
      <c r="GO62" s="57">
        <f t="shared" si="116"/>
        <v>19</v>
      </c>
      <c r="GP62" s="55">
        <f>IF(OR(Исходн.данные.!F62=$CE$1,Исходн.данные.!F62=$CE$2,Исходн.данные.!F62=$CE$3,Исходн.данные.!F62=$CE$4,Исходн.данные.!F62=$CE$5),GQ62,GR62)</f>
        <v>19</v>
      </c>
      <c r="GQ62" s="55">
        <f>IF(Исходн.данные.!F62=$CE$1,28,IF(Исходн.данные.!F62=$CE$2,26,IF(Исходн.данные.!F62=$CE$3,24,IF(Исходн.данные.!F62=$CE$4,22,IF(Исходн.данные.!F62=$CE$5,20,GR62)))))</f>
        <v>19</v>
      </c>
      <c r="GR62" s="55">
        <f>IF(Исходн.данные.!F62=$CE$6,18,IF(Исходн.данные.!F62=$CE$7,16,IF(Исходн.данные.!F62=$CE$8,14,IF(Исходн.данные.!F62=$CE$9,13,IF(Исходн.данные.!F62=$CE$10,12,19)))))</f>
        <v>19</v>
      </c>
      <c r="GS62" s="55">
        <f>IF(Исходн.данные.!G62="Пес",0.035*(40+2*Исходн.данные.!H62),IF(Исходн.данные.!G62="Суп",0.0325*(40+2*Исходн.данные.!H62),0.03*(40+2*Исходн.данные.!H62)))</f>
        <v>1.2</v>
      </c>
      <c r="GT62" s="55">
        <f>IF(Исходн.данные.!H62&lt;23,2.6,IF(AND(Исходн.данные.!H62&gt;22,Исходн.данные.!H62&lt;26),3,IF(AND(Исходн.данные.!H62&gt;25,Исходн.данные.!H62&lt;29),3.4,3.6)))</f>
        <v>2.6</v>
      </c>
      <c r="GU62" s="55">
        <f>IF(Исходн.данные.!H62&lt;23,2.8,IF(AND(Исходн.данные.!H62&gt;22,Исходн.данные.!H62&lt;26),3.2,IF(AND(Исходн.данные.!H62&gt;25,Исходн.данные.!H62&lt;29),3.6,3.9)))</f>
        <v>2.8</v>
      </c>
      <c r="GV62" s="55">
        <f>IF(Исходн.данные.!H62&lt;23,3,IF(AND(Исходн.данные.!H62&gt;22,Исходн.данные.!H62&lt;26),3.5,IF(AND(Исходн.данные.!H62&gt;25,Исходн.данные.!H62&lt;29),3.9,4.2)))</f>
        <v>3</v>
      </c>
      <c r="GW62" s="55" t="e">
        <f>IF(Исходн.данные.!P62="Ум",GX62,GY62)</f>
        <v>#N/A</v>
      </c>
      <c r="GX62" s="55" t="e">
        <f>VLOOKUP(Исходн.данные.!AI62,Коэффициенты!$J$7:$L$13,2,FALSE)</f>
        <v>#N/A</v>
      </c>
      <c r="GY62" s="55" t="e">
        <f>VLOOKUP(Исходн.данные.!AI62,Коэффициенты!$J$7:$L$13,3,FALSE)</f>
        <v>#N/A</v>
      </c>
      <c r="GZ62" s="55" t="e">
        <f>(IF(Исходн.данные.!M62&lt;50,0.11*VLOOKUP(Исходн.данные.!AH62,Культуры.Информация,7,FALSE),IF(Исходн.данные.!M62&gt;250,0.05*VLOOKUP(Исходн.данные.!AH62,Культуры.Информация,7,FALSE),VLOOKUP(Исходн.данные.!AH62,Культуры.Информация,5,FALSE)/100*($GX$6+$GY$6*Исходн.данные.!M62))))*Расчет2!AI62</f>
        <v>#N/A</v>
      </c>
      <c r="HA62" s="211"/>
      <c r="HB62" s="211"/>
      <c r="HC62" s="55" t="e">
        <f>(IF(Исходн.данные.!O62&lt;80,0.2*VLOOKUP(Исходн.данные.!AH62,Культуры.Информация,8,FALSE),IF(Исходн.данные.!O62&gt;240,0.09*VLOOKUP(Исходн.данные.!AH62,Культуры.Информация,8,FALSE),VLOOKUP(Исходн.данные.!AH62,Культуры.Информация,6,FALSE)/100*($HB$6+$HC$6*Исходн.данные.!O62))))*Расчет2!AJ62</f>
        <v>#N/A</v>
      </c>
      <c r="HD62" s="55">
        <f>IF(Исходн.данные.!O62&gt;240,0.09,IF(Исходн.данные.!O62&lt;30,0.3,$HE$10+$HD$10*Исходн.данные.!O62))</f>
        <v>0.3</v>
      </c>
      <c r="HE62" s="55">
        <f>IF(Исходн.данные.!O62&gt;240,0.17,IF(Исходн.данные.!O62&lt;30,0.5,$HF$12+$HE$12*Исходн.данные.!O62))</f>
        <v>0.5</v>
      </c>
      <c r="HF62" s="55" t="e">
        <f>VLOOKUP(Исходн.данные.!AH62,Справ!$A$3:$D$58,2,FALSE)</f>
        <v>#N/A</v>
      </c>
      <c r="HG62" s="55" t="e">
        <f>VLOOKUP(Исходн.данные.!AH62,Справ!$A$3:$D$58,3,FALSE)</f>
        <v>#N/A</v>
      </c>
      <c r="HH62" s="55" t="e">
        <f>VLOOKUP(Исходн.данные.!AH62,Справ!$A$3:$D$58,4,FALSE)</f>
        <v>#N/A</v>
      </c>
      <c r="HI62" s="11" t="e">
        <f t="shared" si="117"/>
        <v>#N/A</v>
      </c>
      <c r="HJ62" s="11" t="e">
        <f t="shared" si="118"/>
        <v>#N/A</v>
      </c>
      <c r="HK62" s="11" t="e">
        <f t="shared" si="119"/>
        <v>#N/A</v>
      </c>
      <c r="HL62" s="55">
        <f>IF(OR(Исходн.данные.!G62="Глин",Исходн.данные.!G62="Т_суг"),1.1,IF(Исходн.данные.!G62="Ср_суг",1,1))</f>
        <v>1</v>
      </c>
      <c r="HM62" s="55">
        <f>IF(OR(Исходн.данные.!G62="Глин",Исходн.данные.!G62="Т_суг"),0.9,IF(Исходн.данные.!G62="Ср_суг",1,1.2))</f>
        <v>1.2</v>
      </c>
      <c r="HN62" s="11" t="e">
        <f t="shared" si="120"/>
        <v>#N/A</v>
      </c>
      <c r="HO62" s="11" t="e">
        <f t="shared" si="121"/>
        <v>#N/A</v>
      </c>
      <c r="HP62" s="11" t="e">
        <f t="shared" si="122"/>
        <v>#N/A</v>
      </c>
      <c r="HQ62" t="e">
        <f t="shared" si="123"/>
        <v>#N/A</v>
      </c>
      <c r="HR62" t="e">
        <f t="shared" si="124"/>
        <v>#N/A</v>
      </c>
      <c r="HS62" t="e">
        <f t="shared" si="125"/>
        <v>#N/A</v>
      </c>
      <c r="HT62" t="e">
        <f t="shared" si="21"/>
        <v>#N/A</v>
      </c>
      <c r="HU62" t="e">
        <f t="shared" si="22"/>
        <v>#N/A</v>
      </c>
      <c r="HV62" t="e">
        <f t="shared" si="23"/>
        <v>#N/A</v>
      </c>
      <c r="HW62" t="e">
        <f t="shared" si="24"/>
        <v>#N/A</v>
      </c>
      <c r="HX62" t="e">
        <f t="shared" si="25"/>
        <v>#N/A</v>
      </c>
      <c r="HY62" t="e">
        <f t="shared" si="26"/>
        <v>#N/A</v>
      </c>
      <c r="HZ62" s="55">
        <f>IF(OR(Исходн.данные.!AI62="Оз_Ч_П",Исходн.данные.!AI62="Оз_З_П",Исходн.данные.!AI62="Яр_зер"),12,30)</f>
        <v>30</v>
      </c>
      <c r="IA62" t="e">
        <f t="shared" si="126"/>
        <v>#N/A</v>
      </c>
      <c r="IB62" t="e">
        <f t="shared" si="127"/>
        <v>#N/A</v>
      </c>
      <c r="IC62" t="e">
        <f t="shared" si="128"/>
        <v>#N/A</v>
      </c>
      <c r="ID62" s="11" t="e">
        <f t="shared" si="129"/>
        <v>#N/A</v>
      </c>
      <c r="IE62" s="11" t="e">
        <f t="shared" si="130"/>
        <v>#N/A</v>
      </c>
      <c r="IF62" s="11" t="e">
        <f t="shared" si="131"/>
        <v>#N/A</v>
      </c>
    </row>
    <row r="63" spans="35:240" x14ac:dyDescent="0.2">
      <c r="AI63">
        <f>IF(Исходн.данные.!I63&gt;6,1,1.85-(0.148*Исходн.данные.!I63))</f>
        <v>1.85</v>
      </c>
      <c r="AJ63">
        <f>IF(Исходн.данные.!I63&gt;6,1,2.434-(0.246*Исходн.данные.!I63))</f>
        <v>2.4340000000000002</v>
      </c>
      <c r="AL63" s="148" t="b">
        <f>IF(Исходн.данные.!$P63="Ум",N_OrgUd_2g_um,IF(Исходн.данные.!$P63="Об",N_OrgUd_2g_ob))</f>
        <v>0</v>
      </c>
      <c r="AM63" s="148" t="b">
        <f>IF(Исходн.данные.!$P63="Ум",P_OrgUd_2g_um,IF(Исходн.данные.!$P63="Об",P_OrgUd_2g_ob))</f>
        <v>0</v>
      </c>
      <c r="AN63" s="148" t="b">
        <f>IF(Исходн.данные.!$P63="Ум",K_OrgUd_2g_um,IF(Исходн.данные.!$P63="Об",K_OrgUd_2g_ob))</f>
        <v>0</v>
      </c>
      <c r="AO63" s="148" t="b">
        <f>IF(Исходн.данные.!$P63="Ум",N_OrgUd_1g_um,IF(Исходн.данные.!$P63="Об",N_OrgUd_1g_ob))</f>
        <v>0</v>
      </c>
      <c r="AP63" s="148" t="b">
        <f>IF(Исходн.данные.!$P63="Ум",P_OrgUd_1g_um,IF(Исходн.данные.!$P63="Об",P_OrgUd_1g_ob))</f>
        <v>0</v>
      </c>
      <c r="AQ63" s="148" t="b">
        <f>IF(Исходн.данные.!$P63="Ум",K_OrgUd_1g_um,IF(Исходн.данные.!$P63="Об",K_OrgUd_1g_ob))</f>
        <v>0</v>
      </c>
      <c r="AR63" t="b">
        <f>IF(Исходн.данные.!$P63="Ум",N_MinUd_2g_um,IF(Исходн.данные.!$P63="Об",N_MinUd_2g_ob))</f>
        <v>0</v>
      </c>
      <c r="AS63" t="b">
        <f>IF(Исходн.данные.!$P63="Ум",P_MinUd_2g_um,IF(Исходн.данные.!$P63="Об",P_MinUd_2g_ob))</f>
        <v>0</v>
      </c>
      <c r="AT63" t="b">
        <f>IF(Исходн.данные.!$P63="Ум",K_MinUd_2g_um,IF(Исходн.данные.!$P63="Об",K_MinUd_2g_ob))</f>
        <v>0</v>
      </c>
      <c r="AU63" t="b">
        <f>IF(Исходн.данные.!$P63="Ум",N_MinUd_1g_um,IF(Исходн.данные.!$P63="Об",N_MinUd_1g_ob))</f>
        <v>0</v>
      </c>
      <c r="AV63" t="b">
        <f>IF(Исходн.данные.!P63="Ум",P_MinUd_1g_um,IF(Исходн.данные.!P63="Об",P_MinUd_1g_ob))</f>
        <v>0</v>
      </c>
      <c r="AW63" t="b">
        <f>IF(Исходн.данные.!P63="Ум",K_MinUd_1g_um,IF(Исходн.данные.!P63="Об",K_MinUd_1g_ob))</f>
        <v>0</v>
      </c>
      <c r="AY63" t="e">
        <f>VLOOKUP(Исходн.данные.!T63,Справ!$A$3:$N$57,12)</f>
        <v>#N/A</v>
      </c>
      <c r="AZ63" t="e">
        <f>VLOOKUP(Исходн.данные.!T63,Справ!$A$3:$N$57,13)</f>
        <v>#N/A</v>
      </c>
      <c r="BA63" t="e">
        <f>VLOOKUP(Исходн.данные.!T63,Справ!$A$3:$N$57,14)</f>
        <v>#N/A</v>
      </c>
      <c r="BB63">
        <f>IF(Исходн.данные.!AH63=0,0,25)</f>
        <v>0</v>
      </c>
      <c r="BC63" s="141">
        <f>IF(Исходн.данные.!AH63=0,0,IF(Исходн.данные.!T63=0,25,BD63))</f>
        <v>0</v>
      </c>
      <c r="BD63" s="168" t="e">
        <f>AY63+AZ63*Исходн.данные.!U63-POWER(BA63,2)*Исходн.данные.!U63</f>
        <v>#N/A</v>
      </c>
      <c r="BE6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3" s="25">
        <f>IF(Исходн.данные.!AH63=0,0,MIN(HN63:HP63))</f>
        <v>0</v>
      </c>
      <c r="BG63" s="9">
        <f>IF(Исходн.данные.!AH63=0,0,IF((HO63+10*0.25/HG63/HL63)&lt;17,17,HO63+10*0.25/HG63/HL63))</f>
        <v>0</v>
      </c>
      <c r="BH63" s="181">
        <f>IF(Исходн.данные.!AH63=0,0,HW63*HF63*HL63/AU63*AI63+Исходн.данные.!S63*10)</f>
        <v>0</v>
      </c>
      <c r="BI63" s="10"/>
      <c r="BJ63" s="182">
        <f>IF(Исходн.данные.!AH63=0,0,IF(HX63*HG63*HL63/AV63&lt;0,0,HX63*HG63*HL63/AV63*AJ63))</f>
        <v>0</v>
      </c>
      <c r="BK63" s="182">
        <f>IF(Исходн.данные.!AH63=0,0,HY63*HH63*HM63/AW63)</f>
        <v>0</v>
      </c>
      <c r="BL63" s="10">
        <f>IF(OR(Исходн.данные.!$AH63=$BP$1,Исходн.данные.!$AH63=$BP$2),0,IF(BH63&lt;0,0,IF(OR(Исходн.данные.!T63=Расчет!$BP$1,Исходн.данные.!T63=Расчет!$BP$2,Исходн.данные.!T63=Расчет!$BT$5,Исходн.данные.!T63=Расчет!$BT$6),BH63*0.5,IF(OR(Исходн.данные.!T63=Расчет!$BS$9,Исходн.данные.!T63=Расчет!$BS$10,Исходн.данные.!T63=Расчет!$BS$11,Исходн.данные.!T63=Расчет!$BS$12,Исходн.данные.!T63=Расчет!$BP$5),BH63*0.8,BH63))))</f>
        <v>0</v>
      </c>
      <c r="BM63" s="10">
        <f>IF(OR(Исходн.данные.!$AH63=$BP$1,Исходн.данные.!$AH63=$BP$2),0,IF(BJ63&lt;0,0,IF(Исходн.данные.!I63&lt;4.5,BJ63*1.2,IF(Исходн.данные.!I63&gt;5.1,BJ63,BJ63*((5.1-Исходн.данные.!I63)*0.333+1)))))</f>
        <v>0</v>
      </c>
      <c r="BN63" s="10">
        <f>IF(OR(Исходн.данные.!$AH63=$BP$1,Исходн.данные.!$AH63=$BP$2),60-Исходн.данные.!AF63,IF(BK63&lt;0,0,IF(Исходн.данные.!I63&lt;4.5,BK63*1.2,IF(Исходн.данные.!I63&gt;5.1,BK63,BK63*((5.1-Исходн.данные.!I63)*0.333+1)))))</f>
        <v>0</v>
      </c>
      <c r="BO63" s="9">
        <f>IF(BL63&lt;0,0,BL63*Исходн.данные.!$AJ63/1000)</f>
        <v>0</v>
      </c>
      <c r="BP63" s="9">
        <f>IF(BM63&lt;0,0,BM63*Исходн.данные.!$AJ63/1000)</f>
        <v>0</v>
      </c>
      <c r="BQ63" s="9">
        <f>IF(BN63&lt;0,0,BN63*Исходн.данные.!$AJ63/1000)</f>
        <v>0</v>
      </c>
      <c r="BR63" s="9">
        <f t="shared" si="81"/>
        <v>0</v>
      </c>
      <c r="BS63" s="10" t="str">
        <f t="shared" si="82"/>
        <v>Аммофос 12:52:00</v>
      </c>
      <c r="BT63" s="10" t="str">
        <f t="shared" si="83"/>
        <v>Аммофос 12:52:00</v>
      </c>
      <c r="BU63" s="10" t="str">
        <f t="shared" si="84"/>
        <v>Диаммофоска</v>
      </c>
      <c r="BV63" s="10">
        <f t="shared" si="85"/>
        <v>0</v>
      </c>
      <c r="BW63" s="10"/>
      <c r="BX63" s="10"/>
      <c r="BY63" s="9">
        <f>IF(BL63&lt;0,0,IF(OR(Исходн.данные.!AI63=Расчет!$BU$6,Исходн.данные.!AI63=Расчет!$BU$7),Расчет!BV63,IF(Исходн.данные.!$AG63=$BV$11,BL63,IF(OR(Исходн.данные.!$AH63=$BQ$7,Исходн.данные.!$AH63=$BQ$8),CB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0,IF(Исходн.данные.!$AI63=$BU$11,"Нет",IF(BL63&gt;30,30,BL63)))))))</f>
        <v>0</v>
      </c>
      <c r="BZ63" s="9">
        <f>IF(AND(Исходн.данные.!$AG63=$BV$11,BM63&lt;10),10,IF(Исходн.данные.!$AG63=$BV$11,BM63,IF(OR(Исходн.данные.!$AH63=$BQ$7,Исходн.данные.!$AH63=$BQ$8),CC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10,IF(Исходн.данные.!$AI63=$BU$11,"Нет",IF(BM63&gt;60,60,IF(BM63&lt;10,10,BM63)))))))</f>
        <v>10</v>
      </c>
      <c r="CA63" s="39">
        <f>IF(BN63&lt;0,0,IF(Исходн.данные.!$AG63=$BV$11,BN63,IF(OR(Исходн.данные.!$AH63=$BQ$7,Исходн.данные.!$AH63=$BQ$8),CD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0,IF(Исходн.данные.!$AI63=$BU$11,"Нет",IF(BN63&gt;30,30,BN63))))))</f>
        <v>0</v>
      </c>
      <c r="CB63" s="9">
        <f t="shared" si="86"/>
        <v>0</v>
      </c>
      <c r="CC63" s="9">
        <f t="shared" si="87"/>
        <v>0</v>
      </c>
      <c r="CD63" s="9">
        <f t="shared" si="88"/>
        <v>0</v>
      </c>
      <c r="CE63" s="12">
        <f t="shared" si="89"/>
        <v>10</v>
      </c>
      <c r="CF63" s="9">
        <f t="shared" si="90"/>
        <v>0</v>
      </c>
      <c r="CG63" s="9" t="s">
        <v>231</v>
      </c>
      <c r="CH63" s="132" t="str">
        <f>IF(Исходн.данные.!AP63=Расчет!$CI$16,"Нет",IF(Исходн.данные.!AL63&gt;0,Исходн.данные.!AL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BH$4,IF(OR(Исходн.данные.!AI63=Исходн.данные.!$AI$6,Исходн.данные.!AI63=Исходн.данные.!$AI$7),Расчет!BS63,IF(AND($CF63=0,$CE63&gt;0),EV63,ER63)))))</f>
        <v>Аммофос 12:52:00</v>
      </c>
      <c r="CI63" s="274">
        <f>IF(Расчет!$CH63="Нет","Нет",IF(Исходн.данные.!$AL63&gt;0,VLOOKUP(Расчет!$CH63,АшламаДВ_Irekle,2,FALSE),VLOOKUP(Расчет!$CH63,АшламаДВ_Gomumy,2,FALSE)))</f>
        <v>0.12</v>
      </c>
      <c r="CJ63" s="274">
        <f>IF(Расчет!$CH63="Нет","Нет",IF(Исходн.данные.!$AL63&gt;0,VLOOKUP(Расчет!$CH63,АшламаДВ_Irekle,3,FALSE),VLOOKUP(Расчет!$CH63,АшламаДВ_Gomumy,3,FALSE)))</f>
        <v>0.52</v>
      </c>
      <c r="CK63" s="274">
        <f>IF(Расчет!$CH63="Нет","Нет",IF(Исходн.данные.!$AL63&gt;0,VLOOKUP(Расчет!$CH63,АшламаДВ_Irekle,4,FALSE),VLOOKUP(Расчет!$CH63,АшламаДВ_Gomumy,4,FALSE)))</f>
        <v>0</v>
      </c>
      <c r="CL63" s="70"/>
      <c r="CM63" s="70"/>
      <c r="CN63" s="70"/>
      <c r="CO63" s="70"/>
      <c r="CP63" s="70"/>
      <c r="CQ63" s="70"/>
      <c r="CR63" s="10">
        <f t="shared" si="91"/>
        <v>0</v>
      </c>
      <c r="CS63" s="10">
        <f t="shared" si="92"/>
        <v>19.23076923076923</v>
      </c>
      <c r="CT63" s="10">
        <f t="shared" si="93"/>
        <v>0</v>
      </c>
      <c r="CU63" s="39">
        <f>IF($CH63="Нет",0,IF(CI63=0,30/MIN(CJ63:CK63),IF(Исходн.данные.!$AG63=$BV$11,CR63,IF(OR(Исходн.данные.!$AH63=$BQ$7,Исходн.данные.!$AH63=$BQ$8),90/CI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0,IF(Исходн.данные.!$AI63=$BU$11,"Нет",30/CI63))))))</f>
        <v>250</v>
      </c>
      <c r="CV63" s="39">
        <f>IF($CH63="Нет",0,IF(Исходн.данные.!AH63=0,0,IF(CJ63=0,60/MIN(CI63,CK63),IF(Исходн.данные.!$AG63=$BV$11,CS63,IF(OR(Исходн.данные.!$AH63=$BQ$7,Исходн.данные.!$AH63=$BQ$8),90/CJ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10/CJ63,IF(Исходн.данные.!$AI63=$BU$11,"Нет",60/CJ63)))))))</f>
        <v>0</v>
      </c>
      <c r="CW63" s="39">
        <f>IF($CH63="Нет",0,IF(Исходн.данные.!AH63=0,0,IF(CK63=0,30/MIN(CI63:CJ63),IF(Исходн.данные.!$AG63=$BV$11,CT63,IF(OR(Исходн.данные.!$AH63=$BQ$7,Исходн.данные.!$AH63=$BQ$8),90/CK63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0,IF(Исходн.данные.!$AI63=$BU$11,"Нет",30/CK63)))))))</f>
        <v>0</v>
      </c>
      <c r="CX63" s="133">
        <f>IF(Исходн.данные.!$AG63=$BV$11,MAX(CU63:CW63),IF(OR(Исходн.данные.!$AH63=$BS$8,Исходн.данные.!$AH63=$BQ$9,Исходн.данные.!$AH63=$BQ$10,Исходн.данные.!$AH63=$BQ$11,Исходн.данные.!$AH63=$BQ$12,Исходн.данные.!$AH63=$BP$3,Исходн.данные.!$AH63=$BT$8,$FM63="Да"),CV63,MIN(CU63:CW63)))</f>
        <v>0</v>
      </c>
      <c r="CY63" s="133">
        <f>IF(Исходн.данные.!AH63=0,0,IF(CR63&gt;$CX63,$CX63,CR63))</f>
        <v>0</v>
      </c>
      <c r="CZ63" s="133">
        <f>IF(Исходн.данные.!AH63=0,0,IF(CS63&gt;$CX63,$CX63,CS63))</f>
        <v>0</v>
      </c>
      <c r="DA63" s="133">
        <f>IF(Исходн.данные.!AH63=0,0,IF(CT63&gt;$CX63,$CX63,CT63))</f>
        <v>0</v>
      </c>
      <c r="DB63" s="10">
        <f t="shared" si="94"/>
        <v>0</v>
      </c>
      <c r="DC63" s="39">
        <f>DB63*Исходн.данные.!AJ63/1000</f>
        <v>0</v>
      </c>
      <c r="DD63" s="71">
        <f t="shared" si="95"/>
        <v>0</v>
      </c>
      <c r="DE63" s="9">
        <f t="shared" si="96"/>
        <v>0</v>
      </c>
      <c r="DF63" s="9">
        <f t="shared" si="97"/>
        <v>0</v>
      </c>
      <c r="DG63" s="39">
        <f>IF(BL63&lt;0,0,IF($CH63="Нет",BL63,IF(OR(Исходн.данные.!$AH63=$BP$1,Исходн.данные.!$AH63=$BP$2),0,IF(Исходн.данные.!AI63=$BU$11,BL63,IF(BL63-DD63&lt;0,0,BL63-DD63)))))</f>
        <v>0</v>
      </c>
      <c r="DH63" s="39">
        <f>IF(BM63&lt;0,0,IF($CH63="Нет",BM63,IF(OR(Исходн.данные.!$AH63=$BP$1,Исходн.данные.!$AH63=$BP$2),0,IF(Исходн.данные.!AJ63=$BU$11,BM63,IF(BM63-DE63&lt;0,0,BM63-DE63)))))</f>
        <v>0</v>
      </c>
      <c r="DI63" s="39">
        <f>IF(BN63&lt;0,0,IF($CH63="Нет",BN63,IF(OR(Исходн.данные.!$AH63=$BP$1,Исходн.данные.!$AH63=$BP$2),0,IF(Исходн.данные.!AK63=$BU$11,BN63,IF(BN63-DF63&lt;0,0,BN63-DF63)))))</f>
        <v>0</v>
      </c>
      <c r="DJ63" s="12">
        <f t="shared" si="98"/>
        <v>0</v>
      </c>
      <c r="DK63" s="9">
        <f t="shared" si="99"/>
        <v>0</v>
      </c>
      <c r="DL63" s="39">
        <f>IF(Исходн.данные.!AM63&gt;0,Исходн.данные.!AM63,IF(EG63&gt;0,$BH$10,0))</f>
        <v>0</v>
      </c>
      <c r="DM63" s="186">
        <f>IF($DL63=0,0,IF(Исходн.данные.!AM63&gt;0,VLOOKUP($DL63,АшламаДВ_Irekle,2,FALSE),VLOOKUP($DL63,АшламаДВ_Gomumy,2,FALSE)))</f>
        <v>0</v>
      </c>
      <c r="DN63" s="10">
        <f t="shared" si="46"/>
        <v>0</v>
      </c>
      <c r="DO63" s="9" t="str">
        <f>IF(Исходн.данные.!AN63&gt;0,Исходн.данные.!AN63,Удобрения!$B$37 )</f>
        <v>Хлор.калий</v>
      </c>
      <c r="DP63" s="9">
        <f>IF(Исходн.данные.!AN63&gt;0,VLOOKUP(Исходн.данные.!AN63,АшламаДВ_Irekle,4,FALSE),VLOOKUP(DO63,АшламаДВ_Gomumy,4,FALSE))</f>
        <v>0.6</v>
      </c>
      <c r="DQ63" s="10">
        <f t="shared" si="47"/>
        <v>0</v>
      </c>
      <c r="DR63" s="132" t="str">
        <f>IF(Исходн.данные.!AO63&gt;0,Исходн.данные.!AO63,IF(DH63=0,BS$17,IF(AND($DK63=0,$DJ63&gt;0),EJ63,EN63)))</f>
        <v>Нет</v>
      </c>
      <c r="DS63" s="70" t="str">
        <f>IF($DR63="Нет","Нет",IF(Исходн.данные.!$AO63&gt;0,VLOOKUP($DR63,АшламаДВ_Irekle,2,FALSE),VLOOKUP($DR63,АшламаДВ_Gomumy,2,FALSE)))</f>
        <v>Нет</v>
      </c>
      <c r="DT63" s="70" t="str">
        <f>IF($DR63="Нет","Нет",IF(Исходн.данные.!$AO63&gt;0,VLOOKUP($DR63,АшламаДВ_Irekle,3,FALSE),VLOOKUP($DR63,АшламаДВ_Gomumy,3,FALSE)))</f>
        <v>Нет</v>
      </c>
      <c r="DU63" s="70" t="str">
        <f>IF($DR63="Нет","Нет",IF(Исходн.данные.!$AO63&gt;0,VLOOKUP($DR63,АшламаДВ_Irekle,4,FALSE),VLOOKUP($DR63,АшламаДВ_Gomumy,4,FALSE)))</f>
        <v>Нет</v>
      </c>
      <c r="DV63" s="70"/>
      <c r="DW63" s="70"/>
      <c r="DX63" s="70"/>
      <c r="DY63" s="10">
        <f t="shared" si="100"/>
        <v>0</v>
      </c>
      <c r="DZ63" s="10">
        <f t="shared" si="101"/>
        <v>0</v>
      </c>
      <c r="EA63" s="10">
        <f t="shared" si="102"/>
        <v>0</v>
      </c>
      <c r="EB63" s="10">
        <f t="shared" si="103"/>
        <v>0</v>
      </c>
      <c r="EC63" s="10">
        <f t="shared" si="104"/>
        <v>0</v>
      </c>
      <c r="ED63" s="10">
        <f t="shared" si="105"/>
        <v>0</v>
      </c>
      <c r="EE63" s="10">
        <f t="shared" si="106"/>
        <v>0</v>
      </c>
      <c r="EF63" s="39">
        <f>EB63*Исходн.данные.!AJ63/1000</f>
        <v>0</v>
      </c>
      <c r="EG63" s="9">
        <f t="shared" si="107"/>
        <v>0</v>
      </c>
      <c r="EH63" s="9">
        <f t="shared" si="108"/>
        <v>0</v>
      </c>
      <c r="EI63" s="39" t="e">
        <f t="shared" si="7"/>
        <v>#DIV/0!</v>
      </c>
      <c r="EJ63" s="9" t="str">
        <f t="shared" si="8"/>
        <v>Азопреципитат</v>
      </c>
      <c r="EK63" s="12">
        <f t="shared" si="9"/>
        <v>0.26</v>
      </c>
      <c r="EL63" s="12">
        <f t="shared" si="10"/>
        <v>0.13</v>
      </c>
      <c r="EM63" s="12">
        <f t="shared" si="11"/>
        <v>0</v>
      </c>
      <c r="EN63" s="12" t="str">
        <f t="shared" si="57"/>
        <v>Нет</v>
      </c>
      <c r="EO63" s="12">
        <f t="shared" si="12"/>
        <v>0</v>
      </c>
      <c r="EP63" s="12">
        <f t="shared" si="13"/>
        <v>0</v>
      </c>
      <c r="EQ63" s="12">
        <f t="shared" si="14"/>
        <v>0</v>
      </c>
      <c r="ER63" s="12" t="str">
        <f t="shared" si="109"/>
        <v>Диаммофоска</v>
      </c>
      <c r="ES63" s="12">
        <f t="shared" si="15"/>
        <v>0.1</v>
      </c>
      <c r="ET63" s="12">
        <f t="shared" si="16"/>
        <v>0.26</v>
      </c>
      <c r="EU63" s="12">
        <f t="shared" si="17"/>
        <v>0.26</v>
      </c>
      <c r="EV63" s="12" t="str">
        <f t="shared" si="110"/>
        <v>Аммофос 12:52:00</v>
      </c>
      <c r="EW63" s="12" t="str">
        <f t="shared" si="111"/>
        <v>Кемира Свекловичное-6</v>
      </c>
      <c r="EX63" s="12">
        <f t="shared" si="18"/>
        <v>0.16</v>
      </c>
      <c r="EY63" s="12">
        <f t="shared" si="19"/>
        <v>0.12</v>
      </c>
      <c r="EZ63" s="12">
        <f t="shared" si="20"/>
        <v>0.17</v>
      </c>
      <c r="FA63" s="38" t="e">
        <f>IF(AND(OR(FJ63=$FD$1,FM63=$FD$1,FO63=$FD$1,FQ63=$FD$1,FS63=$FD$1),FD63=$FD$1,Исходн.данные.!J63&lt;2,FU63=$FD$1),"Бор,Кобальт",IF(AND(FO63=$FD$1,FH63=$FD$1,Исходн.данные.!J63&lt;2,FU63=$FD$1),"Бор,Кобальт",IF(AND(OR(FJ63=$FD$1,FM63=$FD$1,FQ63=$FD$1),FE63=$FD$1,Исходн.данные.!J63&lt;2,FT63=$FD$1,FU63=$FD$1),"Бор,Медь,Цинк",IF(AND(OR(FJ63=$FD$1,FR63="Да"),FI63="Да",Исходн.данные.!J63&lt;2,FT63="Да",FU63="Да"),"Бор,Цинк,Медь",IF(AND(OR(FM63="Да",FQ63="Да"),FI63="Да",Исходн.данные.!J63&lt;2,FT63="Да",FU63="Да"),"Бор,Цинк",IF(AND(FN63="Да",OR(FD63="Да",FE63="Да")),"Бор",FB63))))))</f>
        <v>#N/A</v>
      </c>
      <c r="FB63" s="134" t="e">
        <f>IF(AND(OR(FD63="Да",FE63="Да",FF63="Да",FG63="Да",FH63="Да"),FO63="Да"),"Бор",IF(AND(FP63="Да",OR(FD63="Да",FE63="Да",FI63="Да")),"Бор",IF(AND(FS63="Да",FE63="Да"),"Бор,Медь",IF(AND(OR(FJ63="Да",FK63="Да",FL63="Да"),FE63="Да",Исходн.данные.!I63&lt;5,FT63="Да",FU63="Да"),"Молибден,Цинк",IF(AND(FM63="Да",OR(FE63="Да",FF63="Да",FG63="Да",FH63="Да",FI63="Да")),"Молибден,Цинк",IF(AND(OR(FJ63="Да",FK63="Да",FL63="Да",FM63="Да",FQ63="Да"),OR(FE63="Да",FF63="Да"),FT63="Да",FU63="Да",Исходн.данные.!I63&gt;5.5),"Медь,Цинк",FC63))))))</f>
        <v>#N/A</v>
      </c>
      <c r="FC63" s="23" t="e">
        <f t="shared" si="112"/>
        <v>#N/A</v>
      </c>
      <c r="FD63" s="38" t="str">
        <f>IF(OR(Исходн.данные.!F63=$CC$1,Исходн.данные.!F63=$CC$2,Исходн.данные.!F63=$CC$3,Исходн.данные.!F63=$CC$4),"Да","Нет")</f>
        <v>Нет</v>
      </c>
      <c r="FE63" s="38" t="str">
        <f>IF(Исходн.данные.!F63=$CC$5,"Да","Нет")</f>
        <v>Нет</v>
      </c>
      <c r="FF63" s="38" t="str">
        <f>IF(OR(Исходн.данные.!F63=$CC$6,Исходн.данные.!F63=$CC$7),"Да","Нет")</f>
        <v>Нет</v>
      </c>
      <c r="FG63" s="38" t="str">
        <f>IF(OR(Исходн.данные.!F63=$CC$8,Исходн.данные.!F63=$CC$9),"Да","Нет")</f>
        <v>Нет</v>
      </c>
      <c r="FH63" s="38" t="str">
        <f>IF(Исходн.данные.!F63=$CC$10,"Да","Нет")</f>
        <v>Нет</v>
      </c>
      <c r="FI63" s="38" t="str">
        <f>IF(OR(Исходн.данные.!F63=$CC$11,Исходн.данные.!F63=$CC$12),"Да","Нет")</f>
        <v>Нет</v>
      </c>
      <c r="FJ63" s="38" t="str">
        <f>IF(OR(Исходн.данные.!AH63=$BS$1,Исходн.данные.!AH63=$BQ$11,Исходн.данные.!AH63=$BQ$12),"Да","Нет")</f>
        <v>Нет</v>
      </c>
      <c r="FK63" s="38" t="str">
        <f>IF(OR(Исходн.данные.!AH63=$BS$2,Исходн.данные.!AH63=$BS$4),"Да","Нет")</f>
        <v>Нет</v>
      </c>
      <c r="FL63" s="38" t="str">
        <f>IF(OR(Исходн.данные.!AH63=$BS$3,Исходн.данные.!AH63=$BS$5),"Да","Нет")</f>
        <v>Нет</v>
      </c>
      <c r="FM63" s="38" t="str">
        <f>IF(OR(Исходн.данные.!AH63=$BS$9,Исходн.данные.!AH63=$BS$10,Исходн.данные.!AH63=$BS$11,Исходн.данные.!AH63=$BS$12),"Да","Нет")</f>
        <v>Нет</v>
      </c>
      <c r="FN63" s="38" t="str">
        <f>IF(OR(Исходн.данные.!AH63=$BS$6,Исходн.данные.!AH63=$BP$3),"Да","Нет")</f>
        <v>Нет</v>
      </c>
      <c r="FO63" s="38" t="str">
        <f>IF(Исходн.данные.!AH63=$BQ$9,"Да","Нет")</f>
        <v>Нет</v>
      </c>
      <c r="FP63" s="38" t="str">
        <f>IF(OR(Исходн.данные.!AH63=$BS$8,Исходн.данные.!AH63=$BT$8),"Да","Нет")</f>
        <v>Нет</v>
      </c>
      <c r="FQ63" s="38" t="str">
        <f>IF(OR(Исходн.данные.!AH63=$BQ$7,Исходн.данные.!AH63=$BQ$8),"Да","Нет")</f>
        <v>Нет</v>
      </c>
      <c r="FR63" s="38" t="str">
        <f>IF(Исходн.данные.!AI63=$BU$9,"Да","Нет")</f>
        <v>Нет</v>
      </c>
      <c r="FS63" s="38" t="str">
        <f>IF(OR(Исходн.данные.!AH63=$BP$1,Исходн.данные.!AH63=$BP$2),"Да","Нет")</f>
        <v>Нет</v>
      </c>
      <c r="FT63" s="38" t="e">
        <f>IF((Исходн.данные.!K63*GO63*GS63*GW63+BL63*0.6+Исходн.данные.!Q63*4.5*0.275)&gt;90,"Да","Нет")</f>
        <v>#N/A</v>
      </c>
      <c r="FU63" s="38" t="e">
        <f>IF((Исходн.данные.!M63*GS63*GZ63+BM63*0.225)&gt;35,"Да","Нет")</f>
        <v>#N/A</v>
      </c>
      <c r="FV63" s="38" t="str">
        <f>IF(Исходн.данные.!O63&gt;175,"Да","Нет")</f>
        <v>Нет</v>
      </c>
      <c r="FW63" s="39" t="str">
        <f>IF(Исходн.данные.!I63&gt;5.5,"Да","Нет")</f>
        <v>Нет</v>
      </c>
      <c r="FX63" s="39" t="str">
        <f>IF(Исходн.данные.!J63&lt;2,"Да","Нет")</f>
        <v>Да</v>
      </c>
      <c r="FY63" s="39" t="e">
        <f>IF(HF63=$FY$16,0,Исходн.данные.!K63*GO63*GS63*GW63/HF63)</f>
        <v>#N/A</v>
      </c>
      <c r="FZ63" s="39" t="e">
        <f>Исходн.данные.!M63*GS63*GZ63/HG63</f>
        <v>#N/A</v>
      </c>
      <c r="GA63" s="39" t="e">
        <f>IF(K_Wyn=$FY$16,0,IF(Исходн.данные.!N63=Исходн.данные.!$L$10,Исходн.данные.!O63/1.1*GS63*HC63/HH63,IF(Исходн.данные.!N63=Исходн.данные.!$L$12,Исходн.данные.!O63/1.5*GS63*HC63/HH63,Исходн.данные.!O63*GS63*HC63/HH63)))</f>
        <v>#N/A</v>
      </c>
      <c r="GB63" s="39" t="e">
        <f>IF(HF63=$FY$16,0,((Исходн.данные.!Q63*N_Org+Исходн.данные.!R63*N_Sider+Исходн.данные.!S63*N_Soloma)*AO63+Расчет!BC63*VLOOKUP(Исходн.данные.!T63,Справ!$A$3:$O$57,15)*AO63+BB63*VLOOKUP(Исходн.данные.!T63,Справ!$A$3:$O$57,15)*AL63+(Исходн.данные.!V63*N_Rizotorf+Исходн.данные.!W63*N_Rizoagr))/HF63)</f>
        <v>#N/A</v>
      </c>
      <c r="GC63" s="39" t="e">
        <f>IF(HG63=$FY$16,0,((Исходн.данные.!Q63*Р_Org+Исходн.данные.!R63*P_Sider+Исходн.данные.!S63*P_Soloma)*AP63+Расчет!BC63*VLOOKUP(Исходн.данные.!T63,Справ!$A$3:$P$57,16)*AP63+BB63*VLOOKUP(Исходн.данные.!T63,Справ!$A$3:$P$57,16)*AM63)/HG63)</f>
        <v>#N/A</v>
      </c>
      <c r="GD63" s="39" t="e">
        <f>IF(HH63=$FY$16,0,((Исходн.данные.!Q63*К_Org+Исходн.данные.!R63*K_Sider+Исходн.данные.!S63*K_Soloma)*AQ63+Расчет!BC63*VLOOKUP(Исходн.данные.!T63,Справ!$A$3:$Q$57,17)*AQ63+BB63*VLOOKUP(Исходн.данные.!T63,Справ!$A$3:$Q$57,17)*AN63)/HH63)</f>
        <v>#N/A</v>
      </c>
      <c r="GE63" s="39" t="e">
        <f>IF(HF63=$FY$16,0,(Исходн.данные.!X63*AR63+Исходн.данные.!AA63*N_Org*AL63+Исходн.данные.!AB63*N_Sider*AL63+Исходн.данные.!AC63*N_Soloma*AL63)/HF63)</f>
        <v>#N/A</v>
      </c>
      <c r="GF63" s="39" t="e">
        <f>IF(HG63=$FY$16,0,(Исходн.данные.!Y63*AS63+Исходн.данные.!AA63*Р_Org*AM63+Исходн.данные.!AB63*P_Sider*AM63+Исходн.данные.!AC63*P_Soloma*AM63)/HG63)</f>
        <v>#N/A</v>
      </c>
      <c r="GG63" s="39" t="e">
        <f>IF(HH63=$FY$16,0,(Исходн.данные.!Z63*AT63+Исходн.данные.!AA63*К_Org*AN63+Исходн.данные.!AB63*K_Sider*AN63+Исходн.данные.!AC63*K_Soloma*AN63)/HH63)</f>
        <v>#N/A</v>
      </c>
      <c r="GH63" s="39" t="e">
        <f>Исходн.данные.!AD63*AU63/HF63</f>
        <v>#N/A</v>
      </c>
      <c r="GI63" s="39" t="e">
        <f>Исходн.данные.!AE63*AV63/HG63</f>
        <v>#N/A</v>
      </c>
      <c r="GJ63" s="39" t="e">
        <f>Исходн.данные.!AF63*AW63/HH63</f>
        <v>#N/A</v>
      </c>
      <c r="GK63" s="55">
        <f>Исходн.данные.!AK63</f>
        <v>0</v>
      </c>
      <c r="GL63" s="11" t="e">
        <f t="shared" si="113"/>
        <v>#N/A</v>
      </c>
      <c r="GM63" s="11" t="e">
        <f t="shared" si="114"/>
        <v>#N/A</v>
      </c>
      <c r="GN63" s="11" t="e">
        <f t="shared" si="115"/>
        <v>#N/A</v>
      </c>
      <c r="GO63" s="57">
        <f t="shared" si="116"/>
        <v>19</v>
      </c>
      <c r="GP63" s="55">
        <f>IF(OR(Исходн.данные.!F63=$CE$1,Исходн.данные.!F63=$CE$2,Исходн.данные.!F63=$CE$3,Исходн.данные.!F63=$CE$4,Исходн.данные.!F63=$CE$5),GQ63,GR63)</f>
        <v>19</v>
      </c>
      <c r="GQ63" s="55">
        <f>IF(Исходн.данные.!F63=$CE$1,28,IF(Исходн.данные.!F63=$CE$2,26,IF(Исходн.данные.!F63=$CE$3,24,IF(Исходн.данные.!F63=$CE$4,22,IF(Исходн.данные.!F63=$CE$5,20,GR63)))))</f>
        <v>19</v>
      </c>
      <c r="GR63" s="55">
        <f>IF(Исходн.данные.!F63=$CE$6,18,IF(Исходн.данные.!F63=$CE$7,16,IF(Исходн.данные.!F63=$CE$8,14,IF(Исходн.данные.!F63=$CE$9,13,IF(Исходн.данные.!F63=$CE$10,12,19)))))</f>
        <v>19</v>
      </c>
      <c r="GS63" s="55">
        <f>IF(Исходн.данные.!G63="Пес",0.035*(40+2*Исходн.данные.!H63),IF(Исходн.данные.!G63="Суп",0.0325*(40+2*Исходн.данные.!H63),0.03*(40+2*Исходн.данные.!H63)))</f>
        <v>1.2</v>
      </c>
      <c r="GT63" s="55">
        <f>IF(Исходн.данные.!H63&lt;23,2.6,IF(AND(Исходн.данные.!H63&gt;22,Исходн.данные.!H63&lt;26),3,IF(AND(Исходн.данные.!H63&gt;25,Исходн.данные.!H63&lt;29),3.4,3.6)))</f>
        <v>2.6</v>
      </c>
      <c r="GU63" s="55">
        <f>IF(Исходн.данные.!H63&lt;23,2.8,IF(AND(Исходн.данные.!H63&gt;22,Исходн.данные.!H63&lt;26),3.2,IF(AND(Исходн.данные.!H63&gt;25,Исходн.данные.!H63&lt;29),3.6,3.9)))</f>
        <v>2.8</v>
      </c>
      <c r="GV63" s="55">
        <f>IF(Исходн.данные.!H63&lt;23,3,IF(AND(Исходн.данные.!H63&gt;22,Исходн.данные.!H63&lt;26),3.5,IF(AND(Исходн.данные.!H63&gt;25,Исходн.данные.!H63&lt;29),3.9,4.2)))</f>
        <v>3</v>
      </c>
      <c r="GW63" s="55" t="e">
        <f>IF(Исходн.данные.!P63="Ум",GX63,GY63)</f>
        <v>#N/A</v>
      </c>
      <c r="GX63" s="55" t="e">
        <f>VLOOKUP(Исходн.данные.!AI63,Коэффициенты!$J$7:$L$13,2,FALSE)</f>
        <v>#N/A</v>
      </c>
      <c r="GY63" s="55" t="e">
        <f>VLOOKUP(Исходн.данные.!AI63,Коэффициенты!$J$7:$L$13,3,FALSE)</f>
        <v>#N/A</v>
      </c>
      <c r="GZ63" s="55" t="e">
        <f>(IF(Исходн.данные.!M63&lt;50,0.11*VLOOKUP(Исходн.данные.!AH63,Культуры.Информация,7,FALSE),IF(Исходн.данные.!M63&gt;250,0.05*VLOOKUP(Исходн.данные.!AH63,Культуры.Информация,7,FALSE),VLOOKUP(Исходн.данные.!AH63,Культуры.Информация,5,FALSE)/100*($GX$6+$GY$6*Исходн.данные.!M63))))*Расчет2!AI63</f>
        <v>#N/A</v>
      </c>
      <c r="HA63" s="211"/>
      <c r="HB63" s="211"/>
      <c r="HC63" s="55" t="e">
        <f>(IF(Исходн.данные.!O63&lt;80,0.2*VLOOKUP(Исходн.данные.!AH63,Культуры.Информация,8,FALSE),IF(Исходн.данные.!O63&gt;240,0.09*VLOOKUP(Исходн.данные.!AH63,Культуры.Информация,8,FALSE),VLOOKUP(Исходн.данные.!AH63,Культуры.Информация,6,FALSE)/100*($HB$6+$HC$6*Исходн.данные.!O63))))*Расчет2!AJ63</f>
        <v>#N/A</v>
      </c>
      <c r="HD63" s="55">
        <f>IF(Исходн.данные.!O63&gt;240,0.09,IF(Исходн.данные.!O63&lt;30,0.3,$HE$10+$HD$10*Исходн.данные.!O63))</f>
        <v>0.3</v>
      </c>
      <c r="HE63" s="55">
        <f>IF(Исходн.данные.!O63&gt;240,0.17,IF(Исходн.данные.!O63&lt;30,0.5,$HF$12+$HE$12*Исходн.данные.!O63))</f>
        <v>0.5</v>
      </c>
      <c r="HF63" s="55" t="e">
        <f>VLOOKUP(Исходн.данные.!AH63,Справ!$A$3:$D$58,2,FALSE)</f>
        <v>#N/A</v>
      </c>
      <c r="HG63" s="55" t="e">
        <f>VLOOKUP(Исходн.данные.!AH63,Справ!$A$3:$D$58,3,FALSE)</f>
        <v>#N/A</v>
      </c>
      <c r="HH63" s="55" t="e">
        <f>VLOOKUP(Исходн.данные.!AH63,Справ!$A$3:$D$58,4,FALSE)</f>
        <v>#N/A</v>
      </c>
      <c r="HI63" s="11" t="e">
        <f t="shared" si="117"/>
        <v>#N/A</v>
      </c>
      <c r="HJ63" s="11" t="e">
        <f t="shared" si="118"/>
        <v>#N/A</v>
      </c>
      <c r="HK63" s="11" t="e">
        <f t="shared" si="119"/>
        <v>#N/A</v>
      </c>
      <c r="HL63" s="55">
        <f>IF(OR(Исходн.данные.!G63="Глин",Исходн.данные.!G63="Т_суг"),1.1,IF(Исходн.данные.!G63="Ср_суг",1,1))</f>
        <v>1</v>
      </c>
      <c r="HM63" s="55">
        <f>IF(OR(Исходн.данные.!G63="Глин",Исходн.данные.!G63="Т_суг"),0.9,IF(Исходн.данные.!G63="Ср_суг",1,1.2))</f>
        <v>1.2</v>
      </c>
      <c r="HN63" s="11" t="e">
        <f t="shared" si="120"/>
        <v>#N/A</v>
      </c>
      <c r="HO63" s="11" t="e">
        <f t="shared" si="121"/>
        <v>#N/A</v>
      </c>
      <c r="HP63" s="11" t="e">
        <f t="shared" si="122"/>
        <v>#N/A</v>
      </c>
      <c r="HQ63" t="e">
        <f t="shared" si="123"/>
        <v>#N/A</v>
      </c>
      <c r="HR63" t="e">
        <f t="shared" si="124"/>
        <v>#N/A</v>
      </c>
      <c r="HS63" t="e">
        <f t="shared" si="125"/>
        <v>#N/A</v>
      </c>
      <c r="HT63" t="e">
        <f t="shared" si="21"/>
        <v>#N/A</v>
      </c>
      <c r="HU63" t="e">
        <f t="shared" si="22"/>
        <v>#N/A</v>
      </c>
      <c r="HV63" t="e">
        <f t="shared" si="23"/>
        <v>#N/A</v>
      </c>
      <c r="HW63" t="e">
        <f t="shared" si="24"/>
        <v>#N/A</v>
      </c>
      <c r="HX63" t="e">
        <f t="shared" si="25"/>
        <v>#N/A</v>
      </c>
      <c r="HY63" t="e">
        <f t="shared" si="26"/>
        <v>#N/A</v>
      </c>
      <c r="HZ63" s="55">
        <f>IF(OR(Исходн.данные.!AI63="Оз_Ч_П",Исходн.данные.!AI63="Оз_З_П",Исходн.данные.!AI63="Яр_зер"),12,30)</f>
        <v>30</v>
      </c>
      <c r="IA63" t="e">
        <f t="shared" si="126"/>
        <v>#N/A</v>
      </c>
      <c r="IB63" t="e">
        <f t="shared" si="127"/>
        <v>#N/A</v>
      </c>
      <c r="IC63" t="e">
        <f t="shared" si="128"/>
        <v>#N/A</v>
      </c>
      <c r="ID63" s="11" t="e">
        <f t="shared" si="129"/>
        <v>#N/A</v>
      </c>
      <c r="IE63" s="11" t="e">
        <f t="shared" si="130"/>
        <v>#N/A</v>
      </c>
      <c r="IF63" s="11" t="e">
        <f t="shared" si="131"/>
        <v>#N/A</v>
      </c>
    </row>
    <row r="64" spans="35:240" x14ac:dyDescent="0.2">
      <c r="AI64">
        <f>IF(Исходн.данные.!I64&gt;6,1,1.85-(0.148*Исходн.данные.!I64))</f>
        <v>1.85</v>
      </c>
      <c r="AJ64">
        <f>IF(Исходн.данные.!I64&gt;6,1,2.434-(0.246*Исходн.данные.!I64))</f>
        <v>2.4340000000000002</v>
      </c>
      <c r="AL64" s="148" t="b">
        <f>IF(Исходн.данные.!$P64="Ум",N_OrgUd_2g_um,IF(Исходн.данные.!$P64="Об",N_OrgUd_2g_ob))</f>
        <v>0</v>
      </c>
      <c r="AM64" s="148" t="b">
        <f>IF(Исходн.данные.!$P64="Ум",P_OrgUd_2g_um,IF(Исходн.данные.!$P64="Об",P_OrgUd_2g_ob))</f>
        <v>0</v>
      </c>
      <c r="AN64" s="148" t="b">
        <f>IF(Исходн.данные.!$P64="Ум",K_OrgUd_2g_um,IF(Исходн.данные.!$P64="Об",K_OrgUd_2g_ob))</f>
        <v>0</v>
      </c>
      <c r="AO64" s="148" t="b">
        <f>IF(Исходн.данные.!$P64="Ум",N_OrgUd_1g_um,IF(Исходн.данные.!$P64="Об",N_OrgUd_1g_ob))</f>
        <v>0</v>
      </c>
      <c r="AP64" s="148" t="b">
        <f>IF(Исходн.данные.!$P64="Ум",P_OrgUd_1g_um,IF(Исходн.данные.!$P64="Об",P_OrgUd_1g_ob))</f>
        <v>0</v>
      </c>
      <c r="AQ64" s="148" t="b">
        <f>IF(Исходн.данные.!$P64="Ум",K_OrgUd_1g_um,IF(Исходн.данные.!$P64="Об",K_OrgUd_1g_ob))</f>
        <v>0</v>
      </c>
      <c r="AR64" t="b">
        <f>IF(Исходн.данные.!$P64="Ум",N_MinUd_2g_um,IF(Исходн.данные.!$P64="Об",N_MinUd_2g_ob))</f>
        <v>0</v>
      </c>
      <c r="AS64" t="b">
        <f>IF(Исходн.данные.!$P64="Ум",P_MinUd_2g_um,IF(Исходн.данные.!$P64="Об",P_MinUd_2g_ob))</f>
        <v>0</v>
      </c>
      <c r="AT64" t="b">
        <f>IF(Исходн.данные.!$P64="Ум",K_MinUd_2g_um,IF(Исходн.данные.!$P64="Об",K_MinUd_2g_ob))</f>
        <v>0</v>
      </c>
      <c r="AU64" t="b">
        <f>IF(Исходн.данные.!$P64="Ум",N_MinUd_1g_um,IF(Исходн.данные.!$P64="Об",N_MinUd_1g_ob))</f>
        <v>0</v>
      </c>
      <c r="AV64" t="b">
        <f>IF(Исходн.данные.!P64="Ум",P_MinUd_1g_um,IF(Исходн.данные.!P64="Об",P_MinUd_1g_ob))</f>
        <v>0</v>
      </c>
      <c r="AW64" t="b">
        <f>IF(Исходн.данные.!P64="Ум",K_MinUd_1g_um,IF(Исходн.данные.!P64="Об",K_MinUd_1g_ob))</f>
        <v>0</v>
      </c>
      <c r="AY64" t="e">
        <f>VLOOKUP(Исходн.данные.!T64,Справ!$A$3:$N$57,12)</f>
        <v>#N/A</v>
      </c>
      <c r="AZ64" t="e">
        <f>VLOOKUP(Исходн.данные.!T64,Справ!$A$3:$N$57,13)</f>
        <v>#N/A</v>
      </c>
      <c r="BA64" t="e">
        <f>VLOOKUP(Исходн.данные.!T64,Справ!$A$3:$N$57,14)</f>
        <v>#N/A</v>
      </c>
      <c r="BB64">
        <f>IF(Исходн.данные.!AH64=0,0,25)</f>
        <v>0</v>
      </c>
      <c r="BC64" s="141">
        <f>IF(Исходн.данные.!AH64=0,0,IF(Исходн.данные.!T64=0,25,BD64))</f>
        <v>0</v>
      </c>
      <c r="BD64" s="168" t="e">
        <f>AY64+AZ64*Исходн.данные.!U64-POWER(BA64,2)*Исходн.данные.!U64</f>
        <v>#N/A</v>
      </c>
      <c r="BE6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4" s="25">
        <f>IF(Исходн.данные.!AH64=0,0,MIN(HN64:HP64))</f>
        <v>0</v>
      </c>
      <c r="BG64" s="9">
        <f>IF(Исходн.данные.!AH64=0,0,IF((HO64+10*0.25/HG64/HL64)&lt;17,17,HO64+10*0.25/HG64/HL64))</f>
        <v>0</v>
      </c>
      <c r="BH64" s="181">
        <f>IF(Исходн.данные.!AH64=0,0,HW64*HF64*HL64/AU64*AI64+Исходн.данные.!S64*10)</f>
        <v>0</v>
      </c>
      <c r="BI64" s="10"/>
      <c r="BJ64" s="182">
        <f>IF(Исходн.данные.!AH64=0,0,IF(HX64*HG64*HL64/AV64&lt;0,0,HX64*HG64*HL64/AV64*AJ64))</f>
        <v>0</v>
      </c>
      <c r="BK64" s="182">
        <f>IF(Исходн.данные.!AH64=0,0,HY64*HH64*HM64/AW64)</f>
        <v>0</v>
      </c>
      <c r="BL64" s="10">
        <f>IF(OR(Исходн.данные.!$AH64=$BP$1,Исходн.данные.!$AH64=$BP$2),0,IF(BH64&lt;0,0,IF(OR(Исходн.данные.!T64=Расчет!$BP$1,Исходн.данные.!T64=Расчет!$BP$2,Исходн.данные.!T64=Расчет!$BT$5,Исходн.данные.!T64=Расчет!$BT$6),BH64*0.5,IF(OR(Исходн.данные.!T64=Расчет!$BS$9,Исходн.данные.!T64=Расчет!$BS$10,Исходн.данные.!T64=Расчет!$BS$11,Исходн.данные.!T64=Расчет!$BS$12,Исходн.данные.!T64=Расчет!$BP$5),BH64*0.8,BH64))))</f>
        <v>0</v>
      </c>
      <c r="BM64" s="10">
        <f>IF(OR(Исходн.данные.!$AH64=$BP$1,Исходн.данные.!$AH64=$BP$2),0,IF(BJ64&lt;0,0,IF(Исходн.данные.!I64&lt;4.5,BJ64*1.2,IF(Исходн.данные.!I64&gt;5.1,BJ64,BJ64*((5.1-Исходн.данные.!I64)*0.333+1)))))</f>
        <v>0</v>
      </c>
      <c r="BN64" s="10">
        <f>IF(OR(Исходн.данные.!$AH64=$BP$1,Исходн.данные.!$AH64=$BP$2),60-Исходн.данные.!AF64,IF(BK64&lt;0,0,IF(Исходн.данные.!I64&lt;4.5,BK64*1.2,IF(Исходн.данные.!I64&gt;5.1,BK64,BK64*((5.1-Исходн.данные.!I64)*0.333+1)))))</f>
        <v>0</v>
      </c>
      <c r="BO64" s="9">
        <f>IF(BL64&lt;0,0,BL64*Исходн.данные.!$AJ64/1000)</f>
        <v>0</v>
      </c>
      <c r="BP64" s="9">
        <f>IF(BM64&lt;0,0,BM64*Исходн.данные.!$AJ64/1000)</f>
        <v>0</v>
      </c>
      <c r="BQ64" s="9">
        <f>IF(BN64&lt;0,0,BN64*Исходн.данные.!$AJ64/1000)</f>
        <v>0</v>
      </c>
      <c r="BR64" s="9">
        <f t="shared" si="81"/>
        <v>0</v>
      </c>
      <c r="BS64" s="10" t="str">
        <f t="shared" si="82"/>
        <v>Аммофос 12:52:00</v>
      </c>
      <c r="BT64" s="10" t="str">
        <f t="shared" si="83"/>
        <v>Аммофос 12:52:00</v>
      </c>
      <c r="BU64" s="10" t="str">
        <f t="shared" si="84"/>
        <v>Диаммофоска</v>
      </c>
      <c r="BV64" s="10">
        <f t="shared" si="85"/>
        <v>0</v>
      </c>
      <c r="BW64" s="10"/>
      <c r="BX64" s="10"/>
      <c r="BY64" s="9">
        <f>IF(BL64&lt;0,0,IF(OR(Исходн.данные.!AI64=Расчет!$BU$6,Исходн.данные.!AI64=Расчет!$BU$7),Расчет!BV64,IF(Исходн.данные.!$AG64=$BV$11,BL64,IF(OR(Исходн.данные.!$AH64=$BQ$7,Исходн.данные.!$AH64=$BQ$8),CB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0,IF(Исходн.данные.!$AI64=$BU$11,"Нет",IF(BL64&gt;30,30,BL64)))))))</f>
        <v>0</v>
      </c>
      <c r="BZ64" s="9">
        <f>IF(AND(Исходн.данные.!$AG64=$BV$11,BM64&lt;10),10,IF(Исходн.данные.!$AG64=$BV$11,BM64,IF(OR(Исходн.данные.!$AH64=$BQ$7,Исходн.данные.!$AH64=$BQ$8),CC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10,IF(Исходн.данные.!$AI64=$BU$11,"Нет",IF(BM64&gt;60,60,IF(BM64&lt;10,10,BM64)))))))</f>
        <v>10</v>
      </c>
      <c r="CA64" s="39">
        <f>IF(BN64&lt;0,0,IF(Исходн.данные.!$AG64=$BV$11,BN64,IF(OR(Исходн.данные.!$AH64=$BQ$7,Исходн.данные.!$AH64=$BQ$8),CD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0,IF(Исходн.данные.!$AI64=$BU$11,"Нет",IF(BN64&gt;30,30,BN64))))))</f>
        <v>0</v>
      </c>
      <c r="CB64" s="9">
        <f t="shared" si="86"/>
        <v>0</v>
      </c>
      <c r="CC64" s="9">
        <f t="shared" si="87"/>
        <v>0</v>
      </c>
      <c r="CD64" s="9">
        <f t="shared" si="88"/>
        <v>0</v>
      </c>
      <c r="CE64" s="12">
        <f t="shared" si="89"/>
        <v>10</v>
      </c>
      <c r="CF64" s="9">
        <f t="shared" si="90"/>
        <v>0</v>
      </c>
      <c r="CG64" s="9" t="s">
        <v>231</v>
      </c>
      <c r="CH64" s="132" t="str">
        <f>IF(Исходн.данные.!AP64=Расчет!$CI$16,"Нет",IF(Исходн.данные.!AL64&gt;0,Исходн.данные.!AL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BH$4,IF(OR(Исходн.данные.!AI64=Исходн.данные.!$AI$6,Исходн.данные.!AI64=Исходн.данные.!$AI$7),Расчет!BS64,IF(AND($CF64=0,$CE64&gt;0),EV64,ER64)))))</f>
        <v>Аммофос 12:52:00</v>
      </c>
      <c r="CI64" s="274">
        <f>IF(Расчет!$CH64="Нет","Нет",IF(Исходн.данные.!$AL64&gt;0,VLOOKUP(Расчет!$CH64,АшламаДВ_Irekle,2,FALSE),VLOOKUP(Расчет!$CH64,АшламаДВ_Gomumy,2,FALSE)))</f>
        <v>0.12</v>
      </c>
      <c r="CJ64" s="274">
        <f>IF(Расчет!$CH64="Нет","Нет",IF(Исходн.данные.!$AL64&gt;0,VLOOKUP(Расчет!$CH64,АшламаДВ_Irekle,3,FALSE),VLOOKUP(Расчет!$CH64,АшламаДВ_Gomumy,3,FALSE)))</f>
        <v>0.52</v>
      </c>
      <c r="CK64" s="274">
        <f>IF(Расчет!$CH64="Нет","Нет",IF(Исходн.данные.!$AL64&gt;0,VLOOKUP(Расчет!$CH64,АшламаДВ_Irekle,4,FALSE),VLOOKUP(Расчет!$CH64,АшламаДВ_Gomumy,4,FALSE)))</f>
        <v>0</v>
      </c>
      <c r="CL64" s="70"/>
      <c r="CM64" s="70"/>
      <c r="CN64" s="70"/>
      <c r="CO64" s="70"/>
      <c r="CP64" s="70"/>
      <c r="CQ64" s="70"/>
      <c r="CR64" s="10">
        <f t="shared" si="91"/>
        <v>0</v>
      </c>
      <c r="CS64" s="10">
        <f t="shared" si="92"/>
        <v>19.23076923076923</v>
      </c>
      <c r="CT64" s="10">
        <f t="shared" si="93"/>
        <v>0</v>
      </c>
      <c r="CU64" s="39">
        <f>IF($CH64="Нет",0,IF(CI64=0,30/MIN(CJ64:CK64),IF(Исходн.данные.!$AG64=$BV$11,CR64,IF(OR(Исходн.данные.!$AH64=$BQ$7,Исходн.данные.!$AH64=$BQ$8),90/CI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0,IF(Исходн.данные.!$AI64=$BU$11,"Нет",30/CI64))))))</f>
        <v>250</v>
      </c>
      <c r="CV64" s="39">
        <f>IF($CH64="Нет",0,IF(Исходн.данные.!AH64=0,0,IF(CJ64=0,60/MIN(CI64,CK64),IF(Исходн.данные.!$AG64=$BV$11,CS64,IF(OR(Исходн.данные.!$AH64=$BQ$7,Исходн.данные.!$AH64=$BQ$8),90/CJ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10/CJ64,IF(Исходн.данные.!$AI64=$BU$11,"Нет",60/CJ64)))))))</f>
        <v>0</v>
      </c>
      <c r="CW64" s="39">
        <f>IF($CH64="Нет",0,IF(Исходн.данные.!AH64=0,0,IF(CK64=0,30/MIN(CI64:CJ64),IF(Исходн.данные.!$AG64=$BV$11,CT64,IF(OR(Исходн.данные.!$AH64=$BQ$7,Исходн.данные.!$AH64=$BQ$8),90/CK64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0,IF(Исходн.данные.!$AI64=$BU$11,"Нет",30/CK64)))))))</f>
        <v>0</v>
      </c>
      <c r="CX64" s="133">
        <f>IF(Исходн.данные.!$AG64=$BV$11,MAX(CU64:CW64),IF(OR(Исходн.данные.!$AH64=$BS$8,Исходн.данные.!$AH64=$BQ$9,Исходн.данные.!$AH64=$BQ$10,Исходн.данные.!$AH64=$BQ$11,Исходн.данные.!$AH64=$BQ$12,Исходн.данные.!$AH64=$BP$3,Исходн.данные.!$AH64=$BT$8,$FM64="Да"),CV64,MIN(CU64:CW64)))</f>
        <v>0</v>
      </c>
      <c r="CY64" s="133">
        <f>IF(Исходн.данные.!AH64=0,0,IF(CR64&gt;$CX64,$CX64,CR64))</f>
        <v>0</v>
      </c>
      <c r="CZ64" s="133">
        <f>IF(Исходн.данные.!AH64=0,0,IF(CS64&gt;$CX64,$CX64,CS64))</f>
        <v>0</v>
      </c>
      <c r="DA64" s="133">
        <f>IF(Исходн.данные.!AH64=0,0,IF(CT64&gt;$CX64,$CX64,CT64))</f>
        <v>0</v>
      </c>
      <c r="DB64" s="10">
        <f t="shared" si="94"/>
        <v>0</v>
      </c>
      <c r="DC64" s="39">
        <f>DB64*Исходн.данные.!AJ64/1000</f>
        <v>0</v>
      </c>
      <c r="DD64" s="71">
        <f t="shared" si="95"/>
        <v>0</v>
      </c>
      <c r="DE64" s="9">
        <f t="shared" si="96"/>
        <v>0</v>
      </c>
      <c r="DF64" s="9">
        <f t="shared" si="97"/>
        <v>0</v>
      </c>
      <c r="DG64" s="39">
        <f>IF(BL64&lt;0,0,IF($CH64="Нет",BL64,IF(OR(Исходн.данные.!$AH64=$BP$1,Исходн.данные.!$AH64=$BP$2),0,IF(Исходн.данные.!AI64=$BU$11,BL64,IF(BL64-DD64&lt;0,0,BL64-DD64)))))</f>
        <v>0</v>
      </c>
      <c r="DH64" s="39">
        <f>IF(BM64&lt;0,0,IF($CH64="Нет",BM64,IF(OR(Исходн.данные.!$AH64=$BP$1,Исходн.данные.!$AH64=$BP$2),0,IF(Исходн.данные.!AJ64=$BU$11,BM64,IF(BM64-DE64&lt;0,0,BM64-DE64)))))</f>
        <v>0</v>
      </c>
      <c r="DI64" s="39">
        <f>IF(BN64&lt;0,0,IF($CH64="Нет",BN64,IF(OR(Исходн.данные.!$AH64=$BP$1,Исходн.данные.!$AH64=$BP$2),0,IF(Исходн.данные.!AK64=$BU$11,BN64,IF(BN64-DF64&lt;0,0,BN64-DF64)))))</f>
        <v>0</v>
      </c>
      <c r="DJ64" s="12">
        <f t="shared" si="98"/>
        <v>0</v>
      </c>
      <c r="DK64" s="9">
        <f t="shared" si="99"/>
        <v>0</v>
      </c>
      <c r="DL64" s="39">
        <f>IF(Исходн.данные.!AM64&gt;0,Исходн.данные.!AM64,IF(EG64&gt;0,$BH$10,0))</f>
        <v>0</v>
      </c>
      <c r="DM64" s="186">
        <f>IF($DL64=0,0,IF(Исходн.данные.!AM64&gt;0,VLOOKUP($DL64,АшламаДВ_Irekle,2,FALSE),VLOOKUP($DL64,АшламаДВ_Gomumy,2,FALSE)))</f>
        <v>0</v>
      </c>
      <c r="DN64" s="10">
        <f t="shared" si="46"/>
        <v>0</v>
      </c>
      <c r="DO64" s="9" t="str">
        <f>IF(Исходн.данные.!AN64&gt;0,Исходн.данные.!AN64,Удобрения!$B$37 )</f>
        <v>Хлор.калий</v>
      </c>
      <c r="DP64" s="9">
        <f>IF(Исходн.данные.!AN64&gt;0,VLOOKUP(Исходн.данные.!AN64,АшламаДВ_Irekle,4,FALSE),VLOOKUP(DO64,АшламаДВ_Gomumy,4,FALSE))</f>
        <v>0.6</v>
      </c>
      <c r="DQ64" s="10">
        <f t="shared" si="47"/>
        <v>0</v>
      </c>
      <c r="DR64" s="132" t="str">
        <f>IF(Исходн.данные.!AO64&gt;0,Исходн.данные.!AO64,IF(DH64=0,BS$17,IF(AND($DK64=0,$DJ64&gt;0),EJ64,EN64)))</f>
        <v>Нет</v>
      </c>
      <c r="DS64" s="70" t="str">
        <f>IF($DR64="Нет","Нет",IF(Исходн.данные.!$AO64&gt;0,VLOOKUP($DR64,АшламаДВ_Irekle,2,FALSE),VLOOKUP($DR64,АшламаДВ_Gomumy,2,FALSE)))</f>
        <v>Нет</v>
      </c>
      <c r="DT64" s="70" t="str">
        <f>IF($DR64="Нет","Нет",IF(Исходн.данные.!$AO64&gt;0,VLOOKUP($DR64,АшламаДВ_Irekle,3,FALSE),VLOOKUP($DR64,АшламаДВ_Gomumy,3,FALSE)))</f>
        <v>Нет</v>
      </c>
      <c r="DU64" s="70" t="str">
        <f>IF($DR64="Нет","Нет",IF(Исходн.данные.!$AO64&gt;0,VLOOKUP($DR64,АшламаДВ_Irekle,4,FALSE),VLOOKUP($DR64,АшламаДВ_Gomumy,4,FALSE)))</f>
        <v>Нет</v>
      </c>
      <c r="DV64" s="70"/>
      <c r="DW64" s="70"/>
      <c r="DX64" s="70"/>
      <c r="DY64" s="10">
        <f t="shared" si="100"/>
        <v>0</v>
      </c>
      <c r="DZ64" s="10">
        <f t="shared" si="101"/>
        <v>0</v>
      </c>
      <c r="EA64" s="10">
        <f t="shared" si="102"/>
        <v>0</v>
      </c>
      <c r="EB64" s="10">
        <f t="shared" si="103"/>
        <v>0</v>
      </c>
      <c r="EC64" s="10">
        <f t="shared" si="104"/>
        <v>0</v>
      </c>
      <c r="ED64" s="10">
        <f t="shared" si="105"/>
        <v>0</v>
      </c>
      <c r="EE64" s="10">
        <f t="shared" si="106"/>
        <v>0</v>
      </c>
      <c r="EF64" s="39">
        <f>EB64*Исходн.данные.!AJ64/1000</f>
        <v>0</v>
      </c>
      <c r="EG64" s="9">
        <f t="shared" si="107"/>
        <v>0</v>
      </c>
      <c r="EH64" s="9">
        <f t="shared" si="108"/>
        <v>0</v>
      </c>
      <c r="EI64" s="39" t="e">
        <f t="shared" si="7"/>
        <v>#DIV/0!</v>
      </c>
      <c r="EJ64" s="9" t="str">
        <f t="shared" si="8"/>
        <v>Азопреципитат</v>
      </c>
      <c r="EK64" s="12">
        <f t="shared" si="9"/>
        <v>0.26</v>
      </c>
      <c r="EL64" s="12">
        <f t="shared" si="10"/>
        <v>0.13</v>
      </c>
      <c r="EM64" s="12">
        <f t="shared" si="11"/>
        <v>0</v>
      </c>
      <c r="EN64" s="12" t="str">
        <f t="shared" si="57"/>
        <v>Нет</v>
      </c>
      <c r="EO64" s="12">
        <f t="shared" si="12"/>
        <v>0</v>
      </c>
      <c r="EP64" s="12">
        <f t="shared" si="13"/>
        <v>0</v>
      </c>
      <c r="EQ64" s="12">
        <f t="shared" si="14"/>
        <v>0</v>
      </c>
      <c r="ER64" s="12" t="str">
        <f t="shared" si="109"/>
        <v>Диаммофоска</v>
      </c>
      <c r="ES64" s="12">
        <f t="shared" si="15"/>
        <v>0.1</v>
      </c>
      <c r="ET64" s="12">
        <f t="shared" si="16"/>
        <v>0.26</v>
      </c>
      <c r="EU64" s="12">
        <f t="shared" si="17"/>
        <v>0.26</v>
      </c>
      <c r="EV64" s="12" t="str">
        <f t="shared" si="110"/>
        <v>Аммофос 12:52:00</v>
      </c>
      <c r="EW64" s="12" t="str">
        <f t="shared" si="111"/>
        <v>Кемира Свекловичное-6</v>
      </c>
      <c r="EX64" s="12">
        <f t="shared" si="18"/>
        <v>0.16</v>
      </c>
      <c r="EY64" s="12">
        <f t="shared" si="19"/>
        <v>0.12</v>
      </c>
      <c r="EZ64" s="12">
        <f t="shared" si="20"/>
        <v>0.17</v>
      </c>
      <c r="FA64" s="38" t="e">
        <f>IF(AND(OR(FJ64=$FD$1,FM64=$FD$1,FO64=$FD$1,FQ64=$FD$1,FS64=$FD$1),FD64=$FD$1,Исходн.данные.!J64&lt;2,FU64=$FD$1),"Бор,Кобальт",IF(AND(FO64=$FD$1,FH64=$FD$1,Исходн.данные.!J64&lt;2,FU64=$FD$1),"Бор,Кобальт",IF(AND(OR(FJ64=$FD$1,FM64=$FD$1,FQ64=$FD$1),FE64=$FD$1,Исходн.данные.!J64&lt;2,FT64=$FD$1,FU64=$FD$1),"Бор,Медь,Цинк",IF(AND(OR(FJ64=$FD$1,FR64="Да"),FI64="Да",Исходн.данные.!J64&lt;2,FT64="Да",FU64="Да"),"Бор,Цинк,Медь",IF(AND(OR(FM64="Да",FQ64="Да"),FI64="Да",Исходн.данные.!J64&lt;2,FT64="Да",FU64="Да"),"Бор,Цинк",IF(AND(FN64="Да",OR(FD64="Да",FE64="Да")),"Бор",FB64))))))</f>
        <v>#N/A</v>
      </c>
      <c r="FB64" s="134" t="e">
        <f>IF(AND(OR(FD64="Да",FE64="Да",FF64="Да",FG64="Да",FH64="Да"),FO64="Да"),"Бор",IF(AND(FP64="Да",OR(FD64="Да",FE64="Да",FI64="Да")),"Бор",IF(AND(FS64="Да",FE64="Да"),"Бор,Медь",IF(AND(OR(FJ64="Да",FK64="Да",FL64="Да"),FE64="Да",Исходн.данные.!I64&lt;5,FT64="Да",FU64="Да"),"Молибден,Цинк",IF(AND(FM64="Да",OR(FE64="Да",FF64="Да",FG64="Да",FH64="Да",FI64="Да")),"Молибден,Цинк",IF(AND(OR(FJ64="Да",FK64="Да",FL64="Да",FM64="Да",FQ64="Да"),OR(FE64="Да",FF64="Да"),FT64="Да",FU64="Да",Исходн.данные.!I64&gt;5.5),"Медь,Цинк",FC64))))))</f>
        <v>#N/A</v>
      </c>
      <c r="FC64" s="23" t="e">
        <f t="shared" si="112"/>
        <v>#N/A</v>
      </c>
      <c r="FD64" s="38" t="str">
        <f>IF(OR(Исходн.данные.!F64=$CC$1,Исходн.данные.!F64=$CC$2,Исходн.данные.!F64=$CC$3,Исходн.данные.!F64=$CC$4),"Да","Нет")</f>
        <v>Нет</v>
      </c>
      <c r="FE64" s="38" t="str">
        <f>IF(Исходн.данные.!F64=$CC$5,"Да","Нет")</f>
        <v>Нет</v>
      </c>
      <c r="FF64" s="38" t="str">
        <f>IF(OR(Исходн.данные.!F64=$CC$6,Исходн.данные.!F64=$CC$7),"Да","Нет")</f>
        <v>Нет</v>
      </c>
      <c r="FG64" s="38" t="str">
        <f>IF(OR(Исходн.данные.!F64=$CC$8,Исходн.данные.!F64=$CC$9),"Да","Нет")</f>
        <v>Нет</v>
      </c>
      <c r="FH64" s="38" t="str">
        <f>IF(Исходн.данные.!F64=$CC$10,"Да","Нет")</f>
        <v>Нет</v>
      </c>
      <c r="FI64" s="38" t="str">
        <f>IF(OR(Исходн.данные.!F64=$CC$11,Исходн.данные.!F64=$CC$12),"Да","Нет")</f>
        <v>Нет</v>
      </c>
      <c r="FJ64" s="38" t="str">
        <f>IF(OR(Исходн.данные.!AH64=$BS$1,Исходн.данные.!AH64=$BQ$11,Исходн.данные.!AH64=$BQ$12),"Да","Нет")</f>
        <v>Нет</v>
      </c>
      <c r="FK64" s="38" t="str">
        <f>IF(OR(Исходн.данные.!AH64=$BS$2,Исходн.данные.!AH64=$BS$4),"Да","Нет")</f>
        <v>Нет</v>
      </c>
      <c r="FL64" s="38" t="str">
        <f>IF(OR(Исходн.данные.!AH64=$BS$3,Исходн.данные.!AH64=$BS$5),"Да","Нет")</f>
        <v>Нет</v>
      </c>
      <c r="FM64" s="38" t="str">
        <f>IF(OR(Исходн.данные.!AH64=$BS$9,Исходн.данные.!AH64=$BS$10,Исходн.данные.!AH64=$BS$11,Исходн.данные.!AH64=$BS$12),"Да","Нет")</f>
        <v>Нет</v>
      </c>
      <c r="FN64" s="38" t="str">
        <f>IF(OR(Исходн.данные.!AH64=$BS$6,Исходн.данные.!AH64=$BP$3),"Да","Нет")</f>
        <v>Нет</v>
      </c>
      <c r="FO64" s="38" t="str">
        <f>IF(Исходн.данные.!AH64=$BQ$9,"Да","Нет")</f>
        <v>Нет</v>
      </c>
      <c r="FP64" s="38" t="str">
        <f>IF(OR(Исходн.данные.!AH64=$BS$8,Исходн.данные.!AH64=$BT$8),"Да","Нет")</f>
        <v>Нет</v>
      </c>
      <c r="FQ64" s="38" t="str">
        <f>IF(OR(Исходн.данные.!AH64=$BQ$7,Исходн.данные.!AH64=$BQ$8),"Да","Нет")</f>
        <v>Нет</v>
      </c>
      <c r="FR64" s="38" t="str">
        <f>IF(Исходн.данные.!AI64=$BU$9,"Да","Нет")</f>
        <v>Нет</v>
      </c>
      <c r="FS64" s="38" t="str">
        <f>IF(OR(Исходн.данные.!AH64=$BP$1,Исходн.данные.!AH64=$BP$2),"Да","Нет")</f>
        <v>Нет</v>
      </c>
      <c r="FT64" s="38" t="e">
        <f>IF((Исходн.данные.!K64*GO64*GS64*GW64+BL64*0.6+Исходн.данные.!Q64*4.5*0.275)&gt;90,"Да","Нет")</f>
        <v>#N/A</v>
      </c>
      <c r="FU64" s="38" t="e">
        <f>IF((Исходн.данные.!M64*GS64*GZ64+BM64*0.225)&gt;35,"Да","Нет")</f>
        <v>#N/A</v>
      </c>
      <c r="FV64" s="38" t="str">
        <f>IF(Исходн.данные.!O64&gt;175,"Да","Нет")</f>
        <v>Нет</v>
      </c>
      <c r="FW64" s="39" t="str">
        <f>IF(Исходн.данные.!I64&gt;5.5,"Да","Нет")</f>
        <v>Нет</v>
      </c>
      <c r="FX64" s="39" t="str">
        <f>IF(Исходн.данные.!J64&lt;2,"Да","Нет")</f>
        <v>Да</v>
      </c>
      <c r="FY64" s="39" t="e">
        <f>IF(HF64=$FY$16,0,Исходн.данные.!K64*GO64*GS64*GW64/HF64)</f>
        <v>#N/A</v>
      </c>
      <c r="FZ64" s="39" t="e">
        <f>Исходн.данные.!M64*GS64*GZ64/HG64</f>
        <v>#N/A</v>
      </c>
      <c r="GA64" s="39" t="e">
        <f>IF(K_Wyn=$FY$16,0,IF(Исходн.данные.!N64=Исходн.данные.!$L$10,Исходн.данные.!O64/1.1*GS64*HC64/HH64,IF(Исходн.данные.!N64=Исходн.данные.!$L$12,Исходн.данные.!O64/1.5*GS64*HC64/HH64,Исходн.данные.!O64*GS64*HC64/HH64)))</f>
        <v>#N/A</v>
      </c>
      <c r="GB64" s="39" t="e">
        <f>IF(HF64=$FY$16,0,((Исходн.данные.!Q64*N_Org+Исходн.данные.!R64*N_Sider+Исходн.данные.!S64*N_Soloma)*AO64+Расчет!BC64*VLOOKUP(Исходн.данные.!T64,Справ!$A$3:$O$57,15)*AO64+BB64*VLOOKUP(Исходн.данные.!T64,Справ!$A$3:$O$57,15)*AL64+(Исходн.данные.!V64*N_Rizotorf+Исходн.данные.!W64*N_Rizoagr))/HF64)</f>
        <v>#N/A</v>
      </c>
      <c r="GC64" s="39" t="e">
        <f>IF(HG64=$FY$16,0,((Исходн.данные.!Q64*Р_Org+Исходн.данные.!R64*P_Sider+Исходн.данные.!S64*P_Soloma)*AP64+Расчет!BC64*VLOOKUP(Исходн.данные.!T64,Справ!$A$3:$P$57,16)*AP64+BB64*VLOOKUP(Исходн.данные.!T64,Справ!$A$3:$P$57,16)*AM64)/HG64)</f>
        <v>#N/A</v>
      </c>
      <c r="GD64" s="39" t="e">
        <f>IF(HH64=$FY$16,0,((Исходн.данные.!Q64*К_Org+Исходн.данные.!R64*K_Sider+Исходн.данные.!S64*K_Soloma)*AQ64+Расчет!BC64*VLOOKUP(Исходн.данные.!T64,Справ!$A$3:$Q$57,17)*AQ64+BB64*VLOOKUP(Исходн.данные.!T64,Справ!$A$3:$Q$57,17)*AN64)/HH64)</f>
        <v>#N/A</v>
      </c>
      <c r="GE64" s="39" t="e">
        <f>IF(HF64=$FY$16,0,(Исходн.данные.!X64*AR64+Исходн.данные.!AA64*N_Org*AL64+Исходн.данные.!AB64*N_Sider*AL64+Исходн.данные.!AC64*N_Soloma*AL64)/HF64)</f>
        <v>#N/A</v>
      </c>
      <c r="GF64" s="39" t="e">
        <f>IF(HG64=$FY$16,0,(Исходн.данные.!Y64*AS64+Исходн.данные.!AA64*Р_Org*AM64+Исходн.данные.!AB64*P_Sider*AM64+Исходн.данные.!AC64*P_Soloma*AM64)/HG64)</f>
        <v>#N/A</v>
      </c>
      <c r="GG64" s="39" t="e">
        <f>IF(HH64=$FY$16,0,(Исходн.данные.!Z64*AT64+Исходн.данные.!AA64*К_Org*AN64+Исходн.данные.!AB64*K_Sider*AN64+Исходн.данные.!AC64*K_Soloma*AN64)/HH64)</f>
        <v>#N/A</v>
      </c>
      <c r="GH64" s="39" t="e">
        <f>Исходн.данные.!AD64*AU64/HF64</f>
        <v>#N/A</v>
      </c>
      <c r="GI64" s="39" t="e">
        <f>Исходн.данные.!AE64*AV64/HG64</f>
        <v>#N/A</v>
      </c>
      <c r="GJ64" s="39" t="e">
        <f>Исходн.данные.!AF64*AW64/HH64</f>
        <v>#N/A</v>
      </c>
      <c r="GK64" s="55">
        <f>Исходн.данные.!AK64</f>
        <v>0</v>
      </c>
      <c r="GL64" s="11" t="e">
        <f t="shared" si="113"/>
        <v>#N/A</v>
      </c>
      <c r="GM64" s="11" t="e">
        <f t="shared" si="114"/>
        <v>#N/A</v>
      </c>
      <c r="GN64" s="11" t="e">
        <f t="shared" si="115"/>
        <v>#N/A</v>
      </c>
      <c r="GO64" s="57">
        <f t="shared" si="116"/>
        <v>19</v>
      </c>
      <c r="GP64" s="55">
        <f>IF(OR(Исходн.данные.!F64=$CE$1,Исходн.данные.!F64=$CE$2,Исходн.данные.!F64=$CE$3,Исходн.данные.!F64=$CE$4,Исходн.данные.!F64=$CE$5),GQ64,GR64)</f>
        <v>19</v>
      </c>
      <c r="GQ64" s="55">
        <f>IF(Исходн.данные.!F64=$CE$1,28,IF(Исходн.данные.!F64=$CE$2,26,IF(Исходн.данные.!F64=$CE$3,24,IF(Исходн.данные.!F64=$CE$4,22,IF(Исходн.данные.!F64=$CE$5,20,GR64)))))</f>
        <v>19</v>
      </c>
      <c r="GR64" s="55">
        <f>IF(Исходн.данные.!F64=$CE$6,18,IF(Исходн.данные.!F64=$CE$7,16,IF(Исходн.данные.!F64=$CE$8,14,IF(Исходн.данные.!F64=$CE$9,13,IF(Исходн.данные.!F64=$CE$10,12,19)))))</f>
        <v>19</v>
      </c>
      <c r="GS64" s="55">
        <f>IF(Исходн.данные.!G64="Пес",0.035*(40+2*Исходн.данные.!H64),IF(Исходн.данные.!G64="Суп",0.0325*(40+2*Исходн.данные.!H64),0.03*(40+2*Исходн.данные.!H64)))</f>
        <v>1.2</v>
      </c>
      <c r="GT64" s="55">
        <f>IF(Исходн.данные.!H64&lt;23,2.6,IF(AND(Исходн.данные.!H64&gt;22,Исходн.данные.!H64&lt;26),3,IF(AND(Исходн.данные.!H64&gt;25,Исходн.данные.!H64&lt;29),3.4,3.6)))</f>
        <v>2.6</v>
      </c>
      <c r="GU64" s="55">
        <f>IF(Исходн.данные.!H64&lt;23,2.8,IF(AND(Исходн.данные.!H64&gt;22,Исходн.данные.!H64&lt;26),3.2,IF(AND(Исходн.данные.!H64&gt;25,Исходн.данные.!H64&lt;29),3.6,3.9)))</f>
        <v>2.8</v>
      </c>
      <c r="GV64" s="55">
        <f>IF(Исходн.данные.!H64&lt;23,3,IF(AND(Исходн.данные.!H64&gt;22,Исходн.данные.!H64&lt;26),3.5,IF(AND(Исходн.данные.!H64&gt;25,Исходн.данные.!H64&lt;29),3.9,4.2)))</f>
        <v>3</v>
      </c>
      <c r="GW64" s="55" t="e">
        <f>IF(Исходн.данные.!P64="Ум",GX64,GY64)</f>
        <v>#N/A</v>
      </c>
      <c r="GX64" s="55" t="e">
        <f>VLOOKUP(Исходн.данные.!AI64,Коэффициенты!$J$7:$L$13,2,FALSE)</f>
        <v>#N/A</v>
      </c>
      <c r="GY64" s="55" t="e">
        <f>VLOOKUP(Исходн.данные.!AI64,Коэффициенты!$J$7:$L$13,3,FALSE)</f>
        <v>#N/A</v>
      </c>
      <c r="GZ64" s="55" t="e">
        <f>(IF(Исходн.данные.!M64&lt;50,0.11*VLOOKUP(Исходн.данные.!AH64,Культуры.Информация,7,FALSE),IF(Исходн.данные.!M64&gt;250,0.05*VLOOKUP(Исходн.данные.!AH64,Культуры.Информация,7,FALSE),VLOOKUP(Исходн.данные.!AH64,Культуры.Информация,5,FALSE)/100*($GX$6+$GY$6*Исходн.данные.!M64))))*Расчет2!AI64</f>
        <v>#N/A</v>
      </c>
      <c r="HA64" s="211"/>
      <c r="HB64" s="211"/>
      <c r="HC64" s="55" t="e">
        <f>(IF(Исходн.данные.!O64&lt;80,0.2*VLOOKUP(Исходн.данные.!AH64,Культуры.Информация,8,FALSE),IF(Исходн.данные.!O64&gt;240,0.09*VLOOKUP(Исходн.данные.!AH64,Культуры.Информация,8,FALSE),VLOOKUP(Исходн.данные.!AH64,Культуры.Информация,6,FALSE)/100*($HB$6+$HC$6*Исходн.данные.!O64))))*Расчет2!AJ64</f>
        <v>#N/A</v>
      </c>
      <c r="HD64" s="55">
        <f>IF(Исходн.данные.!O64&gt;240,0.09,IF(Исходн.данные.!O64&lt;30,0.3,$HE$10+$HD$10*Исходн.данные.!O64))</f>
        <v>0.3</v>
      </c>
      <c r="HE64" s="55">
        <f>IF(Исходн.данные.!O64&gt;240,0.17,IF(Исходн.данные.!O64&lt;30,0.5,$HF$12+$HE$12*Исходн.данные.!O64))</f>
        <v>0.5</v>
      </c>
      <c r="HF64" s="55" t="e">
        <f>VLOOKUP(Исходн.данные.!AH64,Справ!$A$3:$D$58,2,FALSE)</f>
        <v>#N/A</v>
      </c>
      <c r="HG64" s="55" t="e">
        <f>VLOOKUP(Исходн.данные.!AH64,Справ!$A$3:$D$58,3,FALSE)</f>
        <v>#N/A</v>
      </c>
      <c r="HH64" s="55" t="e">
        <f>VLOOKUP(Исходн.данные.!AH64,Справ!$A$3:$D$58,4,FALSE)</f>
        <v>#N/A</v>
      </c>
      <c r="HI64" s="11" t="e">
        <f t="shared" si="117"/>
        <v>#N/A</v>
      </c>
      <c r="HJ64" s="11" t="e">
        <f t="shared" si="118"/>
        <v>#N/A</v>
      </c>
      <c r="HK64" s="11" t="e">
        <f t="shared" si="119"/>
        <v>#N/A</v>
      </c>
      <c r="HL64" s="55">
        <f>IF(OR(Исходн.данные.!G64="Глин",Исходн.данные.!G64="Т_суг"),1.1,IF(Исходн.данные.!G64="Ср_суг",1,1))</f>
        <v>1</v>
      </c>
      <c r="HM64" s="55">
        <f>IF(OR(Исходн.данные.!G64="Глин",Исходн.данные.!G64="Т_суг"),0.9,IF(Исходн.данные.!G64="Ср_суг",1,1.2))</f>
        <v>1.2</v>
      </c>
      <c r="HN64" s="11" t="e">
        <f t="shared" si="120"/>
        <v>#N/A</v>
      </c>
      <c r="HO64" s="11" t="e">
        <f t="shared" si="121"/>
        <v>#N/A</v>
      </c>
      <c r="HP64" s="11" t="e">
        <f t="shared" si="122"/>
        <v>#N/A</v>
      </c>
      <c r="HQ64" t="e">
        <f t="shared" si="123"/>
        <v>#N/A</v>
      </c>
      <c r="HR64" t="e">
        <f t="shared" si="124"/>
        <v>#N/A</v>
      </c>
      <c r="HS64" t="e">
        <f t="shared" si="125"/>
        <v>#N/A</v>
      </c>
      <c r="HT64" t="e">
        <f t="shared" si="21"/>
        <v>#N/A</v>
      </c>
      <c r="HU64" t="e">
        <f t="shared" si="22"/>
        <v>#N/A</v>
      </c>
      <c r="HV64" t="e">
        <f t="shared" si="23"/>
        <v>#N/A</v>
      </c>
      <c r="HW64" t="e">
        <f t="shared" si="24"/>
        <v>#N/A</v>
      </c>
      <c r="HX64" t="e">
        <f t="shared" si="25"/>
        <v>#N/A</v>
      </c>
      <c r="HY64" t="e">
        <f t="shared" si="26"/>
        <v>#N/A</v>
      </c>
      <c r="HZ64" s="55">
        <f>IF(OR(Исходн.данные.!AI64="Оз_Ч_П",Исходн.данные.!AI64="Оз_З_П",Исходн.данные.!AI64="Яр_зер"),12,30)</f>
        <v>30</v>
      </c>
      <c r="IA64" t="e">
        <f t="shared" si="126"/>
        <v>#N/A</v>
      </c>
      <c r="IB64" t="e">
        <f t="shared" si="127"/>
        <v>#N/A</v>
      </c>
      <c r="IC64" t="e">
        <f t="shared" si="128"/>
        <v>#N/A</v>
      </c>
      <c r="ID64" s="11" t="e">
        <f t="shared" si="129"/>
        <v>#N/A</v>
      </c>
      <c r="IE64" s="11" t="e">
        <f t="shared" si="130"/>
        <v>#N/A</v>
      </c>
      <c r="IF64" s="11" t="e">
        <f t="shared" si="131"/>
        <v>#N/A</v>
      </c>
    </row>
    <row r="65" spans="35:240" x14ac:dyDescent="0.2">
      <c r="AI65">
        <f>IF(Исходн.данные.!I65&gt;6,1,1.85-(0.148*Исходн.данные.!I65))</f>
        <v>1.85</v>
      </c>
      <c r="AJ65">
        <f>IF(Исходн.данные.!I65&gt;6,1,2.434-(0.246*Исходн.данные.!I65))</f>
        <v>2.4340000000000002</v>
      </c>
      <c r="AL65" s="148" t="b">
        <f>IF(Исходн.данные.!$P65="Ум",N_OrgUd_2g_um,IF(Исходн.данные.!$P65="Об",N_OrgUd_2g_ob))</f>
        <v>0</v>
      </c>
      <c r="AM65" s="148" t="b">
        <f>IF(Исходн.данные.!$P65="Ум",P_OrgUd_2g_um,IF(Исходн.данные.!$P65="Об",P_OrgUd_2g_ob))</f>
        <v>0</v>
      </c>
      <c r="AN65" s="148" t="b">
        <f>IF(Исходн.данные.!$P65="Ум",K_OrgUd_2g_um,IF(Исходн.данные.!$P65="Об",K_OrgUd_2g_ob))</f>
        <v>0</v>
      </c>
      <c r="AO65" s="148" t="b">
        <f>IF(Исходн.данные.!$P65="Ум",N_OrgUd_1g_um,IF(Исходн.данные.!$P65="Об",N_OrgUd_1g_ob))</f>
        <v>0</v>
      </c>
      <c r="AP65" s="148" t="b">
        <f>IF(Исходн.данные.!$P65="Ум",P_OrgUd_1g_um,IF(Исходн.данные.!$P65="Об",P_OrgUd_1g_ob))</f>
        <v>0</v>
      </c>
      <c r="AQ65" s="148" t="b">
        <f>IF(Исходн.данные.!$P65="Ум",K_OrgUd_1g_um,IF(Исходн.данные.!$P65="Об",K_OrgUd_1g_ob))</f>
        <v>0</v>
      </c>
      <c r="AR65" t="b">
        <f>IF(Исходн.данные.!$P65="Ум",N_MinUd_2g_um,IF(Исходн.данные.!$P65="Об",N_MinUd_2g_ob))</f>
        <v>0</v>
      </c>
      <c r="AS65" t="b">
        <f>IF(Исходн.данные.!$P65="Ум",P_MinUd_2g_um,IF(Исходн.данные.!$P65="Об",P_MinUd_2g_ob))</f>
        <v>0</v>
      </c>
      <c r="AT65" t="b">
        <f>IF(Исходн.данные.!$P65="Ум",K_MinUd_2g_um,IF(Исходн.данные.!$P65="Об",K_MinUd_2g_ob))</f>
        <v>0</v>
      </c>
      <c r="AU65" t="b">
        <f>IF(Исходн.данные.!$P65="Ум",N_MinUd_1g_um,IF(Исходн.данные.!$P65="Об",N_MinUd_1g_ob))</f>
        <v>0</v>
      </c>
      <c r="AV65" t="b">
        <f>IF(Исходн.данные.!P65="Ум",P_MinUd_1g_um,IF(Исходн.данные.!P65="Об",P_MinUd_1g_ob))</f>
        <v>0</v>
      </c>
      <c r="AW65" t="b">
        <f>IF(Исходн.данные.!P65="Ум",K_MinUd_1g_um,IF(Исходн.данные.!P65="Об",K_MinUd_1g_ob))</f>
        <v>0</v>
      </c>
      <c r="AY65" t="e">
        <f>VLOOKUP(Исходн.данные.!T65,Справ!$A$3:$N$57,12)</f>
        <v>#N/A</v>
      </c>
      <c r="AZ65" t="e">
        <f>VLOOKUP(Исходн.данные.!T65,Справ!$A$3:$N$57,13)</f>
        <v>#N/A</v>
      </c>
      <c r="BA65" t="e">
        <f>VLOOKUP(Исходн.данные.!T65,Справ!$A$3:$N$57,14)</f>
        <v>#N/A</v>
      </c>
      <c r="BB65">
        <f>IF(Исходн.данные.!AH65=0,0,25)</f>
        <v>0</v>
      </c>
      <c r="BC65" s="141">
        <f>IF(Исходн.данные.!AH65=0,0,IF(Исходн.данные.!T65=0,25,BD65))</f>
        <v>0</v>
      </c>
      <c r="BD65" s="168" t="e">
        <f>AY65+AZ65*Исходн.данные.!U65-POWER(BA65,2)*Исходн.данные.!U65</f>
        <v>#N/A</v>
      </c>
      <c r="BE6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5" s="25">
        <f>IF(Исходн.данные.!AH65=0,0,MIN(HN65:HP65))</f>
        <v>0</v>
      </c>
      <c r="BG65" s="9">
        <f>IF(Исходн.данные.!AH65=0,0,IF((HO65+10*0.25/HG65/HL65)&lt;17,17,HO65+10*0.25/HG65/HL65))</f>
        <v>0</v>
      </c>
      <c r="BH65" s="181">
        <f>IF(Исходн.данные.!AH65=0,0,HW65*HF65*HL65/AU65*AI65+Исходн.данные.!S65*10)</f>
        <v>0</v>
      </c>
      <c r="BI65" s="10"/>
      <c r="BJ65" s="182">
        <f>IF(Исходн.данные.!AH65=0,0,IF(HX65*HG65*HL65/AV65&lt;0,0,HX65*HG65*HL65/AV65*AJ65))</f>
        <v>0</v>
      </c>
      <c r="BK65" s="182">
        <f>IF(Исходн.данные.!AH65=0,0,HY65*HH65*HM65/AW65)</f>
        <v>0</v>
      </c>
      <c r="BL65" s="10">
        <f>IF(OR(Исходн.данные.!$AH65=$BP$1,Исходн.данные.!$AH65=$BP$2),0,IF(BH65&lt;0,0,IF(OR(Исходн.данные.!T65=Расчет!$BP$1,Исходн.данные.!T65=Расчет!$BP$2,Исходн.данные.!T65=Расчет!$BT$5,Исходн.данные.!T65=Расчет!$BT$6),BH65*0.5,IF(OR(Исходн.данные.!T65=Расчет!$BS$9,Исходн.данные.!T65=Расчет!$BS$10,Исходн.данные.!T65=Расчет!$BS$11,Исходн.данные.!T65=Расчет!$BS$12,Исходн.данные.!T65=Расчет!$BP$5),BH65*0.8,BH65))))</f>
        <v>0</v>
      </c>
      <c r="BM65" s="10">
        <f>IF(OR(Исходн.данные.!$AH65=$BP$1,Исходн.данные.!$AH65=$BP$2),0,IF(BJ65&lt;0,0,IF(Исходн.данные.!I65&lt;4.5,BJ65*1.2,IF(Исходн.данные.!I65&gt;5.1,BJ65,BJ65*((5.1-Исходн.данные.!I65)*0.333+1)))))</f>
        <v>0</v>
      </c>
      <c r="BN65" s="10">
        <f>IF(OR(Исходн.данные.!$AH65=$BP$1,Исходн.данные.!$AH65=$BP$2),60-Исходн.данные.!AF65,IF(BK65&lt;0,0,IF(Исходн.данные.!I65&lt;4.5,BK65*1.2,IF(Исходн.данные.!I65&gt;5.1,BK65,BK65*((5.1-Исходн.данные.!I65)*0.333+1)))))</f>
        <v>0</v>
      </c>
      <c r="BO65" s="9">
        <f>IF(BL65&lt;0,0,BL65*Исходн.данные.!$AJ65/1000)</f>
        <v>0</v>
      </c>
      <c r="BP65" s="9">
        <f>IF(BM65&lt;0,0,BM65*Исходн.данные.!$AJ65/1000)</f>
        <v>0</v>
      </c>
      <c r="BQ65" s="9">
        <f>IF(BN65&lt;0,0,BN65*Исходн.данные.!$AJ65/1000)</f>
        <v>0</v>
      </c>
      <c r="BR65" s="9">
        <f t="shared" si="81"/>
        <v>0</v>
      </c>
      <c r="BS65" s="10" t="str">
        <f t="shared" si="82"/>
        <v>Аммофос 12:52:00</v>
      </c>
      <c r="BT65" s="10" t="str">
        <f t="shared" si="83"/>
        <v>Аммофос 12:52:00</v>
      </c>
      <c r="BU65" s="10" t="str">
        <f t="shared" si="84"/>
        <v>Диаммофоска</v>
      </c>
      <c r="BV65" s="10">
        <f t="shared" si="85"/>
        <v>0</v>
      </c>
      <c r="BW65" s="10"/>
      <c r="BX65" s="10"/>
      <c r="BY65" s="9">
        <f>IF(BL65&lt;0,0,IF(OR(Исходн.данные.!AI65=Расчет!$BU$6,Исходн.данные.!AI65=Расчет!$BU$7),Расчет!BV65,IF(Исходн.данные.!$AG65=$BV$11,BL65,IF(OR(Исходн.данные.!$AH65=$BQ$7,Исходн.данные.!$AH65=$BQ$8),CB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0,IF(Исходн.данные.!$AI65=$BU$11,"Нет",IF(BL65&gt;30,30,BL65)))))))</f>
        <v>0</v>
      </c>
      <c r="BZ65" s="9">
        <f>IF(AND(Исходн.данные.!$AG65=$BV$11,BM65&lt;10),10,IF(Исходн.данные.!$AG65=$BV$11,BM65,IF(OR(Исходн.данные.!$AH65=$BQ$7,Исходн.данные.!$AH65=$BQ$8),CC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10,IF(Исходн.данные.!$AI65=$BU$11,"Нет",IF(BM65&gt;60,60,IF(BM65&lt;10,10,BM65)))))))</f>
        <v>10</v>
      </c>
      <c r="CA65" s="39">
        <f>IF(BN65&lt;0,0,IF(Исходн.данные.!$AG65=$BV$11,BN65,IF(OR(Исходн.данные.!$AH65=$BQ$7,Исходн.данные.!$AH65=$BQ$8),CD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0,IF(Исходн.данные.!$AI65=$BU$11,"Нет",IF(BN65&gt;30,30,BN65))))))</f>
        <v>0</v>
      </c>
      <c r="CB65" s="9">
        <f t="shared" si="86"/>
        <v>0</v>
      </c>
      <c r="CC65" s="9">
        <f t="shared" si="87"/>
        <v>0</v>
      </c>
      <c r="CD65" s="9">
        <f t="shared" si="88"/>
        <v>0</v>
      </c>
      <c r="CE65" s="12">
        <f t="shared" si="89"/>
        <v>10</v>
      </c>
      <c r="CF65" s="9">
        <f t="shared" si="90"/>
        <v>0</v>
      </c>
      <c r="CG65" s="9" t="s">
        <v>231</v>
      </c>
      <c r="CH65" s="132" t="str">
        <f>IF(Исходн.данные.!AP65=Расчет!$CI$16,"Нет",IF(Исходн.данные.!AL65&gt;0,Исходн.данные.!AL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BH$4,IF(OR(Исходн.данные.!AI65=Исходн.данные.!$AI$6,Исходн.данные.!AI65=Исходн.данные.!$AI$7),Расчет!BS65,IF(AND($CF65=0,$CE65&gt;0),EV65,ER65)))))</f>
        <v>Аммофос 12:52:00</v>
      </c>
      <c r="CI65" s="274">
        <f>IF(Расчет!$CH65="Нет","Нет",IF(Исходн.данные.!$AL65&gt;0,VLOOKUP(Расчет!$CH65,АшламаДВ_Irekle,2,FALSE),VLOOKUP(Расчет!$CH65,АшламаДВ_Gomumy,2,FALSE)))</f>
        <v>0.12</v>
      </c>
      <c r="CJ65" s="274">
        <f>IF(Расчет!$CH65="Нет","Нет",IF(Исходн.данные.!$AL65&gt;0,VLOOKUP(Расчет!$CH65,АшламаДВ_Irekle,3,FALSE),VLOOKUP(Расчет!$CH65,АшламаДВ_Gomumy,3,FALSE)))</f>
        <v>0.52</v>
      </c>
      <c r="CK65" s="274">
        <f>IF(Расчет!$CH65="Нет","Нет",IF(Исходн.данные.!$AL65&gt;0,VLOOKUP(Расчет!$CH65,АшламаДВ_Irekle,4,FALSE),VLOOKUP(Расчет!$CH65,АшламаДВ_Gomumy,4,FALSE)))</f>
        <v>0</v>
      </c>
      <c r="CL65" s="70"/>
      <c r="CM65" s="70"/>
      <c r="CN65" s="70"/>
      <c r="CO65" s="70"/>
      <c r="CP65" s="70"/>
      <c r="CQ65" s="70"/>
      <c r="CR65" s="10">
        <f t="shared" si="91"/>
        <v>0</v>
      </c>
      <c r="CS65" s="10">
        <f t="shared" si="92"/>
        <v>19.23076923076923</v>
      </c>
      <c r="CT65" s="10">
        <f t="shared" si="93"/>
        <v>0</v>
      </c>
      <c r="CU65" s="39">
        <f>IF($CH65="Нет",0,IF(CI65=0,30/MIN(CJ65:CK65),IF(Исходн.данные.!$AG65=$BV$11,CR65,IF(OR(Исходн.данные.!$AH65=$BQ$7,Исходн.данные.!$AH65=$BQ$8),90/CI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0,IF(Исходн.данные.!$AI65=$BU$11,"Нет",30/CI65))))))</f>
        <v>250</v>
      </c>
      <c r="CV65" s="39">
        <f>IF($CH65="Нет",0,IF(Исходн.данные.!AH65=0,0,IF(CJ65=0,60/MIN(CI65,CK65),IF(Исходн.данные.!$AG65=$BV$11,CS65,IF(OR(Исходн.данные.!$AH65=$BQ$7,Исходн.данные.!$AH65=$BQ$8),90/CJ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10/CJ65,IF(Исходн.данные.!$AI65=$BU$11,"Нет",60/CJ65)))))))</f>
        <v>0</v>
      </c>
      <c r="CW65" s="39">
        <f>IF($CH65="Нет",0,IF(Исходн.данные.!AH65=0,0,IF(CK65=0,30/MIN(CI65:CJ65),IF(Исходн.данные.!$AG65=$BV$11,CT65,IF(OR(Исходн.данные.!$AH65=$BQ$7,Исходн.данные.!$AH65=$BQ$8),90/CK65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0,IF(Исходн.данные.!$AI65=$BU$11,"Нет",30/CK65)))))))</f>
        <v>0</v>
      </c>
      <c r="CX65" s="133">
        <f>IF(Исходн.данные.!$AG65=$BV$11,MAX(CU65:CW65),IF(OR(Исходн.данные.!$AH65=$BS$8,Исходн.данные.!$AH65=$BQ$9,Исходн.данные.!$AH65=$BQ$10,Исходн.данные.!$AH65=$BQ$11,Исходн.данные.!$AH65=$BQ$12,Исходн.данные.!$AH65=$BP$3,Исходн.данные.!$AH65=$BT$8,$FM65="Да"),CV65,MIN(CU65:CW65)))</f>
        <v>0</v>
      </c>
      <c r="CY65" s="133">
        <f>IF(Исходн.данные.!AH65=0,0,IF(CR65&gt;$CX65,$CX65,CR65))</f>
        <v>0</v>
      </c>
      <c r="CZ65" s="133">
        <f>IF(Исходн.данные.!AH65=0,0,IF(CS65&gt;$CX65,$CX65,CS65))</f>
        <v>0</v>
      </c>
      <c r="DA65" s="133">
        <f>IF(Исходн.данные.!AH65=0,0,IF(CT65&gt;$CX65,$CX65,CT65))</f>
        <v>0</v>
      </c>
      <c r="DB65" s="10">
        <f t="shared" si="94"/>
        <v>0</v>
      </c>
      <c r="DC65" s="39">
        <f>DB65*Исходн.данные.!AJ65/1000</f>
        <v>0</v>
      </c>
      <c r="DD65" s="71">
        <f t="shared" si="95"/>
        <v>0</v>
      </c>
      <c r="DE65" s="9">
        <f t="shared" si="96"/>
        <v>0</v>
      </c>
      <c r="DF65" s="9">
        <f t="shared" si="97"/>
        <v>0</v>
      </c>
      <c r="DG65" s="39">
        <f>IF(BL65&lt;0,0,IF($CH65="Нет",BL65,IF(OR(Исходн.данные.!$AH65=$BP$1,Исходн.данные.!$AH65=$BP$2),0,IF(Исходн.данные.!AI65=$BU$11,BL65,IF(BL65-DD65&lt;0,0,BL65-DD65)))))</f>
        <v>0</v>
      </c>
      <c r="DH65" s="39">
        <f>IF(BM65&lt;0,0,IF($CH65="Нет",BM65,IF(OR(Исходн.данные.!$AH65=$BP$1,Исходн.данные.!$AH65=$BP$2),0,IF(Исходн.данные.!AJ65=$BU$11,BM65,IF(BM65-DE65&lt;0,0,BM65-DE65)))))</f>
        <v>0</v>
      </c>
      <c r="DI65" s="39">
        <f>IF(BN65&lt;0,0,IF($CH65="Нет",BN65,IF(OR(Исходн.данные.!$AH65=$BP$1,Исходн.данные.!$AH65=$BP$2),0,IF(Исходн.данные.!AK65=$BU$11,BN65,IF(BN65-DF65&lt;0,0,BN65-DF65)))))</f>
        <v>0</v>
      </c>
      <c r="DJ65" s="12">
        <f t="shared" si="98"/>
        <v>0</v>
      </c>
      <c r="DK65" s="9">
        <f t="shared" si="99"/>
        <v>0</v>
      </c>
      <c r="DL65" s="39">
        <f>IF(Исходн.данные.!AM65&gt;0,Исходн.данные.!AM65,IF(EG65&gt;0,$BH$10,0))</f>
        <v>0</v>
      </c>
      <c r="DM65" s="186">
        <f>IF($DL65=0,0,IF(Исходн.данные.!AM65&gt;0,VLOOKUP($DL65,АшламаДВ_Irekle,2,FALSE),VLOOKUP($DL65,АшламаДВ_Gomumy,2,FALSE)))</f>
        <v>0</v>
      </c>
      <c r="DN65" s="10">
        <f t="shared" si="46"/>
        <v>0</v>
      </c>
      <c r="DO65" s="9" t="str">
        <f>IF(Исходн.данные.!AN65&gt;0,Исходн.данные.!AN65,Удобрения!$B$37 )</f>
        <v>Хлор.калий</v>
      </c>
      <c r="DP65" s="9">
        <f>IF(Исходн.данные.!AN65&gt;0,VLOOKUP(Исходн.данные.!AN65,АшламаДВ_Irekle,4,FALSE),VLOOKUP(DO65,АшламаДВ_Gomumy,4,FALSE))</f>
        <v>0.6</v>
      </c>
      <c r="DQ65" s="10">
        <f t="shared" si="47"/>
        <v>0</v>
      </c>
      <c r="DR65" s="132" t="str">
        <f>IF(Исходн.данные.!AO65&gt;0,Исходн.данные.!AO65,IF(DH65=0,BS$17,IF(AND($DK65=0,$DJ65&gt;0),EJ65,EN65)))</f>
        <v>Нет</v>
      </c>
      <c r="DS65" s="70" t="str">
        <f>IF($DR65="Нет","Нет",IF(Исходн.данные.!$AO65&gt;0,VLOOKUP($DR65,АшламаДВ_Irekle,2,FALSE),VLOOKUP($DR65,АшламаДВ_Gomumy,2,FALSE)))</f>
        <v>Нет</v>
      </c>
      <c r="DT65" s="70" t="str">
        <f>IF($DR65="Нет","Нет",IF(Исходн.данные.!$AO65&gt;0,VLOOKUP($DR65,АшламаДВ_Irekle,3,FALSE),VLOOKUP($DR65,АшламаДВ_Gomumy,3,FALSE)))</f>
        <v>Нет</v>
      </c>
      <c r="DU65" s="70" t="str">
        <f>IF($DR65="Нет","Нет",IF(Исходн.данные.!$AO65&gt;0,VLOOKUP($DR65,АшламаДВ_Irekle,4,FALSE),VLOOKUP($DR65,АшламаДВ_Gomumy,4,FALSE)))</f>
        <v>Нет</v>
      </c>
      <c r="DV65" s="70"/>
      <c r="DW65" s="70"/>
      <c r="DX65" s="70"/>
      <c r="DY65" s="10">
        <f t="shared" si="100"/>
        <v>0</v>
      </c>
      <c r="DZ65" s="10">
        <f t="shared" si="101"/>
        <v>0</v>
      </c>
      <c r="EA65" s="10">
        <f t="shared" si="102"/>
        <v>0</v>
      </c>
      <c r="EB65" s="10">
        <f t="shared" si="103"/>
        <v>0</v>
      </c>
      <c r="EC65" s="10">
        <f t="shared" si="104"/>
        <v>0</v>
      </c>
      <c r="ED65" s="10">
        <f t="shared" si="105"/>
        <v>0</v>
      </c>
      <c r="EE65" s="10">
        <f t="shared" si="106"/>
        <v>0</v>
      </c>
      <c r="EF65" s="39">
        <f>EB65*Исходн.данные.!AJ65/1000</f>
        <v>0</v>
      </c>
      <c r="EG65" s="9">
        <f t="shared" si="107"/>
        <v>0</v>
      </c>
      <c r="EH65" s="9">
        <f t="shared" si="108"/>
        <v>0</v>
      </c>
      <c r="EI65" s="39" t="e">
        <f t="shared" si="7"/>
        <v>#DIV/0!</v>
      </c>
      <c r="EJ65" s="9" t="str">
        <f t="shared" si="8"/>
        <v>Азопреципитат</v>
      </c>
      <c r="EK65" s="12">
        <f t="shared" si="9"/>
        <v>0.26</v>
      </c>
      <c r="EL65" s="12">
        <f t="shared" si="10"/>
        <v>0.13</v>
      </c>
      <c r="EM65" s="12">
        <f t="shared" si="11"/>
        <v>0</v>
      </c>
      <c r="EN65" s="12" t="str">
        <f t="shared" si="57"/>
        <v>Нет</v>
      </c>
      <c r="EO65" s="12">
        <f t="shared" si="12"/>
        <v>0</v>
      </c>
      <c r="EP65" s="12">
        <f t="shared" si="13"/>
        <v>0</v>
      </c>
      <c r="EQ65" s="12">
        <f t="shared" si="14"/>
        <v>0</v>
      </c>
      <c r="ER65" s="12" t="str">
        <f t="shared" si="109"/>
        <v>Диаммофоска</v>
      </c>
      <c r="ES65" s="12">
        <f t="shared" si="15"/>
        <v>0.1</v>
      </c>
      <c r="ET65" s="12">
        <f t="shared" si="16"/>
        <v>0.26</v>
      </c>
      <c r="EU65" s="12">
        <f t="shared" si="17"/>
        <v>0.26</v>
      </c>
      <c r="EV65" s="12" t="str">
        <f t="shared" si="110"/>
        <v>Аммофос 12:52:00</v>
      </c>
      <c r="EW65" s="12" t="str">
        <f t="shared" si="111"/>
        <v>Кемира Свекловичное-6</v>
      </c>
      <c r="EX65" s="12">
        <f t="shared" si="18"/>
        <v>0.16</v>
      </c>
      <c r="EY65" s="12">
        <f t="shared" si="19"/>
        <v>0.12</v>
      </c>
      <c r="EZ65" s="12">
        <f t="shared" si="20"/>
        <v>0.17</v>
      </c>
      <c r="FA65" s="38" t="e">
        <f>IF(AND(OR(FJ65=$FD$1,FM65=$FD$1,FO65=$FD$1,FQ65=$FD$1,FS65=$FD$1),FD65=$FD$1,Исходн.данные.!J65&lt;2,FU65=$FD$1),"Бор,Кобальт",IF(AND(FO65=$FD$1,FH65=$FD$1,Исходн.данные.!J65&lt;2,FU65=$FD$1),"Бор,Кобальт",IF(AND(OR(FJ65=$FD$1,FM65=$FD$1,FQ65=$FD$1),FE65=$FD$1,Исходн.данные.!J65&lt;2,FT65=$FD$1,FU65=$FD$1),"Бор,Медь,Цинк",IF(AND(OR(FJ65=$FD$1,FR65="Да"),FI65="Да",Исходн.данные.!J65&lt;2,FT65="Да",FU65="Да"),"Бор,Цинк,Медь",IF(AND(OR(FM65="Да",FQ65="Да"),FI65="Да",Исходн.данные.!J65&lt;2,FT65="Да",FU65="Да"),"Бор,Цинк",IF(AND(FN65="Да",OR(FD65="Да",FE65="Да")),"Бор",FB65))))))</f>
        <v>#N/A</v>
      </c>
      <c r="FB65" s="134" t="e">
        <f>IF(AND(OR(FD65="Да",FE65="Да",FF65="Да",FG65="Да",FH65="Да"),FO65="Да"),"Бор",IF(AND(FP65="Да",OR(FD65="Да",FE65="Да",FI65="Да")),"Бор",IF(AND(FS65="Да",FE65="Да"),"Бор,Медь",IF(AND(OR(FJ65="Да",FK65="Да",FL65="Да"),FE65="Да",Исходн.данные.!I65&lt;5,FT65="Да",FU65="Да"),"Молибден,Цинк",IF(AND(FM65="Да",OR(FE65="Да",FF65="Да",FG65="Да",FH65="Да",FI65="Да")),"Молибден,Цинк",IF(AND(OR(FJ65="Да",FK65="Да",FL65="Да",FM65="Да",FQ65="Да"),OR(FE65="Да",FF65="Да"),FT65="Да",FU65="Да",Исходн.данные.!I65&gt;5.5),"Медь,Цинк",FC65))))))</f>
        <v>#N/A</v>
      </c>
      <c r="FC65" s="23" t="e">
        <f t="shared" si="112"/>
        <v>#N/A</v>
      </c>
      <c r="FD65" s="38" t="str">
        <f>IF(OR(Исходн.данные.!F65=$CC$1,Исходн.данные.!F65=$CC$2,Исходн.данные.!F65=$CC$3,Исходн.данные.!F65=$CC$4),"Да","Нет")</f>
        <v>Нет</v>
      </c>
      <c r="FE65" s="38" t="str">
        <f>IF(Исходн.данные.!F65=$CC$5,"Да","Нет")</f>
        <v>Нет</v>
      </c>
      <c r="FF65" s="38" t="str">
        <f>IF(OR(Исходн.данные.!F65=$CC$6,Исходн.данные.!F65=$CC$7),"Да","Нет")</f>
        <v>Нет</v>
      </c>
      <c r="FG65" s="38" t="str">
        <f>IF(OR(Исходн.данные.!F65=$CC$8,Исходн.данные.!F65=$CC$9),"Да","Нет")</f>
        <v>Нет</v>
      </c>
      <c r="FH65" s="38" t="str">
        <f>IF(Исходн.данные.!F65=$CC$10,"Да","Нет")</f>
        <v>Нет</v>
      </c>
      <c r="FI65" s="38" t="str">
        <f>IF(OR(Исходн.данные.!F65=$CC$11,Исходн.данные.!F65=$CC$12),"Да","Нет")</f>
        <v>Нет</v>
      </c>
      <c r="FJ65" s="38" t="str">
        <f>IF(OR(Исходн.данные.!AH65=$BS$1,Исходн.данные.!AH65=$BQ$11,Исходн.данные.!AH65=$BQ$12),"Да","Нет")</f>
        <v>Нет</v>
      </c>
      <c r="FK65" s="38" t="str">
        <f>IF(OR(Исходн.данные.!AH65=$BS$2,Исходн.данные.!AH65=$BS$4),"Да","Нет")</f>
        <v>Нет</v>
      </c>
      <c r="FL65" s="38" t="str">
        <f>IF(OR(Исходн.данные.!AH65=$BS$3,Исходн.данные.!AH65=$BS$5),"Да","Нет")</f>
        <v>Нет</v>
      </c>
      <c r="FM65" s="38" t="str">
        <f>IF(OR(Исходн.данные.!AH65=$BS$9,Исходн.данные.!AH65=$BS$10,Исходн.данные.!AH65=$BS$11,Исходн.данные.!AH65=$BS$12),"Да","Нет")</f>
        <v>Нет</v>
      </c>
      <c r="FN65" s="38" t="str">
        <f>IF(OR(Исходн.данные.!AH65=$BS$6,Исходн.данные.!AH65=$BP$3),"Да","Нет")</f>
        <v>Нет</v>
      </c>
      <c r="FO65" s="38" t="str">
        <f>IF(Исходн.данные.!AH65=$BQ$9,"Да","Нет")</f>
        <v>Нет</v>
      </c>
      <c r="FP65" s="38" t="str">
        <f>IF(OR(Исходн.данные.!AH65=$BS$8,Исходн.данные.!AH65=$BT$8),"Да","Нет")</f>
        <v>Нет</v>
      </c>
      <c r="FQ65" s="38" t="str">
        <f>IF(OR(Исходн.данные.!AH65=$BQ$7,Исходн.данные.!AH65=$BQ$8),"Да","Нет")</f>
        <v>Нет</v>
      </c>
      <c r="FR65" s="38" t="str">
        <f>IF(Исходн.данные.!AI65=$BU$9,"Да","Нет")</f>
        <v>Нет</v>
      </c>
      <c r="FS65" s="38" t="str">
        <f>IF(OR(Исходн.данные.!AH65=$BP$1,Исходн.данные.!AH65=$BP$2),"Да","Нет")</f>
        <v>Нет</v>
      </c>
      <c r="FT65" s="38" t="e">
        <f>IF((Исходн.данные.!K65*GO65*GS65*GW65+BL65*0.6+Исходн.данные.!Q65*4.5*0.275)&gt;90,"Да","Нет")</f>
        <v>#N/A</v>
      </c>
      <c r="FU65" s="38" t="e">
        <f>IF((Исходн.данные.!M65*GS65*GZ65+BM65*0.225)&gt;35,"Да","Нет")</f>
        <v>#N/A</v>
      </c>
      <c r="FV65" s="38" t="str">
        <f>IF(Исходн.данные.!O65&gt;175,"Да","Нет")</f>
        <v>Нет</v>
      </c>
      <c r="FW65" s="39" t="str">
        <f>IF(Исходн.данные.!I65&gt;5.5,"Да","Нет")</f>
        <v>Нет</v>
      </c>
      <c r="FX65" s="39" t="str">
        <f>IF(Исходн.данные.!J65&lt;2,"Да","Нет")</f>
        <v>Да</v>
      </c>
      <c r="FY65" s="39" t="e">
        <f>IF(HF65=$FY$16,0,Исходн.данные.!K65*GO65*GS65*GW65/HF65)</f>
        <v>#N/A</v>
      </c>
      <c r="FZ65" s="39" t="e">
        <f>Исходн.данные.!M65*GS65*GZ65/HG65</f>
        <v>#N/A</v>
      </c>
      <c r="GA65" s="39" t="e">
        <f>IF(K_Wyn=$FY$16,0,IF(Исходн.данные.!N65=Исходн.данные.!$L$10,Исходн.данные.!O65/1.1*GS65*HC65/HH65,IF(Исходн.данные.!N65=Исходн.данные.!$L$12,Исходн.данные.!O65/1.5*GS65*HC65/HH65,Исходн.данные.!O65*GS65*HC65/HH65)))</f>
        <v>#N/A</v>
      </c>
      <c r="GB65" s="39" t="e">
        <f>IF(HF65=$FY$16,0,((Исходн.данные.!Q65*N_Org+Исходн.данные.!R65*N_Sider+Исходн.данные.!S65*N_Soloma)*AO65+Расчет!BC65*VLOOKUP(Исходн.данные.!T65,Справ!$A$3:$O$57,15)*AO65+BB65*VLOOKUP(Исходн.данные.!T65,Справ!$A$3:$O$57,15)*AL65+(Исходн.данные.!V65*N_Rizotorf+Исходн.данные.!W65*N_Rizoagr))/HF65)</f>
        <v>#N/A</v>
      </c>
      <c r="GC65" s="39" t="e">
        <f>IF(HG65=$FY$16,0,((Исходн.данные.!Q65*Р_Org+Исходн.данные.!R65*P_Sider+Исходн.данные.!S65*P_Soloma)*AP65+Расчет!BC65*VLOOKUP(Исходн.данные.!T65,Справ!$A$3:$P$57,16)*AP65+BB65*VLOOKUP(Исходн.данные.!T65,Справ!$A$3:$P$57,16)*AM65)/HG65)</f>
        <v>#N/A</v>
      </c>
      <c r="GD65" s="39" t="e">
        <f>IF(HH65=$FY$16,0,((Исходн.данные.!Q65*К_Org+Исходн.данные.!R65*K_Sider+Исходн.данные.!S65*K_Soloma)*AQ65+Расчет!BC65*VLOOKUP(Исходн.данные.!T65,Справ!$A$3:$Q$57,17)*AQ65+BB65*VLOOKUP(Исходн.данные.!T65,Справ!$A$3:$Q$57,17)*AN65)/HH65)</f>
        <v>#N/A</v>
      </c>
      <c r="GE65" s="39" t="e">
        <f>IF(HF65=$FY$16,0,(Исходн.данные.!X65*AR65+Исходн.данные.!AA65*N_Org*AL65+Исходн.данные.!AB65*N_Sider*AL65+Исходн.данные.!AC65*N_Soloma*AL65)/HF65)</f>
        <v>#N/A</v>
      </c>
      <c r="GF65" s="39" t="e">
        <f>IF(HG65=$FY$16,0,(Исходн.данные.!Y65*AS65+Исходн.данные.!AA65*Р_Org*AM65+Исходн.данные.!AB65*P_Sider*AM65+Исходн.данные.!AC65*P_Soloma*AM65)/HG65)</f>
        <v>#N/A</v>
      </c>
      <c r="GG65" s="39" t="e">
        <f>IF(HH65=$FY$16,0,(Исходн.данные.!Z65*AT65+Исходн.данные.!AA65*К_Org*AN65+Исходн.данные.!AB65*K_Sider*AN65+Исходн.данные.!AC65*K_Soloma*AN65)/HH65)</f>
        <v>#N/A</v>
      </c>
      <c r="GH65" s="39" t="e">
        <f>Исходн.данные.!AD65*AU65/HF65</f>
        <v>#N/A</v>
      </c>
      <c r="GI65" s="39" t="e">
        <f>Исходн.данные.!AE65*AV65/HG65</f>
        <v>#N/A</v>
      </c>
      <c r="GJ65" s="39" t="e">
        <f>Исходн.данные.!AF65*AW65/HH65</f>
        <v>#N/A</v>
      </c>
      <c r="GK65" s="55">
        <f>Исходн.данные.!AK65</f>
        <v>0</v>
      </c>
      <c r="GL65" s="11" t="e">
        <f t="shared" si="113"/>
        <v>#N/A</v>
      </c>
      <c r="GM65" s="11" t="e">
        <f t="shared" si="114"/>
        <v>#N/A</v>
      </c>
      <c r="GN65" s="11" t="e">
        <f t="shared" si="115"/>
        <v>#N/A</v>
      </c>
      <c r="GO65" s="57">
        <f t="shared" si="116"/>
        <v>19</v>
      </c>
      <c r="GP65" s="55">
        <f>IF(OR(Исходн.данные.!F65=$CE$1,Исходн.данные.!F65=$CE$2,Исходн.данные.!F65=$CE$3,Исходн.данные.!F65=$CE$4,Исходн.данные.!F65=$CE$5),GQ65,GR65)</f>
        <v>19</v>
      </c>
      <c r="GQ65" s="55">
        <f>IF(Исходн.данные.!F65=$CE$1,28,IF(Исходн.данные.!F65=$CE$2,26,IF(Исходн.данные.!F65=$CE$3,24,IF(Исходн.данные.!F65=$CE$4,22,IF(Исходн.данные.!F65=$CE$5,20,GR65)))))</f>
        <v>19</v>
      </c>
      <c r="GR65" s="55">
        <f>IF(Исходн.данные.!F65=$CE$6,18,IF(Исходн.данные.!F65=$CE$7,16,IF(Исходн.данные.!F65=$CE$8,14,IF(Исходн.данные.!F65=$CE$9,13,IF(Исходн.данные.!F65=$CE$10,12,19)))))</f>
        <v>19</v>
      </c>
      <c r="GS65" s="55">
        <f>IF(Исходн.данные.!G65="Пес",0.035*(40+2*Исходн.данные.!H65),IF(Исходн.данные.!G65="Суп",0.0325*(40+2*Исходн.данные.!H65),0.03*(40+2*Исходн.данные.!H65)))</f>
        <v>1.2</v>
      </c>
      <c r="GT65" s="55">
        <f>IF(Исходн.данные.!H65&lt;23,2.6,IF(AND(Исходн.данные.!H65&gt;22,Исходн.данные.!H65&lt;26),3,IF(AND(Исходн.данные.!H65&gt;25,Исходн.данные.!H65&lt;29),3.4,3.6)))</f>
        <v>2.6</v>
      </c>
      <c r="GU65" s="55">
        <f>IF(Исходн.данные.!H65&lt;23,2.8,IF(AND(Исходн.данные.!H65&gt;22,Исходн.данные.!H65&lt;26),3.2,IF(AND(Исходн.данные.!H65&gt;25,Исходн.данные.!H65&lt;29),3.6,3.9)))</f>
        <v>2.8</v>
      </c>
      <c r="GV65" s="55">
        <f>IF(Исходн.данные.!H65&lt;23,3,IF(AND(Исходн.данные.!H65&gt;22,Исходн.данные.!H65&lt;26),3.5,IF(AND(Исходн.данные.!H65&gt;25,Исходн.данные.!H65&lt;29),3.9,4.2)))</f>
        <v>3</v>
      </c>
      <c r="GW65" s="55" t="e">
        <f>IF(Исходн.данные.!P65="Ум",GX65,GY65)</f>
        <v>#N/A</v>
      </c>
      <c r="GX65" s="55" t="e">
        <f>VLOOKUP(Исходн.данные.!AI65,Коэффициенты!$J$7:$L$13,2,FALSE)</f>
        <v>#N/A</v>
      </c>
      <c r="GY65" s="55" t="e">
        <f>VLOOKUP(Исходн.данные.!AI65,Коэффициенты!$J$7:$L$13,3,FALSE)</f>
        <v>#N/A</v>
      </c>
      <c r="GZ65" s="55" t="e">
        <f>(IF(Исходн.данные.!M65&lt;50,0.11*VLOOKUP(Исходн.данные.!AH65,Культуры.Информация,7,FALSE),IF(Исходн.данные.!M65&gt;250,0.05*VLOOKUP(Исходн.данные.!AH65,Культуры.Информация,7,FALSE),VLOOKUP(Исходн.данные.!AH65,Культуры.Информация,5,FALSE)/100*($GX$6+$GY$6*Исходн.данные.!M65))))*Расчет2!AI65</f>
        <v>#N/A</v>
      </c>
      <c r="HA65" s="211"/>
      <c r="HB65" s="211"/>
      <c r="HC65" s="55" t="e">
        <f>(IF(Исходн.данные.!O65&lt;80,0.2*VLOOKUP(Исходн.данные.!AH65,Культуры.Информация,8,FALSE),IF(Исходн.данные.!O65&gt;240,0.09*VLOOKUP(Исходн.данные.!AH65,Культуры.Информация,8,FALSE),VLOOKUP(Исходн.данные.!AH65,Культуры.Информация,6,FALSE)/100*($HB$6+$HC$6*Исходн.данные.!O65))))*Расчет2!AJ65</f>
        <v>#N/A</v>
      </c>
      <c r="HD65" s="55">
        <f>IF(Исходн.данные.!O65&gt;240,0.09,IF(Исходн.данные.!O65&lt;30,0.3,$HE$10+$HD$10*Исходн.данные.!O65))</f>
        <v>0.3</v>
      </c>
      <c r="HE65" s="55">
        <f>IF(Исходн.данные.!O65&gt;240,0.17,IF(Исходн.данные.!O65&lt;30,0.5,$HF$12+$HE$12*Исходн.данные.!O65))</f>
        <v>0.5</v>
      </c>
      <c r="HF65" s="55" t="e">
        <f>VLOOKUP(Исходн.данные.!AH65,Справ!$A$3:$D$58,2,FALSE)</f>
        <v>#N/A</v>
      </c>
      <c r="HG65" s="55" t="e">
        <f>VLOOKUP(Исходн.данные.!AH65,Справ!$A$3:$D$58,3,FALSE)</f>
        <v>#N/A</v>
      </c>
      <c r="HH65" s="55" t="e">
        <f>VLOOKUP(Исходн.данные.!AH65,Справ!$A$3:$D$58,4,FALSE)</f>
        <v>#N/A</v>
      </c>
      <c r="HI65" s="11" t="e">
        <f t="shared" si="117"/>
        <v>#N/A</v>
      </c>
      <c r="HJ65" s="11" t="e">
        <f t="shared" si="118"/>
        <v>#N/A</v>
      </c>
      <c r="HK65" s="11" t="e">
        <f t="shared" si="119"/>
        <v>#N/A</v>
      </c>
      <c r="HL65" s="55">
        <f>IF(OR(Исходн.данные.!G65="Глин",Исходн.данные.!G65="Т_суг"),1.1,IF(Исходн.данные.!G65="Ср_суг",1,1))</f>
        <v>1</v>
      </c>
      <c r="HM65" s="55">
        <f>IF(OR(Исходн.данные.!G65="Глин",Исходн.данные.!G65="Т_суг"),0.9,IF(Исходн.данные.!G65="Ср_суг",1,1.2))</f>
        <v>1.2</v>
      </c>
      <c r="HN65" s="11" t="e">
        <f t="shared" si="120"/>
        <v>#N/A</v>
      </c>
      <c r="HO65" s="11" t="e">
        <f t="shared" si="121"/>
        <v>#N/A</v>
      </c>
      <c r="HP65" s="11" t="e">
        <f t="shared" si="122"/>
        <v>#N/A</v>
      </c>
      <c r="HQ65" t="e">
        <f t="shared" si="123"/>
        <v>#N/A</v>
      </c>
      <c r="HR65" t="e">
        <f t="shared" si="124"/>
        <v>#N/A</v>
      </c>
      <c r="HS65" t="e">
        <f t="shared" si="125"/>
        <v>#N/A</v>
      </c>
      <c r="HT65" t="e">
        <f t="shared" si="21"/>
        <v>#N/A</v>
      </c>
      <c r="HU65" t="e">
        <f t="shared" si="22"/>
        <v>#N/A</v>
      </c>
      <c r="HV65" t="e">
        <f t="shared" si="23"/>
        <v>#N/A</v>
      </c>
      <c r="HW65" t="e">
        <f t="shared" si="24"/>
        <v>#N/A</v>
      </c>
      <c r="HX65" t="e">
        <f t="shared" si="25"/>
        <v>#N/A</v>
      </c>
      <c r="HY65" t="e">
        <f t="shared" si="26"/>
        <v>#N/A</v>
      </c>
      <c r="HZ65" s="55">
        <f>IF(OR(Исходн.данные.!AI65="Оз_Ч_П",Исходн.данные.!AI65="Оз_З_П",Исходн.данные.!AI65="Яр_зер"),12,30)</f>
        <v>30</v>
      </c>
      <c r="IA65" t="e">
        <f t="shared" si="126"/>
        <v>#N/A</v>
      </c>
      <c r="IB65" t="e">
        <f t="shared" si="127"/>
        <v>#N/A</v>
      </c>
      <c r="IC65" t="e">
        <f t="shared" si="128"/>
        <v>#N/A</v>
      </c>
      <c r="ID65" s="11" t="e">
        <f t="shared" si="129"/>
        <v>#N/A</v>
      </c>
      <c r="IE65" s="11" t="e">
        <f t="shared" si="130"/>
        <v>#N/A</v>
      </c>
      <c r="IF65" s="11" t="e">
        <f t="shared" si="131"/>
        <v>#N/A</v>
      </c>
    </row>
    <row r="66" spans="35:240" x14ac:dyDescent="0.2">
      <c r="AI66">
        <f>IF(Исходн.данные.!I66&gt;6,1,1.85-(0.148*Исходн.данные.!I66))</f>
        <v>1.85</v>
      </c>
      <c r="AJ66">
        <f>IF(Исходн.данные.!I66&gt;6,1,2.434-(0.246*Исходн.данные.!I66))</f>
        <v>2.4340000000000002</v>
      </c>
      <c r="AL66" s="148" t="b">
        <f>IF(Исходн.данные.!$P66="Ум",N_OrgUd_2g_um,IF(Исходн.данные.!$P66="Об",N_OrgUd_2g_ob))</f>
        <v>0</v>
      </c>
      <c r="AM66" s="148" t="b">
        <f>IF(Исходн.данные.!$P66="Ум",P_OrgUd_2g_um,IF(Исходн.данные.!$P66="Об",P_OrgUd_2g_ob))</f>
        <v>0</v>
      </c>
      <c r="AN66" s="148" t="b">
        <f>IF(Исходн.данные.!$P66="Ум",K_OrgUd_2g_um,IF(Исходн.данные.!$P66="Об",K_OrgUd_2g_ob))</f>
        <v>0</v>
      </c>
      <c r="AO66" s="148" t="b">
        <f>IF(Исходн.данные.!$P66="Ум",N_OrgUd_1g_um,IF(Исходн.данные.!$P66="Об",N_OrgUd_1g_ob))</f>
        <v>0</v>
      </c>
      <c r="AP66" s="148" t="b">
        <f>IF(Исходн.данные.!$P66="Ум",P_OrgUd_1g_um,IF(Исходн.данные.!$P66="Об",P_OrgUd_1g_ob))</f>
        <v>0</v>
      </c>
      <c r="AQ66" s="148" t="b">
        <f>IF(Исходн.данные.!$P66="Ум",K_OrgUd_1g_um,IF(Исходн.данные.!$P66="Об",K_OrgUd_1g_ob))</f>
        <v>0</v>
      </c>
      <c r="AR66" t="b">
        <f>IF(Исходн.данные.!$P66="Ум",N_MinUd_2g_um,IF(Исходн.данные.!$P66="Об",N_MinUd_2g_ob))</f>
        <v>0</v>
      </c>
      <c r="AS66" t="b">
        <f>IF(Исходн.данные.!$P66="Ум",P_MinUd_2g_um,IF(Исходн.данные.!$P66="Об",P_MinUd_2g_ob))</f>
        <v>0</v>
      </c>
      <c r="AT66" t="b">
        <f>IF(Исходн.данные.!$P66="Ум",K_MinUd_2g_um,IF(Исходн.данные.!$P66="Об",K_MinUd_2g_ob))</f>
        <v>0</v>
      </c>
      <c r="AU66" t="b">
        <f>IF(Исходн.данные.!$P66="Ум",N_MinUd_1g_um,IF(Исходн.данные.!$P66="Об",N_MinUd_1g_ob))</f>
        <v>0</v>
      </c>
      <c r="AV66" t="b">
        <f>IF(Исходн.данные.!P66="Ум",P_MinUd_1g_um,IF(Исходн.данные.!P66="Об",P_MinUd_1g_ob))</f>
        <v>0</v>
      </c>
      <c r="AW66" t="b">
        <f>IF(Исходн.данные.!P66="Ум",K_MinUd_1g_um,IF(Исходн.данные.!P66="Об",K_MinUd_1g_ob))</f>
        <v>0</v>
      </c>
      <c r="AY66" t="e">
        <f>VLOOKUP(Исходн.данные.!T66,Справ!$A$3:$N$57,12)</f>
        <v>#N/A</v>
      </c>
      <c r="AZ66" t="e">
        <f>VLOOKUP(Исходн.данные.!T66,Справ!$A$3:$N$57,13)</f>
        <v>#N/A</v>
      </c>
      <c r="BA66" t="e">
        <f>VLOOKUP(Исходн.данные.!T66,Справ!$A$3:$N$57,14)</f>
        <v>#N/A</v>
      </c>
      <c r="BB66">
        <f>IF(Исходн.данные.!AH66=0,0,25)</f>
        <v>0</v>
      </c>
      <c r="BC66" s="141">
        <f>IF(Исходн.данные.!AH66=0,0,IF(Исходн.данные.!T66=0,25,BD66))</f>
        <v>0</v>
      </c>
      <c r="BD66" s="168" t="e">
        <f>AY66+AZ66*Исходн.данные.!U66-POWER(BA66,2)*Исходн.данные.!U66</f>
        <v>#N/A</v>
      </c>
      <c r="BE6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6" s="25">
        <f>IF(Исходн.данные.!AH66=0,0,MIN(HN66:HP66))</f>
        <v>0</v>
      </c>
      <c r="BG66" s="9">
        <f>IF(Исходн.данные.!AH66=0,0,IF((HO66+10*0.25/HG66/HL66)&lt;17,17,HO66+10*0.25/HG66/HL66))</f>
        <v>0</v>
      </c>
      <c r="BH66" s="181">
        <f>IF(Исходн.данные.!AH66=0,0,HW66*HF66*HL66/AU66*AI66+Исходн.данные.!S66*10)</f>
        <v>0</v>
      </c>
      <c r="BI66" s="10"/>
      <c r="BJ66" s="182">
        <f>IF(Исходн.данные.!AH66=0,0,IF(HX66*HG66*HL66/AV66&lt;0,0,HX66*HG66*HL66/AV66*AJ66))</f>
        <v>0</v>
      </c>
      <c r="BK66" s="182">
        <f>IF(Исходн.данные.!AH66=0,0,HY66*HH66*HM66/AW66)</f>
        <v>0</v>
      </c>
      <c r="BL66" s="10">
        <f>IF(OR(Исходн.данные.!$AH66=$BP$1,Исходн.данные.!$AH66=$BP$2),0,IF(BH66&lt;0,0,IF(OR(Исходн.данные.!T66=Расчет!$BP$1,Исходн.данные.!T66=Расчет!$BP$2,Исходн.данные.!T66=Расчет!$BT$5,Исходн.данные.!T66=Расчет!$BT$6),BH66*0.5,IF(OR(Исходн.данные.!T66=Расчет!$BS$9,Исходн.данные.!T66=Расчет!$BS$10,Исходн.данные.!T66=Расчет!$BS$11,Исходн.данные.!T66=Расчет!$BS$12,Исходн.данные.!T66=Расчет!$BP$5),BH66*0.8,BH66))))</f>
        <v>0</v>
      </c>
      <c r="BM66" s="10">
        <f>IF(OR(Исходн.данные.!$AH66=$BP$1,Исходн.данные.!$AH66=$BP$2),0,IF(BJ66&lt;0,0,IF(Исходн.данные.!I66&lt;4.5,BJ66*1.2,IF(Исходн.данные.!I66&gt;5.1,BJ66,BJ66*((5.1-Исходн.данные.!I66)*0.333+1)))))</f>
        <v>0</v>
      </c>
      <c r="BN66" s="10">
        <f>IF(OR(Исходн.данные.!$AH66=$BP$1,Исходн.данные.!$AH66=$BP$2),60-Исходн.данные.!AF66,IF(BK66&lt;0,0,IF(Исходн.данные.!I66&lt;4.5,BK66*1.2,IF(Исходн.данные.!I66&gt;5.1,BK66,BK66*((5.1-Исходн.данные.!I66)*0.333+1)))))</f>
        <v>0</v>
      </c>
      <c r="BO66" s="9">
        <f>IF(BL66&lt;0,0,BL66*Исходн.данные.!$AJ66/1000)</f>
        <v>0</v>
      </c>
      <c r="BP66" s="9">
        <f>IF(BM66&lt;0,0,BM66*Исходн.данные.!$AJ66/1000)</f>
        <v>0</v>
      </c>
      <c r="BQ66" s="9">
        <f>IF(BN66&lt;0,0,BN66*Исходн.данные.!$AJ66/1000)</f>
        <v>0</v>
      </c>
      <c r="BR66" s="9">
        <f t="shared" si="81"/>
        <v>0</v>
      </c>
      <c r="BS66" s="10" t="str">
        <f t="shared" si="82"/>
        <v>Аммофос 12:52:00</v>
      </c>
      <c r="BT66" s="10" t="str">
        <f t="shared" si="83"/>
        <v>Аммофос 12:52:00</v>
      </c>
      <c r="BU66" s="10" t="str">
        <f t="shared" si="84"/>
        <v>Диаммофоска</v>
      </c>
      <c r="BV66" s="10">
        <f t="shared" si="85"/>
        <v>0</v>
      </c>
      <c r="BW66" s="10"/>
      <c r="BX66" s="10"/>
      <c r="BY66" s="9">
        <f>IF(BL66&lt;0,0,IF(OR(Исходн.данные.!AI66=Расчет!$BU$6,Исходн.данные.!AI66=Расчет!$BU$7),Расчет!BV66,IF(Исходн.данные.!$AG66=$BV$11,BL66,IF(OR(Исходн.данные.!$AH66=$BQ$7,Исходн.данные.!$AH66=$BQ$8),CB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0,IF(Исходн.данные.!$AI66=$BU$11,"Нет",IF(BL66&gt;30,30,BL66)))))))</f>
        <v>0</v>
      </c>
      <c r="BZ66" s="9">
        <f>IF(AND(Исходн.данные.!$AG66=$BV$11,BM66&lt;10),10,IF(Исходн.данные.!$AG66=$BV$11,BM66,IF(OR(Исходн.данные.!$AH66=$BQ$7,Исходн.данные.!$AH66=$BQ$8),CC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10,IF(Исходн.данные.!$AI66=$BU$11,"Нет",IF(BM66&gt;60,60,IF(BM66&lt;10,10,BM66)))))))</f>
        <v>10</v>
      </c>
      <c r="CA66" s="39">
        <f>IF(BN66&lt;0,0,IF(Исходн.данные.!$AG66=$BV$11,BN66,IF(OR(Исходн.данные.!$AH66=$BQ$7,Исходн.данные.!$AH66=$BQ$8),CD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0,IF(Исходн.данные.!$AI66=$BU$11,"Нет",IF(BN66&gt;30,30,BN66))))))</f>
        <v>0</v>
      </c>
      <c r="CB66" s="9">
        <f t="shared" si="86"/>
        <v>0</v>
      </c>
      <c r="CC66" s="9">
        <f t="shared" si="87"/>
        <v>0</v>
      </c>
      <c r="CD66" s="9">
        <f t="shared" si="88"/>
        <v>0</v>
      </c>
      <c r="CE66" s="12">
        <f t="shared" si="89"/>
        <v>10</v>
      </c>
      <c r="CF66" s="9">
        <f t="shared" si="90"/>
        <v>0</v>
      </c>
      <c r="CG66" s="9" t="s">
        <v>231</v>
      </c>
      <c r="CH66" s="132" t="str">
        <f>IF(Исходн.данные.!AP66=Расчет!$CI$16,"Нет",IF(Исходн.данные.!AL66&gt;0,Исходн.данные.!AL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BH$4,IF(OR(Исходн.данные.!AI66=Исходн.данные.!$AI$6,Исходн.данные.!AI66=Исходн.данные.!$AI$7),Расчет!BS66,IF(AND($CF66=0,$CE66&gt;0),EV66,ER66)))))</f>
        <v>Аммофос 12:52:00</v>
      </c>
      <c r="CI66" s="274">
        <f>IF(Расчет!$CH66="Нет","Нет",IF(Исходн.данные.!$AL66&gt;0,VLOOKUP(Расчет!$CH66,АшламаДВ_Irekle,2,FALSE),VLOOKUP(Расчет!$CH66,АшламаДВ_Gomumy,2,FALSE)))</f>
        <v>0.12</v>
      </c>
      <c r="CJ66" s="274">
        <f>IF(Расчет!$CH66="Нет","Нет",IF(Исходн.данные.!$AL66&gt;0,VLOOKUP(Расчет!$CH66,АшламаДВ_Irekle,3,FALSE),VLOOKUP(Расчет!$CH66,АшламаДВ_Gomumy,3,FALSE)))</f>
        <v>0.52</v>
      </c>
      <c r="CK66" s="274">
        <f>IF(Расчет!$CH66="Нет","Нет",IF(Исходн.данные.!$AL66&gt;0,VLOOKUP(Расчет!$CH66,АшламаДВ_Irekle,4,FALSE),VLOOKUP(Расчет!$CH66,АшламаДВ_Gomumy,4,FALSE)))</f>
        <v>0</v>
      </c>
      <c r="CL66" s="70"/>
      <c r="CM66" s="70"/>
      <c r="CN66" s="70"/>
      <c r="CO66" s="70"/>
      <c r="CP66" s="70"/>
      <c r="CQ66" s="70"/>
      <c r="CR66" s="10">
        <f t="shared" si="91"/>
        <v>0</v>
      </c>
      <c r="CS66" s="10">
        <f t="shared" si="92"/>
        <v>19.23076923076923</v>
      </c>
      <c r="CT66" s="10">
        <f t="shared" si="93"/>
        <v>0</v>
      </c>
      <c r="CU66" s="39">
        <f>IF($CH66="Нет",0,IF(CI66=0,30/MIN(CJ66:CK66),IF(Исходн.данные.!$AG66=$BV$11,CR66,IF(OR(Исходн.данные.!$AH66=$BQ$7,Исходн.данные.!$AH66=$BQ$8),90/CI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0,IF(Исходн.данные.!$AI66=$BU$11,"Нет",30/CI66))))))</f>
        <v>250</v>
      </c>
      <c r="CV66" s="39">
        <f>IF($CH66="Нет",0,IF(Исходн.данные.!AH66=0,0,IF(CJ66=0,60/MIN(CI66,CK66),IF(Исходн.данные.!$AG66=$BV$11,CS66,IF(OR(Исходн.данные.!$AH66=$BQ$7,Исходн.данные.!$AH66=$BQ$8),90/CJ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10/CJ66,IF(Исходн.данные.!$AI66=$BU$11,"Нет",60/CJ66)))))))</f>
        <v>0</v>
      </c>
      <c r="CW66" s="39">
        <f>IF($CH66="Нет",0,IF(Исходн.данные.!AH66=0,0,IF(CK66=0,30/MIN(CI66:CJ66),IF(Исходн.данные.!$AG66=$BV$11,CT66,IF(OR(Исходн.данные.!$AH66=$BQ$7,Исходн.данные.!$AH66=$BQ$8),90/CK66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0,IF(Исходн.данные.!$AI66=$BU$11,"Нет",30/CK66)))))))</f>
        <v>0</v>
      </c>
      <c r="CX66" s="133">
        <f>IF(Исходн.данные.!$AG66=$BV$11,MAX(CU66:CW66),IF(OR(Исходн.данные.!$AH66=$BS$8,Исходн.данные.!$AH66=$BQ$9,Исходн.данные.!$AH66=$BQ$10,Исходн.данные.!$AH66=$BQ$11,Исходн.данные.!$AH66=$BQ$12,Исходн.данные.!$AH66=$BP$3,Исходн.данные.!$AH66=$BT$8,$FM66="Да"),CV66,MIN(CU66:CW66)))</f>
        <v>0</v>
      </c>
      <c r="CY66" s="133">
        <f>IF(Исходн.данные.!AH66=0,0,IF(CR66&gt;$CX66,$CX66,CR66))</f>
        <v>0</v>
      </c>
      <c r="CZ66" s="133">
        <f>IF(Исходн.данные.!AH66=0,0,IF(CS66&gt;$CX66,$CX66,CS66))</f>
        <v>0</v>
      </c>
      <c r="DA66" s="133">
        <f>IF(Исходн.данные.!AH66=0,0,IF(CT66&gt;$CX66,$CX66,CT66))</f>
        <v>0</v>
      </c>
      <c r="DB66" s="10">
        <f t="shared" si="94"/>
        <v>0</v>
      </c>
      <c r="DC66" s="39">
        <f>DB66*Исходн.данные.!AJ66/1000</f>
        <v>0</v>
      </c>
      <c r="DD66" s="71">
        <f t="shared" si="95"/>
        <v>0</v>
      </c>
      <c r="DE66" s="9">
        <f t="shared" si="96"/>
        <v>0</v>
      </c>
      <c r="DF66" s="9">
        <f t="shared" si="97"/>
        <v>0</v>
      </c>
      <c r="DG66" s="39">
        <f>IF(BL66&lt;0,0,IF($CH66="Нет",BL66,IF(OR(Исходн.данные.!$AH66=$BP$1,Исходн.данные.!$AH66=$BP$2),0,IF(Исходн.данные.!AI66=$BU$11,BL66,IF(BL66-DD66&lt;0,0,BL66-DD66)))))</f>
        <v>0</v>
      </c>
      <c r="DH66" s="39">
        <f>IF(BM66&lt;0,0,IF($CH66="Нет",BM66,IF(OR(Исходн.данные.!$AH66=$BP$1,Исходн.данные.!$AH66=$BP$2),0,IF(Исходн.данные.!AJ66=$BU$11,BM66,IF(BM66-DE66&lt;0,0,BM66-DE66)))))</f>
        <v>0</v>
      </c>
      <c r="DI66" s="39">
        <f>IF(BN66&lt;0,0,IF($CH66="Нет",BN66,IF(OR(Исходн.данные.!$AH66=$BP$1,Исходн.данные.!$AH66=$BP$2),0,IF(Исходн.данные.!AK66=$BU$11,BN66,IF(BN66-DF66&lt;0,0,BN66-DF66)))))</f>
        <v>0</v>
      </c>
      <c r="DJ66" s="12">
        <f t="shared" si="98"/>
        <v>0</v>
      </c>
      <c r="DK66" s="9">
        <f t="shared" si="99"/>
        <v>0</v>
      </c>
      <c r="DL66" s="39">
        <f>IF(Исходн.данные.!AM66&gt;0,Исходн.данные.!AM66,IF(EG66&gt;0,$BH$10,0))</f>
        <v>0</v>
      </c>
      <c r="DM66" s="186">
        <f>IF($DL66=0,0,IF(Исходн.данные.!AM66&gt;0,VLOOKUP($DL66,АшламаДВ_Irekle,2,FALSE),VLOOKUP($DL66,АшламаДВ_Gomumy,2,FALSE)))</f>
        <v>0</v>
      </c>
      <c r="DN66" s="10">
        <f t="shared" si="46"/>
        <v>0</v>
      </c>
      <c r="DO66" s="9" t="str">
        <f>IF(Исходн.данные.!AN66&gt;0,Исходн.данные.!AN66,Удобрения!$B$37 )</f>
        <v>Хлор.калий</v>
      </c>
      <c r="DP66" s="9">
        <f>IF(Исходн.данные.!AN66&gt;0,VLOOKUP(Исходн.данные.!AN66,АшламаДВ_Irekle,4,FALSE),VLOOKUP(DO66,АшламаДВ_Gomumy,4,FALSE))</f>
        <v>0.6</v>
      </c>
      <c r="DQ66" s="10">
        <f t="shared" si="47"/>
        <v>0</v>
      </c>
      <c r="DR66" s="132" t="str">
        <f>IF(Исходн.данные.!AO66&gt;0,Исходн.данные.!AO66,IF(DH66=0,BS$17,IF(AND($DK66=0,$DJ66&gt;0),EJ66,EN66)))</f>
        <v>Нет</v>
      </c>
      <c r="DS66" s="70" t="str">
        <f>IF($DR66="Нет","Нет",IF(Исходн.данные.!$AO66&gt;0,VLOOKUP($DR66,АшламаДВ_Irekle,2,FALSE),VLOOKUP($DR66,АшламаДВ_Gomumy,2,FALSE)))</f>
        <v>Нет</v>
      </c>
      <c r="DT66" s="70" t="str">
        <f>IF($DR66="Нет","Нет",IF(Исходн.данные.!$AO66&gt;0,VLOOKUP($DR66,АшламаДВ_Irekle,3,FALSE),VLOOKUP($DR66,АшламаДВ_Gomumy,3,FALSE)))</f>
        <v>Нет</v>
      </c>
      <c r="DU66" s="70" t="str">
        <f>IF($DR66="Нет","Нет",IF(Исходн.данные.!$AO66&gt;0,VLOOKUP($DR66,АшламаДВ_Irekle,4,FALSE),VLOOKUP($DR66,АшламаДВ_Gomumy,4,FALSE)))</f>
        <v>Нет</v>
      </c>
      <c r="DV66" s="70"/>
      <c r="DW66" s="70"/>
      <c r="DX66" s="70"/>
      <c r="DY66" s="10">
        <f t="shared" si="100"/>
        <v>0</v>
      </c>
      <c r="DZ66" s="10">
        <f t="shared" si="101"/>
        <v>0</v>
      </c>
      <c r="EA66" s="10">
        <f t="shared" si="102"/>
        <v>0</v>
      </c>
      <c r="EB66" s="10">
        <f t="shared" si="103"/>
        <v>0</v>
      </c>
      <c r="EC66" s="10">
        <f t="shared" si="104"/>
        <v>0</v>
      </c>
      <c r="ED66" s="10">
        <f t="shared" si="105"/>
        <v>0</v>
      </c>
      <c r="EE66" s="10">
        <f t="shared" si="106"/>
        <v>0</v>
      </c>
      <c r="EF66" s="39">
        <f>EB66*Исходн.данные.!AJ66/1000</f>
        <v>0</v>
      </c>
      <c r="EG66" s="9">
        <f t="shared" si="107"/>
        <v>0</v>
      </c>
      <c r="EH66" s="9">
        <f t="shared" si="108"/>
        <v>0</v>
      </c>
      <c r="EI66" s="39" t="e">
        <f t="shared" si="7"/>
        <v>#DIV/0!</v>
      </c>
      <c r="EJ66" s="9" t="str">
        <f t="shared" si="8"/>
        <v>Азопреципитат</v>
      </c>
      <c r="EK66" s="12">
        <f t="shared" si="9"/>
        <v>0.26</v>
      </c>
      <c r="EL66" s="12">
        <f t="shared" si="10"/>
        <v>0.13</v>
      </c>
      <c r="EM66" s="12">
        <f t="shared" si="11"/>
        <v>0</v>
      </c>
      <c r="EN66" s="12" t="str">
        <f t="shared" si="57"/>
        <v>Нет</v>
      </c>
      <c r="EO66" s="12">
        <f t="shared" si="12"/>
        <v>0</v>
      </c>
      <c r="EP66" s="12">
        <f t="shared" si="13"/>
        <v>0</v>
      </c>
      <c r="EQ66" s="12">
        <f t="shared" si="14"/>
        <v>0</v>
      </c>
      <c r="ER66" s="12" t="str">
        <f t="shared" si="109"/>
        <v>Диаммофоска</v>
      </c>
      <c r="ES66" s="12">
        <f t="shared" si="15"/>
        <v>0.1</v>
      </c>
      <c r="ET66" s="12">
        <f t="shared" si="16"/>
        <v>0.26</v>
      </c>
      <c r="EU66" s="12">
        <f t="shared" si="17"/>
        <v>0.26</v>
      </c>
      <c r="EV66" s="12" t="str">
        <f t="shared" si="110"/>
        <v>Аммофос 12:52:00</v>
      </c>
      <c r="EW66" s="12" t="str">
        <f t="shared" si="111"/>
        <v>Кемира Свекловичное-6</v>
      </c>
      <c r="EX66" s="12">
        <f t="shared" si="18"/>
        <v>0.16</v>
      </c>
      <c r="EY66" s="12">
        <f t="shared" si="19"/>
        <v>0.12</v>
      </c>
      <c r="EZ66" s="12">
        <f t="shared" si="20"/>
        <v>0.17</v>
      </c>
      <c r="FA66" s="38" t="e">
        <f>IF(AND(OR(FJ66=$FD$1,FM66=$FD$1,FO66=$FD$1,FQ66=$FD$1,FS66=$FD$1),FD66=$FD$1,Исходн.данные.!J66&lt;2,FU66=$FD$1),"Бор,Кобальт",IF(AND(FO66=$FD$1,FH66=$FD$1,Исходн.данные.!J66&lt;2,FU66=$FD$1),"Бор,Кобальт",IF(AND(OR(FJ66=$FD$1,FM66=$FD$1,FQ66=$FD$1),FE66=$FD$1,Исходн.данные.!J66&lt;2,FT66=$FD$1,FU66=$FD$1),"Бор,Медь,Цинк",IF(AND(OR(FJ66=$FD$1,FR66="Да"),FI66="Да",Исходн.данные.!J66&lt;2,FT66="Да",FU66="Да"),"Бор,Цинк,Медь",IF(AND(OR(FM66="Да",FQ66="Да"),FI66="Да",Исходн.данные.!J66&lt;2,FT66="Да",FU66="Да"),"Бор,Цинк",IF(AND(FN66="Да",OR(FD66="Да",FE66="Да")),"Бор",FB66))))))</f>
        <v>#N/A</v>
      </c>
      <c r="FB66" s="134" t="e">
        <f>IF(AND(OR(FD66="Да",FE66="Да",FF66="Да",FG66="Да",FH66="Да"),FO66="Да"),"Бор",IF(AND(FP66="Да",OR(FD66="Да",FE66="Да",FI66="Да")),"Бор",IF(AND(FS66="Да",FE66="Да"),"Бор,Медь",IF(AND(OR(FJ66="Да",FK66="Да",FL66="Да"),FE66="Да",Исходн.данные.!I66&lt;5,FT66="Да",FU66="Да"),"Молибден,Цинк",IF(AND(FM66="Да",OR(FE66="Да",FF66="Да",FG66="Да",FH66="Да",FI66="Да")),"Молибден,Цинк",IF(AND(OR(FJ66="Да",FK66="Да",FL66="Да",FM66="Да",FQ66="Да"),OR(FE66="Да",FF66="Да"),FT66="Да",FU66="Да",Исходн.данные.!I66&gt;5.5),"Медь,Цинк",FC66))))))</f>
        <v>#N/A</v>
      </c>
      <c r="FC66" s="23" t="e">
        <f t="shared" si="112"/>
        <v>#N/A</v>
      </c>
      <c r="FD66" s="38" t="str">
        <f>IF(OR(Исходн.данные.!F66=$CC$1,Исходн.данные.!F66=$CC$2,Исходн.данные.!F66=$CC$3,Исходн.данные.!F66=$CC$4),"Да","Нет")</f>
        <v>Нет</v>
      </c>
      <c r="FE66" s="38" t="str">
        <f>IF(Исходн.данные.!F66=$CC$5,"Да","Нет")</f>
        <v>Нет</v>
      </c>
      <c r="FF66" s="38" t="str">
        <f>IF(OR(Исходн.данные.!F66=$CC$6,Исходн.данные.!F66=$CC$7),"Да","Нет")</f>
        <v>Нет</v>
      </c>
      <c r="FG66" s="38" t="str">
        <f>IF(OR(Исходн.данные.!F66=$CC$8,Исходн.данные.!F66=$CC$9),"Да","Нет")</f>
        <v>Нет</v>
      </c>
      <c r="FH66" s="38" t="str">
        <f>IF(Исходн.данные.!F66=$CC$10,"Да","Нет")</f>
        <v>Нет</v>
      </c>
      <c r="FI66" s="38" t="str">
        <f>IF(OR(Исходн.данные.!F66=$CC$11,Исходн.данные.!F66=$CC$12),"Да","Нет")</f>
        <v>Нет</v>
      </c>
      <c r="FJ66" s="38" t="str">
        <f>IF(OR(Исходн.данные.!AH66=$BS$1,Исходн.данные.!AH66=$BQ$11,Исходн.данные.!AH66=$BQ$12),"Да","Нет")</f>
        <v>Нет</v>
      </c>
      <c r="FK66" s="38" t="str">
        <f>IF(OR(Исходн.данные.!AH66=$BS$2,Исходн.данные.!AH66=$BS$4),"Да","Нет")</f>
        <v>Нет</v>
      </c>
      <c r="FL66" s="38" t="str">
        <f>IF(OR(Исходн.данные.!AH66=$BS$3,Исходн.данные.!AH66=$BS$5),"Да","Нет")</f>
        <v>Нет</v>
      </c>
      <c r="FM66" s="38" t="str">
        <f>IF(OR(Исходн.данные.!AH66=$BS$9,Исходн.данные.!AH66=$BS$10,Исходн.данные.!AH66=$BS$11,Исходн.данные.!AH66=$BS$12),"Да","Нет")</f>
        <v>Нет</v>
      </c>
      <c r="FN66" s="38" t="str">
        <f>IF(OR(Исходн.данные.!AH66=$BS$6,Исходн.данные.!AH66=$BP$3),"Да","Нет")</f>
        <v>Нет</v>
      </c>
      <c r="FO66" s="38" t="str">
        <f>IF(Исходн.данные.!AH66=$BQ$9,"Да","Нет")</f>
        <v>Нет</v>
      </c>
      <c r="FP66" s="38" t="str">
        <f>IF(OR(Исходн.данные.!AH66=$BS$8,Исходн.данные.!AH66=$BT$8),"Да","Нет")</f>
        <v>Нет</v>
      </c>
      <c r="FQ66" s="38" t="str">
        <f>IF(OR(Исходн.данные.!AH66=$BQ$7,Исходн.данные.!AH66=$BQ$8),"Да","Нет")</f>
        <v>Нет</v>
      </c>
      <c r="FR66" s="38" t="str">
        <f>IF(Исходн.данные.!AI66=$BU$9,"Да","Нет")</f>
        <v>Нет</v>
      </c>
      <c r="FS66" s="38" t="str">
        <f>IF(OR(Исходн.данные.!AH66=$BP$1,Исходн.данные.!AH66=$BP$2),"Да","Нет")</f>
        <v>Нет</v>
      </c>
      <c r="FT66" s="38" t="e">
        <f>IF((Исходн.данные.!K66*GO66*GS66*GW66+BL66*0.6+Исходн.данные.!Q66*4.5*0.275)&gt;90,"Да","Нет")</f>
        <v>#N/A</v>
      </c>
      <c r="FU66" s="38" t="e">
        <f>IF((Исходн.данные.!M66*GS66*GZ66+BM66*0.225)&gt;35,"Да","Нет")</f>
        <v>#N/A</v>
      </c>
      <c r="FV66" s="38" t="str">
        <f>IF(Исходн.данные.!O66&gt;175,"Да","Нет")</f>
        <v>Нет</v>
      </c>
      <c r="FW66" s="39" t="str">
        <f>IF(Исходн.данные.!I66&gt;5.5,"Да","Нет")</f>
        <v>Нет</v>
      </c>
      <c r="FX66" s="39" t="str">
        <f>IF(Исходн.данные.!J66&lt;2,"Да","Нет")</f>
        <v>Да</v>
      </c>
      <c r="FY66" s="39" t="e">
        <f>IF(HF66=$FY$16,0,Исходн.данные.!K66*GO66*GS66*GW66/HF66)</f>
        <v>#N/A</v>
      </c>
      <c r="FZ66" s="39" t="e">
        <f>Исходн.данные.!M66*GS66*GZ66/HG66</f>
        <v>#N/A</v>
      </c>
      <c r="GA66" s="39" t="e">
        <f>IF(K_Wyn=$FY$16,0,IF(Исходн.данные.!N66=Исходн.данные.!$L$10,Исходн.данные.!O66/1.1*GS66*HC66/HH66,IF(Исходн.данные.!N66=Исходн.данные.!$L$12,Исходн.данные.!O66/1.5*GS66*HC66/HH66,Исходн.данные.!O66*GS66*HC66/HH66)))</f>
        <v>#N/A</v>
      </c>
      <c r="GB66" s="39" t="e">
        <f>IF(HF66=$FY$16,0,((Исходн.данные.!Q66*N_Org+Исходн.данные.!R66*N_Sider+Исходн.данные.!S66*N_Soloma)*AO66+Расчет!BC66*VLOOKUP(Исходн.данные.!T66,Справ!$A$3:$O$57,15)*AO66+BB66*VLOOKUP(Исходн.данные.!T66,Справ!$A$3:$O$57,15)*AL66+(Исходн.данные.!V66*N_Rizotorf+Исходн.данные.!W66*N_Rizoagr))/HF66)</f>
        <v>#N/A</v>
      </c>
      <c r="GC66" s="39" t="e">
        <f>IF(HG66=$FY$16,0,((Исходн.данные.!Q66*Р_Org+Исходн.данные.!R66*P_Sider+Исходн.данные.!S66*P_Soloma)*AP66+Расчет!BC66*VLOOKUP(Исходн.данные.!T66,Справ!$A$3:$P$57,16)*AP66+BB66*VLOOKUP(Исходн.данные.!T66,Справ!$A$3:$P$57,16)*AM66)/HG66)</f>
        <v>#N/A</v>
      </c>
      <c r="GD66" s="39" t="e">
        <f>IF(HH66=$FY$16,0,((Исходн.данные.!Q66*К_Org+Исходн.данные.!R66*K_Sider+Исходн.данные.!S66*K_Soloma)*AQ66+Расчет!BC66*VLOOKUP(Исходн.данные.!T66,Справ!$A$3:$Q$57,17)*AQ66+BB66*VLOOKUP(Исходн.данные.!T66,Справ!$A$3:$Q$57,17)*AN66)/HH66)</f>
        <v>#N/A</v>
      </c>
      <c r="GE66" s="39" t="e">
        <f>IF(HF66=$FY$16,0,(Исходн.данные.!X66*AR66+Исходн.данные.!AA66*N_Org*AL66+Исходн.данные.!AB66*N_Sider*AL66+Исходн.данные.!AC66*N_Soloma*AL66)/HF66)</f>
        <v>#N/A</v>
      </c>
      <c r="GF66" s="39" t="e">
        <f>IF(HG66=$FY$16,0,(Исходн.данные.!Y66*AS66+Исходн.данные.!AA66*Р_Org*AM66+Исходн.данные.!AB66*P_Sider*AM66+Исходн.данные.!AC66*P_Soloma*AM66)/HG66)</f>
        <v>#N/A</v>
      </c>
      <c r="GG66" s="39" t="e">
        <f>IF(HH66=$FY$16,0,(Исходн.данные.!Z66*AT66+Исходн.данные.!AA66*К_Org*AN66+Исходн.данные.!AB66*K_Sider*AN66+Исходн.данные.!AC66*K_Soloma*AN66)/HH66)</f>
        <v>#N/A</v>
      </c>
      <c r="GH66" s="39" t="e">
        <f>Исходн.данные.!AD66*AU66/HF66</f>
        <v>#N/A</v>
      </c>
      <c r="GI66" s="39" t="e">
        <f>Исходн.данные.!AE66*AV66/HG66</f>
        <v>#N/A</v>
      </c>
      <c r="GJ66" s="39" t="e">
        <f>Исходн.данные.!AF66*AW66/HH66</f>
        <v>#N/A</v>
      </c>
      <c r="GK66" s="55">
        <f>Исходн.данные.!AK66</f>
        <v>0</v>
      </c>
      <c r="GL66" s="11" t="e">
        <f t="shared" si="113"/>
        <v>#N/A</v>
      </c>
      <c r="GM66" s="11" t="e">
        <f t="shared" si="114"/>
        <v>#N/A</v>
      </c>
      <c r="GN66" s="11" t="e">
        <f t="shared" si="115"/>
        <v>#N/A</v>
      </c>
      <c r="GO66" s="57">
        <f t="shared" si="116"/>
        <v>19</v>
      </c>
      <c r="GP66" s="55">
        <f>IF(OR(Исходн.данные.!F66=$CE$1,Исходн.данные.!F66=$CE$2,Исходн.данные.!F66=$CE$3,Исходн.данные.!F66=$CE$4,Исходн.данные.!F66=$CE$5),GQ66,GR66)</f>
        <v>19</v>
      </c>
      <c r="GQ66" s="55">
        <f>IF(Исходн.данные.!F66=$CE$1,28,IF(Исходн.данные.!F66=$CE$2,26,IF(Исходн.данные.!F66=$CE$3,24,IF(Исходн.данные.!F66=$CE$4,22,IF(Исходн.данные.!F66=$CE$5,20,GR66)))))</f>
        <v>19</v>
      </c>
      <c r="GR66" s="55">
        <f>IF(Исходн.данные.!F66=$CE$6,18,IF(Исходн.данные.!F66=$CE$7,16,IF(Исходн.данные.!F66=$CE$8,14,IF(Исходн.данные.!F66=$CE$9,13,IF(Исходн.данные.!F66=$CE$10,12,19)))))</f>
        <v>19</v>
      </c>
      <c r="GS66" s="55">
        <f>IF(Исходн.данные.!G66="Пес",0.035*(40+2*Исходн.данные.!H66),IF(Исходн.данные.!G66="Суп",0.0325*(40+2*Исходн.данные.!H66),0.03*(40+2*Исходн.данные.!H66)))</f>
        <v>1.2</v>
      </c>
      <c r="GT66" s="55">
        <f>IF(Исходн.данные.!H66&lt;23,2.6,IF(AND(Исходн.данные.!H66&gt;22,Исходн.данные.!H66&lt;26),3,IF(AND(Исходн.данные.!H66&gt;25,Исходн.данные.!H66&lt;29),3.4,3.6)))</f>
        <v>2.6</v>
      </c>
      <c r="GU66" s="55">
        <f>IF(Исходн.данные.!H66&lt;23,2.8,IF(AND(Исходн.данные.!H66&gt;22,Исходн.данные.!H66&lt;26),3.2,IF(AND(Исходн.данные.!H66&gt;25,Исходн.данные.!H66&lt;29),3.6,3.9)))</f>
        <v>2.8</v>
      </c>
      <c r="GV66" s="55">
        <f>IF(Исходн.данные.!H66&lt;23,3,IF(AND(Исходн.данные.!H66&gt;22,Исходн.данные.!H66&lt;26),3.5,IF(AND(Исходн.данные.!H66&gt;25,Исходн.данные.!H66&lt;29),3.9,4.2)))</f>
        <v>3</v>
      </c>
      <c r="GW66" s="55" t="e">
        <f>IF(Исходн.данные.!P66="Ум",GX66,GY66)</f>
        <v>#N/A</v>
      </c>
      <c r="GX66" s="55" t="e">
        <f>VLOOKUP(Исходн.данные.!AI66,Коэффициенты!$J$7:$L$13,2,FALSE)</f>
        <v>#N/A</v>
      </c>
      <c r="GY66" s="55" t="e">
        <f>VLOOKUP(Исходн.данные.!AI66,Коэффициенты!$J$7:$L$13,3,FALSE)</f>
        <v>#N/A</v>
      </c>
      <c r="GZ66" s="55" t="e">
        <f>(IF(Исходн.данные.!M66&lt;50,0.11*VLOOKUP(Исходн.данные.!AH66,Культуры.Информация,7,FALSE),IF(Исходн.данные.!M66&gt;250,0.05*VLOOKUP(Исходн.данные.!AH66,Культуры.Информация,7,FALSE),VLOOKUP(Исходн.данные.!AH66,Культуры.Информация,5,FALSE)/100*($GX$6+$GY$6*Исходн.данные.!M66))))*Расчет2!AI66</f>
        <v>#N/A</v>
      </c>
      <c r="HA66" s="211"/>
      <c r="HB66" s="211"/>
      <c r="HC66" s="55" t="e">
        <f>(IF(Исходн.данные.!O66&lt;80,0.2*VLOOKUP(Исходн.данные.!AH66,Культуры.Информация,8,FALSE),IF(Исходн.данные.!O66&gt;240,0.09*VLOOKUP(Исходн.данные.!AH66,Культуры.Информация,8,FALSE),VLOOKUP(Исходн.данные.!AH66,Культуры.Информация,6,FALSE)/100*($HB$6+$HC$6*Исходн.данные.!O66))))*Расчет2!AJ66</f>
        <v>#N/A</v>
      </c>
      <c r="HD66" s="55">
        <f>IF(Исходн.данные.!O66&gt;240,0.09,IF(Исходн.данные.!O66&lt;30,0.3,$HE$10+$HD$10*Исходн.данные.!O66))</f>
        <v>0.3</v>
      </c>
      <c r="HE66" s="55">
        <f>IF(Исходн.данные.!O66&gt;240,0.17,IF(Исходн.данные.!O66&lt;30,0.5,$HF$12+$HE$12*Исходн.данные.!O66))</f>
        <v>0.5</v>
      </c>
      <c r="HF66" s="55" t="e">
        <f>VLOOKUP(Исходн.данные.!AH66,Справ!$A$3:$D$58,2,FALSE)</f>
        <v>#N/A</v>
      </c>
      <c r="HG66" s="55" t="e">
        <f>VLOOKUP(Исходн.данные.!AH66,Справ!$A$3:$D$58,3,FALSE)</f>
        <v>#N/A</v>
      </c>
      <c r="HH66" s="55" t="e">
        <f>VLOOKUP(Исходн.данные.!AH66,Справ!$A$3:$D$58,4,FALSE)</f>
        <v>#N/A</v>
      </c>
      <c r="HI66" s="11" t="e">
        <f t="shared" si="117"/>
        <v>#N/A</v>
      </c>
      <c r="HJ66" s="11" t="e">
        <f t="shared" si="118"/>
        <v>#N/A</v>
      </c>
      <c r="HK66" s="11" t="e">
        <f t="shared" si="119"/>
        <v>#N/A</v>
      </c>
      <c r="HL66" s="55">
        <f>IF(OR(Исходн.данные.!G66="Глин",Исходн.данные.!G66="Т_суг"),1.1,IF(Исходн.данные.!G66="Ср_суг",1,1))</f>
        <v>1</v>
      </c>
      <c r="HM66" s="55">
        <f>IF(OR(Исходн.данные.!G66="Глин",Исходн.данные.!G66="Т_суг"),0.9,IF(Исходн.данные.!G66="Ср_суг",1,1.2))</f>
        <v>1.2</v>
      </c>
      <c r="HN66" s="11" t="e">
        <f t="shared" si="120"/>
        <v>#N/A</v>
      </c>
      <c r="HO66" s="11" t="e">
        <f t="shared" si="121"/>
        <v>#N/A</v>
      </c>
      <c r="HP66" s="11" t="e">
        <f t="shared" si="122"/>
        <v>#N/A</v>
      </c>
      <c r="HQ66" t="e">
        <f t="shared" si="123"/>
        <v>#N/A</v>
      </c>
      <c r="HR66" t="e">
        <f t="shared" si="124"/>
        <v>#N/A</v>
      </c>
      <c r="HS66" t="e">
        <f t="shared" si="125"/>
        <v>#N/A</v>
      </c>
      <c r="HT66" t="e">
        <f t="shared" si="21"/>
        <v>#N/A</v>
      </c>
      <c r="HU66" t="e">
        <f t="shared" si="22"/>
        <v>#N/A</v>
      </c>
      <c r="HV66" t="e">
        <f t="shared" si="23"/>
        <v>#N/A</v>
      </c>
      <c r="HW66" t="e">
        <f t="shared" si="24"/>
        <v>#N/A</v>
      </c>
      <c r="HX66" t="e">
        <f t="shared" si="25"/>
        <v>#N/A</v>
      </c>
      <c r="HY66" t="e">
        <f t="shared" si="26"/>
        <v>#N/A</v>
      </c>
      <c r="HZ66" s="55">
        <f>IF(OR(Исходн.данные.!AI66="Оз_Ч_П",Исходн.данные.!AI66="Оз_З_П",Исходн.данные.!AI66="Яр_зер"),12,30)</f>
        <v>30</v>
      </c>
      <c r="IA66" t="e">
        <f t="shared" si="126"/>
        <v>#N/A</v>
      </c>
      <c r="IB66" t="e">
        <f t="shared" si="127"/>
        <v>#N/A</v>
      </c>
      <c r="IC66" t="e">
        <f t="shared" si="128"/>
        <v>#N/A</v>
      </c>
      <c r="ID66" s="11" t="e">
        <f t="shared" si="129"/>
        <v>#N/A</v>
      </c>
      <c r="IE66" s="11" t="e">
        <f t="shared" si="130"/>
        <v>#N/A</v>
      </c>
      <c r="IF66" s="11" t="e">
        <f t="shared" si="131"/>
        <v>#N/A</v>
      </c>
    </row>
    <row r="67" spans="35:240" x14ac:dyDescent="0.2">
      <c r="AI67">
        <f>IF(Исходн.данные.!I67&gt;6,1,1.85-(0.148*Исходн.данные.!I67))</f>
        <v>1.85</v>
      </c>
      <c r="AJ67">
        <f>IF(Исходн.данные.!I67&gt;6,1,2.434-(0.246*Исходн.данные.!I67))</f>
        <v>2.4340000000000002</v>
      </c>
      <c r="AL67" s="148" t="b">
        <f>IF(Исходн.данные.!$P67="Ум",N_OrgUd_2g_um,IF(Исходн.данные.!$P67="Об",N_OrgUd_2g_ob))</f>
        <v>0</v>
      </c>
      <c r="AM67" s="148" t="b">
        <f>IF(Исходн.данные.!$P67="Ум",P_OrgUd_2g_um,IF(Исходн.данные.!$P67="Об",P_OrgUd_2g_ob))</f>
        <v>0</v>
      </c>
      <c r="AN67" s="148" t="b">
        <f>IF(Исходн.данные.!$P67="Ум",K_OrgUd_2g_um,IF(Исходн.данные.!$P67="Об",K_OrgUd_2g_ob))</f>
        <v>0</v>
      </c>
      <c r="AO67" s="148" t="b">
        <f>IF(Исходн.данные.!$P67="Ум",N_OrgUd_1g_um,IF(Исходн.данные.!$P67="Об",N_OrgUd_1g_ob))</f>
        <v>0</v>
      </c>
      <c r="AP67" s="148" t="b">
        <f>IF(Исходн.данные.!$P67="Ум",P_OrgUd_1g_um,IF(Исходн.данные.!$P67="Об",P_OrgUd_1g_ob))</f>
        <v>0</v>
      </c>
      <c r="AQ67" s="148" t="b">
        <f>IF(Исходн.данные.!$P67="Ум",K_OrgUd_1g_um,IF(Исходн.данные.!$P67="Об",K_OrgUd_1g_ob))</f>
        <v>0</v>
      </c>
      <c r="AR67" t="b">
        <f>IF(Исходн.данные.!$P67="Ум",N_MinUd_2g_um,IF(Исходн.данные.!$P67="Об",N_MinUd_2g_ob))</f>
        <v>0</v>
      </c>
      <c r="AS67" t="b">
        <f>IF(Исходн.данные.!$P67="Ум",P_MinUd_2g_um,IF(Исходн.данные.!$P67="Об",P_MinUd_2g_ob))</f>
        <v>0</v>
      </c>
      <c r="AT67" t="b">
        <f>IF(Исходн.данные.!$P67="Ум",K_MinUd_2g_um,IF(Исходн.данные.!$P67="Об",K_MinUd_2g_ob))</f>
        <v>0</v>
      </c>
      <c r="AU67" t="b">
        <f>IF(Исходн.данные.!$P67="Ум",N_MinUd_1g_um,IF(Исходн.данные.!$P67="Об",N_MinUd_1g_ob))</f>
        <v>0</v>
      </c>
      <c r="AV67" t="b">
        <f>IF(Исходн.данные.!P67="Ум",P_MinUd_1g_um,IF(Исходн.данные.!P67="Об",P_MinUd_1g_ob))</f>
        <v>0</v>
      </c>
      <c r="AW67" t="b">
        <f>IF(Исходн.данные.!P67="Ум",K_MinUd_1g_um,IF(Исходн.данные.!P67="Об",K_MinUd_1g_ob))</f>
        <v>0</v>
      </c>
      <c r="AY67" t="e">
        <f>VLOOKUP(Исходн.данные.!T67,Справ!$A$3:$N$57,12)</f>
        <v>#N/A</v>
      </c>
      <c r="AZ67" t="e">
        <f>VLOOKUP(Исходн.данные.!T67,Справ!$A$3:$N$57,13)</f>
        <v>#N/A</v>
      </c>
      <c r="BA67" t="e">
        <f>VLOOKUP(Исходн.данные.!T67,Справ!$A$3:$N$57,14)</f>
        <v>#N/A</v>
      </c>
      <c r="BB67">
        <f>IF(Исходн.данные.!AH67=0,0,25)</f>
        <v>0</v>
      </c>
      <c r="BC67" s="141">
        <f>IF(Исходн.данные.!AH67=0,0,IF(Исходн.данные.!T67=0,25,BD67))</f>
        <v>0</v>
      </c>
      <c r="BD67" s="168" t="e">
        <f>AY67+AZ67*Исходн.данные.!U67-POWER(BA67,2)*Исходн.данные.!U67</f>
        <v>#N/A</v>
      </c>
      <c r="BE6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7" s="25">
        <f>IF(Исходн.данные.!AH67=0,0,MIN(HN67:HP67))</f>
        <v>0</v>
      </c>
      <c r="BG67" s="9">
        <f>IF(Исходн.данные.!AH67=0,0,IF((HO67+10*0.25/HG67/HL67)&lt;17,17,HO67+10*0.25/HG67/HL67))</f>
        <v>0</v>
      </c>
      <c r="BH67" s="181">
        <f>IF(Исходн.данные.!AH67=0,0,HW67*HF67*HL67/AU67*AI67+Исходн.данные.!S67*10)</f>
        <v>0</v>
      </c>
      <c r="BI67" s="10"/>
      <c r="BJ67" s="182">
        <f>IF(Исходн.данные.!AH67=0,0,IF(HX67*HG67*HL67/AV67&lt;0,0,HX67*HG67*HL67/AV67*AJ67))</f>
        <v>0</v>
      </c>
      <c r="BK67" s="182">
        <f>IF(Исходн.данные.!AH67=0,0,HY67*HH67*HM67/AW67)</f>
        <v>0</v>
      </c>
      <c r="BL67" s="10">
        <f>IF(OR(Исходн.данные.!$AH67=$BP$1,Исходн.данные.!$AH67=$BP$2),0,IF(BH67&lt;0,0,IF(OR(Исходн.данные.!T67=Расчет!$BP$1,Исходн.данные.!T67=Расчет!$BP$2,Исходн.данные.!T67=Расчет!$BT$5,Исходн.данные.!T67=Расчет!$BT$6),BH67*0.5,IF(OR(Исходн.данные.!T67=Расчет!$BS$9,Исходн.данные.!T67=Расчет!$BS$10,Исходн.данные.!T67=Расчет!$BS$11,Исходн.данные.!T67=Расчет!$BS$12,Исходн.данные.!T67=Расчет!$BP$5),BH67*0.8,BH67))))</f>
        <v>0</v>
      </c>
      <c r="BM67" s="10">
        <f>IF(OR(Исходн.данные.!$AH67=$BP$1,Исходн.данные.!$AH67=$BP$2),0,IF(BJ67&lt;0,0,IF(Исходн.данные.!I67&lt;4.5,BJ67*1.2,IF(Исходн.данные.!I67&gt;5.1,BJ67,BJ67*((5.1-Исходн.данные.!I67)*0.333+1)))))</f>
        <v>0</v>
      </c>
      <c r="BN67" s="10">
        <f>IF(OR(Исходн.данные.!$AH67=$BP$1,Исходн.данные.!$AH67=$BP$2),60-Исходн.данные.!AF67,IF(BK67&lt;0,0,IF(Исходн.данные.!I67&lt;4.5,BK67*1.2,IF(Исходн.данные.!I67&gt;5.1,BK67,BK67*((5.1-Исходн.данные.!I67)*0.333+1)))))</f>
        <v>0</v>
      </c>
      <c r="BO67" s="9">
        <f>IF(BL67&lt;0,0,BL67*Исходн.данные.!$AJ67/1000)</f>
        <v>0</v>
      </c>
      <c r="BP67" s="9">
        <f>IF(BM67&lt;0,0,BM67*Исходн.данные.!$AJ67/1000)</f>
        <v>0</v>
      </c>
      <c r="BQ67" s="9">
        <f>IF(BN67&lt;0,0,BN67*Исходн.данные.!$AJ67/1000)</f>
        <v>0</v>
      </c>
      <c r="BR67" s="9">
        <f t="shared" si="81"/>
        <v>0</v>
      </c>
      <c r="BS67" s="10" t="str">
        <f t="shared" si="82"/>
        <v>Аммофос 12:52:00</v>
      </c>
      <c r="BT67" s="10" t="str">
        <f t="shared" si="83"/>
        <v>Аммофос 12:52:00</v>
      </c>
      <c r="BU67" s="10" t="str">
        <f t="shared" si="84"/>
        <v>Диаммофоска</v>
      </c>
      <c r="BV67" s="10">
        <f t="shared" si="85"/>
        <v>0</v>
      </c>
      <c r="BW67" s="10"/>
      <c r="BX67" s="10"/>
      <c r="BY67" s="9">
        <f>IF(BL67&lt;0,0,IF(OR(Исходн.данные.!AI67=Расчет!$BU$6,Исходн.данные.!AI67=Расчет!$BU$7),Расчет!BV67,IF(Исходн.данные.!$AG67=$BV$11,BL67,IF(OR(Исходн.данные.!$AH67=$BQ$7,Исходн.данные.!$AH67=$BQ$8),CB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0,IF(Исходн.данные.!$AI67=$BU$11,"Нет",IF(BL67&gt;30,30,BL67)))))))</f>
        <v>0</v>
      </c>
      <c r="BZ67" s="9">
        <f>IF(AND(Исходн.данные.!$AG67=$BV$11,BM67&lt;10),10,IF(Исходн.данные.!$AG67=$BV$11,BM67,IF(OR(Исходн.данные.!$AH67=$BQ$7,Исходн.данные.!$AH67=$BQ$8),CC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10,IF(Исходн.данные.!$AI67=$BU$11,"Нет",IF(BM67&gt;60,60,IF(BM67&lt;10,10,BM67)))))))</f>
        <v>10</v>
      </c>
      <c r="CA67" s="39">
        <f>IF(BN67&lt;0,0,IF(Исходн.данные.!$AG67=$BV$11,BN67,IF(OR(Исходн.данные.!$AH67=$BQ$7,Исходн.данные.!$AH67=$BQ$8),CD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0,IF(Исходн.данные.!$AI67=$BU$11,"Нет",IF(BN67&gt;30,30,BN67))))))</f>
        <v>0</v>
      </c>
      <c r="CB67" s="9">
        <f t="shared" si="86"/>
        <v>0</v>
      </c>
      <c r="CC67" s="9">
        <f t="shared" si="87"/>
        <v>0</v>
      </c>
      <c r="CD67" s="9">
        <f t="shared" si="88"/>
        <v>0</v>
      </c>
      <c r="CE67" s="12">
        <f t="shared" si="89"/>
        <v>10</v>
      </c>
      <c r="CF67" s="9">
        <f t="shared" si="90"/>
        <v>0</v>
      </c>
      <c r="CG67" s="9" t="s">
        <v>231</v>
      </c>
      <c r="CH67" s="132" t="str">
        <f>IF(Исходн.данные.!AP67=Расчет!$CI$16,"Нет",IF(Исходн.данные.!AL67&gt;0,Исходн.данные.!AL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BH$4,IF(OR(Исходн.данные.!AI67=Исходн.данные.!$AI$6,Исходн.данные.!AI67=Исходн.данные.!$AI$7),Расчет!BS67,IF(AND($CF67=0,$CE67&gt;0),EV67,ER67)))))</f>
        <v>Аммофос 12:52:00</v>
      </c>
      <c r="CI67" s="274">
        <f>IF(Расчет!$CH67="Нет","Нет",IF(Исходн.данные.!$AL67&gt;0,VLOOKUP(Расчет!$CH67,АшламаДВ_Irekle,2,FALSE),VLOOKUP(Расчет!$CH67,АшламаДВ_Gomumy,2,FALSE)))</f>
        <v>0.12</v>
      </c>
      <c r="CJ67" s="274">
        <f>IF(Расчет!$CH67="Нет","Нет",IF(Исходн.данные.!$AL67&gt;0,VLOOKUP(Расчет!$CH67,АшламаДВ_Irekle,3,FALSE),VLOOKUP(Расчет!$CH67,АшламаДВ_Gomumy,3,FALSE)))</f>
        <v>0.52</v>
      </c>
      <c r="CK67" s="274">
        <f>IF(Расчет!$CH67="Нет","Нет",IF(Исходн.данные.!$AL67&gt;0,VLOOKUP(Расчет!$CH67,АшламаДВ_Irekle,4,FALSE),VLOOKUP(Расчет!$CH67,АшламаДВ_Gomumy,4,FALSE)))</f>
        <v>0</v>
      </c>
      <c r="CL67" s="70"/>
      <c r="CM67" s="70"/>
      <c r="CN67" s="70"/>
      <c r="CO67" s="70"/>
      <c r="CP67" s="70"/>
      <c r="CQ67" s="70"/>
      <c r="CR67" s="10">
        <f t="shared" si="91"/>
        <v>0</v>
      </c>
      <c r="CS67" s="10">
        <f t="shared" si="92"/>
        <v>19.23076923076923</v>
      </c>
      <c r="CT67" s="10">
        <f t="shared" si="93"/>
        <v>0</v>
      </c>
      <c r="CU67" s="39">
        <f>IF($CH67="Нет",0,IF(CI67=0,30/MIN(CJ67:CK67),IF(Исходн.данные.!$AG67=$BV$11,CR67,IF(OR(Исходн.данные.!$AH67=$BQ$7,Исходн.данные.!$AH67=$BQ$8),90/CI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0,IF(Исходн.данные.!$AI67=$BU$11,"Нет",30/CI67))))))</f>
        <v>250</v>
      </c>
      <c r="CV67" s="39">
        <f>IF($CH67="Нет",0,IF(Исходн.данные.!AH67=0,0,IF(CJ67=0,60/MIN(CI67,CK67),IF(Исходн.данные.!$AG67=$BV$11,CS67,IF(OR(Исходн.данные.!$AH67=$BQ$7,Исходн.данные.!$AH67=$BQ$8),90/CJ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10/CJ67,IF(Исходн.данные.!$AI67=$BU$11,"Нет",60/CJ67)))))))</f>
        <v>0</v>
      </c>
      <c r="CW67" s="39">
        <f>IF($CH67="Нет",0,IF(Исходн.данные.!AH67=0,0,IF(CK67=0,30/MIN(CI67:CJ67),IF(Исходн.данные.!$AG67=$BV$11,CT67,IF(OR(Исходн.данные.!$AH67=$BQ$7,Исходн.данные.!$AH67=$BQ$8),90/CK67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0,IF(Исходн.данные.!$AI67=$BU$11,"Нет",30/CK67)))))))</f>
        <v>0</v>
      </c>
      <c r="CX67" s="133">
        <f>IF(Исходн.данные.!$AG67=$BV$11,MAX(CU67:CW67),IF(OR(Исходн.данные.!$AH67=$BS$8,Исходн.данные.!$AH67=$BQ$9,Исходн.данные.!$AH67=$BQ$10,Исходн.данные.!$AH67=$BQ$11,Исходн.данные.!$AH67=$BQ$12,Исходн.данные.!$AH67=$BP$3,Исходн.данные.!$AH67=$BT$8,$FM67="Да"),CV67,MIN(CU67:CW67)))</f>
        <v>0</v>
      </c>
      <c r="CY67" s="133">
        <f>IF(Исходн.данные.!AH67=0,0,IF(CR67&gt;$CX67,$CX67,CR67))</f>
        <v>0</v>
      </c>
      <c r="CZ67" s="133">
        <f>IF(Исходн.данные.!AH67=0,0,IF(CS67&gt;$CX67,$CX67,CS67))</f>
        <v>0</v>
      </c>
      <c r="DA67" s="133">
        <f>IF(Исходн.данные.!AH67=0,0,IF(CT67&gt;$CX67,$CX67,CT67))</f>
        <v>0</v>
      </c>
      <c r="DB67" s="10">
        <f t="shared" si="94"/>
        <v>0</v>
      </c>
      <c r="DC67" s="39">
        <f>DB67*Исходн.данные.!AJ67/1000</f>
        <v>0</v>
      </c>
      <c r="DD67" s="71">
        <f t="shared" si="95"/>
        <v>0</v>
      </c>
      <c r="DE67" s="9">
        <f t="shared" si="96"/>
        <v>0</v>
      </c>
      <c r="DF67" s="9">
        <f t="shared" si="97"/>
        <v>0</v>
      </c>
      <c r="DG67" s="39">
        <f>IF(BL67&lt;0,0,IF($CH67="Нет",BL67,IF(OR(Исходн.данные.!$AH67=$BP$1,Исходн.данные.!$AH67=$BP$2),0,IF(Исходн.данные.!AI67=$BU$11,BL67,IF(BL67-DD67&lt;0,0,BL67-DD67)))))</f>
        <v>0</v>
      </c>
      <c r="DH67" s="39">
        <f>IF(BM67&lt;0,0,IF($CH67="Нет",BM67,IF(OR(Исходн.данные.!$AH67=$BP$1,Исходн.данные.!$AH67=$BP$2),0,IF(Исходн.данные.!AJ67=$BU$11,BM67,IF(BM67-DE67&lt;0,0,BM67-DE67)))))</f>
        <v>0</v>
      </c>
      <c r="DI67" s="39">
        <f>IF(BN67&lt;0,0,IF($CH67="Нет",BN67,IF(OR(Исходн.данные.!$AH67=$BP$1,Исходн.данные.!$AH67=$BP$2),0,IF(Исходн.данные.!AK67=$BU$11,BN67,IF(BN67-DF67&lt;0,0,BN67-DF67)))))</f>
        <v>0</v>
      </c>
      <c r="DJ67" s="12">
        <f t="shared" si="98"/>
        <v>0</v>
      </c>
      <c r="DK67" s="9">
        <f t="shared" si="99"/>
        <v>0</v>
      </c>
      <c r="DL67" s="39">
        <f>IF(Исходн.данные.!AM67&gt;0,Исходн.данные.!AM67,IF(EG67&gt;0,$BH$10,0))</f>
        <v>0</v>
      </c>
      <c r="DM67" s="186">
        <f>IF($DL67=0,0,IF(Исходн.данные.!AM67&gt;0,VLOOKUP($DL67,АшламаДВ_Irekle,2,FALSE),VLOOKUP($DL67,АшламаДВ_Gomumy,2,FALSE)))</f>
        <v>0</v>
      </c>
      <c r="DN67" s="10">
        <f t="shared" si="46"/>
        <v>0</v>
      </c>
      <c r="DO67" s="9" t="str">
        <f>IF(Исходн.данные.!AN67&gt;0,Исходн.данные.!AN67,Удобрения!$B$37 )</f>
        <v>Хлор.калий</v>
      </c>
      <c r="DP67" s="9">
        <f>IF(Исходн.данные.!AN67&gt;0,VLOOKUP(Исходн.данные.!AN67,АшламаДВ_Irekle,4,FALSE),VLOOKUP(DO67,АшламаДВ_Gomumy,4,FALSE))</f>
        <v>0.6</v>
      </c>
      <c r="DQ67" s="10">
        <f t="shared" si="47"/>
        <v>0</v>
      </c>
      <c r="DR67" s="132" t="str">
        <f>IF(Исходн.данные.!AO67&gt;0,Исходн.данные.!AO67,IF(DH67=0,BS$17,IF(AND($DK67=0,$DJ67&gt;0),EJ67,EN67)))</f>
        <v>Нет</v>
      </c>
      <c r="DS67" s="70" t="str">
        <f>IF($DR67="Нет","Нет",IF(Исходн.данные.!$AO67&gt;0,VLOOKUP($DR67,АшламаДВ_Irekle,2,FALSE),VLOOKUP($DR67,АшламаДВ_Gomumy,2,FALSE)))</f>
        <v>Нет</v>
      </c>
      <c r="DT67" s="70" t="str">
        <f>IF($DR67="Нет","Нет",IF(Исходн.данные.!$AO67&gt;0,VLOOKUP($DR67,АшламаДВ_Irekle,3,FALSE),VLOOKUP($DR67,АшламаДВ_Gomumy,3,FALSE)))</f>
        <v>Нет</v>
      </c>
      <c r="DU67" s="70" t="str">
        <f>IF($DR67="Нет","Нет",IF(Исходн.данные.!$AO67&gt;0,VLOOKUP($DR67,АшламаДВ_Irekle,4,FALSE),VLOOKUP($DR67,АшламаДВ_Gomumy,4,FALSE)))</f>
        <v>Нет</v>
      </c>
      <c r="DV67" s="70"/>
      <c r="DW67" s="70"/>
      <c r="DX67" s="70"/>
      <c r="DY67" s="10">
        <f t="shared" si="100"/>
        <v>0</v>
      </c>
      <c r="DZ67" s="10">
        <f t="shared" si="101"/>
        <v>0</v>
      </c>
      <c r="EA67" s="10">
        <f t="shared" si="102"/>
        <v>0</v>
      </c>
      <c r="EB67" s="10">
        <f t="shared" si="103"/>
        <v>0</v>
      </c>
      <c r="EC67" s="10">
        <f t="shared" si="104"/>
        <v>0</v>
      </c>
      <c r="ED67" s="10">
        <f t="shared" si="105"/>
        <v>0</v>
      </c>
      <c r="EE67" s="10">
        <f t="shared" si="106"/>
        <v>0</v>
      </c>
      <c r="EF67" s="39">
        <f>EB67*Исходн.данные.!AJ67/1000</f>
        <v>0</v>
      </c>
      <c r="EG67" s="9">
        <f t="shared" si="107"/>
        <v>0</v>
      </c>
      <c r="EH67" s="9">
        <f t="shared" si="108"/>
        <v>0</v>
      </c>
      <c r="EI67" s="39" t="e">
        <f t="shared" si="7"/>
        <v>#DIV/0!</v>
      </c>
      <c r="EJ67" s="9" t="str">
        <f t="shared" si="8"/>
        <v>Азопреципитат</v>
      </c>
      <c r="EK67" s="12">
        <f t="shared" si="9"/>
        <v>0.26</v>
      </c>
      <c r="EL67" s="12">
        <f t="shared" si="10"/>
        <v>0.13</v>
      </c>
      <c r="EM67" s="12">
        <f t="shared" si="11"/>
        <v>0</v>
      </c>
      <c r="EN67" s="12" t="str">
        <f t="shared" si="57"/>
        <v>Нет</v>
      </c>
      <c r="EO67" s="12">
        <f t="shared" si="12"/>
        <v>0</v>
      </c>
      <c r="EP67" s="12">
        <f t="shared" si="13"/>
        <v>0</v>
      </c>
      <c r="EQ67" s="12">
        <f t="shared" si="14"/>
        <v>0</v>
      </c>
      <c r="ER67" s="12" t="str">
        <f t="shared" si="109"/>
        <v>Диаммофоска</v>
      </c>
      <c r="ES67" s="12">
        <f t="shared" si="15"/>
        <v>0.1</v>
      </c>
      <c r="ET67" s="12">
        <f t="shared" si="16"/>
        <v>0.26</v>
      </c>
      <c r="EU67" s="12">
        <f t="shared" si="17"/>
        <v>0.26</v>
      </c>
      <c r="EV67" s="12" t="str">
        <f t="shared" si="110"/>
        <v>Аммофос 12:52:00</v>
      </c>
      <c r="EW67" s="12" t="str">
        <f t="shared" si="111"/>
        <v>Кемира Свекловичное-6</v>
      </c>
      <c r="EX67" s="12">
        <f t="shared" si="18"/>
        <v>0.16</v>
      </c>
      <c r="EY67" s="12">
        <f t="shared" si="19"/>
        <v>0.12</v>
      </c>
      <c r="EZ67" s="12">
        <f t="shared" si="20"/>
        <v>0.17</v>
      </c>
      <c r="FA67" s="38" t="e">
        <f>IF(AND(OR(FJ67=$FD$1,FM67=$FD$1,FO67=$FD$1,FQ67=$FD$1,FS67=$FD$1),FD67=$FD$1,Исходн.данные.!J67&lt;2,FU67=$FD$1),"Бор,Кобальт",IF(AND(FO67=$FD$1,FH67=$FD$1,Исходн.данные.!J67&lt;2,FU67=$FD$1),"Бор,Кобальт",IF(AND(OR(FJ67=$FD$1,FM67=$FD$1,FQ67=$FD$1),FE67=$FD$1,Исходн.данные.!J67&lt;2,FT67=$FD$1,FU67=$FD$1),"Бор,Медь,Цинк",IF(AND(OR(FJ67=$FD$1,FR67="Да"),FI67="Да",Исходн.данные.!J67&lt;2,FT67="Да",FU67="Да"),"Бор,Цинк,Медь",IF(AND(OR(FM67="Да",FQ67="Да"),FI67="Да",Исходн.данные.!J67&lt;2,FT67="Да",FU67="Да"),"Бор,Цинк",IF(AND(FN67="Да",OR(FD67="Да",FE67="Да")),"Бор",FB67))))))</f>
        <v>#N/A</v>
      </c>
      <c r="FB67" s="134" t="e">
        <f>IF(AND(OR(FD67="Да",FE67="Да",FF67="Да",FG67="Да",FH67="Да"),FO67="Да"),"Бор",IF(AND(FP67="Да",OR(FD67="Да",FE67="Да",FI67="Да")),"Бор",IF(AND(FS67="Да",FE67="Да"),"Бор,Медь",IF(AND(OR(FJ67="Да",FK67="Да",FL67="Да"),FE67="Да",Исходн.данные.!I67&lt;5,FT67="Да",FU67="Да"),"Молибден,Цинк",IF(AND(FM67="Да",OR(FE67="Да",FF67="Да",FG67="Да",FH67="Да",FI67="Да")),"Молибден,Цинк",IF(AND(OR(FJ67="Да",FK67="Да",FL67="Да",FM67="Да",FQ67="Да"),OR(FE67="Да",FF67="Да"),FT67="Да",FU67="Да",Исходн.данные.!I67&gt;5.5),"Медь,Цинк",FC67))))))</f>
        <v>#N/A</v>
      </c>
      <c r="FC67" s="23" t="e">
        <f t="shared" si="112"/>
        <v>#N/A</v>
      </c>
      <c r="FD67" s="38" t="str">
        <f>IF(OR(Исходн.данные.!F67=$CC$1,Исходн.данные.!F67=$CC$2,Исходн.данные.!F67=$CC$3,Исходн.данные.!F67=$CC$4),"Да","Нет")</f>
        <v>Нет</v>
      </c>
      <c r="FE67" s="38" t="str">
        <f>IF(Исходн.данные.!F67=$CC$5,"Да","Нет")</f>
        <v>Нет</v>
      </c>
      <c r="FF67" s="38" t="str">
        <f>IF(OR(Исходн.данные.!F67=$CC$6,Исходн.данные.!F67=$CC$7),"Да","Нет")</f>
        <v>Нет</v>
      </c>
      <c r="FG67" s="38" t="str">
        <f>IF(OR(Исходн.данные.!F67=$CC$8,Исходн.данные.!F67=$CC$9),"Да","Нет")</f>
        <v>Нет</v>
      </c>
      <c r="FH67" s="38" t="str">
        <f>IF(Исходн.данные.!F67=$CC$10,"Да","Нет")</f>
        <v>Нет</v>
      </c>
      <c r="FI67" s="38" t="str">
        <f>IF(OR(Исходн.данные.!F67=$CC$11,Исходн.данные.!F67=$CC$12),"Да","Нет")</f>
        <v>Нет</v>
      </c>
      <c r="FJ67" s="38" t="str">
        <f>IF(OR(Исходн.данные.!AH67=$BS$1,Исходн.данные.!AH67=$BQ$11,Исходн.данные.!AH67=$BQ$12),"Да","Нет")</f>
        <v>Нет</v>
      </c>
      <c r="FK67" s="38" t="str">
        <f>IF(OR(Исходн.данные.!AH67=$BS$2,Исходн.данные.!AH67=$BS$4),"Да","Нет")</f>
        <v>Нет</v>
      </c>
      <c r="FL67" s="38" t="str">
        <f>IF(OR(Исходн.данные.!AH67=$BS$3,Исходн.данные.!AH67=$BS$5),"Да","Нет")</f>
        <v>Нет</v>
      </c>
      <c r="FM67" s="38" t="str">
        <f>IF(OR(Исходн.данные.!AH67=$BS$9,Исходн.данные.!AH67=$BS$10,Исходн.данные.!AH67=$BS$11,Исходн.данные.!AH67=$BS$12),"Да","Нет")</f>
        <v>Нет</v>
      </c>
      <c r="FN67" s="38" t="str">
        <f>IF(OR(Исходн.данные.!AH67=$BS$6,Исходн.данные.!AH67=$BP$3),"Да","Нет")</f>
        <v>Нет</v>
      </c>
      <c r="FO67" s="38" t="str">
        <f>IF(Исходн.данные.!AH67=$BQ$9,"Да","Нет")</f>
        <v>Нет</v>
      </c>
      <c r="FP67" s="38" t="str">
        <f>IF(OR(Исходн.данные.!AH67=$BS$8,Исходн.данные.!AH67=$BT$8),"Да","Нет")</f>
        <v>Нет</v>
      </c>
      <c r="FQ67" s="38" t="str">
        <f>IF(OR(Исходн.данные.!AH67=$BQ$7,Исходн.данные.!AH67=$BQ$8),"Да","Нет")</f>
        <v>Нет</v>
      </c>
      <c r="FR67" s="38" t="str">
        <f>IF(Исходн.данные.!AI67=$BU$9,"Да","Нет")</f>
        <v>Нет</v>
      </c>
      <c r="FS67" s="38" t="str">
        <f>IF(OR(Исходн.данные.!AH67=$BP$1,Исходн.данные.!AH67=$BP$2),"Да","Нет")</f>
        <v>Нет</v>
      </c>
      <c r="FT67" s="38" t="e">
        <f>IF((Исходн.данные.!K67*GO67*GS67*GW67+BL67*0.6+Исходн.данные.!Q67*4.5*0.275)&gt;90,"Да","Нет")</f>
        <v>#N/A</v>
      </c>
      <c r="FU67" s="38" t="e">
        <f>IF((Исходн.данные.!M67*GS67*GZ67+BM67*0.225)&gt;35,"Да","Нет")</f>
        <v>#N/A</v>
      </c>
      <c r="FV67" s="38" t="str">
        <f>IF(Исходн.данные.!O67&gt;175,"Да","Нет")</f>
        <v>Нет</v>
      </c>
      <c r="FW67" s="39" t="str">
        <f>IF(Исходн.данные.!I67&gt;5.5,"Да","Нет")</f>
        <v>Нет</v>
      </c>
      <c r="FX67" s="39" t="str">
        <f>IF(Исходн.данные.!J67&lt;2,"Да","Нет")</f>
        <v>Да</v>
      </c>
      <c r="FY67" s="39" t="e">
        <f>IF(HF67=$FY$16,0,Исходн.данные.!K67*GO67*GS67*GW67/HF67)</f>
        <v>#N/A</v>
      </c>
      <c r="FZ67" s="39" t="e">
        <f>Исходн.данные.!M67*GS67*GZ67/HG67</f>
        <v>#N/A</v>
      </c>
      <c r="GA67" s="39" t="e">
        <f>IF(K_Wyn=$FY$16,0,IF(Исходн.данные.!N67=Исходн.данные.!$L$10,Исходн.данные.!O67/1.1*GS67*HC67/HH67,IF(Исходн.данные.!N67=Исходн.данные.!$L$12,Исходн.данные.!O67/1.5*GS67*HC67/HH67,Исходн.данные.!O67*GS67*HC67/HH67)))</f>
        <v>#N/A</v>
      </c>
      <c r="GB67" s="39" t="e">
        <f>IF(HF67=$FY$16,0,((Исходн.данные.!Q67*N_Org+Исходн.данные.!R67*N_Sider+Исходн.данные.!S67*N_Soloma)*AO67+Расчет!BC67*VLOOKUP(Исходн.данные.!T67,Справ!$A$3:$O$57,15)*AO67+BB67*VLOOKUP(Исходн.данные.!T67,Справ!$A$3:$O$57,15)*AL67+(Исходн.данные.!V67*N_Rizotorf+Исходн.данные.!W67*N_Rizoagr))/HF67)</f>
        <v>#N/A</v>
      </c>
      <c r="GC67" s="39" t="e">
        <f>IF(HG67=$FY$16,0,((Исходн.данные.!Q67*Р_Org+Исходн.данные.!R67*P_Sider+Исходн.данные.!S67*P_Soloma)*AP67+Расчет!BC67*VLOOKUP(Исходн.данные.!T67,Справ!$A$3:$P$57,16)*AP67+BB67*VLOOKUP(Исходн.данные.!T67,Справ!$A$3:$P$57,16)*AM67)/HG67)</f>
        <v>#N/A</v>
      </c>
      <c r="GD67" s="39" t="e">
        <f>IF(HH67=$FY$16,0,((Исходн.данные.!Q67*К_Org+Исходн.данные.!R67*K_Sider+Исходн.данные.!S67*K_Soloma)*AQ67+Расчет!BC67*VLOOKUP(Исходн.данные.!T67,Справ!$A$3:$Q$57,17)*AQ67+BB67*VLOOKUP(Исходн.данные.!T67,Справ!$A$3:$Q$57,17)*AN67)/HH67)</f>
        <v>#N/A</v>
      </c>
      <c r="GE67" s="39" t="e">
        <f>IF(HF67=$FY$16,0,(Исходн.данные.!X67*AR67+Исходн.данные.!AA67*N_Org*AL67+Исходн.данные.!AB67*N_Sider*AL67+Исходн.данные.!AC67*N_Soloma*AL67)/HF67)</f>
        <v>#N/A</v>
      </c>
      <c r="GF67" s="39" t="e">
        <f>IF(HG67=$FY$16,0,(Исходн.данные.!Y67*AS67+Исходн.данные.!AA67*Р_Org*AM67+Исходн.данные.!AB67*P_Sider*AM67+Исходн.данные.!AC67*P_Soloma*AM67)/HG67)</f>
        <v>#N/A</v>
      </c>
      <c r="GG67" s="39" t="e">
        <f>IF(HH67=$FY$16,0,(Исходн.данные.!Z67*AT67+Исходн.данные.!AA67*К_Org*AN67+Исходн.данные.!AB67*K_Sider*AN67+Исходн.данные.!AC67*K_Soloma*AN67)/HH67)</f>
        <v>#N/A</v>
      </c>
      <c r="GH67" s="39" t="e">
        <f>Исходн.данные.!AD67*AU67/HF67</f>
        <v>#N/A</v>
      </c>
      <c r="GI67" s="39" t="e">
        <f>Исходн.данные.!AE67*AV67/HG67</f>
        <v>#N/A</v>
      </c>
      <c r="GJ67" s="39" t="e">
        <f>Исходн.данные.!AF67*AW67/HH67</f>
        <v>#N/A</v>
      </c>
      <c r="GK67" s="55">
        <f>Исходн.данные.!AK67</f>
        <v>0</v>
      </c>
      <c r="GL67" s="11" t="e">
        <f t="shared" si="113"/>
        <v>#N/A</v>
      </c>
      <c r="GM67" s="11" t="e">
        <f t="shared" si="114"/>
        <v>#N/A</v>
      </c>
      <c r="GN67" s="11" t="e">
        <f t="shared" si="115"/>
        <v>#N/A</v>
      </c>
      <c r="GO67" s="57">
        <f t="shared" si="116"/>
        <v>19</v>
      </c>
      <c r="GP67" s="55">
        <f>IF(OR(Исходн.данные.!F67=$CE$1,Исходн.данные.!F67=$CE$2,Исходн.данные.!F67=$CE$3,Исходн.данные.!F67=$CE$4,Исходн.данные.!F67=$CE$5),GQ67,GR67)</f>
        <v>19</v>
      </c>
      <c r="GQ67" s="55">
        <f>IF(Исходн.данные.!F67=$CE$1,28,IF(Исходн.данные.!F67=$CE$2,26,IF(Исходн.данные.!F67=$CE$3,24,IF(Исходн.данные.!F67=$CE$4,22,IF(Исходн.данные.!F67=$CE$5,20,GR67)))))</f>
        <v>19</v>
      </c>
      <c r="GR67" s="55">
        <f>IF(Исходн.данные.!F67=$CE$6,18,IF(Исходн.данные.!F67=$CE$7,16,IF(Исходн.данные.!F67=$CE$8,14,IF(Исходн.данные.!F67=$CE$9,13,IF(Исходн.данные.!F67=$CE$10,12,19)))))</f>
        <v>19</v>
      </c>
      <c r="GS67" s="55">
        <f>IF(Исходн.данные.!G67="Пес",0.035*(40+2*Исходн.данные.!H67),IF(Исходн.данные.!G67="Суп",0.0325*(40+2*Исходн.данные.!H67),0.03*(40+2*Исходн.данные.!H67)))</f>
        <v>1.2</v>
      </c>
      <c r="GT67" s="55">
        <f>IF(Исходн.данные.!H67&lt;23,2.6,IF(AND(Исходн.данные.!H67&gt;22,Исходн.данные.!H67&lt;26),3,IF(AND(Исходн.данные.!H67&gt;25,Исходн.данные.!H67&lt;29),3.4,3.6)))</f>
        <v>2.6</v>
      </c>
      <c r="GU67" s="55">
        <f>IF(Исходн.данные.!H67&lt;23,2.8,IF(AND(Исходн.данные.!H67&gt;22,Исходн.данные.!H67&lt;26),3.2,IF(AND(Исходн.данные.!H67&gt;25,Исходн.данные.!H67&lt;29),3.6,3.9)))</f>
        <v>2.8</v>
      </c>
      <c r="GV67" s="55">
        <f>IF(Исходн.данные.!H67&lt;23,3,IF(AND(Исходн.данные.!H67&gt;22,Исходн.данные.!H67&lt;26),3.5,IF(AND(Исходн.данные.!H67&gt;25,Исходн.данные.!H67&lt;29),3.9,4.2)))</f>
        <v>3</v>
      </c>
      <c r="GW67" s="55" t="e">
        <f>IF(Исходн.данные.!P67="Ум",GX67,GY67)</f>
        <v>#N/A</v>
      </c>
      <c r="GX67" s="55" t="e">
        <f>VLOOKUP(Исходн.данные.!AI67,Коэффициенты!$J$7:$L$13,2,FALSE)</f>
        <v>#N/A</v>
      </c>
      <c r="GY67" s="55" t="e">
        <f>VLOOKUP(Исходн.данные.!AI67,Коэффициенты!$J$7:$L$13,3,FALSE)</f>
        <v>#N/A</v>
      </c>
      <c r="GZ67" s="55" t="e">
        <f>(IF(Исходн.данные.!M67&lt;50,0.11*VLOOKUP(Исходн.данные.!AH67,Культуры.Информация,7,FALSE),IF(Исходн.данные.!M67&gt;250,0.05*VLOOKUP(Исходн.данные.!AH67,Культуры.Информация,7,FALSE),VLOOKUP(Исходн.данные.!AH67,Культуры.Информация,5,FALSE)/100*($GX$6+$GY$6*Исходн.данные.!M67))))*Расчет2!AI67</f>
        <v>#N/A</v>
      </c>
      <c r="HA67" s="211"/>
      <c r="HB67" s="211"/>
      <c r="HC67" s="55" t="e">
        <f>(IF(Исходн.данные.!O67&lt;80,0.2*VLOOKUP(Исходн.данные.!AH67,Культуры.Информация,8,FALSE),IF(Исходн.данные.!O67&gt;240,0.09*VLOOKUP(Исходн.данные.!AH67,Культуры.Информация,8,FALSE),VLOOKUP(Исходн.данные.!AH67,Культуры.Информация,6,FALSE)/100*($HB$6+$HC$6*Исходн.данные.!O67))))*Расчет2!AJ67</f>
        <v>#N/A</v>
      </c>
      <c r="HD67" s="55">
        <f>IF(Исходн.данные.!O67&gt;240,0.09,IF(Исходн.данные.!O67&lt;30,0.3,$HE$10+$HD$10*Исходн.данные.!O67))</f>
        <v>0.3</v>
      </c>
      <c r="HE67" s="55">
        <f>IF(Исходн.данные.!O67&gt;240,0.17,IF(Исходн.данные.!O67&lt;30,0.5,$HF$12+$HE$12*Исходн.данные.!O67))</f>
        <v>0.5</v>
      </c>
      <c r="HF67" s="55" t="e">
        <f>VLOOKUP(Исходн.данные.!AH67,Справ!$A$3:$D$58,2,FALSE)</f>
        <v>#N/A</v>
      </c>
      <c r="HG67" s="55" t="e">
        <f>VLOOKUP(Исходн.данные.!AH67,Справ!$A$3:$D$58,3,FALSE)</f>
        <v>#N/A</v>
      </c>
      <c r="HH67" s="55" t="e">
        <f>VLOOKUP(Исходн.данные.!AH67,Справ!$A$3:$D$58,4,FALSE)</f>
        <v>#N/A</v>
      </c>
      <c r="HI67" s="11" t="e">
        <f t="shared" si="117"/>
        <v>#N/A</v>
      </c>
      <c r="HJ67" s="11" t="e">
        <f t="shared" si="118"/>
        <v>#N/A</v>
      </c>
      <c r="HK67" s="11" t="e">
        <f t="shared" si="119"/>
        <v>#N/A</v>
      </c>
      <c r="HL67" s="55">
        <f>IF(OR(Исходн.данные.!G67="Глин",Исходн.данные.!G67="Т_суг"),1.1,IF(Исходн.данные.!G67="Ср_суг",1,1))</f>
        <v>1</v>
      </c>
      <c r="HM67" s="55">
        <f>IF(OR(Исходн.данные.!G67="Глин",Исходн.данные.!G67="Т_суг"),0.9,IF(Исходн.данные.!G67="Ср_суг",1,1.2))</f>
        <v>1.2</v>
      </c>
      <c r="HN67" s="11" t="e">
        <f t="shared" si="120"/>
        <v>#N/A</v>
      </c>
      <c r="HO67" s="11" t="e">
        <f t="shared" si="121"/>
        <v>#N/A</v>
      </c>
      <c r="HP67" s="11" t="e">
        <f t="shared" si="122"/>
        <v>#N/A</v>
      </c>
      <c r="HQ67" t="e">
        <f t="shared" si="123"/>
        <v>#N/A</v>
      </c>
      <c r="HR67" t="e">
        <f t="shared" si="124"/>
        <v>#N/A</v>
      </c>
      <c r="HS67" t="e">
        <f t="shared" si="125"/>
        <v>#N/A</v>
      </c>
      <c r="HT67" t="e">
        <f t="shared" si="21"/>
        <v>#N/A</v>
      </c>
      <c r="HU67" t="e">
        <f t="shared" si="22"/>
        <v>#N/A</v>
      </c>
      <c r="HV67" t="e">
        <f t="shared" si="23"/>
        <v>#N/A</v>
      </c>
      <c r="HW67" t="e">
        <f t="shared" si="24"/>
        <v>#N/A</v>
      </c>
      <c r="HX67" t="e">
        <f t="shared" si="25"/>
        <v>#N/A</v>
      </c>
      <c r="HY67" t="e">
        <f t="shared" si="26"/>
        <v>#N/A</v>
      </c>
      <c r="HZ67" s="55">
        <f>IF(OR(Исходн.данные.!AI67="Оз_Ч_П",Исходн.данные.!AI67="Оз_З_П",Исходн.данные.!AI67="Яр_зер"),12,30)</f>
        <v>30</v>
      </c>
      <c r="IA67" t="e">
        <f t="shared" si="126"/>
        <v>#N/A</v>
      </c>
      <c r="IB67" t="e">
        <f t="shared" si="127"/>
        <v>#N/A</v>
      </c>
      <c r="IC67" t="e">
        <f t="shared" si="128"/>
        <v>#N/A</v>
      </c>
      <c r="ID67" s="11" t="e">
        <f t="shared" si="129"/>
        <v>#N/A</v>
      </c>
      <c r="IE67" s="11" t="e">
        <f t="shared" si="130"/>
        <v>#N/A</v>
      </c>
      <c r="IF67" s="11" t="e">
        <f t="shared" si="131"/>
        <v>#N/A</v>
      </c>
    </row>
    <row r="68" spans="35:240" x14ac:dyDescent="0.2">
      <c r="AI68">
        <f>IF(Исходн.данные.!I68&gt;6,1,1.85-(0.148*Исходн.данные.!I68))</f>
        <v>1.85</v>
      </c>
      <c r="AJ68">
        <f>IF(Исходн.данные.!I68&gt;6,1,2.434-(0.246*Исходн.данные.!I68))</f>
        <v>2.4340000000000002</v>
      </c>
      <c r="AL68" s="148" t="b">
        <f>IF(Исходн.данные.!$P68="Ум",N_OrgUd_2g_um,IF(Исходн.данные.!$P68="Об",N_OrgUd_2g_ob))</f>
        <v>0</v>
      </c>
      <c r="AM68" s="148" t="b">
        <f>IF(Исходн.данные.!$P68="Ум",P_OrgUd_2g_um,IF(Исходн.данные.!$P68="Об",P_OrgUd_2g_ob))</f>
        <v>0</v>
      </c>
      <c r="AN68" s="148" t="b">
        <f>IF(Исходн.данные.!$P68="Ум",K_OrgUd_2g_um,IF(Исходн.данные.!$P68="Об",K_OrgUd_2g_ob))</f>
        <v>0</v>
      </c>
      <c r="AO68" s="148" t="b">
        <f>IF(Исходн.данные.!$P68="Ум",N_OrgUd_1g_um,IF(Исходн.данные.!$P68="Об",N_OrgUd_1g_ob))</f>
        <v>0</v>
      </c>
      <c r="AP68" s="148" t="b">
        <f>IF(Исходн.данные.!$P68="Ум",P_OrgUd_1g_um,IF(Исходн.данные.!$P68="Об",P_OrgUd_1g_ob))</f>
        <v>0</v>
      </c>
      <c r="AQ68" s="148" t="b">
        <f>IF(Исходн.данные.!$P68="Ум",K_OrgUd_1g_um,IF(Исходн.данные.!$P68="Об",K_OrgUd_1g_ob))</f>
        <v>0</v>
      </c>
      <c r="AR68" t="b">
        <f>IF(Исходн.данные.!$P68="Ум",N_MinUd_2g_um,IF(Исходн.данные.!$P68="Об",N_MinUd_2g_ob))</f>
        <v>0</v>
      </c>
      <c r="AS68" t="b">
        <f>IF(Исходн.данные.!$P68="Ум",P_MinUd_2g_um,IF(Исходн.данные.!$P68="Об",P_MinUd_2g_ob))</f>
        <v>0</v>
      </c>
      <c r="AT68" t="b">
        <f>IF(Исходн.данные.!$P68="Ум",K_MinUd_2g_um,IF(Исходн.данные.!$P68="Об",K_MinUd_2g_ob))</f>
        <v>0</v>
      </c>
      <c r="AU68" t="b">
        <f>IF(Исходн.данные.!$P68="Ум",N_MinUd_1g_um,IF(Исходн.данные.!$P68="Об",N_MinUd_1g_ob))</f>
        <v>0</v>
      </c>
      <c r="AV68" t="b">
        <f>IF(Исходн.данные.!P68="Ум",P_MinUd_1g_um,IF(Исходн.данные.!P68="Об",P_MinUd_1g_ob))</f>
        <v>0</v>
      </c>
      <c r="AW68" t="b">
        <f>IF(Исходн.данные.!P68="Ум",K_MinUd_1g_um,IF(Исходн.данные.!P68="Об",K_MinUd_1g_ob))</f>
        <v>0</v>
      </c>
      <c r="AY68" t="e">
        <f>VLOOKUP(Исходн.данные.!T68,Справ!$A$3:$N$57,12)</f>
        <v>#N/A</v>
      </c>
      <c r="AZ68" t="e">
        <f>VLOOKUP(Исходн.данные.!T68,Справ!$A$3:$N$57,13)</f>
        <v>#N/A</v>
      </c>
      <c r="BA68" t="e">
        <f>VLOOKUP(Исходн.данные.!T68,Справ!$A$3:$N$57,14)</f>
        <v>#N/A</v>
      </c>
      <c r="BB68">
        <f>IF(Исходн.данные.!AH68=0,0,25)</f>
        <v>0</v>
      </c>
      <c r="BC68" s="141">
        <f>IF(Исходн.данные.!AH68=0,0,IF(Исходн.данные.!T68=0,25,BD68))</f>
        <v>0</v>
      </c>
      <c r="BD68" s="168" t="e">
        <f>AY68+AZ68*Исходн.данные.!U68-POWER(BA68,2)*Исходн.данные.!U68</f>
        <v>#N/A</v>
      </c>
      <c r="BE6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8" s="25">
        <f>IF(Исходн.данные.!AH68=0,0,MIN(HN68:HP68))</f>
        <v>0</v>
      </c>
      <c r="BG68" s="9">
        <f>IF(Исходн.данные.!AH68=0,0,IF((HO68+10*0.25/HG68/HL68)&lt;17,17,HO68+10*0.25/HG68/HL68))</f>
        <v>0</v>
      </c>
      <c r="BH68" s="181">
        <f>IF(Исходн.данные.!AH68=0,0,HW68*HF68*HL68/AU68*AI68+Исходн.данные.!S68*10)</f>
        <v>0</v>
      </c>
      <c r="BI68" s="10"/>
      <c r="BJ68" s="182">
        <f>IF(Исходн.данные.!AH68=0,0,IF(HX68*HG68*HL68/AV68&lt;0,0,HX68*HG68*HL68/AV68*AJ68))</f>
        <v>0</v>
      </c>
      <c r="BK68" s="182">
        <f>IF(Исходн.данные.!AH68=0,0,HY68*HH68*HM68/AW68)</f>
        <v>0</v>
      </c>
      <c r="BL68" s="10">
        <f>IF(OR(Исходн.данные.!$AH68=$BP$1,Исходн.данные.!$AH68=$BP$2),0,IF(BH68&lt;0,0,IF(OR(Исходн.данные.!T68=Расчет!$BP$1,Исходн.данные.!T68=Расчет!$BP$2,Исходн.данные.!T68=Расчет!$BT$5,Исходн.данные.!T68=Расчет!$BT$6),BH68*0.5,IF(OR(Исходн.данные.!T68=Расчет!$BS$9,Исходн.данные.!T68=Расчет!$BS$10,Исходн.данные.!T68=Расчет!$BS$11,Исходн.данные.!T68=Расчет!$BS$12,Исходн.данные.!T68=Расчет!$BP$5),BH68*0.8,BH68))))</f>
        <v>0</v>
      </c>
      <c r="BM68" s="10">
        <f>IF(OR(Исходн.данные.!$AH68=$BP$1,Исходн.данные.!$AH68=$BP$2),0,IF(BJ68&lt;0,0,IF(Исходн.данные.!I68&lt;4.5,BJ68*1.2,IF(Исходн.данные.!I68&gt;5.1,BJ68,BJ68*((5.1-Исходн.данные.!I68)*0.333+1)))))</f>
        <v>0</v>
      </c>
      <c r="BN68" s="10">
        <f>IF(OR(Исходн.данные.!$AH68=$BP$1,Исходн.данные.!$AH68=$BP$2),60-Исходн.данные.!AF68,IF(BK68&lt;0,0,IF(Исходн.данные.!I68&lt;4.5,BK68*1.2,IF(Исходн.данные.!I68&gt;5.1,BK68,BK68*((5.1-Исходн.данные.!I68)*0.333+1)))))</f>
        <v>0</v>
      </c>
      <c r="BO68" s="9">
        <f>IF(BL68&lt;0,0,BL68*Исходн.данные.!$AJ68/1000)</f>
        <v>0</v>
      </c>
      <c r="BP68" s="9">
        <f>IF(BM68&lt;0,0,BM68*Исходн.данные.!$AJ68/1000)</f>
        <v>0</v>
      </c>
      <c r="BQ68" s="9">
        <f>IF(BN68&lt;0,0,BN68*Исходн.данные.!$AJ68/1000)</f>
        <v>0</v>
      </c>
      <c r="BR68" s="9">
        <f t="shared" si="81"/>
        <v>0</v>
      </c>
      <c r="BS68" s="10" t="str">
        <f t="shared" si="82"/>
        <v>Аммофос 12:52:00</v>
      </c>
      <c r="BT68" s="10" t="str">
        <f t="shared" si="83"/>
        <v>Аммофос 12:52:00</v>
      </c>
      <c r="BU68" s="10" t="str">
        <f t="shared" si="84"/>
        <v>Диаммофоска</v>
      </c>
      <c r="BV68" s="10">
        <f t="shared" si="85"/>
        <v>0</v>
      </c>
      <c r="BW68" s="10"/>
      <c r="BX68" s="10"/>
      <c r="BY68" s="9">
        <f>IF(BL68&lt;0,0,IF(OR(Исходн.данные.!AI68=Расчет!$BU$6,Исходн.данные.!AI68=Расчет!$BU$7),Расчет!BV68,IF(Исходн.данные.!$AG68=$BV$11,BL68,IF(OR(Исходн.данные.!$AH68=$BQ$7,Исходн.данные.!$AH68=$BQ$8),CB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0,IF(Исходн.данные.!$AI68=$BU$11,"Нет",IF(BL68&gt;30,30,BL68)))))))</f>
        <v>0</v>
      </c>
      <c r="BZ68" s="9">
        <f>IF(AND(Исходн.данные.!$AG68=$BV$11,BM68&lt;10),10,IF(Исходн.данные.!$AG68=$BV$11,BM68,IF(OR(Исходн.данные.!$AH68=$BQ$7,Исходн.данные.!$AH68=$BQ$8),CC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10,IF(Исходн.данные.!$AI68=$BU$11,"Нет",IF(BM68&gt;60,60,IF(BM68&lt;10,10,BM68)))))))</f>
        <v>10</v>
      </c>
      <c r="CA68" s="39">
        <f>IF(BN68&lt;0,0,IF(Исходн.данные.!$AG68=$BV$11,BN68,IF(OR(Исходн.данные.!$AH68=$BQ$7,Исходн.данные.!$AH68=$BQ$8),CD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0,IF(Исходн.данные.!$AI68=$BU$11,"Нет",IF(BN68&gt;30,30,BN68))))))</f>
        <v>0</v>
      </c>
      <c r="CB68" s="9">
        <f t="shared" si="86"/>
        <v>0</v>
      </c>
      <c r="CC68" s="9">
        <f t="shared" si="87"/>
        <v>0</v>
      </c>
      <c r="CD68" s="9">
        <f t="shared" si="88"/>
        <v>0</v>
      </c>
      <c r="CE68" s="12">
        <f t="shared" si="89"/>
        <v>10</v>
      </c>
      <c r="CF68" s="9">
        <f t="shared" si="90"/>
        <v>0</v>
      </c>
      <c r="CG68" s="9" t="s">
        <v>231</v>
      </c>
      <c r="CH68" s="132" t="str">
        <f>IF(Исходн.данные.!AP68=Расчет!$CI$16,"Нет",IF(Исходн.данные.!AL68&gt;0,Исходн.данные.!AL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BH$4,IF(OR(Исходн.данные.!AI68=Исходн.данные.!$AI$6,Исходн.данные.!AI68=Исходн.данные.!$AI$7),Расчет!BS68,IF(AND($CF68=0,$CE68&gt;0),EV68,ER68)))))</f>
        <v>Аммофос 12:52:00</v>
      </c>
      <c r="CI68" s="274">
        <f>IF(Расчет!$CH68="Нет","Нет",IF(Исходн.данные.!$AL68&gt;0,VLOOKUP(Расчет!$CH68,АшламаДВ_Irekle,2,FALSE),VLOOKUP(Расчет!$CH68,АшламаДВ_Gomumy,2,FALSE)))</f>
        <v>0.12</v>
      </c>
      <c r="CJ68" s="274">
        <f>IF(Расчет!$CH68="Нет","Нет",IF(Исходн.данные.!$AL68&gt;0,VLOOKUP(Расчет!$CH68,АшламаДВ_Irekle,3,FALSE),VLOOKUP(Расчет!$CH68,АшламаДВ_Gomumy,3,FALSE)))</f>
        <v>0.52</v>
      </c>
      <c r="CK68" s="274">
        <f>IF(Расчет!$CH68="Нет","Нет",IF(Исходн.данные.!$AL68&gt;0,VLOOKUP(Расчет!$CH68,АшламаДВ_Irekle,4,FALSE),VLOOKUP(Расчет!$CH68,АшламаДВ_Gomumy,4,FALSE)))</f>
        <v>0</v>
      </c>
      <c r="CL68" s="70"/>
      <c r="CM68" s="70"/>
      <c r="CN68" s="70"/>
      <c r="CO68" s="70"/>
      <c r="CP68" s="70"/>
      <c r="CQ68" s="70"/>
      <c r="CR68" s="10">
        <f t="shared" si="91"/>
        <v>0</v>
      </c>
      <c r="CS68" s="10">
        <f t="shared" si="92"/>
        <v>19.23076923076923</v>
      </c>
      <c r="CT68" s="10">
        <f t="shared" si="93"/>
        <v>0</v>
      </c>
      <c r="CU68" s="39">
        <f>IF($CH68="Нет",0,IF(CI68=0,30/MIN(CJ68:CK68),IF(Исходн.данные.!$AG68=$BV$11,CR68,IF(OR(Исходн.данные.!$AH68=$BQ$7,Исходн.данные.!$AH68=$BQ$8),90/CI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0,IF(Исходн.данные.!$AI68=$BU$11,"Нет",30/CI68))))))</f>
        <v>250</v>
      </c>
      <c r="CV68" s="39">
        <f>IF($CH68="Нет",0,IF(Исходн.данные.!AH68=0,0,IF(CJ68=0,60/MIN(CI68,CK68),IF(Исходн.данные.!$AG68=$BV$11,CS68,IF(OR(Исходн.данные.!$AH68=$BQ$7,Исходн.данные.!$AH68=$BQ$8),90/CJ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10/CJ68,IF(Исходн.данные.!$AI68=$BU$11,"Нет",60/CJ68)))))))</f>
        <v>0</v>
      </c>
      <c r="CW68" s="39">
        <f>IF($CH68="Нет",0,IF(Исходн.данные.!AH68=0,0,IF(CK68=0,30/MIN(CI68:CJ68),IF(Исходн.данные.!$AG68=$BV$11,CT68,IF(OR(Исходн.данные.!$AH68=$BQ$7,Исходн.данные.!$AH68=$BQ$8),90/CK68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0,IF(Исходн.данные.!$AI68=$BU$11,"Нет",30/CK68)))))))</f>
        <v>0</v>
      </c>
      <c r="CX68" s="133">
        <f>IF(Исходн.данные.!$AG68=$BV$11,MAX(CU68:CW68),IF(OR(Исходн.данные.!$AH68=$BS$8,Исходн.данные.!$AH68=$BQ$9,Исходн.данные.!$AH68=$BQ$10,Исходн.данные.!$AH68=$BQ$11,Исходн.данные.!$AH68=$BQ$12,Исходн.данные.!$AH68=$BP$3,Исходн.данные.!$AH68=$BT$8,$FM68="Да"),CV68,MIN(CU68:CW68)))</f>
        <v>0</v>
      </c>
      <c r="CY68" s="133">
        <f>IF(Исходн.данные.!AH68=0,0,IF(CR68&gt;$CX68,$CX68,CR68))</f>
        <v>0</v>
      </c>
      <c r="CZ68" s="133">
        <f>IF(Исходн.данные.!AH68=0,0,IF(CS68&gt;$CX68,$CX68,CS68))</f>
        <v>0</v>
      </c>
      <c r="DA68" s="133">
        <f>IF(Исходн.данные.!AH68=0,0,IF(CT68&gt;$CX68,$CX68,CT68))</f>
        <v>0</v>
      </c>
      <c r="DB68" s="10">
        <f t="shared" si="94"/>
        <v>0</v>
      </c>
      <c r="DC68" s="39">
        <f>DB68*Исходн.данные.!AJ68/1000</f>
        <v>0</v>
      </c>
      <c r="DD68" s="71">
        <f t="shared" si="95"/>
        <v>0</v>
      </c>
      <c r="DE68" s="9">
        <f t="shared" si="96"/>
        <v>0</v>
      </c>
      <c r="DF68" s="9">
        <f t="shared" si="97"/>
        <v>0</v>
      </c>
      <c r="DG68" s="39">
        <f>IF(BL68&lt;0,0,IF($CH68="Нет",BL68,IF(OR(Исходн.данные.!$AH68=$BP$1,Исходн.данные.!$AH68=$BP$2),0,IF(Исходн.данные.!AI68=$BU$11,BL68,IF(BL68-DD68&lt;0,0,BL68-DD68)))))</f>
        <v>0</v>
      </c>
      <c r="DH68" s="39">
        <f>IF(BM68&lt;0,0,IF($CH68="Нет",BM68,IF(OR(Исходн.данные.!$AH68=$BP$1,Исходн.данные.!$AH68=$BP$2),0,IF(Исходн.данные.!AJ68=$BU$11,BM68,IF(BM68-DE68&lt;0,0,BM68-DE68)))))</f>
        <v>0</v>
      </c>
      <c r="DI68" s="39">
        <f>IF(BN68&lt;0,0,IF($CH68="Нет",BN68,IF(OR(Исходн.данные.!$AH68=$BP$1,Исходн.данные.!$AH68=$BP$2),0,IF(Исходн.данные.!AK68=$BU$11,BN68,IF(BN68-DF68&lt;0,0,BN68-DF68)))))</f>
        <v>0</v>
      </c>
      <c r="DJ68" s="12">
        <f t="shared" si="98"/>
        <v>0</v>
      </c>
      <c r="DK68" s="9">
        <f t="shared" si="99"/>
        <v>0</v>
      </c>
      <c r="DL68" s="39">
        <f>IF(Исходн.данные.!AM68&gt;0,Исходн.данные.!AM68,IF(EG68&gt;0,$BH$10,0))</f>
        <v>0</v>
      </c>
      <c r="DM68" s="186">
        <f>IF($DL68=0,0,IF(Исходн.данные.!AM68&gt;0,VLOOKUP($DL68,АшламаДВ_Irekle,2,FALSE),VLOOKUP($DL68,АшламаДВ_Gomumy,2,FALSE)))</f>
        <v>0</v>
      </c>
      <c r="DN68" s="10">
        <f t="shared" si="46"/>
        <v>0</v>
      </c>
      <c r="DO68" s="9" t="str">
        <f>IF(Исходн.данные.!AN68&gt;0,Исходн.данные.!AN68,Удобрения!$B$37 )</f>
        <v>Хлор.калий</v>
      </c>
      <c r="DP68" s="9">
        <f>IF(Исходн.данные.!AN68&gt;0,VLOOKUP(Исходн.данные.!AN68,АшламаДВ_Irekle,4,FALSE),VLOOKUP(DO68,АшламаДВ_Gomumy,4,FALSE))</f>
        <v>0.6</v>
      </c>
      <c r="DQ68" s="10">
        <f t="shared" si="47"/>
        <v>0</v>
      </c>
      <c r="DR68" s="132" t="str">
        <f>IF(Исходн.данные.!AO68&gt;0,Исходн.данные.!AO68,IF(DH68=0,BS$17,IF(AND($DK68=0,$DJ68&gt;0),EJ68,EN68)))</f>
        <v>Нет</v>
      </c>
      <c r="DS68" s="70" t="str">
        <f>IF($DR68="Нет","Нет",IF(Исходн.данные.!$AO68&gt;0,VLOOKUP($DR68,АшламаДВ_Irekle,2,FALSE),VLOOKUP($DR68,АшламаДВ_Gomumy,2,FALSE)))</f>
        <v>Нет</v>
      </c>
      <c r="DT68" s="70" t="str">
        <f>IF($DR68="Нет","Нет",IF(Исходн.данные.!$AO68&gt;0,VLOOKUP($DR68,АшламаДВ_Irekle,3,FALSE),VLOOKUP($DR68,АшламаДВ_Gomumy,3,FALSE)))</f>
        <v>Нет</v>
      </c>
      <c r="DU68" s="70" t="str">
        <f>IF($DR68="Нет","Нет",IF(Исходн.данные.!$AO68&gt;0,VLOOKUP($DR68,АшламаДВ_Irekle,4,FALSE),VLOOKUP($DR68,АшламаДВ_Gomumy,4,FALSE)))</f>
        <v>Нет</v>
      </c>
      <c r="DV68" s="70"/>
      <c r="DW68" s="70"/>
      <c r="DX68" s="70"/>
      <c r="DY68" s="10">
        <f t="shared" si="100"/>
        <v>0</v>
      </c>
      <c r="DZ68" s="10">
        <f t="shared" si="101"/>
        <v>0</v>
      </c>
      <c r="EA68" s="10">
        <f t="shared" si="102"/>
        <v>0</v>
      </c>
      <c r="EB68" s="10">
        <f t="shared" si="103"/>
        <v>0</v>
      </c>
      <c r="EC68" s="10">
        <f t="shared" si="104"/>
        <v>0</v>
      </c>
      <c r="ED68" s="10">
        <f t="shared" si="105"/>
        <v>0</v>
      </c>
      <c r="EE68" s="10">
        <f t="shared" si="106"/>
        <v>0</v>
      </c>
      <c r="EF68" s="39">
        <f>EB68*Исходн.данные.!AJ68/1000</f>
        <v>0</v>
      </c>
      <c r="EG68" s="9">
        <f t="shared" si="107"/>
        <v>0</v>
      </c>
      <c r="EH68" s="9">
        <f t="shared" si="108"/>
        <v>0</v>
      </c>
      <c r="EI68" s="39" t="e">
        <f t="shared" si="7"/>
        <v>#DIV/0!</v>
      </c>
      <c r="EJ68" s="9" t="str">
        <f t="shared" si="8"/>
        <v>Азопреципитат</v>
      </c>
      <c r="EK68" s="12">
        <f t="shared" si="9"/>
        <v>0.26</v>
      </c>
      <c r="EL68" s="12">
        <f t="shared" si="10"/>
        <v>0.13</v>
      </c>
      <c r="EM68" s="12">
        <f t="shared" si="11"/>
        <v>0</v>
      </c>
      <c r="EN68" s="12" t="str">
        <f t="shared" si="57"/>
        <v>Нет</v>
      </c>
      <c r="EO68" s="12">
        <f t="shared" si="12"/>
        <v>0</v>
      </c>
      <c r="EP68" s="12">
        <f t="shared" si="13"/>
        <v>0</v>
      </c>
      <c r="EQ68" s="12">
        <f t="shared" si="14"/>
        <v>0</v>
      </c>
      <c r="ER68" s="12" t="str">
        <f t="shared" si="109"/>
        <v>Диаммофоска</v>
      </c>
      <c r="ES68" s="12">
        <f t="shared" si="15"/>
        <v>0.1</v>
      </c>
      <c r="ET68" s="12">
        <f t="shared" si="16"/>
        <v>0.26</v>
      </c>
      <c r="EU68" s="12">
        <f t="shared" si="17"/>
        <v>0.26</v>
      </c>
      <c r="EV68" s="12" t="str">
        <f t="shared" si="110"/>
        <v>Аммофос 12:52:00</v>
      </c>
      <c r="EW68" s="12" t="str">
        <f t="shared" si="111"/>
        <v>Кемира Свекловичное-6</v>
      </c>
      <c r="EX68" s="12">
        <f t="shared" si="18"/>
        <v>0.16</v>
      </c>
      <c r="EY68" s="12">
        <f t="shared" si="19"/>
        <v>0.12</v>
      </c>
      <c r="EZ68" s="12">
        <f t="shared" si="20"/>
        <v>0.17</v>
      </c>
      <c r="FA68" s="38" t="e">
        <f>IF(AND(OR(FJ68=$FD$1,FM68=$FD$1,FO68=$FD$1,FQ68=$FD$1,FS68=$FD$1),FD68=$FD$1,Исходн.данные.!J68&lt;2,FU68=$FD$1),"Бор,Кобальт",IF(AND(FO68=$FD$1,FH68=$FD$1,Исходн.данные.!J68&lt;2,FU68=$FD$1),"Бор,Кобальт",IF(AND(OR(FJ68=$FD$1,FM68=$FD$1,FQ68=$FD$1),FE68=$FD$1,Исходн.данные.!J68&lt;2,FT68=$FD$1,FU68=$FD$1),"Бор,Медь,Цинк",IF(AND(OR(FJ68=$FD$1,FR68="Да"),FI68="Да",Исходн.данные.!J68&lt;2,FT68="Да",FU68="Да"),"Бор,Цинк,Медь",IF(AND(OR(FM68="Да",FQ68="Да"),FI68="Да",Исходн.данные.!J68&lt;2,FT68="Да",FU68="Да"),"Бор,Цинк",IF(AND(FN68="Да",OR(FD68="Да",FE68="Да")),"Бор",FB68))))))</f>
        <v>#N/A</v>
      </c>
      <c r="FB68" s="134" t="e">
        <f>IF(AND(OR(FD68="Да",FE68="Да",FF68="Да",FG68="Да",FH68="Да"),FO68="Да"),"Бор",IF(AND(FP68="Да",OR(FD68="Да",FE68="Да",FI68="Да")),"Бор",IF(AND(FS68="Да",FE68="Да"),"Бор,Медь",IF(AND(OR(FJ68="Да",FK68="Да",FL68="Да"),FE68="Да",Исходн.данные.!I68&lt;5,FT68="Да",FU68="Да"),"Молибден,Цинк",IF(AND(FM68="Да",OR(FE68="Да",FF68="Да",FG68="Да",FH68="Да",FI68="Да")),"Молибден,Цинк",IF(AND(OR(FJ68="Да",FK68="Да",FL68="Да",FM68="Да",FQ68="Да"),OR(FE68="Да",FF68="Да"),FT68="Да",FU68="Да",Исходн.данные.!I68&gt;5.5),"Медь,Цинк",FC68))))))</f>
        <v>#N/A</v>
      </c>
      <c r="FC68" s="23" t="e">
        <f t="shared" si="112"/>
        <v>#N/A</v>
      </c>
      <c r="FD68" s="38" t="str">
        <f>IF(OR(Исходн.данные.!F68=$CC$1,Исходн.данные.!F68=$CC$2,Исходн.данные.!F68=$CC$3,Исходн.данные.!F68=$CC$4),"Да","Нет")</f>
        <v>Нет</v>
      </c>
      <c r="FE68" s="38" t="str">
        <f>IF(Исходн.данные.!F68=$CC$5,"Да","Нет")</f>
        <v>Нет</v>
      </c>
      <c r="FF68" s="38" t="str">
        <f>IF(OR(Исходн.данные.!F68=$CC$6,Исходн.данные.!F68=$CC$7),"Да","Нет")</f>
        <v>Нет</v>
      </c>
      <c r="FG68" s="38" t="str">
        <f>IF(OR(Исходн.данные.!F68=$CC$8,Исходн.данные.!F68=$CC$9),"Да","Нет")</f>
        <v>Нет</v>
      </c>
      <c r="FH68" s="38" t="str">
        <f>IF(Исходн.данные.!F68=$CC$10,"Да","Нет")</f>
        <v>Нет</v>
      </c>
      <c r="FI68" s="38" t="str">
        <f>IF(OR(Исходн.данные.!F68=$CC$11,Исходн.данные.!F68=$CC$12),"Да","Нет")</f>
        <v>Нет</v>
      </c>
      <c r="FJ68" s="38" t="str">
        <f>IF(OR(Исходн.данные.!AH68=$BS$1,Исходн.данные.!AH68=$BQ$11,Исходн.данные.!AH68=$BQ$12),"Да","Нет")</f>
        <v>Нет</v>
      </c>
      <c r="FK68" s="38" t="str">
        <f>IF(OR(Исходн.данные.!AH68=$BS$2,Исходн.данные.!AH68=$BS$4),"Да","Нет")</f>
        <v>Нет</v>
      </c>
      <c r="FL68" s="38" t="str">
        <f>IF(OR(Исходн.данные.!AH68=$BS$3,Исходн.данные.!AH68=$BS$5),"Да","Нет")</f>
        <v>Нет</v>
      </c>
      <c r="FM68" s="38" t="str">
        <f>IF(OR(Исходн.данные.!AH68=$BS$9,Исходн.данные.!AH68=$BS$10,Исходн.данные.!AH68=$BS$11,Исходн.данные.!AH68=$BS$12),"Да","Нет")</f>
        <v>Нет</v>
      </c>
      <c r="FN68" s="38" t="str">
        <f>IF(OR(Исходн.данные.!AH68=$BS$6,Исходн.данные.!AH68=$BP$3),"Да","Нет")</f>
        <v>Нет</v>
      </c>
      <c r="FO68" s="38" t="str">
        <f>IF(Исходн.данные.!AH68=$BQ$9,"Да","Нет")</f>
        <v>Нет</v>
      </c>
      <c r="FP68" s="38" t="str">
        <f>IF(OR(Исходн.данные.!AH68=$BS$8,Исходн.данные.!AH68=$BT$8),"Да","Нет")</f>
        <v>Нет</v>
      </c>
      <c r="FQ68" s="38" t="str">
        <f>IF(OR(Исходн.данные.!AH68=$BQ$7,Исходн.данные.!AH68=$BQ$8),"Да","Нет")</f>
        <v>Нет</v>
      </c>
      <c r="FR68" s="38" t="str">
        <f>IF(Исходн.данные.!AI68=$BU$9,"Да","Нет")</f>
        <v>Нет</v>
      </c>
      <c r="FS68" s="38" t="str">
        <f>IF(OR(Исходн.данные.!AH68=$BP$1,Исходн.данные.!AH68=$BP$2),"Да","Нет")</f>
        <v>Нет</v>
      </c>
      <c r="FT68" s="38" t="e">
        <f>IF((Исходн.данные.!K68*GO68*GS68*GW68+BL68*0.6+Исходн.данные.!Q68*4.5*0.275)&gt;90,"Да","Нет")</f>
        <v>#N/A</v>
      </c>
      <c r="FU68" s="38" t="e">
        <f>IF((Исходн.данные.!M68*GS68*GZ68+BM68*0.225)&gt;35,"Да","Нет")</f>
        <v>#N/A</v>
      </c>
      <c r="FV68" s="38" t="str">
        <f>IF(Исходн.данные.!O68&gt;175,"Да","Нет")</f>
        <v>Нет</v>
      </c>
      <c r="FW68" s="39" t="str">
        <f>IF(Исходн.данные.!I68&gt;5.5,"Да","Нет")</f>
        <v>Нет</v>
      </c>
      <c r="FX68" s="39" t="str">
        <f>IF(Исходн.данные.!J68&lt;2,"Да","Нет")</f>
        <v>Да</v>
      </c>
      <c r="FY68" s="39" t="e">
        <f>IF(HF68=$FY$16,0,Исходн.данные.!K68*GO68*GS68*GW68/HF68)</f>
        <v>#N/A</v>
      </c>
      <c r="FZ68" s="39" t="e">
        <f>Исходн.данные.!M68*GS68*GZ68/HG68</f>
        <v>#N/A</v>
      </c>
      <c r="GA68" s="39" t="e">
        <f>IF(K_Wyn=$FY$16,0,IF(Исходн.данные.!N68=Исходн.данные.!$L$10,Исходн.данные.!O68/1.1*GS68*HC68/HH68,IF(Исходн.данные.!N68=Исходн.данные.!$L$12,Исходн.данные.!O68/1.5*GS68*HC68/HH68,Исходн.данные.!O68*GS68*HC68/HH68)))</f>
        <v>#N/A</v>
      </c>
      <c r="GB68" s="39" t="e">
        <f>IF(HF68=$FY$16,0,((Исходн.данные.!Q68*N_Org+Исходн.данные.!R68*N_Sider+Исходн.данные.!S68*N_Soloma)*AO68+Расчет!BC68*VLOOKUP(Исходн.данные.!T68,Справ!$A$3:$O$57,15)*AO68+BB68*VLOOKUP(Исходн.данные.!T68,Справ!$A$3:$O$57,15)*AL68+(Исходн.данные.!V68*N_Rizotorf+Исходн.данные.!W68*N_Rizoagr))/HF68)</f>
        <v>#N/A</v>
      </c>
      <c r="GC68" s="39" t="e">
        <f>IF(HG68=$FY$16,0,((Исходн.данные.!Q68*Р_Org+Исходн.данные.!R68*P_Sider+Исходн.данные.!S68*P_Soloma)*AP68+Расчет!BC68*VLOOKUP(Исходн.данные.!T68,Справ!$A$3:$P$57,16)*AP68+BB68*VLOOKUP(Исходн.данные.!T68,Справ!$A$3:$P$57,16)*AM68)/HG68)</f>
        <v>#N/A</v>
      </c>
      <c r="GD68" s="39" t="e">
        <f>IF(HH68=$FY$16,0,((Исходн.данные.!Q68*К_Org+Исходн.данные.!R68*K_Sider+Исходн.данные.!S68*K_Soloma)*AQ68+Расчет!BC68*VLOOKUP(Исходн.данные.!T68,Справ!$A$3:$Q$57,17)*AQ68+BB68*VLOOKUP(Исходн.данные.!T68,Справ!$A$3:$Q$57,17)*AN68)/HH68)</f>
        <v>#N/A</v>
      </c>
      <c r="GE68" s="39" t="e">
        <f>IF(HF68=$FY$16,0,(Исходн.данные.!X68*AR68+Исходн.данные.!AA68*N_Org*AL68+Исходн.данные.!AB68*N_Sider*AL68+Исходн.данные.!AC68*N_Soloma*AL68)/HF68)</f>
        <v>#N/A</v>
      </c>
      <c r="GF68" s="39" t="e">
        <f>IF(HG68=$FY$16,0,(Исходн.данные.!Y68*AS68+Исходн.данные.!AA68*Р_Org*AM68+Исходн.данные.!AB68*P_Sider*AM68+Исходн.данные.!AC68*P_Soloma*AM68)/HG68)</f>
        <v>#N/A</v>
      </c>
      <c r="GG68" s="39" t="e">
        <f>IF(HH68=$FY$16,0,(Исходн.данные.!Z68*AT68+Исходн.данные.!AA68*К_Org*AN68+Исходн.данные.!AB68*K_Sider*AN68+Исходн.данные.!AC68*K_Soloma*AN68)/HH68)</f>
        <v>#N/A</v>
      </c>
      <c r="GH68" s="39" t="e">
        <f>Исходн.данные.!AD68*AU68/HF68</f>
        <v>#N/A</v>
      </c>
      <c r="GI68" s="39" t="e">
        <f>Исходн.данные.!AE68*AV68/HG68</f>
        <v>#N/A</v>
      </c>
      <c r="GJ68" s="39" t="e">
        <f>Исходн.данные.!AF68*AW68/HH68</f>
        <v>#N/A</v>
      </c>
      <c r="GK68" s="55">
        <f>Исходн.данные.!AK68</f>
        <v>0</v>
      </c>
      <c r="GL68" s="11" t="e">
        <f t="shared" si="113"/>
        <v>#N/A</v>
      </c>
      <c r="GM68" s="11" t="e">
        <f t="shared" si="114"/>
        <v>#N/A</v>
      </c>
      <c r="GN68" s="11" t="e">
        <f t="shared" si="115"/>
        <v>#N/A</v>
      </c>
      <c r="GO68" s="57">
        <f t="shared" si="116"/>
        <v>19</v>
      </c>
      <c r="GP68" s="55">
        <f>IF(OR(Исходн.данные.!F68=$CE$1,Исходн.данные.!F68=$CE$2,Исходн.данные.!F68=$CE$3,Исходн.данные.!F68=$CE$4,Исходн.данные.!F68=$CE$5),GQ68,GR68)</f>
        <v>19</v>
      </c>
      <c r="GQ68" s="55">
        <f>IF(Исходн.данные.!F68=$CE$1,28,IF(Исходн.данные.!F68=$CE$2,26,IF(Исходн.данные.!F68=$CE$3,24,IF(Исходн.данные.!F68=$CE$4,22,IF(Исходн.данные.!F68=$CE$5,20,GR68)))))</f>
        <v>19</v>
      </c>
      <c r="GR68" s="55">
        <f>IF(Исходн.данные.!F68=$CE$6,18,IF(Исходн.данные.!F68=$CE$7,16,IF(Исходн.данные.!F68=$CE$8,14,IF(Исходн.данные.!F68=$CE$9,13,IF(Исходн.данные.!F68=$CE$10,12,19)))))</f>
        <v>19</v>
      </c>
      <c r="GS68" s="55">
        <f>IF(Исходн.данные.!G68="Пес",0.035*(40+2*Исходн.данные.!H68),IF(Исходн.данные.!G68="Суп",0.0325*(40+2*Исходн.данные.!H68),0.03*(40+2*Исходн.данные.!H68)))</f>
        <v>1.2</v>
      </c>
      <c r="GT68" s="55">
        <f>IF(Исходн.данные.!H68&lt;23,2.6,IF(AND(Исходн.данные.!H68&gt;22,Исходн.данные.!H68&lt;26),3,IF(AND(Исходн.данные.!H68&gt;25,Исходн.данные.!H68&lt;29),3.4,3.6)))</f>
        <v>2.6</v>
      </c>
      <c r="GU68" s="55">
        <f>IF(Исходн.данные.!H68&lt;23,2.8,IF(AND(Исходн.данные.!H68&gt;22,Исходн.данные.!H68&lt;26),3.2,IF(AND(Исходн.данные.!H68&gt;25,Исходн.данные.!H68&lt;29),3.6,3.9)))</f>
        <v>2.8</v>
      </c>
      <c r="GV68" s="55">
        <f>IF(Исходн.данные.!H68&lt;23,3,IF(AND(Исходн.данные.!H68&gt;22,Исходн.данные.!H68&lt;26),3.5,IF(AND(Исходн.данные.!H68&gt;25,Исходн.данные.!H68&lt;29),3.9,4.2)))</f>
        <v>3</v>
      </c>
      <c r="GW68" s="55" t="e">
        <f>IF(Исходн.данные.!P68="Ум",GX68,GY68)</f>
        <v>#N/A</v>
      </c>
      <c r="GX68" s="55" t="e">
        <f>VLOOKUP(Исходн.данные.!AI68,Коэффициенты!$J$7:$L$13,2,FALSE)</f>
        <v>#N/A</v>
      </c>
      <c r="GY68" s="55" t="e">
        <f>VLOOKUP(Исходн.данные.!AI68,Коэффициенты!$J$7:$L$13,3,FALSE)</f>
        <v>#N/A</v>
      </c>
      <c r="GZ68" s="55" t="e">
        <f>(IF(Исходн.данные.!M68&lt;50,0.11*VLOOKUP(Исходн.данные.!AH68,Культуры.Информация,7,FALSE),IF(Исходн.данные.!M68&gt;250,0.05*VLOOKUP(Исходн.данные.!AH68,Культуры.Информация,7,FALSE),VLOOKUP(Исходн.данные.!AH68,Культуры.Информация,5,FALSE)/100*($GX$6+$GY$6*Исходн.данные.!M68))))*Расчет2!AI68</f>
        <v>#N/A</v>
      </c>
      <c r="HA68" s="211"/>
      <c r="HB68" s="211"/>
      <c r="HC68" s="55" t="e">
        <f>(IF(Исходн.данные.!O68&lt;80,0.2*VLOOKUP(Исходн.данные.!AH68,Культуры.Информация,8,FALSE),IF(Исходн.данные.!O68&gt;240,0.09*VLOOKUP(Исходн.данные.!AH68,Культуры.Информация,8,FALSE),VLOOKUP(Исходн.данные.!AH68,Культуры.Информация,6,FALSE)/100*($HB$6+$HC$6*Исходн.данные.!O68))))*Расчет2!AJ68</f>
        <v>#N/A</v>
      </c>
      <c r="HD68" s="55">
        <f>IF(Исходн.данные.!O68&gt;240,0.09,IF(Исходн.данные.!O68&lt;30,0.3,$HE$10+$HD$10*Исходн.данные.!O68))</f>
        <v>0.3</v>
      </c>
      <c r="HE68" s="55">
        <f>IF(Исходн.данные.!O68&gt;240,0.17,IF(Исходн.данные.!O68&lt;30,0.5,$HF$12+$HE$12*Исходн.данные.!O68))</f>
        <v>0.5</v>
      </c>
      <c r="HF68" s="55" t="e">
        <f>VLOOKUP(Исходн.данные.!AH68,Справ!$A$3:$D$58,2,FALSE)</f>
        <v>#N/A</v>
      </c>
      <c r="HG68" s="55" t="e">
        <f>VLOOKUP(Исходн.данные.!AH68,Справ!$A$3:$D$58,3,FALSE)</f>
        <v>#N/A</v>
      </c>
      <c r="HH68" s="55" t="e">
        <f>VLOOKUP(Исходн.данные.!AH68,Справ!$A$3:$D$58,4,FALSE)</f>
        <v>#N/A</v>
      </c>
      <c r="HI68" s="11" t="e">
        <f t="shared" si="117"/>
        <v>#N/A</v>
      </c>
      <c r="HJ68" s="11" t="e">
        <f t="shared" si="118"/>
        <v>#N/A</v>
      </c>
      <c r="HK68" s="11" t="e">
        <f t="shared" si="119"/>
        <v>#N/A</v>
      </c>
      <c r="HL68" s="55">
        <f>IF(OR(Исходн.данные.!G68="Глин",Исходн.данные.!G68="Т_суг"),1.1,IF(Исходн.данные.!G68="Ср_суг",1,1))</f>
        <v>1</v>
      </c>
      <c r="HM68" s="55">
        <f>IF(OR(Исходн.данные.!G68="Глин",Исходн.данные.!G68="Т_суг"),0.9,IF(Исходн.данные.!G68="Ср_суг",1,1.2))</f>
        <v>1.2</v>
      </c>
      <c r="HN68" s="11" t="e">
        <f t="shared" si="120"/>
        <v>#N/A</v>
      </c>
      <c r="HO68" s="11" t="e">
        <f t="shared" si="121"/>
        <v>#N/A</v>
      </c>
      <c r="HP68" s="11" t="e">
        <f t="shared" si="122"/>
        <v>#N/A</v>
      </c>
      <c r="HQ68" t="e">
        <f t="shared" si="123"/>
        <v>#N/A</v>
      </c>
      <c r="HR68" t="e">
        <f t="shared" si="124"/>
        <v>#N/A</v>
      </c>
      <c r="HS68" t="e">
        <f t="shared" si="125"/>
        <v>#N/A</v>
      </c>
      <c r="HT68" t="e">
        <f t="shared" si="21"/>
        <v>#N/A</v>
      </c>
      <c r="HU68" t="e">
        <f t="shared" si="22"/>
        <v>#N/A</v>
      </c>
      <c r="HV68" t="e">
        <f t="shared" si="23"/>
        <v>#N/A</v>
      </c>
      <c r="HW68" t="e">
        <f t="shared" si="24"/>
        <v>#N/A</v>
      </c>
      <c r="HX68" t="e">
        <f t="shared" si="25"/>
        <v>#N/A</v>
      </c>
      <c r="HY68" t="e">
        <f t="shared" si="26"/>
        <v>#N/A</v>
      </c>
      <c r="HZ68" s="55">
        <f>IF(OR(Исходн.данные.!AI68="Оз_Ч_П",Исходн.данные.!AI68="Оз_З_П",Исходн.данные.!AI68="Яр_зер"),12,30)</f>
        <v>30</v>
      </c>
      <c r="IA68" t="e">
        <f t="shared" si="126"/>
        <v>#N/A</v>
      </c>
      <c r="IB68" t="e">
        <f t="shared" si="127"/>
        <v>#N/A</v>
      </c>
      <c r="IC68" t="e">
        <f t="shared" si="128"/>
        <v>#N/A</v>
      </c>
      <c r="ID68" s="11" t="e">
        <f t="shared" si="129"/>
        <v>#N/A</v>
      </c>
      <c r="IE68" s="11" t="e">
        <f t="shared" si="130"/>
        <v>#N/A</v>
      </c>
      <c r="IF68" s="11" t="e">
        <f t="shared" si="131"/>
        <v>#N/A</v>
      </c>
    </row>
    <row r="69" spans="35:240" x14ac:dyDescent="0.2">
      <c r="AI69">
        <f>IF(Исходн.данные.!I69&gt;6,1,1.85-(0.148*Исходн.данные.!I69))</f>
        <v>1.85</v>
      </c>
      <c r="AJ69">
        <f>IF(Исходн.данные.!I69&gt;6,1,2.434-(0.246*Исходн.данные.!I69))</f>
        <v>2.4340000000000002</v>
      </c>
      <c r="AL69" s="148" t="b">
        <f>IF(Исходн.данные.!$P69="Ум",N_OrgUd_2g_um,IF(Исходн.данные.!$P69="Об",N_OrgUd_2g_ob))</f>
        <v>0</v>
      </c>
      <c r="AM69" s="148" t="b">
        <f>IF(Исходн.данные.!$P69="Ум",P_OrgUd_2g_um,IF(Исходн.данные.!$P69="Об",P_OrgUd_2g_ob))</f>
        <v>0</v>
      </c>
      <c r="AN69" s="148" t="b">
        <f>IF(Исходн.данные.!$P69="Ум",K_OrgUd_2g_um,IF(Исходн.данные.!$P69="Об",K_OrgUd_2g_ob))</f>
        <v>0</v>
      </c>
      <c r="AO69" s="148" t="b">
        <f>IF(Исходн.данные.!$P69="Ум",N_OrgUd_1g_um,IF(Исходн.данные.!$P69="Об",N_OrgUd_1g_ob))</f>
        <v>0</v>
      </c>
      <c r="AP69" s="148" t="b">
        <f>IF(Исходн.данные.!$P69="Ум",P_OrgUd_1g_um,IF(Исходн.данные.!$P69="Об",P_OrgUd_1g_ob))</f>
        <v>0</v>
      </c>
      <c r="AQ69" s="148" t="b">
        <f>IF(Исходн.данные.!$P69="Ум",K_OrgUd_1g_um,IF(Исходн.данные.!$P69="Об",K_OrgUd_1g_ob))</f>
        <v>0</v>
      </c>
      <c r="AR69" t="b">
        <f>IF(Исходн.данные.!$P69="Ум",N_MinUd_2g_um,IF(Исходн.данные.!$P69="Об",N_MinUd_2g_ob))</f>
        <v>0</v>
      </c>
      <c r="AS69" t="b">
        <f>IF(Исходн.данные.!$P69="Ум",P_MinUd_2g_um,IF(Исходн.данные.!$P69="Об",P_MinUd_2g_ob))</f>
        <v>0</v>
      </c>
      <c r="AT69" t="b">
        <f>IF(Исходн.данные.!$P69="Ум",K_MinUd_2g_um,IF(Исходн.данные.!$P69="Об",K_MinUd_2g_ob))</f>
        <v>0</v>
      </c>
      <c r="AU69" t="b">
        <f>IF(Исходн.данные.!$P69="Ум",N_MinUd_1g_um,IF(Исходн.данные.!$P69="Об",N_MinUd_1g_ob))</f>
        <v>0</v>
      </c>
      <c r="AV69" t="b">
        <f>IF(Исходн.данные.!P69="Ум",P_MinUd_1g_um,IF(Исходн.данные.!P69="Об",P_MinUd_1g_ob))</f>
        <v>0</v>
      </c>
      <c r="AW69" t="b">
        <f>IF(Исходн.данные.!P69="Ум",K_MinUd_1g_um,IF(Исходн.данные.!P69="Об",K_MinUd_1g_ob))</f>
        <v>0</v>
      </c>
      <c r="AY69" t="e">
        <f>VLOOKUP(Исходн.данные.!T69,Справ!$A$3:$N$57,12)</f>
        <v>#N/A</v>
      </c>
      <c r="AZ69" t="e">
        <f>VLOOKUP(Исходн.данные.!T69,Справ!$A$3:$N$57,13)</f>
        <v>#N/A</v>
      </c>
      <c r="BA69" t="e">
        <f>VLOOKUP(Исходн.данные.!T69,Справ!$A$3:$N$57,14)</f>
        <v>#N/A</v>
      </c>
      <c r="BB69">
        <f>IF(Исходн.данные.!AH69=0,0,25)</f>
        <v>0</v>
      </c>
      <c r="BC69" s="141">
        <f>IF(Исходн.данные.!AH69=0,0,IF(Исходн.данные.!T69=0,25,BD69))</f>
        <v>0</v>
      </c>
      <c r="BD69" s="168" t="e">
        <f>AY69+AZ69*Исходн.данные.!U69-POWER(BA69,2)*Исходн.данные.!U69</f>
        <v>#N/A</v>
      </c>
      <c r="BE6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69" s="25">
        <f>IF(Исходн.данные.!AH69=0,0,MIN(HN69:HP69))</f>
        <v>0</v>
      </c>
      <c r="BG69" s="9">
        <f>IF(Исходн.данные.!AH69=0,0,IF((HO69+10*0.25/HG69/HL69)&lt;17,17,HO69+10*0.25/HG69/HL69))</f>
        <v>0</v>
      </c>
      <c r="BH69" s="181">
        <f>IF(Исходн.данные.!AH69=0,0,HW69*HF69*HL69/AU69*AI69+Исходн.данные.!S69*10)</f>
        <v>0</v>
      </c>
      <c r="BI69" s="10"/>
      <c r="BJ69" s="182">
        <f>IF(Исходн.данные.!AH69=0,0,IF(HX69*HG69*HL69/AV69&lt;0,0,HX69*HG69*HL69/AV69*AJ69))</f>
        <v>0</v>
      </c>
      <c r="BK69" s="182">
        <f>IF(Исходн.данные.!AH69=0,0,HY69*HH69*HM69/AW69)</f>
        <v>0</v>
      </c>
      <c r="BL69" s="10">
        <f>IF(OR(Исходн.данные.!$AH69=$BP$1,Исходн.данные.!$AH69=$BP$2),0,IF(BH69&lt;0,0,IF(OR(Исходн.данные.!T69=Расчет!$BP$1,Исходн.данные.!T69=Расчет!$BP$2,Исходн.данные.!T69=Расчет!$BT$5,Исходн.данные.!T69=Расчет!$BT$6),BH69*0.5,IF(OR(Исходн.данные.!T69=Расчет!$BS$9,Исходн.данные.!T69=Расчет!$BS$10,Исходн.данные.!T69=Расчет!$BS$11,Исходн.данные.!T69=Расчет!$BS$12,Исходн.данные.!T69=Расчет!$BP$5),BH69*0.8,BH69))))</f>
        <v>0</v>
      </c>
      <c r="BM69" s="10">
        <f>IF(OR(Исходн.данные.!$AH69=$BP$1,Исходн.данные.!$AH69=$BP$2),0,IF(BJ69&lt;0,0,IF(Исходн.данные.!I69&lt;4.5,BJ69*1.2,IF(Исходн.данные.!I69&gt;5.1,BJ69,BJ69*((5.1-Исходн.данные.!I69)*0.333+1)))))</f>
        <v>0</v>
      </c>
      <c r="BN69" s="10">
        <f>IF(OR(Исходн.данные.!$AH69=$BP$1,Исходн.данные.!$AH69=$BP$2),60-Исходн.данные.!AF69,IF(BK69&lt;0,0,IF(Исходн.данные.!I69&lt;4.5,BK69*1.2,IF(Исходн.данные.!I69&gt;5.1,BK69,BK69*((5.1-Исходн.данные.!I69)*0.333+1)))))</f>
        <v>0</v>
      </c>
      <c r="BO69" s="9">
        <f>IF(BL69&lt;0,0,BL69*Исходн.данные.!$AJ69/1000)</f>
        <v>0</v>
      </c>
      <c r="BP69" s="9">
        <f>IF(BM69&lt;0,0,BM69*Исходн.данные.!$AJ69/1000)</f>
        <v>0</v>
      </c>
      <c r="BQ69" s="9">
        <f>IF(BN69&lt;0,0,BN69*Исходн.данные.!$AJ69/1000)</f>
        <v>0</v>
      </c>
      <c r="BR69" s="9">
        <f t="shared" si="81"/>
        <v>0</v>
      </c>
      <c r="BS69" s="10" t="str">
        <f t="shared" si="82"/>
        <v>Аммофос 12:52:00</v>
      </c>
      <c r="BT69" s="10" t="str">
        <f t="shared" si="83"/>
        <v>Аммофос 12:52:00</v>
      </c>
      <c r="BU69" s="10" t="str">
        <f t="shared" si="84"/>
        <v>Диаммофоска</v>
      </c>
      <c r="BV69" s="10">
        <f t="shared" si="85"/>
        <v>0</v>
      </c>
      <c r="BW69" s="10"/>
      <c r="BX69" s="10"/>
      <c r="BY69" s="9">
        <f>IF(BL69&lt;0,0,IF(OR(Исходн.данные.!AI69=Расчет!$BU$6,Исходн.данные.!AI69=Расчет!$BU$7),Расчет!BV69,IF(Исходн.данные.!$AG69=$BV$11,BL69,IF(OR(Исходн.данные.!$AH69=$BQ$7,Исходн.данные.!$AH69=$BQ$8),CB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0,IF(Исходн.данные.!$AI69=$BU$11,"Нет",IF(BL69&gt;30,30,BL69)))))))</f>
        <v>0</v>
      </c>
      <c r="BZ69" s="9">
        <f>IF(AND(Исходн.данные.!$AG69=$BV$11,BM69&lt;10),10,IF(Исходн.данные.!$AG69=$BV$11,BM69,IF(OR(Исходн.данные.!$AH69=$BQ$7,Исходн.данные.!$AH69=$BQ$8),CC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10,IF(Исходн.данные.!$AI69=$BU$11,"Нет",IF(BM69&gt;60,60,IF(BM69&lt;10,10,BM69)))))))</f>
        <v>10</v>
      </c>
      <c r="CA69" s="39">
        <f>IF(BN69&lt;0,0,IF(Исходн.данные.!$AG69=$BV$11,BN69,IF(OR(Исходн.данные.!$AH69=$BQ$7,Исходн.данные.!$AH69=$BQ$8),CD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0,IF(Исходн.данные.!$AI69=$BU$11,"Нет",IF(BN69&gt;30,30,BN69))))))</f>
        <v>0</v>
      </c>
      <c r="CB69" s="9">
        <f t="shared" si="86"/>
        <v>0</v>
      </c>
      <c r="CC69" s="9">
        <f t="shared" si="87"/>
        <v>0</v>
      </c>
      <c r="CD69" s="9">
        <f t="shared" si="88"/>
        <v>0</v>
      </c>
      <c r="CE69" s="12">
        <f t="shared" si="89"/>
        <v>10</v>
      </c>
      <c r="CF69" s="9">
        <f t="shared" si="90"/>
        <v>0</v>
      </c>
      <c r="CG69" s="9" t="s">
        <v>231</v>
      </c>
      <c r="CH69" s="132" t="str">
        <f>IF(Исходн.данные.!AP69=Расчет!$CI$16,"Нет",IF(Исходн.данные.!AL69&gt;0,Исходн.данные.!AL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BH$4,IF(OR(Исходн.данные.!AI69=Исходн.данные.!$AI$6,Исходн.данные.!AI69=Исходн.данные.!$AI$7),Расчет!BS69,IF(AND($CF69=0,$CE69&gt;0),EV69,ER69)))))</f>
        <v>Аммофос 12:52:00</v>
      </c>
      <c r="CI69" s="274">
        <f>IF(Расчет!$CH69="Нет","Нет",IF(Исходн.данные.!$AL69&gt;0,VLOOKUP(Расчет!$CH69,АшламаДВ_Irekle,2,FALSE),VLOOKUP(Расчет!$CH69,АшламаДВ_Gomumy,2,FALSE)))</f>
        <v>0.12</v>
      </c>
      <c r="CJ69" s="274">
        <f>IF(Расчет!$CH69="Нет","Нет",IF(Исходн.данные.!$AL69&gt;0,VLOOKUP(Расчет!$CH69,АшламаДВ_Irekle,3,FALSE),VLOOKUP(Расчет!$CH69,АшламаДВ_Gomumy,3,FALSE)))</f>
        <v>0.52</v>
      </c>
      <c r="CK69" s="274">
        <f>IF(Расчет!$CH69="Нет","Нет",IF(Исходн.данные.!$AL69&gt;0,VLOOKUP(Расчет!$CH69,АшламаДВ_Irekle,4,FALSE),VLOOKUP(Расчет!$CH69,АшламаДВ_Gomumy,4,FALSE)))</f>
        <v>0</v>
      </c>
      <c r="CL69" s="70"/>
      <c r="CM69" s="70"/>
      <c r="CN69" s="70"/>
      <c r="CO69" s="70"/>
      <c r="CP69" s="70"/>
      <c r="CQ69" s="70"/>
      <c r="CR69" s="10">
        <f t="shared" si="91"/>
        <v>0</v>
      </c>
      <c r="CS69" s="10">
        <f t="shared" si="92"/>
        <v>19.23076923076923</v>
      </c>
      <c r="CT69" s="10">
        <f t="shared" si="93"/>
        <v>0</v>
      </c>
      <c r="CU69" s="39">
        <f>IF($CH69="Нет",0,IF(CI69=0,30/MIN(CJ69:CK69),IF(Исходн.данные.!$AG69=$BV$11,CR69,IF(OR(Исходн.данные.!$AH69=$BQ$7,Исходн.данные.!$AH69=$BQ$8),90/CI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0,IF(Исходн.данные.!$AI69=$BU$11,"Нет",30/CI69))))))</f>
        <v>250</v>
      </c>
      <c r="CV69" s="39">
        <f>IF($CH69="Нет",0,IF(Исходн.данные.!AH69=0,0,IF(CJ69=0,60/MIN(CI69,CK69),IF(Исходн.данные.!$AG69=$BV$11,CS69,IF(OR(Исходн.данные.!$AH69=$BQ$7,Исходн.данные.!$AH69=$BQ$8),90/CJ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10/CJ69,IF(Исходн.данные.!$AI69=$BU$11,"Нет",60/CJ69)))))))</f>
        <v>0</v>
      </c>
      <c r="CW69" s="39">
        <f>IF($CH69="Нет",0,IF(Исходн.данные.!AH69=0,0,IF(CK69=0,30/MIN(CI69:CJ69),IF(Исходн.данные.!$AG69=$BV$11,CT69,IF(OR(Исходн.данные.!$AH69=$BQ$7,Исходн.данные.!$AH69=$BQ$8),90/CK69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0,IF(Исходн.данные.!$AI69=$BU$11,"Нет",30/CK69)))))))</f>
        <v>0</v>
      </c>
      <c r="CX69" s="133">
        <f>IF(Исходн.данные.!$AG69=$BV$11,MAX(CU69:CW69),IF(OR(Исходн.данные.!$AH69=$BS$8,Исходн.данные.!$AH69=$BQ$9,Исходн.данные.!$AH69=$BQ$10,Исходн.данные.!$AH69=$BQ$11,Исходн.данные.!$AH69=$BQ$12,Исходн.данные.!$AH69=$BP$3,Исходн.данные.!$AH69=$BT$8,$FM69="Да"),CV69,MIN(CU69:CW69)))</f>
        <v>0</v>
      </c>
      <c r="CY69" s="133">
        <f>IF(Исходн.данные.!AH69=0,0,IF(CR69&gt;$CX69,$CX69,CR69))</f>
        <v>0</v>
      </c>
      <c r="CZ69" s="133">
        <f>IF(Исходн.данные.!AH69=0,0,IF(CS69&gt;$CX69,$CX69,CS69))</f>
        <v>0</v>
      </c>
      <c r="DA69" s="133">
        <f>IF(Исходн.данные.!AH69=0,0,IF(CT69&gt;$CX69,$CX69,CT69))</f>
        <v>0</v>
      </c>
      <c r="DB69" s="10">
        <f t="shared" si="94"/>
        <v>0</v>
      </c>
      <c r="DC69" s="39">
        <f>DB69*Исходн.данные.!AJ69/1000</f>
        <v>0</v>
      </c>
      <c r="DD69" s="71">
        <f t="shared" si="95"/>
        <v>0</v>
      </c>
      <c r="DE69" s="9">
        <f t="shared" si="96"/>
        <v>0</v>
      </c>
      <c r="DF69" s="9">
        <f t="shared" si="97"/>
        <v>0</v>
      </c>
      <c r="DG69" s="39">
        <f>IF(BL69&lt;0,0,IF($CH69="Нет",BL69,IF(OR(Исходн.данные.!$AH69=$BP$1,Исходн.данные.!$AH69=$BP$2),0,IF(Исходн.данные.!AI69=$BU$11,BL69,IF(BL69-DD69&lt;0,0,BL69-DD69)))))</f>
        <v>0</v>
      </c>
      <c r="DH69" s="39">
        <f>IF(BM69&lt;0,0,IF($CH69="Нет",BM69,IF(OR(Исходн.данные.!$AH69=$BP$1,Исходн.данные.!$AH69=$BP$2),0,IF(Исходн.данные.!AJ69=$BU$11,BM69,IF(BM69-DE69&lt;0,0,BM69-DE69)))))</f>
        <v>0</v>
      </c>
      <c r="DI69" s="39">
        <f>IF(BN69&lt;0,0,IF($CH69="Нет",BN69,IF(OR(Исходн.данные.!$AH69=$BP$1,Исходн.данные.!$AH69=$BP$2),0,IF(Исходн.данные.!AK69=$BU$11,BN69,IF(BN69-DF69&lt;0,0,BN69-DF69)))))</f>
        <v>0</v>
      </c>
      <c r="DJ69" s="12">
        <f t="shared" si="98"/>
        <v>0</v>
      </c>
      <c r="DK69" s="9">
        <f t="shared" si="99"/>
        <v>0</v>
      </c>
      <c r="DL69" s="39">
        <f>IF(Исходн.данные.!AM69&gt;0,Исходн.данные.!AM69,IF(EG69&gt;0,$BH$10,0))</f>
        <v>0</v>
      </c>
      <c r="DM69" s="186">
        <f>IF($DL69=0,0,IF(Исходн.данные.!AM69&gt;0,VLOOKUP($DL69,АшламаДВ_Irekle,2,FALSE),VLOOKUP($DL69,АшламаДВ_Gomumy,2,FALSE)))</f>
        <v>0</v>
      </c>
      <c r="DN69" s="10">
        <f t="shared" si="46"/>
        <v>0</v>
      </c>
      <c r="DO69" s="9" t="str">
        <f>IF(Исходн.данные.!AN69&gt;0,Исходн.данные.!AN69,Удобрения!$B$37 )</f>
        <v>Хлор.калий</v>
      </c>
      <c r="DP69" s="9">
        <f>IF(Исходн.данные.!AN69&gt;0,VLOOKUP(Исходн.данные.!AN69,АшламаДВ_Irekle,4,FALSE),VLOOKUP(DO69,АшламаДВ_Gomumy,4,FALSE))</f>
        <v>0.6</v>
      </c>
      <c r="DQ69" s="10">
        <f t="shared" si="47"/>
        <v>0</v>
      </c>
      <c r="DR69" s="132" t="str">
        <f>IF(Исходн.данные.!AO69&gt;0,Исходн.данные.!AO69,IF(DH69=0,BS$17,IF(AND($DK69=0,$DJ69&gt;0),EJ69,EN69)))</f>
        <v>Нет</v>
      </c>
      <c r="DS69" s="70" t="str">
        <f>IF($DR69="Нет","Нет",IF(Исходн.данные.!$AO69&gt;0,VLOOKUP($DR69,АшламаДВ_Irekle,2,FALSE),VLOOKUP($DR69,АшламаДВ_Gomumy,2,FALSE)))</f>
        <v>Нет</v>
      </c>
      <c r="DT69" s="70" t="str">
        <f>IF($DR69="Нет","Нет",IF(Исходн.данные.!$AO69&gt;0,VLOOKUP($DR69,АшламаДВ_Irekle,3,FALSE),VLOOKUP($DR69,АшламаДВ_Gomumy,3,FALSE)))</f>
        <v>Нет</v>
      </c>
      <c r="DU69" s="70" t="str">
        <f>IF($DR69="Нет","Нет",IF(Исходн.данные.!$AO69&gt;0,VLOOKUP($DR69,АшламаДВ_Irekle,4,FALSE),VLOOKUP($DR69,АшламаДВ_Gomumy,4,FALSE)))</f>
        <v>Нет</v>
      </c>
      <c r="DV69" s="70"/>
      <c r="DW69" s="70"/>
      <c r="DX69" s="70"/>
      <c r="DY69" s="10">
        <f t="shared" si="100"/>
        <v>0</v>
      </c>
      <c r="DZ69" s="10">
        <f t="shared" si="101"/>
        <v>0</v>
      </c>
      <c r="EA69" s="10">
        <f t="shared" si="102"/>
        <v>0</v>
      </c>
      <c r="EB69" s="10">
        <f t="shared" si="103"/>
        <v>0</v>
      </c>
      <c r="EC69" s="10">
        <f t="shared" si="104"/>
        <v>0</v>
      </c>
      <c r="ED69" s="10">
        <f t="shared" si="105"/>
        <v>0</v>
      </c>
      <c r="EE69" s="10">
        <f t="shared" si="106"/>
        <v>0</v>
      </c>
      <c r="EF69" s="39">
        <f>EB69*Исходн.данные.!AJ69/1000</f>
        <v>0</v>
      </c>
      <c r="EG69" s="9">
        <f t="shared" si="107"/>
        <v>0</v>
      </c>
      <c r="EH69" s="9">
        <f t="shared" si="108"/>
        <v>0</v>
      </c>
      <c r="EI69" s="39" t="e">
        <f t="shared" si="7"/>
        <v>#DIV/0!</v>
      </c>
      <c r="EJ69" s="9" t="str">
        <f t="shared" si="8"/>
        <v>Азопреципитат</v>
      </c>
      <c r="EK69" s="12">
        <f t="shared" si="9"/>
        <v>0.26</v>
      </c>
      <c r="EL69" s="12">
        <f t="shared" si="10"/>
        <v>0.13</v>
      </c>
      <c r="EM69" s="12">
        <f t="shared" si="11"/>
        <v>0</v>
      </c>
      <c r="EN69" s="12" t="str">
        <f t="shared" si="57"/>
        <v>Нет</v>
      </c>
      <c r="EO69" s="12">
        <f t="shared" si="12"/>
        <v>0</v>
      </c>
      <c r="EP69" s="12">
        <f t="shared" si="13"/>
        <v>0</v>
      </c>
      <c r="EQ69" s="12">
        <f t="shared" si="14"/>
        <v>0</v>
      </c>
      <c r="ER69" s="12" t="str">
        <f t="shared" si="109"/>
        <v>Диаммофоска</v>
      </c>
      <c r="ES69" s="12">
        <f t="shared" si="15"/>
        <v>0.1</v>
      </c>
      <c r="ET69" s="12">
        <f t="shared" si="16"/>
        <v>0.26</v>
      </c>
      <c r="EU69" s="12">
        <f t="shared" si="17"/>
        <v>0.26</v>
      </c>
      <c r="EV69" s="12" t="str">
        <f t="shared" si="110"/>
        <v>Аммофос 12:52:00</v>
      </c>
      <c r="EW69" s="12" t="str">
        <f t="shared" si="111"/>
        <v>Кемира Свекловичное-6</v>
      </c>
      <c r="EX69" s="12">
        <f t="shared" si="18"/>
        <v>0.16</v>
      </c>
      <c r="EY69" s="12">
        <f t="shared" si="19"/>
        <v>0.12</v>
      </c>
      <c r="EZ69" s="12">
        <f t="shared" si="20"/>
        <v>0.17</v>
      </c>
      <c r="FA69" s="38" t="e">
        <f>IF(AND(OR(FJ69=$FD$1,FM69=$FD$1,FO69=$FD$1,FQ69=$FD$1,FS69=$FD$1),FD69=$FD$1,Исходн.данные.!J69&lt;2,FU69=$FD$1),"Бор,Кобальт",IF(AND(FO69=$FD$1,FH69=$FD$1,Исходн.данные.!J69&lt;2,FU69=$FD$1),"Бор,Кобальт",IF(AND(OR(FJ69=$FD$1,FM69=$FD$1,FQ69=$FD$1),FE69=$FD$1,Исходн.данные.!J69&lt;2,FT69=$FD$1,FU69=$FD$1),"Бор,Медь,Цинк",IF(AND(OR(FJ69=$FD$1,FR69="Да"),FI69="Да",Исходн.данные.!J69&lt;2,FT69="Да",FU69="Да"),"Бор,Цинк,Медь",IF(AND(OR(FM69="Да",FQ69="Да"),FI69="Да",Исходн.данные.!J69&lt;2,FT69="Да",FU69="Да"),"Бор,Цинк",IF(AND(FN69="Да",OR(FD69="Да",FE69="Да")),"Бор",FB69))))))</f>
        <v>#N/A</v>
      </c>
      <c r="FB69" s="134" t="e">
        <f>IF(AND(OR(FD69="Да",FE69="Да",FF69="Да",FG69="Да",FH69="Да"),FO69="Да"),"Бор",IF(AND(FP69="Да",OR(FD69="Да",FE69="Да",FI69="Да")),"Бор",IF(AND(FS69="Да",FE69="Да"),"Бор,Медь",IF(AND(OR(FJ69="Да",FK69="Да",FL69="Да"),FE69="Да",Исходн.данные.!I69&lt;5,FT69="Да",FU69="Да"),"Молибден,Цинк",IF(AND(FM69="Да",OR(FE69="Да",FF69="Да",FG69="Да",FH69="Да",FI69="Да")),"Молибден,Цинк",IF(AND(OR(FJ69="Да",FK69="Да",FL69="Да",FM69="Да",FQ69="Да"),OR(FE69="Да",FF69="Да"),FT69="Да",FU69="Да",Исходн.данные.!I69&gt;5.5),"Медь,Цинк",FC69))))))</f>
        <v>#N/A</v>
      </c>
      <c r="FC69" s="23" t="e">
        <f t="shared" si="112"/>
        <v>#N/A</v>
      </c>
      <c r="FD69" s="38" t="str">
        <f>IF(OR(Исходн.данные.!F69=$CC$1,Исходн.данные.!F69=$CC$2,Исходн.данные.!F69=$CC$3,Исходн.данные.!F69=$CC$4),"Да","Нет")</f>
        <v>Нет</v>
      </c>
      <c r="FE69" s="38" t="str">
        <f>IF(Исходн.данные.!F69=$CC$5,"Да","Нет")</f>
        <v>Нет</v>
      </c>
      <c r="FF69" s="38" t="str">
        <f>IF(OR(Исходн.данные.!F69=$CC$6,Исходн.данные.!F69=$CC$7),"Да","Нет")</f>
        <v>Нет</v>
      </c>
      <c r="FG69" s="38" t="str">
        <f>IF(OR(Исходн.данные.!F69=$CC$8,Исходн.данные.!F69=$CC$9),"Да","Нет")</f>
        <v>Нет</v>
      </c>
      <c r="FH69" s="38" t="str">
        <f>IF(Исходн.данные.!F69=$CC$10,"Да","Нет")</f>
        <v>Нет</v>
      </c>
      <c r="FI69" s="38" t="str">
        <f>IF(OR(Исходн.данные.!F69=$CC$11,Исходн.данные.!F69=$CC$12),"Да","Нет")</f>
        <v>Нет</v>
      </c>
      <c r="FJ69" s="38" t="str">
        <f>IF(OR(Исходн.данные.!AH69=$BS$1,Исходн.данные.!AH69=$BQ$11,Исходн.данные.!AH69=$BQ$12),"Да","Нет")</f>
        <v>Нет</v>
      </c>
      <c r="FK69" s="38" t="str">
        <f>IF(OR(Исходн.данные.!AH69=$BS$2,Исходн.данные.!AH69=$BS$4),"Да","Нет")</f>
        <v>Нет</v>
      </c>
      <c r="FL69" s="38" t="str">
        <f>IF(OR(Исходн.данные.!AH69=$BS$3,Исходн.данные.!AH69=$BS$5),"Да","Нет")</f>
        <v>Нет</v>
      </c>
      <c r="FM69" s="38" t="str">
        <f>IF(OR(Исходн.данные.!AH69=$BS$9,Исходн.данные.!AH69=$BS$10,Исходн.данные.!AH69=$BS$11,Исходн.данные.!AH69=$BS$12),"Да","Нет")</f>
        <v>Нет</v>
      </c>
      <c r="FN69" s="38" t="str">
        <f>IF(OR(Исходн.данные.!AH69=$BS$6,Исходн.данные.!AH69=$BP$3),"Да","Нет")</f>
        <v>Нет</v>
      </c>
      <c r="FO69" s="38" t="str">
        <f>IF(Исходн.данные.!AH69=$BQ$9,"Да","Нет")</f>
        <v>Нет</v>
      </c>
      <c r="FP69" s="38" t="str">
        <f>IF(OR(Исходн.данные.!AH69=$BS$8,Исходн.данные.!AH69=$BT$8),"Да","Нет")</f>
        <v>Нет</v>
      </c>
      <c r="FQ69" s="38" t="str">
        <f>IF(OR(Исходн.данные.!AH69=$BQ$7,Исходн.данные.!AH69=$BQ$8),"Да","Нет")</f>
        <v>Нет</v>
      </c>
      <c r="FR69" s="38" t="str">
        <f>IF(Исходн.данные.!AI69=$BU$9,"Да","Нет")</f>
        <v>Нет</v>
      </c>
      <c r="FS69" s="38" t="str">
        <f>IF(OR(Исходн.данные.!AH69=$BP$1,Исходн.данные.!AH69=$BP$2),"Да","Нет")</f>
        <v>Нет</v>
      </c>
      <c r="FT69" s="38" t="e">
        <f>IF((Исходн.данные.!K69*GO69*GS69*GW69+BL69*0.6+Исходн.данные.!Q69*4.5*0.275)&gt;90,"Да","Нет")</f>
        <v>#N/A</v>
      </c>
      <c r="FU69" s="38" t="e">
        <f>IF((Исходн.данные.!M69*GS69*GZ69+BM69*0.225)&gt;35,"Да","Нет")</f>
        <v>#N/A</v>
      </c>
      <c r="FV69" s="38" t="str">
        <f>IF(Исходн.данные.!O69&gt;175,"Да","Нет")</f>
        <v>Нет</v>
      </c>
      <c r="FW69" s="39" t="str">
        <f>IF(Исходн.данные.!I69&gt;5.5,"Да","Нет")</f>
        <v>Нет</v>
      </c>
      <c r="FX69" s="39" t="str">
        <f>IF(Исходн.данные.!J69&lt;2,"Да","Нет")</f>
        <v>Да</v>
      </c>
      <c r="FY69" s="39" t="e">
        <f>IF(HF69=$FY$16,0,Исходн.данные.!K69*GO69*GS69*GW69/HF69)</f>
        <v>#N/A</v>
      </c>
      <c r="FZ69" s="39" t="e">
        <f>Исходн.данные.!M69*GS69*GZ69/HG69</f>
        <v>#N/A</v>
      </c>
      <c r="GA69" s="39" t="e">
        <f>IF(K_Wyn=$FY$16,0,IF(Исходн.данные.!N69=Исходн.данные.!$L$10,Исходн.данные.!O69/1.1*GS69*HC69/HH69,IF(Исходн.данные.!N69=Исходн.данные.!$L$12,Исходн.данные.!O69/1.5*GS69*HC69/HH69,Исходн.данные.!O69*GS69*HC69/HH69)))</f>
        <v>#N/A</v>
      </c>
      <c r="GB69" s="39" t="e">
        <f>IF(HF69=$FY$16,0,((Исходн.данные.!Q69*N_Org+Исходн.данные.!R69*N_Sider+Исходн.данные.!S69*N_Soloma)*AO69+Расчет!BC69*VLOOKUP(Исходн.данные.!T69,Справ!$A$3:$O$57,15)*AO69+BB69*VLOOKUP(Исходн.данные.!T69,Справ!$A$3:$O$57,15)*AL69+(Исходн.данные.!V69*N_Rizotorf+Исходн.данные.!W69*N_Rizoagr))/HF69)</f>
        <v>#N/A</v>
      </c>
      <c r="GC69" s="39" t="e">
        <f>IF(HG69=$FY$16,0,((Исходн.данные.!Q69*Р_Org+Исходн.данные.!R69*P_Sider+Исходн.данные.!S69*P_Soloma)*AP69+Расчет!BC69*VLOOKUP(Исходн.данные.!T69,Справ!$A$3:$P$57,16)*AP69+BB69*VLOOKUP(Исходн.данные.!T69,Справ!$A$3:$P$57,16)*AM69)/HG69)</f>
        <v>#N/A</v>
      </c>
      <c r="GD69" s="39" t="e">
        <f>IF(HH69=$FY$16,0,((Исходн.данные.!Q69*К_Org+Исходн.данные.!R69*K_Sider+Исходн.данные.!S69*K_Soloma)*AQ69+Расчет!BC69*VLOOKUP(Исходн.данные.!T69,Справ!$A$3:$Q$57,17)*AQ69+BB69*VLOOKUP(Исходн.данные.!T69,Справ!$A$3:$Q$57,17)*AN69)/HH69)</f>
        <v>#N/A</v>
      </c>
      <c r="GE69" s="39" t="e">
        <f>IF(HF69=$FY$16,0,(Исходн.данные.!X69*AR69+Исходн.данные.!AA69*N_Org*AL69+Исходн.данные.!AB69*N_Sider*AL69+Исходн.данные.!AC69*N_Soloma*AL69)/HF69)</f>
        <v>#N/A</v>
      </c>
      <c r="GF69" s="39" t="e">
        <f>IF(HG69=$FY$16,0,(Исходн.данные.!Y69*AS69+Исходн.данные.!AA69*Р_Org*AM69+Исходн.данные.!AB69*P_Sider*AM69+Исходн.данные.!AC69*P_Soloma*AM69)/HG69)</f>
        <v>#N/A</v>
      </c>
      <c r="GG69" s="39" t="e">
        <f>IF(HH69=$FY$16,0,(Исходн.данные.!Z69*AT69+Исходн.данные.!AA69*К_Org*AN69+Исходн.данные.!AB69*K_Sider*AN69+Исходн.данные.!AC69*K_Soloma*AN69)/HH69)</f>
        <v>#N/A</v>
      </c>
      <c r="GH69" s="39" t="e">
        <f>Исходн.данные.!AD69*AU69/HF69</f>
        <v>#N/A</v>
      </c>
      <c r="GI69" s="39" t="e">
        <f>Исходн.данные.!AE69*AV69/HG69</f>
        <v>#N/A</v>
      </c>
      <c r="GJ69" s="39" t="e">
        <f>Исходн.данные.!AF69*AW69/HH69</f>
        <v>#N/A</v>
      </c>
      <c r="GK69" s="55">
        <f>Исходн.данные.!AK69</f>
        <v>0</v>
      </c>
      <c r="GL69" s="11" t="e">
        <f t="shared" si="113"/>
        <v>#N/A</v>
      </c>
      <c r="GM69" s="11" t="e">
        <f t="shared" si="114"/>
        <v>#N/A</v>
      </c>
      <c r="GN69" s="11" t="e">
        <f t="shared" si="115"/>
        <v>#N/A</v>
      </c>
      <c r="GO69" s="57">
        <f t="shared" si="116"/>
        <v>19</v>
      </c>
      <c r="GP69" s="55">
        <f>IF(OR(Исходн.данные.!F69=$CE$1,Исходн.данные.!F69=$CE$2,Исходн.данные.!F69=$CE$3,Исходн.данные.!F69=$CE$4,Исходн.данные.!F69=$CE$5),GQ69,GR69)</f>
        <v>19</v>
      </c>
      <c r="GQ69" s="55">
        <f>IF(Исходн.данные.!F69=$CE$1,28,IF(Исходн.данные.!F69=$CE$2,26,IF(Исходн.данные.!F69=$CE$3,24,IF(Исходн.данные.!F69=$CE$4,22,IF(Исходн.данные.!F69=$CE$5,20,GR69)))))</f>
        <v>19</v>
      </c>
      <c r="GR69" s="55">
        <f>IF(Исходн.данные.!F69=$CE$6,18,IF(Исходн.данные.!F69=$CE$7,16,IF(Исходн.данные.!F69=$CE$8,14,IF(Исходн.данные.!F69=$CE$9,13,IF(Исходн.данные.!F69=$CE$10,12,19)))))</f>
        <v>19</v>
      </c>
      <c r="GS69" s="55">
        <f>IF(Исходн.данные.!G69="Пес",0.035*(40+2*Исходн.данные.!H69),IF(Исходн.данные.!G69="Суп",0.0325*(40+2*Исходн.данные.!H69),0.03*(40+2*Исходн.данные.!H69)))</f>
        <v>1.2</v>
      </c>
      <c r="GT69" s="55">
        <f>IF(Исходн.данные.!H69&lt;23,2.6,IF(AND(Исходн.данные.!H69&gt;22,Исходн.данные.!H69&lt;26),3,IF(AND(Исходн.данные.!H69&gt;25,Исходн.данные.!H69&lt;29),3.4,3.6)))</f>
        <v>2.6</v>
      </c>
      <c r="GU69" s="55">
        <f>IF(Исходн.данные.!H69&lt;23,2.8,IF(AND(Исходн.данные.!H69&gt;22,Исходн.данные.!H69&lt;26),3.2,IF(AND(Исходн.данные.!H69&gt;25,Исходн.данные.!H69&lt;29),3.6,3.9)))</f>
        <v>2.8</v>
      </c>
      <c r="GV69" s="55">
        <f>IF(Исходн.данные.!H69&lt;23,3,IF(AND(Исходн.данные.!H69&gt;22,Исходн.данные.!H69&lt;26),3.5,IF(AND(Исходн.данные.!H69&gt;25,Исходн.данные.!H69&lt;29),3.9,4.2)))</f>
        <v>3</v>
      </c>
      <c r="GW69" s="55" t="e">
        <f>IF(Исходн.данные.!P69="Ум",GX69,GY69)</f>
        <v>#N/A</v>
      </c>
      <c r="GX69" s="55" t="e">
        <f>VLOOKUP(Исходн.данные.!AI69,Коэффициенты!$J$7:$L$13,2,FALSE)</f>
        <v>#N/A</v>
      </c>
      <c r="GY69" s="55" t="e">
        <f>VLOOKUP(Исходн.данные.!AI69,Коэффициенты!$J$7:$L$13,3,FALSE)</f>
        <v>#N/A</v>
      </c>
      <c r="GZ69" s="55" t="e">
        <f>(IF(Исходн.данные.!M69&lt;50,0.11*VLOOKUP(Исходн.данные.!AH69,Культуры.Информация,7,FALSE),IF(Исходн.данные.!M69&gt;250,0.05*VLOOKUP(Исходн.данные.!AH69,Культуры.Информация,7,FALSE),VLOOKUP(Исходн.данные.!AH69,Культуры.Информация,5,FALSE)/100*($GX$6+$GY$6*Исходн.данные.!M69))))*Расчет2!AI69</f>
        <v>#N/A</v>
      </c>
      <c r="HA69" s="211"/>
      <c r="HB69" s="211"/>
      <c r="HC69" s="55" t="e">
        <f>(IF(Исходн.данные.!O69&lt;80,0.2*VLOOKUP(Исходн.данные.!AH69,Культуры.Информация,8,FALSE),IF(Исходн.данные.!O69&gt;240,0.09*VLOOKUP(Исходн.данные.!AH69,Культуры.Информация,8,FALSE),VLOOKUP(Исходн.данные.!AH69,Культуры.Информация,6,FALSE)/100*($HB$6+$HC$6*Исходн.данные.!O69))))*Расчет2!AJ69</f>
        <v>#N/A</v>
      </c>
      <c r="HD69" s="55">
        <f>IF(Исходн.данные.!O69&gt;240,0.09,IF(Исходн.данные.!O69&lt;30,0.3,$HE$10+$HD$10*Исходн.данные.!O69))</f>
        <v>0.3</v>
      </c>
      <c r="HE69" s="55">
        <f>IF(Исходн.данные.!O69&gt;240,0.17,IF(Исходн.данные.!O69&lt;30,0.5,$HF$12+$HE$12*Исходн.данные.!O69))</f>
        <v>0.5</v>
      </c>
      <c r="HF69" s="55" t="e">
        <f>VLOOKUP(Исходн.данные.!AH69,Справ!$A$3:$D$58,2,FALSE)</f>
        <v>#N/A</v>
      </c>
      <c r="HG69" s="55" t="e">
        <f>VLOOKUP(Исходн.данные.!AH69,Справ!$A$3:$D$58,3,FALSE)</f>
        <v>#N/A</v>
      </c>
      <c r="HH69" s="55" t="e">
        <f>VLOOKUP(Исходн.данные.!AH69,Справ!$A$3:$D$58,4,FALSE)</f>
        <v>#N/A</v>
      </c>
      <c r="HI69" s="11" t="e">
        <f t="shared" si="117"/>
        <v>#N/A</v>
      </c>
      <c r="HJ69" s="11" t="e">
        <f t="shared" si="118"/>
        <v>#N/A</v>
      </c>
      <c r="HK69" s="11" t="e">
        <f t="shared" si="119"/>
        <v>#N/A</v>
      </c>
      <c r="HL69" s="55">
        <f>IF(OR(Исходн.данные.!G69="Глин",Исходн.данные.!G69="Т_суг"),1.1,IF(Исходн.данные.!G69="Ср_суг",1,1))</f>
        <v>1</v>
      </c>
      <c r="HM69" s="55">
        <f>IF(OR(Исходн.данные.!G69="Глин",Исходн.данные.!G69="Т_суг"),0.9,IF(Исходн.данные.!G69="Ср_суг",1,1.2))</f>
        <v>1.2</v>
      </c>
      <c r="HN69" s="11" t="e">
        <f t="shared" si="120"/>
        <v>#N/A</v>
      </c>
      <c r="HO69" s="11" t="e">
        <f t="shared" si="121"/>
        <v>#N/A</v>
      </c>
      <c r="HP69" s="11" t="e">
        <f t="shared" si="122"/>
        <v>#N/A</v>
      </c>
      <c r="HQ69" t="e">
        <f t="shared" si="123"/>
        <v>#N/A</v>
      </c>
      <c r="HR69" t="e">
        <f t="shared" si="124"/>
        <v>#N/A</v>
      </c>
      <c r="HS69" t="e">
        <f t="shared" si="125"/>
        <v>#N/A</v>
      </c>
      <c r="HT69" t="e">
        <f t="shared" si="21"/>
        <v>#N/A</v>
      </c>
      <c r="HU69" t="e">
        <f t="shared" si="22"/>
        <v>#N/A</v>
      </c>
      <c r="HV69" t="e">
        <f t="shared" si="23"/>
        <v>#N/A</v>
      </c>
      <c r="HW69" t="e">
        <f t="shared" si="24"/>
        <v>#N/A</v>
      </c>
      <c r="HX69" t="e">
        <f t="shared" si="25"/>
        <v>#N/A</v>
      </c>
      <c r="HY69" t="e">
        <f t="shared" si="26"/>
        <v>#N/A</v>
      </c>
      <c r="HZ69" s="55">
        <f>IF(OR(Исходн.данные.!AI69="Оз_Ч_П",Исходн.данные.!AI69="Оз_З_П",Исходн.данные.!AI69="Яр_зер"),12,30)</f>
        <v>30</v>
      </c>
      <c r="IA69" t="e">
        <f t="shared" si="126"/>
        <v>#N/A</v>
      </c>
      <c r="IB69" t="e">
        <f t="shared" si="127"/>
        <v>#N/A</v>
      </c>
      <c r="IC69" t="e">
        <f t="shared" si="128"/>
        <v>#N/A</v>
      </c>
      <c r="ID69" s="11" t="e">
        <f t="shared" si="129"/>
        <v>#N/A</v>
      </c>
      <c r="IE69" s="11" t="e">
        <f t="shared" si="130"/>
        <v>#N/A</v>
      </c>
      <c r="IF69" s="11" t="e">
        <f t="shared" si="131"/>
        <v>#N/A</v>
      </c>
    </row>
    <row r="70" spans="35:240" x14ac:dyDescent="0.2">
      <c r="AI70">
        <f>IF(Исходн.данные.!I70&gt;6,1,1.85-(0.148*Исходн.данные.!I70))</f>
        <v>1.85</v>
      </c>
      <c r="AJ70">
        <f>IF(Исходн.данные.!I70&gt;6,1,2.434-(0.246*Исходн.данные.!I70))</f>
        <v>2.4340000000000002</v>
      </c>
      <c r="AL70" s="148" t="b">
        <f>IF(Исходн.данные.!$P70="Ум",N_OrgUd_2g_um,IF(Исходн.данные.!$P70="Об",N_OrgUd_2g_ob))</f>
        <v>0</v>
      </c>
      <c r="AM70" s="148" t="b">
        <f>IF(Исходн.данные.!$P70="Ум",P_OrgUd_2g_um,IF(Исходн.данные.!$P70="Об",P_OrgUd_2g_ob))</f>
        <v>0</v>
      </c>
      <c r="AN70" s="148" t="b">
        <f>IF(Исходн.данные.!$P70="Ум",K_OrgUd_2g_um,IF(Исходн.данные.!$P70="Об",K_OrgUd_2g_ob))</f>
        <v>0</v>
      </c>
      <c r="AO70" s="148" t="b">
        <f>IF(Исходн.данные.!$P70="Ум",N_OrgUd_1g_um,IF(Исходн.данные.!$P70="Об",N_OrgUd_1g_ob))</f>
        <v>0</v>
      </c>
      <c r="AP70" s="148" t="b">
        <f>IF(Исходн.данные.!$P70="Ум",P_OrgUd_1g_um,IF(Исходн.данные.!$P70="Об",P_OrgUd_1g_ob))</f>
        <v>0</v>
      </c>
      <c r="AQ70" s="148" t="b">
        <f>IF(Исходн.данные.!$P70="Ум",K_OrgUd_1g_um,IF(Исходн.данные.!$P70="Об",K_OrgUd_1g_ob))</f>
        <v>0</v>
      </c>
      <c r="AR70" t="b">
        <f>IF(Исходн.данные.!$P70="Ум",N_MinUd_2g_um,IF(Исходн.данные.!$P70="Об",N_MinUd_2g_ob))</f>
        <v>0</v>
      </c>
      <c r="AS70" t="b">
        <f>IF(Исходн.данные.!$P70="Ум",P_MinUd_2g_um,IF(Исходн.данные.!$P70="Об",P_MinUd_2g_ob))</f>
        <v>0</v>
      </c>
      <c r="AT70" t="b">
        <f>IF(Исходн.данные.!$P70="Ум",K_MinUd_2g_um,IF(Исходн.данные.!$P70="Об",K_MinUd_2g_ob))</f>
        <v>0</v>
      </c>
      <c r="AU70" t="b">
        <f>IF(Исходн.данные.!$P70="Ум",N_MinUd_1g_um,IF(Исходн.данные.!$P70="Об",N_MinUd_1g_ob))</f>
        <v>0</v>
      </c>
      <c r="AV70" t="b">
        <f>IF(Исходн.данные.!P70="Ум",P_MinUd_1g_um,IF(Исходн.данные.!P70="Об",P_MinUd_1g_ob))</f>
        <v>0</v>
      </c>
      <c r="AW70" t="b">
        <f>IF(Исходн.данные.!P70="Ум",K_MinUd_1g_um,IF(Исходн.данные.!P70="Об",K_MinUd_1g_ob))</f>
        <v>0</v>
      </c>
      <c r="AY70" t="e">
        <f>VLOOKUP(Исходн.данные.!T70,Справ!$A$3:$N$57,12)</f>
        <v>#N/A</v>
      </c>
      <c r="AZ70" t="e">
        <f>VLOOKUP(Исходн.данные.!T70,Справ!$A$3:$N$57,13)</f>
        <v>#N/A</v>
      </c>
      <c r="BA70" t="e">
        <f>VLOOKUP(Исходн.данные.!T70,Справ!$A$3:$N$57,14)</f>
        <v>#N/A</v>
      </c>
      <c r="BB70">
        <f>IF(Исходн.данные.!AH70=0,0,25)</f>
        <v>0</v>
      </c>
      <c r="BC70" s="141">
        <f>IF(Исходн.данные.!AH70=0,0,IF(Исходн.данные.!T70=0,25,BD70))</f>
        <v>0</v>
      </c>
      <c r="BD70" s="168" t="e">
        <f>AY70+AZ70*Исходн.данные.!U70-POWER(BA70,2)*Исходн.данные.!U70</f>
        <v>#N/A</v>
      </c>
      <c r="BE7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0" s="25">
        <f>IF(Исходн.данные.!AH70=0,0,MIN(HN70:HP70))</f>
        <v>0</v>
      </c>
      <c r="BG70" s="9">
        <f>IF(Исходн.данные.!AH70=0,0,IF((HO70+10*0.25/HG70/HL70)&lt;17,17,HO70+10*0.25/HG70/HL70))</f>
        <v>0</v>
      </c>
      <c r="BH70" s="181">
        <f>IF(Исходн.данные.!AH70=0,0,HW70*HF70*HL70/AU70*AI70+Исходн.данные.!S70*10)</f>
        <v>0</v>
      </c>
      <c r="BI70" s="10"/>
      <c r="BJ70" s="182">
        <f>IF(Исходн.данные.!AH70=0,0,IF(HX70*HG70*HL70/AV70&lt;0,0,HX70*HG70*HL70/AV70*AJ70))</f>
        <v>0</v>
      </c>
      <c r="BK70" s="182">
        <f>IF(Исходн.данные.!AH70=0,0,HY70*HH70*HM70/AW70)</f>
        <v>0</v>
      </c>
      <c r="BL70" s="10">
        <f>IF(OR(Исходн.данные.!$AH70=$BP$1,Исходн.данные.!$AH70=$BP$2),0,IF(BH70&lt;0,0,IF(OR(Исходн.данные.!T70=Расчет!$BP$1,Исходн.данные.!T70=Расчет!$BP$2,Исходн.данные.!T70=Расчет!$BT$5,Исходн.данные.!T70=Расчет!$BT$6),BH70*0.5,IF(OR(Исходн.данные.!T70=Расчет!$BS$9,Исходн.данные.!T70=Расчет!$BS$10,Исходн.данные.!T70=Расчет!$BS$11,Исходн.данные.!T70=Расчет!$BS$12,Исходн.данные.!T70=Расчет!$BP$5),BH70*0.8,BH70))))</f>
        <v>0</v>
      </c>
      <c r="BM70" s="10">
        <f>IF(OR(Исходн.данные.!$AH70=$BP$1,Исходн.данные.!$AH70=$BP$2),0,IF(BJ70&lt;0,0,IF(Исходн.данные.!I70&lt;4.5,BJ70*1.2,IF(Исходн.данные.!I70&gt;5.1,BJ70,BJ70*((5.1-Исходн.данные.!I70)*0.333+1)))))</f>
        <v>0</v>
      </c>
      <c r="BN70" s="10">
        <f>IF(OR(Исходн.данные.!$AH70=$BP$1,Исходн.данные.!$AH70=$BP$2),60-Исходн.данные.!AF70,IF(BK70&lt;0,0,IF(Исходн.данные.!I70&lt;4.5,BK70*1.2,IF(Исходн.данные.!I70&gt;5.1,BK70,BK70*((5.1-Исходн.данные.!I70)*0.333+1)))))</f>
        <v>0</v>
      </c>
      <c r="BO70" s="9">
        <f>IF(BL70&lt;0,0,BL70*Исходн.данные.!$AJ70/1000)</f>
        <v>0</v>
      </c>
      <c r="BP70" s="9">
        <f>IF(BM70&lt;0,0,BM70*Исходн.данные.!$AJ70/1000)</f>
        <v>0</v>
      </c>
      <c r="BQ70" s="9">
        <f>IF(BN70&lt;0,0,BN70*Исходн.данные.!$AJ70/1000)</f>
        <v>0</v>
      </c>
      <c r="BR70" s="9">
        <f t="shared" si="81"/>
        <v>0</v>
      </c>
      <c r="BS70" s="10" t="str">
        <f t="shared" si="82"/>
        <v>Аммофос 12:52:00</v>
      </c>
      <c r="BT70" s="10" t="str">
        <f t="shared" si="83"/>
        <v>Аммофос 12:52:00</v>
      </c>
      <c r="BU70" s="10" t="str">
        <f t="shared" si="84"/>
        <v>Диаммофоска</v>
      </c>
      <c r="BV70" s="10">
        <f t="shared" si="85"/>
        <v>0</v>
      </c>
      <c r="BW70" s="10"/>
      <c r="BX70" s="10"/>
      <c r="BY70" s="9">
        <f>IF(BL70&lt;0,0,IF(OR(Исходн.данные.!AI70=Расчет!$BU$6,Исходн.данные.!AI70=Расчет!$BU$7),Расчет!BV70,IF(Исходн.данные.!$AG70=$BV$11,BL70,IF(OR(Исходн.данные.!$AH70=$BQ$7,Исходн.данные.!$AH70=$BQ$8),CB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0,IF(Исходн.данные.!$AI70=$BU$11,"Нет",IF(BL70&gt;30,30,BL70)))))))</f>
        <v>0</v>
      </c>
      <c r="BZ70" s="9">
        <f>IF(AND(Исходн.данные.!$AG70=$BV$11,BM70&lt;10),10,IF(Исходн.данные.!$AG70=$BV$11,BM70,IF(OR(Исходн.данные.!$AH70=$BQ$7,Исходн.данные.!$AH70=$BQ$8),CC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10,IF(Исходн.данные.!$AI70=$BU$11,"Нет",IF(BM70&gt;60,60,IF(BM70&lt;10,10,BM70)))))))</f>
        <v>10</v>
      </c>
      <c r="CA70" s="39">
        <f>IF(BN70&lt;0,0,IF(Исходн.данные.!$AG70=$BV$11,BN70,IF(OR(Исходн.данные.!$AH70=$BQ$7,Исходн.данные.!$AH70=$BQ$8),CD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0,IF(Исходн.данные.!$AI70=$BU$11,"Нет",IF(BN70&gt;30,30,BN70))))))</f>
        <v>0</v>
      </c>
      <c r="CB70" s="9">
        <f t="shared" si="86"/>
        <v>0</v>
      </c>
      <c r="CC70" s="9">
        <f t="shared" si="87"/>
        <v>0</v>
      </c>
      <c r="CD70" s="9">
        <f t="shared" si="88"/>
        <v>0</v>
      </c>
      <c r="CE70" s="12">
        <f t="shared" si="89"/>
        <v>10</v>
      </c>
      <c r="CF70" s="9">
        <f t="shared" si="90"/>
        <v>0</v>
      </c>
      <c r="CG70" s="9" t="s">
        <v>231</v>
      </c>
      <c r="CH70" s="132" t="str">
        <f>IF(Исходн.данные.!AP70=Расчет!$CI$16,"Нет",IF(Исходн.данные.!AL70&gt;0,Исходн.данные.!AL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BH$4,IF(OR(Исходн.данные.!AI70=Исходн.данные.!$AI$6,Исходн.данные.!AI70=Исходн.данные.!$AI$7),Расчет!BS70,IF(AND($CF70=0,$CE70&gt;0),EV70,ER70)))))</f>
        <v>Аммофос 12:52:00</v>
      </c>
      <c r="CI70" s="274">
        <f>IF(Расчет!$CH70="Нет","Нет",IF(Исходн.данные.!$AL70&gt;0,VLOOKUP(Расчет!$CH70,АшламаДВ_Irekle,2,FALSE),VLOOKUP(Расчет!$CH70,АшламаДВ_Gomumy,2,FALSE)))</f>
        <v>0.12</v>
      </c>
      <c r="CJ70" s="274">
        <f>IF(Расчет!$CH70="Нет","Нет",IF(Исходн.данные.!$AL70&gt;0,VLOOKUP(Расчет!$CH70,АшламаДВ_Irekle,3,FALSE),VLOOKUP(Расчет!$CH70,АшламаДВ_Gomumy,3,FALSE)))</f>
        <v>0.52</v>
      </c>
      <c r="CK70" s="274">
        <f>IF(Расчет!$CH70="Нет","Нет",IF(Исходн.данные.!$AL70&gt;0,VLOOKUP(Расчет!$CH70,АшламаДВ_Irekle,4,FALSE),VLOOKUP(Расчет!$CH70,АшламаДВ_Gomumy,4,FALSE)))</f>
        <v>0</v>
      </c>
      <c r="CL70" s="70"/>
      <c r="CM70" s="70"/>
      <c r="CN70" s="70"/>
      <c r="CO70" s="70"/>
      <c r="CP70" s="70"/>
      <c r="CQ70" s="70"/>
      <c r="CR70" s="10">
        <f t="shared" si="91"/>
        <v>0</v>
      </c>
      <c r="CS70" s="10">
        <f t="shared" si="92"/>
        <v>19.23076923076923</v>
      </c>
      <c r="CT70" s="10">
        <f t="shared" si="93"/>
        <v>0</v>
      </c>
      <c r="CU70" s="39">
        <f>IF($CH70="Нет",0,IF(CI70=0,30/MIN(CJ70:CK70),IF(Исходн.данные.!$AG70=$BV$11,CR70,IF(OR(Исходн.данные.!$AH70=$BQ$7,Исходн.данные.!$AH70=$BQ$8),90/CI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0,IF(Исходн.данные.!$AI70=$BU$11,"Нет",30/CI70))))))</f>
        <v>250</v>
      </c>
      <c r="CV70" s="39">
        <f>IF($CH70="Нет",0,IF(Исходн.данные.!AH70=0,0,IF(CJ70=0,60/MIN(CI70,CK70),IF(Исходн.данные.!$AG70=$BV$11,CS70,IF(OR(Исходн.данные.!$AH70=$BQ$7,Исходн.данные.!$AH70=$BQ$8),90/CJ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10/CJ70,IF(Исходн.данные.!$AI70=$BU$11,"Нет",60/CJ70)))))))</f>
        <v>0</v>
      </c>
      <c r="CW70" s="39">
        <f>IF($CH70="Нет",0,IF(Исходн.данные.!AH70=0,0,IF(CK70=0,30/MIN(CI70:CJ70),IF(Исходн.данные.!$AG70=$BV$11,CT70,IF(OR(Исходн.данные.!$AH70=$BQ$7,Исходн.данные.!$AH70=$BQ$8),90/CK70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0,IF(Исходн.данные.!$AI70=$BU$11,"Нет",30/CK70)))))))</f>
        <v>0</v>
      </c>
      <c r="CX70" s="133">
        <f>IF(Исходн.данные.!$AG70=$BV$11,MAX(CU70:CW70),IF(OR(Исходн.данные.!$AH70=$BS$8,Исходн.данные.!$AH70=$BQ$9,Исходн.данные.!$AH70=$BQ$10,Исходн.данные.!$AH70=$BQ$11,Исходн.данные.!$AH70=$BQ$12,Исходн.данные.!$AH70=$BP$3,Исходн.данные.!$AH70=$BT$8,$FM70="Да"),CV70,MIN(CU70:CW70)))</f>
        <v>0</v>
      </c>
      <c r="CY70" s="133">
        <f>IF(Исходн.данные.!AH70=0,0,IF(CR70&gt;$CX70,$CX70,CR70))</f>
        <v>0</v>
      </c>
      <c r="CZ70" s="133">
        <f>IF(Исходн.данные.!AH70=0,0,IF(CS70&gt;$CX70,$CX70,CS70))</f>
        <v>0</v>
      </c>
      <c r="DA70" s="133">
        <f>IF(Исходн.данные.!AH70=0,0,IF(CT70&gt;$CX70,$CX70,CT70))</f>
        <v>0</v>
      </c>
      <c r="DB70" s="10">
        <f t="shared" si="94"/>
        <v>0</v>
      </c>
      <c r="DC70" s="39">
        <f>DB70*Исходн.данные.!AJ70/1000</f>
        <v>0</v>
      </c>
      <c r="DD70" s="71">
        <f t="shared" si="95"/>
        <v>0</v>
      </c>
      <c r="DE70" s="9">
        <f t="shared" si="96"/>
        <v>0</v>
      </c>
      <c r="DF70" s="9">
        <f t="shared" si="97"/>
        <v>0</v>
      </c>
      <c r="DG70" s="39">
        <f>IF(BL70&lt;0,0,IF($CH70="Нет",BL70,IF(OR(Исходн.данные.!$AH70=$BP$1,Исходн.данные.!$AH70=$BP$2),0,IF(Исходн.данные.!AI70=$BU$11,BL70,IF(BL70-DD70&lt;0,0,BL70-DD70)))))</f>
        <v>0</v>
      </c>
      <c r="DH70" s="39">
        <f>IF(BM70&lt;0,0,IF($CH70="Нет",BM70,IF(OR(Исходн.данные.!$AH70=$BP$1,Исходн.данные.!$AH70=$BP$2),0,IF(Исходн.данные.!AJ70=$BU$11,BM70,IF(BM70-DE70&lt;0,0,BM70-DE70)))))</f>
        <v>0</v>
      </c>
      <c r="DI70" s="39">
        <f>IF(BN70&lt;0,0,IF($CH70="Нет",BN70,IF(OR(Исходн.данные.!$AH70=$BP$1,Исходн.данные.!$AH70=$BP$2),0,IF(Исходн.данные.!AK70=$BU$11,BN70,IF(BN70-DF70&lt;0,0,BN70-DF70)))))</f>
        <v>0</v>
      </c>
      <c r="DJ70" s="12">
        <f t="shared" si="98"/>
        <v>0</v>
      </c>
      <c r="DK70" s="9">
        <f t="shared" si="99"/>
        <v>0</v>
      </c>
      <c r="DL70" s="39">
        <f>IF(Исходн.данные.!AM70&gt;0,Исходн.данные.!AM70,IF(EG70&gt;0,$BH$10,0))</f>
        <v>0</v>
      </c>
      <c r="DM70" s="186">
        <f>IF($DL70=0,0,IF(Исходн.данные.!AM70&gt;0,VLOOKUP($DL70,АшламаДВ_Irekle,2,FALSE),VLOOKUP($DL70,АшламаДВ_Gomumy,2,FALSE)))</f>
        <v>0</v>
      </c>
      <c r="DN70" s="10">
        <f t="shared" si="46"/>
        <v>0</v>
      </c>
      <c r="DO70" s="9" t="str">
        <f>IF(Исходн.данные.!AN70&gt;0,Исходн.данные.!AN70,Удобрения!$B$37 )</f>
        <v>Хлор.калий</v>
      </c>
      <c r="DP70" s="9">
        <f>IF(Исходн.данные.!AN70&gt;0,VLOOKUP(Исходн.данные.!AN70,АшламаДВ_Irekle,4,FALSE),VLOOKUP(DO70,АшламаДВ_Gomumy,4,FALSE))</f>
        <v>0.6</v>
      </c>
      <c r="DQ70" s="10">
        <f t="shared" si="47"/>
        <v>0</v>
      </c>
      <c r="DR70" s="132" t="str">
        <f>IF(Исходн.данные.!AO70&gt;0,Исходн.данные.!AO70,IF(DH70=0,BS$17,IF(AND($DK70=0,$DJ70&gt;0),EJ70,EN70)))</f>
        <v>Нет</v>
      </c>
      <c r="DS70" s="70" t="str">
        <f>IF($DR70="Нет","Нет",IF(Исходн.данные.!$AO70&gt;0,VLOOKUP($DR70,АшламаДВ_Irekle,2,FALSE),VLOOKUP($DR70,АшламаДВ_Gomumy,2,FALSE)))</f>
        <v>Нет</v>
      </c>
      <c r="DT70" s="70" t="str">
        <f>IF($DR70="Нет","Нет",IF(Исходн.данные.!$AO70&gt;0,VLOOKUP($DR70,АшламаДВ_Irekle,3,FALSE),VLOOKUP($DR70,АшламаДВ_Gomumy,3,FALSE)))</f>
        <v>Нет</v>
      </c>
      <c r="DU70" s="70" t="str">
        <f>IF($DR70="Нет","Нет",IF(Исходн.данные.!$AO70&gt;0,VLOOKUP($DR70,АшламаДВ_Irekle,4,FALSE),VLOOKUP($DR70,АшламаДВ_Gomumy,4,FALSE)))</f>
        <v>Нет</v>
      </c>
      <c r="DV70" s="70"/>
      <c r="DW70" s="70"/>
      <c r="DX70" s="70"/>
      <c r="DY70" s="10">
        <f t="shared" si="100"/>
        <v>0</v>
      </c>
      <c r="DZ70" s="10">
        <f t="shared" si="101"/>
        <v>0</v>
      </c>
      <c r="EA70" s="10">
        <f t="shared" si="102"/>
        <v>0</v>
      </c>
      <c r="EB70" s="10">
        <f t="shared" si="103"/>
        <v>0</v>
      </c>
      <c r="EC70" s="10">
        <f t="shared" si="104"/>
        <v>0</v>
      </c>
      <c r="ED70" s="10">
        <f t="shared" si="105"/>
        <v>0</v>
      </c>
      <c r="EE70" s="10">
        <f t="shared" si="106"/>
        <v>0</v>
      </c>
      <c r="EF70" s="39">
        <f>EB70*Исходн.данные.!AJ70/1000</f>
        <v>0</v>
      </c>
      <c r="EG70" s="9">
        <f t="shared" si="107"/>
        <v>0</v>
      </c>
      <c r="EH70" s="9">
        <f t="shared" si="108"/>
        <v>0</v>
      </c>
      <c r="EI70" s="39" t="e">
        <f t="shared" si="7"/>
        <v>#DIV/0!</v>
      </c>
      <c r="EJ70" s="9" t="str">
        <f t="shared" si="8"/>
        <v>Азопреципитат</v>
      </c>
      <c r="EK70" s="12">
        <f t="shared" si="9"/>
        <v>0.26</v>
      </c>
      <c r="EL70" s="12">
        <f t="shared" si="10"/>
        <v>0.13</v>
      </c>
      <c r="EM70" s="12">
        <f t="shared" si="11"/>
        <v>0</v>
      </c>
      <c r="EN70" s="12" t="str">
        <f t="shared" si="57"/>
        <v>Нет</v>
      </c>
      <c r="EO70" s="12">
        <f t="shared" si="12"/>
        <v>0</v>
      </c>
      <c r="EP70" s="12">
        <f t="shared" si="13"/>
        <v>0</v>
      </c>
      <c r="EQ70" s="12">
        <f t="shared" si="14"/>
        <v>0</v>
      </c>
      <c r="ER70" s="12" t="str">
        <f t="shared" si="109"/>
        <v>Диаммофоска</v>
      </c>
      <c r="ES70" s="12">
        <f t="shared" si="15"/>
        <v>0.1</v>
      </c>
      <c r="ET70" s="12">
        <f t="shared" si="16"/>
        <v>0.26</v>
      </c>
      <c r="EU70" s="12">
        <f t="shared" si="17"/>
        <v>0.26</v>
      </c>
      <c r="EV70" s="12" t="str">
        <f t="shared" si="110"/>
        <v>Аммофос 12:52:00</v>
      </c>
      <c r="EW70" s="12" t="str">
        <f t="shared" si="111"/>
        <v>Кемира Свекловичное-6</v>
      </c>
      <c r="EX70" s="12">
        <f t="shared" si="18"/>
        <v>0.16</v>
      </c>
      <c r="EY70" s="12">
        <f t="shared" si="19"/>
        <v>0.12</v>
      </c>
      <c r="EZ70" s="12">
        <f t="shared" si="20"/>
        <v>0.17</v>
      </c>
      <c r="FA70" s="38" t="e">
        <f>IF(AND(OR(FJ70=$FD$1,FM70=$FD$1,FO70=$FD$1,FQ70=$FD$1,FS70=$FD$1),FD70=$FD$1,Исходн.данные.!J70&lt;2,FU70=$FD$1),"Бор,Кобальт",IF(AND(FO70=$FD$1,FH70=$FD$1,Исходн.данные.!J70&lt;2,FU70=$FD$1),"Бор,Кобальт",IF(AND(OR(FJ70=$FD$1,FM70=$FD$1,FQ70=$FD$1),FE70=$FD$1,Исходн.данные.!J70&lt;2,FT70=$FD$1,FU70=$FD$1),"Бор,Медь,Цинк",IF(AND(OR(FJ70=$FD$1,FR70="Да"),FI70="Да",Исходн.данные.!J70&lt;2,FT70="Да",FU70="Да"),"Бор,Цинк,Медь",IF(AND(OR(FM70="Да",FQ70="Да"),FI70="Да",Исходн.данные.!J70&lt;2,FT70="Да",FU70="Да"),"Бор,Цинк",IF(AND(FN70="Да",OR(FD70="Да",FE70="Да")),"Бор",FB70))))))</f>
        <v>#N/A</v>
      </c>
      <c r="FB70" s="134" t="e">
        <f>IF(AND(OR(FD70="Да",FE70="Да",FF70="Да",FG70="Да",FH70="Да"),FO70="Да"),"Бор",IF(AND(FP70="Да",OR(FD70="Да",FE70="Да",FI70="Да")),"Бор",IF(AND(FS70="Да",FE70="Да"),"Бор,Медь",IF(AND(OR(FJ70="Да",FK70="Да",FL70="Да"),FE70="Да",Исходн.данные.!I70&lt;5,FT70="Да",FU70="Да"),"Молибден,Цинк",IF(AND(FM70="Да",OR(FE70="Да",FF70="Да",FG70="Да",FH70="Да",FI70="Да")),"Молибден,Цинк",IF(AND(OR(FJ70="Да",FK70="Да",FL70="Да",FM70="Да",FQ70="Да"),OR(FE70="Да",FF70="Да"),FT70="Да",FU70="Да",Исходн.данные.!I70&gt;5.5),"Медь,Цинк",FC70))))))</f>
        <v>#N/A</v>
      </c>
      <c r="FC70" s="23" t="e">
        <f t="shared" si="112"/>
        <v>#N/A</v>
      </c>
      <c r="FD70" s="38" t="str">
        <f>IF(OR(Исходн.данные.!F70=$CC$1,Исходн.данные.!F70=$CC$2,Исходн.данные.!F70=$CC$3,Исходн.данные.!F70=$CC$4),"Да","Нет")</f>
        <v>Нет</v>
      </c>
      <c r="FE70" s="38" t="str">
        <f>IF(Исходн.данные.!F70=$CC$5,"Да","Нет")</f>
        <v>Нет</v>
      </c>
      <c r="FF70" s="38" t="str">
        <f>IF(OR(Исходн.данные.!F70=$CC$6,Исходн.данные.!F70=$CC$7),"Да","Нет")</f>
        <v>Нет</v>
      </c>
      <c r="FG70" s="38" t="str">
        <f>IF(OR(Исходн.данные.!F70=$CC$8,Исходн.данные.!F70=$CC$9),"Да","Нет")</f>
        <v>Нет</v>
      </c>
      <c r="FH70" s="38" t="str">
        <f>IF(Исходн.данные.!F70=$CC$10,"Да","Нет")</f>
        <v>Нет</v>
      </c>
      <c r="FI70" s="38" t="str">
        <f>IF(OR(Исходн.данные.!F70=$CC$11,Исходн.данные.!F70=$CC$12),"Да","Нет")</f>
        <v>Нет</v>
      </c>
      <c r="FJ70" s="38" t="str">
        <f>IF(OR(Исходн.данные.!AH70=$BS$1,Исходн.данные.!AH70=$BQ$11,Исходн.данные.!AH70=$BQ$12),"Да","Нет")</f>
        <v>Нет</v>
      </c>
      <c r="FK70" s="38" t="str">
        <f>IF(OR(Исходн.данные.!AH70=$BS$2,Исходн.данные.!AH70=$BS$4),"Да","Нет")</f>
        <v>Нет</v>
      </c>
      <c r="FL70" s="38" t="str">
        <f>IF(OR(Исходн.данные.!AH70=$BS$3,Исходн.данные.!AH70=$BS$5),"Да","Нет")</f>
        <v>Нет</v>
      </c>
      <c r="FM70" s="38" t="str">
        <f>IF(OR(Исходн.данные.!AH70=$BS$9,Исходн.данные.!AH70=$BS$10,Исходн.данные.!AH70=$BS$11,Исходн.данные.!AH70=$BS$12),"Да","Нет")</f>
        <v>Нет</v>
      </c>
      <c r="FN70" s="38" t="str">
        <f>IF(OR(Исходн.данные.!AH70=$BS$6,Исходн.данные.!AH70=$BP$3),"Да","Нет")</f>
        <v>Нет</v>
      </c>
      <c r="FO70" s="38" t="str">
        <f>IF(Исходн.данные.!AH70=$BQ$9,"Да","Нет")</f>
        <v>Нет</v>
      </c>
      <c r="FP70" s="38" t="str">
        <f>IF(OR(Исходн.данные.!AH70=$BS$8,Исходн.данные.!AH70=$BT$8),"Да","Нет")</f>
        <v>Нет</v>
      </c>
      <c r="FQ70" s="38" t="str">
        <f>IF(OR(Исходн.данные.!AH70=$BQ$7,Исходн.данные.!AH70=$BQ$8),"Да","Нет")</f>
        <v>Нет</v>
      </c>
      <c r="FR70" s="38" t="str">
        <f>IF(Исходн.данные.!AI70=$BU$9,"Да","Нет")</f>
        <v>Нет</v>
      </c>
      <c r="FS70" s="38" t="str">
        <f>IF(OR(Исходн.данные.!AH70=$BP$1,Исходн.данные.!AH70=$BP$2),"Да","Нет")</f>
        <v>Нет</v>
      </c>
      <c r="FT70" s="38" t="e">
        <f>IF((Исходн.данные.!K70*GO70*GS70*GW70+BL70*0.6+Исходн.данные.!Q70*4.5*0.275)&gt;90,"Да","Нет")</f>
        <v>#N/A</v>
      </c>
      <c r="FU70" s="38" t="e">
        <f>IF((Исходн.данные.!M70*GS70*GZ70+BM70*0.225)&gt;35,"Да","Нет")</f>
        <v>#N/A</v>
      </c>
      <c r="FV70" s="38" t="str">
        <f>IF(Исходн.данные.!O70&gt;175,"Да","Нет")</f>
        <v>Нет</v>
      </c>
      <c r="FW70" s="39" t="str">
        <f>IF(Исходн.данные.!I70&gt;5.5,"Да","Нет")</f>
        <v>Нет</v>
      </c>
      <c r="FX70" s="39" t="str">
        <f>IF(Исходн.данные.!J70&lt;2,"Да","Нет")</f>
        <v>Да</v>
      </c>
      <c r="FY70" s="39" t="e">
        <f>IF(HF70=$FY$16,0,Исходн.данные.!K70*GO70*GS70*GW70/HF70)</f>
        <v>#N/A</v>
      </c>
      <c r="FZ70" s="39" t="e">
        <f>Исходн.данные.!M70*GS70*GZ70/HG70</f>
        <v>#N/A</v>
      </c>
      <c r="GA70" s="39" t="e">
        <f>IF(K_Wyn=$FY$16,0,IF(Исходн.данные.!N70=Исходн.данные.!$L$10,Исходн.данные.!O70/1.1*GS70*HC70/HH70,IF(Исходн.данные.!N70=Исходн.данные.!$L$12,Исходн.данные.!O70/1.5*GS70*HC70/HH70,Исходн.данные.!O70*GS70*HC70/HH70)))</f>
        <v>#N/A</v>
      </c>
      <c r="GB70" s="39" t="e">
        <f>IF(HF70=$FY$16,0,((Исходн.данные.!Q70*N_Org+Исходн.данные.!R70*N_Sider+Исходн.данные.!S70*N_Soloma)*AO70+Расчет!BC70*VLOOKUP(Исходн.данные.!T70,Справ!$A$3:$O$57,15)*AO70+BB70*VLOOKUP(Исходн.данные.!T70,Справ!$A$3:$O$57,15)*AL70+(Исходн.данные.!V70*N_Rizotorf+Исходн.данные.!W70*N_Rizoagr))/HF70)</f>
        <v>#N/A</v>
      </c>
      <c r="GC70" s="39" t="e">
        <f>IF(HG70=$FY$16,0,((Исходн.данные.!Q70*Р_Org+Исходн.данные.!R70*P_Sider+Исходн.данные.!S70*P_Soloma)*AP70+Расчет!BC70*VLOOKUP(Исходн.данные.!T70,Справ!$A$3:$P$57,16)*AP70+BB70*VLOOKUP(Исходн.данные.!T70,Справ!$A$3:$P$57,16)*AM70)/HG70)</f>
        <v>#N/A</v>
      </c>
      <c r="GD70" s="39" t="e">
        <f>IF(HH70=$FY$16,0,((Исходн.данные.!Q70*К_Org+Исходн.данные.!R70*K_Sider+Исходн.данные.!S70*K_Soloma)*AQ70+Расчет!BC70*VLOOKUP(Исходн.данные.!T70,Справ!$A$3:$Q$57,17)*AQ70+BB70*VLOOKUP(Исходн.данные.!T70,Справ!$A$3:$Q$57,17)*AN70)/HH70)</f>
        <v>#N/A</v>
      </c>
      <c r="GE70" s="39" t="e">
        <f>IF(HF70=$FY$16,0,(Исходн.данные.!X70*AR70+Исходн.данные.!AA70*N_Org*AL70+Исходн.данные.!AB70*N_Sider*AL70+Исходн.данные.!AC70*N_Soloma*AL70)/HF70)</f>
        <v>#N/A</v>
      </c>
      <c r="GF70" s="39" t="e">
        <f>IF(HG70=$FY$16,0,(Исходн.данные.!Y70*AS70+Исходн.данные.!AA70*Р_Org*AM70+Исходн.данные.!AB70*P_Sider*AM70+Исходн.данные.!AC70*P_Soloma*AM70)/HG70)</f>
        <v>#N/A</v>
      </c>
      <c r="GG70" s="39" t="e">
        <f>IF(HH70=$FY$16,0,(Исходн.данные.!Z70*AT70+Исходн.данные.!AA70*К_Org*AN70+Исходн.данные.!AB70*K_Sider*AN70+Исходн.данные.!AC70*K_Soloma*AN70)/HH70)</f>
        <v>#N/A</v>
      </c>
      <c r="GH70" s="39" t="e">
        <f>Исходн.данные.!AD70*AU70/HF70</f>
        <v>#N/A</v>
      </c>
      <c r="GI70" s="39" t="e">
        <f>Исходн.данные.!AE70*AV70/HG70</f>
        <v>#N/A</v>
      </c>
      <c r="GJ70" s="39" t="e">
        <f>Исходн.данные.!AF70*AW70/HH70</f>
        <v>#N/A</v>
      </c>
      <c r="GK70" s="55">
        <f>Исходн.данные.!AK70</f>
        <v>0</v>
      </c>
      <c r="GL70" s="11" t="e">
        <f t="shared" si="113"/>
        <v>#N/A</v>
      </c>
      <c r="GM70" s="11" t="e">
        <f t="shared" si="114"/>
        <v>#N/A</v>
      </c>
      <c r="GN70" s="11" t="e">
        <f t="shared" si="115"/>
        <v>#N/A</v>
      </c>
      <c r="GO70" s="57">
        <f t="shared" si="116"/>
        <v>19</v>
      </c>
      <c r="GP70" s="55">
        <f>IF(OR(Исходн.данные.!F70=$CE$1,Исходн.данные.!F70=$CE$2,Исходн.данные.!F70=$CE$3,Исходн.данные.!F70=$CE$4,Исходн.данные.!F70=$CE$5),GQ70,GR70)</f>
        <v>19</v>
      </c>
      <c r="GQ70" s="55">
        <f>IF(Исходн.данные.!F70=$CE$1,28,IF(Исходн.данные.!F70=$CE$2,26,IF(Исходн.данные.!F70=$CE$3,24,IF(Исходн.данные.!F70=$CE$4,22,IF(Исходн.данные.!F70=$CE$5,20,GR70)))))</f>
        <v>19</v>
      </c>
      <c r="GR70" s="55">
        <f>IF(Исходн.данные.!F70=$CE$6,18,IF(Исходн.данные.!F70=$CE$7,16,IF(Исходн.данные.!F70=$CE$8,14,IF(Исходн.данные.!F70=$CE$9,13,IF(Исходн.данные.!F70=$CE$10,12,19)))))</f>
        <v>19</v>
      </c>
      <c r="GS70" s="55">
        <f>IF(Исходн.данные.!G70="Пес",0.035*(40+2*Исходн.данные.!H70),IF(Исходн.данные.!G70="Суп",0.0325*(40+2*Исходн.данные.!H70),0.03*(40+2*Исходн.данные.!H70)))</f>
        <v>1.2</v>
      </c>
      <c r="GT70" s="55">
        <f>IF(Исходн.данные.!H70&lt;23,2.6,IF(AND(Исходн.данные.!H70&gt;22,Исходн.данные.!H70&lt;26),3,IF(AND(Исходн.данные.!H70&gt;25,Исходн.данные.!H70&lt;29),3.4,3.6)))</f>
        <v>2.6</v>
      </c>
      <c r="GU70" s="55">
        <f>IF(Исходн.данные.!H70&lt;23,2.8,IF(AND(Исходн.данные.!H70&gt;22,Исходн.данные.!H70&lt;26),3.2,IF(AND(Исходн.данные.!H70&gt;25,Исходн.данные.!H70&lt;29),3.6,3.9)))</f>
        <v>2.8</v>
      </c>
      <c r="GV70" s="55">
        <f>IF(Исходн.данные.!H70&lt;23,3,IF(AND(Исходн.данные.!H70&gt;22,Исходн.данные.!H70&lt;26),3.5,IF(AND(Исходн.данные.!H70&gt;25,Исходн.данные.!H70&lt;29),3.9,4.2)))</f>
        <v>3</v>
      </c>
      <c r="GW70" s="55" t="e">
        <f>IF(Исходн.данные.!P70="Ум",GX70,GY70)</f>
        <v>#N/A</v>
      </c>
      <c r="GX70" s="55" t="e">
        <f>VLOOKUP(Исходн.данные.!AI70,Коэффициенты!$J$7:$L$13,2,FALSE)</f>
        <v>#N/A</v>
      </c>
      <c r="GY70" s="55" t="e">
        <f>VLOOKUP(Исходн.данные.!AI70,Коэффициенты!$J$7:$L$13,3,FALSE)</f>
        <v>#N/A</v>
      </c>
      <c r="GZ70" s="55" t="e">
        <f>(IF(Исходн.данные.!M70&lt;50,0.11*VLOOKUP(Исходн.данные.!AH70,Культуры.Информация,7,FALSE),IF(Исходн.данные.!M70&gt;250,0.05*VLOOKUP(Исходн.данные.!AH70,Культуры.Информация,7,FALSE),VLOOKUP(Исходн.данные.!AH70,Культуры.Информация,5,FALSE)/100*($GX$6+$GY$6*Исходн.данные.!M70))))*Расчет2!AI70</f>
        <v>#N/A</v>
      </c>
      <c r="HA70" s="211"/>
      <c r="HB70" s="211"/>
      <c r="HC70" s="55" t="e">
        <f>(IF(Исходн.данные.!O70&lt;80,0.2*VLOOKUP(Исходн.данные.!AH70,Культуры.Информация,8,FALSE),IF(Исходн.данные.!O70&gt;240,0.09*VLOOKUP(Исходн.данные.!AH70,Культуры.Информация,8,FALSE),VLOOKUP(Исходн.данные.!AH70,Культуры.Информация,6,FALSE)/100*($HB$6+$HC$6*Исходн.данные.!O70))))*Расчет2!AJ70</f>
        <v>#N/A</v>
      </c>
      <c r="HD70" s="55">
        <f>IF(Исходн.данные.!O70&gt;240,0.09,IF(Исходн.данные.!O70&lt;30,0.3,$HE$10+$HD$10*Исходн.данные.!O70))</f>
        <v>0.3</v>
      </c>
      <c r="HE70" s="55">
        <f>IF(Исходн.данные.!O70&gt;240,0.17,IF(Исходн.данные.!O70&lt;30,0.5,$HF$12+$HE$12*Исходн.данные.!O70))</f>
        <v>0.5</v>
      </c>
      <c r="HF70" s="55" t="e">
        <f>VLOOKUP(Исходн.данные.!AH70,Справ!$A$3:$D$58,2,FALSE)</f>
        <v>#N/A</v>
      </c>
      <c r="HG70" s="55" t="e">
        <f>VLOOKUP(Исходн.данные.!AH70,Справ!$A$3:$D$58,3,FALSE)</f>
        <v>#N/A</v>
      </c>
      <c r="HH70" s="55" t="e">
        <f>VLOOKUP(Исходн.данные.!AH70,Справ!$A$3:$D$58,4,FALSE)</f>
        <v>#N/A</v>
      </c>
      <c r="HI70" s="11" t="e">
        <f t="shared" si="117"/>
        <v>#N/A</v>
      </c>
      <c r="HJ70" s="11" t="e">
        <f t="shared" si="118"/>
        <v>#N/A</v>
      </c>
      <c r="HK70" s="11" t="e">
        <f t="shared" si="119"/>
        <v>#N/A</v>
      </c>
      <c r="HL70" s="55">
        <f>IF(OR(Исходн.данные.!G70="Глин",Исходн.данные.!G70="Т_суг"),1.1,IF(Исходн.данные.!G70="Ср_суг",1,1))</f>
        <v>1</v>
      </c>
      <c r="HM70" s="55">
        <f>IF(OR(Исходн.данные.!G70="Глин",Исходн.данные.!G70="Т_суг"),0.9,IF(Исходн.данные.!G70="Ср_суг",1,1.2))</f>
        <v>1.2</v>
      </c>
      <c r="HN70" s="11" t="e">
        <f t="shared" si="120"/>
        <v>#N/A</v>
      </c>
      <c r="HO70" s="11" t="e">
        <f t="shared" si="121"/>
        <v>#N/A</v>
      </c>
      <c r="HP70" s="11" t="e">
        <f t="shared" si="122"/>
        <v>#N/A</v>
      </c>
      <c r="HQ70" t="e">
        <f t="shared" si="123"/>
        <v>#N/A</v>
      </c>
      <c r="HR70" t="e">
        <f t="shared" si="124"/>
        <v>#N/A</v>
      </c>
      <c r="HS70" t="e">
        <f t="shared" si="125"/>
        <v>#N/A</v>
      </c>
      <c r="HT70" t="e">
        <f t="shared" si="21"/>
        <v>#N/A</v>
      </c>
      <c r="HU70" t="e">
        <f t="shared" si="22"/>
        <v>#N/A</v>
      </c>
      <c r="HV70" t="e">
        <f t="shared" si="23"/>
        <v>#N/A</v>
      </c>
      <c r="HW70" t="e">
        <f t="shared" si="24"/>
        <v>#N/A</v>
      </c>
      <c r="HX70" t="e">
        <f t="shared" si="25"/>
        <v>#N/A</v>
      </c>
      <c r="HY70" t="e">
        <f t="shared" si="26"/>
        <v>#N/A</v>
      </c>
      <c r="HZ70" s="55">
        <f>IF(OR(Исходн.данные.!AI70="Оз_Ч_П",Исходн.данные.!AI70="Оз_З_П",Исходн.данные.!AI70="Яр_зер"),12,30)</f>
        <v>30</v>
      </c>
      <c r="IA70" t="e">
        <f t="shared" si="126"/>
        <v>#N/A</v>
      </c>
      <c r="IB70" t="e">
        <f t="shared" si="127"/>
        <v>#N/A</v>
      </c>
      <c r="IC70" t="e">
        <f t="shared" si="128"/>
        <v>#N/A</v>
      </c>
      <c r="ID70" s="11" t="e">
        <f t="shared" si="129"/>
        <v>#N/A</v>
      </c>
      <c r="IE70" s="11" t="e">
        <f t="shared" si="130"/>
        <v>#N/A</v>
      </c>
      <c r="IF70" s="11" t="e">
        <f t="shared" si="131"/>
        <v>#N/A</v>
      </c>
    </row>
    <row r="71" spans="35:240" x14ac:dyDescent="0.2">
      <c r="AI71">
        <f>IF(Исходн.данные.!I71&gt;6,1,1.85-(0.148*Исходн.данные.!I71))</f>
        <v>1.85</v>
      </c>
      <c r="AJ71">
        <f>IF(Исходн.данные.!I71&gt;6,1,2.434-(0.246*Исходн.данные.!I71))</f>
        <v>2.4340000000000002</v>
      </c>
      <c r="AL71" s="148" t="b">
        <f>IF(Исходн.данные.!$P71="Ум",N_OrgUd_2g_um,IF(Исходн.данные.!$P71="Об",N_OrgUd_2g_ob))</f>
        <v>0</v>
      </c>
      <c r="AM71" s="148" t="b">
        <f>IF(Исходн.данные.!$P71="Ум",P_OrgUd_2g_um,IF(Исходн.данные.!$P71="Об",P_OrgUd_2g_ob))</f>
        <v>0</v>
      </c>
      <c r="AN71" s="148" t="b">
        <f>IF(Исходн.данные.!$P71="Ум",K_OrgUd_2g_um,IF(Исходн.данные.!$P71="Об",K_OrgUd_2g_ob))</f>
        <v>0</v>
      </c>
      <c r="AO71" s="148" t="b">
        <f>IF(Исходн.данные.!$P71="Ум",N_OrgUd_1g_um,IF(Исходн.данные.!$P71="Об",N_OrgUd_1g_ob))</f>
        <v>0</v>
      </c>
      <c r="AP71" s="148" t="b">
        <f>IF(Исходн.данные.!$P71="Ум",P_OrgUd_1g_um,IF(Исходн.данные.!$P71="Об",P_OrgUd_1g_ob))</f>
        <v>0</v>
      </c>
      <c r="AQ71" s="148" t="b">
        <f>IF(Исходн.данные.!$P71="Ум",K_OrgUd_1g_um,IF(Исходн.данные.!$P71="Об",K_OrgUd_1g_ob))</f>
        <v>0</v>
      </c>
      <c r="AR71" t="b">
        <f>IF(Исходн.данные.!$P71="Ум",N_MinUd_2g_um,IF(Исходн.данные.!$P71="Об",N_MinUd_2g_ob))</f>
        <v>0</v>
      </c>
      <c r="AS71" t="b">
        <f>IF(Исходн.данные.!$P71="Ум",P_MinUd_2g_um,IF(Исходн.данные.!$P71="Об",P_MinUd_2g_ob))</f>
        <v>0</v>
      </c>
      <c r="AT71" t="b">
        <f>IF(Исходн.данные.!$P71="Ум",K_MinUd_2g_um,IF(Исходн.данные.!$P71="Об",K_MinUd_2g_ob))</f>
        <v>0</v>
      </c>
      <c r="AU71" t="b">
        <f>IF(Исходн.данные.!$P71="Ум",N_MinUd_1g_um,IF(Исходн.данные.!$P71="Об",N_MinUd_1g_ob))</f>
        <v>0</v>
      </c>
      <c r="AV71" t="b">
        <f>IF(Исходн.данные.!P71="Ум",P_MinUd_1g_um,IF(Исходн.данные.!P71="Об",P_MinUd_1g_ob))</f>
        <v>0</v>
      </c>
      <c r="AW71" t="b">
        <f>IF(Исходн.данные.!P71="Ум",K_MinUd_1g_um,IF(Исходн.данные.!P71="Об",K_MinUd_1g_ob))</f>
        <v>0</v>
      </c>
      <c r="AY71" t="e">
        <f>VLOOKUP(Исходн.данные.!T71,Справ!$A$3:$N$57,12)</f>
        <v>#N/A</v>
      </c>
      <c r="AZ71" t="e">
        <f>VLOOKUP(Исходн.данные.!T71,Справ!$A$3:$N$57,13)</f>
        <v>#N/A</v>
      </c>
      <c r="BA71" t="e">
        <f>VLOOKUP(Исходн.данные.!T71,Справ!$A$3:$N$57,14)</f>
        <v>#N/A</v>
      </c>
      <c r="BB71">
        <f>IF(Исходн.данные.!AH71=0,0,25)</f>
        <v>0</v>
      </c>
      <c r="BC71" s="141">
        <f>IF(Исходн.данные.!AH71=0,0,IF(Исходн.данные.!T71=0,25,BD71))</f>
        <v>0</v>
      </c>
      <c r="BD71" s="168" t="e">
        <f>AY71+AZ71*Исходн.данные.!U71-POWER(BA71,2)*Исходн.данные.!U71</f>
        <v>#N/A</v>
      </c>
      <c r="BE7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1" s="25">
        <f>IF(Исходн.данные.!AH71=0,0,MIN(HN71:HP71))</f>
        <v>0</v>
      </c>
      <c r="BG71" s="9">
        <f>IF(Исходн.данные.!AH71=0,0,IF((HO71+10*0.25/HG71/HL71)&lt;17,17,HO71+10*0.25/HG71/HL71))</f>
        <v>0</v>
      </c>
      <c r="BH71" s="181">
        <f>IF(Исходн.данные.!AH71=0,0,HW71*HF71*HL71/AU71*AI71+Исходн.данные.!S71*10)</f>
        <v>0</v>
      </c>
      <c r="BI71" s="10"/>
      <c r="BJ71" s="182">
        <f>IF(Исходн.данные.!AH71=0,0,IF(HX71*HG71*HL71/AV71&lt;0,0,HX71*HG71*HL71/AV71*AJ71))</f>
        <v>0</v>
      </c>
      <c r="BK71" s="182">
        <f>IF(Исходн.данные.!AH71=0,0,HY71*HH71*HM71/AW71)</f>
        <v>0</v>
      </c>
      <c r="BL71" s="10">
        <f>IF(OR(Исходн.данные.!$AH71=$BP$1,Исходн.данные.!$AH71=$BP$2),0,IF(BH71&lt;0,0,IF(OR(Исходн.данные.!T71=Расчет!$BP$1,Исходн.данные.!T71=Расчет!$BP$2,Исходн.данные.!T71=Расчет!$BT$5,Исходн.данные.!T71=Расчет!$BT$6),BH71*0.5,IF(OR(Исходн.данные.!T71=Расчет!$BS$9,Исходн.данные.!T71=Расчет!$BS$10,Исходн.данные.!T71=Расчет!$BS$11,Исходн.данные.!T71=Расчет!$BS$12,Исходн.данные.!T71=Расчет!$BP$5),BH71*0.8,BH71))))</f>
        <v>0</v>
      </c>
      <c r="BM71" s="10">
        <f>IF(OR(Исходн.данные.!$AH71=$BP$1,Исходн.данные.!$AH71=$BP$2),0,IF(BJ71&lt;0,0,IF(Исходн.данные.!I71&lt;4.5,BJ71*1.2,IF(Исходн.данные.!I71&gt;5.1,BJ71,BJ71*((5.1-Исходн.данные.!I71)*0.333+1)))))</f>
        <v>0</v>
      </c>
      <c r="BN71" s="10">
        <f>IF(OR(Исходн.данные.!$AH71=$BP$1,Исходн.данные.!$AH71=$BP$2),60-Исходн.данные.!AF71,IF(BK71&lt;0,0,IF(Исходн.данные.!I71&lt;4.5,BK71*1.2,IF(Исходн.данные.!I71&gt;5.1,BK71,BK71*((5.1-Исходн.данные.!I71)*0.333+1)))))</f>
        <v>0</v>
      </c>
      <c r="BO71" s="9">
        <f>IF(BL71&lt;0,0,BL71*Исходн.данные.!$AJ71/1000)</f>
        <v>0</v>
      </c>
      <c r="BP71" s="9">
        <f>IF(BM71&lt;0,0,BM71*Исходн.данные.!$AJ71/1000)</f>
        <v>0</v>
      </c>
      <c r="BQ71" s="9">
        <f>IF(BN71&lt;0,0,BN71*Исходн.данные.!$AJ71/1000)</f>
        <v>0</v>
      </c>
      <c r="BR71" s="9">
        <f t="shared" si="81"/>
        <v>0</v>
      </c>
      <c r="BS71" s="10" t="str">
        <f t="shared" si="82"/>
        <v>Аммофос 12:52:00</v>
      </c>
      <c r="BT71" s="10" t="str">
        <f t="shared" si="83"/>
        <v>Аммофос 12:52:00</v>
      </c>
      <c r="BU71" s="10" t="str">
        <f t="shared" si="84"/>
        <v>Диаммофоска</v>
      </c>
      <c r="BV71" s="10">
        <f t="shared" si="85"/>
        <v>0</v>
      </c>
      <c r="BW71" s="10"/>
      <c r="BX71" s="10"/>
      <c r="BY71" s="9">
        <f>IF(BL71&lt;0,0,IF(OR(Исходн.данные.!AI71=Расчет!$BU$6,Исходн.данные.!AI71=Расчет!$BU$7),Расчет!BV71,IF(Исходн.данные.!$AG71=$BV$11,BL71,IF(OR(Исходн.данные.!$AH71=$BQ$7,Исходн.данные.!$AH71=$BQ$8),CB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0,IF(Исходн.данные.!$AI71=$BU$11,"Нет",IF(BL71&gt;30,30,BL71)))))))</f>
        <v>0</v>
      </c>
      <c r="BZ71" s="9">
        <f>IF(AND(Исходн.данные.!$AG71=$BV$11,BM71&lt;10),10,IF(Исходн.данные.!$AG71=$BV$11,BM71,IF(OR(Исходн.данные.!$AH71=$BQ$7,Исходн.данные.!$AH71=$BQ$8),CC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10,IF(Исходн.данные.!$AI71=$BU$11,"Нет",IF(BM71&gt;60,60,IF(BM71&lt;10,10,BM71)))))))</f>
        <v>10</v>
      </c>
      <c r="CA71" s="39">
        <f>IF(BN71&lt;0,0,IF(Исходн.данные.!$AG71=$BV$11,BN71,IF(OR(Исходн.данные.!$AH71=$BQ$7,Исходн.данные.!$AH71=$BQ$8),CD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0,IF(Исходн.данные.!$AI71=$BU$11,"Нет",IF(BN71&gt;30,30,BN71))))))</f>
        <v>0</v>
      </c>
      <c r="CB71" s="9">
        <f t="shared" si="86"/>
        <v>0</v>
      </c>
      <c r="CC71" s="9">
        <f t="shared" si="87"/>
        <v>0</v>
      </c>
      <c r="CD71" s="9">
        <f t="shared" si="88"/>
        <v>0</v>
      </c>
      <c r="CE71" s="12">
        <f t="shared" si="89"/>
        <v>10</v>
      </c>
      <c r="CF71" s="9">
        <f t="shared" si="90"/>
        <v>0</v>
      </c>
      <c r="CG71" s="9" t="s">
        <v>231</v>
      </c>
      <c r="CH71" s="132" t="str">
        <f>IF(Исходн.данные.!AP71=Расчет!$CI$16,"Нет",IF(Исходн.данные.!AL71&gt;0,Исходн.данные.!AL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BH$4,IF(OR(Исходн.данные.!AI71=Исходн.данные.!$AI$6,Исходн.данные.!AI71=Исходн.данные.!$AI$7),Расчет!BS71,IF(AND($CF71=0,$CE71&gt;0),EV71,ER71)))))</f>
        <v>Аммофос 12:52:00</v>
      </c>
      <c r="CI71" s="274">
        <f>IF(Расчет!$CH71="Нет","Нет",IF(Исходн.данные.!$AL71&gt;0,VLOOKUP(Расчет!$CH71,АшламаДВ_Irekle,2,FALSE),VLOOKUP(Расчет!$CH71,АшламаДВ_Gomumy,2,FALSE)))</f>
        <v>0.12</v>
      </c>
      <c r="CJ71" s="274">
        <f>IF(Расчет!$CH71="Нет","Нет",IF(Исходн.данные.!$AL71&gt;0,VLOOKUP(Расчет!$CH71,АшламаДВ_Irekle,3,FALSE),VLOOKUP(Расчет!$CH71,АшламаДВ_Gomumy,3,FALSE)))</f>
        <v>0.52</v>
      </c>
      <c r="CK71" s="274">
        <f>IF(Расчет!$CH71="Нет","Нет",IF(Исходн.данные.!$AL71&gt;0,VLOOKUP(Расчет!$CH71,АшламаДВ_Irekle,4,FALSE),VLOOKUP(Расчет!$CH71,АшламаДВ_Gomumy,4,FALSE)))</f>
        <v>0</v>
      </c>
      <c r="CL71" s="70"/>
      <c r="CM71" s="70"/>
      <c r="CN71" s="70"/>
      <c r="CO71" s="70"/>
      <c r="CP71" s="70"/>
      <c r="CQ71" s="70"/>
      <c r="CR71" s="10">
        <f t="shared" si="91"/>
        <v>0</v>
      </c>
      <c r="CS71" s="10">
        <f t="shared" si="92"/>
        <v>19.23076923076923</v>
      </c>
      <c r="CT71" s="10">
        <f t="shared" si="93"/>
        <v>0</v>
      </c>
      <c r="CU71" s="39">
        <f>IF($CH71="Нет",0,IF(CI71=0,30/MIN(CJ71:CK71),IF(Исходн.данные.!$AG71=$BV$11,CR71,IF(OR(Исходн.данные.!$AH71=$BQ$7,Исходн.данные.!$AH71=$BQ$8),90/CI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0,IF(Исходн.данные.!$AI71=$BU$11,"Нет",30/CI71))))))</f>
        <v>250</v>
      </c>
      <c r="CV71" s="39">
        <f>IF($CH71="Нет",0,IF(Исходн.данные.!AH71=0,0,IF(CJ71=0,60/MIN(CI71,CK71),IF(Исходн.данные.!$AG71=$BV$11,CS71,IF(OR(Исходн.данные.!$AH71=$BQ$7,Исходн.данные.!$AH71=$BQ$8),90/CJ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10/CJ71,IF(Исходн.данные.!$AI71=$BU$11,"Нет",60/CJ71)))))))</f>
        <v>0</v>
      </c>
      <c r="CW71" s="39">
        <f>IF($CH71="Нет",0,IF(Исходн.данные.!AH71=0,0,IF(CK71=0,30/MIN(CI71:CJ71),IF(Исходн.данные.!$AG71=$BV$11,CT71,IF(OR(Исходн.данные.!$AH71=$BQ$7,Исходн.данные.!$AH71=$BQ$8),90/CK71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0,IF(Исходн.данные.!$AI71=$BU$11,"Нет",30/CK71)))))))</f>
        <v>0</v>
      </c>
      <c r="CX71" s="133">
        <f>IF(Исходн.данные.!$AG71=$BV$11,MAX(CU71:CW71),IF(OR(Исходн.данные.!$AH71=$BS$8,Исходн.данные.!$AH71=$BQ$9,Исходн.данные.!$AH71=$BQ$10,Исходн.данные.!$AH71=$BQ$11,Исходн.данные.!$AH71=$BQ$12,Исходн.данные.!$AH71=$BP$3,Исходн.данные.!$AH71=$BT$8,$FM71="Да"),CV71,MIN(CU71:CW71)))</f>
        <v>0</v>
      </c>
      <c r="CY71" s="133">
        <f>IF(Исходн.данные.!AH71=0,0,IF(CR71&gt;$CX71,$CX71,CR71))</f>
        <v>0</v>
      </c>
      <c r="CZ71" s="133">
        <f>IF(Исходн.данные.!AH71=0,0,IF(CS71&gt;$CX71,$CX71,CS71))</f>
        <v>0</v>
      </c>
      <c r="DA71" s="133">
        <f>IF(Исходн.данные.!AH71=0,0,IF(CT71&gt;$CX71,$CX71,CT71))</f>
        <v>0</v>
      </c>
      <c r="DB71" s="10">
        <f t="shared" si="94"/>
        <v>0</v>
      </c>
      <c r="DC71" s="39">
        <f>DB71*Исходн.данные.!AJ71/1000</f>
        <v>0</v>
      </c>
      <c r="DD71" s="71">
        <f t="shared" si="95"/>
        <v>0</v>
      </c>
      <c r="DE71" s="9">
        <f t="shared" si="96"/>
        <v>0</v>
      </c>
      <c r="DF71" s="9">
        <f t="shared" si="97"/>
        <v>0</v>
      </c>
      <c r="DG71" s="39">
        <f>IF(BL71&lt;0,0,IF($CH71="Нет",BL71,IF(OR(Исходн.данные.!$AH71=$BP$1,Исходн.данные.!$AH71=$BP$2),0,IF(Исходн.данные.!AI71=$BU$11,BL71,IF(BL71-DD71&lt;0,0,BL71-DD71)))))</f>
        <v>0</v>
      </c>
      <c r="DH71" s="39">
        <f>IF(BM71&lt;0,0,IF($CH71="Нет",BM71,IF(OR(Исходн.данные.!$AH71=$BP$1,Исходн.данные.!$AH71=$BP$2),0,IF(Исходн.данные.!AJ71=$BU$11,BM71,IF(BM71-DE71&lt;0,0,BM71-DE71)))))</f>
        <v>0</v>
      </c>
      <c r="DI71" s="39">
        <f>IF(BN71&lt;0,0,IF($CH71="Нет",BN71,IF(OR(Исходн.данные.!$AH71=$BP$1,Исходн.данные.!$AH71=$BP$2),0,IF(Исходн.данные.!AK71=$BU$11,BN71,IF(BN71-DF71&lt;0,0,BN71-DF71)))))</f>
        <v>0</v>
      </c>
      <c r="DJ71" s="12">
        <f t="shared" si="98"/>
        <v>0</v>
      </c>
      <c r="DK71" s="9">
        <f t="shared" si="99"/>
        <v>0</v>
      </c>
      <c r="DL71" s="39">
        <f>IF(Исходн.данные.!AM71&gt;0,Исходн.данные.!AM71,IF(EG71&gt;0,$BH$10,0))</f>
        <v>0</v>
      </c>
      <c r="DM71" s="186">
        <f>IF($DL71=0,0,IF(Исходн.данные.!AM71&gt;0,VLOOKUP($DL71,АшламаДВ_Irekle,2,FALSE),VLOOKUP($DL71,АшламаДВ_Gomumy,2,FALSE)))</f>
        <v>0</v>
      </c>
      <c r="DN71" s="10">
        <f t="shared" si="46"/>
        <v>0</v>
      </c>
      <c r="DO71" s="9" t="str">
        <f>IF(Исходн.данные.!AN71&gt;0,Исходн.данные.!AN71,Удобрения!$B$37 )</f>
        <v>Хлор.калий</v>
      </c>
      <c r="DP71" s="9">
        <f>IF(Исходн.данные.!AN71&gt;0,VLOOKUP(Исходн.данные.!AN71,АшламаДВ_Irekle,4,FALSE),VLOOKUP(DO71,АшламаДВ_Gomumy,4,FALSE))</f>
        <v>0.6</v>
      </c>
      <c r="DQ71" s="10">
        <f t="shared" si="47"/>
        <v>0</v>
      </c>
      <c r="DR71" s="132" t="str">
        <f>IF(Исходн.данные.!AO71&gt;0,Исходн.данные.!AO71,IF(DH71=0,BS$17,IF(AND($DK71=0,$DJ71&gt;0),EJ71,EN71)))</f>
        <v>Нет</v>
      </c>
      <c r="DS71" s="70" t="str">
        <f>IF($DR71="Нет","Нет",IF(Исходн.данные.!$AO71&gt;0,VLOOKUP($DR71,АшламаДВ_Irekle,2,FALSE),VLOOKUP($DR71,АшламаДВ_Gomumy,2,FALSE)))</f>
        <v>Нет</v>
      </c>
      <c r="DT71" s="70" t="str">
        <f>IF($DR71="Нет","Нет",IF(Исходн.данные.!$AO71&gt;0,VLOOKUP($DR71,АшламаДВ_Irekle,3,FALSE),VLOOKUP($DR71,АшламаДВ_Gomumy,3,FALSE)))</f>
        <v>Нет</v>
      </c>
      <c r="DU71" s="70" t="str">
        <f>IF($DR71="Нет","Нет",IF(Исходн.данные.!$AO71&gt;0,VLOOKUP($DR71,АшламаДВ_Irekle,4,FALSE),VLOOKUP($DR71,АшламаДВ_Gomumy,4,FALSE)))</f>
        <v>Нет</v>
      </c>
      <c r="DV71" s="70"/>
      <c r="DW71" s="70"/>
      <c r="DX71" s="70"/>
      <c r="DY71" s="10">
        <f t="shared" si="100"/>
        <v>0</v>
      </c>
      <c r="DZ71" s="10">
        <f t="shared" si="101"/>
        <v>0</v>
      </c>
      <c r="EA71" s="10">
        <f t="shared" si="102"/>
        <v>0</v>
      </c>
      <c r="EB71" s="10">
        <f t="shared" si="103"/>
        <v>0</v>
      </c>
      <c r="EC71" s="10">
        <f t="shared" si="104"/>
        <v>0</v>
      </c>
      <c r="ED71" s="10">
        <f t="shared" si="105"/>
        <v>0</v>
      </c>
      <c r="EE71" s="10">
        <f t="shared" si="106"/>
        <v>0</v>
      </c>
      <c r="EF71" s="39">
        <f>EB71*Исходн.данные.!AJ71/1000</f>
        <v>0</v>
      </c>
      <c r="EG71" s="9">
        <f t="shared" si="107"/>
        <v>0</v>
      </c>
      <c r="EH71" s="9">
        <f t="shared" si="108"/>
        <v>0</v>
      </c>
      <c r="EI71" s="39" t="e">
        <f t="shared" si="7"/>
        <v>#DIV/0!</v>
      </c>
      <c r="EJ71" s="9" t="str">
        <f t="shared" si="8"/>
        <v>Азопреципитат</v>
      </c>
      <c r="EK71" s="12">
        <f t="shared" si="9"/>
        <v>0.26</v>
      </c>
      <c r="EL71" s="12">
        <f t="shared" si="10"/>
        <v>0.13</v>
      </c>
      <c r="EM71" s="12">
        <f t="shared" si="11"/>
        <v>0</v>
      </c>
      <c r="EN71" s="12" t="str">
        <f t="shared" si="57"/>
        <v>Нет</v>
      </c>
      <c r="EO71" s="12">
        <f t="shared" si="12"/>
        <v>0</v>
      </c>
      <c r="EP71" s="12">
        <f t="shared" si="13"/>
        <v>0</v>
      </c>
      <c r="EQ71" s="12">
        <f t="shared" si="14"/>
        <v>0</v>
      </c>
      <c r="ER71" s="12" t="str">
        <f t="shared" si="109"/>
        <v>Диаммофоска</v>
      </c>
      <c r="ES71" s="12">
        <f t="shared" si="15"/>
        <v>0.1</v>
      </c>
      <c r="ET71" s="12">
        <f t="shared" si="16"/>
        <v>0.26</v>
      </c>
      <c r="EU71" s="12">
        <f t="shared" si="17"/>
        <v>0.26</v>
      </c>
      <c r="EV71" s="12" t="str">
        <f t="shared" si="110"/>
        <v>Аммофос 12:52:00</v>
      </c>
      <c r="EW71" s="12" t="str">
        <f t="shared" si="111"/>
        <v>Кемира Свекловичное-6</v>
      </c>
      <c r="EX71" s="12">
        <f t="shared" si="18"/>
        <v>0.16</v>
      </c>
      <c r="EY71" s="12">
        <f t="shared" si="19"/>
        <v>0.12</v>
      </c>
      <c r="EZ71" s="12">
        <f t="shared" si="20"/>
        <v>0.17</v>
      </c>
      <c r="FA71" s="38" t="e">
        <f>IF(AND(OR(FJ71=$FD$1,FM71=$FD$1,FO71=$FD$1,FQ71=$FD$1,FS71=$FD$1),FD71=$FD$1,Исходн.данные.!J71&lt;2,FU71=$FD$1),"Бор,Кобальт",IF(AND(FO71=$FD$1,FH71=$FD$1,Исходн.данные.!J71&lt;2,FU71=$FD$1),"Бор,Кобальт",IF(AND(OR(FJ71=$FD$1,FM71=$FD$1,FQ71=$FD$1),FE71=$FD$1,Исходн.данные.!J71&lt;2,FT71=$FD$1,FU71=$FD$1),"Бор,Медь,Цинк",IF(AND(OR(FJ71=$FD$1,FR71="Да"),FI71="Да",Исходн.данные.!J71&lt;2,FT71="Да",FU71="Да"),"Бор,Цинк,Медь",IF(AND(OR(FM71="Да",FQ71="Да"),FI71="Да",Исходн.данные.!J71&lt;2,FT71="Да",FU71="Да"),"Бор,Цинк",IF(AND(FN71="Да",OR(FD71="Да",FE71="Да")),"Бор",FB71))))))</f>
        <v>#N/A</v>
      </c>
      <c r="FB71" s="134" t="e">
        <f>IF(AND(OR(FD71="Да",FE71="Да",FF71="Да",FG71="Да",FH71="Да"),FO71="Да"),"Бор",IF(AND(FP71="Да",OR(FD71="Да",FE71="Да",FI71="Да")),"Бор",IF(AND(FS71="Да",FE71="Да"),"Бор,Медь",IF(AND(OR(FJ71="Да",FK71="Да",FL71="Да"),FE71="Да",Исходн.данные.!I71&lt;5,FT71="Да",FU71="Да"),"Молибден,Цинк",IF(AND(FM71="Да",OR(FE71="Да",FF71="Да",FG71="Да",FH71="Да",FI71="Да")),"Молибден,Цинк",IF(AND(OR(FJ71="Да",FK71="Да",FL71="Да",FM71="Да",FQ71="Да"),OR(FE71="Да",FF71="Да"),FT71="Да",FU71="Да",Исходн.данные.!I71&gt;5.5),"Медь,Цинк",FC71))))))</f>
        <v>#N/A</v>
      </c>
      <c r="FC71" s="23" t="e">
        <f t="shared" si="112"/>
        <v>#N/A</v>
      </c>
      <c r="FD71" s="38" t="str">
        <f>IF(OR(Исходн.данные.!F71=$CC$1,Исходн.данные.!F71=$CC$2,Исходн.данные.!F71=$CC$3,Исходн.данные.!F71=$CC$4),"Да","Нет")</f>
        <v>Нет</v>
      </c>
      <c r="FE71" s="38" t="str">
        <f>IF(Исходн.данные.!F71=$CC$5,"Да","Нет")</f>
        <v>Нет</v>
      </c>
      <c r="FF71" s="38" t="str">
        <f>IF(OR(Исходн.данные.!F71=$CC$6,Исходн.данные.!F71=$CC$7),"Да","Нет")</f>
        <v>Нет</v>
      </c>
      <c r="FG71" s="38" t="str">
        <f>IF(OR(Исходн.данные.!F71=$CC$8,Исходн.данные.!F71=$CC$9),"Да","Нет")</f>
        <v>Нет</v>
      </c>
      <c r="FH71" s="38" t="str">
        <f>IF(Исходн.данные.!F71=$CC$10,"Да","Нет")</f>
        <v>Нет</v>
      </c>
      <c r="FI71" s="38" t="str">
        <f>IF(OR(Исходн.данные.!F71=$CC$11,Исходн.данные.!F71=$CC$12),"Да","Нет")</f>
        <v>Нет</v>
      </c>
      <c r="FJ71" s="38" t="str">
        <f>IF(OR(Исходн.данные.!AH71=$BS$1,Исходн.данные.!AH71=$BQ$11,Исходн.данные.!AH71=$BQ$12),"Да","Нет")</f>
        <v>Нет</v>
      </c>
      <c r="FK71" s="38" t="str">
        <f>IF(OR(Исходн.данные.!AH71=$BS$2,Исходн.данные.!AH71=$BS$4),"Да","Нет")</f>
        <v>Нет</v>
      </c>
      <c r="FL71" s="38" t="str">
        <f>IF(OR(Исходн.данные.!AH71=$BS$3,Исходн.данные.!AH71=$BS$5),"Да","Нет")</f>
        <v>Нет</v>
      </c>
      <c r="FM71" s="38" t="str">
        <f>IF(OR(Исходн.данные.!AH71=$BS$9,Исходн.данные.!AH71=$BS$10,Исходн.данные.!AH71=$BS$11,Исходн.данные.!AH71=$BS$12),"Да","Нет")</f>
        <v>Нет</v>
      </c>
      <c r="FN71" s="38" t="str">
        <f>IF(OR(Исходн.данные.!AH71=$BS$6,Исходн.данные.!AH71=$BP$3),"Да","Нет")</f>
        <v>Нет</v>
      </c>
      <c r="FO71" s="38" t="str">
        <f>IF(Исходн.данные.!AH71=$BQ$9,"Да","Нет")</f>
        <v>Нет</v>
      </c>
      <c r="FP71" s="38" t="str">
        <f>IF(OR(Исходн.данные.!AH71=$BS$8,Исходн.данные.!AH71=$BT$8),"Да","Нет")</f>
        <v>Нет</v>
      </c>
      <c r="FQ71" s="38" t="str">
        <f>IF(OR(Исходн.данные.!AH71=$BQ$7,Исходн.данные.!AH71=$BQ$8),"Да","Нет")</f>
        <v>Нет</v>
      </c>
      <c r="FR71" s="38" t="str">
        <f>IF(Исходн.данные.!AI71=$BU$9,"Да","Нет")</f>
        <v>Нет</v>
      </c>
      <c r="FS71" s="38" t="str">
        <f>IF(OR(Исходн.данные.!AH71=$BP$1,Исходн.данные.!AH71=$BP$2),"Да","Нет")</f>
        <v>Нет</v>
      </c>
      <c r="FT71" s="38" t="e">
        <f>IF((Исходн.данные.!K71*GO71*GS71*GW71+BL71*0.6+Исходн.данные.!Q71*4.5*0.275)&gt;90,"Да","Нет")</f>
        <v>#N/A</v>
      </c>
      <c r="FU71" s="38" t="e">
        <f>IF((Исходн.данные.!M71*GS71*GZ71+BM71*0.225)&gt;35,"Да","Нет")</f>
        <v>#N/A</v>
      </c>
      <c r="FV71" s="38" t="str">
        <f>IF(Исходн.данные.!O71&gt;175,"Да","Нет")</f>
        <v>Нет</v>
      </c>
      <c r="FW71" s="39" t="str">
        <f>IF(Исходн.данные.!I71&gt;5.5,"Да","Нет")</f>
        <v>Нет</v>
      </c>
      <c r="FX71" s="39" t="str">
        <f>IF(Исходн.данные.!J71&lt;2,"Да","Нет")</f>
        <v>Да</v>
      </c>
      <c r="FY71" s="39" t="e">
        <f>IF(HF71=$FY$16,0,Исходн.данные.!K71*GO71*GS71*GW71/HF71)</f>
        <v>#N/A</v>
      </c>
      <c r="FZ71" s="39" t="e">
        <f>Исходн.данные.!M71*GS71*GZ71/HG71</f>
        <v>#N/A</v>
      </c>
      <c r="GA71" s="39" t="e">
        <f>IF(K_Wyn=$FY$16,0,IF(Исходн.данные.!N71=Исходн.данные.!$L$10,Исходн.данные.!O71/1.1*GS71*HC71/HH71,IF(Исходн.данные.!N71=Исходн.данные.!$L$12,Исходн.данные.!O71/1.5*GS71*HC71/HH71,Исходн.данные.!O71*GS71*HC71/HH71)))</f>
        <v>#N/A</v>
      </c>
      <c r="GB71" s="39" t="e">
        <f>IF(HF71=$FY$16,0,((Исходн.данные.!Q71*N_Org+Исходн.данные.!R71*N_Sider+Исходн.данные.!S71*N_Soloma)*AO71+Расчет!BC71*VLOOKUP(Исходн.данные.!T71,Справ!$A$3:$O$57,15)*AO71+BB71*VLOOKUP(Исходн.данные.!T71,Справ!$A$3:$O$57,15)*AL71+(Исходн.данные.!V71*N_Rizotorf+Исходн.данные.!W71*N_Rizoagr))/HF71)</f>
        <v>#N/A</v>
      </c>
      <c r="GC71" s="39" t="e">
        <f>IF(HG71=$FY$16,0,((Исходн.данные.!Q71*Р_Org+Исходн.данные.!R71*P_Sider+Исходн.данные.!S71*P_Soloma)*AP71+Расчет!BC71*VLOOKUP(Исходн.данные.!T71,Справ!$A$3:$P$57,16)*AP71+BB71*VLOOKUP(Исходн.данные.!T71,Справ!$A$3:$P$57,16)*AM71)/HG71)</f>
        <v>#N/A</v>
      </c>
      <c r="GD71" s="39" t="e">
        <f>IF(HH71=$FY$16,0,((Исходн.данные.!Q71*К_Org+Исходн.данные.!R71*K_Sider+Исходн.данные.!S71*K_Soloma)*AQ71+Расчет!BC71*VLOOKUP(Исходн.данные.!T71,Справ!$A$3:$Q$57,17)*AQ71+BB71*VLOOKUP(Исходн.данные.!T71,Справ!$A$3:$Q$57,17)*AN71)/HH71)</f>
        <v>#N/A</v>
      </c>
      <c r="GE71" s="39" t="e">
        <f>IF(HF71=$FY$16,0,(Исходн.данные.!X71*AR71+Исходн.данные.!AA71*N_Org*AL71+Исходн.данные.!AB71*N_Sider*AL71+Исходн.данные.!AC71*N_Soloma*AL71)/HF71)</f>
        <v>#N/A</v>
      </c>
      <c r="GF71" s="39" t="e">
        <f>IF(HG71=$FY$16,0,(Исходн.данные.!Y71*AS71+Исходн.данные.!AA71*Р_Org*AM71+Исходн.данные.!AB71*P_Sider*AM71+Исходн.данные.!AC71*P_Soloma*AM71)/HG71)</f>
        <v>#N/A</v>
      </c>
      <c r="GG71" s="39" t="e">
        <f>IF(HH71=$FY$16,0,(Исходн.данные.!Z71*AT71+Исходн.данные.!AA71*К_Org*AN71+Исходн.данные.!AB71*K_Sider*AN71+Исходн.данные.!AC71*K_Soloma*AN71)/HH71)</f>
        <v>#N/A</v>
      </c>
      <c r="GH71" s="39" t="e">
        <f>Исходн.данные.!AD71*AU71/HF71</f>
        <v>#N/A</v>
      </c>
      <c r="GI71" s="39" t="e">
        <f>Исходн.данные.!AE71*AV71/HG71</f>
        <v>#N/A</v>
      </c>
      <c r="GJ71" s="39" t="e">
        <f>Исходн.данные.!AF71*AW71/HH71</f>
        <v>#N/A</v>
      </c>
      <c r="GK71" s="55">
        <f>Исходн.данные.!AK71</f>
        <v>0</v>
      </c>
      <c r="GL71" s="11" t="e">
        <f t="shared" si="113"/>
        <v>#N/A</v>
      </c>
      <c r="GM71" s="11" t="e">
        <f t="shared" si="114"/>
        <v>#N/A</v>
      </c>
      <c r="GN71" s="11" t="e">
        <f t="shared" si="115"/>
        <v>#N/A</v>
      </c>
      <c r="GO71" s="57">
        <f t="shared" si="116"/>
        <v>19</v>
      </c>
      <c r="GP71" s="55">
        <f>IF(OR(Исходн.данные.!F71=$CE$1,Исходн.данные.!F71=$CE$2,Исходн.данные.!F71=$CE$3,Исходн.данные.!F71=$CE$4,Исходн.данные.!F71=$CE$5),GQ71,GR71)</f>
        <v>19</v>
      </c>
      <c r="GQ71" s="55">
        <f>IF(Исходн.данные.!F71=$CE$1,28,IF(Исходн.данные.!F71=$CE$2,26,IF(Исходн.данные.!F71=$CE$3,24,IF(Исходн.данные.!F71=$CE$4,22,IF(Исходн.данные.!F71=$CE$5,20,GR71)))))</f>
        <v>19</v>
      </c>
      <c r="GR71" s="55">
        <f>IF(Исходн.данные.!F71=$CE$6,18,IF(Исходн.данные.!F71=$CE$7,16,IF(Исходн.данные.!F71=$CE$8,14,IF(Исходн.данные.!F71=$CE$9,13,IF(Исходн.данные.!F71=$CE$10,12,19)))))</f>
        <v>19</v>
      </c>
      <c r="GS71" s="55">
        <f>IF(Исходн.данные.!G71="Пес",0.035*(40+2*Исходн.данные.!H71),IF(Исходн.данные.!G71="Суп",0.0325*(40+2*Исходн.данные.!H71),0.03*(40+2*Исходн.данные.!H71)))</f>
        <v>1.2</v>
      </c>
      <c r="GT71" s="55">
        <f>IF(Исходн.данные.!H71&lt;23,2.6,IF(AND(Исходн.данные.!H71&gt;22,Исходн.данные.!H71&lt;26),3,IF(AND(Исходн.данные.!H71&gt;25,Исходн.данные.!H71&lt;29),3.4,3.6)))</f>
        <v>2.6</v>
      </c>
      <c r="GU71" s="55">
        <f>IF(Исходн.данные.!H71&lt;23,2.8,IF(AND(Исходн.данные.!H71&gt;22,Исходн.данные.!H71&lt;26),3.2,IF(AND(Исходн.данные.!H71&gt;25,Исходн.данные.!H71&lt;29),3.6,3.9)))</f>
        <v>2.8</v>
      </c>
      <c r="GV71" s="55">
        <f>IF(Исходн.данные.!H71&lt;23,3,IF(AND(Исходн.данные.!H71&gt;22,Исходн.данные.!H71&lt;26),3.5,IF(AND(Исходн.данные.!H71&gt;25,Исходн.данные.!H71&lt;29),3.9,4.2)))</f>
        <v>3</v>
      </c>
      <c r="GW71" s="55" t="e">
        <f>IF(Исходн.данные.!P71="Ум",GX71,GY71)</f>
        <v>#N/A</v>
      </c>
      <c r="GX71" s="55" t="e">
        <f>VLOOKUP(Исходн.данные.!AI71,Коэффициенты!$J$7:$L$13,2,FALSE)</f>
        <v>#N/A</v>
      </c>
      <c r="GY71" s="55" t="e">
        <f>VLOOKUP(Исходн.данные.!AI71,Коэффициенты!$J$7:$L$13,3,FALSE)</f>
        <v>#N/A</v>
      </c>
      <c r="GZ71" s="55" t="e">
        <f>(IF(Исходн.данные.!M71&lt;50,0.11*VLOOKUP(Исходн.данные.!AH71,Культуры.Информация,7,FALSE),IF(Исходн.данные.!M71&gt;250,0.05*VLOOKUP(Исходн.данные.!AH71,Культуры.Информация,7,FALSE),VLOOKUP(Исходн.данные.!AH71,Культуры.Информация,5,FALSE)/100*($GX$6+$GY$6*Исходн.данные.!M71))))*Расчет2!AI71</f>
        <v>#N/A</v>
      </c>
      <c r="HA71" s="211"/>
      <c r="HB71" s="211"/>
      <c r="HC71" s="55" t="e">
        <f>(IF(Исходн.данные.!O71&lt;80,0.2*VLOOKUP(Исходн.данные.!AH71,Культуры.Информация,8,FALSE),IF(Исходн.данные.!O71&gt;240,0.09*VLOOKUP(Исходн.данные.!AH71,Культуры.Информация,8,FALSE),VLOOKUP(Исходн.данные.!AH71,Культуры.Информация,6,FALSE)/100*($HB$6+$HC$6*Исходн.данные.!O71))))*Расчет2!AJ71</f>
        <v>#N/A</v>
      </c>
      <c r="HD71" s="55">
        <f>IF(Исходн.данные.!O71&gt;240,0.09,IF(Исходн.данные.!O71&lt;30,0.3,$HE$10+$HD$10*Исходн.данные.!O71))</f>
        <v>0.3</v>
      </c>
      <c r="HE71" s="55">
        <f>IF(Исходн.данные.!O71&gt;240,0.17,IF(Исходн.данные.!O71&lt;30,0.5,$HF$12+$HE$12*Исходн.данные.!O71))</f>
        <v>0.5</v>
      </c>
      <c r="HF71" s="55" t="e">
        <f>VLOOKUP(Исходн.данные.!AH71,Справ!$A$3:$D$58,2,FALSE)</f>
        <v>#N/A</v>
      </c>
      <c r="HG71" s="55" t="e">
        <f>VLOOKUP(Исходн.данные.!AH71,Справ!$A$3:$D$58,3,FALSE)</f>
        <v>#N/A</v>
      </c>
      <c r="HH71" s="55" t="e">
        <f>VLOOKUP(Исходн.данные.!AH71,Справ!$A$3:$D$58,4,FALSE)</f>
        <v>#N/A</v>
      </c>
      <c r="HI71" s="11" t="e">
        <f t="shared" si="117"/>
        <v>#N/A</v>
      </c>
      <c r="HJ71" s="11" t="e">
        <f t="shared" si="118"/>
        <v>#N/A</v>
      </c>
      <c r="HK71" s="11" t="e">
        <f t="shared" si="119"/>
        <v>#N/A</v>
      </c>
      <c r="HL71" s="55">
        <f>IF(OR(Исходн.данные.!G71="Глин",Исходн.данные.!G71="Т_суг"),1.1,IF(Исходн.данные.!G71="Ср_суг",1,1))</f>
        <v>1</v>
      </c>
      <c r="HM71" s="55">
        <f>IF(OR(Исходн.данные.!G71="Глин",Исходн.данные.!G71="Т_суг"),0.9,IF(Исходн.данные.!G71="Ср_суг",1,1.2))</f>
        <v>1.2</v>
      </c>
      <c r="HN71" s="11" t="e">
        <f t="shared" si="120"/>
        <v>#N/A</v>
      </c>
      <c r="HO71" s="11" t="e">
        <f t="shared" si="121"/>
        <v>#N/A</v>
      </c>
      <c r="HP71" s="11" t="e">
        <f t="shared" si="122"/>
        <v>#N/A</v>
      </c>
      <c r="HQ71" t="e">
        <f t="shared" si="123"/>
        <v>#N/A</v>
      </c>
      <c r="HR71" t="e">
        <f t="shared" si="124"/>
        <v>#N/A</v>
      </c>
      <c r="HS71" t="e">
        <f t="shared" si="125"/>
        <v>#N/A</v>
      </c>
      <c r="HT71" t="e">
        <f t="shared" si="21"/>
        <v>#N/A</v>
      </c>
      <c r="HU71" t="e">
        <f t="shared" si="22"/>
        <v>#N/A</v>
      </c>
      <c r="HV71" t="e">
        <f t="shared" si="23"/>
        <v>#N/A</v>
      </c>
      <c r="HW71" t="e">
        <f t="shared" si="24"/>
        <v>#N/A</v>
      </c>
      <c r="HX71" t="e">
        <f t="shared" si="25"/>
        <v>#N/A</v>
      </c>
      <c r="HY71" t="e">
        <f t="shared" si="26"/>
        <v>#N/A</v>
      </c>
      <c r="HZ71" s="55">
        <f>IF(OR(Исходн.данные.!AI71="Оз_Ч_П",Исходн.данные.!AI71="Оз_З_П",Исходн.данные.!AI71="Яр_зер"),12,30)</f>
        <v>30</v>
      </c>
      <c r="IA71" t="e">
        <f t="shared" si="126"/>
        <v>#N/A</v>
      </c>
      <c r="IB71" t="e">
        <f t="shared" si="127"/>
        <v>#N/A</v>
      </c>
      <c r="IC71" t="e">
        <f t="shared" si="128"/>
        <v>#N/A</v>
      </c>
      <c r="ID71" s="11" t="e">
        <f t="shared" si="129"/>
        <v>#N/A</v>
      </c>
      <c r="IE71" s="11" t="e">
        <f t="shared" si="130"/>
        <v>#N/A</v>
      </c>
      <c r="IF71" s="11" t="e">
        <f t="shared" si="131"/>
        <v>#N/A</v>
      </c>
    </row>
    <row r="72" spans="35:240" x14ac:dyDescent="0.2">
      <c r="AI72">
        <f>IF(Исходн.данные.!I72&gt;6,1,1.85-(0.148*Исходн.данные.!I72))</f>
        <v>1.85</v>
      </c>
      <c r="AJ72">
        <f>IF(Исходн.данные.!I72&gt;6,1,2.434-(0.246*Исходн.данные.!I72))</f>
        <v>2.4340000000000002</v>
      </c>
      <c r="AL72" s="148" t="b">
        <f>IF(Исходн.данные.!$P72="Ум",N_OrgUd_2g_um,IF(Исходн.данные.!$P72="Об",N_OrgUd_2g_ob))</f>
        <v>0</v>
      </c>
      <c r="AM72" s="148" t="b">
        <f>IF(Исходн.данные.!$P72="Ум",P_OrgUd_2g_um,IF(Исходн.данные.!$P72="Об",P_OrgUd_2g_ob))</f>
        <v>0</v>
      </c>
      <c r="AN72" s="148" t="b">
        <f>IF(Исходн.данные.!$P72="Ум",K_OrgUd_2g_um,IF(Исходн.данные.!$P72="Об",K_OrgUd_2g_ob))</f>
        <v>0</v>
      </c>
      <c r="AO72" s="148" t="b">
        <f>IF(Исходн.данные.!$P72="Ум",N_OrgUd_1g_um,IF(Исходн.данные.!$P72="Об",N_OrgUd_1g_ob))</f>
        <v>0</v>
      </c>
      <c r="AP72" s="148" t="b">
        <f>IF(Исходн.данные.!$P72="Ум",P_OrgUd_1g_um,IF(Исходн.данные.!$P72="Об",P_OrgUd_1g_ob))</f>
        <v>0</v>
      </c>
      <c r="AQ72" s="148" t="b">
        <f>IF(Исходн.данные.!$P72="Ум",K_OrgUd_1g_um,IF(Исходн.данные.!$P72="Об",K_OrgUd_1g_ob))</f>
        <v>0</v>
      </c>
      <c r="AR72" t="b">
        <f>IF(Исходн.данные.!$P72="Ум",N_MinUd_2g_um,IF(Исходн.данные.!$P72="Об",N_MinUd_2g_ob))</f>
        <v>0</v>
      </c>
      <c r="AS72" t="b">
        <f>IF(Исходн.данные.!$P72="Ум",P_MinUd_2g_um,IF(Исходн.данные.!$P72="Об",P_MinUd_2g_ob))</f>
        <v>0</v>
      </c>
      <c r="AT72" t="b">
        <f>IF(Исходн.данные.!$P72="Ум",K_MinUd_2g_um,IF(Исходн.данные.!$P72="Об",K_MinUd_2g_ob))</f>
        <v>0</v>
      </c>
      <c r="AU72" t="b">
        <f>IF(Исходн.данные.!$P72="Ум",N_MinUd_1g_um,IF(Исходн.данные.!$P72="Об",N_MinUd_1g_ob))</f>
        <v>0</v>
      </c>
      <c r="AV72" t="b">
        <f>IF(Исходн.данные.!P72="Ум",P_MinUd_1g_um,IF(Исходн.данные.!P72="Об",P_MinUd_1g_ob))</f>
        <v>0</v>
      </c>
      <c r="AW72" t="b">
        <f>IF(Исходн.данные.!P72="Ум",K_MinUd_1g_um,IF(Исходн.данные.!P72="Об",K_MinUd_1g_ob))</f>
        <v>0</v>
      </c>
      <c r="AY72" t="e">
        <f>VLOOKUP(Исходн.данные.!T72,Справ!$A$3:$N$57,12)</f>
        <v>#N/A</v>
      </c>
      <c r="AZ72" t="e">
        <f>VLOOKUP(Исходн.данные.!T72,Справ!$A$3:$N$57,13)</f>
        <v>#N/A</v>
      </c>
      <c r="BA72" t="e">
        <f>VLOOKUP(Исходн.данные.!T72,Справ!$A$3:$N$57,14)</f>
        <v>#N/A</v>
      </c>
      <c r="BB72">
        <f>IF(Исходн.данные.!AH72=0,0,25)</f>
        <v>0</v>
      </c>
      <c r="BC72" s="141">
        <f>IF(Исходн.данные.!AH72=0,0,IF(Исходн.данные.!T72=0,25,BD72))</f>
        <v>0</v>
      </c>
      <c r="BD72" s="168" t="e">
        <f>AY72+AZ72*Исходн.данные.!U72-POWER(BA72,2)*Исходн.данные.!U72</f>
        <v>#N/A</v>
      </c>
      <c r="BE7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2" s="25">
        <f>IF(Исходн.данные.!AH72=0,0,MIN(HN72:HP72))</f>
        <v>0</v>
      </c>
      <c r="BG72" s="9">
        <f>IF(Исходн.данные.!AH72=0,0,IF((HO72+10*0.25/HG72/HL72)&lt;17,17,HO72+10*0.25/HG72/HL72))</f>
        <v>0</v>
      </c>
      <c r="BH72" s="181">
        <f>IF(Исходн.данные.!AH72=0,0,HW72*HF72*HL72/AU72*AI72+Исходн.данные.!S72*10)</f>
        <v>0</v>
      </c>
      <c r="BI72" s="10"/>
      <c r="BJ72" s="182">
        <f>IF(Исходн.данные.!AH72=0,0,IF(HX72*HG72*HL72/AV72&lt;0,0,HX72*HG72*HL72/AV72*AJ72))</f>
        <v>0</v>
      </c>
      <c r="BK72" s="182">
        <f>IF(Исходн.данные.!AH72=0,0,HY72*HH72*HM72/AW72)</f>
        <v>0</v>
      </c>
      <c r="BL72" s="10">
        <f>IF(OR(Исходн.данные.!$AH72=$BP$1,Исходн.данные.!$AH72=$BP$2),0,IF(BH72&lt;0,0,IF(OR(Исходн.данные.!T72=Расчет!$BP$1,Исходн.данные.!T72=Расчет!$BP$2,Исходн.данные.!T72=Расчет!$BT$5,Исходн.данные.!T72=Расчет!$BT$6),BH72*0.5,IF(OR(Исходн.данные.!T72=Расчет!$BS$9,Исходн.данные.!T72=Расчет!$BS$10,Исходн.данные.!T72=Расчет!$BS$11,Исходн.данные.!T72=Расчет!$BS$12,Исходн.данные.!T72=Расчет!$BP$5),BH72*0.8,BH72))))</f>
        <v>0</v>
      </c>
      <c r="BM72" s="10">
        <f>IF(OR(Исходн.данные.!$AH72=$BP$1,Исходн.данные.!$AH72=$BP$2),0,IF(BJ72&lt;0,0,IF(Исходн.данные.!I72&lt;4.5,BJ72*1.2,IF(Исходн.данные.!I72&gt;5.1,BJ72,BJ72*((5.1-Исходн.данные.!I72)*0.333+1)))))</f>
        <v>0</v>
      </c>
      <c r="BN72" s="10">
        <f>IF(OR(Исходн.данные.!$AH72=$BP$1,Исходн.данные.!$AH72=$BP$2),60-Исходн.данные.!AF72,IF(BK72&lt;0,0,IF(Исходн.данные.!I72&lt;4.5,BK72*1.2,IF(Исходн.данные.!I72&gt;5.1,BK72,BK72*((5.1-Исходн.данные.!I72)*0.333+1)))))</f>
        <v>0</v>
      </c>
      <c r="BO72" s="9">
        <f>IF(BL72&lt;0,0,BL72*Исходн.данные.!$AJ72/1000)</f>
        <v>0</v>
      </c>
      <c r="BP72" s="9">
        <f>IF(BM72&lt;0,0,BM72*Исходн.данные.!$AJ72/1000)</f>
        <v>0</v>
      </c>
      <c r="BQ72" s="9">
        <f>IF(BN72&lt;0,0,BN72*Исходн.данные.!$AJ72/1000)</f>
        <v>0</v>
      </c>
      <c r="BR72" s="9">
        <f t="shared" si="81"/>
        <v>0</v>
      </c>
      <c r="BS72" s="10" t="str">
        <f t="shared" si="82"/>
        <v>Аммофос 12:52:00</v>
      </c>
      <c r="BT72" s="10" t="str">
        <f t="shared" si="83"/>
        <v>Аммофос 12:52:00</v>
      </c>
      <c r="BU72" s="10" t="str">
        <f t="shared" si="84"/>
        <v>Диаммофоска</v>
      </c>
      <c r="BV72" s="10">
        <f t="shared" si="85"/>
        <v>0</v>
      </c>
      <c r="BW72" s="10"/>
      <c r="BX72" s="10"/>
      <c r="BY72" s="9">
        <f>IF(BL72&lt;0,0,IF(OR(Исходн.данные.!AI72=Расчет!$BU$6,Исходн.данные.!AI72=Расчет!$BU$7),Расчет!BV72,IF(Исходн.данные.!$AG72=$BV$11,BL72,IF(OR(Исходн.данные.!$AH72=$BQ$7,Исходн.данные.!$AH72=$BQ$8),CB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0,IF(Исходн.данные.!$AI72=$BU$11,"Нет",IF(BL72&gt;30,30,BL72)))))))</f>
        <v>0</v>
      </c>
      <c r="BZ72" s="9">
        <f>IF(AND(Исходн.данные.!$AG72=$BV$11,BM72&lt;10),10,IF(Исходн.данные.!$AG72=$BV$11,BM72,IF(OR(Исходн.данные.!$AH72=$BQ$7,Исходн.данные.!$AH72=$BQ$8),CC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10,IF(Исходн.данные.!$AI72=$BU$11,"Нет",IF(BM72&gt;60,60,IF(BM72&lt;10,10,BM72)))))))</f>
        <v>10</v>
      </c>
      <c r="CA72" s="39">
        <f>IF(BN72&lt;0,0,IF(Исходн.данные.!$AG72=$BV$11,BN72,IF(OR(Исходн.данные.!$AH72=$BQ$7,Исходн.данные.!$AH72=$BQ$8),CD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0,IF(Исходн.данные.!$AI72=$BU$11,"Нет",IF(BN72&gt;30,30,BN72))))))</f>
        <v>0</v>
      </c>
      <c r="CB72" s="9">
        <f t="shared" si="86"/>
        <v>0</v>
      </c>
      <c r="CC72" s="9">
        <f t="shared" si="87"/>
        <v>0</v>
      </c>
      <c r="CD72" s="9">
        <f t="shared" si="88"/>
        <v>0</v>
      </c>
      <c r="CE72" s="12">
        <f t="shared" si="89"/>
        <v>10</v>
      </c>
      <c r="CF72" s="9">
        <f t="shared" si="90"/>
        <v>0</v>
      </c>
      <c r="CG72" s="9" t="s">
        <v>231</v>
      </c>
      <c r="CH72" s="132" t="str">
        <f>IF(Исходн.данные.!AP72=Расчет!$CI$16,"Нет",IF(Исходн.данные.!AL72&gt;0,Исходн.данные.!AL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BH$4,IF(OR(Исходн.данные.!AI72=Исходн.данные.!$AI$6,Исходн.данные.!AI72=Исходн.данные.!$AI$7),Расчет!BS72,IF(AND($CF72=0,$CE72&gt;0),EV72,ER72)))))</f>
        <v>Аммофос 12:52:00</v>
      </c>
      <c r="CI72" s="274">
        <f>IF(Расчет!$CH72="Нет","Нет",IF(Исходн.данные.!$AL72&gt;0,VLOOKUP(Расчет!$CH72,АшламаДВ_Irekle,2,FALSE),VLOOKUP(Расчет!$CH72,АшламаДВ_Gomumy,2,FALSE)))</f>
        <v>0.12</v>
      </c>
      <c r="CJ72" s="274">
        <f>IF(Расчет!$CH72="Нет","Нет",IF(Исходн.данные.!$AL72&gt;0,VLOOKUP(Расчет!$CH72,АшламаДВ_Irekle,3,FALSE),VLOOKUP(Расчет!$CH72,АшламаДВ_Gomumy,3,FALSE)))</f>
        <v>0.52</v>
      </c>
      <c r="CK72" s="274">
        <f>IF(Расчет!$CH72="Нет","Нет",IF(Исходн.данные.!$AL72&gt;0,VLOOKUP(Расчет!$CH72,АшламаДВ_Irekle,4,FALSE),VLOOKUP(Расчет!$CH72,АшламаДВ_Gomumy,4,FALSE)))</f>
        <v>0</v>
      </c>
      <c r="CL72" s="70"/>
      <c r="CM72" s="70"/>
      <c r="CN72" s="70"/>
      <c r="CO72" s="70"/>
      <c r="CP72" s="70"/>
      <c r="CQ72" s="70"/>
      <c r="CR72" s="10">
        <f t="shared" si="91"/>
        <v>0</v>
      </c>
      <c r="CS72" s="10">
        <f t="shared" si="92"/>
        <v>19.23076923076923</v>
      </c>
      <c r="CT72" s="10">
        <f t="shared" si="93"/>
        <v>0</v>
      </c>
      <c r="CU72" s="39">
        <f>IF($CH72="Нет",0,IF(CI72=0,30/MIN(CJ72:CK72),IF(Исходн.данные.!$AG72=$BV$11,CR72,IF(OR(Исходн.данные.!$AH72=$BQ$7,Исходн.данные.!$AH72=$BQ$8),90/CI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0,IF(Исходн.данные.!$AI72=$BU$11,"Нет",30/CI72))))))</f>
        <v>250</v>
      </c>
      <c r="CV72" s="39">
        <f>IF($CH72="Нет",0,IF(Исходн.данные.!AH72=0,0,IF(CJ72=0,60/MIN(CI72,CK72),IF(Исходн.данные.!$AG72=$BV$11,CS72,IF(OR(Исходн.данные.!$AH72=$BQ$7,Исходн.данные.!$AH72=$BQ$8),90/CJ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10/CJ72,IF(Исходн.данные.!$AI72=$BU$11,"Нет",60/CJ72)))))))</f>
        <v>0</v>
      </c>
      <c r="CW72" s="39">
        <f>IF($CH72="Нет",0,IF(Исходн.данные.!AH72=0,0,IF(CK72=0,30/MIN(CI72:CJ72),IF(Исходн.данные.!$AG72=$BV$11,CT72,IF(OR(Исходн.данные.!$AH72=$BQ$7,Исходн.данные.!$AH72=$BQ$8),90/CK72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0,IF(Исходн.данные.!$AI72=$BU$11,"Нет",30/CK72)))))))</f>
        <v>0</v>
      </c>
      <c r="CX72" s="133">
        <f>IF(Исходн.данные.!$AG72=$BV$11,MAX(CU72:CW72),IF(OR(Исходн.данные.!$AH72=$BS$8,Исходн.данные.!$AH72=$BQ$9,Исходн.данные.!$AH72=$BQ$10,Исходн.данные.!$AH72=$BQ$11,Исходн.данные.!$AH72=$BQ$12,Исходн.данные.!$AH72=$BP$3,Исходн.данные.!$AH72=$BT$8,$FM72="Да"),CV72,MIN(CU72:CW72)))</f>
        <v>0</v>
      </c>
      <c r="CY72" s="133">
        <f>IF(Исходн.данные.!AH72=0,0,IF(CR72&gt;$CX72,$CX72,CR72))</f>
        <v>0</v>
      </c>
      <c r="CZ72" s="133">
        <f>IF(Исходн.данные.!AH72=0,0,IF(CS72&gt;$CX72,$CX72,CS72))</f>
        <v>0</v>
      </c>
      <c r="DA72" s="133">
        <f>IF(Исходн.данные.!AH72=0,0,IF(CT72&gt;$CX72,$CX72,CT72))</f>
        <v>0</v>
      </c>
      <c r="DB72" s="10">
        <f t="shared" si="94"/>
        <v>0</v>
      </c>
      <c r="DC72" s="39">
        <f>DB72*Исходн.данные.!AJ72/1000</f>
        <v>0</v>
      </c>
      <c r="DD72" s="71">
        <f t="shared" si="95"/>
        <v>0</v>
      </c>
      <c r="DE72" s="9">
        <f t="shared" si="96"/>
        <v>0</v>
      </c>
      <c r="DF72" s="9">
        <f t="shared" si="97"/>
        <v>0</v>
      </c>
      <c r="DG72" s="39">
        <f>IF(BL72&lt;0,0,IF($CH72="Нет",BL72,IF(OR(Исходн.данные.!$AH72=$BP$1,Исходн.данные.!$AH72=$BP$2),0,IF(Исходн.данные.!AI72=$BU$11,BL72,IF(BL72-DD72&lt;0,0,BL72-DD72)))))</f>
        <v>0</v>
      </c>
      <c r="DH72" s="39">
        <f>IF(BM72&lt;0,0,IF($CH72="Нет",BM72,IF(OR(Исходн.данные.!$AH72=$BP$1,Исходн.данные.!$AH72=$BP$2),0,IF(Исходн.данные.!AJ72=$BU$11,BM72,IF(BM72-DE72&lt;0,0,BM72-DE72)))))</f>
        <v>0</v>
      </c>
      <c r="DI72" s="39">
        <f>IF(BN72&lt;0,0,IF($CH72="Нет",BN72,IF(OR(Исходн.данные.!$AH72=$BP$1,Исходн.данные.!$AH72=$BP$2),0,IF(Исходн.данные.!AK72=$BU$11,BN72,IF(BN72-DF72&lt;0,0,BN72-DF72)))))</f>
        <v>0</v>
      </c>
      <c r="DJ72" s="12">
        <f t="shared" si="98"/>
        <v>0</v>
      </c>
      <c r="DK72" s="9">
        <f t="shared" si="99"/>
        <v>0</v>
      </c>
      <c r="DL72" s="39">
        <f>IF(Исходн.данные.!AM72&gt;0,Исходн.данные.!AM72,IF(EG72&gt;0,$BH$10,0))</f>
        <v>0</v>
      </c>
      <c r="DM72" s="186">
        <f>IF($DL72=0,0,IF(Исходн.данные.!AM72&gt;0,VLOOKUP($DL72,АшламаДВ_Irekle,2,FALSE),VLOOKUP($DL72,АшламаДВ_Gomumy,2,FALSE)))</f>
        <v>0</v>
      </c>
      <c r="DN72" s="10">
        <f t="shared" si="46"/>
        <v>0</v>
      </c>
      <c r="DO72" s="9" t="str">
        <f>IF(Исходн.данные.!AN72&gt;0,Исходн.данные.!AN72,Удобрения!$B$37 )</f>
        <v>Хлор.калий</v>
      </c>
      <c r="DP72" s="9">
        <f>IF(Исходн.данные.!AN72&gt;0,VLOOKUP(Исходн.данные.!AN72,АшламаДВ_Irekle,4,FALSE),VLOOKUP(DO72,АшламаДВ_Gomumy,4,FALSE))</f>
        <v>0.6</v>
      </c>
      <c r="DQ72" s="10">
        <f t="shared" si="47"/>
        <v>0</v>
      </c>
      <c r="DR72" s="132" t="str">
        <f>IF(Исходн.данные.!AO72&gt;0,Исходн.данные.!AO72,IF(DH72=0,BS$17,IF(AND($DK72=0,$DJ72&gt;0),EJ72,EN72)))</f>
        <v>Нет</v>
      </c>
      <c r="DS72" s="70" t="str">
        <f>IF($DR72="Нет","Нет",IF(Исходн.данные.!$AO72&gt;0,VLOOKUP($DR72,АшламаДВ_Irekle,2,FALSE),VLOOKUP($DR72,АшламаДВ_Gomumy,2,FALSE)))</f>
        <v>Нет</v>
      </c>
      <c r="DT72" s="70" t="str">
        <f>IF($DR72="Нет","Нет",IF(Исходн.данные.!$AO72&gt;0,VLOOKUP($DR72,АшламаДВ_Irekle,3,FALSE),VLOOKUP($DR72,АшламаДВ_Gomumy,3,FALSE)))</f>
        <v>Нет</v>
      </c>
      <c r="DU72" s="70" t="str">
        <f>IF($DR72="Нет","Нет",IF(Исходн.данные.!$AO72&gt;0,VLOOKUP($DR72,АшламаДВ_Irekle,4,FALSE),VLOOKUP($DR72,АшламаДВ_Gomumy,4,FALSE)))</f>
        <v>Нет</v>
      </c>
      <c r="DV72" s="70"/>
      <c r="DW72" s="70"/>
      <c r="DX72" s="70"/>
      <c r="DY72" s="10">
        <f t="shared" si="100"/>
        <v>0</v>
      </c>
      <c r="DZ72" s="10">
        <f t="shared" si="101"/>
        <v>0</v>
      </c>
      <c r="EA72" s="10">
        <f t="shared" si="102"/>
        <v>0</v>
      </c>
      <c r="EB72" s="10">
        <f t="shared" si="103"/>
        <v>0</v>
      </c>
      <c r="EC72" s="10">
        <f t="shared" si="104"/>
        <v>0</v>
      </c>
      <c r="ED72" s="10">
        <f t="shared" si="105"/>
        <v>0</v>
      </c>
      <c r="EE72" s="10">
        <f t="shared" si="106"/>
        <v>0</v>
      </c>
      <c r="EF72" s="39">
        <f>EB72*Исходн.данные.!AJ72/1000</f>
        <v>0</v>
      </c>
      <c r="EG72" s="9">
        <f t="shared" si="107"/>
        <v>0</v>
      </c>
      <c r="EH72" s="9">
        <f t="shared" si="108"/>
        <v>0</v>
      </c>
      <c r="EI72" s="39" t="e">
        <f t="shared" si="7"/>
        <v>#DIV/0!</v>
      </c>
      <c r="EJ72" s="9" t="str">
        <f t="shared" si="8"/>
        <v>Азопреципитат</v>
      </c>
      <c r="EK72" s="12">
        <f t="shared" si="9"/>
        <v>0.26</v>
      </c>
      <c r="EL72" s="12">
        <f t="shared" si="10"/>
        <v>0.13</v>
      </c>
      <c r="EM72" s="12">
        <f t="shared" si="11"/>
        <v>0</v>
      </c>
      <c r="EN72" s="12" t="str">
        <f t="shared" si="57"/>
        <v>Нет</v>
      </c>
      <c r="EO72" s="12">
        <f t="shared" si="12"/>
        <v>0</v>
      </c>
      <c r="EP72" s="12">
        <f t="shared" si="13"/>
        <v>0</v>
      </c>
      <c r="EQ72" s="12">
        <f t="shared" si="14"/>
        <v>0</v>
      </c>
      <c r="ER72" s="12" t="str">
        <f t="shared" si="109"/>
        <v>Диаммофоска</v>
      </c>
      <c r="ES72" s="12">
        <f t="shared" si="15"/>
        <v>0.1</v>
      </c>
      <c r="ET72" s="12">
        <f t="shared" si="16"/>
        <v>0.26</v>
      </c>
      <c r="EU72" s="12">
        <f t="shared" si="17"/>
        <v>0.26</v>
      </c>
      <c r="EV72" s="12" t="str">
        <f t="shared" si="110"/>
        <v>Аммофос 12:52:00</v>
      </c>
      <c r="EW72" s="12" t="str">
        <f t="shared" si="111"/>
        <v>Кемира Свекловичное-6</v>
      </c>
      <c r="EX72" s="12">
        <f t="shared" si="18"/>
        <v>0.16</v>
      </c>
      <c r="EY72" s="12">
        <f t="shared" si="19"/>
        <v>0.12</v>
      </c>
      <c r="EZ72" s="12">
        <f t="shared" si="20"/>
        <v>0.17</v>
      </c>
      <c r="FA72" s="38" t="e">
        <f>IF(AND(OR(FJ72=$FD$1,FM72=$FD$1,FO72=$FD$1,FQ72=$FD$1,FS72=$FD$1),FD72=$FD$1,Исходн.данные.!J72&lt;2,FU72=$FD$1),"Бор,Кобальт",IF(AND(FO72=$FD$1,FH72=$FD$1,Исходн.данные.!J72&lt;2,FU72=$FD$1),"Бор,Кобальт",IF(AND(OR(FJ72=$FD$1,FM72=$FD$1,FQ72=$FD$1),FE72=$FD$1,Исходн.данные.!J72&lt;2,FT72=$FD$1,FU72=$FD$1),"Бор,Медь,Цинк",IF(AND(OR(FJ72=$FD$1,FR72="Да"),FI72="Да",Исходн.данные.!J72&lt;2,FT72="Да",FU72="Да"),"Бор,Цинк,Медь",IF(AND(OR(FM72="Да",FQ72="Да"),FI72="Да",Исходн.данные.!J72&lt;2,FT72="Да",FU72="Да"),"Бор,Цинк",IF(AND(FN72="Да",OR(FD72="Да",FE72="Да")),"Бор",FB72))))))</f>
        <v>#N/A</v>
      </c>
      <c r="FB72" s="134" t="e">
        <f>IF(AND(OR(FD72="Да",FE72="Да",FF72="Да",FG72="Да",FH72="Да"),FO72="Да"),"Бор",IF(AND(FP72="Да",OR(FD72="Да",FE72="Да",FI72="Да")),"Бор",IF(AND(FS72="Да",FE72="Да"),"Бор,Медь",IF(AND(OR(FJ72="Да",FK72="Да",FL72="Да"),FE72="Да",Исходн.данные.!I72&lt;5,FT72="Да",FU72="Да"),"Молибден,Цинк",IF(AND(FM72="Да",OR(FE72="Да",FF72="Да",FG72="Да",FH72="Да",FI72="Да")),"Молибден,Цинк",IF(AND(OR(FJ72="Да",FK72="Да",FL72="Да",FM72="Да",FQ72="Да"),OR(FE72="Да",FF72="Да"),FT72="Да",FU72="Да",Исходн.данные.!I72&gt;5.5),"Медь,Цинк",FC72))))))</f>
        <v>#N/A</v>
      </c>
      <c r="FC72" s="23" t="e">
        <f t="shared" si="112"/>
        <v>#N/A</v>
      </c>
      <c r="FD72" s="38" t="str">
        <f>IF(OR(Исходн.данные.!F72=$CC$1,Исходн.данные.!F72=$CC$2,Исходн.данные.!F72=$CC$3,Исходн.данные.!F72=$CC$4),"Да","Нет")</f>
        <v>Нет</v>
      </c>
      <c r="FE72" s="38" t="str">
        <f>IF(Исходн.данные.!F72=$CC$5,"Да","Нет")</f>
        <v>Нет</v>
      </c>
      <c r="FF72" s="38" t="str">
        <f>IF(OR(Исходн.данные.!F72=$CC$6,Исходн.данные.!F72=$CC$7),"Да","Нет")</f>
        <v>Нет</v>
      </c>
      <c r="FG72" s="38" t="str">
        <f>IF(OR(Исходн.данные.!F72=$CC$8,Исходн.данные.!F72=$CC$9),"Да","Нет")</f>
        <v>Нет</v>
      </c>
      <c r="FH72" s="38" t="str">
        <f>IF(Исходн.данные.!F72=$CC$10,"Да","Нет")</f>
        <v>Нет</v>
      </c>
      <c r="FI72" s="38" t="str">
        <f>IF(OR(Исходн.данные.!F72=$CC$11,Исходн.данные.!F72=$CC$12),"Да","Нет")</f>
        <v>Нет</v>
      </c>
      <c r="FJ72" s="38" t="str">
        <f>IF(OR(Исходн.данные.!AH72=$BS$1,Исходн.данные.!AH72=$BQ$11,Исходн.данные.!AH72=$BQ$12),"Да","Нет")</f>
        <v>Нет</v>
      </c>
      <c r="FK72" s="38" t="str">
        <f>IF(OR(Исходн.данные.!AH72=$BS$2,Исходн.данные.!AH72=$BS$4),"Да","Нет")</f>
        <v>Нет</v>
      </c>
      <c r="FL72" s="38" t="str">
        <f>IF(OR(Исходн.данные.!AH72=$BS$3,Исходн.данные.!AH72=$BS$5),"Да","Нет")</f>
        <v>Нет</v>
      </c>
      <c r="FM72" s="38" t="str">
        <f>IF(OR(Исходн.данные.!AH72=$BS$9,Исходн.данные.!AH72=$BS$10,Исходн.данные.!AH72=$BS$11,Исходн.данные.!AH72=$BS$12),"Да","Нет")</f>
        <v>Нет</v>
      </c>
      <c r="FN72" s="38" t="str">
        <f>IF(OR(Исходн.данные.!AH72=$BS$6,Исходн.данные.!AH72=$BP$3),"Да","Нет")</f>
        <v>Нет</v>
      </c>
      <c r="FO72" s="38" t="str">
        <f>IF(Исходн.данные.!AH72=$BQ$9,"Да","Нет")</f>
        <v>Нет</v>
      </c>
      <c r="FP72" s="38" t="str">
        <f>IF(OR(Исходн.данные.!AH72=$BS$8,Исходн.данные.!AH72=$BT$8),"Да","Нет")</f>
        <v>Нет</v>
      </c>
      <c r="FQ72" s="38" t="str">
        <f>IF(OR(Исходн.данные.!AH72=$BQ$7,Исходн.данные.!AH72=$BQ$8),"Да","Нет")</f>
        <v>Нет</v>
      </c>
      <c r="FR72" s="38" t="str">
        <f>IF(Исходн.данные.!AI72=$BU$9,"Да","Нет")</f>
        <v>Нет</v>
      </c>
      <c r="FS72" s="38" t="str">
        <f>IF(OR(Исходн.данные.!AH72=$BP$1,Исходн.данные.!AH72=$BP$2),"Да","Нет")</f>
        <v>Нет</v>
      </c>
      <c r="FT72" s="38" t="e">
        <f>IF((Исходн.данные.!K72*GO72*GS72*GW72+BL72*0.6+Исходн.данные.!Q72*4.5*0.275)&gt;90,"Да","Нет")</f>
        <v>#N/A</v>
      </c>
      <c r="FU72" s="38" t="e">
        <f>IF((Исходн.данные.!M72*GS72*GZ72+BM72*0.225)&gt;35,"Да","Нет")</f>
        <v>#N/A</v>
      </c>
      <c r="FV72" s="38" t="str">
        <f>IF(Исходн.данные.!O72&gt;175,"Да","Нет")</f>
        <v>Нет</v>
      </c>
      <c r="FW72" s="39" t="str">
        <f>IF(Исходн.данные.!I72&gt;5.5,"Да","Нет")</f>
        <v>Нет</v>
      </c>
      <c r="FX72" s="39" t="str">
        <f>IF(Исходн.данные.!J72&lt;2,"Да","Нет")</f>
        <v>Да</v>
      </c>
      <c r="FY72" s="39" t="e">
        <f>IF(HF72=$FY$16,0,Исходн.данные.!K72*GO72*GS72*GW72/HF72)</f>
        <v>#N/A</v>
      </c>
      <c r="FZ72" s="39" t="e">
        <f>Исходн.данные.!M72*GS72*GZ72/HG72</f>
        <v>#N/A</v>
      </c>
      <c r="GA72" s="39" t="e">
        <f>IF(K_Wyn=$FY$16,0,IF(Исходн.данные.!N72=Исходн.данные.!$L$10,Исходн.данные.!O72/1.1*GS72*HC72/HH72,IF(Исходн.данные.!N72=Исходн.данные.!$L$12,Исходн.данные.!O72/1.5*GS72*HC72/HH72,Исходн.данные.!O72*GS72*HC72/HH72)))</f>
        <v>#N/A</v>
      </c>
      <c r="GB72" s="39" t="e">
        <f>IF(HF72=$FY$16,0,((Исходн.данные.!Q72*N_Org+Исходн.данные.!R72*N_Sider+Исходн.данные.!S72*N_Soloma)*AO72+Расчет!BC72*VLOOKUP(Исходн.данные.!T72,Справ!$A$3:$O$57,15)*AO72+BB72*VLOOKUP(Исходн.данные.!T72,Справ!$A$3:$O$57,15)*AL72+(Исходн.данные.!V72*N_Rizotorf+Исходн.данные.!W72*N_Rizoagr))/HF72)</f>
        <v>#N/A</v>
      </c>
      <c r="GC72" s="39" t="e">
        <f>IF(HG72=$FY$16,0,((Исходн.данные.!Q72*Р_Org+Исходн.данные.!R72*P_Sider+Исходн.данные.!S72*P_Soloma)*AP72+Расчет!BC72*VLOOKUP(Исходн.данные.!T72,Справ!$A$3:$P$57,16)*AP72+BB72*VLOOKUP(Исходн.данные.!T72,Справ!$A$3:$P$57,16)*AM72)/HG72)</f>
        <v>#N/A</v>
      </c>
      <c r="GD72" s="39" t="e">
        <f>IF(HH72=$FY$16,0,((Исходн.данные.!Q72*К_Org+Исходн.данные.!R72*K_Sider+Исходн.данные.!S72*K_Soloma)*AQ72+Расчет!BC72*VLOOKUP(Исходн.данные.!T72,Справ!$A$3:$Q$57,17)*AQ72+BB72*VLOOKUP(Исходн.данные.!T72,Справ!$A$3:$Q$57,17)*AN72)/HH72)</f>
        <v>#N/A</v>
      </c>
      <c r="GE72" s="39" t="e">
        <f>IF(HF72=$FY$16,0,(Исходн.данные.!X72*AR72+Исходн.данные.!AA72*N_Org*AL72+Исходн.данные.!AB72*N_Sider*AL72+Исходн.данные.!AC72*N_Soloma*AL72)/HF72)</f>
        <v>#N/A</v>
      </c>
      <c r="GF72" s="39" t="e">
        <f>IF(HG72=$FY$16,0,(Исходн.данные.!Y72*AS72+Исходн.данные.!AA72*Р_Org*AM72+Исходн.данные.!AB72*P_Sider*AM72+Исходн.данные.!AC72*P_Soloma*AM72)/HG72)</f>
        <v>#N/A</v>
      </c>
      <c r="GG72" s="39" t="e">
        <f>IF(HH72=$FY$16,0,(Исходн.данные.!Z72*AT72+Исходн.данные.!AA72*К_Org*AN72+Исходн.данные.!AB72*K_Sider*AN72+Исходн.данные.!AC72*K_Soloma*AN72)/HH72)</f>
        <v>#N/A</v>
      </c>
      <c r="GH72" s="39" t="e">
        <f>Исходн.данные.!AD72*AU72/HF72</f>
        <v>#N/A</v>
      </c>
      <c r="GI72" s="39" t="e">
        <f>Исходн.данные.!AE72*AV72/HG72</f>
        <v>#N/A</v>
      </c>
      <c r="GJ72" s="39" t="e">
        <f>Исходн.данные.!AF72*AW72/HH72</f>
        <v>#N/A</v>
      </c>
      <c r="GK72" s="55">
        <f>Исходн.данные.!AK72</f>
        <v>0</v>
      </c>
      <c r="GL72" s="11" t="e">
        <f t="shared" si="113"/>
        <v>#N/A</v>
      </c>
      <c r="GM72" s="11" t="e">
        <f t="shared" si="114"/>
        <v>#N/A</v>
      </c>
      <c r="GN72" s="11" t="e">
        <f t="shared" si="115"/>
        <v>#N/A</v>
      </c>
      <c r="GO72" s="57">
        <f t="shared" si="116"/>
        <v>19</v>
      </c>
      <c r="GP72" s="55">
        <f>IF(OR(Исходн.данные.!F72=$CE$1,Исходн.данные.!F72=$CE$2,Исходн.данные.!F72=$CE$3,Исходн.данные.!F72=$CE$4,Исходн.данные.!F72=$CE$5),GQ72,GR72)</f>
        <v>19</v>
      </c>
      <c r="GQ72" s="55">
        <f>IF(Исходн.данные.!F72=$CE$1,28,IF(Исходн.данные.!F72=$CE$2,26,IF(Исходн.данные.!F72=$CE$3,24,IF(Исходн.данные.!F72=$CE$4,22,IF(Исходн.данные.!F72=$CE$5,20,GR72)))))</f>
        <v>19</v>
      </c>
      <c r="GR72" s="55">
        <f>IF(Исходн.данные.!F72=$CE$6,18,IF(Исходн.данные.!F72=$CE$7,16,IF(Исходн.данные.!F72=$CE$8,14,IF(Исходн.данные.!F72=$CE$9,13,IF(Исходн.данные.!F72=$CE$10,12,19)))))</f>
        <v>19</v>
      </c>
      <c r="GS72" s="55">
        <f>IF(Исходн.данные.!G72="Пес",0.035*(40+2*Исходн.данные.!H72),IF(Исходн.данные.!G72="Суп",0.0325*(40+2*Исходн.данные.!H72),0.03*(40+2*Исходн.данные.!H72)))</f>
        <v>1.2</v>
      </c>
      <c r="GT72" s="55">
        <f>IF(Исходн.данные.!H72&lt;23,2.6,IF(AND(Исходн.данные.!H72&gt;22,Исходн.данные.!H72&lt;26),3,IF(AND(Исходн.данные.!H72&gt;25,Исходн.данные.!H72&lt;29),3.4,3.6)))</f>
        <v>2.6</v>
      </c>
      <c r="GU72" s="55">
        <f>IF(Исходн.данные.!H72&lt;23,2.8,IF(AND(Исходн.данные.!H72&gt;22,Исходн.данные.!H72&lt;26),3.2,IF(AND(Исходн.данные.!H72&gt;25,Исходн.данные.!H72&lt;29),3.6,3.9)))</f>
        <v>2.8</v>
      </c>
      <c r="GV72" s="55">
        <f>IF(Исходн.данные.!H72&lt;23,3,IF(AND(Исходн.данные.!H72&gt;22,Исходн.данные.!H72&lt;26),3.5,IF(AND(Исходн.данные.!H72&gt;25,Исходн.данные.!H72&lt;29),3.9,4.2)))</f>
        <v>3</v>
      </c>
      <c r="GW72" s="55" t="e">
        <f>IF(Исходн.данные.!P72="Ум",GX72,GY72)</f>
        <v>#N/A</v>
      </c>
      <c r="GX72" s="55" t="e">
        <f>VLOOKUP(Исходн.данные.!AI72,Коэффициенты!$J$7:$L$13,2,FALSE)</f>
        <v>#N/A</v>
      </c>
      <c r="GY72" s="55" t="e">
        <f>VLOOKUP(Исходн.данные.!AI72,Коэффициенты!$J$7:$L$13,3,FALSE)</f>
        <v>#N/A</v>
      </c>
      <c r="GZ72" s="55" t="e">
        <f>(IF(Исходн.данные.!M72&lt;50,0.11*VLOOKUP(Исходн.данные.!AH72,Культуры.Информация,7,FALSE),IF(Исходн.данные.!M72&gt;250,0.05*VLOOKUP(Исходн.данные.!AH72,Культуры.Информация,7,FALSE),VLOOKUP(Исходн.данные.!AH72,Культуры.Информация,5,FALSE)/100*($GX$6+$GY$6*Исходн.данные.!M72))))*Расчет2!AI72</f>
        <v>#N/A</v>
      </c>
      <c r="HA72" s="211"/>
      <c r="HB72" s="211"/>
      <c r="HC72" s="55" t="e">
        <f>(IF(Исходн.данные.!O72&lt;80,0.2*VLOOKUP(Исходн.данные.!AH72,Культуры.Информация,8,FALSE),IF(Исходн.данные.!O72&gt;240,0.09*VLOOKUP(Исходн.данные.!AH72,Культуры.Информация,8,FALSE),VLOOKUP(Исходн.данные.!AH72,Культуры.Информация,6,FALSE)/100*($HB$6+$HC$6*Исходн.данные.!O72))))*Расчет2!AJ72</f>
        <v>#N/A</v>
      </c>
      <c r="HD72" s="55">
        <f>IF(Исходн.данные.!O72&gt;240,0.09,IF(Исходн.данные.!O72&lt;30,0.3,$HE$10+$HD$10*Исходн.данные.!O72))</f>
        <v>0.3</v>
      </c>
      <c r="HE72" s="55">
        <f>IF(Исходн.данные.!O72&gt;240,0.17,IF(Исходн.данные.!O72&lt;30,0.5,$HF$12+$HE$12*Исходн.данные.!O72))</f>
        <v>0.5</v>
      </c>
      <c r="HF72" s="55" t="e">
        <f>VLOOKUP(Исходн.данные.!AH72,Справ!$A$3:$D$58,2,FALSE)</f>
        <v>#N/A</v>
      </c>
      <c r="HG72" s="55" t="e">
        <f>VLOOKUP(Исходн.данные.!AH72,Справ!$A$3:$D$58,3,FALSE)</f>
        <v>#N/A</v>
      </c>
      <c r="HH72" s="55" t="e">
        <f>VLOOKUP(Исходн.данные.!AH72,Справ!$A$3:$D$58,4,FALSE)</f>
        <v>#N/A</v>
      </c>
      <c r="HI72" s="11" t="e">
        <f t="shared" si="117"/>
        <v>#N/A</v>
      </c>
      <c r="HJ72" s="11" t="e">
        <f t="shared" si="118"/>
        <v>#N/A</v>
      </c>
      <c r="HK72" s="11" t="e">
        <f t="shared" si="119"/>
        <v>#N/A</v>
      </c>
      <c r="HL72" s="55">
        <f>IF(OR(Исходн.данные.!G72="Глин",Исходн.данные.!G72="Т_суг"),1.1,IF(Исходн.данные.!G72="Ср_суг",1,1))</f>
        <v>1</v>
      </c>
      <c r="HM72" s="55">
        <f>IF(OR(Исходн.данные.!G72="Глин",Исходн.данные.!G72="Т_суг"),0.9,IF(Исходн.данные.!G72="Ср_суг",1,1.2))</f>
        <v>1.2</v>
      </c>
      <c r="HN72" s="11" t="e">
        <f t="shared" si="120"/>
        <v>#N/A</v>
      </c>
      <c r="HO72" s="11" t="e">
        <f t="shared" si="121"/>
        <v>#N/A</v>
      </c>
      <c r="HP72" s="11" t="e">
        <f t="shared" si="122"/>
        <v>#N/A</v>
      </c>
      <c r="HQ72" t="e">
        <f t="shared" si="123"/>
        <v>#N/A</v>
      </c>
      <c r="HR72" t="e">
        <f t="shared" si="124"/>
        <v>#N/A</v>
      </c>
      <c r="HS72" t="e">
        <f t="shared" si="125"/>
        <v>#N/A</v>
      </c>
      <c r="HT72" t="e">
        <f t="shared" si="21"/>
        <v>#N/A</v>
      </c>
      <c r="HU72" t="e">
        <f t="shared" si="22"/>
        <v>#N/A</v>
      </c>
      <c r="HV72" t="e">
        <f t="shared" si="23"/>
        <v>#N/A</v>
      </c>
      <c r="HW72" t="e">
        <f t="shared" si="24"/>
        <v>#N/A</v>
      </c>
      <c r="HX72" t="e">
        <f t="shared" si="25"/>
        <v>#N/A</v>
      </c>
      <c r="HY72" t="e">
        <f t="shared" si="26"/>
        <v>#N/A</v>
      </c>
      <c r="HZ72" s="55">
        <f>IF(OR(Исходн.данные.!AI72="Оз_Ч_П",Исходн.данные.!AI72="Оз_З_П",Исходн.данные.!AI72="Яр_зер"),12,30)</f>
        <v>30</v>
      </c>
      <c r="IA72" t="e">
        <f t="shared" si="126"/>
        <v>#N/A</v>
      </c>
      <c r="IB72" t="e">
        <f t="shared" si="127"/>
        <v>#N/A</v>
      </c>
      <c r="IC72" t="e">
        <f t="shared" si="128"/>
        <v>#N/A</v>
      </c>
      <c r="ID72" s="11" t="e">
        <f t="shared" si="129"/>
        <v>#N/A</v>
      </c>
      <c r="IE72" s="11" t="e">
        <f t="shared" si="130"/>
        <v>#N/A</v>
      </c>
      <c r="IF72" s="11" t="e">
        <f t="shared" si="131"/>
        <v>#N/A</v>
      </c>
    </row>
    <row r="73" spans="35:240" x14ac:dyDescent="0.2">
      <c r="AI73">
        <f>IF(Исходн.данные.!I73&gt;6,1,1.85-(0.148*Исходн.данные.!I73))</f>
        <v>1.85</v>
      </c>
      <c r="AJ73">
        <f>IF(Исходн.данные.!I73&gt;6,1,2.434-(0.246*Исходн.данные.!I73))</f>
        <v>2.4340000000000002</v>
      </c>
      <c r="AL73" s="148" t="b">
        <f>IF(Исходн.данные.!$P73="Ум",N_OrgUd_2g_um,IF(Исходн.данные.!$P73="Об",N_OrgUd_2g_ob))</f>
        <v>0</v>
      </c>
      <c r="AM73" s="148" t="b">
        <f>IF(Исходн.данные.!$P73="Ум",P_OrgUd_2g_um,IF(Исходн.данные.!$P73="Об",P_OrgUd_2g_ob))</f>
        <v>0</v>
      </c>
      <c r="AN73" s="148" t="b">
        <f>IF(Исходн.данные.!$P73="Ум",K_OrgUd_2g_um,IF(Исходн.данные.!$P73="Об",K_OrgUd_2g_ob))</f>
        <v>0</v>
      </c>
      <c r="AO73" s="148" t="b">
        <f>IF(Исходн.данные.!$P73="Ум",N_OrgUd_1g_um,IF(Исходн.данные.!$P73="Об",N_OrgUd_1g_ob))</f>
        <v>0</v>
      </c>
      <c r="AP73" s="148" t="b">
        <f>IF(Исходн.данные.!$P73="Ум",P_OrgUd_1g_um,IF(Исходн.данные.!$P73="Об",P_OrgUd_1g_ob))</f>
        <v>0</v>
      </c>
      <c r="AQ73" s="148" t="b">
        <f>IF(Исходн.данные.!$P73="Ум",K_OrgUd_1g_um,IF(Исходн.данные.!$P73="Об",K_OrgUd_1g_ob))</f>
        <v>0</v>
      </c>
      <c r="AR73" t="b">
        <f>IF(Исходн.данные.!$P73="Ум",N_MinUd_2g_um,IF(Исходн.данные.!$P73="Об",N_MinUd_2g_ob))</f>
        <v>0</v>
      </c>
      <c r="AS73" t="b">
        <f>IF(Исходн.данные.!$P73="Ум",P_MinUd_2g_um,IF(Исходн.данные.!$P73="Об",P_MinUd_2g_ob))</f>
        <v>0</v>
      </c>
      <c r="AT73" t="b">
        <f>IF(Исходн.данные.!$P73="Ум",K_MinUd_2g_um,IF(Исходн.данные.!$P73="Об",K_MinUd_2g_ob))</f>
        <v>0</v>
      </c>
      <c r="AU73" t="b">
        <f>IF(Исходн.данные.!$P73="Ум",N_MinUd_1g_um,IF(Исходн.данные.!$P73="Об",N_MinUd_1g_ob))</f>
        <v>0</v>
      </c>
      <c r="AV73" t="b">
        <f>IF(Исходн.данные.!P73="Ум",P_MinUd_1g_um,IF(Исходн.данные.!P73="Об",P_MinUd_1g_ob))</f>
        <v>0</v>
      </c>
      <c r="AW73" t="b">
        <f>IF(Исходн.данные.!P73="Ум",K_MinUd_1g_um,IF(Исходн.данные.!P73="Об",K_MinUd_1g_ob))</f>
        <v>0</v>
      </c>
      <c r="AY73" t="e">
        <f>VLOOKUP(Исходн.данные.!T73,Справ!$A$3:$N$57,12)</f>
        <v>#N/A</v>
      </c>
      <c r="AZ73" t="e">
        <f>VLOOKUP(Исходн.данные.!T73,Справ!$A$3:$N$57,13)</f>
        <v>#N/A</v>
      </c>
      <c r="BA73" t="e">
        <f>VLOOKUP(Исходн.данные.!T73,Справ!$A$3:$N$57,14)</f>
        <v>#N/A</v>
      </c>
      <c r="BB73">
        <f>IF(Исходн.данные.!AH73=0,0,25)</f>
        <v>0</v>
      </c>
      <c r="BC73" s="141">
        <f>IF(Исходн.данные.!AH73=0,0,IF(Исходн.данные.!T73=0,25,BD73))</f>
        <v>0</v>
      </c>
      <c r="BD73" s="168" t="e">
        <f>AY73+AZ73*Исходн.данные.!U73-POWER(BA73,2)*Исходн.данные.!U73</f>
        <v>#N/A</v>
      </c>
      <c r="BE7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3" s="25">
        <f>IF(Исходн.данные.!AH73=0,0,MIN(HN73:HP73))</f>
        <v>0</v>
      </c>
      <c r="BG73" s="9">
        <f>IF(Исходн.данные.!AH73=0,0,IF((HO73+10*0.25/HG73/HL73)&lt;17,17,HO73+10*0.25/HG73/HL73))</f>
        <v>0</v>
      </c>
      <c r="BH73" s="181">
        <f>IF(Исходн.данные.!AH73=0,0,HW73*HF73*HL73/AU73*AI73+Исходн.данные.!S73*10)</f>
        <v>0</v>
      </c>
      <c r="BI73" s="10"/>
      <c r="BJ73" s="182">
        <f>IF(Исходн.данные.!AH73=0,0,IF(HX73*HG73*HL73/AV73&lt;0,0,HX73*HG73*HL73/AV73*AJ73))</f>
        <v>0</v>
      </c>
      <c r="BK73" s="182">
        <f>IF(Исходн.данные.!AH73=0,0,HY73*HH73*HM73/AW73)</f>
        <v>0</v>
      </c>
      <c r="BL73" s="10">
        <f>IF(OR(Исходн.данные.!$AH73=$BP$1,Исходн.данные.!$AH73=$BP$2),0,IF(BH73&lt;0,0,IF(OR(Исходн.данные.!T73=Расчет!$BP$1,Исходн.данные.!T73=Расчет!$BP$2,Исходн.данные.!T73=Расчет!$BT$5,Исходн.данные.!T73=Расчет!$BT$6),BH73*0.5,IF(OR(Исходн.данные.!T73=Расчет!$BS$9,Исходн.данные.!T73=Расчет!$BS$10,Исходн.данные.!T73=Расчет!$BS$11,Исходн.данные.!T73=Расчет!$BS$12,Исходн.данные.!T73=Расчет!$BP$5),BH73*0.8,BH73))))</f>
        <v>0</v>
      </c>
      <c r="BM73" s="10">
        <f>IF(OR(Исходн.данные.!$AH73=$BP$1,Исходн.данные.!$AH73=$BP$2),0,IF(BJ73&lt;0,0,IF(Исходн.данные.!I73&lt;4.5,BJ73*1.2,IF(Исходн.данные.!I73&gt;5.1,BJ73,BJ73*((5.1-Исходн.данные.!I73)*0.333+1)))))</f>
        <v>0</v>
      </c>
      <c r="BN73" s="10">
        <f>IF(OR(Исходн.данные.!$AH73=$BP$1,Исходн.данные.!$AH73=$BP$2),60-Исходн.данные.!AF73,IF(BK73&lt;0,0,IF(Исходн.данные.!I73&lt;4.5,BK73*1.2,IF(Исходн.данные.!I73&gt;5.1,BK73,BK73*((5.1-Исходн.данные.!I73)*0.333+1)))))</f>
        <v>0</v>
      </c>
      <c r="BO73" s="9">
        <f>IF(BL73&lt;0,0,BL73*Исходн.данные.!$AJ73/1000)</f>
        <v>0</v>
      </c>
      <c r="BP73" s="9">
        <f>IF(BM73&lt;0,0,BM73*Исходн.данные.!$AJ73/1000)</f>
        <v>0</v>
      </c>
      <c r="BQ73" s="9">
        <f>IF(BN73&lt;0,0,BN73*Исходн.данные.!$AJ73/1000)</f>
        <v>0</v>
      </c>
      <c r="BR73" s="9">
        <f t="shared" si="81"/>
        <v>0</v>
      </c>
      <c r="BS73" s="10" t="str">
        <f t="shared" si="82"/>
        <v>Аммофос 12:52:00</v>
      </c>
      <c r="BT73" s="10" t="str">
        <f t="shared" si="83"/>
        <v>Аммофос 12:52:00</v>
      </c>
      <c r="BU73" s="10" t="str">
        <f t="shared" si="84"/>
        <v>Диаммофоска</v>
      </c>
      <c r="BV73" s="10">
        <f t="shared" si="85"/>
        <v>0</v>
      </c>
      <c r="BW73" s="10"/>
      <c r="BX73" s="10"/>
      <c r="BY73" s="9">
        <f>IF(BL73&lt;0,0,IF(OR(Исходн.данные.!AI73=Расчет!$BU$6,Исходн.данные.!AI73=Расчет!$BU$7),Расчет!BV73,IF(Исходн.данные.!$AG73=$BV$11,BL73,IF(OR(Исходн.данные.!$AH73=$BQ$7,Исходн.данные.!$AH73=$BQ$8),CB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0,IF(Исходн.данные.!$AI73=$BU$11,"Нет",IF(BL73&gt;30,30,BL73)))))))</f>
        <v>0</v>
      </c>
      <c r="BZ73" s="9">
        <f>IF(AND(Исходн.данные.!$AG73=$BV$11,BM73&lt;10),10,IF(Исходн.данные.!$AG73=$BV$11,BM73,IF(OR(Исходн.данные.!$AH73=$BQ$7,Исходн.данные.!$AH73=$BQ$8),CC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10,IF(Исходн.данные.!$AI73=$BU$11,"Нет",IF(BM73&gt;60,60,IF(BM73&lt;10,10,BM73)))))))</f>
        <v>10</v>
      </c>
      <c r="CA73" s="39">
        <f>IF(BN73&lt;0,0,IF(Исходн.данные.!$AG73=$BV$11,BN73,IF(OR(Исходн.данные.!$AH73=$BQ$7,Исходн.данные.!$AH73=$BQ$8),CD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0,IF(Исходн.данные.!$AI73=$BU$11,"Нет",IF(BN73&gt;30,30,BN73))))))</f>
        <v>0</v>
      </c>
      <c r="CB73" s="9">
        <f t="shared" si="86"/>
        <v>0</v>
      </c>
      <c r="CC73" s="9">
        <f t="shared" si="87"/>
        <v>0</v>
      </c>
      <c r="CD73" s="9">
        <f t="shared" si="88"/>
        <v>0</v>
      </c>
      <c r="CE73" s="12">
        <f t="shared" si="89"/>
        <v>10</v>
      </c>
      <c r="CF73" s="9">
        <f t="shared" si="90"/>
        <v>0</v>
      </c>
      <c r="CG73" s="9" t="s">
        <v>231</v>
      </c>
      <c r="CH73" s="132" t="str">
        <f>IF(Исходн.данные.!AP73=Расчет!$CI$16,"Нет",IF(Исходн.данные.!AL73&gt;0,Исходн.данные.!AL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BH$4,IF(OR(Исходн.данные.!AI73=Исходн.данные.!$AI$6,Исходн.данные.!AI73=Исходн.данные.!$AI$7),Расчет!BS73,IF(AND($CF73=0,$CE73&gt;0),EV73,ER73)))))</f>
        <v>Аммофос 12:52:00</v>
      </c>
      <c r="CI73" s="274">
        <f>IF(Расчет!$CH73="Нет","Нет",IF(Исходн.данные.!$AL73&gt;0,VLOOKUP(Расчет!$CH73,АшламаДВ_Irekle,2,FALSE),VLOOKUP(Расчет!$CH73,АшламаДВ_Gomumy,2,FALSE)))</f>
        <v>0.12</v>
      </c>
      <c r="CJ73" s="274">
        <f>IF(Расчет!$CH73="Нет","Нет",IF(Исходн.данные.!$AL73&gt;0,VLOOKUP(Расчет!$CH73,АшламаДВ_Irekle,3,FALSE),VLOOKUP(Расчет!$CH73,АшламаДВ_Gomumy,3,FALSE)))</f>
        <v>0.52</v>
      </c>
      <c r="CK73" s="274">
        <f>IF(Расчет!$CH73="Нет","Нет",IF(Исходн.данные.!$AL73&gt;0,VLOOKUP(Расчет!$CH73,АшламаДВ_Irekle,4,FALSE),VLOOKUP(Расчет!$CH73,АшламаДВ_Gomumy,4,FALSE)))</f>
        <v>0</v>
      </c>
      <c r="CL73" s="70"/>
      <c r="CM73" s="70"/>
      <c r="CN73" s="70"/>
      <c r="CO73" s="70"/>
      <c r="CP73" s="70"/>
      <c r="CQ73" s="70"/>
      <c r="CR73" s="10">
        <f t="shared" si="91"/>
        <v>0</v>
      </c>
      <c r="CS73" s="10">
        <f t="shared" si="92"/>
        <v>19.23076923076923</v>
      </c>
      <c r="CT73" s="10">
        <f t="shared" si="93"/>
        <v>0</v>
      </c>
      <c r="CU73" s="39">
        <f>IF($CH73="Нет",0,IF(CI73=0,30/MIN(CJ73:CK73),IF(Исходн.данные.!$AG73=$BV$11,CR73,IF(OR(Исходн.данные.!$AH73=$BQ$7,Исходн.данные.!$AH73=$BQ$8),90/CI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0,IF(Исходн.данные.!$AI73=$BU$11,"Нет",30/CI73))))))</f>
        <v>250</v>
      </c>
      <c r="CV73" s="39">
        <f>IF($CH73="Нет",0,IF(Исходн.данные.!AH73=0,0,IF(CJ73=0,60/MIN(CI73,CK73),IF(Исходн.данные.!$AG73=$BV$11,CS73,IF(OR(Исходн.данные.!$AH73=$BQ$7,Исходн.данные.!$AH73=$BQ$8),90/CJ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10/CJ73,IF(Исходн.данные.!$AI73=$BU$11,"Нет",60/CJ73)))))))</f>
        <v>0</v>
      </c>
      <c r="CW73" s="39">
        <f>IF($CH73="Нет",0,IF(Исходн.данные.!AH73=0,0,IF(CK73=0,30/MIN(CI73:CJ73),IF(Исходн.данные.!$AG73=$BV$11,CT73,IF(OR(Исходн.данные.!$AH73=$BQ$7,Исходн.данные.!$AH73=$BQ$8),90/CK73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0,IF(Исходн.данные.!$AI73=$BU$11,"Нет",30/CK73)))))))</f>
        <v>0</v>
      </c>
      <c r="CX73" s="133">
        <f>IF(Исходн.данные.!$AG73=$BV$11,MAX(CU73:CW73),IF(OR(Исходн.данные.!$AH73=$BS$8,Исходн.данные.!$AH73=$BQ$9,Исходн.данные.!$AH73=$BQ$10,Исходн.данные.!$AH73=$BQ$11,Исходн.данные.!$AH73=$BQ$12,Исходн.данные.!$AH73=$BP$3,Исходн.данные.!$AH73=$BT$8,$FM73="Да"),CV73,MIN(CU73:CW73)))</f>
        <v>0</v>
      </c>
      <c r="CY73" s="133">
        <f>IF(Исходн.данные.!AH73=0,0,IF(CR73&gt;$CX73,$CX73,CR73))</f>
        <v>0</v>
      </c>
      <c r="CZ73" s="133">
        <f>IF(Исходн.данные.!AH73=0,0,IF(CS73&gt;$CX73,$CX73,CS73))</f>
        <v>0</v>
      </c>
      <c r="DA73" s="133">
        <f>IF(Исходн.данные.!AH73=0,0,IF(CT73&gt;$CX73,$CX73,CT73))</f>
        <v>0</v>
      </c>
      <c r="DB73" s="10">
        <f t="shared" si="94"/>
        <v>0</v>
      </c>
      <c r="DC73" s="39">
        <f>DB73*Исходн.данные.!AJ73/1000</f>
        <v>0</v>
      </c>
      <c r="DD73" s="71">
        <f t="shared" si="95"/>
        <v>0</v>
      </c>
      <c r="DE73" s="9">
        <f t="shared" si="96"/>
        <v>0</v>
      </c>
      <c r="DF73" s="9">
        <f t="shared" si="97"/>
        <v>0</v>
      </c>
      <c r="DG73" s="39">
        <f>IF(BL73&lt;0,0,IF($CH73="Нет",BL73,IF(OR(Исходн.данные.!$AH73=$BP$1,Исходн.данные.!$AH73=$BP$2),0,IF(Исходн.данные.!AI73=$BU$11,BL73,IF(BL73-DD73&lt;0,0,BL73-DD73)))))</f>
        <v>0</v>
      </c>
      <c r="DH73" s="39">
        <f>IF(BM73&lt;0,0,IF($CH73="Нет",BM73,IF(OR(Исходн.данные.!$AH73=$BP$1,Исходн.данные.!$AH73=$BP$2),0,IF(Исходн.данные.!AJ73=$BU$11,BM73,IF(BM73-DE73&lt;0,0,BM73-DE73)))))</f>
        <v>0</v>
      </c>
      <c r="DI73" s="39">
        <f>IF(BN73&lt;0,0,IF($CH73="Нет",BN73,IF(OR(Исходн.данные.!$AH73=$BP$1,Исходн.данные.!$AH73=$BP$2),0,IF(Исходн.данные.!AK73=$BU$11,BN73,IF(BN73-DF73&lt;0,0,BN73-DF73)))))</f>
        <v>0</v>
      </c>
      <c r="DJ73" s="12">
        <f t="shared" si="98"/>
        <v>0</v>
      </c>
      <c r="DK73" s="9">
        <f t="shared" si="99"/>
        <v>0</v>
      </c>
      <c r="DL73" s="39">
        <f>IF(Исходн.данные.!AM73&gt;0,Исходн.данные.!AM73,IF(EG73&gt;0,$BH$10,0))</f>
        <v>0</v>
      </c>
      <c r="DM73" s="186">
        <f>IF($DL73=0,0,IF(Исходн.данные.!AM73&gt;0,VLOOKUP($DL73,АшламаДВ_Irekle,2,FALSE),VLOOKUP($DL73,АшламаДВ_Gomumy,2,FALSE)))</f>
        <v>0</v>
      </c>
      <c r="DN73" s="10">
        <f t="shared" si="46"/>
        <v>0</v>
      </c>
      <c r="DO73" s="9" t="str">
        <f>IF(Исходн.данные.!AN73&gt;0,Исходн.данные.!AN73,Удобрения!$B$37 )</f>
        <v>Хлор.калий</v>
      </c>
      <c r="DP73" s="9">
        <f>IF(Исходн.данные.!AN73&gt;0,VLOOKUP(Исходн.данные.!AN73,АшламаДВ_Irekle,4,FALSE),VLOOKUP(DO73,АшламаДВ_Gomumy,4,FALSE))</f>
        <v>0.6</v>
      </c>
      <c r="DQ73" s="10">
        <f t="shared" si="47"/>
        <v>0</v>
      </c>
      <c r="DR73" s="132" t="str">
        <f>IF(Исходн.данные.!AO73&gt;0,Исходн.данные.!AO73,IF(DH73=0,BS$17,IF(AND($DK73=0,$DJ73&gt;0),EJ73,EN73)))</f>
        <v>Нет</v>
      </c>
      <c r="DS73" s="70" t="str">
        <f>IF($DR73="Нет","Нет",IF(Исходн.данные.!$AO73&gt;0,VLOOKUP($DR73,АшламаДВ_Irekle,2,FALSE),VLOOKUP($DR73,АшламаДВ_Gomumy,2,FALSE)))</f>
        <v>Нет</v>
      </c>
      <c r="DT73" s="70" t="str">
        <f>IF($DR73="Нет","Нет",IF(Исходн.данные.!$AO73&gt;0,VLOOKUP($DR73,АшламаДВ_Irekle,3,FALSE),VLOOKUP($DR73,АшламаДВ_Gomumy,3,FALSE)))</f>
        <v>Нет</v>
      </c>
      <c r="DU73" s="70" t="str">
        <f>IF($DR73="Нет","Нет",IF(Исходн.данные.!$AO73&gt;0,VLOOKUP($DR73,АшламаДВ_Irekle,4,FALSE),VLOOKUP($DR73,АшламаДВ_Gomumy,4,FALSE)))</f>
        <v>Нет</v>
      </c>
      <c r="DV73" s="70"/>
      <c r="DW73" s="70"/>
      <c r="DX73" s="70"/>
      <c r="DY73" s="10">
        <f t="shared" si="100"/>
        <v>0</v>
      </c>
      <c r="DZ73" s="10">
        <f t="shared" si="101"/>
        <v>0</v>
      </c>
      <c r="EA73" s="10">
        <f t="shared" si="102"/>
        <v>0</v>
      </c>
      <c r="EB73" s="10">
        <f t="shared" si="103"/>
        <v>0</v>
      </c>
      <c r="EC73" s="10">
        <f t="shared" si="104"/>
        <v>0</v>
      </c>
      <c r="ED73" s="10">
        <f t="shared" si="105"/>
        <v>0</v>
      </c>
      <c r="EE73" s="10">
        <f t="shared" si="106"/>
        <v>0</v>
      </c>
      <c r="EF73" s="39">
        <f>EB73*Исходн.данные.!AJ73/1000</f>
        <v>0</v>
      </c>
      <c r="EG73" s="9">
        <f t="shared" si="107"/>
        <v>0</v>
      </c>
      <c r="EH73" s="9">
        <f t="shared" si="108"/>
        <v>0</v>
      </c>
      <c r="EI73" s="39" t="e">
        <f t="shared" si="7"/>
        <v>#DIV/0!</v>
      </c>
      <c r="EJ73" s="9" t="str">
        <f t="shared" si="8"/>
        <v>Азопреципитат</v>
      </c>
      <c r="EK73" s="12">
        <f t="shared" si="9"/>
        <v>0.26</v>
      </c>
      <c r="EL73" s="12">
        <f t="shared" si="10"/>
        <v>0.13</v>
      </c>
      <c r="EM73" s="12">
        <f t="shared" si="11"/>
        <v>0</v>
      </c>
      <c r="EN73" s="12" t="str">
        <f t="shared" si="57"/>
        <v>Нет</v>
      </c>
      <c r="EO73" s="12">
        <f t="shared" si="12"/>
        <v>0</v>
      </c>
      <c r="EP73" s="12">
        <f t="shared" si="13"/>
        <v>0</v>
      </c>
      <c r="EQ73" s="12">
        <f t="shared" si="14"/>
        <v>0</v>
      </c>
      <c r="ER73" s="12" t="str">
        <f t="shared" si="109"/>
        <v>Диаммофоска</v>
      </c>
      <c r="ES73" s="12">
        <f t="shared" si="15"/>
        <v>0.1</v>
      </c>
      <c r="ET73" s="12">
        <f t="shared" si="16"/>
        <v>0.26</v>
      </c>
      <c r="EU73" s="12">
        <f t="shared" si="17"/>
        <v>0.26</v>
      </c>
      <c r="EV73" s="12" t="str">
        <f t="shared" si="110"/>
        <v>Аммофос 12:52:00</v>
      </c>
      <c r="EW73" s="12" t="str">
        <f t="shared" si="111"/>
        <v>Кемира Свекловичное-6</v>
      </c>
      <c r="EX73" s="12">
        <f t="shared" si="18"/>
        <v>0.16</v>
      </c>
      <c r="EY73" s="12">
        <f t="shared" si="19"/>
        <v>0.12</v>
      </c>
      <c r="EZ73" s="12">
        <f t="shared" si="20"/>
        <v>0.17</v>
      </c>
      <c r="FA73" s="38" t="e">
        <f>IF(AND(OR(FJ73=$FD$1,FM73=$FD$1,FO73=$FD$1,FQ73=$FD$1,FS73=$FD$1),FD73=$FD$1,Исходн.данные.!J73&lt;2,FU73=$FD$1),"Бор,Кобальт",IF(AND(FO73=$FD$1,FH73=$FD$1,Исходн.данные.!J73&lt;2,FU73=$FD$1),"Бор,Кобальт",IF(AND(OR(FJ73=$FD$1,FM73=$FD$1,FQ73=$FD$1),FE73=$FD$1,Исходн.данные.!J73&lt;2,FT73=$FD$1,FU73=$FD$1),"Бор,Медь,Цинк",IF(AND(OR(FJ73=$FD$1,FR73="Да"),FI73="Да",Исходн.данные.!J73&lt;2,FT73="Да",FU73="Да"),"Бор,Цинк,Медь",IF(AND(OR(FM73="Да",FQ73="Да"),FI73="Да",Исходн.данные.!J73&lt;2,FT73="Да",FU73="Да"),"Бор,Цинк",IF(AND(FN73="Да",OR(FD73="Да",FE73="Да")),"Бор",FB73))))))</f>
        <v>#N/A</v>
      </c>
      <c r="FB73" s="134" t="e">
        <f>IF(AND(OR(FD73="Да",FE73="Да",FF73="Да",FG73="Да",FH73="Да"),FO73="Да"),"Бор",IF(AND(FP73="Да",OR(FD73="Да",FE73="Да",FI73="Да")),"Бор",IF(AND(FS73="Да",FE73="Да"),"Бор,Медь",IF(AND(OR(FJ73="Да",FK73="Да",FL73="Да"),FE73="Да",Исходн.данные.!I73&lt;5,FT73="Да",FU73="Да"),"Молибден,Цинк",IF(AND(FM73="Да",OR(FE73="Да",FF73="Да",FG73="Да",FH73="Да",FI73="Да")),"Молибден,Цинк",IF(AND(OR(FJ73="Да",FK73="Да",FL73="Да",FM73="Да",FQ73="Да"),OR(FE73="Да",FF73="Да"),FT73="Да",FU73="Да",Исходн.данные.!I73&gt;5.5),"Медь,Цинк",FC73))))))</f>
        <v>#N/A</v>
      </c>
      <c r="FC73" s="23" t="e">
        <f t="shared" si="112"/>
        <v>#N/A</v>
      </c>
      <c r="FD73" s="38" t="str">
        <f>IF(OR(Исходн.данные.!F73=$CC$1,Исходн.данные.!F73=$CC$2,Исходн.данные.!F73=$CC$3,Исходн.данные.!F73=$CC$4),"Да","Нет")</f>
        <v>Нет</v>
      </c>
      <c r="FE73" s="38" t="str">
        <f>IF(Исходн.данные.!F73=$CC$5,"Да","Нет")</f>
        <v>Нет</v>
      </c>
      <c r="FF73" s="38" t="str">
        <f>IF(OR(Исходн.данные.!F73=$CC$6,Исходн.данные.!F73=$CC$7),"Да","Нет")</f>
        <v>Нет</v>
      </c>
      <c r="FG73" s="38" t="str">
        <f>IF(OR(Исходн.данные.!F73=$CC$8,Исходн.данные.!F73=$CC$9),"Да","Нет")</f>
        <v>Нет</v>
      </c>
      <c r="FH73" s="38" t="str">
        <f>IF(Исходн.данные.!F73=$CC$10,"Да","Нет")</f>
        <v>Нет</v>
      </c>
      <c r="FI73" s="38" t="str">
        <f>IF(OR(Исходн.данные.!F73=$CC$11,Исходн.данные.!F73=$CC$12),"Да","Нет")</f>
        <v>Нет</v>
      </c>
      <c r="FJ73" s="38" t="str">
        <f>IF(OR(Исходн.данные.!AH73=$BS$1,Исходн.данные.!AH73=$BQ$11,Исходн.данные.!AH73=$BQ$12),"Да","Нет")</f>
        <v>Нет</v>
      </c>
      <c r="FK73" s="38" t="str">
        <f>IF(OR(Исходн.данные.!AH73=$BS$2,Исходн.данные.!AH73=$BS$4),"Да","Нет")</f>
        <v>Нет</v>
      </c>
      <c r="FL73" s="38" t="str">
        <f>IF(OR(Исходн.данные.!AH73=$BS$3,Исходн.данные.!AH73=$BS$5),"Да","Нет")</f>
        <v>Нет</v>
      </c>
      <c r="FM73" s="38" t="str">
        <f>IF(OR(Исходн.данные.!AH73=$BS$9,Исходн.данные.!AH73=$BS$10,Исходн.данные.!AH73=$BS$11,Исходн.данные.!AH73=$BS$12),"Да","Нет")</f>
        <v>Нет</v>
      </c>
      <c r="FN73" s="38" t="str">
        <f>IF(OR(Исходн.данные.!AH73=$BS$6,Исходн.данные.!AH73=$BP$3),"Да","Нет")</f>
        <v>Нет</v>
      </c>
      <c r="FO73" s="38" t="str">
        <f>IF(Исходн.данные.!AH73=$BQ$9,"Да","Нет")</f>
        <v>Нет</v>
      </c>
      <c r="FP73" s="38" t="str">
        <f>IF(OR(Исходн.данные.!AH73=$BS$8,Исходн.данные.!AH73=$BT$8),"Да","Нет")</f>
        <v>Нет</v>
      </c>
      <c r="FQ73" s="38" t="str">
        <f>IF(OR(Исходн.данные.!AH73=$BQ$7,Исходн.данные.!AH73=$BQ$8),"Да","Нет")</f>
        <v>Нет</v>
      </c>
      <c r="FR73" s="38" t="str">
        <f>IF(Исходн.данные.!AI73=$BU$9,"Да","Нет")</f>
        <v>Нет</v>
      </c>
      <c r="FS73" s="38" t="str">
        <f>IF(OR(Исходн.данные.!AH73=$BP$1,Исходн.данные.!AH73=$BP$2),"Да","Нет")</f>
        <v>Нет</v>
      </c>
      <c r="FT73" s="38" t="e">
        <f>IF((Исходн.данные.!K73*GO73*GS73*GW73+BL73*0.6+Исходн.данные.!Q73*4.5*0.275)&gt;90,"Да","Нет")</f>
        <v>#N/A</v>
      </c>
      <c r="FU73" s="38" t="e">
        <f>IF((Исходн.данные.!M73*GS73*GZ73+BM73*0.225)&gt;35,"Да","Нет")</f>
        <v>#N/A</v>
      </c>
      <c r="FV73" s="38" t="str">
        <f>IF(Исходн.данные.!O73&gt;175,"Да","Нет")</f>
        <v>Нет</v>
      </c>
      <c r="FW73" s="39" t="str">
        <f>IF(Исходн.данные.!I73&gt;5.5,"Да","Нет")</f>
        <v>Нет</v>
      </c>
      <c r="FX73" s="39" t="str">
        <f>IF(Исходн.данные.!J73&lt;2,"Да","Нет")</f>
        <v>Да</v>
      </c>
      <c r="FY73" s="39" t="e">
        <f>IF(HF73=$FY$16,0,Исходн.данные.!K73*GO73*GS73*GW73/HF73)</f>
        <v>#N/A</v>
      </c>
      <c r="FZ73" s="39" t="e">
        <f>Исходн.данные.!M73*GS73*GZ73/HG73</f>
        <v>#N/A</v>
      </c>
      <c r="GA73" s="39" t="e">
        <f>IF(K_Wyn=$FY$16,0,IF(Исходн.данные.!N73=Исходн.данные.!$L$10,Исходн.данные.!O73/1.1*GS73*HC73/HH73,IF(Исходн.данные.!N73=Исходн.данные.!$L$12,Исходн.данные.!O73/1.5*GS73*HC73/HH73,Исходн.данные.!O73*GS73*HC73/HH73)))</f>
        <v>#N/A</v>
      </c>
      <c r="GB73" s="39" t="e">
        <f>IF(HF73=$FY$16,0,((Исходн.данные.!Q73*N_Org+Исходн.данные.!R73*N_Sider+Исходн.данные.!S73*N_Soloma)*AO73+Расчет!BC73*VLOOKUP(Исходн.данные.!T73,Справ!$A$3:$O$57,15)*AO73+BB73*VLOOKUP(Исходн.данные.!T73,Справ!$A$3:$O$57,15)*AL73+(Исходн.данные.!V73*N_Rizotorf+Исходн.данные.!W73*N_Rizoagr))/HF73)</f>
        <v>#N/A</v>
      </c>
      <c r="GC73" s="39" t="e">
        <f>IF(HG73=$FY$16,0,((Исходн.данные.!Q73*Р_Org+Исходн.данные.!R73*P_Sider+Исходн.данные.!S73*P_Soloma)*AP73+Расчет!BC73*VLOOKUP(Исходн.данные.!T73,Справ!$A$3:$P$57,16)*AP73+BB73*VLOOKUP(Исходн.данные.!T73,Справ!$A$3:$P$57,16)*AM73)/HG73)</f>
        <v>#N/A</v>
      </c>
      <c r="GD73" s="39" t="e">
        <f>IF(HH73=$FY$16,0,((Исходн.данные.!Q73*К_Org+Исходн.данные.!R73*K_Sider+Исходн.данные.!S73*K_Soloma)*AQ73+Расчет!BC73*VLOOKUP(Исходн.данные.!T73,Справ!$A$3:$Q$57,17)*AQ73+BB73*VLOOKUP(Исходн.данные.!T73,Справ!$A$3:$Q$57,17)*AN73)/HH73)</f>
        <v>#N/A</v>
      </c>
      <c r="GE73" s="39" t="e">
        <f>IF(HF73=$FY$16,0,(Исходн.данные.!X73*AR73+Исходн.данные.!AA73*N_Org*AL73+Исходн.данные.!AB73*N_Sider*AL73+Исходн.данные.!AC73*N_Soloma*AL73)/HF73)</f>
        <v>#N/A</v>
      </c>
      <c r="GF73" s="39" t="e">
        <f>IF(HG73=$FY$16,0,(Исходн.данные.!Y73*AS73+Исходн.данные.!AA73*Р_Org*AM73+Исходн.данные.!AB73*P_Sider*AM73+Исходн.данные.!AC73*P_Soloma*AM73)/HG73)</f>
        <v>#N/A</v>
      </c>
      <c r="GG73" s="39" t="e">
        <f>IF(HH73=$FY$16,0,(Исходн.данные.!Z73*AT73+Исходн.данные.!AA73*К_Org*AN73+Исходн.данные.!AB73*K_Sider*AN73+Исходн.данные.!AC73*K_Soloma*AN73)/HH73)</f>
        <v>#N/A</v>
      </c>
      <c r="GH73" s="39" t="e">
        <f>Исходн.данные.!AD73*AU73/HF73</f>
        <v>#N/A</v>
      </c>
      <c r="GI73" s="39" t="e">
        <f>Исходн.данные.!AE73*AV73/HG73</f>
        <v>#N/A</v>
      </c>
      <c r="GJ73" s="39" t="e">
        <f>Исходн.данные.!AF73*AW73/HH73</f>
        <v>#N/A</v>
      </c>
      <c r="GK73" s="55">
        <f>Исходн.данные.!AK73</f>
        <v>0</v>
      </c>
      <c r="GL73" s="11" t="e">
        <f t="shared" si="113"/>
        <v>#N/A</v>
      </c>
      <c r="GM73" s="11" t="e">
        <f t="shared" si="114"/>
        <v>#N/A</v>
      </c>
      <c r="GN73" s="11" t="e">
        <f t="shared" si="115"/>
        <v>#N/A</v>
      </c>
      <c r="GO73" s="57">
        <f t="shared" si="116"/>
        <v>19</v>
      </c>
      <c r="GP73" s="55">
        <f>IF(OR(Исходн.данные.!F73=$CE$1,Исходн.данные.!F73=$CE$2,Исходн.данные.!F73=$CE$3,Исходн.данные.!F73=$CE$4,Исходн.данные.!F73=$CE$5),GQ73,GR73)</f>
        <v>19</v>
      </c>
      <c r="GQ73" s="55">
        <f>IF(Исходн.данные.!F73=$CE$1,28,IF(Исходн.данные.!F73=$CE$2,26,IF(Исходн.данные.!F73=$CE$3,24,IF(Исходн.данные.!F73=$CE$4,22,IF(Исходн.данные.!F73=$CE$5,20,GR73)))))</f>
        <v>19</v>
      </c>
      <c r="GR73" s="55">
        <f>IF(Исходн.данные.!F73=$CE$6,18,IF(Исходн.данные.!F73=$CE$7,16,IF(Исходн.данные.!F73=$CE$8,14,IF(Исходн.данные.!F73=$CE$9,13,IF(Исходн.данные.!F73=$CE$10,12,19)))))</f>
        <v>19</v>
      </c>
      <c r="GS73" s="55">
        <f>IF(Исходн.данные.!G73="Пес",0.035*(40+2*Исходн.данные.!H73),IF(Исходн.данные.!G73="Суп",0.0325*(40+2*Исходн.данные.!H73),0.03*(40+2*Исходн.данные.!H73)))</f>
        <v>1.2</v>
      </c>
      <c r="GT73" s="55">
        <f>IF(Исходн.данные.!H73&lt;23,2.6,IF(AND(Исходн.данные.!H73&gt;22,Исходн.данные.!H73&lt;26),3,IF(AND(Исходн.данные.!H73&gt;25,Исходн.данные.!H73&lt;29),3.4,3.6)))</f>
        <v>2.6</v>
      </c>
      <c r="GU73" s="55">
        <f>IF(Исходн.данные.!H73&lt;23,2.8,IF(AND(Исходн.данные.!H73&gt;22,Исходн.данные.!H73&lt;26),3.2,IF(AND(Исходн.данные.!H73&gt;25,Исходн.данные.!H73&lt;29),3.6,3.9)))</f>
        <v>2.8</v>
      </c>
      <c r="GV73" s="55">
        <f>IF(Исходн.данные.!H73&lt;23,3,IF(AND(Исходн.данные.!H73&gt;22,Исходн.данные.!H73&lt;26),3.5,IF(AND(Исходн.данные.!H73&gt;25,Исходн.данные.!H73&lt;29),3.9,4.2)))</f>
        <v>3</v>
      </c>
      <c r="GW73" s="55" t="e">
        <f>IF(Исходн.данные.!P73="Ум",GX73,GY73)</f>
        <v>#N/A</v>
      </c>
      <c r="GX73" s="55" t="e">
        <f>VLOOKUP(Исходн.данные.!AI73,Коэффициенты!$J$7:$L$13,2,FALSE)</f>
        <v>#N/A</v>
      </c>
      <c r="GY73" s="55" t="e">
        <f>VLOOKUP(Исходн.данные.!AI73,Коэффициенты!$J$7:$L$13,3,FALSE)</f>
        <v>#N/A</v>
      </c>
      <c r="GZ73" s="55" t="e">
        <f>(IF(Исходн.данные.!M73&lt;50,0.11*VLOOKUP(Исходн.данные.!AH73,Культуры.Информация,7,FALSE),IF(Исходн.данные.!M73&gt;250,0.05*VLOOKUP(Исходн.данные.!AH73,Культуры.Информация,7,FALSE),VLOOKUP(Исходн.данные.!AH73,Культуры.Информация,5,FALSE)/100*($GX$6+$GY$6*Исходн.данные.!M73))))*Расчет2!AI73</f>
        <v>#N/A</v>
      </c>
      <c r="HA73" s="211"/>
      <c r="HB73" s="211"/>
      <c r="HC73" s="55" t="e">
        <f>(IF(Исходн.данные.!O73&lt;80,0.2*VLOOKUP(Исходн.данные.!AH73,Культуры.Информация,8,FALSE),IF(Исходн.данные.!O73&gt;240,0.09*VLOOKUP(Исходн.данные.!AH73,Культуры.Информация,8,FALSE),VLOOKUP(Исходн.данные.!AH73,Культуры.Информация,6,FALSE)/100*($HB$6+$HC$6*Исходн.данные.!O73))))*Расчет2!AJ73</f>
        <v>#N/A</v>
      </c>
      <c r="HD73" s="55">
        <f>IF(Исходн.данные.!O73&gt;240,0.09,IF(Исходн.данные.!O73&lt;30,0.3,$HE$10+$HD$10*Исходн.данные.!O73))</f>
        <v>0.3</v>
      </c>
      <c r="HE73" s="55">
        <f>IF(Исходн.данные.!O73&gt;240,0.17,IF(Исходн.данные.!O73&lt;30,0.5,$HF$12+$HE$12*Исходн.данные.!O73))</f>
        <v>0.5</v>
      </c>
      <c r="HF73" s="55" t="e">
        <f>VLOOKUP(Исходн.данные.!AH73,Справ!$A$3:$D$58,2,FALSE)</f>
        <v>#N/A</v>
      </c>
      <c r="HG73" s="55" t="e">
        <f>VLOOKUP(Исходн.данные.!AH73,Справ!$A$3:$D$58,3,FALSE)</f>
        <v>#N/A</v>
      </c>
      <c r="HH73" s="55" t="e">
        <f>VLOOKUP(Исходн.данные.!AH73,Справ!$A$3:$D$58,4,FALSE)</f>
        <v>#N/A</v>
      </c>
      <c r="HI73" s="11" t="e">
        <f t="shared" si="117"/>
        <v>#N/A</v>
      </c>
      <c r="HJ73" s="11" t="e">
        <f t="shared" si="118"/>
        <v>#N/A</v>
      </c>
      <c r="HK73" s="11" t="e">
        <f t="shared" si="119"/>
        <v>#N/A</v>
      </c>
      <c r="HL73" s="55">
        <f>IF(OR(Исходн.данные.!G73="Глин",Исходн.данные.!G73="Т_суг"),1.1,IF(Исходн.данные.!G73="Ср_суг",1,1))</f>
        <v>1</v>
      </c>
      <c r="HM73" s="55">
        <f>IF(OR(Исходн.данные.!G73="Глин",Исходн.данные.!G73="Т_суг"),0.9,IF(Исходн.данные.!G73="Ср_суг",1,1.2))</f>
        <v>1.2</v>
      </c>
      <c r="HN73" s="11" t="e">
        <f t="shared" si="120"/>
        <v>#N/A</v>
      </c>
      <c r="HO73" s="11" t="e">
        <f t="shared" si="121"/>
        <v>#N/A</v>
      </c>
      <c r="HP73" s="11" t="e">
        <f t="shared" si="122"/>
        <v>#N/A</v>
      </c>
      <c r="HQ73" t="e">
        <f t="shared" si="123"/>
        <v>#N/A</v>
      </c>
      <c r="HR73" t="e">
        <f t="shared" si="124"/>
        <v>#N/A</v>
      </c>
      <c r="HS73" t="e">
        <f t="shared" si="125"/>
        <v>#N/A</v>
      </c>
      <c r="HT73" t="e">
        <f t="shared" si="21"/>
        <v>#N/A</v>
      </c>
      <c r="HU73" t="e">
        <f t="shared" si="22"/>
        <v>#N/A</v>
      </c>
      <c r="HV73" t="e">
        <f t="shared" si="23"/>
        <v>#N/A</v>
      </c>
      <c r="HW73" t="e">
        <f t="shared" si="24"/>
        <v>#N/A</v>
      </c>
      <c r="HX73" t="e">
        <f t="shared" si="25"/>
        <v>#N/A</v>
      </c>
      <c r="HY73" t="e">
        <f t="shared" si="26"/>
        <v>#N/A</v>
      </c>
      <c r="HZ73" s="55">
        <f>IF(OR(Исходн.данные.!AI73="Оз_Ч_П",Исходн.данные.!AI73="Оз_З_П",Исходн.данные.!AI73="Яр_зер"),12,30)</f>
        <v>30</v>
      </c>
      <c r="IA73" t="e">
        <f t="shared" si="126"/>
        <v>#N/A</v>
      </c>
      <c r="IB73" t="e">
        <f t="shared" si="127"/>
        <v>#N/A</v>
      </c>
      <c r="IC73" t="e">
        <f t="shared" si="128"/>
        <v>#N/A</v>
      </c>
      <c r="ID73" s="11" t="e">
        <f t="shared" si="129"/>
        <v>#N/A</v>
      </c>
      <c r="IE73" s="11" t="e">
        <f t="shared" si="130"/>
        <v>#N/A</v>
      </c>
      <c r="IF73" s="11" t="e">
        <f t="shared" si="131"/>
        <v>#N/A</v>
      </c>
    </row>
    <row r="74" spans="35:240" x14ac:dyDescent="0.2">
      <c r="AI74">
        <f>IF(Исходн.данные.!I74&gt;6,1,1.85-(0.148*Исходн.данные.!I74))</f>
        <v>1.85</v>
      </c>
      <c r="AJ74">
        <f>IF(Исходн.данные.!I74&gt;6,1,2.434-(0.246*Исходн.данные.!I74))</f>
        <v>2.4340000000000002</v>
      </c>
      <c r="AL74" s="148" t="b">
        <f>IF(Исходн.данные.!$P74="Ум",N_OrgUd_2g_um,IF(Исходн.данные.!$P74="Об",N_OrgUd_2g_ob))</f>
        <v>0</v>
      </c>
      <c r="AM74" s="148" t="b">
        <f>IF(Исходн.данные.!$P74="Ум",P_OrgUd_2g_um,IF(Исходн.данные.!$P74="Об",P_OrgUd_2g_ob))</f>
        <v>0</v>
      </c>
      <c r="AN74" s="148" t="b">
        <f>IF(Исходн.данные.!$P74="Ум",K_OrgUd_2g_um,IF(Исходн.данные.!$P74="Об",K_OrgUd_2g_ob))</f>
        <v>0</v>
      </c>
      <c r="AO74" s="148" t="b">
        <f>IF(Исходн.данные.!$P74="Ум",N_OrgUd_1g_um,IF(Исходн.данные.!$P74="Об",N_OrgUd_1g_ob))</f>
        <v>0</v>
      </c>
      <c r="AP74" s="148" t="b">
        <f>IF(Исходн.данные.!$P74="Ум",P_OrgUd_1g_um,IF(Исходн.данные.!$P74="Об",P_OrgUd_1g_ob))</f>
        <v>0</v>
      </c>
      <c r="AQ74" s="148" t="b">
        <f>IF(Исходн.данные.!$P74="Ум",K_OrgUd_1g_um,IF(Исходн.данные.!$P74="Об",K_OrgUd_1g_ob))</f>
        <v>0</v>
      </c>
      <c r="AR74" t="b">
        <f>IF(Исходн.данные.!$P74="Ум",N_MinUd_2g_um,IF(Исходн.данные.!$P74="Об",N_MinUd_2g_ob))</f>
        <v>0</v>
      </c>
      <c r="AS74" t="b">
        <f>IF(Исходн.данные.!$P74="Ум",P_MinUd_2g_um,IF(Исходн.данные.!$P74="Об",P_MinUd_2g_ob))</f>
        <v>0</v>
      </c>
      <c r="AT74" t="b">
        <f>IF(Исходн.данные.!$P74="Ум",K_MinUd_2g_um,IF(Исходн.данные.!$P74="Об",K_MinUd_2g_ob))</f>
        <v>0</v>
      </c>
      <c r="AU74" t="b">
        <f>IF(Исходн.данные.!$P74="Ум",N_MinUd_1g_um,IF(Исходн.данные.!$P74="Об",N_MinUd_1g_ob))</f>
        <v>0</v>
      </c>
      <c r="AV74" t="b">
        <f>IF(Исходн.данные.!P74="Ум",P_MinUd_1g_um,IF(Исходн.данные.!P74="Об",P_MinUd_1g_ob))</f>
        <v>0</v>
      </c>
      <c r="AW74" t="b">
        <f>IF(Исходн.данные.!P74="Ум",K_MinUd_1g_um,IF(Исходн.данные.!P74="Об",K_MinUd_1g_ob))</f>
        <v>0</v>
      </c>
      <c r="AY74" t="e">
        <f>VLOOKUP(Исходн.данные.!T74,Справ!$A$3:$N$57,12)</f>
        <v>#N/A</v>
      </c>
      <c r="AZ74" t="e">
        <f>VLOOKUP(Исходн.данные.!T74,Справ!$A$3:$N$57,13)</f>
        <v>#N/A</v>
      </c>
      <c r="BA74" t="e">
        <f>VLOOKUP(Исходн.данные.!T74,Справ!$A$3:$N$57,14)</f>
        <v>#N/A</v>
      </c>
      <c r="BB74">
        <f>IF(Исходн.данные.!AH74=0,0,25)</f>
        <v>0</v>
      </c>
      <c r="BC74" s="141">
        <f>IF(Исходн.данные.!AH74=0,0,IF(Исходн.данные.!T74=0,25,BD74))</f>
        <v>0</v>
      </c>
      <c r="BD74" s="168" t="e">
        <f>AY74+AZ74*Исходн.данные.!U74-POWER(BA74,2)*Исходн.данные.!U74</f>
        <v>#N/A</v>
      </c>
      <c r="BE7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4" s="25">
        <f>IF(Исходн.данные.!AH74=0,0,MIN(HN74:HP74))</f>
        <v>0</v>
      </c>
      <c r="BG74" s="9">
        <f>IF(Исходн.данные.!AH74=0,0,IF((HO74+10*0.25/HG74/HL74)&lt;17,17,HO74+10*0.25/HG74/HL74))</f>
        <v>0</v>
      </c>
      <c r="BH74" s="181">
        <f>IF(Исходн.данные.!AH74=0,0,HW74*HF74*HL74/AU74*AI74+Исходн.данные.!S74*10)</f>
        <v>0</v>
      </c>
      <c r="BI74" s="10"/>
      <c r="BJ74" s="182">
        <f>IF(Исходн.данные.!AH74=0,0,IF(HX74*HG74*HL74/AV74&lt;0,0,HX74*HG74*HL74/AV74*AJ74))</f>
        <v>0</v>
      </c>
      <c r="BK74" s="182">
        <f>IF(Исходн.данные.!AH74=0,0,HY74*HH74*HM74/AW74)</f>
        <v>0</v>
      </c>
      <c r="BL74" s="10">
        <f>IF(OR(Исходн.данные.!$AH74=$BP$1,Исходн.данные.!$AH74=$BP$2),0,IF(BH74&lt;0,0,IF(OR(Исходн.данные.!T74=Расчет!$BP$1,Исходн.данные.!T74=Расчет!$BP$2,Исходн.данные.!T74=Расчет!$BT$5,Исходн.данные.!T74=Расчет!$BT$6),BH74*0.5,IF(OR(Исходн.данные.!T74=Расчет!$BS$9,Исходн.данные.!T74=Расчет!$BS$10,Исходн.данные.!T74=Расчет!$BS$11,Исходн.данные.!T74=Расчет!$BS$12,Исходн.данные.!T74=Расчет!$BP$5),BH74*0.8,BH74))))</f>
        <v>0</v>
      </c>
      <c r="BM74" s="10">
        <f>IF(OR(Исходн.данные.!$AH74=$BP$1,Исходн.данные.!$AH74=$BP$2),0,IF(BJ74&lt;0,0,IF(Исходн.данные.!I74&lt;4.5,BJ74*1.2,IF(Исходн.данные.!I74&gt;5.1,BJ74,BJ74*((5.1-Исходн.данные.!I74)*0.333+1)))))</f>
        <v>0</v>
      </c>
      <c r="BN74" s="10">
        <f>IF(OR(Исходн.данные.!$AH74=$BP$1,Исходн.данные.!$AH74=$BP$2),60-Исходн.данные.!AF74,IF(BK74&lt;0,0,IF(Исходн.данные.!I74&lt;4.5,BK74*1.2,IF(Исходн.данные.!I74&gt;5.1,BK74,BK74*((5.1-Исходн.данные.!I74)*0.333+1)))))</f>
        <v>0</v>
      </c>
      <c r="BO74" s="9">
        <f>IF(BL74&lt;0,0,BL74*Исходн.данные.!$AJ74/1000)</f>
        <v>0</v>
      </c>
      <c r="BP74" s="9">
        <f>IF(BM74&lt;0,0,BM74*Исходн.данные.!$AJ74/1000)</f>
        <v>0</v>
      </c>
      <c r="BQ74" s="9">
        <f>IF(BN74&lt;0,0,BN74*Исходн.данные.!$AJ74/1000)</f>
        <v>0</v>
      </c>
      <c r="BR74" s="9">
        <f t="shared" si="81"/>
        <v>0</v>
      </c>
      <c r="BS74" s="10" t="str">
        <f t="shared" si="82"/>
        <v>Аммофос 12:52:00</v>
      </c>
      <c r="BT74" s="10" t="str">
        <f t="shared" si="83"/>
        <v>Аммофос 12:52:00</v>
      </c>
      <c r="BU74" s="10" t="str">
        <f t="shared" si="84"/>
        <v>Диаммофоска</v>
      </c>
      <c r="BV74" s="10">
        <f t="shared" si="85"/>
        <v>0</v>
      </c>
      <c r="BW74" s="10"/>
      <c r="BX74" s="10"/>
      <c r="BY74" s="9">
        <f>IF(BL74&lt;0,0,IF(OR(Исходн.данные.!AI74=Расчет!$BU$6,Исходн.данные.!AI74=Расчет!$BU$7),Расчет!BV74,IF(Исходн.данные.!$AG74=$BV$11,BL74,IF(OR(Исходн.данные.!$AH74=$BQ$7,Исходн.данные.!$AH74=$BQ$8),CB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0,IF(Исходн.данные.!$AI74=$BU$11,"Нет",IF(BL74&gt;30,30,BL74)))))))</f>
        <v>0</v>
      </c>
      <c r="BZ74" s="9">
        <f>IF(AND(Исходн.данные.!$AG74=$BV$11,BM74&lt;10),10,IF(Исходн.данные.!$AG74=$BV$11,BM74,IF(OR(Исходн.данные.!$AH74=$BQ$7,Исходн.данные.!$AH74=$BQ$8),CC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10,IF(Исходн.данные.!$AI74=$BU$11,"Нет",IF(BM74&gt;60,60,IF(BM74&lt;10,10,BM74)))))))</f>
        <v>10</v>
      </c>
      <c r="CA74" s="39">
        <f>IF(BN74&lt;0,0,IF(Исходн.данные.!$AG74=$BV$11,BN74,IF(OR(Исходн.данные.!$AH74=$BQ$7,Исходн.данные.!$AH74=$BQ$8),CD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0,IF(Исходн.данные.!$AI74=$BU$11,"Нет",IF(BN74&gt;30,30,BN74))))))</f>
        <v>0</v>
      </c>
      <c r="CB74" s="9">
        <f t="shared" si="86"/>
        <v>0</v>
      </c>
      <c r="CC74" s="9">
        <f t="shared" si="87"/>
        <v>0</v>
      </c>
      <c r="CD74" s="9">
        <f t="shared" si="88"/>
        <v>0</v>
      </c>
      <c r="CE74" s="12">
        <f t="shared" si="89"/>
        <v>10</v>
      </c>
      <c r="CF74" s="9">
        <f t="shared" si="90"/>
        <v>0</v>
      </c>
      <c r="CG74" s="9" t="s">
        <v>231</v>
      </c>
      <c r="CH74" s="132" t="str">
        <f>IF(Исходн.данные.!AP74=Расчет!$CI$16,"Нет",IF(Исходн.данные.!AL74&gt;0,Исходн.данные.!AL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BH$4,IF(OR(Исходн.данные.!AI74=Исходн.данные.!$AI$6,Исходн.данные.!AI74=Исходн.данные.!$AI$7),Расчет!BS74,IF(AND($CF74=0,$CE74&gt;0),EV74,ER74)))))</f>
        <v>Аммофос 12:52:00</v>
      </c>
      <c r="CI74" s="274">
        <f>IF(Расчет!$CH74="Нет","Нет",IF(Исходн.данные.!$AL74&gt;0,VLOOKUP(Расчет!$CH74,АшламаДВ_Irekle,2,FALSE),VLOOKUP(Расчет!$CH74,АшламаДВ_Gomumy,2,FALSE)))</f>
        <v>0.12</v>
      </c>
      <c r="CJ74" s="274">
        <f>IF(Расчет!$CH74="Нет","Нет",IF(Исходн.данные.!$AL74&gt;0,VLOOKUP(Расчет!$CH74,АшламаДВ_Irekle,3,FALSE),VLOOKUP(Расчет!$CH74,АшламаДВ_Gomumy,3,FALSE)))</f>
        <v>0.52</v>
      </c>
      <c r="CK74" s="274">
        <f>IF(Расчет!$CH74="Нет","Нет",IF(Исходн.данные.!$AL74&gt;0,VLOOKUP(Расчет!$CH74,АшламаДВ_Irekle,4,FALSE),VLOOKUP(Расчет!$CH74,АшламаДВ_Gomumy,4,FALSE)))</f>
        <v>0</v>
      </c>
      <c r="CL74" s="70"/>
      <c r="CM74" s="70"/>
      <c r="CN74" s="70"/>
      <c r="CO74" s="70"/>
      <c r="CP74" s="70"/>
      <c r="CQ74" s="70"/>
      <c r="CR74" s="10">
        <f t="shared" si="91"/>
        <v>0</v>
      </c>
      <c r="CS74" s="10">
        <f t="shared" si="92"/>
        <v>19.23076923076923</v>
      </c>
      <c r="CT74" s="10">
        <f t="shared" si="93"/>
        <v>0</v>
      </c>
      <c r="CU74" s="39">
        <f>IF($CH74="Нет",0,IF(CI74=0,30/MIN(CJ74:CK74),IF(Исходн.данные.!$AG74=$BV$11,CR74,IF(OR(Исходн.данные.!$AH74=$BQ$7,Исходн.данные.!$AH74=$BQ$8),90/CI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0,IF(Исходн.данные.!$AI74=$BU$11,"Нет",30/CI74))))))</f>
        <v>250</v>
      </c>
      <c r="CV74" s="39">
        <f>IF($CH74="Нет",0,IF(Исходн.данные.!AH74=0,0,IF(CJ74=0,60/MIN(CI74,CK74),IF(Исходн.данные.!$AG74=$BV$11,CS74,IF(OR(Исходн.данные.!$AH74=$BQ$7,Исходн.данные.!$AH74=$BQ$8),90/CJ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10/CJ74,IF(Исходн.данные.!$AI74=$BU$11,"Нет",60/CJ74)))))))</f>
        <v>0</v>
      </c>
      <c r="CW74" s="39">
        <f>IF($CH74="Нет",0,IF(Исходн.данные.!AH74=0,0,IF(CK74=0,30/MIN(CI74:CJ74),IF(Исходн.данные.!$AG74=$BV$11,CT74,IF(OR(Исходн.данные.!$AH74=$BQ$7,Исходн.данные.!$AH74=$BQ$8),90/CK74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0,IF(Исходн.данные.!$AI74=$BU$11,"Нет",30/CK74)))))))</f>
        <v>0</v>
      </c>
      <c r="CX74" s="133">
        <f>IF(Исходн.данные.!$AG74=$BV$11,MAX(CU74:CW74),IF(OR(Исходн.данные.!$AH74=$BS$8,Исходн.данные.!$AH74=$BQ$9,Исходн.данные.!$AH74=$BQ$10,Исходн.данные.!$AH74=$BQ$11,Исходн.данные.!$AH74=$BQ$12,Исходн.данные.!$AH74=$BP$3,Исходн.данные.!$AH74=$BT$8,$FM74="Да"),CV74,MIN(CU74:CW74)))</f>
        <v>0</v>
      </c>
      <c r="CY74" s="133">
        <f>IF(Исходн.данные.!AH74=0,0,IF(CR74&gt;$CX74,$CX74,CR74))</f>
        <v>0</v>
      </c>
      <c r="CZ74" s="133">
        <f>IF(Исходн.данные.!AH74=0,0,IF(CS74&gt;$CX74,$CX74,CS74))</f>
        <v>0</v>
      </c>
      <c r="DA74" s="133">
        <f>IF(Исходн.данные.!AH74=0,0,IF(CT74&gt;$CX74,$CX74,CT74))</f>
        <v>0</v>
      </c>
      <c r="DB74" s="10">
        <f t="shared" si="94"/>
        <v>0</v>
      </c>
      <c r="DC74" s="39">
        <f>DB74*Исходн.данные.!AJ74/1000</f>
        <v>0</v>
      </c>
      <c r="DD74" s="71">
        <f t="shared" si="95"/>
        <v>0</v>
      </c>
      <c r="DE74" s="9">
        <f t="shared" si="96"/>
        <v>0</v>
      </c>
      <c r="DF74" s="9">
        <f t="shared" si="97"/>
        <v>0</v>
      </c>
      <c r="DG74" s="39">
        <f>IF(BL74&lt;0,0,IF($CH74="Нет",BL74,IF(OR(Исходн.данные.!$AH74=$BP$1,Исходн.данные.!$AH74=$BP$2),0,IF(Исходн.данные.!AI74=$BU$11,BL74,IF(BL74-DD74&lt;0,0,BL74-DD74)))))</f>
        <v>0</v>
      </c>
      <c r="DH74" s="39">
        <f>IF(BM74&lt;0,0,IF($CH74="Нет",BM74,IF(OR(Исходн.данные.!$AH74=$BP$1,Исходн.данные.!$AH74=$BP$2),0,IF(Исходн.данные.!AJ74=$BU$11,BM74,IF(BM74-DE74&lt;0,0,BM74-DE74)))))</f>
        <v>0</v>
      </c>
      <c r="DI74" s="39">
        <f>IF(BN74&lt;0,0,IF($CH74="Нет",BN74,IF(OR(Исходн.данные.!$AH74=$BP$1,Исходн.данные.!$AH74=$BP$2),0,IF(Исходн.данные.!AK74=$BU$11,BN74,IF(BN74-DF74&lt;0,0,BN74-DF74)))))</f>
        <v>0</v>
      </c>
      <c r="DJ74" s="12">
        <f t="shared" si="98"/>
        <v>0</v>
      </c>
      <c r="DK74" s="9">
        <f t="shared" si="99"/>
        <v>0</v>
      </c>
      <c r="DL74" s="39">
        <f>IF(Исходн.данные.!AM74&gt;0,Исходн.данные.!AM74,IF(EG74&gt;0,$BH$10,0))</f>
        <v>0</v>
      </c>
      <c r="DM74" s="186">
        <f>IF($DL74=0,0,IF(Исходн.данные.!AM74&gt;0,VLOOKUP($DL74,АшламаДВ_Irekle,2,FALSE),VLOOKUP($DL74,АшламаДВ_Gomumy,2,FALSE)))</f>
        <v>0</v>
      </c>
      <c r="DN74" s="10">
        <f t="shared" si="46"/>
        <v>0</v>
      </c>
      <c r="DO74" s="9" t="str">
        <f>IF(Исходн.данные.!AN74&gt;0,Исходн.данные.!AN74,Удобрения!$B$37 )</f>
        <v>Хлор.калий</v>
      </c>
      <c r="DP74" s="9">
        <f>IF(Исходн.данные.!AN74&gt;0,VLOOKUP(Исходн.данные.!AN74,АшламаДВ_Irekle,4,FALSE),VLOOKUP(DO74,АшламаДВ_Gomumy,4,FALSE))</f>
        <v>0.6</v>
      </c>
      <c r="DQ74" s="10">
        <f t="shared" si="47"/>
        <v>0</v>
      </c>
      <c r="DR74" s="132" t="str">
        <f>IF(Исходн.данные.!AO74&gt;0,Исходн.данные.!AO74,IF(DH74=0,BS$17,IF(AND($DK74=0,$DJ74&gt;0),EJ74,EN74)))</f>
        <v>Нет</v>
      </c>
      <c r="DS74" s="70" t="str">
        <f>IF($DR74="Нет","Нет",IF(Исходн.данные.!$AO74&gt;0,VLOOKUP($DR74,АшламаДВ_Irekle,2,FALSE),VLOOKUP($DR74,АшламаДВ_Gomumy,2,FALSE)))</f>
        <v>Нет</v>
      </c>
      <c r="DT74" s="70" t="str">
        <f>IF($DR74="Нет","Нет",IF(Исходн.данные.!$AO74&gt;0,VLOOKUP($DR74,АшламаДВ_Irekle,3,FALSE),VLOOKUP($DR74,АшламаДВ_Gomumy,3,FALSE)))</f>
        <v>Нет</v>
      </c>
      <c r="DU74" s="70" t="str">
        <f>IF($DR74="Нет","Нет",IF(Исходн.данные.!$AO74&gt;0,VLOOKUP($DR74,АшламаДВ_Irekle,4,FALSE),VLOOKUP($DR74,АшламаДВ_Gomumy,4,FALSE)))</f>
        <v>Нет</v>
      </c>
      <c r="DV74" s="70"/>
      <c r="DW74" s="70"/>
      <c r="DX74" s="70"/>
      <c r="DY74" s="10">
        <f t="shared" si="100"/>
        <v>0</v>
      </c>
      <c r="DZ74" s="10">
        <f t="shared" si="101"/>
        <v>0</v>
      </c>
      <c r="EA74" s="10">
        <f t="shared" si="102"/>
        <v>0</v>
      </c>
      <c r="EB74" s="10">
        <f t="shared" si="103"/>
        <v>0</v>
      </c>
      <c r="EC74" s="10">
        <f t="shared" si="104"/>
        <v>0</v>
      </c>
      <c r="ED74" s="10">
        <f t="shared" si="105"/>
        <v>0</v>
      </c>
      <c r="EE74" s="10">
        <f t="shared" si="106"/>
        <v>0</v>
      </c>
      <c r="EF74" s="39">
        <f>EB74*Исходн.данные.!AJ74/1000</f>
        <v>0</v>
      </c>
      <c r="EG74" s="9">
        <f t="shared" si="107"/>
        <v>0</v>
      </c>
      <c r="EH74" s="9">
        <f t="shared" si="108"/>
        <v>0</v>
      </c>
      <c r="EI74" s="39" t="e">
        <f t="shared" si="7"/>
        <v>#DIV/0!</v>
      </c>
      <c r="EJ74" s="9" t="str">
        <f t="shared" si="8"/>
        <v>Азопреципитат</v>
      </c>
      <c r="EK74" s="12">
        <f t="shared" si="9"/>
        <v>0.26</v>
      </c>
      <c r="EL74" s="12">
        <f t="shared" si="10"/>
        <v>0.13</v>
      </c>
      <c r="EM74" s="12">
        <f t="shared" si="11"/>
        <v>0</v>
      </c>
      <c r="EN74" s="12" t="str">
        <f t="shared" si="57"/>
        <v>Нет</v>
      </c>
      <c r="EO74" s="12">
        <f t="shared" si="12"/>
        <v>0</v>
      </c>
      <c r="EP74" s="12">
        <f t="shared" si="13"/>
        <v>0</v>
      </c>
      <c r="EQ74" s="12">
        <f t="shared" si="14"/>
        <v>0</v>
      </c>
      <c r="ER74" s="12" t="str">
        <f t="shared" si="109"/>
        <v>Диаммофоска</v>
      </c>
      <c r="ES74" s="12">
        <f t="shared" si="15"/>
        <v>0.1</v>
      </c>
      <c r="ET74" s="12">
        <f t="shared" si="16"/>
        <v>0.26</v>
      </c>
      <c r="EU74" s="12">
        <f t="shared" si="17"/>
        <v>0.26</v>
      </c>
      <c r="EV74" s="12" t="str">
        <f t="shared" si="110"/>
        <v>Аммофос 12:52:00</v>
      </c>
      <c r="EW74" s="12" t="str">
        <f t="shared" si="111"/>
        <v>Кемира Свекловичное-6</v>
      </c>
      <c r="EX74" s="12">
        <f t="shared" si="18"/>
        <v>0.16</v>
      </c>
      <c r="EY74" s="12">
        <f t="shared" si="19"/>
        <v>0.12</v>
      </c>
      <c r="EZ74" s="12">
        <f t="shared" si="20"/>
        <v>0.17</v>
      </c>
      <c r="FA74" s="38" t="e">
        <f>IF(AND(OR(FJ74=$FD$1,FM74=$FD$1,FO74=$FD$1,FQ74=$FD$1,FS74=$FD$1),FD74=$FD$1,Исходн.данные.!J74&lt;2,FU74=$FD$1),"Бор,Кобальт",IF(AND(FO74=$FD$1,FH74=$FD$1,Исходн.данные.!J74&lt;2,FU74=$FD$1),"Бор,Кобальт",IF(AND(OR(FJ74=$FD$1,FM74=$FD$1,FQ74=$FD$1),FE74=$FD$1,Исходн.данные.!J74&lt;2,FT74=$FD$1,FU74=$FD$1),"Бор,Медь,Цинк",IF(AND(OR(FJ74=$FD$1,FR74="Да"),FI74="Да",Исходн.данные.!J74&lt;2,FT74="Да",FU74="Да"),"Бор,Цинк,Медь",IF(AND(OR(FM74="Да",FQ74="Да"),FI74="Да",Исходн.данные.!J74&lt;2,FT74="Да",FU74="Да"),"Бор,Цинк",IF(AND(FN74="Да",OR(FD74="Да",FE74="Да")),"Бор",FB74))))))</f>
        <v>#N/A</v>
      </c>
      <c r="FB74" s="134" t="e">
        <f>IF(AND(OR(FD74="Да",FE74="Да",FF74="Да",FG74="Да",FH74="Да"),FO74="Да"),"Бор",IF(AND(FP74="Да",OR(FD74="Да",FE74="Да",FI74="Да")),"Бор",IF(AND(FS74="Да",FE74="Да"),"Бор,Медь",IF(AND(OR(FJ74="Да",FK74="Да",FL74="Да"),FE74="Да",Исходн.данные.!I74&lt;5,FT74="Да",FU74="Да"),"Молибден,Цинк",IF(AND(FM74="Да",OR(FE74="Да",FF74="Да",FG74="Да",FH74="Да",FI74="Да")),"Молибден,Цинк",IF(AND(OR(FJ74="Да",FK74="Да",FL74="Да",FM74="Да",FQ74="Да"),OR(FE74="Да",FF74="Да"),FT74="Да",FU74="Да",Исходн.данные.!I74&gt;5.5),"Медь,Цинк",FC74))))))</f>
        <v>#N/A</v>
      </c>
      <c r="FC74" s="23" t="e">
        <f t="shared" si="112"/>
        <v>#N/A</v>
      </c>
      <c r="FD74" s="38" t="str">
        <f>IF(OR(Исходн.данные.!F74=$CC$1,Исходн.данные.!F74=$CC$2,Исходн.данные.!F74=$CC$3,Исходн.данные.!F74=$CC$4),"Да","Нет")</f>
        <v>Нет</v>
      </c>
      <c r="FE74" s="38" t="str">
        <f>IF(Исходн.данные.!F74=$CC$5,"Да","Нет")</f>
        <v>Нет</v>
      </c>
      <c r="FF74" s="38" t="str">
        <f>IF(OR(Исходн.данные.!F74=$CC$6,Исходн.данные.!F74=$CC$7),"Да","Нет")</f>
        <v>Нет</v>
      </c>
      <c r="FG74" s="38" t="str">
        <f>IF(OR(Исходн.данные.!F74=$CC$8,Исходн.данные.!F74=$CC$9),"Да","Нет")</f>
        <v>Нет</v>
      </c>
      <c r="FH74" s="38" t="str">
        <f>IF(Исходн.данные.!F74=$CC$10,"Да","Нет")</f>
        <v>Нет</v>
      </c>
      <c r="FI74" s="38" t="str">
        <f>IF(OR(Исходн.данные.!F74=$CC$11,Исходн.данные.!F74=$CC$12),"Да","Нет")</f>
        <v>Нет</v>
      </c>
      <c r="FJ74" s="38" t="str">
        <f>IF(OR(Исходн.данные.!AH74=$BS$1,Исходн.данные.!AH74=$BQ$11,Исходн.данные.!AH74=$BQ$12),"Да","Нет")</f>
        <v>Нет</v>
      </c>
      <c r="FK74" s="38" t="str">
        <f>IF(OR(Исходн.данные.!AH74=$BS$2,Исходн.данные.!AH74=$BS$4),"Да","Нет")</f>
        <v>Нет</v>
      </c>
      <c r="FL74" s="38" t="str">
        <f>IF(OR(Исходн.данные.!AH74=$BS$3,Исходн.данные.!AH74=$BS$5),"Да","Нет")</f>
        <v>Нет</v>
      </c>
      <c r="FM74" s="38" t="str">
        <f>IF(OR(Исходн.данные.!AH74=$BS$9,Исходн.данные.!AH74=$BS$10,Исходн.данные.!AH74=$BS$11,Исходн.данные.!AH74=$BS$12),"Да","Нет")</f>
        <v>Нет</v>
      </c>
      <c r="FN74" s="38" t="str">
        <f>IF(OR(Исходн.данные.!AH74=$BS$6,Исходн.данные.!AH74=$BP$3),"Да","Нет")</f>
        <v>Нет</v>
      </c>
      <c r="FO74" s="38" t="str">
        <f>IF(Исходн.данные.!AH74=$BQ$9,"Да","Нет")</f>
        <v>Нет</v>
      </c>
      <c r="FP74" s="38" t="str">
        <f>IF(OR(Исходн.данные.!AH74=$BS$8,Исходн.данные.!AH74=$BT$8),"Да","Нет")</f>
        <v>Нет</v>
      </c>
      <c r="FQ74" s="38" t="str">
        <f>IF(OR(Исходн.данные.!AH74=$BQ$7,Исходн.данные.!AH74=$BQ$8),"Да","Нет")</f>
        <v>Нет</v>
      </c>
      <c r="FR74" s="38" t="str">
        <f>IF(Исходн.данные.!AI74=$BU$9,"Да","Нет")</f>
        <v>Нет</v>
      </c>
      <c r="FS74" s="38" t="str">
        <f>IF(OR(Исходн.данные.!AH74=$BP$1,Исходн.данные.!AH74=$BP$2),"Да","Нет")</f>
        <v>Нет</v>
      </c>
      <c r="FT74" s="38" t="e">
        <f>IF((Исходн.данные.!K74*GO74*GS74*GW74+BL74*0.6+Исходн.данные.!Q74*4.5*0.275)&gt;90,"Да","Нет")</f>
        <v>#N/A</v>
      </c>
      <c r="FU74" s="38" t="e">
        <f>IF((Исходн.данные.!M74*GS74*GZ74+BM74*0.225)&gt;35,"Да","Нет")</f>
        <v>#N/A</v>
      </c>
      <c r="FV74" s="38" t="str">
        <f>IF(Исходн.данные.!O74&gt;175,"Да","Нет")</f>
        <v>Нет</v>
      </c>
      <c r="FW74" s="39" t="str">
        <f>IF(Исходн.данные.!I74&gt;5.5,"Да","Нет")</f>
        <v>Нет</v>
      </c>
      <c r="FX74" s="39" t="str">
        <f>IF(Исходн.данные.!J74&lt;2,"Да","Нет")</f>
        <v>Да</v>
      </c>
      <c r="FY74" s="39" t="e">
        <f>IF(HF74=$FY$16,0,Исходн.данные.!K74*GO74*GS74*GW74/HF74)</f>
        <v>#N/A</v>
      </c>
      <c r="FZ74" s="39" t="e">
        <f>Исходн.данные.!M74*GS74*GZ74/HG74</f>
        <v>#N/A</v>
      </c>
      <c r="GA74" s="39" t="e">
        <f>IF(K_Wyn=$FY$16,0,IF(Исходн.данные.!N74=Исходн.данные.!$L$10,Исходн.данные.!O74/1.1*GS74*HC74/HH74,IF(Исходн.данные.!N74=Исходн.данные.!$L$12,Исходн.данные.!O74/1.5*GS74*HC74/HH74,Исходн.данные.!O74*GS74*HC74/HH74)))</f>
        <v>#N/A</v>
      </c>
      <c r="GB74" s="39" t="e">
        <f>IF(HF74=$FY$16,0,((Исходн.данные.!Q74*N_Org+Исходн.данные.!R74*N_Sider+Исходн.данные.!S74*N_Soloma)*AO74+Расчет!BC74*VLOOKUP(Исходн.данные.!T74,Справ!$A$3:$O$57,15)*AO74+BB74*VLOOKUP(Исходн.данные.!T74,Справ!$A$3:$O$57,15)*AL74+(Исходн.данные.!V74*N_Rizotorf+Исходн.данные.!W74*N_Rizoagr))/HF74)</f>
        <v>#N/A</v>
      </c>
      <c r="GC74" s="39" t="e">
        <f>IF(HG74=$FY$16,0,((Исходн.данные.!Q74*Р_Org+Исходн.данные.!R74*P_Sider+Исходн.данные.!S74*P_Soloma)*AP74+Расчет!BC74*VLOOKUP(Исходн.данные.!T74,Справ!$A$3:$P$57,16)*AP74+BB74*VLOOKUP(Исходн.данные.!T74,Справ!$A$3:$P$57,16)*AM74)/HG74)</f>
        <v>#N/A</v>
      </c>
      <c r="GD74" s="39" t="e">
        <f>IF(HH74=$FY$16,0,((Исходн.данные.!Q74*К_Org+Исходн.данные.!R74*K_Sider+Исходн.данные.!S74*K_Soloma)*AQ74+Расчет!BC74*VLOOKUP(Исходн.данные.!T74,Справ!$A$3:$Q$57,17)*AQ74+BB74*VLOOKUP(Исходн.данные.!T74,Справ!$A$3:$Q$57,17)*AN74)/HH74)</f>
        <v>#N/A</v>
      </c>
      <c r="GE74" s="39" t="e">
        <f>IF(HF74=$FY$16,0,(Исходн.данные.!X74*AR74+Исходн.данные.!AA74*N_Org*AL74+Исходн.данные.!AB74*N_Sider*AL74+Исходн.данные.!AC74*N_Soloma*AL74)/HF74)</f>
        <v>#N/A</v>
      </c>
      <c r="GF74" s="39" t="e">
        <f>IF(HG74=$FY$16,0,(Исходн.данные.!Y74*AS74+Исходн.данные.!AA74*Р_Org*AM74+Исходн.данные.!AB74*P_Sider*AM74+Исходн.данные.!AC74*P_Soloma*AM74)/HG74)</f>
        <v>#N/A</v>
      </c>
      <c r="GG74" s="39" t="e">
        <f>IF(HH74=$FY$16,0,(Исходн.данные.!Z74*AT74+Исходн.данные.!AA74*К_Org*AN74+Исходн.данные.!AB74*K_Sider*AN74+Исходн.данные.!AC74*K_Soloma*AN74)/HH74)</f>
        <v>#N/A</v>
      </c>
      <c r="GH74" s="39" t="e">
        <f>Исходн.данные.!AD74*AU74/HF74</f>
        <v>#N/A</v>
      </c>
      <c r="GI74" s="39" t="e">
        <f>Исходн.данные.!AE74*AV74/HG74</f>
        <v>#N/A</v>
      </c>
      <c r="GJ74" s="39" t="e">
        <f>Исходн.данные.!AF74*AW74/HH74</f>
        <v>#N/A</v>
      </c>
      <c r="GK74" s="55">
        <f>Исходн.данные.!AK74</f>
        <v>0</v>
      </c>
      <c r="GL74" s="11" t="e">
        <f t="shared" si="113"/>
        <v>#N/A</v>
      </c>
      <c r="GM74" s="11" t="e">
        <f t="shared" si="114"/>
        <v>#N/A</v>
      </c>
      <c r="GN74" s="11" t="e">
        <f t="shared" si="115"/>
        <v>#N/A</v>
      </c>
      <c r="GO74" s="57">
        <f t="shared" si="116"/>
        <v>19</v>
      </c>
      <c r="GP74" s="55">
        <f>IF(OR(Исходн.данные.!F74=$CE$1,Исходн.данные.!F74=$CE$2,Исходн.данные.!F74=$CE$3,Исходн.данные.!F74=$CE$4,Исходн.данные.!F74=$CE$5),GQ74,GR74)</f>
        <v>19</v>
      </c>
      <c r="GQ74" s="55">
        <f>IF(Исходн.данные.!F74=$CE$1,28,IF(Исходн.данные.!F74=$CE$2,26,IF(Исходн.данные.!F74=$CE$3,24,IF(Исходн.данные.!F74=$CE$4,22,IF(Исходн.данные.!F74=$CE$5,20,GR74)))))</f>
        <v>19</v>
      </c>
      <c r="GR74" s="55">
        <f>IF(Исходн.данные.!F74=$CE$6,18,IF(Исходн.данные.!F74=$CE$7,16,IF(Исходн.данные.!F74=$CE$8,14,IF(Исходн.данные.!F74=$CE$9,13,IF(Исходн.данные.!F74=$CE$10,12,19)))))</f>
        <v>19</v>
      </c>
      <c r="GS74" s="55">
        <f>IF(Исходн.данные.!G74="Пес",0.035*(40+2*Исходн.данные.!H74),IF(Исходн.данные.!G74="Суп",0.0325*(40+2*Исходн.данные.!H74),0.03*(40+2*Исходн.данные.!H74)))</f>
        <v>1.2</v>
      </c>
      <c r="GT74" s="55">
        <f>IF(Исходн.данные.!H74&lt;23,2.6,IF(AND(Исходн.данные.!H74&gt;22,Исходн.данные.!H74&lt;26),3,IF(AND(Исходн.данные.!H74&gt;25,Исходн.данные.!H74&lt;29),3.4,3.6)))</f>
        <v>2.6</v>
      </c>
      <c r="GU74" s="55">
        <f>IF(Исходн.данные.!H74&lt;23,2.8,IF(AND(Исходн.данные.!H74&gt;22,Исходн.данные.!H74&lt;26),3.2,IF(AND(Исходн.данные.!H74&gt;25,Исходн.данные.!H74&lt;29),3.6,3.9)))</f>
        <v>2.8</v>
      </c>
      <c r="GV74" s="55">
        <f>IF(Исходн.данные.!H74&lt;23,3,IF(AND(Исходн.данные.!H74&gt;22,Исходн.данные.!H74&lt;26),3.5,IF(AND(Исходн.данные.!H74&gt;25,Исходн.данные.!H74&lt;29),3.9,4.2)))</f>
        <v>3</v>
      </c>
      <c r="GW74" s="55" t="e">
        <f>IF(Исходн.данные.!P74="Ум",GX74,GY74)</f>
        <v>#N/A</v>
      </c>
      <c r="GX74" s="55" t="e">
        <f>VLOOKUP(Исходн.данные.!AI74,Коэффициенты!$J$7:$L$13,2,FALSE)</f>
        <v>#N/A</v>
      </c>
      <c r="GY74" s="55" t="e">
        <f>VLOOKUP(Исходн.данные.!AI74,Коэффициенты!$J$7:$L$13,3,FALSE)</f>
        <v>#N/A</v>
      </c>
      <c r="GZ74" s="55" t="e">
        <f>(IF(Исходн.данные.!M74&lt;50,0.11*VLOOKUP(Исходн.данные.!AH74,Культуры.Информация,7,FALSE),IF(Исходн.данные.!M74&gt;250,0.05*VLOOKUP(Исходн.данные.!AH74,Культуры.Информация,7,FALSE),VLOOKUP(Исходн.данные.!AH74,Культуры.Информация,5,FALSE)/100*($GX$6+$GY$6*Исходн.данные.!M74))))*Расчет2!AI74</f>
        <v>#N/A</v>
      </c>
      <c r="HA74" s="211"/>
      <c r="HB74" s="211"/>
      <c r="HC74" s="55" t="e">
        <f>(IF(Исходн.данные.!O74&lt;80,0.2*VLOOKUP(Исходн.данные.!AH74,Культуры.Информация,8,FALSE),IF(Исходн.данные.!O74&gt;240,0.09*VLOOKUP(Исходн.данные.!AH74,Культуры.Информация,8,FALSE),VLOOKUP(Исходн.данные.!AH74,Культуры.Информация,6,FALSE)/100*($HB$6+$HC$6*Исходн.данные.!O74))))*Расчет2!AJ74</f>
        <v>#N/A</v>
      </c>
      <c r="HD74" s="55">
        <f>IF(Исходн.данные.!O74&gt;240,0.09,IF(Исходн.данные.!O74&lt;30,0.3,$HE$10+$HD$10*Исходн.данные.!O74))</f>
        <v>0.3</v>
      </c>
      <c r="HE74" s="55">
        <f>IF(Исходн.данные.!O74&gt;240,0.17,IF(Исходн.данные.!O74&lt;30,0.5,$HF$12+$HE$12*Исходн.данные.!O74))</f>
        <v>0.5</v>
      </c>
      <c r="HF74" s="55" t="e">
        <f>VLOOKUP(Исходн.данные.!AH74,Справ!$A$3:$D$58,2,FALSE)</f>
        <v>#N/A</v>
      </c>
      <c r="HG74" s="55" t="e">
        <f>VLOOKUP(Исходн.данные.!AH74,Справ!$A$3:$D$58,3,FALSE)</f>
        <v>#N/A</v>
      </c>
      <c r="HH74" s="55" t="e">
        <f>VLOOKUP(Исходн.данные.!AH74,Справ!$A$3:$D$58,4,FALSE)</f>
        <v>#N/A</v>
      </c>
      <c r="HI74" s="11" t="e">
        <f t="shared" si="117"/>
        <v>#N/A</v>
      </c>
      <c r="HJ74" s="11" t="e">
        <f t="shared" si="118"/>
        <v>#N/A</v>
      </c>
      <c r="HK74" s="11" t="e">
        <f t="shared" si="119"/>
        <v>#N/A</v>
      </c>
      <c r="HL74" s="55">
        <f>IF(OR(Исходн.данные.!G74="Глин",Исходн.данные.!G74="Т_суг"),1.1,IF(Исходн.данные.!G74="Ср_суг",1,1))</f>
        <v>1</v>
      </c>
      <c r="HM74" s="55">
        <f>IF(OR(Исходн.данные.!G74="Глин",Исходн.данные.!G74="Т_суг"),0.9,IF(Исходн.данные.!G74="Ср_суг",1,1.2))</f>
        <v>1.2</v>
      </c>
      <c r="HN74" s="11" t="e">
        <f t="shared" si="120"/>
        <v>#N/A</v>
      </c>
      <c r="HO74" s="11" t="e">
        <f t="shared" si="121"/>
        <v>#N/A</v>
      </c>
      <c r="HP74" s="11" t="e">
        <f t="shared" si="122"/>
        <v>#N/A</v>
      </c>
      <c r="HQ74" t="e">
        <f t="shared" si="123"/>
        <v>#N/A</v>
      </c>
      <c r="HR74" t="e">
        <f t="shared" si="124"/>
        <v>#N/A</v>
      </c>
      <c r="HS74" t="e">
        <f t="shared" si="125"/>
        <v>#N/A</v>
      </c>
      <c r="HT74" t="e">
        <f t="shared" si="21"/>
        <v>#N/A</v>
      </c>
      <c r="HU74" t="e">
        <f t="shared" si="22"/>
        <v>#N/A</v>
      </c>
      <c r="HV74" t="e">
        <f t="shared" si="23"/>
        <v>#N/A</v>
      </c>
      <c r="HW74" t="e">
        <f t="shared" si="24"/>
        <v>#N/A</v>
      </c>
      <c r="HX74" t="e">
        <f t="shared" si="25"/>
        <v>#N/A</v>
      </c>
      <c r="HY74" t="e">
        <f t="shared" si="26"/>
        <v>#N/A</v>
      </c>
      <c r="HZ74" s="55">
        <f>IF(OR(Исходн.данные.!AI74="Оз_Ч_П",Исходн.данные.!AI74="Оз_З_П",Исходн.данные.!AI74="Яр_зер"),12,30)</f>
        <v>30</v>
      </c>
      <c r="IA74" t="e">
        <f t="shared" si="126"/>
        <v>#N/A</v>
      </c>
      <c r="IB74" t="e">
        <f t="shared" si="127"/>
        <v>#N/A</v>
      </c>
      <c r="IC74" t="e">
        <f t="shared" si="128"/>
        <v>#N/A</v>
      </c>
      <c r="ID74" s="11" t="e">
        <f t="shared" si="129"/>
        <v>#N/A</v>
      </c>
      <c r="IE74" s="11" t="e">
        <f t="shared" si="130"/>
        <v>#N/A</v>
      </c>
      <c r="IF74" s="11" t="e">
        <f t="shared" si="131"/>
        <v>#N/A</v>
      </c>
    </row>
    <row r="75" spans="35:240" x14ac:dyDescent="0.2">
      <c r="AI75">
        <f>IF(Исходн.данные.!I75&gt;6,1,1.85-(0.148*Исходн.данные.!I75))</f>
        <v>1.85</v>
      </c>
      <c r="AJ75">
        <f>IF(Исходн.данные.!I75&gt;6,1,2.434-(0.246*Исходн.данные.!I75))</f>
        <v>2.4340000000000002</v>
      </c>
      <c r="AL75" s="148" t="b">
        <f>IF(Исходн.данные.!$P75="Ум",N_OrgUd_2g_um,IF(Исходн.данные.!$P75="Об",N_OrgUd_2g_ob))</f>
        <v>0</v>
      </c>
      <c r="AM75" s="148" t="b">
        <f>IF(Исходн.данные.!$P75="Ум",P_OrgUd_2g_um,IF(Исходн.данные.!$P75="Об",P_OrgUd_2g_ob))</f>
        <v>0</v>
      </c>
      <c r="AN75" s="148" t="b">
        <f>IF(Исходн.данные.!$P75="Ум",K_OrgUd_2g_um,IF(Исходн.данные.!$P75="Об",K_OrgUd_2g_ob))</f>
        <v>0</v>
      </c>
      <c r="AO75" s="148" t="b">
        <f>IF(Исходн.данные.!$P75="Ум",N_OrgUd_1g_um,IF(Исходн.данные.!$P75="Об",N_OrgUd_1g_ob))</f>
        <v>0</v>
      </c>
      <c r="AP75" s="148" t="b">
        <f>IF(Исходн.данные.!$P75="Ум",P_OrgUd_1g_um,IF(Исходн.данные.!$P75="Об",P_OrgUd_1g_ob))</f>
        <v>0</v>
      </c>
      <c r="AQ75" s="148" t="b">
        <f>IF(Исходн.данные.!$P75="Ум",K_OrgUd_1g_um,IF(Исходн.данные.!$P75="Об",K_OrgUd_1g_ob))</f>
        <v>0</v>
      </c>
      <c r="AR75" t="b">
        <f>IF(Исходн.данные.!$P75="Ум",N_MinUd_2g_um,IF(Исходн.данные.!$P75="Об",N_MinUd_2g_ob))</f>
        <v>0</v>
      </c>
      <c r="AS75" t="b">
        <f>IF(Исходн.данные.!$P75="Ум",P_MinUd_2g_um,IF(Исходн.данные.!$P75="Об",P_MinUd_2g_ob))</f>
        <v>0</v>
      </c>
      <c r="AT75" t="b">
        <f>IF(Исходн.данные.!$P75="Ум",K_MinUd_2g_um,IF(Исходн.данные.!$P75="Об",K_MinUd_2g_ob))</f>
        <v>0</v>
      </c>
      <c r="AU75" t="b">
        <f>IF(Исходн.данные.!$P75="Ум",N_MinUd_1g_um,IF(Исходн.данные.!$P75="Об",N_MinUd_1g_ob))</f>
        <v>0</v>
      </c>
      <c r="AV75" t="b">
        <f>IF(Исходн.данные.!P75="Ум",P_MinUd_1g_um,IF(Исходн.данные.!P75="Об",P_MinUd_1g_ob))</f>
        <v>0</v>
      </c>
      <c r="AW75" t="b">
        <f>IF(Исходн.данные.!P75="Ум",K_MinUd_1g_um,IF(Исходн.данные.!P75="Об",K_MinUd_1g_ob))</f>
        <v>0</v>
      </c>
      <c r="AY75" t="e">
        <f>VLOOKUP(Исходн.данные.!T75,Справ!$A$3:$N$57,12)</f>
        <v>#N/A</v>
      </c>
      <c r="AZ75" t="e">
        <f>VLOOKUP(Исходн.данные.!T75,Справ!$A$3:$N$57,13)</f>
        <v>#N/A</v>
      </c>
      <c r="BA75" t="e">
        <f>VLOOKUP(Исходн.данные.!T75,Справ!$A$3:$N$57,14)</f>
        <v>#N/A</v>
      </c>
      <c r="BB75">
        <f>IF(Исходн.данные.!AH75=0,0,25)</f>
        <v>0</v>
      </c>
      <c r="BC75" s="141">
        <f>IF(Исходн.данные.!AH75=0,0,IF(Исходн.данные.!T75=0,25,BD75))</f>
        <v>0</v>
      </c>
      <c r="BD75" s="168" t="e">
        <f>AY75+AZ75*Исходн.данные.!U75-POWER(BA75,2)*Исходн.данные.!U75</f>
        <v>#N/A</v>
      </c>
      <c r="BE7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5" s="25">
        <f>IF(Исходн.данные.!AH75=0,0,MIN(HN75:HP75))</f>
        <v>0</v>
      </c>
      <c r="BG75" s="9">
        <f>IF(Исходн.данные.!AH75=0,0,IF((HO75+10*0.25/HG75/HL75)&lt;17,17,HO75+10*0.25/HG75/HL75))</f>
        <v>0</v>
      </c>
      <c r="BH75" s="181">
        <f>IF(Исходн.данные.!AH75=0,0,HW75*HF75*HL75/AU75*AI75+Исходн.данные.!S75*10)</f>
        <v>0</v>
      </c>
      <c r="BI75" s="10"/>
      <c r="BJ75" s="182">
        <f>IF(Исходн.данные.!AH75=0,0,IF(HX75*HG75*HL75/AV75&lt;0,0,HX75*HG75*HL75/AV75*AJ75))</f>
        <v>0</v>
      </c>
      <c r="BK75" s="182">
        <f>IF(Исходн.данные.!AH75=0,0,HY75*HH75*HM75/AW75)</f>
        <v>0</v>
      </c>
      <c r="BL75" s="10">
        <f>IF(OR(Исходн.данные.!$AH75=$BP$1,Исходн.данные.!$AH75=$BP$2),0,IF(BH75&lt;0,0,IF(OR(Исходн.данные.!T75=Расчет!$BP$1,Исходн.данные.!T75=Расчет!$BP$2,Исходн.данные.!T75=Расчет!$BT$5,Исходн.данные.!T75=Расчет!$BT$6),BH75*0.5,IF(OR(Исходн.данные.!T75=Расчет!$BS$9,Исходн.данные.!T75=Расчет!$BS$10,Исходн.данные.!T75=Расчет!$BS$11,Исходн.данные.!T75=Расчет!$BS$12,Исходн.данные.!T75=Расчет!$BP$5),BH75*0.8,BH75))))</f>
        <v>0</v>
      </c>
      <c r="BM75" s="10">
        <f>IF(OR(Исходн.данные.!$AH75=$BP$1,Исходн.данные.!$AH75=$BP$2),0,IF(BJ75&lt;0,0,IF(Исходн.данные.!I75&lt;4.5,BJ75*1.2,IF(Исходн.данные.!I75&gt;5.1,BJ75,BJ75*((5.1-Исходн.данные.!I75)*0.333+1)))))</f>
        <v>0</v>
      </c>
      <c r="BN75" s="10">
        <f>IF(OR(Исходн.данные.!$AH75=$BP$1,Исходн.данные.!$AH75=$BP$2),60-Исходн.данные.!AF75,IF(BK75&lt;0,0,IF(Исходн.данные.!I75&lt;4.5,BK75*1.2,IF(Исходн.данные.!I75&gt;5.1,BK75,BK75*((5.1-Исходн.данные.!I75)*0.333+1)))))</f>
        <v>0</v>
      </c>
      <c r="BO75" s="9">
        <f>IF(BL75&lt;0,0,BL75*Исходн.данные.!$AJ75/1000)</f>
        <v>0</v>
      </c>
      <c r="BP75" s="9">
        <f>IF(BM75&lt;0,0,BM75*Исходн.данные.!$AJ75/1000)</f>
        <v>0</v>
      </c>
      <c r="BQ75" s="9">
        <f>IF(BN75&lt;0,0,BN75*Исходн.данные.!$AJ75/1000)</f>
        <v>0</v>
      </c>
      <c r="BR75" s="9">
        <f t="shared" si="81"/>
        <v>0</v>
      </c>
      <c r="BS75" s="10" t="str">
        <f t="shared" si="82"/>
        <v>Аммофос 12:52:00</v>
      </c>
      <c r="BT75" s="10" t="str">
        <f t="shared" si="83"/>
        <v>Аммофос 12:52:00</v>
      </c>
      <c r="BU75" s="10" t="str">
        <f t="shared" si="84"/>
        <v>Диаммофоска</v>
      </c>
      <c r="BV75" s="10">
        <f t="shared" si="85"/>
        <v>0</v>
      </c>
      <c r="BW75" s="10"/>
      <c r="BX75" s="10"/>
      <c r="BY75" s="9">
        <f>IF(BL75&lt;0,0,IF(OR(Исходн.данные.!AI75=Расчет!$BU$6,Исходн.данные.!AI75=Расчет!$BU$7),Расчет!BV75,IF(Исходн.данные.!$AG75=$BV$11,BL75,IF(OR(Исходн.данные.!$AH75=$BQ$7,Исходн.данные.!$AH75=$BQ$8),CB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0,IF(Исходн.данные.!$AI75=$BU$11,"Нет",IF(BL75&gt;30,30,BL75)))))))</f>
        <v>0</v>
      </c>
      <c r="BZ75" s="9">
        <f>IF(AND(Исходн.данные.!$AG75=$BV$11,BM75&lt;10),10,IF(Исходн.данные.!$AG75=$BV$11,BM75,IF(OR(Исходн.данные.!$AH75=$BQ$7,Исходн.данные.!$AH75=$BQ$8),CC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10,IF(Исходн.данные.!$AI75=$BU$11,"Нет",IF(BM75&gt;60,60,IF(BM75&lt;10,10,BM75)))))))</f>
        <v>10</v>
      </c>
      <c r="CA75" s="39">
        <f>IF(BN75&lt;0,0,IF(Исходн.данные.!$AG75=$BV$11,BN75,IF(OR(Исходн.данные.!$AH75=$BQ$7,Исходн.данные.!$AH75=$BQ$8),CD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0,IF(Исходн.данные.!$AI75=$BU$11,"Нет",IF(BN75&gt;30,30,BN75))))))</f>
        <v>0</v>
      </c>
      <c r="CB75" s="9">
        <f t="shared" si="86"/>
        <v>0</v>
      </c>
      <c r="CC75" s="9">
        <f t="shared" si="87"/>
        <v>0</v>
      </c>
      <c r="CD75" s="9">
        <f t="shared" si="88"/>
        <v>0</v>
      </c>
      <c r="CE75" s="12">
        <f t="shared" si="89"/>
        <v>10</v>
      </c>
      <c r="CF75" s="9">
        <f t="shared" si="90"/>
        <v>0</v>
      </c>
      <c r="CG75" s="9" t="s">
        <v>231</v>
      </c>
      <c r="CH75" s="132" t="str">
        <f>IF(Исходн.данные.!AP75=Расчет!$CI$16,"Нет",IF(Исходн.данные.!AL75&gt;0,Исходн.данные.!AL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BH$4,IF(OR(Исходн.данные.!AI75=Исходн.данные.!$AI$6,Исходн.данные.!AI75=Исходн.данные.!$AI$7),Расчет!BS75,IF(AND($CF75=0,$CE75&gt;0),EV75,ER75)))))</f>
        <v>Аммофос 12:52:00</v>
      </c>
      <c r="CI75" s="274">
        <f>IF(Расчет!$CH75="Нет","Нет",IF(Исходн.данные.!$AL75&gt;0,VLOOKUP(Расчет!$CH75,АшламаДВ_Irekle,2,FALSE),VLOOKUP(Расчет!$CH75,АшламаДВ_Gomumy,2,FALSE)))</f>
        <v>0.12</v>
      </c>
      <c r="CJ75" s="274">
        <f>IF(Расчет!$CH75="Нет","Нет",IF(Исходн.данные.!$AL75&gt;0,VLOOKUP(Расчет!$CH75,АшламаДВ_Irekle,3,FALSE),VLOOKUP(Расчет!$CH75,АшламаДВ_Gomumy,3,FALSE)))</f>
        <v>0.52</v>
      </c>
      <c r="CK75" s="274">
        <f>IF(Расчет!$CH75="Нет","Нет",IF(Исходн.данные.!$AL75&gt;0,VLOOKUP(Расчет!$CH75,АшламаДВ_Irekle,4,FALSE),VLOOKUP(Расчет!$CH75,АшламаДВ_Gomumy,4,FALSE)))</f>
        <v>0</v>
      </c>
      <c r="CL75" s="70"/>
      <c r="CM75" s="70"/>
      <c r="CN75" s="70"/>
      <c r="CO75" s="70"/>
      <c r="CP75" s="70"/>
      <c r="CQ75" s="70"/>
      <c r="CR75" s="10">
        <f t="shared" si="91"/>
        <v>0</v>
      </c>
      <c r="CS75" s="10">
        <f t="shared" si="92"/>
        <v>19.23076923076923</v>
      </c>
      <c r="CT75" s="10">
        <f t="shared" si="93"/>
        <v>0</v>
      </c>
      <c r="CU75" s="39">
        <f>IF($CH75="Нет",0,IF(CI75=0,30/MIN(CJ75:CK75),IF(Исходн.данные.!$AG75=$BV$11,CR75,IF(OR(Исходн.данные.!$AH75=$BQ$7,Исходн.данные.!$AH75=$BQ$8),90/CI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0,IF(Исходн.данные.!$AI75=$BU$11,"Нет",30/CI75))))))</f>
        <v>250</v>
      </c>
      <c r="CV75" s="39">
        <f>IF($CH75="Нет",0,IF(Исходн.данные.!AH75=0,0,IF(CJ75=0,60/MIN(CI75,CK75),IF(Исходн.данные.!$AG75=$BV$11,CS75,IF(OR(Исходн.данные.!$AH75=$BQ$7,Исходн.данные.!$AH75=$BQ$8),90/CJ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10/CJ75,IF(Исходн.данные.!$AI75=$BU$11,"Нет",60/CJ75)))))))</f>
        <v>0</v>
      </c>
      <c r="CW75" s="39">
        <f>IF($CH75="Нет",0,IF(Исходн.данные.!AH75=0,0,IF(CK75=0,30/MIN(CI75:CJ75),IF(Исходн.данные.!$AG75=$BV$11,CT75,IF(OR(Исходн.данные.!$AH75=$BQ$7,Исходн.данные.!$AH75=$BQ$8),90/CK75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0,IF(Исходн.данные.!$AI75=$BU$11,"Нет",30/CK75)))))))</f>
        <v>0</v>
      </c>
      <c r="CX75" s="133">
        <f>IF(Исходн.данные.!$AG75=$BV$11,MAX(CU75:CW75),IF(OR(Исходн.данные.!$AH75=$BS$8,Исходн.данные.!$AH75=$BQ$9,Исходн.данные.!$AH75=$BQ$10,Исходн.данные.!$AH75=$BQ$11,Исходн.данные.!$AH75=$BQ$12,Исходн.данные.!$AH75=$BP$3,Исходн.данные.!$AH75=$BT$8,$FM75="Да"),CV75,MIN(CU75:CW75)))</f>
        <v>0</v>
      </c>
      <c r="CY75" s="133">
        <f>IF(Исходн.данные.!AH75=0,0,IF(CR75&gt;$CX75,$CX75,CR75))</f>
        <v>0</v>
      </c>
      <c r="CZ75" s="133">
        <f>IF(Исходн.данные.!AH75=0,0,IF(CS75&gt;$CX75,$CX75,CS75))</f>
        <v>0</v>
      </c>
      <c r="DA75" s="133">
        <f>IF(Исходн.данные.!AH75=0,0,IF(CT75&gt;$CX75,$CX75,CT75))</f>
        <v>0</v>
      </c>
      <c r="DB75" s="10">
        <f t="shared" si="94"/>
        <v>0</v>
      </c>
      <c r="DC75" s="39">
        <f>DB75*Исходн.данные.!AJ75/1000</f>
        <v>0</v>
      </c>
      <c r="DD75" s="71">
        <f t="shared" si="95"/>
        <v>0</v>
      </c>
      <c r="DE75" s="9">
        <f t="shared" si="96"/>
        <v>0</v>
      </c>
      <c r="DF75" s="9">
        <f t="shared" si="97"/>
        <v>0</v>
      </c>
      <c r="DG75" s="39">
        <f>IF(BL75&lt;0,0,IF($CH75="Нет",BL75,IF(OR(Исходн.данные.!$AH75=$BP$1,Исходн.данные.!$AH75=$BP$2),0,IF(Исходн.данные.!AI75=$BU$11,BL75,IF(BL75-DD75&lt;0,0,BL75-DD75)))))</f>
        <v>0</v>
      </c>
      <c r="DH75" s="39">
        <f>IF(BM75&lt;0,0,IF($CH75="Нет",BM75,IF(OR(Исходн.данные.!$AH75=$BP$1,Исходн.данные.!$AH75=$BP$2),0,IF(Исходн.данные.!AJ75=$BU$11,BM75,IF(BM75-DE75&lt;0,0,BM75-DE75)))))</f>
        <v>0</v>
      </c>
      <c r="DI75" s="39">
        <f>IF(BN75&lt;0,0,IF($CH75="Нет",BN75,IF(OR(Исходн.данные.!$AH75=$BP$1,Исходн.данные.!$AH75=$BP$2),0,IF(Исходн.данные.!AK75=$BU$11,BN75,IF(BN75-DF75&lt;0,0,BN75-DF75)))))</f>
        <v>0</v>
      </c>
      <c r="DJ75" s="12">
        <f t="shared" si="98"/>
        <v>0</v>
      </c>
      <c r="DK75" s="9">
        <f t="shared" si="99"/>
        <v>0</v>
      </c>
      <c r="DL75" s="39">
        <f>IF(Исходн.данные.!AM75&gt;0,Исходн.данные.!AM75,IF(EG75&gt;0,$BH$10,0))</f>
        <v>0</v>
      </c>
      <c r="DM75" s="186">
        <f>IF($DL75=0,0,IF(Исходн.данные.!AM75&gt;0,VLOOKUP($DL75,АшламаДВ_Irekle,2,FALSE),VLOOKUP($DL75,АшламаДВ_Gomumy,2,FALSE)))</f>
        <v>0</v>
      </c>
      <c r="DN75" s="10">
        <f t="shared" si="46"/>
        <v>0</v>
      </c>
      <c r="DO75" s="9" t="str">
        <f>IF(Исходн.данные.!AN75&gt;0,Исходн.данные.!AN75,Удобрения!$B$37 )</f>
        <v>Хлор.калий</v>
      </c>
      <c r="DP75" s="9">
        <f>IF(Исходн.данные.!AN75&gt;0,VLOOKUP(Исходн.данные.!AN75,АшламаДВ_Irekle,4,FALSE),VLOOKUP(DO75,АшламаДВ_Gomumy,4,FALSE))</f>
        <v>0.6</v>
      </c>
      <c r="DQ75" s="10">
        <f t="shared" si="47"/>
        <v>0</v>
      </c>
      <c r="DR75" s="132" t="str">
        <f>IF(Исходн.данные.!AO75&gt;0,Исходн.данные.!AO75,IF(DH75=0,BS$17,IF(AND($DK75=0,$DJ75&gt;0),EJ75,EN75)))</f>
        <v>Нет</v>
      </c>
      <c r="DS75" s="70" t="str">
        <f>IF($DR75="Нет","Нет",IF(Исходн.данные.!$AO75&gt;0,VLOOKUP($DR75,АшламаДВ_Irekle,2,FALSE),VLOOKUP($DR75,АшламаДВ_Gomumy,2,FALSE)))</f>
        <v>Нет</v>
      </c>
      <c r="DT75" s="70" t="str">
        <f>IF($DR75="Нет","Нет",IF(Исходн.данные.!$AO75&gt;0,VLOOKUP($DR75,АшламаДВ_Irekle,3,FALSE),VLOOKUP($DR75,АшламаДВ_Gomumy,3,FALSE)))</f>
        <v>Нет</v>
      </c>
      <c r="DU75" s="70" t="str">
        <f>IF($DR75="Нет","Нет",IF(Исходн.данные.!$AO75&gt;0,VLOOKUP($DR75,АшламаДВ_Irekle,4,FALSE),VLOOKUP($DR75,АшламаДВ_Gomumy,4,FALSE)))</f>
        <v>Нет</v>
      </c>
      <c r="DV75" s="70"/>
      <c r="DW75" s="70"/>
      <c r="DX75" s="70"/>
      <c r="DY75" s="10">
        <f t="shared" si="100"/>
        <v>0</v>
      </c>
      <c r="DZ75" s="10">
        <f t="shared" si="101"/>
        <v>0</v>
      </c>
      <c r="EA75" s="10">
        <f t="shared" si="102"/>
        <v>0</v>
      </c>
      <c r="EB75" s="10">
        <f t="shared" si="103"/>
        <v>0</v>
      </c>
      <c r="EC75" s="10">
        <f t="shared" si="104"/>
        <v>0</v>
      </c>
      <c r="ED75" s="10">
        <f t="shared" si="105"/>
        <v>0</v>
      </c>
      <c r="EE75" s="10">
        <f t="shared" si="106"/>
        <v>0</v>
      </c>
      <c r="EF75" s="39">
        <f>EB75*Исходн.данные.!AJ75/1000</f>
        <v>0</v>
      </c>
      <c r="EG75" s="9">
        <f t="shared" si="107"/>
        <v>0</v>
      </c>
      <c r="EH75" s="9">
        <f t="shared" si="108"/>
        <v>0</v>
      </c>
      <c r="EI75" s="39" t="e">
        <f t="shared" si="7"/>
        <v>#DIV/0!</v>
      </c>
      <c r="EJ75" s="9" t="str">
        <f t="shared" si="8"/>
        <v>Азопреципитат</v>
      </c>
      <c r="EK75" s="12">
        <f t="shared" si="9"/>
        <v>0.26</v>
      </c>
      <c r="EL75" s="12">
        <f t="shared" si="10"/>
        <v>0.13</v>
      </c>
      <c r="EM75" s="12">
        <f t="shared" si="11"/>
        <v>0</v>
      </c>
      <c r="EN75" s="12" t="str">
        <f t="shared" si="57"/>
        <v>Нет</v>
      </c>
      <c r="EO75" s="12">
        <f t="shared" si="12"/>
        <v>0</v>
      </c>
      <c r="EP75" s="12">
        <f t="shared" si="13"/>
        <v>0</v>
      </c>
      <c r="EQ75" s="12">
        <f t="shared" si="14"/>
        <v>0</v>
      </c>
      <c r="ER75" s="12" t="str">
        <f t="shared" si="109"/>
        <v>Диаммофоска</v>
      </c>
      <c r="ES75" s="12">
        <f t="shared" si="15"/>
        <v>0.1</v>
      </c>
      <c r="ET75" s="12">
        <f t="shared" si="16"/>
        <v>0.26</v>
      </c>
      <c r="EU75" s="12">
        <f t="shared" si="17"/>
        <v>0.26</v>
      </c>
      <c r="EV75" s="12" t="str">
        <f t="shared" si="110"/>
        <v>Аммофос 12:52:00</v>
      </c>
      <c r="EW75" s="12" t="str">
        <f t="shared" si="111"/>
        <v>Кемира Свекловичное-6</v>
      </c>
      <c r="EX75" s="12">
        <f t="shared" si="18"/>
        <v>0.16</v>
      </c>
      <c r="EY75" s="12">
        <f t="shared" si="19"/>
        <v>0.12</v>
      </c>
      <c r="EZ75" s="12">
        <f t="shared" si="20"/>
        <v>0.17</v>
      </c>
      <c r="FA75" s="38" t="e">
        <f>IF(AND(OR(FJ75=$FD$1,FM75=$FD$1,FO75=$FD$1,FQ75=$FD$1,FS75=$FD$1),FD75=$FD$1,Исходн.данные.!J75&lt;2,FU75=$FD$1),"Бор,Кобальт",IF(AND(FO75=$FD$1,FH75=$FD$1,Исходн.данные.!J75&lt;2,FU75=$FD$1),"Бор,Кобальт",IF(AND(OR(FJ75=$FD$1,FM75=$FD$1,FQ75=$FD$1),FE75=$FD$1,Исходн.данные.!J75&lt;2,FT75=$FD$1,FU75=$FD$1),"Бор,Медь,Цинк",IF(AND(OR(FJ75=$FD$1,FR75="Да"),FI75="Да",Исходн.данные.!J75&lt;2,FT75="Да",FU75="Да"),"Бор,Цинк,Медь",IF(AND(OR(FM75="Да",FQ75="Да"),FI75="Да",Исходн.данные.!J75&lt;2,FT75="Да",FU75="Да"),"Бор,Цинк",IF(AND(FN75="Да",OR(FD75="Да",FE75="Да")),"Бор",FB75))))))</f>
        <v>#N/A</v>
      </c>
      <c r="FB75" s="134" t="e">
        <f>IF(AND(OR(FD75="Да",FE75="Да",FF75="Да",FG75="Да",FH75="Да"),FO75="Да"),"Бор",IF(AND(FP75="Да",OR(FD75="Да",FE75="Да",FI75="Да")),"Бор",IF(AND(FS75="Да",FE75="Да"),"Бор,Медь",IF(AND(OR(FJ75="Да",FK75="Да",FL75="Да"),FE75="Да",Исходн.данные.!I75&lt;5,FT75="Да",FU75="Да"),"Молибден,Цинк",IF(AND(FM75="Да",OR(FE75="Да",FF75="Да",FG75="Да",FH75="Да",FI75="Да")),"Молибден,Цинк",IF(AND(OR(FJ75="Да",FK75="Да",FL75="Да",FM75="Да",FQ75="Да"),OR(FE75="Да",FF75="Да"),FT75="Да",FU75="Да",Исходн.данные.!I75&gt;5.5),"Медь,Цинк",FC75))))))</f>
        <v>#N/A</v>
      </c>
      <c r="FC75" s="23" t="e">
        <f t="shared" si="112"/>
        <v>#N/A</v>
      </c>
      <c r="FD75" s="38" t="str">
        <f>IF(OR(Исходн.данные.!F75=$CC$1,Исходн.данные.!F75=$CC$2,Исходн.данные.!F75=$CC$3,Исходн.данные.!F75=$CC$4),"Да","Нет")</f>
        <v>Нет</v>
      </c>
      <c r="FE75" s="38" t="str">
        <f>IF(Исходн.данные.!F75=$CC$5,"Да","Нет")</f>
        <v>Нет</v>
      </c>
      <c r="FF75" s="38" t="str">
        <f>IF(OR(Исходн.данные.!F75=$CC$6,Исходн.данные.!F75=$CC$7),"Да","Нет")</f>
        <v>Нет</v>
      </c>
      <c r="FG75" s="38" t="str">
        <f>IF(OR(Исходн.данные.!F75=$CC$8,Исходн.данные.!F75=$CC$9),"Да","Нет")</f>
        <v>Нет</v>
      </c>
      <c r="FH75" s="38" t="str">
        <f>IF(Исходн.данные.!F75=$CC$10,"Да","Нет")</f>
        <v>Нет</v>
      </c>
      <c r="FI75" s="38" t="str">
        <f>IF(OR(Исходн.данные.!F75=$CC$11,Исходн.данные.!F75=$CC$12),"Да","Нет")</f>
        <v>Нет</v>
      </c>
      <c r="FJ75" s="38" t="str">
        <f>IF(OR(Исходн.данные.!AH75=$BS$1,Исходн.данные.!AH75=$BQ$11,Исходн.данные.!AH75=$BQ$12),"Да","Нет")</f>
        <v>Нет</v>
      </c>
      <c r="FK75" s="38" t="str">
        <f>IF(OR(Исходн.данные.!AH75=$BS$2,Исходн.данные.!AH75=$BS$4),"Да","Нет")</f>
        <v>Нет</v>
      </c>
      <c r="FL75" s="38" t="str">
        <f>IF(OR(Исходн.данные.!AH75=$BS$3,Исходн.данные.!AH75=$BS$5),"Да","Нет")</f>
        <v>Нет</v>
      </c>
      <c r="FM75" s="38" t="str">
        <f>IF(OR(Исходн.данные.!AH75=$BS$9,Исходн.данные.!AH75=$BS$10,Исходн.данные.!AH75=$BS$11,Исходн.данные.!AH75=$BS$12),"Да","Нет")</f>
        <v>Нет</v>
      </c>
      <c r="FN75" s="38" t="str">
        <f>IF(OR(Исходн.данные.!AH75=$BS$6,Исходн.данные.!AH75=$BP$3),"Да","Нет")</f>
        <v>Нет</v>
      </c>
      <c r="FO75" s="38" t="str">
        <f>IF(Исходн.данные.!AH75=$BQ$9,"Да","Нет")</f>
        <v>Нет</v>
      </c>
      <c r="FP75" s="38" t="str">
        <f>IF(OR(Исходн.данные.!AH75=$BS$8,Исходн.данные.!AH75=$BT$8),"Да","Нет")</f>
        <v>Нет</v>
      </c>
      <c r="FQ75" s="38" t="str">
        <f>IF(OR(Исходн.данные.!AH75=$BQ$7,Исходн.данные.!AH75=$BQ$8),"Да","Нет")</f>
        <v>Нет</v>
      </c>
      <c r="FR75" s="38" t="str">
        <f>IF(Исходн.данные.!AI75=$BU$9,"Да","Нет")</f>
        <v>Нет</v>
      </c>
      <c r="FS75" s="38" t="str">
        <f>IF(OR(Исходн.данные.!AH75=$BP$1,Исходн.данные.!AH75=$BP$2),"Да","Нет")</f>
        <v>Нет</v>
      </c>
      <c r="FT75" s="38" t="e">
        <f>IF((Исходн.данные.!K75*GO75*GS75*GW75+BL75*0.6+Исходн.данные.!Q75*4.5*0.275)&gt;90,"Да","Нет")</f>
        <v>#N/A</v>
      </c>
      <c r="FU75" s="38" t="e">
        <f>IF((Исходн.данные.!M75*GS75*GZ75+BM75*0.225)&gt;35,"Да","Нет")</f>
        <v>#N/A</v>
      </c>
      <c r="FV75" s="38" t="str">
        <f>IF(Исходн.данные.!O75&gt;175,"Да","Нет")</f>
        <v>Нет</v>
      </c>
      <c r="FW75" s="39" t="str">
        <f>IF(Исходн.данные.!I75&gt;5.5,"Да","Нет")</f>
        <v>Нет</v>
      </c>
      <c r="FX75" s="39" t="str">
        <f>IF(Исходн.данные.!J75&lt;2,"Да","Нет")</f>
        <v>Да</v>
      </c>
      <c r="FY75" s="39" t="e">
        <f>IF(HF75=$FY$16,0,Исходн.данные.!K75*GO75*GS75*GW75/HF75)</f>
        <v>#N/A</v>
      </c>
      <c r="FZ75" s="39" t="e">
        <f>Исходн.данные.!M75*GS75*GZ75/HG75</f>
        <v>#N/A</v>
      </c>
      <c r="GA75" s="39" t="e">
        <f>IF(K_Wyn=$FY$16,0,IF(Исходн.данные.!N75=Исходн.данные.!$L$10,Исходн.данные.!O75/1.1*GS75*HC75/HH75,IF(Исходн.данные.!N75=Исходн.данные.!$L$12,Исходн.данные.!O75/1.5*GS75*HC75/HH75,Исходн.данные.!O75*GS75*HC75/HH75)))</f>
        <v>#N/A</v>
      </c>
      <c r="GB75" s="39" t="e">
        <f>IF(HF75=$FY$16,0,((Исходн.данные.!Q75*N_Org+Исходн.данные.!R75*N_Sider+Исходн.данные.!S75*N_Soloma)*AO75+Расчет!BC75*VLOOKUP(Исходн.данные.!T75,Справ!$A$3:$O$57,15)*AO75+BB75*VLOOKUP(Исходн.данные.!T75,Справ!$A$3:$O$57,15)*AL75+(Исходн.данные.!V75*N_Rizotorf+Исходн.данные.!W75*N_Rizoagr))/HF75)</f>
        <v>#N/A</v>
      </c>
      <c r="GC75" s="39" t="e">
        <f>IF(HG75=$FY$16,0,((Исходн.данные.!Q75*Р_Org+Исходн.данные.!R75*P_Sider+Исходн.данные.!S75*P_Soloma)*AP75+Расчет!BC75*VLOOKUP(Исходн.данные.!T75,Справ!$A$3:$P$57,16)*AP75+BB75*VLOOKUP(Исходн.данные.!T75,Справ!$A$3:$P$57,16)*AM75)/HG75)</f>
        <v>#N/A</v>
      </c>
      <c r="GD75" s="39" t="e">
        <f>IF(HH75=$FY$16,0,((Исходн.данные.!Q75*К_Org+Исходн.данные.!R75*K_Sider+Исходн.данные.!S75*K_Soloma)*AQ75+Расчет!BC75*VLOOKUP(Исходн.данные.!T75,Справ!$A$3:$Q$57,17)*AQ75+BB75*VLOOKUP(Исходн.данные.!T75,Справ!$A$3:$Q$57,17)*AN75)/HH75)</f>
        <v>#N/A</v>
      </c>
      <c r="GE75" s="39" t="e">
        <f>IF(HF75=$FY$16,0,(Исходн.данные.!X75*AR75+Исходн.данные.!AA75*N_Org*AL75+Исходн.данные.!AB75*N_Sider*AL75+Исходн.данные.!AC75*N_Soloma*AL75)/HF75)</f>
        <v>#N/A</v>
      </c>
      <c r="GF75" s="39" t="e">
        <f>IF(HG75=$FY$16,0,(Исходн.данные.!Y75*AS75+Исходн.данные.!AA75*Р_Org*AM75+Исходн.данные.!AB75*P_Sider*AM75+Исходн.данные.!AC75*P_Soloma*AM75)/HG75)</f>
        <v>#N/A</v>
      </c>
      <c r="GG75" s="39" t="e">
        <f>IF(HH75=$FY$16,0,(Исходн.данные.!Z75*AT75+Исходн.данные.!AA75*К_Org*AN75+Исходн.данные.!AB75*K_Sider*AN75+Исходн.данные.!AC75*K_Soloma*AN75)/HH75)</f>
        <v>#N/A</v>
      </c>
      <c r="GH75" s="39" t="e">
        <f>Исходн.данные.!AD75*AU75/HF75</f>
        <v>#N/A</v>
      </c>
      <c r="GI75" s="39" t="e">
        <f>Исходн.данные.!AE75*AV75/HG75</f>
        <v>#N/A</v>
      </c>
      <c r="GJ75" s="39" t="e">
        <f>Исходн.данные.!AF75*AW75/HH75</f>
        <v>#N/A</v>
      </c>
      <c r="GK75" s="55">
        <f>Исходн.данные.!AK75</f>
        <v>0</v>
      </c>
      <c r="GL75" s="11" t="e">
        <f t="shared" si="113"/>
        <v>#N/A</v>
      </c>
      <c r="GM75" s="11" t="e">
        <f t="shared" si="114"/>
        <v>#N/A</v>
      </c>
      <c r="GN75" s="11" t="e">
        <f t="shared" si="115"/>
        <v>#N/A</v>
      </c>
      <c r="GO75" s="57">
        <f t="shared" si="116"/>
        <v>19</v>
      </c>
      <c r="GP75" s="55">
        <f>IF(OR(Исходн.данные.!F75=$CE$1,Исходн.данные.!F75=$CE$2,Исходн.данные.!F75=$CE$3,Исходн.данные.!F75=$CE$4,Исходн.данные.!F75=$CE$5),GQ75,GR75)</f>
        <v>19</v>
      </c>
      <c r="GQ75" s="55">
        <f>IF(Исходн.данные.!F75=$CE$1,28,IF(Исходн.данные.!F75=$CE$2,26,IF(Исходн.данные.!F75=$CE$3,24,IF(Исходн.данные.!F75=$CE$4,22,IF(Исходн.данные.!F75=$CE$5,20,GR75)))))</f>
        <v>19</v>
      </c>
      <c r="GR75" s="55">
        <f>IF(Исходн.данные.!F75=$CE$6,18,IF(Исходн.данные.!F75=$CE$7,16,IF(Исходн.данные.!F75=$CE$8,14,IF(Исходн.данные.!F75=$CE$9,13,IF(Исходн.данные.!F75=$CE$10,12,19)))))</f>
        <v>19</v>
      </c>
      <c r="GS75" s="55">
        <f>IF(Исходн.данные.!G75="Пес",0.035*(40+2*Исходн.данные.!H75),IF(Исходн.данные.!G75="Суп",0.0325*(40+2*Исходн.данные.!H75),0.03*(40+2*Исходн.данные.!H75)))</f>
        <v>1.2</v>
      </c>
      <c r="GT75" s="55">
        <f>IF(Исходн.данные.!H75&lt;23,2.6,IF(AND(Исходн.данные.!H75&gt;22,Исходн.данные.!H75&lt;26),3,IF(AND(Исходн.данные.!H75&gt;25,Исходн.данные.!H75&lt;29),3.4,3.6)))</f>
        <v>2.6</v>
      </c>
      <c r="GU75" s="55">
        <f>IF(Исходн.данные.!H75&lt;23,2.8,IF(AND(Исходн.данные.!H75&gt;22,Исходн.данные.!H75&lt;26),3.2,IF(AND(Исходн.данные.!H75&gt;25,Исходн.данные.!H75&lt;29),3.6,3.9)))</f>
        <v>2.8</v>
      </c>
      <c r="GV75" s="55">
        <f>IF(Исходн.данные.!H75&lt;23,3,IF(AND(Исходн.данные.!H75&gt;22,Исходн.данные.!H75&lt;26),3.5,IF(AND(Исходн.данные.!H75&gt;25,Исходн.данные.!H75&lt;29),3.9,4.2)))</f>
        <v>3</v>
      </c>
      <c r="GW75" s="55" t="e">
        <f>IF(Исходн.данные.!P75="Ум",GX75,GY75)</f>
        <v>#N/A</v>
      </c>
      <c r="GX75" s="55" t="e">
        <f>VLOOKUP(Исходн.данные.!AI75,Коэффициенты!$J$7:$L$13,2,FALSE)</f>
        <v>#N/A</v>
      </c>
      <c r="GY75" s="55" t="e">
        <f>VLOOKUP(Исходн.данные.!AI75,Коэффициенты!$J$7:$L$13,3,FALSE)</f>
        <v>#N/A</v>
      </c>
      <c r="GZ75" s="55" t="e">
        <f>(IF(Исходн.данные.!M75&lt;50,0.11*VLOOKUP(Исходн.данные.!AH75,Культуры.Информация,7,FALSE),IF(Исходн.данные.!M75&gt;250,0.05*VLOOKUP(Исходн.данные.!AH75,Культуры.Информация,7,FALSE),VLOOKUP(Исходн.данные.!AH75,Культуры.Информация,5,FALSE)/100*($GX$6+$GY$6*Исходн.данные.!M75))))*Расчет2!AI75</f>
        <v>#N/A</v>
      </c>
      <c r="HA75" s="211"/>
      <c r="HB75" s="211"/>
      <c r="HC75" s="55" t="e">
        <f>(IF(Исходн.данные.!O75&lt;80,0.2*VLOOKUP(Исходн.данные.!AH75,Культуры.Информация,8,FALSE),IF(Исходн.данные.!O75&gt;240,0.09*VLOOKUP(Исходн.данные.!AH75,Культуры.Информация,8,FALSE),VLOOKUP(Исходн.данные.!AH75,Культуры.Информация,6,FALSE)/100*($HB$6+$HC$6*Исходн.данные.!O75))))*Расчет2!AJ75</f>
        <v>#N/A</v>
      </c>
      <c r="HD75" s="55">
        <f>IF(Исходн.данные.!O75&gt;240,0.09,IF(Исходн.данные.!O75&lt;30,0.3,$HE$10+$HD$10*Исходн.данные.!O75))</f>
        <v>0.3</v>
      </c>
      <c r="HE75" s="55">
        <f>IF(Исходн.данные.!O75&gt;240,0.17,IF(Исходн.данные.!O75&lt;30,0.5,$HF$12+$HE$12*Исходн.данные.!O75))</f>
        <v>0.5</v>
      </c>
      <c r="HF75" s="55" t="e">
        <f>VLOOKUP(Исходн.данные.!AH75,Справ!$A$3:$D$58,2,FALSE)</f>
        <v>#N/A</v>
      </c>
      <c r="HG75" s="55" t="e">
        <f>VLOOKUP(Исходн.данные.!AH75,Справ!$A$3:$D$58,3,FALSE)</f>
        <v>#N/A</v>
      </c>
      <c r="HH75" s="55" t="e">
        <f>VLOOKUP(Исходн.данные.!AH75,Справ!$A$3:$D$58,4,FALSE)</f>
        <v>#N/A</v>
      </c>
      <c r="HI75" s="11" t="e">
        <f t="shared" si="117"/>
        <v>#N/A</v>
      </c>
      <c r="HJ75" s="11" t="e">
        <f t="shared" si="118"/>
        <v>#N/A</v>
      </c>
      <c r="HK75" s="11" t="e">
        <f t="shared" si="119"/>
        <v>#N/A</v>
      </c>
      <c r="HL75" s="55">
        <f>IF(OR(Исходн.данные.!G75="Глин",Исходн.данные.!G75="Т_суг"),1.1,IF(Исходн.данные.!G75="Ср_суг",1,1))</f>
        <v>1</v>
      </c>
      <c r="HM75" s="55">
        <f>IF(OR(Исходн.данные.!G75="Глин",Исходн.данные.!G75="Т_суг"),0.9,IF(Исходн.данные.!G75="Ср_суг",1,1.2))</f>
        <v>1.2</v>
      </c>
      <c r="HN75" s="11" t="e">
        <f t="shared" si="120"/>
        <v>#N/A</v>
      </c>
      <c r="HO75" s="11" t="e">
        <f t="shared" si="121"/>
        <v>#N/A</v>
      </c>
      <c r="HP75" s="11" t="e">
        <f t="shared" si="122"/>
        <v>#N/A</v>
      </c>
      <c r="HQ75" t="e">
        <f t="shared" si="123"/>
        <v>#N/A</v>
      </c>
      <c r="HR75" t="e">
        <f t="shared" si="124"/>
        <v>#N/A</v>
      </c>
      <c r="HS75" t="e">
        <f t="shared" si="125"/>
        <v>#N/A</v>
      </c>
      <c r="HT75" t="e">
        <f t="shared" si="21"/>
        <v>#N/A</v>
      </c>
      <c r="HU75" t="e">
        <f t="shared" si="22"/>
        <v>#N/A</v>
      </c>
      <c r="HV75" t="e">
        <f t="shared" si="23"/>
        <v>#N/A</v>
      </c>
      <c r="HW75" t="e">
        <f t="shared" si="24"/>
        <v>#N/A</v>
      </c>
      <c r="HX75" t="e">
        <f t="shared" si="25"/>
        <v>#N/A</v>
      </c>
      <c r="HY75" t="e">
        <f t="shared" si="26"/>
        <v>#N/A</v>
      </c>
      <c r="HZ75" s="55">
        <f>IF(OR(Исходн.данные.!AI75="Оз_Ч_П",Исходн.данные.!AI75="Оз_З_П",Исходн.данные.!AI75="Яр_зер"),12,30)</f>
        <v>30</v>
      </c>
      <c r="IA75" t="e">
        <f t="shared" si="126"/>
        <v>#N/A</v>
      </c>
      <c r="IB75" t="e">
        <f t="shared" si="127"/>
        <v>#N/A</v>
      </c>
      <c r="IC75" t="e">
        <f t="shared" si="128"/>
        <v>#N/A</v>
      </c>
      <c r="ID75" s="11" t="e">
        <f t="shared" si="129"/>
        <v>#N/A</v>
      </c>
      <c r="IE75" s="11" t="e">
        <f t="shared" si="130"/>
        <v>#N/A</v>
      </c>
      <c r="IF75" s="11" t="e">
        <f t="shared" si="131"/>
        <v>#N/A</v>
      </c>
    </row>
    <row r="76" spans="35:240" x14ac:dyDescent="0.2">
      <c r="AI76">
        <f>IF(Исходн.данные.!I76&gt;6,1,1.85-(0.148*Исходн.данные.!I76))</f>
        <v>1.85</v>
      </c>
      <c r="AJ76">
        <f>IF(Исходн.данные.!I76&gt;6,1,2.434-(0.246*Исходн.данные.!I76))</f>
        <v>2.4340000000000002</v>
      </c>
      <c r="AL76" s="148" t="b">
        <f>IF(Исходн.данные.!$P76="Ум",N_OrgUd_2g_um,IF(Исходн.данные.!$P76="Об",N_OrgUd_2g_ob))</f>
        <v>0</v>
      </c>
      <c r="AM76" s="148" t="b">
        <f>IF(Исходн.данные.!$P76="Ум",P_OrgUd_2g_um,IF(Исходн.данные.!$P76="Об",P_OrgUd_2g_ob))</f>
        <v>0</v>
      </c>
      <c r="AN76" s="148" t="b">
        <f>IF(Исходн.данные.!$P76="Ум",K_OrgUd_2g_um,IF(Исходн.данные.!$P76="Об",K_OrgUd_2g_ob))</f>
        <v>0</v>
      </c>
      <c r="AO76" s="148" t="b">
        <f>IF(Исходн.данные.!$P76="Ум",N_OrgUd_1g_um,IF(Исходн.данные.!$P76="Об",N_OrgUd_1g_ob))</f>
        <v>0</v>
      </c>
      <c r="AP76" s="148" t="b">
        <f>IF(Исходн.данные.!$P76="Ум",P_OrgUd_1g_um,IF(Исходн.данные.!$P76="Об",P_OrgUd_1g_ob))</f>
        <v>0</v>
      </c>
      <c r="AQ76" s="148" t="b">
        <f>IF(Исходн.данные.!$P76="Ум",K_OrgUd_1g_um,IF(Исходн.данные.!$P76="Об",K_OrgUd_1g_ob))</f>
        <v>0</v>
      </c>
      <c r="AR76" t="b">
        <f>IF(Исходн.данные.!$P76="Ум",N_MinUd_2g_um,IF(Исходн.данные.!$P76="Об",N_MinUd_2g_ob))</f>
        <v>0</v>
      </c>
      <c r="AS76" t="b">
        <f>IF(Исходн.данные.!$P76="Ум",P_MinUd_2g_um,IF(Исходн.данные.!$P76="Об",P_MinUd_2g_ob))</f>
        <v>0</v>
      </c>
      <c r="AT76" t="b">
        <f>IF(Исходн.данные.!$P76="Ум",K_MinUd_2g_um,IF(Исходн.данные.!$P76="Об",K_MinUd_2g_ob))</f>
        <v>0</v>
      </c>
      <c r="AU76" t="b">
        <f>IF(Исходн.данные.!$P76="Ум",N_MinUd_1g_um,IF(Исходн.данные.!$P76="Об",N_MinUd_1g_ob))</f>
        <v>0</v>
      </c>
      <c r="AV76" t="b">
        <f>IF(Исходн.данные.!P76="Ум",P_MinUd_1g_um,IF(Исходн.данные.!P76="Об",P_MinUd_1g_ob))</f>
        <v>0</v>
      </c>
      <c r="AW76" t="b">
        <f>IF(Исходн.данные.!P76="Ум",K_MinUd_1g_um,IF(Исходн.данные.!P76="Об",K_MinUd_1g_ob))</f>
        <v>0</v>
      </c>
      <c r="AY76" t="e">
        <f>VLOOKUP(Исходн.данные.!T76,Справ!$A$3:$N$57,12)</f>
        <v>#N/A</v>
      </c>
      <c r="AZ76" t="e">
        <f>VLOOKUP(Исходн.данные.!T76,Справ!$A$3:$N$57,13)</f>
        <v>#N/A</v>
      </c>
      <c r="BA76" t="e">
        <f>VLOOKUP(Исходн.данные.!T76,Справ!$A$3:$N$57,14)</f>
        <v>#N/A</v>
      </c>
      <c r="BB76">
        <f>IF(Исходн.данные.!AH76=0,0,25)</f>
        <v>0</v>
      </c>
      <c r="BC76" s="141">
        <f>IF(Исходн.данные.!AH76=0,0,IF(Исходн.данные.!T76=0,25,BD76))</f>
        <v>0</v>
      </c>
      <c r="BD76" s="168" t="e">
        <f>AY76+AZ76*Исходн.данные.!U76-POWER(BA76,2)*Исходн.данные.!U76</f>
        <v>#N/A</v>
      </c>
      <c r="BE7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6" s="25">
        <f>IF(Исходн.данные.!AH76=0,0,MIN(HN76:HP76))</f>
        <v>0</v>
      </c>
      <c r="BG76" s="9">
        <f>IF(Исходн.данные.!AH76=0,0,IF((HO76+10*0.25/HG76/HL76)&lt;17,17,HO76+10*0.25/HG76/HL76))</f>
        <v>0</v>
      </c>
      <c r="BH76" s="181">
        <f>IF(Исходн.данные.!AH76=0,0,HW76*HF76*HL76/AU76*AI76+Исходн.данные.!S76*10)</f>
        <v>0</v>
      </c>
      <c r="BI76" s="10"/>
      <c r="BJ76" s="182">
        <f>IF(Исходн.данные.!AH76=0,0,IF(HX76*HG76*HL76/AV76&lt;0,0,HX76*HG76*HL76/AV76*AJ76))</f>
        <v>0</v>
      </c>
      <c r="BK76" s="182">
        <f>IF(Исходн.данные.!AH76=0,0,HY76*HH76*HM76/AW76)</f>
        <v>0</v>
      </c>
      <c r="BL76" s="10">
        <f>IF(OR(Исходн.данные.!$AH76=$BP$1,Исходн.данные.!$AH76=$BP$2),0,IF(BH76&lt;0,0,IF(OR(Исходн.данные.!T76=Расчет!$BP$1,Исходн.данные.!T76=Расчет!$BP$2,Исходн.данные.!T76=Расчет!$BT$5,Исходн.данные.!T76=Расчет!$BT$6),BH76*0.5,IF(OR(Исходн.данные.!T76=Расчет!$BS$9,Исходн.данные.!T76=Расчет!$BS$10,Исходн.данные.!T76=Расчет!$BS$11,Исходн.данные.!T76=Расчет!$BS$12,Исходн.данные.!T76=Расчет!$BP$5),BH76*0.8,BH76))))</f>
        <v>0</v>
      </c>
      <c r="BM76" s="10">
        <f>IF(OR(Исходн.данные.!$AH76=$BP$1,Исходн.данные.!$AH76=$BP$2),0,IF(BJ76&lt;0,0,IF(Исходн.данные.!I76&lt;4.5,BJ76*1.2,IF(Исходн.данные.!I76&gt;5.1,BJ76,BJ76*((5.1-Исходн.данные.!I76)*0.333+1)))))</f>
        <v>0</v>
      </c>
      <c r="BN76" s="10">
        <f>IF(OR(Исходн.данные.!$AH76=$BP$1,Исходн.данные.!$AH76=$BP$2),60-Исходн.данные.!AF76,IF(BK76&lt;0,0,IF(Исходн.данные.!I76&lt;4.5,BK76*1.2,IF(Исходн.данные.!I76&gt;5.1,BK76,BK76*((5.1-Исходн.данные.!I76)*0.333+1)))))</f>
        <v>0</v>
      </c>
      <c r="BO76" s="9">
        <f>IF(BL76&lt;0,0,BL76*Исходн.данные.!$AJ76/1000)</f>
        <v>0</v>
      </c>
      <c r="BP76" s="9">
        <f>IF(BM76&lt;0,0,BM76*Исходн.данные.!$AJ76/1000)</f>
        <v>0</v>
      </c>
      <c r="BQ76" s="9">
        <f>IF(BN76&lt;0,0,BN76*Исходн.данные.!$AJ76/1000)</f>
        <v>0</v>
      </c>
      <c r="BR76" s="9">
        <f t="shared" si="81"/>
        <v>0</v>
      </c>
      <c r="BS76" s="10" t="str">
        <f t="shared" si="82"/>
        <v>Аммофос 12:52:00</v>
      </c>
      <c r="BT76" s="10" t="str">
        <f t="shared" si="83"/>
        <v>Аммофос 12:52:00</v>
      </c>
      <c r="BU76" s="10" t="str">
        <f t="shared" si="84"/>
        <v>Диаммофоска</v>
      </c>
      <c r="BV76" s="10">
        <f t="shared" si="85"/>
        <v>0</v>
      </c>
      <c r="BW76" s="10"/>
      <c r="BX76" s="10"/>
      <c r="BY76" s="9">
        <f>IF(BL76&lt;0,0,IF(OR(Исходн.данные.!AI76=Расчет!$BU$6,Исходн.данные.!AI76=Расчет!$BU$7),Расчет!BV76,IF(Исходн.данные.!$AG76=$BV$11,BL76,IF(OR(Исходн.данные.!$AH76=$BQ$7,Исходн.данные.!$AH76=$BQ$8),CB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0,IF(Исходн.данные.!$AI76=$BU$11,"Нет",IF(BL76&gt;30,30,BL76)))))))</f>
        <v>0</v>
      </c>
      <c r="BZ76" s="9">
        <f>IF(AND(Исходн.данные.!$AG76=$BV$11,BM76&lt;10),10,IF(Исходн.данные.!$AG76=$BV$11,BM76,IF(OR(Исходн.данные.!$AH76=$BQ$7,Исходн.данные.!$AH76=$BQ$8),CC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10,IF(Исходн.данные.!$AI76=$BU$11,"Нет",IF(BM76&gt;60,60,IF(BM76&lt;10,10,BM76)))))))</f>
        <v>10</v>
      </c>
      <c r="CA76" s="39">
        <f>IF(BN76&lt;0,0,IF(Исходн.данные.!$AG76=$BV$11,BN76,IF(OR(Исходн.данные.!$AH76=$BQ$7,Исходн.данные.!$AH76=$BQ$8),CD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0,IF(Исходн.данные.!$AI76=$BU$11,"Нет",IF(BN76&gt;30,30,BN76))))))</f>
        <v>0</v>
      </c>
      <c r="CB76" s="9">
        <f t="shared" si="86"/>
        <v>0</v>
      </c>
      <c r="CC76" s="9">
        <f t="shared" si="87"/>
        <v>0</v>
      </c>
      <c r="CD76" s="9">
        <f t="shared" si="88"/>
        <v>0</v>
      </c>
      <c r="CE76" s="12">
        <f t="shared" si="89"/>
        <v>10</v>
      </c>
      <c r="CF76" s="9">
        <f t="shared" si="90"/>
        <v>0</v>
      </c>
      <c r="CG76" s="9" t="s">
        <v>231</v>
      </c>
      <c r="CH76" s="132" t="str">
        <f>IF(Исходн.данные.!AP76=Расчет!$CI$16,"Нет",IF(Исходн.данные.!AL76&gt;0,Исходн.данные.!AL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BH$4,IF(OR(Исходн.данные.!AI76=Исходн.данные.!$AI$6,Исходн.данные.!AI76=Исходн.данные.!$AI$7),Расчет!BS76,IF(AND($CF76=0,$CE76&gt;0),EV76,ER76)))))</f>
        <v>Аммофос 12:52:00</v>
      </c>
      <c r="CI76" s="274">
        <f>IF(Расчет!$CH76="Нет","Нет",IF(Исходн.данные.!$AL76&gt;0,VLOOKUP(Расчет!$CH76,АшламаДВ_Irekle,2,FALSE),VLOOKUP(Расчет!$CH76,АшламаДВ_Gomumy,2,FALSE)))</f>
        <v>0.12</v>
      </c>
      <c r="CJ76" s="274">
        <f>IF(Расчет!$CH76="Нет","Нет",IF(Исходн.данные.!$AL76&gt;0,VLOOKUP(Расчет!$CH76,АшламаДВ_Irekle,3,FALSE),VLOOKUP(Расчет!$CH76,АшламаДВ_Gomumy,3,FALSE)))</f>
        <v>0.52</v>
      </c>
      <c r="CK76" s="274">
        <f>IF(Расчет!$CH76="Нет","Нет",IF(Исходн.данные.!$AL76&gt;0,VLOOKUP(Расчет!$CH76,АшламаДВ_Irekle,4,FALSE),VLOOKUP(Расчет!$CH76,АшламаДВ_Gomumy,4,FALSE)))</f>
        <v>0</v>
      </c>
      <c r="CL76" s="70"/>
      <c r="CM76" s="70"/>
      <c r="CN76" s="70"/>
      <c r="CO76" s="70"/>
      <c r="CP76" s="70"/>
      <c r="CQ76" s="70"/>
      <c r="CR76" s="10">
        <f t="shared" si="91"/>
        <v>0</v>
      </c>
      <c r="CS76" s="10">
        <f t="shared" si="92"/>
        <v>19.23076923076923</v>
      </c>
      <c r="CT76" s="10">
        <f t="shared" si="93"/>
        <v>0</v>
      </c>
      <c r="CU76" s="39">
        <f>IF($CH76="Нет",0,IF(CI76=0,30/MIN(CJ76:CK76),IF(Исходн.данные.!$AG76=$BV$11,CR76,IF(OR(Исходн.данные.!$AH76=$BQ$7,Исходн.данные.!$AH76=$BQ$8),90/CI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0,IF(Исходн.данные.!$AI76=$BU$11,"Нет",30/CI76))))))</f>
        <v>250</v>
      </c>
      <c r="CV76" s="39">
        <f>IF($CH76="Нет",0,IF(Исходн.данные.!AH76=0,0,IF(CJ76=0,60/MIN(CI76,CK76),IF(Исходн.данные.!$AG76=$BV$11,CS76,IF(OR(Исходн.данные.!$AH76=$BQ$7,Исходн.данные.!$AH76=$BQ$8),90/CJ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10/CJ76,IF(Исходн.данные.!$AI76=$BU$11,"Нет",60/CJ76)))))))</f>
        <v>0</v>
      </c>
      <c r="CW76" s="39">
        <f>IF($CH76="Нет",0,IF(Исходн.данные.!AH76=0,0,IF(CK76=0,30/MIN(CI76:CJ76),IF(Исходн.данные.!$AG76=$BV$11,CT76,IF(OR(Исходн.данные.!$AH76=$BQ$7,Исходн.данные.!$AH76=$BQ$8),90/CK76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0,IF(Исходн.данные.!$AI76=$BU$11,"Нет",30/CK76)))))))</f>
        <v>0</v>
      </c>
      <c r="CX76" s="133">
        <f>IF(Исходн.данные.!$AG76=$BV$11,MAX(CU76:CW76),IF(OR(Исходн.данные.!$AH76=$BS$8,Исходн.данные.!$AH76=$BQ$9,Исходн.данные.!$AH76=$BQ$10,Исходн.данные.!$AH76=$BQ$11,Исходн.данные.!$AH76=$BQ$12,Исходн.данные.!$AH76=$BP$3,Исходн.данные.!$AH76=$BT$8,$FM76="Да"),CV76,MIN(CU76:CW76)))</f>
        <v>0</v>
      </c>
      <c r="CY76" s="133">
        <f>IF(Исходн.данные.!AH76=0,0,IF(CR76&gt;$CX76,$CX76,CR76))</f>
        <v>0</v>
      </c>
      <c r="CZ76" s="133">
        <f>IF(Исходн.данные.!AH76=0,0,IF(CS76&gt;$CX76,$CX76,CS76))</f>
        <v>0</v>
      </c>
      <c r="DA76" s="133">
        <f>IF(Исходн.данные.!AH76=0,0,IF(CT76&gt;$CX76,$CX76,CT76))</f>
        <v>0</v>
      </c>
      <c r="DB76" s="10">
        <f t="shared" si="94"/>
        <v>0</v>
      </c>
      <c r="DC76" s="39">
        <f>DB76*Исходн.данные.!AJ76/1000</f>
        <v>0</v>
      </c>
      <c r="DD76" s="71">
        <f t="shared" si="95"/>
        <v>0</v>
      </c>
      <c r="DE76" s="9">
        <f t="shared" si="96"/>
        <v>0</v>
      </c>
      <c r="DF76" s="9">
        <f t="shared" si="97"/>
        <v>0</v>
      </c>
      <c r="DG76" s="39">
        <f>IF(BL76&lt;0,0,IF($CH76="Нет",BL76,IF(OR(Исходн.данные.!$AH76=$BP$1,Исходн.данные.!$AH76=$BP$2),0,IF(Исходн.данные.!AI76=$BU$11,BL76,IF(BL76-DD76&lt;0,0,BL76-DD76)))))</f>
        <v>0</v>
      </c>
      <c r="DH76" s="39">
        <f>IF(BM76&lt;0,0,IF($CH76="Нет",BM76,IF(OR(Исходн.данные.!$AH76=$BP$1,Исходн.данные.!$AH76=$BP$2),0,IF(Исходн.данные.!AJ76=$BU$11,BM76,IF(BM76-DE76&lt;0,0,BM76-DE76)))))</f>
        <v>0</v>
      </c>
      <c r="DI76" s="39">
        <f>IF(BN76&lt;0,0,IF($CH76="Нет",BN76,IF(OR(Исходн.данные.!$AH76=$BP$1,Исходн.данные.!$AH76=$BP$2),0,IF(Исходн.данные.!AK76=$BU$11,BN76,IF(BN76-DF76&lt;0,0,BN76-DF76)))))</f>
        <v>0</v>
      </c>
      <c r="DJ76" s="12">
        <f t="shared" si="98"/>
        <v>0</v>
      </c>
      <c r="DK76" s="9">
        <f t="shared" si="99"/>
        <v>0</v>
      </c>
      <c r="DL76" s="39">
        <f>IF(Исходн.данные.!AM76&gt;0,Исходн.данные.!AM76,IF(EG76&gt;0,$BH$10,0))</f>
        <v>0</v>
      </c>
      <c r="DM76" s="186">
        <f>IF($DL76=0,0,IF(Исходн.данные.!AM76&gt;0,VLOOKUP($DL76,АшламаДВ_Irekle,2,FALSE),VLOOKUP($DL76,АшламаДВ_Gomumy,2,FALSE)))</f>
        <v>0</v>
      </c>
      <c r="DN76" s="10">
        <f t="shared" si="46"/>
        <v>0</v>
      </c>
      <c r="DO76" s="9" t="str">
        <f>IF(Исходн.данные.!AN76&gt;0,Исходн.данные.!AN76,Удобрения!$B$37 )</f>
        <v>Хлор.калий</v>
      </c>
      <c r="DP76" s="9">
        <f>IF(Исходн.данные.!AN76&gt;0,VLOOKUP(Исходн.данные.!AN76,АшламаДВ_Irekle,4,FALSE),VLOOKUP(DO76,АшламаДВ_Gomumy,4,FALSE))</f>
        <v>0.6</v>
      </c>
      <c r="DQ76" s="10">
        <f t="shared" si="47"/>
        <v>0</v>
      </c>
      <c r="DR76" s="132" t="str">
        <f>IF(Исходн.данные.!AO76&gt;0,Исходн.данные.!AO76,IF(DH76=0,BS$17,IF(AND($DK76=0,$DJ76&gt;0),EJ76,EN76)))</f>
        <v>Нет</v>
      </c>
      <c r="DS76" s="70" t="str">
        <f>IF($DR76="Нет","Нет",IF(Исходн.данные.!$AO76&gt;0,VLOOKUP($DR76,АшламаДВ_Irekle,2,FALSE),VLOOKUP($DR76,АшламаДВ_Gomumy,2,FALSE)))</f>
        <v>Нет</v>
      </c>
      <c r="DT76" s="70" t="str">
        <f>IF($DR76="Нет","Нет",IF(Исходн.данные.!$AO76&gt;0,VLOOKUP($DR76,АшламаДВ_Irekle,3,FALSE),VLOOKUP($DR76,АшламаДВ_Gomumy,3,FALSE)))</f>
        <v>Нет</v>
      </c>
      <c r="DU76" s="70" t="str">
        <f>IF($DR76="Нет","Нет",IF(Исходн.данные.!$AO76&gt;0,VLOOKUP($DR76,АшламаДВ_Irekle,4,FALSE),VLOOKUP($DR76,АшламаДВ_Gomumy,4,FALSE)))</f>
        <v>Нет</v>
      </c>
      <c r="DV76" s="70"/>
      <c r="DW76" s="70"/>
      <c r="DX76" s="70"/>
      <c r="DY76" s="10">
        <f t="shared" si="100"/>
        <v>0</v>
      </c>
      <c r="DZ76" s="10">
        <f t="shared" si="101"/>
        <v>0</v>
      </c>
      <c r="EA76" s="10">
        <f t="shared" si="102"/>
        <v>0</v>
      </c>
      <c r="EB76" s="10">
        <f t="shared" si="103"/>
        <v>0</v>
      </c>
      <c r="EC76" s="10">
        <f t="shared" si="104"/>
        <v>0</v>
      </c>
      <c r="ED76" s="10">
        <f t="shared" si="105"/>
        <v>0</v>
      </c>
      <c r="EE76" s="10">
        <f t="shared" si="106"/>
        <v>0</v>
      </c>
      <c r="EF76" s="39">
        <f>EB76*Исходн.данные.!AJ76/1000</f>
        <v>0</v>
      </c>
      <c r="EG76" s="9">
        <f t="shared" si="107"/>
        <v>0</v>
      </c>
      <c r="EH76" s="9">
        <f t="shared" si="108"/>
        <v>0</v>
      </c>
      <c r="EI76" s="39" t="e">
        <f t="shared" si="7"/>
        <v>#DIV/0!</v>
      </c>
      <c r="EJ76" s="9" t="str">
        <f t="shared" si="8"/>
        <v>Азопреципитат</v>
      </c>
      <c r="EK76" s="12">
        <f t="shared" si="9"/>
        <v>0.26</v>
      </c>
      <c r="EL76" s="12">
        <f t="shared" si="10"/>
        <v>0.13</v>
      </c>
      <c r="EM76" s="12">
        <f t="shared" si="11"/>
        <v>0</v>
      </c>
      <c r="EN76" s="12" t="str">
        <f t="shared" si="57"/>
        <v>Нет</v>
      </c>
      <c r="EO76" s="12">
        <f t="shared" si="12"/>
        <v>0</v>
      </c>
      <c r="EP76" s="12">
        <f t="shared" si="13"/>
        <v>0</v>
      </c>
      <c r="EQ76" s="12">
        <f t="shared" si="14"/>
        <v>0</v>
      </c>
      <c r="ER76" s="12" t="str">
        <f t="shared" si="109"/>
        <v>Диаммофоска</v>
      </c>
      <c r="ES76" s="12">
        <f t="shared" si="15"/>
        <v>0.1</v>
      </c>
      <c r="ET76" s="12">
        <f t="shared" si="16"/>
        <v>0.26</v>
      </c>
      <c r="EU76" s="12">
        <f t="shared" si="17"/>
        <v>0.26</v>
      </c>
      <c r="EV76" s="12" t="str">
        <f t="shared" si="110"/>
        <v>Аммофос 12:52:00</v>
      </c>
      <c r="EW76" s="12" t="str">
        <f t="shared" si="111"/>
        <v>Кемира Свекловичное-6</v>
      </c>
      <c r="EX76" s="12">
        <f t="shared" si="18"/>
        <v>0.16</v>
      </c>
      <c r="EY76" s="12">
        <f t="shared" si="19"/>
        <v>0.12</v>
      </c>
      <c r="EZ76" s="12">
        <f t="shared" si="20"/>
        <v>0.17</v>
      </c>
      <c r="FA76" s="38" t="e">
        <f>IF(AND(OR(FJ76=$FD$1,FM76=$FD$1,FO76=$FD$1,FQ76=$FD$1,FS76=$FD$1),FD76=$FD$1,Исходн.данные.!J76&lt;2,FU76=$FD$1),"Бор,Кобальт",IF(AND(FO76=$FD$1,FH76=$FD$1,Исходн.данные.!J76&lt;2,FU76=$FD$1),"Бор,Кобальт",IF(AND(OR(FJ76=$FD$1,FM76=$FD$1,FQ76=$FD$1),FE76=$FD$1,Исходн.данные.!J76&lt;2,FT76=$FD$1,FU76=$FD$1),"Бор,Медь,Цинк",IF(AND(OR(FJ76=$FD$1,FR76="Да"),FI76="Да",Исходн.данные.!J76&lt;2,FT76="Да",FU76="Да"),"Бор,Цинк,Медь",IF(AND(OR(FM76="Да",FQ76="Да"),FI76="Да",Исходн.данные.!J76&lt;2,FT76="Да",FU76="Да"),"Бор,Цинк",IF(AND(FN76="Да",OR(FD76="Да",FE76="Да")),"Бор",FB76))))))</f>
        <v>#N/A</v>
      </c>
      <c r="FB76" s="134" t="e">
        <f>IF(AND(OR(FD76="Да",FE76="Да",FF76="Да",FG76="Да",FH76="Да"),FO76="Да"),"Бор",IF(AND(FP76="Да",OR(FD76="Да",FE76="Да",FI76="Да")),"Бор",IF(AND(FS76="Да",FE76="Да"),"Бор,Медь",IF(AND(OR(FJ76="Да",FK76="Да",FL76="Да"),FE76="Да",Исходн.данные.!I76&lt;5,FT76="Да",FU76="Да"),"Молибден,Цинк",IF(AND(FM76="Да",OR(FE76="Да",FF76="Да",FG76="Да",FH76="Да",FI76="Да")),"Молибден,Цинк",IF(AND(OR(FJ76="Да",FK76="Да",FL76="Да",FM76="Да",FQ76="Да"),OR(FE76="Да",FF76="Да"),FT76="Да",FU76="Да",Исходн.данные.!I76&gt;5.5),"Медь,Цинк",FC76))))))</f>
        <v>#N/A</v>
      </c>
      <c r="FC76" s="23" t="e">
        <f t="shared" si="112"/>
        <v>#N/A</v>
      </c>
      <c r="FD76" s="38" t="str">
        <f>IF(OR(Исходн.данные.!F76=$CC$1,Исходн.данные.!F76=$CC$2,Исходн.данные.!F76=$CC$3,Исходн.данные.!F76=$CC$4),"Да","Нет")</f>
        <v>Нет</v>
      </c>
      <c r="FE76" s="38" t="str">
        <f>IF(Исходн.данные.!F76=$CC$5,"Да","Нет")</f>
        <v>Нет</v>
      </c>
      <c r="FF76" s="38" t="str">
        <f>IF(OR(Исходн.данные.!F76=$CC$6,Исходн.данные.!F76=$CC$7),"Да","Нет")</f>
        <v>Нет</v>
      </c>
      <c r="FG76" s="38" t="str">
        <f>IF(OR(Исходн.данные.!F76=$CC$8,Исходн.данные.!F76=$CC$9),"Да","Нет")</f>
        <v>Нет</v>
      </c>
      <c r="FH76" s="38" t="str">
        <f>IF(Исходн.данные.!F76=$CC$10,"Да","Нет")</f>
        <v>Нет</v>
      </c>
      <c r="FI76" s="38" t="str">
        <f>IF(OR(Исходн.данные.!F76=$CC$11,Исходн.данные.!F76=$CC$12),"Да","Нет")</f>
        <v>Нет</v>
      </c>
      <c r="FJ76" s="38" t="str">
        <f>IF(OR(Исходн.данные.!AH76=$BS$1,Исходн.данные.!AH76=$BQ$11,Исходн.данные.!AH76=$BQ$12),"Да","Нет")</f>
        <v>Нет</v>
      </c>
      <c r="FK76" s="38" t="str">
        <f>IF(OR(Исходн.данные.!AH76=$BS$2,Исходн.данные.!AH76=$BS$4),"Да","Нет")</f>
        <v>Нет</v>
      </c>
      <c r="FL76" s="38" t="str">
        <f>IF(OR(Исходн.данные.!AH76=$BS$3,Исходн.данные.!AH76=$BS$5),"Да","Нет")</f>
        <v>Нет</v>
      </c>
      <c r="FM76" s="38" t="str">
        <f>IF(OR(Исходн.данные.!AH76=$BS$9,Исходн.данные.!AH76=$BS$10,Исходн.данные.!AH76=$BS$11,Исходн.данные.!AH76=$BS$12),"Да","Нет")</f>
        <v>Нет</v>
      </c>
      <c r="FN76" s="38" t="str">
        <f>IF(OR(Исходн.данные.!AH76=$BS$6,Исходн.данные.!AH76=$BP$3),"Да","Нет")</f>
        <v>Нет</v>
      </c>
      <c r="FO76" s="38" t="str">
        <f>IF(Исходн.данные.!AH76=$BQ$9,"Да","Нет")</f>
        <v>Нет</v>
      </c>
      <c r="FP76" s="38" t="str">
        <f>IF(OR(Исходн.данные.!AH76=$BS$8,Исходн.данные.!AH76=$BT$8),"Да","Нет")</f>
        <v>Нет</v>
      </c>
      <c r="FQ76" s="38" t="str">
        <f>IF(OR(Исходн.данные.!AH76=$BQ$7,Исходн.данные.!AH76=$BQ$8),"Да","Нет")</f>
        <v>Нет</v>
      </c>
      <c r="FR76" s="38" t="str">
        <f>IF(Исходн.данные.!AI76=$BU$9,"Да","Нет")</f>
        <v>Нет</v>
      </c>
      <c r="FS76" s="38" t="str">
        <f>IF(OR(Исходн.данные.!AH76=$BP$1,Исходн.данные.!AH76=$BP$2),"Да","Нет")</f>
        <v>Нет</v>
      </c>
      <c r="FT76" s="38" t="e">
        <f>IF((Исходн.данные.!K76*GO76*GS76*GW76+BL76*0.6+Исходн.данные.!Q76*4.5*0.275)&gt;90,"Да","Нет")</f>
        <v>#N/A</v>
      </c>
      <c r="FU76" s="38" t="e">
        <f>IF((Исходн.данные.!M76*GS76*GZ76+BM76*0.225)&gt;35,"Да","Нет")</f>
        <v>#N/A</v>
      </c>
      <c r="FV76" s="38" t="str">
        <f>IF(Исходн.данные.!O76&gt;175,"Да","Нет")</f>
        <v>Нет</v>
      </c>
      <c r="FW76" s="39" t="str">
        <f>IF(Исходн.данные.!I76&gt;5.5,"Да","Нет")</f>
        <v>Нет</v>
      </c>
      <c r="FX76" s="39" t="str">
        <f>IF(Исходн.данные.!J76&lt;2,"Да","Нет")</f>
        <v>Да</v>
      </c>
      <c r="FY76" s="39" t="e">
        <f>IF(HF76=$FY$16,0,Исходн.данные.!K76*GO76*GS76*GW76/HF76)</f>
        <v>#N/A</v>
      </c>
      <c r="FZ76" s="39" t="e">
        <f>Исходн.данные.!M76*GS76*GZ76/HG76</f>
        <v>#N/A</v>
      </c>
      <c r="GA76" s="39" t="e">
        <f>IF(K_Wyn=$FY$16,0,IF(Исходн.данные.!N76=Исходн.данные.!$L$10,Исходн.данные.!O76/1.1*GS76*HC76/HH76,IF(Исходн.данные.!N76=Исходн.данные.!$L$12,Исходн.данные.!O76/1.5*GS76*HC76/HH76,Исходн.данные.!O76*GS76*HC76/HH76)))</f>
        <v>#N/A</v>
      </c>
      <c r="GB76" s="39" t="e">
        <f>IF(HF76=$FY$16,0,((Исходн.данные.!Q76*N_Org+Исходн.данные.!R76*N_Sider+Исходн.данные.!S76*N_Soloma)*AO76+Расчет!BC76*VLOOKUP(Исходн.данные.!T76,Справ!$A$3:$O$57,15)*AO76+BB76*VLOOKUP(Исходн.данные.!T76,Справ!$A$3:$O$57,15)*AL76+(Исходн.данные.!V76*N_Rizotorf+Исходн.данные.!W76*N_Rizoagr))/HF76)</f>
        <v>#N/A</v>
      </c>
      <c r="GC76" s="39" t="e">
        <f>IF(HG76=$FY$16,0,((Исходн.данные.!Q76*Р_Org+Исходн.данные.!R76*P_Sider+Исходн.данные.!S76*P_Soloma)*AP76+Расчет!BC76*VLOOKUP(Исходн.данные.!T76,Справ!$A$3:$P$57,16)*AP76+BB76*VLOOKUP(Исходн.данные.!T76,Справ!$A$3:$P$57,16)*AM76)/HG76)</f>
        <v>#N/A</v>
      </c>
      <c r="GD76" s="39" t="e">
        <f>IF(HH76=$FY$16,0,((Исходн.данные.!Q76*К_Org+Исходн.данные.!R76*K_Sider+Исходн.данные.!S76*K_Soloma)*AQ76+Расчет!BC76*VLOOKUP(Исходн.данные.!T76,Справ!$A$3:$Q$57,17)*AQ76+BB76*VLOOKUP(Исходн.данные.!T76,Справ!$A$3:$Q$57,17)*AN76)/HH76)</f>
        <v>#N/A</v>
      </c>
      <c r="GE76" s="39" t="e">
        <f>IF(HF76=$FY$16,0,(Исходн.данные.!X76*AR76+Исходн.данные.!AA76*N_Org*AL76+Исходн.данные.!AB76*N_Sider*AL76+Исходн.данные.!AC76*N_Soloma*AL76)/HF76)</f>
        <v>#N/A</v>
      </c>
      <c r="GF76" s="39" t="e">
        <f>IF(HG76=$FY$16,0,(Исходн.данные.!Y76*AS76+Исходн.данные.!AA76*Р_Org*AM76+Исходн.данные.!AB76*P_Sider*AM76+Исходн.данные.!AC76*P_Soloma*AM76)/HG76)</f>
        <v>#N/A</v>
      </c>
      <c r="GG76" s="39" t="e">
        <f>IF(HH76=$FY$16,0,(Исходн.данные.!Z76*AT76+Исходн.данные.!AA76*К_Org*AN76+Исходн.данные.!AB76*K_Sider*AN76+Исходн.данные.!AC76*K_Soloma*AN76)/HH76)</f>
        <v>#N/A</v>
      </c>
      <c r="GH76" s="39" t="e">
        <f>Исходн.данные.!AD76*AU76/HF76</f>
        <v>#N/A</v>
      </c>
      <c r="GI76" s="39" t="e">
        <f>Исходн.данные.!AE76*AV76/HG76</f>
        <v>#N/A</v>
      </c>
      <c r="GJ76" s="39" t="e">
        <f>Исходн.данные.!AF76*AW76/HH76</f>
        <v>#N/A</v>
      </c>
      <c r="GK76" s="55">
        <f>Исходн.данные.!AK76</f>
        <v>0</v>
      </c>
      <c r="GL76" s="11" t="e">
        <f t="shared" si="113"/>
        <v>#N/A</v>
      </c>
      <c r="GM76" s="11" t="e">
        <f t="shared" si="114"/>
        <v>#N/A</v>
      </c>
      <c r="GN76" s="11" t="e">
        <f t="shared" si="115"/>
        <v>#N/A</v>
      </c>
      <c r="GO76" s="57">
        <f t="shared" si="116"/>
        <v>19</v>
      </c>
      <c r="GP76" s="55">
        <f>IF(OR(Исходн.данные.!F76=$CE$1,Исходн.данные.!F76=$CE$2,Исходн.данные.!F76=$CE$3,Исходн.данные.!F76=$CE$4,Исходн.данные.!F76=$CE$5),GQ76,GR76)</f>
        <v>19</v>
      </c>
      <c r="GQ76" s="55">
        <f>IF(Исходн.данные.!F76=$CE$1,28,IF(Исходн.данные.!F76=$CE$2,26,IF(Исходн.данные.!F76=$CE$3,24,IF(Исходн.данные.!F76=$CE$4,22,IF(Исходн.данные.!F76=$CE$5,20,GR76)))))</f>
        <v>19</v>
      </c>
      <c r="GR76" s="55">
        <f>IF(Исходн.данные.!F76=$CE$6,18,IF(Исходн.данные.!F76=$CE$7,16,IF(Исходн.данные.!F76=$CE$8,14,IF(Исходн.данные.!F76=$CE$9,13,IF(Исходн.данные.!F76=$CE$10,12,19)))))</f>
        <v>19</v>
      </c>
      <c r="GS76" s="55">
        <f>IF(Исходн.данные.!G76="Пес",0.035*(40+2*Исходн.данные.!H76),IF(Исходн.данные.!G76="Суп",0.0325*(40+2*Исходн.данные.!H76),0.03*(40+2*Исходн.данные.!H76)))</f>
        <v>1.2</v>
      </c>
      <c r="GT76" s="55">
        <f>IF(Исходн.данные.!H76&lt;23,2.6,IF(AND(Исходн.данные.!H76&gt;22,Исходн.данные.!H76&lt;26),3,IF(AND(Исходн.данные.!H76&gt;25,Исходн.данные.!H76&lt;29),3.4,3.6)))</f>
        <v>2.6</v>
      </c>
      <c r="GU76" s="55">
        <f>IF(Исходн.данные.!H76&lt;23,2.8,IF(AND(Исходн.данные.!H76&gt;22,Исходн.данные.!H76&lt;26),3.2,IF(AND(Исходн.данные.!H76&gt;25,Исходн.данные.!H76&lt;29),3.6,3.9)))</f>
        <v>2.8</v>
      </c>
      <c r="GV76" s="55">
        <f>IF(Исходн.данные.!H76&lt;23,3,IF(AND(Исходн.данные.!H76&gt;22,Исходн.данные.!H76&lt;26),3.5,IF(AND(Исходн.данные.!H76&gt;25,Исходн.данные.!H76&lt;29),3.9,4.2)))</f>
        <v>3</v>
      </c>
      <c r="GW76" s="55" t="e">
        <f>IF(Исходн.данные.!P76="Ум",GX76,GY76)</f>
        <v>#N/A</v>
      </c>
      <c r="GX76" s="55" t="e">
        <f>VLOOKUP(Исходн.данные.!AI76,Коэффициенты!$J$7:$L$13,2,FALSE)</f>
        <v>#N/A</v>
      </c>
      <c r="GY76" s="55" t="e">
        <f>VLOOKUP(Исходн.данные.!AI76,Коэффициенты!$J$7:$L$13,3,FALSE)</f>
        <v>#N/A</v>
      </c>
      <c r="GZ76" s="55" t="e">
        <f>(IF(Исходн.данные.!M76&lt;50,0.11*VLOOKUP(Исходн.данные.!AH76,Культуры.Информация,7,FALSE),IF(Исходн.данные.!M76&gt;250,0.05*VLOOKUP(Исходн.данные.!AH76,Культуры.Информация,7,FALSE),VLOOKUP(Исходн.данные.!AH76,Культуры.Информация,5,FALSE)/100*($GX$6+$GY$6*Исходн.данные.!M76))))*Расчет2!AI76</f>
        <v>#N/A</v>
      </c>
      <c r="HA76" s="211"/>
      <c r="HB76" s="211"/>
      <c r="HC76" s="55" t="e">
        <f>(IF(Исходн.данные.!O76&lt;80,0.2*VLOOKUP(Исходн.данные.!AH76,Культуры.Информация,8,FALSE),IF(Исходн.данные.!O76&gt;240,0.09*VLOOKUP(Исходн.данные.!AH76,Культуры.Информация,8,FALSE),VLOOKUP(Исходн.данные.!AH76,Культуры.Информация,6,FALSE)/100*($HB$6+$HC$6*Исходн.данные.!O76))))*Расчет2!AJ76</f>
        <v>#N/A</v>
      </c>
      <c r="HD76" s="55">
        <f>IF(Исходн.данные.!O76&gt;240,0.09,IF(Исходн.данные.!O76&lt;30,0.3,$HE$10+$HD$10*Исходн.данные.!O76))</f>
        <v>0.3</v>
      </c>
      <c r="HE76" s="55">
        <f>IF(Исходн.данные.!O76&gt;240,0.17,IF(Исходн.данные.!O76&lt;30,0.5,$HF$12+$HE$12*Исходн.данные.!O76))</f>
        <v>0.5</v>
      </c>
      <c r="HF76" s="55" t="e">
        <f>VLOOKUP(Исходн.данные.!AH76,Справ!$A$3:$D$58,2,FALSE)</f>
        <v>#N/A</v>
      </c>
      <c r="HG76" s="55" t="e">
        <f>VLOOKUP(Исходн.данные.!AH76,Справ!$A$3:$D$58,3,FALSE)</f>
        <v>#N/A</v>
      </c>
      <c r="HH76" s="55" t="e">
        <f>VLOOKUP(Исходн.данные.!AH76,Справ!$A$3:$D$58,4,FALSE)</f>
        <v>#N/A</v>
      </c>
      <c r="HI76" s="11" t="e">
        <f t="shared" si="117"/>
        <v>#N/A</v>
      </c>
      <c r="HJ76" s="11" t="e">
        <f t="shared" si="118"/>
        <v>#N/A</v>
      </c>
      <c r="HK76" s="11" t="e">
        <f t="shared" si="119"/>
        <v>#N/A</v>
      </c>
      <c r="HL76" s="55">
        <f>IF(OR(Исходн.данные.!G76="Глин",Исходн.данные.!G76="Т_суг"),1.1,IF(Исходн.данные.!G76="Ср_суг",1,1))</f>
        <v>1</v>
      </c>
      <c r="HM76" s="55">
        <f>IF(OR(Исходн.данные.!G76="Глин",Исходн.данные.!G76="Т_суг"),0.9,IF(Исходн.данные.!G76="Ср_суг",1,1.2))</f>
        <v>1.2</v>
      </c>
      <c r="HN76" s="11" t="e">
        <f t="shared" si="120"/>
        <v>#N/A</v>
      </c>
      <c r="HO76" s="11" t="e">
        <f t="shared" si="121"/>
        <v>#N/A</v>
      </c>
      <c r="HP76" s="11" t="e">
        <f t="shared" si="122"/>
        <v>#N/A</v>
      </c>
      <c r="HQ76" t="e">
        <f t="shared" si="123"/>
        <v>#N/A</v>
      </c>
      <c r="HR76" t="e">
        <f t="shared" si="124"/>
        <v>#N/A</v>
      </c>
      <c r="HS76" t="e">
        <f t="shared" si="125"/>
        <v>#N/A</v>
      </c>
      <c r="HT76" t="e">
        <f t="shared" si="21"/>
        <v>#N/A</v>
      </c>
      <c r="HU76" t="e">
        <f t="shared" si="22"/>
        <v>#N/A</v>
      </c>
      <c r="HV76" t="e">
        <f t="shared" si="23"/>
        <v>#N/A</v>
      </c>
      <c r="HW76" t="e">
        <f t="shared" si="24"/>
        <v>#N/A</v>
      </c>
      <c r="HX76" t="e">
        <f t="shared" si="25"/>
        <v>#N/A</v>
      </c>
      <c r="HY76" t="e">
        <f t="shared" si="26"/>
        <v>#N/A</v>
      </c>
      <c r="HZ76" s="55">
        <f>IF(OR(Исходн.данные.!AI76="Оз_Ч_П",Исходн.данные.!AI76="Оз_З_П",Исходн.данные.!AI76="Яр_зер"),12,30)</f>
        <v>30</v>
      </c>
      <c r="IA76" t="e">
        <f t="shared" si="126"/>
        <v>#N/A</v>
      </c>
      <c r="IB76" t="e">
        <f t="shared" si="127"/>
        <v>#N/A</v>
      </c>
      <c r="IC76" t="e">
        <f t="shared" si="128"/>
        <v>#N/A</v>
      </c>
      <c r="ID76" s="11" t="e">
        <f t="shared" si="129"/>
        <v>#N/A</v>
      </c>
      <c r="IE76" s="11" t="e">
        <f t="shared" si="130"/>
        <v>#N/A</v>
      </c>
      <c r="IF76" s="11" t="e">
        <f t="shared" si="131"/>
        <v>#N/A</v>
      </c>
    </row>
    <row r="77" spans="35:240" x14ac:dyDescent="0.2">
      <c r="AI77">
        <f>IF(Исходн.данные.!I77&gt;6,1,1.85-(0.148*Исходн.данные.!I77))</f>
        <v>1.85</v>
      </c>
      <c r="AJ77">
        <f>IF(Исходн.данные.!I77&gt;6,1,2.434-(0.246*Исходн.данные.!I77))</f>
        <v>2.4340000000000002</v>
      </c>
      <c r="AL77" s="148" t="b">
        <f>IF(Исходн.данные.!$P77="Ум",N_OrgUd_2g_um,IF(Исходн.данные.!$P77="Об",N_OrgUd_2g_ob))</f>
        <v>0</v>
      </c>
      <c r="AM77" s="148" t="b">
        <f>IF(Исходн.данные.!$P77="Ум",P_OrgUd_2g_um,IF(Исходн.данные.!$P77="Об",P_OrgUd_2g_ob))</f>
        <v>0</v>
      </c>
      <c r="AN77" s="148" t="b">
        <f>IF(Исходн.данные.!$P77="Ум",K_OrgUd_2g_um,IF(Исходн.данные.!$P77="Об",K_OrgUd_2g_ob))</f>
        <v>0</v>
      </c>
      <c r="AO77" s="148" t="b">
        <f>IF(Исходн.данные.!$P77="Ум",N_OrgUd_1g_um,IF(Исходн.данные.!$P77="Об",N_OrgUd_1g_ob))</f>
        <v>0</v>
      </c>
      <c r="AP77" s="148" t="b">
        <f>IF(Исходн.данные.!$P77="Ум",P_OrgUd_1g_um,IF(Исходн.данные.!$P77="Об",P_OrgUd_1g_ob))</f>
        <v>0</v>
      </c>
      <c r="AQ77" s="148" t="b">
        <f>IF(Исходн.данные.!$P77="Ум",K_OrgUd_1g_um,IF(Исходн.данные.!$P77="Об",K_OrgUd_1g_ob))</f>
        <v>0</v>
      </c>
      <c r="AR77" t="b">
        <f>IF(Исходн.данные.!$P77="Ум",N_MinUd_2g_um,IF(Исходн.данные.!$P77="Об",N_MinUd_2g_ob))</f>
        <v>0</v>
      </c>
      <c r="AS77" t="b">
        <f>IF(Исходн.данные.!$P77="Ум",P_MinUd_2g_um,IF(Исходн.данные.!$P77="Об",P_MinUd_2g_ob))</f>
        <v>0</v>
      </c>
      <c r="AT77" t="b">
        <f>IF(Исходн.данные.!$P77="Ум",K_MinUd_2g_um,IF(Исходн.данные.!$P77="Об",K_MinUd_2g_ob))</f>
        <v>0</v>
      </c>
      <c r="AU77" t="b">
        <f>IF(Исходн.данные.!$P77="Ум",N_MinUd_1g_um,IF(Исходн.данные.!$P77="Об",N_MinUd_1g_ob))</f>
        <v>0</v>
      </c>
      <c r="AV77" t="b">
        <f>IF(Исходн.данные.!P77="Ум",P_MinUd_1g_um,IF(Исходн.данные.!P77="Об",P_MinUd_1g_ob))</f>
        <v>0</v>
      </c>
      <c r="AW77" t="b">
        <f>IF(Исходн.данные.!P77="Ум",K_MinUd_1g_um,IF(Исходн.данные.!P77="Об",K_MinUd_1g_ob))</f>
        <v>0</v>
      </c>
      <c r="AY77" t="e">
        <f>VLOOKUP(Исходн.данные.!T77,Справ!$A$3:$N$57,12)</f>
        <v>#N/A</v>
      </c>
      <c r="AZ77" t="e">
        <f>VLOOKUP(Исходн.данные.!T77,Справ!$A$3:$N$57,13)</f>
        <v>#N/A</v>
      </c>
      <c r="BA77" t="e">
        <f>VLOOKUP(Исходн.данные.!T77,Справ!$A$3:$N$57,14)</f>
        <v>#N/A</v>
      </c>
      <c r="BB77">
        <f>IF(Исходн.данные.!AH77=0,0,25)</f>
        <v>0</v>
      </c>
      <c r="BC77" s="141">
        <f>IF(Исходн.данные.!AH77=0,0,IF(Исходн.данные.!T77=0,25,BD77))</f>
        <v>0</v>
      </c>
      <c r="BD77" s="168" t="e">
        <f>AY77+AZ77*Исходн.данные.!U77-POWER(BA77,2)*Исходн.данные.!U77</f>
        <v>#N/A</v>
      </c>
      <c r="BE7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7" s="25">
        <f>IF(Исходн.данные.!AH77=0,0,MIN(HN77:HP77))</f>
        <v>0</v>
      </c>
      <c r="BG77" s="9">
        <f>IF(Исходн.данные.!AH77=0,0,IF((HO77+10*0.25/HG77/HL77)&lt;17,17,HO77+10*0.25/HG77/HL77))</f>
        <v>0</v>
      </c>
      <c r="BH77" s="181">
        <f>IF(Исходн.данные.!AH77=0,0,HW77*HF77*HL77/AU77*AI77+Исходн.данные.!S77*10)</f>
        <v>0</v>
      </c>
      <c r="BI77" s="10"/>
      <c r="BJ77" s="182">
        <f>IF(Исходн.данные.!AH77=0,0,IF(HX77*HG77*HL77/AV77&lt;0,0,HX77*HG77*HL77/AV77*AJ77))</f>
        <v>0</v>
      </c>
      <c r="BK77" s="182">
        <f>IF(Исходн.данные.!AH77=0,0,HY77*HH77*HM77/AW77)</f>
        <v>0</v>
      </c>
      <c r="BL77" s="10">
        <f>IF(OR(Исходн.данные.!$AH77=$BP$1,Исходн.данные.!$AH77=$BP$2),0,IF(BH77&lt;0,0,IF(OR(Исходн.данные.!T77=Расчет!$BP$1,Исходн.данные.!T77=Расчет!$BP$2,Исходн.данные.!T77=Расчет!$BT$5,Исходн.данные.!T77=Расчет!$BT$6),BH77*0.5,IF(OR(Исходн.данные.!T77=Расчет!$BS$9,Исходн.данные.!T77=Расчет!$BS$10,Исходн.данные.!T77=Расчет!$BS$11,Исходн.данные.!T77=Расчет!$BS$12,Исходн.данные.!T77=Расчет!$BP$5),BH77*0.8,BH77))))</f>
        <v>0</v>
      </c>
      <c r="BM77" s="10">
        <f>IF(OR(Исходн.данные.!$AH77=$BP$1,Исходн.данные.!$AH77=$BP$2),0,IF(BJ77&lt;0,0,IF(Исходн.данные.!I77&lt;4.5,BJ77*1.2,IF(Исходн.данные.!I77&gt;5.1,BJ77,BJ77*((5.1-Исходн.данные.!I77)*0.333+1)))))</f>
        <v>0</v>
      </c>
      <c r="BN77" s="10">
        <f>IF(OR(Исходн.данные.!$AH77=$BP$1,Исходн.данные.!$AH77=$BP$2),60-Исходн.данные.!AF77,IF(BK77&lt;0,0,IF(Исходн.данные.!I77&lt;4.5,BK77*1.2,IF(Исходн.данные.!I77&gt;5.1,BK77,BK77*((5.1-Исходн.данные.!I77)*0.333+1)))))</f>
        <v>0</v>
      </c>
      <c r="BO77" s="9">
        <f>IF(BL77&lt;0,0,BL77*Исходн.данные.!$AJ77/1000)</f>
        <v>0</v>
      </c>
      <c r="BP77" s="9">
        <f>IF(BM77&lt;0,0,BM77*Исходн.данные.!$AJ77/1000)</f>
        <v>0</v>
      </c>
      <c r="BQ77" s="9">
        <f>IF(BN77&lt;0,0,BN77*Исходн.данные.!$AJ77/1000)</f>
        <v>0</v>
      </c>
      <c r="BR77" s="9">
        <f t="shared" si="81"/>
        <v>0</v>
      </c>
      <c r="BS77" s="10" t="str">
        <f t="shared" si="82"/>
        <v>Аммофос 12:52:00</v>
      </c>
      <c r="BT77" s="10" t="str">
        <f t="shared" si="83"/>
        <v>Аммофос 12:52:00</v>
      </c>
      <c r="BU77" s="10" t="str">
        <f t="shared" si="84"/>
        <v>Диаммофоска</v>
      </c>
      <c r="BV77" s="10">
        <f t="shared" si="85"/>
        <v>0</v>
      </c>
      <c r="BW77" s="10"/>
      <c r="BX77" s="10"/>
      <c r="BY77" s="9">
        <f>IF(BL77&lt;0,0,IF(OR(Исходн.данные.!AI77=Расчет!$BU$6,Исходн.данные.!AI77=Расчет!$BU$7),Расчет!BV77,IF(Исходн.данные.!$AG77=$BV$11,BL77,IF(OR(Исходн.данные.!$AH77=$BQ$7,Исходн.данные.!$AH77=$BQ$8),CB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0,IF(Исходн.данные.!$AI77=$BU$11,"Нет",IF(BL77&gt;30,30,BL77)))))))</f>
        <v>0</v>
      </c>
      <c r="BZ77" s="9">
        <f>IF(AND(Исходн.данные.!$AG77=$BV$11,BM77&lt;10),10,IF(Исходн.данные.!$AG77=$BV$11,BM77,IF(OR(Исходн.данные.!$AH77=$BQ$7,Исходн.данные.!$AH77=$BQ$8),CC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10,IF(Исходн.данные.!$AI77=$BU$11,"Нет",IF(BM77&gt;60,60,IF(BM77&lt;10,10,BM77)))))))</f>
        <v>10</v>
      </c>
      <c r="CA77" s="39">
        <f>IF(BN77&lt;0,0,IF(Исходн.данные.!$AG77=$BV$11,BN77,IF(OR(Исходн.данные.!$AH77=$BQ$7,Исходн.данные.!$AH77=$BQ$8),CD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0,IF(Исходн.данные.!$AI77=$BU$11,"Нет",IF(BN77&gt;30,30,BN77))))))</f>
        <v>0</v>
      </c>
      <c r="CB77" s="9">
        <f t="shared" si="86"/>
        <v>0</v>
      </c>
      <c r="CC77" s="9">
        <f t="shared" si="87"/>
        <v>0</v>
      </c>
      <c r="CD77" s="9">
        <f t="shared" si="88"/>
        <v>0</v>
      </c>
      <c r="CE77" s="12">
        <f t="shared" si="89"/>
        <v>10</v>
      </c>
      <c r="CF77" s="9">
        <f t="shared" si="90"/>
        <v>0</v>
      </c>
      <c r="CG77" s="9" t="s">
        <v>231</v>
      </c>
      <c r="CH77" s="132" t="str">
        <f>IF(Исходн.данные.!AP77=Расчет!$CI$16,"Нет",IF(Исходн.данные.!AL77&gt;0,Исходн.данные.!AL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BH$4,IF(OR(Исходн.данные.!AI77=Исходн.данные.!$AI$6,Исходн.данные.!AI77=Исходн.данные.!$AI$7),Расчет!BS77,IF(AND($CF77=0,$CE77&gt;0),EV77,ER77)))))</f>
        <v>Аммофос 12:52:00</v>
      </c>
      <c r="CI77" s="274">
        <f>IF(Расчет!$CH77="Нет","Нет",IF(Исходн.данные.!$AL77&gt;0,VLOOKUP(Расчет!$CH77,АшламаДВ_Irekle,2,FALSE),VLOOKUP(Расчет!$CH77,АшламаДВ_Gomumy,2,FALSE)))</f>
        <v>0.12</v>
      </c>
      <c r="CJ77" s="274">
        <f>IF(Расчет!$CH77="Нет","Нет",IF(Исходн.данные.!$AL77&gt;0,VLOOKUP(Расчет!$CH77,АшламаДВ_Irekle,3,FALSE),VLOOKUP(Расчет!$CH77,АшламаДВ_Gomumy,3,FALSE)))</f>
        <v>0.52</v>
      </c>
      <c r="CK77" s="274">
        <f>IF(Расчет!$CH77="Нет","Нет",IF(Исходн.данные.!$AL77&gt;0,VLOOKUP(Расчет!$CH77,АшламаДВ_Irekle,4,FALSE),VLOOKUP(Расчет!$CH77,АшламаДВ_Gomumy,4,FALSE)))</f>
        <v>0</v>
      </c>
      <c r="CL77" s="70"/>
      <c r="CM77" s="70"/>
      <c r="CN77" s="70"/>
      <c r="CO77" s="70"/>
      <c r="CP77" s="70"/>
      <c r="CQ77" s="70"/>
      <c r="CR77" s="10">
        <f t="shared" si="91"/>
        <v>0</v>
      </c>
      <c r="CS77" s="10">
        <f t="shared" si="92"/>
        <v>19.23076923076923</v>
      </c>
      <c r="CT77" s="10">
        <f t="shared" si="93"/>
        <v>0</v>
      </c>
      <c r="CU77" s="39">
        <f>IF($CH77="Нет",0,IF(CI77=0,30/MIN(CJ77:CK77),IF(Исходн.данные.!$AG77=$BV$11,CR77,IF(OR(Исходн.данные.!$AH77=$BQ$7,Исходн.данные.!$AH77=$BQ$8),90/CI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0,IF(Исходн.данные.!$AI77=$BU$11,"Нет",30/CI77))))))</f>
        <v>250</v>
      </c>
      <c r="CV77" s="39">
        <f>IF($CH77="Нет",0,IF(Исходн.данные.!AH77=0,0,IF(CJ77=0,60/MIN(CI77,CK77),IF(Исходн.данные.!$AG77=$BV$11,CS77,IF(OR(Исходн.данные.!$AH77=$BQ$7,Исходн.данные.!$AH77=$BQ$8),90/CJ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10/CJ77,IF(Исходн.данные.!$AI77=$BU$11,"Нет",60/CJ77)))))))</f>
        <v>0</v>
      </c>
      <c r="CW77" s="39">
        <f>IF($CH77="Нет",0,IF(Исходн.данные.!AH77=0,0,IF(CK77=0,30/MIN(CI77:CJ77),IF(Исходн.данные.!$AG77=$BV$11,CT77,IF(OR(Исходн.данные.!$AH77=$BQ$7,Исходн.данные.!$AH77=$BQ$8),90/CK77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0,IF(Исходн.данные.!$AI77=$BU$11,"Нет",30/CK77)))))))</f>
        <v>0</v>
      </c>
      <c r="CX77" s="133">
        <f>IF(Исходн.данные.!$AG77=$BV$11,MAX(CU77:CW77),IF(OR(Исходн.данные.!$AH77=$BS$8,Исходн.данные.!$AH77=$BQ$9,Исходн.данные.!$AH77=$BQ$10,Исходн.данные.!$AH77=$BQ$11,Исходн.данные.!$AH77=$BQ$12,Исходн.данные.!$AH77=$BP$3,Исходн.данные.!$AH77=$BT$8,$FM77="Да"),CV77,MIN(CU77:CW77)))</f>
        <v>0</v>
      </c>
      <c r="CY77" s="133">
        <f>IF(Исходн.данные.!AH77=0,0,IF(CR77&gt;$CX77,$CX77,CR77))</f>
        <v>0</v>
      </c>
      <c r="CZ77" s="133">
        <f>IF(Исходн.данные.!AH77=0,0,IF(CS77&gt;$CX77,$CX77,CS77))</f>
        <v>0</v>
      </c>
      <c r="DA77" s="133">
        <f>IF(Исходн.данные.!AH77=0,0,IF(CT77&gt;$CX77,$CX77,CT77))</f>
        <v>0</v>
      </c>
      <c r="DB77" s="10">
        <f t="shared" si="94"/>
        <v>0</v>
      </c>
      <c r="DC77" s="39">
        <f>DB77*Исходн.данные.!AJ77/1000</f>
        <v>0</v>
      </c>
      <c r="DD77" s="71">
        <f t="shared" si="95"/>
        <v>0</v>
      </c>
      <c r="DE77" s="9">
        <f t="shared" si="96"/>
        <v>0</v>
      </c>
      <c r="DF77" s="9">
        <f t="shared" si="97"/>
        <v>0</v>
      </c>
      <c r="DG77" s="39">
        <f>IF(BL77&lt;0,0,IF($CH77="Нет",BL77,IF(OR(Исходн.данные.!$AH77=$BP$1,Исходн.данные.!$AH77=$BP$2),0,IF(Исходн.данные.!AI77=$BU$11,BL77,IF(BL77-DD77&lt;0,0,BL77-DD77)))))</f>
        <v>0</v>
      </c>
      <c r="DH77" s="39">
        <f>IF(BM77&lt;0,0,IF($CH77="Нет",BM77,IF(OR(Исходн.данные.!$AH77=$BP$1,Исходн.данные.!$AH77=$BP$2),0,IF(Исходн.данные.!AJ77=$BU$11,BM77,IF(BM77-DE77&lt;0,0,BM77-DE77)))))</f>
        <v>0</v>
      </c>
      <c r="DI77" s="39">
        <f>IF(BN77&lt;0,0,IF($CH77="Нет",BN77,IF(OR(Исходн.данные.!$AH77=$BP$1,Исходн.данные.!$AH77=$BP$2),0,IF(Исходн.данные.!AK77=$BU$11,BN77,IF(BN77-DF77&lt;0,0,BN77-DF77)))))</f>
        <v>0</v>
      </c>
      <c r="DJ77" s="12">
        <f t="shared" si="98"/>
        <v>0</v>
      </c>
      <c r="DK77" s="9">
        <f t="shared" si="99"/>
        <v>0</v>
      </c>
      <c r="DL77" s="39">
        <f>IF(Исходн.данные.!AM77&gt;0,Исходн.данные.!AM77,IF(EG77&gt;0,$BH$10,0))</f>
        <v>0</v>
      </c>
      <c r="DM77" s="186">
        <f>IF($DL77=0,0,IF(Исходн.данные.!AM77&gt;0,VLOOKUP($DL77,АшламаДВ_Irekle,2,FALSE),VLOOKUP($DL77,АшламаДВ_Gomumy,2,FALSE)))</f>
        <v>0</v>
      </c>
      <c r="DN77" s="10">
        <f t="shared" si="46"/>
        <v>0</v>
      </c>
      <c r="DO77" s="9" t="str">
        <f>IF(Исходн.данные.!AN77&gt;0,Исходн.данные.!AN77,Удобрения!$B$37 )</f>
        <v>Хлор.калий</v>
      </c>
      <c r="DP77" s="9">
        <f>IF(Исходн.данные.!AN77&gt;0,VLOOKUP(Исходн.данные.!AN77,АшламаДВ_Irekle,4,FALSE),VLOOKUP(DO77,АшламаДВ_Gomumy,4,FALSE))</f>
        <v>0.6</v>
      </c>
      <c r="DQ77" s="10">
        <f t="shared" si="47"/>
        <v>0</v>
      </c>
      <c r="DR77" s="132" t="str">
        <f>IF(Исходн.данные.!AO77&gt;0,Исходн.данные.!AO77,IF(DH77=0,BS$17,IF(AND($DK77=0,$DJ77&gt;0),EJ77,EN77)))</f>
        <v>Нет</v>
      </c>
      <c r="DS77" s="70" t="str">
        <f>IF($DR77="Нет","Нет",IF(Исходн.данные.!$AO77&gt;0,VLOOKUP($DR77,АшламаДВ_Irekle,2,FALSE),VLOOKUP($DR77,АшламаДВ_Gomumy,2,FALSE)))</f>
        <v>Нет</v>
      </c>
      <c r="DT77" s="70" t="str">
        <f>IF($DR77="Нет","Нет",IF(Исходн.данные.!$AO77&gt;0,VLOOKUP($DR77,АшламаДВ_Irekle,3,FALSE),VLOOKUP($DR77,АшламаДВ_Gomumy,3,FALSE)))</f>
        <v>Нет</v>
      </c>
      <c r="DU77" s="70" t="str">
        <f>IF($DR77="Нет","Нет",IF(Исходн.данные.!$AO77&gt;0,VLOOKUP($DR77,АшламаДВ_Irekle,4,FALSE),VLOOKUP($DR77,АшламаДВ_Gomumy,4,FALSE)))</f>
        <v>Нет</v>
      </c>
      <c r="DV77" s="70"/>
      <c r="DW77" s="70"/>
      <c r="DX77" s="70"/>
      <c r="DY77" s="10">
        <f t="shared" si="100"/>
        <v>0</v>
      </c>
      <c r="DZ77" s="10">
        <f t="shared" si="101"/>
        <v>0</v>
      </c>
      <c r="EA77" s="10">
        <f t="shared" si="102"/>
        <v>0</v>
      </c>
      <c r="EB77" s="10">
        <f t="shared" si="103"/>
        <v>0</v>
      </c>
      <c r="EC77" s="10">
        <f t="shared" si="104"/>
        <v>0</v>
      </c>
      <c r="ED77" s="10">
        <f t="shared" si="105"/>
        <v>0</v>
      </c>
      <c r="EE77" s="10">
        <f t="shared" si="106"/>
        <v>0</v>
      </c>
      <c r="EF77" s="39">
        <f>EB77*Исходн.данные.!AJ77/1000</f>
        <v>0</v>
      </c>
      <c r="EG77" s="9">
        <f t="shared" si="107"/>
        <v>0</v>
      </c>
      <c r="EH77" s="9">
        <f t="shared" si="108"/>
        <v>0</v>
      </c>
      <c r="EI77" s="39" t="e">
        <f t="shared" si="7"/>
        <v>#DIV/0!</v>
      </c>
      <c r="EJ77" s="9" t="str">
        <f t="shared" si="8"/>
        <v>Азопреципитат</v>
      </c>
      <c r="EK77" s="12">
        <f t="shared" si="9"/>
        <v>0.26</v>
      </c>
      <c r="EL77" s="12">
        <f t="shared" si="10"/>
        <v>0.13</v>
      </c>
      <c r="EM77" s="12">
        <f t="shared" si="11"/>
        <v>0</v>
      </c>
      <c r="EN77" s="12" t="str">
        <f t="shared" si="57"/>
        <v>Нет</v>
      </c>
      <c r="EO77" s="12">
        <f t="shared" si="12"/>
        <v>0</v>
      </c>
      <c r="EP77" s="12">
        <f t="shared" si="13"/>
        <v>0</v>
      </c>
      <c r="EQ77" s="12">
        <f t="shared" si="14"/>
        <v>0</v>
      </c>
      <c r="ER77" s="12" t="str">
        <f t="shared" si="109"/>
        <v>Диаммофоска</v>
      </c>
      <c r="ES77" s="12">
        <f t="shared" si="15"/>
        <v>0.1</v>
      </c>
      <c r="ET77" s="12">
        <f t="shared" si="16"/>
        <v>0.26</v>
      </c>
      <c r="EU77" s="12">
        <f t="shared" si="17"/>
        <v>0.26</v>
      </c>
      <c r="EV77" s="12" t="str">
        <f t="shared" si="110"/>
        <v>Аммофос 12:52:00</v>
      </c>
      <c r="EW77" s="12" t="str">
        <f t="shared" si="111"/>
        <v>Кемира Свекловичное-6</v>
      </c>
      <c r="EX77" s="12">
        <f t="shared" si="18"/>
        <v>0.16</v>
      </c>
      <c r="EY77" s="12">
        <f t="shared" si="19"/>
        <v>0.12</v>
      </c>
      <c r="EZ77" s="12">
        <f t="shared" si="20"/>
        <v>0.17</v>
      </c>
      <c r="FA77" s="38" t="e">
        <f>IF(AND(OR(FJ77=$FD$1,FM77=$FD$1,FO77=$FD$1,FQ77=$FD$1,FS77=$FD$1),FD77=$FD$1,Исходн.данные.!J77&lt;2,FU77=$FD$1),"Бор,Кобальт",IF(AND(FO77=$FD$1,FH77=$FD$1,Исходн.данные.!J77&lt;2,FU77=$FD$1),"Бор,Кобальт",IF(AND(OR(FJ77=$FD$1,FM77=$FD$1,FQ77=$FD$1),FE77=$FD$1,Исходн.данные.!J77&lt;2,FT77=$FD$1,FU77=$FD$1),"Бор,Медь,Цинк",IF(AND(OR(FJ77=$FD$1,FR77="Да"),FI77="Да",Исходн.данные.!J77&lt;2,FT77="Да",FU77="Да"),"Бор,Цинк,Медь",IF(AND(OR(FM77="Да",FQ77="Да"),FI77="Да",Исходн.данные.!J77&lt;2,FT77="Да",FU77="Да"),"Бор,Цинк",IF(AND(FN77="Да",OR(FD77="Да",FE77="Да")),"Бор",FB77))))))</f>
        <v>#N/A</v>
      </c>
      <c r="FB77" s="134" t="e">
        <f>IF(AND(OR(FD77="Да",FE77="Да",FF77="Да",FG77="Да",FH77="Да"),FO77="Да"),"Бор",IF(AND(FP77="Да",OR(FD77="Да",FE77="Да",FI77="Да")),"Бор",IF(AND(FS77="Да",FE77="Да"),"Бор,Медь",IF(AND(OR(FJ77="Да",FK77="Да",FL77="Да"),FE77="Да",Исходн.данные.!I77&lt;5,FT77="Да",FU77="Да"),"Молибден,Цинк",IF(AND(FM77="Да",OR(FE77="Да",FF77="Да",FG77="Да",FH77="Да",FI77="Да")),"Молибден,Цинк",IF(AND(OR(FJ77="Да",FK77="Да",FL77="Да",FM77="Да",FQ77="Да"),OR(FE77="Да",FF77="Да"),FT77="Да",FU77="Да",Исходн.данные.!I77&gt;5.5),"Медь,Цинк",FC77))))))</f>
        <v>#N/A</v>
      </c>
      <c r="FC77" s="23" t="e">
        <f t="shared" si="112"/>
        <v>#N/A</v>
      </c>
      <c r="FD77" s="38" t="str">
        <f>IF(OR(Исходн.данные.!F77=$CC$1,Исходн.данные.!F77=$CC$2,Исходн.данные.!F77=$CC$3,Исходн.данные.!F77=$CC$4),"Да","Нет")</f>
        <v>Нет</v>
      </c>
      <c r="FE77" s="38" t="str">
        <f>IF(Исходн.данные.!F77=$CC$5,"Да","Нет")</f>
        <v>Нет</v>
      </c>
      <c r="FF77" s="38" t="str">
        <f>IF(OR(Исходн.данные.!F77=$CC$6,Исходн.данные.!F77=$CC$7),"Да","Нет")</f>
        <v>Нет</v>
      </c>
      <c r="FG77" s="38" t="str">
        <f>IF(OR(Исходн.данные.!F77=$CC$8,Исходн.данные.!F77=$CC$9),"Да","Нет")</f>
        <v>Нет</v>
      </c>
      <c r="FH77" s="38" t="str">
        <f>IF(Исходн.данные.!F77=$CC$10,"Да","Нет")</f>
        <v>Нет</v>
      </c>
      <c r="FI77" s="38" t="str">
        <f>IF(OR(Исходн.данные.!F77=$CC$11,Исходн.данные.!F77=$CC$12),"Да","Нет")</f>
        <v>Нет</v>
      </c>
      <c r="FJ77" s="38" t="str">
        <f>IF(OR(Исходн.данные.!AH77=$BS$1,Исходн.данные.!AH77=$BQ$11,Исходн.данные.!AH77=$BQ$12),"Да","Нет")</f>
        <v>Нет</v>
      </c>
      <c r="FK77" s="38" t="str">
        <f>IF(OR(Исходн.данные.!AH77=$BS$2,Исходн.данные.!AH77=$BS$4),"Да","Нет")</f>
        <v>Нет</v>
      </c>
      <c r="FL77" s="38" t="str">
        <f>IF(OR(Исходн.данные.!AH77=$BS$3,Исходн.данные.!AH77=$BS$5),"Да","Нет")</f>
        <v>Нет</v>
      </c>
      <c r="FM77" s="38" t="str">
        <f>IF(OR(Исходн.данные.!AH77=$BS$9,Исходн.данные.!AH77=$BS$10,Исходн.данные.!AH77=$BS$11,Исходн.данные.!AH77=$BS$12),"Да","Нет")</f>
        <v>Нет</v>
      </c>
      <c r="FN77" s="38" t="str">
        <f>IF(OR(Исходн.данные.!AH77=$BS$6,Исходн.данные.!AH77=$BP$3),"Да","Нет")</f>
        <v>Нет</v>
      </c>
      <c r="FO77" s="38" t="str">
        <f>IF(Исходн.данные.!AH77=$BQ$9,"Да","Нет")</f>
        <v>Нет</v>
      </c>
      <c r="FP77" s="38" t="str">
        <f>IF(OR(Исходн.данные.!AH77=$BS$8,Исходн.данные.!AH77=$BT$8),"Да","Нет")</f>
        <v>Нет</v>
      </c>
      <c r="FQ77" s="38" t="str">
        <f>IF(OR(Исходн.данные.!AH77=$BQ$7,Исходн.данные.!AH77=$BQ$8),"Да","Нет")</f>
        <v>Нет</v>
      </c>
      <c r="FR77" s="38" t="str">
        <f>IF(Исходн.данные.!AI77=$BU$9,"Да","Нет")</f>
        <v>Нет</v>
      </c>
      <c r="FS77" s="38" t="str">
        <f>IF(OR(Исходн.данные.!AH77=$BP$1,Исходн.данные.!AH77=$BP$2),"Да","Нет")</f>
        <v>Нет</v>
      </c>
      <c r="FT77" s="38" t="e">
        <f>IF((Исходн.данные.!K77*GO77*GS77*GW77+BL77*0.6+Исходн.данные.!Q77*4.5*0.275)&gt;90,"Да","Нет")</f>
        <v>#N/A</v>
      </c>
      <c r="FU77" s="38" t="e">
        <f>IF((Исходн.данные.!M77*GS77*GZ77+BM77*0.225)&gt;35,"Да","Нет")</f>
        <v>#N/A</v>
      </c>
      <c r="FV77" s="38" t="str">
        <f>IF(Исходн.данные.!O77&gt;175,"Да","Нет")</f>
        <v>Нет</v>
      </c>
      <c r="FW77" s="39" t="str">
        <f>IF(Исходн.данные.!I77&gt;5.5,"Да","Нет")</f>
        <v>Нет</v>
      </c>
      <c r="FX77" s="39" t="str">
        <f>IF(Исходн.данные.!J77&lt;2,"Да","Нет")</f>
        <v>Да</v>
      </c>
      <c r="FY77" s="39" t="e">
        <f>IF(HF77=$FY$16,0,Исходн.данные.!K77*GO77*GS77*GW77/HF77)</f>
        <v>#N/A</v>
      </c>
      <c r="FZ77" s="39" t="e">
        <f>Исходн.данные.!M77*GS77*GZ77/HG77</f>
        <v>#N/A</v>
      </c>
      <c r="GA77" s="39" t="e">
        <f>IF(K_Wyn=$FY$16,0,IF(Исходн.данные.!N77=Исходн.данные.!$L$10,Исходн.данные.!O77/1.1*GS77*HC77/HH77,IF(Исходн.данные.!N77=Исходн.данные.!$L$12,Исходн.данные.!O77/1.5*GS77*HC77/HH77,Исходн.данные.!O77*GS77*HC77/HH77)))</f>
        <v>#N/A</v>
      </c>
      <c r="GB77" s="39" t="e">
        <f>IF(HF77=$FY$16,0,((Исходн.данные.!Q77*N_Org+Исходн.данные.!R77*N_Sider+Исходн.данные.!S77*N_Soloma)*AO77+Расчет!BC77*VLOOKUP(Исходн.данные.!T77,Справ!$A$3:$O$57,15)*AO77+BB77*VLOOKUP(Исходн.данные.!T77,Справ!$A$3:$O$57,15)*AL77+(Исходн.данные.!V77*N_Rizotorf+Исходн.данные.!W77*N_Rizoagr))/HF77)</f>
        <v>#N/A</v>
      </c>
      <c r="GC77" s="39" t="e">
        <f>IF(HG77=$FY$16,0,((Исходн.данные.!Q77*Р_Org+Исходн.данные.!R77*P_Sider+Исходн.данные.!S77*P_Soloma)*AP77+Расчет!BC77*VLOOKUP(Исходн.данные.!T77,Справ!$A$3:$P$57,16)*AP77+BB77*VLOOKUP(Исходн.данные.!T77,Справ!$A$3:$P$57,16)*AM77)/HG77)</f>
        <v>#N/A</v>
      </c>
      <c r="GD77" s="39" t="e">
        <f>IF(HH77=$FY$16,0,((Исходн.данные.!Q77*К_Org+Исходн.данные.!R77*K_Sider+Исходн.данные.!S77*K_Soloma)*AQ77+Расчет!BC77*VLOOKUP(Исходн.данные.!T77,Справ!$A$3:$Q$57,17)*AQ77+BB77*VLOOKUP(Исходн.данные.!T77,Справ!$A$3:$Q$57,17)*AN77)/HH77)</f>
        <v>#N/A</v>
      </c>
      <c r="GE77" s="39" t="e">
        <f>IF(HF77=$FY$16,0,(Исходн.данные.!X77*AR77+Исходн.данные.!AA77*N_Org*AL77+Исходн.данные.!AB77*N_Sider*AL77+Исходн.данные.!AC77*N_Soloma*AL77)/HF77)</f>
        <v>#N/A</v>
      </c>
      <c r="GF77" s="39" t="e">
        <f>IF(HG77=$FY$16,0,(Исходн.данные.!Y77*AS77+Исходн.данные.!AA77*Р_Org*AM77+Исходн.данные.!AB77*P_Sider*AM77+Исходн.данные.!AC77*P_Soloma*AM77)/HG77)</f>
        <v>#N/A</v>
      </c>
      <c r="GG77" s="39" t="e">
        <f>IF(HH77=$FY$16,0,(Исходн.данные.!Z77*AT77+Исходн.данные.!AA77*К_Org*AN77+Исходн.данные.!AB77*K_Sider*AN77+Исходн.данные.!AC77*K_Soloma*AN77)/HH77)</f>
        <v>#N/A</v>
      </c>
      <c r="GH77" s="39" t="e">
        <f>Исходн.данные.!AD77*AU77/HF77</f>
        <v>#N/A</v>
      </c>
      <c r="GI77" s="39" t="e">
        <f>Исходн.данные.!AE77*AV77/HG77</f>
        <v>#N/A</v>
      </c>
      <c r="GJ77" s="39" t="e">
        <f>Исходн.данные.!AF77*AW77/HH77</f>
        <v>#N/A</v>
      </c>
      <c r="GK77" s="55">
        <f>Исходн.данные.!AK77</f>
        <v>0</v>
      </c>
      <c r="GL77" s="11" t="e">
        <f t="shared" si="113"/>
        <v>#N/A</v>
      </c>
      <c r="GM77" s="11" t="e">
        <f t="shared" si="114"/>
        <v>#N/A</v>
      </c>
      <c r="GN77" s="11" t="e">
        <f t="shared" si="115"/>
        <v>#N/A</v>
      </c>
      <c r="GO77" s="57">
        <f t="shared" si="116"/>
        <v>19</v>
      </c>
      <c r="GP77" s="55">
        <f>IF(OR(Исходн.данные.!F77=$CE$1,Исходн.данные.!F77=$CE$2,Исходн.данные.!F77=$CE$3,Исходн.данные.!F77=$CE$4,Исходн.данные.!F77=$CE$5),GQ77,GR77)</f>
        <v>19</v>
      </c>
      <c r="GQ77" s="55">
        <f>IF(Исходн.данные.!F77=$CE$1,28,IF(Исходн.данные.!F77=$CE$2,26,IF(Исходн.данные.!F77=$CE$3,24,IF(Исходн.данные.!F77=$CE$4,22,IF(Исходн.данные.!F77=$CE$5,20,GR77)))))</f>
        <v>19</v>
      </c>
      <c r="GR77" s="55">
        <f>IF(Исходн.данные.!F77=$CE$6,18,IF(Исходн.данные.!F77=$CE$7,16,IF(Исходн.данные.!F77=$CE$8,14,IF(Исходн.данные.!F77=$CE$9,13,IF(Исходн.данные.!F77=$CE$10,12,19)))))</f>
        <v>19</v>
      </c>
      <c r="GS77" s="55">
        <f>IF(Исходн.данные.!G77="Пес",0.035*(40+2*Исходн.данные.!H77),IF(Исходн.данные.!G77="Суп",0.0325*(40+2*Исходн.данные.!H77),0.03*(40+2*Исходн.данные.!H77)))</f>
        <v>1.2</v>
      </c>
      <c r="GT77" s="55">
        <f>IF(Исходн.данные.!H77&lt;23,2.6,IF(AND(Исходн.данные.!H77&gt;22,Исходн.данные.!H77&lt;26),3,IF(AND(Исходн.данные.!H77&gt;25,Исходн.данные.!H77&lt;29),3.4,3.6)))</f>
        <v>2.6</v>
      </c>
      <c r="GU77" s="55">
        <f>IF(Исходн.данные.!H77&lt;23,2.8,IF(AND(Исходн.данные.!H77&gt;22,Исходн.данные.!H77&lt;26),3.2,IF(AND(Исходн.данные.!H77&gt;25,Исходн.данные.!H77&lt;29),3.6,3.9)))</f>
        <v>2.8</v>
      </c>
      <c r="GV77" s="55">
        <f>IF(Исходн.данные.!H77&lt;23,3,IF(AND(Исходн.данные.!H77&gt;22,Исходн.данные.!H77&lt;26),3.5,IF(AND(Исходн.данные.!H77&gt;25,Исходн.данные.!H77&lt;29),3.9,4.2)))</f>
        <v>3</v>
      </c>
      <c r="GW77" s="55" t="e">
        <f>IF(Исходн.данные.!P77="Ум",GX77,GY77)</f>
        <v>#N/A</v>
      </c>
      <c r="GX77" s="55" t="e">
        <f>VLOOKUP(Исходн.данные.!AI77,Коэффициенты!$J$7:$L$13,2,FALSE)</f>
        <v>#N/A</v>
      </c>
      <c r="GY77" s="55" t="e">
        <f>VLOOKUP(Исходн.данные.!AI77,Коэффициенты!$J$7:$L$13,3,FALSE)</f>
        <v>#N/A</v>
      </c>
      <c r="GZ77" s="55" t="e">
        <f>(IF(Исходн.данные.!M77&lt;50,0.11*VLOOKUP(Исходн.данные.!AH77,Культуры.Информация,7,FALSE),IF(Исходн.данные.!M77&gt;250,0.05*VLOOKUP(Исходн.данные.!AH77,Культуры.Информация,7,FALSE),VLOOKUP(Исходн.данные.!AH77,Культуры.Информация,5,FALSE)/100*($GX$6+$GY$6*Исходн.данные.!M77))))*Расчет2!AI77</f>
        <v>#N/A</v>
      </c>
      <c r="HA77" s="211"/>
      <c r="HB77" s="211"/>
      <c r="HC77" s="55" t="e">
        <f>(IF(Исходн.данные.!O77&lt;80,0.2*VLOOKUP(Исходн.данные.!AH77,Культуры.Информация,8,FALSE),IF(Исходн.данные.!O77&gt;240,0.09*VLOOKUP(Исходн.данные.!AH77,Культуры.Информация,8,FALSE),VLOOKUP(Исходн.данные.!AH77,Культуры.Информация,6,FALSE)/100*($HB$6+$HC$6*Исходн.данные.!O77))))*Расчет2!AJ77</f>
        <v>#N/A</v>
      </c>
      <c r="HD77" s="55">
        <f>IF(Исходн.данные.!O77&gt;240,0.09,IF(Исходн.данные.!O77&lt;30,0.3,$HE$10+$HD$10*Исходн.данные.!O77))</f>
        <v>0.3</v>
      </c>
      <c r="HE77" s="55">
        <f>IF(Исходн.данные.!O77&gt;240,0.17,IF(Исходн.данные.!O77&lt;30,0.5,$HF$12+$HE$12*Исходн.данные.!O77))</f>
        <v>0.5</v>
      </c>
      <c r="HF77" s="55" t="e">
        <f>VLOOKUP(Исходн.данные.!AH77,Справ!$A$3:$D$58,2,FALSE)</f>
        <v>#N/A</v>
      </c>
      <c r="HG77" s="55" t="e">
        <f>VLOOKUP(Исходн.данные.!AH77,Справ!$A$3:$D$58,3,FALSE)</f>
        <v>#N/A</v>
      </c>
      <c r="HH77" s="55" t="e">
        <f>VLOOKUP(Исходн.данные.!AH77,Справ!$A$3:$D$58,4,FALSE)</f>
        <v>#N/A</v>
      </c>
      <c r="HI77" s="11" t="e">
        <f t="shared" si="117"/>
        <v>#N/A</v>
      </c>
      <c r="HJ77" s="11" t="e">
        <f t="shared" si="118"/>
        <v>#N/A</v>
      </c>
      <c r="HK77" s="11" t="e">
        <f t="shared" si="119"/>
        <v>#N/A</v>
      </c>
      <c r="HL77" s="55">
        <f>IF(OR(Исходн.данные.!G77="Глин",Исходн.данные.!G77="Т_суг"),1.1,IF(Исходн.данные.!G77="Ср_суг",1,1))</f>
        <v>1</v>
      </c>
      <c r="HM77" s="55">
        <f>IF(OR(Исходн.данные.!G77="Глин",Исходн.данные.!G77="Т_суг"),0.9,IF(Исходн.данные.!G77="Ср_суг",1,1.2))</f>
        <v>1.2</v>
      </c>
      <c r="HN77" s="11" t="e">
        <f t="shared" si="120"/>
        <v>#N/A</v>
      </c>
      <c r="HO77" s="11" t="e">
        <f t="shared" si="121"/>
        <v>#N/A</v>
      </c>
      <c r="HP77" s="11" t="e">
        <f t="shared" si="122"/>
        <v>#N/A</v>
      </c>
      <c r="HQ77" t="e">
        <f t="shared" si="123"/>
        <v>#N/A</v>
      </c>
      <c r="HR77" t="e">
        <f t="shared" si="124"/>
        <v>#N/A</v>
      </c>
      <c r="HS77" t="e">
        <f t="shared" si="125"/>
        <v>#N/A</v>
      </c>
      <c r="HT77" t="e">
        <f t="shared" si="21"/>
        <v>#N/A</v>
      </c>
      <c r="HU77" t="e">
        <f t="shared" si="22"/>
        <v>#N/A</v>
      </c>
      <c r="HV77" t="e">
        <f t="shared" si="23"/>
        <v>#N/A</v>
      </c>
      <c r="HW77" t="e">
        <f t="shared" si="24"/>
        <v>#N/A</v>
      </c>
      <c r="HX77" t="e">
        <f t="shared" si="25"/>
        <v>#N/A</v>
      </c>
      <c r="HY77" t="e">
        <f t="shared" si="26"/>
        <v>#N/A</v>
      </c>
      <c r="HZ77" s="55">
        <f>IF(OR(Исходн.данные.!AI77="Оз_Ч_П",Исходн.данные.!AI77="Оз_З_П",Исходн.данные.!AI77="Яр_зер"),12,30)</f>
        <v>30</v>
      </c>
      <c r="IA77" t="e">
        <f t="shared" si="126"/>
        <v>#N/A</v>
      </c>
      <c r="IB77" t="e">
        <f t="shared" si="127"/>
        <v>#N/A</v>
      </c>
      <c r="IC77" t="e">
        <f t="shared" si="128"/>
        <v>#N/A</v>
      </c>
      <c r="ID77" s="11" t="e">
        <f t="shared" si="129"/>
        <v>#N/A</v>
      </c>
      <c r="IE77" s="11" t="e">
        <f t="shared" si="130"/>
        <v>#N/A</v>
      </c>
      <c r="IF77" s="11" t="e">
        <f t="shared" si="131"/>
        <v>#N/A</v>
      </c>
    </row>
    <row r="78" spans="35:240" x14ac:dyDescent="0.2">
      <c r="AI78">
        <f>IF(Исходн.данные.!I78&gt;6,1,1.85-(0.148*Исходн.данные.!I78))</f>
        <v>1.85</v>
      </c>
      <c r="AJ78">
        <f>IF(Исходн.данные.!I78&gt;6,1,2.434-(0.246*Исходн.данные.!I78))</f>
        <v>2.4340000000000002</v>
      </c>
      <c r="AL78" s="148" t="b">
        <f>IF(Исходн.данные.!$P78="Ум",N_OrgUd_2g_um,IF(Исходн.данные.!$P78="Об",N_OrgUd_2g_ob))</f>
        <v>0</v>
      </c>
      <c r="AM78" s="148" t="b">
        <f>IF(Исходн.данные.!$P78="Ум",P_OrgUd_2g_um,IF(Исходн.данные.!$P78="Об",P_OrgUd_2g_ob))</f>
        <v>0</v>
      </c>
      <c r="AN78" s="148" t="b">
        <f>IF(Исходн.данные.!$P78="Ум",K_OrgUd_2g_um,IF(Исходн.данные.!$P78="Об",K_OrgUd_2g_ob))</f>
        <v>0</v>
      </c>
      <c r="AO78" s="148" t="b">
        <f>IF(Исходн.данные.!$P78="Ум",N_OrgUd_1g_um,IF(Исходн.данные.!$P78="Об",N_OrgUd_1g_ob))</f>
        <v>0</v>
      </c>
      <c r="AP78" s="148" t="b">
        <f>IF(Исходн.данные.!$P78="Ум",P_OrgUd_1g_um,IF(Исходн.данные.!$P78="Об",P_OrgUd_1g_ob))</f>
        <v>0</v>
      </c>
      <c r="AQ78" s="148" t="b">
        <f>IF(Исходн.данные.!$P78="Ум",K_OrgUd_1g_um,IF(Исходн.данные.!$P78="Об",K_OrgUd_1g_ob))</f>
        <v>0</v>
      </c>
      <c r="AR78" t="b">
        <f>IF(Исходн.данные.!$P78="Ум",N_MinUd_2g_um,IF(Исходн.данные.!$P78="Об",N_MinUd_2g_ob))</f>
        <v>0</v>
      </c>
      <c r="AS78" t="b">
        <f>IF(Исходн.данные.!$P78="Ум",P_MinUd_2g_um,IF(Исходн.данные.!$P78="Об",P_MinUd_2g_ob))</f>
        <v>0</v>
      </c>
      <c r="AT78" t="b">
        <f>IF(Исходн.данные.!$P78="Ум",K_MinUd_2g_um,IF(Исходн.данные.!$P78="Об",K_MinUd_2g_ob))</f>
        <v>0</v>
      </c>
      <c r="AU78" t="b">
        <f>IF(Исходн.данные.!$P78="Ум",N_MinUd_1g_um,IF(Исходн.данные.!$P78="Об",N_MinUd_1g_ob))</f>
        <v>0</v>
      </c>
      <c r="AV78" t="b">
        <f>IF(Исходн.данные.!P78="Ум",P_MinUd_1g_um,IF(Исходн.данные.!P78="Об",P_MinUd_1g_ob))</f>
        <v>0</v>
      </c>
      <c r="AW78" t="b">
        <f>IF(Исходн.данные.!P78="Ум",K_MinUd_1g_um,IF(Исходн.данные.!P78="Об",K_MinUd_1g_ob))</f>
        <v>0</v>
      </c>
      <c r="AY78" t="e">
        <f>VLOOKUP(Исходн.данные.!T78,Справ!$A$3:$N$57,12)</f>
        <v>#N/A</v>
      </c>
      <c r="AZ78" t="e">
        <f>VLOOKUP(Исходн.данные.!T78,Справ!$A$3:$N$57,13)</f>
        <v>#N/A</v>
      </c>
      <c r="BA78" t="e">
        <f>VLOOKUP(Исходн.данные.!T78,Справ!$A$3:$N$57,14)</f>
        <v>#N/A</v>
      </c>
      <c r="BB78">
        <f>IF(Исходн.данные.!AH78=0,0,25)</f>
        <v>0</v>
      </c>
      <c r="BC78" s="141">
        <f>IF(Исходн.данные.!AH78=0,0,IF(Исходн.данные.!T78=0,25,BD78))</f>
        <v>0</v>
      </c>
      <c r="BD78" s="168" t="e">
        <f>AY78+AZ78*Исходн.данные.!U78-POWER(BA78,2)*Исходн.данные.!U78</f>
        <v>#N/A</v>
      </c>
      <c r="BE7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8" s="25">
        <f>IF(Исходн.данные.!AH78=0,0,MIN(HN78:HP78))</f>
        <v>0</v>
      </c>
      <c r="BG78" s="9">
        <f>IF(Исходн.данные.!AH78=0,0,IF((HO78+10*0.25/HG78/HL78)&lt;17,17,HO78+10*0.25/HG78/HL78))</f>
        <v>0</v>
      </c>
      <c r="BH78" s="181">
        <f>IF(Исходн.данные.!AH78=0,0,HW78*HF78*HL78/AU78*AI78+Исходн.данные.!S78*10)</f>
        <v>0</v>
      </c>
      <c r="BI78" s="10"/>
      <c r="BJ78" s="182">
        <f>IF(Исходн.данные.!AH78=0,0,IF(HX78*HG78*HL78/AV78&lt;0,0,HX78*HG78*HL78/AV78*AJ78))</f>
        <v>0</v>
      </c>
      <c r="BK78" s="182">
        <f>IF(Исходн.данные.!AH78=0,0,HY78*HH78*HM78/AW78)</f>
        <v>0</v>
      </c>
      <c r="BL78" s="10">
        <f>IF(OR(Исходн.данные.!$AH78=$BP$1,Исходн.данные.!$AH78=$BP$2),0,IF(BH78&lt;0,0,IF(OR(Исходн.данные.!T78=Расчет!$BP$1,Исходн.данные.!T78=Расчет!$BP$2,Исходн.данные.!T78=Расчет!$BT$5,Исходн.данные.!T78=Расчет!$BT$6),BH78*0.5,IF(OR(Исходн.данные.!T78=Расчет!$BS$9,Исходн.данные.!T78=Расчет!$BS$10,Исходн.данные.!T78=Расчет!$BS$11,Исходн.данные.!T78=Расчет!$BS$12,Исходн.данные.!T78=Расчет!$BP$5),BH78*0.8,BH78))))</f>
        <v>0</v>
      </c>
      <c r="BM78" s="10">
        <f>IF(OR(Исходн.данные.!$AH78=$BP$1,Исходн.данные.!$AH78=$BP$2),0,IF(BJ78&lt;0,0,IF(Исходн.данные.!I78&lt;4.5,BJ78*1.2,IF(Исходн.данные.!I78&gt;5.1,BJ78,BJ78*((5.1-Исходн.данные.!I78)*0.333+1)))))</f>
        <v>0</v>
      </c>
      <c r="BN78" s="10">
        <f>IF(OR(Исходн.данные.!$AH78=$BP$1,Исходн.данные.!$AH78=$BP$2),60-Исходн.данные.!AF78,IF(BK78&lt;0,0,IF(Исходн.данные.!I78&lt;4.5,BK78*1.2,IF(Исходн.данные.!I78&gt;5.1,BK78,BK78*((5.1-Исходн.данные.!I78)*0.333+1)))))</f>
        <v>0</v>
      </c>
      <c r="BO78" s="9">
        <f>IF(BL78&lt;0,0,BL78*Исходн.данные.!$AJ78/1000)</f>
        <v>0</v>
      </c>
      <c r="BP78" s="9">
        <f>IF(BM78&lt;0,0,BM78*Исходн.данные.!$AJ78/1000)</f>
        <v>0</v>
      </c>
      <c r="BQ78" s="9">
        <f>IF(BN78&lt;0,0,BN78*Исходн.данные.!$AJ78/1000)</f>
        <v>0</v>
      </c>
      <c r="BR78" s="9">
        <f t="shared" si="81"/>
        <v>0</v>
      </c>
      <c r="BS78" s="10" t="str">
        <f t="shared" si="82"/>
        <v>Аммофос 12:52:00</v>
      </c>
      <c r="BT78" s="10" t="str">
        <f t="shared" si="83"/>
        <v>Аммофос 12:52:00</v>
      </c>
      <c r="BU78" s="10" t="str">
        <f t="shared" si="84"/>
        <v>Диаммофоска</v>
      </c>
      <c r="BV78" s="10">
        <f t="shared" si="85"/>
        <v>0</v>
      </c>
      <c r="BW78" s="10"/>
      <c r="BX78" s="10"/>
      <c r="BY78" s="9">
        <f>IF(BL78&lt;0,0,IF(OR(Исходн.данные.!AI78=Расчет!$BU$6,Исходн.данные.!AI78=Расчет!$BU$7),Расчет!BV78,IF(Исходн.данные.!$AG78=$BV$11,BL78,IF(OR(Исходн.данные.!$AH78=$BQ$7,Исходн.данные.!$AH78=$BQ$8),CB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0,IF(Исходн.данные.!$AI78=$BU$11,"Нет",IF(BL78&gt;30,30,BL78)))))))</f>
        <v>0</v>
      </c>
      <c r="BZ78" s="9">
        <f>IF(AND(Исходн.данные.!$AG78=$BV$11,BM78&lt;10),10,IF(Исходн.данные.!$AG78=$BV$11,BM78,IF(OR(Исходн.данные.!$AH78=$BQ$7,Исходн.данные.!$AH78=$BQ$8),CC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10,IF(Исходн.данные.!$AI78=$BU$11,"Нет",IF(BM78&gt;60,60,IF(BM78&lt;10,10,BM78)))))))</f>
        <v>10</v>
      </c>
      <c r="CA78" s="39">
        <f>IF(BN78&lt;0,0,IF(Исходн.данные.!$AG78=$BV$11,BN78,IF(OR(Исходн.данные.!$AH78=$BQ$7,Исходн.данные.!$AH78=$BQ$8),CD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0,IF(Исходн.данные.!$AI78=$BU$11,"Нет",IF(BN78&gt;30,30,BN78))))))</f>
        <v>0</v>
      </c>
      <c r="CB78" s="9">
        <f t="shared" si="86"/>
        <v>0</v>
      </c>
      <c r="CC78" s="9">
        <f t="shared" si="87"/>
        <v>0</v>
      </c>
      <c r="CD78" s="9">
        <f t="shared" si="88"/>
        <v>0</v>
      </c>
      <c r="CE78" s="12">
        <f t="shared" si="89"/>
        <v>10</v>
      </c>
      <c r="CF78" s="9">
        <f t="shared" si="90"/>
        <v>0</v>
      </c>
      <c r="CG78" s="9" t="s">
        <v>231</v>
      </c>
      <c r="CH78" s="132" t="str">
        <f>IF(Исходн.данные.!AP78=Расчет!$CI$16,"Нет",IF(Исходн.данные.!AL78&gt;0,Исходн.данные.!AL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BH$4,IF(OR(Исходн.данные.!AI78=Исходн.данные.!$AI$6,Исходн.данные.!AI78=Исходн.данные.!$AI$7),Расчет!BS78,IF(AND($CF78=0,$CE78&gt;0),EV78,ER78)))))</f>
        <v>Аммофос 12:52:00</v>
      </c>
      <c r="CI78" s="274">
        <f>IF(Расчет!$CH78="Нет","Нет",IF(Исходн.данные.!$AL78&gt;0,VLOOKUP(Расчет!$CH78,АшламаДВ_Irekle,2,FALSE),VLOOKUP(Расчет!$CH78,АшламаДВ_Gomumy,2,FALSE)))</f>
        <v>0.12</v>
      </c>
      <c r="CJ78" s="274">
        <f>IF(Расчет!$CH78="Нет","Нет",IF(Исходн.данные.!$AL78&gt;0,VLOOKUP(Расчет!$CH78,АшламаДВ_Irekle,3,FALSE),VLOOKUP(Расчет!$CH78,АшламаДВ_Gomumy,3,FALSE)))</f>
        <v>0.52</v>
      </c>
      <c r="CK78" s="274">
        <f>IF(Расчет!$CH78="Нет","Нет",IF(Исходн.данные.!$AL78&gt;0,VLOOKUP(Расчет!$CH78,АшламаДВ_Irekle,4,FALSE),VLOOKUP(Расчет!$CH78,АшламаДВ_Gomumy,4,FALSE)))</f>
        <v>0</v>
      </c>
      <c r="CL78" s="70"/>
      <c r="CM78" s="70"/>
      <c r="CN78" s="70"/>
      <c r="CO78" s="70"/>
      <c r="CP78" s="70"/>
      <c r="CQ78" s="70"/>
      <c r="CR78" s="10">
        <f t="shared" si="91"/>
        <v>0</v>
      </c>
      <c r="CS78" s="10">
        <f t="shared" si="92"/>
        <v>19.23076923076923</v>
      </c>
      <c r="CT78" s="10">
        <f t="shared" si="93"/>
        <v>0</v>
      </c>
      <c r="CU78" s="39">
        <f>IF($CH78="Нет",0,IF(CI78=0,30/MIN(CJ78:CK78),IF(Исходн.данные.!$AG78=$BV$11,CR78,IF(OR(Исходн.данные.!$AH78=$BQ$7,Исходн.данные.!$AH78=$BQ$8),90/CI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0,IF(Исходн.данные.!$AI78=$BU$11,"Нет",30/CI78))))))</f>
        <v>250</v>
      </c>
      <c r="CV78" s="39">
        <f>IF($CH78="Нет",0,IF(Исходн.данные.!AH78=0,0,IF(CJ78=0,60/MIN(CI78,CK78),IF(Исходн.данные.!$AG78=$BV$11,CS78,IF(OR(Исходн.данные.!$AH78=$BQ$7,Исходн.данные.!$AH78=$BQ$8),90/CJ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10/CJ78,IF(Исходн.данные.!$AI78=$BU$11,"Нет",60/CJ78)))))))</f>
        <v>0</v>
      </c>
      <c r="CW78" s="39">
        <f>IF($CH78="Нет",0,IF(Исходн.данные.!AH78=0,0,IF(CK78=0,30/MIN(CI78:CJ78),IF(Исходн.данные.!$AG78=$BV$11,CT78,IF(OR(Исходн.данные.!$AH78=$BQ$7,Исходн.данные.!$AH78=$BQ$8),90/CK78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0,IF(Исходн.данные.!$AI78=$BU$11,"Нет",30/CK78)))))))</f>
        <v>0</v>
      </c>
      <c r="CX78" s="133">
        <f>IF(Исходн.данные.!$AG78=$BV$11,MAX(CU78:CW78),IF(OR(Исходн.данные.!$AH78=$BS$8,Исходн.данные.!$AH78=$BQ$9,Исходн.данные.!$AH78=$BQ$10,Исходн.данные.!$AH78=$BQ$11,Исходн.данные.!$AH78=$BQ$12,Исходн.данные.!$AH78=$BP$3,Исходн.данные.!$AH78=$BT$8,$FM78="Да"),CV78,MIN(CU78:CW78)))</f>
        <v>0</v>
      </c>
      <c r="CY78" s="133">
        <f>IF(Исходн.данные.!AH78=0,0,IF(CR78&gt;$CX78,$CX78,CR78))</f>
        <v>0</v>
      </c>
      <c r="CZ78" s="133">
        <f>IF(Исходн.данные.!AH78=0,0,IF(CS78&gt;$CX78,$CX78,CS78))</f>
        <v>0</v>
      </c>
      <c r="DA78" s="133">
        <f>IF(Исходн.данные.!AH78=0,0,IF(CT78&gt;$CX78,$CX78,CT78))</f>
        <v>0</v>
      </c>
      <c r="DB78" s="10">
        <f t="shared" si="94"/>
        <v>0</v>
      </c>
      <c r="DC78" s="39">
        <f>DB78*Исходн.данные.!AJ78/1000</f>
        <v>0</v>
      </c>
      <c r="DD78" s="71">
        <f t="shared" si="95"/>
        <v>0</v>
      </c>
      <c r="DE78" s="9">
        <f t="shared" si="96"/>
        <v>0</v>
      </c>
      <c r="DF78" s="9">
        <f t="shared" si="97"/>
        <v>0</v>
      </c>
      <c r="DG78" s="39">
        <f>IF(BL78&lt;0,0,IF($CH78="Нет",BL78,IF(OR(Исходн.данные.!$AH78=$BP$1,Исходн.данные.!$AH78=$BP$2),0,IF(Исходн.данные.!AI78=$BU$11,BL78,IF(BL78-DD78&lt;0,0,BL78-DD78)))))</f>
        <v>0</v>
      </c>
      <c r="DH78" s="39">
        <f>IF(BM78&lt;0,0,IF($CH78="Нет",BM78,IF(OR(Исходн.данные.!$AH78=$BP$1,Исходн.данные.!$AH78=$BP$2),0,IF(Исходн.данные.!AJ78=$BU$11,BM78,IF(BM78-DE78&lt;0,0,BM78-DE78)))))</f>
        <v>0</v>
      </c>
      <c r="DI78" s="39">
        <f>IF(BN78&lt;0,0,IF($CH78="Нет",BN78,IF(OR(Исходн.данные.!$AH78=$BP$1,Исходн.данные.!$AH78=$BP$2),0,IF(Исходн.данные.!AK78=$BU$11,BN78,IF(BN78-DF78&lt;0,0,BN78-DF78)))))</f>
        <v>0</v>
      </c>
      <c r="DJ78" s="12">
        <f t="shared" si="98"/>
        <v>0</v>
      </c>
      <c r="DK78" s="9">
        <f t="shared" si="99"/>
        <v>0</v>
      </c>
      <c r="DL78" s="39">
        <f>IF(Исходн.данные.!AM78&gt;0,Исходн.данные.!AM78,IF(EG78&gt;0,$BH$10,0))</f>
        <v>0</v>
      </c>
      <c r="DM78" s="186">
        <f>IF($DL78=0,0,IF(Исходн.данные.!AM78&gt;0,VLOOKUP($DL78,АшламаДВ_Irekle,2,FALSE),VLOOKUP($DL78,АшламаДВ_Gomumy,2,FALSE)))</f>
        <v>0</v>
      </c>
      <c r="DN78" s="10">
        <f t="shared" si="46"/>
        <v>0</v>
      </c>
      <c r="DO78" s="9" t="str">
        <f>IF(Исходн.данные.!AN78&gt;0,Исходн.данные.!AN78,Удобрения!$B$37 )</f>
        <v>Хлор.калий</v>
      </c>
      <c r="DP78" s="9">
        <f>IF(Исходн.данные.!AN78&gt;0,VLOOKUP(Исходн.данные.!AN78,АшламаДВ_Irekle,4,FALSE),VLOOKUP(DO78,АшламаДВ_Gomumy,4,FALSE))</f>
        <v>0.6</v>
      </c>
      <c r="DQ78" s="10">
        <f t="shared" si="47"/>
        <v>0</v>
      </c>
      <c r="DR78" s="132" t="str">
        <f>IF(Исходн.данные.!AO78&gt;0,Исходн.данные.!AO78,IF(DH78=0,BS$17,IF(AND($DK78=0,$DJ78&gt;0),EJ78,EN78)))</f>
        <v>Нет</v>
      </c>
      <c r="DS78" s="70" t="str">
        <f>IF($DR78="Нет","Нет",IF(Исходн.данные.!$AO78&gt;0,VLOOKUP($DR78,АшламаДВ_Irekle,2,FALSE),VLOOKUP($DR78,АшламаДВ_Gomumy,2,FALSE)))</f>
        <v>Нет</v>
      </c>
      <c r="DT78" s="70" t="str">
        <f>IF($DR78="Нет","Нет",IF(Исходн.данные.!$AO78&gt;0,VLOOKUP($DR78,АшламаДВ_Irekle,3,FALSE),VLOOKUP($DR78,АшламаДВ_Gomumy,3,FALSE)))</f>
        <v>Нет</v>
      </c>
      <c r="DU78" s="70" t="str">
        <f>IF($DR78="Нет","Нет",IF(Исходн.данные.!$AO78&gt;0,VLOOKUP($DR78,АшламаДВ_Irekle,4,FALSE),VLOOKUP($DR78,АшламаДВ_Gomumy,4,FALSE)))</f>
        <v>Нет</v>
      </c>
      <c r="DV78" s="70"/>
      <c r="DW78" s="70"/>
      <c r="DX78" s="70"/>
      <c r="DY78" s="10">
        <f t="shared" si="100"/>
        <v>0</v>
      </c>
      <c r="DZ78" s="10">
        <f t="shared" si="101"/>
        <v>0</v>
      </c>
      <c r="EA78" s="10">
        <f t="shared" si="102"/>
        <v>0</v>
      </c>
      <c r="EB78" s="10">
        <f t="shared" si="103"/>
        <v>0</v>
      </c>
      <c r="EC78" s="10">
        <f t="shared" si="104"/>
        <v>0</v>
      </c>
      <c r="ED78" s="10">
        <f t="shared" si="105"/>
        <v>0</v>
      </c>
      <c r="EE78" s="10">
        <f t="shared" si="106"/>
        <v>0</v>
      </c>
      <c r="EF78" s="39">
        <f>EB78*Исходн.данные.!AJ78/1000</f>
        <v>0</v>
      </c>
      <c r="EG78" s="9">
        <f t="shared" si="107"/>
        <v>0</v>
      </c>
      <c r="EH78" s="9">
        <f t="shared" si="108"/>
        <v>0</v>
      </c>
      <c r="EI78" s="39" t="e">
        <f t="shared" si="7"/>
        <v>#DIV/0!</v>
      </c>
      <c r="EJ78" s="9" t="str">
        <f t="shared" si="8"/>
        <v>Азопреципитат</v>
      </c>
      <c r="EK78" s="12">
        <f t="shared" si="9"/>
        <v>0.26</v>
      </c>
      <c r="EL78" s="12">
        <f t="shared" si="10"/>
        <v>0.13</v>
      </c>
      <c r="EM78" s="12">
        <f t="shared" si="11"/>
        <v>0</v>
      </c>
      <c r="EN78" s="12" t="str">
        <f t="shared" si="57"/>
        <v>Нет</v>
      </c>
      <c r="EO78" s="12">
        <f t="shared" si="12"/>
        <v>0</v>
      </c>
      <c r="EP78" s="12">
        <f t="shared" si="13"/>
        <v>0</v>
      </c>
      <c r="EQ78" s="12">
        <f t="shared" si="14"/>
        <v>0</v>
      </c>
      <c r="ER78" s="12" t="str">
        <f t="shared" si="109"/>
        <v>Диаммофоска</v>
      </c>
      <c r="ES78" s="12">
        <f t="shared" si="15"/>
        <v>0.1</v>
      </c>
      <c r="ET78" s="12">
        <f t="shared" si="16"/>
        <v>0.26</v>
      </c>
      <c r="EU78" s="12">
        <f t="shared" si="17"/>
        <v>0.26</v>
      </c>
      <c r="EV78" s="12" t="str">
        <f t="shared" si="110"/>
        <v>Аммофос 12:52:00</v>
      </c>
      <c r="EW78" s="12" t="str">
        <f t="shared" si="111"/>
        <v>Кемира Свекловичное-6</v>
      </c>
      <c r="EX78" s="12">
        <f t="shared" si="18"/>
        <v>0.16</v>
      </c>
      <c r="EY78" s="12">
        <f t="shared" si="19"/>
        <v>0.12</v>
      </c>
      <c r="EZ78" s="12">
        <f t="shared" si="20"/>
        <v>0.17</v>
      </c>
      <c r="FA78" s="38" t="e">
        <f>IF(AND(OR(FJ78=$FD$1,FM78=$FD$1,FO78=$FD$1,FQ78=$FD$1,FS78=$FD$1),FD78=$FD$1,Исходн.данные.!J78&lt;2,FU78=$FD$1),"Бор,Кобальт",IF(AND(FO78=$FD$1,FH78=$FD$1,Исходн.данные.!J78&lt;2,FU78=$FD$1),"Бор,Кобальт",IF(AND(OR(FJ78=$FD$1,FM78=$FD$1,FQ78=$FD$1),FE78=$FD$1,Исходн.данные.!J78&lt;2,FT78=$FD$1,FU78=$FD$1),"Бор,Медь,Цинк",IF(AND(OR(FJ78=$FD$1,FR78="Да"),FI78="Да",Исходн.данные.!J78&lt;2,FT78="Да",FU78="Да"),"Бор,Цинк,Медь",IF(AND(OR(FM78="Да",FQ78="Да"),FI78="Да",Исходн.данные.!J78&lt;2,FT78="Да",FU78="Да"),"Бор,Цинк",IF(AND(FN78="Да",OR(FD78="Да",FE78="Да")),"Бор",FB78))))))</f>
        <v>#N/A</v>
      </c>
      <c r="FB78" s="134" t="e">
        <f>IF(AND(OR(FD78="Да",FE78="Да",FF78="Да",FG78="Да",FH78="Да"),FO78="Да"),"Бор",IF(AND(FP78="Да",OR(FD78="Да",FE78="Да",FI78="Да")),"Бор",IF(AND(FS78="Да",FE78="Да"),"Бор,Медь",IF(AND(OR(FJ78="Да",FK78="Да",FL78="Да"),FE78="Да",Исходн.данные.!I78&lt;5,FT78="Да",FU78="Да"),"Молибден,Цинк",IF(AND(FM78="Да",OR(FE78="Да",FF78="Да",FG78="Да",FH78="Да",FI78="Да")),"Молибден,Цинк",IF(AND(OR(FJ78="Да",FK78="Да",FL78="Да",FM78="Да",FQ78="Да"),OR(FE78="Да",FF78="Да"),FT78="Да",FU78="Да",Исходн.данные.!I78&gt;5.5),"Медь,Цинк",FC78))))))</f>
        <v>#N/A</v>
      </c>
      <c r="FC78" s="23" t="e">
        <f t="shared" si="112"/>
        <v>#N/A</v>
      </c>
      <c r="FD78" s="38" t="str">
        <f>IF(OR(Исходн.данные.!F78=$CC$1,Исходн.данные.!F78=$CC$2,Исходн.данные.!F78=$CC$3,Исходн.данные.!F78=$CC$4),"Да","Нет")</f>
        <v>Нет</v>
      </c>
      <c r="FE78" s="38" t="str">
        <f>IF(Исходн.данные.!F78=$CC$5,"Да","Нет")</f>
        <v>Нет</v>
      </c>
      <c r="FF78" s="38" t="str">
        <f>IF(OR(Исходн.данные.!F78=$CC$6,Исходн.данные.!F78=$CC$7),"Да","Нет")</f>
        <v>Нет</v>
      </c>
      <c r="FG78" s="38" t="str">
        <f>IF(OR(Исходн.данные.!F78=$CC$8,Исходн.данные.!F78=$CC$9),"Да","Нет")</f>
        <v>Нет</v>
      </c>
      <c r="FH78" s="38" t="str">
        <f>IF(Исходн.данные.!F78=$CC$10,"Да","Нет")</f>
        <v>Нет</v>
      </c>
      <c r="FI78" s="38" t="str">
        <f>IF(OR(Исходн.данные.!F78=$CC$11,Исходн.данные.!F78=$CC$12),"Да","Нет")</f>
        <v>Нет</v>
      </c>
      <c r="FJ78" s="38" t="str">
        <f>IF(OR(Исходн.данные.!AH78=$BS$1,Исходн.данные.!AH78=$BQ$11,Исходн.данные.!AH78=$BQ$12),"Да","Нет")</f>
        <v>Нет</v>
      </c>
      <c r="FK78" s="38" t="str">
        <f>IF(OR(Исходн.данные.!AH78=$BS$2,Исходн.данные.!AH78=$BS$4),"Да","Нет")</f>
        <v>Нет</v>
      </c>
      <c r="FL78" s="38" t="str">
        <f>IF(OR(Исходн.данные.!AH78=$BS$3,Исходн.данные.!AH78=$BS$5),"Да","Нет")</f>
        <v>Нет</v>
      </c>
      <c r="FM78" s="38" t="str">
        <f>IF(OR(Исходн.данные.!AH78=$BS$9,Исходн.данные.!AH78=$BS$10,Исходн.данные.!AH78=$BS$11,Исходн.данные.!AH78=$BS$12),"Да","Нет")</f>
        <v>Нет</v>
      </c>
      <c r="FN78" s="38" t="str">
        <f>IF(OR(Исходн.данные.!AH78=$BS$6,Исходн.данные.!AH78=$BP$3),"Да","Нет")</f>
        <v>Нет</v>
      </c>
      <c r="FO78" s="38" t="str">
        <f>IF(Исходн.данные.!AH78=$BQ$9,"Да","Нет")</f>
        <v>Нет</v>
      </c>
      <c r="FP78" s="38" t="str">
        <f>IF(OR(Исходн.данные.!AH78=$BS$8,Исходн.данные.!AH78=$BT$8),"Да","Нет")</f>
        <v>Нет</v>
      </c>
      <c r="FQ78" s="38" t="str">
        <f>IF(OR(Исходн.данные.!AH78=$BQ$7,Исходн.данные.!AH78=$BQ$8),"Да","Нет")</f>
        <v>Нет</v>
      </c>
      <c r="FR78" s="38" t="str">
        <f>IF(Исходн.данные.!AI78=$BU$9,"Да","Нет")</f>
        <v>Нет</v>
      </c>
      <c r="FS78" s="38" t="str">
        <f>IF(OR(Исходн.данные.!AH78=$BP$1,Исходн.данные.!AH78=$BP$2),"Да","Нет")</f>
        <v>Нет</v>
      </c>
      <c r="FT78" s="38" t="e">
        <f>IF((Исходн.данные.!K78*GO78*GS78*GW78+BL78*0.6+Исходн.данные.!Q78*4.5*0.275)&gt;90,"Да","Нет")</f>
        <v>#N/A</v>
      </c>
      <c r="FU78" s="38" t="e">
        <f>IF((Исходн.данные.!M78*GS78*GZ78+BM78*0.225)&gt;35,"Да","Нет")</f>
        <v>#N/A</v>
      </c>
      <c r="FV78" s="38" t="str">
        <f>IF(Исходн.данные.!O78&gt;175,"Да","Нет")</f>
        <v>Нет</v>
      </c>
      <c r="FW78" s="39" t="str">
        <f>IF(Исходн.данные.!I78&gt;5.5,"Да","Нет")</f>
        <v>Нет</v>
      </c>
      <c r="FX78" s="39" t="str">
        <f>IF(Исходн.данные.!J78&lt;2,"Да","Нет")</f>
        <v>Да</v>
      </c>
      <c r="FY78" s="39" t="e">
        <f>IF(HF78=$FY$16,0,Исходн.данные.!K78*GO78*GS78*GW78/HF78)</f>
        <v>#N/A</v>
      </c>
      <c r="FZ78" s="39" t="e">
        <f>Исходн.данные.!M78*GS78*GZ78/HG78</f>
        <v>#N/A</v>
      </c>
      <c r="GA78" s="39" t="e">
        <f>IF(K_Wyn=$FY$16,0,IF(Исходн.данные.!N78=Исходн.данные.!$L$10,Исходн.данные.!O78/1.1*GS78*HC78/HH78,IF(Исходн.данные.!N78=Исходн.данные.!$L$12,Исходн.данные.!O78/1.5*GS78*HC78/HH78,Исходн.данные.!O78*GS78*HC78/HH78)))</f>
        <v>#N/A</v>
      </c>
      <c r="GB78" s="39" t="e">
        <f>IF(HF78=$FY$16,0,((Исходн.данные.!Q78*N_Org+Исходн.данные.!R78*N_Sider+Исходн.данные.!S78*N_Soloma)*AO78+Расчет!BC78*VLOOKUP(Исходн.данные.!T78,Справ!$A$3:$O$57,15)*AO78+BB78*VLOOKUP(Исходн.данные.!T78,Справ!$A$3:$O$57,15)*AL78+(Исходн.данные.!V78*N_Rizotorf+Исходн.данные.!W78*N_Rizoagr))/HF78)</f>
        <v>#N/A</v>
      </c>
      <c r="GC78" s="39" t="e">
        <f>IF(HG78=$FY$16,0,((Исходн.данные.!Q78*Р_Org+Исходн.данные.!R78*P_Sider+Исходн.данные.!S78*P_Soloma)*AP78+Расчет!BC78*VLOOKUP(Исходн.данные.!T78,Справ!$A$3:$P$57,16)*AP78+BB78*VLOOKUP(Исходн.данные.!T78,Справ!$A$3:$P$57,16)*AM78)/HG78)</f>
        <v>#N/A</v>
      </c>
      <c r="GD78" s="39" t="e">
        <f>IF(HH78=$FY$16,0,((Исходн.данные.!Q78*К_Org+Исходн.данные.!R78*K_Sider+Исходн.данные.!S78*K_Soloma)*AQ78+Расчет!BC78*VLOOKUP(Исходн.данные.!T78,Справ!$A$3:$Q$57,17)*AQ78+BB78*VLOOKUP(Исходн.данные.!T78,Справ!$A$3:$Q$57,17)*AN78)/HH78)</f>
        <v>#N/A</v>
      </c>
      <c r="GE78" s="39" t="e">
        <f>IF(HF78=$FY$16,0,(Исходн.данные.!X78*AR78+Исходн.данные.!AA78*N_Org*AL78+Исходн.данные.!AB78*N_Sider*AL78+Исходн.данные.!AC78*N_Soloma*AL78)/HF78)</f>
        <v>#N/A</v>
      </c>
      <c r="GF78" s="39" t="e">
        <f>IF(HG78=$FY$16,0,(Исходн.данные.!Y78*AS78+Исходн.данные.!AA78*Р_Org*AM78+Исходн.данные.!AB78*P_Sider*AM78+Исходн.данные.!AC78*P_Soloma*AM78)/HG78)</f>
        <v>#N/A</v>
      </c>
      <c r="GG78" s="39" t="e">
        <f>IF(HH78=$FY$16,0,(Исходн.данные.!Z78*AT78+Исходн.данные.!AA78*К_Org*AN78+Исходн.данные.!AB78*K_Sider*AN78+Исходн.данные.!AC78*K_Soloma*AN78)/HH78)</f>
        <v>#N/A</v>
      </c>
      <c r="GH78" s="39" t="e">
        <f>Исходн.данные.!AD78*AU78/HF78</f>
        <v>#N/A</v>
      </c>
      <c r="GI78" s="39" t="e">
        <f>Исходн.данные.!AE78*AV78/HG78</f>
        <v>#N/A</v>
      </c>
      <c r="GJ78" s="39" t="e">
        <f>Исходн.данные.!AF78*AW78/HH78</f>
        <v>#N/A</v>
      </c>
      <c r="GK78" s="55">
        <f>Исходн.данные.!AK78</f>
        <v>0</v>
      </c>
      <c r="GL78" s="11" t="e">
        <f t="shared" si="113"/>
        <v>#N/A</v>
      </c>
      <c r="GM78" s="11" t="e">
        <f t="shared" si="114"/>
        <v>#N/A</v>
      </c>
      <c r="GN78" s="11" t="e">
        <f t="shared" si="115"/>
        <v>#N/A</v>
      </c>
      <c r="GO78" s="57">
        <f t="shared" si="116"/>
        <v>19</v>
      </c>
      <c r="GP78" s="55">
        <f>IF(OR(Исходн.данные.!F78=$CE$1,Исходн.данные.!F78=$CE$2,Исходн.данные.!F78=$CE$3,Исходн.данные.!F78=$CE$4,Исходн.данные.!F78=$CE$5),GQ78,GR78)</f>
        <v>19</v>
      </c>
      <c r="GQ78" s="55">
        <f>IF(Исходн.данные.!F78=$CE$1,28,IF(Исходн.данные.!F78=$CE$2,26,IF(Исходн.данные.!F78=$CE$3,24,IF(Исходн.данные.!F78=$CE$4,22,IF(Исходн.данные.!F78=$CE$5,20,GR78)))))</f>
        <v>19</v>
      </c>
      <c r="GR78" s="55">
        <f>IF(Исходн.данные.!F78=$CE$6,18,IF(Исходн.данные.!F78=$CE$7,16,IF(Исходн.данные.!F78=$CE$8,14,IF(Исходн.данные.!F78=$CE$9,13,IF(Исходн.данные.!F78=$CE$10,12,19)))))</f>
        <v>19</v>
      </c>
      <c r="GS78" s="55">
        <f>IF(Исходн.данные.!G78="Пес",0.035*(40+2*Исходн.данные.!H78),IF(Исходн.данные.!G78="Суп",0.0325*(40+2*Исходн.данные.!H78),0.03*(40+2*Исходн.данные.!H78)))</f>
        <v>1.2</v>
      </c>
      <c r="GT78" s="55">
        <f>IF(Исходн.данные.!H78&lt;23,2.6,IF(AND(Исходн.данные.!H78&gt;22,Исходн.данные.!H78&lt;26),3,IF(AND(Исходн.данные.!H78&gt;25,Исходн.данные.!H78&lt;29),3.4,3.6)))</f>
        <v>2.6</v>
      </c>
      <c r="GU78" s="55">
        <f>IF(Исходн.данные.!H78&lt;23,2.8,IF(AND(Исходн.данные.!H78&gt;22,Исходн.данные.!H78&lt;26),3.2,IF(AND(Исходн.данные.!H78&gt;25,Исходн.данные.!H78&lt;29),3.6,3.9)))</f>
        <v>2.8</v>
      </c>
      <c r="GV78" s="55">
        <f>IF(Исходн.данные.!H78&lt;23,3,IF(AND(Исходн.данные.!H78&gt;22,Исходн.данные.!H78&lt;26),3.5,IF(AND(Исходн.данные.!H78&gt;25,Исходн.данные.!H78&lt;29),3.9,4.2)))</f>
        <v>3</v>
      </c>
      <c r="GW78" s="55" t="e">
        <f>IF(Исходн.данные.!P78="Ум",GX78,GY78)</f>
        <v>#N/A</v>
      </c>
      <c r="GX78" s="55" t="e">
        <f>VLOOKUP(Исходн.данные.!AI78,Коэффициенты!$J$7:$L$13,2,FALSE)</f>
        <v>#N/A</v>
      </c>
      <c r="GY78" s="55" t="e">
        <f>VLOOKUP(Исходн.данные.!AI78,Коэффициенты!$J$7:$L$13,3,FALSE)</f>
        <v>#N/A</v>
      </c>
      <c r="GZ78" s="55" t="e">
        <f>(IF(Исходн.данные.!M78&lt;50,0.11*VLOOKUP(Исходн.данные.!AH78,Культуры.Информация,7,FALSE),IF(Исходн.данные.!M78&gt;250,0.05*VLOOKUP(Исходн.данные.!AH78,Культуры.Информация,7,FALSE),VLOOKUP(Исходн.данные.!AH78,Культуры.Информация,5,FALSE)/100*($GX$6+$GY$6*Исходн.данные.!M78))))*Расчет2!AI78</f>
        <v>#N/A</v>
      </c>
      <c r="HA78" s="211"/>
      <c r="HB78" s="211"/>
      <c r="HC78" s="55" t="e">
        <f>(IF(Исходн.данные.!O78&lt;80,0.2*VLOOKUP(Исходн.данные.!AH78,Культуры.Информация,8,FALSE),IF(Исходн.данные.!O78&gt;240,0.09*VLOOKUP(Исходн.данные.!AH78,Культуры.Информация,8,FALSE),VLOOKUP(Исходн.данные.!AH78,Культуры.Информация,6,FALSE)/100*($HB$6+$HC$6*Исходн.данные.!O78))))*Расчет2!AJ78</f>
        <v>#N/A</v>
      </c>
      <c r="HD78" s="55">
        <f>IF(Исходн.данные.!O78&gt;240,0.09,IF(Исходн.данные.!O78&lt;30,0.3,$HE$10+$HD$10*Исходн.данные.!O78))</f>
        <v>0.3</v>
      </c>
      <c r="HE78" s="55">
        <f>IF(Исходн.данные.!O78&gt;240,0.17,IF(Исходн.данные.!O78&lt;30,0.5,$HF$12+$HE$12*Исходн.данные.!O78))</f>
        <v>0.5</v>
      </c>
      <c r="HF78" s="55" t="e">
        <f>VLOOKUP(Исходн.данные.!AH78,Справ!$A$3:$D$58,2,FALSE)</f>
        <v>#N/A</v>
      </c>
      <c r="HG78" s="55" t="e">
        <f>VLOOKUP(Исходн.данные.!AH78,Справ!$A$3:$D$58,3,FALSE)</f>
        <v>#N/A</v>
      </c>
      <c r="HH78" s="55" t="e">
        <f>VLOOKUP(Исходн.данные.!AH78,Справ!$A$3:$D$58,4,FALSE)</f>
        <v>#N/A</v>
      </c>
      <c r="HI78" s="11" t="e">
        <f t="shared" si="117"/>
        <v>#N/A</v>
      </c>
      <c r="HJ78" s="11" t="e">
        <f t="shared" si="118"/>
        <v>#N/A</v>
      </c>
      <c r="HK78" s="11" t="e">
        <f t="shared" si="119"/>
        <v>#N/A</v>
      </c>
      <c r="HL78" s="55">
        <f>IF(OR(Исходн.данные.!G78="Глин",Исходн.данные.!G78="Т_суг"),1.1,IF(Исходн.данные.!G78="Ср_суг",1,1))</f>
        <v>1</v>
      </c>
      <c r="HM78" s="55">
        <f>IF(OR(Исходн.данные.!G78="Глин",Исходн.данные.!G78="Т_суг"),0.9,IF(Исходн.данные.!G78="Ср_суг",1,1.2))</f>
        <v>1.2</v>
      </c>
      <c r="HN78" s="11" t="e">
        <f t="shared" si="120"/>
        <v>#N/A</v>
      </c>
      <c r="HO78" s="11" t="e">
        <f t="shared" si="121"/>
        <v>#N/A</v>
      </c>
      <c r="HP78" s="11" t="e">
        <f t="shared" si="122"/>
        <v>#N/A</v>
      </c>
      <c r="HQ78" t="e">
        <f t="shared" si="123"/>
        <v>#N/A</v>
      </c>
      <c r="HR78" t="e">
        <f t="shared" si="124"/>
        <v>#N/A</v>
      </c>
      <c r="HS78" t="e">
        <f t="shared" si="125"/>
        <v>#N/A</v>
      </c>
      <c r="HT78" t="e">
        <f t="shared" si="21"/>
        <v>#N/A</v>
      </c>
      <c r="HU78" t="e">
        <f t="shared" si="22"/>
        <v>#N/A</v>
      </c>
      <c r="HV78" t="e">
        <f t="shared" si="23"/>
        <v>#N/A</v>
      </c>
      <c r="HW78" t="e">
        <f t="shared" si="24"/>
        <v>#N/A</v>
      </c>
      <c r="HX78" t="e">
        <f t="shared" si="25"/>
        <v>#N/A</v>
      </c>
      <c r="HY78" t="e">
        <f t="shared" si="26"/>
        <v>#N/A</v>
      </c>
      <c r="HZ78" s="55">
        <f>IF(OR(Исходн.данные.!AI78="Оз_Ч_П",Исходн.данные.!AI78="Оз_З_П",Исходн.данные.!AI78="Яр_зер"),12,30)</f>
        <v>30</v>
      </c>
      <c r="IA78" t="e">
        <f t="shared" si="126"/>
        <v>#N/A</v>
      </c>
      <c r="IB78" t="e">
        <f t="shared" si="127"/>
        <v>#N/A</v>
      </c>
      <c r="IC78" t="e">
        <f t="shared" si="128"/>
        <v>#N/A</v>
      </c>
      <c r="ID78" s="11" t="e">
        <f t="shared" si="129"/>
        <v>#N/A</v>
      </c>
      <c r="IE78" s="11" t="e">
        <f t="shared" si="130"/>
        <v>#N/A</v>
      </c>
      <c r="IF78" s="11" t="e">
        <f t="shared" si="131"/>
        <v>#N/A</v>
      </c>
    </row>
    <row r="79" spans="35:240" x14ac:dyDescent="0.2">
      <c r="AI79">
        <f>IF(Исходн.данные.!I79&gt;6,1,1.85-(0.148*Исходн.данные.!I79))</f>
        <v>1.85</v>
      </c>
      <c r="AJ79">
        <f>IF(Исходн.данные.!I79&gt;6,1,2.434-(0.246*Исходн.данные.!I79))</f>
        <v>2.4340000000000002</v>
      </c>
      <c r="AL79" s="148" t="b">
        <f>IF(Исходн.данные.!$P79="Ум",N_OrgUd_2g_um,IF(Исходн.данные.!$P79="Об",N_OrgUd_2g_ob))</f>
        <v>0</v>
      </c>
      <c r="AM79" s="148" t="b">
        <f>IF(Исходн.данные.!$P79="Ум",P_OrgUd_2g_um,IF(Исходн.данные.!$P79="Об",P_OrgUd_2g_ob))</f>
        <v>0</v>
      </c>
      <c r="AN79" s="148" t="b">
        <f>IF(Исходн.данные.!$P79="Ум",K_OrgUd_2g_um,IF(Исходн.данные.!$P79="Об",K_OrgUd_2g_ob))</f>
        <v>0</v>
      </c>
      <c r="AO79" s="148" t="b">
        <f>IF(Исходн.данные.!$P79="Ум",N_OrgUd_1g_um,IF(Исходн.данные.!$P79="Об",N_OrgUd_1g_ob))</f>
        <v>0</v>
      </c>
      <c r="AP79" s="148" t="b">
        <f>IF(Исходн.данные.!$P79="Ум",P_OrgUd_1g_um,IF(Исходн.данные.!$P79="Об",P_OrgUd_1g_ob))</f>
        <v>0</v>
      </c>
      <c r="AQ79" s="148" t="b">
        <f>IF(Исходн.данные.!$P79="Ум",K_OrgUd_1g_um,IF(Исходн.данные.!$P79="Об",K_OrgUd_1g_ob))</f>
        <v>0</v>
      </c>
      <c r="AR79" t="b">
        <f>IF(Исходн.данные.!$P79="Ум",N_MinUd_2g_um,IF(Исходн.данные.!$P79="Об",N_MinUd_2g_ob))</f>
        <v>0</v>
      </c>
      <c r="AS79" t="b">
        <f>IF(Исходн.данные.!$P79="Ум",P_MinUd_2g_um,IF(Исходн.данные.!$P79="Об",P_MinUd_2g_ob))</f>
        <v>0</v>
      </c>
      <c r="AT79" t="b">
        <f>IF(Исходн.данные.!$P79="Ум",K_MinUd_2g_um,IF(Исходн.данные.!$P79="Об",K_MinUd_2g_ob))</f>
        <v>0</v>
      </c>
      <c r="AU79" t="b">
        <f>IF(Исходн.данные.!$P79="Ум",N_MinUd_1g_um,IF(Исходн.данные.!$P79="Об",N_MinUd_1g_ob))</f>
        <v>0</v>
      </c>
      <c r="AV79" t="b">
        <f>IF(Исходн.данные.!P79="Ум",P_MinUd_1g_um,IF(Исходн.данные.!P79="Об",P_MinUd_1g_ob))</f>
        <v>0</v>
      </c>
      <c r="AW79" t="b">
        <f>IF(Исходн.данные.!P79="Ум",K_MinUd_1g_um,IF(Исходн.данные.!P79="Об",K_MinUd_1g_ob))</f>
        <v>0</v>
      </c>
      <c r="AY79" t="e">
        <f>VLOOKUP(Исходн.данные.!T79,Справ!$A$3:$N$57,12)</f>
        <v>#N/A</v>
      </c>
      <c r="AZ79" t="e">
        <f>VLOOKUP(Исходн.данные.!T79,Справ!$A$3:$N$57,13)</f>
        <v>#N/A</v>
      </c>
      <c r="BA79" t="e">
        <f>VLOOKUP(Исходн.данные.!T79,Справ!$A$3:$N$57,14)</f>
        <v>#N/A</v>
      </c>
      <c r="BB79">
        <f>IF(Исходн.данные.!AH79=0,0,25)</f>
        <v>0</v>
      </c>
      <c r="BC79" s="141">
        <f>IF(Исходн.данные.!AH79=0,0,IF(Исходн.данные.!T79=0,25,BD79))</f>
        <v>0</v>
      </c>
      <c r="BD79" s="168" t="e">
        <f>AY79+AZ79*Исходн.данные.!U79-POWER(BA79,2)*Исходн.данные.!U79</f>
        <v>#N/A</v>
      </c>
      <c r="BE7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79" s="25">
        <f>IF(Исходн.данные.!AH79=0,0,MIN(HN79:HP79))</f>
        <v>0</v>
      </c>
      <c r="BG79" s="9">
        <f>IF(Исходн.данные.!AH79=0,0,IF((HO79+10*0.25/HG79/HL79)&lt;17,17,HO79+10*0.25/HG79/HL79))</f>
        <v>0</v>
      </c>
      <c r="BH79" s="181">
        <f>IF(Исходн.данные.!AH79=0,0,HW79*HF79*HL79/AU79*AI79+Исходн.данные.!S79*10)</f>
        <v>0</v>
      </c>
      <c r="BI79" s="10"/>
      <c r="BJ79" s="182">
        <f>IF(Исходн.данные.!AH79=0,0,IF(HX79*HG79*HL79/AV79&lt;0,0,HX79*HG79*HL79/AV79*AJ79))</f>
        <v>0</v>
      </c>
      <c r="BK79" s="182">
        <f>IF(Исходн.данные.!AH79=0,0,HY79*HH79*HM79/AW79)</f>
        <v>0</v>
      </c>
      <c r="BL79" s="10">
        <f>IF(OR(Исходн.данные.!$AH79=$BP$1,Исходн.данные.!$AH79=$BP$2),0,IF(BH79&lt;0,0,IF(OR(Исходн.данные.!T79=Расчет!$BP$1,Исходн.данные.!T79=Расчет!$BP$2,Исходн.данные.!T79=Расчет!$BT$5,Исходн.данные.!T79=Расчет!$BT$6),BH79*0.5,IF(OR(Исходн.данные.!T79=Расчет!$BS$9,Исходн.данные.!T79=Расчет!$BS$10,Исходн.данные.!T79=Расчет!$BS$11,Исходн.данные.!T79=Расчет!$BS$12,Исходн.данные.!T79=Расчет!$BP$5),BH79*0.8,BH79))))</f>
        <v>0</v>
      </c>
      <c r="BM79" s="10">
        <f>IF(OR(Исходн.данные.!$AH79=$BP$1,Исходн.данные.!$AH79=$BP$2),0,IF(BJ79&lt;0,0,IF(Исходн.данные.!I79&lt;4.5,BJ79*1.2,IF(Исходн.данные.!I79&gt;5.1,BJ79,BJ79*((5.1-Исходн.данные.!I79)*0.333+1)))))</f>
        <v>0</v>
      </c>
      <c r="BN79" s="10">
        <f>IF(OR(Исходн.данные.!$AH79=$BP$1,Исходн.данные.!$AH79=$BP$2),60-Исходн.данные.!AF79,IF(BK79&lt;0,0,IF(Исходн.данные.!I79&lt;4.5,BK79*1.2,IF(Исходн.данные.!I79&gt;5.1,BK79,BK79*((5.1-Исходн.данные.!I79)*0.333+1)))))</f>
        <v>0</v>
      </c>
      <c r="BO79" s="9">
        <f>IF(BL79&lt;0,0,BL79*Исходн.данные.!$AJ79/1000)</f>
        <v>0</v>
      </c>
      <c r="BP79" s="9">
        <f>IF(BM79&lt;0,0,BM79*Исходн.данные.!$AJ79/1000)</f>
        <v>0</v>
      </c>
      <c r="BQ79" s="9">
        <f>IF(BN79&lt;0,0,BN79*Исходн.данные.!$AJ79/1000)</f>
        <v>0</v>
      </c>
      <c r="BR79" s="9">
        <f t="shared" si="81"/>
        <v>0</v>
      </c>
      <c r="BS79" s="10" t="str">
        <f t="shared" si="82"/>
        <v>Аммофос 12:52:00</v>
      </c>
      <c r="BT79" s="10" t="str">
        <f t="shared" si="83"/>
        <v>Аммофос 12:52:00</v>
      </c>
      <c r="BU79" s="10" t="str">
        <f t="shared" si="84"/>
        <v>Диаммофоска</v>
      </c>
      <c r="BV79" s="10">
        <f t="shared" si="85"/>
        <v>0</v>
      </c>
      <c r="BW79" s="10"/>
      <c r="BX79" s="10"/>
      <c r="BY79" s="9">
        <f>IF(BL79&lt;0,0,IF(OR(Исходн.данные.!AI79=Расчет!$BU$6,Исходн.данные.!AI79=Расчет!$BU$7),Расчет!BV79,IF(Исходн.данные.!$AG79=$BV$11,BL79,IF(OR(Исходн.данные.!$AH79=$BQ$7,Исходн.данные.!$AH79=$BQ$8),CB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0,IF(Исходн.данные.!$AI79=$BU$11,"Нет",IF(BL79&gt;30,30,BL79)))))))</f>
        <v>0</v>
      </c>
      <c r="BZ79" s="9">
        <f>IF(AND(Исходн.данные.!$AG79=$BV$11,BM79&lt;10),10,IF(Исходн.данные.!$AG79=$BV$11,BM79,IF(OR(Исходн.данные.!$AH79=$BQ$7,Исходн.данные.!$AH79=$BQ$8),CC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10,IF(Исходн.данные.!$AI79=$BU$11,"Нет",IF(BM79&gt;60,60,IF(BM79&lt;10,10,BM79)))))))</f>
        <v>10</v>
      </c>
      <c r="CA79" s="39">
        <f>IF(BN79&lt;0,0,IF(Исходн.данные.!$AG79=$BV$11,BN79,IF(OR(Исходн.данные.!$AH79=$BQ$7,Исходн.данные.!$AH79=$BQ$8),CD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0,IF(Исходн.данные.!$AI79=$BU$11,"Нет",IF(BN79&gt;30,30,BN79))))))</f>
        <v>0</v>
      </c>
      <c r="CB79" s="9">
        <f t="shared" si="86"/>
        <v>0</v>
      </c>
      <c r="CC79" s="9">
        <f t="shared" si="87"/>
        <v>0</v>
      </c>
      <c r="CD79" s="9">
        <f t="shared" si="88"/>
        <v>0</v>
      </c>
      <c r="CE79" s="12">
        <f t="shared" si="89"/>
        <v>10</v>
      </c>
      <c r="CF79" s="9">
        <f t="shared" si="90"/>
        <v>0</v>
      </c>
      <c r="CG79" s="9" t="s">
        <v>231</v>
      </c>
      <c r="CH79" s="132" t="str">
        <f>IF(Исходн.данные.!AP79=Расчет!$CI$16,"Нет",IF(Исходн.данные.!AL79&gt;0,Исходн.данные.!AL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BH$4,IF(OR(Исходн.данные.!AI79=Исходн.данные.!$AI$6,Исходн.данные.!AI79=Исходн.данные.!$AI$7),Расчет!BS79,IF(AND($CF79=0,$CE79&gt;0),EV79,ER79)))))</f>
        <v>Аммофос 12:52:00</v>
      </c>
      <c r="CI79" s="274">
        <f>IF(Расчет!$CH79="Нет","Нет",IF(Исходн.данные.!$AL79&gt;0,VLOOKUP(Расчет!$CH79,АшламаДВ_Irekle,2,FALSE),VLOOKUP(Расчет!$CH79,АшламаДВ_Gomumy,2,FALSE)))</f>
        <v>0.12</v>
      </c>
      <c r="CJ79" s="274">
        <f>IF(Расчет!$CH79="Нет","Нет",IF(Исходн.данные.!$AL79&gt;0,VLOOKUP(Расчет!$CH79,АшламаДВ_Irekle,3,FALSE),VLOOKUP(Расчет!$CH79,АшламаДВ_Gomumy,3,FALSE)))</f>
        <v>0.52</v>
      </c>
      <c r="CK79" s="274">
        <f>IF(Расчет!$CH79="Нет","Нет",IF(Исходн.данные.!$AL79&gt;0,VLOOKUP(Расчет!$CH79,АшламаДВ_Irekle,4,FALSE),VLOOKUP(Расчет!$CH79,АшламаДВ_Gomumy,4,FALSE)))</f>
        <v>0</v>
      </c>
      <c r="CL79" s="70"/>
      <c r="CM79" s="70"/>
      <c r="CN79" s="70"/>
      <c r="CO79" s="70"/>
      <c r="CP79" s="70"/>
      <c r="CQ79" s="70"/>
      <c r="CR79" s="10">
        <f t="shared" si="91"/>
        <v>0</v>
      </c>
      <c r="CS79" s="10">
        <f t="shared" si="92"/>
        <v>19.23076923076923</v>
      </c>
      <c r="CT79" s="10">
        <f t="shared" si="93"/>
        <v>0</v>
      </c>
      <c r="CU79" s="39">
        <f>IF($CH79="Нет",0,IF(CI79=0,30/MIN(CJ79:CK79),IF(Исходн.данные.!$AG79=$BV$11,CR79,IF(OR(Исходн.данные.!$AH79=$BQ$7,Исходн.данные.!$AH79=$BQ$8),90/CI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0,IF(Исходн.данные.!$AI79=$BU$11,"Нет",30/CI79))))))</f>
        <v>250</v>
      </c>
      <c r="CV79" s="39">
        <f>IF($CH79="Нет",0,IF(Исходн.данные.!AH79=0,0,IF(CJ79=0,60/MIN(CI79,CK79),IF(Исходн.данные.!$AG79=$BV$11,CS79,IF(OR(Исходн.данные.!$AH79=$BQ$7,Исходн.данные.!$AH79=$BQ$8),90/CJ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10/CJ79,IF(Исходн.данные.!$AI79=$BU$11,"Нет",60/CJ79)))))))</f>
        <v>0</v>
      </c>
      <c r="CW79" s="39">
        <f>IF($CH79="Нет",0,IF(Исходн.данные.!AH79=0,0,IF(CK79=0,30/MIN(CI79:CJ79),IF(Исходн.данные.!$AG79=$BV$11,CT79,IF(OR(Исходн.данные.!$AH79=$BQ$7,Исходн.данные.!$AH79=$BQ$8),90/CK79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0,IF(Исходн.данные.!$AI79=$BU$11,"Нет",30/CK79)))))))</f>
        <v>0</v>
      </c>
      <c r="CX79" s="133">
        <f>IF(Исходн.данные.!$AG79=$BV$11,MAX(CU79:CW79),IF(OR(Исходн.данные.!$AH79=$BS$8,Исходн.данные.!$AH79=$BQ$9,Исходн.данные.!$AH79=$BQ$10,Исходн.данные.!$AH79=$BQ$11,Исходн.данные.!$AH79=$BQ$12,Исходн.данные.!$AH79=$BP$3,Исходн.данные.!$AH79=$BT$8,$FM79="Да"),CV79,MIN(CU79:CW79)))</f>
        <v>0</v>
      </c>
      <c r="CY79" s="133">
        <f>IF(Исходн.данные.!AH79=0,0,IF(CR79&gt;$CX79,$CX79,CR79))</f>
        <v>0</v>
      </c>
      <c r="CZ79" s="133">
        <f>IF(Исходн.данные.!AH79=0,0,IF(CS79&gt;$CX79,$CX79,CS79))</f>
        <v>0</v>
      </c>
      <c r="DA79" s="133">
        <f>IF(Исходн.данные.!AH79=0,0,IF(CT79&gt;$CX79,$CX79,CT79))</f>
        <v>0</v>
      </c>
      <c r="DB79" s="10">
        <f t="shared" si="94"/>
        <v>0</v>
      </c>
      <c r="DC79" s="39">
        <f>DB79*Исходн.данные.!AJ79/1000</f>
        <v>0</v>
      </c>
      <c r="DD79" s="71">
        <f t="shared" si="95"/>
        <v>0</v>
      </c>
      <c r="DE79" s="9">
        <f t="shared" si="96"/>
        <v>0</v>
      </c>
      <c r="DF79" s="9">
        <f t="shared" si="97"/>
        <v>0</v>
      </c>
      <c r="DG79" s="39">
        <f>IF(BL79&lt;0,0,IF($CH79="Нет",BL79,IF(OR(Исходн.данные.!$AH79=$BP$1,Исходн.данные.!$AH79=$BP$2),0,IF(Исходн.данные.!AI79=$BU$11,BL79,IF(BL79-DD79&lt;0,0,BL79-DD79)))))</f>
        <v>0</v>
      </c>
      <c r="DH79" s="39">
        <f>IF(BM79&lt;0,0,IF($CH79="Нет",BM79,IF(OR(Исходн.данные.!$AH79=$BP$1,Исходн.данные.!$AH79=$BP$2),0,IF(Исходн.данные.!AJ79=$BU$11,BM79,IF(BM79-DE79&lt;0,0,BM79-DE79)))))</f>
        <v>0</v>
      </c>
      <c r="DI79" s="39">
        <f>IF(BN79&lt;0,0,IF($CH79="Нет",BN79,IF(OR(Исходн.данные.!$AH79=$BP$1,Исходн.данные.!$AH79=$BP$2),0,IF(Исходн.данные.!AK79=$BU$11,BN79,IF(BN79-DF79&lt;0,0,BN79-DF79)))))</f>
        <v>0</v>
      </c>
      <c r="DJ79" s="12">
        <f t="shared" si="98"/>
        <v>0</v>
      </c>
      <c r="DK79" s="9">
        <f t="shared" si="99"/>
        <v>0</v>
      </c>
      <c r="DL79" s="39">
        <f>IF(Исходн.данные.!AM79&gt;0,Исходн.данные.!AM79,IF(EG79&gt;0,$BH$10,0))</f>
        <v>0</v>
      </c>
      <c r="DM79" s="186">
        <f>IF($DL79=0,0,IF(Исходн.данные.!AM79&gt;0,VLOOKUP($DL79,АшламаДВ_Irekle,2,FALSE),VLOOKUP($DL79,АшламаДВ_Gomumy,2,FALSE)))</f>
        <v>0</v>
      </c>
      <c r="DN79" s="10">
        <f t="shared" si="46"/>
        <v>0</v>
      </c>
      <c r="DO79" s="9" t="str">
        <f>IF(Исходн.данные.!AN79&gt;0,Исходн.данные.!AN79,Удобрения!$B$37 )</f>
        <v>Хлор.калий</v>
      </c>
      <c r="DP79" s="9">
        <f>IF(Исходн.данные.!AN79&gt;0,VLOOKUP(Исходн.данные.!AN79,АшламаДВ_Irekle,4,FALSE),VLOOKUP(DO79,АшламаДВ_Gomumy,4,FALSE))</f>
        <v>0.6</v>
      </c>
      <c r="DQ79" s="10">
        <f t="shared" si="47"/>
        <v>0</v>
      </c>
      <c r="DR79" s="132" t="str">
        <f>IF(Исходн.данные.!AO79&gt;0,Исходн.данные.!AO79,IF(DH79=0,BS$17,IF(AND($DK79=0,$DJ79&gt;0),EJ79,EN79)))</f>
        <v>Нет</v>
      </c>
      <c r="DS79" s="70" t="str">
        <f>IF($DR79="Нет","Нет",IF(Исходн.данные.!$AO79&gt;0,VLOOKUP($DR79,АшламаДВ_Irekle,2,FALSE),VLOOKUP($DR79,АшламаДВ_Gomumy,2,FALSE)))</f>
        <v>Нет</v>
      </c>
      <c r="DT79" s="70" t="str">
        <f>IF($DR79="Нет","Нет",IF(Исходн.данные.!$AO79&gt;0,VLOOKUP($DR79,АшламаДВ_Irekle,3,FALSE),VLOOKUP($DR79,АшламаДВ_Gomumy,3,FALSE)))</f>
        <v>Нет</v>
      </c>
      <c r="DU79" s="70" t="str">
        <f>IF($DR79="Нет","Нет",IF(Исходн.данные.!$AO79&gt;0,VLOOKUP($DR79,АшламаДВ_Irekle,4,FALSE),VLOOKUP($DR79,АшламаДВ_Gomumy,4,FALSE)))</f>
        <v>Нет</v>
      </c>
      <c r="DV79" s="70"/>
      <c r="DW79" s="70"/>
      <c r="DX79" s="70"/>
      <c r="DY79" s="10">
        <f t="shared" si="100"/>
        <v>0</v>
      </c>
      <c r="DZ79" s="10">
        <f t="shared" si="101"/>
        <v>0</v>
      </c>
      <c r="EA79" s="10">
        <f t="shared" si="102"/>
        <v>0</v>
      </c>
      <c r="EB79" s="10">
        <f t="shared" si="103"/>
        <v>0</v>
      </c>
      <c r="EC79" s="10">
        <f t="shared" si="104"/>
        <v>0</v>
      </c>
      <c r="ED79" s="10">
        <f t="shared" si="105"/>
        <v>0</v>
      </c>
      <c r="EE79" s="10">
        <f t="shared" si="106"/>
        <v>0</v>
      </c>
      <c r="EF79" s="39">
        <f>EB79*Исходн.данные.!AJ79/1000</f>
        <v>0</v>
      </c>
      <c r="EG79" s="9">
        <f t="shared" si="107"/>
        <v>0</v>
      </c>
      <c r="EH79" s="9">
        <f t="shared" si="108"/>
        <v>0</v>
      </c>
      <c r="EI79" s="39" t="e">
        <f t="shared" si="7"/>
        <v>#DIV/0!</v>
      </c>
      <c r="EJ79" s="9" t="str">
        <f t="shared" si="8"/>
        <v>Азопреципитат</v>
      </c>
      <c r="EK79" s="12">
        <f t="shared" si="9"/>
        <v>0.26</v>
      </c>
      <c r="EL79" s="12">
        <f t="shared" si="10"/>
        <v>0.13</v>
      </c>
      <c r="EM79" s="12">
        <f t="shared" si="11"/>
        <v>0</v>
      </c>
      <c r="EN79" s="12" t="str">
        <f t="shared" si="57"/>
        <v>Нет</v>
      </c>
      <c r="EO79" s="12">
        <f t="shared" si="12"/>
        <v>0</v>
      </c>
      <c r="EP79" s="12">
        <f t="shared" si="13"/>
        <v>0</v>
      </c>
      <c r="EQ79" s="12">
        <f t="shared" si="14"/>
        <v>0</v>
      </c>
      <c r="ER79" s="12" t="str">
        <f t="shared" si="109"/>
        <v>Диаммофоска</v>
      </c>
      <c r="ES79" s="12">
        <f t="shared" si="15"/>
        <v>0.1</v>
      </c>
      <c r="ET79" s="12">
        <f t="shared" si="16"/>
        <v>0.26</v>
      </c>
      <c r="EU79" s="12">
        <f t="shared" si="17"/>
        <v>0.26</v>
      </c>
      <c r="EV79" s="12" t="str">
        <f t="shared" si="110"/>
        <v>Аммофос 12:52:00</v>
      </c>
      <c r="EW79" s="12" t="str">
        <f t="shared" si="111"/>
        <v>Кемира Свекловичное-6</v>
      </c>
      <c r="EX79" s="12">
        <f t="shared" si="18"/>
        <v>0.16</v>
      </c>
      <c r="EY79" s="12">
        <f t="shared" si="19"/>
        <v>0.12</v>
      </c>
      <c r="EZ79" s="12">
        <f t="shared" si="20"/>
        <v>0.17</v>
      </c>
      <c r="FA79" s="38" t="e">
        <f>IF(AND(OR(FJ79=$FD$1,FM79=$FD$1,FO79=$FD$1,FQ79=$FD$1,FS79=$FD$1),FD79=$FD$1,Исходн.данные.!J79&lt;2,FU79=$FD$1),"Бор,Кобальт",IF(AND(FO79=$FD$1,FH79=$FD$1,Исходн.данные.!J79&lt;2,FU79=$FD$1),"Бор,Кобальт",IF(AND(OR(FJ79=$FD$1,FM79=$FD$1,FQ79=$FD$1),FE79=$FD$1,Исходн.данные.!J79&lt;2,FT79=$FD$1,FU79=$FD$1),"Бор,Медь,Цинк",IF(AND(OR(FJ79=$FD$1,FR79="Да"),FI79="Да",Исходн.данные.!J79&lt;2,FT79="Да",FU79="Да"),"Бор,Цинк,Медь",IF(AND(OR(FM79="Да",FQ79="Да"),FI79="Да",Исходн.данные.!J79&lt;2,FT79="Да",FU79="Да"),"Бор,Цинк",IF(AND(FN79="Да",OR(FD79="Да",FE79="Да")),"Бор",FB79))))))</f>
        <v>#N/A</v>
      </c>
      <c r="FB79" s="134" t="e">
        <f>IF(AND(OR(FD79="Да",FE79="Да",FF79="Да",FG79="Да",FH79="Да"),FO79="Да"),"Бор",IF(AND(FP79="Да",OR(FD79="Да",FE79="Да",FI79="Да")),"Бор",IF(AND(FS79="Да",FE79="Да"),"Бор,Медь",IF(AND(OR(FJ79="Да",FK79="Да",FL79="Да"),FE79="Да",Исходн.данные.!I79&lt;5,FT79="Да",FU79="Да"),"Молибден,Цинк",IF(AND(FM79="Да",OR(FE79="Да",FF79="Да",FG79="Да",FH79="Да",FI79="Да")),"Молибден,Цинк",IF(AND(OR(FJ79="Да",FK79="Да",FL79="Да",FM79="Да",FQ79="Да"),OR(FE79="Да",FF79="Да"),FT79="Да",FU79="Да",Исходн.данные.!I79&gt;5.5),"Медь,Цинк",FC79))))))</f>
        <v>#N/A</v>
      </c>
      <c r="FC79" s="23" t="e">
        <f t="shared" si="112"/>
        <v>#N/A</v>
      </c>
      <c r="FD79" s="38" t="str">
        <f>IF(OR(Исходн.данные.!F79=$CC$1,Исходн.данные.!F79=$CC$2,Исходн.данные.!F79=$CC$3,Исходн.данные.!F79=$CC$4),"Да","Нет")</f>
        <v>Нет</v>
      </c>
      <c r="FE79" s="38" t="str">
        <f>IF(Исходн.данные.!F79=$CC$5,"Да","Нет")</f>
        <v>Нет</v>
      </c>
      <c r="FF79" s="38" t="str">
        <f>IF(OR(Исходн.данные.!F79=$CC$6,Исходн.данные.!F79=$CC$7),"Да","Нет")</f>
        <v>Нет</v>
      </c>
      <c r="FG79" s="38" t="str">
        <f>IF(OR(Исходн.данные.!F79=$CC$8,Исходн.данные.!F79=$CC$9),"Да","Нет")</f>
        <v>Нет</v>
      </c>
      <c r="FH79" s="38" t="str">
        <f>IF(Исходн.данные.!F79=$CC$10,"Да","Нет")</f>
        <v>Нет</v>
      </c>
      <c r="FI79" s="38" t="str">
        <f>IF(OR(Исходн.данные.!F79=$CC$11,Исходн.данные.!F79=$CC$12),"Да","Нет")</f>
        <v>Нет</v>
      </c>
      <c r="FJ79" s="38" t="str">
        <f>IF(OR(Исходн.данные.!AH79=$BS$1,Исходн.данные.!AH79=$BQ$11,Исходн.данные.!AH79=$BQ$12),"Да","Нет")</f>
        <v>Нет</v>
      </c>
      <c r="FK79" s="38" t="str">
        <f>IF(OR(Исходн.данные.!AH79=$BS$2,Исходн.данные.!AH79=$BS$4),"Да","Нет")</f>
        <v>Нет</v>
      </c>
      <c r="FL79" s="38" t="str">
        <f>IF(OR(Исходн.данные.!AH79=$BS$3,Исходн.данные.!AH79=$BS$5),"Да","Нет")</f>
        <v>Нет</v>
      </c>
      <c r="FM79" s="38" t="str">
        <f>IF(OR(Исходн.данные.!AH79=$BS$9,Исходн.данные.!AH79=$BS$10,Исходн.данные.!AH79=$BS$11,Исходн.данные.!AH79=$BS$12),"Да","Нет")</f>
        <v>Нет</v>
      </c>
      <c r="FN79" s="38" t="str">
        <f>IF(OR(Исходн.данные.!AH79=$BS$6,Исходн.данные.!AH79=$BP$3),"Да","Нет")</f>
        <v>Нет</v>
      </c>
      <c r="FO79" s="38" t="str">
        <f>IF(Исходн.данные.!AH79=$BQ$9,"Да","Нет")</f>
        <v>Нет</v>
      </c>
      <c r="FP79" s="38" t="str">
        <f>IF(OR(Исходн.данные.!AH79=$BS$8,Исходн.данные.!AH79=$BT$8),"Да","Нет")</f>
        <v>Нет</v>
      </c>
      <c r="FQ79" s="38" t="str">
        <f>IF(OR(Исходн.данные.!AH79=$BQ$7,Исходн.данные.!AH79=$BQ$8),"Да","Нет")</f>
        <v>Нет</v>
      </c>
      <c r="FR79" s="38" t="str">
        <f>IF(Исходн.данные.!AI79=$BU$9,"Да","Нет")</f>
        <v>Нет</v>
      </c>
      <c r="FS79" s="38" t="str">
        <f>IF(OR(Исходн.данные.!AH79=$BP$1,Исходн.данные.!AH79=$BP$2),"Да","Нет")</f>
        <v>Нет</v>
      </c>
      <c r="FT79" s="38" t="e">
        <f>IF((Исходн.данные.!K79*GO79*GS79*GW79+BL79*0.6+Исходн.данные.!Q79*4.5*0.275)&gt;90,"Да","Нет")</f>
        <v>#N/A</v>
      </c>
      <c r="FU79" s="38" t="e">
        <f>IF((Исходн.данные.!M79*GS79*GZ79+BM79*0.225)&gt;35,"Да","Нет")</f>
        <v>#N/A</v>
      </c>
      <c r="FV79" s="38" t="str">
        <f>IF(Исходн.данные.!O79&gt;175,"Да","Нет")</f>
        <v>Нет</v>
      </c>
      <c r="FW79" s="39" t="str">
        <f>IF(Исходн.данные.!I79&gt;5.5,"Да","Нет")</f>
        <v>Нет</v>
      </c>
      <c r="FX79" s="39" t="str">
        <f>IF(Исходн.данные.!J79&lt;2,"Да","Нет")</f>
        <v>Да</v>
      </c>
      <c r="FY79" s="39" t="e">
        <f>IF(HF79=$FY$16,0,Исходн.данные.!K79*GO79*GS79*GW79/HF79)</f>
        <v>#N/A</v>
      </c>
      <c r="FZ79" s="39" t="e">
        <f>Исходн.данные.!M79*GS79*GZ79/HG79</f>
        <v>#N/A</v>
      </c>
      <c r="GA79" s="39" t="e">
        <f>IF(K_Wyn=$FY$16,0,IF(Исходн.данные.!N79=Исходн.данные.!$L$10,Исходн.данные.!O79/1.1*GS79*HC79/HH79,IF(Исходн.данные.!N79=Исходн.данные.!$L$12,Исходн.данные.!O79/1.5*GS79*HC79/HH79,Исходн.данные.!O79*GS79*HC79/HH79)))</f>
        <v>#N/A</v>
      </c>
      <c r="GB79" s="39" t="e">
        <f>IF(HF79=$FY$16,0,((Исходн.данные.!Q79*N_Org+Исходн.данные.!R79*N_Sider+Исходн.данные.!S79*N_Soloma)*AO79+Расчет!BC79*VLOOKUP(Исходн.данные.!T79,Справ!$A$3:$O$57,15)*AO79+BB79*VLOOKUP(Исходн.данные.!T79,Справ!$A$3:$O$57,15)*AL79+(Исходн.данные.!V79*N_Rizotorf+Исходн.данные.!W79*N_Rizoagr))/HF79)</f>
        <v>#N/A</v>
      </c>
      <c r="GC79" s="39" t="e">
        <f>IF(HG79=$FY$16,0,((Исходн.данные.!Q79*Р_Org+Исходн.данные.!R79*P_Sider+Исходн.данные.!S79*P_Soloma)*AP79+Расчет!BC79*VLOOKUP(Исходн.данные.!T79,Справ!$A$3:$P$57,16)*AP79+BB79*VLOOKUP(Исходн.данные.!T79,Справ!$A$3:$P$57,16)*AM79)/HG79)</f>
        <v>#N/A</v>
      </c>
      <c r="GD79" s="39" t="e">
        <f>IF(HH79=$FY$16,0,((Исходн.данные.!Q79*К_Org+Исходн.данные.!R79*K_Sider+Исходн.данные.!S79*K_Soloma)*AQ79+Расчет!BC79*VLOOKUP(Исходн.данные.!T79,Справ!$A$3:$Q$57,17)*AQ79+BB79*VLOOKUP(Исходн.данные.!T79,Справ!$A$3:$Q$57,17)*AN79)/HH79)</f>
        <v>#N/A</v>
      </c>
      <c r="GE79" s="39" t="e">
        <f>IF(HF79=$FY$16,0,(Исходн.данные.!X79*AR79+Исходн.данные.!AA79*N_Org*AL79+Исходн.данные.!AB79*N_Sider*AL79+Исходн.данные.!AC79*N_Soloma*AL79)/HF79)</f>
        <v>#N/A</v>
      </c>
      <c r="GF79" s="39" t="e">
        <f>IF(HG79=$FY$16,0,(Исходн.данные.!Y79*AS79+Исходн.данные.!AA79*Р_Org*AM79+Исходн.данные.!AB79*P_Sider*AM79+Исходн.данные.!AC79*P_Soloma*AM79)/HG79)</f>
        <v>#N/A</v>
      </c>
      <c r="GG79" s="39" t="e">
        <f>IF(HH79=$FY$16,0,(Исходн.данные.!Z79*AT79+Исходн.данные.!AA79*К_Org*AN79+Исходн.данные.!AB79*K_Sider*AN79+Исходн.данные.!AC79*K_Soloma*AN79)/HH79)</f>
        <v>#N/A</v>
      </c>
      <c r="GH79" s="39" t="e">
        <f>Исходн.данные.!AD79*AU79/HF79</f>
        <v>#N/A</v>
      </c>
      <c r="GI79" s="39" t="e">
        <f>Исходн.данные.!AE79*AV79/HG79</f>
        <v>#N/A</v>
      </c>
      <c r="GJ79" s="39" t="e">
        <f>Исходн.данные.!AF79*AW79/HH79</f>
        <v>#N/A</v>
      </c>
      <c r="GK79" s="55">
        <f>Исходн.данные.!AK79</f>
        <v>0</v>
      </c>
      <c r="GL79" s="11" t="e">
        <f t="shared" si="113"/>
        <v>#N/A</v>
      </c>
      <c r="GM79" s="11" t="e">
        <f t="shared" si="114"/>
        <v>#N/A</v>
      </c>
      <c r="GN79" s="11" t="e">
        <f t="shared" si="115"/>
        <v>#N/A</v>
      </c>
      <c r="GO79" s="57">
        <f t="shared" si="116"/>
        <v>19</v>
      </c>
      <c r="GP79" s="55">
        <f>IF(OR(Исходн.данные.!F79=$CE$1,Исходн.данные.!F79=$CE$2,Исходн.данные.!F79=$CE$3,Исходн.данные.!F79=$CE$4,Исходн.данные.!F79=$CE$5),GQ79,GR79)</f>
        <v>19</v>
      </c>
      <c r="GQ79" s="55">
        <f>IF(Исходн.данные.!F79=$CE$1,28,IF(Исходн.данные.!F79=$CE$2,26,IF(Исходн.данные.!F79=$CE$3,24,IF(Исходн.данные.!F79=$CE$4,22,IF(Исходн.данные.!F79=$CE$5,20,GR79)))))</f>
        <v>19</v>
      </c>
      <c r="GR79" s="55">
        <f>IF(Исходн.данные.!F79=$CE$6,18,IF(Исходн.данные.!F79=$CE$7,16,IF(Исходн.данные.!F79=$CE$8,14,IF(Исходн.данные.!F79=$CE$9,13,IF(Исходн.данные.!F79=$CE$10,12,19)))))</f>
        <v>19</v>
      </c>
      <c r="GS79" s="55">
        <f>IF(Исходн.данные.!G79="Пес",0.035*(40+2*Исходн.данные.!H79),IF(Исходн.данные.!G79="Суп",0.0325*(40+2*Исходн.данные.!H79),0.03*(40+2*Исходн.данные.!H79)))</f>
        <v>1.2</v>
      </c>
      <c r="GT79" s="55">
        <f>IF(Исходн.данные.!H79&lt;23,2.6,IF(AND(Исходн.данные.!H79&gt;22,Исходн.данные.!H79&lt;26),3,IF(AND(Исходн.данные.!H79&gt;25,Исходн.данные.!H79&lt;29),3.4,3.6)))</f>
        <v>2.6</v>
      </c>
      <c r="GU79" s="55">
        <f>IF(Исходн.данные.!H79&lt;23,2.8,IF(AND(Исходн.данные.!H79&gt;22,Исходн.данные.!H79&lt;26),3.2,IF(AND(Исходн.данные.!H79&gt;25,Исходн.данные.!H79&lt;29),3.6,3.9)))</f>
        <v>2.8</v>
      </c>
      <c r="GV79" s="55">
        <f>IF(Исходн.данные.!H79&lt;23,3,IF(AND(Исходн.данные.!H79&gt;22,Исходн.данные.!H79&lt;26),3.5,IF(AND(Исходн.данные.!H79&gt;25,Исходн.данные.!H79&lt;29),3.9,4.2)))</f>
        <v>3</v>
      </c>
      <c r="GW79" s="55" t="e">
        <f>IF(Исходн.данные.!P79="Ум",GX79,GY79)</f>
        <v>#N/A</v>
      </c>
      <c r="GX79" s="55" t="e">
        <f>VLOOKUP(Исходн.данные.!AI79,Коэффициенты!$J$7:$L$13,2,FALSE)</f>
        <v>#N/A</v>
      </c>
      <c r="GY79" s="55" t="e">
        <f>VLOOKUP(Исходн.данные.!AI79,Коэффициенты!$J$7:$L$13,3,FALSE)</f>
        <v>#N/A</v>
      </c>
      <c r="GZ79" s="55" t="e">
        <f>(IF(Исходн.данные.!M79&lt;50,0.11*VLOOKUP(Исходн.данные.!AH79,Культуры.Информация,7,FALSE),IF(Исходн.данные.!M79&gt;250,0.05*VLOOKUP(Исходн.данные.!AH79,Культуры.Информация,7,FALSE),VLOOKUP(Исходн.данные.!AH79,Культуры.Информация,5,FALSE)/100*($GX$6+$GY$6*Исходн.данные.!M79))))*Расчет2!AI79</f>
        <v>#N/A</v>
      </c>
      <c r="HA79" s="211"/>
      <c r="HB79" s="211"/>
      <c r="HC79" s="55" t="e">
        <f>(IF(Исходн.данные.!O79&lt;80,0.2*VLOOKUP(Исходн.данные.!AH79,Культуры.Информация,8,FALSE),IF(Исходн.данные.!O79&gt;240,0.09*VLOOKUP(Исходн.данные.!AH79,Культуры.Информация,8,FALSE),VLOOKUP(Исходн.данные.!AH79,Культуры.Информация,6,FALSE)/100*($HB$6+$HC$6*Исходн.данные.!O79))))*Расчет2!AJ79</f>
        <v>#N/A</v>
      </c>
      <c r="HD79" s="55">
        <f>IF(Исходн.данные.!O79&gt;240,0.09,IF(Исходн.данные.!O79&lt;30,0.3,$HE$10+$HD$10*Исходн.данные.!O79))</f>
        <v>0.3</v>
      </c>
      <c r="HE79" s="55">
        <f>IF(Исходн.данные.!O79&gt;240,0.17,IF(Исходн.данные.!O79&lt;30,0.5,$HF$12+$HE$12*Исходн.данные.!O79))</f>
        <v>0.5</v>
      </c>
      <c r="HF79" s="55" t="e">
        <f>VLOOKUP(Исходн.данные.!AH79,Справ!$A$3:$D$58,2,FALSE)</f>
        <v>#N/A</v>
      </c>
      <c r="HG79" s="55" t="e">
        <f>VLOOKUP(Исходн.данные.!AH79,Справ!$A$3:$D$58,3,FALSE)</f>
        <v>#N/A</v>
      </c>
      <c r="HH79" s="55" t="e">
        <f>VLOOKUP(Исходн.данные.!AH79,Справ!$A$3:$D$58,4,FALSE)</f>
        <v>#N/A</v>
      </c>
      <c r="HI79" s="11" t="e">
        <f t="shared" si="117"/>
        <v>#N/A</v>
      </c>
      <c r="HJ79" s="11" t="e">
        <f t="shared" si="118"/>
        <v>#N/A</v>
      </c>
      <c r="HK79" s="11" t="e">
        <f t="shared" si="119"/>
        <v>#N/A</v>
      </c>
      <c r="HL79" s="55">
        <f>IF(OR(Исходн.данные.!G79="Глин",Исходн.данные.!G79="Т_суг"),1.1,IF(Исходн.данные.!G79="Ср_суг",1,1))</f>
        <v>1</v>
      </c>
      <c r="HM79" s="55">
        <f>IF(OR(Исходн.данные.!G79="Глин",Исходн.данные.!G79="Т_суг"),0.9,IF(Исходн.данные.!G79="Ср_суг",1,1.2))</f>
        <v>1.2</v>
      </c>
      <c r="HN79" s="11" t="e">
        <f t="shared" si="120"/>
        <v>#N/A</v>
      </c>
      <c r="HO79" s="11" t="e">
        <f t="shared" si="121"/>
        <v>#N/A</v>
      </c>
      <c r="HP79" s="11" t="e">
        <f t="shared" si="122"/>
        <v>#N/A</v>
      </c>
      <c r="HQ79" t="e">
        <f t="shared" si="123"/>
        <v>#N/A</v>
      </c>
      <c r="HR79" t="e">
        <f t="shared" si="124"/>
        <v>#N/A</v>
      </c>
      <c r="HS79" t="e">
        <f t="shared" si="125"/>
        <v>#N/A</v>
      </c>
      <c r="HT79" t="e">
        <f t="shared" si="21"/>
        <v>#N/A</v>
      </c>
      <c r="HU79" t="e">
        <f t="shared" si="22"/>
        <v>#N/A</v>
      </c>
      <c r="HV79" t="e">
        <f t="shared" si="23"/>
        <v>#N/A</v>
      </c>
      <c r="HW79" t="e">
        <f t="shared" si="24"/>
        <v>#N/A</v>
      </c>
      <c r="HX79" t="e">
        <f t="shared" si="25"/>
        <v>#N/A</v>
      </c>
      <c r="HY79" t="e">
        <f t="shared" si="26"/>
        <v>#N/A</v>
      </c>
      <c r="HZ79" s="55">
        <f>IF(OR(Исходн.данные.!AI79="Оз_Ч_П",Исходн.данные.!AI79="Оз_З_П",Исходн.данные.!AI79="Яр_зер"),12,30)</f>
        <v>30</v>
      </c>
      <c r="IA79" t="e">
        <f t="shared" si="126"/>
        <v>#N/A</v>
      </c>
      <c r="IB79" t="e">
        <f t="shared" si="127"/>
        <v>#N/A</v>
      </c>
      <c r="IC79" t="e">
        <f t="shared" si="128"/>
        <v>#N/A</v>
      </c>
      <c r="ID79" s="11" t="e">
        <f t="shared" si="129"/>
        <v>#N/A</v>
      </c>
      <c r="IE79" s="11" t="e">
        <f t="shared" si="130"/>
        <v>#N/A</v>
      </c>
      <c r="IF79" s="11" t="e">
        <f t="shared" si="131"/>
        <v>#N/A</v>
      </c>
    </row>
    <row r="80" spans="35:240" x14ac:dyDescent="0.2">
      <c r="AI80">
        <f>IF(Исходн.данные.!I80&gt;6,1,1.85-(0.148*Исходн.данные.!I80))</f>
        <v>1.85</v>
      </c>
      <c r="AJ80">
        <f>IF(Исходн.данные.!I80&gt;6,1,2.434-(0.246*Исходн.данные.!I80))</f>
        <v>2.4340000000000002</v>
      </c>
      <c r="AL80" s="148" t="b">
        <f>IF(Исходн.данные.!$P80="Ум",N_OrgUd_2g_um,IF(Исходн.данные.!$P80="Об",N_OrgUd_2g_ob))</f>
        <v>0</v>
      </c>
      <c r="AM80" s="148" t="b">
        <f>IF(Исходн.данные.!$P80="Ум",P_OrgUd_2g_um,IF(Исходн.данные.!$P80="Об",P_OrgUd_2g_ob))</f>
        <v>0</v>
      </c>
      <c r="AN80" s="148" t="b">
        <f>IF(Исходн.данные.!$P80="Ум",K_OrgUd_2g_um,IF(Исходн.данные.!$P80="Об",K_OrgUd_2g_ob))</f>
        <v>0</v>
      </c>
      <c r="AO80" s="148" t="b">
        <f>IF(Исходн.данные.!$P80="Ум",N_OrgUd_1g_um,IF(Исходн.данные.!$P80="Об",N_OrgUd_1g_ob))</f>
        <v>0</v>
      </c>
      <c r="AP80" s="148" t="b">
        <f>IF(Исходн.данные.!$P80="Ум",P_OrgUd_1g_um,IF(Исходн.данные.!$P80="Об",P_OrgUd_1g_ob))</f>
        <v>0</v>
      </c>
      <c r="AQ80" s="148" t="b">
        <f>IF(Исходн.данные.!$P80="Ум",K_OrgUd_1g_um,IF(Исходн.данные.!$P80="Об",K_OrgUd_1g_ob))</f>
        <v>0</v>
      </c>
      <c r="AR80" t="b">
        <f>IF(Исходн.данные.!$P80="Ум",N_MinUd_2g_um,IF(Исходн.данные.!$P80="Об",N_MinUd_2g_ob))</f>
        <v>0</v>
      </c>
      <c r="AS80" t="b">
        <f>IF(Исходн.данные.!$P80="Ум",P_MinUd_2g_um,IF(Исходн.данные.!$P80="Об",P_MinUd_2g_ob))</f>
        <v>0</v>
      </c>
      <c r="AT80" t="b">
        <f>IF(Исходн.данные.!$P80="Ум",K_MinUd_2g_um,IF(Исходн.данные.!$P80="Об",K_MinUd_2g_ob))</f>
        <v>0</v>
      </c>
      <c r="AU80" t="b">
        <f>IF(Исходн.данные.!$P80="Ум",N_MinUd_1g_um,IF(Исходн.данные.!$P80="Об",N_MinUd_1g_ob))</f>
        <v>0</v>
      </c>
      <c r="AV80" t="b">
        <f>IF(Исходн.данные.!P80="Ум",P_MinUd_1g_um,IF(Исходн.данные.!P80="Об",P_MinUd_1g_ob))</f>
        <v>0</v>
      </c>
      <c r="AW80" t="b">
        <f>IF(Исходн.данные.!P80="Ум",K_MinUd_1g_um,IF(Исходн.данные.!P80="Об",K_MinUd_1g_ob))</f>
        <v>0</v>
      </c>
      <c r="AY80" t="e">
        <f>VLOOKUP(Исходн.данные.!T80,Справ!$A$3:$N$57,12)</f>
        <v>#N/A</v>
      </c>
      <c r="AZ80" t="e">
        <f>VLOOKUP(Исходн.данные.!T80,Справ!$A$3:$N$57,13)</f>
        <v>#N/A</v>
      </c>
      <c r="BA80" t="e">
        <f>VLOOKUP(Исходн.данные.!T80,Справ!$A$3:$N$57,14)</f>
        <v>#N/A</v>
      </c>
      <c r="BB80">
        <f>IF(Исходн.данные.!AH80=0,0,25)</f>
        <v>0</v>
      </c>
      <c r="BC80" s="141">
        <f>IF(Исходн.данные.!AH80=0,0,IF(Исходн.данные.!T80=0,25,BD80))</f>
        <v>0</v>
      </c>
      <c r="BD80" s="168" t="e">
        <f>AY80+AZ80*Исходн.данные.!U80-POWER(BA80,2)*Исходн.данные.!U80</f>
        <v>#N/A</v>
      </c>
      <c r="BE8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0" s="25">
        <f>IF(Исходн.данные.!AH80=0,0,MIN(HN80:HP80))</f>
        <v>0</v>
      </c>
      <c r="BG80" s="9">
        <f>IF(Исходн.данные.!AH80=0,0,IF((HO80+10*0.25/HG80/HL80)&lt;17,17,HO80+10*0.25/HG80/HL80))</f>
        <v>0</v>
      </c>
      <c r="BH80" s="181">
        <f>IF(Исходн.данные.!AH80=0,0,HW80*HF80*HL80/AU80*AI80+Исходн.данные.!S80*10)</f>
        <v>0</v>
      </c>
      <c r="BI80" s="10"/>
      <c r="BJ80" s="182">
        <f>IF(Исходн.данные.!AH80=0,0,IF(HX80*HG80*HL80/AV80&lt;0,0,HX80*HG80*HL80/AV80*AJ80))</f>
        <v>0</v>
      </c>
      <c r="BK80" s="182">
        <f>IF(Исходн.данные.!AH80=0,0,HY80*HH80*HM80/AW80)</f>
        <v>0</v>
      </c>
      <c r="BL80" s="10">
        <f>IF(OR(Исходн.данные.!$AH80=$BP$1,Исходн.данные.!$AH80=$BP$2),0,IF(BH80&lt;0,0,IF(OR(Исходн.данные.!T80=Расчет!$BP$1,Исходн.данные.!T80=Расчет!$BP$2,Исходн.данные.!T80=Расчет!$BT$5,Исходн.данные.!T80=Расчет!$BT$6),BH80*0.5,IF(OR(Исходн.данные.!T80=Расчет!$BS$9,Исходн.данные.!T80=Расчет!$BS$10,Исходн.данные.!T80=Расчет!$BS$11,Исходн.данные.!T80=Расчет!$BS$12,Исходн.данные.!T80=Расчет!$BP$5),BH80*0.8,BH80))))</f>
        <v>0</v>
      </c>
      <c r="BM80" s="10">
        <f>IF(OR(Исходн.данные.!$AH80=$BP$1,Исходн.данные.!$AH80=$BP$2),0,IF(BJ80&lt;0,0,IF(Исходн.данные.!I80&lt;4.5,BJ80*1.2,IF(Исходн.данные.!I80&gt;5.1,BJ80,BJ80*((5.1-Исходн.данные.!I80)*0.333+1)))))</f>
        <v>0</v>
      </c>
      <c r="BN80" s="10">
        <f>IF(OR(Исходн.данные.!$AH80=$BP$1,Исходн.данные.!$AH80=$BP$2),60-Исходн.данные.!AF80,IF(BK80&lt;0,0,IF(Исходн.данные.!I80&lt;4.5,BK80*1.2,IF(Исходн.данные.!I80&gt;5.1,BK80,BK80*((5.1-Исходн.данные.!I80)*0.333+1)))))</f>
        <v>0</v>
      </c>
      <c r="BO80" s="9">
        <f>IF(BL80&lt;0,0,BL80*Исходн.данные.!$AJ80/1000)</f>
        <v>0</v>
      </c>
      <c r="BP80" s="9">
        <f>IF(BM80&lt;0,0,BM80*Исходн.данные.!$AJ80/1000)</f>
        <v>0</v>
      </c>
      <c r="BQ80" s="9">
        <f>IF(BN80&lt;0,0,BN80*Исходн.данные.!$AJ80/1000)</f>
        <v>0</v>
      </c>
      <c r="BR80" s="9">
        <f t="shared" si="81"/>
        <v>0</v>
      </c>
      <c r="BS80" s="10" t="str">
        <f t="shared" si="82"/>
        <v>Аммофос 12:52:00</v>
      </c>
      <c r="BT80" s="10" t="str">
        <f t="shared" si="83"/>
        <v>Аммофос 12:52:00</v>
      </c>
      <c r="BU80" s="10" t="str">
        <f t="shared" si="84"/>
        <v>Диаммофоска</v>
      </c>
      <c r="BV80" s="10">
        <f t="shared" si="85"/>
        <v>0</v>
      </c>
      <c r="BW80" s="10"/>
      <c r="BX80" s="10"/>
      <c r="BY80" s="9">
        <f>IF(BL80&lt;0,0,IF(OR(Исходн.данные.!AI80=Расчет!$BU$6,Исходн.данные.!AI80=Расчет!$BU$7),Расчет!BV80,IF(Исходн.данные.!$AG80=$BV$11,BL80,IF(OR(Исходн.данные.!$AH80=$BQ$7,Исходн.данные.!$AH80=$BQ$8),CB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0,IF(Исходн.данные.!$AI80=$BU$11,"Нет",IF(BL80&gt;30,30,BL80)))))))</f>
        <v>0</v>
      </c>
      <c r="BZ80" s="9">
        <f>IF(AND(Исходн.данные.!$AG80=$BV$11,BM80&lt;10),10,IF(Исходн.данные.!$AG80=$BV$11,BM80,IF(OR(Исходн.данные.!$AH80=$BQ$7,Исходн.данные.!$AH80=$BQ$8),CC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10,IF(Исходн.данные.!$AI80=$BU$11,"Нет",IF(BM80&gt;60,60,IF(BM80&lt;10,10,BM80)))))))</f>
        <v>10</v>
      </c>
      <c r="CA80" s="39">
        <f>IF(BN80&lt;0,0,IF(Исходн.данные.!$AG80=$BV$11,BN80,IF(OR(Исходн.данные.!$AH80=$BQ$7,Исходн.данные.!$AH80=$BQ$8),CD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0,IF(Исходн.данные.!$AI80=$BU$11,"Нет",IF(BN80&gt;30,30,BN80))))))</f>
        <v>0</v>
      </c>
      <c r="CB80" s="9">
        <f t="shared" si="86"/>
        <v>0</v>
      </c>
      <c r="CC80" s="9">
        <f t="shared" si="87"/>
        <v>0</v>
      </c>
      <c r="CD80" s="9">
        <f t="shared" si="88"/>
        <v>0</v>
      </c>
      <c r="CE80" s="12">
        <f t="shared" si="89"/>
        <v>10</v>
      </c>
      <c r="CF80" s="9">
        <f t="shared" si="90"/>
        <v>0</v>
      </c>
      <c r="CG80" s="9" t="s">
        <v>231</v>
      </c>
      <c r="CH80" s="132" t="str">
        <f>IF(Исходн.данные.!AP80=Расчет!$CI$16,"Нет",IF(Исходн.данные.!AL80&gt;0,Исходн.данные.!AL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BH$4,IF(OR(Исходн.данные.!AI80=Исходн.данные.!$AI$6,Исходн.данные.!AI80=Исходн.данные.!$AI$7),Расчет!BS80,IF(AND($CF80=0,$CE80&gt;0),EV80,ER80)))))</f>
        <v>Аммофос 12:52:00</v>
      </c>
      <c r="CI80" s="274">
        <f>IF(Расчет!$CH80="Нет","Нет",IF(Исходн.данные.!$AL80&gt;0,VLOOKUP(Расчет!$CH80,АшламаДВ_Irekle,2,FALSE),VLOOKUP(Расчет!$CH80,АшламаДВ_Gomumy,2,FALSE)))</f>
        <v>0.12</v>
      </c>
      <c r="CJ80" s="274">
        <f>IF(Расчет!$CH80="Нет","Нет",IF(Исходн.данные.!$AL80&gt;0,VLOOKUP(Расчет!$CH80,АшламаДВ_Irekle,3,FALSE),VLOOKUP(Расчет!$CH80,АшламаДВ_Gomumy,3,FALSE)))</f>
        <v>0.52</v>
      </c>
      <c r="CK80" s="274">
        <f>IF(Расчет!$CH80="Нет","Нет",IF(Исходн.данные.!$AL80&gt;0,VLOOKUP(Расчет!$CH80,АшламаДВ_Irekle,4,FALSE),VLOOKUP(Расчет!$CH80,АшламаДВ_Gomumy,4,FALSE)))</f>
        <v>0</v>
      </c>
      <c r="CL80" s="70"/>
      <c r="CM80" s="70"/>
      <c r="CN80" s="70"/>
      <c r="CO80" s="70"/>
      <c r="CP80" s="70"/>
      <c r="CQ80" s="70"/>
      <c r="CR80" s="10">
        <f t="shared" si="91"/>
        <v>0</v>
      </c>
      <c r="CS80" s="10">
        <f t="shared" si="92"/>
        <v>19.23076923076923</v>
      </c>
      <c r="CT80" s="10">
        <f t="shared" si="93"/>
        <v>0</v>
      </c>
      <c r="CU80" s="39">
        <f>IF($CH80="Нет",0,IF(CI80=0,30/MIN(CJ80:CK80),IF(Исходн.данные.!$AG80=$BV$11,CR80,IF(OR(Исходн.данные.!$AH80=$BQ$7,Исходн.данные.!$AH80=$BQ$8),90/CI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0,IF(Исходн.данные.!$AI80=$BU$11,"Нет",30/CI80))))))</f>
        <v>250</v>
      </c>
      <c r="CV80" s="39">
        <f>IF($CH80="Нет",0,IF(Исходн.данные.!AH80=0,0,IF(CJ80=0,60/MIN(CI80,CK80),IF(Исходн.данные.!$AG80=$BV$11,CS80,IF(OR(Исходн.данные.!$AH80=$BQ$7,Исходн.данные.!$AH80=$BQ$8),90/CJ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10/CJ80,IF(Исходн.данные.!$AI80=$BU$11,"Нет",60/CJ80)))))))</f>
        <v>0</v>
      </c>
      <c r="CW80" s="39">
        <f>IF($CH80="Нет",0,IF(Исходн.данные.!AH80=0,0,IF(CK80=0,30/MIN(CI80:CJ80),IF(Исходн.данные.!$AG80=$BV$11,CT80,IF(OR(Исходн.данные.!$AH80=$BQ$7,Исходн.данные.!$AH80=$BQ$8),90/CK80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0,IF(Исходн.данные.!$AI80=$BU$11,"Нет",30/CK80)))))))</f>
        <v>0</v>
      </c>
      <c r="CX80" s="133">
        <f>IF(Исходн.данные.!$AG80=$BV$11,MAX(CU80:CW80),IF(OR(Исходн.данные.!$AH80=$BS$8,Исходн.данные.!$AH80=$BQ$9,Исходн.данные.!$AH80=$BQ$10,Исходн.данные.!$AH80=$BQ$11,Исходн.данные.!$AH80=$BQ$12,Исходн.данные.!$AH80=$BP$3,Исходн.данные.!$AH80=$BT$8,$FM80="Да"),CV80,MIN(CU80:CW80)))</f>
        <v>0</v>
      </c>
      <c r="CY80" s="133">
        <f>IF(Исходн.данные.!AH80=0,0,IF(CR80&gt;$CX80,$CX80,CR80))</f>
        <v>0</v>
      </c>
      <c r="CZ80" s="133">
        <f>IF(Исходн.данные.!AH80=0,0,IF(CS80&gt;$CX80,$CX80,CS80))</f>
        <v>0</v>
      </c>
      <c r="DA80" s="133">
        <f>IF(Исходн.данные.!AH80=0,0,IF(CT80&gt;$CX80,$CX80,CT80))</f>
        <v>0</v>
      </c>
      <c r="DB80" s="10">
        <f t="shared" si="94"/>
        <v>0</v>
      </c>
      <c r="DC80" s="39">
        <f>DB80*Исходн.данные.!AJ80/1000</f>
        <v>0</v>
      </c>
      <c r="DD80" s="71">
        <f t="shared" si="95"/>
        <v>0</v>
      </c>
      <c r="DE80" s="9">
        <f t="shared" si="96"/>
        <v>0</v>
      </c>
      <c r="DF80" s="9">
        <f t="shared" si="97"/>
        <v>0</v>
      </c>
      <c r="DG80" s="39">
        <f>IF(BL80&lt;0,0,IF($CH80="Нет",BL80,IF(OR(Исходн.данные.!$AH80=$BP$1,Исходн.данные.!$AH80=$BP$2),0,IF(Исходн.данные.!AI80=$BU$11,BL80,IF(BL80-DD80&lt;0,0,BL80-DD80)))))</f>
        <v>0</v>
      </c>
      <c r="DH80" s="39">
        <f>IF(BM80&lt;0,0,IF($CH80="Нет",BM80,IF(OR(Исходн.данные.!$AH80=$BP$1,Исходн.данные.!$AH80=$BP$2),0,IF(Исходн.данные.!AJ80=$BU$11,BM80,IF(BM80-DE80&lt;0,0,BM80-DE80)))))</f>
        <v>0</v>
      </c>
      <c r="DI80" s="39">
        <f>IF(BN80&lt;0,0,IF($CH80="Нет",BN80,IF(OR(Исходн.данные.!$AH80=$BP$1,Исходн.данные.!$AH80=$BP$2),0,IF(Исходн.данные.!AK80=$BU$11,BN80,IF(BN80-DF80&lt;0,0,BN80-DF80)))))</f>
        <v>0</v>
      </c>
      <c r="DJ80" s="12">
        <f t="shared" si="98"/>
        <v>0</v>
      </c>
      <c r="DK80" s="9">
        <f t="shared" si="99"/>
        <v>0</v>
      </c>
      <c r="DL80" s="39">
        <f>IF(Исходн.данные.!AM80&gt;0,Исходн.данные.!AM80,IF(EG80&gt;0,$BH$10,0))</f>
        <v>0</v>
      </c>
      <c r="DM80" s="186">
        <f>IF($DL80=0,0,IF(Исходн.данные.!AM80&gt;0,VLOOKUP($DL80,АшламаДВ_Irekle,2,FALSE),VLOOKUP($DL80,АшламаДВ_Gomumy,2,FALSE)))</f>
        <v>0</v>
      </c>
      <c r="DN80" s="10">
        <f t="shared" si="46"/>
        <v>0</v>
      </c>
      <c r="DO80" s="9" t="str">
        <f>IF(Исходн.данные.!AN80&gt;0,Исходн.данные.!AN80,Удобрения!$B$37 )</f>
        <v>Хлор.калий</v>
      </c>
      <c r="DP80" s="9">
        <f>IF(Исходн.данные.!AN80&gt;0,VLOOKUP(Исходн.данные.!AN80,АшламаДВ_Irekle,4,FALSE),VLOOKUP(DO80,АшламаДВ_Gomumy,4,FALSE))</f>
        <v>0.6</v>
      </c>
      <c r="DQ80" s="10">
        <f t="shared" si="47"/>
        <v>0</v>
      </c>
      <c r="DR80" s="132" t="str">
        <f>IF(Исходн.данные.!AO80&gt;0,Исходн.данные.!AO80,IF(DH80=0,BS$17,IF(AND($DK80=0,$DJ80&gt;0),EJ80,EN80)))</f>
        <v>Нет</v>
      </c>
      <c r="DS80" s="70" t="str">
        <f>IF($DR80="Нет","Нет",IF(Исходн.данные.!$AO80&gt;0,VLOOKUP($DR80,АшламаДВ_Irekle,2,FALSE),VLOOKUP($DR80,АшламаДВ_Gomumy,2,FALSE)))</f>
        <v>Нет</v>
      </c>
      <c r="DT80" s="70" t="str">
        <f>IF($DR80="Нет","Нет",IF(Исходн.данные.!$AO80&gt;0,VLOOKUP($DR80,АшламаДВ_Irekle,3,FALSE),VLOOKUP($DR80,АшламаДВ_Gomumy,3,FALSE)))</f>
        <v>Нет</v>
      </c>
      <c r="DU80" s="70" t="str">
        <f>IF($DR80="Нет","Нет",IF(Исходн.данные.!$AO80&gt;0,VLOOKUP($DR80,АшламаДВ_Irekle,4,FALSE),VLOOKUP($DR80,АшламаДВ_Gomumy,4,FALSE)))</f>
        <v>Нет</v>
      </c>
      <c r="DV80" s="70"/>
      <c r="DW80" s="70"/>
      <c r="DX80" s="70"/>
      <c r="DY80" s="10">
        <f t="shared" si="100"/>
        <v>0</v>
      </c>
      <c r="DZ80" s="10">
        <f t="shared" si="101"/>
        <v>0</v>
      </c>
      <c r="EA80" s="10">
        <f t="shared" si="102"/>
        <v>0</v>
      </c>
      <c r="EB80" s="10">
        <f t="shared" si="103"/>
        <v>0</v>
      </c>
      <c r="EC80" s="10">
        <f t="shared" si="104"/>
        <v>0</v>
      </c>
      <c r="ED80" s="10">
        <f t="shared" si="105"/>
        <v>0</v>
      </c>
      <c r="EE80" s="10">
        <f t="shared" si="106"/>
        <v>0</v>
      </c>
      <c r="EF80" s="39">
        <f>EB80*Исходн.данные.!AJ80/1000</f>
        <v>0</v>
      </c>
      <c r="EG80" s="9">
        <f t="shared" si="107"/>
        <v>0</v>
      </c>
      <c r="EH80" s="9">
        <f t="shared" si="108"/>
        <v>0</v>
      </c>
      <c r="EI80" s="39" t="e">
        <f t="shared" si="7"/>
        <v>#DIV/0!</v>
      </c>
      <c r="EJ80" s="9" t="str">
        <f t="shared" si="8"/>
        <v>Азопреципитат</v>
      </c>
      <c r="EK80" s="12">
        <f t="shared" si="9"/>
        <v>0.26</v>
      </c>
      <c r="EL80" s="12">
        <f t="shared" si="10"/>
        <v>0.13</v>
      </c>
      <c r="EM80" s="12">
        <f t="shared" si="11"/>
        <v>0</v>
      </c>
      <c r="EN80" s="12" t="str">
        <f t="shared" si="57"/>
        <v>Нет</v>
      </c>
      <c r="EO80" s="12">
        <f t="shared" si="12"/>
        <v>0</v>
      </c>
      <c r="EP80" s="12">
        <f t="shared" si="13"/>
        <v>0</v>
      </c>
      <c r="EQ80" s="12">
        <f t="shared" si="14"/>
        <v>0</v>
      </c>
      <c r="ER80" s="12" t="str">
        <f t="shared" si="109"/>
        <v>Диаммофоска</v>
      </c>
      <c r="ES80" s="12">
        <f t="shared" si="15"/>
        <v>0.1</v>
      </c>
      <c r="ET80" s="12">
        <f t="shared" si="16"/>
        <v>0.26</v>
      </c>
      <c r="EU80" s="12">
        <f t="shared" si="17"/>
        <v>0.26</v>
      </c>
      <c r="EV80" s="12" t="str">
        <f t="shared" si="110"/>
        <v>Аммофос 12:52:00</v>
      </c>
      <c r="EW80" s="12" t="str">
        <f t="shared" si="111"/>
        <v>Кемира Свекловичное-6</v>
      </c>
      <c r="EX80" s="12">
        <f t="shared" si="18"/>
        <v>0.16</v>
      </c>
      <c r="EY80" s="12">
        <f t="shared" si="19"/>
        <v>0.12</v>
      </c>
      <c r="EZ80" s="12">
        <f t="shared" si="20"/>
        <v>0.17</v>
      </c>
      <c r="FA80" s="38" t="e">
        <f>IF(AND(OR(FJ80=$FD$1,FM80=$FD$1,FO80=$FD$1,FQ80=$FD$1,FS80=$FD$1),FD80=$FD$1,Исходн.данные.!J80&lt;2,FU80=$FD$1),"Бор,Кобальт",IF(AND(FO80=$FD$1,FH80=$FD$1,Исходн.данные.!J80&lt;2,FU80=$FD$1),"Бор,Кобальт",IF(AND(OR(FJ80=$FD$1,FM80=$FD$1,FQ80=$FD$1),FE80=$FD$1,Исходн.данные.!J80&lt;2,FT80=$FD$1,FU80=$FD$1),"Бор,Медь,Цинк",IF(AND(OR(FJ80=$FD$1,FR80="Да"),FI80="Да",Исходн.данные.!J80&lt;2,FT80="Да",FU80="Да"),"Бор,Цинк,Медь",IF(AND(OR(FM80="Да",FQ80="Да"),FI80="Да",Исходн.данные.!J80&lt;2,FT80="Да",FU80="Да"),"Бор,Цинк",IF(AND(FN80="Да",OR(FD80="Да",FE80="Да")),"Бор",FB80))))))</f>
        <v>#N/A</v>
      </c>
      <c r="FB80" s="134" t="e">
        <f>IF(AND(OR(FD80="Да",FE80="Да",FF80="Да",FG80="Да",FH80="Да"),FO80="Да"),"Бор",IF(AND(FP80="Да",OR(FD80="Да",FE80="Да",FI80="Да")),"Бор",IF(AND(FS80="Да",FE80="Да"),"Бор,Медь",IF(AND(OR(FJ80="Да",FK80="Да",FL80="Да"),FE80="Да",Исходн.данные.!I80&lt;5,FT80="Да",FU80="Да"),"Молибден,Цинк",IF(AND(FM80="Да",OR(FE80="Да",FF80="Да",FG80="Да",FH80="Да",FI80="Да")),"Молибден,Цинк",IF(AND(OR(FJ80="Да",FK80="Да",FL80="Да",FM80="Да",FQ80="Да"),OR(FE80="Да",FF80="Да"),FT80="Да",FU80="Да",Исходн.данные.!I80&gt;5.5),"Медь,Цинк",FC80))))))</f>
        <v>#N/A</v>
      </c>
      <c r="FC80" s="23" t="e">
        <f t="shared" si="112"/>
        <v>#N/A</v>
      </c>
      <c r="FD80" s="38" t="str">
        <f>IF(OR(Исходн.данные.!F80=$CC$1,Исходн.данные.!F80=$CC$2,Исходн.данные.!F80=$CC$3,Исходн.данные.!F80=$CC$4),"Да","Нет")</f>
        <v>Нет</v>
      </c>
      <c r="FE80" s="38" t="str">
        <f>IF(Исходн.данные.!F80=$CC$5,"Да","Нет")</f>
        <v>Нет</v>
      </c>
      <c r="FF80" s="38" t="str">
        <f>IF(OR(Исходн.данные.!F80=$CC$6,Исходн.данные.!F80=$CC$7),"Да","Нет")</f>
        <v>Нет</v>
      </c>
      <c r="FG80" s="38" t="str">
        <f>IF(OR(Исходн.данные.!F80=$CC$8,Исходн.данные.!F80=$CC$9),"Да","Нет")</f>
        <v>Нет</v>
      </c>
      <c r="FH80" s="38" t="str">
        <f>IF(Исходн.данные.!F80=$CC$10,"Да","Нет")</f>
        <v>Нет</v>
      </c>
      <c r="FI80" s="38" t="str">
        <f>IF(OR(Исходн.данные.!F80=$CC$11,Исходн.данные.!F80=$CC$12),"Да","Нет")</f>
        <v>Нет</v>
      </c>
      <c r="FJ80" s="38" t="str">
        <f>IF(OR(Исходн.данные.!AH80=$BS$1,Исходн.данные.!AH80=$BQ$11,Исходн.данные.!AH80=$BQ$12),"Да","Нет")</f>
        <v>Нет</v>
      </c>
      <c r="FK80" s="38" t="str">
        <f>IF(OR(Исходн.данные.!AH80=$BS$2,Исходн.данные.!AH80=$BS$4),"Да","Нет")</f>
        <v>Нет</v>
      </c>
      <c r="FL80" s="38" t="str">
        <f>IF(OR(Исходн.данные.!AH80=$BS$3,Исходн.данные.!AH80=$BS$5),"Да","Нет")</f>
        <v>Нет</v>
      </c>
      <c r="FM80" s="38" t="str">
        <f>IF(OR(Исходн.данные.!AH80=$BS$9,Исходн.данные.!AH80=$BS$10,Исходн.данные.!AH80=$BS$11,Исходн.данные.!AH80=$BS$12),"Да","Нет")</f>
        <v>Нет</v>
      </c>
      <c r="FN80" s="38" t="str">
        <f>IF(OR(Исходн.данные.!AH80=$BS$6,Исходн.данные.!AH80=$BP$3),"Да","Нет")</f>
        <v>Нет</v>
      </c>
      <c r="FO80" s="38" t="str">
        <f>IF(Исходн.данные.!AH80=$BQ$9,"Да","Нет")</f>
        <v>Нет</v>
      </c>
      <c r="FP80" s="38" t="str">
        <f>IF(OR(Исходн.данные.!AH80=$BS$8,Исходн.данные.!AH80=$BT$8),"Да","Нет")</f>
        <v>Нет</v>
      </c>
      <c r="FQ80" s="38" t="str">
        <f>IF(OR(Исходн.данные.!AH80=$BQ$7,Исходн.данные.!AH80=$BQ$8),"Да","Нет")</f>
        <v>Нет</v>
      </c>
      <c r="FR80" s="38" t="str">
        <f>IF(Исходн.данные.!AI80=$BU$9,"Да","Нет")</f>
        <v>Нет</v>
      </c>
      <c r="FS80" s="38" t="str">
        <f>IF(OR(Исходн.данные.!AH80=$BP$1,Исходн.данные.!AH80=$BP$2),"Да","Нет")</f>
        <v>Нет</v>
      </c>
      <c r="FT80" s="38" t="e">
        <f>IF((Исходн.данные.!K80*GO80*GS80*GW80+BL80*0.6+Исходн.данные.!Q80*4.5*0.275)&gt;90,"Да","Нет")</f>
        <v>#N/A</v>
      </c>
      <c r="FU80" s="38" t="e">
        <f>IF((Исходн.данные.!M80*GS80*GZ80+BM80*0.225)&gt;35,"Да","Нет")</f>
        <v>#N/A</v>
      </c>
      <c r="FV80" s="38" t="str">
        <f>IF(Исходн.данные.!O80&gt;175,"Да","Нет")</f>
        <v>Нет</v>
      </c>
      <c r="FW80" s="39" t="str">
        <f>IF(Исходн.данные.!I80&gt;5.5,"Да","Нет")</f>
        <v>Нет</v>
      </c>
      <c r="FX80" s="39" t="str">
        <f>IF(Исходн.данные.!J80&lt;2,"Да","Нет")</f>
        <v>Да</v>
      </c>
      <c r="FY80" s="39" t="e">
        <f>IF(HF80=$FY$16,0,Исходн.данные.!K80*GO80*GS80*GW80/HF80)</f>
        <v>#N/A</v>
      </c>
      <c r="FZ80" s="39" t="e">
        <f>Исходн.данные.!M80*GS80*GZ80/HG80</f>
        <v>#N/A</v>
      </c>
      <c r="GA80" s="39" t="e">
        <f>IF(K_Wyn=$FY$16,0,IF(Исходн.данные.!N80=Исходн.данные.!$L$10,Исходн.данные.!O80/1.1*GS80*HC80/HH80,IF(Исходн.данные.!N80=Исходн.данные.!$L$12,Исходн.данные.!O80/1.5*GS80*HC80/HH80,Исходн.данные.!O80*GS80*HC80/HH80)))</f>
        <v>#N/A</v>
      </c>
      <c r="GB80" s="39" t="e">
        <f>IF(HF80=$FY$16,0,((Исходн.данные.!Q80*N_Org+Исходн.данные.!R80*N_Sider+Исходн.данные.!S80*N_Soloma)*AO80+Расчет!BC80*VLOOKUP(Исходн.данные.!T80,Справ!$A$3:$O$57,15)*AO80+BB80*VLOOKUP(Исходн.данные.!T80,Справ!$A$3:$O$57,15)*AL80+(Исходн.данные.!V80*N_Rizotorf+Исходн.данные.!W80*N_Rizoagr))/HF80)</f>
        <v>#N/A</v>
      </c>
      <c r="GC80" s="39" t="e">
        <f>IF(HG80=$FY$16,0,((Исходн.данные.!Q80*Р_Org+Исходн.данные.!R80*P_Sider+Исходн.данные.!S80*P_Soloma)*AP80+Расчет!BC80*VLOOKUP(Исходн.данные.!T80,Справ!$A$3:$P$57,16)*AP80+BB80*VLOOKUP(Исходн.данные.!T80,Справ!$A$3:$P$57,16)*AM80)/HG80)</f>
        <v>#N/A</v>
      </c>
      <c r="GD80" s="39" t="e">
        <f>IF(HH80=$FY$16,0,((Исходн.данные.!Q80*К_Org+Исходн.данные.!R80*K_Sider+Исходн.данные.!S80*K_Soloma)*AQ80+Расчет!BC80*VLOOKUP(Исходн.данные.!T80,Справ!$A$3:$Q$57,17)*AQ80+BB80*VLOOKUP(Исходн.данные.!T80,Справ!$A$3:$Q$57,17)*AN80)/HH80)</f>
        <v>#N/A</v>
      </c>
      <c r="GE80" s="39" t="e">
        <f>IF(HF80=$FY$16,0,(Исходн.данные.!X80*AR80+Исходн.данные.!AA80*N_Org*AL80+Исходн.данные.!AB80*N_Sider*AL80+Исходн.данные.!AC80*N_Soloma*AL80)/HF80)</f>
        <v>#N/A</v>
      </c>
      <c r="GF80" s="39" t="e">
        <f>IF(HG80=$FY$16,0,(Исходн.данные.!Y80*AS80+Исходн.данные.!AA80*Р_Org*AM80+Исходн.данные.!AB80*P_Sider*AM80+Исходн.данные.!AC80*P_Soloma*AM80)/HG80)</f>
        <v>#N/A</v>
      </c>
      <c r="GG80" s="39" t="e">
        <f>IF(HH80=$FY$16,0,(Исходн.данные.!Z80*AT80+Исходн.данные.!AA80*К_Org*AN80+Исходн.данные.!AB80*K_Sider*AN80+Исходн.данные.!AC80*K_Soloma*AN80)/HH80)</f>
        <v>#N/A</v>
      </c>
      <c r="GH80" s="39" t="e">
        <f>Исходн.данные.!AD80*AU80/HF80</f>
        <v>#N/A</v>
      </c>
      <c r="GI80" s="39" t="e">
        <f>Исходн.данные.!AE80*AV80/HG80</f>
        <v>#N/A</v>
      </c>
      <c r="GJ80" s="39" t="e">
        <f>Исходн.данные.!AF80*AW80/HH80</f>
        <v>#N/A</v>
      </c>
      <c r="GK80" s="55">
        <f>Исходн.данные.!AK80</f>
        <v>0</v>
      </c>
      <c r="GL80" s="11" t="e">
        <f t="shared" si="113"/>
        <v>#N/A</v>
      </c>
      <c r="GM80" s="11" t="e">
        <f t="shared" si="114"/>
        <v>#N/A</v>
      </c>
      <c r="GN80" s="11" t="e">
        <f t="shared" si="115"/>
        <v>#N/A</v>
      </c>
      <c r="GO80" s="57">
        <f t="shared" si="116"/>
        <v>19</v>
      </c>
      <c r="GP80" s="55">
        <f>IF(OR(Исходн.данные.!F80=$CE$1,Исходн.данные.!F80=$CE$2,Исходн.данные.!F80=$CE$3,Исходн.данные.!F80=$CE$4,Исходн.данные.!F80=$CE$5),GQ80,GR80)</f>
        <v>19</v>
      </c>
      <c r="GQ80" s="55">
        <f>IF(Исходн.данные.!F80=$CE$1,28,IF(Исходн.данные.!F80=$CE$2,26,IF(Исходн.данные.!F80=$CE$3,24,IF(Исходн.данные.!F80=$CE$4,22,IF(Исходн.данные.!F80=$CE$5,20,GR80)))))</f>
        <v>19</v>
      </c>
      <c r="GR80" s="55">
        <f>IF(Исходн.данные.!F80=$CE$6,18,IF(Исходн.данные.!F80=$CE$7,16,IF(Исходн.данные.!F80=$CE$8,14,IF(Исходн.данные.!F80=$CE$9,13,IF(Исходн.данные.!F80=$CE$10,12,19)))))</f>
        <v>19</v>
      </c>
      <c r="GS80" s="55">
        <f>IF(Исходн.данные.!G80="Пес",0.035*(40+2*Исходн.данные.!H80),IF(Исходн.данные.!G80="Суп",0.0325*(40+2*Исходн.данные.!H80),0.03*(40+2*Исходн.данные.!H80)))</f>
        <v>1.2</v>
      </c>
      <c r="GT80" s="55">
        <f>IF(Исходн.данные.!H80&lt;23,2.6,IF(AND(Исходн.данные.!H80&gt;22,Исходн.данные.!H80&lt;26),3,IF(AND(Исходн.данные.!H80&gt;25,Исходн.данные.!H80&lt;29),3.4,3.6)))</f>
        <v>2.6</v>
      </c>
      <c r="GU80" s="55">
        <f>IF(Исходн.данные.!H80&lt;23,2.8,IF(AND(Исходн.данные.!H80&gt;22,Исходн.данные.!H80&lt;26),3.2,IF(AND(Исходн.данные.!H80&gt;25,Исходн.данные.!H80&lt;29),3.6,3.9)))</f>
        <v>2.8</v>
      </c>
      <c r="GV80" s="55">
        <f>IF(Исходн.данные.!H80&lt;23,3,IF(AND(Исходн.данные.!H80&gt;22,Исходн.данные.!H80&lt;26),3.5,IF(AND(Исходн.данные.!H80&gt;25,Исходн.данные.!H80&lt;29),3.9,4.2)))</f>
        <v>3</v>
      </c>
      <c r="GW80" s="55" t="e">
        <f>IF(Исходн.данные.!P80="Ум",GX80,GY80)</f>
        <v>#N/A</v>
      </c>
      <c r="GX80" s="55" t="e">
        <f>VLOOKUP(Исходн.данные.!AI80,Коэффициенты!$J$7:$L$13,2,FALSE)</f>
        <v>#N/A</v>
      </c>
      <c r="GY80" s="55" t="e">
        <f>VLOOKUP(Исходн.данные.!AI80,Коэффициенты!$J$7:$L$13,3,FALSE)</f>
        <v>#N/A</v>
      </c>
      <c r="GZ80" s="55" t="e">
        <f>(IF(Исходн.данные.!M80&lt;50,0.11*VLOOKUP(Исходн.данные.!AH80,Культуры.Информация,7,FALSE),IF(Исходн.данные.!M80&gt;250,0.05*VLOOKUP(Исходн.данные.!AH80,Культуры.Информация,7,FALSE),VLOOKUP(Исходн.данные.!AH80,Культуры.Информация,5,FALSE)/100*($GX$6+$GY$6*Исходн.данные.!M80))))*Расчет2!AI80</f>
        <v>#N/A</v>
      </c>
      <c r="HA80" s="211"/>
      <c r="HB80" s="211"/>
      <c r="HC80" s="55" t="e">
        <f>(IF(Исходн.данные.!O80&lt;80,0.2*VLOOKUP(Исходн.данные.!AH80,Культуры.Информация,8,FALSE),IF(Исходн.данные.!O80&gt;240,0.09*VLOOKUP(Исходн.данные.!AH80,Культуры.Информация,8,FALSE),VLOOKUP(Исходн.данные.!AH80,Культуры.Информация,6,FALSE)/100*($HB$6+$HC$6*Исходн.данные.!O80))))*Расчет2!AJ80</f>
        <v>#N/A</v>
      </c>
      <c r="HD80" s="55">
        <f>IF(Исходн.данные.!O80&gt;240,0.09,IF(Исходн.данные.!O80&lt;30,0.3,$HE$10+$HD$10*Исходн.данные.!O80))</f>
        <v>0.3</v>
      </c>
      <c r="HE80" s="55">
        <f>IF(Исходн.данные.!O80&gt;240,0.17,IF(Исходн.данные.!O80&lt;30,0.5,$HF$12+$HE$12*Исходн.данные.!O80))</f>
        <v>0.5</v>
      </c>
      <c r="HF80" s="55" t="e">
        <f>VLOOKUP(Исходн.данные.!AH80,Справ!$A$3:$D$58,2,FALSE)</f>
        <v>#N/A</v>
      </c>
      <c r="HG80" s="55" t="e">
        <f>VLOOKUP(Исходн.данные.!AH80,Справ!$A$3:$D$58,3,FALSE)</f>
        <v>#N/A</v>
      </c>
      <c r="HH80" s="55" t="e">
        <f>VLOOKUP(Исходн.данные.!AH80,Справ!$A$3:$D$58,4,FALSE)</f>
        <v>#N/A</v>
      </c>
      <c r="HI80" s="11" t="e">
        <f t="shared" si="117"/>
        <v>#N/A</v>
      </c>
      <c r="HJ80" s="11" t="e">
        <f t="shared" si="118"/>
        <v>#N/A</v>
      </c>
      <c r="HK80" s="11" t="e">
        <f t="shared" si="119"/>
        <v>#N/A</v>
      </c>
      <c r="HL80" s="55">
        <f>IF(OR(Исходн.данные.!G80="Глин",Исходн.данные.!G80="Т_суг"),1.1,IF(Исходн.данные.!G80="Ср_суг",1,1))</f>
        <v>1</v>
      </c>
      <c r="HM80" s="55">
        <f>IF(OR(Исходн.данные.!G80="Глин",Исходн.данные.!G80="Т_суг"),0.9,IF(Исходн.данные.!G80="Ср_суг",1,1.2))</f>
        <v>1.2</v>
      </c>
      <c r="HN80" s="11" t="e">
        <f t="shared" si="120"/>
        <v>#N/A</v>
      </c>
      <c r="HO80" s="11" t="e">
        <f t="shared" si="121"/>
        <v>#N/A</v>
      </c>
      <c r="HP80" s="11" t="e">
        <f t="shared" si="122"/>
        <v>#N/A</v>
      </c>
      <c r="HQ80" t="e">
        <f t="shared" si="123"/>
        <v>#N/A</v>
      </c>
      <c r="HR80" t="e">
        <f t="shared" si="124"/>
        <v>#N/A</v>
      </c>
      <c r="HS80" t="e">
        <f t="shared" si="125"/>
        <v>#N/A</v>
      </c>
      <c r="HT80" t="e">
        <f t="shared" si="21"/>
        <v>#N/A</v>
      </c>
      <c r="HU80" t="e">
        <f t="shared" si="22"/>
        <v>#N/A</v>
      </c>
      <c r="HV80" t="e">
        <f t="shared" si="23"/>
        <v>#N/A</v>
      </c>
      <c r="HW80" t="e">
        <f t="shared" si="24"/>
        <v>#N/A</v>
      </c>
      <c r="HX80" t="e">
        <f t="shared" si="25"/>
        <v>#N/A</v>
      </c>
      <c r="HY80" t="e">
        <f t="shared" si="26"/>
        <v>#N/A</v>
      </c>
      <c r="HZ80" s="55">
        <f>IF(OR(Исходн.данные.!AI80="Оз_Ч_П",Исходн.данные.!AI80="Оз_З_П",Исходн.данные.!AI80="Яр_зер"),12,30)</f>
        <v>30</v>
      </c>
      <c r="IA80" t="e">
        <f t="shared" si="126"/>
        <v>#N/A</v>
      </c>
      <c r="IB80" t="e">
        <f t="shared" si="127"/>
        <v>#N/A</v>
      </c>
      <c r="IC80" t="e">
        <f t="shared" si="128"/>
        <v>#N/A</v>
      </c>
      <c r="ID80" s="11" t="e">
        <f t="shared" si="129"/>
        <v>#N/A</v>
      </c>
      <c r="IE80" s="11" t="e">
        <f t="shared" si="130"/>
        <v>#N/A</v>
      </c>
      <c r="IF80" s="11" t="e">
        <f t="shared" si="131"/>
        <v>#N/A</v>
      </c>
    </row>
    <row r="81" spans="35:240" x14ac:dyDescent="0.2">
      <c r="AI81">
        <f>IF(Исходн.данные.!I81&gt;6,1,1.85-(0.148*Исходн.данные.!I81))</f>
        <v>1.85</v>
      </c>
      <c r="AJ81">
        <f>IF(Исходн.данные.!I81&gt;6,1,2.434-(0.246*Исходн.данные.!I81))</f>
        <v>2.4340000000000002</v>
      </c>
      <c r="AL81" s="148" t="b">
        <f>IF(Исходн.данные.!$P81="Ум",N_OrgUd_2g_um,IF(Исходн.данные.!$P81="Об",N_OrgUd_2g_ob))</f>
        <v>0</v>
      </c>
      <c r="AM81" s="148" t="b">
        <f>IF(Исходн.данные.!$P81="Ум",P_OrgUd_2g_um,IF(Исходн.данные.!$P81="Об",P_OrgUd_2g_ob))</f>
        <v>0</v>
      </c>
      <c r="AN81" s="148" t="b">
        <f>IF(Исходн.данные.!$P81="Ум",K_OrgUd_2g_um,IF(Исходн.данные.!$P81="Об",K_OrgUd_2g_ob))</f>
        <v>0</v>
      </c>
      <c r="AO81" s="148" t="b">
        <f>IF(Исходн.данные.!$P81="Ум",N_OrgUd_1g_um,IF(Исходн.данные.!$P81="Об",N_OrgUd_1g_ob))</f>
        <v>0</v>
      </c>
      <c r="AP81" s="148" t="b">
        <f>IF(Исходн.данные.!$P81="Ум",P_OrgUd_1g_um,IF(Исходн.данные.!$P81="Об",P_OrgUd_1g_ob))</f>
        <v>0</v>
      </c>
      <c r="AQ81" s="148" t="b">
        <f>IF(Исходн.данные.!$P81="Ум",K_OrgUd_1g_um,IF(Исходн.данные.!$P81="Об",K_OrgUd_1g_ob))</f>
        <v>0</v>
      </c>
      <c r="AR81" t="b">
        <f>IF(Исходн.данные.!$P81="Ум",N_MinUd_2g_um,IF(Исходн.данные.!$P81="Об",N_MinUd_2g_ob))</f>
        <v>0</v>
      </c>
      <c r="AS81" t="b">
        <f>IF(Исходн.данные.!$P81="Ум",P_MinUd_2g_um,IF(Исходн.данные.!$P81="Об",P_MinUd_2g_ob))</f>
        <v>0</v>
      </c>
      <c r="AT81" t="b">
        <f>IF(Исходн.данные.!$P81="Ум",K_MinUd_2g_um,IF(Исходн.данные.!$P81="Об",K_MinUd_2g_ob))</f>
        <v>0</v>
      </c>
      <c r="AU81" t="b">
        <f>IF(Исходн.данные.!$P81="Ум",N_MinUd_1g_um,IF(Исходн.данные.!$P81="Об",N_MinUd_1g_ob))</f>
        <v>0</v>
      </c>
      <c r="AV81" t="b">
        <f>IF(Исходн.данные.!P81="Ум",P_MinUd_1g_um,IF(Исходн.данные.!P81="Об",P_MinUd_1g_ob))</f>
        <v>0</v>
      </c>
      <c r="AW81" t="b">
        <f>IF(Исходн.данные.!P81="Ум",K_MinUd_1g_um,IF(Исходн.данные.!P81="Об",K_MinUd_1g_ob))</f>
        <v>0</v>
      </c>
      <c r="AY81" t="e">
        <f>VLOOKUP(Исходн.данные.!T81,Справ!$A$3:$N$57,12)</f>
        <v>#N/A</v>
      </c>
      <c r="AZ81" t="e">
        <f>VLOOKUP(Исходн.данные.!T81,Справ!$A$3:$N$57,13)</f>
        <v>#N/A</v>
      </c>
      <c r="BA81" t="e">
        <f>VLOOKUP(Исходн.данные.!T81,Справ!$A$3:$N$57,14)</f>
        <v>#N/A</v>
      </c>
      <c r="BB81">
        <f>IF(Исходн.данные.!AH81=0,0,25)</f>
        <v>0</v>
      </c>
      <c r="BC81" s="141">
        <f>IF(Исходн.данные.!AH81=0,0,IF(Исходн.данные.!T81=0,25,BD81))</f>
        <v>0</v>
      </c>
      <c r="BD81" s="168" t="e">
        <f>AY81+AZ81*Исходн.данные.!U81-POWER(BA81,2)*Исходн.данные.!U81</f>
        <v>#N/A</v>
      </c>
      <c r="BE8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1" s="25">
        <f>IF(Исходн.данные.!AH81=0,0,MIN(HN81:HP81))</f>
        <v>0</v>
      </c>
      <c r="BG81" s="9">
        <f>IF(Исходн.данные.!AH81=0,0,IF((HO81+10*0.25/HG81/HL81)&lt;17,17,HO81+10*0.25/HG81/HL81))</f>
        <v>0</v>
      </c>
      <c r="BH81" s="181">
        <f>IF(Исходн.данные.!AH81=0,0,HW81*HF81*HL81/AU81*AI81+Исходн.данные.!S81*10)</f>
        <v>0</v>
      </c>
      <c r="BI81" s="10"/>
      <c r="BJ81" s="182">
        <f>IF(Исходн.данные.!AH81=0,0,IF(HX81*HG81*HL81/AV81&lt;0,0,HX81*HG81*HL81/AV81*AJ81))</f>
        <v>0</v>
      </c>
      <c r="BK81" s="182">
        <f>IF(Исходн.данные.!AH81=0,0,HY81*HH81*HM81/AW81)</f>
        <v>0</v>
      </c>
      <c r="BL81" s="10">
        <f>IF(OR(Исходн.данные.!$AH81=$BP$1,Исходн.данные.!$AH81=$BP$2),0,IF(BH81&lt;0,0,IF(OR(Исходн.данные.!T81=Расчет!$BP$1,Исходн.данные.!T81=Расчет!$BP$2,Исходн.данные.!T81=Расчет!$BT$5,Исходн.данные.!T81=Расчет!$BT$6),BH81*0.5,IF(OR(Исходн.данные.!T81=Расчет!$BS$9,Исходн.данные.!T81=Расчет!$BS$10,Исходн.данные.!T81=Расчет!$BS$11,Исходн.данные.!T81=Расчет!$BS$12,Исходн.данные.!T81=Расчет!$BP$5),BH81*0.8,BH81))))</f>
        <v>0</v>
      </c>
      <c r="BM81" s="10">
        <f>IF(OR(Исходн.данные.!$AH81=$BP$1,Исходн.данные.!$AH81=$BP$2),0,IF(BJ81&lt;0,0,IF(Исходн.данные.!I81&lt;4.5,BJ81*1.2,IF(Исходн.данные.!I81&gt;5.1,BJ81,BJ81*((5.1-Исходн.данные.!I81)*0.333+1)))))</f>
        <v>0</v>
      </c>
      <c r="BN81" s="10">
        <f>IF(OR(Исходн.данные.!$AH81=$BP$1,Исходн.данные.!$AH81=$BP$2),60-Исходн.данные.!AF81,IF(BK81&lt;0,0,IF(Исходн.данные.!I81&lt;4.5,BK81*1.2,IF(Исходн.данные.!I81&gt;5.1,BK81,BK81*((5.1-Исходн.данные.!I81)*0.333+1)))))</f>
        <v>0</v>
      </c>
      <c r="BO81" s="9">
        <f>IF(BL81&lt;0,0,BL81*Исходн.данные.!$AJ81/1000)</f>
        <v>0</v>
      </c>
      <c r="BP81" s="9">
        <f>IF(BM81&lt;0,0,BM81*Исходн.данные.!$AJ81/1000)</f>
        <v>0</v>
      </c>
      <c r="BQ81" s="9">
        <f>IF(BN81&lt;0,0,BN81*Исходн.данные.!$AJ81/1000)</f>
        <v>0</v>
      </c>
      <c r="BR81" s="9">
        <f t="shared" si="81"/>
        <v>0</v>
      </c>
      <c r="BS81" s="10" t="str">
        <f t="shared" si="82"/>
        <v>Аммофос 12:52:00</v>
      </c>
      <c r="BT81" s="10" t="str">
        <f t="shared" si="83"/>
        <v>Аммофос 12:52:00</v>
      </c>
      <c r="BU81" s="10" t="str">
        <f t="shared" si="84"/>
        <v>Диаммофоска</v>
      </c>
      <c r="BV81" s="10">
        <f t="shared" si="85"/>
        <v>0</v>
      </c>
      <c r="BW81" s="10"/>
      <c r="BX81" s="10"/>
      <c r="BY81" s="9">
        <f>IF(BL81&lt;0,0,IF(OR(Исходн.данные.!AI81=Расчет!$BU$6,Исходн.данные.!AI81=Расчет!$BU$7),Расчет!BV81,IF(Исходн.данные.!$AG81=$BV$11,BL81,IF(OR(Исходн.данные.!$AH81=$BQ$7,Исходн.данные.!$AH81=$BQ$8),CB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0,IF(Исходн.данные.!$AI81=$BU$11,"Нет",IF(BL81&gt;30,30,BL81)))))))</f>
        <v>0</v>
      </c>
      <c r="BZ81" s="9">
        <f>IF(AND(Исходн.данные.!$AG81=$BV$11,BM81&lt;10),10,IF(Исходн.данные.!$AG81=$BV$11,BM81,IF(OR(Исходн.данные.!$AH81=$BQ$7,Исходн.данные.!$AH81=$BQ$8),CC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10,IF(Исходн.данные.!$AI81=$BU$11,"Нет",IF(BM81&gt;60,60,IF(BM81&lt;10,10,BM81)))))))</f>
        <v>10</v>
      </c>
      <c r="CA81" s="39">
        <f>IF(BN81&lt;0,0,IF(Исходн.данные.!$AG81=$BV$11,BN81,IF(OR(Исходн.данные.!$AH81=$BQ$7,Исходн.данные.!$AH81=$BQ$8),CD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0,IF(Исходн.данные.!$AI81=$BU$11,"Нет",IF(BN81&gt;30,30,BN81))))))</f>
        <v>0</v>
      </c>
      <c r="CB81" s="9">
        <f t="shared" si="86"/>
        <v>0</v>
      </c>
      <c r="CC81" s="9">
        <f t="shared" si="87"/>
        <v>0</v>
      </c>
      <c r="CD81" s="9">
        <f t="shared" si="88"/>
        <v>0</v>
      </c>
      <c r="CE81" s="12">
        <f t="shared" si="89"/>
        <v>10</v>
      </c>
      <c r="CF81" s="9">
        <f t="shared" si="90"/>
        <v>0</v>
      </c>
      <c r="CG81" s="9" t="s">
        <v>231</v>
      </c>
      <c r="CH81" s="132" t="str">
        <f>IF(Исходн.данные.!AP81=Расчет!$CI$16,"Нет",IF(Исходн.данные.!AL81&gt;0,Исходн.данные.!AL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BH$4,IF(OR(Исходн.данные.!AI81=Исходн.данные.!$AI$6,Исходн.данные.!AI81=Исходн.данные.!$AI$7),Расчет!BS81,IF(AND($CF81=0,$CE81&gt;0),EV81,ER81)))))</f>
        <v>Аммофос 12:52:00</v>
      </c>
      <c r="CI81" s="274">
        <f>IF(Расчет!$CH81="Нет","Нет",IF(Исходн.данные.!$AL81&gt;0,VLOOKUP(Расчет!$CH81,АшламаДВ_Irekle,2,FALSE),VLOOKUP(Расчет!$CH81,АшламаДВ_Gomumy,2,FALSE)))</f>
        <v>0.12</v>
      </c>
      <c r="CJ81" s="274">
        <f>IF(Расчет!$CH81="Нет","Нет",IF(Исходн.данные.!$AL81&gt;0,VLOOKUP(Расчет!$CH81,АшламаДВ_Irekle,3,FALSE),VLOOKUP(Расчет!$CH81,АшламаДВ_Gomumy,3,FALSE)))</f>
        <v>0.52</v>
      </c>
      <c r="CK81" s="274">
        <f>IF(Расчет!$CH81="Нет","Нет",IF(Исходн.данные.!$AL81&gt;0,VLOOKUP(Расчет!$CH81,АшламаДВ_Irekle,4,FALSE),VLOOKUP(Расчет!$CH81,АшламаДВ_Gomumy,4,FALSE)))</f>
        <v>0</v>
      </c>
      <c r="CL81" s="70"/>
      <c r="CM81" s="70"/>
      <c r="CN81" s="70"/>
      <c r="CO81" s="70"/>
      <c r="CP81" s="70"/>
      <c r="CQ81" s="70"/>
      <c r="CR81" s="10">
        <f t="shared" si="91"/>
        <v>0</v>
      </c>
      <c r="CS81" s="10">
        <f t="shared" si="92"/>
        <v>19.23076923076923</v>
      </c>
      <c r="CT81" s="10">
        <f t="shared" si="93"/>
        <v>0</v>
      </c>
      <c r="CU81" s="39">
        <f>IF($CH81="Нет",0,IF(CI81=0,30/MIN(CJ81:CK81),IF(Исходн.данные.!$AG81=$BV$11,CR81,IF(OR(Исходн.данные.!$AH81=$BQ$7,Исходн.данные.!$AH81=$BQ$8),90/CI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0,IF(Исходн.данные.!$AI81=$BU$11,"Нет",30/CI81))))))</f>
        <v>250</v>
      </c>
      <c r="CV81" s="39">
        <f>IF($CH81="Нет",0,IF(Исходн.данные.!AH81=0,0,IF(CJ81=0,60/MIN(CI81,CK81),IF(Исходн.данные.!$AG81=$BV$11,CS81,IF(OR(Исходн.данные.!$AH81=$BQ$7,Исходн.данные.!$AH81=$BQ$8),90/CJ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10/CJ81,IF(Исходн.данные.!$AI81=$BU$11,"Нет",60/CJ81)))))))</f>
        <v>0</v>
      </c>
      <c r="CW81" s="39">
        <f>IF($CH81="Нет",0,IF(Исходн.данные.!AH81=0,0,IF(CK81=0,30/MIN(CI81:CJ81),IF(Исходн.данные.!$AG81=$BV$11,CT81,IF(OR(Исходн.данные.!$AH81=$BQ$7,Исходн.данные.!$AH81=$BQ$8),90/CK81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0,IF(Исходн.данные.!$AI81=$BU$11,"Нет",30/CK81)))))))</f>
        <v>0</v>
      </c>
      <c r="CX81" s="133">
        <f>IF(Исходн.данные.!$AG81=$BV$11,MAX(CU81:CW81),IF(OR(Исходн.данные.!$AH81=$BS$8,Исходн.данные.!$AH81=$BQ$9,Исходн.данные.!$AH81=$BQ$10,Исходн.данные.!$AH81=$BQ$11,Исходн.данные.!$AH81=$BQ$12,Исходн.данные.!$AH81=$BP$3,Исходн.данные.!$AH81=$BT$8,$FM81="Да"),CV81,MIN(CU81:CW81)))</f>
        <v>0</v>
      </c>
      <c r="CY81" s="133">
        <f>IF(Исходн.данные.!AH81=0,0,IF(CR81&gt;$CX81,$CX81,CR81))</f>
        <v>0</v>
      </c>
      <c r="CZ81" s="133">
        <f>IF(Исходн.данные.!AH81=0,0,IF(CS81&gt;$CX81,$CX81,CS81))</f>
        <v>0</v>
      </c>
      <c r="DA81" s="133">
        <f>IF(Исходн.данные.!AH81=0,0,IF(CT81&gt;$CX81,$CX81,CT81))</f>
        <v>0</v>
      </c>
      <c r="DB81" s="10">
        <f t="shared" si="94"/>
        <v>0</v>
      </c>
      <c r="DC81" s="39">
        <f>DB81*Исходн.данные.!AJ81/1000</f>
        <v>0</v>
      </c>
      <c r="DD81" s="71">
        <f t="shared" si="95"/>
        <v>0</v>
      </c>
      <c r="DE81" s="9">
        <f t="shared" si="96"/>
        <v>0</v>
      </c>
      <c r="DF81" s="9">
        <f t="shared" si="97"/>
        <v>0</v>
      </c>
      <c r="DG81" s="39">
        <f>IF(BL81&lt;0,0,IF($CH81="Нет",BL81,IF(OR(Исходн.данные.!$AH81=$BP$1,Исходн.данные.!$AH81=$BP$2),0,IF(Исходн.данные.!AI81=$BU$11,BL81,IF(BL81-DD81&lt;0,0,BL81-DD81)))))</f>
        <v>0</v>
      </c>
      <c r="DH81" s="39">
        <f>IF(BM81&lt;0,0,IF($CH81="Нет",BM81,IF(OR(Исходн.данные.!$AH81=$BP$1,Исходн.данные.!$AH81=$BP$2),0,IF(Исходн.данные.!AJ81=$BU$11,BM81,IF(BM81-DE81&lt;0,0,BM81-DE81)))))</f>
        <v>0</v>
      </c>
      <c r="DI81" s="39">
        <f>IF(BN81&lt;0,0,IF($CH81="Нет",BN81,IF(OR(Исходн.данные.!$AH81=$BP$1,Исходн.данные.!$AH81=$BP$2),0,IF(Исходн.данные.!AK81=$BU$11,BN81,IF(BN81-DF81&lt;0,0,BN81-DF81)))))</f>
        <v>0</v>
      </c>
      <c r="DJ81" s="12">
        <f t="shared" si="98"/>
        <v>0</v>
      </c>
      <c r="DK81" s="9">
        <f t="shared" si="99"/>
        <v>0</v>
      </c>
      <c r="DL81" s="39">
        <f>IF(Исходн.данные.!AM81&gt;0,Исходн.данные.!AM81,IF(EG81&gt;0,$BH$10,0))</f>
        <v>0</v>
      </c>
      <c r="DM81" s="186">
        <f>IF($DL81=0,0,IF(Исходн.данные.!AM81&gt;0,VLOOKUP($DL81,АшламаДВ_Irekle,2,FALSE),VLOOKUP($DL81,АшламаДВ_Gomumy,2,FALSE)))</f>
        <v>0</v>
      </c>
      <c r="DN81" s="10">
        <f t="shared" si="46"/>
        <v>0</v>
      </c>
      <c r="DO81" s="9" t="str">
        <f>IF(Исходн.данные.!AN81&gt;0,Исходн.данные.!AN81,Удобрения!$B$37 )</f>
        <v>Хлор.калий</v>
      </c>
      <c r="DP81" s="9">
        <f>IF(Исходн.данные.!AN81&gt;0,VLOOKUP(Исходн.данные.!AN81,АшламаДВ_Irekle,4,FALSE),VLOOKUP(DO81,АшламаДВ_Gomumy,4,FALSE))</f>
        <v>0.6</v>
      </c>
      <c r="DQ81" s="10">
        <f t="shared" si="47"/>
        <v>0</v>
      </c>
      <c r="DR81" s="132" t="str">
        <f>IF(Исходн.данные.!AO81&gt;0,Исходн.данные.!AO81,IF(DH81=0,BS$17,IF(AND($DK81=0,$DJ81&gt;0),EJ81,EN81)))</f>
        <v>Нет</v>
      </c>
      <c r="DS81" s="70" t="str">
        <f>IF($DR81="Нет","Нет",IF(Исходн.данные.!$AO81&gt;0,VLOOKUP($DR81,АшламаДВ_Irekle,2,FALSE),VLOOKUP($DR81,АшламаДВ_Gomumy,2,FALSE)))</f>
        <v>Нет</v>
      </c>
      <c r="DT81" s="70" t="str">
        <f>IF($DR81="Нет","Нет",IF(Исходн.данные.!$AO81&gt;0,VLOOKUP($DR81,АшламаДВ_Irekle,3,FALSE),VLOOKUP($DR81,АшламаДВ_Gomumy,3,FALSE)))</f>
        <v>Нет</v>
      </c>
      <c r="DU81" s="70" t="str">
        <f>IF($DR81="Нет","Нет",IF(Исходн.данные.!$AO81&gt;0,VLOOKUP($DR81,АшламаДВ_Irekle,4,FALSE),VLOOKUP($DR81,АшламаДВ_Gomumy,4,FALSE)))</f>
        <v>Нет</v>
      </c>
      <c r="DV81" s="70"/>
      <c r="DW81" s="70"/>
      <c r="DX81" s="70"/>
      <c r="DY81" s="10">
        <f t="shared" si="100"/>
        <v>0</v>
      </c>
      <c r="DZ81" s="10">
        <f t="shared" si="101"/>
        <v>0</v>
      </c>
      <c r="EA81" s="10">
        <f t="shared" si="102"/>
        <v>0</v>
      </c>
      <c r="EB81" s="10">
        <f t="shared" si="103"/>
        <v>0</v>
      </c>
      <c r="EC81" s="10">
        <f t="shared" si="104"/>
        <v>0</v>
      </c>
      <c r="ED81" s="10">
        <f t="shared" si="105"/>
        <v>0</v>
      </c>
      <c r="EE81" s="10">
        <f t="shared" si="106"/>
        <v>0</v>
      </c>
      <c r="EF81" s="39">
        <f>EB81*Исходн.данные.!AJ81/1000</f>
        <v>0</v>
      </c>
      <c r="EG81" s="9">
        <f t="shared" si="107"/>
        <v>0</v>
      </c>
      <c r="EH81" s="9">
        <f t="shared" si="108"/>
        <v>0</v>
      </c>
      <c r="EI81" s="39" t="e">
        <f t="shared" si="7"/>
        <v>#DIV/0!</v>
      </c>
      <c r="EJ81" s="9" t="str">
        <f t="shared" si="8"/>
        <v>Азопреципитат</v>
      </c>
      <c r="EK81" s="12">
        <f t="shared" si="9"/>
        <v>0.26</v>
      </c>
      <c r="EL81" s="12">
        <f t="shared" si="10"/>
        <v>0.13</v>
      </c>
      <c r="EM81" s="12">
        <f t="shared" si="11"/>
        <v>0</v>
      </c>
      <c r="EN81" s="12" t="str">
        <f t="shared" si="57"/>
        <v>Нет</v>
      </c>
      <c r="EO81" s="12">
        <f t="shared" si="12"/>
        <v>0</v>
      </c>
      <c r="EP81" s="12">
        <f t="shared" si="13"/>
        <v>0</v>
      </c>
      <c r="EQ81" s="12">
        <f t="shared" si="14"/>
        <v>0</v>
      </c>
      <c r="ER81" s="12" t="str">
        <f t="shared" si="109"/>
        <v>Диаммофоска</v>
      </c>
      <c r="ES81" s="12">
        <f t="shared" si="15"/>
        <v>0.1</v>
      </c>
      <c r="ET81" s="12">
        <f t="shared" si="16"/>
        <v>0.26</v>
      </c>
      <c r="EU81" s="12">
        <f t="shared" si="17"/>
        <v>0.26</v>
      </c>
      <c r="EV81" s="12" t="str">
        <f t="shared" si="110"/>
        <v>Аммофос 12:52:00</v>
      </c>
      <c r="EW81" s="12" t="str">
        <f t="shared" si="111"/>
        <v>Кемира Свекловичное-6</v>
      </c>
      <c r="EX81" s="12">
        <f t="shared" si="18"/>
        <v>0.16</v>
      </c>
      <c r="EY81" s="12">
        <f t="shared" si="19"/>
        <v>0.12</v>
      </c>
      <c r="EZ81" s="12">
        <f t="shared" si="20"/>
        <v>0.17</v>
      </c>
      <c r="FA81" s="38" t="e">
        <f>IF(AND(OR(FJ81=$FD$1,FM81=$FD$1,FO81=$FD$1,FQ81=$FD$1,FS81=$FD$1),FD81=$FD$1,Исходн.данные.!J81&lt;2,FU81=$FD$1),"Бор,Кобальт",IF(AND(FO81=$FD$1,FH81=$FD$1,Исходн.данные.!J81&lt;2,FU81=$FD$1),"Бор,Кобальт",IF(AND(OR(FJ81=$FD$1,FM81=$FD$1,FQ81=$FD$1),FE81=$FD$1,Исходн.данные.!J81&lt;2,FT81=$FD$1,FU81=$FD$1),"Бор,Медь,Цинк",IF(AND(OR(FJ81=$FD$1,FR81="Да"),FI81="Да",Исходн.данные.!J81&lt;2,FT81="Да",FU81="Да"),"Бор,Цинк,Медь",IF(AND(OR(FM81="Да",FQ81="Да"),FI81="Да",Исходн.данные.!J81&lt;2,FT81="Да",FU81="Да"),"Бор,Цинк",IF(AND(FN81="Да",OR(FD81="Да",FE81="Да")),"Бор",FB81))))))</f>
        <v>#N/A</v>
      </c>
      <c r="FB81" s="134" t="e">
        <f>IF(AND(OR(FD81="Да",FE81="Да",FF81="Да",FG81="Да",FH81="Да"),FO81="Да"),"Бор",IF(AND(FP81="Да",OR(FD81="Да",FE81="Да",FI81="Да")),"Бор",IF(AND(FS81="Да",FE81="Да"),"Бор,Медь",IF(AND(OR(FJ81="Да",FK81="Да",FL81="Да"),FE81="Да",Исходн.данные.!I81&lt;5,FT81="Да",FU81="Да"),"Молибден,Цинк",IF(AND(FM81="Да",OR(FE81="Да",FF81="Да",FG81="Да",FH81="Да",FI81="Да")),"Молибден,Цинк",IF(AND(OR(FJ81="Да",FK81="Да",FL81="Да",FM81="Да",FQ81="Да"),OR(FE81="Да",FF81="Да"),FT81="Да",FU81="Да",Исходн.данные.!I81&gt;5.5),"Медь,Цинк",FC81))))))</f>
        <v>#N/A</v>
      </c>
      <c r="FC81" s="23" t="e">
        <f t="shared" si="112"/>
        <v>#N/A</v>
      </c>
      <c r="FD81" s="38" t="str">
        <f>IF(OR(Исходн.данные.!F81=$CC$1,Исходн.данные.!F81=$CC$2,Исходн.данные.!F81=$CC$3,Исходн.данные.!F81=$CC$4),"Да","Нет")</f>
        <v>Нет</v>
      </c>
      <c r="FE81" s="38" t="str">
        <f>IF(Исходн.данные.!F81=$CC$5,"Да","Нет")</f>
        <v>Нет</v>
      </c>
      <c r="FF81" s="38" t="str">
        <f>IF(OR(Исходн.данные.!F81=$CC$6,Исходн.данные.!F81=$CC$7),"Да","Нет")</f>
        <v>Нет</v>
      </c>
      <c r="FG81" s="38" t="str">
        <f>IF(OR(Исходн.данные.!F81=$CC$8,Исходн.данные.!F81=$CC$9),"Да","Нет")</f>
        <v>Нет</v>
      </c>
      <c r="FH81" s="38" t="str">
        <f>IF(Исходн.данные.!F81=$CC$10,"Да","Нет")</f>
        <v>Нет</v>
      </c>
      <c r="FI81" s="38" t="str">
        <f>IF(OR(Исходн.данные.!F81=$CC$11,Исходн.данные.!F81=$CC$12),"Да","Нет")</f>
        <v>Нет</v>
      </c>
      <c r="FJ81" s="38" t="str">
        <f>IF(OR(Исходн.данные.!AH81=$BS$1,Исходн.данные.!AH81=$BQ$11,Исходн.данные.!AH81=$BQ$12),"Да","Нет")</f>
        <v>Нет</v>
      </c>
      <c r="FK81" s="38" t="str">
        <f>IF(OR(Исходн.данные.!AH81=$BS$2,Исходн.данные.!AH81=$BS$4),"Да","Нет")</f>
        <v>Нет</v>
      </c>
      <c r="FL81" s="38" t="str">
        <f>IF(OR(Исходн.данные.!AH81=$BS$3,Исходн.данные.!AH81=$BS$5),"Да","Нет")</f>
        <v>Нет</v>
      </c>
      <c r="FM81" s="38" t="str">
        <f>IF(OR(Исходн.данные.!AH81=$BS$9,Исходн.данные.!AH81=$BS$10,Исходн.данные.!AH81=$BS$11,Исходн.данные.!AH81=$BS$12),"Да","Нет")</f>
        <v>Нет</v>
      </c>
      <c r="FN81" s="38" t="str">
        <f>IF(OR(Исходн.данные.!AH81=$BS$6,Исходн.данные.!AH81=$BP$3),"Да","Нет")</f>
        <v>Нет</v>
      </c>
      <c r="FO81" s="38" t="str">
        <f>IF(Исходн.данные.!AH81=$BQ$9,"Да","Нет")</f>
        <v>Нет</v>
      </c>
      <c r="FP81" s="38" t="str">
        <f>IF(OR(Исходн.данные.!AH81=$BS$8,Исходн.данные.!AH81=$BT$8),"Да","Нет")</f>
        <v>Нет</v>
      </c>
      <c r="FQ81" s="38" t="str">
        <f>IF(OR(Исходн.данные.!AH81=$BQ$7,Исходн.данные.!AH81=$BQ$8),"Да","Нет")</f>
        <v>Нет</v>
      </c>
      <c r="FR81" s="38" t="str">
        <f>IF(Исходн.данные.!AI81=$BU$9,"Да","Нет")</f>
        <v>Нет</v>
      </c>
      <c r="FS81" s="38" t="str">
        <f>IF(OR(Исходн.данные.!AH81=$BP$1,Исходн.данные.!AH81=$BP$2),"Да","Нет")</f>
        <v>Нет</v>
      </c>
      <c r="FT81" s="38" t="e">
        <f>IF((Исходн.данные.!K81*GO81*GS81*GW81+BL81*0.6+Исходн.данные.!Q81*4.5*0.275)&gt;90,"Да","Нет")</f>
        <v>#N/A</v>
      </c>
      <c r="FU81" s="38" t="e">
        <f>IF((Исходн.данные.!M81*GS81*GZ81+BM81*0.225)&gt;35,"Да","Нет")</f>
        <v>#N/A</v>
      </c>
      <c r="FV81" s="38" t="str">
        <f>IF(Исходн.данные.!O81&gt;175,"Да","Нет")</f>
        <v>Нет</v>
      </c>
      <c r="FW81" s="39" t="str">
        <f>IF(Исходн.данные.!I81&gt;5.5,"Да","Нет")</f>
        <v>Нет</v>
      </c>
      <c r="FX81" s="39" t="str">
        <f>IF(Исходн.данные.!J81&lt;2,"Да","Нет")</f>
        <v>Да</v>
      </c>
      <c r="FY81" s="39" t="e">
        <f>IF(HF81=$FY$16,0,Исходн.данные.!K81*GO81*GS81*GW81/HF81)</f>
        <v>#N/A</v>
      </c>
      <c r="FZ81" s="39" t="e">
        <f>Исходн.данные.!M81*GS81*GZ81/HG81</f>
        <v>#N/A</v>
      </c>
      <c r="GA81" s="39" t="e">
        <f>IF(K_Wyn=$FY$16,0,IF(Исходн.данные.!N81=Исходн.данные.!$L$10,Исходн.данные.!O81/1.1*GS81*HC81/HH81,IF(Исходн.данные.!N81=Исходн.данные.!$L$12,Исходн.данные.!O81/1.5*GS81*HC81/HH81,Исходн.данные.!O81*GS81*HC81/HH81)))</f>
        <v>#N/A</v>
      </c>
      <c r="GB81" s="39" t="e">
        <f>IF(HF81=$FY$16,0,((Исходн.данные.!Q81*N_Org+Исходн.данные.!R81*N_Sider+Исходн.данные.!S81*N_Soloma)*AO81+Расчет!BC81*VLOOKUP(Исходн.данные.!T81,Справ!$A$3:$O$57,15)*AO81+BB81*VLOOKUP(Исходн.данные.!T81,Справ!$A$3:$O$57,15)*AL81+(Исходн.данные.!V81*N_Rizotorf+Исходн.данные.!W81*N_Rizoagr))/HF81)</f>
        <v>#N/A</v>
      </c>
      <c r="GC81" s="39" t="e">
        <f>IF(HG81=$FY$16,0,((Исходн.данные.!Q81*Р_Org+Исходн.данные.!R81*P_Sider+Исходн.данные.!S81*P_Soloma)*AP81+Расчет!BC81*VLOOKUP(Исходн.данные.!T81,Справ!$A$3:$P$57,16)*AP81+BB81*VLOOKUP(Исходн.данные.!T81,Справ!$A$3:$P$57,16)*AM81)/HG81)</f>
        <v>#N/A</v>
      </c>
      <c r="GD81" s="39" t="e">
        <f>IF(HH81=$FY$16,0,((Исходн.данные.!Q81*К_Org+Исходн.данные.!R81*K_Sider+Исходн.данные.!S81*K_Soloma)*AQ81+Расчет!BC81*VLOOKUP(Исходн.данные.!T81,Справ!$A$3:$Q$57,17)*AQ81+BB81*VLOOKUP(Исходн.данные.!T81,Справ!$A$3:$Q$57,17)*AN81)/HH81)</f>
        <v>#N/A</v>
      </c>
      <c r="GE81" s="39" t="e">
        <f>IF(HF81=$FY$16,0,(Исходн.данные.!X81*AR81+Исходн.данные.!AA81*N_Org*AL81+Исходн.данные.!AB81*N_Sider*AL81+Исходн.данные.!AC81*N_Soloma*AL81)/HF81)</f>
        <v>#N/A</v>
      </c>
      <c r="GF81" s="39" t="e">
        <f>IF(HG81=$FY$16,0,(Исходн.данные.!Y81*AS81+Исходн.данные.!AA81*Р_Org*AM81+Исходн.данные.!AB81*P_Sider*AM81+Исходн.данные.!AC81*P_Soloma*AM81)/HG81)</f>
        <v>#N/A</v>
      </c>
      <c r="GG81" s="39" t="e">
        <f>IF(HH81=$FY$16,0,(Исходн.данные.!Z81*AT81+Исходн.данные.!AA81*К_Org*AN81+Исходн.данные.!AB81*K_Sider*AN81+Исходн.данные.!AC81*K_Soloma*AN81)/HH81)</f>
        <v>#N/A</v>
      </c>
      <c r="GH81" s="39" t="e">
        <f>Исходн.данные.!AD81*AU81/HF81</f>
        <v>#N/A</v>
      </c>
      <c r="GI81" s="39" t="e">
        <f>Исходн.данные.!AE81*AV81/HG81</f>
        <v>#N/A</v>
      </c>
      <c r="GJ81" s="39" t="e">
        <f>Исходн.данные.!AF81*AW81/HH81</f>
        <v>#N/A</v>
      </c>
      <c r="GK81" s="55">
        <f>Исходн.данные.!AK81</f>
        <v>0</v>
      </c>
      <c r="GL81" s="11" t="e">
        <f t="shared" si="113"/>
        <v>#N/A</v>
      </c>
      <c r="GM81" s="11" t="e">
        <f t="shared" si="114"/>
        <v>#N/A</v>
      </c>
      <c r="GN81" s="11" t="e">
        <f t="shared" si="115"/>
        <v>#N/A</v>
      </c>
      <c r="GO81" s="57">
        <f t="shared" si="116"/>
        <v>19</v>
      </c>
      <c r="GP81" s="55">
        <f>IF(OR(Исходн.данные.!F81=$CE$1,Исходн.данные.!F81=$CE$2,Исходн.данные.!F81=$CE$3,Исходн.данные.!F81=$CE$4,Исходн.данные.!F81=$CE$5),GQ81,GR81)</f>
        <v>19</v>
      </c>
      <c r="GQ81" s="55">
        <f>IF(Исходн.данные.!F81=$CE$1,28,IF(Исходн.данные.!F81=$CE$2,26,IF(Исходн.данные.!F81=$CE$3,24,IF(Исходн.данные.!F81=$CE$4,22,IF(Исходн.данные.!F81=$CE$5,20,GR81)))))</f>
        <v>19</v>
      </c>
      <c r="GR81" s="55">
        <f>IF(Исходн.данные.!F81=$CE$6,18,IF(Исходн.данные.!F81=$CE$7,16,IF(Исходн.данные.!F81=$CE$8,14,IF(Исходн.данные.!F81=$CE$9,13,IF(Исходн.данные.!F81=$CE$10,12,19)))))</f>
        <v>19</v>
      </c>
      <c r="GS81" s="55">
        <f>IF(Исходн.данные.!G81="Пес",0.035*(40+2*Исходн.данные.!H81),IF(Исходн.данные.!G81="Суп",0.0325*(40+2*Исходн.данные.!H81),0.03*(40+2*Исходн.данные.!H81)))</f>
        <v>1.2</v>
      </c>
      <c r="GT81" s="55">
        <f>IF(Исходн.данные.!H81&lt;23,2.6,IF(AND(Исходн.данные.!H81&gt;22,Исходн.данные.!H81&lt;26),3,IF(AND(Исходн.данные.!H81&gt;25,Исходн.данные.!H81&lt;29),3.4,3.6)))</f>
        <v>2.6</v>
      </c>
      <c r="GU81" s="55">
        <f>IF(Исходн.данные.!H81&lt;23,2.8,IF(AND(Исходн.данные.!H81&gt;22,Исходн.данные.!H81&lt;26),3.2,IF(AND(Исходн.данные.!H81&gt;25,Исходн.данные.!H81&lt;29),3.6,3.9)))</f>
        <v>2.8</v>
      </c>
      <c r="GV81" s="55">
        <f>IF(Исходн.данные.!H81&lt;23,3,IF(AND(Исходн.данные.!H81&gt;22,Исходн.данные.!H81&lt;26),3.5,IF(AND(Исходн.данные.!H81&gt;25,Исходн.данные.!H81&lt;29),3.9,4.2)))</f>
        <v>3</v>
      </c>
      <c r="GW81" s="55" t="e">
        <f>IF(Исходн.данные.!P81="Ум",GX81,GY81)</f>
        <v>#N/A</v>
      </c>
      <c r="GX81" s="55" t="e">
        <f>VLOOKUP(Исходн.данные.!AI81,Коэффициенты!$J$7:$L$13,2,FALSE)</f>
        <v>#N/A</v>
      </c>
      <c r="GY81" s="55" t="e">
        <f>VLOOKUP(Исходн.данные.!AI81,Коэффициенты!$J$7:$L$13,3,FALSE)</f>
        <v>#N/A</v>
      </c>
      <c r="GZ81" s="55" t="e">
        <f>(IF(Исходн.данные.!M81&lt;50,0.11*VLOOKUP(Исходн.данные.!AH81,Культуры.Информация,7,FALSE),IF(Исходн.данные.!M81&gt;250,0.05*VLOOKUP(Исходн.данные.!AH81,Культуры.Информация,7,FALSE),VLOOKUP(Исходн.данные.!AH81,Культуры.Информация,5,FALSE)/100*($GX$6+$GY$6*Исходн.данные.!M81))))*Расчет2!AI81</f>
        <v>#N/A</v>
      </c>
      <c r="HA81" s="211"/>
      <c r="HB81" s="211"/>
      <c r="HC81" s="55" t="e">
        <f>(IF(Исходн.данные.!O81&lt;80,0.2*VLOOKUP(Исходн.данные.!AH81,Культуры.Информация,8,FALSE),IF(Исходн.данные.!O81&gt;240,0.09*VLOOKUP(Исходн.данные.!AH81,Культуры.Информация,8,FALSE),VLOOKUP(Исходн.данные.!AH81,Культуры.Информация,6,FALSE)/100*($HB$6+$HC$6*Исходн.данные.!O81))))*Расчет2!AJ81</f>
        <v>#N/A</v>
      </c>
      <c r="HD81" s="55">
        <f>IF(Исходн.данные.!O81&gt;240,0.09,IF(Исходн.данные.!O81&lt;30,0.3,$HE$10+$HD$10*Исходн.данные.!O81))</f>
        <v>0.3</v>
      </c>
      <c r="HE81" s="55">
        <f>IF(Исходн.данные.!O81&gt;240,0.17,IF(Исходн.данные.!O81&lt;30,0.5,$HF$12+$HE$12*Исходн.данные.!O81))</f>
        <v>0.5</v>
      </c>
      <c r="HF81" s="55" t="e">
        <f>VLOOKUP(Исходн.данные.!AH81,Справ!$A$3:$D$58,2,FALSE)</f>
        <v>#N/A</v>
      </c>
      <c r="HG81" s="55" t="e">
        <f>VLOOKUP(Исходн.данные.!AH81,Справ!$A$3:$D$58,3,FALSE)</f>
        <v>#N/A</v>
      </c>
      <c r="HH81" s="55" t="e">
        <f>VLOOKUP(Исходн.данные.!AH81,Справ!$A$3:$D$58,4,FALSE)</f>
        <v>#N/A</v>
      </c>
      <c r="HI81" s="11" t="e">
        <f t="shared" si="117"/>
        <v>#N/A</v>
      </c>
      <c r="HJ81" s="11" t="e">
        <f t="shared" si="118"/>
        <v>#N/A</v>
      </c>
      <c r="HK81" s="11" t="e">
        <f t="shared" si="119"/>
        <v>#N/A</v>
      </c>
      <c r="HL81" s="55">
        <f>IF(OR(Исходн.данные.!G81="Глин",Исходн.данные.!G81="Т_суг"),1.1,IF(Исходн.данные.!G81="Ср_суг",1,1))</f>
        <v>1</v>
      </c>
      <c r="HM81" s="55">
        <f>IF(OR(Исходн.данные.!G81="Глин",Исходн.данные.!G81="Т_суг"),0.9,IF(Исходн.данные.!G81="Ср_суг",1,1.2))</f>
        <v>1.2</v>
      </c>
      <c r="HN81" s="11" t="e">
        <f t="shared" si="120"/>
        <v>#N/A</v>
      </c>
      <c r="HO81" s="11" t="e">
        <f t="shared" si="121"/>
        <v>#N/A</v>
      </c>
      <c r="HP81" s="11" t="e">
        <f t="shared" si="122"/>
        <v>#N/A</v>
      </c>
      <c r="HQ81" t="e">
        <f t="shared" si="123"/>
        <v>#N/A</v>
      </c>
      <c r="HR81" t="e">
        <f t="shared" si="124"/>
        <v>#N/A</v>
      </c>
      <c r="HS81" t="e">
        <f t="shared" si="125"/>
        <v>#N/A</v>
      </c>
      <c r="HT81" t="e">
        <f t="shared" si="21"/>
        <v>#N/A</v>
      </c>
      <c r="HU81" t="e">
        <f t="shared" si="22"/>
        <v>#N/A</v>
      </c>
      <c r="HV81" t="e">
        <f t="shared" si="23"/>
        <v>#N/A</v>
      </c>
      <c r="HW81" t="e">
        <f t="shared" si="24"/>
        <v>#N/A</v>
      </c>
      <c r="HX81" t="e">
        <f t="shared" si="25"/>
        <v>#N/A</v>
      </c>
      <c r="HY81" t="e">
        <f t="shared" si="26"/>
        <v>#N/A</v>
      </c>
      <c r="HZ81" s="55">
        <f>IF(OR(Исходн.данные.!AI81="Оз_Ч_П",Исходн.данные.!AI81="Оз_З_П",Исходн.данные.!AI81="Яр_зер"),12,30)</f>
        <v>30</v>
      </c>
      <c r="IA81" t="e">
        <f t="shared" si="126"/>
        <v>#N/A</v>
      </c>
      <c r="IB81" t="e">
        <f t="shared" si="127"/>
        <v>#N/A</v>
      </c>
      <c r="IC81" t="e">
        <f t="shared" si="128"/>
        <v>#N/A</v>
      </c>
      <c r="ID81" s="11" t="e">
        <f t="shared" si="129"/>
        <v>#N/A</v>
      </c>
      <c r="IE81" s="11" t="e">
        <f t="shared" si="130"/>
        <v>#N/A</v>
      </c>
      <c r="IF81" s="11" t="e">
        <f t="shared" si="131"/>
        <v>#N/A</v>
      </c>
    </row>
    <row r="82" spans="35:240" x14ac:dyDescent="0.2">
      <c r="AI82">
        <f>IF(Исходн.данные.!I82&gt;6,1,1.85-(0.148*Исходн.данные.!I82))</f>
        <v>1.85</v>
      </c>
      <c r="AJ82">
        <f>IF(Исходн.данные.!I82&gt;6,1,2.434-(0.246*Исходн.данные.!I82))</f>
        <v>2.4340000000000002</v>
      </c>
      <c r="AL82" s="148" t="b">
        <f>IF(Исходн.данные.!$P82="Ум",N_OrgUd_2g_um,IF(Исходн.данные.!$P82="Об",N_OrgUd_2g_ob))</f>
        <v>0</v>
      </c>
      <c r="AM82" s="148" t="b">
        <f>IF(Исходн.данные.!$P82="Ум",P_OrgUd_2g_um,IF(Исходн.данные.!$P82="Об",P_OrgUd_2g_ob))</f>
        <v>0</v>
      </c>
      <c r="AN82" s="148" t="b">
        <f>IF(Исходн.данные.!$P82="Ум",K_OrgUd_2g_um,IF(Исходн.данные.!$P82="Об",K_OrgUd_2g_ob))</f>
        <v>0</v>
      </c>
      <c r="AO82" s="148" t="b">
        <f>IF(Исходн.данные.!$P82="Ум",N_OrgUd_1g_um,IF(Исходн.данные.!$P82="Об",N_OrgUd_1g_ob))</f>
        <v>0</v>
      </c>
      <c r="AP82" s="148" t="b">
        <f>IF(Исходн.данные.!$P82="Ум",P_OrgUd_1g_um,IF(Исходн.данные.!$P82="Об",P_OrgUd_1g_ob))</f>
        <v>0</v>
      </c>
      <c r="AQ82" s="148" t="b">
        <f>IF(Исходн.данные.!$P82="Ум",K_OrgUd_1g_um,IF(Исходн.данные.!$P82="Об",K_OrgUd_1g_ob))</f>
        <v>0</v>
      </c>
      <c r="AR82" t="b">
        <f>IF(Исходн.данные.!$P82="Ум",N_MinUd_2g_um,IF(Исходн.данные.!$P82="Об",N_MinUd_2g_ob))</f>
        <v>0</v>
      </c>
      <c r="AS82" t="b">
        <f>IF(Исходн.данные.!$P82="Ум",P_MinUd_2g_um,IF(Исходн.данные.!$P82="Об",P_MinUd_2g_ob))</f>
        <v>0</v>
      </c>
      <c r="AT82" t="b">
        <f>IF(Исходн.данные.!$P82="Ум",K_MinUd_2g_um,IF(Исходн.данные.!$P82="Об",K_MinUd_2g_ob))</f>
        <v>0</v>
      </c>
      <c r="AU82" t="b">
        <f>IF(Исходн.данные.!$P82="Ум",N_MinUd_1g_um,IF(Исходн.данные.!$P82="Об",N_MinUd_1g_ob))</f>
        <v>0</v>
      </c>
      <c r="AV82" t="b">
        <f>IF(Исходн.данные.!P82="Ум",P_MinUd_1g_um,IF(Исходн.данные.!P82="Об",P_MinUd_1g_ob))</f>
        <v>0</v>
      </c>
      <c r="AW82" t="b">
        <f>IF(Исходн.данные.!P82="Ум",K_MinUd_1g_um,IF(Исходн.данные.!P82="Об",K_MinUd_1g_ob))</f>
        <v>0</v>
      </c>
      <c r="AY82" t="e">
        <f>VLOOKUP(Исходн.данные.!T82,Справ!$A$3:$N$57,12)</f>
        <v>#N/A</v>
      </c>
      <c r="AZ82" t="e">
        <f>VLOOKUP(Исходн.данные.!T82,Справ!$A$3:$N$57,13)</f>
        <v>#N/A</v>
      </c>
      <c r="BA82" t="e">
        <f>VLOOKUP(Исходн.данные.!T82,Справ!$A$3:$N$57,14)</f>
        <v>#N/A</v>
      </c>
      <c r="BB82">
        <f>IF(Исходн.данные.!AH82=0,0,25)</f>
        <v>0</v>
      </c>
      <c r="BC82" s="141">
        <f>IF(Исходн.данные.!AH82=0,0,IF(Исходн.данные.!T82=0,25,BD82))</f>
        <v>0</v>
      </c>
      <c r="BD82" s="168" t="e">
        <f>AY82+AZ82*Исходн.данные.!U82-POWER(BA82,2)*Исходн.данные.!U82</f>
        <v>#N/A</v>
      </c>
      <c r="BE8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2" s="25">
        <f>IF(Исходн.данные.!AH82=0,0,MIN(HN82:HP82))</f>
        <v>0</v>
      </c>
      <c r="BG82" s="9">
        <f>IF(Исходн.данные.!AH82=0,0,IF((HO82+10*0.25/HG82/HL82)&lt;17,17,HO82+10*0.25/HG82/HL82))</f>
        <v>0</v>
      </c>
      <c r="BH82" s="181">
        <f>IF(Исходн.данные.!AH82=0,0,HW82*HF82*HL82/AU82*AI82+Исходн.данные.!S82*10)</f>
        <v>0</v>
      </c>
      <c r="BI82" s="10"/>
      <c r="BJ82" s="182">
        <f>IF(Исходн.данные.!AH82=0,0,IF(HX82*HG82*HL82/AV82&lt;0,0,HX82*HG82*HL82/AV82*AJ82))</f>
        <v>0</v>
      </c>
      <c r="BK82" s="182">
        <f>IF(Исходн.данные.!AH82=0,0,HY82*HH82*HM82/AW82)</f>
        <v>0</v>
      </c>
      <c r="BL82" s="10">
        <f>IF(OR(Исходн.данные.!$AH82=$BP$1,Исходн.данные.!$AH82=$BP$2),0,IF(BH82&lt;0,0,IF(OR(Исходн.данные.!T82=Расчет!$BP$1,Исходн.данные.!T82=Расчет!$BP$2,Исходн.данные.!T82=Расчет!$BT$5,Исходн.данные.!T82=Расчет!$BT$6),BH82*0.5,IF(OR(Исходн.данные.!T82=Расчет!$BS$9,Исходн.данные.!T82=Расчет!$BS$10,Исходн.данные.!T82=Расчет!$BS$11,Исходн.данные.!T82=Расчет!$BS$12,Исходн.данные.!T82=Расчет!$BP$5),BH82*0.8,BH82))))</f>
        <v>0</v>
      </c>
      <c r="BM82" s="10">
        <f>IF(OR(Исходн.данные.!$AH82=$BP$1,Исходн.данные.!$AH82=$BP$2),0,IF(BJ82&lt;0,0,IF(Исходн.данные.!I82&lt;4.5,BJ82*1.2,IF(Исходн.данные.!I82&gt;5.1,BJ82,BJ82*((5.1-Исходн.данные.!I82)*0.333+1)))))</f>
        <v>0</v>
      </c>
      <c r="BN82" s="10">
        <f>IF(OR(Исходн.данные.!$AH82=$BP$1,Исходн.данные.!$AH82=$BP$2),60-Исходн.данные.!AF82,IF(BK82&lt;0,0,IF(Исходн.данные.!I82&lt;4.5,BK82*1.2,IF(Исходн.данные.!I82&gt;5.1,BK82,BK82*((5.1-Исходн.данные.!I82)*0.333+1)))))</f>
        <v>0</v>
      </c>
      <c r="BO82" s="9">
        <f>IF(BL82&lt;0,0,BL82*Исходн.данные.!$AJ82/1000)</f>
        <v>0</v>
      </c>
      <c r="BP82" s="9">
        <f>IF(BM82&lt;0,0,BM82*Исходн.данные.!$AJ82/1000)</f>
        <v>0</v>
      </c>
      <c r="BQ82" s="9">
        <f>IF(BN82&lt;0,0,BN82*Исходн.данные.!$AJ82/1000)</f>
        <v>0</v>
      </c>
      <c r="BR82" s="9">
        <f t="shared" si="81"/>
        <v>0</v>
      </c>
      <c r="BS82" s="10" t="str">
        <f t="shared" si="82"/>
        <v>Аммофос 12:52:00</v>
      </c>
      <c r="BT82" s="10" t="str">
        <f t="shared" si="83"/>
        <v>Аммофос 12:52:00</v>
      </c>
      <c r="BU82" s="10" t="str">
        <f t="shared" si="84"/>
        <v>Диаммофоска</v>
      </c>
      <c r="BV82" s="10">
        <f t="shared" si="85"/>
        <v>0</v>
      </c>
      <c r="BW82" s="10"/>
      <c r="BX82" s="10"/>
      <c r="BY82" s="9">
        <f>IF(BL82&lt;0,0,IF(OR(Исходн.данные.!AI82=Расчет!$BU$6,Исходн.данные.!AI82=Расчет!$BU$7),Расчет!BV82,IF(Исходн.данные.!$AG82=$BV$11,BL82,IF(OR(Исходн.данные.!$AH82=$BQ$7,Исходн.данные.!$AH82=$BQ$8),CB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0,IF(Исходн.данные.!$AI82=$BU$11,"Нет",IF(BL82&gt;30,30,BL82)))))))</f>
        <v>0</v>
      </c>
      <c r="BZ82" s="9">
        <f>IF(AND(Исходн.данные.!$AG82=$BV$11,BM82&lt;10),10,IF(Исходн.данные.!$AG82=$BV$11,BM82,IF(OR(Исходн.данные.!$AH82=$BQ$7,Исходн.данные.!$AH82=$BQ$8),CC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10,IF(Исходн.данные.!$AI82=$BU$11,"Нет",IF(BM82&gt;60,60,IF(BM82&lt;10,10,BM82)))))))</f>
        <v>10</v>
      </c>
      <c r="CA82" s="39">
        <f>IF(BN82&lt;0,0,IF(Исходн.данные.!$AG82=$BV$11,BN82,IF(OR(Исходн.данные.!$AH82=$BQ$7,Исходн.данные.!$AH82=$BQ$8),CD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0,IF(Исходн.данные.!$AI82=$BU$11,"Нет",IF(BN82&gt;30,30,BN82))))))</f>
        <v>0</v>
      </c>
      <c r="CB82" s="9">
        <f t="shared" si="86"/>
        <v>0</v>
      </c>
      <c r="CC82" s="9">
        <f t="shared" si="87"/>
        <v>0</v>
      </c>
      <c r="CD82" s="9">
        <f t="shared" si="88"/>
        <v>0</v>
      </c>
      <c r="CE82" s="12">
        <f t="shared" si="89"/>
        <v>10</v>
      </c>
      <c r="CF82" s="9">
        <f t="shared" si="90"/>
        <v>0</v>
      </c>
      <c r="CG82" s="9" t="s">
        <v>231</v>
      </c>
      <c r="CH82" s="132" t="str">
        <f>IF(Исходн.данные.!AP82=Расчет!$CI$16,"Нет",IF(Исходн.данные.!AL82&gt;0,Исходн.данные.!AL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BH$4,IF(OR(Исходн.данные.!AI82=Исходн.данные.!$AI$6,Исходн.данные.!AI82=Исходн.данные.!$AI$7),Расчет!BS82,IF(AND($CF82=0,$CE82&gt;0),EV82,ER82)))))</f>
        <v>Аммофос 12:52:00</v>
      </c>
      <c r="CI82" s="274">
        <f>IF(Расчет!$CH82="Нет","Нет",IF(Исходн.данные.!$AL82&gt;0,VLOOKUP(Расчет!$CH82,АшламаДВ_Irekle,2,FALSE),VLOOKUP(Расчет!$CH82,АшламаДВ_Gomumy,2,FALSE)))</f>
        <v>0.12</v>
      </c>
      <c r="CJ82" s="274">
        <f>IF(Расчет!$CH82="Нет","Нет",IF(Исходн.данные.!$AL82&gt;0,VLOOKUP(Расчет!$CH82,АшламаДВ_Irekle,3,FALSE),VLOOKUP(Расчет!$CH82,АшламаДВ_Gomumy,3,FALSE)))</f>
        <v>0.52</v>
      </c>
      <c r="CK82" s="274">
        <f>IF(Расчет!$CH82="Нет","Нет",IF(Исходн.данные.!$AL82&gt;0,VLOOKUP(Расчет!$CH82,АшламаДВ_Irekle,4,FALSE),VLOOKUP(Расчет!$CH82,АшламаДВ_Gomumy,4,FALSE)))</f>
        <v>0</v>
      </c>
      <c r="CL82" s="70"/>
      <c r="CM82" s="70"/>
      <c r="CN82" s="70"/>
      <c r="CO82" s="70"/>
      <c r="CP82" s="70"/>
      <c r="CQ82" s="70"/>
      <c r="CR82" s="10">
        <f t="shared" si="91"/>
        <v>0</v>
      </c>
      <c r="CS82" s="10">
        <f t="shared" si="92"/>
        <v>19.23076923076923</v>
      </c>
      <c r="CT82" s="10">
        <f t="shared" si="93"/>
        <v>0</v>
      </c>
      <c r="CU82" s="39">
        <f>IF($CH82="Нет",0,IF(CI82=0,30/MIN(CJ82:CK82),IF(Исходн.данные.!$AG82=$BV$11,CR82,IF(OR(Исходн.данные.!$AH82=$BQ$7,Исходн.данные.!$AH82=$BQ$8),90/CI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0,IF(Исходн.данные.!$AI82=$BU$11,"Нет",30/CI82))))))</f>
        <v>250</v>
      </c>
      <c r="CV82" s="39">
        <f>IF($CH82="Нет",0,IF(Исходн.данные.!AH82=0,0,IF(CJ82=0,60/MIN(CI82,CK82),IF(Исходн.данные.!$AG82=$BV$11,CS82,IF(OR(Исходн.данные.!$AH82=$BQ$7,Исходн.данные.!$AH82=$BQ$8),90/CJ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10/CJ82,IF(Исходн.данные.!$AI82=$BU$11,"Нет",60/CJ82)))))))</f>
        <v>0</v>
      </c>
      <c r="CW82" s="39">
        <f>IF($CH82="Нет",0,IF(Исходн.данные.!AH82=0,0,IF(CK82=0,30/MIN(CI82:CJ82),IF(Исходн.данные.!$AG82=$BV$11,CT82,IF(OR(Исходн.данные.!$AH82=$BQ$7,Исходн.данные.!$AH82=$BQ$8),90/CK82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0,IF(Исходн.данные.!$AI82=$BU$11,"Нет",30/CK82)))))))</f>
        <v>0</v>
      </c>
      <c r="CX82" s="133">
        <f>IF(Исходн.данные.!$AG82=$BV$11,MAX(CU82:CW82),IF(OR(Исходн.данные.!$AH82=$BS$8,Исходн.данные.!$AH82=$BQ$9,Исходн.данные.!$AH82=$BQ$10,Исходн.данные.!$AH82=$BQ$11,Исходн.данные.!$AH82=$BQ$12,Исходн.данные.!$AH82=$BP$3,Исходн.данные.!$AH82=$BT$8,$FM82="Да"),CV82,MIN(CU82:CW82)))</f>
        <v>0</v>
      </c>
      <c r="CY82" s="133">
        <f>IF(Исходн.данные.!AH82=0,0,IF(CR82&gt;$CX82,$CX82,CR82))</f>
        <v>0</v>
      </c>
      <c r="CZ82" s="133">
        <f>IF(Исходн.данные.!AH82=0,0,IF(CS82&gt;$CX82,$CX82,CS82))</f>
        <v>0</v>
      </c>
      <c r="DA82" s="133">
        <f>IF(Исходн.данные.!AH82=0,0,IF(CT82&gt;$CX82,$CX82,CT82))</f>
        <v>0</v>
      </c>
      <c r="DB82" s="10">
        <f t="shared" si="94"/>
        <v>0</v>
      </c>
      <c r="DC82" s="39">
        <f>DB82*Исходн.данные.!AJ82/1000</f>
        <v>0</v>
      </c>
      <c r="DD82" s="71">
        <f t="shared" si="95"/>
        <v>0</v>
      </c>
      <c r="DE82" s="9">
        <f t="shared" si="96"/>
        <v>0</v>
      </c>
      <c r="DF82" s="9">
        <f t="shared" si="97"/>
        <v>0</v>
      </c>
      <c r="DG82" s="39">
        <f>IF(BL82&lt;0,0,IF($CH82="Нет",BL82,IF(OR(Исходн.данные.!$AH82=$BP$1,Исходн.данные.!$AH82=$BP$2),0,IF(Исходн.данные.!AI82=$BU$11,BL82,IF(BL82-DD82&lt;0,0,BL82-DD82)))))</f>
        <v>0</v>
      </c>
      <c r="DH82" s="39">
        <f>IF(BM82&lt;0,0,IF($CH82="Нет",BM82,IF(OR(Исходн.данные.!$AH82=$BP$1,Исходн.данные.!$AH82=$BP$2),0,IF(Исходн.данные.!AJ82=$BU$11,BM82,IF(BM82-DE82&lt;0,0,BM82-DE82)))))</f>
        <v>0</v>
      </c>
      <c r="DI82" s="39">
        <f>IF(BN82&lt;0,0,IF($CH82="Нет",BN82,IF(OR(Исходн.данные.!$AH82=$BP$1,Исходн.данные.!$AH82=$BP$2),0,IF(Исходн.данные.!AK82=$BU$11,BN82,IF(BN82-DF82&lt;0,0,BN82-DF82)))))</f>
        <v>0</v>
      </c>
      <c r="DJ82" s="12">
        <f t="shared" si="98"/>
        <v>0</v>
      </c>
      <c r="DK82" s="9">
        <f t="shared" si="99"/>
        <v>0</v>
      </c>
      <c r="DL82" s="39">
        <f>IF(Исходн.данные.!AM82&gt;0,Исходн.данные.!AM82,IF(EG82&gt;0,$BH$10,0))</f>
        <v>0</v>
      </c>
      <c r="DM82" s="186">
        <f>IF($DL82=0,0,IF(Исходн.данные.!AM82&gt;0,VLOOKUP($DL82,АшламаДВ_Irekle,2,FALSE),VLOOKUP($DL82,АшламаДВ_Gomumy,2,FALSE)))</f>
        <v>0</v>
      </c>
      <c r="DN82" s="10">
        <f t="shared" si="46"/>
        <v>0</v>
      </c>
      <c r="DO82" s="9" t="str">
        <f>IF(Исходн.данные.!AN82&gt;0,Исходн.данные.!AN82,Удобрения!$B$37 )</f>
        <v>Хлор.калий</v>
      </c>
      <c r="DP82" s="9">
        <f>IF(Исходн.данные.!AN82&gt;0,VLOOKUP(Исходн.данные.!AN82,АшламаДВ_Irekle,4,FALSE),VLOOKUP(DO82,АшламаДВ_Gomumy,4,FALSE))</f>
        <v>0.6</v>
      </c>
      <c r="DQ82" s="10">
        <f t="shared" si="47"/>
        <v>0</v>
      </c>
      <c r="DR82" s="132" t="str">
        <f>IF(Исходн.данные.!AO82&gt;0,Исходн.данные.!AO82,IF(DH82=0,BS$17,IF(AND($DK82=0,$DJ82&gt;0),EJ82,EN82)))</f>
        <v>Нет</v>
      </c>
      <c r="DS82" s="70" t="str">
        <f>IF($DR82="Нет","Нет",IF(Исходн.данные.!$AO82&gt;0,VLOOKUP($DR82,АшламаДВ_Irekle,2,FALSE),VLOOKUP($DR82,АшламаДВ_Gomumy,2,FALSE)))</f>
        <v>Нет</v>
      </c>
      <c r="DT82" s="70" t="str">
        <f>IF($DR82="Нет","Нет",IF(Исходн.данные.!$AO82&gt;0,VLOOKUP($DR82,АшламаДВ_Irekle,3,FALSE),VLOOKUP($DR82,АшламаДВ_Gomumy,3,FALSE)))</f>
        <v>Нет</v>
      </c>
      <c r="DU82" s="70" t="str">
        <f>IF($DR82="Нет","Нет",IF(Исходн.данные.!$AO82&gt;0,VLOOKUP($DR82,АшламаДВ_Irekle,4,FALSE),VLOOKUP($DR82,АшламаДВ_Gomumy,4,FALSE)))</f>
        <v>Нет</v>
      </c>
      <c r="DV82" s="70"/>
      <c r="DW82" s="70"/>
      <c r="DX82" s="70"/>
      <c r="DY82" s="10">
        <f t="shared" si="100"/>
        <v>0</v>
      </c>
      <c r="DZ82" s="10">
        <f t="shared" si="101"/>
        <v>0</v>
      </c>
      <c r="EA82" s="10">
        <f t="shared" si="102"/>
        <v>0</v>
      </c>
      <c r="EB82" s="10">
        <f t="shared" si="103"/>
        <v>0</v>
      </c>
      <c r="EC82" s="10">
        <f t="shared" si="104"/>
        <v>0</v>
      </c>
      <c r="ED82" s="10">
        <f t="shared" si="105"/>
        <v>0</v>
      </c>
      <c r="EE82" s="10">
        <f t="shared" si="106"/>
        <v>0</v>
      </c>
      <c r="EF82" s="39">
        <f>EB82*Исходн.данные.!AJ82/1000</f>
        <v>0</v>
      </c>
      <c r="EG82" s="9">
        <f t="shared" si="107"/>
        <v>0</v>
      </c>
      <c r="EH82" s="9">
        <f t="shared" si="108"/>
        <v>0</v>
      </c>
      <c r="EI82" s="39" t="e">
        <f t="shared" si="7"/>
        <v>#DIV/0!</v>
      </c>
      <c r="EJ82" s="9" t="str">
        <f t="shared" si="8"/>
        <v>Азопреципитат</v>
      </c>
      <c r="EK82" s="12">
        <f t="shared" si="9"/>
        <v>0.26</v>
      </c>
      <c r="EL82" s="12">
        <f t="shared" si="10"/>
        <v>0.13</v>
      </c>
      <c r="EM82" s="12">
        <f t="shared" si="11"/>
        <v>0</v>
      </c>
      <c r="EN82" s="12" t="str">
        <f t="shared" si="57"/>
        <v>Нет</v>
      </c>
      <c r="EO82" s="12">
        <f t="shared" si="12"/>
        <v>0</v>
      </c>
      <c r="EP82" s="12">
        <f t="shared" si="13"/>
        <v>0</v>
      </c>
      <c r="EQ82" s="12">
        <f t="shared" si="14"/>
        <v>0</v>
      </c>
      <c r="ER82" s="12" t="str">
        <f t="shared" si="109"/>
        <v>Диаммофоска</v>
      </c>
      <c r="ES82" s="12">
        <f t="shared" si="15"/>
        <v>0.1</v>
      </c>
      <c r="ET82" s="12">
        <f t="shared" si="16"/>
        <v>0.26</v>
      </c>
      <c r="EU82" s="12">
        <f t="shared" si="17"/>
        <v>0.26</v>
      </c>
      <c r="EV82" s="12" t="str">
        <f t="shared" si="110"/>
        <v>Аммофос 12:52:00</v>
      </c>
      <c r="EW82" s="12" t="str">
        <f t="shared" si="111"/>
        <v>Кемира Свекловичное-6</v>
      </c>
      <c r="EX82" s="12">
        <f t="shared" si="18"/>
        <v>0.16</v>
      </c>
      <c r="EY82" s="12">
        <f t="shared" si="19"/>
        <v>0.12</v>
      </c>
      <c r="EZ82" s="12">
        <f t="shared" si="20"/>
        <v>0.17</v>
      </c>
      <c r="FA82" s="38" t="e">
        <f>IF(AND(OR(FJ82=$FD$1,FM82=$FD$1,FO82=$FD$1,FQ82=$FD$1,FS82=$FD$1),FD82=$FD$1,Исходн.данные.!J82&lt;2,FU82=$FD$1),"Бор,Кобальт",IF(AND(FO82=$FD$1,FH82=$FD$1,Исходн.данные.!J82&lt;2,FU82=$FD$1),"Бор,Кобальт",IF(AND(OR(FJ82=$FD$1,FM82=$FD$1,FQ82=$FD$1),FE82=$FD$1,Исходн.данные.!J82&lt;2,FT82=$FD$1,FU82=$FD$1),"Бор,Медь,Цинк",IF(AND(OR(FJ82=$FD$1,FR82="Да"),FI82="Да",Исходн.данные.!J82&lt;2,FT82="Да",FU82="Да"),"Бор,Цинк,Медь",IF(AND(OR(FM82="Да",FQ82="Да"),FI82="Да",Исходн.данные.!J82&lt;2,FT82="Да",FU82="Да"),"Бор,Цинк",IF(AND(FN82="Да",OR(FD82="Да",FE82="Да")),"Бор",FB82))))))</f>
        <v>#N/A</v>
      </c>
      <c r="FB82" s="134" t="e">
        <f>IF(AND(OR(FD82="Да",FE82="Да",FF82="Да",FG82="Да",FH82="Да"),FO82="Да"),"Бор",IF(AND(FP82="Да",OR(FD82="Да",FE82="Да",FI82="Да")),"Бор",IF(AND(FS82="Да",FE82="Да"),"Бор,Медь",IF(AND(OR(FJ82="Да",FK82="Да",FL82="Да"),FE82="Да",Исходн.данные.!I82&lt;5,FT82="Да",FU82="Да"),"Молибден,Цинк",IF(AND(FM82="Да",OR(FE82="Да",FF82="Да",FG82="Да",FH82="Да",FI82="Да")),"Молибден,Цинк",IF(AND(OR(FJ82="Да",FK82="Да",FL82="Да",FM82="Да",FQ82="Да"),OR(FE82="Да",FF82="Да"),FT82="Да",FU82="Да",Исходн.данные.!I82&gt;5.5),"Медь,Цинк",FC82))))))</f>
        <v>#N/A</v>
      </c>
      <c r="FC82" s="23" t="e">
        <f t="shared" si="112"/>
        <v>#N/A</v>
      </c>
      <c r="FD82" s="38" t="str">
        <f>IF(OR(Исходн.данные.!F82=$CC$1,Исходн.данные.!F82=$CC$2,Исходн.данные.!F82=$CC$3,Исходн.данные.!F82=$CC$4),"Да","Нет")</f>
        <v>Нет</v>
      </c>
      <c r="FE82" s="38" t="str">
        <f>IF(Исходн.данные.!F82=$CC$5,"Да","Нет")</f>
        <v>Нет</v>
      </c>
      <c r="FF82" s="38" t="str">
        <f>IF(OR(Исходн.данные.!F82=$CC$6,Исходн.данные.!F82=$CC$7),"Да","Нет")</f>
        <v>Нет</v>
      </c>
      <c r="FG82" s="38" t="str">
        <f>IF(OR(Исходн.данные.!F82=$CC$8,Исходн.данные.!F82=$CC$9),"Да","Нет")</f>
        <v>Нет</v>
      </c>
      <c r="FH82" s="38" t="str">
        <f>IF(Исходн.данные.!F82=$CC$10,"Да","Нет")</f>
        <v>Нет</v>
      </c>
      <c r="FI82" s="38" t="str">
        <f>IF(OR(Исходн.данные.!F82=$CC$11,Исходн.данные.!F82=$CC$12),"Да","Нет")</f>
        <v>Нет</v>
      </c>
      <c r="FJ82" s="38" t="str">
        <f>IF(OR(Исходн.данные.!AH82=$BS$1,Исходн.данные.!AH82=$BQ$11,Исходн.данные.!AH82=$BQ$12),"Да","Нет")</f>
        <v>Нет</v>
      </c>
      <c r="FK82" s="38" t="str">
        <f>IF(OR(Исходн.данные.!AH82=$BS$2,Исходн.данные.!AH82=$BS$4),"Да","Нет")</f>
        <v>Нет</v>
      </c>
      <c r="FL82" s="38" t="str">
        <f>IF(OR(Исходн.данные.!AH82=$BS$3,Исходн.данные.!AH82=$BS$5),"Да","Нет")</f>
        <v>Нет</v>
      </c>
      <c r="FM82" s="38" t="str">
        <f>IF(OR(Исходн.данные.!AH82=$BS$9,Исходн.данные.!AH82=$BS$10,Исходн.данные.!AH82=$BS$11,Исходн.данные.!AH82=$BS$12),"Да","Нет")</f>
        <v>Нет</v>
      </c>
      <c r="FN82" s="38" t="str">
        <f>IF(OR(Исходн.данные.!AH82=$BS$6,Исходн.данные.!AH82=$BP$3),"Да","Нет")</f>
        <v>Нет</v>
      </c>
      <c r="FO82" s="38" t="str">
        <f>IF(Исходн.данные.!AH82=$BQ$9,"Да","Нет")</f>
        <v>Нет</v>
      </c>
      <c r="FP82" s="38" t="str">
        <f>IF(OR(Исходн.данные.!AH82=$BS$8,Исходн.данные.!AH82=$BT$8),"Да","Нет")</f>
        <v>Нет</v>
      </c>
      <c r="FQ82" s="38" t="str">
        <f>IF(OR(Исходн.данные.!AH82=$BQ$7,Исходн.данные.!AH82=$BQ$8),"Да","Нет")</f>
        <v>Нет</v>
      </c>
      <c r="FR82" s="38" t="str">
        <f>IF(Исходн.данные.!AI82=$BU$9,"Да","Нет")</f>
        <v>Нет</v>
      </c>
      <c r="FS82" s="38" t="str">
        <f>IF(OR(Исходн.данные.!AH82=$BP$1,Исходн.данные.!AH82=$BP$2),"Да","Нет")</f>
        <v>Нет</v>
      </c>
      <c r="FT82" s="38" t="e">
        <f>IF((Исходн.данные.!K82*GO82*GS82*GW82+BL82*0.6+Исходн.данные.!Q82*4.5*0.275)&gt;90,"Да","Нет")</f>
        <v>#N/A</v>
      </c>
      <c r="FU82" s="38" t="e">
        <f>IF((Исходн.данные.!M82*GS82*GZ82+BM82*0.225)&gt;35,"Да","Нет")</f>
        <v>#N/A</v>
      </c>
      <c r="FV82" s="38" t="str">
        <f>IF(Исходн.данные.!O82&gt;175,"Да","Нет")</f>
        <v>Нет</v>
      </c>
      <c r="FW82" s="39" t="str">
        <f>IF(Исходн.данные.!I82&gt;5.5,"Да","Нет")</f>
        <v>Нет</v>
      </c>
      <c r="FX82" s="39" t="str">
        <f>IF(Исходн.данные.!J82&lt;2,"Да","Нет")</f>
        <v>Да</v>
      </c>
      <c r="FY82" s="39" t="e">
        <f>IF(HF82=$FY$16,0,Исходн.данные.!K82*GO82*GS82*GW82/HF82)</f>
        <v>#N/A</v>
      </c>
      <c r="FZ82" s="39" t="e">
        <f>Исходн.данные.!M82*GS82*GZ82/HG82</f>
        <v>#N/A</v>
      </c>
      <c r="GA82" s="39" t="e">
        <f>IF(K_Wyn=$FY$16,0,IF(Исходн.данные.!N82=Исходн.данные.!$L$10,Исходн.данные.!O82/1.1*GS82*HC82/HH82,IF(Исходн.данные.!N82=Исходн.данные.!$L$12,Исходн.данные.!O82/1.5*GS82*HC82/HH82,Исходн.данные.!O82*GS82*HC82/HH82)))</f>
        <v>#N/A</v>
      </c>
      <c r="GB82" s="39" t="e">
        <f>IF(HF82=$FY$16,0,((Исходн.данные.!Q82*N_Org+Исходн.данные.!R82*N_Sider+Исходн.данные.!S82*N_Soloma)*AO82+Расчет!BC82*VLOOKUP(Исходн.данные.!T82,Справ!$A$3:$O$57,15)*AO82+BB82*VLOOKUP(Исходн.данные.!T82,Справ!$A$3:$O$57,15)*AL82+(Исходн.данные.!V82*N_Rizotorf+Исходн.данные.!W82*N_Rizoagr))/HF82)</f>
        <v>#N/A</v>
      </c>
      <c r="GC82" s="39" t="e">
        <f>IF(HG82=$FY$16,0,((Исходн.данные.!Q82*Р_Org+Исходн.данные.!R82*P_Sider+Исходн.данные.!S82*P_Soloma)*AP82+Расчет!BC82*VLOOKUP(Исходн.данные.!T82,Справ!$A$3:$P$57,16)*AP82+BB82*VLOOKUP(Исходн.данные.!T82,Справ!$A$3:$P$57,16)*AM82)/HG82)</f>
        <v>#N/A</v>
      </c>
      <c r="GD82" s="39" t="e">
        <f>IF(HH82=$FY$16,0,((Исходн.данные.!Q82*К_Org+Исходн.данные.!R82*K_Sider+Исходн.данные.!S82*K_Soloma)*AQ82+Расчет!BC82*VLOOKUP(Исходн.данные.!T82,Справ!$A$3:$Q$57,17)*AQ82+BB82*VLOOKUP(Исходн.данные.!T82,Справ!$A$3:$Q$57,17)*AN82)/HH82)</f>
        <v>#N/A</v>
      </c>
      <c r="GE82" s="39" t="e">
        <f>IF(HF82=$FY$16,0,(Исходн.данные.!X82*AR82+Исходн.данные.!AA82*N_Org*AL82+Исходн.данные.!AB82*N_Sider*AL82+Исходн.данные.!AC82*N_Soloma*AL82)/HF82)</f>
        <v>#N/A</v>
      </c>
      <c r="GF82" s="39" t="e">
        <f>IF(HG82=$FY$16,0,(Исходн.данные.!Y82*AS82+Исходн.данные.!AA82*Р_Org*AM82+Исходн.данные.!AB82*P_Sider*AM82+Исходн.данные.!AC82*P_Soloma*AM82)/HG82)</f>
        <v>#N/A</v>
      </c>
      <c r="GG82" s="39" t="e">
        <f>IF(HH82=$FY$16,0,(Исходн.данные.!Z82*AT82+Исходн.данные.!AA82*К_Org*AN82+Исходн.данные.!AB82*K_Sider*AN82+Исходн.данные.!AC82*K_Soloma*AN82)/HH82)</f>
        <v>#N/A</v>
      </c>
      <c r="GH82" s="39" t="e">
        <f>Исходн.данные.!AD82*AU82/HF82</f>
        <v>#N/A</v>
      </c>
      <c r="GI82" s="39" t="e">
        <f>Исходн.данные.!AE82*AV82/HG82</f>
        <v>#N/A</v>
      </c>
      <c r="GJ82" s="39" t="e">
        <f>Исходн.данные.!AF82*AW82/HH82</f>
        <v>#N/A</v>
      </c>
      <c r="GK82" s="55">
        <f>Исходн.данные.!AK82</f>
        <v>0</v>
      </c>
      <c r="GL82" s="11" t="e">
        <f t="shared" si="113"/>
        <v>#N/A</v>
      </c>
      <c r="GM82" s="11" t="e">
        <f t="shared" si="114"/>
        <v>#N/A</v>
      </c>
      <c r="GN82" s="11" t="e">
        <f t="shared" si="115"/>
        <v>#N/A</v>
      </c>
      <c r="GO82" s="57">
        <f t="shared" si="116"/>
        <v>19</v>
      </c>
      <c r="GP82" s="55">
        <f>IF(OR(Исходн.данные.!F82=$CE$1,Исходн.данные.!F82=$CE$2,Исходн.данные.!F82=$CE$3,Исходн.данные.!F82=$CE$4,Исходн.данные.!F82=$CE$5),GQ82,GR82)</f>
        <v>19</v>
      </c>
      <c r="GQ82" s="55">
        <f>IF(Исходн.данные.!F82=$CE$1,28,IF(Исходн.данные.!F82=$CE$2,26,IF(Исходн.данные.!F82=$CE$3,24,IF(Исходн.данные.!F82=$CE$4,22,IF(Исходн.данные.!F82=$CE$5,20,GR82)))))</f>
        <v>19</v>
      </c>
      <c r="GR82" s="55">
        <f>IF(Исходн.данные.!F82=$CE$6,18,IF(Исходн.данные.!F82=$CE$7,16,IF(Исходн.данные.!F82=$CE$8,14,IF(Исходн.данные.!F82=$CE$9,13,IF(Исходн.данные.!F82=$CE$10,12,19)))))</f>
        <v>19</v>
      </c>
      <c r="GS82" s="55">
        <f>IF(Исходн.данные.!G82="Пес",0.035*(40+2*Исходн.данные.!H82),IF(Исходн.данные.!G82="Суп",0.0325*(40+2*Исходн.данные.!H82),0.03*(40+2*Исходн.данные.!H82)))</f>
        <v>1.2</v>
      </c>
      <c r="GT82" s="55">
        <f>IF(Исходн.данные.!H82&lt;23,2.6,IF(AND(Исходн.данные.!H82&gt;22,Исходн.данные.!H82&lt;26),3,IF(AND(Исходн.данные.!H82&gt;25,Исходн.данные.!H82&lt;29),3.4,3.6)))</f>
        <v>2.6</v>
      </c>
      <c r="GU82" s="55">
        <f>IF(Исходн.данные.!H82&lt;23,2.8,IF(AND(Исходн.данные.!H82&gt;22,Исходн.данные.!H82&lt;26),3.2,IF(AND(Исходн.данные.!H82&gt;25,Исходн.данные.!H82&lt;29),3.6,3.9)))</f>
        <v>2.8</v>
      </c>
      <c r="GV82" s="55">
        <f>IF(Исходн.данные.!H82&lt;23,3,IF(AND(Исходн.данные.!H82&gt;22,Исходн.данные.!H82&lt;26),3.5,IF(AND(Исходн.данные.!H82&gt;25,Исходн.данные.!H82&lt;29),3.9,4.2)))</f>
        <v>3</v>
      </c>
      <c r="GW82" s="55" t="e">
        <f>IF(Исходн.данные.!P82="Ум",GX82,GY82)</f>
        <v>#N/A</v>
      </c>
      <c r="GX82" s="55" t="e">
        <f>VLOOKUP(Исходн.данные.!AI82,Коэффициенты!$J$7:$L$13,2,FALSE)</f>
        <v>#N/A</v>
      </c>
      <c r="GY82" s="55" t="e">
        <f>VLOOKUP(Исходн.данные.!AI82,Коэффициенты!$J$7:$L$13,3,FALSE)</f>
        <v>#N/A</v>
      </c>
      <c r="GZ82" s="55" t="e">
        <f>(IF(Исходн.данные.!M82&lt;50,0.11*VLOOKUP(Исходн.данные.!AH82,Культуры.Информация,7,FALSE),IF(Исходн.данные.!M82&gt;250,0.05*VLOOKUP(Исходн.данные.!AH82,Культуры.Информация,7,FALSE),VLOOKUP(Исходн.данные.!AH82,Культуры.Информация,5,FALSE)/100*($GX$6+$GY$6*Исходн.данные.!M82))))*Расчет2!AI82</f>
        <v>#N/A</v>
      </c>
      <c r="HA82" s="211"/>
      <c r="HB82" s="211"/>
      <c r="HC82" s="55" t="e">
        <f>(IF(Исходн.данные.!O82&lt;80,0.2*VLOOKUP(Исходн.данные.!AH82,Культуры.Информация,8,FALSE),IF(Исходн.данные.!O82&gt;240,0.09*VLOOKUP(Исходн.данные.!AH82,Культуры.Информация,8,FALSE),VLOOKUP(Исходн.данные.!AH82,Культуры.Информация,6,FALSE)/100*($HB$6+$HC$6*Исходн.данные.!O82))))*Расчет2!AJ82</f>
        <v>#N/A</v>
      </c>
      <c r="HD82" s="55">
        <f>IF(Исходн.данные.!O82&gt;240,0.09,IF(Исходн.данные.!O82&lt;30,0.3,$HE$10+$HD$10*Исходн.данные.!O82))</f>
        <v>0.3</v>
      </c>
      <c r="HE82" s="55">
        <f>IF(Исходн.данные.!O82&gt;240,0.17,IF(Исходн.данные.!O82&lt;30,0.5,$HF$12+$HE$12*Исходн.данные.!O82))</f>
        <v>0.5</v>
      </c>
      <c r="HF82" s="55" t="e">
        <f>VLOOKUP(Исходн.данные.!AH82,Справ!$A$3:$D$58,2,FALSE)</f>
        <v>#N/A</v>
      </c>
      <c r="HG82" s="55" t="e">
        <f>VLOOKUP(Исходн.данные.!AH82,Справ!$A$3:$D$58,3,FALSE)</f>
        <v>#N/A</v>
      </c>
      <c r="HH82" s="55" t="e">
        <f>VLOOKUP(Исходн.данные.!AH82,Справ!$A$3:$D$58,4,FALSE)</f>
        <v>#N/A</v>
      </c>
      <c r="HI82" s="11" t="e">
        <f t="shared" si="117"/>
        <v>#N/A</v>
      </c>
      <c r="HJ82" s="11" t="e">
        <f t="shared" si="118"/>
        <v>#N/A</v>
      </c>
      <c r="HK82" s="11" t="e">
        <f t="shared" si="119"/>
        <v>#N/A</v>
      </c>
      <c r="HL82" s="55">
        <f>IF(OR(Исходн.данные.!G82="Глин",Исходн.данные.!G82="Т_суг"),1.1,IF(Исходн.данные.!G82="Ср_суг",1,1))</f>
        <v>1</v>
      </c>
      <c r="HM82" s="55">
        <f>IF(OR(Исходн.данные.!G82="Глин",Исходн.данные.!G82="Т_суг"),0.9,IF(Исходн.данные.!G82="Ср_суг",1,1.2))</f>
        <v>1.2</v>
      </c>
      <c r="HN82" s="11" t="e">
        <f t="shared" si="120"/>
        <v>#N/A</v>
      </c>
      <c r="HO82" s="11" t="e">
        <f t="shared" si="121"/>
        <v>#N/A</v>
      </c>
      <c r="HP82" s="11" t="e">
        <f t="shared" si="122"/>
        <v>#N/A</v>
      </c>
      <c r="HQ82" t="e">
        <f t="shared" si="123"/>
        <v>#N/A</v>
      </c>
      <c r="HR82" t="e">
        <f t="shared" si="124"/>
        <v>#N/A</v>
      </c>
      <c r="HS82" t="e">
        <f t="shared" si="125"/>
        <v>#N/A</v>
      </c>
      <c r="HT82" t="e">
        <f t="shared" si="21"/>
        <v>#N/A</v>
      </c>
      <c r="HU82" t="e">
        <f t="shared" si="22"/>
        <v>#N/A</v>
      </c>
      <c r="HV82" t="e">
        <f t="shared" si="23"/>
        <v>#N/A</v>
      </c>
      <c r="HW82" t="e">
        <f t="shared" si="24"/>
        <v>#N/A</v>
      </c>
      <c r="HX82" t="e">
        <f t="shared" si="25"/>
        <v>#N/A</v>
      </c>
      <c r="HY82" t="e">
        <f t="shared" si="26"/>
        <v>#N/A</v>
      </c>
      <c r="HZ82" s="55">
        <f>IF(OR(Исходн.данные.!AI82="Оз_Ч_П",Исходн.данные.!AI82="Оз_З_П",Исходн.данные.!AI82="Яр_зер"),12,30)</f>
        <v>30</v>
      </c>
      <c r="IA82" t="e">
        <f t="shared" si="126"/>
        <v>#N/A</v>
      </c>
      <c r="IB82" t="e">
        <f t="shared" si="127"/>
        <v>#N/A</v>
      </c>
      <c r="IC82" t="e">
        <f t="shared" si="128"/>
        <v>#N/A</v>
      </c>
      <c r="ID82" s="11" t="e">
        <f t="shared" si="129"/>
        <v>#N/A</v>
      </c>
      <c r="IE82" s="11" t="e">
        <f t="shared" si="130"/>
        <v>#N/A</v>
      </c>
      <c r="IF82" s="11" t="e">
        <f t="shared" si="131"/>
        <v>#N/A</v>
      </c>
    </row>
    <row r="83" spans="35:240" x14ac:dyDescent="0.2">
      <c r="AI83">
        <f>IF(Исходн.данные.!I83&gt;6,1,1.85-(0.148*Исходн.данные.!I83))</f>
        <v>1.85</v>
      </c>
      <c r="AJ83">
        <f>IF(Исходн.данные.!I83&gt;6,1,2.434-(0.246*Исходн.данные.!I83))</f>
        <v>2.4340000000000002</v>
      </c>
      <c r="AL83" s="148" t="b">
        <f>IF(Исходн.данные.!$P83="Ум",N_OrgUd_2g_um,IF(Исходн.данные.!$P83="Об",N_OrgUd_2g_ob))</f>
        <v>0</v>
      </c>
      <c r="AM83" s="148" t="b">
        <f>IF(Исходн.данные.!$P83="Ум",P_OrgUd_2g_um,IF(Исходн.данные.!$P83="Об",P_OrgUd_2g_ob))</f>
        <v>0</v>
      </c>
      <c r="AN83" s="148" t="b">
        <f>IF(Исходн.данные.!$P83="Ум",K_OrgUd_2g_um,IF(Исходн.данные.!$P83="Об",K_OrgUd_2g_ob))</f>
        <v>0</v>
      </c>
      <c r="AO83" s="148" t="b">
        <f>IF(Исходн.данные.!$P83="Ум",N_OrgUd_1g_um,IF(Исходн.данные.!$P83="Об",N_OrgUd_1g_ob))</f>
        <v>0</v>
      </c>
      <c r="AP83" s="148" t="b">
        <f>IF(Исходн.данные.!$P83="Ум",P_OrgUd_1g_um,IF(Исходн.данные.!$P83="Об",P_OrgUd_1g_ob))</f>
        <v>0</v>
      </c>
      <c r="AQ83" s="148" t="b">
        <f>IF(Исходн.данные.!$P83="Ум",K_OrgUd_1g_um,IF(Исходн.данные.!$P83="Об",K_OrgUd_1g_ob))</f>
        <v>0</v>
      </c>
      <c r="AR83" t="b">
        <f>IF(Исходн.данные.!$P83="Ум",N_MinUd_2g_um,IF(Исходн.данные.!$P83="Об",N_MinUd_2g_ob))</f>
        <v>0</v>
      </c>
      <c r="AS83" t="b">
        <f>IF(Исходн.данные.!$P83="Ум",P_MinUd_2g_um,IF(Исходн.данные.!$P83="Об",P_MinUd_2g_ob))</f>
        <v>0</v>
      </c>
      <c r="AT83" t="b">
        <f>IF(Исходн.данные.!$P83="Ум",K_MinUd_2g_um,IF(Исходн.данные.!$P83="Об",K_MinUd_2g_ob))</f>
        <v>0</v>
      </c>
      <c r="AU83" t="b">
        <f>IF(Исходн.данные.!$P83="Ум",N_MinUd_1g_um,IF(Исходн.данные.!$P83="Об",N_MinUd_1g_ob))</f>
        <v>0</v>
      </c>
      <c r="AV83" t="b">
        <f>IF(Исходн.данные.!P83="Ум",P_MinUd_1g_um,IF(Исходн.данные.!P83="Об",P_MinUd_1g_ob))</f>
        <v>0</v>
      </c>
      <c r="AW83" t="b">
        <f>IF(Исходн.данные.!P83="Ум",K_MinUd_1g_um,IF(Исходн.данные.!P83="Об",K_MinUd_1g_ob))</f>
        <v>0</v>
      </c>
      <c r="AY83" t="e">
        <f>VLOOKUP(Исходн.данные.!T83,Справ!$A$3:$N$57,12)</f>
        <v>#N/A</v>
      </c>
      <c r="AZ83" t="e">
        <f>VLOOKUP(Исходн.данные.!T83,Справ!$A$3:$N$57,13)</f>
        <v>#N/A</v>
      </c>
      <c r="BA83" t="e">
        <f>VLOOKUP(Исходн.данные.!T83,Справ!$A$3:$N$57,14)</f>
        <v>#N/A</v>
      </c>
      <c r="BB83">
        <f>IF(Исходн.данные.!AH83=0,0,25)</f>
        <v>0</v>
      </c>
      <c r="BC83" s="141">
        <f>IF(Исходн.данные.!AH83=0,0,IF(Исходн.данные.!T83=0,25,BD83))</f>
        <v>0</v>
      </c>
      <c r="BD83" s="168" t="e">
        <f>AY83+AZ83*Исходн.данные.!U83-POWER(BA83,2)*Исходн.данные.!U83</f>
        <v>#N/A</v>
      </c>
      <c r="BE8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3" s="25">
        <f>IF(Исходн.данные.!AH83=0,0,MIN(HN83:HP83))</f>
        <v>0</v>
      </c>
      <c r="BG83" s="9">
        <f>IF(Исходн.данные.!AH83=0,0,IF((HO83+10*0.25/HG83/HL83)&lt;17,17,HO83+10*0.25/HG83/HL83))</f>
        <v>0</v>
      </c>
      <c r="BH83" s="181">
        <f>IF(Исходн.данные.!AH83=0,0,HW83*HF83*HL83/AU83*AI83+Исходн.данные.!S83*10)</f>
        <v>0</v>
      </c>
      <c r="BI83" s="10"/>
      <c r="BJ83" s="182">
        <f>IF(Исходн.данные.!AH83=0,0,IF(HX83*HG83*HL83/AV83&lt;0,0,HX83*HG83*HL83/AV83*AJ83))</f>
        <v>0</v>
      </c>
      <c r="BK83" s="182">
        <f>IF(Исходн.данные.!AH83=0,0,HY83*HH83*HM83/AW83)</f>
        <v>0</v>
      </c>
      <c r="BL83" s="10">
        <f>IF(OR(Исходн.данные.!$AH83=$BP$1,Исходн.данные.!$AH83=$BP$2),0,IF(BH83&lt;0,0,IF(OR(Исходн.данные.!T83=Расчет!$BP$1,Исходн.данные.!T83=Расчет!$BP$2,Исходн.данные.!T83=Расчет!$BT$5,Исходн.данные.!T83=Расчет!$BT$6),BH83*0.5,IF(OR(Исходн.данные.!T83=Расчет!$BS$9,Исходн.данные.!T83=Расчет!$BS$10,Исходн.данные.!T83=Расчет!$BS$11,Исходн.данные.!T83=Расчет!$BS$12,Исходн.данные.!T83=Расчет!$BP$5),BH83*0.8,BH83))))</f>
        <v>0</v>
      </c>
      <c r="BM83" s="10">
        <f>IF(OR(Исходн.данные.!$AH83=$BP$1,Исходн.данные.!$AH83=$BP$2),0,IF(BJ83&lt;0,0,IF(Исходн.данные.!I83&lt;4.5,BJ83*1.2,IF(Исходн.данные.!I83&gt;5.1,BJ83,BJ83*((5.1-Исходн.данные.!I83)*0.333+1)))))</f>
        <v>0</v>
      </c>
      <c r="BN83" s="10">
        <f>IF(OR(Исходн.данные.!$AH83=$BP$1,Исходн.данные.!$AH83=$BP$2),60-Исходн.данные.!AF83,IF(BK83&lt;0,0,IF(Исходн.данные.!I83&lt;4.5,BK83*1.2,IF(Исходн.данные.!I83&gt;5.1,BK83,BK83*((5.1-Исходн.данные.!I83)*0.333+1)))))</f>
        <v>0</v>
      </c>
      <c r="BO83" s="9">
        <f>IF(BL83&lt;0,0,BL83*Исходн.данные.!$AJ83/1000)</f>
        <v>0</v>
      </c>
      <c r="BP83" s="9">
        <f>IF(BM83&lt;0,0,BM83*Исходн.данные.!$AJ83/1000)</f>
        <v>0</v>
      </c>
      <c r="BQ83" s="9">
        <f>IF(BN83&lt;0,0,BN83*Исходн.данные.!$AJ83/1000)</f>
        <v>0</v>
      </c>
      <c r="BR83" s="9">
        <f t="shared" si="81"/>
        <v>0</v>
      </c>
      <c r="BS83" s="10" t="str">
        <f t="shared" si="82"/>
        <v>Аммофос 12:52:00</v>
      </c>
      <c r="BT83" s="10" t="str">
        <f t="shared" si="83"/>
        <v>Аммофос 12:52:00</v>
      </c>
      <c r="BU83" s="10" t="str">
        <f t="shared" si="84"/>
        <v>Диаммофоска</v>
      </c>
      <c r="BV83" s="10">
        <f t="shared" si="85"/>
        <v>0</v>
      </c>
      <c r="BW83" s="10"/>
      <c r="BX83" s="10"/>
      <c r="BY83" s="9">
        <f>IF(BL83&lt;0,0,IF(OR(Исходн.данные.!AI83=Расчет!$BU$6,Исходн.данные.!AI83=Расчет!$BU$7),Расчет!BV83,IF(Исходн.данные.!$AG83=$BV$11,BL83,IF(OR(Исходн.данные.!$AH83=$BQ$7,Исходн.данные.!$AH83=$BQ$8),CB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0,IF(Исходн.данные.!$AI83=$BU$11,"Нет",IF(BL83&gt;30,30,BL83)))))))</f>
        <v>0</v>
      </c>
      <c r="BZ83" s="9">
        <f>IF(AND(Исходн.данные.!$AG83=$BV$11,BM83&lt;10),10,IF(Исходн.данные.!$AG83=$BV$11,BM83,IF(OR(Исходн.данные.!$AH83=$BQ$7,Исходн.данные.!$AH83=$BQ$8),CC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10,IF(Исходн.данные.!$AI83=$BU$11,"Нет",IF(BM83&gt;60,60,IF(BM83&lt;10,10,BM83)))))))</f>
        <v>10</v>
      </c>
      <c r="CA83" s="39">
        <f>IF(BN83&lt;0,0,IF(Исходн.данные.!$AG83=$BV$11,BN83,IF(OR(Исходн.данные.!$AH83=$BQ$7,Исходн.данные.!$AH83=$BQ$8),CD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0,IF(Исходн.данные.!$AI83=$BU$11,"Нет",IF(BN83&gt;30,30,BN83))))))</f>
        <v>0</v>
      </c>
      <c r="CB83" s="9">
        <f t="shared" si="86"/>
        <v>0</v>
      </c>
      <c r="CC83" s="9">
        <f t="shared" si="87"/>
        <v>0</v>
      </c>
      <c r="CD83" s="9">
        <f t="shared" si="88"/>
        <v>0</v>
      </c>
      <c r="CE83" s="12">
        <f t="shared" si="89"/>
        <v>10</v>
      </c>
      <c r="CF83" s="9">
        <f t="shared" si="90"/>
        <v>0</v>
      </c>
      <c r="CG83" s="9" t="s">
        <v>231</v>
      </c>
      <c r="CH83" s="132" t="str">
        <f>IF(Исходн.данные.!AP83=Расчет!$CI$16,"Нет",IF(Исходн.данные.!AL83&gt;0,Исходн.данные.!AL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BH$4,IF(OR(Исходн.данные.!AI83=Исходн.данные.!$AI$6,Исходн.данные.!AI83=Исходн.данные.!$AI$7),Расчет!BS83,IF(AND($CF83=0,$CE83&gt;0),EV83,ER83)))))</f>
        <v>Аммофос 12:52:00</v>
      </c>
      <c r="CI83" s="274">
        <f>IF(Расчет!$CH83="Нет","Нет",IF(Исходн.данные.!$AL83&gt;0,VLOOKUP(Расчет!$CH83,АшламаДВ_Irekle,2,FALSE),VLOOKUP(Расчет!$CH83,АшламаДВ_Gomumy,2,FALSE)))</f>
        <v>0.12</v>
      </c>
      <c r="CJ83" s="274">
        <f>IF(Расчет!$CH83="Нет","Нет",IF(Исходн.данные.!$AL83&gt;0,VLOOKUP(Расчет!$CH83,АшламаДВ_Irekle,3,FALSE),VLOOKUP(Расчет!$CH83,АшламаДВ_Gomumy,3,FALSE)))</f>
        <v>0.52</v>
      </c>
      <c r="CK83" s="274">
        <f>IF(Расчет!$CH83="Нет","Нет",IF(Исходн.данные.!$AL83&gt;0,VLOOKUP(Расчет!$CH83,АшламаДВ_Irekle,4,FALSE),VLOOKUP(Расчет!$CH83,АшламаДВ_Gomumy,4,FALSE)))</f>
        <v>0</v>
      </c>
      <c r="CL83" s="70"/>
      <c r="CM83" s="70"/>
      <c r="CN83" s="70"/>
      <c r="CO83" s="70"/>
      <c r="CP83" s="70"/>
      <c r="CQ83" s="70"/>
      <c r="CR83" s="10">
        <f t="shared" si="91"/>
        <v>0</v>
      </c>
      <c r="CS83" s="10">
        <f t="shared" si="92"/>
        <v>19.23076923076923</v>
      </c>
      <c r="CT83" s="10">
        <f t="shared" si="93"/>
        <v>0</v>
      </c>
      <c r="CU83" s="39">
        <f>IF($CH83="Нет",0,IF(CI83=0,30/MIN(CJ83:CK83),IF(Исходн.данные.!$AG83=$BV$11,CR83,IF(OR(Исходн.данные.!$AH83=$BQ$7,Исходн.данные.!$AH83=$BQ$8),90/CI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0,IF(Исходн.данные.!$AI83=$BU$11,"Нет",30/CI83))))))</f>
        <v>250</v>
      </c>
      <c r="CV83" s="39">
        <f>IF($CH83="Нет",0,IF(Исходн.данные.!AH83=0,0,IF(CJ83=0,60/MIN(CI83,CK83),IF(Исходн.данные.!$AG83=$BV$11,CS83,IF(OR(Исходн.данные.!$AH83=$BQ$7,Исходн.данные.!$AH83=$BQ$8),90/CJ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10/CJ83,IF(Исходн.данные.!$AI83=$BU$11,"Нет",60/CJ83)))))))</f>
        <v>0</v>
      </c>
      <c r="CW83" s="39">
        <f>IF($CH83="Нет",0,IF(Исходн.данные.!AH83=0,0,IF(CK83=0,30/MIN(CI83:CJ83),IF(Исходн.данные.!$AG83=$BV$11,CT83,IF(OR(Исходн.данные.!$AH83=$BQ$7,Исходн.данные.!$AH83=$BQ$8),90/CK83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0,IF(Исходн.данные.!$AI83=$BU$11,"Нет",30/CK83)))))))</f>
        <v>0</v>
      </c>
      <c r="CX83" s="133">
        <f>IF(Исходн.данные.!$AG83=$BV$11,MAX(CU83:CW83),IF(OR(Исходн.данные.!$AH83=$BS$8,Исходн.данные.!$AH83=$BQ$9,Исходн.данные.!$AH83=$BQ$10,Исходн.данные.!$AH83=$BQ$11,Исходн.данные.!$AH83=$BQ$12,Исходн.данные.!$AH83=$BP$3,Исходн.данные.!$AH83=$BT$8,$FM83="Да"),CV83,MIN(CU83:CW83)))</f>
        <v>0</v>
      </c>
      <c r="CY83" s="133">
        <f>IF(Исходн.данные.!AH83=0,0,IF(CR83&gt;$CX83,$CX83,CR83))</f>
        <v>0</v>
      </c>
      <c r="CZ83" s="133">
        <f>IF(Исходн.данные.!AH83=0,0,IF(CS83&gt;$CX83,$CX83,CS83))</f>
        <v>0</v>
      </c>
      <c r="DA83" s="133">
        <f>IF(Исходн.данные.!AH83=0,0,IF(CT83&gt;$CX83,$CX83,CT83))</f>
        <v>0</v>
      </c>
      <c r="DB83" s="10">
        <f t="shared" si="94"/>
        <v>0</v>
      </c>
      <c r="DC83" s="39">
        <f>DB83*Исходн.данные.!AJ83/1000</f>
        <v>0</v>
      </c>
      <c r="DD83" s="71">
        <f t="shared" si="95"/>
        <v>0</v>
      </c>
      <c r="DE83" s="9">
        <f t="shared" si="96"/>
        <v>0</v>
      </c>
      <c r="DF83" s="9">
        <f t="shared" si="97"/>
        <v>0</v>
      </c>
      <c r="DG83" s="39">
        <f>IF(BL83&lt;0,0,IF($CH83="Нет",BL83,IF(OR(Исходн.данные.!$AH83=$BP$1,Исходн.данные.!$AH83=$BP$2),0,IF(Исходн.данные.!AI83=$BU$11,BL83,IF(BL83-DD83&lt;0,0,BL83-DD83)))))</f>
        <v>0</v>
      </c>
      <c r="DH83" s="39">
        <f>IF(BM83&lt;0,0,IF($CH83="Нет",BM83,IF(OR(Исходн.данные.!$AH83=$BP$1,Исходн.данные.!$AH83=$BP$2),0,IF(Исходн.данные.!AJ83=$BU$11,BM83,IF(BM83-DE83&lt;0,0,BM83-DE83)))))</f>
        <v>0</v>
      </c>
      <c r="DI83" s="39">
        <f>IF(BN83&lt;0,0,IF($CH83="Нет",BN83,IF(OR(Исходн.данные.!$AH83=$BP$1,Исходн.данные.!$AH83=$BP$2),0,IF(Исходн.данные.!AK83=$BU$11,BN83,IF(BN83-DF83&lt;0,0,BN83-DF83)))))</f>
        <v>0</v>
      </c>
      <c r="DJ83" s="12">
        <f t="shared" si="98"/>
        <v>0</v>
      </c>
      <c r="DK83" s="9">
        <f t="shared" si="99"/>
        <v>0</v>
      </c>
      <c r="DL83" s="39">
        <f>IF(Исходн.данные.!AM83&gt;0,Исходн.данные.!AM83,IF(EG83&gt;0,$BH$10,0))</f>
        <v>0</v>
      </c>
      <c r="DM83" s="186">
        <f>IF($DL83=0,0,IF(Исходн.данные.!AM83&gt;0,VLOOKUP($DL83,АшламаДВ_Irekle,2,FALSE),VLOOKUP($DL83,АшламаДВ_Gomumy,2,FALSE)))</f>
        <v>0</v>
      </c>
      <c r="DN83" s="10">
        <f t="shared" si="46"/>
        <v>0</v>
      </c>
      <c r="DO83" s="9" t="str">
        <f>IF(Исходн.данные.!AN83&gt;0,Исходн.данные.!AN83,Удобрения!$B$37 )</f>
        <v>Хлор.калий</v>
      </c>
      <c r="DP83" s="9">
        <f>IF(Исходн.данные.!AN83&gt;0,VLOOKUP(Исходн.данные.!AN83,АшламаДВ_Irekle,4,FALSE),VLOOKUP(DO83,АшламаДВ_Gomumy,4,FALSE))</f>
        <v>0.6</v>
      </c>
      <c r="DQ83" s="10">
        <f t="shared" si="47"/>
        <v>0</v>
      </c>
      <c r="DR83" s="132" t="str">
        <f>IF(Исходн.данные.!AO83&gt;0,Исходн.данные.!AO83,IF(DH83=0,BS$17,IF(AND($DK83=0,$DJ83&gt;0),EJ83,EN83)))</f>
        <v>Нет</v>
      </c>
      <c r="DS83" s="70" t="str">
        <f>IF($DR83="Нет","Нет",IF(Исходн.данные.!$AO83&gt;0,VLOOKUP($DR83,АшламаДВ_Irekle,2,FALSE),VLOOKUP($DR83,АшламаДВ_Gomumy,2,FALSE)))</f>
        <v>Нет</v>
      </c>
      <c r="DT83" s="70" t="str">
        <f>IF($DR83="Нет","Нет",IF(Исходн.данные.!$AO83&gt;0,VLOOKUP($DR83,АшламаДВ_Irekle,3,FALSE),VLOOKUP($DR83,АшламаДВ_Gomumy,3,FALSE)))</f>
        <v>Нет</v>
      </c>
      <c r="DU83" s="70" t="str">
        <f>IF($DR83="Нет","Нет",IF(Исходн.данные.!$AO83&gt;0,VLOOKUP($DR83,АшламаДВ_Irekle,4,FALSE),VLOOKUP($DR83,АшламаДВ_Gomumy,4,FALSE)))</f>
        <v>Нет</v>
      </c>
      <c r="DV83" s="70"/>
      <c r="DW83" s="70"/>
      <c r="DX83" s="70"/>
      <c r="DY83" s="10">
        <f t="shared" si="100"/>
        <v>0</v>
      </c>
      <c r="DZ83" s="10">
        <f t="shared" si="101"/>
        <v>0</v>
      </c>
      <c r="EA83" s="10">
        <f t="shared" si="102"/>
        <v>0</v>
      </c>
      <c r="EB83" s="10">
        <f t="shared" si="103"/>
        <v>0</v>
      </c>
      <c r="EC83" s="10">
        <f t="shared" si="104"/>
        <v>0</v>
      </c>
      <c r="ED83" s="10">
        <f t="shared" si="105"/>
        <v>0</v>
      </c>
      <c r="EE83" s="10">
        <f t="shared" si="106"/>
        <v>0</v>
      </c>
      <c r="EF83" s="39">
        <f>EB83*Исходн.данные.!AJ83/1000</f>
        <v>0</v>
      </c>
      <c r="EG83" s="9">
        <f t="shared" si="107"/>
        <v>0</v>
      </c>
      <c r="EH83" s="9">
        <f t="shared" si="108"/>
        <v>0</v>
      </c>
      <c r="EI83" s="39" t="e">
        <f t="shared" si="7"/>
        <v>#DIV/0!</v>
      </c>
      <c r="EJ83" s="9" t="str">
        <f t="shared" si="8"/>
        <v>Азопреципитат</v>
      </c>
      <c r="EK83" s="12">
        <f t="shared" si="9"/>
        <v>0.26</v>
      </c>
      <c r="EL83" s="12">
        <f t="shared" si="10"/>
        <v>0.13</v>
      </c>
      <c r="EM83" s="12">
        <f t="shared" si="11"/>
        <v>0</v>
      </c>
      <c r="EN83" s="12" t="str">
        <f t="shared" si="57"/>
        <v>Нет</v>
      </c>
      <c r="EO83" s="12">
        <f t="shared" si="12"/>
        <v>0</v>
      </c>
      <c r="EP83" s="12">
        <f t="shared" si="13"/>
        <v>0</v>
      </c>
      <c r="EQ83" s="12">
        <f t="shared" si="14"/>
        <v>0</v>
      </c>
      <c r="ER83" s="12" t="str">
        <f t="shared" si="109"/>
        <v>Диаммофоска</v>
      </c>
      <c r="ES83" s="12">
        <f t="shared" si="15"/>
        <v>0.1</v>
      </c>
      <c r="ET83" s="12">
        <f t="shared" si="16"/>
        <v>0.26</v>
      </c>
      <c r="EU83" s="12">
        <f t="shared" si="17"/>
        <v>0.26</v>
      </c>
      <c r="EV83" s="12" t="str">
        <f t="shared" si="110"/>
        <v>Аммофос 12:52:00</v>
      </c>
      <c r="EW83" s="12" t="str">
        <f t="shared" si="111"/>
        <v>Кемира Свекловичное-6</v>
      </c>
      <c r="EX83" s="12">
        <f t="shared" si="18"/>
        <v>0.16</v>
      </c>
      <c r="EY83" s="12">
        <f t="shared" si="19"/>
        <v>0.12</v>
      </c>
      <c r="EZ83" s="12">
        <f t="shared" si="20"/>
        <v>0.17</v>
      </c>
      <c r="FA83" s="38" t="e">
        <f>IF(AND(OR(FJ83=$FD$1,FM83=$FD$1,FO83=$FD$1,FQ83=$FD$1,FS83=$FD$1),FD83=$FD$1,Исходн.данные.!J83&lt;2,FU83=$FD$1),"Бор,Кобальт",IF(AND(FO83=$FD$1,FH83=$FD$1,Исходн.данные.!J83&lt;2,FU83=$FD$1),"Бор,Кобальт",IF(AND(OR(FJ83=$FD$1,FM83=$FD$1,FQ83=$FD$1),FE83=$FD$1,Исходн.данные.!J83&lt;2,FT83=$FD$1,FU83=$FD$1),"Бор,Медь,Цинк",IF(AND(OR(FJ83=$FD$1,FR83="Да"),FI83="Да",Исходн.данные.!J83&lt;2,FT83="Да",FU83="Да"),"Бор,Цинк,Медь",IF(AND(OR(FM83="Да",FQ83="Да"),FI83="Да",Исходн.данные.!J83&lt;2,FT83="Да",FU83="Да"),"Бор,Цинк",IF(AND(FN83="Да",OR(FD83="Да",FE83="Да")),"Бор",FB83))))))</f>
        <v>#N/A</v>
      </c>
      <c r="FB83" s="134" t="e">
        <f>IF(AND(OR(FD83="Да",FE83="Да",FF83="Да",FG83="Да",FH83="Да"),FO83="Да"),"Бор",IF(AND(FP83="Да",OR(FD83="Да",FE83="Да",FI83="Да")),"Бор",IF(AND(FS83="Да",FE83="Да"),"Бор,Медь",IF(AND(OR(FJ83="Да",FK83="Да",FL83="Да"),FE83="Да",Исходн.данные.!I83&lt;5,FT83="Да",FU83="Да"),"Молибден,Цинк",IF(AND(FM83="Да",OR(FE83="Да",FF83="Да",FG83="Да",FH83="Да",FI83="Да")),"Молибден,Цинк",IF(AND(OR(FJ83="Да",FK83="Да",FL83="Да",FM83="Да",FQ83="Да"),OR(FE83="Да",FF83="Да"),FT83="Да",FU83="Да",Исходн.данные.!I83&gt;5.5),"Медь,Цинк",FC83))))))</f>
        <v>#N/A</v>
      </c>
      <c r="FC83" s="23" t="e">
        <f t="shared" si="112"/>
        <v>#N/A</v>
      </c>
      <c r="FD83" s="38" t="str">
        <f>IF(OR(Исходн.данные.!F83=$CC$1,Исходн.данные.!F83=$CC$2,Исходн.данные.!F83=$CC$3,Исходн.данные.!F83=$CC$4),"Да","Нет")</f>
        <v>Нет</v>
      </c>
      <c r="FE83" s="38" t="str">
        <f>IF(Исходн.данные.!F83=$CC$5,"Да","Нет")</f>
        <v>Нет</v>
      </c>
      <c r="FF83" s="38" t="str">
        <f>IF(OR(Исходн.данные.!F83=$CC$6,Исходн.данные.!F83=$CC$7),"Да","Нет")</f>
        <v>Нет</v>
      </c>
      <c r="FG83" s="38" t="str">
        <f>IF(OR(Исходн.данные.!F83=$CC$8,Исходн.данные.!F83=$CC$9),"Да","Нет")</f>
        <v>Нет</v>
      </c>
      <c r="FH83" s="38" t="str">
        <f>IF(Исходн.данные.!F83=$CC$10,"Да","Нет")</f>
        <v>Нет</v>
      </c>
      <c r="FI83" s="38" t="str">
        <f>IF(OR(Исходн.данные.!F83=$CC$11,Исходн.данные.!F83=$CC$12),"Да","Нет")</f>
        <v>Нет</v>
      </c>
      <c r="FJ83" s="38" t="str">
        <f>IF(OR(Исходн.данные.!AH83=$BS$1,Исходн.данные.!AH83=$BQ$11,Исходн.данные.!AH83=$BQ$12),"Да","Нет")</f>
        <v>Нет</v>
      </c>
      <c r="FK83" s="38" t="str">
        <f>IF(OR(Исходн.данные.!AH83=$BS$2,Исходн.данные.!AH83=$BS$4),"Да","Нет")</f>
        <v>Нет</v>
      </c>
      <c r="FL83" s="38" t="str">
        <f>IF(OR(Исходн.данные.!AH83=$BS$3,Исходн.данные.!AH83=$BS$5),"Да","Нет")</f>
        <v>Нет</v>
      </c>
      <c r="FM83" s="38" t="str">
        <f>IF(OR(Исходн.данные.!AH83=$BS$9,Исходн.данные.!AH83=$BS$10,Исходн.данные.!AH83=$BS$11,Исходн.данные.!AH83=$BS$12),"Да","Нет")</f>
        <v>Нет</v>
      </c>
      <c r="FN83" s="38" t="str">
        <f>IF(OR(Исходн.данные.!AH83=$BS$6,Исходн.данные.!AH83=$BP$3),"Да","Нет")</f>
        <v>Нет</v>
      </c>
      <c r="FO83" s="38" t="str">
        <f>IF(Исходн.данные.!AH83=$BQ$9,"Да","Нет")</f>
        <v>Нет</v>
      </c>
      <c r="FP83" s="38" t="str">
        <f>IF(OR(Исходн.данные.!AH83=$BS$8,Исходн.данные.!AH83=$BT$8),"Да","Нет")</f>
        <v>Нет</v>
      </c>
      <c r="FQ83" s="38" t="str">
        <f>IF(OR(Исходн.данные.!AH83=$BQ$7,Исходн.данные.!AH83=$BQ$8),"Да","Нет")</f>
        <v>Нет</v>
      </c>
      <c r="FR83" s="38" t="str">
        <f>IF(Исходн.данные.!AI83=$BU$9,"Да","Нет")</f>
        <v>Нет</v>
      </c>
      <c r="FS83" s="38" t="str">
        <f>IF(OR(Исходн.данные.!AH83=$BP$1,Исходн.данные.!AH83=$BP$2),"Да","Нет")</f>
        <v>Нет</v>
      </c>
      <c r="FT83" s="38" t="e">
        <f>IF((Исходн.данные.!K83*GO83*GS83*GW83+BL83*0.6+Исходн.данные.!Q83*4.5*0.275)&gt;90,"Да","Нет")</f>
        <v>#N/A</v>
      </c>
      <c r="FU83" s="38" t="e">
        <f>IF((Исходн.данные.!M83*GS83*GZ83+BM83*0.225)&gt;35,"Да","Нет")</f>
        <v>#N/A</v>
      </c>
      <c r="FV83" s="38" t="str">
        <f>IF(Исходн.данные.!O83&gt;175,"Да","Нет")</f>
        <v>Нет</v>
      </c>
      <c r="FW83" s="39" t="str">
        <f>IF(Исходн.данные.!I83&gt;5.5,"Да","Нет")</f>
        <v>Нет</v>
      </c>
      <c r="FX83" s="39" t="str">
        <f>IF(Исходн.данные.!J83&lt;2,"Да","Нет")</f>
        <v>Да</v>
      </c>
      <c r="FY83" s="39" t="e">
        <f>IF(HF83=$FY$16,0,Исходн.данные.!K83*GO83*GS83*GW83/HF83)</f>
        <v>#N/A</v>
      </c>
      <c r="FZ83" s="39" t="e">
        <f>Исходн.данные.!M83*GS83*GZ83/HG83</f>
        <v>#N/A</v>
      </c>
      <c r="GA83" s="39" t="e">
        <f>IF(K_Wyn=$FY$16,0,IF(Исходн.данные.!N83=Исходн.данные.!$L$10,Исходн.данные.!O83/1.1*GS83*HC83/HH83,IF(Исходн.данные.!N83=Исходн.данные.!$L$12,Исходн.данные.!O83/1.5*GS83*HC83/HH83,Исходн.данные.!O83*GS83*HC83/HH83)))</f>
        <v>#N/A</v>
      </c>
      <c r="GB83" s="39" t="e">
        <f>IF(HF83=$FY$16,0,((Исходн.данные.!Q83*N_Org+Исходн.данные.!R83*N_Sider+Исходн.данные.!S83*N_Soloma)*AO83+Расчет!BC83*VLOOKUP(Исходн.данные.!T83,Справ!$A$3:$O$57,15)*AO83+BB83*VLOOKUP(Исходн.данные.!T83,Справ!$A$3:$O$57,15)*AL83+(Исходн.данные.!V83*N_Rizotorf+Исходн.данные.!W83*N_Rizoagr))/HF83)</f>
        <v>#N/A</v>
      </c>
      <c r="GC83" s="39" t="e">
        <f>IF(HG83=$FY$16,0,((Исходн.данные.!Q83*Р_Org+Исходн.данные.!R83*P_Sider+Исходн.данные.!S83*P_Soloma)*AP83+Расчет!BC83*VLOOKUP(Исходн.данные.!T83,Справ!$A$3:$P$57,16)*AP83+BB83*VLOOKUP(Исходн.данные.!T83,Справ!$A$3:$P$57,16)*AM83)/HG83)</f>
        <v>#N/A</v>
      </c>
      <c r="GD83" s="39" t="e">
        <f>IF(HH83=$FY$16,0,((Исходн.данные.!Q83*К_Org+Исходн.данные.!R83*K_Sider+Исходн.данные.!S83*K_Soloma)*AQ83+Расчет!BC83*VLOOKUP(Исходн.данные.!T83,Справ!$A$3:$Q$57,17)*AQ83+BB83*VLOOKUP(Исходн.данные.!T83,Справ!$A$3:$Q$57,17)*AN83)/HH83)</f>
        <v>#N/A</v>
      </c>
      <c r="GE83" s="39" t="e">
        <f>IF(HF83=$FY$16,0,(Исходн.данные.!X83*AR83+Исходн.данные.!AA83*N_Org*AL83+Исходн.данные.!AB83*N_Sider*AL83+Исходн.данные.!AC83*N_Soloma*AL83)/HF83)</f>
        <v>#N/A</v>
      </c>
      <c r="GF83" s="39" t="e">
        <f>IF(HG83=$FY$16,0,(Исходн.данные.!Y83*AS83+Исходн.данные.!AA83*Р_Org*AM83+Исходн.данные.!AB83*P_Sider*AM83+Исходн.данные.!AC83*P_Soloma*AM83)/HG83)</f>
        <v>#N/A</v>
      </c>
      <c r="GG83" s="39" t="e">
        <f>IF(HH83=$FY$16,0,(Исходн.данные.!Z83*AT83+Исходн.данные.!AA83*К_Org*AN83+Исходн.данные.!AB83*K_Sider*AN83+Исходн.данные.!AC83*K_Soloma*AN83)/HH83)</f>
        <v>#N/A</v>
      </c>
      <c r="GH83" s="39" t="e">
        <f>Исходн.данные.!AD83*AU83/HF83</f>
        <v>#N/A</v>
      </c>
      <c r="GI83" s="39" t="e">
        <f>Исходн.данные.!AE83*AV83/HG83</f>
        <v>#N/A</v>
      </c>
      <c r="GJ83" s="39" t="e">
        <f>Исходн.данные.!AF83*AW83/HH83</f>
        <v>#N/A</v>
      </c>
      <c r="GK83" s="55">
        <f>Исходн.данные.!AK83</f>
        <v>0</v>
      </c>
      <c r="GL83" s="11" t="e">
        <f t="shared" si="113"/>
        <v>#N/A</v>
      </c>
      <c r="GM83" s="11" t="e">
        <f t="shared" si="114"/>
        <v>#N/A</v>
      </c>
      <c r="GN83" s="11" t="e">
        <f t="shared" si="115"/>
        <v>#N/A</v>
      </c>
      <c r="GO83" s="57">
        <f t="shared" si="116"/>
        <v>19</v>
      </c>
      <c r="GP83" s="55">
        <f>IF(OR(Исходн.данные.!F83=$CE$1,Исходн.данные.!F83=$CE$2,Исходн.данные.!F83=$CE$3,Исходн.данные.!F83=$CE$4,Исходн.данные.!F83=$CE$5),GQ83,GR83)</f>
        <v>19</v>
      </c>
      <c r="GQ83" s="55">
        <f>IF(Исходн.данные.!F83=$CE$1,28,IF(Исходн.данные.!F83=$CE$2,26,IF(Исходн.данные.!F83=$CE$3,24,IF(Исходн.данные.!F83=$CE$4,22,IF(Исходн.данные.!F83=$CE$5,20,GR83)))))</f>
        <v>19</v>
      </c>
      <c r="GR83" s="55">
        <f>IF(Исходн.данные.!F83=$CE$6,18,IF(Исходн.данные.!F83=$CE$7,16,IF(Исходн.данные.!F83=$CE$8,14,IF(Исходн.данные.!F83=$CE$9,13,IF(Исходн.данные.!F83=$CE$10,12,19)))))</f>
        <v>19</v>
      </c>
      <c r="GS83" s="55">
        <f>IF(Исходн.данные.!G83="Пес",0.035*(40+2*Исходн.данные.!H83),IF(Исходн.данные.!G83="Суп",0.0325*(40+2*Исходн.данные.!H83),0.03*(40+2*Исходн.данные.!H83)))</f>
        <v>1.2</v>
      </c>
      <c r="GT83" s="55">
        <f>IF(Исходн.данные.!H83&lt;23,2.6,IF(AND(Исходн.данные.!H83&gt;22,Исходн.данные.!H83&lt;26),3,IF(AND(Исходн.данные.!H83&gt;25,Исходн.данные.!H83&lt;29),3.4,3.6)))</f>
        <v>2.6</v>
      </c>
      <c r="GU83" s="55">
        <f>IF(Исходн.данные.!H83&lt;23,2.8,IF(AND(Исходн.данные.!H83&gt;22,Исходн.данные.!H83&lt;26),3.2,IF(AND(Исходн.данные.!H83&gt;25,Исходн.данные.!H83&lt;29),3.6,3.9)))</f>
        <v>2.8</v>
      </c>
      <c r="GV83" s="55">
        <f>IF(Исходн.данные.!H83&lt;23,3,IF(AND(Исходн.данные.!H83&gt;22,Исходн.данные.!H83&lt;26),3.5,IF(AND(Исходн.данные.!H83&gt;25,Исходн.данные.!H83&lt;29),3.9,4.2)))</f>
        <v>3</v>
      </c>
      <c r="GW83" s="55" t="e">
        <f>IF(Исходн.данные.!P83="Ум",GX83,GY83)</f>
        <v>#N/A</v>
      </c>
      <c r="GX83" s="55" t="e">
        <f>VLOOKUP(Исходн.данные.!AI83,Коэффициенты!$J$7:$L$13,2,FALSE)</f>
        <v>#N/A</v>
      </c>
      <c r="GY83" s="55" t="e">
        <f>VLOOKUP(Исходн.данные.!AI83,Коэффициенты!$J$7:$L$13,3,FALSE)</f>
        <v>#N/A</v>
      </c>
      <c r="GZ83" s="55" t="e">
        <f>(IF(Исходн.данные.!M83&lt;50,0.11*VLOOKUP(Исходн.данные.!AH83,Культуры.Информация,7,FALSE),IF(Исходн.данные.!M83&gt;250,0.05*VLOOKUP(Исходн.данные.!AH83,Культуры.Информация,7,FALSE),VLOOKUP(Исходн.данные.!AH83,Культуры.Информация,5,FALSE)/100*($GX$6+$GY$6*Исходн.данные.!M83))))*Расчет2!AI83</f>
        <v>#N/A</v>
      </c>
      <c r="HA83" s="211"/>
      <c r="HB83" s="211"/>
      <c r="HC83" s="55" t="e">
        <f>(IF(Исходн.данные.!O83&lt;80,0.2*VLOOKUP(Исходн.данные.!AH83,Культуры.Информация,8,FALSE),IF(Исходн.данные.!O83&gt;240,0.09*VLOOKUP(Исходн.данные.!AH83,Культуры.Информация,8,FALSE),VLOOKUP(Исходн.данные.!AH83,Культуры.Информация,6,FALSE)/100*($HB$6+$HC$6*Исходн.данные.!O83))))*Расчет2!AJ83</f>
        <v>#N/A</v>
      </c>
      <c r="HD83" s="55">
        <f>IF(Исходн.данные.!O83&gt;240,0.09,IF(Исходн.данные.!O83&lt;30,0.3,$HE$10+$HD$10*Исходн.данные.!O83))</f>
        <v>0.3</v>
      </c>
      <c r="HE83" s="55">
        <f>IF(Исходн.данные.!O83&gt;240,0.17,IF(Исходн.данные.!O83&lt;30,0.5,$HF$12+$HE$12*Исходн.данные.!O83))</f>
        <v>0.5</v>
      </c>
      <c r="HF83" s="55" t="e">
        <f>VLOOKUP(Исходн.данные.!AH83,Справ!$A$3:$D$58,2,FALSE)</f>
        <v>#N/A</v>
      </c>
      <c r="HG83" s="55" t="e">
        <f>VLOOKUP(Исходн.данные.!AH83,Справ!$A$3:$D$58,3,FALSE)</f>
        <v>#N/A</v>
      </c>
      <c r="HH83" s="55" t="e">
        <f>VLOOKUP(Исходн.данные.!AH83,Справ!$A$3:$D$58,4,FALSE)</f>
        <v>#N/A</v>
      </c>
      <c r="HI83" s="11" t="e">
        <f t="shared" si="117"/>
        <v>#N/A</v>
      </c>
      <c r="HJ83" s="11" t="e">
        <f t="shared" si="118"/>
        <v>#N/A</v>
      </c>
      <c r="HK83" s="11" t="e">
        <f t="shared" si="119"/>
        <v>#N/A</v>
      </c>
      <c r="HL83" s="55">
        <f>IF(OR(Исходн.данные.!G83="Глин",Исходн.данные.!G83="Т_суг"),1.1,IF(Исходн.данные.!G83="Ср_суг",1,1))</f>
        <v>1</v>
      </c>
      <c r="HM83" s="55">
        <f>IF(OR(Исходн.данные.!G83="Глин",Исходн.данные.!G83="Т_суг"),0.9,IF(Исходн.данные.!G83="Ср_суг",1,1.2))</f>
        <v>1.2</v>
      </c>
      <c r="HN83" s="11" t="e">
        <f t="shared" si="120"/>
        <v>#N/A</v>
      </c>
      <c r="HO83" s="11" t="e">
        <f t="shared" si="121"/>
        <v>#N/A</v>
      </c>
      <c r="HP83" s="11" t="e">
        <f t="shared" si="122"/>
        <v>#N/A</v>
      </c>
      <c r="HQ83" t="e">
        <f t="shared" si="123"/>
        <v>#N/A</v>
      </c>
      <c r="HR83" t="e">
        <f t="shared" si="124"/>
        <v>#N/A</v>
      </c>
      <c r="HS83" t="e">
        <f t="shared" si="125"/>
        <v>#N/A</v>
      </c>
      <c r="HT83" t="e">
        <f t="shared" si="21"/>
        <v>#N/A</v>
      </c>
      <c r="HU83" t="e">
        <f t="shared" si="22"/>
        <v>#N/A</v>
      </c>
      <c r="HV83" t="e">
        <f t="shared" si="23"/>
        <v>#N/A</v>
      </c>
      <c r="HW83" t="e">
        <f t="shared" si="24"/>
        <v>#N/A</v>
      </c>
      <c r="HX83" t="e">
        <f t="shared" si="25"/>
        <v>#N/A</v>
      </c>
      <c r="HY83" t="e">
        <f t="shared" si="26"/>
        <v>#N/A</v>
      </c>
      <c r="HZ83" s="55">
        <f>IF(OR(Исходн.данные.!AI83="Оз_Ч_П",Исходн.данные.!AI83="Оз_З_П",Исходн.данные.!AI83="Яр_зер"),12,30)</f>
        <v>30</v>
      </c>
      <c r="IA83" t="e">
        <f t="shared" si="126"/>
        <v>#N/A</v>
      </c>
      <c r="IB83" t="e">
        <f t="shared" si="127"/>
        <v>#N/A</v>
      </c>
      <c r="IC83" t="e">
        <f t="shared" si="128"/>
        <v>#N/A</v>
      </c>
      <c r="ID83" s="11" t="e">
        <f t="shared" si="129"/>
        <v>#N/A</v>
      </c>
      <c r="IE83" s="11" t="e">
        <f t="shared" si="130"/>
        <v>#N/A</v>
      </c>
      <c r="IF83" s="11" t="e">
        <f t="shared" si="131"/>
        <v>#N/A</v>
      </c>
    </row>
    <row r="84" spans="35:240" x14ac:dyDescent="0.2">
      <c r="AI84">
        <f>IF(Исходн.данные.!I84&gt;6,1,1.85-(0.148*Исходн.данные.!I84))</f>
        <v>1.85</v>
      </c>
      <c r="AJ84">
        <f>IF(Исходн.данные.!I84&gt;6,1,2.434-(0.246*Исходн.данные.!I84))</f>
        <v>2.4340000000000002</v>
      </c>
      <c r="AL84" s="148" t="b">
        <f>IF(Исходн.данные.!$P84="Ум",N_OrgUd_2g_um,IF(Исходн.данные.!$P84="Об",N_OrgUd_2g_ob))</f>
        <v>0</v>
      </c>
      <c r="AM84" s="148" t="b">
        <f>IF(Исходн.данные.!$P84="Ум",P_OrgUd_2g_um,IF(Исходн.данные.!$P84="Об",P_OrgUd_2g_ob))</f>
        <v>0</v>
      </c>
      <c r="AN84" s="148" t="b">
        <f>IF(Исходн.данные.!$P84="Ум",K_OrgUd_2g_um,IF(Исходн.данные.!$P84="Об",K_OrgUd_2g_ob))</f>
        <v>0</v>
      </c>
      <c r="AO84" s="148" t="b">
        <f>IF(Исходн.данные.!$P84="Ум",N_OrgUd_1g_um,IF(Исходн.данные.!$P84="Об",N_OrgUd_1g_ob))</f>
        <v>0</v>
      </c>
      <c r="AP84" s="148" t="b">
        <f>IF(Исходн.данные.!$P84="Ум",P_OrgUd_1g_um,IF(Исходн.данные.!$P84="Об",P_OrgUd_1g_ob))</f>
        <v>0</v>
      </c>
      <c r="AQ84" s="148" t="b">
        <f>IF(Исходн.данные.!$P84="Ум",K_OrgUd_1g_um,IF(Исходн.данные.!$P84="Об",K_OrgUd_1g_ob))</f>
        <v>0</v>
      </c>
      <c r="AR84" t="b">
        <f>IF(Исходн.данные.!$P84="Ум",N_MinUd_2g_um,IF(Исходн.данные.!$P84="Об",N_MinUd_2g_ob))</f>
        <v>0</v>
      </c>
      <c r="AS84" t="b">
        <f>IF(Исходн.данные.!$P84="Ум",P_MinUd_2g_um,IF(Исходн.данные.!$P84="Об",P_MinUd_2g_ob))</f>
        <v>0</v>
      </c>
      <c r="AT84" t="b">
        <f>IF(Исходн.данные.!$P84="Ум",K_MinUd_2g_um,IF(Исходн.данные.!$P84="Об",K_MinUd_2g_ob))</f>
        <v>0</v>
      </c>
      <c r="AU84" t="b">
        <f>IF(Исходн.данные.!$P84="Ум",N_MinUd_1g_um,IF(Исходн.данные.!$P84="Об",N_MinUd_1g_ob))</f>
        <v>0</v>
      </c>
      <c r="AV84" t="b">
        <f>IF(Исходн.данные.!P84="Ум",P_MinUd_1g_um,IF(Исходн.данные.!P84="Об",P_MinUd_1g_ob))</f>
        <v>0</v>
      </c>
      <c r="AW84" t="b">
        <f>IF(Исходн.данные.!P84="Ум",K_MinUd_1g_um,IF(Исходн.данные.!P84="Об",K_MinUd_1g_ob))</f>
        <v>0</v>
      </c>
      <c r="AY84" t="e">
        <f>VLOOKUP(Исходн.данные.!T84,Справ!$A$3:$N$57,12)</f>
        <v>#N/A</v>
      </c>
      <c r="AZ84" t="e">
        <f>VLOOKUP(Исходн.данные.!T84,Справ!$A$3:$N$57,13)</f>
        <v>#N/A</v>
      </c>
      <c r="BA84" t="e">
        <f>VLOOKUP(Исходн.данные.!T84,Справ!$A$3:$N$57,14)</f>
        <v>#N/A</v>
      </c>
      <c r="BB84">
        <f>IF(Исходн.данные.!AH84=0,0,25)</f>
        <v>0</v>
      </c>
      <c r="BC84" s="141">
        <f>IF(Исходн.данные.!AH84=0,0,IF(Исходн.данные.!T84=0,25,BD84))</f>
        <v>0</v>
      </c>
      <c r="BD84" s="168" t="e">
        <f>AY84+AZ84*Исходн.данные.!U84-POWER(BA84,2)*Исходн.данные.!U84</f>
        <v>#N/A</v>
      </c>
      <c r="BE8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4" s="25">
        <f>IF(Исходн.данные.!AH84=0,0,MIN(HN84:HP84))</f>
        <v>0</v>
      </c>
      <c r="BG84" s="9">
        <f>IF(Исходн.данные.!AH84=0,0,IF((HO84+10*0.25/HG84/HL84)&lt;17,17,HO84+10*0.25/HG84/HL84))</f>
        <v>0</v>
      </c>
      <c r="BH84" s="181">
        <f>IF(Исходн.данные.!AH84=0,0,HW84*HF84*HL84/AU84*AI84+Исходн.данные.!S84*10)</f>
        <v>0</v>
      </c>
      <c r="BI84" s="10"/>
      <c r="BJ84" s="182">
        <f>IF(Исходн.данные.!AH84=0,0,IF(HX84*HG84*HL84/AV84&lt;0,0,HX84*HG84*HL84/AV84*AJ84))</f>
        <v>0</v>
      </c>
      <c r="BK84" s="182">
        <f>IF(Исходн.данные.!AH84=0,0,HY84*HH84*HM84/AW84)</f>
        <v>0</v>
      </c>
      <c r="BL84" s="10">
        <f>IF(OR(Исходн.данные.!$AH84=$BP$1,Исходн.данные.!$AH84=$BP$2),0,IF(BH84&lt;0,0,IF(OR(Исходн.данные.!T84=Расчет!$BP$1,Исходн.данные.!T84=Расчет!$BP$2,Исходн.данные.!T84=Расчет!$BT$5,Исходн.данные.!T84=Расчет!$BT$6),BH84*0.5,IF(OR(Исходн.данные.!T84=Расчет!$BS$9,Исходн.данные.!T84=Расчет!$BS$10,Исходн.данные.!T84=Расчет!$BS$11,Исходн.данные.!T84=Расчет!$BS$12,Исходн.данные.!T84=Расчет!$BP$5),BH84*0.8,BH84))))</f>
        <v>0</v>
      </c>
      <c r="BM84" s="10">
        <f>IF(OR(Исходн.данные.!$AH84=$BP$1,Исходн.данные.!$AH84=$BP$2),0,IF(BJ84&lt;0,0,IF(Исходн.данные.!I84&lt;4.5,BJ84*1.2,IF(Исходн.данные.!I84&gt;5.1,BJ84,BJ84*((5.1-Исходн.данные.!I84)*0.333+1)))))</f>
        <v>0</v>
      </c>
      <c r="BN84" s="10">
        <f>IF(OR(Исходн.данные.!$AH84=$BP$1,Исходн.данные.!$AH84=$BP$2),60-Исходн.данные.!AF84,IF(BK84&lt;0,0,IF(Исходн.данные.!I84&lt;4.5,BK84*1.2,IF(Исходн.данные.!I84&gt;5.1,BK84,BK84*((5.1-Исходн.данные.!I84)*0.333+1)))))</f>
        <v>0</v>
      </c>
      <c r="BO84" s="9">
        <f>IF(BL84&lt;0,0,BL84*Исходн.данные.!$AJ84/1000)</f>
        <v>0</v>
      </c>
      <c r="BP84" s="9">
        <f>IF(BM84&lt;0,0,BM84*Исходн.данные.!$AJ84/1000)</f>
        <v>0</v>
      </c>
      <c r="BQ84" s="9">
        <f>IF(BN84&lt;0,0,BN84*Исходн.данные.!$AJ84/1000)</f>
        <v>0</v>
      </c>
      <c r="BR84" s="9">
        <f t="shared" si="81"/>
        <v>0</v>
      </c>
      <c r="BS84" s="10" t="str">
        <f t="shared" si="82"/>
        <v>Аммофос 12:52:00</v>
      </c>
      <c r="BT84" s="10" t="str">
        <f t="shared" si="83"/>
        <v>Аммофос 12:52:00</v>
      </c>
      <c r="BU84" s="10" t="str">
        <f t="shared" si="84"/>
        <v>Диаммофоска</v>
      </c>
      <c r="BV84" s="10">
        <f t="shared" si="85"/>
        <v>0</v>
      </c>
      <c r="BW84" s="10"/>
      <c r="BX84" s="10"/>
      <c r="BY84" s="9">
        <f>IF(BL84&lt;0,0,IF(OR(Исходн.данные.!AI84=Расчет!$BU$6,Исходн.данные.!AI84=Расчет!$BU$7),Расчет!BV84,IF(Исходн.данные.!$AG84=$BV$11,BL84,IF(OR(Исходн.данные.!$AH84=$BQ$7,Исходн.данные.!$AH84=$BQ$8),CB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0,IF(Исходн.данные.!$AI84=$BU$11,"Нет",IF(BL84&gt;30,30,BL84)))))))</f>
        <v>0</v>
      </c>
      <c r="BZ84" s="9">
        <f>IF(AND(Исходн.данные.!$AG84=$BV$11,BM84&lt;10),10,IF(Исходн.данные.!$AG84=$BV$11,BM84,IF(OR(Исходн.данные.!$AH84=$BQ$7,Исходн.данные.!$AH84=$BQ$8),CC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10,IF(Исходн.данные.!$AI84=$BU$11,"Нет",IF(BM84&gt;60,60,IF(BM84&lt;10,10,BM84)))))))</f>
        <v>10</v>
      </c>
      <c r="CA84" s="39">
        <f>IF(BN84&lt;0,0,IF(Исходн.данные.!$AG84=$BV$11,BN84,IF(OR(Исходн.данные.!$AH84=$BQ$7,Исходн.данные.!$AH84=$BQ$8),CD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0,IF(Исходн.данные.!$AI84=$BU$11,"Нет",IF(BN84&gt;30,30,BN84))))))</f>
        <v>0</v>
      </c>
      <c r="CB84" s="9">
        <f t="shared" si="86"/>
        <v>0</v>
      </c>
      <c r="CC84" s="9">
        <f t="shared" si="87"/>
        <v>0</v>
      </c>
      <c r="CD84" s="9">
        <f t="shared" si="88"/>
        <v>0</v>
      </c>
      <c r="CE84" s="12">
        <f t="shared" si="89"/>
        <v>10</v>
      </c>
      <c r="CF84" s="9">
        <f t="shared" si="90"/>
        <v>0</v>
      </c>
      <c r="CG84" s="9" t="s">
        <v>231</v>
      </c>
      <c r="CH84" s="132" t="str">
        <f>IF(Исходн.данные.!AP84=Расчет!$CI$16,"Нет",IF(Исходн.данные.!AL84&gt;0,Исходн.данные.!AL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BH$4,IF(OR(Исходн.данные.!AI84=Исходн.данные.!$AI$6,Исходн.данные.!AI84=Исходн.данные.!$AI$7),Расчет!BS84,IF(AND($CF84=0,$CE84&gt;0),EV84,ER84)))))</f>
        <v>Аммофос 12:52:00</v>
      </c>
      <c r="CI84" s="274">
        <f>IF(Расчет!$CH84="Нет","Нет",IF(Исходн.данные.!$AL84&gt;0,VLOOKUP(Расчет!$CH84,АшламаДВ_Irekle,2,FALSE),VLOOKUP(Расчет!$CH84,АшламаДВ_Gomumy,2,FALSE)))</f>
        <v>0.12</v>
      </c>
      <c r="CJ84" s="274">
        <f>IF(Расчет!$CH84="Нет","Нет",IF(Исходн.данные.!$AL84&gt;0,VLOOKUP(Расчет!$CH84,АшламаДВ_Irekle,3,FALSE),VLOOKUP(Расчет!$CH84,АшламаДВ_Gomumy,3,FALSE)))</f>
        <v>0.52</v>
      </c>
      <c r="CK84" s="274">
        <f>IF(Расчет!$CH84="Нет","Нет",IF(Исходн.данные.!$AL84&gt;0,VLOOKUP(Расчет!$CH84,АшламаДВ_Irekle,4,FALSE),VLOOKUP(Расчет!$CH84,АшламаДВ_Gomumy,4,FALSE)))</f>
        <v>0</v>
      </c>
      <c r="CL84" s="70"/>
      <c r="CM84" s="70"/>
      <c r="CN84" s="70"/>
      <c r="CO84" s="70"/>
      <c r="CP84" s="70"/>
      <c r="CQ84" s="70"/>
      <c r="CR84" s="10">
        <f t="shared" si="91"/>
        <v>0</v>
      </c>
      <c r="CS84" s="10">
        <f t="shared" si="92"/>
        <v>19.23076923076923</v>
      </c>
      <c r="CT84" s="10">
        <f t="shared" si="93"/>
        <v>0</v>
      </c>
      <c r="CU84" s="39">
        <f>IF($CH84="Нет",0,IF(CI84=0,30/MIN(CJ84:CK84),IF(Исходн.данные.!$AG84=$BV$11,CR84,IF(OR(Исходн.данные.!$AH84=$BQ$7,Исходн.данные.!$AH84=$BQ$8),90/CI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0,IF(Исходн.данные.!$AI84=$BU$11,"Нет",30/CI84))))))</f>
        <v>250</v>
      </c>
      <c r="CV84" s="39">
        <f>IF($CH84="Нет",0,IF(Исходн.данные.!AH84=0,0,IF(CJ84=0,60/MIN(CI84,CK84),IF(Исходн.данные.!$AG84=$BV$11,CS84,IF(OR(Исходн.данные.!$AH84=$BQ$7,Исходн.данные.!$AH84=$BQ$8),90/CJ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10/CJ84,IF(Исходн.данные.!$AI84=$BU$11,"Нет",60/CJ84)))))))</f>
        <v>0</v>
      </c>
      <c r="CW84" s="39">
        <f>IF($CH84="Нет",0,IF(Исходн.данные.!AH84=0,0,IF(CK84=0,30/MIN(CI84:CJ84),IF(Исходн.данные.!$AG84=$BV$11,CT84,IF(OR(Исходн.данные.!$AH84=$BQ$7,Исходн.данные.!$AH84=$BQ$8),90/CK84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0,IF(Исходн.данные.!$AI84=$BU$11,"Нет",30/CK84)))))))</f>
        <v>0</v>
      </c>
      <c r="CX84" s="133">
        <f>IF(Исходн.данные.!$AG84=$BV$11,MAX(CU84:CW84),IF(OR(Исходн.данные.!$AH84=$BS$8,Исходн.данные.!$AH84=$BQ$9,Исходн.данные.!$AH84=$BQ$10,Исходн.данные.!$AH84=$BQ$11,Исходн.данные.!$AH84=$BQ$12,Исходн.данные.!$AH84=$BP$3,Исходн.данные.!$AH84=$BT$8,$FM84="Да"),CV84,MIN(CU84:CW84)))</f>
        <v>0</v>
      </c>
      <c r="CY84" s="133">
        <f>IF(Исходн.данные.!AH84=0,0,IF(CR84&gt;$CX84,$CX84,CR84))</f>
        <v>0</v>
      </c>
      <c r="CZ84" s="133">
        <f>IF(Исходн.данные.!AH84=0,0,IF(CS84&gt;$CX84,$CX84,CS84))</f>
        <v>0</v>
      </c>
      <c r="DA84" s="133">
        <f>IF(Исходн.данные.!AH84=0,0,IF(CT84&gt;$CX84,$CX84,CT84))</f>
        <v>0</v>
      </c>
      <c r="DB84" s="10">
        <f t="shared" si="94"/>
        <v>0</v>
      </c>
      <c r="DC84" s="39">
        <f>DB84*Исходн.данные.!AJ84/1000</f>
        <v>0</v>
      </c>
      <c r="DD84" s="71">
        <f t="shared" si="95"/>
        <v>0</v>
      </c>
      <c r="DE84" s="9">
        <f t="shared" si="96"/>
        <v>0</v>
      </c>
      <c r="DF84" s="9">
        <f t="shared" si="97"/>
        <v>0</v>
      </c>
      <c r="DG84" s="39">
        <f>IF(BL84&lt;0,0,IF($CH84="Нет",BL84,IF(OR(Исходн.данные.!$AH84=$BP$1,Исходн.данные.!$AH84=$BP$2),0,IF(Исходн.данные.!AI84=$BU$11,BL84,IF(BL84-DD84&lt;0,0,BL84-DD84)))))</f>
        <v>0</v>
      </c>
      <c r="DH84" s="39">
        <f>IF(BM84&lt;0,0,IF($CH84="Нет",BM84,IF(OR(Исходн.данные.!$AH84=$BP$1,Исходн.данные.!$AH84=$BP$2),0,IF(Исходн.данные.!AJ84=$BU$11,BM84,IF(BM84-DE84&lt;0,0,BM84-DE84)))))</f>
        <v>0</v>
      </c>
      <c r="DI84" s="39">
        <f>IF(BN84&lt;0,0,IF($CH84="Нет",BN84,IF(OR(Исходн.данные.!$AH84=$BP$1,Исходн.данные.!$AH84=$BP$2),0,IF(Исходн.данные.!AK84=$BU$11,BN84,IF(BN84-DF84&lt;0,0,BN84-DF84)))))</f>
        <v>0</v>
      </c>
      <c r="DJ84" s="12">
        <f t="shared" si="98"/>
        <v>0</v>
      </c>
      <c r="DK84" s="9">
        <f t="shared" si="99"/>
        <v>0</v>
      </c>
      <c r="DL84" s="39">
        <f>IF(Исходн.данные.!AM84&gt;0,Исходн.данные.!AM84,IF(EG84&gt;0,$BH$10,0))</f>
        <v>0</v>
      </c>
      <c r="DM84" s="186">
        <f>IF($DL84=0,0,IF(Исходн.данные.!AM84&gt;0,VLOOKUP($DL84,АшламаДВ_Irekle,2,FALSE),VLOOKUP($DL84,АшламаДВ_Gomumy,2,FALSE)))</f>
        <v>0</v>
      </c>
      <c r="DN84" s="10">
        <f t="shared" si="46"/>
        <v>0</v>
      </c>
      <c r="DO84" s="9" t="str">
        <f>IF(Исходн.данные.!AN84&gt;0,Исходн.данные.!AN84,Удобрения!$B$37 )</f>
        <v>Хлор.калий</v>
      </c>
      <c r="DP84" s="9">
        <f>IF(Исходн.данные.!AN84&gt;0,VLOOKUP(Исходн.данные.!AN84,АшламаДВ_Irekle,4,FALSE),VLOOKUP(DO84,АшламаДВ_Gomumy,4,FALSE))</f>
        <v>0.6</v>
      </c>
      <c r="DQ84" s="10">
        <f t="shared" si="47"/>
        <v>0</v>
      </c>
      <c r="DR84" s="132" t="str">
        <f>IF(Исходн.данные.!AO84&gt;0,Исходн.данные.!AO84,IF(DH84=0,BS$17,IF(AND($DK84=0,$DJ84&gt;0),EJ84,EN84)))</f>
        <v>Нет</v>
      </c>
      <c r="DS84" s="70" t="str">
        <f>IF($DR84="Нет","Нет",IF(Исходн.данные.!$AO84&gt;0,VLOOKUP($DR84,АшламаДВ_Irekle,2,FALSE),VLOOKUP($DR84,АшламаДВ_Gomumy,2,FALSE)))</f>
        <v>Нет</v>
      </c>
      <c r="DT84" s="70" t="str">
        <f>IF($DR84="Нет","Нет",IF(Исходн.данные.!$AO84&gt;0,VLOOKUP($DR84,АшламаДВ_Irekle,3,FALSE),VLOOKUP($DR84,АшламаДВ_Gomumy,3,FALSE)))</f>
        <v>Нет</v>
      </c>
      <c r="DU84" s="70" t="str">
        <f>IF($DR84="Нет","Нет",IF(Исходн.данные.!$AO84&gt;0,VLOOKUP($DR84,АшламаДВ_Irekle,4,FALSE),VLOOKUP($DR84,АшламаДВ_Gomumy,4,FALSE)))</f>
        <v>Нет</v>
      </c>
      <c r="DV84" s="70"/>
      <c r="DW84" s="70"/>
      <c r="DX84" s="70"/>
      <c r="DY84" s="10">
        <f t="shared" si="100"/>
        <v>0</v>
      </c>
      <c r="DZ84" s="10">
        <f t="shared" si="101"/>
        <v>0</v>
      </c>
      <c r="EA84" s="10">
        <f t="shared" si="102"/>
        <v>0</v>
      </c>
      <c r="EB84" s="10">
        <f t="shared" si="103"/>
        <v>0</v>
      </c>
      <c r="EC84" s="10">
        <f t="shared" si="104"/>
        <v>0</v>
      </c>
      <c r="ED84" s="10">
        <f t="shared" si="105"/>
        <v>0</v>
      </c>
      <c r="EE84" s="10">
        <f t="shared" si="106"/>
        <v>0</v>
      </c>
      <c r="EF84" s="39">
        <f>EB84*Исходн.данные.!AJ84/1000</f>
        <v>0</v>
      </c>
      <c r="EG84" s="9">
        <f t="shared" si="107"/>
        <v>0</v>
      </c>
      <c r="EH84" s="9">
        <f t="shared" si="108"/>
        <v>0</v>
      </c>
      <c r="EI84" s="39" t="e">
        <f t="shared" si="7"/>
        <v>#DIV/0!</v>
      </c>
      <c r="EJ84" s="9" t="str">
        <f t="shared" si="8"/>
        <v>Азопреципитат</v>
      </c>
      <c r="EK84" s="12">
        <f t="shared" si="9"/>
        <v>0.26</v>
      </c>
      <c r="EL84" s="12">
        <f t="shared" si="10"/>
        <v>0.13</v>
      </c>
      <c r="EM84" s="12">
        <f t="shared" si="11"/>
        <v>0</v>
      </c>
      <c r="EN84" s="12" t="str">
        <f t="shared" si="57"/>
        <v>Нет</v>
      </c>
      <c r="EO84" s="12">
        <f t="shared" si="12"/>
        <v>0</v>
      </c>
      <c r="EP84" s="12">
        <f t="shared" si="13"/>
        <v>0</v>
      </c>
      <c r="EQ84" s="12">
        <f t="shared" si="14"/>
        <v>0</v>
      </c>
      <c r="ER84" s="12" t="str">
        <f t="shared" si="109"/>
        <v>Диаммофоска</v>
      </c>
      <c r="ES84" s="12">
        <f t="shared" si="15"/>
        <v>0.1</v>
      </c>
      <c r="ET84" s="12">
        <f t="shared" si="16"/>
        <v>0.26</v>
      </c>
      <c r="EU84" s="12">
        <f t="shared" si="17"/>
        <v>0.26</v>
      </c>
      <c r="EV84" s="12" t="str">
        <f t="shared" si="110"/>
        <v>Аммофос 12:52:00</v>
      </c>
      <c r="EW84" s="12" t="str">
        <f t="shared" si="111"/>
        <v>Кемира Свекловичное-6</v>
      </c>
      <c r="EX84" s="12">
        <f t="shared" si="18"/>
        <v>0.16</v>
      </c>
      <c r="EY84" s="12">
        <f t="shared" si="19"/>
        <v>0.12</v>
      </c>
      <c r="EZ84" s="12">
        <f t="shared" si="20"/>
        <v>0.17</v>
      </c>
      <c r="FA84" s="38" t="e">
        <f>IF(AND(OR(FJ84=$FD$1,FM84=$FD$1,FO84=$FD$1,FQ84=$FD$1,FS84=$FD$1),FD84=$FD$1,Исходн.данные.!J84&lt;2,FU84=$FD$1),"Бор,Кобальт",IF(AND(FO84=$FD$1,FH84=$FD$1,Исходн.данные.!J84&lt;2,FU84=$FD$1),"Бор,Кобальт",IF(AND(OR(FJ84=$FD$1,FM84=$FD$1,FQ84=$FD$1),FE84=$FD$1,Исходн.данные.!J84&lt;2,FT84=$FD$1,FU84=$FD$1),"Бор,Медь,Цинк",IF(AND(OR(FJ84=$FD$1,FR84="Да"),FI84="Да",Исходн.данные.!J84&lt;2,FT84="Да",FU84="Да"),"Бор,Цинк,Медь",IF(AND(OR(FM84="Да",FQ84="Да"),FI84="Да",Исходн.данные.!J84&lt;2,FT84="Да",FU84="Да"),"Бор,Цинк",IF(AND(FN84="Да",OR(FD84="Да",FE84="Да")),"Бор",FB84))))))</f>
        <v>#N/A</v>
      </c>
      <c r="FB84" s="134" t="e">
        <f>IF(AND(OR(FD84="Да",FE84="Да",FF84="Да",FG84="Да",FH84="Да"),FO84="Да"),"Бор",IF(AND(FP84="Да",OR(FD84="Да",FE84="Да",FI84="Да")),"Бор",IF(AND(FS84="Да",FE84="Да"),"Бор,Медь",IF(AND(OR(FJ84="Да",FK84="Да",FL84="Да"),FE84="Да",Исходн.данные.!I84&lt;5,FT84="Да",FU84="Да"),"Молибден,Цинк",IF(AND(FM84="Да",OR(FE84="Да",FF84="Да",FG84="Да",FH84="Да",FI84="Да")),"Молибден,Цинк",IF(AND(OR(FJ84="Да",FK84="Да",FL84="Да",FM84="Да",FQ84="Да"),OR(FE84="Да",FF84="Да"),FT84="Да",FU84="Да",Исходн.данные.!I84&gt;5.5),"Медь,Цинк",FC84))))))</f>
        <v>#N/A</v>
      </c>
      <c r="FC84" s="23" t="e">
        <f t="shared" si="112"/>
        <v>#N/A</v>
      </c>
      <c r="FD84" s="38" t="str">
        <f>IF(OR(Исходн.данные.!F84=$CC$1,Исходн.данные.!F84=$CC$2,Исходн.данные.!F84=$CC$3,Исходн.данные.!F84=$CC$4),"Да","Нет")</f>
        <v>Нет</v>
      </c>
      <c r="FE84" s="38" t="str">
        <f>IF(Исходн.данные.!F84=$CC$5,"Да","Нет")</f>
        <v>Нет</v>
      </c>
      <c r="FF84" s="38" t="str">
        <f>IF(OR(Исходн.данные.!F84=$CC$6,Исходн.данные.!F84=$CC$7),"Да","Нет")</f>
        <v>Нет</v>
      </c>
      <c r="FG84" s="38" t="str">
        <f>IF(OR(Исходн.данные.!F84=$CC$8,Исходн.данные.!F84=$CC$9),"Да","Нет")</f>
        <v>Нет</v>
      </c>
      <c r="FH84" s="38" t="str">
        <f>IF(Исходн.данные.!F84=$CC$10,"Да","Нет")</f>
        <v>Нет</v>
      </c>
      <c r="FI84" s="38" t="str">
        <f>IF(OR(Исходн.данные.!F84=$CC$11,Исходн.данные.!F84=$CC$12),"Да","Нет")</f>
        <v>Нет</v>
      </c>
      <c r="FJ84" s="38" t="str">
        <f>IF(OR(Исходн.данные.!AH84=$BS$1,Исходн.данные.!AH84=$BQ$11,Исходн.данные.!AH84=$BQ$12),"Да","Нет")</f>
        <v>Нет</v>
      </c>
      <c r="FK84" s="38" t="str">
        <f>IF(OR(Исходн.данные.!AH84=$BS$2,Исходн.данные.!AH84=$BS$4),"Да","Нет")</f>
        <v>Нет</v>
      </c>
      <c r="FL84" s="38" t="str">
        <f>IF(OR(Исходн.данные.!AH84=$BS$3,Исходн.данные.!AH84=$BS$5),"Да","Нет")</f>
        <v>Нет</v>
      </c>
      <c r="FM84" s="38" t="str">
        <f>IF(OR(Исходн.данные.!AH84=$BS$9,Исходн.данные.!AH84=$BS$10,Исходн.данные.!AH84=$BS$11,Исходн.данные.!AH84=$BS$12),"Да","Нет")</f>
        <v>Нет</v>
      </c>
      <c r="FN84" s="38" t="str">
        <f>IF(OR(Исходн.данные.!AH84=$BS$6,Исходн.данные.!AH84=$BP$3),"Да","Нет")</f>
        <v>Нет</v>
      </c>
      <c r="FO84" s="38" t="str">
        <f>IF(Исходн.данные.!AH84=$BQ$9,"Да","Нет")</f>
        <v>Нет</v>
      </c>
      <c r="FP84" s="38" t="str">
        <f>IF(OR(Исходн.данные.!AH84=$BS$8,Исходн.данные.!AH84=$BT$8),"Да","Нет")</f>
        <v>Нет</v>
      </c>
      <c r="FQ84" s="38" t="str">
        <f>IF(OR(Исходн.данные.!AH84=$BQ$7,Исходн.данные.!AH84=$BQ$8),"Да","Нет")</f>
        <v>Нет</v>
      </c>
      <c r="FR84" s="38" t="str">
        <f>IF(Исходн.данные.!AI84=$BU$9,"Да","Нет")</f>
        <v>Нет</v>
      </c>
      <c r="FS84" s="38" t="str">
        <f>IF(OR(Исходн.данные.!AH84=$BP$1,Исходн.данные.!AH84=$BP$2),"Да","Нет")</f>
        <v>Нет</v>
      </c>
      <c r="FT84" s="38" t="e">
        <f>IF((Исходн.данные.!K84*GO84*GS84*GW84+BL84*0.6+Исходн.данные.!Q84*4.5*0.275)&gt;90,"Да","Нет")</f>
        <v>#N/A</v>
      </c>
      <c r="FU84" s="38" t="e">
        <f>IF((Исходн.данные.!M84*GS84*GZ84+BM84*0.225)&gt;35,"Да","Нет")</f>
        <v>#N/A</v>
      </c>
      <c r="FV84" s="38" t="str">
        <f>IF(Исходн.данные.!O84&gt;175,"Да","Нет")</f>
        <v>Нет</v>
      </c>
      <c r="FW84" s="39" t="str">
        <f>IF(Исходн.данные.!I84&gt;5.5,"Да","Нет")</f>
        <v>Нет</v>
      </c>
      <c r="FX84" s="39" t="str">
        <f>IF(Исходн.данные.!J84&lt;2,"Да","Нет")</f>
        <v>Да</v>
      </c>
      <c r="FY84" s="39" t="e">
        <f>IF(HF84=$FY$16,0,Исходн.данные.!K84*GO84*GS84*GW84/HF84)</f>
        <v>#N/A</v>
      </c>
      <c r="FZ84" s="39" t="e">
        <f>Исходн.данные.!M84*GS84*GZ84/HG84</f>
        <v>#N/A</v>
      </c>
      <c r="GA84" s="39" t="e">
        <f>IF(K_Wyn=$FY$16,0,IF(Исходн.данные.!N84=Исходн.данные.!$L$10,Исходн.данные.!O84/1.1*GS84*HC84/HH84,IF(Исходн.данные.!N84=Исходн.данные.!$L$12,Исходн.данные.!O84/1.5*GS84*HC84/HH84,Исходн.данные.!O84*GS84*HC84/HH84)))</f>
        <v>#N/A</v>
      </c>
      <c r="GB84" s="39" t="e">
        <f>IF(HF84=$FY$16,0,((Исходн.данные.!Q84*N_Org+Исходн.данные.!R84*N_Sider+Исходн.данные.!S84*N_Soloma)*AO84+Расчет!BC84*VLOOKUP(Исходн.данные.!T84,Справ!$A$3:$O$57,15)*AO84+BB84*VLOOKUP(Исходн.данные.!T84,Справ!$A$3:$O$57,15)*AL84+(Исходн.данные.!V84*N_Rizotorf+Исходн.данные.!W84*N_Rizoagr))/HF84)</f>
        <v>#N/A</v>
      </c>
      <c r="GC84" s="39" t="e">
        <f>IF(HG84=$FY$16,0,((Исходн.данные.!Q84*Р_Org+Исходн.данные.!R84*P_Sider+Исходн.данные.!S84*P_Soloma)*AP84+Расчет!BC84*VLOOKUP(Исходн.данные.!T84,Справ!$A$3:$P$57,16)*AP84+BB84*VLOOKUP(Исходн.данные.!T84,Справ!$A$3:$P$57,16)*AM84)/HG84)</f>
        <v>#N/A</v>
      </c>
      <c r="GD84" s="39" t="e">
        <f>IF(HH84=$FY$16,0,((Исходн.данные.!Q84*К_Org+Исходн.данные.!R84*K_Sider+Исходн.данные.!S84*K_Soloma)*AQ84+Расчет!BC84*VLOOKUP(Исходн.данные.!T84,Справ!$A$3:$Q$57,17)*AQ84+BB84*VLOOKUP(Исходн.данные.!T84,Справ!$A$3:$Q$57,17)*AN84)/HH84)</f>
        <v>#N/A</v>
      </c>
      <c r="GE84" s="39" t="e">
        <f>IF(HF84=$FY$16,0,(Исходн.данные.!X84*AR84+Исходн.данные.!AA84*N_Org*AL84+Исходн.данные.!AB84*N_Sider*AL84+Исходн.данные.!AC84*N_Soloma*AL84)/HF84)</f>
        <v>#N/A</v>
      </c>
      <c r="GF84" s="39" t="e">
        <f>IF(HG84=$FY$16,0,(Исходн.данные.!Y84*AS84+Исходн.данные.!AA84*Р_Org*AM84+Исходн.данные.!AB84*P_Sider*AM84+Исходн.данные.!AC84*P_Soloma*AM84)/HG84)</f>
        <v>#N/A</v>
      </c>
      <c r="GG84" s="39" t="e">
        <f>IF(HH84=$FY$16,0,(Исходн.данные.!Z84*AT84+Исходн.данные.!AA84*К_Org*AN84+Исходн.данные.!AB84*K_Sider*AN84+Исходн.данные.!AC84*K_Soloma*AN84)/HH84)</f>
        <v>#N/A</v>
      </c>
      <c r="GH84" s="39" t="e">
        <f>Исходн.данные.!AD84*AU84/HF84</f>
        <v>#N/A</v>
      </c>
      <c r="GI84" s="39" t="e">
        <f>Исходн.данные.!AE84*AV84/HG84</f>
        <v>#N/A</v>
      </c>
      <c r="GJ84" s="39" t="e">
        <f>Исходн.данные.!AF84*AW84/HH84</f>
        <v>#N/A</v>
      </c>
      <c r="GK84" s="55">
        <f>Исходн.данные.!AK84</f>
        <v>0</v>
      </c>
      <c r="GL84" s="11" t="e">
        <f t="shared" si="113"/>
        <v>#N/A</v>
      </c>
      <c r="GM84" s="11" t="e">
        <f t="shared" si="114"/>
        <v>#N/A</v>
      </c>
      <c r="GN84" s="11" t="e">
        <f t="shared" si="115"/>
        <v>#N/A</v>
      </c>
      <c r="GO84" s="57">
        <f t="shared" si="116"/>
        <v>19</v>
      </c>
      <c r="GP84" s="55">
        <f>IF(OR(Исходн.данные.!F84=$CE$1,Исходн.данные.!F84=$CE$2,Исходн.данные.!F84=$CE$3,Исходн.данные.!F84=$CE$4,Исходн.данные.!F84=$CE$5),GQ84,GR84)</f>
        <v>19</v>
      </c>
      <c r="GQ84" s="55">
        <f>IF(Исходн.данные.!F84=$CE$1,28,IF(Исходн.данные.!F84=$CE$2,26,IF(Исходн.данные.!F84=$CE$3,24,IF(Исходн.данные.!F84=$CE$4,22,IF(Исходн.данные.!F84=$CE$5,20,GR84)))))</f>
        <v>19</v>
      </c>
      <c r="GR84" s="55">
        <f>IF(Исходн.данные.!F84=$CE$6,18,IF(Исходн.данные.!F84=$CE$7,16,IF(Исходн.данные.!F84=$CE$8,14,IF(Исходн.данные.!F84=$CE$9,13,IF(Исходн.данные.!F84=$CE$10,12,19)))))</f>
        <v>19</v>
      </c>
      <c r="GS84" s="55">
        <f>IF(Исходн.данные.!G84="Пес",0.035*(40+2*Исходн.данные.!H84),IF(Исходн.данные.!G84="Суп",0.0325*(40+2*Исходн.данные.!H84),0.03*(40+2*Исходн.данные.!H84)))</f>
        <v>1.2</v>
      </c>
      <c r="GT84" s="55">
        <f>IF(Исходн.данные.!H84&lt;23,2.6,IF(AND(Исходн.данные.!H84&gt;22,Исходн.данные.!H84&lt;26),3,IF(AND(Исходн.данные.!H84&gt;25,Исходн.данные.!H84&lt;29),3.4,3.6)))</f>
        <v>2.6</v>
      </c>
      <c r="GU84" s="55">
        <f>IF(Исходн.данные.!H84&lt;23,2.8,IF(AND(Исходн.данные.!H84&gt;22,Исходн.данные.!H84&lt;26),3.2,IF(AND(Исходн.данные.!H84&gt;25,Исходн.данные.!H84&lt;29),3.6,3.9)))</f>
        <v>2.8</v>
      </c>
      <c r="GV84" s="55">
        <f>IF(Исходн.данные.!H84&lt;23,3,IF(AND(Исходн.данные.!H84&gt;22,Исходн.данные.!H84&lt;26),3.5,IF(AND(Исходн.данные.!H84&gt;25,Исходн.данные.!H84&lt;29),3.9,4.2)))</f>
        <v>3</v>
      </c>
      <c r="GW84" s="55" t="e">
        <f>IF(Исходн.данные.!P84="Ум",GX84,GY84)</f>
        <v>#N/A</v>
      </c>
      <c r="GX84" s="55" t="e">
        <f>VLOOKUP(Исходн.данные.!AI84,Коэффициенты!$J$7:$L$13,2,FALSE)</f>
        <v>#N/A</v>
      </c>
      <c r="GY84" s="55" t="e">
        <f>VLOOKUP(Исходн.данные.!AI84,Коэффициенты!$J$7:$L$13,3,FALSE)</f>
        <v>#N/A</v>
      </c>
      <c r="GZ84" s="55" t="e">
        <f>(IF(Исходн.данные.!M84&lt;50,0.11*VLOOKUP(Исходн.данные.!AH84,Культуры.Информация,7,FALSE),IF(Исходн.данные.!M84&gt;250,0.05*VLOOKUP(Исходн.данные.!AH84,Культуры.Информация,7,FALSE),VLOOKUP(Исходн.данные.!AH84,Культуры.Информация,5,FALSE)/100*($GX$6+$GY$6*Исходн.данные.!M84))))*Расчет2!AI84</f>
        <v>#N/A</v>
      </c>
      <c r="HA84" s="211"/>
      <c r="HB84" s="211"/>
      <c r="HC84" s="55" t="e">
        <f>(IF(Исходн.данные.!O84&lt;80,0.2*VLOOKUP(Исходн.данные.!AH84,Культуры.Информация,8,FALSE),IF(Исходн.данные.!O84&gt;240,0.09*VLOOKUP(Исходн.данные.!AH84,Культуры.Информация,8,FALSE),VLOOKUP(Исходн.данные.!AH84,Культуры.Информация,6,FALSE)/100*($HB$6+$HC$6*Исходн.данные.!O84))))*Расчет2!AJ84</f>
        <v>#N/A</v>
      </c>
      <c r="HD84" s="55">
        <f>IF(Исходн.данные.!O84&gt;240,0.09,IF(Исходн.данные.!O84&lt;30,0.3,$HE$10+$HD$10*Исходн.данные.!O84))</f>
        <v>0.3</v>
      </c>
      <c r="HE84" s="55">
        <f>IF(Исходн.данные.!O84&gt;240,0.17,IF(Исходн.данные.!O84&lt;30,0.5,$HF$12+$HE$12*Исходн.данные.!O84))</f>
        <v>0.5</v>
      </c>
      <c r="HF84" s="55" t="e">
        <f>VLOOKUP(Исходн.данные.!AH84,Справ!$A$3:$D$58,2,FALSE)</f>
        <v>#N/A</v>
      </c>
      <c r="HG84" s="55" t="e">
        <f>VLOOKUP(Исходн.данные.!AH84,Справ!$A$3:$D$58,3,FALSE)</f>
        <v>#N/A</v>
      </c>
      <c r="HH84" s="55" t="e">
        <f>VLOOKUP(Исходн.данные.!AH84,Справ!$A$3:$D$58,4,FALSE)</f>
        <v>#N/A</v>
      </c>
      <c r="HI84" s="11" t="e">
        <f t="shared" si="117"/>
        <v>#N/A</v>
      </c>
      <c r="HJ84" s="11" t="e">
        <f t="shared" si="118"/>
        <v>#N/A</v>
      </c>
      <c r="HK84" s="11" t="e">
        <f t="shared" si="119"/>
        <v>#N/A</v>
      </c>
      <c r="HL84" s="55">
        <f>IF(OR(Исходн.данные.!G84="Глин",Исходн.данные.!G84="Т_суг"),1.1,IF(Исходн.данные.!G84="Ср_суг",1,1))</f>
        <v>1</v>
      </c>
      <c r="HM84" s="55">
        <f>IF(OR(Исходн.данные.!G84="Глин",Исходн.данные.!G84="Т_суг"),0.9,IF(Исходн.данные.!G84="Ср_суг",1,1.2))</f>
        <v>1.2</v>
      </c>
      <c r="HN84" s="11" t="e">
        <f t="shared" si="120"/>
        <v>#N/A</v>
      </c>
      <c r="HO84" s="11" t="e">
        <f t="shared" si="121"/>
        <v>#N/A</v>
      </c>
      <c r="HP84" s="11" t="e">
        <f t="shared" si="122"/>
        <v>#N/A</v>
      </c>
      <c r="HQ84" t="e">
        <f t="shared" si="123"/>
        <v>#N/A</v>
      </c>
      <c r="HR84" t="e">
        <f t="shared" si="124"/>
        <v>#N/A</v>
      </c>
      <c r="HS84" t="e">
        <f t="shared" si="125"/>
        <v>#N/A</v>
      </c>
      <c r="HT84" t="e">
        <f t="shared" si="21"/>
        <v>#N/A</v>
      </c>
      <c r="HU84" t="e">
        <f t="shared" si="22"/>
        <v>#N/A</v>
      </c>
      <c r="HV84" t="e">
        <f t="shared" si="23"/>
        <v>#N/A</v>
      </c>
      <c r="HW84" t="e">
        <f t="shared" si="24"/>
        <v>#N/A</v>
      </c>
      <c r="HX84" t="e">
        <f t="shared" si="25"/>
        <v>#N/A</v>
      </c>
      <c r="HY84" t="e">
        <f t="shared" si="26"/>
        <v>#N/A</v>
      </c>
      <c r="HZ84" s="55">
        <f>IF(OR(Исходн.данные.!AI84="Оз_Ч_П",Исходн.данные.!AI84="Оз_З_П",Исходн.данные.!AI84="Яр_зер"),12,30)</f>
        <v>30</v>
      </c>
      <c r="IA84" t="e">
        <f t="shared" si="126"/>
        <v>#N/A</v>
      </c>
      <c r="IB84" t="e">
        <f t="shared" si="127"/>
        <v>#N/A</v>
      </c>
      <c r="IC84" t="e">
        <f t="shared" si="128"/>
        <v>#N/A</v>
      </c>
      <c r="ID84" s="11" t="e">
        <f t="shared" si="129"/>
        <v>#N/A</v>
      </c>
      <c r="IE84" s="11" t="e">
        <f t="shared" si="130"/>
        <v>#N/A</v>
      </c>
      <c r="IF84" s="11" t="e">
        <f t="shared" si="131"/>
        <v>#N/A</v>
      </c>
    </row>
    <row r="85" spans="35:240" x14ac:dyDescent="0.2">
      <c r="AI85">
        <f>IF(Исходн.данные.!I85&gt;6,1,1.85-(0.148*Исходн.данные.!I85))</f>
        <v>1.85</v>
      </c>
      <c r="AJ85">
        <f>IF(Исходн.данные.!I85&gt;6,1,2.434-(0.246*Исходн.данные.!I85))</f>
        <v>2.4340000000000002</v>
      </c>
      <c r="AL85" s="148" t="b">
        <f>IF(Исходн.данные.!$P85="Ум",N_OrgUd_2g_um,IF(Исходн.данные.!$P85="Об",N_OrgUd_2g_ob))</f>
        <v>0</v>
      </c>
      <c r="AM85" s="148" t="b">
        <f>IF(Исходн.данные.!$P85="Ум",P_OrgUd_2g_um,IF(Исходн.данные.!$P85="Об",P_OrgUd_2g_ob))</f>
        <v>0</v>
      </c>
      <c r="AN85" s="148" t="b">
        <f>IF(Исходн.данные.!$P85="Ум",K_OrgUd_2g_um,IF(Исходн.данные.!$P85="Об",K_OrgUd_2g_ob))</f>
        <v>0</v>
      </c>
      <c r="AO85" s="148" t="b">
        <f>IF(Исходн.данные.!$P85="Ум",N_OrgUd_1g_um,IF(Исходн.данные.!$P85="Об",N_OrgUd_1g_ob))</f>
        <v>0</v>
      </c>
      <c r="AP85" s="148" t="b">
        <f>IF(Исходн.данные.!$P85="Ум",P_OrgUd_1g_um,IF(Исходн.данные.!$P85="Об",P_OrgUd_1g_ob))</f>
        <v>0</v>
      </c>
      <c r="AQ85" s="148" t="b">
        <f>IF(Исходн.данные.!$P85="Ум",K_OrgUd_1g_um,IF(Исходн.данные.!$P85="Об",K_OrgUd_1g_ob))</f>
        <v>0</v>
      </c>
      <c r="AR85" t="b">
        <f>IF(Исходн.данные.!$P85="Ум",N_MinUd_2g_um,IF(Исходн.данные.!$P85="Об",N_MinUd_2g_ob))</f>
        <v>0</v>
      </c>
      <c r="AS85" t="b">
        <f>IF(Исходн.данные.!$P85="Ум",P_MinUd_2g_um,IF(Исходн.данные.!$P85="Об",P_MinUd_2g_ob))</f>
        <v>0</v>
      </c>
      <c r="AT85" t="b">
        <f>IF(Исходн.данные.!$P85="Ум",K_MinUd_2g_um,IF(Исходн.данные.!$P85="Об",K_MinUd_2g_ob))</f>
        <v>0</v>
      </c>
      <c r="AU85" t="b">
        <f>IF(Исходн.данные.!$P85="Ум",N_MinUd_1g_um,IF(Исходн.данные.!$P85="Об",N_MinUd_1g_ob))</f>
        <v>0</v>
      </c>
      <c r="AV85" t="b">
        <f>IF(Исходн.данные.!P85="Ум",P_MinUd_1g_um,IF(Исходн.данные.!P85="Об",P_MinUd_1g_ob))</f>
        <v>0</v>
      </c>
      <c r="AW85" t="b">
        <f>IF(Исходн.данные.!P85="Ум",K_MinUd_1g_um,IF(Исходн.данные.!P85="Об",K_MinUd_1g_ob))</f>
        <v>0</v>
      </c>
      <c r="AY85" t="e">
        <f>VLOOKUP(Исходн.данные.!T85,Справ!$A$3:$N$57,12)</f>
        <v>#N/A</v>
      </c>
      <c r="AZ85" t="e">
        <f>VLOOKUP(Исходн.данные.!T85,Справ!$A$3:$N$57,13)</f>
        <v>#N/A</v>
      </c>
      <c r="BA85" t="e">
        <f>VLOOKUP(Исходн.данные.!T85,Справ!$A$3:$N$57,14)</f>
        <v>#N/A</v>
      </c>
      <c r="BB85">
        <f>IF(Исходн.данные.!AH85=0,0,25)</f>
        <v>0</v>
      </c>
      <c r="BC85" s="141">
        <f>IF(Исходн.данные.!AH85=0,0,IF(Исходн.данные.!T85=0,25,BD85))</f>
        <v>0</v>
      </c>
      <c r="BD85" s="168" t="e">
        <f>AY85+AZ85*Исходн.данные.!U85-POWER(BA85,2)*Исходн.данные.!U85</f>
        <v>#N/A</v>
      </c>
      <c r="BE8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5" s="25">
        <f>IF(Исходн.данные.!AH85=0,0,MIN(HN85:HP85))</f>
        <v>0</v>
      </c>
      <c r="BG85" s="9">
        <f>IF(Исходн.данные.!AH85=0,0,IF((HO85+10*0.25/HG85/HL85)&lt;17,17,HO85+10*0.25/HG85/HL85))</f>
        <v>0</v>
      </c>
      <c r="BH85" s="181">
        <f>IF(Исходн.данные.!AH85=0,0,HW85*HF85*HL85/AU85*AI85+Исходн.данные.!S85*10)</f>
        <v>0</v>
      </c>
      <c r="BI85" s="10"/>
      <c r="BJ85" s="182">
        <f>IF(Исходн.данные.!AH85=0,0,IF(HX85*HG85*HL85/AV85&lt;0,0,HX85*HG85*HL85/AV85*AJ85))</f>
        <v>0</v>
      </c>
      <c r="BK85" s="182">
        <f>IF(Исходн.данные.!AH85=0,0,HY85*HH85*HM85/AW85)</f>
        <v>0</v>
      </c>
      <c r="BL85" s="10">
        <f>IF(OR(Исходн.данные.!$AH85=$BP$1,Исходн.данные.!$AH85=$BP$2),0,IF(BH85&lt;0,0,IF(OR(Исходн.данные.!T85=Расчет!$BP$1,Исходн.данные.!T85=Расчет!$BP$2,Исходн.данные.!T85=Расчет!$BT$5,Исходн.данные.!T85=Расчет!$BT$6),BH85*0.5,IF(OR(Исходн.данные.!T85=Расчет!$BS$9,Исходн.данные.!T85=Расчет!$BS$10,Исходн.данные.!T85=Расчет!$BS$11,Исходн.данные.!T85=Расчет!$BS$12,Исходн.данные.!T85=Расчет!$BP$5),BH85*0.8,BH85))))</f>
        <v>0</v>
      </c>
      <c r="BM85" s="10">
        <f>IF(OR(Исходн.данные.!$AH85=$BP$1,Исходн.данные.!$AH85=$BP$2),0,IF(BJ85&lt;0,0,IF(Исходн.данные.!I85&lt;4.5,BJ85*1.2,IF(Исходн.данные.!I85&gt;5.1,BJ85,BJ85*((5.1-Исходн.данные.!I85)*0.333+1)))))</f>
        <v>0</v>
      </c>
      <c r="BN85" s="10">
        <f>IF(OR(Исходн.данные.!$AH85=$BP$1,Исходн.данные.!$AH85=$BP$2),60-Исходн.данные.!AF85,IF(BK85&lt;0,0,IF(Исходн.данные.!I85&lt;4.5,BK85*1.2,IF(Исходн.данные.!I85&gt;5.1,BK85,BK85*((5.1-Исходн.данные.!I85)*0.333+1)))))</f>
        <v>0</v>
      </c>
      <c r="BO85" s="9">
        <f>IF(BL85&lt;0,0,BL85*Исходн.данные.!$AJ85/1000)</f>
        <v>0</v>
      </c>
      <c r="BP85" s="9">
        <f>IF(BM85&lt;0,0,BM85*Исходн.данные.!$AJ85/1000)</f>
        <v>0</v>
      </c>
      <c r="BQ85" s="9">
        <f>IF(BN85&lt;0,0,BN85*Исходн.данные.!$AJ85/1000)</f>
        <v>0</v>
      </c>
      <c r="BR85" s="9">
        <f t="shared" si="81"/>
        <v>0</v>
      </c>
      <c r="BS85" s="10" t="str">
        <f t="shared" si="82"/>
        <v>Аммофос 12:52:00</v>
      </c>
      <c r="BT85" s="10" t="str">
        <f t="shared" si="83"/>
        <v>Аммофос 12:52:00</v>
      </c>
      <c r="BU85" s="10" t="str">
        <f t="shared" si="84"/>
        <v>Диаммофоска</v>
      </c>
      <c r="BV85" s="10">
        <f t="shared" si="85"/>
        <v>0</v>
      </c>
      <c r="BW85" s="10"/>
      <c r="BX85" s="10"/>
      <c r="BY85" s="9">
        <f>IF(BL85&lt;0,0,IF(OR(Исходн.данные.!AI85=Расчет!$BU$6,Исходн.данные.!AI85=Расчет!$BU$7),Расчет!BV85,IF(Исходн.данные.!$AG85=$BV$11,BL85,IF(OR(Исходн.данные.!$AH85=$BQ$7,Исходн.данные.!$AH85=$BQ$8),CB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0,IF(Исходн.данные.!$AI85=$BU$11,"Нет",IF(BL85&gt;30,30,BL85)))))))</f>
        <v>0</v>
      </c>
      <c r="BZ85" s="9">
        <f>IF(AND(Исходн.данные.!$AG85=$BV$11,BM85&lt;10),10,IF(Исходн.данные.!$AG85=$BV$11,BM85,IF(OR(Исходн.данные.!$AH85=$BQ$7,Исходн.данные.!$AH85=$BQ$8),CC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10,IF(Исходн.данные.!$AI85=$BU$11,"Нет",IF(BM85&gt;60,60,IF(BM85&lt;10,10,BM85)))))))</f>
        <v>10</v>
      </c>
      <c r="CA85" s="39">
        <f>IF(BN85&lt;0,0,IF(Исходн.данные.!$AG85=$BV$11,BN85,IF(OR(Исходн.данные.!$AH85=$BQ$7,Исходн.данные.!$AH85=$BQ$8),CD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0,IF(Исходн.данные.!$AI85=$BU$11,"Нет",IF(BN85&gt;30,30,BN85))))))</f>
        <v>0</v>
      </c>
      <c r="CB85" s="9">
        <f t="shared" si="86"/>
        <v>0</v>
      </c>
      <c r="CC85" s="9">
        <f t="shared" si="87"/>
        <v>0</v>
      </c>
      <c r="CD85" s="9">
        <f t="shared" si="88"/>
        <v>0</v>
      </c>
      <c r="CE85" s="12">
        <f t="shared" si="89"/>
        <v>10</v>
      </c>
      <c r="CF85" s="9">
        <f t="shared" si="90"/>
        <v>0</v>
      </c>
      <c r="CG85" s="9" t="s">
        <v>231</v>
      </c>
      <c r="CH85" s="132" t="str">
        <f>IF(Исходн.данные.!AP85=Расчет!$CI$16,"Нет",IF(Исходн.данные.!AL85&gt;0,Исходн.данные.!AL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BH$4,IF(OR(Исходн.данные.!AI85=Исходн.данные.!$AI$6,Исходн.данные.!AI85=Исходн.данные.!$AI$7),Расчет!BS85,IF(AND($CF85=0,$CE85&gt;0),EV85,ER85)))))</f>
        <v>Аммофос 12:52:00</v>
      </c>
      <c r="CI85" s="274">
        <f>IF(Расчет!$CH85="Нет","Нет",IF(Исходн.данные.!$AL85&gt;0,VLOOKUP(Расчет!$CH85,АшламаДВ_Irekle,2,FALSE),VLOOKUP(Расчет!$CH85,АшламаДВ_Gomumy,2,FALSE)))</f>
        <v>0.12</v>
      </c>
      <c r="CJ85" s="274">
        <f>IF(Расчет!$CH85="Нет","Нет",IF(Исходн.данные.!$AL85&gt;0,VLOOKUP(Расчет!$CH85,АшламаДВ_Irekle,3,FALSE),VLOOKUP(Расчет!$CH85,АшламаДВ_Gomumy,3,FALSE)))</f>
        <v>0.52</v>
      </c>
      <c r="CK85" s="274">
        <f>IF(Расчет!$CH85="Нет","Нет",IF(Исходн.данные.!$AL85&gt;0,VLOOKUP(Расчет!$CH85,АшламаДВ_Irekle,4,FALSE),VLOOKUP(Расчет!$CH85,АшламаДВ_Gomumy,4,FALSE)))</f>
        <v>0</v>
      </c>
      <c r="CL85" s="70"/>
      <c r="CM85" s="70"/>
      <c r="CN85" s="70"/>
      <c r="CO85" s="70"/>
      <c r="CP85" s="70"/>
      <c r="CQ85" s="70"/>
      <c r="CR85" s="10">
        <f t="shared" si="91"/>
        <v>0</v>
      </c>
      <c r="CS85" s="10">
        <f t="shared" si="92"/>
        <v>19.23076923076923</v>
      </c>
      <c r="CT85" s="10">
        <f t="shared" si="93"/>
        <v>0</v>
      </c>
      <c r="CU85" s="39">
        <f>IF($CH85="Нет",0,IF(CI85=0,30/MIN(CJ85:CK85),IF(Исходн.данные.!$AG85=$BV$11,CR85,IF(OR(Исходн.данные.!$AH85=$BQ$7,Исходн.данные.!$AH85=$BQ$8),90/CI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0,IF(Исходн.данные.!$AI85=$BU$11,"Нет",30/CI85))))))</f>
        <v>250</v>
      </c>
      <c r="CV85" s="39">
        <f>IF($CH85="Нет",0,IF(Исходн.данные.!AH85=0,0,IF(CJ85=0,60/MIN(CI85,CK85),IF(Исходн.данные.!$AG85=$BV$11,CS85,IF(OR(Исходн.данные.!$AH85=$BQ$7,Исходн.данные.!$AH85=$BQ$8),90/CJ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10/CJ85,IF(Исходн.данные.!$AI85=$BU$11,"Нет",60/CJ85)))))))</f>
        <v>0</v>
      </c>
      <c r="CW85" s="39">
        <f>IF($CH85="Нет",0,IF(Исходн.данные.!AH85=0,0,IF(CK85=0,30/MIN(CI85:CJ85),IF(Исходн.данные.!$AG85=$BV$11,CT85,IF(OR(Исходн.данные.!$AH85=$BQ$7,Исходн.данные.!$AH85=$BQ$8),90/CK85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0,IF(Исходн.данные.!$AI85=$BU$11,"Нет",30/CK85)))))))</f>
        <v>0</v>
      </c>
      <c r="CX85" s="133">
        <f>IF(Исходн.данные.!$AG85=$BV$11,MAX(CU85:CW85),IF(OR(Исходн.данные.!$AH85=$BS$8,Исходн.данные.!$AH85=$BQ$9,Исходн.данные.!$AH85=$BQ$10,Исходн.данные.!$AH85=$BQ$11,Исходн.данные.!$AH85=$BQ$12,Исходн.данные.!$AH85=$BP$3,Исходн.данные.!$AH85=$BT$8,$FM85="Да"),CV85,MIN(CU85:CW85)))</f>
        <v>0</v>
      </c>
      <c r="CY85" s="133">
        <f>IF(Исходн.данные.!AH85=0,0,IF(CR85&gt;$CX85,$CX85,CR85))</f>
        <v>0</v>
      </c>
      <c r="CZ85" s="133">
        <f>IF(Исходн.данные.!AH85=0,0,IF(CS85&gt;$CX85,$CX85,CS85))</f>
        <v>0</v>
      </c>
      <c r="DA85" s="133">
        <f>IF(Исходн.данные.!AH85=0,0,IF(CT85&gt;$CX85,$CX85,CT85))</f>
        <v>0</v>
      </c>
      <c r="DB85" s="10">
        <f t="shared" si="94"/>
        <v>0</v>
      </c>
      <c r="DC85" s="39">
        <f>DB85*Исходн.данные.!AJ85/1000</f>
        <v>0</v>
      </c>
      <c r="DD85" s="71">
        <f t="shared" si="95"/>
        <v>0</v>
      </c>
      <c r="DE85" s="9">
        <f t="shared" si="96"/>
        <v>0</v>
      </c>
      <c r="DF85" s="9">
        <f t="shared" si="97"/>
        <v>0</v>
      </c>
      <c r="DG85" s="39">
        <f>IF(BL85&lt;0,0,IF($CH85="Нет",BL85,IF(OR(Исходн.данные.!$AH85=$BP$1,Исходн.данные.!$AH85=$BP$2),0,IF(Исходн.данные.!AI85=$BU$11,BL85,IF(BL85-DD85&lt;0,0,BL85-DD85)))))</f>
        <v>0</v>
      </c>
      <c r="DH85" s="39">
        <f>IF(BM85&lt;0,0,IF($CH85="Нет",BM85,IF(OR(Исходн.данные.!$AH85=$BP$1,Исходн.данные.!$AH85=$BP$2),0,IF(Исходн.данные.!AJ85=$BU$11,BM85,IF(BM85-DE85&lt;0,0,BM85-DE85)))))</f>
        <v>0</v>
      </c>
      <c r="DI85" s="39">
        <f>IF(BN85&lt;0,0,IF($CH85="Нет",BN85,IF(OR(Исходн.данные.!$AH85=$BP$1,Исходн.данные.!$AH85=$BP$2),0,IF(Исходн.данные.!AK85=$BU$11,BN85,IF(BN85-DF85&lt;0,0,BN85-DF85)))))</f>
        <v>0</v>
      </c>
      <c r="DJ85" s="12">
        <f t="shared" si="98"/>
        <v>0</v>
      </c>
      <c r="DK85" s="9">
        <f t="shared" si="99"/>
        <v>0</v>
      </c>
      <c r="DL85" s="39">
        <f>IF(Исходн.данные.!AM85&gt;0,Исходн.данные.!AM85,IF(EG85&gt;0,$BH$10,0))</f>
        <v>0</v>
      </c>
      <c r="DM85" s="186">
        <f>IF($DL85=0,0,IF(Исходн.данные.!AM85&gt;0,VLOOKUP($DL85,АшламаДВ_Irekle,2,FALSE),VLOOKUP($DL85,АшламаДВ_Gomumy,2,FALSE)))</f>
        <v>0</v>
      </c>
      <c r="DN85" s="10">
        <f t="shared" si="46"/>
        <v>0</v>
      </c>
      <c r="DO85" s="9" t="str">
        <f>IF(Исходн.данные.!AN85&gt;0,Исходн.данные.!AN85,Удобрения!$B$37 )</f>
        <v>Хлор.калий</v>
      </c>
      <c r="DP85" s="9">
        <f>IF(Исходн.данные.!AN85&gt;0,VLOOKUP(Исходн.данные.!AN85,АшламаДВ_Irekle,4,FALSE),VLOOKUP(DO85,АшламаДВ_Gomumy,4,FALSE))</f>
        <v>0.6</v>
      </c>
      <c r="DQ85" s="10">
        <f t="shared" si="47"/>
        <v>0</v>
      </c>
      <c r="DR85" s="132" t="str">
        <f>IF(Исходн.данные.!AO85&gt;0,Исходн.данные.!AO85,IF(DH85=0,BS$17,IF(AND($DK85=0,$DJ85&gt;0),EJ85,EN85)))</f>
        <v>Нет</v>
      </c>
      <c r="DS85" s="70" t="str">
        <f>IF($DR85="Нет","Нет",IF(Исходн.данные.!$AO85&gt;0,VLOOKUP($DR85,АшламаДВ_Irekle,2,FALSE),VLOOKUP($DR85,АшламаДВ_Gomumy,2,FALSE)))</f>
        <v>Нет</v>
      </c>
      <c r="DT85" s="70" t="str">
        <f>IF($DR85="Нет","Нет",IF(Исходн.данные.!$AO85&gt;0,VLOOKUP($DR85,АшламаДВ_Irekle,3,FALSE),VLOOKUP($DR85,АшламаДВ_Gomumy,3,FALSE)))</f>
        <v>Нет</v>
      </c>
      <c r="DU85" s="70" t="str">
        <f>IF($DR85="Нет","Нет",IF(Исходн.данные.!$AO85&gt;0,VLOOKUP($DR85,АшламаДВ_Irekle,4,FALSE),VLOOKUP($DR85,АшламаДВ_Gomumy,4,FALSE)))</f>
        <v>Нет</v>
      </c>
      <c r="DV85" s="70"/>
      <c r="DW85" s="70"/>
      <c r="DX85" s="70"/>
      <c r="DY85" s="10">
        <f t="shared" si="100"/>
        <v>0</v>
      </c>
      <c r="DZ85" s="10">
        <f t="shared" si="101"/>
        <v>0</v>
      </c>
      <c r="EA85" s="10">
        <f t="shared" si="102"/>
        <v>0</v>
      </c>
      <c r="EB85" s="10">
        <f t="shared" si="103"/>
        <v>0</v>
      </c>
      <c r="EC85" s="10">
        <f t="shared" si="104"/>
        <v>0</v>
      </c>
      <c r="ED85" s="10">
        <f t="shared" si="105"/>
        <v>0</v>
      </c>
      <c r="EE85" s="10">
        <f t="shared" si="106"/>
        <v>0</v>
      </c>
      <c r="EF85" s="39">
        <f>EB85*Исходн.данные.!AJ85/1000</f>
        <v>0</v>
      </c>
      <c r="EG85" s="9">
        <f t="shared" si="107"/>
        <v>0</v>
      </c>
      <c r="EH85" s="9">
        <f t="shared" si="108"/>
        <v>0</v>
      </c>
      <c r="EI85" s="39" t="e">
        <f t="shared" si="7"/>
        <v>#DIV/0!</v>
      </c>
      <c r="EJ85" s="9" t="str">
        <f t="shared" si="8"/>
        <v>Азопреципитат</v>
      </c>
      <c r="EK85" s="12">
        <f t="shared" si="9"/>
        <v>0.26</v>
      </c>
      <c r="EL85" s="12">
        <f t="shared" si="10"/>
        <v>0.13</v>
      </c>
      <c r="EM85" s="12">
        <f t="shared" si="11"/>
        <v>0</v>
      </c>
      <c r="EN85" s="12" t="str">
        <f t="shared" si="57"/>
        <v>Нет</v>
      </c>
      <c r="EO85" s="12">
        <f t="shared" si="12"/>
        <v>0</v>
      </c>
      <c r="EP85" s="12">
        <f t="shared" si="13"/>
        <v>0</v>
      </c>
      <c r="EQ85" s="12">
        <f t="shared" si="14"/>
        <v>0</v>
      </c>
      <c r="ER85" s="12" t="str">
        <f t="shared" si="109"/>
        <v>Диаммофоска</v>
      </c>
      <c r="ES85" s="12">
        <f t="shared" si="15"/>
        <v>0.1</v>
      </c>
      <c r="ET85" s="12">
        <f t="shared" si="16"/>
        <v>0.26</v>
      </c>
      <c r="EU85" s="12">
        <f t="shared" si="17"/>
        <v>0.26</v>
      </c>
      <c r="EV85" s="12" t="str">
        <f t="shared" si="110"/>
        <v>Аммофос 12:52:00</v>
      </c>
      <c r="EW85" s="12" t="str">
        <f t="shared" si="111"/>
        <v>Кемира Свекловичное-6</v>
      </c>
      <c r="EX85" s="12">
        <f t="shared" si="18"/>
        <v>0.16</v>
      </c>
      <c r="EY85" s="12">
        <f t="shared" si="19"/>
        <v>0.12</v>
      </c>
      <c r="EZ85" s="12">
        <f t="shared" si="20"/>
        <v>0.17</v>
      </c>
      <c r="FA85" s="38" t="e">
        <f>IF(AND(OR(FJ85=$FD$1,FM85=$FD$1,FO85=$FD$1,FQ85=$FD$1,FS85=$FD$1),FD85=$FD$1,Исходн.данные.!J85&lt;2,FU85=$FD$1),"Бор,Кобальт",IF(AND(FO85=$FD$1,FH85=$FD$1,Исходн.данные.!J85&lt;2,FU85=$FD$1),"Бор,Кобальт",IF(AND(OR(FJ85=$FD$1,FM85=$FD$1,FQ85=$FD$1),FE85=$FD$1,Исходн.данные.!J85&lt;2,FT85=$FD$1,FU85=$FD$1),"Бор,Медь,Цинк",IF(AND(OR(FJ85=$FD$1,FR85="Да"),FI85="Да",Исходн.данные.!J85&lt;2,FT85="Да",FU85="Да"),"Бор,Цинк,Медь",IF(AND(OR(FM85="Да",FQ85="Да"),FI85="Да",Исходн.данные.!J85&lt;2,FT85="Да",FU85="Да"),"Бор,Цинк",IF(AND(FN85="Да",OR(FD85="Да",FE85="Да")),"Бор",FB85))))))</f>
        <v>#N/A</v>
      </c>
      <c r="FB85" s="134" t="e">
        <f>IF(AND(OR(FD85="Да",FE85="Да",FF85="Да",FG85="Да",FH85="Да"),FO85="Да"),"Бор",IF(AND(FP85="Да",OR(FD85="Да",FE85="Да",FI85="Да")),"Бор",IF(AND(FS85="Да",FE85="Да"),"Бор,Медь",IF(AND(OR(FJ85="Да",FK85="Да",FL85="Да"),FE85="Да",Исходн.данные.!I85&lt;5,FT85="Да",FU85="Да"),"Молибден,Цинк",IF(AND(FM85="Да",OR(FE85="Да",FF85="Да",FG85="Да",FH85="Да",FI85="Да")),"Молибден,Цинк",IF(AND(OR(FJ85="Да",FK85="Да",FL85="Да",FM85="Да",FQ85="Да"),OR(FE85="Да",FF85="Да"),FT85="Да",FU85="Да",Исходн.данные.!I85&gt;5.5),"Медь,Цинк",FC85))))))</f>
        <v>#N/A</v>
      </c>
      <c r="FC85" s="23" t="e">
        <f t="shared" si="112"/>
        <v>#N/A</v>
      </c>
      <c r="FD85" s="38" t="str">
        <f>IF(OR(Исходн.данные.!F85=$CC$1,Исходн.данные.!F85=$CC$2,Исходн.данные.!F85=$CC$3,Исходн.данные.!F85=$CC$4),"Да","Нет")</f>
        <v>Нет</v>
      </c>
      <c r="FE85" s="38" t="str">
        <f>IF(Исходн.данные.!F85=$CC$5,"Да","Нет")</f>
        <v>Нет</v>
      </c>
      <c r="FF85" s="38" t="str">
        <f>IF(OR(Исходн.данные.!F85=$CC$6,Исходн.данные.!F85=$CC$7),"Да","Нет")</f>
        <v>Нет</v>
      </c>
      <c r="FG85" s="38" t="str">
        <f>IF(OR(Исходн.данные.!F85=$CC$8,Исходн.данные.!F85=$CC$9),"Да","Нет")</f>
        <v>Нет</v>
      </c>
      <c r="FH85" s="38" t="str">
        <f>IF(Исходн.данные.!F85=$CC$10,"Да","Нет")</f>
        <v>Нет</v>
      </c>
      <c r="FI85" s="38" t="str">
        <f>IF(OR(Исходн.данные.!F85=$CC$11,Исходн.данные.!F85=$CC$12),"Да","Нет")</f>
        <v>Нет</v>
      </c>
      <c r="FJ85" s="38" t="str">
        <f>IF(OR(Исходн.данные.!AH85=$BS$1,Исходн.данные.!AH85=$BQ$11,Исходн.данные.!AH85=$BQ$12),"Да","Нет")</f>
        <v>Нет</v>
      </c>
      <c r="FK85" s="38" t="str">
        <f>IF(OR(Исходн.данные.!AH85=$BS$2,Исходн.данные.!AH85=$BS$4),"Да","Нет")</f>
        <v>Нет</v>
      </c>
      <c r="FL85" s="38" t="str">
        <f>IF(OR(Исходн.данные.!AH85=$BS$3,Исходн.данные.!AH85=$BS$5),"Да","Нет")</f>
        <v>Нет</v>
      </c>
      <c r="FM85" s="38" t="str">
        <f>IF(OR(Исходн.данные.!AH85=$BS$9,Исходн.данные.!AH85=$BS$10,Исходн.данные.!AH85=$BS$11,Исходн.данные.!AH85=$BS$12),"Да","Нет")</f>
        <v>Нет</v>
      </c>
      <c r="FN85" s="38" t="str">
        <f>IF(OR(Исходн.данные.!AH85=$BS$6,Исходн.данные.!AH85=$BP$3),"Да","Нет")</f>
        <v>Нет</v>
      </c>
      <c r="FO85" s="38" t="str">
        <f>IF(Исходн.данные.!AH85=$BQ$9,"Да","Нет")</f>
        <v>Нет</v>
      </c>
      <c r="FP85" s="38" t="str">
        <f>IF(OR(Исходн.данные.!AH85=$BS$8,Исходн.данные.!AH85=$BT$8),"Да","Нет")</f>
        <v>Нет</v>
      </c>
      <c r="FQ85" s="38" t="str">
        <f>IF(OR(Исходн.данные.!AH85=$BQ$7,Исходн.данные.!AH85=$BQ$8),"Да","Нет")</f>
        <v>Нет</v>
      </c>
      <c r="FR85" s="38" t="str">
        <f>IF(Исходн.данные.!AI85=$BU$9,"Да","Нет")</f>
        <v>Нет</v>
      </c>
      <c r="FS85" s="38" t="str">
        <f>IF(OR(Исходн.данные.!AH85=$BP$1,Исходн.данные.!AH85=$BP$2),"Да","Нет")</f>
        <v>Нет</v>
      </c>
      <c r="FT85" s="38" t="e">
        <f>IF((Исходн.данные.!K85*GO85*GS85*GW85+BL85*0.6+Исходн.данные.!Q85*4.5*0.275)&gt;90,"Да","Нет")</f>
        <v>#N/A</v>
      </c>
      <c r="FU85" s="38" t="e">
        <f>IF((Исходн.данные.!M85*GS85*GZ85+BM85*0.225)&gt;35,"Да","Нет")</f>
        <v>#N/A</v>
      </c>
      <c r="FV85" s="38" t="str">
        <f>IF(Исходн.данные.!O85&gt;175,"Да","Нет")</f>
        <v>Нет</v>
      </c>
      <c r="FW85" s="39" t="str">
        <f>IF(Исходн.данные.!I85&gt;5.5,"Да","Нет")</f>
        <v>Нет</v>
      </c>
      <c r="FX85" s="39" t="str">
        <f>IF(Исходн.данные.!J85&lt;2,"Да","Нет")</f>
        <v>Да</v>
      </c>
      <c r="FY85" s="39" t="e">
        <f>IF(HF85=$FY$16,0,Исходн.данные.!K85*GO85*GS85*GW85/HF85)</f>
        <v>#N/A</v>
      </c>
      <c r="FZ85" s="39" t="e">
        <f>Исходн.данные.!M85*GS85*GZ85/HG85</f>
        <v>#N/A</v>
      </c>
      <c r="GA85" s="39" t="e">
        <f>IF(K_Wyn=$FY$16,0,IF(Исходн.данные.!N85=Исходн.данные.!$L$10,Исходн.данные.!O85/1.1*GS85*HC85/HH85,IF(Исходн.данные.!N85=Исходн.данные.!$L$12,Исходн.данные.!O85/1.5*GS85*HC85/HH85,Исходн.данные.!O85*GS85*HC85/HH85)))</f>
        <v>#N/A</v>
      </c>
      <c r="GB85" s="39" t="e">
        <f>IF(HF85=$FY$16,0,((Исходн.данные.!Q85*N_Org+Исходн.данные.!R85*N_Sider+Исходн.данные.!S85*N_Soloma)*AO85+Расчет!BC85*VLOOKUP(Исходн.данные.!T85,Справ!$A$3:$O$57,15)*AO85+BB85*VLOOKUP(Исходн.данные.!T85,Справ!$A$3:$O$57,15)*AL85+(Исходн.данные.!V85*N_Rizotorf+Исходн.данные.!W85*N_Rizoagr))/HF85)</f>
        <v>#N/A</v>
      </c>
      <c r="GC85" s="39" t="e">
        <f>IF(HG85=$FY$16,0,((Исходн.данные.!Q85*Р_Org+Исходн.данные.!R85*P_Sider+Исходн.данные.!S85*P_Soloma)*AP85+Расчет!BC85*VLOOKUP(Исходн.данные.!T85,Справ!$A$3:$P$57,16)*AP85+BB85*VLOOKUP(Исходн.данные.!T85,Справ!$A$3:$P$57,16)*AM85)/HG85)</f>
        <v>#N/A</v>
      </c>
      <c r="GD85" s="39" t="e">
        <f>IF(HH85=$FY$16,0,((Исходн.данные.!Q85*К_Org+Исходн.данные.!R85*K_Sider+Исходн.данные.!S85*K_Soloma)*AQ85+Расчет!BC85*VLOOKUP(Исходн.данные.!T85,Справ!$A$3:$Q$57,17)*AQ85+BB85*VLOOKUP(Исходн.данные.!T85,Справ!$A$3:$Q$57,17)*AN85)/HH85)</f>
        <v>#N/A</v>
      </c>
      <c r="GE85" s="39" t="e">
        <f>IF(HF85=$FY$16,0,(Исходн.данные.!X85*AR85+Исходн.данные.!AA85*N_Org*AL85+Исходн.данные.!AB85*N_Sider*AL85+Исходн.данные.!AC85*N_Soloma*AL85)/HF85)</f>
        <v>#N/A</v>
      </c>
      <c r="GF85" s="39" t="e">
        <f>IF(HG85=$FY$16,0,(Исходн.данные.!Y85*AS85+Исходн.данные.!AA85*Р_Org*AM85+Исходн.данные.!AB85*P_Sider*AM85+Исходн.данные.!AC85*P_Soloma*AM85)/HG85)</f>
        <v>#N/A</v>
      </c>
      <c r="GG85" s="39" t="e">
        <f>IF(HH85=$FY$16,0,(Исходн.данные.!Z85*AT85+Исходн.данные.!AA85*К_Org*AN85+Исходн.данные.!AB85*K_Sider*AN85+Исходн.данные.!AC85*K_Soloma*AN85)/HH85)</f>
        <v>#N/A</v>
      </c>
      <c r="GH85" s="39" t="e">
        <f>Исходн.данные.!AD85*AU85/HF85</f>
        <v>#N/A</v>
      </c>
      <c r="GI85" s="39" t="e">
        <f>Исходн.данные.!AE85*AV85/HG85</f>
        <v>#N/A</v>
      </c>
      <c r="GJ85" s="39" t="e">
        <f>Исходн.данные.!AF85*AW85/HH85</f>
        <v>#N/A</v>
      </c>
      <c r="GK85" s="55">
        <f>Исходн.данные.!AK85</f>
        <v>0</v>
      </c>
      <c r="GL85" s="11" t="e">
        <f t="shared" si="113"/>
        <v>#N/A</v>
      </c>
      <c r="GM85" s="11" t="e">
        <f t="shared" si="114"/>
        <v>#N/A</v>
      </c>
      <c r="GN85" s="11" t="e">
        <f t="shared" si="115"/>
        <v>#N/A</v>
      </c>
      <c r="GO85" s="57">
        <f t="shared" si="116"/>
        <v>19</v>
      </c>
      <c r="GP85" s="55">
        <f>IF(OR(Исходн.данные.!F85=$CE$1,Исходн.данные.!F85=$CE$2,Исходн.данные.!F85=$CE$3,Исходн.данные.!F85=$CE$4,Исходн.данные.!F85=$CE$5),GQ85,GR85)</f>
        <v>19</v>
      </c>
      <c r="GQ85" s="55">
        <f>IF(Исходн.данные.!F85=$CE$1,28,IF(Исходн.данные.!F85=$CE$2,26,IF(Исходн.данные.!F85=$CE$3,24,IF(Исходн.данные.!F85=$CE$4,22,IF(Исходн.данные.!F85=$CE$5,20,GR85)))))</f>
        <v>19</v>
      </c>
      <c r="GR85" s="55">
        <f>IF(Исходн.данные.!F85=$CE$6,18,IF(Исходн.данные.!F85=$CE$7,16,IF(Исходн.данные.!F85=$CE$8,14,IF(Исходн.данные.!F85=$CE$9,13,IF(Исходн.данные.!F85=$CE$10,12,19)))))</f>
        <v>19</v>
      </c>
      <c r="GS85" s="55">
        <f>IF(Исходн.данные.!G85="Пес",0.035*(40+2*Исходн.данные.!H85),IF(Исходн.данные.!G85="Суп",0.0325*(40+2*Исходн.данные.!H85),0.03*(40+2*Исходн.данные.!H85)))</f>
        <v>1.2</v>
      </c>
      <c r="GT85" s="55">
        <f>IF(Исходн.данные.!H85&lt;23,2.6,IF(AND(Исходн.данные.!H85&gt;22,Исходн.данные.!H85&lt;26),3,IF(AND(Исходн.данные.!H85&gt;25,Исходн.данные.!H85&lt;29),3.4,3.6)))</f>
        <v>2.6</v>
      </c>
      <c r="GU85" s="55">
        <f>IF(Исходн.данные.!H85&lt;23,2.8,IF(AND(Исходн.данные.!H85&gt;22,Исходн.данные.!H85&lt;26),3.2,IF(AND(Исходн.данные.!H85&gt;25,Исходн.данные.!H85&lt;29),3.6,3.9)))</f>
        <v>2.8</v>
      </c>
      <c r="GV85" s="55">
        <f>IF(Исходн.данные.!H85&lt;23,3,IF(AND(Исходн.данные.!H85&gt;22,Исходн.данные.!H85&lt;26),3.5,IF(AND(Исходн.данные.!H85&gt;25,Исходн.данные.!H85&lt;29),3.9,4.2)))</f>
        <v>3</v>
      </c>
      <c r="GW85" s="55" t="e">
        <f>IF(Исходн.данные.!P85="Ум",GX85,GY85)</f>
        <v>#N/A</v>
      </c>
      <c r="GX85" s="55" t="e">
        <f>VLOOKUP(Исходн.данные.!AI85,Коэффициенты!$J$7:$L$13,2,FALSE)</f>
        <v>#N/A</v>
      </c>
      <c r="GY85" s="55" t="e">
        <f>VLOOKUP(Исходн.данные.!AI85,Коэффициенты!$J$7:$L$13,3,FALSE)</f>
        <v>#N/A</v>
      </c>
      <c r="GZ85" s="55" t="e">
        <f>(IF(Исходн.данные.!M85&lt;50,0.11*VLOOKUP(Исходн.данные.!AH85,Культуры.Информация,7,FALSE),IF(Исходн.данные.!M85&gt;250,0.05*VLOOKUP(Исходн.данные.!AH85,Культуры.Информация,7,FALSE),VLOOKUP(Исходн.данные.!AH85,Культуры.Информация,5,FALSE)/100*($GX$6+$GY$6*Исходн.данные.!M85))))*Расчет2!AI85</f>
        <v>#N/A</v>
      </c>
      <c r="HA85" s="211"/>
      <c r="HB85" s="211"/>
      <c r="HC85" s="55" t="e">
        <f>(IF(Исходн.данные.!O85&lt;80,0.2*VLOOKUP(Исходн.данные.!AH85,Культуры.Информация,8,FALSE),IF(Исходн.данные.!O85&gt;240,0.09*VLOOKUP(Исходн.данные.!AH85,Культуры.Информация,8,FALSE),VLOOKUP(Исходн.данные.!AH85,Культуры.Информация,6,FALSE)/100*($HB$6+$HC$6*Исходн.данные.!O85))))*Расчет2!AJ85</f>
        <v>#N/A</v>
      </c>
      <c r="HD85" s="55">
        <f>IF(Исходн.данные.!O85&gt;240,0.09,IF(Исходн.данные.!O85&lt;30,0.3,$HE$10+$HD$10*Исходн.данные.!O85))</f>
        <v>0.3</v>
      </c>
      <c r="HE85" s="55">
        <f>IF(Исходн.данные.!O85&gt;240,0.17,IF(Исходн.данные.!O85&lt;30,0.5,$HF$12+$HE$12*Исходн.данные.!O85))</f>
        <v>0.5</v>
      </c>
      <c r="HF85" s="55" t="e">
        <f>VLOOKUP(Исходн.данные.!AH85,Справ!$A$3:$D$58,2,FALSE)</f>
        <v>#N/A</v>
      </c>
      <c r="HG85" s="55" t="e">
        <f>VLOOKUP(Исходн.данные.!AH85,Справ!$A$3:$D$58,3,FALSE)</f>
        <v>#N/A</v>
      </c>
      <c r="HH85" s="55" t="e">
        <f>VLOOKUP(Исходн.данные.!AH85,Справ!$A$3:$D$58,4,FALSE)</f>
        <v>#N/A</v>
      </c>
      <c r="HI85" s="11" t="e">
        <f t="shared" si="117"/>
        <v>#N/A</v>
      </c>
      <c r="HJ85" s="11" t="e">
        <f t="shared" si="118"/>
        <v>#N/A</v>
      </c>
      <c r="HK85" s="11" t="e">
        <f t="shared" si="119"/>
        <v>#N/A</v>
      </c>
      <c r="HL85" s="55">
        <f>IF(OR(Исходн.данные.!G85="Глин",Исходн.данные.!G85="Т_суг"),1.1,IF(Исходн.данные.!G85="Ср_суг",1,1))</f>
        <v>1</v>
      </c>
      <c r="HM85" s="55">
        <f>IF(OR(Исходн.данные.!G85="Глин",Исходн.данные.!G85="Т_суг"),0.9,IF(Исходн.данные.!G85="Ср_суг",1,1.2))</f>
        <v>1.2</v>
      </c>
      <c r="HN85" s="11" t="e">
        <f t="shared" si="120"/>
        <v>#N/A</v>
      </c>
      <c r="HO85" s="11" t="e">
        <f t="shared" si="121"/>
        <v>#N/A</v>
      </c>
      <c r="HP85" s="11" t="e">
        <f t="shared" si="122"/>
        <v>#N/A</v>
      </c>
      <c r="HQ85" t="e">
        <f t="shared" si="123"/>
        <v>#N/A</v>
      </c>
      <c r="HR85" t="e">
        <f t="shared" si="124"/>
        <v>#N/A</v>
      </c>
      <c r="HS85" t="e">
        <f t="shared" si="125"/>
        <v>#N/A</v>
      </c>
      <c r="HT85" t="e">
        <f t="shared" si="21"/>
        <v>#N/A</v>
      </c>
      <c r="HU85" t="e">
        <f t="shared" si="22"/>
        <v>#N/A</v>
      </c>
      <c r="HV85" t="e">
        <f t="shared" si="23"/>
        <v>#N/A</v>
      </c>
      <c r="HW85" t="e">
        <f t="shared" si="24"/>
        <v>#N/A</v>
      </c>
      <c r="HX85" t="e">
        <f t="shared" si="25"/>
        <v>#N/A</v>
      </c>
      <c r="HY85" t="e">
        <f t="shared" si="26"/>
        <v>#N/A</v>
      </c>
      <c r="HZ85" s="55">
        <f>IF(OR(Исходн.данные.!AI85="Оз_Ч_П",Исходн.данные.!AI85="Оз_З_П",Исходн.данные.!AI85="Яр_зер"),12,30)</f>
        <v>30</v>
      </c>
      <c r="IA85" t="e">
        <f t="shared" si="126"/>
        <v>#N/A</v>
      </c>
      <c r="IB85" t="e">
        <f t="shared" si="127"/>
        <v>#N/A</v>
      </c>
      <c r="IC85" t="e">
        <f t="shared" si="128"/>
        <v>#N/A</v>
      </c>
      <c r="ID85" s="11" t="e">
        <f t="shared" si="129"/>
        <v>#N/A</v>
      </c>
      <c r="IE85" s="11" t="e">
        <f t="shared" si="130"/>
        <v>#N/A</v>
      </c>
      <c r="IF85" s="11" t="e">
        <f t="shared" si="131"/>
        <v>#N/A</v>
      </c>
    </row>
    <row r="86" spans="35:240" x14ac:dyDescent="0.2">
      <c r="AI86">
        <f>IF(Исходн.данные.!I86&gt;6,1,1.85-(0.148*Исходн.данные.!I86))</f>
        <v>1.85</v>
      </c>
      <c r="AJ86">
        <f>IF(Исходн.данные.!I86&gt;6,1,2.434-(0.246*Исходн.данные.!I86))</f>
        <v>2.4340000000000002</v>
      </c>
      <c r="AL86" s="148" t="b">
        <f>IF(Исходн.данные.!$P86="Ум",N_OrgUd_2g_um,IF(Исходн.данные.!$P86="Об",N_OrgUd_2g_ob))</f>
        <v>0</v>
      </c>
      <c r="AM86" s="148" t="b">
        <f>IF(Исходн.данные.!$P86="Ум",P_OrgUd_2g_um,IF(Исходн.данные.!$P86="Об",P_OrgUd_2g_ob))</f>
        <v>0</v>
      </c>
      <c r="AN86" s="148" t="b">
        <f>IF(Исходн.данные.!$P86="Ум",K_OrgUd_2g_um,IF(Исходн.данные.!$P86="Об",K_OrgUd_2g_ob))</f>
        <v>0</v>
      </c>
      <c r="AO86" s="148" t="b">
        <f>IF(Исходн.данные.!$P86="Ум",N_OrgUd_1g_um,IF(Исходн.данные.!$P86="Об",N_OrgUd_1g_ob))</f>
        <v>0</v>
      </c>
      <c r="AP86" s="148" t="b">
        <f>IF(Исходн.данные.!$P86="Ум",P_OrgUd_1g_um,IF(Исходн.данные.!$P86="Об",P_OrgUd_1g_ob))</f>
        <v>0</v>
      </c>
      <c r="AQ86" s="148" t="b">
        <f>IF(Исходн.данные.!$P86="Ум",K_OrgUd_1g_um,IF(Исходн.данные.!$P86="Об",K_OrgUd_1g_ob))</f>
        <v>0</v>
      </c>
      <c r="AR86" t="b">
        <f>IF(Исходн.данные.!$P86="Ум",N_MinUd_2g_um,IF(Исходн.данные.!$P86="Об",N_MinUd_2g_ob))</f>
        <v>0</v>
      </c>
      <c r="AS86" t="b">
        <f>IF(Исходн.данные.!$P86="Ум",P_MinUd_2g_um,IF(Исходн.данные.!$P86="Об",P_MinUd_2g_ob))</f>
        <v>0</v>
      </c>
      <c r="AT86" t="b">
        <f>IF(Исходн.данные.!$P86="Ум",K_MinUd_2g_um,IF(Исходн.данные.!$P86="Об",K_MinUd_2g_ob))</f>
        <v>0</v>
      </c>
      <c r="AU86" t="b">
        <f>IF(Исходн.данные.!$P86="Ум",N_MinUd_1g_um,IF(Исходн.данные.!$P86="Об",N_MinUd_1g_ob))</f>
        <v>0</v>
      </c>
      <c r="AV86" t="b">
        <f>IF(Исходн.данные.!P86="Ум",P_MinUd_1g_um,IF(Исходн.данные.!P86="Об",P_MinUd_1g_ob))</f>
        <v>0</v>
      </c>
      <c r="AW86" t="b">
        <f>IF(Исходн.данные.!P86="Ум",K_MinUd_1g_um,IF(Исходн.данные.!P86="Об",K_MinUd_1g_ob))</f>
        <v>0</v>
      </c>
      <c r="AY86" t="e">
        <f>VLOOKUP(Исходн.данные.!T86,Справ!$A$3:$N$57,12)</f>
        <v>#N/A</v>
      </c>
      <c r="AZ86" t="e">
        <f>VLOOKUP(Исходн.данные.!T86,Справ!$A$3:$N$57,13)</f>
        <v>#N/A</v>
      </c>
      <c r="BA86" t="e">
        <f>VLOOKUP(Исходн.данные.!T86,Справ!$A$3:$N$57,14)</f>
        <v>#N/A</v>
      </c>
      <c r="BB86">
        <f>IF(Исходн.данные.!AH86=0,0,25)</f>
        <v>0</v>
      </c>
      <c r="BC86" s="141">
        <f>IF(Исходн.данные.!AH86=0,0,IF(Исходн.данные.!T86=0,25,BD86))</f>
        <v>0</v>
      </c>
      <c r="BD86" s="168" t="e">
        <f>AY86+AZ86*Исходн.данные.!U86-POWER(BA86,2)*Исходн.данные.!U86</f>
        <v>#N/A</v>
      </c>
      <c r="BE8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6" s="25">
        <f>IF(Исходн.данные.!AH86=0,0,MIN(HN86:HP86))</f>
        <v>0</v>
      </c>
      <c r="BG86" s="9">
        <f>IF(Исходн.данные.!AH86=0,0,IF((HO86+10*0.25/HG86/HL86)&lt;17,17,HO86+10*0.25/HG86/HL86))</f>
        <v>0</v>
      </c>
      <c r="BH86" s="181">
        <f>IF(Исходн.данные.!AH86=0,0,HW86*HF86*HL86/AU86*AI86+Исходн.данные.!S86*10)</f>
        <v>0</v>
      </c>
      <c r="BI86" s="10"/>
      <c r="BJ86" s="182">
        <f>IF(Исходн.данные.!AH86=0,0,IF(HX86*HG86*HL86/AV86&lt;0,0,HX86*HG86*HL86/AV86*AJ86))</f>
        <v>0</v>
      </c>
      <c r="BK86" s="182">
        <f>IF(Исходн.данные.!AH86=0,0,HY86*HH86*HM86/AW86)</f>
        <v>0</v>
      </c>
      <c r="BL86" s="10">
        <f>IF(OR(Исходн.данные.!$AH86=$BP$1,Исходн.данные.!$AH86=$BP$2),0,IF(BH86&lt;0,0,IF(OR(Исходн.данные.!T86=Расчет!$BP$1,Исходн.данные.!T86=Расчет!$BP$2,Исходн.данные.!T86=Расчет!$BT$5,Исходн.данные.!T86=Расчет!$BT$6),BH86*0.5,IF(OR(Исходн.данные.!T86=Расчет!$BS$9,Исходн.данные.!T86=Расчет!$BS$10,Исходн.данные.!T86=Расчет!$BS$11,Исходн.данные.!T86=Расчет!$BS$12,Исходн.данные.!T86=Расчет!$BP$5),BH86*0.8,BH86))))</f>
        <v>0</v>
      </c>
      <c r="BM86" s="10">
        <f>IF(OR(Исходн.данные.!$AH86=$BP$1,Исходн.данные.!$AH86=$BP$2),0,IF(BJ86&lt;0,0,IF(Исходн.данные.!I86&lt;4.5,BJ86*1.2,IF(Исходн.данные.!I86&gt;5.1,BJ86,BJ86*((5.1-Исходн.данные.!I86)*0.333+1)))))</f>
        <v>0</v>
      </c>
      <c r="BN86" s="10">
        <f>IF(OR(Исходн.данные.!$AH86=$BP$1,Исходн.данные.!$AH86=$BP$2),60-Исходн.данные.!AF86,IF(BK86&lt;0,0,IF(Исходн.данные.!I86&lt;4.5,BK86*1.2,IF(Исходн.данные.!I86&gt;5.1,BK86,BK86*((5.1-Исходн.данные.!I86)*0.333+1)))))</f>
        <v>0</v>
      </c>
      <c r="BO86" s="9">
        <f>IF(BL86&lt;0,0,BL86*Исходн.данные.!$AJ86/1000)</f>
        <v>0</v>
      </c>
      <c r="BP86" s="9">
        <f>IF(BM86&lt;0,0,BM86*Исходн.данные.!$AJ86/1000)</f>
        <v>0</v>
      </c>
      <c r="BQ86" s="9">
        <f>IF(BN86&lt;0,0,BN86*Исходн.данные.!$AJ86/1000)</f>
        <v>0</v>
      </c>
      <c r="BR86" s="9">
        <f t="shared" si="81"/>
        <v>0</v>
      </c>
      <c r="BS86" s="10" t="str">
        <f t="shared" si="82"/>
        <v>Аммофос 12:52:00</v>
      </c>
      <c r="BT86" s="10" t="str">
        <f t="shared" si="83"/>
        <v>Аммофос 12:52:00</v>
      </c>
      <c r="BU86" s="10" t="str">
        <f t="shared" si="84"/>
        <v>Диаммофоска</v>
      </c>
      <c r="BV86" s="10">
        <f t="shared" si="85"/>
        <v>0</v>
      </c>
      <c r="BW86" s="10"/>
      <c r="BX86" s="10"/>
      <c r="BY86" s="9">
        <f>IF(BL86&lt;0,0,IF(OR(Исходн.данные.!AI86=Расчет!$BU$6,Исходн.данные.!AI86=Расчет!$BU$7),Расчет!BV86,IF(Исходн.данные.!$AG86=$BV$11,BL86,IF(OR(Исходн.данные.!$AH86=$BQ$7,Исходн.данные.!$AH86=$BQ$8),CB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0,IF(Исходн.данные.!$AI86=$BU$11,"Нет",IF(BL86&gt;30,30,BL86)))))))</f>
        <v>0</v>
      </c>
      <c r="BZ86" s="9">
        <f>IF(AND(Исходн.данные.!$AG86=$BV$11,BM86&lt;10),10,IF(Исходн.данные.!$AG86=$BV$11,BM86,IF(OR(Исходн.данные.!$AH86=$BQ$7,Исходн.данные.!$AH86=$BQ$8),CC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10,IF(Исходн.данные.!$AI86=$BU$11,"Нет",IF(BM86&gt;60,60,IF(BM86&lt;10,10,BM86)))))))</f>
        <v>10</v>
      </c>
      <c r="CA86" s="39">
        <f>IF(BN86&lt;0,0,IF(Исходн.данные.!$AG86=$BV$11,BN86,IF(OR(Исходн.данные.!$AH86=$BQ$7,Исходн.данные.!$AH86=$BQ$8),CD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0,IF(Исходн.данные.!$AI86=$BU$11,"Нет",IF(BN86&gt;30,30,BN86))))))</f>
        <v>0</v>
      </c>
      <c r="CB86" s="9">
        <f t="shared" si="86"/>
        <v>0</v>
      </c>
      <c r="CC86" s="9">
        <f t="shared" si="87"/>
        <v>0</v>
      </c>
      <c r="CD86" s="9">
        <f t="shared" si="88"/>
        <v>0</v>
      </c>
      <c r="CE86" s="12">
        <f t="shared" si="89"/>
        <v>10</v>
      </c>
      <c r="CF86" s="9">
        <f t="shared" si="90"/>
        <v>0</v>
      </c>
      <c r="CG86" s="9" t="s">
        <v>231</v>
      </c>
      <c r="CH86" s="132" t="str">
        <f>IF(Исходн.данные.!AP86=Расчет!$CI$16,"Нет",IF(Исходн.данные.!AL86&gt;0,Исходн.данные.!AL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BH$4,IF(OR(Исходн.данные.!AI86=Исходн.данные.!$AI$6,Исходн.данные.!AI86=Исходн.данные.!$AI$7),Расчет!BS86,IF(AND($CF86=0,$CE86&gt;0),EV86,ER86)))))</f>
        <v>Аммофос 12:52:00</v>
      </c>
      <c r="CI86" s="274">
        <f>IF(Расчет!$CH86="Нет","Нет",IF(Исходн.данные.!$AL86&gt;0,VLOOKUP(Расчет!$CH86,АшламаДВ_Irekle,2,FALSE),VLOOKUP(Расчет!$CH86,АшламаДВ_Gomumy,2,FALSE)))</f>
        <v>0.12</v>
      </c>
      <c r="CJ86" s="274">
        <f>IF(Расчет!$CH86="Нет","Нет",IF(Исходн.данные.!$AL86&gt;0,VLOOKUP(Расчет!$CH86,АшламаДВ_Irekle,3,FALSE),VLOOKUP(Расчет!$CH86,АшламаДВ_Gomumy,3,FALSE)))</f>
        <v>0.52</v>
      </c>
      <c r="CK86" s="274">
        <f>IF(Расчет!$CH86="Нет","Нет",IF(Исходн.данные.!$AL86&gt;0,VLOOKUP(Расчет!$CH86,АшламаДВ_Irekle,4,FALSE),VLOOKUP(Расчет!$CH86,АшламаДВ_Gomumy,4,FALSE)))</f>
        <v>0</v>
      </c>
      <c r="CL86" s="70"/>
      <c r="CM86" s="70"/>
      <c r="CN86" s="70"/>
      <c r="CO86" s="70"/>
      <c r="CP86" s="70"/>
      <c r="CQ86" s="70"/>
      <c r="CR86" s="10">
        <f t="shared" si="91"/>
        <v>0</v>
      </c>
      <c r="CS86" s="10">
        <f t="shared" si="92"/>
        <v>19.23076923076923</v>
      </c>
      <c r="CT86" s="10">
        <f t="shared" si="93"/>
        <v>0</v>
      </c>
      <c r="CU86" s="39">
        <f>IF($CH86="Нет",0,IF(CI86=0,30/MIN(CJ86:CK86),IF(Исходн.данные.!$AG86=$BV$11,CR86,IF(OR(Исходн.данные.!$AH86=$BQ$7,Исходн.данные.!$AH86=$BQ$8),90/CI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0,IF(Исходн.данные.!$AI86=$BU$11,"Нет",30/CI86))))))</f>
        <v>250</v>
      </c>
      <c r="CV86" s="39">
        <f>IF($CH86="Нет",0,IF(Исходн.данные.!AH86=0,0,IF(CJ86=0,60/MIN(CI86,CK86),IF(Исходн.данные.!$AG86=$BV$11,CS86,IF(OR(Исходн.данные.!$AH86=$BQ$7,Исходн.данные.!$AH86=$BQ$8),90/CJ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10/CJ86,IF(Исходн.данные.!$AI86=$BU$11,"Нет",60/CJ86)))))))</f>
        <v>0</v>
      </c>
      <c r="CW86" s="39">
        <f>IF($CH86="Нет",0,IF(Исходн.данные.!AH86=0,0,IF(CK86=0,30/MIN(CI86:CJ86),IF(Исходн.данные.!$AG86=$BV$11,CT86,IF(OR(Исходн.данные.!$AH86=$BQ$7,Исходн.данные.!$AH86=$BQ$8),90/CK86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0,IF(Исходн.данные.!$AI86=$BU$11,"Нет",30/CK86)))))))</f>
        <v>0</v>
      </c>
      <c r="CX86" s="133">
        <f>IF(Исходн.данные.!$AG86=$BV$11,MAX(CU86:CW86),IF(OR(Исходн.данные.!$AH86=$BS$8,Исходн.данные.!$AH86=$BQ$9,Исходн.данные.!$AH86=$BQ$10,Исходн.данные.!$AH86=$BQ$11,Исходн.данные.!$AH86=$BQ$12,Исходн.данные.!$AH86=$BP$3,Исходн.данные.!$AH86=$BT$8,$FM86="Да"),CV86,MIN(CU86:CW86)))</f>
        <v>0</v>
      </c>
      <c r="CY86" s="133">
        <f>IF(Исходн.данные.!AH86=0,0,IF(CR86&gt;$CX86,$CX86,CR86))</f>
        <v>0</v>
      </c>
      <c r="CZ86" s="133">
        <f>IF(Исходн.данные.!AH86=0,0,IF(CS86&gt;$CX86,$CX86,CS86))</f>
        <v>0</v>
      </c>
      <c r="DA86" s="133">
        <f>IF(Исходн.данные.!AH86=0,0,IF(CT86&gt;$CX86,$CX86,CT86))</f>
        <v>0</v>
      </c>
      <c r="DB86" s="10">
        <f t="shared" si="94"/>
        <v>0</v>
      </c>
      <c r="DC86" s="39">
        <f>DB86*Исходн.данные.!AJ86/1000</f>
        <v>0</v>
      </c>
      <c r="DD86" s="71">
        <f t="shared" si="95"/>
        <v>0</v>
      </c>
      <c r="DE86" s="9">
        <f t="shared" si="96"/>
        <v>0</v>
      </c>
      <c r="DF86" s="9">
        <f t="shared" si="97"/>
        <v>0</v>
      </c>
      <c r="DG86" s="39">
        <f>IF(BL86&lt;0,0,IF($CH86="Нет",BL86,IF(OR(Исходн.данные.!$AH86=$BP$1,Исходн.данные.!$AH86=$BP$2),0,IF(Исходн.данные.!AI86=$BU$11,BL86,IF(BL86-DD86&lt;0,0,BL86-DD86)))))</f>
        <v>0</v>
      </c>
      <c r="DH86" s="39">
        <f>IF(BM86&lt;0,0,IF($CH86="Нет",BM86,IF(OR(Исходн.данные.!$AH86=$BP$1,Исходн.данные.!$AH86=$BP$2),0,IF(Исходн.данные.!AJ86=$BU$11,BM86,IF(BM86-DE86&lt;0,0,BM86-DE86)))))</f>
        <v>0</v>
      </c>
      <c r="DI86" s="39">
        <f>IF(BN86&lt;0,0,IF($CH86="Нет",BN86,IF(OR(Исходн.данные.!$AH86=$BP$1,Исходн.данные.!$AH86=$BP$2),0,IF(Исходн.данные.!AK86=$BU$11,BN86,IF(BN86-DF86&lt;0,0,BN86-DF86)))))</f>
        <v>0</v>
      </c>
      <c r="DJ86" s="12">
        <f t="shared" si="98"/>
        <v>0</v>
      </c>
      <c r="DK86" s="9">
        <f t="shared" si="99"/>
        <v>0</v>
      </c>
      <c r="DL86" s="39">
        <f>IF(Исходн.данные.!AM86&gt;0,Исходн.данные.!AM86,IF(EG86&gt;0,$BH$10,0))</f>
        <v>0</v>
      </c>
      <c r="DM86" s="186">
        <f>IF($DL86=0,0,IF(Исходн.данные.!AM86&gt;0,VLOOKUP($DL86,АшламаДВ_Irekle,2,FALSE),VLOOKUP($DL86,АшламаДВ_Gomumy,2,FALSE)))</f>
        <v>0</v>
      </c>
      <c r="DN86" s="10">
        <f t="shared" si="46"/>
        <v>0</v>
      </c>
      <c r="DO86" s="9" t="str">
        <f>IF(Исходн.данные.!AN86&gt;0,Исходн.данные.!AN86,Удобрения!$B$37 )</f>
        <v>Хлор.калий</v>
      </c>
      <c r="DP86" s="9">
        <f>IF(Исходн.данные.!AN86&gt;0,VLOOKUP(Исходн.данные.!AN86,АшламаДВ_Irekle,4,FALSE),VLOOKUP(DO86,АшламаДВ_Gomumy,4,FALSE))</f>
        <v>0.6</v>
      </c>
      <c r="DQ86" s="10">
        <f t="shared" si="47"/>
        <v>0</v>
      </c>
      <c r="DR86" s="132" t="str">
        <f>IF(Исходн.данные.!AO86&gt;0,Исходн.данные.!AO86,IF(DH86=0,BS$17,IF(AND($DK86=0,$DJ86&gt;0),EJ86,EN86)))</f>
        <v>Нет</v>
      </c>
      <c r="DS86" s="70" t="str">
        <f>IF($DR86="Нет","Нет",IF(Исходн.данные.!$AO86&gt;0,VLOOKUP($DR86,АшламаДВ_Irekle,2,FALSE),VLOOKUP($DR86,АшламаДВ_Gomumy,2,FALSE)))</f>
        <v>Нет</v>
      </c>
      <c r="DT86" s="70" t="str">
        <f>IF($DR86="Нет","Нет",IF(Исходн.данные.!$AO86&gt;0,VLOOKUP($DR86,АшламаДВ_Irekle,3,FALSE),VLOOKUP($DR86,АшламаДВ_Gomumy,3,FALSE)))</f>
        <v>Нет</v>
      </c>
      <c r="DU86" s="70" t="str">
        <f>IF($DR86="Нет","Нет",IF(Исходн.данные.!$AO86&gt;0,VLOOKUP($DR86,АшламаДВ_Irekle,4,FALSE),VLOOKUP($DR86,АшламаДВ_Gomumy,4,FALSE)))</f>
        <v>Нет</v>
      </c>
      <c r="DV86" s="70"/>
      <c r="DW86" s="70"/>
      <c r="DX86" s="70"/>
      <c r="DY86" s="10">
        <f t="shared" si="100"/>
        <v>0</v>
      </c>
      <c r="DZ86" s="10">
        <f t="shared" si="101"/>
        <v>0</v>
      </c>
      <c r="EA86" s="10">
        <f t="shared" si="102"/>
        <v>0</v>
      </c>
      <c r="EB86" s="10">
        <f t="shared" si="103"/>
        <v>0</v>
      </c>
      <c r="EC86" s="10">
        <f t="shared" si="104"/>
        <v>0</v>
      </c>
      <c r="ED86" s="10">
        <f t="shared" si="105"/>
        <v>0</v>
      </c>
      <c r="EE86" s="10">
        <f t="shared" si="106"/>
        <v>0</v>
      </c>
      <c r="EF86" s="39">
        <f>EB86*Исходн.данные.!AJ86/1000</f>
        <v>0</v>
      </c>
      <c r="EG86" s="9">
        <f t="shared" si="107"/>
        <v>0</v>
      </c>
      <c r="EH86" s="9">
        <f t="shared" si="108"/>
        <v>0</v>
      </c>
      <c r="EI86" s="39" t="e">
        <f t="shared" ref="EI86:EI149" si="132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#DIV/0!</v>
      </c>
      <c r="EJ86" s="9" t="str">
        <f t="shared" si="8"/>
        <v>Азопреципитат</v>
      </c>
      <c r="EK86" s="12">
        <f t="shared" ref="EK86:EK149" si="133">VLOOKUP($EJ86,АшламаДВ_Gomumy,2,FALSE)</f>
        <v>0.26</v>
      </c>
      <c r="EL86" s="12">
        <f t="shared" ref="EL86:EL149" si="134">VLOOKUP($EJ86,АшламаДВ_Gomumy,3,FALSE)</f>
        <v>0.13</v>
      </c>
      <c r="EM86" s="12">
        <f t="shared" ref="EM86:EM149" si="135">VLOOKUP($EJ86,АшламаДВ_Gomumy,4,FALSE)</f>
        <v>0</v>
      </c>
      <c r="EN86" s="12" t="str">
        <f t="shared" si="57"/>
        <v>Нет</v>
      </c>
      <c r="EO86" s="12">
        <f t="shared" ref="EO86:EO149" si="136">IF($EN86="Нет",0,VLOOKUP($EN86,АшламаДВ_Gomumy,2,FALSE))</f>
        <v>0</v>
      </c>
      <c r="EP86" s="12">
        <f t="shared" ref="EP86:EP149" si="137">IF($EN86="Нет",0,VLOOKUP($EN86,АшламаДВ_Gomumy,3,FALSE))</f>
        <v>0</v>
      </c>
      <c r="EQ86" s="12">
        <f t="shared" ref="EQ86:EQ149" si="138">IF($EN86="Нет",0,VLOOKUP($EN86,АшламаДВ_Gomumy,4,FALSE))</f>
        <v>0</v>
      </c>
      <c r="ER86" s="12" t="str">
        <f t="shared" si="109"/>
        <v>Диаммофоска</v>
      </c>
      <c r="ES86" s="12">
        <f t="shared" ref="ES86:ES149" si="139">VLOOKUP(ER86,АшламаДВ_Gomumy,2,FALSE)</f>
        <v>0.1</v>
      </c>
      <c r="ET86" s="12">
        <f t="shared" ref="ET86:ET149" si="140">VLOOKUP(ER86,АшламаДВ_Gomumy,3,FALSE)</f>
        <v>0.26</v>
      </c>
      <c r="EU86" s="12">
        <f t="shared" ref="EU86:EU149" si="141">VLOOKUP(ER86,АшламаДВ_Gomumy,4,FALSE)</f>
        <v>0.26</v>
      </c>
      <c r="EV86" s="12" t="str">
        <f t="shared" si="110"/>
        <v>Аммофос 12:52:00</v>
      </c>
      <c r="EW86" s="12" t="str">
        <f t="shared" si="111"/>
        <v>Кемира Свекловичное-6</v>
      </c>
      <c r="EX86" s="12">
        <f t="shared" ref="EX86:EX149" si="142">VLOOKUP($EW86,АшламаДВ_Gomumy,2,FALSE)</f>
        <v>0.16</v>
      </c>
      <c r="EY86" s="12">
        <f t="shared" ref="EY86:EY149" si="143">VLOOKUP($EW86,АшламаДВ_Gomumy,3,FALSE)</f>
        <v>0.12</v>
      </c>
      <c r="EZ86" s="12">
        <f t="shared" ref="EZ86:EZ149" si="144">VLOOKUP($EW86,АшламаДВ_Gomumy,4,FALSE)</f>
        <v>0.17</v>
      </c>
      <c r="FA86" s="38" t="e">
        <f>IF(AND(OR(FJ86=$FD$1,FM86=$FD$1,FO86=$FD$1,FQ86=$FD$1,FS86=$FD$1),FD86=$FD$1,Исходн.данные.!J86&lt;2,FU86=$FD$1),"Бор,Кобальт",IF(AND(FO86=$FD$1,FH86=$FD$1,Исходн.данные.!J86&lt;2,FU86=$FD$1),"Бор,Кобальт",IF(AND(OR(FJ86=$FD$1,FM86=$FD$1,FQ86=$FD$1),FE86=$FD$1,Исходн.данные.!J86&lt;2,FT86=$FD$1,FU86=$FD$1),"Бор,Медь,Цинк",IF(AND(OR(FJ86=$FD$1,FR86="Да"),FI86="Да",Исходн.данные.!J86&lt;2,FT86="Да",FU86="Да"),"Бор,Цинк,Медь",IF(AND(OR(FM86="Да",FQ86="Да"),FI86="Да",Исходн.данные.!J86&lt;2,FT86="Да",FU86="Да"),"Бор,Цинк",IF(AND(FN86="Да",OR(FD86="Да",FE86="Да")),"Бор",FB86))))))</f>
        <v>#N/A</v>
      </c>
      <c r="FB86" s="134" t="e">
        <f>IF(AND(OR(FD86="Да",FE86="Да",FF86="Да",FG86="Да",FH86="Да"),FO86="Да"),"Бор",IF(AND(FP86="Да",OR(FD86="Да",FE86="Да",FI86="Да")),"Бор",IF(AND(FS86="Да",FE86="Да"),"Бор,Медь",IF(AND(OR(FJ86="Да",FK86="Да",FL86="Да"),FE86="Да",Исходн.данные.!I86&lt;5,FT86="Да",FU86="Да"),"Молибден,Цинк",IF(AND(FM86="Да",OR(FE86="Да",FF86="Да",FG86="Да",FH86="Да",FI86="Да")),"Молибден,Цинк",IF(AND(OR(FJ86="Да",FK86="Да",FL86="Да",FM86="Да",FQ86="Да"),OR(FE86="Да",FF86="Да"),FT86="Да",FU86="Да",Исходн.данные.!I86&gt;5.5),"Медь,Цинк",FC86))))))</f>
        <v>#N/A</v>
      </c>
      <c r="FC86" s="23" t="e">
        <f t="shared" si="112"/>
        <v>#N/A</v>
      </c>
      <c r="FD86" s="38" t="str">
        <f>IF(OR(Исходн.данные.!F86=$CC$1,Исходн.данные.!F86=$CC$2,Исходн.данные.!F86=$CC$3,Исходн.данные.!F86=$CC$4),"Да","Нет")</f>
        <v>Нет</v>
      </c>
      <c r="FE86" s="38" t="str">
        <f>IF(Исходн.данные.!F86=$CC$5,"Да","Нет")</f>
        <v>Нет</v>
      </c>
      <c r="FF86" s="38" t="str">
        <f>IF(OR(Исходн.данные.!F86=$CC$6,Исходн.данные.!F86=$CC$7),"Да","Нет")</f>
        <v>Нет</v>
      </c>
      <c r="FG86" s="38" t="str">
        <f>IF(OR(Исходн.данные.!F86=$CC$8,Исходн.данные.!F86=$CC$9),"Да","Нет")</f>
        <v>Нет</v>
      </c>
      <c r="FH86" s="38" t="str">
        <f>IF(Исходн.данные.!F86=$CC$10,"Да","Нет")</f>
        <v>Нет</v>
      </c>
      <c r="FI86" s="38" t="str">
        <f>IF(OR(Исходн.данные.!F86=$CC$11,Исходн.данные.!F86=$CC$12),"Да","Нет")</f>
        <v>Нет</v>
      </c>
      <c r="FJ86" s="38" t="str">
        <f>IF(OR(Исходн.данные.!AH86=$BS$1,Исходн.данные.!AH86=$BQ$11,Исходн.данные.!AH86=$BQ$12),"Да","Нет")</f>
        <v>Нет</v>
      </c>
      <c r="FK86" s="38" t="str">
        <f>IF(OR(Исходн.данные.!AH86=$BS$2,Исходн.данные.!AH86=$BS$4),"Да","Нет")</f>
        <v>Нет</v>
      </c>
      <c r="FL86" s="38" t="str">
        <f>IF(OR(Исходн.данные.!AH86=$BS$3,Исходн.данные.!AH86=$BS$5),"Да","Нет")</f>
        <v>Нет</v>
      </c>
      <c r="FM86" s="38" t="str">
        <f>IF(OR(Исходн.данные.!AH86=$BS$9,Исходн.данные.!AH86=$BS$10,Исходн.данные.!AH86=$BS$11,Исходн.данные.!AH86=$BS$12),"Да","Нет")</f>
        <v>Нет</v>
      </c>
      <c r="FN86" s="38" t="str">
        <f>IF(OR(Исходн.данные.!AH86=$BS$6,Исходн.данные.!AH86=$BP$3),"Да","Нет")</f>
        <v>Нет</v>
      </c>
      <c r="FO86" s="38" t="str">
        <f>IF(Исходн.данные.!AH86=$BQ$9,"Да","Нет")</f>
        <v>Нет</v>
      </c>
      <c r="FP86" s="38" t="str">
        <f>IF(OR(Исходн.данные.!AH86=$BS$8,Исходн.данные.!AH86=$BT$8),"Да","Нет")</f>
        <v>Нет</v>
      </c>
      <c r="FQ86" s="38" t="str">
        <f>IF(OR(Исходн.данные.!AH86=$BQ$7,Исходн.данные.!AH86=$BQ$8),"Да","Нет")</f>
        <v>Нет</v>
      </c>
      <c r="FR86" s="38" t="str">
        <f>IF(Исходн.данные.!AI86=$BU$9,"Да","Нет")</f>
        <v>Нет</v>
      </c>
      <c r="FS86" s="38" t="str">
        <f>IF(OR(Исходн.данные.!AH86=$BP$1,Исходн.данные.!AH86=$BP$2),"Да","Нет")</f>
        <v>Нет</v>
      </c>
      <c r="FT86" s="38" t="e">
        <f>IF((Исходн.данные.!K86*GO86*GS86*GW86+BL86*0.6+Исходн.данные.!Q86*4.5*0.275)&gt;90,"Да","Нет")</f>
        <v>#N/A</v>
      </c>
      <c r="FU86" s="38" t="e">
        <f>IF((Исходн.данные.!M86*GS86*GZ86+BM86*0.225)&gt;35,"Да","Нет")</f>
        <v>#N/A</v>
      </c>
      <c r="FV86" s="38" t="str">
        <f>IF(Исходн.данные.!O86&gt;175,"Да","Нет")</f>
        <v>Нет</v>
      </c>
      <c r="FW86" s="39" t="str">
        <f>IF(Исходн.данные.!I86&gt;5.5,"Да","Нет")</f>
        <v>Нет</v>
      </c>
      <c r="FX86" s="39" t="str">
        <f>IF(Исходн.данные.!J86&lt;2,"Да","Нет")</f>
        <v>Да</v>
      </c>
      <c r="FY86" s="39" t="e">
        <f>IF(HF86=$FY$16,0,Исходн.данные.!K86*GO86*GS86*GW86/HF86)</f>
        <v>#N/A</v>
      </c>
      <c r="FZ86" s="39" t="e">
        <f>Исходн.данные.!M86*GS86*GZ86/HG86</f>
        <v>#N/A</v>
      </c>
      <c r="GA86" s="39" t="e">
        <f>IF(K_Wyn=$FY$16,0,IF(Исходн.данные.!N86=Исходн.данные.!$L$10,Исходн.данные.!O86/1.1*GS86*HC86/HH86,IF(Исходн.данные.!N86=Исходн.данные.!$L$12,Исходн.данные.!O86/1.5*GS86*HC86/HH86,Исходн.данные.!O86*GS86*HC86/HH86)))</f>
        <v>#N/A</v>
      </c>
      <c r="GB86" s="39" t="e">
        <f>IF(HF86=$FY$16,0,((Исходн.данные.!Q86*N_Org+Исходн.данные.!R86*N_Sider+Исходн.данные.!S86*N_Soloma)*AO86+Расчет!BC86*VLOOKUP(Исходн.данные.!T86,Справ!$A$3:$O$57,15)*AO86+BB86*VLOOKUP(Исходн.данные.!T86,Справ!$A$3:$O$57,15)*AL86+(Исходн.данные.!V86*N_Rizotorf+Исходн.данные.!W86*N_Rizoagr))/HF86)</f>
        <v>#N/A</v>
      </c>
      <c r="GC86" s="39" t="e">
        <f>IF(HG86=$FY$16,0,((Исходн.данные.!Q86*Р_Org+Исходн.данные.!R86*P_Sider+Исходн.данные.!S86*P_Soloma)*AP86+Расчет!BC86*VLOOKUP(Исходн.данные.!T86,Справ!$A$3:$P$57,16)*AP86+BB86*VLOOKUP(Исходн.данные.!T86,Справ!$A$3:$P$57,16)*AM86)/HG86)</f>
        <v>#N/A</v>
      </c>
      <c r="GD86" s="39" t="e">
        <f>IF(HH86=$FY$16,0,((Исходн.данные.!Q86*К_Org+Исходн.данные.!R86*K_Sider+Исходн.данные.!S86*K_Soloma)*AQ86+Расчет!BC86*VLOOKUP(Исходн.данные.!T86,Справ!$A$3:$Q$57,17)*AQ86+BB86*VLOOKUP(Исходн.данные.!T86,Справ!$A$3:$Q$57,17)*AN86)/HH86)</f>
        <v>#N/A</v>
      </c>
      <c r="GE86" s="39" t="e">
        <f>IF(HF86=$FY$16,0,(Исходн.данные.!X86*AR86+Исходн.данные.!AA86*N_Org*AL86+Исходн.данные.!AB86*N_Sider*AL86+Исходн.данные.!AC86*N_Soloma*AL86)/HF86)</f>
        <v>#N/A</v>
      </c>
      <c r="GF86" s="39" t="e">
        <f>IF(HG86=$FY$16,0,(Исходн.данные.!Y86*AS86+Исходн.данные.!AA86*Р_Org*AM86+Исходн.данные.!AB86*P_Sider*AM86+Исходн.данные.!AC86*P_Soloma*AM86)/HG86)</f>
        <v>#N/A</v>
      </c>
      <c r="GG86" s="39" t="e">
        <f>IF(HH86=$FY$16,0,(Исходн.данные.!Z86*AT86+Исходн.данные.!AA86*К_Org*AN86+Исходн.данные.!AB86*K_Sider*AN86+Исходн.данные.!AC86*K_Soloma*AN86)/HH86)</f>
        <v>#N/A</v>
      </c>
      <c r="GH86" s="39" t="e">
        <f>Исходн.данные.!AD86*AU86/HF86</f>
        <v>#N/A</v>
      </c>
      <c r="GI86" s="39" t="e">
        <f>Исходн.данные.!AE86*AV86/HG86</f>
        <v>#N/A</v>
      </c>
      <c r="GJ86" s="39" t="e">
        <f>Исходн.данные.!AF86*AW86/HH86</f>
        <v>#N/A</v>
      </c>
      <c r="GK86" s="55">
        <f>Исходн.данные.!AK86</f>
        <v>0</v>
      </c>
      <c r="GL86" s="11" t="e">
        <f t="shared" si="113"/>
        <v>#N/A</v>
      </c>
      <c r="GM86" s="11" t="e">
        <f t="shared" si="114"/>
        <v>#N/A</v>
      </c>
      <c r="GN86" s="11" t="e">
        <f t="shared" si="115"/>
        <v>#N/A</v>
      </c>
      <c r="GO86" s="57">
        <f t="shared" si="116"/>
        <v>19</v>
      </c>
      <c r="GP86" s="55">
        <f>IF(OR(Исходн.данные.!F86=$CE$1,Исходн.данные.!F86=$CE$2,Исходн.данные.!F86=$CE$3,Исходн.данные.!F86=$CE$4,Исходн.данные.!F86=$CE$5),GQ86,GR86)</f>
        <v>19</v>
      </c>
      <c r="GQ86" s="55">
        <f>IF(Исходн.данные.!F86=$CE$1,28,IF(Исходн.данные.!F86=$CE$2,26,IF(Исходн.данные.!F86=$CE$3,24,IF(Исходн.данные.!F86=$CE$4,22,IF(Исходн.данные.!F86=$CE$5,20,GR86)))))</f>
        <v>19</v>
      </c>
      <c r="GR86" s="55">
        <f>IF(Исходн.данные.!F86=$CE$6,18,IF(Исходн.данные.!F86=$CE$7,16,IF(Исходн.данные.!F86=$CE$8,14,IF(Исходн.данные.!F86=$CE$9,13,IF(Исходн.данные.!F86=$CE$10,12,19)))))</f>
        <v>19</v>
      </c>
      <c r="GS86" s="55">
        <f>IF(Исходн.данные.!G86="Пес",0.035*(40+2*Исходн.данные.!H86),IF(Исходн.данные.!G86="Суп",0.0325*(40+2*Исходн.данные.!H86),0.03*(40+2*Исходн.данные.!H86)))</f>
        <v>1.2</v>
      </c>
      <c r="GT86" s="55">
        <f>IF(Исходн.данные.!H86&lt;23,2.6,IF(AND(Исходн.данные.!H86&gt;22,Исходн.данные.!H86&lt;26),3,IF(AND(Исходн.данные.!H86&gt;25,Исходн.данные.!H86&lt;29),3.4,3.6)))</f>
        <v>2.6</v>
      </c>
      <c r="GU86" s="55">
        <f>IF(Исходн.данные.!H86&lt;23,2.8,IF(AND(Исходн.данные.!H86&gt;22,Исходн.данные.!H86&lt;26),3.2,IF(AND(Исходн.данные.!H86&gt;25,Исходн.данные.!H86&lt;29),3.6,3.9)))</f>
        <v>2.8</v>
      </c>
      <c r="GV86" s="55">
        <f>IF(Исходн.данные.!H86&lt;23,3,IF(AND(Исходн.данные.!H86&gt;22,Исходн.данные.!H86&lt;26),3.5,IF(AND(Исходн.данные.!H86&gt;25,Исходн.данные.!H86&lt;29),3.9,4.2)))</f>
        <v>3</v>
      </c>
      <c r="GW86" s="55" t="e">
        <f>IF(Исходн.данные.!P86="Ум",GX86,GY86)</f>
        <v>#N/A</v>
      </c>
      <c r="GX86" s="55" t="e">
        <f>VLOOKUP(Исходн.данные.!AI86,Коэффициенты!$J$7:$L$13,2,FALSE)</f>
        <v>#N/A</v>
      </c>
      <c r="GY86" s="55" t="e">
        <f>VLOOKUP(Исходн.данные.!AI86,Коэффициенты!$J$7:$L$13,3,FALSE)</f>
        <v>#N/A</v>
      </c>
      <c r="GZ86" s="55" t="e">
        <f>(IF(Исходн.данные.!M86&lt;50,0.11*VLOOKUP(Исходн.данные.!AH86,Культуры.Информация,7,FALSE),IF(Исходн.данные.!M86&gt;250,0.05*VLOOKUP(Исходн.данные.!AH86,Культуры.Информация,7,FALSE),VLOOKUP(Исходн.данные.!AH86,Культуры.Информация,5,FALSE)/100*($GX$6+$GY$6*Исходн.данные.!M86))))*Расчет2!AI86</f>
        <v>#N/A</v>
      </c>
      <c r="HA86" s="211"/>
      <c r="HB86" s="211"/>
      <c r="HC86" s="55" t="e">
        <f>(IF(Исходн.данные.!O86&lt;80,0.2*VLOOKUP(Исходн.данные.!AH86,Культуры.Информация,8,FALSE),IF(Исходн.данные.!O86&gt;240,0.09*VLOOKUP(Исходн.данные.!AH86,Культуры.Информация,8,FALSE),VLOOKUP(Исходн.данные.!AH86,Культуры.Информация,6,FALSE)/100*($HB$6+$HC$6*Исходн.данные.!O86))))*Расчет2!AJ86</f>
        <v>#N/A</v>
      </c>
      <c r="HD86" s="55">
        <f>IF(Исходн.данные.!O86&gt;240,0.09,IF(Исходн.данные.!O86&lt;30,0.3,$HE$10+$HD$10*Исходн.данные.!O86))</f>
        <v>0.3</v>
      </c>
      <c r="HE86" s="55">
        <f>IF(Исходн.данные.!O86&gt;240,0.17,IF(Исходн.данные.!O86&lt;30,0.5,$HF$12+$HE$12*Исходн.данные.!O86))</f>
        <v>0.5</v>
      </c>
      <c r="HF86" s="55" t="e">
        <f>VLOOKUP(Исходн.данные.!AH86,Справ!$A$3:$D$58,2,FALSE)</f>
        <v>#N/A</v>
      </c>
      <c r="HG86" s="55" t="e">
        <f>VLOOKUP(Исходн.данные.!AH86,Справ!$A$3:$D$58,3,FALSE)</f>
        <v>#N/A</v>
      </c>
      <c r="HH86" s="55" t="e">
        <f>VLOOKUP(Исходн.данные.!AH86,Справ!$A$3:$D$58,4,FALSE)</f>
        <v>#N/A</v>
      </c>
      <c r="HI86" s="11" t="e">
        <f t="shared" si="117"/>
        <v>#N/A</v>
      </c>
      <c r="HJ86" s="11" t="e">
        <f t="shared" si="118"/>
        <v>#N/A</v>
      </c>
      <c r="HK86" s="11" t="e">
        <f t="shared" si="119"/>
        <v>#N/A</v>
      </c>
      <c r="HL86" s="55">
        <f>IF(OR(Исходн.данные.!G86="Глин",Исходн.данные.!G86="Т_суг"),1.1,IF(Исходн.данные.!G86="Ср_суг",1,1))</f>
        <v>1</v>
      </c>
      <c r="HM86" s="55">
        <f>IF(OR(Исходн.данные.!G86="Глин",Исходн.данные.!G86="Т_суг"),0.9,IF(Исходн.данные.!G86="Ср_суг",1,1.2))</f>
        <v>1.2</v>
      </c>
      <c r="HN86" s="11" t="e">
        <f t="shared" si="120"/>
        <v>#N/A</v>
      </c>
      <c r="HO86" s="11" t="e">
        <f t="shared" si="121"/>
        <v>#N/A</v>
      </c>
      <c r="HP86" s="11" t="e">
        <f t="shared" si="122"/>
        <v>#N/A</v>
      </c>
      <c r="HQ86" t="e">
        <f t="shared" si="123"/>
        <v>#N/A</v>
      </c>
      <c r="HR86" t="e">
        <f t="shared" si="124"/>
        <v>#N/A</v>
      </c>
      <c r="HS86" t="e">
        <f t="shared" si="125"/>
        <v>#N/A</v>
      </c>
      <c r="HT86" t="e">
        <f t="shared" ref="HT86:HT149" si="145">GK86-HN86</f>
        <v>#N/A</v>
      </c>
      <c r="HU86" t="e">
        <f t="shared" ref="HU86:HU149" si="146">GK86-HO86</f>
        <v>#N/A</v>
      </c>
      <c r="HV86" t="e">
        <f t="shared" ref="HV86:HV149" si="147">GK86-HP86</f>
        <v>#N/A</v>
      </c>
      <c r="HW86" t="e">
        <f t="shared" ref="HW86:HW149" si="148">IF(GK86=0,HI86,HT86)</f>
        <v>#N/A</v>
      </c>
      <c r="HX86" t="e">
        <f t="shared" ref="HX86:HX149" si="149">IF(GK86=0,HJ86,HU86)</f>
        <v>#N/A</v>
      </c>
      <c r="HY86" t="e">
        <f t="shared" ref="HY86:HY149" si="150">IF(GK86=0,HK86,HV86)</f>
        <v>#N/A</v>
      </c>
      <c r="HZ86" s="55">
        <f>IF(OR(Исходн.данные.!AI86="Оз_Ч_П",Исходн.данные.!AI86="Оз_З_П",Исходн.данные.!AI86="Яр_зер"),12,30)</f>
        <v>30</v>
      </c>
      <c r="IA86" t="e">
        <f t="shared" si="126"/>
        <v>#N/A</v>
      </c>
      <c r="IB86" t="e">
        <f t="shared" si="127"/>
        <v>#N/A</v>
      </c>
      <c r="IC86" t="e">
        <f t="shared" si="128"/>
        <v>#N/A</v>
      </c>
      <c r="ID86" s="11" t="e">
        <f t="shared" si="129"/>
        <v>#N/A</v>
      </c>
      <c r="IE86" s="11" t="e">
        <f t="shared" si="130"/>
        <v>#N/A</v>
      </c>
      <c r="IF86" s="11" t="e">
        <f t="shared" si="131"/>
        <v>#N/A</v>
      </c>
    </row>
    <row r="87" spans="35:240" x14ac:dyDescent="0.2">
      <c r="AI87">
        <f>IF(Исходн.данные.!I87&gt;6,1,1.85-(0.148*Исходн.данные.!I87))</f>
        <v>1.85</v>
      </c>
      <c r="AJ87">
        <f>IF(Исходн.данные.!I87&gt;6,1,2.434-(0.246*Исходн.данные.!I87))</f>
        <v>2.4340000000000002</v>
      </c>
      <c r="AL87" s="148" t="b">
        <f>IF(Исходн.данные.!$P87="Ум",N_OrgUd_2g_um,IF(Исходн.данные.!$P87="Об",N_OrgUd_2g_ob))</f>
        <v>0</v>
      </c>
      <c r="AM87" s="148" t="b">
        <f>IF(Исходн.данные.!$P87="Ум",P_OrgUd_2g_um,IF(Исходн.данные.!$P87="Об",P_OrgUd_2g_ob))</f>
        <v>0</v>
      </c>
      <c r="AN87" s="148" t="b">
        <f>IF(Исходн.данные.!$P87="Ум",K_OrgUd_2g_um,IF(Исходн.данные.!$P87="Об",K_OrgUd_2g_ob))</f>
        <v>0</v>
      </c>
      <c r="AO87" s="148" t="b">
        <f>IF(Исходн.данные.!$P87="Ум",N_OrgUd_1g_um,IF(Исходн.данные.!$P87="Об",N_OrgUd_1g_ob))</f>
        <v>0</v>
      </c>
      <c r="AP87" s="148" t="b">
        <f>IF(Исходн.данные.!$P87="Ум",P_OrgUd_1g_um,IF(Исходн.данные.!$P87="Об",P_OrgUd_1g_ob))</f>
        <v>0</v>
      </c>
      <c r="AQ87" s="148" t="b">
        <f>IF(Исходн.данные.!$P87="Ум",K_OrgUd_1g_um,IF(Исходн.данные.!$P87="Об",K_OrgUd_1g_ob))</f>
        <v>0</v>
      </c>
      <c r="AR87" t="b">
        <f>IF(Исходн.данные.!$P87="Ум",N_MinUd_2g_um,IF(Исходн.данные.!$P87="Об",N_MinUd_2g_ob))</f>
        <v>0</v>
      </c>
      <c r="AS87" t="b">
        <f>IF(Исходн.данные.!$P87="Ум",P_MinUd_2g_um,IF(Исходн.данные.!$P87="Об",P_MinUd_2g_ob))</f>
        <v>0</v>
      </c>
      <c r="AT87" t="b">
        <f>IF(Исходн.данные.!$P87="Ум",K_MinUd_2g_um,IF(Исходн.данные.!$P87="Об",K_MinUd_2g_ob))</f>
        <v>0</v>
      </c>
      <c r="AU87" t="b">
        <f>IF(Исходн.данные.!$P87="Ум",N_MinUd_1g_um,IF(Исходн.данные.!$P87="Об",N_MinUd_1g_ob))</f>
        <v>0</v>
      </c>
      <c r="AV87" t="b">
        <f>IF(Исходн.данные.!P87="Ум",P_MinUd_1g_um,IF(Исходн.данные.!P87="Об",P_MinUd_1g_ob))</f>
        <v>0</v>
      </c>
      <c r="AW87" t="b">
        <f>IF(Исходн.данные.!P87="Ум",K_MinUd_1g_um,IF(Исходн.данные.!P87="Об",K_MinUd_1g_ob))</f>
        <v>0</v>
      </c>
      <c r="AY87" t="e">
        <f>VLOOKUP(Исходн.данные.!T87,Справ!$A$3:$N$57,12)</f>
        <v>#N/A</v>
      </c>
      <c r="AZ87" t="e">
        <f>VLOOKUP(Исходн.данные.!T87,Справ!$A$3:$N$57,13)</f>
        <v>#N/A</v>
      </c>
      <c r="BA87" t="e">
        <f>VLOOKUP(Исходн.данные.!T87,Справ!$A$3:$N$57,14)</f>
        <v>#N/A</v>
      </c>
      <c r="BB87">
        <f>IF(Исходн.данные.!AH87=0,0,25)</f>
        <v>0</v>
      </c>
      <c r="BC87" s="141">
        <f>IF(Исходн.данные.!AH87=0,0,IF(Исходн.данные.!T87=0,25,BD87))</f>
        <v>0</v>
      </c>
      <c r="BD87" s="168" t="e">
        <f>AY87+AZ87*Исходн.данные.!U87-POWER(BA87,2)*Исходн.данные.!U87</f>
        <v>#N/A</v>
      </c>
      <c r="BE8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7" s="25">
        <f>IF(Исходн.данные.!AH87=0,0,MIN(HN87:HP87))</f>
        <v>0</v>
      </c>
      <c r="BG87" s="9">
        <f>IF(Исходн.данные.!AH87=0,0,IF((HO87+10*0.25/HG87/HL87)&lt;17,17,HO87+10*0.25/HG87/HL87))</f>
        <v>0</v>
      </c>
      <c r="BH87" s="181">
        <f>IF(Исходн.данные.!AH87=0,0,HW87*HF87*HL87/AU87*AI87+Исходн.данные.!S87*10)</f>
        <v>0</v>
      </c>
      <c r="BI87" s="10"/>
      <c r="BJ87" s="182">
        <f>IF(Исходн.данные.!AH87=0,0,IF(HX87*HG87*HL87/AV87&lt;0,0,HX87*HG87*HL87/AV87*AJ87))</f>
        <v>0</v>
      </c>
      <c r="BK87" s="182">
        <f>IF(Исходн.данные.!AH87=0,0,HY87*HH87*HM87/AW87)</f>
        <v>0</v>
      </c>
      <c r="BL87" s="10">
        <f>IF(OR(Исходн.данные.!$AH87=$BP$1,Исходн.данные.!$AH87=$BP$2),0,IF(BH87&lt;0,0,IF(OR(Исходн.данные.!T87=Расчет!$BP$1,Исходн.данные.!T87=Расчет!$BP$2,Исходн.данные.!T87=Расчет!$BT$5,Исходн.данные.!T87=Расчет!$BT$6),BH87*0.5,IF(OR(Исходн.данные.!T87=Расчет!$BS$9,Исходн.данные.!T87=Расчет!$BS$10,Исходн.данные.!T87=Расчет!$BS$11,Исходн.данные.!T87=Расчет!$BS$12,Исходн.данные.!T87=Расчет!$BP$5),BH87*0.8,BH87))))</f>
        <v>0</v>
      </c>
      <c r="BM87" s="10">
        <f>IF(OR(Исходн.данные.!$AH87=$BP$1,Исходн.данные.!$AH87=$BP$2),0,IF(BJ87&lt;0,0,IF(Исходн.данные.!I87&lt;4.5,BJ87*1.2,IF(Исходн.данные.!I87&gt;5.1,BJ87,BJ87*((5.1-Исходн.данные.!I87)*0.333+1)))))</f>
        <v>0</v>
      </c>
      <c r="BN87" s="10">
        <f>IF(OR(Исходн.данные.!$AH87=$BP$1,Исходн.данные.!$AH87=$BP$2),60-Исходн.данные.!AF87,IF(BK87&lt;0,0,IF(Исходн.данные.!I87&lt;4.5,BK87*1.2,IF(Исходн.данные.!I87&gt;5.1,BK87,BK87*((5.1-Исходн.данные.!I87)*0.333+1)))))</f>
        <v>0</v>
      </c>
      <c r="BO87" s="9">
        <f>IF(BL87&lt;0,0,BL87*Исходн.данные.!$AJ87/1000)</f>
        <v>0</v>
      </c>
      <c r="BP87" s="9">
        <f>IF(BM87&lt;0,0,BM87*Исходн.данные.!$AJ87/1000)</f>
        <v>0</v>
      </c>
      <c r="BQ87" s="9">
        <f>IF(BN87&lt;0,0,BN87*Исходн.данные.!$AJ87/1000)</f>
        <v>0</v>
      </c>
      <c r="BR87" s="9">
        <f t="shared" si="81"/>
        <v>0</v>
      </c>
      <c r="BS87" s="10" t="str">
        <f t="shared" si="82"/>
        <v>Аммофос 12:52:00</v>
      </c>
      <c r="BT87" s="10" t="str">
        <f t="shared" si="83"/>
        <v>Аммофос 12:52:00</v>
      </c>
      <c r="BU87" s="10" t="str">
        <f t="shared" si="84"/>
        <v>Диаммофоска</v>
      </c>
      <c r="BV87" s="10">
        <f t="shared" si="85"/>
        <v>0</v>
      </c>
      <c r="BW87" s="10"/>
      <c r="BX87" s="10"/>
      <c r="BY87" s="9">
        <f>IF(BL87&lt;0,0,IF(OR(Исходн.данные.!AI87=Расчет!$BU$6,Исходн.данные.!AI87=Расчет!$BU$7),Расчет!BV87,IF(Исходн.данные.!$AG87=$BV$11,BL87,IF(OR(Исходн.данные.!$AH87=$BQ$7,Исходн.данные.!$AH87=$BQ$8),CB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0,IF(Исходн.данные.!$AI87=$BU$11,"Нет",IF(BL87&gt;30,30,BL87)))))))</f>
        <v>0</v>
      </c>
      <c r="BZ87" s="9">
        <f>IF(AND(Исходн.данные.!$AG87=$BV$11,BM87&lt;10),10,IF(Исходн.данные.!$AG87=$BV$11,BM87,IF(OR(Исходн.данные.!$AH87=$BQ$7,Исходн.данные.!$AH87=$BQ$8),CC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10,IF(Исходн.данные.!$AI87=$BU$11,"Нет",IF(BM87&gt;60,60,IF(BM87&lt;10,10,BM87)))))))</f>
        <v>10</v>
      </c>
      <c r="CA87" s="39">
        <f>IF(BN87&lt;0,0,IF(Исходн.данные.!$AG87=$BV$11,BN87,IF(OR(Исходн.данные.!$AH87=$BQ$7,Исходн.данные.!$AH87=$BQ$8),CD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0,IF(Исходн.данные.!$AI87=$BU$11,"Нет",IF(BN87&gt;30,30,BN87))))))</f>
        <v>0</v>
      </c>
      <c r="CB87" s="9">
        <f t="shared" si="86"/>
        <v>0</v>
      </c>
      <c r="CC87" s="9">
        <f t="shared" si="87"/>
        <v>0</v>
      </c>
      <c r="CD87" s="9">
        <f t="shared" si="88"/>
        <v>0</v>
      </c>
      <c r="CE87" s="12">
        <f t="shared" si="89"/>
        <v>10</v>
      </c>
      <c r="CF87" s="9">
        <f t="shared" si="90"/>
        <v>0</v>
      </c>
      <c r="CG87" s="9" t="s">
        <v>231</v>
      </c>
      <c r="CH87" s="132" t="str">
        <f>IF(Исходн.данные.!AP87=Расчет!$CI$16,"Нет",IF(Исходн.данные.!AL87&gt;0,Исходн.данные.!AL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BH$4,IF(OR(Исходн.данные.!AI87=Исходн.данные.!$AI$6,Исходн.данные.!AI87=Исходн.данные.!$AI$7),Расчет!BS87,IF(AND($CF87=0,$CE87&gt;0),EV87,ER87)))))</f>
        <v>Аммофос 12:52:00</v>
      </c>
      <c r="CI87" s="274">
        <f>IF(Расчет!$CH87="Нет","Нет",IF(Исходн.данные.!$AL87&gt;0,VLOOKUP(Расчет!$CH87,АшламаДВ_Irekle,2,FALSE),VLOOKUP(Расчет!$CH87,АшламаДВ_Gomumy,2,FALSE)))</f>
        <v>0.12</v>
      </c>
      <c r="CJ87" s="274">
        <f>IF(Расчет!$CH87="Нет","Нет",IF(Исходн.данные.!$AL87&gt;0,VLOOKUP(Расчет!$CH87,АшламаДВ_Irekle,3,FALSE),VLOOKUP(Расчет!$CH87,АшламаДВ_Gomumy,3,FALSE)))</f>
        <v>0.52</v>
      </c>
      <c r="CK87" s="274">
        <f>IF(Расчет!$CH87="Нет","Нет",IF(Исходн.данные.!$AL87&gt;0,VLOOKUP(Расчет!$CH87,АшламаДВ_Irekle,4,FALSE),VLOOKUP(Расчет!$CH87,АшламаДВ_Gomumy,4,FALSE)))</f>
        <v>0</v>
      </c>
      <c r="CL87" s="70"/>
      <c r="CM87" s="70"/>
      <c r="CN87" s="70"/>
      <c r="CO87" s="70"/>
      <c r="CP87" s="70"/>
      <c r="CQ87" s="70"/>
      <c r="CR87" s="10">
        <f t="shared" si="91"/>
        <v>0</v>
      </c>
      <c r="CS87" s="10">
        <f t="shared" si="92"/>
        <v>19.23076923076923</v>
      </c>
      <c r="CT87" s="10">
        <f t="shared" si="93"/>
        <v>0</v>
      </c>
      <c r="CU87" s="39">
        <f>IF($CH87="Нет",0,IF(CI87=0,30/MIN(CJ87:CK87),IF(Исходн.данные.!$AG87=$BV$11,CR87,IF(OR(Исходн.данные.!$AH87=$BQ$7,Исходн.данные.!$AH87=$BQ$8),90/CI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0,IF(Исходн.данные.!$AI87=$BU$11,"Нет",30/CI87))))))</f>
        <v>250</v>
      </c>
      <c r="CV87" s="39">
        <f>IF($CH87="Нет",0,IF(Исходн.данные.!AH87=0,0,IF(CJ87=0,60/MIN(CI87,CK87),IF(Исходн.данные.!$AG87=$BV$11,CS87,IF(OR(Исходн.данные.!$AH87=$BQ$7,Исходн.данные.!$AH87=$BQ$8),90/CJ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10/CJ87,IF(Исходн.данные.!$AI87=$BU$11,"Нет",60/CJ87)))))))</f>
        <v>0</v>
      </c>
      <c r="CW87" s="39">
        <f>IF($CH87="Нет",0,IF(Исходн.данные.!AH87=0,0,IF(CK87=0,30/MIN(CI87:CJ87),IF(Исходн.данные.!$AG87=$BV$11,CT87,IF(OR(Исходн.данные.!$AH87=$BQ$7,Исходн.данные.!$AH87=$BQ$8),90/CK87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0,IF(Исходн.данные.!$AI87=$BU$11,"Нет",30/CK87)))))))</f>
        <v>0</v>
      </c>
      <c r="CX87" s="133">
        <f>IF(Исходн.данные.!$AG87=$BV$11,MAX(CU87:CW87),IF(OR(Исходн.данные.!$AH87=$BS$8,Исходн.данные.!$AH87=$BQ$9,Исходн.данные.!$AH87=$BQ$10,Исходн.данные.!$AH87=$BQ$11,Исходн.данные.!$AH87=$BQ$12,Исходн.данные.!$AH87=$BP$3,Исходн.данные.!$AH87=$BT$8,$FM87="Да"),CV87,MIN(CU87:CW87)))</f>
        <v>0</v>
      </c>
      <c r="CY87" s="133">
        <f>IF(Исходн.данные.!AH87=0,0,IF(CR87&gt;$CX87,$CX87,CR87))</f>
        <v>0</v>
      </c>
      <c r="CZ87" s="133">
        <f>IF(Исходн.данные.!AH87=0,0,IF(CS87&gt;$CX87,$CX87,CS87))</f>
        <v>0</v>
      </c>
      <c r="DA87" s="133">
        <f>IF(Исходн.данные.!AH87=0,0,IF(CT87&gt;$CX87,$CX87,CT87))</f>
        <v>0</v>
      </c>
      <c r="DB87" s="10">
        <f t="shared" si="94"/>
        <v>0</v>
      </c>
      <c r="DC87" s="39">
        <f>DB87*Исходн.данные.!AJ87/1000</f>
        <v>0</v>
      </c>
      <c r="DD87" s="71">
        <f t="shared" si="95"/>
        <v>0</v>
      </c>
      <c r="DE87" s="9">
        <f t="shared" si="96"/>
        <v>0</v>
      </c>
      <c r="DF87" s="9">
        <f t="shared" si="97"/>
        <v>0</v>
      </c>
      <c r="DG87" s="39">
        <f>IF(BL87&lt;0,0,IF($CH87="Нет",BL87,IF(OR(Исходн.данные.!$AH87=$BP$1,Исходн.данные.!$AH87=$BP$2),0,IF(Исходн.данные.!AI87=$BU$11,BL87,IF(BL87-DD87&lt;0,0,BL87-DD87)))))</f>
        <v>0</v>
      </c>
      <c r="DH87" s="39">
        <f>IF(BM87&lt;0,0,IF($CH87="Нет",BM87,IF(OR(Исходн.данные.!$AH87=$BP$1,Исходн.данные.!$AH87=$BP$2),0,IF(Исходн.данные.!AJ87=$BU$11,BM87,IF(BM87-DE87&lt;0,0,BM87-DE87)))))</f>
        <v>0</v>
      </c>
      <c r="DI87" s="39">
        <f>IF(BN87&lt;0,0,IF($CH87="Нет",BN87,IF(OR(Исходн.данные.!$AH87=$BP$1,Исходн.данные.!$AH87=$BP$2),0,IF(Исходн.данные.!AK87=$BU$11,BN87,IF(BN87-DF87&lt;0,0,BN87-DF87)))))</f>
        <v>0</v>
      </c>
      <c r="DJ87" s="12">
        <f t="shared" si="98"/>
        <v>0</v>
      </c>
      <c r="DK87" s="9">
        <f t="shared" si="99"/>
        <v>0</v>
      </c>
      <c r="DL87" s="39">
        <f>IF(Исходн.данные.!AM87&gt;0,Исходн.данные.!AM87,IF(EG87&gt;0,$BH$10,0))</f>
        <v>0</v>
      </c>
      <c r="DM87" s="186">
        <f>IF($DL87=0,0,IF(Исходн.данные.!AM87&gt;0,VLOOKUP($DL87,АшламаДВ_Irekle,2,FALSE),VLOOKUP($DL87,АшламаДВ_Gomumy,2,FALSE)))</f>
        <v>0</v>
      </c>
      <c r="DN87" s="10">
        <f t="shared" ref="DN87:DN150" si="151">IF(DL87=0,0,EG87/DM87)</f>
        <v>0</v>
      </c>
      <c r="DO87" s="9" t="str">
        <f>IF(Исходн.данные.!AN87&gt;0,Исходн.данные.!AN87,Удобрения!$B$37 )</f>
        <v>Хлор.калий</v>
      </c>
      <c r="DP87" s="9">
        <f>IF(Исходн.данные.!AN87&gt;0,VLOOKUP(Исходн.данные.!AN87,АшламаДВ_Irekle,4,FALSE),VLOOKUP(DO87,АшламаДВ_Gomumy,4,FALSE))</f>
        <v>0.6</v>
      </c>
      <c r="DQ87" s="10">
        <f t="shared" ref="DQ87:DQ150" si="152">IF(OR(EH87=0,EH87&lt;0),0,EH87/DP87)</f>
        <v>0</v>
      </c>
      <c r="DR87" s="132" t="str">
        <f>IF(Исходн.данные.!AO87&gt;0,Исходн.данные.!AO87,IF(DH87=0,BS$17,IF(AND($DK87=0,$DJ87&gt;0),EJ87,EN87)))</f>
        <v>Нет</v>
      </c>
      <c r="DS87" s="70" t="str">
        <f>IF($DR87="Нет","Нет",IF(Исходн.данные.!$AO87&gt;0,VLOOKUP($DR87,АшламаДВ_Irekle,2,FALSE),VLOOKUP($DR87,АшламаДВ_Gomumy,2,FALSE)))</f>
        <v>Нет</v>
      </c>
      <c r="DT87" s="70" t="str">
        <f>IF($DR87="Нет","Нет",IF(Исходн.данные.!$AO87&gt;0,VLOOKUP($DR87,АшламаДВ_Irekle,3,FALSE),VLOOKUP($DR87,АшламаДВ_Gomumy,3,FALSE)))</f>
        <v>Нет</v>
      </c>
      <c r="DU87" s="70" t="str">
        <f>IF($DR87="Нет","Нет",IF(Исходн.данные.!$AO87&gt;0,VLOOKUP($DR87,АшламаДВ_Irekle,4,FALSE),VLOOKUP($DR87,АшламаДВ_Gomumy,4,FALSE)))</f>
        <v>Нет</v>
      </c>
      <c r="DV87" s="70"/>
      <c r="DW87" s="70"/>
      <c r="DX87" s="70"/>
      <c r="DY87" s="10">
        <f t="shared" si="100"/>
        <v>0</v>
      </c>
      <c r="DZ87" s="10">
        <f t="shared" si="101"/>
        <v>0</v>
      </c>
      <c r="EA87" s="10">
        <f t="shared" si="102"/>
        <v>0</v>
      </c>
      <c r="EB87" s="10">
        <f t="shared" si="103"/>
        <v>0</v>
      </c>
      <c r="EC87" s="10">
        <f t="shared" si="104"/>
        <v>0</v>
      </c>
      <c r="ED87" s="10">
        <f t="shared" si="105"/>
        <v>0</v>
      </c>
      <c r="EE87" s="10">
        <f t="shared" si="106"/>
        <v>0</v>
      </c>
      <c r="EF87" s="39">
        <f>EB87*Исходн.данные.!AJ87/1000</f>
        <v>0</v>
      </c>
      <c r="EG87" s="9">
        <f t="shared" si="107"/>
        <v>0</v>
      </c>
      <c r="EH87" s="9">
        <f t="shared" si="108"/>
        <v>0</v>
      </c>
      <c r="EI87" s="39" t="e">
        <f t="shared" si="132"/>
        <v>#DIV/0!</v>
      </c>
      <c r="EJ87" s="9" t="str">
        <f t="shared" ref="EJ87:EJ150" si="153">IF($DJ87&gt;2.6,BH$4,IF($DJ87&gt;0.9,BH$3,IF($DJ87&gt;0.5,BH$2,BH$1)))</f>
        <v>Азопреципитат</v>
      </c>
      <c r="EK87" s="12">
        <f t="shared" si="133"/>
        <v>0.26</v>
      </c>
      <c r="EL87" s="12">
        <f t="shared" si="134"/>
        <v>0.13</v>
      </c>
      <c r="EM87" s="12">
        <f t="shared" si="135"/>
        <v>0</v>
      </c>
      <c r="EN87" s="12" t="str">
        <f t="shared" ref="EN87:EN150" si="154">IF(DH87=0,"Нет",IF($DK87&gt;1.4,BS$14,IF($DJ87&gt;2.2,BH$9,IF($DJ87&gt;1.5,BH$8,IF($DJ87&gt;1,BH$7,IF($DJ87&gt;0.5,BH$6,BH$5))))))</f>
        <v>Нет</v>
      </c>
      <c r="EO87" s="12">
        <f t="shared" si="136"/>
        <v>0</v>
      </c>
      <c r="EP87" s="12">
        <f t="shared" si="137"/>
        <v>0</v>
      </c>
      <c r="EQ87" s="12">
        <f t="shared" si="138"/>
        <v>0</v>
      </c>
      <c r="ER87" s="12" t="str">
        <f t="shared" si="109"/>
        <v>Диаммофоска</v>
      </c>
      <c r="ES87" s="12">
        <f t="shared" si="139"/>
        <v>0.1</v>
      </c>
      <c r="ET87" s="12">
        <f t="shared" si="140"/>
        <v>0.26</v>
      </c>
      <c r="EU87" s="12">
        <f t="shared" si="141"/>
        <v>0.26</v>
      </c>
      <c r="EV87" s="12" t="str">
        <f t="shared" si="110"/>
        <v>Аммофос 12:52:00</v>
      </c>
      <c r="EW87" s="12" t="str">
        <f t="shared" si="111"/>
        <v>Кемира Свекловичное-6</v>
      </c>
      <c r="EX87" s="12">
        <f t="shared" si="142"/>
        <v>0.16</v>
      </c>
      <c r="EY87" s="12">
        <f t="shared" si="143"/>
        <v>0.12</v>
      </c>
      <c r="EZ87" s="12">
        <f t="shared" si="144"/>
        <v>0.17</v>
      </c>
      <c r="FA87" s="38" t="e">
        <f>IF(AND(OR(FJ87=$FD$1,FM87=$FD$1,FO87=$FD$1,FQ87=$FD$1,FS87=$FD$1),FD87=$FD$1,Исходн.данные.!J87&lt;2,FU87=$FD$1),"Бор,Кобальт",IF(AND(FO87=$FD$1,FH87=$FD$1,Исходн.данные.!J87&lt;2,FU87=$FD$1),"Бор,Кобальт",IF(AND(OR(FJ87=$FD$1,FM87=$FD$1,FQ87=$FD$1),FE87=$FD$1,Исходн.данные.!J87&lt;2,FT87=$FD$1,FU87=$FD$1),"Бор,Медь,Цинк",IF(AND(OR(FJ87=$FD$1,FR87="Да"),FI87="Да",Исходн.данные.!J87&lt;2,FT87="Да",FU87="Да"),"Бор,Цинк,Медь",IF(AND(OR(FM87="Да",FQ87="Да"),FI87="Да",Исходн.данные.!J87&lt;2,FT87="Да",FU87="Да"),"Бор,Цинк",IF(AND(FN87="Да",OR(FD87="Да",FE87="Да")),"Бор",FB87))))))</f>
        <v>#N/A</v>
      </c>
      <c r="FB87" s="134" t="e">
        <f>IF(AND(OR(FD87="Да",FE87="Да",FF87="Да",FG87="Да",FH87="Да"),FO87="Да"),"Бор",IF(AND(FP87="Да",OR(FD87="Да",FE87="Да",FI87="Да")),"Бор",IF(AND(FS87="Да",FE87="Да"),"Бор,Медь",IF(AND(OR(FJ87="Да",FK87="Да",FL87="Да"),FE87="Да",Исходн.данные.!I87&lt;5,FT87="Да",FU87="Да"),"Молибден,Цинк",IF(AND(FM87="Да",OR(FE87="Да",FF87="Да",FG87="Да",FH87="Да",FI87="Да")),"Молибден,Цинк",IF(AND(OR(FJ87="Да",FK87="Да",FL87="Да",FM87="Да",FQ87="Да"),OR(FE87="Да",FF87="Да"),FT87="Да",FU87="Да",Исходн.данные.!I87&gt;5.5),"Медь,Цинк",FC87))))))</f>
        <v>#N/A</v>
      </c>
      <c r="FC87" s="23" t="e">
        <f t="shared" si="112"/>
        <v>#N/A</v>
      </c>
      <c r="FD87" s="38" t="str">
        <f>IF(OR(Исходн.данные.!F87=$CC$1,Исходн.данные.!F87=$CC$2,Исходн.данные.!F87=$CC$3,Исходн.данные.!F87=$CC$4),"Да","Нет")</f>
        <v>Нет</v>
      </c>
      <c r="FE87" s="38" t="str">
        <f>IF(Исходн.данные.!F87=$CC$5,"Да","Нет")</f>
        <v>Нет</v>
      </c>
      <c r="FF87" s="38" t="str">
        <f>IF(OR(Исходн.данные.!F87=$CC$6,Исходн.данные.!F87=$CC$7),"Да","Нет")</f>
        <v>Нет</v>
      </c>
      <c r="FG87" s="38" t="str">
        <f>IF(OR(Исходн.данные.!F87=$CC$8,Исходн.данные.!F87=$CC$9),"Да","Нет")</f>
        <v>Нет</v>
      </c>
      <c r="FH87" s="38" t="str">
        <f>IF(Исходн.данные.!F87=$CC$10,"Да","Нет")</f>
        <v>Нет</v>
      </c>
      <c r="FI87" s="38" t="str">
        <f>IF(OR(Исходн.данные.!F87=$CC$11,Исходн.данные.!F87=$CC$12),"Да","Нет")</f>
        <v>Нет</v>
      </c>
      <c r="FJ87" s="38" t="str">
        <f>IF(OR(Исходн.данные.!AH87=$BS$1,Исходн.данные.!AH87=$BQ$11,Исходн.данные.!AH87=$BQ$12),"Да","Нет")</f>
        <v>Нет</v>
      </c>
      <c r="FK87" s="38" t="str">
        <f>IF(OR(Исходн.данные.!AH87=$BS$2,Исходн.данные.!AH87=$BS$4),"Да","Нет")</f>
        <v>Нет</v>
      </c>
      <c r="FL87" s="38" t="str">
        <f>IF(OR(Исходн.данные.!AH87=$BS$3,Исходн.данные.!AH87=$BS$5),"Да","Нет")</f>
        <v>Нет</v>
      </c>
      <c r="FM87" s="38" t="str">
        <f>IF(OR(Исходн.данные.!AH87=$BS$9,Исходн.данные.!AH87=$BS$10,Исходн.данные.!AH87=$BS$11,Исходн.данные.!AH87=$BS$12),"Да","Нет")</f>
        <v>Нет</v>
      </c>
      <c r="FN87" s="38" t="str">
        <f>IF(OR(Исходн.данные.!AH87=$BS$6,Исходн.данные.!AH87=$BP$3),"Да","Нет")</f>
        <v>Нет</v>
      </c>
      <c r="FO87" s="38" t="str">
        <f>IF(Исходн.данные.!AH87=$BQ$9,"Да","Нет")</f>
        <v>Нет</v>
      </c>
      <c r="FP87" s="38" t="str">
        <f>IF(OR(Исходн.данные.!AH87=$BS$8,Исходн.данные.!AH87=$BT$8),"Да","Нет")</f>
        <v>Нет</v>
      </c>
      <c r="FQ87" s="38" t="str">
        <f>IF(OR(Исходн.данные.!AH87=$BQ$7,Исходн.данные.!AH87=$BQ$8),"Да","Нет")</f>
        <v>Нет</v>
      </c>
      <c r="FR87" s="38" t="str">
        <f>IF(Исходн.данные.!AI87=$BU$9,"Да","Нет")</f>
        <v>Нет</v>
      </c>
      <c r="FS87" s="38" t="str">
        <f>IF(OR(Исходн.данные.!AH87=$BP$1,Исходн.данные.!AH87=$BP$2),"Да","Нет")</f>
        <v>Нет</v>
      </c>
      <c r="FT87" s="38" t="e">
        <f>IF((Исходн.данные.!K87*GO87*GS87*GW87+BL87*0.6+Исходн.данные.!Q87*4.5*0.275)&gt;90,"Да","Нет")</f>
        <v>#N/A</v>
      </c>
      <c r="FU87" s="38" t="e">
        <f>IF((Исходн.данные.!M87*GS87*GZ87+BM87*0.225)&gt;35,"Да","Нет")</f>
        <v>#N/A</v>
      </c>
      <c r="FV87" s="38" t="str">
        <f>IF(Исходн.данные.!O87&gt;175,"Да","Нет")</f>
        <v>Нет</v>
      </c>
      <c r="FW87" s="39" t="str">
        <f>IF(Исходн.данные.!I87&gt;5.5,"Да","Нет")</f>
        <v>Нет</v>
      </c>
      <c r="FX87" s="39" t="str">
        <f>IF(Исходн.данные.!J87&lt;2,"Да","Нет")</f>
        <v>Да</v>
      </c>
      <c r="FY87" s="39" t="e">
        <f>IF(HF87=$FY$16,0,Исходн.данные.!K87*GO87*GS87*GW87/HF87)</f>
        <v>#N/A</v>
      </c>
      <c r="FZ87" s="39" t="e">
        <f>Исходн.данные.!M87*GS87*GZ87/HG87</f>
        <v>#N/A</v>
      </c>
      <c r="GA87" s="39" t="e">
        <f>IF(K_Wyn=$FY$16,0,IF(Исходн.данные.!N87=Исходн.данные.!$L$10,Исходн.данные.!O87/1.1*GS87*HC87/HH87,IF(Исходн.данные.!N87=Исходн.данные.!$L$12,Исходн.данные.!O87/1.5*GS87*HC87/HH87,Исходн.данные.!O87*GS87*HC87/HH87)))</f>
        <v>#N/A</v>
      </c>
      <c r="GB87" s="39" t="e">
        <f>IF(HF87=$FY$16,0,((Исходн.данные.!Q87*N_Org+Исходн.данные.!R87*N_Sider+Исходн.данные.!S87*N_Soloma)*AO87+Расчет!BC87*VLOOKUP(Исходн.данные.!T87,Справ!$A$3:$O$57,15)*AO87+BB87*VLOOKUP(Исходн.данные.!T87,Справ!$A$3:$O$57,15)*AL87+(Исходн.данные.!V87*N_Rizotorf+Исходн.данные.!W87*N_Rizoagr))/HF87)</f>
        <v>#N/A</v>
      </c>
      <c r="GC87" s="39" t="e">
        <f>IF(HG87=$FY$16,0,((Исходн.данные.!Q87*Р_Org+Исходн.данные.!R87*P_Sider+Исходн.данные.!S87*P_Soloma)*AP87+Расчет!BC87*VLOOKUP(Исходн.данные.!T87,Справ!$A$3:$P$57,16)*AP87+BB87*VLOOKUP(Исходн.данные.!T87,Справ!$A$3:$P$57,16)*AM87)/HG87)</f>
        <v>#N/A</v>
      </c>
      <c r="GD87" s="39" t="e">
        <f>IF(HH87=$FY$16,0,((Исходн.данные.!Q87*К_Org+Исходн.данные.!R87*K_Sider+Исходн.данные.!S87*K_Soloma)*AQ87+Расчет!BC87*VLOOKUP(Исходн.данные.!T87,Справ!$A$3:$Q$57,17)*AQ87+BB87*VLOOKUP(Исходн.данные.!T87,Справ!$A$3:$Q$57,17)*AN87)/HH87)</f>
        <v>#N/A</v>
      </c>
      <c r="GE87" s="39" t="e">
        <f>IF(HF87=$FY$16,0,(Исходн.данные.!X87*AR87+Исходн.данные.!AA87*N_Org*AL87+Исходн.данные.!AB87*N_Sider*AL87+Исходн.данные.!AC87*N_Soloma*AL87)/HF87)</f>
        <v>#N/A</v>
      </c>
      <c r="GF87" s="39" t="e">
        <f>IF(HG87=$FY$16,0,(Исходн.данные.!Y87*AS87+Исходн.данные.!AA87*Р_Org*AM87+Исходн.данные.!AB87*P_Sider*AM87+Исходн.данные.!AC87*P_Soloma*AM87)/HG87)</f>
        <v>#N/A</v>
      </c>
      <c r="GG87" s="39" t="e">
        <f>IF(HH87=$FY$16,0,(Исходн.данные.!Z87*AT87+Исходн.данные.!AA87*К_Org*AN87+Исходн.данные.!AB87*K_Sider*AN87+Исходн.данные.!AC87*K_Soloma*AN87)/HH87)</f>
        <v>#N/A</v>
      </c>
      <c r="GH87" s="39" t="e">
        <f>Исходн.данные.!AD87*AU87/HF87</f>
        <v>#N/A</v>
      </c>
      <c r="GI87" s="39" t="e">
        <f>Исходн.данные.!AE87*AV87/HG87</f>
        <v>#N/A</v>
      </c>
      <c r="GJ87" s="39" t="e">
        <f>Исходн.данные.!AF87*AW87/HH87</f>
        <v>#N/A</v>
      </c>
      <c r="GK87" s="55">
        <f>Исходн.данные.!AK87</f>
        <v>0</v>
      </c>
      <c r="GL87" s="11" t="e">
        <f t="shared" si="113"/>
        <v>#N/A</v>
      </c>
      <c r="GM87" s="11" t="e">
        <f t="shared" si="114"/>
        <v>#N/A</v>
      </c>
      <c r="GN87" s="11" t="e">
        <f t="shared" si="115"/>
        <v>#N/A</v>
      </c>
      <c r="GO87" s="57">
        <f t="shared" si="116"/>
        <v>19</v>
      </c>
      <c r="GP87" s="55">
        <f>IF(OR(Исходн.данные.!F87=$CE$1,Исходн.данные.!F87=$CE$2,Исходн.данные.!F87=$CE$3,Исходн.данные.!F87=$CE$4,Исходн.данные.!F87=$CE$5),GQ87,GR87)</f>
        <v>19</v>
      </c>
      <c r="GQ87" s="55">
        <f>IF(Исходн.данные.!F87=$CE$1,28,IF(Исходн.данные.!F87=$CE$2,26,IF(Исходн.данные.!F87=$CE$3,24,IF(Исходн.данные.!F87=$CE$4,22,IF(Исходн.данные.!F87=$CE$5,20,GR87)))))</f>
        <v>19</v>
      </c>
      <c r="GR87" s="55">
        <f>IF(Исходн.данные.!F87=$CE$6,18,IF(Исходн.данные.!F87=$CE$7,16,IF(Исходн.данные.!F87=$CE$8,14,IF(Исходн.данные.!F87=$CE$9,13,IF(Исходн.данные.!F87=$CE$10,12,19)))))</f>
        <v>19</v>
      </c>
      <c r="GS87" s="55">
        <f>IF(Исходн.данные.!G87="Пес",0.035*(40+2*Исходн.данные.!H87),IF(Исходн.данные.!G87="Суп",0.0325*(40+2*Исходн.данные.!H87),0.03*(40+2*Исходн.данные.!H87)))</f>
        <v>1.2</v>
      </c>
      <c r="GT87" s="55">
        <f>IF(Исходн.данные.!H87&lt;23,2.6,IF(AND(Исходн.данные.!H87&gt;22,Исходн.данные.!H87&lt;26),3,IF(AND(Исходн.данные.!H87&gt;25,Исходн.данные.!H87&lt;29),3.4,3.6)))</f>
        <v>2.6</v>
      </c>
      <c r="GU87" s="55">
        <f>IF(Исходн.данные.!H87&lt;23,2.8,IF(AND(Исходн.данные.!H87&gt;22,Исходн.данные.!H87&lt;26),3.2,IF(AND(Исходн.данные.!H87&gt;25,Исходн.данные.!H87&lt;29),3.6,3.9)))</f>
        <v>2.8</v>
      </c>
      <c r="GV87" s="55">
        <f>IF(Исходн.данные.!H87&lt;23,3,IF(AND(Исходн.данные.!H87&gt;22,Исходн.данные.!H87&lt;26),3.5,IF(AND(Исходн.данные.!H87&gt;25,Исходн.данные.!H87&lt;29),3.9,4.2)))</f>
        <v>3</v>
      </c>
      <c r="GW87" s="55" t="e">
        <f>IF(Исходн.данные.!P87="Ум",GX87,GY87)</f>
        <v>#N/A</v>
      </c>
      <c r="GX87" s="55" t="e">
        <f>VLOOKUP(Исходн.данные.!AI87,Коэффициенты!$J$7:$L$13,2,FALSE)</f>
        <v>#N/A</v>
      </c>
      <c r="GY87" s="55" t="e">
        <f>VLOOKUP(Исходн.данные.!AI87,Коэффициенты!$J$7:$L$13,3,FALSE)</f>
        <v>#N/A</v>
      </c>
      <c r="GZ87" s="55" t="e">
        <f>(IF(Исходн.данные.!M87&lt;50,0.11*VLOOKUP(Исходн.данные.!AH87,Культуры.Информация,7,FALSE),IF(Исходн.данные.!M87&gt;250,0.05*VLOOKUP(Исходн.данные.!AH87,Культуры.Информация,7,FALSE),VLOOKUP(Исходн.данные.!AH87,Культуры.Информация,5,FALSE)/100*($GX$6+$GY$6*Исходн.данные.!M87))))*Расчет2!AI87</f>
        <v>#N/A</v>
      </c>
      <c r="HA87" s="211"/>
      <c r="HB87" s="211"/>
      <c r="HC87" s="55" t="e">
        <f>(IF(Исходн.данные.!O87&lt;80,0.2*VLOOKUP(Исходн.данные.!AH87,Культуры.Информация,8,FALSE),IF(Исходн.данные.!O87&gt;240,0.09*VLOOKUP(Исходн.данные.!AH87,Культуры.Информация,8,FALSE),VLOOKUP(Исходн.данные.!AH87,Культуры.Информация,6,FALSE)/100*($HB$6+$HC$6*Исходн.данные.!O87))))*Расчет2!AJ87</f>
        <v>#N/A</v>
      </c>
      <c r="HD87" s="55">
        <f>IF(Исходн.данные.!O87&gt;240,0.09,IF(Исходн.данные.!O87&lt;30,0.3,$HE$10+$HD$10*Исходн.данные.!O87))</f>
        <v>0.3</v>
      </c>
      <c r="HE87" s="55">
        <f>IF(Исходн.данные.!O87&gt;240,0.17,IF(Исходн.данные.!O87&lt;30,0.5,$HF$12+$HE$12*Исходн.данные.!O87))</f>
        <v>0.5</v>
      </c>
      <c r="HF87" s="55" t="e">
        <f>VLOOKUP(Исходн.данные.!AH87,Справ!$A$3:$D$58,2,FALSE)</f>
        <v>#N/A</v>
      </c>
      <c r="HG87" s="55" t="e">
        <f>VLOOKUP(Исходн.данные.!AH87,Справ!$A$3:$D$58,3,FALSE)</f>
        <v>#N/A</v>
      </c>
      <c r="HH87" s="55" t="e">
        <f>VLOOKUP(Исходн.данные.!AH87,Справ!$A$3:$D$58,4,FALSE)</f>
        <v>#N/A</v>
      </c>
      <c r="HI87" s="11" t="e">
        <f t="shared" si="117"/>
        <v>#N/A</v>
      </c>
      <c r="HJ87" s="11" t="e">
        <f t="shared" si="118"/>
        <v>#N/A</v>
      </c>
      <c r="HK87" s="11" t="e">
        <f t="shared" si="119"/>
        <v>#N/A</v>
      </c>
      <c r="HL87" s="55">
        <f>IF(OR(Исходн.данные.!G87="Глин",Исходн.данные.!G87="Т_суг"),1.1,IF(Исходн.данные.!G87="Ср_суг",1,1))</f>
        <v>1</v>
      </c>
      <c r="HM87" s="55">
        <f>IF(OR(Исходн.данные.!G87="Глин",Исходн.данные.!G87="Т_суг"),0.9,IF(Исходн.данные.!G87="Ср_суг",1,1.2))</f>
        <v>1.2</v>
      </c>
      <c r="HN87" s="11" t="e">
        <f t="shared" si="120"/>
        <v>#N/A</v>
      </c>
      <c r="HO87" s="11" t="e">
        <f t="shared" si="121"/>
        <v>#N/A</v>
      </c>
      <c r="HP87" s="11" t="e">
        <f t="shared" si="122"/>
        <v>#N/A</v>
      </c>
      <c r="HQ87" t="e">
        <f t="shared" si="123"/>
        <v>#N/A</v>
      </c>
      <c r="HR87" t="e">
        <f t="shared" si="124"/>
        <v>#N/A</v>
      </c>
      <c r="HS87" t="e">
        <f t="shared" si="125"/>
        <v>#N/A</v>
      </c>
      <c r="HT87" t="e">
        <f t="shared" si="145"/>
        <v>#N/A</v>
      </c>
      <c r="HU87" t="e">
        <f t="shared" si="146"/>
        <v>#N/A</v>
      </c>
      <c r="HV87" t="e">
        <f t="shared" si="147"/>
        <v>#N/A</v>
      </c>
      <c r="HW87" t="e">
        <f t="shared" si="148"/>
        <v>#N/A</v>
      </c>
      <c r="HX87" t="e">
        <f t="shared" si="149"/>
        <v>#N/A</v>
      </c>
      <c r="HY87" t="e">
        <f t="shared" si="150"/>
        <v>#N/A</v>
      </c>
      <c r="HZ87" s="55">
        <f>IF(OR(Исходн.данные.!AI87="Оз_Ч_П",Исходн.данные.!AI87="Оз_З_П",Исходн.данные.!AI87="Яр_зер"),12,30)</f>
        <v>30</v>
      </c>
      <c r="IA87" t="e">
        <f t="shared" si="126"/>
        <v>#N/A</v>
      </c>
      <c r="IB87" t="e">
        <f t="shared" si="127"/>
        <v>#N/A</v>
      </c>
      <c r="IC87" t="e">
        <f t="shared" si="128"/>
        <v>#N/A</v>
      </c>
      <c r="ID87" s="11" t="e">
        <f t="shared" si="129"/>
        <v>#N/A</v>
      </c>
      <c r="IE87" s="11" t="e">
        <f t="shared" si="130"/>
        <v>#N/A</v>
      </c>
      <c r="IF87" s="11" t="e">
        <f t="shared" si="131"/>
        <v>#N/A</v>
      </c>
    </row>
    <row r="88" spans="35:240" x14ac:dyDescent="0.2">
      <c r="AI88">
        <f>IF(Исходн.данные.!I88&gt;6,1,1.85-(0.148*Исходн.данные.!I88))</f>
        <v>1.85</v>
      </c>
      <c r="AJ88">
        <f>IF(Исходн.данные.!I88&gt;6,1,2.434-(0.246*Исходн.данные.!I88))</f>
        <v>2.4340000000000002</v>
      </c>
      <c r="AL88" s="148" t="b">
        <f>IF(Исходн.данные.!$P88="Ум",N_OrgUd_2g_um,IF(Исходн.данные.!$P88="Об",N_OrgUd_2g_ob))</f>
        <v>0</v>
      </c>
      <c r="AM88" s="148" t="b">
        <f>IF(Исходн.данные.!$P88="Ум",P_OrgUd_2g_um,IF(Исходн.данные.!$P88="Об",P_OrgUd_2g_ob))</f>
        <v>0</v>
      </c>
      <c r="AN88" s="148" t="b">
        <f>IF(Исходн.данные.!$P88="Ум",K_OrgUd_2g_um,IF(Исходн.данные.!$P88="Об",K_OrgUd_2g_ob))</f>
        <v>0</v>
      </c>
      <c r="AO88" s="148" t="b">
        <f>IF(Исходн.данные.!$P88="Ум",N_OrgUd_1g_um,IF(Исходн.данные.!$P88="Об",N_OrgUd_1g_ob))</f>
        <v>0</v>
      </c>
      <c r="AP88" s="148" t="b">
        <f>IF(Исходн.данные.!$P88="Ум",P_OrgUd_1g_um,IF(Исходн.данные.!$P88="Об",P_OrgUd_1g_ob))</f>
        <v>0</v>
      </c>
      <c r="AQ88" s="148" t="b">
        <f>IF(Исходн.данные.!$P88="Ум",K_OrgUd_1g_um,IF(Исходн.данные.!$P88="Об",K_OrgUd_1g_ob))</f>
        <v>0</v>
      </c>
      <c r="AR88" t="b">
        <f>IF(Исходн.данные.!$P88="Ум",N_MinUd_2g_um,IF(Исходн.данные.!$P88="Об",N_MinUd_2g_ob))</f>
        <v>0</v>
      </c>
      <c r="AS88" t="b">
        <f>IF(Исходн.данные.!$P88="Ум",P_MinUd_2g_um,IF(Исходн.данные.!$P88="Об",P_MinUd_2g_ob))</f>
        <v>0</v>
      </c>
      <c r="AT88" t="b">
        <f>IF(Исходн.данные.!$P88="Ум",K_MinUd_2g_um,IF(Исходн.данные.!$P88="Об",K_MinUd_2g_ob))</f>
        <v>0</v>
      </c>
      <c r="AU88" t="b">
        <f>IF(Исходн.данные.!$P88="Ум",N_MinUd_1g_um,IF(Исходн.данные.!$P88="Об",N_MinUd_1g_ob))</f>
        <v>0</v>
      </c>
      <c r="AV88" t="b">
        <f>IF(Исходн.данные.!P88="Ум",P_MinUd_1g_um,IF(Исходн.данные.!P88="Об",P_MinUd_1g_ob))</f>
        <v>0</v>
      </c>
      <c r="AW88" t="b">
        <f>IF(Исходн.данные.!P88="Ум",K_MinUd_1g_um,IF(Исходн.данные.!P88="Об",K_MinUd_1g_ob))</f>
        <v>0</v>
      </c>
      <c r="AY88" t="e">
        <f>VLOOKUP(Исходн.данные.!T88,Справ!$A$3:$N$57,12)</f>
        <v>#N/A</v>
      </c>
      <c r="AZ88" t="e">
        <f>VLOOKUP(Исходн.данные.!T88,Справ!$A$3:$N$57,13)</f>
        <v>#N/A</v>
      </c>
      <c r="BA88" t="e">
        <f>VLOOKUP(Исходн.данные.!T88,Справ!$A$3:$N$57,14)</f>
        <v>#N/A</v>
      </c>
      <c r="BB88">
        <f>IF(Исходн.данные.!AH88=0,0,25)</f>
        <v>0</v>
      </c>
      <c r="BC88" s="141">
        <f>IF(Исходн.данные.!AH88=0,0,IF(Исходн.данные.!T88=0,25,BD88))</f>
        <v>0</v>
      </c>
      <c r="BD88" s="168" t="e">
        <f>AY88+AZ88*Исходн.данные.!U88-POWER(BA88,2)*Исходн.данные.!U88</f>
        <v>#N/A</v>
      </c>
      <c r="BE8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8" s="25">
        <f>IF(Исходн.данные.!AH88=0,0,MIN(HN88:HP88))</f>
        <v>0</v>
      </c>
      <c r="BG88" s="9">
        <f>IF(Исходн.данные.!AH88=0,0,IF((HO88+10*0.25/HG88/HL88)&lt;17,17,HO88+10*0.25/HG88/HL88))</f>
        <v>0</v>
      </c>
      <c r="BH88" s="181">
        <f>IF(Исходн.данные.!AH88=0,0,HW88*HF88*HL88/AU88*AI88+Исходн.данные.!S88*10)</f>
        <v>0</v>
      </c>
      <c r="BI88" s="10"/>
      <c r="BJ88" s="182">
        <f>IF(Исходн.данные.!AH88=0,0,IF(HX88*HG88*HL88/AV88&lt;0,0,HX88*HG88*HL88/AV88*AJ88))</f>
        <v>0</v>
      </c>
      <c r="BK88" s="182">
        <f>IF(Исходн.данные.!AH88=0,0,HY88*HH88*HM88/AW88)</f>
        <v>0</v>
      </c>
      <c r="BL88" s="10">
        <f>IF(OR(Исходн.данные.!$AH88=$BP$1,Исходн.данные.!$AH88=$BP$2),0,IF(BH88&lt;0,0,IF(OR(Исходн.данные.!T88=Расчет!$BP$1,Исходн.данные.!T88=Расчет!$BP$2,Исходн.данные.!T88=Расчет!$BT$5,Исходн.данные.!T88=Расчет!$BT$6),BH88*0.5,IF(OR(Исходн.данные.!T88=Расчет!$BS$9,Исходн.данные.!T88=Расчет!$BS$10,Исходн.данные.!T88=Расчет!$BS$11,Исходн.данные.!T88=Расчет!$BS$12,Исходн.данные.!T88=Расчет!$BP$5),BH88*0.8,BH88))))</f>
        <v>0</v>
      </c>
      <c r="BM88" s="10">
        <f>IF(OR(Исходн.данные.!$AH88=$BP$1,Исходн.данные.!$AH88=$BP$2),0,IF(BJ88&lt;0,0,IF(Исходн.данные.!I88&lt;4.5,BJ88*1.2,IF(Исходн.данные.!I88&gt;5.1,BJ88,BJ88*((5.1-Исходн.данные.!I88)*0.333+1)))))</f>
        <v>0</v>
      </c>
      <c r="BN88" s="10">
        <f>IF(OR(Исходн.данные.!$AH88=$BP$1,Исходн.данные.!$AH88=$BP$2),60-Исходн.данные.!AF88,IF(BK88&lt;0,0,IF(Исходн.данные.!I88&lt;4.5,BK88*1.2,IF(Исходн.данные.!I88&gt;5.1,BK88,BK88*((5.1-Исходн.данные.!I88)*0.333+1)))))</f>
        <v>0</v>
      </c>
      <c r="BO88" s="9">
        <f>IF(BL88&lt;0,0,BL88*Исходн.данные.!$AJ88/1000)</f>
        <v>0</v>
      </c>
      <c r="BP88" s="9">
        <f>IF(BM88&lt;0,0,BM88*Исходн.данные.!$AJ88/1000)</f>
        <v>0</v>
      </c>
      <c r="BQ88" s="9">
        <f>IF(BN88&lt;0,0,BN88*Исходн.данные.!$AJ88/1000)</f>
        <v>0</v>
      </c>
      <c r="BR88" s="9">
        <f t="shared" si="81"/>
        <v>0</v>
      </c>
      <c r="BS88" s="10" t="str">
        <f t="shared" si="82"/>
        <v>Аммофос 12:52:00</v>
      </c>
      <c r="BT88" s="10" t="str">
        <f t="shared" si="83"/>
        <v>Аммофос 12:52:00</v>
      </c>
      <c r="BU88" s="10" t="str">
        <f t="shared" si="84"/>
        <v>Диаммофоска</v>
      </c>
      <c r="BV88" s="10">
        <f t="shared" si="85"/>
        <v>0</v>
      </c>
      <c r="BW88" s="10"/>
      <c r="BX88" s="10"/>
      <c r="BY88" s="9">
        <f>IF(BL88&lt;0,0,IF(OR(Исходн.данные.!AI88=Расчет!$BU$6,Исходн.данные.!AI88=Расчет!$BU$7),Расчет!BV88,IF(Исходн.данные.!$AG88=$BV$11,BL88,IF(OR(Исходн.данные.!$AH88=$BQ$7,Исходн.данные.!$AH88=$BQ$8),CB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0,IF(Исходн.данные.!$AI88=$BU$11,"Нет",IF(BL88&gt;30,30,BL88)))))))</f>
        <v>0</v>
      </c>
      <c r="BZ88" s="9">
        <f>IF(AND(Исходн.данные.!$AG88=$BV$11,BM88&lt;10),10,IF(Исходн.данные.!$AG88=$BV$11,BM88,IF(OR(Исходн.данные.!$AH88=$BQ$7,Исходн.данные.!$AH88=$BQ$8),CC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10,IF(Исходн.данные.!$AI88=$BU$11,"Нет",IF(BM88&gt;60,60,IF(BM88&lt;10,10,BM88)))))))</f>
        <v>10</v>
      </c>
      <c r="CA88" s="39">
        <f>IF(BN88&lt;0,0,IF(Исходн.данные.!$AG88=$BV$11,BN88,IF(OR(Исходн.данные.!$AH88=$BQ$7,Исходн.данные.!$AH88=$BQ$8),CD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0,IF(Исходн.данные.!$AI88=$BU$11,"Нет",IF(BN88&gt;30,30,BN88))))))</f>
        <v>0</v>
      </c>
      <c r="CB88" s="9">
        <f t="shared" si="86"/>
        <v>0</v>
      </c>
      <c r="CC88" s="9">
        <f t="shared" si="87"/>
        <v>0</v>
      </c>
      <c r="CD88" s="9">
        <f t="shared" si="88"/>
        <v>0</v>
      </c>
      <c r="CE88" s="12">
        <f t="shared" si="89"/>
        <v>10</v>
      </c>
      <c r="CF88" s="9">
        <f t="shared" si="90"/>
        <v>0</v>
      </c>
      <c r="CG88" s="9" t="s">
        <v>231</v>
      </c>
      <c r="CH88" s="132" t="str">
        <f>IF(Исходн.данные.!AP88=Расчет!$CI$16,"Нет",IF(Исходн.данные.!AL88&gt;0,Исходн.данные.!AL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BH$4,IF(OR(Исходн.данные.!AI88=Исходн.данные.!$AI$6,Исходн.данные.!AI88=Исходн.данные.!$AI$7),Расчет!BS88,IF(AND($CF88=0,$CE88&gt;0),EV88,ER88)))))</f>
        <v>Аммофос 12:52:00</v>
      </c>
      <c r="CI88" s="274">
        <f>IF(Расчет!$CH88="Нет","Нет",IF(Исходн.данные.!$AL88&gt;0,VLOOKUP(Расчет!$CH88,АшламаДВ_Irekle,2,FALSE),VLOOKUP(Расчет!$CH88,АшламаДВ_Gomumy,2,FALSE)))</f>
        <v>0.12</v>
      </c>
      <c r="CJ88" s="274">
        <f>IF(Расчет!$CH88="Нет","Нет",IF(Исходн.данные.!$AL88&gt;0,VLOOKUP(Расчет!$CH88,АшламаДВ_Irekle,3,FALSE),VLOOKUP(Расчет!$CH88,АшламаДВ_Gomumy,3,FALSE)))</f>
        <v>0.52</v>
      </c>
      <c r="CK88" s="274">
        <f>IF(Расчет!$CH88="Нет","Нет",IF(Исходн.данные.!$AL88&gt;0,VLOOKUP(Расчет!$CH88,АшламаДВ_Irekle,4,FALSE),VLOOKUP(Расчет!$CH88,АшламаДВ_Gomumy,4,FALSE)))</f>
        <v>0</v>
      </c>
      <c r="CL88" s="70"/>
      <c r="CM88" s="70"/>
      <c r="CN88" s="70"/>
      <c r="CO88" s="70"/>
      <c r="CP88" s="70"/>
      <c r="CQ88" s="70"/>
      <c r="CR88" s="10">
        <f t="shared" si="91"/>
        <v>0</v>
      </c>
      <c r="CS88" s="10">
        <f t="shared" si="92"/>
        <v>19.23076923076923</v>
      </c>
      <c r="CT88" s="10">
        <f t="shared" si="93"/>
        <v>0</v>
      </c>
      <c r="CU88" s="39">
        <f>IF($CH88="Нет",0,IF(CI88=0,30/MIN(CJ88:CK88),IF(Исходн.данные.!$AG88=$BV$11,CR88,IF(OR(Исходн.данные.!$AH88=$BQ$7,Исходн.данные.!$AH88=$BQ$8),90/CI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0,IF(Исходн.данные.!$AI88=$BU$11,"Нет",30/CI88))))))</f>
        <v>250</v>
      </c>
      <c r="CV88" s="39">
        <f>IF($CH88="Нет",0,IF(Исходн.данные.!AH88=0,0,IF(CJ88=0,60/MIN(CI88,CK88),IF(Исходн.данные.!$AG88=$BV$11,CS88,IF(OR(Исходн.данные.!$AH88=$BQ$7,Исходн.данные.!$AH88=$BQ$8),90/CJ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10/CJ88,IF(Исходн.данные.!$AI88=$BU$11,"Нет",60/CJ88)))))))</f>
        <v>0</v>
      </c>
      <c r="CW88" s="39">
        <f>IF($CH88="Нет",0,IF(Исходн.данные.!AH88=0,0,IF(CK88=0,30/MIN(CI88:CJ88),IF(Исходн.данные.!$AG88=$BV$11,CT88,IF(OR(Исходн.данные.!$AH88=$BQ$7,Исходн.данные.!$AH88=$BQ$8),90/CK88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0,IF(Исходн.данные.!$AI88=$BU$11,"Нет",30/CK88)))))))</f>
        <v>0</v>
      </c>
      <c r="CX88" s="133">
        <f>IF(Исходн.данные.!$AG88=$BV$11,MAX(CU88:CW88),IF(OR(Исходн.данные.!$AH88=$BS$8,Исходн.данные.!$AH88=$BQ$9,Исходн.данные.!$AH88=$BQ$10,Исходн.данные.!$AH88=$BQ$11,Исходн.данные.!$AH88=$BQ$12,Исходн.данные.!$AH88=$BP$3,Исходн.данные.!$AH88=$BT$8,$FM88="Да"),CV88,MIN(CU88:CW88)))</f>
        <v>0</v>
      </c>
      <c r="CY88" s="133">
        <f>IF(Исходн.данные.!AH88=0,0,IF(CR88&gt;$CX88,$CX88,CR88))</f>
        <v>0</v>
      </c>
      <c r="CZ88" s="133">
        <f>IF(Исходн.данные.!AH88=0,0,IF(CS88&gt;$CX88,$CX88,CS88))</f>
        <v>0</v>
      </c>
      <c r="DA88" s="133">
        <f>IF(Исходн.данные.!AH88=0,0,IF(CT88&gt;$CX88,$CX88,CT88))</f>
        <v>0</v>
      </c>
      <c r="DB88" s="10">
        <f t="shared" si="94"/>
        <v>0</v>
      </c>
      <c r="DC88" s="39">
        <f>DB88*Исходн.данные.!AJ88/1000</f>
        <v>0</v>
      </c>
      <c r="DD88" s="71">
        <f t="shared" si="95"/>
        <v>0</v>
      </c>
      <c r="DE88" s="9">
        <f t="shared" si="96"/>
        <v>0</v>
      </c>
      <c r="DF88" s="9">
        <f t="shared" si="97"/>
        <v>0</v>
      </c>
      <c r="DG88" s="39">
        <f>IF(BL88&lt;0,0,IF($CH88="Нет",BL88,IF(OR(Исходн.данные.!$AH88=$BP$1,Исходн.данные.!$AH88=$BP$2),0,IF(Исходн.данные.!AI88=$BU$11,BL88,IF(BL88-DD88&lt;0,0,BL88-DD88)))))</f>
        <v>0</v>
      </c>
      <c r="DH88" s="39">
        <f>IF(BM88&lt;0,0,IF($CH88="Нет",BM88,IF(OR(Исходн.данные.!$AH88=$BP$1,Исходн.данные.!$AH88=$BP$2),0,IF(Исходн.данные.!AJ88=$BU$11,BM88,IF(BM88-DE88&lt;0,0,BM88-DE88)))))</f>
        <v>0</v>
      </c>
      <c r="DI88" s="39">
        <f>IF(BN88&lt;0,0,IF($CH88="Нет",BN88,IF(OR(Исходн.данные.!$AH88=$BP$1,Исходн.данные.!$AH88=$BP$2),0,IF(Исходн.данные.!AK88=$BU$11,BN88,IF(BN88-DF88&lt;0,0,BN88-DF88)))))</f>
        <v>0</v>
      </c>
      <c r="DJ88" s="12">
        <f t="shared" si="98"/>
        <v>0</v>
      </c>
      <c r="DK88" s="9">
        <f t="shared" si="99"/>
        <v>0</v>
      </c>
      <c r="DL88" s="39">
        <f>IF(Исходн.данные.!AM88&gt;0,Исходн.данные.!AM88,IF(EG88&gt;0,$BH$10,0))</f>
        <v>0</v>
      </c>
      <c r="DM88" s="186">
        <f>IF($DL88=0,0,IF(Исходн.данные.!AM88&gt;0,VLOOKUP($DL88,АшламаДВ_Irekle,2,FALSE),VLOOKUP($DL88,АшламаДВ_Gomumy,2,FALSE)))</f>
        <v>0</v>
      </c>
      <c r="DN88" s="10">
        <f t="shared" si="151"/>
        <v>0</v>
      </c>
      <c r="DO88" s="9" t="str">
        <f>IF(Исходн.данные.!AN88&gt;0,Исходн.данные.!AN88,Удобрения!$B$37 )</f>
        <v>Хлор.калий</v>
      </c>
      <c r="DP88" s="9">
        <f>IF(Исходн.данные.!AN88&gt;0,VLOOKUP(Исходн.данные.!AN88,АшламаДВ_Irekle,4,FALSE),VLOOKUP(DO88,АшламаДВ_Gomumy,4,FALSE))</f>
        <v>0.6</v>
      </c>
      <c r="DQ88" s="10">
        <f t="shared" si="152"/>
        <v>0</v>
      </c>
      <c r="DR88" s="132" t="str">
        <f>IF(Исходн.данные.!AO88&gt;0,Исходн.данные.!AO88,IF(DH88=0,BS$17,IF(AND($DK88=0,$DJ88&gt;0),EJ88,EN88)))</f>
        <v>Нет</v>
      </c>
      <c r="DS88" s="70" t="str">
        <f>IF($DR88="Нет","Нет",IF(Исходн.данные.!$AO88&gt;0,VLOOKUP($DR88,АшламаДВ_Irekle,2,FALSE),VLOOKUP($DR88,АшламаДВ_Gomumy,2,FALSE)))</f>
        <v>Нет</v>
      </c>
      <c r="DT88" s="70" t="str">
        <f>IF($DR88="Нет","Нет",IF(Исходн.данные.!$AO88&gt;0,VLOOKUP($DR88,АшламаДВ_Irekle,3,FALSE),VLOOKUP($DR88,АшламаДВ_Gomumy,3,FALSE)))</f>
        <v>Нет</v>
      </c>
      <c r="DU88" s="70" t="str">
        <f>IF($DR88="Нет","Нет",IF(Исходн.данные.!$AO88&gt;0,VLOOKUP($DR88,АшламаДВ_Irekle,4,FALSE),VLOOKUP($DR88,АшламаДВ_Gomumy,4,FALSE)))</f>
        <v>Нет</v>
      </c>
      <c r="DV88" s="70"/>
      <c r="DW88" s="70"/>
      <c r="DX88" s="70"/>
      <c r="DY88" s="10">
        <f t="shared" si="100"/>
        <v>0</v>
      </c>
      <c r="DZ88" s="10">
        <f t="shared" si="101"/>
        <v>0</v>
      </c>
      <c r="EA88" s="10">
        <f t="shared" si="102"/>
        <v>0</v>
      </c>
      <c r="EB88" s="10">
        <f t="shared" si="103"/>
        <v>0</v>
      </c>
      <c r="EC88" s="10">
        <f t="shared" si="104"/>
        <v>0</v>
      </c>
      <c r="ED88" s="10">
        <f t="shared" si="105"/>
        <v>0</v>
      </c>
      <c r="EE88" s="10">
        <f t="shared" si="106"/>
        <v>0</v>
      </c>
      <c r="EF88" s="39">
        <f>EB88*Исходн.данные.!AJ88/1000</f>
        <v>0</v>
      </c>
      <c r="EG88" s="9">
        <f t="shared" si="107"/>
        <v>0</v>
      </c>
      <c r="EH88" s="9">
        <f t="shared" si="108"/>
        <v>0</v>
      </c>
      <c r="EI88" s="39" t="e">
        <f t="shared" si="132"/>
        <v>#DIV/0!</v>
      </c>
      <c r="EJ88" s="9" t="str">
        <f t="shared" si="153"/>
        <v>Азопреципитат</v>
      </c>
      <c r="EK88" s="12">
        <f t="shared" si="133"/>
        <v>0.26</v>
      </c>
      <c r="EL88" s="12">
        <f t="shared" si="134"/>
        <v>0.13</v>
      </c>
      <c r="EM88" s="12">
        <f t="shared" si="135"/>
        <v>0</v>
      </c>
      <c r="EN88" s="12" t="str">
        <f t="shared" si="154"/>
        <v>Нет</v>
      </c>
      <c r="EO88" s="12">
        <f t="shared" si="136"/>
        <v>0</v>
      </c>
      <c r="EP88" s="12">
        <f t="shared" si="137"/>
        <v>0</v>
      </c>
      <c r="EQ88" s="12">
        <f t="shared" si="138"/>
        <v>0</v>
      </c>
      <c r="ER88" s="12" t="str">
        <f t="shared" si="109"/>
        <v>Диаммофоска</v>
      </c>
      <c r="ES88" s="12">
        <f t="shared" si="139"/>
        <v>0.1</v>
      </c>
      <c r="ET88" s="12">
        <f t="shared" si="140"/>
        <v>0.26</v>
      </c>
      <c r="EU88" s="12">
        <f t="shared" si="141"/>
        <v>0.26</v>
      </c>
      <c r="EV88" s="12" t="str">
        <f t="shared" si="110"/>
        <v>Аммофос 12:52:00</v>
      </c>
      <c r="EW88" s="12" t="str">
        <f t="shared" si="111"/>
        <v>Кемира Свекловичное-6</v>
      </c>
      <c r="EX88" s="12">
        <f t="shared" si="142"/>
        <v>0.16</v>
      </c>
      <c r="EY88" s="12">
        <f t="shared" si="143"/>
        <v>0.12</v>
      </c>
      <c r="EZ88" s="12">
        <f t="shared" si="144"/>
        <v>0.17</v>
      </c>
      <c r="FA88" s="38" t="e">
        <f>IF(AND(OR(FJ88=$FD$1,FM88=$FD$1,FO88=$FD$1,FQ88=$FD$1,FS88=$FD$1),FD88=$FD$1,Исходн.данные.!J88&lt;2,FU88=$FD$1),"Бор,Кобальт",IF(AND(FO88=$FD$1,FH88=$FD$1,Исходн.данные.!J88&lt;2,FU88=$FD$1),"Бор,Кобальт",IF(AND(OR(FJ88=$FD$1,FM88=$FD$1,FQ88=$FD$1),FE88=$FD$1,Исходн.данные.!J88&lt;2,FT88=$FD$1,FU88=$FD$1),"Бор,Медь,Цинк",IF(AND(OR(FJ88=$FD$1,FR88="Да"),FI88="Да",Исходн.данные.!J88&lt;2,FT88="Да",FU88="Да"),"Бор,Цинк,Медь",IF(AND(OR(FM88="Да",FQ88="Да"),FI88="Да",Исходн.данные.!J88&lt;2,FT88="Да",FU88="Да"),"Бор,Цинк",IF(AND(FN88="Да",OR(FD88="Да",FE88="Да")),"Бор",FB88))))))</f>
        <v>#N/A</v>
      </c>
      <c r="FB88" s="134" t="e">
        <f>IF(AND(OR(FD88="Да",FE88="Да",FF88="Да",FG88="Да",FH88="Да"),FO88="Да"),"Бор",IF(AND(FP88="Да",OR(FD88="Да",FE88="Да",FI88="Да")),"Бор",IF(AND(FS88="Да",FE88="Да"),"Бор,Медь",IF(AND(OR(FJ88="Да",FK88="Да",FL88="Да"),FE88="Да",Исходн.данные.!I88&lt;5,FT88="Да",FU88="Да"),"Молибден,Цинк",IF(AND(FM88="Да",OR(FE88="Да",FF88="Да",FG88="Да",FH88="Да",FI88="Да")),"Молибден,Цинк",IF(AND(OR(FJ88="Да",FK88="Да",FL88="Да",FM88="Да",FQ88="Да"),OR(FE88="Да",FF88="Да"),FT88="Да",FU88="Да",Исходн.данные.!I88&gt;5.5),"Медь,Цинк",FC88))))))</f>
        <v>#N/A</v>
      </c>
      <c r="FC88" s="23" t="e">
        <f t="shared" si="112"/>
        <v>#N/A</v>
      </c>
      <c r="FD88" s="38" t="str">
        <f>IF(OR(Исходн.данные.!F88=$CC$1,Исходн.данные.!F88=$CC$2,Исходн.данные.!F88=$CC$3,Исходн.данные.!F88=$CC$4),"Да","Нет")</f>
        <v>Нет</v>
      </c>
      <c r="FE88" s="38" t="str">
        <f>IF(Исходн.данные.!F88=$CC$5,"Да","Нет")</f>
        <v>Нет</v>
      </c>
      <c r="FF88" s="38" t="str">
        <f>IF(OR(Исходн.данные.!F88=$CC$6,Исходн.данные.!F88=$CC$7),"Да","Нет")</f>
        <v>Нет</v>
      </c>
      <c r="FG88" s="38" t="str">
        <f>IF(OR(Исходн.данные.!F88=$CC$8,Исходн.данные.!F88=$CC$9),"Да","Нет")</f>
        <v>Нет</v>
      </c>
      <c r="FH88" s="38" t="str">
        <f>IF(Исходн.данные.!F88=$CC$10,"Да","Нет")</f>
        <v>Нет</v>
      </c>
      <c r="FI88" s="38" t="str">
        <f>IF(OR(Исходн.данные.!F88=$CC$11,Исходн.данные.!F88=$CC$12),"Да","Нет")</f>
        <v>Нет</v>
      </c>
      <c r="FJ88" s="38" t="str">
        <f>IF(OR(Исходн.данные.!AH88=$BS$1,Исходн.данные.!AH88=$BQ$11,Исходн.данные.!AH88=$BQ$12),"Да","Нет")</f>
        <v>Нет</v>
      </c>
      <c r="FK88" s="38" t="str">
        <f>IF(OR(Исходн.данные.!AH88=$BS$2,Исходн.данные.!AH88=$BS$4),"Да","Нет")</f>
        <v>Нет</v>
      </c>
      <c r="FL88" s="38" t="str">
        <f>IF(OR(Исходн.данные.!AH88=$BS$3,Исходн.данные.!AH88=$BS$5),"Да","Нет")</f>
        <v>Нет</v>
      </c>
      <c r="FM88" s="38" t="str">
        <f>IF(OR(Исходн.данные.!AH88=$BS$9,Исходн.данные.!AH88=$BS$10,Исходн.данные.!AH88=$BS$11,Исходн.данные.!AH88=$BS$12),"Да","Нет")</f>
        <v>Нет</v>
      </c>
      <c r="FN88" s="38" t="str">
        <f>IF(OR(Исходн.данные.!AH88=$BS$6,Исходн.данные.!AH88=$BP$3),"Да","Нет")</f>
        <v>Нет</v>
      </c>
      <c r="FO88" s="38" t="str">
        <f>IF(Исходн.данные.!AH88=$BQ$9,"Да","Нет")</f>
        <v>Нет</v>
      </c>
      <c r="FP88" s="38" t="str">
        <f>IF(OR(Исходн.данные.!AH88=$BS$8,Исходн.данные.!AH88=$BT$8),"Да","Нет")</f>
        <v>Нет</v>
      </c>
      <c r="FQ88" s="38" t="str">
        <f>IF(OR(Исходн.данные.!AH88=$BQ$7,Исходн.данные.!AH88=$BQ$8),"Да","Нет")</f>
        <v>Нет</v>
      </c>
      <c r="FR88" s="38" t="str">
        <f>IF(Исходн.данные.!AI88=$BU$9,"Да","Нет")</f>
        <v>Нет</v>
      </c>
      <c r="FS88" s="38" t="str">
        <f>IF(OR(Исходн.данные.!AH88=$BP$1,Исходн.данные.!AH88=$BP$2),"Да","Нет")</f>
        <v>Нет</v>
      </c>
      <c r="FT88" s="38" t="e">
        <f>IF((Исходн.данные.!K88*GO88*GS88*GW88+BL88*0.6+Исходн.данные.!Q88*4.5*0.275)&gt;90,"Да","Нет")</f>
        <v>#N/A</v>
      </c>
      <c r="FU88" s="38" t="e">
        <f>IF((Исходн.данные.!M88*GS88*GZ88+BM88*0.225)&gt;35,"Да","Нет")</f>
        <v>#N/A</v>
      </c>
      <c r="FV88" s="38" t="str">
        <f>IF(Исходн.данные.!O88&gt;175,"Да","Нет")</f>
        <v>Нет</v>
      </c>
      <c r="FW88" s="39" t="str">
        <f>IF(Исходн.данные.!I88&gt;5.5,"Да","Нет")</f>
        <v>Нет</v>
      </c>
      <c r="FX88" s="39" t="str">
        <f>IF(Исходн.данные.!J88&lt;2,"Да","Нет")</f>
        <v>Да</v>
      </c>
      <c r="FY88" s="39" t="e">
        <f>IF(HF88=$FY$16,0,Исходн.данные.!K88*GO88*GS88*GW88/HF88)</f>
        <v>#N/A</v>
      </c>
      <c r="FZ88" s="39" t="e">
        <f>Исходн.данные.!M88*GS88*GZ88/HG88</f>
        <v>#N/A</v>
      </c>
      <c r="GA88" s="39" t="e">
        <f>IF(K_Wyn=$FY$16,0,IF(Исходн.данные.!N88=Исходн.данные.!$L$10,Исходн.данные.!O88/1.1*GS88*HC88/HH88,IF(Исходн.данные.!N88=Исходн.данные.!$L$12,Исходн.данные.!O88/1.5*GS88*HC88/HH88,Исходн.данные.!O88*GS88*HC88/HH88)))</f>
        <v>#N/A</v>
      </c>
      <c r="GB88" s="39" t="e">
        <f>IF(HF88=$FY$16,0,((Исходн.данные.!Q88*N_Org+Исходн.данные.!R88*N_Sider+Исходн.данные.!S88*N_Soloma)*AO88+Расчет!BC88*VLOOKUP(Исходн.данные.!T88,Справ!$A$3:$O$57,15)*AO88+BB88*VLOOKUP(Исходн.данные.!T88,Справ!$A$3:$O$57,15)*AL88+(Исходн.данные.!V88*N_Rizotorf+Исходн.данные.!W88*N_Rizoagr))/HF88)</f>
        <v>#N/A</v>
      </c>
      <c r="GC88" s="39" t="e">
        <f>IF(HG88=$FY$16,0,((Исходн.данные.!Q88*Р_Org+Исходн.данные.!R88*P_Sider+Исходн.данные.!S88*P_Soloma)*AP88+Расчет!BC88*VLOOKUP(Исходн.данные.!T88,Справ!$A$3:$P$57,16)*AP88+BB88*VLOOKUP(Исходн.данные.!T88,Справ!$A$3:$P$57,16)*AM88)/HG88)</f>
        <v>#N/A</v>
      </c>
      <c r="GD88" s="39" t="e">
        <f>IF(HH88=$FY$16,0,((Исходн.данные.!Q88*К_Org+Исходн.данные.!R88*K_Sider+Исходн.данные.!S88*K_Soloma)*AQ88+Расчет!BC88*VLOOKUP(Исходн.данные.!T88,Справ!$A$3:$Q$57,17)*AQ88+BB88*VLOOKUP(Исходн.данные.!T88,Справ!$A$3:$Q$57,17)*AN88)/HH88)</f>
        <v>#N/A</v>
      </c>
      <c r="GE88" s="39" t="e">
        <f>IF(HF88=$FY$16,0,(Исходн.данные.!X88*AR88+Исходн.данные.!AA88*N_Org*AL88+Исходн.данные.!AB88*N_Sider*AL88+Исходн.данные.!AC88*N_Soloma*AL88)/HF88)</f>
        <v>#N/A</v>
      </c>
      <c r="GF88" s="39" t="e">
        <f>IF(HG88=$FY$16,0,(Исходн.данные.!Y88*AS88+Исходн.данные.!AA88*Р_Org*AM88+Исходн.данные.!AB88*P_Sider*AM88+Исходн.данные.!AC88*P_Soloma*AM88)/HG88)</f>
        <v>#N/A</v>
      </c>
      <c r="GG88" s="39" t="e">
        <f>IF(HH88=$FY$16,0,(Исходн.данные.!Z88*AT88+Исходн.данные.!AA88*К_Org*AN88+Исходн.данные.!AB88*K_Sider*AN88+Исходн.данные.!AC88*K_Soloma*AN88)/HH88)</f>
        <v>#N/A</v>
      </c>
      <c r="GH88" s="39" t="e">
        <f>Исходн.данные.!AD88*AU88/HF88</f>
        <v>#N/A</v>
      </c>
      <c r="GI88" s="39" t="e">
        <f>Исходн.данные.!AE88*AV88/HG88</f>
        <v>#N/A</v>
      </c>
      <c r="GJ88" s="39" t="e">
        <f>Исходн.данные.!AF88*AW88/HH88</f>
        <v>#N/A</v>
      </c>
      <c r="GK88" s="55">
        <f>Исходн.данные.!AK88</f>
        <v>0</v>
      </c>
      <c r="GL88" s="11" t="e">
        <f t="shared" si="113"/>
        <v>#N/A</v>
      </c>
      <c r="GM88" s="11" t="e">
        <f t="shared" si="114"/>
        <v>#N/A</v>
      </c>
      <c r="GN88" s="11" t="e">
        <f t="shared" si="115"/>
        <v>#N/A</v>
      </c>
      <c r="GO88" s="57">
        <f t="shared" si="116"/>
        <v>19</v>
      </c>
      <c r="GP88" s="55">
        <f>IF(OR(Исходн.данные.!F88=$CE$1,Исходн.данные.!F88=$CE$2,Исходн.данные.!F88=$CE$3,Исходн.данные.!F88=$CE$4,Исходн.данные.!F88=$CE$5),GQ88,GR88)</f>
        <v>19</v>
      </c>
      <c r="GQ88" s="55">
        <f>IF(Исходн.данные.!F88=$CE$1,28,IF(Исходн.данные.!F88=$CE$2,26,IF(Исходн.данные.!F88=$CE$3,24,IF(Исходн.данные.!F88=$CE$4,22,IF(Исходн.данные.!F88=$CE$5,20,GR88)))))</f>
        <v>19</v>
      </c>
      <c r="GR88" s="55">
        <f>IF(Исходн.данные.!F88=$CE$6,18,IF(Исходн.данные.!F88=$CE$7,16,IF(Исходн.данные.!F88=$CE$8,14,IF(Исходн.данные.!F88=$CE$9,13,IF(Исходн.данные.!F88=$CE$10,12,19)))))</f>
        <v>19</v>
      </c>
      <c r="GS88" s="55">
        <f>IF(Исходн.данные.!G88="Пес",0.035*(40+2*Исходн.данные.!H88),IF(Исходн.данные.!G88="Суп",0.0325*(40+2*Исходн.данные.!H88),0.03*(40+2*Исходн.данные.!H88)))</f>
        <v>1.2</v>
      </c>
      <c r="GT88" s="55">
        <f>IF(Исходн.данные.!H88&lt;23,2.6,IF(AND(Исходн.данные.!H88&gt;22,Исходн.данные.!H88&lt;26),3,IF(AND(Исходн.данные.!H88&gt;25,Исходн.данные.!H88&lt;29),3.4,3.6)))</f>
        <v>2.6</v>
      </c>
      <c r="GU88" s="55">
        <f>IF(Исходн.данные.!H88&lt;23,2.8,IF(AND(Исходн.данные.!H88&gt;22,Исходн.данные.!H88&lt;26),3.2,IF(AND(Исходн.данные.!H88&gt;25,Исходн.данные.!H88&lt;29),3.6,3.9)))</f>
        <v>2.8</v>
      </c>
      <c r="GV88" s="55">
        <f>IF(Исходн.данные.!H88&lt;23,3,IF(AND(Исходн.данные.!H88&gt;22,Исходн.данные.!H88&lt;26),3.5,IF(AND(Исходн.данные.!H88&gt;25,Исходн.данные.!H88&lt;29),3.9,4.2)))</f>
        <v>3</v>
      </c>
      <c r="GW88" s="55" t="e">
        <f>IF(Исходн.данные.!P88="Ум",GX88,GY88)</f>
        <v>#N/A</v>
      </c>
      <c r="GX88" s="55" t="e">
        <f>VLOOKUP(Исходн.данные.!AI88,Коэффициенты!$J$7:$L$13,2,FALSE)</f>
        <v>#N/A</v>
      </c>
      <c r="GY88" s="55" t="e">
        <f>VLOOKUP(Исходн.данные.!AI88,Коэффициенты!$J$7:$L$13,3,FALSE)</f>
        <v>#N/A</v>
      </c>
      <c r="GZ88" s="55" t="e">
        <f>(IF(Исходн.данные.!M88&lt;50,0.11*VLOOKUP(Исходн.данные.!AH88,Культуры.Информация,7,FALSE),IF(Исходн.данные.!M88&gt;250,0.05*VLOOKUP(Исходн.данные.!AH88,Культуры.Информация,7,FALSE),VLOOKUP(Исходн.данные.!AH88,Культуры.Информация,5,FALSE)/100*($GX$6+$GY$6*Исходн.данные.!M88))))*Расчет2!AI88</f>
        <v>#N/A</v>
      </c>
      <c r="HA88" s="211"/>
      <c r="HB88" s="211"/>
      <c r="HC88" s="55" t="e">
        <f>(IF(Исходн.данные.!O88&lt;80,0.2*VLOOKUP(Исходн.данные.!AH88,Культуры.Информация,8,FALSE),IF(Исходн.данные.!O88&gt;240,0.09*VLOOKUP(Исходн.данные.!AH88,Культуры.Информация,8,FALSE),VLOOKUP(Исходн.данные.!AH88,Культуры.Информация,6,FALSE)/100*($HB$6+$HC$6*Исходн.данные.!O88))))*Расчет2!AJ88</f>
        <v>#N/A</v>
      </c>
      <c r="HD88" s="55">
        <f>IF(Исходн.данные.!O88&gt;240,0.09,IF(Исходн.данные.!O88&lt;30,0.3,$HE$10+$HD$10*Исходн.данные.!O88))</f>
        <v>0.3</v>
      </c>
      <c r="HE88" s="55">
        <f>IF(Исходн.данные.!O88&gt;240,0.17,IF(Исходн.данные.!O88&lt;30,0.5,$HF$12+$HE$12*Исходн.данные.!O88))</f>
        <v>0.5</v>
      </c>
      <c r="HF88" s="55" t="e">
        <f>VLOOKUP(Исходн.данные.!AH88,Справ!$A$3:$D$58,2,FALSE)</f>
        <v>#N/A</v>
      </c>
      <c r="HG88" s="55" t="e">
        <f>VLOOKUP(Исходн.данные.!AH88,Справ!$A$3:$D$58,3,FALSE)</f>
        <v>#N/A</v>
      </c>
      <c r="HH88" s="55" t="e">
        <f>VLOOKUP(Исходн.данные.!AH88,Справ!$A$3:$D$58,4,FALSE)</f>
        <v>#N/A</v>
      </c>
      <c r="HI88" s="11" t="e">
        <f t="shared" si="117"/>
        <v>#N/A</v>
      </c>
      <c r="HJ88" s="11" t="e">
        <f t="shared" si="118"/>
        <v>#N/A</v>
      </c>
      <c r="HK88" s="11" t="e">
        <f t="shared" si="119"/>
        <v>#N/A</v>
      </c>
      <c r="HL88" s="55">
        <f>IF(OR(Исходн.данные.!G88="Глин",Исходн.данные.!G88="Т_суг"),1.1,IF(Исходн.данные.!G88="Ср_суг",1,1))</f>
        <v>1</v>
      </c>
      <c r="HM88" s="55">
        <f>IF(OR(Исходн.данные.!G88="Глин",Исходн.данные.!G88="Т_суг"),0.9,IF(Исходн.данные.!G88="Ср_суг",1,1.2))</f>
        <v>1.2</v>
      </c>
      <c r="HN88" s="11" t="e">
        <f t="shared" si="120"/>
        <v>#N/A</v>
      </c>
      <c r="HO88" s="11" t="e">
        <f t="shared" si="121"/>
        <v>#N/A</v>
      </c>
      <c r="HP88" s="11" t="e">
        <f t="shared" si="122"/>
        <v>#N/A</v>
      </c>
      <c r="HQ88" t="e">
        <f t="shared" si="123"/>
        <v>#N/A</v>
      </c>
      <c r="HR88" t="e">
        <f t="shared" si="124"/>
        <v>#N/A</v>
      </c>
      <c r="HS88" t="e">
        <f t="shared" si="125"/>
        <v>#N/A</v>
      </c>
      <c r="HT88" t="e">
        <f t="shared" si="145"/>
        <v>#N/A</v>
      </c>
      <c r="HU88" t="e">
        <f t="shared" si="146"/>
        <v>#N/A</v>
      </c>
      <c r="HV88" t="e">
        <f t="shared" si="147"/>
        <v>#N/A</v>
      </c>
      <c r="HW88" t="e">
        <f t="shared" si="148"/>
        <v>#N/A</v>
      </c>
      <c r="HX88" t="e">
        <f t="shared" si="149"/>
        <v>#N/A</v>
      </c>
      <c r="HY88" t="e">
        <f t="shared" si="150"/>
        <v>#N/A</v>
      </c>
      <c r="HZ88" s="55">
        <f>IF(OR(Исходн.данные.!AI88="Оз_Ч_П",Исходн.данные.!AI88="Оз_З_П",Исходн.данные.!AI88="Яр_зер"),12,30)</f>
        <v>30</v>
      </c>
      <c r="IA88" t="e">
        <f t="shared" si="126"/>
        <v>#N/A</v>
      </c>
      <c r="IB88" t="e">
        <f t="shared" si="127"/>
        <v>#N/A</v>
      </c>
      <c r="IC88" t="e">
        <f t="shared" si="128"/>
        <v>#N/A</v>
      </c>
      <c r="ID88" s="11" t="e">
        <f t="shared" si="129"/>
        <v>#N/A</v>
      </c>
      <c r="IE88" s="11" t="e">
        <f t="shared" si="130"/>
        <v>#N/A</v>
      </c>
      <c r="IF88" s="11" t="e">
        <f t="shared" si="131"/>
        <v>#N/A</v>
      </c>
    </row>
    <row r="89" spans="35:240" x14ac:dyDescent="0.2">
      <c r="AI89">
        <f>IF(Исходн.данные.!I89&gt;6,1,1.85-(0.148*Исходн.данные.!I89))</f>
        <v>1.85</v>
      </c>
      <c r="AJ89">
        <f>IF(Исходн.данные.!I89&gt;6,1,2.434-(0.246*Исходн.данные.!I89))</f>
        <v>2.4340000000000002</v>
      </c>
      <c r="AL89" s="148" t="b">
        <f>IF(Исходн.данные.!$P89="Ум",N_OrgUd_2g_um,IF(Исходн.данные.!$P89="Об",N_OrgUd_2g_ob))</f>
        <v>0</v>
      </c>
      <c r="AM89" s="148" t="b">
        <f>IF(Исходн.данные.!$P89="Ум",P_OrgUd_2g_um,IF(Исходн.данные.!$P89="Об",P_OrgUd_2g_ob))</f>
        <v>0</v>
      </c>
      <c r="AN89" s="148" t="b">
        <f>IF(Исходн.данные.!$P89="Ум",K_OrgUd_2g_um,IF(Исходн.данные.!$P89="Об",K_OrgUd_2g_ob))</f>
        <v>0</v>
      </c>
      <c r="AO89" s="148" t="b">
        <f>IF(Исходн.данные.!$P89="Ум",N_OrgUd_1g_um,IF(Исходн.данные.!$P89="Об",N_OrgUd_1g_ob))</f>
        <v>0</v>
      </c>
      <c r="AP89" s="148" t="b">
        <f>IF(Исходн.данные.!$P89="Ум",P_OrgUd_1g_um,IF(Исходн.данные.!$P89="Об",P_OrgUd_1g_ob))</f>
        <v>0</v>
      </c>
      <c r="AQ89" s="148" t="b">
        <f>IF(Исходн.данные.!$P89="Ум",K_OrgUd_1g_um,IF(Исходн.данные.!$P89="Об",K_OrgUd_1g_ob))</f>
        <v>0</v>
      </c>
      <c r="AR89" t="b">
        <f>IF(Исходн.данные.!$P89="Ум",N_MinUd_2g_um,IF(Исходн.данные.!$P89="Об",N_MinUd_2g_ob))</f>
        <v>0</v>
      </c>
      <c r="AS89" t="b">
        <f>IF(Исходн.данные.!$P89="Ум",P_MinUd_2g_um,IF(Исходн.данные.!$P89="Об",P_MinUd_2g_ob))</f>
        <v>0</v>
      </c>
      <c r="AT89" t="b">
        <f>IF(Исходн.данные.!$P89="Ум",K_MinUd_2g_um,IF(Исходн.данные.!$P89="Об",K_MinUd_2g_ob))</f>
        <v>0</v>
      </c>
      <c r="AU89" t="b">
        <f>IF(Исходн.данные.!$P89="Ум",N_MinUd_1g_um,IF(Исходн.данные.!$P89="Об",N_MinUd_1g_ob))</f>
        <v>0</v>
      </c>
      <c r="AV89" t="b">
        <f>IF(Исходн.данные.!P89="Ум",P_MinUd_1g_um,IF(Исходн.данные.!P89="Об",P_MinUd_1g_ob))</f>
        <v>0</v>
      </c>
      <c r="AW89" t="b">
        <f>IF(Исходн.данные.!P89="Ум",K_MinUd_1g_um,IF(Исходн.данные.!P89="Об",K_MinUd_1g_ob))</f>
        <v>0</v>
      </c>
      <c r="AY89" t="e">
        <f>VLOOKUP(Исходн.данные.!T89,Справ!$A$3:$N$57,12)</f>
        <v>#N/A</v>
      </c>
      <c r="AZ89" t="e">
        <f>VLOOKUP(Исходн.данные.!T89,Справ!$A$3:$N$57,13)</f>
        <v>#N/A</v>
      </c>
      <c r="BA89" t="e">
        <f>VLOOKUP(Исходн.данные.!T89,Справ!$A$3:$N$57,14)</f>
        <v>#N/A</v>
      </c>
      <c r="BB89">
        <f>IF(Исходн.данные.!AH89=0,0,25)</f>
        <v>0</v>
      </c>
      <c r="BC89" s="141">
        <f>IF(Исходн.данные.!AH89=0,0,IF(Исходн.данные.!T89=0,25,BD89))</f>
        <v>0</v>
      </c>
      <c r="BD89" s="168" t="e">
        <f>AY89+AZ89*Исходн.данные.!U89-POWER(BA89,2)*Исходн.данные.!U89</f>
        <v>#N/A</v>
      </c>
      <c r="BE8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89" s="25">
        <f>IF(Исходн.данные.!AH89=0,0,MIN(HN89:HP89))</f>
        <v>0</v>
      </c>
      <c r="BG89" s="9">
        <f>IF(Исходн.данные.!AH89=0,0,IF((HO89+10*0.25/HG89/HL89)&lt;17,17,HO89+10*0.25/HG89/HL89))</f>
        <v>0</v>
      </c>
      <c r="BH89" s="181">
        <f>IF(Исходн.данные.!AH89=0,0,HW89*HF89*HL89/AU89*AI89+Исходн.данные.!S89*10)</f>
        <v>0</v>
      </c>
      <c r="BI89" s="10"/>
      <c r="BJ89" s="182">
        <f>IF(Исходн.данные.!AH89=0,0,IF(HX89*HG89*HL89/AV89&lt;0,0,HX89*HG89*HL89/AV89*AJ89))</f>
        <v>0</v>
      </c>
      <c r="BK89" s="182">
        <f>IF(Исходн.данные.!AH89=0,0,HY89*HH89*HM89/AW89)</f>
        <v>0</v>
      </c>
      <c r="BL89" s="10">
        <f>IF(OR(Исходн.данные.!$AH89=$BP$1,Исходн.данные.!$AH89=$BP$2),0,IF(BH89&lt;0,0,IF(OR(Исходн.данные.!T89=Расчет!$BP$1,Исходн.данные.!T89=Расчет!$BP$2,Исходн.данные.!T89=Расчет!$BT$5,Исходн.данные.!T89=Расчет!$BT$6),BH89*0.5,IF(OR(Исходн.данные.!T89=Расчет!$BS$9,Исходн.данные.!T89=Расчет!$BS$10,Исходн.данные.!T89=Расчет!$BS$11,Исходн.данные.!T89=Расчет!$BS$12,Исходн.данные.!T89=Расчет!$BP$5),BH89*0.8,BH89))))</f>
        <v>0</v>
      </c>
      <c r="BM89" s="10">
        <f>IF(OR(Исходн.данные.!$AH89=$BP$1,Исходн.данные.!$AH89=$BP$2),0,IF(BJ89&lt;0,0,IF(Исходн.данные.!I89&lt;4.5,BJ89*1.2,IF(Исходн.данные.!I89&gt;5.1,BJ89,BJ89*((5.1-Исходн.данные.!I89)*0.333+1)))))</f>
        <v>0</v>
      </c>
      <c r="BN89" s="10">
        <f>IF(OR(Исходн.данные.!$AH89=$BP$1,Исходн.данные.!$AH89=$BP$2),60-Исходн.данные.!AF89,IF(BK89&lt;0,0,IF(Исходн.данные.!I89&lt;4.5,BK89*1.2,IF(Исходн.данные.!I89&gt;5.1,BK89,BK89*((5.1-Исходн.данные.!I89)*0.333+1)))))</f>
        <v>0</v>
      </c>
      <c r="BO89" s="9">
        <f>IF(BL89&lt;0,0,BL89*Исходн.данные.!$AJ89/1000)</f>
        <v>0</v>
      </c>
      <c r="BP89" s="9">
        <f>IF(BM89&lt;0,0,BM89*Исходн.данные.!$AJ89/1000)</f>
        <v>0</v>
      </c>
      <c r="BQ89" s="9">
        <f>IF(BN89&lt;0,0,BN89*Исходн.данные.!$AJ89/1000)</f>
        <v>0</v>
      </c>
      <c r="BR89" s="9">
        <f t="shared" si="81"/>
        <v>0</v>
      </c>
      <c r="BS89" s="10" t="str">
        <f t="shared" si="82"/>
        <v>Аммофос 12:52:00</v>
      </c>
      <c r="BT89" s="10" t="str">
        <f t="shared" si="83"/>
        <v>Аммофос 12:52:00</v>
      </c>
      <c r="BU89" s="10" t="str">
        <f t="shared" si="84"/>
        <v>Диаммофоска</v>
      </c>
      <c r="BV89" s="10">
        <f t="shared" si="85"/>
        <v>0</v>
      </c>
      <c r="BW89" s="10"/>
      <c r="BX89" s="10"/>
      <c r="BY89" s="9">
        <f>IF(BL89&lt;0,0,IF(OR(Исходн.данные.!AI89=Расчет!$BU$6,Исходн.данные.!AI89=Расчет!$BU$7),Расчет!BV89,IF(Исходн.данные.!$AG89=$BV$11,BL89,IF(OR(Исходн.данные.!$AH89=$BQ$7,Исходн.данные.!$AH89=$BQ$8),CB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0,IF(Исходн.данные.!$AI89=$BU$11,"Нет",IF(BL89&gt;30,30,BL89)))))))</f>
        <v>0</v>
      </c>
      <c r="BZ89" s="9">
        <f>IF(AND(Исходн.данные.!$AG89=$BV$11,BM89&lt;10),10,IF(Исходн.данные.!$AG89=$BV$11,BM89,IF(OR(Исходн.данные.!$AH89=$BQ$7,Исходн.данные.!$AH89=$BQ$8),CC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10,IF(Исходн.данные.!$AI89=$BU$11,"Нет",IF(BM89&gt;60,60,IF(BM89&lt;10,10,BM89)))))))</f>
        <v>10</v>
      </c>
      <c r="CA89" s="39">
        <f>IF(BN89&lt;0,0,IF(Исходн.данные.!$AG89=$BV$11,BN89,IF(OR(Исходн.данные.!$AH89=$BQ$7,Исходн.данные.!$AH89=$BQ$8),CD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0,IF(Исходн.данные.!$AI89=$BU$11,"Нет",IF(BN89&gt;30,30,BN89))))))</f>
        <v>0</v>
      </c>
      <c r="CB89" s="9">
        <f t="shared" si="86"/>
        <v>0</v>
      </c>
      <c r="CC89" s="9">
        <f t="shared" si="87"/>
        <v>0</v>
      </c>
      <c r="CD89" s="9">
        <f t="shared" si="88"/>
        <v>0</v>
      </c>
      <c r="CE89" s="12">
        <f t="shared" si="89"/>
        <v>10</v>
      </c>
      <c r="CF89" s="9">
        <f t="shared" si="90"/>
        <v>0</v>
      </c>
      <c r="CG89" s="9" t="s">
        <v>231</v>
      </c>
      <c r="CH89" s="132" t="str">
        <f>IF(Исходн.данные.!AP89=Расчет!$CI$16,"Нет",IF(Исходн.данные.!AL89&gt;0,Исходн.данные.!AL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BH$4,IF(OR(Исходн.данные.!AI89=Исходн.данные.!$AI$6,Исходн.данные.!AI89=Исходн.данные.!$AI$7),Расчет!BS89,IF(AND($CF89=0,$CE89&gt;0),EV89,ER89)))))</f>
        <v>Аммофос 12:52:00</v>
      </c>
      <c r="CI89" s="274">
        <f>IF(Расчет!$CH89="Нет","Нет",IF(Исходн.данные.!$AL89&gt;0,VLOOKUP(Расчет!$CH89,АшламаДВ_Irekle,2,FALSE),VLOOKUP(Расчет!$CH89,АшламаДВ_Gomumy,2,FALSE)))</f>
        <v>0.12</v>
      </c>
      <c r="CJ89" s="274">
        <f>IF(Расчет!$CH89="Нет","Нет",IF(Исходн.данные.!$AL89&gt;0,VLOOKUP(Расчет!$CH89,АшламаДВ_Irekle,3,FALSE),VLOOKUP(Расчет!$CH89,АшламаДВ_Gomumy,3,FALSE)))</f>
        <v>0.52</v>
      </c>
      <c r="CK89" s="274">
        <f>IF(Расчет!$CH89="Нет","Нет",IF(Исходн.данные.!$AL89&gt;0,VLOOKUP(Расчет!$CH89,АшламаДВ_Irekle,4,FALSE),VLOOKUP(Расчет!$CH89,АшламаДВ_Gomumy,4,FALSE)))</f>
        <v>0</v>
      </c>
      <c r="CL89" s="70"/>
      <c r="CM89" s="70"/>
      <c r="CN89" s="70"/>
      <c r="CO89" s="70"/>
      <c r="CP89" s="70"/>
      <c r="CQ89" s="70"/>
      <c r="CR89" s="10">
        <f t="shared" si="91"/>
        <v>0</v>
      </c>
      <c r="CS89" s="10">
        <f t="shared" si="92"/>
        <v>19.23076923076923</v>
      </c>
      <c r="CT89" s="10">
        <f t="shared" si="93"/>
        <v>0</v>
      </c>
      <c r="CU89" s="39">
        <f>IF($CH89="Нет",0,IF(CI89=0,30/MIN(CJ89:CK89),IF(Исходн.данные.!$AG89=$BV$11,CR89,IF(OR(Исходн.данные.!$AH89=$BQ$7,Исходн.данные.!$AH89=$BQ$8),90/CI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0,IF(Исходн.данные.!$AI89=$BU$11,"Нет",30/CI89))))))</f>
        <v>250</v>
      </c>
      <c r="CV89" s="39">
        <f>IF($CH89="Нет",0,IF(Исходн.данные.!AH89=0,0,IF(CJ89=0,60/MIN(CI89,CK89),IF(Исходн.данные.!$AG89=$BV$11,CS89,IF(OR(Исходн.данные.!$AH89=$BQ$7,Исходн.данные.!$AH89=$BQ$8),90/CJ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10/CJ89,IF(Исходн.данные.!$AI89=$BU$11,"Нет",60/CJ89)))))))</f>
        <v>0</v>
      </c>
      <c r="CW89" s="39">
        <f>IF($CH89="Нет",0,IF(Исходн.данные.!AH89=0,0,IF(CK89=0,30/MIN(CI89:CJ89),IF(Исходн.данные.!$AG89=$BV$11,CT89,IF(OR(Исходн.данные.!$AH89=$BQ$7,Исходн.данные.!$AH89=$BQ$8),90/CK89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0,IF(Исходн.данные.!$AI89=$BU$11,"Нет",30/CK89)))))))</f>
        <v>0</v>
      </c>
      <c r="CX89" s="133">
        <f>IF(Исходн.данные.!$AG89=$BV$11,MAX(CU89:CW89),IF(OR(Исходн.данные.!$AH89=$BS$8,Исходн.данные.!$AH89=$BQ$9,Исходн.данные.!$AH89=$BQ$10,Исходн.данные.!$AH89=$BQ$11,Исходн.данные.!$AH89=$BQ$12,Исходн.данные.!$AH89=$BP$3,Исходн.данные.!$AH89=$BT$8,$FM89="Да"),CV89,MIN(CU89:CW89)))</f>
        <v>0</v>
      </c>
      <c r="CY89" s="133">
        <f>IF(Исходн.данные.!AH89=0,0,IF(CR89&gt;$CX89,$CX89,CR89))</f>
        <v>0</v>
      </c>
      <c r="CZ89" s="133">
        <f>IF(Исходн.данные.!AH89=0,0,IF(CS89&gt;$CX89,$CX89,CS89))</f>
        <v>0</v>
      </c>
      <c r="DA89" s="133">
        <f>IF(Исходн.данные.!AH89=0,0,IF(CT89&gt;$CX89,$CX89,CT89))</f>
        <v>0</v>
      </c>
      <c r="DB89" s="10">
        <f t="shared" si="94"/>
        <v>0</v>
      </c>
      <c r="DC89" s="39">
        <f>DB89*Исходн.данные.!AJ89/1000</f>
        <v>0</v>
      </c>
      <c r="DD89" s="71">
        <f t="shared" si="95"/>
        <v>0</v>
      </c>
      <c r="DE89" s="9">
        <f t="shared" si="96"/>
        <v>0</v>
      </c>
      <c r="DF89" s="9">
        <f t="shared" si="97"/>
        <v>0</v>
      </c>
      <c r="DG89" s="39">
        <f>IF(BL89&lt;0,0,IF($CH89="Нет",BL89,IF(OR(Исходн.данные.!$AH89=$BP$1,Исходн.данные.!$AH89=$BP$2),0,IF(Исходн.данные.!AI89=$BU$11,BL89,IF(BL89-DD89&lt;0,0,BL89-DD89)))))</f>
        <v>0</v>
      </c>
      <c r="DH89" s="39">
        <f>IF(BM89&lt;0,0,IF($CH89="Нет",BM89,IF(OR(Исходн.данные.!$AH89=$BP$1,Исходн.данные.!$AH89=$BP$2),0,IF(Исходн.данные.!AJ89=$BU$11,BM89,IF(BM89-DE89&lt;0,0,BM89-DE89)))))</f>
        <v>0</v>
      </c>
      <c r="DI89" s="39">
        <f>IF(BN89&lt;0,0,IF($CH89="Нет",BN89,IF(OR(Исходн.данные.!$AH89=$BP$1,Исходн.данные.!$AH89=$BP$2),0,IF(Исходн.данные.!AK89=$BU$11,BN89,IF(BN89-DF89&lt;0,0,BN89-DF89)))))</f>
        <v>0</v>
      </c>
      <c r="DJ89" s="12">
        <f t="shared" si="98"/>
        <v>0</v>
      </c>
      <c r="DK89" s="9">
        <f t="shared" si="99"/>
        <v>0</v>
      </c>
      <c r="DL89" s="39">
        <f>IF(Исходн.данные.!AM89&gt;0,Исходн.данные.!AM89,IF(EG89&gt;0,$BH$10,0))</f>
        <v>0</v>
      </c>
      <c r="DM89" s="186">
        <f>IF($DL89=0,0,IF(Исходн.данные.!AM89&gt;0,VLOOKUP($DL89,АшламаДВ_Irekle,2,FALSE),VLOOKUP($DL89,АшламаДВ_Gomumy,2,FALSE)))</f>
        <v>0</v>
      </c>
      <c r="DN89" s="10">
        <f t="shared" si="151"/>
        <v>0</v>
      </c>
      <c r="DO89" s="9" t="str">
        <f>IF(Исходн.данные.!AN89&gt;0,Исходн.данные.!AN89,Удобрения!$B$37 )</f>
        <v>Хлор.калий</v>
      </c>
      <c r="DP89" s="9">
        <f>IF(Исходн.данные.!AN89&gt;0,VLOOKUP(Исходн.данные.!AN89,АшламаДВ_Irekle,4,FALSE),VLOOKUP(DO89,АшламаДВ_Gomumy,4,FALSE))</f>
        <v>0.6</v>
      </c>
      <c r="DQ89" s="10">
        <f t="shared" si="152"/>
        <v>0</v>
      </c>
      <c r="DR89" s="132" t="str">
        <f>IF(Исходн.данные.!AO89&gt;0,Исходн.данные.!AO89,IF(DH89=0,BS$17,IF(AND($DK89=0,$DJ89&gt;0),EJ89,EN89)))</f>
        <v>Нет</v>
      </c>
      <c r="DS89" s="70" t="str">
        <f>IF($DR89="Нет","Нет",IF(Исходн.данные.!$AO89&gt;0,VLOOKUP($DR89,АшламаДВ_Irekle,2,FALSE),VLOOKUP($DR89,АшламаДВ_Gomumy,2,FALSE)))</f>
        <v>Нет</v>
      </c>
      <c r="DT89" s="70" t="str">
        <f>IF($DR89="Нет","Нет",IF(Исходн.данные.!$AO89&gt;0,VLOOKUP($DR89,АшламаДВ_Irekle,3,FALSE),VLOOKUP($DR89,АшламаДВ_Gomumy,3,FALSE)))</f>
        <v>Нет</v>
      </c>
      <c r="DU89" s="70" t="str">
        <f>IF($DR89="Нет","Нет",IF(Исходн.данные.!$AO89&gt;0,VLOOKUP($DR89,АшламаДВ_Irekle,4,FALSE),VLOOKUP($DR89,АшламаДВ_Gomumy,4,FALSE)))</f>
        <v>Нет</v>
      </c>
      <c r="DV89" s="70"/>
      <c r="DW89" s="70"/>
      <c r="DX89" s="70"/>
      <c r="DY89" s="10">
        <f t="shared" si="100"/>
        <v>0</v>
      </c>
      <c r="DZ89" s="10">
        <f t="shared" si="101"/>
        <v>0</v>
      </c>
      <c r="EA89" s="10">
        <f t="shared" si="102"/>
        <v>0</v>
      </c>
      <c r="EB89" s="10">
        <f t="shared" si="103"/>
        <v>0</v>
      </c>
      <c r="EC89" s="10">
        <f t="shared" si="104"/>
        <v>0</v>
      </c>
      <c r="ED89" s="10">
        <f t="shared" si="105"/>
        <v>0</v>
      </c>
      <c r="EE89" s="10">
        <f t="shared" si="106"/>
        <v>0</v>
      </c>
      <c r="EF89" s="39">
        <f>EB89*Исходн.данные.!AJ89/1000</f>
        <v>0</v>
      </c>
      <c r="EG89" s="9">
        <f t="shared" si="107"/>
        <v>0</v>
      </c>
      <c r="EH89" s="9">
        <f t="shared" si="108"/>
        <v>0</v>
      </c>
      <c r="EI89" s="39" t="e">
        <f t="shared" si="132"/>
        <v>#DIV/0!</v>
      </c>
      <c r="EJ89" s="9" t="str">
        <f t="shared" si="153"/>
        <v>Азопреципитат</v>
      </c>
      <c r="EK89" s="12">
        <f t="shared" si="133"/>
        <v>0.26</v>
      </c>
      <c r="EL89" s="12">
        <f t="shared" si="134"/>
        <v>0.13</v>
      </c>
      <c r="EM89" s="12">
        <f t="shared" si="135"/>
        <v>0</v>
      </c>
      <c r="EN89" s="12" t="str">
        <f t="shared" si="154"/>
        <v>Нет</v>
      </c>
      <c r="EO89" s="12">
        <f t="shared" si="136"/>
        <v>0</v>
      </c>
      <c r="EP89" s="12">
        <f t="shared" si="137"/>
        <v>0</v>
      </c>
      <c r="EQ89" s="12">
        <f t="shared" si="138"/>
        <v>0</v>
      </c>
      <c r="ER89" s="12" t="str">
        <f t="shared" si="109"/>
        <v>Диаммофоска</v>
      </c>
      <c r="ES89" s="12">
        <f t="shared" si="139"/>
        <v>0.1</v>
      </c>
      <c r="ET89" s="12">
        <f t="shared" si="140"/>
        <v>0.26</v>
      </c>
      <c r="EU89" s="12">
        <f t="shared" si="141"/>
        <v>0.26</v>
      </c>
      <c r="EV89" s="12" t="str">
        <f t="shared" si="110"/>
        <v>Аммофос 12:52:00</v>
      </c>
      <c r="EW89" s="12" t="str">
        <f t="shared" si="111"/>
        <v>Кемира Свекловичное-6</v>
      </c>
      <c r="EX89" s="12">
        <f t="shared" si="142"/>
        <v>0.16</v>
      </c>
      <c r="EY89" s="12">
        <f t="shared" si="143"/>
        <v>0.12</v>
      </c>
      <c r="EZ89" s="12">
        <f t="shared" si="144"/>
        <v>0.17</v>
      </c>
      <c r="FA89" s="38" t="e">
        <f>IF(AND(OR(FJ89=$FD$1,FM89=$FD$1,FO89=$FD$1,FQ89=$FD$1,FS89=$FD$1),FD89=$FD$1,Исходн.данные.!J89&lt;2,FU89=$FD$1),"Бор,Кобальт",IF(AND(FO89=$FD$1,FH89=$FD$1,Исходн.данные.!J89&lt;2,FU89=$FD$1),"Бор,Кобальт",IF(AND(OR(FJ89=$FD$1,FM89=$FD$1,FQ89=$FD$1),FE89=$FD$1,Исходн.данные.!J89&lt;2,FT89=$FD$1,FU89=$FD$1),"Бор,Медь,Цинк",IF(AND(OR(FJ89=$FD$1,FR89="Да"),FI89="Да",Исходн.данные.!J89&lt;2,FT89="Да",FU89="Да"),"Бор,Цинк,Медь",IF(AND(OR(FM89="Да",FQ89="Да"),FI89="Да",Исходн.данные.!J89&lt;2,FT89="Да",FU89="Да"),"Бор,Цинк",IF(AND(FN89="Да",OR(FD89="Да",FE89="Да")),"Бор",FB89))))))</f>
        <v>#N/A</v>
      </c>
      <c r="FB89" s="134" t="e">
        <f>IF(AND(OR(FD89="Да",FE89="Да",FF89="Да",FG89="Да",FH89="Да"),FO89="Да"),"Бор",IF(AND(FP89="Да",OR(FD89="Да",FE89="Да",FI89="Да")),"Бор",IF(AND(FS89="Да",FE89="Да"),"Бор,Медь",IF(AND(OR(FJ89="Да",FK89="Да",FL89="Да"),FE89="Да",Исходн.данные.!I89&lt;5,FT89="Да",FU89="Да"),"Молибден,Цинк",IF(AND(FM89="Да",OR(FE89="Да",FF89="Да",FG89="Да",FH89="Да",FI89="Да")),"Молибден,Цинк",IF(AND(OR(FJ89="Да",FK89="Да",FL89="Да",FM89="Да",FQ89="Да"),OR(FE89="Да",FF89="Да"),FT89="Да",FU89="Да",Исходн.данные.!I89&gt;5.5),"Медь,Цинк",FC89))))))</f>
        <v>#N/A</v>
      </c>
      <c r="FC89" s="23" t="e">
        <f t="shared" si="112"/>
        <v>#N/A</v>
      </c>
      <c r="FD89" s="38" t="str">
        <f>IF(OR(Исходн.данные.!F89=$CC$1,Исходн.данные.!F89=$CC$2,Исходн.данные.!F89=$CC$3,Исходн.данные.!F89=$CC$4),"Да","Нет")</f>
        <v>Нет</v>
      </c>
      <c r="FE89" s="38" t="str">
        <f>IF(Исходн.данные.!F89=$CC$5,"Да","Нет")</f>
        <v>Нет</v>
      </c>
      <c r="FF89" s="38" t="str">
        <f>IF(OR(Исходн.данные.!F89=$CC$6,Исходн.данные.!F89=$CC$7),"Да","Нет")</f>
        <v>Нет</v>
      </c>
      <c r="FG89" s="38" t="str">
        <f>IF(OR(Исходн.данные.!F89=$CC$8,Исходн.данные.!F89=$CC$9),"Да","Нет")</f>
        <v>Нет</v>
      </c>
      <c r="FH89" s="38" t="str">
        <f>IF(Исходн.данные.!F89=$CC$10,"Да","Нет")</f>
        <v>Нет</v>
      </c>
      <c r="FI89" s="38" t="str">
        <f>IF(OR(Исходн.данные.!F89=$CC$11,Исходн.данные.!F89=$CC$12),"Да","Нет")</f>
        <v>Нет</v>
      </c>
      <c r="FJ89" s="38" t="str">
        <f>IF(OR(Исходн.данные.!AH89=$BS$1,Исходн.данные.!AH89=$BQ$11,Исходн.данные.!AH89=$BQ$12),"Да","Нет")</f>
        <v>Нет</v>
      </c>
      <c r="FK89" s="38" t="str">
        <f>IF(OR(Исходн.данные.!AH89=$BS$2,Исходн.данные.!AH89=$BS$4),"Да","Нет")</f>
        <v>Нет</v>
      </c>
      <c r="FL89" s="38" t="str">
        <f>IF(OR(Исходн.данные.!AH89=$BS$3,Исходн.данные.!AH89=$BS$5),"Да","Нет")</f>
        <v>Нет</v>
      </c>
      <c r="FM89" s="38" t="str">
        <f>IF(OR(Исходн.данные.!AH89=$BS$9,Исходн.данные.!AH89=$BS$10,Исходн.данные.!AH89=$BS$11,Исходн.данные.!AH89=$BS$12),"Да","Нет")</f>
        <v>Нет</v>
      </c>
      <c r="FN89" s="38" t="str">
        <f>IF(OR(Исходн.данные.!AH89=$BS$6,Исходн.данные.!AH89=$BP$3),"Да","Нет")</f>
        <v>Нет</v>
      </c>
      <c r="FO89" s="38" t="str">
        <f>IF(Исходн.данные.!AH89=$BQ$9,"Да","Нет")</f>
        <v>Нет</v>
      </c>
      <c r="FP89" s="38" t="str">
        <f>IF(OR(Исходн.данные.!AH89=$BS$8,Исходн.данные.!AH89=$BT$8),"Да","Нет")</f>
        <v>Нет</v>
      </c>
      <c r="FQ89" s="38" t="str">
        <f>IF(OR(Исходн.данные.!AH89=$BQ$7,Исходн.данные.!AH89=$BQ$8),"Да","Нет")</f>
        <v>Нет</v>
      </c>
      <c r="FR89" s="38" t="str">
        <f>IF(Исходн.данные.!AI89=$BU$9,"Да","Нет")</f>
        <v>Нет</v>
      </c>
      <c r="FS89" s="38" t="str">
        <f>IF(OR(Исходн.данные.!AH89=$BP$1,Исходн.данные.!AH89=$BP$2),"Да","Нет")</f>
        <v>Нет</v>
      </c>
      <c r="FT89" s="38" t="e">
        <f>IF((Исходн.данные.!K89*GO89*GS89*GW89+BL89*0.6+Исходн.данные.!Q89*4.5*0.275)&gt;90,"Да","Нет")</f>
        <v>#N/A</v>
      </c>
      <c r="FU89" s="38" t="e">
        <f>IF((Исходн.данные.!M89*GS89*GZ89+BM89*0.225)&gt;35,"Да","Нет")</f>
        <v>#N/A</v>
      </c>
      <c r="FV89" s="38" t="str">
        <f>IF(Исходн.данные.!O89&gt;175,"Да","Нет")</f>
        <v>Нет</v>
      </c>
      <c r="FW89" s="39" t="str">
        <f>IF(Исходн.данные.!I89&gt;5.5,"Да","Нет")</f>
        <v>Нет</v>
      </c>
      <c r="FX89" s="39" t="str">
        <f>IF(Исходн.данные.!J89&lt;2,"Да","Нет")</f>
        <v>Да</v>
      </c>
      <c r="FY89" s="39" t="e">
        <f>IF(HF89=$FY$16,0,Исходн.данные.!K89*GO89*GS89*GW89/HF89)</f>
        <v>#N/A</v>
      </c>
      <c r="FZ89" s="39" t="e">
        <f>Исходн.данные.!M89*GS89*GZ89/HG89</f>
        <v>#N/A</v>
      </c>
      <c r="GA89" s="39" t="e">
        <f>IF(K_Wyn=$FY$16,0,IF(Исходн.данные.!N89=Исходн.данные.!$L$10,Исходн.данные.!O89/1.1*GS89*HC89/HH89,IF(Исходн.данные.!N89=Исходн.данные.!$L$12,Исходн.данные.!O89/1.5*GS89*HC89/HH89,Исходн.данные.!O89*GS89*HC89/HH89)))</f>
        <v>#N/A</v>
      </c>
      <c r="GB89" s="39" t="e">
        <f>IF(HF89=$FY$16,0,((Исходн.данные.!Q89*N_Org+Исходн.данные.!R89*N_Sider+Исходн.данные.!S89*N_Soloma)*AO89+Расчет!BC89*VLOOKUP(Исходн.данные.!T89,Справ!$A$3:$O$57,15)*AO89+BB89*VLOOKUP(Исходн.данные.!T89,Справ!$A$3:$O$57,15)*AL89+(Исходн.данные.!V89*N_Rizotorf+Исходн.данные.!W89*N_Rizoagr))/HF89)</f>
        <v>#N/A</v>
      </c>
      <c r="GC89" s="39" t="e">
        <f>IF(HG89=$FY$16,0,((Исходн.данные.!Q89*Р_Org+Исходн.данные.!R89*P_Sider+Исходн.данные.!S89*P_Soloma)*AP89+Расчет!BC89*VLOOKUP(Исходн.данные.!T89,Справ!$A$3:$P$57,16)*AP89+BB89*VLOOKUP(Исходн.данные.!T89,Справ!$A$3:$P$57,16)*AM89)/HG89)</f>
        <v>#N/A</v>
      </c>
      <c r="GD89" s="39" t="e">
        <f>IF(HH89=$FY$16,0,((Исходн.данные.!Q89*К_Org+Исходн.данные.!R89*K_Sider+Исходн.данные.!S89*K_Soloma)*AQ89+Расчет!BC89*VLOOKUP(Исходн.данные.!T89,Справ!$A$3:$Q$57,17)*AQ89+BB89*VLOOKUP(Исходн.данные.!T89,Справ!$A$3:$Q$57,17)*AN89)/HH89)</f>
        <v>#N/A</v>
      </c>
      <c r="GE89" s="39" t="e">
        <f>IF(HF89=$FY$16,0,(Исходн.данные.!X89*AR89+Исходн.данные.!AA89*N_Org*AL89+Исходн.данные.!AB89*N_Sider*AL89+Исходн.данные.!AC89*N_Soloma*AL89)/HF89)</f>
        <v>#N/A</v>
      </c>
      <c r="GF89" s="39" t="e">
        <f>IF(HG89=$FY$16,0,(Исходн.данные.!Y89*AS89+Исходн.данные.!AA89*Р_Org*AM89+Исходн.данные.!AB89*P_Sider*AM89+Исходн.данные.!AC89*P_Soloma*AM89)/HG89)</f>
        <v>#N/A</v>
      </c>
      <c r="GG89" s="39" t="e">
        <f>IF(HH89=$FY$16,0,(Исходн.данные.!Z89*AT89+Исходн.данные.!AA89*К_Org*AN89+Исходн.данные.!AB89*K_Sider*AN89+Исходн.данные.!AC89*K_Soloma*AN89)/HH89)</f>
        <v>#N/A</v>
      </c>
      <c r="GH89" s="39" t="e">
        <f>Исходн.данные.!AD89*AU89/HF89</f>
        <v>#N/A</v>
      </c>
      <c r="GI89" s="39" t="e">
        <f>Исходн.данные.!AE89*AV89/HG89</f>
        <v>#N/A</v>
      </c>
      <c r="GJ89" s="39" t="e">
        <f>Исходн.данные.!AF89*AW89/HH89</f>
        <v>#N/A</v>
      </c>
      <c r="GK89" s="55">
        <f>Исходн.данные.!AK89</f>
        <v>0</v>
      </c>
      <c r="GL89" s="11" t="e">
        <f t="shared" si="113"/>
        <v>#N/A</v>
      </c>
      <c r="GM89" s="11" t="e">
        <f t="shared" si="114"/>
        <v>#N/A</v>
      </c>
      <c r="GN89" s="11" t="e">
        <f t="shared" si="115"/>
        <v>#N/A</v>
      </c>
      <c r="GO89" s="57">
        <f t="shared" si="116"/>
        <v>19</v>
      </c>
      <c r="GP89" s="55">
        <f>IF(OR(Исходн.данные.!F89=$CE$1,Исходн.данные.!F89=$CE$2,Исходн.данные.!F89=$CE$3,Исходн.данные.!F89=$CE$4,Исходн.данные.!F89=$CE$5),GQ89,GR89)</f>
        <v>19</v>
      </c>
      <c r="GQ89" s="55">
        <f>IF(Исходн.данные.!F89=$CE$1,28,IF(Исходн.данные.!F89=$CE$2,26,IF(Исходн.данные.!F89=$CE$3,24,IF(Исходн.данные.!F89=$CE$4,22,IF(Исходн.данные.!F89=$CE$5,20,GR89)))))</f>
        <v>19</v>
      </c>
      <c r="GR89" s="55">
        <f>IF(Исходн.данные.!F89=$CE$6,18,IF(Исходн.данные.!F89=$CE$7,16,IF(Исходн.данные.!F89=$CE$8,14,IF(Исходн.данные.!F89=$CE$9,13,IF(Исходн.данные.!F89=$CE$10,12,19)))))</f>
        <v>19</v>
      </c>
      <c r="GS89" s="55">
        <f>IF(Исходн.данные.!G89="Пес",0.035*(40+2*Исходн.данные.!H89),IF(Исходн.данные.!G89="Суп",0.0325*(40+2*Исходн.данные.!H89),0.03*(40+2*Исходн.данные.!H89)))</f>
        <v>1.2</v>
      </c>
      <c r="GT89" s="55">
        <f>IF(Исходн.данные.!H89&lt;23,2.6,IF(AND(Исходн.данные.!H89&gt;22,Исходн.данные.!H89&lt;26),3,IF(AND(Исходн.данные.!H89&gt;25,Исходн.данные.!H89&lt;29),3.4,3.6)))</f>
        <v>2.6</v>
      </c>
      <c r="GU89" s="55">
        <f>IF(Исходн.данные.!H89&lt;23,2.8,IF(AND(Исходн.данные.!H89&gt;22,Исходн.данные.!H89&lt;26),3.2,IF(AND(Исходн.данные.!H89&gt;25,Исходн.данные.!H89&lt;29),3.6,3.9)))</f>
        <v>2.8</v>
      </c>
      <c r="GV89" s="55">
        <f>IF(Исходн.данные.!H89&lt;23,3,IF(AND(Исходн.данные.!H89&gt;22,Исходн.данные.!H89&lt;26),3.5,IF(AND(Исходн.данные.!H89&gt;25,Исходн.данные.!H89&lt;29),3.9,4.2)))</f>
        <v>3</v>
      </c>
      <c r="GW89" s="55" t="e">
        <f>IF(Исходн.данные.!P89="Ум",GX89,GY89)</f>
        <v>#N/A</v>
      </c>
      <c r="GX89" s="55" t="e">
        <f>VLOOKUP(Исходн.данные.!AI89,Коэффициенты!$J$7:$L$13,2,FALSE)</f>
        <v>#N/A</v>
      </c>
      <c r="GY89" s="55" t="e">
        <f>VLOOKUP(Исходн.данные.!AI89,Коэффициенты!$J$7:$L$13,3,FALSE)</f>
        <v>#N/A</v>
      </c>
      <c r="GZ89" s="55" t="e">
        <f>(IF(Исходн.данные.!M89&lt;50,0.11*VLOOKUP(Исходн.данные.!AH89,Культуры.Информация,7,FALSE),IF(Исходн.данные.!M89&gt;250,0.05*VLOOKUP(Исходн.данные.!AH89,Культуры.Информация,7,FALSE),VLOOKUP(Исходн.данные.!AH89,Культуры.Информация,5,FALSE)/100*($GX$6+$GY$6*Исходн.данные.!M89))))*Расчет2!AI89</f>
        <v>#N/A</v>
      </c>
      <c r="HA89" s="211"/>
      <c r="HB89" s="211"/>
      <c r="HC89" s="55" t="e">
        <f>(IF(Исходн.данные.!O89&lt;80,0.2*VLOOKUP(Исходн.данные.!AH89,Культуры.Информация,8,FALSE),IF(Исходн.данные.!O89&gt;240,0.09*VLOOKUP(Исходн.данные.!AH89,Культуры.Информация,8,FALSE),VLOOKUP(Исходн.данные.!AH89,Культуры.Информация,6,FALSE)/100*($HB$6+$HC$6*Исходн.данные.!O89))))*Расчет2!AJ89</f>
        <v>#N/A</v>
      </c>
      <c r="HD89" s="55">
        <f>IF(Исходн.данные.!O89&gt;240,0.09,IF(Исходн.данные.!O89&lt;30,0.3,$HE$10+$HD$10*Исходн.данные.!O89))</f>
        <v>0.3</v>
      </c>
      <c r="HE89" s="55">
        <f>IF(Исходн.данные.!O89&gt;240,0.17,IF(Исходн.данные.!O89&lt;30,0.5,$HF$12+$HE$12*Исходн.данные.!O89))</f>
        <v>0.5</v>
      </c>
      <c r="HF89" s="55" t="e">
        <f>VLOOKUP(Исходн.данные.!AH89,Справ!$A$3:$D$58,2,FALSE)</f>
        <v>#N/A</v>
      </c>
      <c r="HG89" s="55" t="e">
        <f>VLOOKUP(Исходн.данные.!AH89,Справ!$A$3:$D$58,3,FALSE)</f>
        <v>#N/A</v>
      </c>
      <c r="HH89" s="55" t="e">
        <f>VLOOKUP(Исходн.данные.!AH89,Справ!$A$3:$D$58,4,FALSE)</f>
        <v>#N/A</v>
      </c>
      <c r="HI89" s="11" t="e">
        <f t="shared" si="117"/>
        <v>#N/A</v>
      </c>
      <c r="HJ89" s="11" t="e">
        <f t="shared" si="118"/>
        <v>#N/A</v>
      </c>
      <c r="HK89" s="11" t="e">
        <f t="shared" si="119"/>
        <v>#N/A</v>
      </c>
      <c r="HL89" s="55">
        <f>IF(OR(Исходн.данные.!G89="Глин",Исходн.данные.!G89="Т_суг"),1.1,IF(Исходн.данные.!G89="Ср_суг",1,1))</f>
        <v>1</v>
      </c>
      <c r="HM89" s="55">
        <f>IF(OR(Исходн.данные.!G89="Глин",Исходн.данные.!G89="Т_суг"),0.9,IF(Исходн.данные.!G89="Ср_суг",1,1.2))</f>
        <v>1.2</v>
      </c>
      <c r="HN89" s="11" t="e">
        <f t="shared" si="120"/>
        <v>#N/A</v>
      </c>
      <c r="HO89" s="11" t="e">
        <f t="shared" si="121"/>
        <v>#N/A</v>
      </c>
      <c r="HP89" s="11" t="e">
        <f t="shared" si="122"/>
        <v>#N/A</v>
      </c>
      <c r="HQ89" t="e">
        <f t="shared" si="123"/>
        <v>#N/A</v>
      </c>
      <c r="HR89" t="e">
        <f t="shared" si="124"/>
        <v>#N/A</v>
      </c>
      <c r="HS89" t="e">
        <f t="shared" si="125"/>
        <v>#N/A</v>
      </c>
      <c r="HT89" t="e">
        <f t="shared" si="145"/>
        <v>#N/A</v>
      </c>
      <c r="HU89" t="e">
        <f t="shared" si="146"/>
        <v>#N/A</v>
      </c>
      <c r="HV89" t="e">
        <f t="shared" si="147"/>
        <v>#N/A</v>
      </c>
      <c r="HW89" t="e">
        <f t="shared" si="148"/>
        <v>#N/A</v>
      </c>
      <c r="HX89" t="e">
        <f t="shared" si="149"/>
        <v>#N/A</v>
      </c>
      <c r="HY89" t="e">
        <f t="shared" si="150"/>
        <v>#N/A</v>
      </c>
      <c r="HZ89" s="55">
        <f>IF(OR(Исходн.данные.!AI89="Оз_Ч_П",Исходн.данные.!AI89="Оз_З_П",Исходн.данные.!AI89="Яр_зер"),12,30)</f>
        <v>30</v>
      </c>
      <c r="IA89" t="e">
        <f t="shared" si="126"/>
        <v>#N/A</v>
      </c>
      <c r="IB89" t="e">
        <f t="shared" si="127"/>
        <v>#N/A</v>
      </c>
      <c r="IC89" t="e">
        <f t="shared" si="128"/>
        <v>#N/A</v>
      </c>
      <c r="ID89" s="11" t="e">
        <f t="shared" si="129"/>
        <v>#N/A</v>
      </c>
      <c r="IE89" s="11" t="e">
        <f t="shared" si="130"/>
        <v>#N/A</v>
      </c>
      <c r="IF89" s="11" t="e">
        <f t="shared" si="131"/>
        <v>#N/A</v>
      </c>
    </row>
    <row r="90" spans="35:240" x14ac:dyDescent="0.2">
      <c r="AI90">
        <f>IF(Исходн.данные.!I90&gt;6,1,1.85-(0.148*Исходн.данные.!I90))</f>
        <v>1.85</v>
      </c>
      <c r="AJ90">
        <f>IF(Исходн.данные.!I90&gt;6,1,2.434-(0.246*Исходн.данные.!I90))</f>
        <v>2.4340000000000002</v>
      </c>
      <c r="AL90" s="148" t="b">
        <f>IF(Исходн.данные.!$P90="Ум",N_OrgUd_2g_um,IF(Исходн.данные.!$P90="Об",N_OrgUd_2g_ob))</f>
        <v>0</v>
      </c>
      <c r="AM90" s="148" t="b">
        <f>IF(Исходн.данные.!$P90="Ум",P_OrgUd_2g_um,IF(Исходн.данные.!$P90="Об",P_OrgUd_2g_ob))</f>
        <v>0</v>
      </c>
      <c r="AN90" s="148" t="b">
        <f>IF(Исходн.данные.!$P90="Ум",K_OrgUd_2g_um,IF(Исходн.данные.!$P90="Об",K_OrgUd_2g_ob))</f>
        <v>0</v>
      </c>
      <c r="AO90" s="148" t="b">
        <f>IF(Исходн.данные.!$P90="Ум",N_OrgUd_1g_um,IF(Исходн.данные.!$P90="Об",N_OrgUd_1g_ob))</f>
        <v>0</v>
      </c>
      <c r="AP90" s="148" t="b">
        <f>IF(Исходн.данные.!$P90="Ум",P_OrgUd_1g_um,IF(Исходн.данные.!$P90="Об",P_OrgUd_1g_ob))</f>
        <v>0</v>
      </c>
      <c r="AQ90" s="148" t="b">
        <f>IF(Исходн.данные.!$P90="Ум",K_OrgUd_1g_um,IF(Исходн.данные.!$P90="Об",K_OrgUd_1g_ob))</f>
        <v>0</v>
      </c>
      <c r="AR90" t="b">
        <f>IF(Исходн.данные.!$P90="Ум",N_MinUd_2g_um,IF(Исходн.данные.!$P90="Об",N_MinUd_2g_ob))</f>
        <v>0</v>
      </c>
      <c r="AS90" t="b">
        <f>IF(Исходн.данные.!$P90="Ум",P_MinUd_2g_um,IF(Исходн.данные.!$P90="Об",P_MinUd_2g_ob))</f>
        <v>0</v>
      </c>
      <c r="AT90" t="b">
        <f>IF(Исходн.данные.!$P90="Ум",K_MinUd_2g_um,IF(Исходн.данные.!$P90="Об",K_MinUd_2g_ob))</f>
        <v>0</v>
      </c>
      <c r="AU90" t="b">
        <f>IF(Исходн.данные.!$P90="Ум",N_MinUd_1g_um,IF(Исходн.данные.!$P90="Об",N_MinUd_1g_ob))</f>
        <v>0</v>
      </c>
      <c r="AV90" t="b">
        <f>IF(Исходн.данные.!P90="Ум",P_MinUd_1g_um,IF(Исходн.данные.!P90="Об",P_MinUd_1g_ob))</f>
        <v>0</v>
      </c>
      <c r="AW90" t="b">
        <f>IF(Исходн.данные.!P90="Ум",K_MinUd_1g_um,IF(Исходн.данные.!P90="Об",K_MinUd_1g_ob))</f>
        <v>0</v>
      </c>
      <c r="AY90" t="e">
        <f>VLOOKUP(Исходн.данные.!T90,Справ!$A$3:$N$57,12)</f>
        <v>#N/A</v>
      </c>
      <c r="AZ90" t="e">
        <f>VLOOKUP(Исходн.данные.!T90,Справ!$A$3:$N$57,13)</f>
        <v>#N/A</v>
      </c>
      <c r="BA90" t="e">
        <f>VLOOKUP(Исходн.данные.!T90,Справ!$A$3:$N$57,14)</f>
        <v>#N/A</v>
      </c>
      <c r="BB90">
        <f>IF(Исходн.данные.!AH90=0,0,25)</f>
        <v>0</v>
      </c>
      <c r="BC90" s="141">
        <f>IF(Исходн.данные.!AH90=0,0,IF(Исходн.данные.!T90=0,25,BD90))</f>
        <v>0</v>
      </c>
      <c r="BD90" s="168" t="e">
        <f>AY90+AZ90*Исходн.данные.!U90-POWER(BA90,2)*Исходн.данные.!U90</f>
        <v>#N/A</v>
      </c>
      <c r="BE9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0" s="25">
        <f>IF(Исходн.данные.!AH90=0,0,MIN(HN90:HP90))</f>
        <v>0</v>
      </c>
      <c r="BG90" s="9">
        <f>IF(Исходн.данные.!AH90=0,0,IF((HO90+10*0.25/HG90/HL90)&lt;17,17,HO90+10*0.25/HG90/HL90))</f>
        <v>0</v>
      </c>
      <c r="BH90" s="181">
        <f>IF(Исходн.данные.!AH90=0,0,HW90*HF90*HL90/AU90*AI90+Исходн.данные.!S90*10)</f>
        <v>0</v>
      </c>
      <c r="BI90" s="10"/>
      <c r="BJ90" s="182">
        <f>IF(Исходн.данные.!AH90=0,0,IF(HX90*HG90*HL90/AV90&lt;0,0,HX90*HG90*HL90/AV90*AJ90))</f>
        <v>0</v>
      </c>
      <c r="BK90" s="182">
        <f>IF(Исходн.данные.!AH90=0,0,HY90*HH90*HM90/AW90)</f>
        <v>0</v>
      </c>
      <c r="BL90" s="10">
        <f>IF(OR(Исходн.данные.!$AH90=$BP$1,Исходн.данные.!$AH90=$BP$2),0,IF(BH90&lt;0,0,IF(OR(Исходн.данные.!T90=Расчет!$BP$1,Исходн.данные.!T90=Расчет!$BP$2,Исходн.данные.!T90=Расчет!$BT$5,Исходн.данные.!T90=Расчет!$BT$6),BH90*0.5,IF(OR(Исходн.данные.!T90=Расчет!$BS$9,Исходн.данные.!T90=Расчет!$BS$10,Исходн.данные.!T90=Расчет!$BS$11,Исходн.данные.!T90=Расчет!$BS$12,Исходн.данные.!T90=Расчет!$BP$5),BH90*0.8,BH90))))</f>
        <v>0</v>
      </c>
      <c r="BM90" s="10">
        <f>IF(OR(Исходн.данные.!$AH90=$BP$1,Исходн.данные.!$AH90=$BP$2),0,IF(BJ90&lt;0,0,IF(Исходн.данные.!I90&lt;4.5,BJ90*1.2,IF(Исходн.данные.!I90&gt;5.1,BJ90,BJ90*((5.1-Исходн.данные.!I90)*0.333+1)))))</f>
        <v>0</v>
      </c>
      <c r="BN90" s="10">
        <f>IF(OR(Исходн.данные.!$AH90=$BP$1,Исходн.данные.!$AH90=$BP$2),60-Исходн.данные.!AF90,IF(BK90&lt;0,0,IF(Исходн.данные.!I90&lt;4.5,BK90*1.2,IF(Исходн.данные.!I90&gt;5.1,BK90,BK90*((5.1-Исходн.данные.!I90)*0.333+1)))))</f>
        <v>0</v>
      </c>
      <c r="BO90" s="9">
        <f>IF(BL90&lt;0,0,BL90*Исходн.данные.!$AJ90/1000)</f>
        <v>0</v>
      </c>
      <c r="BP90" s="9">
        <f>IF(BM90&lt;0,0,BM90*Исходн.данные.!$AJ90/1000)</f>
        <v>0</v>
      </c>
      <c r="BQ90" s="9">
        <f>IF(BN90&lt;0,0,BN90*Исходн.данные.!$AJ90/1000)</f>
        <v>0</v>
      </c>
      <c r="BR90" s="9">
        <f t="shared" si="81"/>
        <v>0</v>
      </c>
      <c r="BS90" s="10" t="str">
        <f t="shared" si="82"/>
        <v>Аммофос 12:52:00</v>
      </c>
      <c r="BT90" s="10" t="str">
        <f t="shared" si="83"/>
        <v>Аммофос 12:52:00</v>
      </c>
      <c r="BU90" s="10" t="str">
        <f t="shared" si="84"/>
        <v>Диаммофоска</v>
      </c>
      <c r="BV90" s="10">
        <f t="shared" si="85"/>
        <v>0</v>
      </c>
      <c r="BW90" s="10"/>
      <c r="BX90" s="10"/>
      <c r="BY90" s="9">
        <f>IF(BL90&lt;0,0,IF(OR(Исходн.данные.!AI90=Расчет!$BU$6,Исходн.данные.!AI90=Расчет!$BU$7),Расчет!BV90,IF(Исходн.данные.!$AG90=$BV$11,BL90,IF(OR(Исходн.данные.!$AH90=$BQ$7,Исходн.данные.!$AH90=$BQ$8),CB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0,IF(Исходн.данные.!$AI90=$BU$11,"Нет",IF(BL90&gt;30,30,BL90)))))))</f>
        <v>0</v>
      </c>
      <c r="BZ90" s="9">
        <f>IF(AND(Исходн.данные.!$AG90=$BV$11,BM90&lt;10),10,IF(Исходн.данные.!$AG90=$BV$11,BM90,IF(OR(Исходн.данные.!$AH90=$BQ$7,Исходн.данные.!$AH90=$BQ$8),CC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10,IF(Исходн.данные.!$AI90=$BU$11,"Нет",IF(BM90&gt;60,60,IF(BM90&lt;10,10,BM90)))))))</f>
        <v>10</v>
      </c>
      <c r="CA90" s="39">
        <f>IF(BN90&lt;0,0,IF(Исходн.данные.!$AG90=$BV$11,BN90,IF(OR(Исходн.данные.!$AH90=$BQ$7,Исходн.данные.!$AH90=$BQ$8),CD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0,IF(Исходн.данные.!$AI90=$BU$11,"Нет",IF(BN90&gt;30,30,BN90))))))</f>
        <v>0</v>
      </c>
      <c r="CB90" s="9">
        <f t="shared" si="86"/>
        <v>0</v>
      </c>
      <c r="CC90" s="9">
        <f t="shared" si="87"/>
        <v>0</v>
      </c>
      <c r="CD90" s="9">
        <f t="shared" si="88"/>
        <v>0</v>
      </c>
      <c r="CE90" s="12">
        <f t="shared" si="89"/>
        <v>10</v>
      </c>
      <c r="CF90" s="9">
        <f t="shared" si="90"/>
        <v>0</v>
      </c>
      <c r="CG90" s="9" t="s">
        <v>231</v>
      </c>
      <c r="CH90" s="132" t="str">
        <f>IF(Исходн.данные.!AP90=Расчет!$CI$16,"Нет",IF(Исходн.данные.!AL90&gt;0,Исходн.данные.!AL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BH$4,IF(OR(Исходн.данные.!AI90=Исходн.данные.!$AI$6,Исходн.данные.!AI90=Исходн.данные.!$AI$7),Расчет!BS90,IF(AND($CF90=0,$CE90&gt;0),EV90,ER90)))))</f>
        <v>Аммофос 12:52:00</v>
      </c>
      <c r="CI90" s="274">
        <f>IF(Расчет!$CH90="Нет","Нет",IF(Исходн.данные.!$AL90&gt;0,VLOOKUP(Расчет!$CH90,АшламаДВ_Irekle,2,FALSE),VLOOKUP(Расчет!$CH90,АшламаДВ_Gomumy,2,FALSE)))</f>
        <v>0.12</v>
      </c>
      <c r="CJ90" s="274">
        <f>IF(Расчет!$CH90="Нет","Нет",IF(Исходн.данные.!$AL90&gt;0,VLOOKUP(Расчет!$CH90,АшламаДВ_Irekle,3,FALSE),VLOOKUP(Расчет!$CH90,АшламаДВ_Gomumy,3,FALSE)))</f>
        <v>0.52</v>
      </c>
      <c r="CK90" s="274">
        <f>IF(Расчет!$CH90="Нет","Нет",IF(Исходн.данные.!$AL90&gt;0,VLOOKUP(Расчет!$CH90,АшламаДВ_Irekle,4,FALSE),VLOOKUP(Расчет!$CH90,АшламаДВ_Gomumy,4,FALSE)))</f>
        <v>0</v>
      </c>
      <c r="CL90" s="70"/>
      <c r="CM90" s="70"/>
      <c r="CN90" s="70"/>
      <c r="CO90" s="70"/>
      <c r="CP90" s="70"/>
      <c r="CQ90" s="70"/>
      <c r="CR90" s="10">
        <f t="shared" si="91"/>
        <v>0</v>
      </c>
      <c r="CS90" s="10">
        <f t="shared" si="92"/>
        <v>19.23076923076923</v>
      </c>
      <c r="CT90" s="10">
        <f t="shared" si="93"/>
        <v>0</v>
      </c>
      <c r="CU90" s="39">
        <f>IF($CH90="Нет",0,IF(CI90=0,30/MIN(CJ90:CK90),IF(Исходн.данные.!$AG90=$BV$11,CR90,IF(OR(Исходн.данные.!$AH90=$BQ$7,Исходн.данные.!$AH90=$BQ$8),90/CI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0,IF(Исходн.данные.!$AI90=$BU$11,"Нет",30/CI90))))))</f>
        <v>250</v>
      </c>
      <c r="CV90" s="39">
        <f>IF($CH90="Нет",0,IF(Исходн.данные.!AH90=0,0,IF(CJ90=0,60/MIN(CI90,CK90),IF(Исходн.данные.!$AG90=$BV$11,CS90,IF(OR(Исходн.данные.!$AH90=$BQ$7,Исходн.данные.!$AH90=$BQ$8),90/CJ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10/CJ90,IF(Исходн.данные.!$AI90=$BU$11,"Нет",60/CJ90)))))))</f>
        <v>0</v>
      </c>
      <c r="CW90" s="39">
        <f>IF($CH90="Нет",0,IF(Исходн.данные.!AH90=0,0,IF(CK90=0,30/MIN(CI90:CJ90),IF(Исходн.данные.!$AG90=$BV$11,CT90,IF(OR(Исходн.данные.!$AH90=$BQ$7,Исходн.данные.!$AH90=$BQ$8),90/CK90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0,IF(Исходн.данные.!$AI90=$BU$11,"Нет",30/CK90)))))))</f>
        <v>0</v>
      </c>
      <c r="CX90" s="133">
        <f>IF(Исходн.данные.!$AG90=$BV$11,MAX(CU90:CW90),IF(OR(Исходн.данные.!$AH90=$BS$8,Исходн.данные.!$AH90=$BQ$9,Исходн.данные.!$AH90=$BQ$10,Исходн.данные.!$AH90=$BQ$11,Исходн.данные.!$AH90=$BQ$12,Исходн.данные.!$AH90=$BP$3,Исходн.данные.!$AH90=$BT$8,$FM90="Да"),CV90,MIN(CU90:CW90)))</f>
        <v>0</v>
      </c>
      <c r="CY90" s="133">
        <f>IF(Исходн.данные.!AH90=0,0,IF(CR90&gt;$CX90,$CX90,CR90))</f>
        <v>0</v>
      </c>
      <c r="CZ90" s="133">
        <f>IF(Исходн.данные.!AH90=0,0,IF(CS90&gt;$CX90,$CX90,CS90))</f>
        <v>0</v>
      </c>
      <c r="DA90" s="133">
        <f>IF(Исходн.данные.!AH90=0,0,IF(CT90&gt;$CX90,$CX90,CT90))</f>
        <v>0</v>
      </c>
      <c r="DB90" s="10">
        <f t="shared" si="94"/>
        <v>0</v>
      </c>
      <c r="DC90" s="39">
        <f>DB90*Исходн.данные.!AJ90/1000</f>
        <v>0</v>
      </c>
      <c r="DD90" s="71">
        <f t="shared" si="95"/>
        <v>0</v>
      </c>
      <c r="DE90" s="9">
        <f t="shared" si="96"/>
        <v>0</v>
      </c>
      <c r="DF90" s="9">
        <f t="shared" si="97"/>
        <v>0</v>
      </c>
      <c r="DG90" s="39">
        <f>IF(BL90&lt;0,0,IF($CH90="Нет",BL90,IF(OR(Исходн.данные.!$AH90=$BP$1,Исходн.данные.!$AH90=$BP$2),0,IF(Исходн.данные.!AI90=$BU$11,BL90,IF(BL90-DD90&lt;0,0,BL90-DD90)))))</f>
        <v>0</v>
      </c>
      <c r="DH90" s="39">
        <f>IF(BM90&lt;0,0,IF($CH90="Нет",BM90,IF(OR(Исходн.данные.!$AH90=$BP$1,Исходн.данные.!$AH90=$BP$2),0,IF(Исходн.данные.!AJ90=$BU$11,BM90,IF(BM90-DE90&lt;0,0,BM90-DE90)))))</f>
        <v>0</v>
      </c>
      <c r="DI90" s="39">
        <f>IF(BN90&lt;0,0,IF($CH90="Нет",BN90,IF(OR(Исходн.данные.!$AH90=$BP$1,Исходн.данные.!$AH90=$BP$2),0,IF(Исходн.данные.!AK90=$BU$11,BN90,IF(BN90-DF90&lt;0,0,BN90-DF90)))))</f>
        <v>0</v>
      </c>
      <c r="DJ90" s="12">
        <f t="shared" si="98"/>
        <v>0</v>
      </c>
      <c r="DK90" s="9">
        <f t="shared" si="99"/>
        <v>0</v>
      </c>
      <c r="DL90" s="39">
        <f>IF(Исходн.данные.!AM90&gt;0,Исходн.данные.!AM90,IF(EG90&gt;0,$BH$10,0))</f>
        <v>0</v>
      </c>
      <c r="DM90" s="186">
        <f>IF($DL90=0,0,IF(Исходн.данные.!AM90&gt;0,VLOOKUP($DL90,АшламаДВ_Irekle,2,FALSE),VLOOKUP($DL90,АшламаДВ_Gomumy,2,FALSE)))</f>
        <v>0</v>
      </c>
      <c r="DN90" s="10">
        <f t="shared" si="151"/>
        <v>0</v>
      </c>
      <c r="DO90" s="9" t="str">
        <f>IF(Исходн.данные.!AN90&gt;0,Исходн.данные.!AN90,Удобрения!$B$37 )</f>
        <v>Хлор.калий</v>
      </c>
      <c r="DP90" s="9">
        <f>IF(Исходн.данные.!AN90&gt;0,VLOOKUP(Исходн.данные.!AN90,АшламаДВ_Irekle,4,FALSE),VLOOKUP(DO90,АшламаДВ_Gomumy,4,FALSE))</f>
        <v>0.6</v>
      </c>
      <c r="DQ90" s="10">
        <f t="shared" si="152"/>
        <v>0</v>
      </c>
      <c r="DR90" s="132" t="str">
        <f>IF(Исходн.данные.!AO90&gt;0,Исходн.данные.!AO90,IF(DH90=0,BS$17,IF(AND($DK90=0,$DJ90&gt;0),EJ90,EN90)))</f>
        <v>Нет</v>
      </c>
      <c r="DS90" s="70" t="str">
        <f>IF($DR90="Нет","Нет",IF(Исходн.данные.!$AO90&gt;0,VLOOKUP($DR90,АшламаДВ_Irekle,2,FALSE),VLOOKUP($DR90,АшламаДВ_Gomumy,2,FALSE)))</f>
        <v>Нет</v>
      </c>
      <c r="DT90" s="70" t="str">
        <f>IF($DR90="Нет","Нет",IF(Исходн.данные.!$AO90&gt;0,VLOOKUP($DR90,АшламаДВ_Irekle,3,FALSE),VLOOKUP($DR90,АшламаДВ_Gomumy,3,FALSE)))</f>
        <v>Нет</v>
      </c>
      <c r="DU90" s="70" t="str">
        <f>IF($DR90="Нет","Нет",IF(Исходн.данные.!$AO90&gt;0,VLOOKUP($DR90,АшламаДВ_Irekle,4,FALSE),VLOOKUP($DR90,АшламаДВ_Gomumy,4,FALSE)))</f>
        <v>Нет</v>
      </c>
      <c r="DV90" s="70"/>
      <c r="DW90" s="70"/>
      <c r="DX90" s="70"/>
      <c r="DY90" s="10">
        <f t="shared" si="100"/>
        <v>0</v>
      </c>
      <c r="DZ90" s="10">
        <f t="shared" si="101"/>
        <v>0</v>
      </c>
      <c r="EA90" s="10">
        <f t="shared" si="102"/>
        <v>0</v>
      </c>
      <c r="EB90" s="10">
        <f t="shared" si="103"/>
        <v>0</v>
      </c>
      <c r="EC90" s="10">
        <f t="shared" si="104"/>
        <v>0</v>
      </c>
      <c r="ED90" s="10">
        <f t="shared" si="105"/>
        <v>0</v>
      </c>
      <c r="EE90" s="10">
        <f t="shared" si="106"/>
        <v>0</v>
      </c>
      <c r="EF90" s="39">
        <f>EB90*Исходн.данные.!AJ90/1000</f>
        <v>0</v>
      </c>
      <c r="EG90" s="9">
        <f t="shared" si="107"/>
        <v>0</v>
      </c>
      <c r="EH90" s="9">
        <f t="shared" si="108"/>
        <v>0</v>
      </c>
      <c r="EI90" s="39" t="e">
        <f t="shared" si="132"/>
        <v>#DIV/0!</v>
      </c>
      <c r="EJ90" s="9" t="str">
        <f t="shared" si="153"/>
        <v>Азопреципитат</v>
      </c>
      <c r="EK90" s="12">
        <f t="shared" si="133"/>
        <v>0.26</v>
      </c>
      <c r="EL90" s="12">
        <f t="shared" si="134"/>
        <v>0.13</v>
      </c>
      <c r="EM90" s="12">
        <f t="shared" si="135"/>
        <v>0</v>
      </c>
      <c r="EN90" s="12" t="str">
        <f t="shared" si="154"/>
        <v>Нет</v>
      </c>
      <c r="EO90" s="12">
        <f t="shared" si="136"/>
        <v>0</v>
      </c>
      <c r="EP90" s="12">
        <f t="shared" si="137"/>
        <v>0</v>
      </c>
      <c r="EQ90" s="12">
        <f t="shared" si="138"/>
        <v>0</v>
      </c>
      <c r="ER90" s="12" t="str">
        <f t="shared" si="109"/>
        <v>Диаммофоска</v>
      </c>
      <c r="ES90" s="12">
        <f t="shared" si="139"/>
        <v>0.1</v>
      </c>
      <c r="ET90" s="12">
        <f t="shared" si="140"/>
        <v>0.26</v>
      </c>
      <c r="EU90" s="12">
        <f t="shared" si="141"/>
        <v>0.26</v>
      </c>
      <c r="EV90" s="12" t="str">
        <f t="shared" si="110"/>
        <v>Аммофос 12:52:00</v>
      </c>
      <c r="EW90" s="12" t="str">
        <f t="shared" si="111"/>
        <v>Кемира Свекловичное-6</v>
      </c>
      <c r="EX90" s="12">
        <f t="shared" si="142"/>
        <v>0.16</v>
      </c>
      <c r="EY90" s="12">
        <f t="shared" si="143"/>
        <v>0.12</v>
      </c>
      <c r="EZ90" s="12">
        <f t="shared" si="144"/>
        <v>0.17</v>
      </c>
      <c r="FA90" s="38" t="e">
        <f>IF(AND(OR(FJ90=$FD$1,FM90=$FD$1,FO90=$FD$1,FQ90=$FD$1,FS90=$FD$1),FD90=$FD$1,Исходн.данные.!J90&lt;2,FU90=$FD$1),"Бор,Кобальт",IF(AND(FO90=$FD$1,FH90=$FD$1,Исходн.данные.!J90&lt;2,FU90=$FD$1),"Бор,Кобальт",IF(AND(OR(FJ90=$FD$1,FM90=$FD$1,FQ90=$FD$1),FE90=$FD$1,Исходн.данные.!J90&lt;2,FT90=$FD$1,FU90=$FD$1),"Бор,Медь,Цинк",IF(AND(OR(FJ90=$FD$1,FR90="Да"),FI90="Да",Исходн.данные.!J90&lt;2,FT90="Да",FU90="Да"),"Бор,Цинк,Медь",IF(AND(OR(FM90="Да",FQ90="Да"),FI90="Да",Исходн.данные.!J90&lt;2,FT90="Да",FU90="Да"),"Бор,Цинк",IF(AND(FN90="Да",OR(FD90="Да",FE90="Да")),"Бор",FB90))))))</f>
        <v>#N/A</v>
      </c>
      <c r="FB90" s="134" t="e">
        <f>IF(AND(OR(FD90="Да",FE90="Да",FF90="Да",FG90="Да",FH90="Да"),FO90="Да"),"Бор",IF(AND(FP90="Да",OR(FD90="Да",FE90="Да",FI90="Да")),"Бор",IF(AND(FS90="Да",FE90="Да"),"Бор,Медь",IF(AND(OR(FJ90="Да",FK90="Да",FL90="Да"),FE90="Да",Исходн.данные.!I90&lt;5,FT90="Да",FU90="Да"),"Молибден,Цинк",IF(AND(FM90="Да",OR(FE90="Да",FF90="Да",FG90="Да",FH90="Да",FI90="Да")),"Молибден,Цинк",IF(AND(OR(FJ90="Да",FK90="Да",FL90="Да",FM90="Да",FQ90="Да"),OR(FE90="Да",FF90="Да"),FT90="Да",FU90="Да",Исходн.данные.!I90&gt;5.5),"Медь,Цинк",FC90))))))</f>
        <v>#N/A</v>
      </c>
      <c r="FC90" s="23" t="e">
        <f t="shared" si="112"/>
        <v>#N/A</v>
      </c>
      <c r="FD90" s="38" t="str">
        <f>IF(OR(Исходн.данные.!F90=$CC$1,Исходн.данные.!F90=$CC$2,Исходн.данные.!F90=$CC$3,Исходн.данные.!F90=$CC$4),"Да","Нет")</f>
        <v>Нет</v>
      </c>
      <c r="FE90" s="38" t="str">
        <f>IF(Исходн.данные.!F90=$CC$5,"Да","Нет")</f>
        <v>Нет</v>
      </c>
      <c r="FF90" s="38" t="str">
        <f>IF(OR(Исходн.данные.!F90=$CC$6,Исходн.данные.!F90=$CC$7),"Да","Нет")</f>
        <v>Нет</v>
      </c>
      <c r="FG90" s="38" t="str">
        <f>IF(OR(Исходн.данные.!F90=$CC$8,Исходн.данные.!F90=$CC$9),"Да","Нет")</f>
        <v>Нет</v>
      </c>
      <c r="FH90" s="38" t="str">
        <f>IF(Исходн.данные.!F90=$CC$10,"Да","Нет")</f>
        <v>Нет</v>
      </c>
      <c r="FI90" s="38" t="str">
        <f>IF(OR(Исходн.данные.!F90=$CC$11,Исходн.данные.!F90=$CC$12),"Да","Нет")</f>
        <v>Нет</v>
      </c>
      <c r="FJ90" s="38" t="str">
        <f>IF(OR(Исходн.данные.!AH90=$BS$1,Исходн.данные.!AH90=$BQ$11,Исходн.данные.!AH90=$BQ$12),"Да","Нет")</f>
        <v>Нет</v>
      </c>
      <c r="FK90" s="38" t="str">
        <f>IF(OR(Исходн.данные.!AH90=$BS$2,Исходн.данные.!AH90=$BS$4),"Да","Нет")</f>
        <v>Нет</v>
      </c>
      <c r="FL90" s="38" t="str">
        <f>IF(OR(Исходн.данные.!AH90=$BS$3,Исходн.данные.!AH90=$BS$5),"Да","Нет")</f>
        <v>Нет</v>
      </c>
      <c r="FM90" s="38" t="str">
        <f>IF(OR(Исходн.данные.!AH90=$BS$9,Исходн.данные.!AH90=$BS$10,Исходн.данные.!AH90=$BS$11,Исходн.данные.!AH90=$BS$12),"Да","Нет")</f>
        <v>Нет</v>
      </c>
      <c r="FN90" s="38" t="str">
        <f>IF(OR(Исходн.данные.!AH90=$BS$6,Исходн.данные.!AH90=$BP$3),"Да","Нет")</f>
        <v>Нет</v>
      </c>
      <c r="FO90" s="38" t="str">
        <f>IF(Исходн.данные.!AH90=$BQ$9,"Да","Нет")</f>
        <v>Нет</v>
      </c>
      <c r="FP90" s="38" t="str">
        <f>IF(OR(Исходн.данные.!AH90=$BS$8,Исходн.данные.!AH90=$BT$8),"Да","Нет")</f>
        <v>Нет</v>
      </c>
      <c r="FQ90" s="38" t="str">
        <f>IF(OR(Исходн.данные.!AH90=$BQ$7,Исходн.данные.!AH90=$BQ$8),"Да","Нет")</f>
        <v>Нет</v>
      </c>
      <c r="FR90" s="38" t="str">
        <f>IF(Исходн.данные.!AI90=$BU$9,"Да","Нет")</f>
        <v>Нет</v>
      </c>
      <c r="FS90" s="38" t="str">
        <f>IF(OR(Исходн.данные.!AH90=$BP$1,Исходн.данные.!AH90=$BP$2),"Да","Нет")</f>
        <v>Нет</v>
      </c>
      <c r="FT90" s="38" t="e">
        <f>IF((Исходн.данные.!K90*GO90*GS90*GW90+BL90*0.6+Исходн.данные.!Q90*4.5*0.275)&gt;90,"Да","Нет")</f>
        <v>#N/A</v>
      </c>
      <c r="FU90" s="38" t="e">
        <f>IF((Исходн.данные.!M90*GS90*GZ90+BM90*0.225)&gt;35,"Да","Нет")</f>
        <v>#N/A</v>
      </c>
      <c r="FV90" s="38" t="str">
        <f>IF(Исходн.данные.!O90&gt;175,"Да","Нет")</f>
        <v>Нет</v>
      </c>
      <c r="FW90" s="39" t="str">
        <f>IF(Исходн.данные.!I90&gt;5.5,"Да","Нет")</f>
        <v>Нет</v>
      </c>
      <c r="FX90" s="39" t="str">
        <f>IF(Исходн.данные.!J90&lt;2,"Да","Нет")</f>
        <v>Да</v>
      </c>
      <c r="FY90" s="39" t="e">
        <f>IF(HF90=$FY$16,0,Исходн.данные.!K90*GO90*GS90*GW90/HF90)</f>
        <v>#N/A</v>
      </c>
      <c r="FZ90" s="39" t="e">
        <f>Исходн.данные.!M90*GS90*GZ90/HG90</f>
        <v>#N/A</v>
      </c>
      <c r="GA90" s="39" t="e">
        <f>IF(K_Wyn=$FY$16,0,IF(Исходн.данные.!N90=Исходн.данные.!$L$10,Исходн.данные.!O90/1.1*GS90*HC90/HH90,IF(Исходн.данные.!N90=Исходн.данные.!$L$12,Исходн.данные.!O90/1.5*GS90*HC90/HH90,Исходн.данные.!O90*GS90*HC90/HH90)))</f>
        <v>#N/A</v>
      </c>
      <c r="GB90" s="39" t="e">
        <f>IF(HF90=$FY$16,0,((Исходн.данные.!Q90*N_Org+Исходн.данные.!R90*N_Sider+Исходн.данные.!S90*N_Soloma)*AO90+Расчет!BC90*VLOOKUP(Исходн.данные.!T90,Справ!$A$3:$O$57,15)*AO90+BB90*VLOOKUP(Исходн.данные.!T90,Справ!$A$3:$O$57,15)*AL90+(Исходн.данные.!V90*N_Rizotorf+Исходн.данные.!W90*N_Rizoagr))/HF90)</f>
        <v>#N/A</v>
      </c>
      <c r="GC90" s="39" t="e">
        <f>IF(HG90=$FY$16,0,((Исходн.данные.!Q90*Р_Org+Исходн.данные.!R90*P_Sider+Исходн.данные.!S90*P_Soloma)*AP90+Расчет!BC90*VLOOKUP(Исходн.данные.!T90,Справ!$A$3:$P$57,16)*AP90+BB90*VLOOKUP(Исходн.данные.!T90,Справ!$A$3:$P$57,16)*AM90)/HG90)</f>
        <v>#N/A</v>
      </c>
      <c r="GD90" s="39" t="e">
        <f>IF(HH90=$FY$16,0,((Исходн.данные.!Q90*К_Org+Исходн.данные.!R90*K_Sider+Исходн.данные.!S90*K_Soloma)*AQ90+Расчет!BC90*VLOOKUP(Исходн.данные.!T90,Справ!$A$3:$Q$57,17)*AQ90+BB90*VLOOKUP(Исходн.данные.!T90,Справ!$A$3:$Q$57,17)*AN90)/HH90)</f>
        <v>#N/A</v>
      </c>
      <c r="GE90" s="39" t="e">
        <f>IF(HF90=$FY$16,0,(Исходн.данные.!X90*AR90+Исходн.данные.!AA90*N_Org*AL90+Исходн.данные.!AB90*N_Sider*AL90+Исходн.данные.!AC90*N_Soloma*AL90)/HF90)</f>
        <v>#N/A</v>
      </c>
      <c r="GF90" s="39" t="e">
        <f>IF(HG90=$FY$16,0,(Исходн.данные.!Y90*AS90+Исходн.данные.!AA90*Р_Org*AM90+Исходн.данные.!AB90*P_Sider*AM90+Исходн.данные.!AC90*P_Soloma*AM90)/HG90)</f>
        <v>#N/A</v>
      </c>
      <c r="GG90" s="39" t="e">
        <f>IF(HH90=$FY$16,0,(Исходн.данные.!Z90*AT90+Исходн.данные.!AA90*К_Org*AN90+Исходн.данные.!AB90*K_Sider*AN90+Исходн.данные.!AC90*K_Soloma*AN90)/HH90)</f>
        <v>#N/A</v>
      </c>
      <c r="GH90" s="39" t="e">
        <f>Исходн.данные.!AD90*AU90/HF90</f>
        <v>#N/A</v>
      </c>
      <c r="GI90" s="39" t="e">
        <f>Исходн.данные.!AE90*AV90/HG90</f>
        <v>#N/A</v>
      </c>
      <c r="GJ90" s="39" t="e">
        <f>Исходн.данные.!AF90*AW90/HH90</f>
        <v>#N/A</v>
      </c>
      <c r="GK90" s="55">
        <f>Исходн.данные.!AK90</f>
        <v>0</v>
      </c>
      <c r="GL90" s="11" t="e">
        <f t="shared" si="113"/>
        <v>#N/A</v>
      </c>
      <c r="GM90" s="11" t="e">
        <f t="shared" si="114"/>
        <v>#N/A</v>
      </c>
      <c r="GN90" s="11" t="e">
        <f t="shared" si="115"/>
        <v>#N/A</v>
      </c>
      <c r="GO90" s="57">
        <f t="shared" si="116"/>
        <v>19</v>
      </c>
      <c r="GP90" s="55">
        <f>IF(OR(Исходн.данные.!F90=$CE$1,Исходн.данные.!F90=$CE$2,Исходн.данные.!F90=$CE$3,Исходн.данные.!F90=$CE$4,Исходн.данные.!F90=$CE$5),GQ90,GR90)</f>
        <v>19</v>
      </c>
      <c r="GQ90" s="55">
        <f>IF(Исходн.данные.!F90=$CE$1,28,IF(Исходн.данные.!F90=$CE$2,26,IF(Исходн.данные.!F90=$CE$3,24,IF(Исходн.данные.!F90=$CE$4,22,IF(Исходн.данные.!F90=$CE$5,20,GR90)))))</f>
        <v>19</v>
      </c>
      <c r="GR90" s="55">
        <f>IF(Исходн.данные.!F90=$CE$6,18,IF(Исходн.данные.!F90=$CE$7,16,IF(Исходн.данные.!F90=$CE$8,14,IF(Исходн.данные.!F90=$CE$9,13,IF(Исходн.данные.!F90=$CE$10,12,19)))))</f>
        <v>19</v>
      </c>
      <c r="GS90" s="55">
        <f>IF(Исходн.данные.!G90="Пес",0.035*(40+2*Исходн.данные.!H90),IF(Исходн.данные.!G90="Суп",0.0325*(40+2*Исходн.данные.!H90),0.03*(40+2*Исходн.данные.!H90)))</f>
        <v>1.2</v>
      </c>
      <c r="GT90" s="55">
        <f>IF(Исходн.данные.!H90&lt;23,2.6,IF(AND(Исходн.данные.!H90&gt;22,Исходн.данные.!H90&lt;26),3,IF(AND(Исходн.данные.!H90&gt;25,Исходн.данные.!H90&lt;29),3.4,3.6)))</f>
        <v>2.6</v>
      </c>
      <c r="GU90" s="55">
        <f>IF(Исходн.данные.!H90&lt;23,2.8,IF(AND(Исходн.данные.!H90&gt;22,Исходн.данные.!H90&lt;26),3.2,IF(AND(Исходн.данные.!H90&gt;25,Исходн.данные.!H90&lt;29),3.6,3.9)))</f>
        <v>2.8</v>
      </c>
      <c r="GV90" s="55">
        <f>IF(Исходн.данные.!H90&lt;23,3,IF(AND(Исходн.данные.!H90&gt;22,Исходн.данные.!H90&lt;26),3.5,IF(AND(Исходн.данные.!H90&gt;25,Исходн.данные.!H90&lt;29),3.9,4.2)))</f>
        <v>3</v>
      </c>
      <c r="GW90" s="55" t="e">
        <f>IF(Исходн.данные.!P90="Ум",GX90,GY90)</f>
        <v>#N/A</v>
      </c>
      <c r="GX90" s="55" t="e">
        <f>VLOOKUP(Исходн.данные.!AI90,Коэффициенты!$J$7:$L$13,2,FALSE)</f>
        <v>#N/A</v>
      </c>
      <c r="GY90" s="55" t="e">
        <f>VLOOKUP(Исходн.данные.!AI90,Коэффициенты!$J$7:$L$13,3,FALSE)</f>
        <v>#N/A</v>
      </c>
      <c r="GZ90" s="55" t="e">
        <f>(IF(Исходн.данные.!M90&lt;50,0.11*VLOOKUP(Исходн.данные.!AH90,Культуры.Информация,7,FALSE),IF(Исходн.данные.!M90&gt;250,0.05*VLOOKUP(Исходн.данные.!AH90,Культуры.Информация,7,FALSE),VLOOKUP(Исходн.данные.!AH90,Культуры.Информация,5,FALSE)/100*($GX$6+$GY$6*Исходн.данные.!M90))))*Расчет2!AI90</f>
        <v>#N/A</v>
      </c>
      <c r="HA90" s="211"/>
      <c r="HB90" s="211"/>
      <c r="HC90" s="55" t="e">
        <f>(IF(Исходн.данные.!O90&lt;80,0.2*VLOOKUP(Исходн.данные.!AH90,Культуры.Информация,8,FALSE),IF(Исходн.данные.!O90&gt;240,0.09*VLOOKUP(Исходн.данные.!AH90,Культуры.Информация,8,FALSE),VLOOKUP(Исходн.данные.!AH90,Культуры.Информация,6,FALSE)/100*($HB$6+$HC$6*Исходн.данные.!O90))))*Расчет2!AJ90</f>
        <v>#N/A</v>
      </c>
      <c r="HD90" s="55">
        <f>IF(Исходн.данные.!O90&gt;240,0.09,IF(Исходн.данные.!O90&lt;30,0.3,$HE$10+$HD$10*Исходн.данные.!O90))</f>
        <v>0.3</v>
      </c>
      <c r="HE90" s="55">
        <f>IF(Исходн.данные.!O90&gt;240,0.17,IF(Исходн.данные.!O90&lt;30,0.5,$HF$12+$HE$12*Исходн.данные.!O90))</f>
        <v>0.5</v>
      </c>
      <c r="HF90" s="55" t="e">
        <f>VLOOKUP(Исходн.данные.!AH90,Справ!$A$3:$D$58,2,FALSE)</f>
        <v>#N/A</v>
      </c>
      <c r="HG90" s="55" t="e">
        <f>VLOOKUP(Исходн.данные.!AH90,Справ!$A$3:$D$58,3,FALSE)</f>
        <v>#N/A</v>
      </c>
      <c r="HH90" s="55" t="e">
        <f>VLOOKUP(Исходн.данные.!AH90,Справ!$A$3:$D$58,4,FALSE)</f>
        <v>#N/A</v>
      </c>
      <c r="HI90" s="11" t="e">
        <f t="shared" si="117"/>
        <v>#N/A</v>
      </c>
      <c r="HJ90" s="11" t="e">
        <f t="shared" si="118"/>
        <v>#N/A</v>
      </c>
      <c r="HK90" s="11" t="e">
        <f t="shared" si="119"/>
        <v>#N/A</v>
      </c>
      <c r="HL90" s="55">
        <f>IF(OR(Исходн.данные.!G90="Глин",Исходн.данные.!G90="Т_суг"),1.1,IF(Исходн.данные.!G90="Ср_суг",1,1))</f>
        <v>1</v>
      </c>
      <c r="HM90" s="55">
        <f>IF(OR(Исходн.данные.!G90="Глин",Исходн.данные.!G90="Т_суг"),0.9,IF(Исходн.данные.!G90="Ср_суг",1,1.2))</f>
        <v>1.2</v>
      </c>
      <c r="HN90" s="11" t="e">
        <f t="shared" si="120"/>
        <v>#N/A</v>
      </c>
      <c r="HO90" s="11" t="e">
        <f t="shared" si="121"/>
        <v>#N/A</v>
      </c>
      <c r="HP90" s="11" t="e">
        <f t="shared" si="122"/>
        <v>#N/A</v>
      </c>
      <c r="HQ90" t="e">
        <f t="shared" si="123"/>
        <v>#N/A</v>
      </c>
      <c r="HR90" t="e">
        <f t="shared" si="124"/>
        <v>#N/A</v>
      </c>
      <c r="HS90" t="e">
        <f t="shared" si="125"/>
        <v>#N/A</v>
      </c>
      <c r="HT90" t="e">
        <f t="shared" si="145"/>
        <v>#N/A</v>
      </c>
      <c r="HU90" t="e">
        <f t="shared" si="146"/>
        <v>#N/A</v>
      </c>
      <c r="HV90" t="e">
        <f t="shared" si="147"/>
        <v>#N/A</v>
      </c>
      <c r="HW90" t="e">
        <f t="shared" si="148"/>
        <v>#N/A</v>
      </c>
      <c r="HX90" t="e">
        <f t="shared" si="149"/>
        <v>#N/A</v>
      </c>
      <c r="HY90" t="e">
        <f t="shared" si="150"/>
        <v>#N/A</v>
      </c>
      <c r="HZ90" s="55">
        <f>IF(OR(Исходн.данные.!AI90="Оз_Ч_П",Исходн.данные.!AI90="Оз_З_П",Исходн.данные.!AI90="Яр_зер"),12,30)</f>
        <v>30</v>
      </c>
      <c r="IA90" t="e">
        <f t="shared" si="126"/>
        <v>#N/A</v>
      </c>
      <c r="IB90" t="e">
        <f t="shared" si="127"/>
        <v>#N/A</v>
      </c>
      <c r="IC90" t="e">
        <f t="shared" si="128"/>
        <v>#N/A</v>
      </c>
      <c r="ID90" s="11" t="e">
        <f t="shared" si="129"/>
        <v>#N/A</v>
      </c>
      <c r="IE90" s="11" t="e">
        <f t="shared" si="130"/>
        <v>#N/A</v>
      </c>
      <c r="IF90" s="11" t="e">
        <f t="shared" si="131"/>
        <v>#N/A</v>
      </c>
    </row>
    <row r="91" spans="35:240" x14ac:dyDescent="0.2">
      <c r="AI91">
        <f>IF(Исходн.данные.!I91&gt;6,1,1.85-(0.148*Исходн.данные.!I91))</f>
        <v>1.85</v>
      </c>
      <c r="AJ91">
        <f>IF(Исходн.данные.!I91&gt;6,1,2.434-(0.246*Исходн.данные.!I91))</f>
        <v>2.4340000000000002</v>
      </c>
      <c r="AL91" s="148" t="b">
        <f>IF(Исходн.данные.!$P91="Ум",N_OrgUd_2g_um,IF(Исходн.данные.!$P91="Об",N_OrgUd_2g_ob))</f>
        <v>0</v>
      </c>
      <c r="AM91" s="148" t="b">
        <f>IF(Исходн.данные.!$P91="Ум",P_OrgUd_2g_um,IF(Исходн.данные.!$P91="Об",P_OrgUd_2g_ob))</f>
        <v>0</v>
      </c>
      <c r="AN91" s="148" t="b">
        <f>IF(Исходн.данные.!$P91="Ум",K_OrgUd_2g_um,IF(Исходн.данные.!$P91="Об",K_OrgUd_2g_ob))</f>
        <v>0</v>
      </c>
      <c r="AO91" s="148" t="b">
        <f>IF(Исходн.данные.!$P91="Ум",N_OrgUd_1g_um,IF(Исходн.данные.!$P91="Об",N_OrgUd_1g_ob))</f>
        <v>0</v>
      </c>
      <c r="AP91" s="148" t="b">
        <f>IF(Исходн.данные.!$P91="Ум",P_OrgUd_1g_um,IF(Исходн.данные.!$P91="Об",P_OrgUd_1g_ob))</f>
        <v>0</v>
      </c>
      <c r="AQ91" s="148" t="b">
        <f>IF(Исходн.данные.!$P91="Ум",K_OrgUd_1g_um,IF(Исходн.данные.!$P91="Об",K_OrgUd_1g_ob))</f>
        <v>0</v>
      </c>
      <c r="AR91" t="b">
        <f>IF(Исходн.данные.!$P91="Ум",N_MinUd_2g_um,IF(Исходн.данные.!$P91="Об",N_MinUd_2g_ob))</f>
        <v>0</v>
      </c>
      <c r="AS91" t="b">
        <f>IF(Исходн.данные.!$P91="Ум",P_MinUd_2g_um,IF(Исходн.данные.!$P91="Об",P_MinUd_2g_ob))</f>
        <v>0</v>
      </c>
      <c r="AT91" t="b">
        <f>IF(Исходн.данные.!$P91="Ум",K_MinUd_2g_um,IF(Исходн.данные.!$P91="Об",K_MinUd_2g_ob))</f>
        <v>0</v>
      </c>
      <c r="AU91" t="b">
        <f>IF(Исходн.данные.!$P91="Ум",N_MinUd_1g_um,IF(Исходн.данные.!$P91="Об",N_MinUd_1g_ob))</f>
        <v>0</v>
      </c>
      <c r="AV91" t="b">
        <f>IF(Исходн.данные.!P91="Ум",P_MinUd_1g_um,IF(Исходн.данные.!P91="Об",P_MinUd_1g_ob))</f>
        <v>0</v>
      </c>
      <c r="AW91" t="b">
        <f>IF(Исходн.данные.!P91="Ум",K_MinUd_1g_um,IF(Исходн.данные.!P91="Об",K_MinUd_1g_ob))</f>
        <v>0</v>
      </c>
      <c r="AY91" t="e">
        <f>VLOOKUP(Исходн.данные.!T91,Справ!$A$3:$N$57,12)</f>
        <v>#N/A</v>
      </c>
      <c r="AZ91" t="e">
        <f>VLOOKUP(Исходн.данные.!T91,Справ!$A$3:$N$57,13)</f>
        <v>#N/A</v>
      </c>
      <c r="BA91" t="e">
        <f>VLOOKUP(Исходн.данные.!T91,Справ!$A$3:$N$57,14)</f>
        <v>#N/A</v>
      </c>
      <c r="BB91">
        <f>IF(Исходн.данные.!AH91=0,0,25)</f>
        <v>0</v>
      </c>
      <c r="BC91" s="141">
        <f>IF(Исходн.данные.!AH91=0,0,IF(Исходн.данные.!T91=0,25,BD91))</f>
        <v>0</v>
      </c>
      <c r="BD91" s="168" t="e">
        <f>AY91+AZ91*Исходн.данные.!U91-POWER(BA91,2)*Исходн.данные.!U91</f>
        <v>#N/A</v>
      </c>
      <c r="BE9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1" s="25">
        <f>IF(Исходн.данные.!AH91=0,0,MIN(HN91:HP91))</f>
        <v>0</v>
      </c>
      <c r="BG91" s="9">
        <f>IF(Исходн.данные.!AH91=0,0,IF((HO91+10*0.25/HG91/HL91)&lt;17,17,HO91+10*0.25/HG91/HL91))</f>
        <v>0</v>
      </c>
      <c r="BH91" s="181">
        <f>IF(Исходн.данные.!AH91=0,0,HW91*HF91*HL91/AU91*AI91+Исходн.данные.!S91*10)</f>
        <v>0</v>
      </c>
      <c r="BI91" s="10"/>
      <c r="BJ91" s="182">
        <f>IF(Исходн.данные.!AH91=0,0,IF(HX91*HG91*HL91/AV91&lt;0,0,HX91*HG91*HL91/AV91*AJ91))</f>
        <v>0</v>
      </c>
      <c r="BK91" s="182">
        <f>IF(Исходн.данные.!AH91=0,0,HY91*HH91*HM91/AW91)</f>
        <v>0</v>
      </c>
      <c r="BL91" s="10">
        <f>IF(OR(Исходн.данные.!$AH91=$BP$1,Исходн.данные.!$AH91=$BP$2),0,IF(BH91&lt;0,0,IF(OR(Исходн.данные.!T91=Расчет!$BP$1,Исходн.данные.!T91=Расчет!$BP$2,Исходн.данные.!T91=Расчет!$BT$5,Исходн.данные.!T91=Расчет!$BT$6),BH91*0.5,IF(OR(Исходн.данные.!T91=Расчет!$BS$9,Исходн.данные.!T91=Расчет!$BS$10,Исходн.данные.!T91=Расчет!$BS$11,Исходн.данные.!T91=Расчет!$BS$12,Исходн.данные.!T91=Расчет!$BP$5),BH91*0.8,BH91))))</f>
        <v>0</v>
      </c>
      <c r="BM91" s="10">
        <f>IF(OR(Исходн.данные.!$AH91=$BP$1,Исходн.данные.!$AH91=$BP$2),0,IF(BJ91&lt;0,0,IF(Исходн.данные.!I91&lt;4.5,BJ91*1.2,IF(Исходн.данные.!I91&gt;5.1,BJ91,BJ91*((5.1-Исходн.данные.!I91)*0.333+1)))))</f>
        <v>0</v>
      </c>
      <c r="BN91" s="10">
        <f>IF(OR(Исходн.данные.!$AH91=$BP$1,Исходн.данные.!$AH91=$BP$2),60-Исходн.данные.!AF91,IF(BK91&lt;0,0,IF(Исходн.данные.!I91&lt;4.5,BK91*1.2,IF(Исходн.данные.!I91&gt;5.1,BK91,BK91*((5.1-Исходн.данные.!I91)*0.333+1)))))</f>
        <v>0</v>
      </c>
      <c r="BO91" s="9">
        <f>IF(BL91&lt;0,0,BL91*Исходн.данные.!$AJ91/1000)</f>
        <v>0</v>
      </c>
      <c r="BP91" s="9">
        <f>IF(BM91&lt;0,0,BM91*Исходн.данные.!$AJ91/1000)</f>
        <v>0</v>
      </c>
      <c r="BQ91" s="9">
        <f>IF(BN91&lt;0,0,BN91*Исходн.данные.!$AJ91/1000)</f>
        <v>0</v>
      </c>
      <c r="BR91" s="9">
        <f t="shared" si="81"/>
        <v>0</v>
      </c>
      <c r="BS91" s="10" t="str">
        <f t="shared" si="82"/>
        <v>Аммофос 12:52:00</v>
      </c>
      <c r="BT91" s="10" t="str">
        <f t="shared" si="83"/>
        <v>Аммофос 12:52:00</v>
      </c>
      <c r="BU91" s="10" t="str">
        <f t="shared" si="84"/>
        <v>Диаммофоска</v>
      </c>
      <c r="BV91" s="10">
        <f t="shared" si="85"/>
        <v>0</v>
      </c>
      <c r="BW91" s="10"/>
      <c r="BX91" s="10"/>
      <c r="BY91" s="9">
        <f>IF(BL91&lt;0,0,IF(OR(Исходн.данные.!AI91=Расчет!$BU$6,Исходн.данные.!AI91=Расчет!$BU$7),Расчет!BV91,IF(Исходн.данные.!$AG91=$BV$11,BL91,IF(OR(Исходн.данные.!$AH91=$BQ$7,Исходн.данные.!$AH91=$BQ$8),CB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0,IF(Исходн.данные.!$AI91=$BU$11,"Нет",IF(BL91&gt;30,30,BL91)))))))</f>
        <v>0</v>
      </c>
      <c r="BZ91" s="9">
        <f>IF(AND(Исходн.данные.!$AG91=$BV$11,BM91&lt;10),10,IF(Исходн.данные.!$AG91=$BV$11,BM91,IF(OR(Исходн.данные.!$AH91=$BQ$7,Исходн.данные.!$AH91=$BQ$8),CC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10,IF(Исходн.данные.!$AI91=$BU$11,"Нет",IF(BM91&gt;60,60,IF(BM91&lt;10,10,BM91)))))))</f>
        <v>10</v>
      </c>
      <c r="CA91" s="39">
        <f>IF(BN91&lt;0,0,IF(Исходн.данные.!$AG91=$BV$11,BN91,IF(OR(Исходн.данные.!$AH91=$BQ$7,Исходн.данные.!$AH91=$BQ$8),CD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0,IF(Исходн.данные.!$AI91=$BU$11,"Нет",IF(BN91&gt;30,30,BN91))))))</f>
        <v>0</v>
      </c>
      <c r="CB91" s="9">
        <f t="shared" si="86"/>
        <v>0</v>
      </c>
      <c r="CC91" s="9">
        <f t="shared" si="87"/>
        <v>0</v>
      </c>
      <c r="CD91" s="9">
        <f t="shared" si="88"/>
        <v>0</v>
      </c>
      <c r="CE91" s="12">
        <f t="shared" si="89"/>
        <v>10</v>
      </c>
      <c r="CF91" s="9">
        <f t="shared" si="90"/>
        <v>0</v>
      </c>
      <c r="CG91" s="9" t="s">
        <v>231</v>
      </c>
      <c r="CH91" s="132" t="str">
        <f>IF(Исходн.данные.!AP91=Расчет!$CI$16,"Нет",IF(Исходн.данные.!AL91&gt;0,Исходн.данные.!AL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BH$4,IF(OR(Исходн.данные.!AI91=Исходн.данные.!$AI$6,Исходн.данные.!AI91=Исходн.данные.!$AI$7),Расчет!BS91,IF(AND($CF91=0,$CE91&gt;0),EV91,ER91)))))</f>
        <v>Аммофос 12:52:00</v>
      </c>
      <c r="CI91" s="274">
        <f>IF(Расчет!$CH91="Нет","Нет",IF(Исходн.данные.!$AL91&gt;0,VLOOKUP(Расчет!$CH91,АшламаДВ_Irekle,2,FALSE),VLOOKUP(Расчет!$CH91,АшламаДВ_Gomumy,2,FALSE)))</f>
        <v>0.12</v>
      </c>
      <c r="CJ91" s="274">
        <f>IF(Расчет!$CH91="Нет","Нет",IF(Исходн.данные.!$AL91&gt;0,VLOOKUP(Расчет!$CH91,АшламаДВ_Irekle,3,FALSE),VLOOKUP(Расчет!$CH91,АшламаДВ_Gomumy,3,FALSE)))</f>
        <v>0.52</v>
      </c>
      <c r="CK91" s="274">
        <f>IF(Расчет!$CH91="Нет","Нет",IF(Исходн.данные.!$AL91&gt;0,VLOOKUP(Расчет!$CH91,АшламаДВ_Irekle,4,FALSE),VLOOKUP(Расчет!$CH91,АшламаДВ_Gomumy,4,FALSE)))</f>
        <v>0</v>
      </c>
      <c r="CL91" s="70"/>
      <c r="CM91" s="70"/>
      <c r="CN91" s="70"/>
      <c r="CO91" s="70"/>
      <c r="CP91" s="70"/>
      <c r="CQ91" s="70"/>
      <c r="CR91" s="10">
        <f t="shared" si="91"/>
        <v>0</v>
      </c>
      <c r="CS91" s="10">
        <f t="shared" si="92"/>
        <v>19.23076923076923</v>
      </c>
      <c r="CT91" s="10">
        <f t="shared" si="93"/>
        <v>0</v>
      </c>
      <c r="CU91" s="39">
        <f>IF($CH91="Нет",0,IF(CI91=0,30/MIN(CJ91:CK91),IF(Исходн.данные.!$AG91=$BV$11,CR91,IF(OR(Исходн.данные.!$AH91=$BQ$7,Исходн.данные.!$AH91=$BQ$8),90/CI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0,IF(Исходн.данные.!$AI91=$BU$11,"Нет",30/CI91))))))</f>
        <v>250</v>
      </c>
      <c r="CV91" s="39">
        <f>IF($CH91="Нет",0,IF(Исходн.данные.!AH91=0,0,IF(CJ91=0,60/MIN(CI91,CK91),IF(Исходн.данные.!$AG91=$BV$11,CS91,IF(OR(Исходн.данные.!$AH91=$BQ$7,Исходн.данные.!$AH91=$BQ$8),90/CJ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10/CJ91,IF(Исходн.данные.!$AI91=$BU$11,"Нет",60/CJ91)))))))</f>
        <v>0</v>
      </c>
      <c r="CW91" s="39">
        <f>IF($CH91="Нет",0,IF(Исходн.данные.!AH91=0,0,IF(CK91=0,30/MIN(CI91:CJ91),IF(Исходн.данные.!$AG91=$BV$11,CT91,IF(OR(Исходн.данные.!$AH91=$BQ$7,Исходн.данные.!$AH91=$BQ$8),90/CK91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0,IF(Исходн.данные.!$AI91=$BU$11,"Нет",30/CK91)))))))</f>
        <v>0</v>
      </c>
      <c r="CX91" s="133">
        <f>IF(Исходн.данные.!$AG91=$BV$11,MAX(CU91:CW91),IF(OR(Исходн.данные.!$AH91=$BS$8,Исходн.данные.!$AH91=$BQ$9,Исходн.данные.!$AH91=$BQ$10,Исходн.данные.!$AH91=$BQ$11,Исходн.данные.!$AH91=$BQ$12,Исходн.данные.!$AH91=$BP$3,Исходн.данные.!$AH91=$BT$8,$FM91="Да"),CV91,MIN(CU91:CW91)))</f>
        <v>0</v>
      </c>
      <c r="CY91" s="133">
        <f>IF(Исходн.данные.!AH91=0,0,IF(CR91&gt;$CX91,$CX91,CR91))</f>
        <v>0</v>
      </c>
      <c r="CZ91" s="133">
        <f>IF(Исходн.данные.!AH91=0,0,IF(CS91&gt;$CX91,$CX91,CS91))</f>
        <v>0</v>
      </c>
      <c r="DA91" s="133">
        <f>IF(Исходн.данные.!AH91=0,0,IF(CT91&gt;$CX91,$CX91,CT91))</f>
        <v>0</v>
      </c>
      <c r="DB91" s="10">
        <f t="shared" si="94"/>
        <v>0</v>
      </c>
      <c r="DC91" s="39">
        <f>DB91*Исходн.данные.!AJ91/1000</f>
        <v>0</v>
      </c>
      <c r="DD91" s="71">
        <f t="shared" si="95"/>
        <v>0</v>
      </c>
      <c r="DE91" s="9">
        <f t="shared" si="96"/>
        <v>0</v>
      </c>
      <c r="DF91" s="9">
        <f t="shared" si="97"/>
        <v>0</v>
      </c>
      <c r="DG91" s="39">
        <f>IF(BL91&lt;0,0,IF($CH91="Нет",BL91,IF(OR(Исходн.данные.!$AH91=$BP$1,Исходн.данные.!$AH91=$BP$2),0,IF(Исходн.данные.!AI91=$BU$11,BL91,IF(BL91-DD91&lt;0,0,BL91-DD91)))))</f>
        <v>0</v>
      </c>
      <c r="DH91" s="39">
        <f>IF(BM91&lt;0,0,IF($CH91="Нет",BM91,IF(OR(Исходн.данные.!$AH91=$BP$1,Исходн.данные.!$AH91=$BP$2),0,IF(Исходн.данные.!AJ91=$BU$11,BM91,IF(BM91-DE91&lt;0,0,BM91-DE91)))))</f>
        <v>0</v>
      </c>
      <c r="DI91" s="39">
        <f>IF(BN91&lt;0,0,IF($CH91="Нет",BN91,IF(OR(Исходн.данные.!$AH91=$BP$1,Исходн.данные.!$AH91=$BP$2),0,IF(Исходн.данные.!AK91=$BU$11,BN91,IF(BN91-DF91&lt;0,0,BN91-DF91)))))</f>
        <v>0</v>
      </c>
      <c r="DJ91" s="12">
        <f t="shared" si="98"/>
        <v>0</v>
      </c>
      <c r="DK91" s="9">
        <f t="shared" si="99"/>
        <v>0</v>
      </c>
      <c r="DL91" s="39">
        <f>IF(Исходн.данные.!AM91&gt;0,Исходн.данные.!AM91,IF(EG91&gt;0,$BH$10,0))</f>
        <v>0</v>
      </c>
      <c r="DM91" s="186">
        <f>IF($DL91=0,0,IF(Исходн.данные.!AM91&gt;0,VLOOKUP($DL91,АшламаДВ_Irekle,2,FALSE),VLOOKUP($DL91,АшламаДВ_Gomumy,2,FALSE)))</f>
        <v>0</v>
      </c>
      <c r="DN91" s="10">
        <f t="shared" si="151"/>
        <v>0</v>
      </c>
      <c r="DO91" s="9" t="str">
        <f>IF(Исходн.данные.!AN91&gt;0,Исходн.данные.!AN91,Удобрения!$B$37 )</f>
        <v>Хлор.калий</v>
      </c>
      <c r="DP91" s="9">
        <f>IF(Исходн.данные.!AN91&gt;0,VLOOKUP(Исходн.данные.!AN91,АшламаДВ_Irekle,4,FALSE),VLOOKUP(DO91,АшламаДВ_Gomumy,4,FALSE))</f>
        <v>0.6</v>
      </c>
      <c r="DQ91" s="10">
        <f t="shared" si="152"/>
        <v>0</v>
      </c>
      <c r="DR91" s="132" t="str">
        <f>IF(Исходн.данные.!AO91&gt;0,Исходн.данные.!AO91,IF(DH91=0,BS$17,IF(AND($DK91=0,$DJ91&gt;0),EJ91,EN91)))</f>
        <v>Нет</v>
      </c>
      <c r="DS91" s="70" t="str">
        <f>IF($DR91="Нет","Нет",IF(Исходн.данные.!$AO91&gt;0,VLOOKUP($DR91,АшламаДВ_Irekle,2,FALSE),VLOOKUP($DR91,АшламаДВ_Gomumy,2,FALSE)))</f>
        <v>Нет</v>
      </c>
      <c r="DT91" s="70" t="str">
        <f>IF($DR91="Нет","Нет",IF(Исходн.данные.!$AO91&gt;0,VLOOKUP($DR91,АшламаДВ_Irekle,3,FALSE),VLOOKUP($DR91,АшламаДВ_Gomumy,3,FALSE)))</f>
        <v>Нет</v>
      </c>
      <c r="DU91" s="70" t="str">
        <f>IF($DR91="Нет","Нет",IF(Исходн.данные.!$AO91&gt;0,VLOOKUP($DR91,АшламаДВ_Irekle,4,FALSE),VLOOKUP($DR91,АшламаДВ_Gomumy,4,FALSE)))</f>
        <v>Нет</v>
      </c>
      <c r="DV91" s="70"/>
      <c r="DW91" s="70"/>
      <c r="DX91" s="70"/>
      <c r="DY91" s="10">
        <f t="shared" si="100"/>
        <v>0</v>
      </c>
      <c r="DZ91" s="10">
        <f t="shared" si="101"/>
        <v>0</v>
      </c>
      <c r="EA91" s="10">
        <f t="shared" si="102"/>
        <v>0</v>
      </c>
      <c r="EB91" s="10">
        <f t="shared" si="103"/>
        <v>0</v>
      </c>
      <c r="EC91" s="10">
        <f t="shared" si="104"/>
        <v>0</v>
      </c>
      <c r="ED91" s="10">
        <f t="shared" si="105"/>
        <v>0</v>
      </c>
      <c r="EE91" s="10">
        <f t="shared" si="106"/>
        <v>0</v>
      </c>
      <c r="EF91" s="39">
        <f>EB91*Исходн.данные.!AJ91/1000</f>
        <v>0</v>
      </c>
      <c r="EG91" s="9">
        <f t="shared" si="107"/>
        <v>0</v>
      </c>
      <c r="EH91" s="9">
        <f t="shared" si="108"/>
        <v>0</v>
      </c>
      <c r="EI91" s="39" t="e">
        <f t="shared" si="132"/>
        <v>#DIV/0!</v>
      </c>
      <c r="EJ91" s="9" t="str">
        <f t="shared" si="153"/>
        <v>Азопреципитат</v>
      </c>
      <c r="EK91" s="12">
        <f t="shared" si="133"/>
        <v>0.26</v>
      </c>
      <c r="EL91" s="12">
        <f t="shared" si="134"/>
        <v>0.13</v>
      </c>
      <c r="EM91" s="12">
        <f t="shared" si="135"/>
        <v>0</v>
      </c>
      <c r="EN91" s="12" t="str">
        <f t="shared" si="154"/>
        <v>Нет</v>
      </c>
      <c r="EO91" s="12">
        <f t="shared" si="136"/>
        <v>0</v>
      </c>
      <c r="EP91" s="12">
        <f t="shared" si="137"/>
        <v>0</v>
      </c>
      <c r="EQ91" s="12">
        <f t="shared" si="138"/>
        <v>0</v>
      </c>
      <c r="ER91" s="12" t="str">
        <f t="shared" si="109"/>
        <v>Диаммофоска</v>
      </c>
      <c r="ES91" s="12">
        <f t="shared" si="139"/>
        <v>0.1</v>
      </c>
      <c r="ET91" s="12">
        <f t="shared" si="140"/>
        <v>0.26</v>
      </c>
      <c r="EU91" s="12">
        <f t="shared" si="141"/>
        <v>0.26</v>
      </c>
      <c r="EV91" s="12" t="str">
        <f t="shared" si="110"/>
        <v>Аммофос 12:52:00</v>
      </c>
      <c r="EW91" s="12" t="str">
        <f t="shared" si="111"/>
        <v>Кемира Свекловичное-6</v>
      </c>
      <c r="EX91" s="12">
        <f t="shared" si="142"/>
        <v>0.16</v>
      </c>
      <c r="EY91" s="12">
        <f t="shared" si="143"/>
        <v>0.12</v>
      </c>
      <c r="EZ91" s="12">
        <f t="shared" si="144"/>
        <v>0.17</v>
      </c>
      <c r="FA91" s="38" t="e">
        <f>IF(AND(OR(FJ91=$FD$1,FM91=$FD$1,FO91=$FD$1,FQ91=$FD$1,FS91=$FD$1),FD91=$FD$1,Исходн.данные.!J91&lt;2,FU91=$FD$1),"Бор,Кобальт",IF(AND(FO91=$FD$1,FH91=$FD$1,Исходн.данные.!J91&lt;2,FU91=$FD$1),"Бор,Кобальт",IF(AND(OR(FJ91=$FD$1,FM91=$FD$1,FQ91=$FD$1),FE91=$FD$1,Исходн.данные.!J91&lt;2,FT91=$FD$1,FU91=$FD$1),"Бор,Медь,Цинк",IF(AND(OR(FJ91=$FD$1,FR91="Да"),FI91="Да",Исходн.данные.!J91&lt;2,FT91="Да",FU91="Да"),"Бор,Цинк,Медь",IF(AND(OR(FM91="Да",FQ91="Да"),FI91="Да",Исходн.данные.!J91&lt;2,FT91="Да",FU91="Да"),"Бор,Цинк",IF(AND(FN91="Да",OR(FD91="Да",FE91="Да")),"Бор",FB91))))))</f>
        <v>#N/A</v>
      </c>
      <c r="FB91" s="134" t="e">
        <f>IF(AND(OR(FD91="Да",FE91="Да",FF91="Да",FG91="Да",FH91="Да"),FO91="Да"),"Бор",IF(AND(FP91="Да",OR(FD91="Да",FE91="Да",FI91="Да")),"Бор",IF(AND(FS91="Да",FE91="Да"),"Бор,Медь",IF(AND(OR(FJ91="Да",FK91="Да",FL91="Да"),FE91="Да",Исходн.данные.!I91&lt;5,FT91="Да",FU91="Да"),"Молибден,Цинк",IF(AND(FM91="Да",OR(FE91="Да",FF91="Да",FG91="Да",FH91="Да",FI91="Да")),"Молибден,Цинк",IF(AND(OR(FJ91="Да",FK91="Да",FL91="Да",FM91="Да",FQ91="Да"),OR(FE91="Да",FF91="Да"),FT91="Да",FU91="Да",Исходн.данные.!I91&gt;5.5),"Медь,Цинк",FC91))))))</f>
        <v>#N/A</v>
      </c>
      <c r="FC91" s="23" t="e">
        <f t="shared" si="112"/>
        <v>#N/A</v>
      </c>
      <c r="FD91" s="38" t="str">
        <f>IF(OR(Исходн.данные.!F91=$CC$1,Исходн.данные.!F91=$CC$2,Исходн.данные.!F91=$CC$3,Исходн.данные.!F91=$CC$4),"Да","Нет")</f>
        <v>Нет</v>
      </c>
      <c r="FE91" s="38" t="str">
        <f>IF(Исходн.данные.!F91=$CC$5,"Да","Нет")</f>
        <v>Нет</v>
      </c>
      <c r="FF91" s="38" t="str">
        <f>IF(OR(Исходн.данные.!F91=$CC$6,Исходн.данные.!F91=$CC$7),"Да","Нет")</f>
        <v>Нет</v>
      </c>
      <c r="FG91" s="38" t="str">
        <f>IF(OR(Исходн.данные.!F91=$CC$8,Исходн.данные.!F91=$CC$9),"Да","Нет")</f>
        <v>Нет</v>
      </c>
      <c r="FH91" s="38" t="str">
        <f>IF(Исходн.данные.!F91=$CC$10,"Да","Нет")</f>
        <v>Нет</v>
      </c>
      <c r="FI91" s="38" t="str">
        <f>IF(OR(Исходн.данные.!F91=$CC$11,Исходн.данные.!F91=$CC$12),"Да","Нет")</f>
        <v>Нет</v>
      </c>
      <c r="FJ91" s="38" t="str">
        <f>IF(OR(Исходн.данные.!AH91=$BS$1,Исходн.данные.!AH91=$BQ$11,Исходн.данные.!AH91=$BQ$12),"Да","Нет")</f>
        <v>Нет</v>
      </c>
      <c r="FK91" s="38" t="str">
        <f>IF(OR(Исходн.данные.!AH91=$BS$2,Исходн.данные.!AH91=$BS$4),"Да","Нет")</f>
        <v>Нет</v>
      </c>
      <c r="FL91" s="38" t="str">
        <f>IF(OR(Исходн.данные.!AH91=$BS$3,Исходн.данные.!AH91=$BS$5),"Да","Нет")</f>
        <v>Нет</v>
      </c>
      <c r="FM91" s="38" t="str">
        <f>IF(OR(Исходн.данные.!AH91=$BS$9,Исходн.данные.!AH91=$BS$10,Исходн.данные.!AH91=$BS$11,Исходн.данные.!AH91=$BS$12),"Да","Нет")</f>
        <v>Нет</v>
      </c>
      <c r="FN91" s="38" t="str">
        <f>IF(OR(Исходн.данные.!AH91=$BS$6,Исходн.данные.!AH91=$BP$3),"Да","Нет")</f>
        <v>Нет</v>
      </c>
      <c r="FO91" s="38" t="str">
        <f>IF(Исходн.данные.!AH91=$BQ$9,"Да","Нет")</f>
        <v>Нет</v>
      </c>
      <c r="FP91" s="38" t="str">
        <f>IF(OR(Исходн.данные.!AH91=$BS$8,Исходн.данные.!AH91=$BT$8),"Да","Нет")</f>
        <v>Нет</v>
      </c>
      <c r="FQ91" s="38" t="str">
        <f>IF(OR(Исходн.данные.!AH91=$BQ$7,Исходн.данные.!AH91=$BQ$8),"Да","Нет")</f>
        <v>Нет</v>
      </c>
      <c r="FR91" s="38" t="str">
        <f>IF(Исходн.данные.!AI91=$BU$9,"Да","Нет")</f>
        <v>Нет</v>
      </c>
      <c r="FS91" s="38" t="str">
        <f>IF(OR(Исходн.данные.!AH91=$BP$1,Исходн.данные.!AH91=$BP$2),"Да","Нет")</f>
        <v>Нет</v>
      </c>
      <c r="FT91" s="38" t="e">
        <f>IF((Исходн.данные.!K91*GO91*GS91*GW91+BL91*0.6+Исходн.данные.!Q91*4.5*0.275)&gt;90,"Да","Нет")</f>
        <v>#N/A</v>
      </c>
      <c r="FU91" s="38" t="e">
        <f>IF((Исходн.данные.!M91*GS91*GZ91+BM91*0.225)&gt;35,"Да","Нет")</f>
        <v>#N/A</v>
      </c>
      <c r="FV91" s="38" t="str">
        <f>IF(Исходн.данные.!O91&gt;175,"Да","Нет")</f>
        <v>Нет</v>
      </c>
      <c r="FW91" s="39" t="str">
        <f>IF(Исходн.данные.!I91&gt;5.5,"Да","Нет")</f>
        <v>Нет</v>
      </c>
      <c r="FX91" s="39" t="str">
        <f>IF(Исходн.данные.!J91&lt;2,"Да","Нет")</f>
        <v>Да</v>
      </c>
      <c r="FY91" s="39" t="e">
        <f>IF(HF91=$FY$16,0,Исходн.данные.!K91*GO91*GS91*GW91/HF91)</f>
        <v>#N/A</v>
      </c>
      <c r="FZ91" s="39" t="e">
        <f>Исходн.данные.!M91*GS91*GZ91/HG91</f>
        <v>#N/A</v>
      </c>
      <c r="GA91" s="39" t="e">
        <f>IF(K_Wyn=$FY$16,0,IF(Исходн.данные.!N91=Исходн.данные.!$L$10,Исходн.данные.!O91/1.1*GS91*HC91/HH91,IF(Исходн.данные.!N91=Исходн.данные.!$L$12,Исходн.данные.!O91/1.5*GS91*HC91/HH91,Исходн.данные.!O91*GS91*HC91/HH91)))</f>
        <v>#N/A</v>
      </c>
      <c r="GB91" s="39" t="e">
        <f>IF(HF91=$FY$16,0,((Исходн.данные.!Q91*N_Org+Исходн.данные.!R91*N_Sider+Исходн.данные.!S91*N_Soloma)*AO91+Расчет!BC91*VLOOKUP(Исходн.данные.!T91,Справ!$A$3:$O$57,15)*AO91+BB91*VLOOKUP(Исходн.данные.!T91,Справ!$A$3:$O$57,15)*AL91+(Исходн.данные.!V91*N_Rizotorf+Исходн.данные.!W91*N_Rizoagr))/HF91)</f>
        <v>#N/A</v>
      </c>
      <c r="GC91" s="39" t="e">
        <f>IF(HG91=$FY$16,0,((Исходн.данные.!Q91*Р_Org+Исходн.данные.!R91*P_Sider+Исходн.данные.!S91*P_Soloma)*AP91+Расчет!BC91*VLOOKUP(Исходн.данные.!T91,Справ!$A$3:$P$57,16)*AP91+BB91*VLOOKUP(Исходн.данные.!T91,Справ!$A$3:$P$57,16)*AM91)/HG91)</f>
        <v>#N/A</v>
      </c>
      <c r="GD91" s="39" t="e">
        <f>IF(HH91=$FY$16,0,((Исходн.данные.!Q91*К_Org+Исходн.данные.!R91*K_Sider+Исходн.данные.!S91*K_Soloma)*AQ91+Расчет!BC91*VLOOKUP(Исходн.данные.!T91,Справ!$A$3:$Q$57,17)*AQ91+BB91*VLOOKUP(Исходн.данные.!T91,Справ!$A$3:$Q$57,17)*AN91)/HH91)</f>
        <v>#N/A</v>
      </c>
      <c r="GE91" s="39" t="e">
        <f>IF(HF91=$FY$16,0,(Исходн.данные.!X91*AR91+Исходн.данные.!AA91*N_Org*AL91+Исходн.данные.!AB91*N_Sider*AL91+Исходн.данные.!AC91*N_Soloma*AL91)/HF91)</f>
        <v>#N/A</v>
      </c>
      <c r="GF91" s="39" t="e">
        <f>IF(HG91=$FY$16,0,(Исходн.данные.!Y91*AS91+Исходн.данные.!AA91*Р_Org*AM91+Исходн.данные.!AB91*P_Sider*AM91+Исходн.данные.!AC91*P_Soloma*AM91)/HG91)</f>
        <v>#N/A</v>
      </c>
      <c r="GG91" s="39" t="e">
        <f>IF(HH91=$FY$16,0,(Исходн.данные.!Z91*AT91+Исходн.данные.!AA91*К_Org*AN91+Исходн.данные.!AB91*K_Sider*AN91+Исходн.данные.!AC91*K_Soloma*AN91)/HH91)</f>
        <v>#N/A</v>
      </c>
      <c r="GH91" s="39" t="e">
        <f>Исходн.данные.!AD91*AU91/HF91</f>
        <v>#N/A</v>
      </c>
      <c r="GI91" s="39" t="e">
        <f>Исходн.данные.!AE91*AV91/HG91</f>
        <v>#N/A</v>
      </c>
      <c r="GJ91" s="39" t="e">
        <f>Исходн.данные.!AF91*AW91/HH91</f>
        <v>#N/A</v>
      </c>
      <c r="GK91" s="55">
        <f>Исходн.данные.!AK91</f>
        <v>0</v>
      </c>
      <c r="GL91" s="11" t="e">
        <f t="shared" si="113"/>
        <v>#N/A</v>
      </c>
      <c r="GM91" s="11" t="e">
        <f t="shared" si="114"/>
        <v>#N/A</v>
      </c>
      <c r="GN91" s="11" t="e">
        <f t="shared" si="115"/>
        <v>#N/A</v>
      </c>
      <c r="GO91" s="57">
        <f t="shared" si="116"/>
        <v>19</v>
      </c>
      <c r="GP91" s="55">
        <f>IF(OR(Исходн.данные.!F91=$CE$1,Исходн.данные.!F91=$CE$2,Исходн.данные.!F91=$CE$3,Исходн.данные.!F91=$CE$4,Исходн.данные.!F91=$CE$5),GQ91,GR91)</f>
        <v>19</v>
      </c>
      <c r="GQ91" s="55">
        <f>IF(Исходн.данные.!F91=$CE$1,28,IF(Исходн.данные.!F91=$CE$2,26,IF(Исходн.данные.!F91=$CE$3,24,IF(Исходн.данные.!F91=$CE$4,22,IF(Исходн.данные.!F91=$CE$5,20,GR91)))))</f>
        <v>19</v>
      </c>
      <c r="GR91" s="55">
        <f>IF(Исходн.данные.!F91=$CE$6,18,IF(Исходн.данные.!F91=$CE$7,16,IF(Исходн.данные.!F91=$CE$8,14,IF(Исходн.данные.!F91=$CE$9,13,IF(Исходн.данные.!F91=$CE$10,12,19)))))</f>
        <v>19</v>
      </c>
      <c r="GS91" s="55">
        <f>IF(Исходн.данные.!G91="Пес",0.035*(40+2*Исходн.данные.!H91),IF(Исходн.данные.!G91="Суп",0.0325*(40+2*Исходн.данные.!H91),0.03*(40+2*Исходн.данные.!H91)))</f>
        <v>1.2</v>
      </c>
      <c r="GT91" s="55">
        <f>IF(Исходн.данные.!H91&lt;23,2.6,IF(AND(Исходн.данные.!H91&gt;22,Исходн.данные.!H91&lt;26),3,IF(AND(Исходн.данные.!H91&gt;25,Исходн.данные.!H91&lt;29),3.4,3.6)))</f>
        <v>2.6</v>
      </c>
      <c r="GU91" s="55">
        <f>IF(Исходн.данные.!H91&lt;23,2.8,IF(AND(Исходн.данные.!H91&gt;22,Исходн.данные.!H91&lt;26),3.2,IF(AND(Исходн.данные.!H91&gt;25,Исходн.данные.!H91&lt;29),3.6,3.9)))</f>
        <v>2.8</v>
      </c>
      <c r="GV91" s="55">
        <f>IF(Исходн.данные.!H91&lt;23,3,IF(AND(Исходн.данные.!H91&gt;22,Исходн.данные.!H91&lt;26),3.5,IF(AND(Исходн.данные.!H91&gt;25,Исходн.данные.!H91&lt;29),3.9,4.2)))</f>
        <v>3</v>
      </c>
      <c r="GW91" s="55" t="e">
        <f>IF(Исходн.данные.!P91="Ум",GX91,GY91)</f>
        <v>#N/A</v>
      </c>
      <c r="GX91" s="55" t="e">
        <f>VLOOKUP(Исходн.данные.!AI91,Коэффициенты!$J$7:$L$13,2,FALSE)</f>
        <v>#N/A</v>
      </c>
      <c r="GY91" s="55" t="e">
        <f>VLOOKUP(Исходн.данные.!AI91,Коэффициенты!$J$7:$L$13,3,FALSE)</f>
        <v>#N/A</v>
      </c>
      <c r="GZ91" s="55" t="e">
        <f>(IF(Исходн.данные.!M91&lt;50,0.11*VLOOKUP(Исходн.данные.!AH91,Культуры.Информация,7,FALSE),IF(Исходн.данные.!M91&gt;250,0.05*VLOOKUP(Исходн.данные.!AH91,Культуры.Информация,7,FALSE),VLOOKUP(Исходн.данные.!AH91,Культуры.Информация,5,FALSE)/100*($GX$6+$GY$6*Исходн.данные.!M91))))*Расчет2!AI91</f>
        <v>#N/A</v>
      </c>
      <c r="HA91" s="211"/>
      <c r="HB91" s="211"/>
      <c r="HC91" s="55" t="e">
        <f>(IF(Исходн.данные.!O91&lt;80,0.2*VLOOKUP(Исходн.данные.!AH91,Культуры.Информация,8,FALSE),IF(Исходн.данные.!O91&gt;240,0.09*VLOOKUP(Исходн.данные.!AH91,Культуры.Информация,8,FALSE),VLOOKUP(Исходн.данные.!AH91,Культуры.Информация,6,FALSE)/100*($HB$6+$HC$6*Исходн.данные.!O91))))*Расчет2!AJ91</f>
        <v>#N/A</v>
      </c>
      <c r="HD91" s="55">
        <f>IF(Исходн.данные.!O91&gt;240,0.09,IF(Исходн.данные.!O91&lt;30,0.3,$HE$10+$HD$10*Исходн.данные.!O91))</f>
        <v>0.3</v>
      </c>
      <c r="HE91" s="55">
        <f>IF(Исходн.данные.!O91&gt;240,0.17,IF(Исходн.данные.!O91&lt;30,0.5,$HF$12+$HE$12*Исходн.данные.!O91))</f>
        <v>0.5</v>
      </c>
      <c r="HF91" s="55" t="e">
        <f>VLOOKUP(Исходн.данные.!AH91,Справ!$A$3:$D$58,2,FALSE)</f>
        <v>#N/A</v>
      </c>
      <c r="HG91" s="55" t="e">
        <f>VLOOKUP(Исходн.данные.!AH91,Справ!$A$3:$D$58,3,FALSE)</f>
        <v>#N/A</v>
      </c>
      <c r="HH91" s="55" t="e">
        <f>VLOOKUP(Исходн.данные.!AH91,Справ!$A$3:$D$58,4,FALSE)</f>
        <v>#N/A</v>
      </c>
      <c r="HI91" s="11" t="e">
        <f t="shared" si="117"/>
        <v>#N/A</v>
      </c>
      <c r="HJ91" s="11" t="e">
        <f t="shared" si="118"/>
        <v>#N/A</v>
      </c>
      <c r="HK91" s="11" t="e">
        <f t="shared" si="119"/>
        <v>#N/A</v>
      </c>
      <c r="HL91" s="55">
        <f>IF(OR(Исходн.данные.!G91="Глин",Исходн.данные.!G91="Т_суг"),1.1,IF(Исходн.данные.!G91="Ср_суг",1,1))</f>
        <v>1</v>
      </c>
      <c r="HM91" s="55">
        <f>IF(OR(Исходн.данные.!G91="Глин",Исходн.данные.!G91="Т_суг"),0.9,IF(Исходн.данные.!G91="Ср_суг",1,1.2))</f>
        <v>1.2</v>
      </c>
      <c r="HN91" s="11" t="e">
        <f t="shared" si="120"/>
        <v>#N/A</v>
      </c>
      <c r="HO91" s="11" t="e">
        <f t="shared" si="121"/>
        <v>#N/A</v>
      </c>
      <c r="HP91" s="11" t="e">
        <f t="shared" si="122"/>
        <v>#N/A</v>
      </c>
      <c r="HQ91" t="e">
        <f t="shared" si="123"/>
        <v>#N/A</v>
      </c>
      <c r="HR91" t="e">
        <f t="shared" si="124"/>
        <v>#N/A</v>
      </c>
      <c r="HS91" t="e">
        <f t="shared" si="125"/>
        <v>#N/A</v>
      </c>
      <c r="HT91" t="e">
        <f t="shared" si="145"/>
        <v>#N/A</v>
      </c>
      <c r="HU91" t="e">
        <f t="shared" si="146"/>
        <v>#N/A</v>
      </c>
      <c r="HV91" t="e">
        <f t="shared" si="147"/>
        <v>#N/A</v>
      </c>
      <c r="HW91" t="e">
        <f t="shared" si="148"/>
        <v>#N/A</v>
      </c>
      <c r="HX91" t="e">
        <f t="shared" si="149"/>
        <v>#N/A</v>
      </c>
      <c r="HY91" t="e">
        <f t="shared" si="150"/>
        <v>#N/A</v>
      </c>
      <c r="HZ91" s="55">
        <f>IF(OR(Исходн.данные.!AI91="Оз_Ч_П",Исходн.данные.!AI91="Оз_З_П",Исходн.данные.!AI91="Яр_зер"),12,30)</f>
        <v>30</v>
      </c>
      <c r="IA91" t="e">
        <f t="shared" si="126"/>
        <v>#N/A</v>
      </c>
      <c r="IB91" t="e">
        <f t="shared" si="127"/>
        <v>#N/A</v>
      </c>
      <c r="IC91" t="e">
        <f t="shared" si="128"/>
        <v>#N/A</v>
      </c>
      <c r="ID91" s="11" t="e">
        <f t="shared" si="129"/>
        <v>#N/A</v>
      </c>
      <c r="IE91" s="11" t="e">
        <f t="shared" si="130"/>
        <v>#N/A</v>
      </c>
      <c r="IF91" s="11" t="e">
        <f t="shared" si="131"/>
        <v>#N/A</v>
      </c>
    </row>
    <row r="92" spans="35:240" x14ac:dyDescent="0.2">
      <c r="AI92">
        <f>IF(Исходн.данные.!I92&gt;6,1,1.85-(0.148*Исходн.данные.!I92))</f>
        <v>1.85</v>
      </c>
      <c r="AJ92">
        <f>IF(Исходн.данные.!I92&gt;6,1,2.434-(0.246*Исходн.данные.!I92))</f>
        <v>2.4340000000000002</v>
      </c>
      <c r="AL92" s="148" t="b">
        <f>IF(Исходн.данные.!$P92="Ум",N_OrgUd_2g_um,IF(Исходн.данные.!$P92="Об",N_OrgUd_2g_ob))</f>
        <v>0</v>
      </c>
      <c r="AM92" s="148" t="b">
        <f>IF(Исходн.данные.!$P92="Ум",P_OrgUd_2g_um,IF(Исходн.данные.!$P92="Об",P_OrgUd_2g_ob))</f>
        <v>0</v>
      </c>
      <c r="AN92" s="148" t="b">
        <f>IF(Исходн.данные.!$P92="Ум",K_OrgUd_2g_um,IF(Исходн.данные.!$P92="Об",K_OrgUd_2g_ob))</f>
        <v>0</v>
      </c>
      <c r="AO92" s="148" t="b">
        <f>IF(Исходн.данные.!$P92="Ум",N_OrgUd_1g_um,IF(Исходн.данные.!$P92="Об",N_OrgUd_1g_ob))</f>
        <v>0</v>
      </c>
      <c r="AP92" s="148" t="b">
        <f>IF(Исходн.данные.!$P92="Ум",P_OrgUd_1g_um,IF(Исходн.данные.!$P92="Об",P_OrgUd_1g_ob))</f>
        <v>0</v>
      </c>
      <c r="AQ92" s="148" t="b">
        <f>IF(Исходн.данные.!$P92="Ум",K_OrgUd_1g_um,IF(Исходн.данные.!$P92="Об",K_OrgUd_1g_ob))</f>
        <v>0</v>
      </c>
      <c r="AR92" t="b">
        <f>IF(Исходн.данные.!$P92="Ум",N_MinUd_2g_um,IF(Исходн.данные.!$P92="Об",N_MinUd_2g_ob))</f>
        <v>0</v>
      </c>
      <c r="AS92" t="b">
        <f>IF(Исходн.данные.!$P92="Ум",P_MinUd_2g_um,IF(Исходн.данные.!$P92="Об",P_MinUd_2g_ob))</f>
        <v>0</v>
      </c>
      <c r="AT92" t="b">
        <f>IF(Исходн.данные.!$P92="Ум",K_MinUd_2g_um,IF(Исходн.данные.!$P92="Об",K_MinUd_2g_ob))</f>
        <v>0</v>
      </c>
      <c r="AU92" t="b">
        <f>IF(Исходн.данные.!$P92="Ум",N_MinUd_1g_um,IF(Исходн.данные.!$P92="Об",N_MinUd_1g_ob))</f>
        <v>0</v>
      </c>
      <c r="AV92" t="b">
        <f>IF(Исходн.данные.!P92="Ум",P_MinUd_1g_um,IF(Исходн.данные.!P92="Об",P_MinUd_1g_ob))</f>
        <v>0</v>
      </c>
      <c r="AW92" t="b">
        <f>IF(Исходн.данные.!P92="Ум",K_MinUd_1g_um,IF(Исходн.данные.!P92="Об",K_MinUd_1g_ob))</f>
        <v>0</v>
      </c>
      <c r="AY92" t="e">
        <f>VLOOKUP(Исходн.данные.!T92,Справ!$A$3:$N$57,12)</f>
        <v>#N/A</v>
      </c>
      <c r="AZ92" t="e">
        <f>VLOOKUP(Исходн.данные.!T92,Справ!$A$3:$N$57,13)</f>
        <v>#N/A</v>
      </c>
      <c r="BA92" t="e">
        <f>VLOOKUP(Исходн.данные.!T92,Справ!$A$3:$N$57,14)</f>
        <v>#N/A</v>
      </c>
      <c r="BB92">
        <f>IF(Исходн.данные.!AH92=0,0,25)</f>
        <v>0</v>
      </c>
      <c r="BC92" s="141">
        <f>IF(Исходн.данные.!AH92=0,0,IF(Исходн.данные.!T92=0,25,BD92))</f>
        <v>0</v>
      </c>
      <c r="BD92" s="168" t="e">
        <f>AY92+AZ92*Исходн.данные.!U92-POWER(BA92,2)*Исходн.данные.!U92</f>
        <v>#N/A</v>
      </c>
      <c r="BE9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2" s="25">
        <f>IF(Исходн.данные.!AH92=0,0,MIN(HN92:HP92))</f>
        <v>0</v>
      </c>
      <c r="BG92" s="9">
        <f>IF(Исходн.данные.!AH92=0,0,IF((HO92+10*0.25/HG92/HL92)&lt;17,17,HO92+10*0.25/HG92/HL92))</f>
        <v>0</v>
      </c>
      <c r="BH92" s="181">
        <f>IF(Исходн.данные.!AH92=0,0,HW92*HF92*HL92/AU92*AI92+Исходн.данные.!S92*10)</f>
        <v>0</v>
      </c>
      <c r="BI92" s="10"/>
      <c r="BJ92" s="182">
        <f>IF(Исходн.данные.!AH92=0,0,IF(HX92*HG92*HL92/AV92&lt;0,0,HX92*HG92*HL92/AV92*AJ92))</f>
        <v>0</v>
      </c>
      <c r="BK92" s="182">
        <f>IF(Исходн.данные.!AH92=0,0,HY92*HH92*HM92/AW92)</f>
        <v>0</v>
      </c>
      <c r="BL92" s="10">
        <f>IF(OR(Исходн.данные.!$AH92=$BP$1,Исходн.данные.!$AH92=$BP$2),0,IF(BH92&lt;0,0,IF(OR(Исходн.данные.!T92=Расчет!$BP$1,Исходн.данные.!T92=Расчет!$BP$2,Исходн.данные.!T92=Расчет!$BT$5,Исходн.данные.!T92=Расчет!$BT$6),BH92*0.5,IF(OR(Исходн.данные.!T92=Расчет!$BS$9,Исходн.данные.!T92=Расчет!$BS$10,Исходн.данные.!T92=Расчет!$BS$11,Исходн.данные.!T92=Расчет!$BS$12,Исходн.данные.!T92=Расчет!$BP$5),BH92*0.8,BH92))))</f>
        <v>0</v>
      </c>
      <c r="BM92" s="10">
        <f>IF(OR(Исходн.данные.!$AH92=$BP$1,Исходн.данные.!$AH92=$BP$2),0,IF(BJ92&lt;0,0,IF(Исходн.данные.!I92&lt;4.5,BJ92*1.2,IF(Исходн.данные.!I92&gt;5.1,BJ92,BJ92*((5.1-Исходн.данные.!I92)*0.333+1)))))</f>
        <v>0</v>
      </c>
      <c r="BN92" s="10">
        <f>IF(OR(Исходн.данные.!$AH92=$BP$1,Исходн.данные.!$AH92=$BP$2),60-Исходн.данные.!AF92,IF(BK92&lt;0,0,IF(Исходн.данные.!I92&lt;4.5,BK92*1.2,IF(Исходн.данные.!I92&gt;5.1,BK92,BK92*((5.1-Исходн.данные.!I92)*0.333+1)))))</f>
        <v>0</v>
      </c>
      <c r="BO92" s="9">
        <f>IF(BL92&lt;0,0,BL92*Исходн.данные.!$AJ92/1000)</f>
        <v>0</v>
      </c>
      <c r="BP92" s="9">
        <f>IF(BM92&lt;0,0,BM92*Исходн.данные.!$AJ92/1000)</f>
        <v>0</v>
      </c>
      <c r="BQ92" s="9">
        <f>IF(BN92&lt;0,0,BN92*Исходн.данные.!$AJ92/1000)</f>
        <v>0</v>
      </c>
      <c r="BR92" s="9">
        <f t="shared" si="81"/>
        <v>0</v>
      </c>
      <c r="BS92" s="10" t="str">
        <f t="shared" si="82"/>
        <v>Аммофос 12:52:00</v>
      </c>
      <c r="BT92" s="10" t="str">
        <f t="shared" si="83"/>
        <v>Аммофос 12:52:00</v>
      </c>
      <c r="BU92" s="10" t="str">
        <f t="shared" si="84"/>
        <v>Диаммофоска</v>
      </c>
      <c r="BV92" s="10">
        <f t="shared" si="85"/>
        <v>0</v>
      </c>
      <c r="BW92" s="10"/>
      <c r="BX92" s="10"/>
      <c r="BY92" s="9">
        <f>IF(BL92&lt;0,0,IF(OR(Исходн.данные.!AI92=Расчет!$BU$6,Исходн.данные.!AI92=Расчет!$BU$7),Расчет!BV92,IF(Исходн.данные.!$AG92=$BV$11,BL92,IF(OR(Исходн.данные.!$AH92=$BQ$7,Исходн.данные.!$AH92=$BQ$8),CB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0,IF(Исходн.данные.!$AI92=$BU$11,"Нет",IF(BL92&gt;30,30,BL92)))))))</f>
        <v>0</v>
      </c>
      <c r="BZ92" s="9">
        <f>IF(AND(Исходн.данные.!$AG92=$BV$11,BM92&lt;10),10,IF(Исходн.данные.!$AG92=$BV$11,BM92,IF(OR(Исходн.данные.!$AH92=$BQ$7,Исходн.данные.!$AH92=$BQ$8),CC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10,IF(Исходн.данные.!$AI92=$BU$11,"Нет",IF(BM92&gt;60,60,IF(BM92&lt;10,10,BM92)))))))</f>
        <v>10</v>
      </c>
      <c r="CA92" s="39">
        <f>IF(BN92&lt;0,0,IF(Исходн.данные.!$AG92=$BV$11,BN92,IF(OR(Исходн.данные.!$AH92=$BQ$7,Исходн.данные.!$AH92=$BQ$8),CD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0,IF(Исходн.данные.!$AI92=$BU$11,"Нет",IF(BN92&gt;30,30,BN92))))))</f>
        <v>0</v>
      </c>
      <c r="CB92" s="9">
        <f t="shared" si="86"/>
        <v>0</v>
      </c>
      <c r="CC92" s="9">
        <f t="shared" si="87"/>
        <v>0</v>
      </c>
      <c r="CD92" s="9">
        <f t="shared" si="88"/>
        <v>0</v>
      </c>
      <c r="CE92" s="12">
        <f t="shared" si="89"/>
        <v>10</v>
      </c>
      <c r="CF92" s="9">
        <f t="shared" si="90"/>
        <v>0</v>
      </c>
      <c r="CG92" s="9" t="s">
        <v>231</v>
      </c>
      <c r="CH92" s="132" t="str">
        <f>IF(Исходн.данные.!AP92=Расчет!$CI$16,"Нет",IF(Исходн.данные.!AL92&gt;0,Исходн.данные.!AL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BH$4,IF(OR(Исходн.данные.!AI92=Исходн.данные.!$AI$6,Исходн.данные.!AI92=Исходн.данные.!$AI$7),Расчет!BS92,IF(AND($CF92=0,$CE92&gt;0),EV92,ER92)))))</f>
        <v>Аммофос 12:52:00</v>
      </c>
      <c r="CI92" s="274">
        <f>IF(Расчет!$CH92="Нет","Нет",IF(Исходн.данные.!$AL92&gt;0,VLOOKUP(Расчет!$CH92,АшламаДВ_Irekle,2,FALSE),VLOOKUP(Расчет!$CH92,АшламаДВ_Gomumy,2,FALSE)))</f>
        <v>0.12</v>
      </c>
      <c r="CJ92" s="274">
        <f>IF(Расчет!$CH92="Нет","Нет",IF(Исходн.данные.!$AL92&gt;0,VLOOKUP(Расчет!$CH92,АшламаДВ_Irekle,3,FALSE),VLOOKUP(Расчет!$CH92,АшламаДВ_Gomumy,3,FALSE)))</f>
        <v>0.52</v>
      </c>
      <c r="CK92" s="274">
        <f>IF(Расчет!$CH92="Нет","Нет",IF(Исходн.данные.!$AL92&gt;0,VLOOKUP(Расчет!$CH92,АшламаДВ_Irekle,4,FALSE),VLOOKUP(Расчет!$CH92,АшламаДВ_Gomumy,4,FALSE)))</f>
        <v>0</v>
      </c>
      <c r="CL92" s="70"/>
      <c r="CM92" s="70"/>
      <c r="CN92" s="70"/>
      <c r="CO92" s="70"/>
      <c r="CP92" s="70"/>
      <c r="CQ92" s="70"/>
      <c r="CR92" s="10">
        <f t="shared" si="91"/>
        <v>0</v>
      </c>
      <c r="CS92" s="10">
        <f t="shared" si="92"/>
        <v>19.23076923076923</v>
      </c>
      <c r="CT92" s="10">
        <f t="shared" si="93"/>
        <v>0</v>
      </c>
      <c r="CU92" s="39">
        <f>IF($CH92="Нет",0,IF(CI92=0,30/MIN(CJ92:CK92),IF(Исходн.данные.!$AG92=$BV$11,CR92,IF(OR(Исходн.данные.!$AH92=$BQ$7,Исходн.данные.!$AH92=$BQ$8),90/CI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0,IF(Исходн.данные.!$AI92=$BU$11,"Нет",30/CI92))))))</f>
        <v>250</v>
      </c>
      <c r="CV92" s="39">
        <f>IF($CH92="Нет",0,IF(Исходн.данные.!AH92=0,0,IF(CJ92=0,60/MIN(CI92,CK92),IF(Исходн.данные.!$AG92=$BV$11,CS92,IF(OR(Исходн.данные.!$AH92=$BQ$7,Исходн.данные.!$AH92=$BQ$8),90/CJ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10/CJ92,IF(Исходн.данные.!$AI92=$BU$11,"Нет",60/CJ92)))))))</f>
        <v>0</v>
      </c>
      <c r="CW92" s="39">
        <f>IF($CH92="Нет",0,IF(Исходн.данные.!AH92=0,0,IF(CK92=0,30/MIN(CI92:CJ92),IF(Исходн.данные.!$AG92=$BV$11,CT92,IF(OR(Исходн.данные.!$AH92=$BQ$7,Исходн.данные.!$AH92=$BQ$8),90/CK92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0,IF(Исходн.данные.!$AI92=$BU$11,"Нет",30/CK92)))))))</f>
        <v>0</v>
      </c>
      <c r="CX92" s="133">
        <f>IF(Исходн.данные.!$AG92=$BV$11,MAX(CU92:CW92),IF(OR(Исходн.данные.!$AH92=$BS$8,Исходн.данные.!$AH92=$BQ$9,Исходн.данные.!$AH92=$BQ$10,Исходн.данные.!$AH92=$BQ$11,Исходн.данные.!$AH92=$BQ$12,Исходн.данные.!$AH92=$BP$3,Исходн.данные.!$AH92=$BT$8,$FM92="Да"),CV92,MIN(CU92:CW92)))</f>
        <v>0</v>
      </c>
      <c r="CY92" s="133">
        <f>IF(Исходн.данные.!AH92=0,0,IF(CR92&gt;$CX92,$CX92,CR92))</f>
        <v>0</v>
      </c>
      <c r="CZ92" s="133">
        <f>IF(Исходн.данные.!AH92=0,0,IF(CS92&gt;$CX92,$CX92,CS92))</f>
        <v>0</v>
      </c>
      <c r="DA92" s="133">
        <f>IF(Исходн.данные.!AH92=0,0,IF(CT92&gt;$CX92,$CX92,CT92))</f>
        <v>0</v>
      </c>
      <c r="DB92" s="10">
        <f t="shared" si="94"/>
        <v>0</v>
      </c>
      <c r="DC92" s="39">
        <f>DB92*Исходн.данные.!AJ92/1000</f>
        <v>0</v>
      </c>
      <c r="DD92" s="71">
        <f t="shared" si="95"/>
        <v>0</v>
      </c>
      <c r="DE92" s="9">
        <f t="shared" si="96"/>
        <v>0</v>
      </c>
      <c r="DF92" s="9">
        <f t="shared" si="97"/>
        <v>0</v>
      </c>
      <c r="DG92" s="39">
        <f>IF(BL92&lt;0,0,IF($CH92="Нет",BL92,IF(OR(Исходн.данные.!$AH92=$BP$1,Исходн.данные.!$AH92=$BP$2),0,IF(Исходн.данные.!AI92=$BU$11,BL92,IF(BL92-DD92&lt;0,0,BL92-DD92)))))</f>
        <v>0</v>
      </c>
      <c r="DH92" s="39">
        <f>IF(BM92&lt;0,0,IF($CH92="Нет",BM92,IF(OR(Исходн.данные.!$AH92=$BP$1,Исходн.данные.!$AH92=$BP$2),0,IF(Исходн.данные.!AJ92=$BU$11,BM92,IF(BM92-DE92&lt;0,0,BM92-DE92)))))</f>
        <v>0</v>
      </c>
      <c r="DI92" s="39">
        <f>IF(BN92&lt;0,0,IF($CH92="Нет",BN92,IF(OR(Исходн.данные.!$AH92=$BP$1,Исходн.данные.!$AH92=$BP$2),0,IF(Исходн.данные.!AK92=$BU$11,BN92,IF(BN92-DF92&lt;0,0,BN92-DF92)))))</f>
        <v>0</v>
      </c>
      <c r="DJ92" s="12">
        <f t="shared" si="98"/>
        <v>0</v>
      </c>
      <c r="DK92" s="9">
        <f t="shared" si="99"/>
        <v>0</v>
      </c>
      <c r="DL92" s="39">
        <f>IF(Исходн.данные.!AM92&gt;0,Исходн.данные.!AM92,IF(EG92&gt;0,$BH$10,0))</f>
        <v>0</v>
      </c>
      <c r="DM92" s="186">
        <f>IF($DL92=0,0,IF(Исходн.данные.!AM92&gt;0,VLOOKUP($DL92,АшламаДВ_Irekle,2,FALSE),VLOOKUP($DL92,АшламаДВ_Gomumy,2,FALSE)))</f>
        <v>0</v>
      </c>
      <c r="DN92" s="10">
        <f t="shared" si="151"/>
        <v>0</v>
      </c>
      <c r="DO92" s="9" t="str">
        <f>IF(Исходн.данные.!AN92&gt;0,Исходн.данные.!AN92,Удобрения!$B$37 )</f>
        <v>Хлор.калий</v>
      </c>
      <c r="DP92" s="9">
        <f>IF(Исходн.данные.!AN92&gt;0,VLOOKUP(Исходн.данные.!AN92,АшламаДВ_Irekle,4,FALSE),VLOOKUP(DO92,АшламаДВ_Gomumy,4,FALSE))</f>
        <v>0.6</v>
      </c>
      <c r="DQ92" s="10">
        <f t="shared" si="152"/>
        <v>0</v>
      </c>
      <c r="DR92" s="132" t="str">
        <f>IF(Исходн.данные.!AO92&gt;0,Исходн.данные.!AO92,IF(DH92=0,BS$17,IF(AND($DK92=0,$DJ92&gt;0),EJ92,EN92)))</f>
        <v>Нет</v>
      </c>
      <c r="DS92" s="70" t="str">
        <f>IF($DR92="Нет","Нет",IF(Исходн.данные.!$AO92&gt;0,VLOOKUP($DR92,АшламаДВ_Irekle,2,FALSE),VLOOKUP($DR92,АшламаДВ_Gomumy,2,FALSE)))</f>
        <v>Нет</v>
      </c>
      <c r="DT92" s="70" t="str">
        <f>IF($DR92="Нет","Нет",IF(Исходн.данные.!$AO92&gt;0,VLOOKUP($DR92,АшламаДВ_Irekle,3,FALSE),VLOOKUP($DR92,АшламаДВ_Gomumy,3,FALSE)))</f>
        <v>Нет</v>
      </c>
      <c r="DU92" s="70" t="str">
        <f>IF($DR92="Нет","Нет",IF(Исходн.данные.!$AO92&gt;0,VLOOKUP($DR92,АшламаДВ_Irekle,4,FALSE),VLOOKUP($DR92,АшламаДВ_Gomumy,4,FALSE)))</f>
        <v>Нет</v>
      </c>
      <c r="DV92" s="70"/>
      <c r="DW92" s="70"/>
      <c r="DX92" s="70"/>
      <c r="DY92" s="10">
        <f t="shared" si="100"/>
        <v>0</v>
      </c>
      <c r="DZ92" s="10">
        <f t="shared" si="101"/>
        <v>0</v>
      </c>
      <c r="EA92" s="10">
        <f t="shared" si="102"/>
        <v>0</v>
      </c>
      <c r="EB92" s="10">
        <f t="shared" si="103"/>
        <v>0</v>
      </c>
      <c r="EC92" s="10">
        <f t="shared" si="104"/>
        <v>0</v>
      </c>
      <c r="ED92" s="10">
        <f t="shared" si="105"/>
        <v>0</v>
      </c>
      <c r="EE92" s="10">
        <f t="shared" si="106"/>
        <v>0</v>
      </c>
      <c r="EF92" s="39">
        <f>EB92*Исходн.данные.!AJ92/1000</f>
        <v>0</v>
      </c>
      <c r="EG92" s="9">
        <f t="shared" si="107"/>
        <v>0</v>
      </c>
      <c r="EH92" s="9">
        <f t="shared" si="108"/>
        <v>0</v>
      </c>
      <c r="EI92" s="39" t="e">
        <f t="shared" si="132"/>
        <v>#DIV/0!</v>
      </c>
      <c r="EJ92" s="9" t="str">
        <f t="shared" si="153"/>
        <v>Азопреципитат</v>
      </c>
      <c r="EK92" s="12">
        <f t="shared" si="133"/>
        <v>0.26</v>
      </c>
      <c r="EL92" s="12">
        <f t="shared" si="134"/>
        <v>0.13</v>
      </c>
      <c r="EM92" s="12">
        <f t="shared" si="135"/>
        <v>0</v>
      </c>
      <c r="EN92" s="12" t="str">
        <f t="shared" si="154"/>
        <v>Нет</v>
      </c>
      <c r="EO92" s="12">
        <f t="shared" si="136"/>
        <v>0</v>
      </c>
      <c r="EP92" s="12">
        <f t="shared" si="137"/>
        <v>0</v>
      </c>
      <c r="EQ92" s="12">
        <f t="shared" si="138"/>
        <v>0</v>
      </c>
      <c r="ER92" s="12" t="str">
        <f t="shared" si="109"/>
        <v>Диаммофоска</v>
      </c>
      <c r="ES92" s="12">
        <f t="shared" si="139"/>
        <v>0.1</v>
      </c>
      <c r="ET92" s="12">
        <f t="shared" si="140"/>
        <v>0.26</v>
      </c>
      <c r="EU92" s="12">
        <f t="shared" si="141"/>
        <v>0.26</v>
      </c>
      <c r="EV92" s="12" t="str">
        <f t="shared" si="110"/>
        <v>Аммофос 12:52:00</v>
      </c>
      <c r="EW92" s="12" t="str">
        <f t="shared" si="111"/>
        <v>Кемира Свекловичное-6</v>
      </c>
      <c r="EX92" s="12">
        <f t="shared" si="142"/>
        <v>0.16</v>
      </c>
      <c r="EY92" s="12">
        <f t="shared" si="143"/>
        <v>0.12</v>
      </c>
      <c r="EZ92" s="12">
        <f t="shared" si="144"/>
        <v>0.17</v>
      </c>
      <c r="FA92" s="38" t="e">
        <f>IF(AND(OR(FJ92=$FD$1,FM92=$FD$1,FO92=$FD$1,FQ92=$FD$1,FS92=$FD$1),FD92=$FD$1,Исходн.данные.!J92&lt;2,FU92=$FD$1),"Бор,Кобальт",IF(AND(FO92=$FD$1,FH92=$FD$1,Исходн.данные.!J92&lt;2,FU92=$FD$1),"Бор,Кобальт",IF(AND(OR(FJ92=$FD$1,FM92=$FD$1,FQ92=$FD$1),FE92=$FD$1,Исходн.данные.!J92&lt;2,FT92=$FD$1,FU92=$FD$1),"Бор,Медь,Цинк",IF(AND(OR(FJ92=$FD$1,FR92="Да"),FI92="Да",Исходн.данные.!J92&lt;2,FT92="Да",FU92="Да"),"Бор,Цинк,Медь",IF(AND(OR(FM92="Да",FQ92="Да"),FI92="Да",Исходн.данные.!J92&lt;2,FT92="Да",FU92="Да"),"Бор,Цинк",IF(AND(FN92="Да",OR(FD92="Да",FE92="Да")),"Бор",FB92))))))</f>
        <v>#N/A</v>
      </c>
      <c r="FB92" s="134" t="e">
        <f>IF(AND(OR(FD92="Да",FE92="Да",FF92="Да",FG92="Да",FH92="Да"),FO92="Да"),"Бор",IF(AND(FP92="Да",OR(FD92="Да",FE92="Да",FI92="Да")),"Бор",IF(AND(FS92="Да",FE92="Да"),"Бор,Медь",IF(AND(OR(FJ92="Да",FK92="Да",FL92="Да"),FE92="Да",Исходн.данные.!I92&lt;5,FT92="Да",FU92="Да"),"Молибден,Цинк",IF(AND(FM92="Да",OR(FE92="Да",FF92="Да",FG92="Да",FH92="Да",FI92="Да")),"Молибден,Цинк",IF(AND(OR(FJ92="Да",FK92="Да",FL92="Да",FM92="Да",FQ92="Да"),OR(FE92="Да",FF92="Да"),FT92="Да",FU92="Да",Исходн.данные.!I92&gt;5.5),"Медь,Цинк",FC92))))))</f>
        <v>#N/A</v>
      </c>
      <c r="FC92" s="23" t="e">
        <f t="shared" si="112"/>
        <v>#N/A</v>
      </c>
      <c r="FD92" s="38" t="str">
        <f>IF(OR(Исходн.данные.!F92=$CC$1,Исходн.данные.!F92=$CC$2,Исходн.данные.!F92=$CC$3,Исходн.данные.!F92=$CC$4),"Да","Нет")</f>
        <v>Нет</v>
      </c>
      <c r="FE92" s="38" t="str">
        <f>IF(Исходн.данные.!F92=$CC$5,"Да","Нет")</f>
        <v>Нет</v>
      </c>
      <c r="FF92" s="38" t="str">
        <f>IF(OR(Исходн.данные.!F92=$CC$6,Исходн.данные.!F92=$CC$7),"Да","Нет")</f>
        <v>Нет</v>
      </c>
      <c r="FG92" s="38" t="str">
        <f>IF(OR(Исходн.данные.!F92=$CC$8,Исходн.данные.!F92=$CC$9),"Да","Нет")</f>
        <v>Нет</v>
      </c>
      <c r="FH92" s="38" t="str">
        <f>IF(Исходн.данные.!F92=$CC$10,"Да","Нет")</f>
        <v>Нет</v>
      </c>
      <c r="FI92" s="38" t="str">
        <f>IF(OR(Исходн.данные.!F92=$CC$11,Исходн.данные.!F92=$CC$12),"Да","Нет")</f>
        <v>Нет</v>
      </c>
      <c r="FJ92" s="38" t="str">
        <f>IF(OR(Исходн.данные.!AH92=$BS$1,Исходн.данные.!AH92=$BQ$11,Исходн.данные.!AH92=$BQ$12),"Да","Нет")</f>
        <v>Нет</v>
      </c>
      <c r="FK92" s="38" t="str">
        <f>IF(OR(Исходн.данные.!AH92=$BS$2,Исходн.данные.!AH92=$BS$4),"Да","Нет")</f>
        <v>Нет</v>
      </c>
      <c r="FL92" s="38" t="str">
        <f>IF(OR(Исходн.данные.!AH92=$BS$3,Исходн.данные.!AH92=$BS$5),"Да","Нет")</f>
        <v>Нет</v>
      </c>
      <c r="FM92" s="38" t="str">
        <f>IF(OR(Исходн.данные.!AH92=$BS$9,Исходн.данные.!AH92=$BS$10,Исходн.данные.!AH92=$BS$11,Исходн.данные.!AH92=$BS$12),"Да","Нет")</f>
        <v>Нет</v>
      </c>
      <c r="FN92" s="38" t="str">
        <f>IF(OR(Исходн.данные.!AH92=$BS$6,Исходн.данные.!AH92=$BP$3),"Да","Нет")</f>
        <v>Нет</v>
      </c>
      <c r="FO92" s="38" t="str">
        <f>IF(Исходн.данные.!AH92=$BQ$9,"Да","Нет")</f>
        <v>Нет</v>
      </c>
      <c r="FP92" s="38" t="str">
        <f>IF(OR(Исходн.данные.!AH92=$BS$8,Исходн.данные.!AH92=$BT$8),"Да","Нет")</f>
        <v>Нет</v>
      </c>
      <c r="FQ92" s="38" t="str">
        <f>IF(OR(Исходн.данные.!AH92=$BQ$7,Исходн.данные.!AH92=$BQ$8),"Да","Нет")</f>
        <v>Нет</v>
      </c>
      <c r="FR92" s="38" t="str">
        <f>IF(Исходн.данные.!AI92=$BU$9,"Да","Нет")</f>
        <v>Нет</v>
      </c>
      <c r="FS92" s="38" t="str">
        <f>IF(OR(Исходн.данные.!AH92=$BP$1,Исходн.данные.!AH92=$BP$2),"Да","Нет")</f>
        <v>Нет</v>
      </c>
      <c r="FT92" s="38" t="e">
        <f>IF((Исходн.данные.!K92*GO92*GS92*GW92+BL92*0.6+Исходн.данные.!Q92*4.5*0.275)&gt;90,"Да","Нет")</f>
        <v>#N/A</v>
      </c>
      <c r="FU92" s="38" t="e">
        <f>IF((Исходн.данные.!M92*GS92*GZ92+BM92*0.225)&gt;35,"Да","Нет")</f>
        <v>#N/A</v>
      </c>
      <c r="FV92" s="38" t="str">
        <f>IF(Исходн.данные.!O92&gt;175,"Да","Нет")</f>
        <v>Нет</v>
      </c>
      <c r="FW92" s="39" t="str">
        <f>IF(Исходн.данные.!I92&gt;5.5,"Да","Нет")</f>
        <v>Нет</v>
      </c>
      <c r="FX92" s="39" t="str">
        <f>IF(Исходн.данные.!J92&lt;2,"Да","Нет")</f>
        <v>Да</v>
      </c>
      <c r="FY92" s="39" t="e">
        <f>IF(HF92=$FY$16,0,Исходн.данные.!K92*GO92*GS92*GW92/HF92)</f>
        <v>#N/A</v>
      </c>
      <c r="FZ92" s="39" t="e">
        <f>Исходн.данные.!M92*GS92*GZ92/HG92</f>
        <v>#N/A</v>
      </c>
      <c r="GA92" s="39" t="e">
        <f>IF(K_Wyn=$FY$16,0,IF(Исходн.данные.!N92=Исходн.данные.!$L$10,Исходн.данные.!O92/1.1*GS92*HC92/HH92,IF(Исходн.данные.!N92=Исходн.данные.!$L$12,Исходн.данные.!O92/1.5*GS92*HC92/HH92,Исходн.данные.!O92*GS92*HC92/HH92)))</f>
        <v>#N/A</v>
      </c>
      <c r="GB92" s="39" t="e">
        <f>IF(HF92=$FY$16,0,((Исходн.данные.!Q92*N_Org+Исходн.данные.!R92*N_Sider+Исходн.данные.!S92*N_Soloma)*AO92+Расчет!BC92*VLOOKUP(Исходн.данные.!T92,Справ!$A$3:$O$57,15)*AO92+BB92*VLOOKUP(Исходн.данные.!T92,Справ!$A$3:$O$57,15)*AL92+(Исходн.данные.!V92*N_Rizotorf+Исходн.данные.!W92*N_Rizoagr))/HF92)</f>
        <v>#N/A</v>
      </c>
      <c r="GC92" s="39" t="e">
        <f>IF(HG92=$FY$16,0,((Исходн.данные.!Q92*Р_Org+Исходн.данные.!R92*P_Sider+Исходн.данные.!S92*P_Soloma)*AP92+Расчет!BC92*VLOOKUP(Исходн.данные.!T92,Справ!$A$3:$P$57,16)*AP92+BB92*VLOOKUP(Исходн.данные.!T92,Справ!$A$3:$P$57,16)*AM92)/HG92)</f>
        <v>#N/A</v>
      </c>
      <c r="GD92" s="39" t="e">
        <f>IF(HH92=$FY$16,0,((Исходн.данные.!Q92*К_Org+Исходн.данные.!R92*K_Sider+Исходн.данные.!S92*K_Soloma)*AQ92+Расчет!BC92*VLOOKUP(Исходн.данные.!T92,Справ!$A$3:$Q$57,17)*AQ92+BB92*VLOOKUP(Исходн.данные.!T92,Справ!$A$3:$Q$57,17)*AN92)/HH92)</f>
        <v>#N/A</v>
      </c>
      <c r="GE92" s="39" t="e">
        <f>IF(HF92=$FY$16,0,(Исходн.данные.!X92*AR92+Исходн.данные.!AA92*N_Org*AL92+Исходн.данные.!AB92*N_Sider*AL92+Исходн.данные.!AC92*N_Soloma*AL92)/HF92)</f>
        <v>#N/A</v>
      </c>
      <c r="GF92" s="39" t="e">
        <f>IF(HG92=$FY$16,0,(Исходн.данные.!Y92*AS92+Исходн.данные.!AA92*Р_Org*AM92+Исходн.данные.!AB92*P_Sider*AM92+Исходн.данные.!AC92*P_Soloma*AM92)/HG92)</f>
        <v>#N/A</v>
      </c>
      <c r="GG92" s="39" t="e">
        <f>IF(HH92=$FY$16,0,(Исходн.данные.!Z92*AT92+Исходн.данные.!AA92*К_Org*AN92+Исходн.данные.!AB92*K_Sider*AN92+Исходн.данные.!AC92*K_Soloma*AN92)/HH92)</f>
        <v>#N/A</v>
      </c>
      <c r="GH92" s="39" t="e">
        <f>Исходн.данные.!AD92*AU92/HF92</f>
        <v>#N/A</v>
      </c>
      <c r="GI92" s="39" t="e">
        <f>Исходн.данные.!AE92*AV92/HG92</f>
        <v>#N/A</v>
      </c>
      <c r="GJ92" s="39" t="e">
        <f>Исходн.данные.!AF92*AW92/HH92</f>
        <v>#N/A</v>
      </c>
      <c r="GK92" s="55">
        <f>Исходн.данные.!AK92</f>
        <v>0</v>
      </c>
      <c r="GL92" s="11" t="e">
        <f t="shared" si="113"/>
        <v>#N/A</v>
      </c>
      <c r="GM92" s="11" t="e">
        <f t="shared" si="114"/>
        <v>#N/A</v>
      </c>
      <c r="GN92" s="11" t="e">
        <f t="shared" si="115"/>
        <v>#N/A</v>
      </c>
      <c r="GO92" s="57">
        <f t="shared" si="116"/>
        <v>19</v>
      </c>
      <c r="GP92" s="55">
        <f>IF(OR(Исходн.данные.!F92=$CE$1,Исходн.данные.!F92=$CE$2,Исходн.данные.!F92=$CE$3,Исходн.данные.!F92=$CE$4,Исходн.данные.!F92=$CE$5),GQ92,GR92)</f>
        <v>19</v>
      </c>
      <c r="GQ92" s="55">
        <f>IF(Исходн.данные.!F92=$CE$1,28,IF(Исходн.данные.!F92=$CE$2,26,IF(Исходн.данные.!F92=$CE$3,24,IF(Исходн.данные.!F92=$CE$4,22,IF(Исходн.данные.!F92=$CE$5,20,GR92)))))</f>
        <v>19</v>
      </c>
      <c r="GR92" s="55">
        <f>IF(Исходн.данные.!F92=$CE$6,18,IF(Исходн.данные.!F92=$CE$7,16,IF(Исходн.данные.!F92=$CE$8,14,IF(Исходн.данные.!F92=$CE$9,13,IF(Исходн.данные.!F92=$CE$10,12,19)))))</f>
        <v>19</v>
      </c>
      <c r="GS92" s="55">
        <f>IF(Исходн.данные.!G92="Пес",0.035*(40+2*Исходн.данные.!H92),IF(Исходн.данные.!G92="Суп",0.0325*(40+2*Исходн.данные.!H92),0.03*(40+2*Исходн.данные.!H92)))</f>
        <v>1.2</v>
      </c>
      <c r="GT92" s="55">
        <f>IF(Исходн.данные.!H92&lt;23,2.6,IF(AND(Исходн.данные.!H92&gt;22,Исходн.данные.!H92&lt;26),3,IF(AND(Исходн.данные.!H92&gt;25,Исходн.данные.!H92&lt;29),3.4,3.6)))</f>
        <v>2.6</v>
      </c>
      <c r="GU92" s="55">
        <f>IF(Исходн.данные.!H92&lt;23,2.8,IF(AND(Исходн.данные.!H92&gt;22,Исходн.данные.!H92&lt;26),3.2,IF(AND(Исходн.данные.!H92&gt;25,Исходн.данные.!H92&lt;29),3.6,3.9)))</f>
        <v>2.8</v>
      </c>
      <c r="GV92" s="55">
        <f>IF(Исходн.данные.!H92&lt;23,3,IF(AND(Исходн.данные.!H92&gt;22,Исходн.данные.!H92&lt;26),3.5,IF(AND(Исходн.данные.!H92&gt;25,Исходн.данные.!H92&lt;29),3.9,4.2)))</f>
        <v>3</v>
      </c>
      <c r="GW92" s="55" t="e">
        <f>IF(Исходн.данные.!P92="Ум",GX92,GY92)</f>
        <v>#N/A</v>
      </c>
      <c r="GX92" s="55" t="e">
        <f>VLOOKUP(Исходн.данные.!AI92,Коэффициенты!$J$7:$L$13,2,FALSE)</f>
        <v>#N/A</v>
      </c>
      <c r="GY92" s="55" t="e">
        <f>VLOOKUP(Исходн.данные.!AI92,Коэффициенты!$J$7:$L$13,3,FALSE)</f>
        <v>#N/A</v>
      </c>
      <c r="GZ92" s="55" t="e">
        <f>(IF(Исходн.данные.!M92&lt;50,0.11*VLOOKUP(Исходн.данные.!AH92,Культуры.Информация,7,FALSE),IF(Исходн.данные.!M92&gt;250,0.05*VLOOKUP(Исходн.данные.!AH92,Культуры.Информация,7,FALSE),VLOOKUP(Исходн.данные.!AH92,Культуры.Информация,5,FALSE)/100*($GX$6+$GY$6*Исходн.данные.!M92))))*Расчет2!AI92</f>
        <v>#N/A</v>
      </c>
      <c r="HA92" s="211"/>
      <c r="HB92" s="211"/>
      <c r="HC92" s="55" t="e">
        <f>(IF(Исходн.данные.!O92&lt;80,0.2*VLOOKUP(Исходн.данные.!AH92,Культуры.Информация,8,FALSE),IF(Исходн.данные.!O92&gt;240,0.09*VLOOKUP(Исходн.данные.!AH92,Культуры.Информация,8,FALSE),VLOOKUP(Исходн.данные.!AH92,Культуры.Информация,6,FALSE)/100*($HB$6+$HC$6*Исходн.данные.!O92))))*Расчет2!AJ92</f>
        <v>#N/A</v>
      </c>
      <c r="HD92" s="55">
        <f>IF(Исходн.данные.!O92&gt;240,0.09,IF(Исходн.данные.!O92&lt;30,0.3,$HE$10+$HD$10*Исходн.данные.!O92))</f>
        <v>0.3</v>
      </c>
      <c r="HE92" s="55">
        <f>IF(Исходн.данные.!O92&gt;240,0.17,IF(Исходн.данные.!O92&lt;30,0.5,$HF$12+$HE$12*Исходн.данные.!O92))</f>
        <v>0.5</v>
      </c>
      <c r="HF92" s="55" t="e">
        <f>VLOOKUP(Исходн.данные.!AH92,Справ!$A$3:$D$58,2,FALSE)</f>
        <v>#N/A</v>
      </c>
      <c r="HG92" s="55" t="e">
        <f>VLOOKUP(Исходн.данные.!AH92,Справ!$A$3:$D$58,3,FALSE)</f>
        <v>#N/A</v>
      </c>
      <c r="HH92" s="55" t="e">
        <f>VLOOKUP(Исходн.данные.!AH92,Справ!$A$3:$D$58,4,FALSE)</f>
        <v>#N/A</v>
      </c>
      <c r="HI92" s="11" t="e">
        <f t="shared" si="117"/>
        <v>#N/A</v>
      </c>
      <c r="HJ92" s="11" t="e">
        <f t="shared" si="118"/>
        <v>#N/A</v>
      </c>
      <c r="HK92" s="11" t="e">
        <f t="shared" si="119"/>
        <v>#N/A</v>
      </c>
      <c r="HL92" s="55">
        <f>IF(OR(Исходн.данные.!G92="Глин",Исходн.данные.!G92="Т_суг"),1.1,IF(Исходн.данные.!G92="Ср_суг",1,1))</f>
        <v>1</v>
      </c>
      <c r="HM92" s="55">
        <f>IF(OR(Исходн.данные.!G92="Глин",Исходн.данные.!G92="Т_суг"),0.9,IF(Исходн.данные.!G92="Ср_суг",1,1.2))</f>
        <v>1.2</v>
      </c>
      <c r="HN92" s="11" t="e">
        <f t="shared" si="120"/>
        <v>#N/A</v>
      </c>
      <c r="HO92" s="11" t="e">
        <f t="shared" si="121"/>
        <v>#N/A</v>
      </c>
      <c r="HP92" s="11" t="e">
        <f t="shared" si="122"/>
        <v>#N/A</v>
      </c>
      <c r="HQ92" t="e">
        <f t="shared" si="123"/>
        <v>#N/A</v>
      </c>
      <c r="HR92" t="e">
        <f t="shared" si="124"/>
        <v>#N/A</v>
      </c>
      <c r="HS92" t="e">
        <f t="shared" si="125"/>
        <v>#N/A</v>
      </c>
      <c r="HT92" t="e">
        <f t="shared" si="145"/>
        <v>#N/A</v>
      </c>
      <c r="HU92" t="e">
        <f t="shared" si="146"/>
        <v>#N/A</v>
      </c>
      <c r="HV92" t="e">
        <f t="shared" si="147"/>
        <v>#N/A</v>
      </c>
      <c r="HW92" t="e">
        <f t="shared" si="148"/>
        <v>#N/A</v>
      </c>
      <c r="HX92" t="e">
        <f t="shared" si="149"/>
        <v>#N/A</v>
      </c>
      <c r="HY92" t="e">
        <f t="shared" si="150"/>
        <v>#N/A</v>
      </c>
      <c r="HZ92" s="55">
        <f>IF(OR(Исходн.данные.!AI92="Оз_Ч_П",Исходн.данные.!AI92="Оз_З_П",Исходн.данные.!AI92="Яр_зер"),12,30)</f>
        <v>30</v>
      </c>
      <c r="IA92" t="e">
        <f t="shared" si="126"/>
        <v>#N/A</v>
      </c>
      <c r="IB92" t="e">
        <f t="shared" si="127"/>
        <v>#N/A</v>
      </c>
      <c r="IC92" t="e">
        <f t="shared" si="128"/>
        <v>#N/A</v>
      </c>
      <c r="ID92" s="11" t="e">
        <f t="shared" si="129"/>
        <v>#N/A</v>
      </c>
      <c r="IE92" s="11" t="e">
        <f t="shared" si="130"/>
        <v>#N/A</v>
      </c>
      <c r="IF92" s="11" t="e">
        <f t="shared" si="131"/>
        <v>#N/A</v>
      </c>
    </row>
    <row r="93" spans="35:240" x14ac:dyDescent="0.2">
      <c r="AI93">
        <f>IF(Исходн.данные.!I93&gt;6,1,1.85-(0.148*Исходн.данные.!I93))</f>
        <v>1.85</v>
      </c>
      <c r="AJ93">
        <f>IF(Исходн.данные.!I93&gt;6,1,2.434-(0.246*Исходн.данные.!I93))</f>
        <v>2.4340000000000002</v>
      </c>
      <c r="AL93" s="148" t="b">
        <f>IF(Исходн.данные.!$P93="Ум",N_OrgUd_2g_um,IF(Исходн.данные.!$P93="Об",N_OrgUd_2g_ob))</f>
        <v>0</v>
      </c>
      <c r="AM93" s="148" t="b">
        <f>IF(Исходн.данные.!$P93="Ум",P_OrgUd_2g_um,IF(Исходн.данные.!$P93="Об",P_OrgUd_2g_ob))</f>
        <v>0</v>
      </c>
      <c r="AN93" s="148" t="b">
        <f>IF(Исходн.данные.!$P93="Ум",K_OrgUd_2g_um,IF(Исходн.данные.!$P93="Об",K_OrgUd_2g_ob))</f>
        <v>0</v>
      </c>
      <c r="AO93" s="148" t="b">
        <f>IF(Исходн.данные.!$P93="Ум",N_OrgUd_1g_um,IF(Исходн.данные.!$P93="Об",N_OrgUd_1g_ob))</f>
        <v>0</v>
      </c>
      <c r="AP93" s="148" t="b">
        <f>IF(Исходн.данные.!$P93="Ум",P_OrgUd_1g_um,IF(Исходн.данные.!$P93="Об",P_OrgUd_1g_ob))</f>
        <v>0</v>
      </c>
      <c r="AQ93" s="148" t="b">
        <f>IF(Исходн.данные.!$P93="Ум",K_OrgUd_1g_um,IF(Исходн.данные.!$P93="Об",K_OrgUd_1g_ob))</f>
        <v>0</v>
      </c>
      <c r="AR93" t="b">
        <f>IF(Исходн.данные.!$P93="Ум",N_MinUd_2g_um,IF(Исходн.данные.!$P93="Об",N_MinUd_2g_ob))</f>
        <v>0</v>
      </c>
      <c r="AS93" t="b">
        <f>IF(Исходн.данные.!$P93="Ум",P_MinUd_2g_um,IF(Исходн.данные.!$P93="Об",P_MinUd_2g_ob))</f>
        <v>0</v>
      </c>
      <c r="AT93" t="b">
        <f>IF(Исходн.данные.!$P93="Ум",K_MinUd_2g_um,IF(Исходн.данные.!$P93="Об",K_MinUd_2g_ob))</f>
        <v>0</v>
      </c>
      <c r="AU93" t="b">
        <f>IF(Исходн.данные.!$P93="Ум",N_MinUd_1g_um,IF(Исходн.данные.!$P93="Об",N_MinUd_1g_ob))</f>
        <v>0</v>
      </c>
      <c r="AV93" t="b">
        <f>IF(Исходн.данные.!P93="Ум",P_MinUd_1g_um,IF(Исходн.данные.!P93="Об",P_MinUd_1g_ob))</f>
        <v>0</v>
      </c>
      <c r="AW93" t="b">
        <f>IF(Исходн.данные.!P93="Ум",K_MinUd_1g_um,IF(Исходн.данные.!P93="Об",K_MinUd_1g_ob))</f>
        <v>0</v>
      </c>
      <c r="AY93" t="e">
        <f>VLOOKUP(Исходн.данные.!T93,Справ!$A$3:$N$57,12)</f>
        <v>#N/A</v>
      </c>
      <c r="AZ93" t="e">
        <f>VLOOKUP(Исходн.данные.!T93,Справ!$A$3:$N$57,13)</f>
        <v>#N/A</v>
      </c>
      <c r="BA93" t="e">
        <f>VLOOKUP(Исходн.данные.!T93,Справ!$A$3:$N$57,14)</f>
        <v>#N/A</v>
      </c>
      <c r="BB93">
        <f>IF(Исходн.данные.!AH93=0,0,25)</f>
        <v>0</v>
      </c>
      <c r="BC93" s="141">
        <f>IF(Исходн.данные.!AH93=0,0,IF(Исходн.данные.!T93=0,25,BD93))</f>
        <v>0</v>
      </c>
      <c r="BD93" s="168" t="e">
        <f>AY93+AZ93*Исходн.данные.!U93-POWER(BA93,2)*Исходн.данные.!U93</f>
        <v>#N/A</v>
      </c>
      <c r="BE9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3" s="25">
        <f>IF(Исходн.данные.!AH93=0,0,MIN(HN93:HP93))</f>
        <v>0</v>
      </c>
      <c r="BG93" s="9">
        <f>IF(Исходн.данные.!AH93=0,0,IF((HO93+10*0.25/HG93/HL93)&lt;17,17,HO93+10*0.25/HG93/HL93))</f>
        <v>0</v>
      </c>
      <c r="BH93" s="181">
        <f>IF(Исходн.данные.!AH93=0,0,HW93*HF93*HL93/AU93*AI93+Исходн.данные.!S93*10)</f>
        <v>0</v>
      </c>
      <c r="BI93" s="10"/>
      <c r="BJ93" s="182">
        <f>IF(Исходн.данные.!AH93=0,0,IF(HX93*HG93*HL93/AV93&lt;0,0,HX93*HG93*HL93/AV93*AJ93))</f>
        <v>0</v>
      </c>
      <c r="BK93" s="182">
        <f>IF(Исходн.данные.!AH93=0,0,HY93*HH93*HM93/AW93)</f>
        <v>0</v>
      </c>
      <c r="BL93" s="10">
        <f>IF(OR(Исходн.данные.!$AH93=$BP$1,Исходн.данные.!$AH93=$BP$2),0,IF(BH93&lt;0,0,IF(OR(Исходн.данные.!T93=Расчет!$BP$1,Исходн.данные.!T93=Расчет!$BP$2,Исходн.данные.!T93=Расчет!$BT$5,Исходн.данные.!T93=Расчет!$BT$6),BH93*0.5,IF(OR(Исходн.данные.!T93=Расчет!$BS$9,Исходн.данные.!T93=Расчет!$BS$10,Исходн.данные.!T93=Расчет!$BS$11,Исходн.данные.!T93=Расчет!$BS$12,Исходн.данные.!T93=Расчет!$BP$5),BH93*0.8,BH93))))</f>
        <v>0</v>
      </c>
      <c r="BM93" s="10">
        <f>IF(OR(Исходн.данные.!$AH93=$BP$1,Исходн.данные.!$AH93=$BP$2),0,IF(BJ93&lt;0,0,IF(Исходн.данные.!I93&lt;4.5,BJ93*1.2,IF(Исходн.данные.!I93&gt;5.1,BJ93,BJ93*((5.1-Исходн.данные.!I93)*0.333+1)))))</f>
        <v>0</v>
      </c>
      <c r="BN93" s="10">
        <f>IF(OR(Исходн.данные.!$AH93=$BP$1,Исходн.данные.!$AH93=$BP$2),60-Исходн.данные.!AF93,IF(BK93&lt;0,0,IF(Исходн.данные.!I93&lt;4.5,BK93*1.2,IF(Исходн.данные.!I93&gt;5.1,BK93,BK93*((5.1-Исходн.данные.!I93)*0.333+1)))))</f>
        <v>0</v>
      </c>
      <c r="BO93" s="9">
        <f>IF(BL93&lt;0,0,BL93*Исходн.данные.!$AJ93/1000)</f>
        <v>0</v>
      </c>
      <c r="BP93" s="9">
        <f>IF(BM93&lt;0,0,BM93*Исходн.данные.!$AJ93/1000)</f>
        <v>0</v>
      </c>
      <c r="BQ93" s="9">
        <f>IF(BN93&lt;0,0,BN93*Исходн.данные.!$AJ93/1000)</f>
        <v>0</v>
      </c>
      <c r="BR93" s="9">
        <f t="shared" si="81"/>
        <v>0</v>
      </c>
      <c r="BS93" s="10" t="str">
        <f t="shared" si="82"/>
        <v>Аммофос 12:52:00</v>
      </c>
      <c r="BT93" s="10" t="str">
        <f t="shared" si="83"/>
        <v>Аммофос 12:52:00</v>
      </c>
      <c r="BU93" s="10" t="str">
        <f t="shared" si="84"/>
        <v>Диаммофоска</v>
      </c>
      <c r="BV93" s="10">
        <f t="shared" si="85"/>
        <v>0</v>
      </c>
      <c r="BW93" s="10"/>
      <c r="BX93" s="10"/>
      <c r="BY93" s="9">
        <f>IF(BL93&lt;0,0,IF(OR(Исходн.данные.!AI93=Расчет!$BU$6,Исходн.данные.!AI93=Расчет!$BU$7),Расчет!BV93,IF(Исходн.данные.!$AG93=$BV$11,BL93,IF(OR(Исходн.данные.!$AH93=$BQ$7,Исходн.данные.!$AH93=$BQ$8),CB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0,IF(Исходн.данные.!$AI93=$BU$11,"Нет",IF(BL93&gt;30,30,BL93)))))))</f>
        <v>0</v>
      </c>
      <c r="BZ93" s="9">
        <f>IF(AND(Исходн.данные.!$AG93=$BV$11,BM93&lt;10),10,IF(Исходн.данные.!$AG93=$BV$11,BM93,IF(OR(Исходн.данные.!$AH93=$BQ$7,Исходн.данные.!$AH93=$BQ$8),CC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10,IF(Исходн.данные.!$AI93=$BU$11,"Нет",IF(BM93&gt;60,60,IF(BM93&lt;10,10,BM93)))))))</f>
        <v>10</v>
      </c>
      <c r="CA93" s="39">
        <f>IF(BN93&lt;0,0,IF(Исходн.данные.!$AG93=$BV$11,BN93,IF(OR(Исходн.данные.!$AH93=$BQ$7,Исходн.данные.!$AH93=$BQ$8),CD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0,IF(Исходн.данные.!$AI93=$BU$11,"Нет",IF(BN93&gt;30,30,BN93))))))</f>
        <v>0</v>
      </c>
      <c r="CB93" s="9">
        <f t="shared" si="86"/>
        <v>0</v>
      </c>
      <c r="CC93" s="9">
        <f t="shared" si="87"/>
        <v>0</v>
      </c>
      <c r="CD93" s="9">
        <f t="shared" si="88"/>
        <v>0</v>
      </c>
      <c r="CE93" s="12">
        <f t="shared" si="89"/>
        <v>10</v>
      </c>
      <c r="CF93" s="9">
        <f t="shared" si="90"/>
        <v>0</v>
      </c>
      <c r="CG93" s="9" t="s">
        <v>231</v>
      </c>
      <c r="CH93" s="132" t="str">
        <f>IF(Исходн.данные.!AP93=Расчет!$CI$16,"Нет",IF(Исходн.данные.!AL93&gt;0,Исходн.данные.!AL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BH$4,IF(OR(Исходн.данные.!AI93=Исходн.данные.!$AI$6,Исходн.данные.!AI93=Исходн.данные.!$AI$7),Расчет!BS93,IF(AND($CF93=0,$CE93&gt;0),EV93,ER93)))))</f>
        <v>Аммофос 12:52:00</v>
      </c>
      <c r="CI93" s="274">
        <f>IF(Расчет!$CH93="Нет","Нет",IF(Исходн.данные.!$AL93&gt;0,VLOOKUP(Расчет!$CH93,АшламаДВ_Irekle,2,FALSE),VLOOKUP(Расчет!$CH93,АшламаДВ_Gomumy,2,FALSE)))</f>
        <v>0.12</v>
      </c>
      <c r="CJ93" s="274">
        <f>IF(Расчет!$CH93="Нет","Нет",IF(Исходн.данные.!$AL93&gt;0,VLOOKUP(Расчет!$CH93,АшламаДВ_Irekle,3,FALSE),VLOOKUP(Расчет!$CH93,АшламаДВ_Gomumy,3,FALSE)))</f>
        <v>0.52</v>
      </c>
      <c r="CK93" s="274">
        <f>IF(Расчет!$CH93="Нет","Нет",IF(Исходн.данные.!$AL93&gt;0,VLOOKUP(Расчет!$CH93,АшламаДВ_Irekle,4,FALSE),VLOOKUP(Расчет!$CH93,АшламаДВ_Gomumy,4,FALSE)))</f>
        <v>0</v>
      </c>
      <c r="CL93" s="70"/>
      <c r="CM93" s="70"/>
      <c r="CN93" s="70"/>
      <c r="CO93" s="70"/>
      <c r="CP93" s="70"/>
      <c r="CQ93" s="70"/>
      <c r="CR93" s="10">
        <f t="shared" si="91"/>
        <v>0</v>
      </c>
      <c r="CS93" s="10">
        <f t="shared" si="92"/>
        <v>19.23076923076923</v>
      </c>
      <c r="CT93" s="10">
        <f t="shared" si="93"/>
        <v>0</v>
      </c>
      <c r="CU93" s="39">
        <f>IF($CH93="Нет",0,IF(CI93=0,30/MIN(CJ93:CK93),IF(Исходн.данные.!$AG93=$BV$11,CR93,IF(OR(Исходн.данные.!$AH93=$BQ$7,Исходн.данные.!$AH93=$BQ$8),90/CI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0,IF(Исходн.данные.!$AI93=$BU$11,"Нет",30/CI93))))))</f>
        <v>250</v>
      </c>
      <c r="CV93" s="39">
        <f>IF($CH93="Нет",0,IF(Исходн.данные.!AH93=0,0,IF(CJ93=0,60/MIN(CI93,CK93),IF(Исходн.данные.!$AG93=$BV$11,CS93,IF(OR(Исходн.данные.!$AH93=$BQ$7,Исходн.данные.!$AH93=$BQ$8),90/CJ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10/CJ93,IF(Исходн.данные.!$AI93=$BU$11,"Нет",60/CJ93)))))))</f>
        <v>0</v>
      </c>
      <c r="CW93" s="39">
        <f>IF($CH93="Нет",0,IF(Исходн.данные.!AH93=0,0,IF(CK93=0,30/MIN(CI93:CJ93),IF(Исходн.данные.!$AG93=$BV$11,CT93,IF(OR(Исходн.данные.!$AH93=$BQ$7,Исходн.данные.!$AH93=$BQ$8),90/CK93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0,IF(Исходн.данные.!$AI93=$BU$11,"Нет",30/CK93)))))))</f>
        <v>0</v>
      </c>
      <c r="CX93" s="133">
        <f>IF(Исходн.данные.!$AG93=$BV$11,MAX(CU93:CW93),IF(OR(Исходн.данные.!$AH93=$BS$8,Исходн.данные.!$AH93=$BQ$9,Исходн.данные.!$AH93=$BQ$10,Исходн.данные.!$AH93=$BQ$11,Исходн.данные.!$AH93=$BQ$12,Исходн.данные.!$AH93=$BP$3,Исходн.данные.!$AH93=$BT$8,$FM93="Да"),CV93,MIN(CU93:CW93)))</f>
        <v>0</v>
      </c>
      <c r="CY93" s="133">
        <f>IF(Исходн.данные.!AH93=0,0,IF(CR93&gt;$CX93,$CX93,CR93))</f>
        <v>0</v>
      </c>
      <c r="CZ93" s="133">
        <f>IF(Исходн.данные.!AH93=0,0,IF(CS93&gt;$CX93,$CX93,CS93))</f>
        <v>0</v>
      </c>
      <c r="DA93" s="133">
        <f>IF(Исходн.данные.!AH93=0,0,IF(CT93&gt;$CX93,$CX93,CT93))</f>
        <v>0</v>
      </c>
      <c r="DB93" s="10">
        <f t="shared" si="94"/>
        <v>0</v>
      </c>
      <c r="DC93" s="39">
        <f>DB93*Исходн.данные.!AJ93/1000</f>
        <v>0</v>
      </c>
      <c r="DD93" s="71">
        <f t="shared" si="95"/>
        <v>0</v>
      </c>
      <c r="DE93" s="9">
        <f t="shared" si="96"/>
        <v>0</v>
      </c>
      <c r="DF93" s="9">
        <f t="shared" si="97"/>
        <v>0</v>
      </c>
      <c r="DG93" s="39">
        <f>IF(BL93&lt;0,0,IF($CH93="Нет",BL93,IF(OR(Исходн.данные.!$AH93=$BP$1,Исходн.данные.!$AH93=$BP$2),0,IF(Исходн.данные.!AI93=$BU$11,BL93,IF(BL93-DD93&lt;0,0,BL93-DD93)))))</f>
        <v>0</v>
      </c>
      <c r="DH93" s="39">
        <f>IF(BM93&lt;0,0,IF($CH93="Нет",BM93,IF(OR(Исходн.данные.!$AH93=$BP$1,Исходн.данные.!$AH93=$BP$2),0,IF(Исходн.данные.!AJ93=$BU$11,BM93,IF(BM93-DE93&lt;0,0,BM93-DE93)))))</f>
        <v>0</v>
      </c>
      <c r="DI93" s="39">
        <f>IF(BN93&lt;0,0,IF($CH93="Нет",BN93,IF(OR(Исходн.данные.!$AH93=$BP$1,Исходн.данные.!$AH93=$BP$2),0,IF(Исходн.данные.!AK93=$BU$11,BN93,IF(BN93-DF93&lt;0,0,BN93-DF93)))))</f>
        <v>0</v>
      </c>
      <c r="DJ93" s="12">
        <f t="shared" si="98"/>
        <v>0</v>
      </c>
      <c r="DK93" s="9">
        <f t="shared" si="99"/>
        <v>0</v>
      </c>
      <c r="DL93" s="39">
        <f>IF(Исходн.данные.!AM93&gt;0,Исходн.данные.!AM93,IF(EG93&gt;0,$BH$10,0))</f>
        <v>0</v>
      </c>
      <c r="DM93" s="186">
        <f>IF($DL93=0,0,IF(Исходн.данные.!AM93&gt;0,VLOOKUP($DL93,АшламаДВ_Irekle,2,FALSE),VLOOKUP($DL93,АшламаДВ_Gomumy,2,FALSE)))</f>
        <v>0</v>
      </c>
      <c r="DN93" s="10">
        <f t="shared" si="151"/>
        <v>0</v>
      </c>
      <c r="DO93" s="9" t="str">
        <f>IF(Исходн.данные.!AN93&gt;0,Исходн.данные.!AN93,Удобрения!$B$37 )</f>
        <v>Хлор.калий</v>
      </c>
      <c r="DP93" s="9">
        <f>IF(Исходн.данные.!AN93&gt;0,VLOOKUP(Исходн.данные.!AN93,АшламаДВ_Irekle,4,FALSE),VLOOKUP(DO93,АшламаДВ_Gomumy,4,FALSE))</f>
        <v>0.6</v>
      </c>
      <c r="DQ93" s="10">
        <f t="shared" si="152"/>
        <v>0</v>
      </c>
      <c r="DR93" s="132" t="str">
        <f>IF(Исходн.данные.!AO93&gt;0,Исходн.данные.!AO93,IF(DH93=0,BS$17,IF(AND($DK93=0,$DJ93&gt;0),EJ93,EN93)))</f>
        <v>Нет</v>
      </c>
      <c r="DS93" s="70" t="str">
        <f>IF($DR93="Нет","Нет",IF(Исходн.данные.!$AO93&gt;0,VLOOKUP($DR93,АшламаДВ_Irekle,2,FALSE),VLOOKUP($DR93,АшламаДВ_Gomumy,2,FALSE)))</f>
        <v>Нет</v>
      </c>
      <c r="DT93" s="70" t="str">
        <f>IF($DR93="Нет","Нет",IF(Исходн.данные.!$AO93&gt;0,VLOOKUP($DR93,АшламаДВ_Irekle,3,FALSE),VLOOKUP($DR93,АшламаДВ_Gomumy,3,FALSE)))</f>
        <v>Нет</v>
      </c>
      <c r="DU93" s="70" t="str">
        <f>IF($DR93="Нет","Нет",IF(Исходн.данные.!$AO93&gt;0,VLOOKUP($DR93,АшламаДВ_Irekle,4,FALSE),VLOOKUP($DR93,АшламаДВ_Gomumy,4,FALSE)))</f>
        <v>Нет</v>
      </c>
      <c r="DV93" s="70"/>
      <c r="DW93" s="70"/>
      <c r="DX93" s="70"/>
      <c r="DY93" s="10">
        <f t="shared" si="100"/>
        <v>0</v>
      </c>
      <c r="DZ93" s="10">
        <f t="shared" si="101"/>
        <v>0</v>
      </c>
      <c r="EA93" s="10">
        <f t="shared" si="102"/>
        <v>0</v>
      </c>
      <c r="EB93" s="10">
        <f t="shared" si="103"/>
        <v>0</v>
      </c>
      <c r="EC93" s="10">
        <f t="shared" si="104"/>
        <v>0</v>
      </c>
      <c r="ED93" s="10">
        <f t="shared" si="105"/>
        <v>0</v>
      </c>
      <c r="EE93" s="10">
        <f t="shared" si="106"/>
        <v>0</v>
      </c>
      <c r="EF93" s="39">
        <f>EB93*Исходн.данные.!AJ93/1000</f>
        <v>0</v>
      </c>
      <c r="EG93" s="9">
        <f t="shared" si="107"/>
        <v>0</v>
      </c>
      <c r="EH93" s="9">
        <f t="shared" si="108"/>
        <v>0</v>
      </c>
      <c r="EI93" s="39" t="e">
        <f t="shared" si="132"/>
        <v>#DIV/0!</v>
      </c>
      <c r="EJ93" s="9" t="str">
        <f t="shared" si="153"/>
        <v>Азопреципитат</v>
      </c>
      <c r="EK93" s="12">
        <f t="shared" si="133"/>
        <v>0.26</v>
      </c>
      <c r="EL93" s="12">
        <f t="shared" si="134"/>
        <v>0.13</v>
      </c>
      <c r="EM93" s="12">
        <f t="shared" si="135"/>
        <v>0</v>
      </c>
      <c r="EN93" s="12" t="str">
        <f t="shared" si="154"/>
        <v>Нет</v>
      </c>
      <c r="EO93" s="12">
        <f t="shared" si="136"/>
        <v>0</v>
      </c>
      <c r="EP93" s="12">
        <f t="shared" si="137"/>
        <v>0</v>
      </c>
      <c r="EQ93" s="12">
        <f t="shared" si="138"/>
        <v>0</v>
      </c>
      <c r="ER93" s="12" t="str">
        <f t="shared" si="109"/>
        <v>Диаммофоска</v>
      </c>
      <c r="ES93" s="12">
        <f t="shared" si="139"/>
        <v>0.1</v>
      </c>
      <c r="ET93" s="12">
        <f t="shared" si="140"/>
        <v>0.26</v>
      </c>
      <c r="EU93" s="12">
        <f t="shared" si="141"/>
        <v>0.26</v>
      </c>
      <c r="EV93" s="12" t="str">
        <f t="shared" si="110"/>
        <v>Аммофос 12:52:00</v>
      </c>
      <c r="EW93" s="12" t="str">
        <f t="shared" si="111"/>
        <v>Кемира Свекловичное-6</v>
      </c>
      <c r="EX93" s="12">
        <f t="shared" si="142"/>
        <v>0.16</v>
      </c>
      <c r="EY93" s="12">
        <f t="shared" si="143"/>
        <v>0.12</v>
      </c>
      <c r="EZ93" s="12">
        <f t="shared" si="144"/>
        <v>0.17</v>
      </c>
      <c r="FA93" s="38" t="e">
        <f>IF(AND(OR(FJ93=$FD$1,FM93=$FD$1,FO93=$FD$1,FQ93=$FD$1,FS93=$FD$1),FD93=$FD$1,Исходн.данные.!J93&lt;2,FU93=$FD$1),"Бор,Кобальт",IF(AND(FO93=$FD$1,FH93=$FD$1,Исходн.данные.!J93&lt;2,FU93=$FD$1),"Бор,Кобальт",IF(AND(OR(FJ93=$FD$1,FM93=$FD$1,FQ93=$FD$1),FE93=$FD$1,Исходн.данные.!J93&lt;2,FT93=$FD$1,FU93=$FD$1),"Бор,Медь,Цинк",IF(AND(OR(FJ93=$FD$1,FR93="Да"),FI93="Да",Исходн.данные.!J93&lt;2,FT93="Да",FU93="Да"),"Бор,Цинк,Медь",IF(AND(OR(FM93="Да",FQ93="Да"),FI93="Да",Исходн.данные.!J93&lt;2,FT93="Да",FU93="Да"),"Бор,Цинк",IF(AND(FN93="Да",OR(FD93="Да",FE93="Да")),"Бор",FB93))))))</f>
        <v>#N/A</v>
      </c>
      <c r="FB93" s="134" t="e">
        <f>IF(AND(OR(FD93="Да",FE93="Да",FF93="Да",FG93="Да",FH93="Да"),FO93="Да"),"Бор",IF(AND(FP93="Да",OR(FD93="Да",FE93="Да",FI93="Да")),"Бор",IF(AND(FS93="Да",FE93="Да"),"Бор,Медь",IF(AND(OR(FJ93="Да",FK93="Да",FL93="Да"),FE93="Да",Исходн.данные.!I93&lt;5,FT93="Да",FU93="Да"),"Молибден,Цинк",IF(AND(FM93="Да",OR(FE93="Да",FF93="Да",FG93="Да",FH93="Да",FI93="Да")),"Молибден,Цинк",IF(AND(OR(FJ93="Да",FK93="Да",FL93="Да",FM93="Да",FQ93="Да"),OR(FE93="Да",FF93="Да"),FT93="Да",FU93="Да",Исходн.данные.!I93&gt;5.5),"Медь,Цинк",FC93))))))</f>
        <v>#N/A</v>
      </c>
      <c r="FC93" s="23" t="e">
        <f t="shared" si="112"/>
        <v>#N/A</v>
      </c>
      <c r="FD93" s="38" t="str">
        <f>IF(OR(Исходн.данные.!F93=$CC$1,Исходн.данные.!F93=$CC$2,Исходн.данные.!F93=$CC$3,Исходн.данные.!F93=$CC$4),"Да","Нет")</f>
        <v>Нет</v>
      </c>
      <c r="FE93" s="38" t="str">
        <f>IF(Исходн.данные.!F93=$CC$5,"Да","Нет")</f>
        <v>Нет</v>
      </c>
      <c r="FF93" s="38" t="str">
        <f>IF(OR(Исходн.данные.!F93=$CC$6,Исходн.данные.!F93=$CC$7),"Да","Нет")</f>
        <v>Нет</v>
      </c>
      <c r="FG93" s="38" t="str">
        <f>IF(OR(Исходн.данные.!F93=$CC$8,Исходн.данные.!F93=$CC$9),"Да","Нет")</f>
        <v>Нет</v>
      </c>
      <c r="FH93" s="38" t="str">
        <f>IF(Исходн.данные.!F93=$CC$10,"Да","Нет")</f>
        <v>Нет</v>
      </c>
      <c r="FI93" s="38" t="str">
        <f>IF(OR(Исходн.данные.!F93=$CC$11,Исходн.данные.!F93=$CC$12),"Да","Нет")</f>
        <v>Нет</v>
      </c>
      <c r="FJ93" s="38" t="str">
        <f>IF(OR(Исходн.данные.!AH93=$BS$1,Исходн.данные.!AH93=$BQ$11,Исходн.данные.!AH93=$BQ$12),"Да","Нет")</f>
        <v>Нет</v>
      </c>
      <c r="FK93" s="38" t="str">
        <f>IF(OR(Исходн.данные.!AH93=$BS$2,Исходн.данные.!AH93=$BS$4),"Да","Нет")</f>
        <v>Нет</v>
      </c>
      <c r="FL93" s="38" t="str">
        <f>IF(OR(Исходн.данные.!AH93=$BS$3,Исходн.данные.!AH93=$BS$5),"Да","Нет")</f>
        <v>Нет</v>
      </c>
      <c r="FM93" s="38" t="str">
        <f>IF(OR(Исходн.данные.!AH93=$BS$9,Исходн.данные.!AH93=$BS$10,Исходн.данные.!AH93=$BS$11,Исходн.данные.!AH93=$BS$12),"Да","Нет")</f>
        <v>Нет</v>
      </c>
      <c r="FN93" s="38" t="str">
        <f>IF(OR(Исходн.данные.!AH93=$BS$6,Исходн.данные.!AH93=$BP$3),"Да","Нет")</f>
        <v>Нет</v>
      </c>
      <c r="FO93" s="38" t="str">
        <f>IF(Исходн.данные.!AH93=$BQ$9,"Да","Нет")</f>
        <v>Нет</v>
      </c>
      <c r="FP93" s="38" t="str">
        <f>IF(OR(Исходн.данные.!AH93=$BS$8,Исходн.данные.!AH93=$BT$8),"Да","Нет")</f>
        <v>Нет</v>
      </c>
      <c r="FQ93" s="38" t="str">
        <f>IF(OR(Исходн.данные.!AH93=$BQ$7,Исходн.данные.!AH93=$BQ$8),"Да","Нет")</f>
        <v>Нет</v>
      </c>
      <c r="FR93" s="38" t="str">
        <f>IF(Исходн.данные.!AI93=$BU$9,"Да","Нет")</f>
        <v>Нет</v>
      </c>
      <c r="FS93" s="38" t="str">
        <f>IF(OR(Исходн.данные.!AH93=$BP$1,Исходн.данные.!AH93=$BP$2),"Да","Нет")</f>
        <v>Нет</v>
      </c>
      <c r="FT93" s="38" t="e">
        <f>IF((Исходн.данные.!K93*GO93*GS93*GW93+BL93*0.6+Исходн.данные.!Q93*4.5*0.275)&gt;90,"Да","Нет")</f>
        <v>#N/A</v>
      </c>
      <c r="FU93" s="38" t="e">
        <f>IF((Исходн.данные.!M93*GS93*GZ93+BM93*0.225)&gt;35,"Да","Нет")</f>
        <v>#N/A</v>
      </c>
      <c r="FV93" s="38" t="str">
        <f>IF(Исходн.данные.!O93&gt;175,"Да","Нет")</f>
        <v>Нет</v>
      </c>
      <c r="FW93" s="39" t="str">
        <f>IF(Исходн.данные.!I93&gt;5.5,"Да","Нет")</f>
        <v>Нет</v>
      </c>
      <c r="FX93" s="39" t="str">
        <f>IF(Исходн.данные.!J93&lt;2,"Да","Нет")</f>
        <v>Да</v>
      </c>
      <c r="FY93" s="39" t="e">
        <f>IF(HF93=$FY$16,0,Исходн.данные.!K93*GO93*GS93*GW93/HF93)</f>
        <v>#N/A</v>
      </c>
      <c r="FZ93" s="39" t="e">
        <f>Исходн.данные.!M93*GS93*GZ93/HG93</f>
        <v>#N/A</v>
      </c>
      <c r="GA93" s="39" t="e">
        <f>IF(K_Wyn=$FY$16,0,IF(Исходн.данные.!N93=Исходн.данные.!$L$10,Исходн.данные.!O93/1.1*GS93*HC93/HH93,IF(Исходн.данные.!N93=Исходн.данные.!$L$12,Исходн.данные.!O93/1.5*GS93*HC93/HH93,Исходн.данные.!O93*GS93*HC93/HH93)))</f>
        <v>#N/A</v>
      </c>
      <c r="GB93" s="39" t="e">
        <f>IF(HF93=$FY$16,0,((Исходн.данные.!Q93*N_Org+Исходн.данные.!R93*N_Sider+Исходн.данные.!S93*N_Soloma)*AO93+Расчет!BC93*VLOOKUP(Исходн.данные.!T93,Справ!$A$3:$O$57,15)*AO93+BB93*VLOOKUP(Исходн.данные.!T93,Справ!$A$3:$O$57,15)*AL93+(Исходн.данные.!V93*N_Rizotorf+Исходн.данные.!W93*N_Rizoagr))/HF93)</f>
        <v>#N/A</v>
      </c>
      <c r="GC93" s="39" t="e">
        <f>IF(HG93=$FY$16,0,((Исходн.данные.!Q93*Р_Org+Исходн.данные.!R93*P_Sider+Исходн.данные.!S93*P_Soloma)*AP93+Расчет!BC93*VLOOKUP(Исходн.данные.!T93,Справ!$A$3:$P$57,16)*AP93+BB93*VLOOKUP(Исходн.данные.!T93,Справ!$A$3:$P$57,16)*AM93)/HG93)</f>
        <v>#N/A</v>
      </c>
      <c r="GD93" s="39" t="e">
        <f>IF(HH93=$FY$16,0,((Исходн.данные.!Q93*К_Org+Исходн.данные.!R93*K_Sider+Исходн.данные.!S93*K_Soloma)*AQ93+Расчет!BC93*VLOOKUP(Исходн.данные.!T93,Справ!$A$3:$Q$57,17)*AQ93+BB93*VLOOKUP(Исходн.данные.!T93,Справ!$A$3:$Q$57,17)*AN93)/HH93)</f>
        <v>#N/A</v>
      </c>
      <c r="GE93" s="39" t="e">
        <f>IF(HF93=$FY$16,0,(Исходн.данные.!X93*AR93+Исходн.данные.!AA93*N_Org*AL93+Исходн.данные.!AB93*N_Sider*AL93+Исходн.данные.!AC93*N_Soloma*AL93)/HF93)</f>
        <v>#N/A</v>
      </c>
      <c r="GF93" s="39" t="e">
        <f>IF(HG93=$FY$16,0,(Исходн.данные.!Y93*AS93+Исходн.данные.!AA93*Р_Org*AM93+Исходн.данные.!AB93*P_Sider*AM93+Исходн.данные.!AC93*P_Soloma*AM93)/HG93)</f>
        <v>#N/A</v>
      </c>
      <c r="GG93" s="39" t="e">
        <f>IF(HH93=$FY$16,0,(Исходн.данные.!Z93*AT93+Исходн.данные.!AA93*К_Org*AN93+Исходн.данные.!AB93*K_Sider*AN93+Исходн.данные.!AC93*K_Soloma*AN93)/HH93)</f>
        <v>#N/A</v>
      </c>
      <c r="GH93" s="39" t="e">
        <f>Исходн.данные.!AD93*AU93/HF93</f>
        <v>#N/A</v>
      </c>
      <c r="GI93" s="39" t="e">
        <f>Исходн.данные.!AE93*AV93/HG93</f>
        <v>#N/A</v>
      </c>
      <c r="GJ93" s="39" t="e">
        <f>Исходн.данные.!AF93*AW93/HH93</f>
        <v>#N/A</v>
      </c>
      <c r="GK93" s="55">
        <f>Исходн.данные.!AK93</f>
        <v>0</v>
      </c>
      <c r="GL93" s="11" t="e">
        <f t="shared" si="113"/>
        <v>#N/A</v>
      </c>
      <c r="GM93" s="11" t="e">
        <f t="shared" si="114"/>
        <v>#N/A</v>
      </c>
      <c r="GN93" s="11" t="e">
        <f t="shared" si="115"/>
        <v>#N/A</v>
      </c>
      <c r="GO93" s="57">
        <f t="shared" si="116"/>
        <v>19</v>
      </c>
      <c r="GP93" s="55">
        <f>IF(OR(Исходн.данные.!F93=$CE$1,Исходн.данные.!F93=$CE$2,Исходн.данные.!F93=$CE$3,Исходн.данные.!F93=$CE$4,Исходн.данные.!F93=$CE$5),GQ93,GR93)</f>
        <v>19</v>
      </c>
      <c r="GQ93" s="55">
        <f>IF(Исходн.данные.!F93=$CE$1,28,IF(Исходн.данные.!F93=$CE$2,26,IF(Исходн.данные.!F93=$CE$3,24,IF(Исходн.данные.!F93=$CE$4,22,IF(Исходн.данные.!F93=$CE$5,20,GR93)))))</f>
        <v>19</v>
      </c>
      <c r="GR93" s="55">
        <f>IF(Исходн.данные.!F93=$CE$6,18,IF(Исходн.данные.!F93=$CE$7,16,IF(Исходн.данные.!F93=$CE$8,14,IF(Исходн.данные.!F93=$CE$9,13,IF(Исходн.данные.!F93=$CE$10,12,19)))))</f>
        <v>19</v>
      </c>
      <c r="GS93" s="55">
        <f>IF(Исходн.данные.!G93="Пес",0.035*(40+2*Исходн.данные.!H93),IF(Исходн.данные.!G93="Суп",0.0325*(40+2*Исходн.данные.!H93),0.03*(40+2*Исходн.данные.!H93)))</f>
        <v>1.2</v>
      </c>
      <c r="GT93" s="55">
        <f>IF(Исходн.данные.!H93&lt;23,2.6,IF(AND(Исходн.данные.!H93&gt;22,Исходн.данные.!H93&lt;26),3,IF(AND(Исходн.данные.!H93&gt;25,Исходн.данные.!H93&lt;29),3.4,3.6)))</f>
        <v>2.6</v>
      </c>
      <c r="GU93" s="55">
        <f>IF(Исходн.данные.!H93&lt;23,2.8,IF(AND(Исходн.данные.!H93&gt;22,Исходн.данные.!H93&lt;26),3.2,IF(AND(Исходн.данные.!H93&gt;25,Исходн.данные.!H93&lt;29),3.6,3.9)))</f>
        <v>2.8</v>
      </c>
      <c r="GV93" s="55">
        <f>IF(Исходн.данные.!H93&lt;23,3,IF(AND(Исходн.данные.!H93&gt;22,Исходн.данные.!H93&lt;26),3.5,IF(AND(Исходн.данные.!H93&gt;25,Исходн.данные.!H93&lt;29),3.9,4.2)))</f>
        <v>3</v>
      </c>
      <c r="GW93" s="55" t="e">
        <f>IF(Исходн.данные.!P93="Ум",GX93,GY93)</f>
        <v>#N/A</v>
      </c>
      <c r="GX93" s="55" t="e">
        <f>VLOOKUP(Исходн.данные.!AI93,Коэффициенты!$J$7:$L$13,2,FALSE)</f>
        <v>#N/A</v>
      </c>
      <c r="GY93" s="55" t="e">
        <f>VLOOKUP(Исходн.данные.!AI93,Коэффициенты!$J$7:$L$13,3,FALSE)</f>
        <v>#N/A</v>
      </c>
      <c r="GZ93" s="55" t="e">
        <f>(IF(Исходн.данные.!M93&lt;50,0.11*VLOOKUP(Исходн.данные.!AH93,Культуры.Информация,7,FALSE),IF(Исходн.данные.!M93&gt;250,0.05*VLOOKUP(Исходн.данные.!AH93,Культуры.Информация,7,FALSE),VLOOKUP(Исходн.данные.!AH93,Культуры.Информация,5,FALSE)/100*($GX$6+$GY$6*Исходн.данные.!M93))))*Расчет2!AI93</f>
        <v>#N/A</v>
      </c>
      <c r="HA93" s="211"/>
      <c r="HB93" s="211"/>
      <c r="HC93" s="55" t="e">
        <f>(IF(Исходн.данные.!O93&lt;80,0.2*VLOOKUP(Исходн.данные.!AH93,Культуры.Информация,8,FALSE),IF(Исходн.данные.!O93&gt;240,0.09*VLOOKUP(Исходн.данные.!AH93,Культуры.Информация,8,FALSE),VLOOKUP(Исходн.данные.!AH93,Культуры.Информация,6,FALSE)/100*($HB$6+$HC$6*Исходн.данные.!O93))))*Расчет2!AJ93</f>
        <v>#N/A</v>
      </c>
      <c r="HD93" s="55">
        <f>IF(Исходн.данные.!O93&gt;240,0.09,IF(Исходн.данные.!O93&lt;30,0.3,$HE$10+$HD$10*Исходн.данные.!O93))</f>
        <v>0.3</v>
      </c>
      <c r="HE93" s="55">
        <f>IF(Исходн.данные.!O93&gt;240,0.17,IF(Исходн.данные.!O93&lt;30,0.5,$HF$12+$HE$12*Исходн.данные.!O93))</f>
        <v>0.5</v>
      </c>
      <c r="HF93" s="55" t="e">
        <f>VLOOKUP(Исходн.данные.!AH93,Справ!$A$3:$D$58,2,FALSE)</f>
        <v>#N/A</v>
      </c>
      <c r="HG93" s="55" t="e">
        <f>VLOOKUP(Исходн.данные.!AH93,Справ!$A$3:$D$58,3,FALSE)</f>
        <v>#N/A</v>
      </c>
      <c r="HH93" s="55" t="e">
        <f>VLOOKUP(Исходн.данные.!AH93,Справ!$A$3:$D$58,4,FALSE)</f>
        <v>#N/A</v>
      </c>
      <c r="HI93" s="11" t="e">
        <f t="shared" si="117"/>
        <v>#N/A</v>
      </c>
      <c r="HJ93" s="11" t="e">
        <f t="shared" si="118"/>
        <v>#N/A</v>
      </c>
      <c r="HK93" s="11" t="e">
        <f t="shared" si="119"/>
        <v>#N/A</v>
      </c>
      <c r="HL93" s="55">
        <f>IF(OR(Исходн.данные.!G93="Глин",Исходн.данные.!G93="Т_суг"),1.1,IF(Исходн.данные.!G93="Ср_суг",1,1))</f>
        <v>1</v>
      </c>
      <c r="HM93" s="55">
        <f>IF(OR(Исходн.данные.!G93="Глин",Исходн.данные.!G93="Т_суг"),0.9,IF(Исходн.данные.!G93="Ср_суг",1,1.2))</f>
        <v>1.2</v>
      </c>
      <c r="HN93" s="11" t="e">
        <f t="shared" si="120"/>
        <v>#N/A</v>
      </c>
      <c r="HO93" s="11" t="e">
        <f t="shared" si="121"/>
        <v>#N/A</v>
      </c>
      <c r="HP93" s="11" t="e">
        <f t="shared" si="122"/>
        <v>#N/A</v>
      </c>
      <c r="HQ93" t="e">
        <f t="shared" si="123"/>
        <v>#N/A</v>
      </c>
      <c r="HR93" t="e">
        <f t="shared" si="124"/>
        <v>#N/A</v>
      </c>
      <c r="HS93" t="e">
        <f t="shared" si="125"/>
        <v>#N/A</v>
      </c>
      <c r="HT93" t="e">
        <f t="shared" si="145"/>
        <v>#N/A</v>
      </c>
      <c r="HU93" t="e">
        <f t="shared" si="146"/>
        <v>#N/A</v>
      </c>
      <c r="HV93" t="e">
        <f t="shared" si="147"/>
        <v>#N/A</v>
      </c>
      <c r="HW93" t="e">
        <f t="shared" si="148"/>
        <v>#N/A</v>
      </c>
      <c r="HX93" t="e">
        <f t="shared" si="149"/>
        <v>#N/A</v>
      </c>
      <c r="HY93" t="e">
        <f t="shared" si="150"/>
        <v>#N/A</v>
      </c>
      <c r="HZ93" s="55">
        <f>IF(OR(Исходн.данные.!AI93="Оз_Ч_П",Исходн.данные.!AI93="Оз_З_П",Исходн.данные.!AI93="Яр_зер"),12,30)</f>
        <v>30</v>
      </c>
      <c r="IA93" t="e">
        <f t="shared" si="126"/>
        <v>#N/A</v>
      </c>
      <c r="IB93" t="e">
        <f t="shared" si="127"/>
        <v>#N/A</v>
      </c>
      <c r="IC93" t="e">
        <f t="shared" si="128"/>
        <v>#N/A</v>
      </c>
      <c r="ID93" s="11" t="e">
        <f t="shared" si="129"/>
        <v>#N/A</v>
      </c>
      <c r="IE93" s="11" t="e">
        <f t="shared" si="130"/>
        <v>#N/A</v>
      </c>
      <c r="IF93" s="11" t="e">
        <f t="shared" si="131"/>
        <v>#N/A</v>
      </c>
    </row>
    <row r="94" spans="35:240" x14ac:dyDescent="0.2">
      <c r="AI94">
        <f>IF(Исходн.данные.!I94&gt;6,1,1.85-(0.148*Исходн.данные.!I94))</f>
        <v>1.85</v>
      </c>
      <c r="AJ94">
        <f>IF(Исходн.данные.!I94&gt;6,1,2.434-(0.246*Исходн.данные.!I94))</f>
        <v>2.4340000000000002</v>
      </c>
      <c r="AL94" s="148" t="b">
        <f>IF(Исходн.данные.!$P94="Ум",N_OrgUd_2g_um,IF(Исходн.данные.!$P94="Об",N_OrgUd_2g_ob))</f>
        <v>0</v>
      </c>
      <c r="AM94" s="148" t="b">
        <f>IF(Исходн.данные.!$P94="Ум",P_OrgUd_2g_um,IF(Исходн.данные.!$P94="Об",P_OrgUd_2g_ob))</f>
        <v>0</v>
      </c>
      <c r="AN94" s="148" t="b">
        <f>IF(Исходн.данные.!$P94="Ум",K_OrgUd_2g_um,IF(Исходн.данные.!$P94="Об",K_OrgUd_2g_ob))</f>
        <v>0</v>
      </c>
      <c r="AO94" s="148" t="b">
        <f>IF(Исходн.данные.!$P94="Ум",N_OrgUd_1g_um,IF(Исходн.данные.!$P94="Об",N_OrgUd_1g_ob))</f>
        <v>0</v>
      </c>
      <c r="AP94" s="148" t="b">
        <f>IF(Исходн.данные.!$P94="Ум",P_OrgUd_1g_um,IF(Исходн.данные.!$P94="Об",P_OrgUd_1g_ob))</f>
        <v>0</v>
      </c>
      <c r="AQ94" s="148" t="b">
        <f>IF(Исходн.данные.!$P94="Ум",K_OrgUd_1g_um,IF(Исходн.данные.!$P94="Об",K_OrgUd_1g_ob))</f>
        <v>0</v>
      </c>
      <c r="AR94" t="b">
        <f>IF(Исходн.данные.!$P94="Ум",N_MinUd_2g_um,IF(Исходн.данные.!$P94="Об",N_MinUd_2g_ob))</f>
        <v>0</v>
      </c>
      <c r="AS94" t="b">
        <f>IF(Исходн.данные.!$P94="Ум",P_MinUd_2g_um,IF(Исходн.данные.!$P94="Об",P_MinUd_2g_ob))</f>
        <v>0</v>
      </c>
      <c r="AT94" t="b">
        <f>IF(Исходн.данные.!$P94="Ум",K_MinUd_2g_um,IF(Исходн.данные.!$P94="Об",K_MinUd_2g_ob))</f>
        <v>0</v>
      </c>
      <c r="AU94" t="b">
        <f>IF(Исходн.данные.!$P94="Ум",N_MinUd_1g_um,IF(Исходн.данные.!$P94="Об",N_MinUd_1g_ob))</f>
        <v>0</v>
      </c>
      <c r="AV94" t="b">
        <f>IF(Исходн.данные.!P94="Ум",P_MinUd_1g_um,IF(Исходн.данные.!P94="Об",P_MinUd_1g_ob))</f>
        <v>0</v>
      </c>
      <c r="AW94" t="b">
        <f>IF(Исходн.данные.!P94="Ум",K_MinUd_1g_um,IF(Исходн.данные.!P94="Об",K_MinUd_1g_ob))</f>
        <v>0</v>
      </c>
      <c r="AY94" t="e">
        <f>VLOOKUP(Исходн.данные.!T94,Справ!$A$3:$N$57,12)</f>
        <v>#N/A</v>
      </c>
      <c r="AZ94" t="e">
        <f>VLOOKUP(Исходн.данные.!T94,Справ!$A$3:$N$57,13)</f>
        <v>#N/A</v>
      </c>
      <c r="BA94" t="e">
        <f>VLOOKUP(Исходн.данные.!T94,Справ!$A$3:$N$57,14)</f>
        <v>#N/A</v>
      </c>
      <c r="BB94">
        <f>IF(Исходн.данные.!AH94=0,0,25)</f>
        <v>0</v>
      </c>
      <c r="BC94" s="141">
        <f>IF(Исходн.данные.!AH94=0,0,IF(Исходн.данные.!T94=0,25,BD94))</f>
        <v>0</v>
      </c>
      <c r="BD94" s="168" t="e">
        <f>AY94+AZ94*Исходн.данные.!U94-POWER(BA94,2)*Исходн.данные.!U94</f>
        <v>#N/A</v>
      </c>
      <c r="BE9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4" s="25">
        <f>IF(Исходн.данные.!AH94=0,0,MIN(HN94:HP94))</f>
        <v>0</v>
      </c>
      <c r="BG94" s="9">
        <f>IF(Исходн.данные.!AH94=0,0,IF((HO94+10*0.25/HG94/HL94)&lt;17,17,HO94+10*0.25/HG94/HL94))</f>
        <v>0</v>
      </c>
      <c r="BH94" s="181">
        <f>IF(Исходн.данные.!AH94=0,0,HW94*HF94*HL94/AU94*AI94+Исходн.данные.!S94*10)</f>
        <v>0</v>
      </c>
      <c r="BI94" s="10"/>
      <c r="BJ94" s="182">
        <f>IF(Исходн.данные.!AH94=0,0,IF(HX94*HG94*HL94/AV94&lt;0,0,HX94*HG94*HL94/AV94*AJ94))</f>
        <v>0</v>
      </c>
      <c r="BK94" s="182">
        <f>IF(Исходн.данные.!AH94=0,0,HY94*HH94*HM94/AW94)</f>
        <v>0</v>
      </c>
      <c r="BL94" s="10">
        <f>IF(OR(Исходн.данные.!$AH94=$BP$1,Исходн.данные.!$AH94=$BP$2),0,IF(BH94&lt;0,0,IF(OR(Исходн.данные.!T94=Расчет!$BP$1,Исходн.данные.!T94=Расчет!$BP$2,Исходн.данные.!T94=Расчет!$BT$5,Исходн.данные.!T94=Расчет!$BT$6),BH94*0.5,IF(OR(Исходн.данные.!T94=Расчет!$BS$9,Исходн.данные.!T94=Расчет!$BS$10,Исходн.данные.!T94=Расчет!$BS$11,Исходн.данные.!T94=Расчет!$BS$12,Исходн.данные.!T94=Расчет!$BP$5),BH94*0.8,BH94))))</f>
        <v>0</v>
      </c>
      <c r="BM94" s="10">
        <f>IF(OR(Исходн.данные.!$AH94=$BP$1,Исходн.данные.!$AH94=$BP$2),0,IF(BJ94&lt;0,0,IF(Исходн.данные.!I94&lt;4.5,BJ94*1.2,IF(Исходн.данные.!I94&gt;5.1,BJ94,BJ94*((5.1-Исходн.данные.!I94)*0.333+1)))))</f>
        <v>0</v>
      </c>
      <c r="BN94" s="10">
        <f>IF(OR(Исходн.данные.!$AH94=$BP$1,Исходн.данные.!$AH94=$BP$2),60-Исходн.данные.!AF94,IF(BK94&lt;0,0,IF(Исходн.данные.!I94&lt;4.5,BK94*1.2,IF(Исходн.данные.!I94&gt;5.1,BK94,BK94*((5.1-Исходн.данные.!I94)*0.333+1)))))</f>
        <v>0</v>
      </c>
      <c r="BO94" s="9">
        <f>IF(BL94&lt;0,0,BL94*Исходн.данные.!$AJ94/1000)</f>
        <v>0</v>
      </c>
      <c r="BP94" s="9">
        <f>IF(BM94&lt;0,0,BM94*Исходн.данные.!$AJ94/1000)</f>
        <v>0</v>
      </c>
      <c r="BQ94" s="9">
        <f>IF(BN94&lt;0,0,BN94*Исходн.данные.!$AJ94/1000)</f>
        <v>0</v>
      </c>
      <c r="BR94" s="9">
        <f t="shared" ref="BR94:BR157" si="155">SUMIF(BO94:BQ94,"&gt;0")</f>
        <v>0</v>
      </c>
      <c r="BS94" s="10" t="str">
        <f t="shared" ref="BS94:BS157" si="156">IF(AND($CF94=0,$CE94&gt;0),BT94,BU94)</f>
        <v>Аммофос 12:52:00</v>
      </c>
      <c r="BT94" s="10" t="str">
        <f t="shared" ref="BT94:BT157" si="157">IF(CE94&gt;3.3,$BH$4,IF(CE94&gt;1.5,$BH$3,IF(CE94&gt;0.75,$BH$2,$BH$1)))</f>
        <v>Аммофос 12:52:00</v>
      </c>
      <c r="BU94" s="10" t="str">
        <f t="shared" ref="BU94:BU157" si="158">IF(CE94&gt;2.4,$BH$9,IF(CE94&gt;1.8,$BH$8,IF(CE94&gt;1.1,$BH$7,IF(CE94&gt;0.65,$BH$6,$BH$5))))</f>
        <v>Диаммофоска</v>
      </c>
      <c r="BV94" s="10">
        <f t="shared" ref="BV94:BV157" si="159">IF(BL94&lt;0,0,IF(BL94*0.3&gt;30,30,BL94*0.3))</f>
        <v>0</v>
      </c>
      <c r="BW94" s="10"/>
      <c r="BX94" s="10"/>
      <c r="BY94" s="9">
        <f>IF(BL94&lt;0,0,IF(OR(Исходн.данные.!AI94=Расчет!$BU$6,Исходн.данные.!AI94=Расчет!$BU$7),Расчет!BV94,IF(Исходн.данные.!$AG94=$BV$11,BL94,IF(OR(Исходн.данные.!$AH94=$BQ$7,Исходн.данные.!$AH94=$BQ$8),CB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0,IF(Исходн.данные.!$AI94=$BU$11,"Нет",IF(BL94&gt;30,30,BL94)))))))</f>
        <v>0</v>
      </c>
      <c r="BZ94" s="9">
        <f>IF(AND(Исходн.данные.!$AG94=$BV$11,BM94&lt;10),10,IF(Исходн.данные.!$AG94=$BV$11,BM94,IF(OR(Исходн.данные.!$AH94=$BQ$7,Исходн.данные.!$AH94=$BQ$8),CC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10,IF(Исходн.данные.!$AI94=$BU$11,"Нет",IF(BM94&gt;60,60,IF(BM94&lt;10,10,BM94)))))))</f>
        <v>10</v>
      </c>
      <c r="CA94" s="39">
        <f>IF(BN94&lt;0,0,IF(Исходн.данные.!$AG94=$BV$11,BN94,IF(OR(Исходн.данные.!$AH94=$BQ$7,Исходн.данные.!$AH94=$BQ$8),CD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0,IF(Исходн.данные.!$AI94=$BU$11,"Нет",IF(BN94&gt;30,30,BN94))))))</f>
        <v>0</v>
      </c>
      <c r="CB94" s="9">
        <f t="shared" ref="CB94:CB157" si="160">IF(BL94&lt;0,0,IF(BL94&gt;90,90,BL94))</f>
        <v>0</v>
      </c>
      <c r="CC94" s="9">
        <f t="shared" ref="CC94:CC157" si="161">IF(BM94&lt;0,0,IF(BM94&gt;90,90,BM94))</f>
        <v>0</v>
      </c>
      <c r="CD94" s="9">
        <f t="shared" ref="CD94:CD157" si="162">IF(BN94&lt;0,0,IF(BN94&gt;90,90,BN94))</f>
        <v>0</v>
      </c>
      <c r="CE94" s="12">
        <f t="shared" ref="CE94:CE157" si="163">IF(BZ94="Нет",0,IF($BY94&gt;0,BZ94/$BY94,BZ94/1))</f>
        <v>10</v>
      </c>
      <c r="CF94" s="9">
        <f t="shared" ref="CF94:CF157" si="164">IF(BZ94="Нет",0,IF($BZ94&gt;0,CA94/$BZ94,CA94/1))</f>
        <v>0</v>
      </c>
      <c r="CG94" s="9" t="s">
        <v>231</v>
      </c>
      <c r="CH94" s="132" t="str">
        <f>IF(Исходн.данные.!AP94=Расчет!$CI$16,"Нет",IF(Исходн.данные.!AL94&gt;0,Исходн.данные.!AL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BH$4,IF(OR(Исходн.данные.!AI94=Исходн.данные.!$AI$6,Исходн.данные.!AI94=Исходн.данные.!$AI$7),Расчет!BS94,IF(AND($CF94=0,$CE94&gt;0),EV94,ER94)))))</f>
        <v>Аммофос 12:52:00</v>
      </c>
      <c r="CI94" s="274">
        <f>IF(Расчет!$CH94="Нет","Нет",IF(Исходн.данные.!$AL94&gt;0,VLOOKUP(Расчет!$CH94,АшламаДВ_Irekle,2,FALSE),VLOOKUP(Расчет!$CH94,АшламаДВ_Gomumy,2,FALSE)))</f>
        <v>0.12</v>
      </c>
      <c r="CJ94" s="274">
        <f>IF(Расчет!$CH94="Нет","Нет",IF(Исходн.данные.!$AL94&gt;0,VLOOKUP(Расчет!$CH94,АшламаДВ_Irekle,3,FALSE),VLOOKUP(Расчет!$CH94,АшламаДВ_Gomumy,3,FALSE)))</f>
        <v>0.52</v>
      </c>
      <c r="CK94" s="274">
        <f>IF(Расчет!$CH94="Нет","Нет",IF(Исходн.данные.!$AL94&gt;0,VLOOKUP(Расчет!$CH94,АшламаДВ_Irekle,4,FALSE),VLOOKUP(Расчет!$CH94,АшламаДВ_Gomumy,4,FALSE)))</f>
        <v>0</v>
      </c>
      <c r="CL94" s="70"/>
      <c r="CM94" s="70"/>
      <c r="CN94" s="70"/>
      <c r="CO94" s="70"/>
      <c r="CP94" s="70"/>
      <c r="CQ94" s="70"/>
      <c r="CR94" s="10">
        <f t="shared" ref="CR94:CR157" si="165">IF($CH94="Нет",0,IF(BY94&gt;0,BY94/CI94,0))</f>
        <v>0</v>
      </c>
      <c r="CS94" s="10">
        <f t="shared" ref="CS94:CS157" si="166">IF($CH94="Нет",0,IF(BZ94&gt;0,BZ94/CJ94,0))</f>
        <v>19.23076923076923</v>
      </c>
      <c r="CT94" s="10">
        <f t="shared" ref="CT94:CT157" si="167">IF($CH94="Нет",0,IF(CA94&gt;0,CA94/CK94,0))</f>
        <v>0</v>
      </c>
      <c r="CU94" s="39">
        <f>IF($CH94="Нет",0,IF(CI94=0,30/MIN(CJ94:CK94),IF(Исходн.данные.!$AG94=$BV$11,CR94,IF(OR(Исходн.данные.!$AH94=$BQ$7,Исходн.данные.!$AH94=$BQ$8),90/CI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0,IF(Исходн.данные.!$AI94=$BU$11,"Нет",30/CI94))))))</f>
        <v>250</v>
      </c>
      <c r="CV94" s="39">
        <f>IF($CH94="Нет",0,IF(Исходн.данные.!AH94=0,0,IF(CJ94=0,60/MIN(CI94,CK94),IF(Исходн.данные.!$AG94=$BV$11,CS94,IF(OR(Исходн.данные.!$AH94=$BQ$7,Исходн.данные.!$AH94=$BQ$8),90/CJ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10/CJ94,IF(Исходн.данные.!$AI94=$BU$11,"Нет",60/CJ94)))))))</f>
        <v>0</v>
      </c>
      <c r="CW94" s="39">
        <f>IF($CH94="Нет",0,IF(Исходн.данные.!AH94=0,0,IF(CK94=0,30/MIN(CI94:CJ94),IF(Исходн.данные.!$AG94=$BV$11,CT94,IF(OR(Исходн.данные.!$AH94=$BQ$7,Исходн.данные.!$AH94=$BQ$8),90/CK94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0,IF(Исходн.данные.!$AI94=$BU$11,"Нет",30/CK94)))))))</f>
        <v>0</v>
      </c>
      <c r="CX94" s="133">
        <f>IF(Исходн.данные.!$AG94=$BV$11,MAX(CU94:CW94),IF(OR(Исходн.данные.!$AH94=$BS$8,Исходн.данные.!$AH94=$BQ$9,Исходн.данные.!$AH94=$BQ$10,Исходн.данные.!$AH94=$BQ$11,Исходн.данные.!$AH94=$BQ$12,Исходн.данные.!$AH94=$BP$3,Исходн.данные.!$AH94=$BT$8,$FM94="Да"),CV94,MIN(CU94:CW94)))</f>
        <v>0</v>
      </c>
      <c r="CY94" s="133">
        <f>IF(Исходн.данные.!AH94=0,0,IF(CR94&gt;$CX94,$CX94,CR94))</f>
        <v>0</v>
      </c>
      <c r="CZ94" s="133">
        <f>IF(Исходн.данные.!AH94=0,0,IF(CS94&gt;$CX94,$CX94,CS94))</f>
        <v>0</v>
      </c>
      <c r="DA94" s="133">
        <f>IF(Исходн.данные.!AH94=0,0,IF(CT94&gt;$CX94,$CX94,CT94))</f>
        <v>0</v>
      </c>
      <c r="DB94" s="10">
        <f t="shared" ref="DB94:DB157" si="168">IF(BY94="Нет",0,CZ94)</f>
        <v>0</v>
      </c>
      <c r="DC94" s="39">
        <f>DB94*Исходн.данные.!AJ94/1000</f>
        <v>0</v>
      </c>
      <c r="DD94" s="71">
        <f t="shared" ref="DD94:DD157" si="169">$DB94*CI94</f>
        <v>0</v>
      </c>
      <c r="DE94" s="9">
        <f t="shared" ref="DE94:DE157" si="170">$DB94*CJ94</f>
        <v>0</v>
      </c>
      <c r="DF94" s="9">
        <f t="shared" ref="DF94:DF157" si="171">$DB94*CK94</f>
        <v>0</v>
      </c>
      <c r="DG94" s="39">
        <f>IF(BL94&lt;0,0,IF($CH94="Нет",BL94,IF(OR(Исходн.данные.!$AH94=$BP$1,Исходн.данные.!$AH94=$BP$2),0,IF(Исходн.данные.!AI94=$BU$11,BL94,IF(BL94-DD94&lt;0,0,BL94-DD94)))))</f>
        <v>0</v>
      </c>
      <c r="DH94" s="39">
        <f>IF(BM94&lt;0,0,IF($CH94="Нет",BM94,IF(OR(Исходн.данные.!$AH94=$BP$1,Исходн.данные.!$AH94=$BP$2),0,IF(Исходн.данные.!AJ94=$BU$11,BM94,IF(BM94-DE94&lt;0,0,BM94-DE94)))))</f>
        <v>0</v>
      </c>
      <c r="DI94" s="39">
        <f>IF(BN94&lt;0,0,IF($CH94="Нет",BN94,IF(OR(Исходн.данные.!$AH94=$BP$1,Исходн.данные.!$AH94=$BP$2),0,IF(Исходн.данные.!AK94=$BU$11,BN94,IF(BN94-DF94&lt;0,0,BN94-DF94)))))</f>
        <v>0</v>
      </c>
      <c r="DJ94" s="12">
        <f t="shared" ref="DJ94:DJ157" si="172">IF(DG94&gt;0,DH94/DG94,DH94)</f>
        <v>0</v>
      </c>
      <c r="DK94" s="9">
        <f t="shared" ref="DK94:DK157" si="173">IF(DH94&gt;0,DI94/DH94,DI94)</f>
        <v>0</v>
      </c>
      <c r="DL94" s="39">
        <f>IF(Исходн.данные.!AM94&gt;0,Исходн.данные.!AM94,IF(EG94&gt;0,$BH$10,0))</f>
        <v>0</v>
      </c>
      <c r="DM94" s="186">
        <f>IF($DL94=0,0,IF(Исходн.данные.!AM94&gt;0,VLOOKUP($DL94,АшламаДВ_Irekle,2,FALSE),VLOOKUP($DL94,АшламаДВ_Gomumy,2,FALSE)))</f>
        <v>0</v>
      </c>
      <c r="DN94" s="10">
        <f t="shared" si="151"/>
        <v>0</v>
      </c>
      <c r="DO94" s="9" t="str">
        <f>IF(Исходн.данные.!AN94&gt;0,Исходн.данные.!AN94,Удобрения!$B$37 )</f>
        <v>Хлор.калий</v>
      </c>
      <c r="DP94" s="9">
        <f>IF(Исходн.данные.!AN94&gt;0,VLOOKUP(Исходн.данные.!AN94,АшламаДВ_Irekle,4,FALSE),VLOOKUP(DO94,АшламаДВ_Gomumy,4,FALSE))</f>
        <v>0.6</v>
      </c>
      <c r="DQ94" s="10">
        <f t="shared" si="152"/>
        <v>0</v>
      </c>
      <c r="DR94" s="132" t="str">
        <f>IF(Исходн.данные.!AO94&gt;0,Исходн.данные.!AO94,IF(DH94=0,BS$17,IF(AND($DK94=0,$DJ94&gt;0),EJ94,EN94)))</f>
        <v>Нет</v>
      </c>
      <c r="DS94" s="70" t="str">
        <f>IF($DR94="Нет","Нет",IF(Исходн.данные.!$AO94&gt;0,VLOOKUP($DR94,АшламаДВ_Irekle,2,FALSE),VLOOKUP($DR94,АшламаДВ_Gomumy,2,FALSE)))</f>
        <v>Нет</v>
      </c>
      <c r="DT94" s="70" t="str">
        <f>IF($DR94="Нет","Нет",IF(Исходн.данные.!$AO94&gt;0,VLOOKUP($DR94,АшламаДВ_Irekle,3,FALSE),VLOOKUP($DR94,АшламаДВ_Gomumy,3,FALSE)))</f>
        <v>Нет</v>
      </c>
      <c r="DU94" s="70" t="str">
        <f>IF($DR94="Нет","Нет",IF(Исходн.данные.!$AO94&gt;0,VLOOKUP($DR94,АшламаДВ_Irekle,4,FALSE),VLOOKUP($DR94,АшламаДВ_Gomumy,4,FALSE)))</f>
        <v>Нет</v>
      </c>
      <c r="DV94" s="70"/>
      <c r="DW94" s="70"/>
      <c r="DX94" s="70"/>
      <c r="DY94" s="10">
        <f t="shared" ref="DY94:DY157" si="174">IF(DS94="Нет",0,IF(DS94=0,0,IF(DG94&gt;0,DG94/DS94,0)))</f>
        <v>0</v>
      </c>
      <c r="DZ94" s="10">
        <f t="shared" ref="DZ94:DZ157" si="175">IF(DT94="Нет",0,IF(DT94=0,0,IF(DH94&gt;0,DH94/DT94,0)))</f>
        <v>0</v>
      </c>
      <c r="EA94" s="10">
        <f t="shared" ref="EA94:EA157" si="176">IF(DU94="Нет",0,IF(DU94=0,0,IF(DI94&gt;0,DI94/DU94,0)))</f>
        <v>0</v>
      </c>
      <c r="EB94" s="10">
        <f t="shared" ref="EB94:EB157" si="177">DZ94</f>
        <v>0</v>
      </c>
      <c r="EC94" s="10">
        <f t="shared" ref="EC94:EC157" si="178">IF(DS94="Нет",0,$EB94*DS94)</f>
        <v>0</v>
      </c>
      <c r="ED94" s="10">
        <f t="shared" ref="ED94:ED157" si="179">IF(DT94="Нет",0,$EB94*DT94)</f>
        <v>0</v>
      </c>
      <c r="EE94" s="10">
        <f t="shared" ref="EE94:EE157" si="180">IF(DU94="Нет",0,$EB94*DU94)</f>
        <v>0</v>
      </c>
      <c r="EF94" s="39">
        <f>EB94*Исходн.данные.!AJ94/1000</f>
        <v>0</v>
      </c>
      <c r="EG94" s="9">
        <f t="shared" ref="EG94:EG157" si="181">DG94-EC94</f>
        <v>0</v>
      </c>
      <c r="EH94" s="9">
        <f t="shared" ref="EH94:EH157" si="182">DI94-EE94</f>
        <v>0</v>
      </c>
      <c r="EI94" s="39" t="e">
        <f t="shared" si="132"/>
        <v>#DIV/0!</v>
      </c>
      <c r="EJ94" s="9" t="str">
        <f t="shared" si="153"/>
        <v>Азопреципитат</v>
      </c>
      <c r="EK94" s="12">
        <f t="shared" si="133"/>
        <v>0.26</v>
      </c>
      <c r="EL94" s="12">
        <f t="shared" si="134"/>
        <v>0.13</v>
      </c>
      <c r="EM94" s="12">
        <f t="shared" si="135"/>
        <v>0</v>
      </c>
      <c r="EN94" s="12" t="str">
        <f t="shared" si="154"/>
        <v>Нет</v>
      </c>
      <c r="EO94" s="12">
        <f t="shared" si="136"/>
        <v>0</v>
      </c>
      <c r="EP94" s="12">
        <f t="shared" si="137"/>
        <v>0</v>
      </c>
      <c r="EQ94" s="12">
        <f t="shared" si="138"/>
        <v>0</v>
      </c>
      <c r="ER94" s="12" t="str">
        <f t="shared" ref="ER94:ER157" si="183">IF($BZ94=0,"Нет",IF($CA94/$BZ94&gt;1.4,BS$14,IF($CE94&gt;2.2,BH$9,IF($CE94&gt;1.5,BH$8,IF($CE94&gt;1,BH$7,IF($CE94&gt;0.5,BH$6,BH$5))))))</f>
        <v>Диаммофоска</v>
      </c>
      <c r="ES94" s="12">
        <f t="shared" si="139"/>
        <v>0.1</v>
      </c>
      <c r="ET94" s="12">
        <f t="shared" si="140"/>
        <v>0.26</v>
      </c>
      <c r="EU94" s="12">
        <f t="shared" si="141"/>
        <v>0.26</v>
      </c>
      <c r="EV94" s="12" t="str">
        <f t="shared" ref="EV94:EV157" si="184">IF(CE94&gt;2.6,$BH$4,IF(CE94&gt;0.9,$BH$3,IF(CE94&gt;0.5,$BH$2,$BH$1)))</f>
        <v>Аммофос 12:52:00</v>
      </c>
      <c r="EW94" s="12" t="str">
        <f t="shared" ref="EW94:EW157" si="185">IF($CF94&lt;0.14,BH$17,IF($CF94&lt;0.25,BH$16,IF($CF94&lt;0.51,BH$15,IF($CF94&lt;0.7,BH$14,IF($CF94&lt;1,BH$13,BH$12)))))</f>
        <v>Кемира Свекловичное-6</v>
      </c>
      <c r="EX94" s="12">
        <f t="shared" si="142"/>
        <v>0.16</v>
      </c>
      <c r="EY94" s="12">
        <f t="shared" si="143"/>
        <v>0.12</v>
      </c>
      <c r="EZ94" s="12">
        <f t="shared" si="144"/>
        <v>0.17</v>
      </c>
      <c r="FA94" s="38" t="e">
        <f>IF(AND(OR(FJ94=$FD$1,FM94=$FD$1,FO94=$FD$1,FQ94=$FD$1,FS94=$FD$1),FD94=$FD$1,Исходн.данные.!J94&lt;2,FU94=$FD$1),"Бор,Кобальт",IF(AND(FO94=$FD$1,FH94=$FD$1,Исходн.данные.!J94&lt;2,FU94=$FD$1),"Бор,Кобальт",IF(AND(OR(FJ94=$FD$1,FM94=$FD$1,FQ94=$FD$1),FE94=$FD$1,Исходн.данные.!J94&lt;2,FT94=$FD$1,FU94=$FD$1),"Бор,Медь,Цинк",IF(AND(OR(FJ94=$FD$1,FR94="Да"),FI94="Да",Исходн.данные.!J94&lt;2,FT94="Да",FU94="Да"),"Бор,Цинк,Медь",IF(AND(OR(FM94="Да",FQ94="Да"),FI94="Да",Исходн.данные.!J94&lt;2,FT94="Да",FU94="Да"),"Бор,Цинк",IF(AND(FN94="Да",OR(FD94="Да",FE94="Да")),"Бор",FB94))))))</f>
        <v>#N/A</v>
      </c>
      <c r="FB94" s="134" t="e">
        <f>IF(AND(OR(FD94="Да",FE94="Да",FF94="Да",FG94="Да",FH94="Да"),FO94="Да"),"Бор",IF(AND(FP94="Да",OR(FD94="Да",FE94="Да",FI94="Да")),"Бор",IF(AND(FS94="Да",FE94="Да"),"Бор,Медь",IF(AND(OR(FJ94="Да",FK94="Да",FL94="Да"),FE94="Да",Исходн.данные.!I94&lt;5,FT94="Да",FU94="Да"),"Молибден,Цинк",IF(AND(FM94="Да",OR(FE94="Да",FF94="Да",FG94="Да",FH94="Да",FI94="Да")),"Молибден,Цинк",IF(AND(OR(FJ94="Да",FK94="Да",FL94="Да",FM94="Да",FQ94="Да"),OR(FE94="Да",FF94="Да"),FT94="Да",FU94="Да",Исходн.данные.!I94&gt;5.5),"Медь,Цинк",FC94))))))</f>
        <v>#N/A</v>
      </c>
      <c r="FC94" s="23" t="e">
        <f t="shared" ref="FC94:FC157" si="186">IF(AND(OR(FJ94="Да",FL94="Да"),OR(FG94=$DF$12,FH94=$DF$12),FT94=$DF$12,FU94=$DF$12,FW94=$DF$12),"Медь,Цинк,Марганец",IF(AND(OR(FK94=$DF$12,FM94=$DF$12,FQ94=$DF$12),OR(FG94=$DF$12,FH94=$DF$12),FT94=$DF$12,FU94=$DF$12,FW94=$DF$12),"Медь,Цинк",IF(AND(FS94=$DF$12,OR(FE94=$DF$12,FF94=$DF$12,FG94=$DF$12,FH94=$DF$12),FT94=$DF$12,FW94=$DF$12),"Медь",IF(AND(OR(FJ94=$DF$12,FL94=$DF$12,FR94=$DF$12),FI94=$DF$12,FT94=$DF$12,FU93=$DF$12,FV94=$DF$12,FW94=$DF$12),"Цинк,Марганец","Не требуется"))))</f>
        <v>#N/A</v>
      </c>
      <c r="FD94" s="38" t="str">
        <f>IF(OR(Исходн.данные.!F94=$CC$1,Исходн.данные.!F94=$CC$2,Исходн.данные.!F94=$CC$3,Исходн.данные.!F94=$CC$4),"Да","Нет")</f>
        <v>Нет</v>
      </c>
      <c r="FE94" s="38" t="str">
        <f>IF(Исходн.данные.!F94=$CC$5,"Да","Нет")</f>
        <v>Нет</v>
      </c>
      <c r="FF94" s="38" t="str">
        <f>IF(OR(Исходн.данные.!F94=$CC$6,Исходн.данные.!F94=$CC$7),"Да","Нет")</f>
        <v>Нет</v>
      </c>
      <c r="FG94" s="38" t="str">
        <f>IF(OR(Исходн.данные.!F94=$CC$8,Исходн.данные.!F94=$CC$9),"Да","Нет")</f>
        <v>Нет</v>
      </c>
      <c r="FH94" s="38" t="str">
        <f>IF(Исходн.данные.!F94=$CC$10,"Да","Нет")</f>
        <v>Нет</v>
      </c>
      <c r="FI94" s="38" t="str">
        <f>IF(OR(Исходн.данные.!F94=$CC$11,Исходн.данные.!F94=$CC$12),"Да","Нет")</f>
        <v>Нет</v>
      </c>
      <c r="FJ94" s="38" t="str">
        <f>IF(OR(Исходн.данные.!AH94=$BS$1,Исходн.данные.!AH94=$BQ$11,Исходн.данные.!AH94=$BQ$12),"Да","Нет")</f>
        <v>Нет</v>
      </c>
      <c r="FK94" s="38" t="str">
        <f>IF(OR(Исходн.данные.!AH94=$BS$2,Исходн.данные.!AH94=$BS$4),"Да","Нет")</f>
        <v>Нет</v>
      </c>
      <c r="FL94" s="38" t="str">
        <f>IF(OR(Исходн.данные.!AH94=$BS$3,Исходн.данные.!AH94=$BS$5),"Да","Нет")</f>
        <v>Нет</v>
      </c>
      <c r="FM94" s="38" t="str">
        <f>IF(OR(Исходн.данные.!AH94=$BS$9,Исходн.данные.!AH94=$BS$10,Исходн.данные.!AH94=$BS$11,Исходн.данные.!AH94=$BS$12),"Да","Нет")</f>
        <v>Нет</v>
      </c>
      <c r="FN94" s="38" t="str">
        <f>IF(OR(Исходн.данные.!AH94=$BS$6,Исходн.данные.!AH94=$BP$3),"Да","Нет")</f>
        <v>Нет</v>
      </c>
      <c r="FO94" s="38" t="str">
        <f>IF(Исходн.данные.!AH94=$BQ$9,"Да","Нет")</f>
        <v>Нет</v>
      </c>
      <c r="FP94" s="38" t="str">
        <f>IF(OR(Исходн.данные.!AH94=$BS$8,Исходн.данные.!AH94=$BT$8),"Да","Нет")</f>
        <v>Нет</v>
      </c>
      <c r="FQ94" s="38" t="str">
        <f>IF(OR(Исходн.данные.!AH94=$BQ$7,Исходн.данные.!AH94=$BQ$8),"Да","Нет")</f>
        <v>Нет</v>
      </c>
      <c r="FR94" s="38" t="str">
        <f>IF(Исходн.данные.!AI94=$BU$9,"Да","Нет")</f>
        <v>Нет</v>
      </c>
      <c r="FS94" s="38" t="str">
        <f>IF(OR(Исходн.данные.!AH94=$BP$1,Исходн.данные.!AH94=$BP$2),"Да","Нет")</f>
        <v>Нет</v>
      </c>
      <c r="FT94" s="38" t="e">
        <f>IF((Исходн.данные.!K94*GO94*GS94*GW94+BL94*0.6+Исходн.данные.!Q94*4.5*0.275)&gt;90,"Да","Нет")</f>
        <v>#N/A</v>
      </c>
      <c r="FU94" s="38" t="e">
        <f>IF((Исходн.данные.!M94*GS94*GZ94+BM94*0.225)&gt;35,"Да","Нет")</f>
        <v>#N/A</v>
      </c>
      <c r="FV94" s="38" t="str">
        <f>IF(Исходн.данные.!O94&gt;175,"Да","Нет")</f>
        <v>Нет</v>
      </c>
      <c r="FW94" s="39" t="str">
        <f>IF(Исходн.данные.!I94&gt;5.5,"Да","Нет")</f>
        <v>Нет</v>
      </c>
      <c r="FX94" s="39" t="str">
        <f>IF(Исходн.данные.!J94&lt;2,"Да","Нет")</f>
        <v>Да</v>
      </c>
      <c r="FY94" s="39" t="e">
        <f>IF(HF94=$FY$16,0,Исходн.данные.!K94*GO94*GS94*GW94/HF94)</f>
        <v>#N/A</v>
      </c>
      <c r="FZ94" s="39" t="e">
        <f>Исходн.данные.!M94*GS94*GZ94/HG94</f>
        <v>#N/A</v>
      </c>
      <c r="GA94" s="39" t="e">
        <f>IF(K_Wyn=$FY$16,0,IF(Исходн.данные.!N94=Исходн.данные.!$L$10,Исходн.данные.!O94/1.1*GS94*HC94/HH94,IF(Исходн.данные.!N94=Исходн.данные.!$L$12,Исходн.данные.!O94/1.5*GS94*HC94/HH94,Исходн.данные.!O94*GS94*HC94/HH94)))</f>
        <v>#N/A</v>
      </c>
      <c r="GB94" s="39" t="e">
        <f>IF(HF94=$FY$16,0,((Исходн.данные.!Q94*N_Org+Исходн.данные.!R94*N_Sider+Исходн.данные.!S94*N_Soloma)*AO94+Расчет!BC94*VLOOKUP(Исходн.данные.!T94,Справ!$A$3:$O$57,15)*AO94+BB94*VLOOKUP(Исходн.данные.!T94,Справ!$A$3:$O$57,15)*AL94+(Исходн.данные.!V94*N_Rizotorf+Исходн.данные.!W94*N_Rizoagr))/HF94)</f>
        <v>#N/A</v>
      </c>
      <c r="GC94" s="39" t="e">
        <f>IF(HG94=$FY$16,0,((Исходн.данные.!Q94*Р_Org+Исходн.данные.!R94*P_Sider+Исходн.данные.!S94*P_Soloma)*AP94+Расчет!BC94*VLOOKUP(Исходн.данные.!T94,Справ!$A$3:$P$57,16)*AP94+BB94*VLOOKUP(Исходн.данные.!T94,Справ!$A$3:$P$57,16)*AM94)/HG94)</f>
        <v>#N/A</v>
      </c>
      <c r="GD94" s="39" t="e">
        <f>IF(HH94=$FY$16,0,((Исходн.данные.!Q94*К_Org+Исходн.данные.!R94*K_Sider+Исходн.данные.!S94*K_Soloma)*AQ94+Расчет!BC94*VLOOKUP(Исходн.данные.!T94,Справ!$A$3:$Q$57,17)*AQ94+BB94*VLOOKUP(Исходн.данные.!T94,Справ!$A$3:$Q$57,17)*AN94)/HH94)</f>
        <v>#N/A</v>
      </c>
      <c r="GE94" s="39" t="e">
        <f>IF(HF94=$FY$16,0,(Исходн.данные.!X94*AR94+Исходн.данные.!AA94*N_Org*AL94+Исходн.данные.!AB94*N_Sider*AL94+Исходн.данные.!AC94*N_Soloma*AL94)/HF94)</f>
        <v>#N/A</v>
      </c>
      <c r="GF94" s="39" t="e">
        <f>IF(HG94=$FY$16,0,(Исходн.данные.!Y94*AS94+Исходн.данные.!AA94*Р_Org*AM94+Исходн.данные.!AB94*P_Sider*AM94+Исходн.данные.!AC94*P_Soloma*AM94)/HG94)</f>
        <v>#N/A</v>
      </c>
      <c r="GG94" s="39" t="e">
        <f>IF(HH94=$FY$16,0,(Исходн.данные.!Z94*AT94+Исходн.данные.!AA94*К_Org*AN94+Исходн.данные.!AB94*K_Sider*AN94+Исходн.данные.!AC94*K_Soloma*AN94)/HH94)</f>
        <v>#N/A</v>
      </c>
      <c r="GH94" s="39" t="e">
        <f>Исходн.данные.!AD94*AU94/HF94</f>
        <v>#N/A</v>
      </c>
      <c r="GI94" s="39" t="e">
        <f>Исходн.данные.!AE94*AV94/HG94</f>
        <v>#N/A</v>
      </c>
      <c r="GJ94" s="39" t="e">
        <f>Исходн.данные.!AF94*AW94/HH94</f>
        <v>#N/A</v>
      </c>
      <c r="GK94" s="55">
        <f>Исходн.данные.!AK94</f>
        <v>0</v>
      </c>
      <c r="GL94" s="11" t="e">
        <f t="shared" ref="GL94:GL157" si="187">FY94</f>
        <v>#N/A</v>
      </c>
      <c r="GM94" s="11" t="e">
        <f t="shared" ref="GM94:GM157" si="188">FZ94</f>
        <v>#N/A</v>
      </c>
      <c r="GN94" s="11" t="e">
        <f t="shared" ref="GN94:GN157" si="189">GA94</f>
        <v>#N/A</v>
      </c>
      <c r="GO94" s="57">
        <f t="shared" ref="GO94:GO157" si="190">GP94</f>
        <v>19</v>
      </c>
      <c r="GP94" s="55">
        <f>IF(OR(Исходн.данные.!F94=$CE$1,Исходн.данные.!F94=$CE$2,Исходн.данные.!F94=$CE$3,Исходн.данные.!F94=$CE$4,Исходн.данные.!F94=$CE$5),GQ94,GR94)</f>
        <v>19</v>
      </c>
      <c r="GQ94" s="55">
        <f>IF(Исходн.данные.!F94=$CE$1,28,IF(Исходн.данные.!F94=$CE$2,26,IF(Исходн.данные.!F94=$CE$3,24,IF(Исходн.данные.!F94=$CE$4,22,IF(Исходн.данные.!F94=$CE$5,20,GR94)))))</f>
        <v>19</v>
      </c>
      <c r="GR94" s="55">
        <f>IF(Исходн.данные.!F94=$CE$6,18,IF(Исходн.данные.!F94=$CE$7,16,IF(Исходн.данные.!F94=$CE$8,14,IF(Исходн.данные.!F94=$CE$9,13,IF(Исходн.данные.!F94=$CE$10,12,19)))))</f>
        <v>19</v>
      </c>
      <c r="GS94" s="55">
        <f>IF(Исходн.данные.!G94="Пес",0.035*(40+2*Исходн.данные.!H94),IF(Исходн.данные.!G94="Суп",0.0325*(40+2*Исходн.данные.!H94),0.03*(40+2*Исходн.данные.!H94)))</f>
        <v>1.2</v>
      </c>
      <c r="GT94" s="55">
        <f>IF(Исходн.данные.!H94&lt;23,2.6,IF(AND(Исходн.данные.!H94&gt;22,Исходн.данные.!H94&lt;26),3,IF(AND(Исходн.данные.!H94&gt;25,Исходн.данные.!H94&lt;29),3.4,3.6)))</f>
        <v>2.6</v>
      </c>
      <c r="GU94" s="55">
        <f>IF(Исходн.данные.!H94&lt;23,2.8,IF(AND(Исходн.данные.!H94&gt;22,Исходн.данные.!H94&lt;26),3.2,IF(AND(Исходн.данные.!H94&gt;25,Исходн.данные.!H94&lt;29),3.6,3.9)))</f>
        <v>2.8</v>
      </c>
      <c r="GV94" s="55">
        <f>IF(Исходн.данные.!H94&lt;23,3,IF(AND(Исходн.данные.!H94&gt;22,Исходн.данные.!H94&lt;26),3.5,IF(AND(Исходн.данные.!H94&gt;25,Исходн.данные.!H94&lt;29),3.9,4.2)))</f>
        <v>3</v>
      </c>
      <c r="GW94" s="55" t="e">
        <f>IF(Исходн.данные.!P94="Ум",GX94,GY94)</f>
        <v>#N/A</v>
      </c>
      <c r="GX94" s="55" t="e">
        <f>VLOOKUP(Исходн.данные.!AI94,Коэффициенты!$J$7:$L$13,2,FALSE)</f>
        <v>#N/A</v>
      </c>
      <c r="GY94" s="55" t="e">
        <f>VLOOKUP(Исходн.данные.!AI94,Коэффициенты!$J$7:$L$13,3,FALSE)</f>
        <v>#N/A</v>
      </c>
      <c r="GZ94" s="55" t="e">
        <f>(IF(Исходн.данные.!M94&lt;50,0.11*VLOOKUP(Исходн.данные.!AH94,Культуры.Информация,7,FALSE),IF(Исходн.данные.!M94&gt;250,0.05*VLOOKUP(Исходн.данные.!AH94,Культуры.Информация,7,FALSE),VLOOKUP(Исходн.данные.!AH94,Культуры.Информация,5,FALSE)/100*($GX$6+$GY$6*Исходн.данные.!M94))))*Расчет2!AI94</f>
        <v>#N/A</v>
      </c>
      <c r="HA94" s="211"/>
      <c r="HB94" s="211"/>
      <c r="HC94" s="55" t="e">
        <f>(IF(Исходн.данные.!O94&lt;80,0.2*VLOOKUP(Исходн.данные.!AH94,Культуры.Информация,8,FALSE),IF(Исходн.данные.!O94&gt;240,0.09*VLOOKUP(Исходн.данные.!AH94,Культуры.Информация,8,FALSE),VLOOKUP(Исходн.данные.!AH94,Культуры.Информация,6,FALSE)/100*($HB$6+$HC$6*Исходн.данные.!O94))))*Расчет2!AJ94</f>
        <v>#N/A</v>
      </c>
      <c r="HD94" s="55">
        <f>IF(Исходн.данные.!O94&gt;240,0.09,IF(Исходн.данные.!O94&lt;30,0.3,$HE$10+$HD$10*Исходн.данные.!O94))</f>
        <v>0.3</v>
      </c>
      <c r="HE94" s="55">
        <f>IF(Исходн.данные.!O94&gt;240,0.17,IF(Исходн.данные.!O94&lt;30,0.5,$HF$12+$HE$12*Исходн.данные.!O94))</f>
        <v>0.5</v>
      </c>
      <c r="HF94" s="55" t="e">
        <f>VLOOKUP(Исходн.данные.!AH94,Справ!$A$3:$D$58,2,FALSE)</f>
        <v>#N/A</v>
      </c>
      <c r="HG94" s="55" t="e">
        <f>VLOOKUP(Исходн.данные.!AH94,Справ!$A$3:$D$58,3,FALSE)</f>
        <v>#N/A</v>
      </c>
      <c r="HH94" s="55" t="e">
        <f>VLOOKUP(Исходн.данные.!AH94,Справ!$A$3:$D$58,4,FALSE)</f>
        <v>#N/A</v>
      </c>
      <c r="HI94" s="11" t="e">
        <f t="shared" ref="HI94:HI157" si="191">$BG94-HQ94</f>
        <v>#N/A</v>
      </c>
      <c r="HJ94" s="11" t="e">
        <f t="shared" ref="HJ94:HJ157" si="192">$BG94-HR94</f>
        <v>#N/A</v>
      </c>
      <c r="HK94" s="11" t="e">
        <f t="shared" ref="HK94:HK157" si="193">$BG94-HS94</f>
        <v>#N/A</v>
      </c>
      <c r="HL94" s="55">
        <f>IF(OR(Исходн.данные.!G94="Глин",Исходн.данные.!G94="Т_суг"),1.1,IF(Исходн.данные.!G94="Ср_суг",1,1))</f>
        <v>1</v>
      </c>
      <c r="HM94" s="55">
        <f>IF(OR(Исходн.данные.!G94="Глин",Исходн.данные.!G94="Т_суг"),0.9,IF(Исходн.данные.!G94="Ср_суг",1,1.2))</f>
        <v>1.2</v>
      </c>
      <c r="HN94" s="11" t="e">
        <f t="shared" ref="HN94:HN157" si="194">FY94+GB94+GE94+GH94</f>
        <v>#N/A</v>
      </c>
      <c r="HO94" s="11" t="e">
        <f t="shared" ref="HO94:HO157" si="195">FZ94+GC94+GF94+GI94</f>
        <v>#N/A</v>
      </c>
      <c r="HP94" s="11" t="e">
        <f t="shared" ref="HP94:HP157" si="196">GA94+GD94+GG94+GJ94</f>
        <v>#N/A</v>
      </c>
      <c r="HQ94" t="e">
        <f t="shared" ref="HQ94:HQ157" si="197">HN94</f>
        <v>#N/A</v>
      </c>
      <c r="HR94" t="e">
        <f t="shared" ref="HR94:HR157" si="198">HO94</f>
        <v>#N/A</v>
      </c>
      <c r="HS94" t="e">
        <f t="shared" ref="HS94:HS157" si="199">HP94</f>
        <v>#N/A</v>
      </c>
      <c r="HT94" t="e">
        <f t="shared" si="145"/>
        <v>#N/A</v>
      </c>
      <c r="HU94" t="e">
        <f t="shared" si="146"/>
        <v>#N/A</v>
      </c>
      <c r="HV94" t="e">
        <f t="shared" si="147"/>
        <v>#N/A</v>
      </c>
      <c r="HW94" t="e">
        <f t="shared" si="148"/>
        <v>#N/A</v>
      </c>
      <c r="HX94" t="e">
        <f t="shared" si="149"/>
        <v>#N/A</v>
      </c>
      <c r="HY94" t="e">
        <f t="shared" si="150"/>
        <v>#N/A</v>
      </c>
      <c r="HZ94" s="55">
        <f>IF(OR(Исходн.данные.!AI94="Оз_Ч_П",Исходн.данные.!AI94="Оз_З_П",Исходн.данные.!AI94="Яр_зер"),12,30)</f>
        <v>30</v>
      </c>
      <c r="IA94" t="e">
        <f t="shared" ref="IA94:IA157" si="200">ABS(AVERAGE(HN94:HP94)-HN94)</f>
        <v>#N/A</v>
      </c>
      <c r="IB94" t="e">
        <f t="shared" ref="IB94:IB157" si="201">ABS(AVERAGE(HN94:HP94)-HO94)</f>
        <v>#N/A</v>
      </c>
      <c r="IC94" t="e">
        <f t="shared" ref="IC94:IC157" si="202">ABS(AVERAGE(HN94:HP94)-HP94)</f>
        <v>#N/A</v>
      </c>
      <c r="ID94" s="11" t="e">
        <f t="shared" ref="ID94:ID157" si="203">MAX(HN94:HP94)</f>
        <v>#N/A</v>
      </c>
      <c r="IE94" s="11" t="e">
        <f t="shared" ref="IE94:IE157" si="204">AVERAGE(HN94:HP94)</f>
        <v>#N/A</v>
      </c>
      <c r="IF94" s="11" t="e">
        <f t="shared" ref="IF94:IF157" si="205">MIN(HN94:HP94)</f>
        <v>#N/A</v>
      </c>
    </row>
    <row r="95" spans="35:240" x14ac:dyDescent="0.2">
      <c r="AI95">
        <f>IF(Исходн.данные.!I95&gt;6,1,1.85-(0.148*Исходн.данные.!I95))</f>
        <v>1.85</v>
      </c>
      <c r="AJ95">
        <f>IF(Исходн.данные.!I95&gt;6,1,2.434-(0.246*Исходн.данные.!I95))</f>
        <v>2.4340000000000002</v>
      </c>
      <c r="AL95" s="148" t="b">
        <f>IF(Исходн.данные.!$P95="Ум",N_OrgUd_2g_um,IF(Исходн.данные.!$P95="Об",N_OrgUd_2g_ob))</f>
        <v>0</v>
      </c>
      <c r="AM95" s="148" t="b">
        <f>IF(Исходн.данные.!$P95="Ум",P_OrgUd_2g_um,IF(Исходн.данные.!$P95="Об",P_OrgUd_2g_ob))</f>
        <v>0</v>
      </c>
      <c r="AN95" s="148" t="b">
        <f>IF(Исходн.данные.!$P95="Ум",K_OrgUd_2g_um,IF(Исходн.данные.!$P95="Об",K_OrgUd_2g_ob))</f>
        <v>0</v>
      </c>
      <c r="AO95" s="148" t="b">
        <f>IF(Исходн.данные.!$P95="Ум",N_OrgUd_1g_um,IF(Исходн.данные.!$P95="Об",N_OrgUd_1g_ob))</f>
        <v>0</v>
      </c>
      <c r="AP95" s="148" t="b">
        <f>IF(Исходн.данные.!$P95="Ум",P_OrgUd_1g_um,IF(Исходн.данные.!$P95="Об",P_OrgUd_1g_ob))</f>
        <v>0</v>
      </c>
      <c r="AQ95" s="148" t="b">
        <f>IF(Исходн.данные.!$P95="Ум",K_OrgUd_1g_um,IF(Исходн.данные.!$P95="Об",K_OrgUd_1g_ob))</f>
        <v>0</v>
      </c>
      <c r="AR95" t="b">
        <f>IF(Исходн.данные.!$P95="Ум",N_MinUd_2g_um,IF(Исходн.данные.!$P95="Об",N_MinUd_2g_ob))</f>
        <v>0</v>
      </c>
      <c r="AS95" t="b">
        <f>IF(Исходн.данные.!$P95="Ум",P_MinUd_2g_um,IF(Исходн.данные.!$P95="Об",P_MinUd_2g_ob))</f>
        <v>0</v>
      </c>
      <c r="AT95" t="b">
        <f>IF(Исходн.данные.!$P95="Ум",K_MinUd_2g_um,IF(Исходн.данные.!$P95="Об",K_MinUd_2g_ob))</f>
        <v>0</v>
      </c>
      <c r="AU95" t="b">
        <f>IF(Исходн.данные.!$P95="Ум",N_MinUd_1g_um,IF(Исходн.данные.!$P95="Об",N_MinUd_1g_ob))</f>
        <v>0</v>
      </c>
      <c r="AV95" t="b">
        <f>IF(Исходн.данные.!P95="Ум",P_MinUd_1g_um,IF(Исходн.данные.!P95="Об",P_MinUd_1g_ob))</f>
        <v>0</v>
      </c>
      <c r="AW95" t="b">
        <f>IF(Исходн.данные.!P95="Ум",K_MinUd_1g_um,IF(Исходн.данные.!P95="Об",K_MinUd_1g_ob))</f>
        <v>0</v>
      </c>
      <c r="AY95" t="e">
        <f>VLOOKUP(Исходн.данные.!T95,Справ!$A$3:$N$57,12)</f>
        <v>#N/A</v>
      </c>
      <c r="AZ95" t="e">
        <f>VLOOKUP(Исходн.данные.!T95,Справ!$A$3:$N$57,13)</f>
        <v>#N/A</v>
      </c>
      <c r="BA95" t="e">
        <f>VLOOKUP(Исходн.данные.!T95,Справ!$A$3:$N$57,14)</f>
        <v>#N/A</v>
      </c>
      <c r="BB95">
        <f>IF(Исходн.данные.!AH95=0,0,25)</f>
        <v>0</v>
      </c>
      <c r="BC95" s="141">
        <f>IF(Исходн.данные.!AH95=0,0,IF(Исходн.данные.!T95=0,25,BD95))</f>
        <v>0</v>
      </c>
      <c r="BD95" s="168" t="e">
        <f>AY95+AZ95*Исходн.данные.!U95-POWER(BA95,2)*Исходн.данные.!U95</f>
        <v>#N/A</v>
      </c>
      <c r="BE9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5" s="25">
        <f>IF(Исходн.данные.!AH95=0,0,MIN(HN95:HP95))</f>
        <v>0</v>
      </c>
      <c r="BG95" s="9">
        <f>IF(Исходн.данные.!AH95=0,0,IF((HO95+10*0.25/HG95/HL95)&lt;17,17,HO95+10*0.25/HG95/HL95))</f>
        <v>0</v>
      </c>
      <c r="BH95" s="181">
        <f>IF(Исходн.данные.!AH95=0,0,HW95*HF95*HL95/AU95*AI95+Исходн.данные.!S95*10)</f>
        <v>0</v>
      </c>
      <c r="BI95" s="10"/>
      <c r="BJ95" s="182">
        <f>IF(Исходн.данные.!AH95=0,0,IF(HX95*HG95*HL95/AV95&lt;0,0,HX95*HG95*HL95/AV95*AJ95))</f>
        <v>0</v>
      </c>
      <c r="BK95" s="182">
        <f>IF(Исходн.данные.!AH95=0,0,HY95*HH95*HM95/AW95)</f>
        <v>0</v>
      </c>
      <c r="BL95" s="10">
        <f>IF(OR(Исходн.данные.!$AH95=$BP$1,Исходн.данные.!$AH95=$BP$2),0,IF(BH95&lt;0,0,IF(OR(Исходн.данные.!T95=Расчет!$BP$1,Исходн.данные.!T95=Расчет!$BP$2,Исходн.данные.!T95=Расчет!$BT$5,Исходн.данные.!T95=Расчет!$BT$6),BH95*0.5,IF(OR(Исходн.данные.!T95=Расчет!$BS$9,Исходн.данные.!T95=Расчет!$BS$10,Исходн.данные.!T95=Расчет!$BS$11,Исходн.данные.!T95=Расчет!$BS$12,Исходн.данные.!T95=Расчет!$BP$5),BH95*0.8,BH95))))</f>
        <v>0</v>
      </c>
      <c r="BM95" s="10">
        <f>IF(OR(Исходн.данные.!$AH95=$BP$1,Исходн.данные.!$AH95=$BP$2),0,IF(BJ95&lt;0,0,IF(Исходн.данные.!I95&lt;4.5,BJ95*1.2,IF(Исходн.данные.!I95&gt;5.1,BJ95,BJ95*((5.1-Исходн.данные.!I95)*0.333+1)))))</f>
        <v>0</v>
      </c>
      <c r="BN95" s="10">
        <f>IF(OR(Исходн.данные.!$AH95=$BP$1,Исходн.данные.!$AH95=$BP$2),60-Исходн.данные.!AF95,IF(BK95&lt;0,0,IF(Исходн.данные.!I95&lt;4.5,BK95*1.2,IF(Исходн.данные.!I95&gt;5.1,BK95,BK95*((5.1-Исходн.данные.!I95)*0.333+1)))))</f>
        <v>0</v>
      </c>
      <c r="BO95" s="9">
        <f>IF(BL95&lt;0,0,BL95*Исходн.данные.!$AJ95/1000)</f>
        <v>0</v>
      </c>
      <c r="BP95" s="9">
        <f>IF(BM95&lt;0,0,BM95*Исходн.данные.!$AJ95/1000)</f>
        <v>0</v>
      </c>
      <c r="BQ95" s="9">
        <f>IF(BN95&lt;0,0,BN95*Исходн.данные.!$AJ95/1000)</f>
        <v>0</v>
      </c>
      <c r="BR95" s="9">
        <f t="shared" si="155"/>
        <v>0</v>
      </c>
      <c r="BS95" s="10" t="str">
        <f t="shared" si="156"/>
        <v>Аммофос 12:52:00</v>
      </c>
      <c r="BT95" s="10" t="str">
        <f t="shared" si="157"/>
        <v>Аммофос 12:52:00</v>
      </c>
      <c r="BU95" s="10" t="str">
        <f t="shared" si="158"/>
        <v>Диаммофоска</v>
      </c>
      <c r="BV95" s="10">
        <f t="shared" si="159"/>
        <v>0</v>
      </c>
      <c r="BW95" s="10"/>
      <c r="BX95" s="10"/>
      <c r="BY95" s="9">
        <f>IF(BL95&lt;0,0,IF(OR(Исходн.данные.!AI95=Расчет!$BU$6,Исходн.данные.!AI95=Расчет!$BU$7),Расчет!BV95,IF(Исходн.данные.!$AG95=$BV$11,BL95,IF(OR(Исходн.данные.!$AH95=$BQ$7,Исходн.данные.!$AH95=$BQ$8),CB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0,IF(Исходн.данные.!$AI95=$BU$11,"Нет",IF(BL95&gt;30,30,BL95)))))))</f>
        <v>0</v>
      </c>
      <c r="BZ95" s="9">
        <f>IF(AND(Исходн.данные.!$AG95=$BV$11,BM95&lt;10),10,IF(Исходн.данные.!$AG95=$BV$11,BM95,IF(OR(Исходн.данные.!$AH95=$BQ$7,Исходн.данные.!$AH95=$BQ$8),CC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10,IF(Исходн.данные.!$AI95=$BU$11,"Нет",IF(BM95&gt;60,60,IF(BM95&lt;10,10,BM95)))))))</f>
        <v>10</v>
      </c>
      <c r="CA95" s="39">
        <f>IF(BN95&lt;0,0,IF(Исходн.данные.!$AG95=$BV$11,BN95,IF(OR(Исходн.данные.!$AH95=$BQ$7,Исходн.данные.!$AH95=$BQ$8),CD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0,IF(Исходн.данные.!$AI95=$BU$11,"Нет",IF(BN95&gt;30,30,BN95))))))</f>
        <v>0</v>
      </c>
      <c r="CB95" s="9">
        <f t="shared" si="160"/>
        <v>0</v>
      </c>
      <c r="CC95" s="9">
        <f t="shared" si="161"/>
        <v>0</v>
      </c>
      <c r="CD95" s="9">
        <f t="shared" si="162"/>
        <v>0</v>
      </c>
      <c r="CE95" s="12">
        <f t="shared" si="163"/>
        <v>10</v>
      </c>
      <c r="CF95" s="9">
        <f t="shared" si="164"/>
        <v>0</v>
      </c>
      <c r="CG95" s="9" t="s">
        <v>231</v>
      </c>
      <c r="CH95" s="132" t="str">
        <f>IF(Исходн.данные.!AP95=Расчет!$CI$16,"Нет",IF(Исходн.данные.!AL95&gt;0,Исходн.данные.!AL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BH$4,IF(OR(Исходн.данные.!AI95=Исходн.данные.!$AI$6,Исходн.данные.!AI95=Исходн.данные.!$AI$7),Расчет!BS95,IF(AND($CF95=0,$CE95&gt;0),EV95,ER95)))))</f>
        <v>Аммофос 12:52:00</v>
      </c>
      <c r="CI95" s="274">
        <f>IF(Расчет!$CH95="Нет","Нет",IF(Исходн.данные.!$AL95&gt;0,VLOOKUP(Расчет!$CH95,АшламаДВ_Irekle,2,FALSE),VLOOKUP(Расчет!$CH95,АшламаДВ_Gomumy,2,FALSE)))</f>
        <v>0.12</v>
      </c>
      <c r="CJ95" s="274">
        <f>IF(Расчет!$CH95="Нет","Нет",IF(Исходн.данные.!$AL95&gt;0,VLOOKUP(Расчет!$CH95,АшламаДВ_Irekle,3,FALSE),VLOOKUP(Расчет!$CH95,АшламаДВ_Gomumy,3,FALSE)))</f>
        <v>0.52</v>
      </c>
      <c r="CK95" s="274">
        <f>IF(Расчет!$CH95="Нет","Нет",IF(Исходн.данные.!$AL95&gt;0,VLOOKUP(Расчет!$CH95,АшламаДВ_Irekle,4,FALSE),VLOOKUP(Расчет!$CH95,АшламаДВ_Gomumy,4,FALSE)))</f>
        <v>0</v>
      </c>
      <c r="CL95" s="70"/>
      <c r="CM95" s="70"/>
      <c r="CN95" s="70"/>
      <c r="CO95" s="70"/>
      <c r="CP95" s="70"/>
      <c r="CQ95" s="70"/>
      <c r="CR95" s="10">
        <f t="shared" si="165"/>
        <v>0</v>
      </c>
      <c r="CS95" s="10">
        <f t="shared" si="166"/>
        <v>19.23076923076923</v>
      </c>
      <c r="CT95" s="10">
        <f t="shared" si="167"/>
        <v>0</v>
      </c>
      <c r="CU95" s="39">
        <f>IF($CH95="Нет",0,IF(CI95=0,30/MIN(CJ95:CK95),IF(Исходн.данные.!$AG95=$BV$11,CR95,IF(OR(Исходн.данные.!$AH95=$BQ$7,Исходн.данные.!$AH95=$BQ$8),90/CI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0,IF(Исходн.данные.!$AI95=$BU$11,"Нет",30/CI95))))))</f>
        <v>250</v>
      </c>
      <c r="CV95" s="39">
        <f>IF($CH95="Нет",0,IF(Исходн.данные.!AH95=0,0,IF(CJ95=0,60/MIN(CI95,CK95),IF(Исходн.данные.!$AG95=$BV$11,CS95,IF(OR(Исходн.данные.!$AH95=$BQ$7,Исходн.данные.!$AH95=$BQ$8),90/CJ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10/CJ95,IF(Исходн.данные.!$AI95=$BU$11,"Нет",60/CJ95)))))))</f>
        <v>0</v>
      </c>
      <c r="CW95" s="39">
        <f>IF($CH95="Нет",0,IF(Исходн.данные.!AH95=0,0,IF(CK95=0,30/MIN(CI95:CJ95),IF(Исходн.данные.!$AG95=$BV$11,CT95,IF(OR(Исходн.данные.!$AH95=$BQ$7,Исходн.данные.!$AH95=$BQ$8),90/CK95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0,IF(Исходн.данные.!$AI95=$BU$11,"Нет",30/CK95)))))))</f>
        <v>0</v>
      </c>
      <c r="CX95" s="133">
        <f>IF(Исходн.данные.!$AG95=$BV$11,MAX(CU95:CW95),IF(OR(Исходн.данные.!$AH95=$BS$8,Исходн.данные.!$AH95=$BQ$9,Исходн.данные.!$AH95=$BQ$10,Исходн.данные.!$AH95=$BQ$11,Исходн.данные.!$AH95=$BQ$12,Исходн.данные.!$AH95=$BP$3,Исходн.данные.!$AH95=$BT$8,$FM95="Да"),CV95,MIN(CU95:CW95)))</f>
        <v>0</v>
      </c>
      <c r="CY95" s="133">
        <f>IF(Исходн.данные.!AH95=0,0,IF(CR95&gt;$CX95,$CX95,CR95))</f>
        <v>0</v>
      </c>
      <c r="CZ95" s="133">
        <f>IF(Исходн.данные.!AH95=0,0,IF(CS95&gt;$CX95,$CX95,CS95))</f>
        <v>0</v>
      </c>
      <c r="DA95" s="133">
        <f>IF(Исходн.данные.!AH95=0,0,IF(CT95&gt;$CX95,$CX95,CT95))</f>
        <v>0</v>
      </c>
      <c r="DB95" s="10">
        <f t="shared" si="168"/>
        <v>0</v>
      </c>
      <c r="DC95" s="39">
        <f>DB95*Исходн.данные.!AJ95/1000</f>
        <v>0</v>
      </c>
      <c r="DD95" s="71">
        <f t="shared" si="169"/>
        <v>0</v>
      </c>
      <c r="DE95" s="9">
        <f t="shared" si="170"/>
        <v>0</v>
      </c>
      <c r="DF95" s="9">
        <f t="shared" si="171"/>
        <v>0</v>
      </c>
      <c r="DG95" s="39">
        <f>IF(BL95&lt;0,0,IF($CH95="Нет",BL95,IF(OR(Исходн.данные.!$AH95=$BP$1,Исходн.данные.!$AH95=$BP$2),0,IF(Исходн.данные.!AI95=$BU$11,BL95,IF(BL95-DD95&lt;0,0,BL95-DD95)))))</f>
        <v>0</v>
      </c>
      <c r="DH95" s="39">
        <f>IF(BM95&lt;0,0,IF($CH95="Нет",BM95,IF(OR(Исходн.данные.!$AH95=$BP$1,Исходн.данные.!$AH95=$BP$2),0,IF(Исходн.данные.!AJ95=$BU$11,BM95,IF(BM95-DE95&lt;0,0,BM95-DE95)))))</f>
        <v>0</v>
      </c>
      <c r="DI95" s="39">
        <f>IF(BN95&lt;0,0,IF($CH95="Нет",BN95,IF(OR(Исходн.данные.!$AH95=$BP$1,Исходн.данные.!$AH95=$BP$2),0,IF(Исходн.данные.!AK95=$BU$11,BN95,IF(BN95-DF95&lt;0,0,BN95-DF95)))))</f>
        <v>0</v>
      </c>
      <c r="DJ95" s="12">
        <f t="shared" si="172"/>
        <v>0</v>
      </c>
      <c r="DK95" s="9">
        <f t="shared" si="173"/>
        <v>0</v>
      </c>
      <c r="DL95" s="39">
        <f>IF(Исходн.данные.!AM95&gt;0,Исходн.данные.!AM95,IF(EG95&gt;0,$BH$10,0))</f>
        <v>0</v>
      </c>
      <c r="DM95" s="186">
        <f>IF($DL95=0,0,IF(Исходн.данные.!AM95&gt;0,VLOOKUP($DL95,АшламаДВ_Irekle,2,FALSE),VLOOKUP($DL95,АшламаДВ_Gomumy,2,FALSE)))</f>
        <v>0</v>
      </c>
      <c r="DN95" s="10">
        <f t="shared" si="151"/>
        <v>0</v>
      </c>
      <c r="DO95" s="9" t="str">
        <f>IF(Исходн.данные.!AN95&gt;0,Исходн.данные.!AN95,Удобрения!$B$37 )</f>
        <v>Хлор.калий</v>
      </c>
      <c r="DP95" s="9">
        <f>IF(Исходн.данные.!AN95&gt;0,VLOOKUP(Исходн.данные.!AN95,АшламаДВ_Irekle,4,FALSE),VLOOKUP(DO95,АшламаДВ_Gomumy,4,FALSE))</f>
        <v>0.6</v>
      </c>
      <c r="DQ95" s="10">
        <f t="shared" si="152"/>
        <v>0</v>
      </c>
      <c r="DR95" s="132" t="str">
        <f>IF(Исходн.данные.!AO95&gt;0,Исходн.данные.!AO95,IF(DH95=0,BS$17,IF(AND($DK95=0,$DJ95&gt;0),EJ95,EN95)))</f>
        <v>Нет</v>
      </c>
      <c r="DS95" s="70" t="str">
        <f>IF($DR95="Нет","Нет",IF(Исходн.данные.!$AO95&gt;0,VLOOKUP($DR95,АшламаДВ_Irekle,2,FALSE),VLOOKUP($DR95,АшламаДВ_Gomumy,2,FALSE)))</f>
        <v>Нет</v>
      </c>
      <c r="DT95" s="70" t="str">
        <f>IF($DR95="Нет","Нет",IF(Исходн.данные.!$AO95&gt;0,VLOOKUP($DR95,АшламаДВ_Irekle,3,FALSE),VLOOKUP($DR95,АшламаДВ_Gomumy,3,FALSE)))</f>
        <v>Нет</v>
      </c>
      <c r="DU95" s="70" t="str">
        <f>IF($DR95="Нет","Нет",IF(Исходн.данные.!$AO95&gt;0,VLOOKUP($DR95,АшламаДВ_Irekle,4,FALSE),VLOOKUP($DR95,АшламаДВ_Gomumy,4,FALSE)))</f>
        <v>Нет</v>
      </c>
      <c r="DV95" s="70"/>
      <c r="DW95" s="70"/>
      <c r="DX95" s="70"/>
      <c r="DY95" s="10">
        <f t="shared" si="174"/>
        <v>0</v>
      </c>
      <c r="DZ95" s="10">
        <f t="shared" si="175"/>
        <v>0</v>
      </c>
      <c r="EA95" s="10">
        <f t="shared" si="176"/>
        <v>0</v>
      </c>
      <c r="EB95" s="10">
        <f t="shared" si="177"/>
        <v>0</v>
      </c>
      <c r="EC95" s="10">
        <f t="shared" si="178"/>
        <v>0</v>
      </c>
      <c r="ED95" s="10">
        <f t="shared" si="179"/>
        <v>0</v>
      </c>
      <c r="EE95" s="10">
        <f t="shared" si="180"/>
        <v>0</v>
      </c>
      <c r="EF95" s="39">
        <f>EB95*Исходн.данные.!AJ95/1000</f>
        <v>0</v>
      </c>
      <c r="EG95" s="9">
        <f t="shared" si="181"/>
        <v>0</v>
      </c>
      <c r="EH95" s="9">
        <f t="shared" si="182"/>
        <v>0</v>
      </c>
      <c r="EI95" s="39" t="e">
        <f t="shared" si="132"/>
        <v>#DIV/0!</v>
      </c>
      <c r="EJ95" s="9" t="str">
        <f t="shared" si="153"/>
        <v>Азопреципитат</v>
      </c>
      <c r="EK95" s="12">
        <f t="shared" si="133"/>
        <v>0.26</v>
      </c>
      <c r="EL95" s="12">
        <f t="shared" si="134"/>
        <v>0.13</v>
      </c>
      <c r="EM95" s="12">
        <f t="shared" si="135"/>
        <v>0</v>
      </c>
      <c r="EN95" s="12" t="str">
        <f t="shared" si="154"/>
        <v>Нет</v>
      </c>
      <c r="EO95" s="12">
        <f t="shared" si="136"/>
        <v>0</v>
      </c>
      <c r="EP95" s="12">
        <f t="shared" si="137"/>
        <v>0</v>
      </c>
      <c r="EQ95" s="12">
        <f t="shared" si="138"/>
        <v>0</v>
      </c>
      <c r="ER95" s="12" t="str">
        <f t="shared" si="183"/>
        <v>Диаммофоска</v>
      </c>
      <c r="ES95" s="12">
        <f t="shared" si="139"/>
        <v>0.1</v>
      </c>
      <c r="ET95" s="12">
        <f t="shared" si="140"/>
        <v>0.26</v>
      </c>
      <c r="EU95" s="12">
        <f t="shared" si="141"/>
        <v>0.26</v>
      </c>
      <c r="EV95" s="12" t="str">
        <f t="shared" si="184"/>
        <v>Аммофос 12:52:00</v>
      </c>
      <c r="EW95" s="12" t="str">
        <f t="shared" si="185"/>
        <v>Кемира Свекловичное-6</v>
      </c>
      <c r="EX95" s="12">
        <f t="shared" si="142"/>
        <v>0.16</v>
      </c>
      <c r="EY95" s="12">
        <f t="shared" si="143"/>
        <v>0.12</v>
      </c>
      <c r="EZ95" s="12">
        <f t="shared" si="144"/>
        <v>0.17</v>
      </c>
      <c r="FA95" s="38" t="e">
        <f>IF(AND(OR(FJ95=$FD$1,FM95=$FD$1,FO95=$FD$1,FQ95=$FD$1,FS95=$FD$1),FD95=$FD$1,Исходн.данные.!J95&lt;2,FU95=$FD$1),"Бор,Кобальт",IF(AND(FO95=$FD$1,FH95=$FD$1,Исходн.данные.!J95&lt;2,FU95=$FD$1),"Бор,Кобальт",IF(AND(OR(FJ95=$FD$1,FM95=$FD$1,FQ95=$FD$1),FE95=$FD$1,Исходн.данные.!J95&lt;2,FT95=$FD$1,FU95=$FD$1),"Бор,Медь,Цинк",IF(AND(OR(FJ95=$FD$1,FR95="Да"),FI95="Да",Исходн.данные.!J95&lt;2,FT95="Да",FU95="Да"),"Бор,Цинк,Медь",IF(AND(OR(FM95="Да",FQ95="Да"),FI95="Да",Исходн.данные.!J95&lt;2,FT95="Да",FU95="Да"),"Бор,Цинк",IF(AND(FN95="Да",OR(FD95="Да",FE95="Да")),"Бор",FB95))))))</f>
        <v>#N/A</v>
      </c>
      <c r="FB95" s="134" t="e">
        <f>IF(AND(OR(FD95="Да",FE95="Да",FF95="Да",FG95="Да",FH95="Да"),FO95="Да"),"Бор",IF(AND(FP95="Да",OR(FD95="Да",FE95="Да",FI95="Да")),"Бор",IF(AND(FS95="Да",FE95="Да"),"Бор,Медь",IF(AND(OR(FJ95="Да",FK95="Да",FL95="Да"),FE95="Да",Исходн.данные.!I95&lt;5,FT95="Да",FU95="Да"),"Молибден,Цинк",IF(AND(FM95="Да",OR(FE95="Да",FF95="Да",FG95="Да",FH95="Да",FI95="Да")),"Молибден,Цинк",IF(AND(OR(FJ95="Да",FK95="Да",FL95="Да",FM95="Да",FQ95="Да"),OR(FE95="Да",FF95="Да"),FT95="Да",FU95="Да",Исходн.данные.!I95&gt;5.5),"Медь,Цинк",FC95))))))</f>
        <v>#N/A</v>
      </c>
      <c r="FC95" s="23" t="e">
        <f t="shared" si="186"/>
        <v>#N/A</v>
      </c>
      <c r="FD95" s="38" t="str">
        <f>IF(OR(Исходн.данные.!F95=$CC$1,Исходн.данные.!F95=$CC$2,Исходн.данные.!F95=$CC$3,Исходн.данные.!F95=$CC$4),"Да","Нет")</f>
        <v>Нет</v>
      </c>
      <c r="FE95" s="38" t="str">
        <f>IF(Исходн.данные.!F95=$CC$5,"Да","Нет")</f>
        <v>Нет</v>
      </c>
      <c r="FF95" s="38" t="str">
        <f>IF(OR(Исходн.данные.!F95=$CC$6,Исходн.данные.!F95=$CC$7),"Да","Нет")</f>
        <v>Нет</v>
      </c>
      <c r="FG95" s="38" t="str">
        <f>IF(OR(Исходн.данные.!F95=$CC$8,Исходн.данные.!F95=$CC$9),"Да","Нет")</f>
        <v>Нет</v>
      </c>
      <c r="FH95" s="38" t="str">
        <f>IF(Исходн.данные.!F95=$CC$10,"Да","Нет")</f>
        <v>Нет</v>
      </c>
      <c r="FI95" s="38" t="str">
        <f>IF(OR(Исходн.данные.!F95=$CC$11,Исходн.данные.!F95=$CC$12),"Да","Нет")</f>
        <v>Нет</v>
      </c>
      <c r="FJ95" s="38" t="str">
        <f>IF(OR(Исходн.данные.!AH95=$BS$1,Исходн.данные.!AH95=$BQ$11,Исходн.данные.!AH95=$BQ$12),"Да","Нет")</f>
        <v>Нет</v>
      </c>
      <c r="FK95" s="38" t="str">
        <f>IF(OR(Исходн.данные.!AH95=$BS$2,Исходн.данные.!AH95=$BS$4),"Да","Нет")</f>
        <v>Нет</v>
      </c>
      <c r="FL95" s="38" t="str">
        <f>IF(OR(Исходн.данные.!AH95=$BS$3,Исходн.данные.!AH95=$BS$5),"Да","Нет")</f>
        <v>Нет</v>
      </c>
      <c r="FM95" s="38" t="str">
        <f>IF(OR(Исходн.данные.!AH95=$BS$9,Исходн.данные.!AH95=$BS$10,Исходн.данные.!AH95=$BS$11,Исходн.данные.!AH95=$BS$12),"Да","Нет")</f>
        <v>Нет</v>
      </c>
      <c r="FN95" s="38" t="str">
        <f>IF(OR(Исходн.данные.!AH95=$BS$6,Исходн.данные.!AH95=$BP$3),"Да","Нет")</f>
        <v>Нет</v>
      </c>
      <c r="FO95" s="38" t="str">
        <f>IF(Исходн.данные.!AH95=$BQ$9,"Да","Нет")</f>
        <v>Нет</v>
      </c>
      <c r="FP95" s="38" t="str">
        <f>IF(OR(Исходн.данные.!AH95=$BS$8,Исходн.данные.!AH95=$BT$8),"Да","Нет")</f>
        <v>Нет</v>
      </c>
      <c r="FQ95" s="38" t="str">
        <f>IF(OR(Исходн.данные.!AH95=$BQ$7,Исходн.данные.!AH95=$BQ$8),"Да","Нет")</f>
        <v>Нет</v>
      </c>
      <c r="FR95" s="38" t="str">
        <f>IF(Исходн.данные.!AI95=$BU$9,"Да","Нет")</f>
        <v>Нет</v>
      </c>
      <c r="FS95" s="38" t="str">
        <f>IF(OR(Исходн.данные.!AH95=$BP$1,Исходн.данные.!AH95=$BP$2),"Да","Нет")</f>
        <v>Нет</v>
      </c>
      <c r="FT95" s="38" t="e">
        <f>IF((Исходн.данные.!K95*GO95*GS95*GW95+BL95*0.6+Исходн.данные.!Q95*4.5*0.275)&gt;90,"Да","Нет")</f>
        <v>#N/A</v>
      </c>
      <c r="FU95" s="38" t="e">
        <f>IF((Исходн.данные.!M95*GS95*GZ95+BM95*0.225)&gt;35,"Да","Нет")</f>
        <v>#N/A</v>
      </c>
      <c r="FV95" s="38" t="str">
        <f>IF(Исходн.данные.!O95&gt;175,"Да","Нет")</f>
        <v>Нет</v>
      </c>
      <c r="FW95" s="39" t="str">
        <f>IF(Исходн.данные.!I95&gt;5.5,"Да","Нет")</f>
        <v>Нет</v>
      </c>
      <c r="FX95" s="39" t="str">
        <f>IF(Исходн.данные.!J95&lt;2,"Да","Нет")</f>
        <v>Да</v>
      </c>
      <c r="FY95" s="39" t="e">
        <f>IF(HF95=$FY$16,0,Исходн.данные.!K95*GO95*GS95*GW95/HF95)</f>
        <v>#N/A</v>
      </c>
      <c r="FZ95" s="39" t="e">
        <f>Исходн.данные.!M95*GS95*GZ95/HG95</f>
        <v>#N/A</v>
      </c>
      <c r="GA95" s="39" t="e">
        <f>IF(K_Wyn=$FY$16,0,IF(Исходн.данные.!N95=Исходн.данные.!$L$10,Исходн.данные.!O95/1.1*GS95*HC95/HH95,IF(Исходн.данные.!N95=Исходн.данные.!$L$12,Исходн.данные.!O95/1.5*GS95*HC95/HH95,Исходн.данные.!O95*GS95*HC95/HH95)))</f>
        <v>#N/A</v>
      </c>
      <c r="GB95" s="39" t="e">
        <f>IF(HF95=$FY$16,0,((Исходн.данные.!Q95*N_Org+Исходн.данные.!R95*N_Sider+Исходн.данные.!S95*N_Soloma)*AO95+Расчет!BC95*VLOOKUP(Исходн.данные.!T95,Справ!$A$3:$O$57,15)*AO95+BB95*VLOOKUP(Исходн.данные.!T95,Справ!$A$3:$O$57,15)*AL95+(Исходн.данные.!V95*N_Rizotorf+Исходн.данные.!W95*N_Rizoagr))/HF95)</f>
        <v>#N/A</v>
      </c>
      <c r="GC95" s="39" t="e">
        <f>IF(HG95=$FY$16,0,((Исходн.данные.!Q95*Р_Org+Исходн.данные.!R95*P_Sider+Исходн.данные.!S95*P_Soloma)*AP95+Расчет!BC95*VLOOKUP(Исходн.данные.!T95,Справ!$A$3:$P$57,16)*AP95+BB95*VLOOKUP(Исходн.данные.!T95,Справ!$A$3:$P$57,16)*AM95)/HG95)</f>
        <v>#N/A</v>
      </c>
      <c r="GD95" s="39" t="e">
        <f>IF(HH95=$FY$16,0,((Исходн.данные.!Q95*К_Org+Исходн.данные.!R95*K_Sider+Исходн.данные.!S95*K_Soloma)*AQ95+Расчет!BC95*VLOOKUP(Исходн.данные.!T95,Справ!$A$3:$Q$57,17)*AQ95+BB95*VLOOKUP(Исходн.данные.!T95,Справ!$A$3:$Q$57,17)*AN95)/HH95)</f>
        <v>#N/A</v>
      </c>
      <c r="GE95" s="39" t="e">
        <f>IF(HF95=$FY$16,0,(Исходн.данные.!X95*AR95+Исходн.данные.!AA95*N_Org*AL95+Исходн.данные.!AB95*N_Sider*AL95+Исходн.данные.!AC95*N_Soloma*AL95)/HF95)</f>
        <v>#N/A</v>
      </c>
      <c r="GF95" s="39" t="e">
        <f>IF(HG95=$FY$16,0,(Исходн.данные.!Y95*AS95+Исходн.данные.!AA95*Р_Org*AM95+Исходн.данные.!AB95*P_Sider*AM95+Исходн.данные.!AC95*P_Soloma*AM95)/HG95)</f>
        <v>#N/A</v>
      </c>
      <c r="GG95" s="39" t="e">
        <f>IF(HH95=$FY$16,0,(Исходн.данные.!Z95*AT95+Исходн.данные.!AA95*К_Org*AN95+Исходн.данные.!AB95*K_Sider*AN95+Исходн.данные.!AC95*K_Soloma*AN95)/HH95)</f>
        <v>#N/A</v>
      </c>
      <c r="GH95" s="39" t="e">
        <f>Исходн.данные.!AD95*AU95/HF95</f>
        <v>#N/A</v>
      </c>
      <c r="GI95" s="39" t="e">
        <f>Исходн.данные.!AE95*AV95/HG95</f>
        <v>#N/A</v>
      </c>
      <c r="GJ95" s="39" t="e">
        <f>Исходн.данные.!AF95*AW95/HH95</f>
        <v>#N/A</v>
      </c>
      <c r="GK95" s="55">
        <f>Исходн.данные.!AK95</f>
        <v>0</v>
      </c>
      <c r="GL95" s="11" t="e">
        <f t="shared" si="187"/>
        <v>#N/A</v>
      </c>
      <c r="GM95" s="11" t="e">
        <f t="shared" si="188"/>
        <v>#N/A</v>
      </c>
      <c r="GN95" s="11" t="e">
        <f t="shared" si="189"/>
        <v>#N/A</v>
      </c>
      <c r="GO95" s="57">
        <f t="shared" si="190"/>
        <v>19</v>
      </c>
      <c r="GP95" s="55">
        <f>IF(OR(Исходн.данные.!F95=$CE$1,Исходн.данные.!F95=$CE$2,Исходн.данные.!F95=$CE$3,Исходн.данные.!F95=$CE$4,Исходн.данные.!F95=$CE$5),GQ95,GR95)</f>
        <v>19</v>
      </c>
      <c r="GQ95" s="55">
        <f>IF(Исходн.данные.!F95=$CE$1,28,IF(Исходн.данные.!F95=$CE$2,26,IF(Исходн.данные.!F95=$CE$3,24,IF(Исходн.данные.!F95=$CE$4,22,IF(Исходн.данные.!F95=$CE$5,20,GR95)))))</f>
        <v>19</v>
      </c>
      <c r="GR95" s="55">
        <f>IF(Исходн.данные.!F95=$CE$6,18,IF(Исходн.данные.!F95=$CE$7,16,IF(Исходн.данные.!F95=$CE$8,14,IF(Исходн.данные.!F95=$CE$9,13,IF(Исходн.данные.!F95=$CE$10,12,19)))))</f>
        <v>19</v>
      </c>
      <c r="GS95" s="55">
        <f>IF(Исходн.данные.!G95="Пес",0.035*(40+2*Исходн.данные.!H95),IF(Исходн.данные.!G95="Суп",0.0325*(40+2*Исходн.данные.!H95),0.03*(40+2*Исходн.данные.!H95)))</f>
        <v>1.2</v>
      </c>
      <c r="GT95" s="55">
        <f>IF(Исходн.данные.!H95&lt;23,2.6,IF(AND(Исходн.данные.!H95&gt;22,Исходн.данные.!H95&lt;26),3,IF(AND(Исходн.данные.!H95&gt;25,Исходн.данные.!H95&lt;29),3.4,3.6)))</f>
        <v>2.6</v>
      </c>
      <c r="GU95" s="55">
        <f>IF(Исходн.данные.!H95&lt;23,2.8,IF(AND(Исходн.данные.!H95&gt;22,Исходн.данные.!H95&lt;26),3.2,IF(AND(Исходн.данные.!H95&gt;25,Исходн.данные.!H95&lt;29),3.6,3.9)))</f>
        <v>2.8</v>
      </c>
      <c r="GV95" s="55">
        <f>IF(Исходн.данные.!H95&lt;23,3,IF(AND(Исходн.данные.!H95&gt;22,Исходн.данные.!H95&lt;26),3.5,IF(AND(Исходн.данные.!H95&gt;25,Исходн.данные.!H95&lt;29),3.9,4.2)))</f>
        <v>3</v>
      </c>
      <c r="GW95" s="55" t="e">
        <f>IF(Исходн.данные.!P95="Ум",GX95,GY95)</f>
        <v>#N/A</v>
      </c>
      <c r="GX95" s="55" t="e">
        <f>VLOOKUP(Исходн.данные.!AI95,Коэффициенты!$J$7:$L$13,2,FALSE)</f>
        <v>#N/A</v>
      </c>
      <c r="GY95" s="55" t="e">
        <f>VLOOKUP(Исходн.данные.!AI95,Коэффициенты!$J$7:$L$13,3,FALSE)</f>
        <v>#N/A</v>
      </c>
      <c r="GZ95" s="55" t="e">
        <f>(IF(Исходн.данные.!M95&lt;50,0.11*VLOOKUP(Исходн.данные.!AH95,Культуры.Информация,7,FALSE),IF(Исходн.данные.!M95&gt;250,0.05*VLOOKUP(Исходн.данные.!AH95,Культуры.Информация,7,FALSE),VLOOKUP(Исходн.данные.!AH95,Культуры.Информация,5,FALSE)/100*($GX$6+$GY$6*Исходн.данные.!M95))))*Расчет2!AI95</f>
        <v>#N/A</v>
      </c>
      <c r="HA95" s="211"/>
      <c r="HB95" s="211"/>
      <c r="HC95" s="55" t="e">
        <f>(IF(Исходн.данные.!O95&lt;80,0.2*VLOOKUP(Исходн.данные.!AH95,Культуры.Информация,8,FALSE),IF(Исходн.данные.!O95&gt;240,0.09*VLOOKUP(Исходн.данные.!AH95,Культуры.Информация,8,FALSE),VLOOKUP(Исходн.данные.!AH95,Культуры.Информация,6,FALSE)/100*($HB$6+$HC$6*Исходн.данные.!O95))))*Расчет2!AJ95</f>
        <v>#N/A</v>
      </c>
      <c r="HD95" s="55">
        <f>IF(Исходн.данные.!O95&gt;240,0.09,IF(Исходн.данные.!O95&lt;30,0.3,$HE$10+$HD$10*Исходн.данные.!O95))</f>
        <v>0.3</v>
      </c>
      <c r="HE95" s="55">
        <f>IF(Исходн.данные.!O95&gt;240,0.17,IF(Исходн.данные.!O95&lt;30,0.5,$HF$12+$HE$12*Исходн.данные.!O95))</f>
        <v>0.5</v>
      </c>
      <c r="HF95" s="55" t="e">
        <f>VLOOKUP(Исходн.данные.!AH95,Справ!$A$3:$D$58,2,FALSE)</f>
        <v>#N/A</v>
      </c>
      <c r="HG95" s="55" t="e">
        <f>VLOOKUP(Исходн.данные.!AH95,Справ!$A$3:$D$58,3,FALSE)</f>
        <v>#N/A</v>
      </c>
      <c r="HH95" s="55" t="e">
        <f>VLOOKUP(Исходн.данные.!AH95,Справ!$A$3:$D$58,4,FALSE)</f>
        <v>#N/A</v>
      </c>
      <c r="HI95" s="11" t="e">
        <f t="shared" si="191"/>
        <v>#N/A</v>
      </c>
      <c r="HJ95" s="11" t="e">
        <f t="shared" si="192"/>
        <v>#N/A</v>
      </c>
      <c r="HK95" s="11" t="e">
        <f t="shared" si="193"/>
        <v>#N/A</v>
      </c>
      <c r="HL95" s="55">
        <f>IF(OR(Исходн.данные.!G95="Глин",Исходн.данные.!G95="Т_суг"),1.1,IF(Исходн.данные.!G95="Ср_суг",1,1))</f>
        <v>1</v>
      </c>
      <c r="HM95" s="55">
        <f>IF(OR(Исходн.данные.!G95="Глин",Исходн.данные.!G95="Т_суг"),0.9,IF(Исходн.данные.!G95="Ср_суг",1,1.2))</f>
        <v>1.2</v>
      </c>
      <c r="HN95" s="11" t="e">
        <f t="shared" si="194"/>
        <v>#N/A</v>
      </c>
      <c r="HO95" s="11" t="e">
        <f t="shared" si="195"/>
        <v>#N/A</v>
      </c>
      <c r="HP95" s="11" t="e">
        <f t="shared" si="196"/>
        <v>#N/A</v>
      </c>
      <c r="HQ95" t="e">
        <f t="shared" si="197"/>
        <v>#N/A</v>
      </c>
      <c r="HR95" t="e">
        <f t="shared" si="198"/>
        <v>#N/A</v>
      </c>
      <c r="HS95" t="e">
        <f t="shared" si="199"/>
        <v>#N/A</v>
      </c>
      <c r="HT95" t="e">
        <f t="shared" si="145"/>
        <v>#N/A</v>
      </c>
      <c r="HU95" t="e">
        <f t="shared" si="146"/>
        <v>#N/A</v>
      </c>
      <c r="HV95" t="e">
        <f t="shared" si="147"/>
        <v>#N/A</v>
      </c>
      <c r="HW95" t="e">
        <f t="shared" si="148"/>
        <v>#N/A</v>
      </c>
      <c r="HX95" t="e">
        <f t="shared" si="149"/>
        <v>#N/A</v>
      </c>
      <c r="HY95" t="e">
        <f t="shared" si="150"/>
        <v>#N/A</v>
      </c>
      <c r="HZ95" s="55">
        <f>IF(OR(Исходн.данные.!AI95="Оз_Ч_П",Исходн.данные.!AI95="Оз_З_П",Исходн.данные.!AI95="Яр_зер"),12,30)</f>
        <v>30</v>
      </c>
      <c r="IA95" t="e">
        <f t="shared" si="200"/>
        <v>#N/A</v>
      </c>
      <c r="IB95" t="e">
        <f t="shared" si="201"/>
        <v>#N/A</v>
      </c>
      <c r="IC95" t="e">
        <f t="shared" si="202"/>
        <v>#N/A</v>
      </c>
      <c r="ID95" s="11" t="e">
        <f t="shared" si="203"/>
        <v>#N/A</v>
      </c>
      <c r="IE95" s="11" t="e">
        <f t="shared" si="204"/>
        <v>#N/A</v>
      </c>
      <c r="IF95" s="11" t="e">
        <f t="shared" si="205"/>
        <v>#N/A</v>
      </c>
    </row>
    <row r="96" spans="35:240" x14ac:dyDescent="0.2">
      <c r="AI96">
        <f>IF(Исходн.данные.!I96&gt;6,1,1.85-(0.148*Исходн.данные.!I96))</f>
        <v>1.85</v>
      </c>
      <c r="AJ96">
        <f>IF(Исходн.данные.!I96&gt;6,1,2.434-(0.246*Исходн.данные.!I96))</f>
        <v>2.4340000000000002</v>
      </c>
      <c r="AL96" s="148" t="b">
        <f>IF(Исходн.данные.!$P96="Ум",N_OrgUd_2g_um,IF(Исходн.данные.!$P96="Об",N_OrgUd_2g_ob))</f>
        <v>0</v>
      </c>
      <c r="AM96" s="148" t="b">
        <f>IF(Исходн.данные.!$P96="Ум",P_OrgUd_2g_um,IF(Исходн.данные.!$P96="Об",P_OrgUd_2g_ob))</f>
        <v>0</v>
      </c>
      <c r="AN96" s="148" t="b">
        <f>IF(Исходн.данные.!$P96="Ум",K_OrgUd_2g_um,IF(Исходн.данные.!$P96="Об",K_OrgUd_2g_ob))</f>
        <v>0</v>
      </c>
      <c r="AO96" s="148" t="b">
        <f>IF(Исходн.данные.!$P96="Ум",N_OrgUd_1g_um,IF(Исходн.данные.!$P96="Об",N_OrgUd_1g_ob))</f>
        <v>0</v>
      </c>
      <c r="AP96" s="148" t="b">
        <f>IF(Исходн.данные.!$P96="Ум",P_OrgUd_1g_um,IF(Исходн.данные.!$P96="Об",P_OrgUd_1g_ob))</f>
        <v>0</v>
      </c>
      <c r="AQ96" s="148" t="b">
        <f>IF(Исходн.данные.!$P96="Ум",K_OrgUd_1g_um,IF(Исходн.данные.!$P96="Об",K_OrgUd_1g_ob))</f>
        <v>0</v>
      </c>
      <c r="AR96" t="b">
        <f>IF(Исходн.данные.!$P96="Ум",N_MinUd_2g_um,IF(Исходн.данные.!$P96="Об",N_MinUd_2g_ob))</f>
        <v>0</v>
      </c>
      <c r="AS96" t="b">
        <f>IF(Исходн.данные.!$P96="Ум",P_MinUd_2g_um,IF(Исходн.данные.!$P96="Об",P_MinUd_2g_ob))</f>
        <v>0</v>
      </c>
      <c r="AT96" t="b">
        <f>IF(Исходн.данные.!$P96="Ум",K_MinUd_2g_um,IF(Исходн.данные.!$P96="Об",K_MinUd_2g_ob))</f>
        <v>0</v>
      </c>
      <c r="AU96" t="b">
        <f>IF(Исходн.данные.!$P96="Ум",N_MinUd_1g_um,IF(Исходн.данные.!$P96="Об",N_MinUd_1g_ob))</f>
        <v>0</v>
      </c>
      <c r="AV96" t="b">
        <f>IF(Исходн.данные.!P96="Ум",P_MinUd_1g_um,IF(Исходн.данные.!P96="Об",P_MinUd_1g_ob))</f>
        <v>0</v>
      </c>
      <c r="AW96" t="b">
        <f>IF(Исходн.данные.!P96="Ум",K_MinUd_1g_um,IF(Исходн.данные.!P96="Об",K_MinUd_1g_ob))</f>
        <v>0</v>
      </c>
      <c r="AY96" t="e">
        <f>VLOOKUP(Исходн.данные.!T96,Справ!$A$3:$N$57,12)</f>
        <v>#N/A</v>
      </c>
      <c r="AZ96" t="e">
        <f>VLOOKUP(Исходн.данные.!T96,Справ!$A$3:$N$57,13)</f>
        <v>#N/A</v>
      </c>
      <c r="BA96" t="e">
        <f>VLOOKUP(Исходн.данные.!T96,Справ!$A$3:$N$57,14)</f>
        <v>#N/A</v>
      </c>
      <c r="BB96">
        <f>IF(Исходн.данные.!AH96=0,0,25)</f>
        <v>0</v>
      </c>
      <c r="BC96" s="141">
        <f>IF(Исходн.данные.!AH96=0,0,IF(Исходн.данные.!T96=0,25,BD96))</f>
        <v>0</v>
      </c>
      <c r="BD96" s="168" t="e">
        <f>AY96+AZ96*Исходн.данные.!U96-POWER(BA96,2)*Исходн.данные.!U96</f>
        <v>#N/A</v>
      </c>
      <c r="BE9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6" s="25">
        <f>IF(Исходн.данные.!AH96=0,0,MIN(HN96:HP96))</f>
        <v>0</v>
      </c>
      <c r="BG96" s="9">
        <f>IF(Исходн.данные.!AH96=0,0,IF((HO96+10*0.25/HG96/HL96)&lt;17,17,HO96+10*0.25/HG96/HL96))</f>
        <v>0</v>
      </c>
      <c r="BH96" s="181">
        <f>IF(Исходн.данные.!AH96=0,0,HW96*HF96*HL96/AU96*AI96+Исходн.данные.!S96*10)</f>
        <v>0</v>
      </c>
      <c r="BI96" s="10"/>
      <c r="BJ96" s="182">
        <f>IF(Исходн.данные.!AH96=0,0,IF(HX96*HG96*HL96/AV96&lt;0,0,HX96*HG96*HL96/AV96*AJ96))</f>
        <v>0</v>
      </c>
      <c r="BK96" s="182">
        <f>IF(Исходн.данные.!AH96=0,0,HY96*HH96*HM96/AW96)</f>
        <v>0</v>
      </c>
      <c r="BL96" s="10">
        <f>IF(OR(Исходн.данные.!$AH96=$BP$1,Исходн.данные.!$AH96=$BP$2),0,IF(BH96&lt;0,0,IF(OR(Исходн.данные.!T96=Расчет!$BP$1,Исходн.данные.!T96=Расчет!$BP$2,Исходн.данные.!T96=Расчет!$BT$5,Исходн.данные.!T96=Расчет!$BT$6),BH96*0.5,IF(OR(Исходн.данные.!T96=Расчет!$BS$9,Исходн.данные.!T96=Расчет!$BS$10,Исходн.данные.!T96=Расчет!$BS$11,Исходн.данные.!T96=Расчет!$BS$12,Исходн.данные.!T96=Расчет!$BP$5),BH96*0.8,BH96))))</f>
        <v>0</v>
      </c>
      <c r="BM96" s="10">
        <f>IF(OR(Исходн.данные.!$AH96=$BP$1,Исходн.данные.!$AH96=$BP$2),0,IF(BJ96&lt;0,0,IF(Исходн.данные.!I96&lt;4.5,BJ96*1.2,IF(Исходн.данные.!I96&gt;5.1,BJ96,BJ96*((5.1-Исходн.данные.!I96)*0.333+1)))))</f>
        <v>0</v>
      </c>
      <c r="BN96" s="10">
        <f>IF(OR(Исходн.данные.!$AH96=$BP$1,Исходн.данные.!$AH96=$BP$2),60-Исходн.данные.!AF96,IF(BK96&lt;0,0,IF(Исходн.данные.!I96&lt;4.5,BK96*1.2,IF(Исходн.данные.!I96&gt;5.1,BK96,BK96*((5.1-Исходн.данные.!I96)*0.333+1)))))</f>
        <v>0</v>
      </c>
      <c r="BO96" s="9">
        <f>IF(BL96&lt;0,0,BL96*Исходн.данные.!$AJ96/1000)</f>
        <v>0</v>
      </c>
      <c r="BP96" s="9">
        <f>IF(BM96&lt;0,0,BM96*Исходн.данные.!$AJ96/1000)</f>
        <v>0</v>
      </c>
      <c r="BQ96" s="9">
        <f>IF(BN96&lt;0,0,BN96*Исходн.данные.!$AJ96/1000)</f>
        <v>0</v>
      </c>
      <c r="BR96" s="9">
        <f t="shared" si="155"/>
        <v>0</v>
      </c>
      <c r="BS96" s="10" t="str">
        <f t="shared" si="156"/>
        <v>Аммофос 12:52:00</v>
      </c>
      <c r="BT96" s="10" t="str">
        <f t="shared" si="157"/>
        <v>Аммофос 12:52:00</v>
      </c>
      <c r="BU96" s="10" t="str">
        <f t="shared" si="158"/>
        <v>Диаммофоска</v>
      </c>
      <c r="BV96" s="10">
        <f t="shared" si="159"/>
        <v>0</v>
      </c>
      <c r="BW96" s="10"/>
      <c r="BX96" s="10"/>
      <c r="BY96" s="9">
        <f>IF(BL96&lt;0,0,IF(OR(Исходн.данные.!AI96=Расчет!$BU$6,Исходн.данные.!AI96=Расчет!$BU$7),Расчет!BV96,IF(Исходн.данные.!$AG96=$BV$11,BL96,IF(OR(Исходн.данные.!$AH96=$BQ$7,Исходн.данные.!$AH96=$BQ$8),CB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0,IF(Исходн.данные.!$AI96=$BU$11,"Нет",IF(BL96&gt;30,30,BL96)))))))</f>
        <v>0</v>
      </c>
      <c r="BZ96" s="9">
        <f>IF(AND(Исходн.данные.!$AG96=$BV$11,BM96&lt;10),10,IF(Исходн.данные.!$AG96=$BV$11,BM96,IF(OR(Исходн.данные.!$AH96=$BQ$7,Исходн.данные.!$AH96=$BQ$8),CC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10,IF(Исходн.данные.!$AI96=$BU$11,"Нет",IF(BM96&gt;60,60,IF(BM96&lt;10,10,BM96)))))))</f>
        <v>10</v>
      </c>
      <c r="CA96" s="39">
        <f>IF(BN96&lt;0,0,IF(Исходн.данные.!$AG96=$BV$11,BN96,IF(OR(Исходн.данные.!$AH96=$BQ$7,Исходн.данные.!$AH96=$BQ$8),CD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0,IF(Исходн.данные.!$AI96=$BU$11,"Нет",IF(BN96&gt;30,30,BN96))))))</f>
        <v>0</v>
      </c>
      <c r="CB96" s="9">
        <f t="shared" si="160"/>
        <v>0</v>
      </c>
      <c r="CC96" s="9">
        <f t="shared" si="161"/>
        <v>0</v>
      </c>
      <c r="CD96" s="9">
        <f t="shared" si="162"/>
        <v>0</v>
      </c>
      <c r="CE96" s="12">
        <f t="shared" si="163"/>
        <v>10</v>
      </c>
      <c r="CF96" s="9">
        <f t="shared" si="164"/>
        <v>0</v>
      </c>
      <c r="CG96" s="9" t="s">
        <v>231</v>
      </c>
      <c r="CH96" s="132" t="str">
        <f>IF(Исходн.данные.!AP96=Расчет!$CI$16,"Нет",IF(Исходн.данные.!AL96&gt;0,Исходн.данные.!AL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BH$4,IF(OR(Исходн.данные.!AI96=Исходн.данные.!$AI$6,Исходн.данные.!AI96=Исходн.данные.!$AI$7),Расчет!BS96,IF(AND($CF96=0,$CE96&gt;0),EV96,ER96)))))</f>
        <v>Аммофос 12:52:00</v>
      </c>
      <c r="CI96" s="274">
        <f>IF(Расчет!$CH96="Нет","Нет",IF(Исходн.данные.!$AL96&gt;0,VLOOKUP(Расчет!$CH96,АшламаДВ_Irekle,2,FALSE),VLOOKUP(Расчет!$CH96,АшламаДВ_Gomumy,2,FALSE)))</f>
        <v>0.12</v>
      </c>
      <c r="CJ96" s="274">
        <f>IF(Расчет!$CH96="Нет","Нет",IF(Исходн.данные.!$AL96&gt;0,VLOOKUP(Расчет!$CH96,АшламаДВ_Irekle,3,FALSE),VLOOKUP(Расчет!$CH96,АшламаДВ_Gomumy,3,FALSE)))</f>
        <v>0.52</v>
      </c>
      <c r="CK96" s="274">
        <f>IF(Расчет!$CH96="Нет","Нет",IF(Исходн.данные.!$AL96&gt;0,VLOOKUP(Расчет!$CH96,АшламаДВ_Irekle,4,FALSE),VLOOKUP(Расчет!$CH96,АшламаДВ_Gomumy,4,FALSE)))</f>
        <v>0</v>
      </c>
      <c r="CL96" s="70"/>
      <c r="CM96" s="70"/>
      <c r="CN96" s="70"/>
      <c r="CO96" s="70"/>
      <c r="CP96" s="70"/>
      <c r="CQ96" s="70"/>
      <c r="CR96" s="10">
        <f t="shared" si="165"/>
        <v>0</v>
      </c>
      <c r="CS96" s="10">
        <f t="shared" si="166"/>
        <v>19.23076923076923</v>
      </c>
      <c r="CT96" s="10">
        <f t="shared" si="167"/>
        <v>0</v>
      </c>
      <c r="CU96" s="39">
        <f>IF($CH96="Нет",0,IF(CI96=0,30/MIN(CJ96:CK96),IF(Исходн.данные.!$AG96=$BV$11,CR96,IF(OR(Исходн.данные.!$AH96=$BQ$7,Исходн.данные.!$AH96=$BQ$8),90/CI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0,IF(Исходн.данные.!$AI96=$BU$11,"Нет",30/CI96))))))</f>
        <v>250</v>
      </c>
      <c r="CV96" s="39">
        <f>IF($CH96="Нет",0,IF(Исходн.данные.!AH96=0,0,IF(CJ96=0,60/MIN(CI96,CK96),IF(Исходн.данные.!$AG96=$BV$11,CS96,IF(OR(Исходн.данные.!$AH96=$BQ$7,Исходн.данные.!$AH96=$BQ$8),90/CJ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10/CJ96,IF(Исходн.данные.!$AI96=$BU$11,"Нет",60/CJ96)))))))</f>
        <v>0</v>
      </c>
      <c r="CW96" s="39">
        <f>IF($CH96="Нет",0,IF(Исходн.данные.!AH96=0,0,IF(CK96=0,30/MIN(CI96:CJ96),IF(Исходн.данные.!$AG96=$BV$11,CT96,IF(OR(Исходн.данные.!$AH96=$BQ$7,Исходн.данные.!$AH96=$BQ$8),90/CK96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0,IF(Исходн.данные.!$AI96=$BU$11,"Нет",30/CK96)))))))</f>
        <v>0</v>
      </c>
      <c r="CX96" s="133">
        <f>IF(Исходн.данные.!$AG96=$BV$11,MAX(CU96:CW96),IF(OR(Исходн.данные.!$AH96=$BS$8,Исходн.данные.!$AH96=$BQ$9,Исходн.данные.!$AH96=$BQ$10,Исходн.данные.!$AH96=$BQ$11,Исходн.данные.!$AH96=$BQ$12,Исходн.данные.!$AH96=$BP$3,Исходн.данные.!$AH96=$BT$8,$FM96="Да"),CV96,MIN(CU96:CW96)))</f>
        <v>0</v>
      </c>
      <c r="CY96" s="133">
        <f>IF(Исходн.данные.!AH96=0,0,IF(CR96&gt;$CX96,$CX96,CR96))</f>
        <v>0</v>
      </c>
      <c r="CZ96" s="133">
        <f>IF(Исходн.данные.!AH96=0,0,IF(CS96&gt;$CX96,$CX96,CS96))</f>
        <v>0</v>
      </c>
      <c r="DA96" s="133">
        <f>IF(Исходн.данные.!AH96=0,0,IF(CT96&gt;$CX96,$CX96,CT96))</f>
        <v>0</v>
      </c>
      <c r="DB96" s="10">
        <f t="shared" si="168"/>
        <v>0</v>
      </c>
      <c r="DC96" s="39">
        <f>DB96*Исходн.данные.!AJ96/1000</f>
        <v>0</v>
      </c>
      <c r="DD96" s="71">
        <f t="shared" si="169"/>
        <v>0</v>
      </c>
      <c r="DE96" s="9">
        <f t="shared" si="170"/>
        <v>0</v>
      </c>
      <c r="DF96" s="9">
        <f t="shared" si="171"/>
        <v>0</v>
      </c>
      <c r="DG96" s="39">
        <f>IF(BL96&lt;0,0,IF($CH96="Нет",BL96,IF(OR(Исходн.данные.!$AH96=$BP$1,Исходн.данные.!$AH96=$BP$2),0,IF(Исходн.данные.!AI96=$BU$11,BL96,IF(BL96-DD96&lt;0,0,BL96-DD96)))))</f>
        <v>0</v>
      </c>
      <c r="DH96" s="39">
        <f>IF(BM96&lt;0,0,IF($CH96="Нет",BM96,IF(OR(Исходн.данные.!$AH96=$BP$1,Исходн.данные.!$AH96=$BP$2),0,IF(Исходн.данные.!AJ96=$BU$11,BM96,IF(BM96-DE96&lt;0,0,BM96-DE96)))))</f>
        <v>0</v>
      </c>
      <c r="DI96" s="39">
        <f>IF(BN96&lt;0,0,IF($CH96="Нет",BN96,IF(OR(Исходн.данные.!$AH96=$BP$1,Исходн.данные.!$AH96=$BP$2),0,IF(Исходн.данные.!AK96=$BU$11,BN96,IF(BN96-DF96&lt;0,0,BN96-DF96)))))</f>
        <v>0</v>
      </c>
      <c r="DJ96" s="12">
        <f t="shared" si="172"/>
        <v>0</v>
      </c>
      <c r="DK96" s="9">
        <f t="shared" si="173"/>
        <v>0</v>
      </c>
      <c r="DL96" s="39">
        <f>IF(Исходн.данные.!AM96&gt;0,Исходн.данные.!AM96,IF(EG96&gt;0,$BH$10,0))</f>
        <v>0</v>
      </c>
      <c r="DM96" s="186">
        <f>IF($DL96=0,0,IF(Исходн.данные.!AM96&gt;0,VLOOKUP($DL96,АшламаДВ_Irekle,2,FALSE),VLOOKUP($DL96,АшламаДВ_Gomumy,2,FALSE)))</f>
        <v>0</v>
      </c>
      <c r="DN96" s="10">
        <f t="shared" si="151"/>
        <v>0</v>
      </c>
      <c r="DO96" s="9" t="str">
        <f>IF(Исходн.данные.!AN96&gt;0,Исходн.данные.!AN96,Удобрения!$B$37 )</f>
        <v>Хлор.калий</v>
      </c>
      <c r="DP96" s="9">
        <f>IF(Исходн.данные.!AN96&gt;0,VLOOKUP(Исходн.данные.!AN96,АшламаДВ_Irekle,4,FALSE),VLOOKUP(DO96,АшламаДВ_Gomumy,4,FALSE))</f>
        <v>0.6</v>
      </c>
      <c r="DQ96" s="10">
        <f t="shared" si="152"/>
        <v>0</v>
      </c>
      <c r="DR96" s="132" t="str">
        <f>IF(Исходн.данные.!AO96&gt;0,Исходн.данные.!AO96,IF(DH96=0,BS$17,IF(AND($DK96=0,$DJ96&gt;0),EJ96,EN96)))</f>
        <v>Нет</v>
      </c>
      <c r="DS96" s="70" t="str">
        <f>IF($DR96="Нет","Нет",IF(Исходн.данные.!$AO96&gt;0,VLOOKUP($DR96,АшламаДВ_Irekle,2,FALSE),VLOOKUP($DR96,АшламаДВ_Gomumy,2,FALSE)))</f>
        <v>Нет</v>
      </c>
      <c r="DT96" s="70" t="str">
        <f>IF($DR96="Нет","Нет",IF(Исходн.данные.!$AO96&gt;0,VLOOKUP($DR96,АшламаДВ_Irekle,3,FALSE),VLOOKUP($DR96,АшламаДВ_Gomumy,3,FALSE)))</f>
        <v>Нет</v>
      </c>
      <c r="DU96" s="70" t="str">
        <f>IF($DR96="Нет","Нет",IF(Исходн.данные.!$AO96&gt;0,VLOOKUP($DR96,АшламаДВ_Irekle,4,FALSE),VLOOKUP($DR96,АшламаДВ_Gomumy,4,FALSE)))</f>
        <v>Нет</v>
      </c>
      <c r="DV96" s="70"/>
      <c r="DW96" s="70"/>
      <c r="DX96" s="70"/>
      <c r="DY96" s="10">
        <f t="shared" si="174"/>
        <v>0</v>
      </c>
      <c r="DZ96" s="10">
        <f t="shared" si="175"/>
        <v>0</v>
      </c>
      <c r="EA96" s="10">
        <f t="shared" si="176"/>
        <v>0</v>
      </c>
      <c r="EB96" s="10">
        <f t="shared" si="177"/>
        <v>0</v>
      </c>
      <c r="EC96" s="10">
        <f t="shared" si="178"/>
        <v>0</v>
      </c>
      <c r="ED96" s="10">
        <f t="shared" si="179"/>
        <v>0</v>
      </c>
      <c r="EE96" s="10">
        <f t="shared" si="180"/>
        <v>0</v>
      </c>
      <c r="EF96" s="39">
        <f>EB96*Исходн.данные.!AJ96/1000</f>
        <v>0</v>
      </c>
      <c r="EG96" s="9">
        <f t="shared" si="181"/>
        <v>0</v>
      </c>
      <c r="EH96" s="9">
        <f t="shared" si="182"/>
        <v>0</v>
      </c>
      <c r="EI96" s="39" t="e">
        <f t="shared" si="132"/>
        <v>#DIV/0!</v>
      </c>
      <c r="EJ96" s="9" t="str">
        <f t="shared" si="153"/>
        <v>Азопреципитат</v>
      </c>
      <c r="EK96" s="12">
        <f t="shared" si="133"/>
        <v>0.26</v>
      </c>
      <c r="EL96" s="12">
        <f t="shared" si="134"/>
        <v>0.13</v>
      </c>
      <c r="EM96" s="12">
        <f t="shared" si="135"/>
        <v>0</v>
      </c>
      <c r="EN96" s="12" t="str">
        <f t="shared" si="154"/>
        <v>Нет</v>
      </c>
      <c r="EO96" s="12">
        <f t="shared" si="136"/>
        <v>0</v>
      </c>
      <c r="EP96" s="12">
        <f t="shared" si="137"/>
        <v>0</v>
      </c>
      <c r="EQ96" s="12">
        <f t="shared" si="138"/>
        <v>0</v>
      </c>
      <c r="ER96" s="12" t="str">
        <f t="shared" si="183"/>
        <v>Диаммофоска</v>
      </c>
      <c r="ES96" s="12">
        <f t="shared" si="139"/>
        <v>0.1</v>
      </c>
      <c r="ET96" s="12">
        <f t="shared" si="140"/>
        <v>0.26</v>
      </c>
      <c r="EU96" s="12">
        <f t="shared" si="141"/>
        <v>0.26</v>
      </c>
      <c r="EV96" s="12" t="str">
        <f t="shared" si="184"/>
        <v>Аммофос 12:52:00</v>
      </c>
      <c r="EW96" s="12" t="str">
        <f t="shared" si="185"/>
        <v>Кемира Свекловичное-6</v>
      </c>
      <c r="EX96" s="12">
        <f t="shared" si="142"/>
        <v>0.16</v>
      </c>
      <c r="EY96" s="12">
        <f t="shared" si="143"/>
        <v>0.12</v>
      </c>
      <c r="EZ96" s="12">
        <f t="shared" si="144"/>
        <v>0.17</v>
      </c>
      <c r="FA96" s="38" t="e">
        <f>IF(AND(OR(FJ96=$FD$1,FM96=$FD$1,FO96=$FD$1,FQ96=$FD$1,FS96=$FD$1),FD96=$FD$1,Исходн.данные.!J96&lt;2,FU96=$FD$1),"Бор,Кобальт",IF(AND(FO96=$FD$1,FH96=$FD$1,Исходн.данные.!J96&lt;2,FU96=$FD$1),"Бор,Кобальт",IF(AND(OR(FJ96=$FD$1,FM96=$FD$1,FQ96=$FD$1),FE96=$FD$1,Исходн.данные.!J96&lt;2,FT96=$FD$1,FU96=$FD$1),"Бор,Медь,Цинк",IF(AND(OR(FJ96=$FD$1,FR96="Да"),FI96="Да",Исходн.данные.!J96&lt;2,FT96="Да",FU96="Да"),"Бор,Цинк,Медь",IF(AND(OR(FM96="Да",FQ96="Да"),FI96="Да",Исходн.данные.!J96&lt;2,FT96="Да",FU96="Да"),"Бор,Цинк",IF(AND(FN96="Да",OR(FD96="Да",FE96="Да")),"Бор",FB96))))))</f>
        <v>#N/A</v>
      </c>
      <c r="FB96" s="134" t="e">
        <f>IF(AND(OR(FD96="Да",FE96="Да",FF96="Да",FG96="Да",FH96="Да"),FO96="Да"),"Бор",IF(AND(FP96="Да",OR(FD96="Да",FE96="Да",FI96="Да")),"Бор",IF(AND(FS96="Да",FE96="Да"),"Бор,Медь",IF(AND(OR(FJ96="Да",FK96="Да",FL96="Да"),FE96="Да",Исходн.данные.!I96&lt;5,FT96="Да",FU96="Да"),"Молибден,Цинк",IF(AND(FM96="Да",OR(FE96="Да",FF96="Да",FG96="Да",FH96="Да",FI96="Да")),"Молибден,Цинк",IF(AND(OR(FJ96="Да",FK96="Да",FL96="Да",FM96="Да",FQ96="Да"),OR(FE96="Да",FF96="Да"),FT96="Да",FU96="Да",Исходн.данные.!I96&gt;5.5),"Медь,Цинк",FC96))))))</f>
        <v>#N/A</v>
      </c>
      <c r="FC96" s="23" t="e">
        <f t="shared" si="186"/>
        <v>#N/A</v>
      </c>
      <c r="FD96" s="38" t="str">
        <f>IF(OR(Исходн.данные.!F96=$CC$1,Исходн.данные.!F96=$CC$2,Исходн.данные.!F96=$CC$3,Исходн.данные.!F96=$CC$4),"Да","Нет")</f>
        <v>Нет</v>
      </c>
      <c r="FE96" s="38" t="str">
        <f>IF(Исходн.данные.!F96=$CC$5,"Да","Нет")</f>
        <v>Нет</v>
      </c>
      <c r="FF96" s="38" t="str">
        <f>IF(OR(Исходн.данные.!F96=$CC$6,Исходн.данные.!F96=$CC$7),"Да","Нет")</f>
        <v>Нет</v>
      </c>
      <c r="FG96" s="38" t="str">
        <f>IF(OR(Исходн.данные.!F96=$CC$8,Исходн.данные.!F96=$CC$9),"Да","Нет")</f>
        <v>Нет</v>
      </c>
      <c r="FH96" s="38" t="str">
        <f>IF(Исходн.данные.!F96=$CC$10,"Да","Нет")</f>
        <v>Нет</v>
      </c>
      <c r="FI96" s="38" t="str">
        <f>IF(OR(Исходн.данные.!F96=$CC$11,Исходн.данные.!F96=$CC$12),"Да","Нет")</f>
        <v>Нет</v>
      </c>
      <c r="FJ96" s="38" t="str">
        <f>IF(OR(Исходн.данные.!AH96=$BS$1,Исходн.данные.!AH96=$BQ$11,Исходн.данные.!AH96=$BQ$12),"Да","Нет")</f>
        <v>Нет</v>
      </c>
      <c r="FK96" s="38" t="str">
        <f>IF(OR(Исходн.данные.!AH96=$BS$2,Исходн.данные.!AH96=$BS$4),"Да","Нет")</f>
        <v>Нет</v>
      </c>
      <c r="FL96" s="38" t="str">
        <f>IF(OR(Исходн.данные.!AH96=$BS$3,Исходн.данные.!AH96=$BS$5),"Да","Нет")</f>
        <v>Нет</v>
      </c>
      <c r="FM96" s="38" t="str">
        <f>IF(OR(Исходн.данные.!AH96=$BS$9,Исходн.данные.!AH96=$BS$10,Исходн.данные.!AH96=$BS$11,Исходн.данные.!AH96=$BS$12),"Да","Нет")</f>
        <v>Нет</v>
      </c>
      <c r="FN96" s="38" t="str">
        <f>IF(OR(Исходн.данные.!AH96=$BS$6,Исходн.данные.!AH96=$BP$3),"Да","Нет")</f>
        <v>Нет</v>
      </c>
      <c r="FO96" s="38" t="str">
        <f>IF(Исходн.данные.!AH96=$BQ$9,"Да","Нет")</f>
        <v>Нет</v>
      </c>
      <c r="FP96" s="38" t="str">
        <f>IF(OR(Исходн.данные.!AH96=$BS$8,Исходн.данные.!AH96=$BT$8),"Да","Нет")</f>
        <v>Нет</v>
      </c>
      <c r="FQ96" s="38" t="str">
        <f>IF(OR(Исходн.данные.!AH96=$BQ$7,Исходн.данные.!AH96=$BQ$8),"Да","Нет")</f>
        <v>Нет</v>
      </c>
      <c r="FR96" s="38" t="str">
        <f>IF(Исходн.данные.!AI96=$BU$9,"Да","Нет")</f>
        <v>Нет</v>
      </c>
      <c r="FS96" s="38" t="str">
        <f>IF(OR(Исходн.данные.!AH96=$BP$1,Исходн.данные.!AH96=$BP$2),"Да","Нет")</f>
        <v>Нет</v>
      </c>
      <c r="FT96" s="38" t="e">
        <f>IF((Исходн.данные.!K96*GO96*GS96*GW96+BL96*0.6+Исходн.данные.!Q96*4.5*0.275)&gt;90,"Да","Нет")</f>
        <v>#N/A</v>
      </c>
      <c r="FU96" s="38" t="e">
        <f>IF((Исходн.данные.!M96*GS96*GZ96+BM96*0.225)&gt;35,"Да","Нет")</f>
        <v>#N/A</v>
      </c>
      <c r="FV96" s="38" t="str">
        <f>IF(Исходн.данные.!O96&gt;175,"Да","Нет")</f>
        <v>Нет</v>
      </c>
      <c r="FW96" s="39" t="str">
        <f>IF(Исходн.данные.!I96&gt;5.5,"Да","Нет")</f>
        <v>Нет</v>
      </c>
      <c r="FX96" s="39" t="str">
        <f>IF(Исходн.данные.!J96&lt;2,"Да","Нет")</f>
        <v>Да</v>
      </c>
      <c r="FY96" s="39" t="e">
        <f>IF(HF96=$FY$16,0,Исходн.данные.!K96*GO96*GS96*GW96/HF96)</f>
        <v>#N/A</v>
      </c>
      <c r="FZ96" s="39" t="e">
        <f>Исходн.данные.!M96*GS96*GZ96/HG96</f>
        <v>#N/A</v>
      </c>
      <c r="GA96" s="39" t="e">
        <f>IF(K_Wyn=$FY$16,0,IF(Исходн.данные.!N96=Исходн.данные.!$L$10,Исходн.данные.!O96/1.1*GS96*HC96/HH96,IF(Исходн.данные.!N96=Исходн.данные.!$L$12,Исходн.данные.!O96/1.5*GS96*HC96/HH96,Исходн.данные.!O96*GS96*HC96/HH96)))</f>
        <v>#N/A</v>
      </c>
      <c r="GB96" s="39" t="e">
        <f>IF(HF96=$FY$16,0,((Исходн.данные.!Q96*N_Org+Исходн.данные.!R96*N_Sider+Исходн.данные.!S96*N_Soloma)*AO96+Расчет!BC96*VLOOKUP(Исходн.данные.!T96,Справ!$A$3:$O$57,15)*AO96+BB96*VLOOKUP(Исходн.данные.!T96,Справ!$A$3:$O$57,15)*AL96+(Исходн.данные.!V96*N_Rizotorf+Исходн.данные.!W96*N_Rizoagr))/HF96)</f>
        <v>#N/A</v>
      </c>
      <c r="GC96" s="39" t="e">
        <f>IF(HG96=$FY$16,0,((Исходн.данные.!Q96*Р_Org+Исходн.данные.!R96*P_Sider+Исходн.данные.!S96*P_Soloma)*AP96+Расчет!BC96*VLOOKUP(Исходн.данные.!T96,Справ!$A$3:$P$57,16)*AP96+BB96*VLOOKUP(Исходн.данные.!T96,Справ!$A$3:$P$57,16)*AM96)/HG96)</f>
        <v>#N/A</v>
      </c>
      <c r="GD96" s="39" t="e">
        <f>IF(HH96=$FY$16,0,((Исходн.данные.!Q96*К_Org+Исходн.данные.!R96*K_Sider+Исходн.данные.!S96*K_Soloma)*AQ96+Расчет!BC96*VLOOKUP(Исходн.данные.!T96,Справ!$A$3:$Q$57,17)*AQ96+BB96*VLOOKUP(Исходн.данные.!T96,Справ!$A$3:$Q$57,17)*AN96)/HH96)</f>
        <v>#N/A</v>
      </c>
      <c r="GE96" s="39" t="e">
        <f>IF(HF96=$FY$16,0,(Исходн.данные.!X96*AR96+Исходн.данные.!AA96*N_Org*AL96+Исходн.данные.!AB96*N_Sider*AL96+Исходн.данные.!AC96*N_Soloma*AL96)/HF96)</f>
        <v>#N/A</v>
      </c>
      <c r="GF96" s="39" t="e">
        <f>IF(HG96=$FY$16,0,(Исходн.данные.!Y96*AS96+Исходн.данные.!AA96*Р_Org*AM96+Исходн.данные.!AB96*P_Sider*AM96+Исходн.данные.!AC96*P_Soloma*AM96)/HG96)</f>
        <v>#N/A</v>
      </c>
      <c r="GG96" s="39" t="e">
        <f>IF(HH96=$FY$16,0,(Исходн.данные.!Z96*AT96+Исходн.данные.!AA96*К_Org*AN96+Исходн.данные.!AB96*K_Sider*AN96+Исходн.данные.!AC96*K_Soloma*AN96)/HH96)</f>
        <v>#N/A</v>
      </c>
      <c r="GH96" s="39" t="e">
        <f>Исходн.данные.!AD96*AU96/HF96</f>
        <v>#N/A</v>
      </c>
      <c r="GI96" s="39" t="e">
        <f>Исходн.данные.!AE96*AV96/HG96</f>
        <v>#N/A</v>
      </c>
      <c r="GJ96" s="39" t="e">
        <f>Исходн.данные.!AF96*AW96/HH96</f>
        <v>#N/A</v>
      </c>
      <c r="GK96" s="55">
        <f>Исходн.данные.!AK96</f>
        <v>0</v>
      </c>
      <c r="GL96" s="11" t="e">
        <f t="shared" si="187"/>
        <v>#N/A</v>
      </c>
      <c r="GM96" s="11" t="e">
        <f t="shared" si="188"/>
        <v>#N/A</v>
      </c>
      <c r="GN96" s="11" t="e">
        <f t="shared" si="189"/>
        <v>#N/A</v>
      </c>
      <c r="GO96" s="57">
        <f t="shared" si="190"/>
        <v>19</v>
      </c>
      <c r="GP96" s="55">
        <f>IF(OR(Исходн.данные.!F96=$CE$1,Исходн.данные.!F96=$CE$2,Исходн.данные.!F96=$CE$3,Исходн.данные.!F96=$CE$4,Исходн.данные.!F96=$CE$5),GQ96,GR96)</f>
        <v>19</v>
      </c>
      <c r="GQ96" s="55">
        <f>IF(Исходн.данные.!F96=$CE$1,28,IF(Исходн.данные.!F96=$CE$2,26,IF(Исходн.данные.!F96=$CE$3,24,IF(Исходн.данные.!F96=$CE$4,22,IF(Исходн.данные.!F96=$CE$5,20,GR96)))))</f>
        <v>19</v>
      </c>
      <c r="GR96" s="55">
        <f>IF(Исходн.данные.!F96=$CE$6,18,IF(Исходн.данные.!F96=$CE$7,16,IF(Исходн.данные.!F96=$CE$8,14,IF(Исходн.данные.!F96=$CE$9,13,IF(Исходн.данные.!F96=$CE$10,12,19)))))</f>
        <v>19</v>
      </c>
      <c r="GS96" s="55">
        <f>IF(Исходн.данные.!G96="Пес",0.035*(40+2*Исходн.данные.!H96),IF(Исходн.данные.!G96="Суп",0.0325*(40+2*Исходн.данные.!H96),0.03*(40+2*Исходн.данные.!H96)))</f>
        <v>1.2</v>
      </c>
      <c r="GT96" s="55">
        <f>IF(Исходн.данные.!H96&lt;23,2.6,IF(AND(Исходн.данные.!H96&gt;22,Исходн.данные.!H96&lt;26),3,IF(AND(Исходн.данные.!H96&gt;25,Исходн.данные.!H96&lt;29),3.4,3.6)))</f>
        <v>2.6</v>
      </c>
      <c r="GU96" s="55">
        <f>IF(Исходн.данные.!H96&lt;23,2.8,IF(AND(Исходн.данные.!H96&gt;22,Исходн.данные.!H96&lt;26),3.2,IF(AND(Исходн.данные.!H96&gt;25,Исходн.данные.!H96&lt;29),3.6,3.9)))</f>
        <v>2.8</v>
      </c>
      <c r="GV96" s="55">
        <f>IF(Исходн.данные.!H96&lt;23,3,IF(AND(Исходн.данные.!H96&gt;22,Исходн.данные.!H96&lt;26),3.5,IF(AND(Исходн.данные.!H96&gt;25,Исходн.данные.!H96&lt;29),3.9,4.2)))</f>
        <v>3</v>
      </c>
      <c r="GW96" s="55" t="e">
        <f>IF(Исходн.данные.!P96="Ум",GX96,GY96)</f>
        <v>#N/A</v>
      </c>
      <c r="GX96" s="55" t="e">
        <f>VLOOKUP(Исходн.данные.!AI96,Коэффициенты!$J$7:$L$13,2,FALSE)</f>
        <v>#N/A</v>
      </c>
      <c r="GY96" s="55" t="e">
        <f>VLOOKUP(Исходн.данные.!AI96,Коэффициенты!$J$7:$L$13,3,FALSE)</f>
        <v>#N/A</v>
      </c>
      <c r="GZ96" s="55" t="e">
        <f>(IF(Исходн.данные.!M96&lt;50,0.11*VLOOKUP(Исходн.данные.!AH96,Культуры.Информация,7,FALSE),IF(Исходн.данные.!M96&gt;250,0.05*VLOOKUP(Исходн.данные.!AH96,Культуры.Информация,7,FALSE),VLOOKUP(Исходн.данные.!AH96,Культуры.Информация,5,FALSE)/100*($GX$6+$GY$6*Исходн.данные.!M96))))*Расчет2!AI96</f>
        <v>#N/A</v>
      </c>
      <c r="HA96" s="211"/>
      <c r="HB96" s="211"/>
      <c r="HC96" s="55" t="e">
        <f>(IF(Исходн.данные.!O96&lt;80,0.2*VLOOKUP(Исходн.данные.!AH96,Культуры.Информация,8,FALSE),IF(Исходн.данные.!O96&gt;240,0.09*VLOOKUP(Исходн.данные.!AH96,Культуры.Информация,8,FALSE),VLOOKUP(Исходн.данные.!AH96,Культуры.Информация,6,FALSE)/100*($HB$6+$HC$6*Исходн.данные.!O96))))*Расчет2!AJ96</f>
        <v>#N/A</v>
      </c>
      <c r="HD96" s="55">
        <f>IF(Исходн.данные.!O96&gt;240,0.09,IF(Исходн.данные.!O96&lt;30,0.3,$HE$10+$HD$10*Исходн.данные.!O96))</f>
        <v>0.3</v>
      </c>
      <c r="HE96" s="55">
        <f>IF(Исходн.данные.!O96&gt;240,0.17,IF(Исходн.данные.!O96&lt;30,0.5,$HF$12+$HE$12*Исходн.данные.!O96))</f>
        <v>0.5</v>
      </c>
      <c r="HF96" s="55" t="e">
        <f>VLOOKUP(Исходн.данные.!AH96,Справ!$A$3:$D$58,2,FALSE)</f>
        <v>#N/A</v>
      </c>
      <c r="HG96" s="55" t="e">
        <f>VLOOKUP(Исходн.данные.!AH96,Справ!$A$3:$D$58,3,FALSE)</f>
        <v>#N/A</v>
      </c>
      <c r="HH96" s="55" t="e">
        <f>VLOOKUP(Исходн.данные.!AH96,Справ!$A$3:$D$58,4,FALSE)</f>
        <v>#N/A</v>
      </c>
      <c r="HI96" s="11" t="e">
        <f t="shared" si="191"/>
        <v>#N/A</v>
      </c>
      <c r="HJ96" s="11" t="e">
        <f t="shared" si="192"/>
        <v>#N/A</v>
      </c>
      <c r="HK96" s="11" t="e">
        <f t="shared" si="193"/>
        <v>#N/A</v>
      </c>
      <c r="HL96" s="55">
        <f>IF(OR(Исходн.данные.!G96="Глин",Исходн.данные.!G96="Т_суг"),1.1,IF(Исходн.данные.!G96="Ср_суг",1,1))</f>
        <v>1</v>
      </c>
      <c r="HM96" s="55">
        <f>IF(OR(Исходн.данные.!G96="Глин",Исходн.данные.!G96="Т_суг"),0.9,IF(Исходн.данные.!G96="Ср_суг",1,1.2))</f>
        <v>1.2</v>
      </c>
      <c r="HN96" s="11" t="e">
        <f t="shared" si="194"/>
        <v>#N/A</v>
      </c>
      <c r="HO96" s="11" t="e">
        <f t="shared" si="195"/>
        <v>#N/A</v>
      </c>
      <c r="HP96" s="11" t="e">
        <f t="shared" si="196"/>
        <v>#N/A</v>
      </c>
      <c r="HQ96" t="e">
        <f t="shared" si="197"/>
        <v>#N/A</v>
      </c>
      <c r="HR96" t="e">
        <f t="shared" si="198"/>
        <v>#N/A</v>
      </c>
      <c r="HS96" t="e">
        <f t="shared" si="199"/>
        <v>#N/A</v>
      </c>
      <c r="HT96" t="e">
        <f t="shared" si="145"/>
        <v>#N/A</v>
      </c>
      <c r="HU96" t="e">
        <f t="shared" si="146"/>
        <v>#N/A</v>
      </c>
      <c r="HV96" t="e">
        <f t="shared" si="147"/>
        <v>#N/A</v>
      </c>
      <c r="HW96" t="e">
        <f t="shared" si="148"/>
        <v>#N/A</v>
      </c>
      <c r="HX96" t="e">
        <f t="shared" si="149"/>
        <v>#N/A</v>
      </c>
      <c r="HY96" t="e">
        <f t="shared" si="150"/>
        <v>#N/A</v>
      </c>
      <c r="HZ96" s="55">
        <f>IF(OR(Исходн.данные.!AI96="Оз_Ч_П",Исходн.данные.!AI96="Оз_З_П",Исходн.данные.!AI96="Яр_зер"),12,30)</f>
        <v>30</v>
      </c>
      <c r="IA96" t="e">
        <f t="shared" si="200"/>
        <v>#N/A</v>
      </c>
      <c r="IB96" t="e">
        <f t="shared" si="201"/>
        <v>#N/A</v>
      </c>
      <c r="IC96" t="e">
        <f t="shared" si="202"/>
        <v>#N/A</v>
      </c>
      <c r="ID96" s="11" t="e">
        <f t="shared" si="203"/>
        <v>#N/A</v>
      </c>
      <c r="IE96" s="11" t="e">
        <f t="shared" si="204"/>
        <v>#N/A</v>
      </c>
      <c r="IF96" s="11" t="e">
        <f t="shared" si="205"/>
        <v>#N/A</v>
      </c>
    </row>
    <row r="97" spans="35:240" x14ac:dyDescent="0.2">
      <c r="AI97">
        <f>IF(Исходн.данные.!I97&gt;6,1,1.85-(0.148*Исходн.данные.!I97))</f>
        <v>1.85</v>
      </c>
      <c r="AJ97">
        <f>IF(Исходн.данные.!I97&gt;6,1,2.434-(0.246*Исходн.данные.!I97))</f>
        <v>2.4340000000000002</v>
      </c>
      <c r="AL97" s="148" t="b">
        <f>IF(Исходн.данные.!$P97="Ум",N_OrgUd_2g_um,IF(Исходн.данные.!$P97="Об",N_OrgUd_2g_ob))</f>
        <v>0</v>
      </c>
      <c r="AM97" s="148" t="b">
        <f>IF(Исходн.данные.!$P97="Ум",P_OrgUd_2g_um,IF(Исходн.данные.!$P97="Об",P_OrgUd_2g_ob))</f>
        <v>0</v>
      </c>
      <c r="AN97" s="148" t="b">
        <f>IF(Исходн.данные.!$P97="Ум",K_OrgUd_2g_um,IF(Исходн.данные.!$P97="Об",K_OrgUd_2g_ob))</f>
        <v>0</v>
      </c>
      <c r="AO97" s="148" t="b">
        <f>IF(Исходн.данные.!$P97="Ум",N_OrgUd_1g_um,IF(Исходн.данные.!$P97="Об",N_OrgUd_1g_ob))</f>
        <v>0</v>
      </c>
      <c r="AP97" s="148" t="b">
        <f>IF(Исходн.данные.!$P97="Ум",P_OrgUd_1g_um,IF(Исходн.данные.!$P97="Об",P_OrgUd_1g_ob))</f>
        <v>0</v>
      </c>
      <c r="AQ97" s="148" t="b">
        <f>IF(Исходн.данные.!$P97="Ум",K_OrgUd_1g_um,IF(Исходн.данные.!$P97="Об",K_OrgUd_1g_ob))</f>
        <v>0</v>
      </c>
      <c r="AR97" t="b">
        <f>IF(Исходн.данные.!$P97="Ум",N_MinUd_2g_um,IF(Исходн.данные.!$P97="Об",N_MinUd_2g_ob))</f>
        <v>0</v>
      </c>
      <c r="AS97" t="b">
        <f>IF(Исходн.данные.!$P97="Ум",P_MinUd_2g_um,IF(Исходн.данные.!$P97="Об",P_MinUd_2g_ob))</f>
        <v>0</v>
      </c>
      <c r="AT97" t="b">
        <f>IF(Исходн.данные.!$P97="Ум",K_MinUd_2g_um,IF(Исходн.данные.!$P97="Об",K_MinUd_2g_ob))</f>
        <v>0</v>
      </c>
      <c r="AU97" t="b">
        <f>IF(Исходн.данные.!$P97="Ум",N_MinUd_1g_um,IF(Исходн.данные.!$P97="Об",N_MinUd_1g_ob))</f>
        <v>0</v>
      </c>
      <c r="AV97" t="b">
        <f>IF(Исходн.данные.!P97="Ум",P_MinUd_1g_um,IF(Исходн.данные.!P97="Об",P_MinUd_1g_ob))</f>
        <v>0</v>
      </c>
      <c r="AW97" t="b">
        <f>IF(Исходн.данные.!P97="Ум",K_MinUd_1g_um,IF(Исходн.данные.!P97="Об",K_MinUd_1g_ob))</f>
        <v>0</v>
      </c>
      <c r="AY97" t="e">
        <f>VLOOKUP(Исходн.данные.!T97,Справ!$A$3:$N$57,12)</f>
        <v>#N/A</v>
      </c>
      <c r="AZ97" t="e">
        <f>VLOOKUP(Исходн.данные.!T97,Справ!$A$3:$N$57,13)</f>
        <v>#N/A</v>
      </c>
      <c r="BA97" t="e">
        <f>VLOOKUP(Исходн.данные.!T97,Справ!$A$3:$N$57,14)</f>
        <v>#N/A</v>
      </c>
      <c r="BB97">
        <f>IF(Исходн.данные.!AH97=0,0,25)</f>
        <v>0</v>
      </c>
      <c r="BC97" s="141">
        <f>IF(Исходн.данные.!AH97=0,0,IF(Исходн.данные.!T97=0,25,BD97))</f>
        <v>0</v>
      </c>
      <c r="BD97" s="168" t="e">
        <f>AY97+AZ97*Исходн.данные.!U97-POWER(BA97,2)*Исходн.данные.!U97</f>
        <v>#N/A</v>
      </c>
      <c r="BE9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7" s="25">
        <f>IF(Исходн.данные.!AH97=0,0,MIN(HN97:HP97))</f>
        <v>0</v>
      </c>
      <c r="BG97" s="9">
        <f>IF(Исходн.данные.!AH97=0,0,IF((HO97+10*0.25/HG97/HL97)&lt;17,17,HO97+10*0.25/HG97/HL97))</f>
        <v>0</v>
      </c>
      <c r="BH97" s="181">
        <f>IF(Исходн.данные.!AH97=0,0,HW97*HF97*HL97/AU97*AI97+Исходн.данные.!S97*10)</f>
        <v>0</v>
      </c>
      <c r="BI97" s="10"/>
      <c r="BJ97" s="182">
        <f>IF(Исходн.данные.!AH97=0,0,IF(HX97*HG97*HL97/AV97&lt;0,0,HX97*HG97*HL97/AV97*AJ97))</f>
        <v>0</v>
      </c>
      <c r="BK97" s="182">
        <f>IF(Исходн.данные.!AH97=0,0,HY97*HH97*HM97/AW97)</f>
        <v>0</v>
      </c>
      <c r="BL97" s="10">
        <f>IF(OR(Исходн.данные.!$AH97=$BP$1,Исходн.данные.!$AH97=$BP$2),0,IF(BH97&lt;0,0,IF(OR(Исходн.данные.!T97=Расчет!$BP$1,Исходн.данные.!T97=Расчет!$BP$2,Исходн.данные.!T97=Расчет!$BT$5,Исходн.данные.!T97=Расчет!$BT$6),BH97*0.5,IF(OR(Исходн.данные.!T97=Расчет!$BS$9,Исходн.данные.!T97=Расчет!$BS$10,Исходн.данные.!T97=Расчет!$BS$11,Исходн.данные.!T97=Расчет!$BS$12,Исходн.данные.!T97=Расчет!$BP$5),BH97*0.8,BH97))))</f>
        <v>0</v>
      </c>
      <c r="BM97" s="10">
        <f>IF(OR(Исходн.данные.!$AH97=$BP$1,Исходн.данные.!$AH97=$BP$2),0,IF(BJ97&lt;0,0,IF(Исходн.данные.!I97&lt;4.5,BJ97*1.2,IF(Исходн.данные.!I97&gt;5.1,BJ97,BJ97*((5.1-Исходн.данные.!I97)*0.333+1)))))</f>
        <v>0</v>
      </c>
      <c r="BN97" s="10">
        <f>IF(OR(Исходн.данные.!$AH97=$BP$1,Исходн.данные.!$AH97=$BP$2),60-Исходн.данные.!AF97,IF(BK97&lt;0,0,IF(Исходн.данные.!I97&lt;4.5,BK97*1.2,IF(Исходн.данные.!I97&gt;5.1,BK97,BK97*((5.1-Исходн.данные.!I97)*0.333+1)))))</f>
        <v>0</v>
      </c>
      <c r="BO97" s="9">
        <f>IF(BL97&lt;0,0,BL97*Исходн.данные.!$AJ97/1000)</f>
        <v>0</v>
      </c>
      <c r="BP97" s="9">
        <f>IF(BM97&lt;0,0,BM97*Исходн.данные.!$AJ97/1000)</f>
        <v>0</v>
      </c>
      <c r="BQ97" s="9">
        <f>IF(BN97&lt;0,0,BN97*Исходн.данные.!$AJ97/1000)</f>
        <v>0</v>
      </c>
      <c r="BR97" s="9">
        <f t="shared" si="155"/>
        <v>0</v>
      </c>
      <c r="BS97" s="10" t="str">
        <f t="shared" si="156"/>
        <v>Аммофос 12:52:00</v>
      </c>
      <c r="BT97" s="10" t="str">
        <f t="shared" si="157"/>
        <v>Аммофос 12:52:00</v>
      </c>
      <c r="BU97" s="10" t="str">
        <f t="shared" si="158"/>
        <v>Диаммофоска</v>
      </c>
      <c r="BV97" s="10">
        <f t="shared" si="159"/>
        <v>0</v>
      </c>
      <c r="BW97" s="10"/>
      <c r="BX97" s="10"/>
      <c r="BY97" s="9">
        <f>IF(BL97&lt;0,0,IF(OR(Исходн.данные.!AI97=Расчет!$BU$6,Исходн.данные.!AI97=Расчет!$BU$7),Расчет!BV97,IF(Исходн.данные.!$AG97=$BV$11,BL97,IF(OR(Исходн.данные.!$AH97=$BQ$7,Исходн.данные.!$AH97=$BQ$8),CB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0,IF(Исходн.данные.!$AI97=$BU$11,"Нет",IF(BL97&gt;30,30,BL97)))))))</f>
        <v>0</v>
      </c>
      <c r="BZ97" s="9">
        <f>IF(AND(Исходн.данные.!$AG97=$BV$11,BM97&lt;10),10,IF(Исходн.данные.!$AG97=$BV$11,BM97,IF(OR(Исходн.данные.!$AH97=$BQ$7,Исходн.данные.!$AH97=$BQ$8),CC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10,IF(Исходн.данные.!$AI97=$BU$11,"Нет",IF(BM97&gt;60,60,IF(BM97&lt;10,10,BM97)))))))</f>
        <v>10</v>
      </c>
      <c r="CA97" s="39">
        <f>IF(BN97&lt;0,0,IF(Исходн.данные.!$AG97=$BV$11,BN97,IF(OR(Исходн.данные.!$AH97=$BQ$7,Исходн.данные.!$AH97=$BQ$8),CD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0,IF(Исходн.данные.!$AI97=$BU$11,"Нет",IF(BN97&gt;30,30,BN97))))))</f>
        <v>0</v>
      </c>
      <c r="CB97" s="9">
        <f t="shared" si="160"/>
        <v>0</v>
      </c>
      <c r="CC97" s="9">
        <f t="shared" si="161"/>
        <v>0</v>
      </c>
      <c r="CD97" s="9">
        <f t="shared" si="162"/>
        <v>0</v>
      </c>
      <c r="CE97" s="12">
        <f t="shared" si="163"/>
        <v>10</v>
      </c>
      <c r="CF97" s="9">
        <f t="shared" si="164"/>
        <v>0</v>
      </c>
      <c r="CG97" s="9" t="s">
        <v>231</v>
      </c>
      <c r="CH97" s="132" t="str">
        <f>IF(Исходн.данные.!AP97=Расчет!$CI$16,"Нет",IF(Исходн.данные.!AL97&gt;0,Исходн.данные.!AL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BH$4,IF(OR(Исходн.данные.!AI97=Исходн.данные.!$AI$6,Исходн.данные.!AI97=Исходн.данные.!$AI$7),Расчет!BS97,IF(AND($CF97=0,$CE97&gt;0),EV97,ER97)))))</f>
        <v>Аммофос 12:52:00</v>
      </c>
      <c r="CI97" s="274">
        <f>IF(Расчет!$CH97="Нет","Нет",IF(Исходн.данные.!$AL97&gt;0,VLOOKUP(Расчет!$CH97,АшламаДВ_Irekle,2,FALSE),VLOOKUP(Расчет!$CH97,АшламаДВ_Gomumy,2,FALSE)))</f>
        <v>0.12</v>
      </c>
      <c r="CJ97" s="274">
        <f>IF(Расчет!$CH97="Нет","Нет",IF(Исходн.данные.!$AL97&gt;0,VLOOKUP(Расчет!$CH97,АшламаДВ_Irekle,3,FALSE),VLOOKUP(Расчет!$CH97,АшламаДВ_Gomumy,3,FALSE)))</f>
        <v>0.52</v>
      </c>
      <c r="CK97" s="274">
        <f>IF(Расчет!$CH97="Нет","Нет",IF(Исходн.данные.!$AL97&gt;0,VLOOKUP(Расчет!$CH97,АшламаДВ_Irekle,4,FALSE),VLOOKUP(Расчет!$CH97,АшламаДВ_Gomumy,4,FALSE)))</f>
        <v>0</v>
      </c>
      <c r="CL97" s="70"/>
      <c r="CM97" s="70"/>
      <c r="CN97" s="70"/>
      <c r="CO97" s="70"/>
      <c r="CP97" s="70"/>
      <c r="CQ97" s="70"/>
      <c r="CR97" s="10">
        <f t="shared" si="165"/>
        <v>0</v>
      </c>
      <c r="CS97" s="10">
        <f t="shared" si="166"/>
        <v>19.23076923076923</v>
      </c>
      <c r="CT97" s="10">
        <f t="shared" si="167"/>
        <v>0</v>
      </c>
      <c r="CU97" s="39">
        <f>IF($CH97="Нет",0,IF(CI97=0,30/MIN(CJ97:CK97),IF(Исходн.данные.!$AG97=$BV$11,CR97,IF(OR(Исходн.данные.!$AH97=$BQ$7,Исходн.данные.!$AH97=$BQ$8),90/CI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0,IF(Исходн.данные.!$AI97=$BU$11,"Нет",30/CI97))))))</f>
        <v>250</v>
      </c>
      <c r="CV97" s="39">
        <f>IF($CH97="Нет",0,IF(Исходн.данные.!AH97=0,0,IF(CJ97=0,60/MIN(CI97,CK97),IF(Исходн.данные.!$AG97=$BV$11,CS97,IF(OR(Исходн.данные.!$AH97=$BQ$7,Исходн.данные.!$AH97=$BQ$8),90/CJ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10/CJ97,IF(Исходн.данные.!$AI97=$BU$11,"Нет",60/CJ97)))))))</f>
        <v>0</v>
      </c>
      <c r="CW97" s="39">
        <f>IF($CH97="Нет",0,IF(Исходн.данные.!AH97=0,0,IF(CK97=0,30/MIN(CI97:CJ97),IF(Исходн.данные.!$AG97=$BV$11,CT97,IF(OR(Исходн.данные.!$AH97=$BQ$7,Исходн.данные.!$AH97=$BQ$8),90/CK97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0,IF(Исходн.данные.!$AI97=$BU$11,"Нет",30/CK97)))))))</f>
        <v>0</v>
      </c>
      <c r="CX97" s="133">
        <f>IF(Исходн.данные.!$AG97=$BV$11,MAX(CU97:CW97),IF(OR(Исходн.данные.!$AH97=$BS$8,Исходн.данные.!$AH97=$BQ$9,Исходн.данные.!$AH97=$BQ$10,Исходн.данные.!$AH97=$BQ$11,Исходн.данные.!$AH97=$BQ$12,Исходн.данные.!$AH97=$BP$3,Исходн.данные.!$AH97=$BT$8,$FM97="Да"),CV97,MIN(CU97:CW97)))</f>
        <v>0</v>
      </c>
      <c r="CY97" s="133">
        <f>IF(Исходн.данные.!AH97=0,0,IF(CR97&gt;$CX97,$CX97,CR97))</f>
        <v>0</v>
      </c>
      <c r="CZ97" s="133">
        <f>IF(Исходн.данные.!AH97=0,0,IF(CS97&gt;$CX97,$CX97,CS97))</f>
        <v>0</v>
      </c>
      <c r="DA97" s="133">
        <f>IF(Исходн.данные.!AH97=0,0,IF(CT97&gt;$CX97,$CX97,CT97))</f>
        <v>0</v>
      </c>
      <c r="DB97" s="10">
        <f t="shared" si="168"/>
        <v>0</v>
      </c>
      <c r="DC97" s="39">
        <f>DB97*Исходн.данные.!AJ97/1000</f>
        <v>0</v>
      </c>
      <c r="DD97" s="71">
        <f t="shared" si="169"/>
        <v>0</v>
      </c>
      <c r="DE97" s="9">
        <f t="shared" si="170"/>
        <v>0</v>
      </c>
      <c r="DF97" s="9">
        <f t="shared" si="171"/>
        <v>0</v>
      </c>
      <c r="DG97" s="39">
        <f>IF(BL97&lt;0,0,IF($CH97="Нет",BL97,IF(OR(Исходн.данные.!$AH97=$BP$1,Исходн.данные.!$AH97=$BP$2),0,IF(Исходн.данные.!AI97=$BU$11,BL97,IF(BL97-DD97&lt;0,0,BL97-DD97)))))</f>
        <v>0</v>
      </c>
      <c r="DH97" s="39">
        <f>IF(BM97&lt;0,0,IF($CH97="Нет",BM97,IF(OR(Исходн.данные.!$AH97=$BP$1,Исходн.данные.!$AH97=$BP$2),0,IF(Исходн.данные.!AJ97=$BU$11,BM97,IF(BM97-DE97&lt;0,0,BM97-DE97)))))</f>
        <v>0</v>
      </c>
      <c r="DI97" s="39">
        <f>IF(BN97&lt;0,0,IF($CH97="Нет",BN97,IF(OR(Исходн.данные.!$AH97=$BP$1,Исходн.данные.!$AH97=$BP$2),0,IF(Исходн.данные.!AK97=$BU$11,BN97,IF(BN97-DF97&lt;0,0,BN97-DF97)))))</f>
        <v>0</v>
      </c>
      <c r="DJ97" s="12">
        <f t="shared" si="172"/>
        <v>0</v>
      </c>
      <c r="DK97" s="9">
        <f t="shared" si="173"/>
        <v>0</v>
      </c>
      <c r="DL97" s="39">
        <f>IF(Исходн.данные.!AM97&gt;0,Исходн.данные.!AM97,IF(EG97&gt;0,$BH$10,0))</f>
        <v>0</v>
      </c>
      <c r="DM97" s="186">
        <f>IF($DL97=0,0,IF(Исходн.данные.!AM97&gt;0,VLOOKUP($DL97,АшламаДВ_Irekle,2,FALSE),VLOOKUP($DL97,АшламаДВ_Gomumy,2,FALSE)))</f>
        <v>0</v>
      </c>
      <c r="DN97" s="10">
        <f t="shared" si="151"/>
        <v>0</v>
      </c>
      <c r="DO97" s="9" t="str">
        <f>IF(Исходн.данные.!AN97&gt;0,Исходн.данные.!AN97,Удобрения!$B$37 )</f>
        <v>Хлор.калий</v>
      </c>
      <c r="DP97" s="9">
        <f>IF(Исходн.данные.!AN97&gt;0,VLOOKUP(Исходн.данные.!AN97,АшламаДВ_Irekle,4,FALSE),VLOOKUP(DO97,АшламаДВ_Gomumy,4,FALSE))</f>
        <v>0.6</v>
      </c>
      <c r="DQ97" s="10">
        <f t="shared" si="152"/>
        <v>0</v>
      </c>
      <c r="DR97" s="132" t="str">
        <f>IF(Исходн.данные.!AO97&gt;0,Исходн.данные.!AO97,IF(DH97=0,BS$17,IF(AND($DK97=0,$DJ97&gt;0),EJ97,EN97)))</f>
        <v>Нет</v>
      </c>
      <c r="DS97" s="70" t="str">
        <f>IF($DR97="Нет","Нет",IF(Исходн.данные.!$AO97&gt;0,VLOOKUP($DR97,АшламаДВ_Irekle,2,FALSE),VLOOKUP($DR97,АшламаДВ_Gomumy,2,FALSE)))</f>
        <v>Нет</v>
      </c>
      <c r="DT97" s="70" t="str">
        <f>IF($DR97="Нет","Нет",IF(Исходн.данные.!$AO97&gt;0,VLOOKUP($DR97,АшламаДВ_Irekle,3,FALSE),VLOOKUP($DR97,АшламаДВ_Gomumy,3,FALSE)))</f>
        <v>Нет</v>
      </c>
      <c r="DU97" s="70" t="str">
        <f>IF($DR97="Нет","Нет",IF(Исходн.данные.!$AO97&gt;0,VLOOKUP($DR97,АшламаДВ_Irekle,4,FALSE),VLOOKUP($DR97,АшламаДВ_Gomumy,4,FALSE)))</f>
        <v>Нет</v>
      </c>
      <c r="DV97" s="70"/>
      <c r="DW97" s="70"/>
      <c r="DX97" s="70"/>
      <c r="DY97" s="10">
        <f t="shared" si="174"/>
        <v>0</v>
      </c>
      <c r="DZ97" s="10">
        <f t="shared" si="175"/>
        <v>0</v>
      </c>
      <c r="EA97" s="10">
        <f t="shared" si="176"/>
        <v>0</v>
      </c>
      <c r="EB97" s="10">
        <f t="shared" si="177"/>
        <v>0</v>
      </c>
      <c r="EC97" s="10">
        <f t="shared" si="178"/>
        <v>0</v>
      </c>
      <c r="ED97" s="10">
        <f t="shared" si="179"/>
        <v>0</v>
      </c>
      <c r="EE97" s="10">
        <f t="shared" si="180"/>
        <v>0</v>
      </c>
      <c r="EF97" s="39">
        <f>EB97*Исходн.данные.!AJ97/1000</f>
        <v>0</v>
      </c>
      <c r="EG97" s="9">
        <f t="shared" si="181"/>
        <v>0</v>
      </c>
      <c r="EH97" s="9">
        <f t="shared" si="182"/>
        <v>0</v>
      </c>
      <c r="EI97" s="39" t="e">
        <f t="shared" si="132"/>
        <v>#DIV/0!</v>
      </c>
      <c r="EJ97" s="9" t="str">
        <f t="shared" si="153"/>
        <v>Азопреципитат</v>
      </c>
      <c r="EK97" s="12">
        <f t="shared" si="133"/>
        <v>0.26</v>
      </c>
      <c r="EL97" s="12">
        <f t="shared" si="134"/>
        <v>0.13</v>
      </c>
      <c r="EM97" s="12">
        <f t="shared" si="135"/>
        <v>0</v>
      </c>
      <c r="EN97" s="12" t="str">
        <f t="shared" si="154"/>
        <v>Нет</v>
      </c>
      <c r="EO97" s="12">
        <f t="shared" si="136"/>
        <v>0</v>
      </c>
      <c r="EP97" s="12">
        <f t="shared" si="137"/>
        <v>0</v>
      </c>
      <c r="EQ97" s="12">
        <f t="shared" si="138"/>
        <v>0</v>
      </c>
      <c r="ER97" s="12" t="str">
        <f t="shared" si="183"/>
        <v>Диаммофоска</v>
      </c>
      <c r="ES97" s="12">
        <f t="shared" si="139"/>
        <v>0.1</v>
      </c>
      <c r="ET97" s="12">
        <f t="shared" si="140"/>
        <v>0.26</v>
      </c>
      <c r="EU97" s="12">
        <f t="shared" si="141"/>
        <v>0.26</v>
      </c>
      <c r="EV97" s="12" t="str">
        <f t="shared" si="184"/>
        <v>Аммофос 12:52:00</v>
      </c>
      <c r="EW97" s="12" t="str">
        <f t="shared" si="185"/>
        <v>Кемира Свекловичное-6</v>
      </c>
      <c r="EX97" s="12">
        <f t="shared" si="142"/>
        <v>0.16</v>
      </c>
      <c r="EY97" s="12">
        <f t="shared" si="143"/>
        <v>0.12</v>
      </c>
      <c r="EZ97" s="12">
        <f t="shared" si="144"/>
        <v>0.17</v>
      </c>
      <c r="FA97" s="38" t="e">
        <f>IF(AND(OR(FJ97=$FD$1,FM97=$FD$1,FO97=$FD$1,FQ97=$FD$1,FS97=$FD$1),FD97=$FD$1,Исходн.данные.!J97&lt;2,FU97=$FD$1),"Бор,Кобальт",IF(AND(FO97=$FD$1,FH97=$FD$1,Исходн.данные.!J97&lt;2,FU97=$FD$1),"Бор,Кобальт",IF(AND(OR(FJ97=$FD$1,FM97=$FD$1,FQ97=$FD$1),FE97=$FD$1,Исходн.данные.!J97&lt;2,FT97=$FD$1,FU97=$FD$1),"Бор,Медь,Цинк",IF(AND(OR(FJ97=$FD$1,FR97="Да"),FI97="Да",Исходн.данные.!J97&lt;2,FT97="Да",FU97="Да"),"Бор,Цинк,Медь",IF(AND(OR(FM97="Да",FQ97="Да"),FI97="Да",Исходн.данные.!J97&lt;2,FT97="Да",FU97="Да"),"Бор,Цинк",IF(AND(FN97="Да",OR(FD97="Да",FE97="Да")),"Бор",FB97))))))</f>
        <v>#N/A</v>
      </c>
      <c r="FB97" s="134" t="e">
        <f>IF(AND(OR(FD97="Да",FE97="Да",FF97="Да",FG97="Да",FH97="Да"),FO97="Да"),"Бор",IF(AND(FP97="Да",OR(FD97="Да",FE97="Да",FI97="Да")),"Бор",IF(AND(FS97="Да",FE97="Да"),"Бор,Медь",IF(AND(OR(FJ97="Да",FK97="Да",FL97="Да"),FE97="Да",Исходн.данные.!I97&lt;5,FT97="Да",FU97="Да"),"Молибден,Цинк",IF(AND(FM97="Да",OR(FE97="Да",FF97="Да",FG97="Да",FH97="Да",FI97="Да")),"Молибден,Цинк",IF(AND(OR(FJ97="Да",FK97="Да",FL97="Да",FM97="Да",FQ97="Да"),OR(FE97="Да",FF97="Да"),FT97="Да",FU97="Да",Исходн.данные.!I97&gt;5.5),"Медь,Цинк",FC97))))))</f>
        <v>#N/A</v>
      </c>
      <c r="FC97" s="23" t="e">
        <f t="shared" si="186"/>
        <v>#N/A</v>
      </c>
      <c r="FD97" s="38" t="str">
        <f>IF(OR(Исходн.данные.!F97=$CC$1,Исходн.данные.!F97=$CC$2,Исходн.данные.!F97=$CC$3,Исходн.данные.!F97=$CC$4),"Да","Нет")</f>
        <v>Нет</v>
      </c>
      <c r="FE97" s="38" t="str">
        <f>IF(Исходн.данные.!F97=$CC$5,"Да","Нет")</f>
        <v>Нет</v>
      </c>
      <c r="FF97" s="38" t="str">
        <f>IF(OR(Исходн.данные.!F97=$CC$6,Исходн.данные.!F97=$CC$7),"Да","Нет")</f>
        <v>Нет</v>
      </c>
      <c r="FG97" s="38" t="str">
        <f>IF(OR(Исходн.данные.!F97=$CC$8,Исходн.данные.!F97=$CC$9),"Да","Нет")</f>
        <v>Нет</v>
      </c>
      <c r="FH97" s="38" t="str">
        <f>IF(Исходн.данные.!F97=$CC$10,"Да","Нет")</f>
        <v>Нет</v>
      </c>
      <c r="FI97" s="38" t="str">
        <f>IF(OR(Исходн.данные.!F97=$CC$11,Исходн.данные.!F97=$CC$12),"Да","Нет")</f>
        <v>Нет</v>
      </c>
      <c r="FJ97" s="38" t="str">
        <f>IF(OR(Исходн.данные.!AH97=$BS$1,Исходн.данные.!AH97=$BQ$11,Исходн.данные.!AH97=$BQ$12),"Да","Нет")</f>
        <v>Нет</v>
      </c>
      <c r="FK97" s="38" t="str">
        <f>IF(OR(Исходн.данные.!AH97=$BS$2,Исходн.данные.!AH97=$BS$4),"Да","Нет")</f>
        <v>Нет</v>
      </c>
      <c r="FL97" s="38" t="str">
        <f>IF(OR(Исходн.данные.!AH97=$BS$3,Исходн.данные.!AH97=$BS$5),"Да","Нет")</f>
        <v>Нет</v>
      </c>
      <c r="FM97" s="38" t="str">
        <f>IF(OR(Исходн.данные.!AH97=$BS$9,Исходн.данные.!AH97=$BS$10,Исходн.данные.!AH97=$BS$11,Исходн.данные.!AH97=$BS$12),"Да","Нет")</f>
        <v>Нет</v>
      </c>
      <c r="FN97" s="38" t="str">
        <f>IF(OR(Исходн.данные.!AH97=$BS$6,Исходн.данные.!AH97=$BP$3),"Да","Нет")</f>
        <v>Нет</v>
      </c>
      <c r="FO97" s="38" t="str">
        <f>IF(Исходн.данные.!AH97=$BQ$9,"Да","Нет")</f>
        <v>Нет</v>
      </c>
      <c r="FP97" s="38" t="str">
        <f>IF(OR(Исходн.данные.!AH97=$BS$8,Исходн.данные.!AH97=$BT$8),"Да","Нет")</f>
        <v>Нет</v>
      </c>
      <c r="FQ97" s="38" t="str">
        <f>IF(OR(Исходн.данные.!AH97=$BQ$7,Исходн.данные.!AH97=$BQ$8),"Да","Нет")</f>
        <v>Нет</v>
      </c>
      <c r="FR97" s="38" t="str">
        <f>IF(Исходн.данные.!AI97=$BU$9,"Да","Нет")</f>
        <v>Нет</v>
      </c>
      <c r="FS97" s="38" t="str">
        <f>IF(OR(Исходн.данные.!AH97=$BP$1,Исходн.данные.!AH97=$BP$2),"Да","Нет")</f>
        <v>Нет</v>
      </c>
      <c r="FT97" s="38" t="e">
        <f>IF((Исходн.данные.!K97*GO97*GS97*GW97+BL97*0.6+Исходн.данные.!Q97*4.5*0.275)&gt;90,"Да","Нет")</f>
        <v>#N/A</v>
      </c>
      <c r="FU97" s="38" t="e">
        <f>IF((Исходн.данные.!M97*GS97*GZ97+BM97*0.225)&gt;35,"Да","Нет")</f>
        <v>#N/A</v>
      </c>
      <c r="FV97" s="38" t="str">
        <f>IF(Исходн.данные.!O97&gt;175,"Да","Нет")</f>
        <v>Нет</v>
      </c>
      <c r="FW97" s="39" t="str">
        <f>IF(Исходн.данные.!I97&gt;5.5,"Да","Нет")</f>
        <v>Нет</v>
      </c>
      <c r="FX97" s="39" t="str">
        <f>IF(Исходн.данные.!J97&lt;2,"Да","Нет")</f>
        <v>Да</v>
      </c>
      <c r="FY97" s="39" t="e">
        <f>IF(HF97=$FY$16,0,Исходн.данные.!K97*GO97*GS97*GW97/HF97)</f>
        <v>#N/A</v>
      </c>
      <c r="FZ97" s="39" t="e">
        <f>Исходн.данные.!M97*GS97*GZ97/HG97</f>
        <v>#N/A</v>
      </c>
      <c r="GA97" s="39" t="e">
        <f>IF(K_Wyn=$FY$16,0,IF(Исходн.данные.!N97=Исходн.данные.!$L$10,Исходн.данные.!O97/1.1*GS97*HC97/HH97,IF(Исходн.данные.!N97=Исходн.данные.!$L$12,Исходн.данные.!O97/1.5*GS97*HC97/HH97,Исходн.данные.!O97*GS97*HC97/HH97)))</f>
        <v>#N/A</v>
      </c>
      <c r="GB97" s="39" t="e">
        <f>IF(HF97=$FY$16,0,((Исходн.данные.!Q97*N_Org+Исходн.данные.!R97*N_Sider+Исходн.данные.!S97*N_Soloma)*AO97+Расчет!BC97*VLOOKUP(Исходн.данные.!T97,Справ!$A$3:$O$57,15)*AO97+BB97*VLOOKUP(Исходн.данные.!T97,Справ!$A$3:$O$57,15)*AL97+(Исходн.данные.!V97*N_Rizotorf+Исходн.данные.!W97*N_Rizoagr))/HF97)</f>
        <v>#N/A</v>
      </c>
      <c r="GC97" s="39" t="e">
        <f>IF(HG97=$FY$16,0,((Исходн.данные.!Q97*Р_Org+Исходн.данные.!R97*P_Sider+Исходн.данные.!S97*P_Soloma)*AP97+Расчет!BC97*VLOOKUP(Исходн.данные.!T97,Справ!$A$3:$P$57,16)*AP97+BB97*VLOOKUP(Исходн.данные.!T97,Справ!$A$3:$P$57,16)*AM97)/HG97)</f>
        <v>#N/A</v>
      </c>
      <c r="GD97" s="39" t="e">
        <f>IF(HH97=$FY$16,0,((Исходн.данные.!Q97*К_Org+Исходн.данные.!R97*K_Sider+Исходн.данные.!S97*K_Soloma)*AQ97+Расчет!BC97*VLOOKUP(Исходн.данные.!T97,Справ!$A$3:$Q$57,17)*AQ97+BB97*VLOOKUP(Исходн.данные.!T97,Справ!$A$3:$Q$57,17)*AN97)/HH97)</f>
        <v>#N/A</v>
      </c>
      <c r="GE97" s="39" t="e">
        <f>IF(HF97=$FY$16,0,(Исходн.данные.!X97*AR97+Исходн.данные.!AA97*N_Org*AL97+Исходн.данные.!AB97*N_Sider*AL97+Исходн.данные.!AC97*N_Soloma*AL97)/HF97)</f>
        <v>#N/A</v>
      </c>
      <c r="GF97" s="39" t="e">
        <f>IF(HG97=$FY$16,0,(Исходн.данные.!Y97*AS97+Исходн.данные.!AA97*Р_Org*AM97+Исходн.данные.!AB97*P_Sider*AM97+Исходн.данные.!AC97*P_Soloma*AM97)/HG97)</f>
        <v>#N/A</v>
      </c>
      <c r="GG97" s="39" t="e">
        <f>IF(HH97=$FY$16,0,(Исходн.данные.!Z97*AT97+Исходн.данные.!AA97*К_Org*AN97+Исходн.данные.!AB97*K_Sider*AN97+Исходн.данные.!AC97*K_Soloma*AN97)/HH97)</f>
        <v>#N/A</v>
      </c>
      <c r="GH97" s="39" t="e">
        <f>Исходн.данные.!AD97*AU97/HF97</f>
        <v>#N/A</v>
      </c>
      <c r="GI97" s="39" t="e">
        <f>Исходн.данные.!AE97*AV97/HG97</f>
        <v>#N/A</v>
      </c>
      <c r="GJ97" s="39" t="e">
        <f>Исходн.данные.!AF97*AW97/HH97</f>
        <v>#N/A</v>
      </c>
      <c r="GK97" s="55">
        <f>Исходн.данные.!AK97</f>
        <v>0</v>
      </c>
      <c r="GL97" s="11" t="e">
        <f t="shared" si="187"/>
        <v>#N/A</v>
      </c>
      <c r="GM97" s="11" t="e">
        <f t="shared" si="188"/>
        <v>#N/A</v>
      </c>
      <c r="GN97" s="11" t="e">
        <f t="shared" si="189"/>
        <v>#N/A</v>
      </c>
      <c r="GO97" s="57">
        <f t="shared" si="190"/>
        <v>19</v>
      </c>
      <c r="GP97" s="55">
        <f>IF(OR(Исходн.данные.!F97=$CE$1,Исходн.данные.!F97=$CE$2,Исходн.данные.!F97=$CE$3,Исходн.данные.!F97=$CE$4,Исходн.данные.!F97=$CE$5),GQ97,GR97)</f>
        <v>19</v>
      </c>
      <c r="GQ97" s="55">
        <f>IF(Исходн.данные.!F97=$CE$1,28,IF(Исходн.данные.!F97=$CE$2,26,IF(Исходн.данные.!F97=$CE$3,24,IF(Исходн.данные.!F97=$CE$4,22,IF(Исходн.данные.!F97=$CE$5,20,GR97)))))</f>
        <v>19</v>
      </c>
      <c r="GR97" s="55">
        <f>IF(Исходн.данные.!F97=$CE$6,18,IF(Исходн.данные.!F97=$CE$7,16,IF(Исходн.данные.!F97=$CE$8,14,IF(Исходн.данные.!F97=$CE$9,13,IF(Исходн.данные.!F97=$CE$10,12,19)))))</f>
        <v>19</v>
      </c>
      <c r="GS97" s="55">
        <f>IF(Исходн.данные.!G97="Пес",0.035*(40+2*Исходн.данные.!H97),IF(Исходн.данные.!G97="Суп",0.0325*(40+2*Исходн.данные.!H97),0.03*(40+2*Исходн.данные.!H97)))</f>
        <v>1.2</v>
      </c>
      <c r="GT97" s="55">
        <f>IF(Исходн.данные.!H97&lt;23,2.6,IF(AND(Исходн.данные.!H97&gt;22,Исходн.данные.!H97&lt;26),3,IF(AND(Исходн.данные.!H97&gt;25,Исходн.данные.!H97&lt;29),3.4,3.6)))</f>
        <v>2.6</v>
      </c>
      <c r="GU97" s="55">
        <f>IF(Исходн.данные.!H97&lt;23,2.8,IF(AND(Исходн.данные.!H97&gt;22,Исходн.данные.!H97&lt;26),3.2,IF(AND(Исходн.данные.!H97&gt;25,Исходн.данные.!H97&lt;29),3.6,3.9)))</f>
        <v>2.8</v>
      </c>
      <c r="GV97" s="55">
        <f>IF(Исходн.данные.!H97&lt;23,3,IF(AND(Исходн.данные.!H97&gt;22,Исходн.данные.!H97&lt;26),3.5,IF(AND(Исходн.данные.!H97&gt;25,Исходн.данные.!H97&lt;29),3.9,4.2)))</f>
        <v>3</v>
      </c>
      <c r="GW97" s="55" t="e">
        <f>IF(Исходн.данные.!P97="Ум",GX97,GY97)</f>
        <v>#N/A</v>
      </c>
      <c r="GX97" s="55" t="e">
        <f>VLOOKUP(Исходн.данные.!AI97,Коэффициенты!$J$7:$L$13,2,FALSE)</f>
        <v>#N/A</v>
      </c>
      <c r="GY97" s="55" t="e">
        <f>VLOOKUP(Исходн.данные.!AI97,Коэффициенты!$J$7:$L$13,3,FALSE)</f>
        <v>#N/A</v>
      </c>
      <c r="GZ97" s="55" t="e">
        <f>(IF(Исходн.данные.!M97&lt;50,0.11*VLOOKUP(Исходн.данные.!AH97,Культуры.Информация,7,FALSE),IF(Исходн.данные.!M97&gt;250,0.05*VLOOKUP(Исходн.данные.!AH97,Культуры.Информация,7,FALSE),VLOOKUP(Исходн.данные.!AH97,Культуры.Информация,5,FALSE)/100*($GX$6+$GY$6*Исходн.данные.!M97))))*Расчет2!AI97</f>
        <v>#N/A</v>
      </c>
      <c r="HA97" s="211"/>
      <c r="HB97" s="211"/>
      <c r="HC97" s="55" t="e">
        <f>(IF(Исходн.данные.!O97&lt;80,0.2*VLOOKUP(Исходн.данные.!AH97,Культуры.Информация,8,FALSE),IF(Исходн.данные.!O97&gt;240,0.09*VLOOKUP(Исходн.данные.!AH97,Культуры.Информация,8,FALSE),VLOOKUP(Исходн.данные.!AH97,Культуры.Информация,6,FALSE)/100*($HB$6+$HC$6*Исходн.данные.!O97))))*Расчет2!AJ97</f>
        <v>#N/A</v>
      </c>
      <c r="HD97" s="55">
        <f>IF(Исходн.данные.!O97&gt;240,0.09,IF(Исходн.данные.!O97&lt;30,0.3,$HE$10+$HD$10*Исходн.данные.!O97))</f>
        <v>0.3</v>
      </c>
      <c r="HE97" s="55">
        <f>IF(Исходн.данные.!O97&gt;240,0.17,IF(Исходн.данные.!O97&lt;30,0.5,$HF$12+$HE$12*Исходн.данные.!O97))</f>
        <v>0.5</v>
      </c>
      <c r="HF97" s="55" t="e">
        <f>VLOOKUP(Исходн.данные.!AH97,Справ!$A$3:$D$58,2,FALSE)</f>
        <v>#N/A</v>
      </c>
      <c r="HG97" s="55" t="e">
        <f>VLOOKUP(Исходн.данные.!AH97,Справ!$A$3:$D$58,3,FALSE)</f>
        <v>#N/A</v>
      </c>
      <c r="HH97" s="55" t="e">
        <f>VLOOKUP(Исходн.данные.!AH97,Справ!$A$3:$D$58,4,FALSE)</f>
        <v>#N/A</v>
      </c>
      <c r="HI97" s="11" t="e">
        <f t="shared" si="191"/>
        <v>#N/A</v>
      </c>
      <c r="HJ97" s="11" t="e">
        <f t="shared" si="192"/>
        <v>#N/A</v>
      </c>
      <c r="HK97" s="11" t="e">
        <f t="shared" si="193"/>
        <v>#N/A</v>
      </c>
      <c r="HL97" s="55">
        <f>IF(OR(Исходн.данные.!G97="Глин",Исходн.данные.!G97="Т_суг"),1.1,IF(Исходн.данные.!G97="Ср_суг",1,1))</f>
        <v>1</v>
      </c>
      <c r="HM97" s="55">
        <f>IF(OR(Исходн.данные.!G97="Глин",Исходн.данные.!G97="Т_суг"),0.9,IF(Исходн.данные.!G97="Ср_суг",1,1.2))</f>
        <v>1.2</v>
      </c>
      <c r="HN97" s="11" t="e">
        <f t="shared" si="194"/>
        <v>#N/A</v>
      </c>
      <c r="HO97" s="11" t="e">
        <f t="shared" si="195"/>
        <v>#N/A</v>
      </c>
      <c r="HP97" s="11" t="e">
        <f t="shared" si="196"/>
        <v>#N/A</v>
      </c>
      <c r="HQ97" t="e">
        <f t="shared" si="197"/>
        <v>#N/A</v>
      </c>
      <c r="HR97" t="e">
        <f t="shared" si="198"/>
        <v>#N/A</v>
      </c>
      <c r="HS97" t="e">
        <f t="shared" si="199"/>
        <v>#N/A</v>
      </c>
      <c r="HT97" t="e">
        <f t="shared" si="145"/>
        <v>#N/A</v>
      </c>
      <c r="HU97" t="e">
        <f t="shared" si="146"/>
        <v>#N/A</v>
      </c>
      <c r="HV97" t="e">
        <f t="shared" si="147"/>
        <v>#N/A</v>
      </c>
      <c r="HW97" t="e">
        <f t="shared" si="148"/>
        <v>#N/A</v>
      </c>
      <c r="HX97" t="e">
        <f t="shared" si="149"/>
        <v>#N/A</v>
      </c>
      <c r="HY97" t="e">
        <f t="shared" si="150"/>
        <v>#N/A</v>
      </c>
      <c r="HZ97" s="55">
        <f>IF(OR(Исходн.данные.!AI97="Оз_Ч_П",Исходн.данные.!AI97="Оз_З_П",Исходн.данные.!AI97="Яр_зер"),12,30)</f>
        <v>30</v>
      </c>
      <c r="IA97" t="e">
        <f t="shared" si="200"/>
        <v>#N/A</v>
      </c>
      <c r="IB97" t="e">
        <f t="shared" si="201"/>
        <v>#N/A</v>
      </c>
      <c r="IC97" t="e">
        <f t="shared" si="202"/>
        <v>#N/A</v>
      </c>
      <c r="ID97" s="11" t="e">
        <f t="shared" si="203"/>
        <v>#N/A</v>
      </c>
      <c r="IE97" s="11" t="e">
        <f t="shared" si="204"/>
        <v>#N/A</v>
      </c>
      <c r="IF97" s="11" t="e">
        <f t="shared" si="205"/>
        <v>#N/A</v>
      </c>
    </row>
    <row r="98" spans="35:240" x14ac:dyDescent="0.2">
      <c r="AI98">
        <f>IF(Исходн.данные.!I98&gt;6,1,1.85-(0.148*Исходн.данные.!I98))</f>
        <v>1.85</v>
      </c>
      <c r="AJ98">
        <f>IF(Исходн.данные.!I98&gt;6,1,2.434-(0.246*Исходн.данные.!I98))</f>
        <v>2.4340000000000002</v>
      </c>
      <c r="AL98" s="148" t="b">
        <f>IF(Исходн.данные.!$P98="Ум",N_OrgUd_2g_um,IF(Исходн.данные.!$P98="Об",N_OrgUd_2g_ob))</f>
        <v>0</v>
      </c>
      <c r="AM98" s="148" t="b">
        <f>IF(Исходн.данные.!$P98="Ум",P_OrgUd_2g_um,IF(Исходн.данные.!$P98="Об",P_OrgUd_2g_ob))</f>
        <v>0</v>
      </c>
      <c r="AN98" s="148" t="b">
        <f>IF(Исходн.данные.!$P98="Ум",K_OrgUd_2g_um,IF(Исходн.данные.!$P98="Об",K_OrgUd_2g_ob))</f>
        <v>0</v>
      </c>
      <c r="AO98" s="148" t="b">
        <f>IF(Исходн.данные.!$P98="Ум",N_OrgUd_1g_um,IF(Исходн.данные.!$P98="Об",N_OrgUd_1g_ob))</f>
        <v>0</v>
      </c>
      <c r="AP98" s="148" t="b">
        <f>IF(Исходн.данные.!$P98="Ум",P_OrgUd_1g_um,IF(Исходн.данные.!$P98="Об",P_OrgUd_1g_ob))</f>
        <v>0</v>
      </c>
      <c r="AQ98" s="148" t="b">
        <f>IF(Исходн.данные.!$P98="Ум",K_OrgUd_1g_um,IF(Исходн.данные.!$P98="Об",K_OrgUd_1g_ob))</f>
        <v>0</v>
      </c>
      <c r="AR98" t="b">
        <f>IF(Исходн.данные.!$P98="Ум",N_MinUd_2g_um,IF(Исходн.данные.!$P98="Об",N_MinUd_2g_ob))</f>
        <v>0</v>
      </c>
      <c r="AS98" t="b">
        <f>IF(Исходн.данные.!$P98="Ум",P_MinUd_2g_um,IF(Исходн.данные.!$P98="Об",P_MinUd_2g_ob))</f>
        <v>0</v>
      </c>
      <c r="AT98" t="b">
        <f>IF(Исходн.данные.!$P98="Ум",K_MinUd_2g_um,IF(Исходн.данные.!$P98="Об",K_MinUd_2g_ob))</f>
        <v>0</v>
      </c>
      <c r="AU98" t="b">
        <f>IF(Исходн.данные.!$P98="Ум",N_MinUd_1g_um,IF(Исходн.данные.!$P98="Об",N_MinUd_1g_ob))</f>
        <v>0</v>
      </c>
      <c r="AV98" t="b">
        <f>IF(Исходн.данные.!P98="Ум",P_MinUd_1g_um,IF(Исходн.данные.!P98="Об",P_MinUd_1g_ob))</f>
        <v>0</v>
      </c>
      <c r="AW98" t="b">
        <f>IF(Исходн.данные.!P98="Ум",K_MinUd_1g_um,IF(Исходн.данные.!P98="Об",K_MinUd_1g_ob))</f>
        <v>0</v>
      </c>
      <c r="AY98" t="e">
        <f>VLOOKUP(Исходн.данные.!T98,Справ!$A$3:$N$57,12)</f>
        <v>#N/A</v>
      </c>
      <c r="AZ98" t="e">
        <f>VLOOKUP(Исходн.данные.!T98,Справ!$A$3:$N$57,13)</f>
        <v>#N/A</v>
      </c>
      <c r="BA98" t="e">
        <f>VLOOKUP(Исходн.данные.!T98,Справ!$A$3:$N$57,14)</f>
        <v>#N/A</v>
      </c>
      <c r="BB98">
        <f>IF(Исходн.данные.!AH98=0,0,25)</f>
        <v>0</v>
      </c>
      <c r="BC98" s="141">
        <f>IF(Исходн.данные.!AH98=0,0,IF(Исходн.данные.!T98=0,25,BD98))</f>
        <v>0</v>
      </c>
      <c r="BD98" s="168" t="e">
        <f>AY98+AZ98*Исходн.данные.!U98-POWER(BA98,2)*Исходн.данные.!U98</f>
        <v>#N/A</v>
      </c>
      <c r="BE9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8" s="25">
        <f>IF(Исходн.данные.!AH98=0,0,MIN(HN98:HP98))</f>
        <v>0</v>
      </c>
      <c r="BG98" s="9">
        <f>IF(Исходн.данные.!AH98=0,0,IF((HO98+10*0.25/HG98/HL98)&lt;17,17,HO98+10*0.25/HG98/HL98))</f>
        <v>0</v>
      </c>
      <c r="BH98" s="181">
        <f>IF(Исходн.данные.!AH98=0,0,HW98*HF98*HL98/AU98*AI98+Исходн.данные.!S98*10)</f>
        <v>0</v>
      </c>
      <c r="BI98" s="10"/>
      <c r="BJ98" s="182">
        <f>IF(Исходн.данные.!AH98=0,0,IF(HX98*HG98*HL98/AV98&lt;0,0,HX98*HG98*HL98/AV98*AJ98))</f>
        <v>0</v>
      </c>
      <c r="BK98" s="182">
        <f>IF(Исходн.данные.!AH98=0,0,HY98*HH98*HM98/AW98)</f>
        <v>0</v>
      </c>
      <c r="BL98" s="10">
        <f>IF(OR(Исходн.данные.!$AH98=$BP$1,Исходн.данные.!$AH98=$BP$2),0,IF(BH98&lt;0,0,IF(OR(Исходн.данные.!T98=Расчет!$BP$1,Исходн.данные.!T98=Расчет!$BP$2,Исходн.данные.!T98=Расчет!$BT$5,Исходн.данные.!T98=Расчет!$BT$6),BH98*0.5,IF(OR(Исходн.данные.!T98=Расчет!$BS$9,Исходн.данные.!T98=Расчет!$BS$10,Исходн.данные.!T98=Расчет!$BS$11,Исходн.данные.!T98=Расчет!$BS$12,Исходн.данные.!T98=Расчет!$BP$5),BH98*0.8,BH98))))</f>
        <v>0</v>
      </c>
      <c r="BM98" s="10">
        <f>IF(OR(Исходн.данные.!$AH98=$BP$1,Исходн.данные.!$AH98=$BP$2),0,IF(BJ98&lt;0,0,IF(Исходн.данные.!I98&lt;4.5,BJ98*1.2,IF(Исходн.данные.!I98&gt;5.1,BJ98,BJ98*((5.1-Исходн.данные.!I98)*0.333+1)))))</f>
        <v>0</v>
      </c>
      <c r="BN98" s="10">
        <f>IF(OR(Исходн.данные.!$AH98=$BP$1,Исходн.данные.!$AH98=$BP$2),60-Исходн.данные.!AF98,IF(BK98&lt;0,0,IF(Исходн.данные.!I98&lt;4.5,BK98*1.2,IF(Исходн.данные.!I98&gt;5.1,BK98,BK98*((5.1-Исходн.данные.!I98)*0.333+1)))))</f>
        <v>0</v>
      </c>
      <c r="BO98" s="9">
        <f>IF(BL98&lt;0,0,BL98*Исходн.данные.!$AJ98/1000)</f>
        <v>0</v>
      </c>
      <c r="BP98" s="9">
        <f>IF(BM98&lt;0,0,BM98*Исходн.данные.!$AJ98/1000)</f>
        <v>0</v>
      </c>
      <c r="BQ98" s="9">
        <f>IF(BN98&lt;0,0,BN98*Исходн.данные.!$AJ98/1000)</f>
        <v>0</v>
      </c>
      <c r="BR98" s="9">
        <f t="shared" si="155"/>
        <v>0</v>
      </c>
      <c r="BS98" s="10" t="str">
        <f t="shared" si="156"/>
        <v>Аммофос 12:52:00</v>
      </c>
      <c r="BT98" s="10" t="str">
        <f t="shared" si="157"/>
        <v>Аммофос 12:52:00</v>
      </c>
      <c r="BU98" s="10" t="str">
        <f t="shared" si="158"/>
        <v>Диаммофоска</v>
      </c>
      <c r="BV98" s="10">
        <f t="shared" si="159"/>
        <v>0</v>
      </c>
      <c r="BW98" s="10"/>
      <c r="BX98" s="10"/>
      <c r="BY98" s="9">
        <f>IF(BL98&lt;0,0,IF(OR(Исходн.данные.!AI98=Расчет!$BU$6,Исходн.данные.!AI98=Расчет!$BU$7),Расчет!BV98,IF(Исходн.данные.!$AG98=$BV$11,BL98,IF(OR(Исходн.данные.!$AH98=$BQ$7,Исходн.данные.!$AH98=$BQ$8),CB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0,IF(Исходн.данные.!$AI98=$BU$11,"Нет",IF(BL98&gt;30,30,BL98)))))))</f>
        <v>0</v>
      </c>
      <c r="BZ98" s="9">
        <f>IF(AND(Исходн.данные.!$AG98=$BV$11,BM98&lt;10),10,IF(Исходн.данные.!$AG98=$BV$11,BM98,IF(OR(Исходн.данные.!$AH98=$BQ$7,Исходн.данные.!$AH98=$BQ$8),CC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10,IF(Исходн.данные.!$AI98=$BU$11,"Нет",IF(BM98&gt;60,60,IF(BM98&lt;10,10,BM98)))))))</f>
        <v>10</v>
      </c>
      <c r="CA98" s="39">
        <f>IF(BN98&lt;0,0,IF(Исходн.данные.!$AG98=$BV$11,BN98,IF(OR(Исходн.данные.!$AH98=$BQ$7,Исходн.данные.!$AH98=$BQ$8),CD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0,IF(Исходн.данные.!$AI98=$BU$11,"Нет",IF(BN98&gt;30,30,BN98))))))</f>
        <v>0</v>
      </c>
      <c r="CB98" s="9">
        <f t="shared" si="160"/>
        <v>0</v>
      </c>
      <c r="CC98" s="9">
        <f t="shared" si="161"/>
        <v>0</v>
      </c>
      <c r="CD98" s="9">
        <f t="shared" si="162"/>
        <v>0</v>
      </c>
      <c r="CE98" s="12">
        <f t="shared" si="163"/>
        <v>10</v>
      </c>
      <c r="CF98" s="9">
        <f t="shared" si="164"/>
        <v>0</v>
      </c>
      <c r="CG98" s="9" t="s">
        <v>231</v>
      </c>
      <c r="CH98" s="132" t="str">
        <f>IF(Исходн.данные.!AP98=Расчет!$CI$16,"Нет",IF(Исходн.данные.!AL98&gt;0,Исходн.данные.!AL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BH$4,IF(OR(Исходн.данные.!AI98=Исходн.данные.!$AI$6,Исходн.данные.!AI98=Исходн.данные.!$AI$7),Расчет!BS98,IF(AND($CF98=0,$CE98&gt;0),EV98,ER98)))))</f>
        <v>Аммофос 12:52:00</v>
      </c>
      <c r="CI98" s="274">
        <f>IF(Расчет!$CH98="Нет","Нет",IF(Исходн.данные.!$AL98&gt;0,VLOOKUP(Расчет!$CH98,АшламаДВ_Irekle,2,FALSE),VLOOKUP(Расчет!$CH98,АшламаДВ_Gomumy,2,FALSE)))</f>
        <v>0.12</v>
      </c>
      <c r="CJ98" s="274">
        <f>IF(Расчет!$CH98="Нет","Нет",IF(Исходн.данные.!$AL98&gt;0,VLOOKUP(Расчет!$CH98,АшламаДВ_Irekle,3,FALSE),VLOOKUP(Расчет!$CH98,АшламаДВ_Gomumy,3,FALSE)))</f>
        <v>0.52</v>
      </c>
      <c r="CK98" s="274">
        <f>IF(Расчет!$CH98="Нет","Нет",IF(Исходн.данные.!$AL98&gt;0,VLOOKUP(Расчет!$CH98,АшламаДВ_Irekle,4,FALSE),VLOOKUP(Расчет!$CH98,АшламаДВ_Gomumy,4,FALSE)))</f>
        <v>0</v>
      </c>
      <c r="CL98" s="70"/>
      <c r="CM98" s="70"/>
      <c r="CN98" s="70"/>
      <c r="CO98" s="70"/>
      <c r="CP98" s="70"/>
      <c r="CQ98" s="70"/>
      <c r="CR98" s="10">
        <f t="shared" si="165"/>
        <v>0</v>
      </c>
      <c r="CS98" s="10">
        <f t="shared" si="166"/>
        <v>19.23076923076923</v>
      </c>
      <c r="CT98" s="10">
        <f t="shared" si="167"/>
        <v>0</v>
      </c>
      <c r="CU98" s="39">
        <f>IF($CH98="Нет",0,IF(CI98=0,30/MIN(CJ98:CK98),IF(Исходн.данные.!$AG98=$BV$11,CR98,IF(OR(Исходн.данные.!$AH98=$BQ$7,Исходн.данные.!$AH98=$BQ$8),90/CI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0,IF(Исходн.данные.!$AI98=$BU$11,"Нет",30/CI98))))))</f>
        <v>250</v>
      </c>
      <c r="CV98" s="39">
        <f>IF($CH98="Нет",0,IF(Исходн.данные.!AH98=0,0,IF(CJ98=0,60/MIN(CI98,CK98),IF(Исходн.данные.!$AG98=$BV$11,CS98,IF(OR(Исходн.данные.!$AH98=$BQ$7,Исходн.данные.!$AH98=$BQ$8),90/CJ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10/CJ98,IF(Исходн.данные.!$AI98=$BU$11,"Нет",60/CJ98)))))))</f>
        <v>0</v>
      </c>
      <c r="CW98" s="39">
        <f>IF($CH98="Нет",0,IF(Исходн.данные.!AH98=0,0,IF(CK98=0,30/MIN(CI98:CJ98),IF(Исходн.данные.!$AG98=$BV$11,CT98,IF(OR(Исходн.данные.!$AH98=$BQ$7,Исходн.данные.!$AH98=$BQ$8),90/CK98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0,IF(Исходн.данные.!$AI98=$BU$11,"Нет",30/CK98)))))))</f>
        <v>0</v>
      </c>
      <c r="CX98" s="133">
        <f>IF(Исходн.данные.!$AG98=$BV$11,MAX(CU98:CW98),IF(OR(Исходн.данные.!$AH98=$BS$8,Исходн.данные.!$AH98=$BQ$9,Исходн.данные.!$AH98=$BQ$10,Исходн.данные.!$AH98=$BQ$11,Исходн.данные.!$AH98=$BQ$12,Исходн.данные.!$AH98=$BP$3,Исходн.данные.!$AH98=$BT$8,$FM98="Да"),CV98,MIN(CU98:CW98)))</f>
        <v>0</v>
      </c>
      <c r="CY98" s="133">
        <f>IF(Исходн.данные.!AH98=0,0,IF(CR98&gt;$CX98,$CX98,CR98))</f>
        <v>0</v>
      </c>
      <c r="CZ98" s="133">
        <f>IF(Исходн.данные.!AH98=0,0,IF(CS98&gt;$CX98,$CX98,CS98))</f>
        <v>0</v>
      </c>
      <c r="DA98" s="133">
        <f>IF(Исходн.данные.!AH98=0,0,IF(CT98&gt;$CX98,$CX98,CT98))</f>
        <v>0</v>
      </c>
      <c r="DB98" s="10">
        <f t="shared" si="168"/>
        <v>0</v>
      </c>
      <c r="DC98" s="39">
        <f>DB98*Исходн.данные.!AJ98/1000</f>
        <v>0</v>
      </c>
      <c r="DD98" s="71">
        <f t="shared" si="169"/>
        <v>0</v>
      </c>
      <c r="DE98" s="9">
        <f t="shared" si="170"/>
        <v>0</v>
      </c>
      <c r="DF98" s="9">
        <f t="shared" si="171"/>
        <v>0</v>
      </c>
      <c r="DG98" s="39">
        <f>IF(BL98&lt;0,0,IF($CH98="Нет",BL98,IF(OR(Исходн.данные.!$AH98=$BP$1,Исходн.данные.!$AH98=$BP$2),0,IF(Исходн.данные.!AI98=$BU$11,BL98,IF(BL98-DD98&lt;0,0,BL98-DD98)))))</f>
        <v>0</v>
      </c>
      <c r="DH98" s="39">
        <f>IF(BM98&lt;0,0,IF($CH98="Нет",BM98,IF(OR(Исходн.данные.!$AH98=$BP$1,Исходн.данные.!$AH98=$BP$2),0,IF(Исходн.данные.!AJ98=$BU$11,BM98,IF(BM98-DE98&lt;0,0,BM98-DE98)))))</f>
        <v>0</v>
      </c>
      <c r="DI98" s="39">
        <f>IF(BN98&lt;0,0,IF($CH98="Нет",BN98,IF(OR(Исходн.данные.!$AH98=$BP$1,Исходн.данные.!$AH98=$BP$2),0,IF(Исходн.данные.!AK98=$BU$11,BN98,IF(BN98-DF98&lt;0,0,BN98-DF98)))))</f>
        <v>0</v>
      </c>
      <c r="DJ98" s="12">
        <f t="shared" si="172"/>
        <v>0</v>
      </c>
      <c r="DK98" s="9">
        <f t="shared" si="173"/>
        <v>0</v>
      </c>
      <c r="DL98" s="39">
        <f>IF(Исходн.данные.!AM98&gt;0,Исходн.данные.!AM98,IF(EG98&gt;0,$BH$10,0))</f>
        <v>0</v>
      </c>
      <c r="DM98" s="186">
        <f>IF($DL98=0,0,IF(Исходн.данные.!AM98&gt;0,VLOOKUP($DL98,АшламаДВ_Irekle,2,FALSE),VLOOKUP($DL98,АшламаДВ_Gomumy,2,FALSE)))</f>
        <v>0</v>
      </c>
      <c r="DN98" s="10">
        <f t="shared" si="151"/>
        <v>0</v>
      </c>
      <c r="DO98" s="9" t="str">
        <f>IF(Исходн.данные.!AN98&gt;0,Исходн.данные.!AN98,Удобрения!$B$37 )</f>
        <v>Хлор.калий</v>
      </c>
      <c r="DP98" s="9">
        <f>IF(Исходн.данные.!AN98&gt;0,VLOOKUP(Исходн.данные.!AN98,АшламаДВ_Irekle,4,FALSE),VLOOKUP(DO98,АшламаДВ_Gomumy,4,FALSE))</f>
        <v>0.6</v>
      </c>
      <c r="DQ98" s="10">
        <f t="shared" si="152"/>
        <v>0</v>
      </c>
      <c r="DR98" s="132" t="str">
        <f>IF(Исходн.данные.!AO98&gt;0,Исходн.данные.!AO98,IF(DH98=0,BS$17,IF(AND($DK98=0,$DJ98&gt;0),EJ98,EN98)))</f>
        <v>Нет</v>
      </c>
      <c r="DS98" s="70" t="str">
        <f>IF($DR98="Нет","Нет",IF(Исходн.данные.!$AO98&gt;0,VLOOKUP($DR98,АшламаДВ_Irekle,2,FALSE),VLOOKUP($DR98,АшламаДВ_Gomumy,2,FALSE)))</f>
        <v>Нет</v>
      </c>
      <c r="DT98" s="70" t="str">
        <f>IF($DR98="Нет","Нет",IF(Исходн.данные.!$AO98&gt;0,VLOOKUP($DR98,АшламаДВ_Irekle,3,FALSE),VLOOKUP($DR98,АшламаДВ_Gomumy,3,FALSE)))</f>
        <v>Нет</v>
      </c>
      <c r="DU98" s="70" t="str">
        <f>IF($DR98="Нет","Нет",IF(Исходн.данные.!$AO98&gt;0,VLOOKUP($DR98,АшламаДВ_Irekle,4,FALSE),VLOOKUP($DR98,АшламаДВ_Gomumy,4,FALSE)))</f>
        <v>Нет</v>
      </c>
      <c r="DV98" s="70"/>
      <c r="DW98" s="70"/>
      <c r="DX98" s="70"/>
      <c r="DY98" s="10">
        <f t="shared" si="174"/>
        <v>0</v>
      </c>
      <c r="DZ98" s="10">
        <f t="shared" si="175"/>
        <v>0</v>
      </c>
      <c r="EA98" s="10">
        <f t="shared" si="176"/>
        <v>0</v>
      </c>
      <c r="EB98" s="10">
        <f t="shared" si="177"/>
        <v>0</v>
      </c>
      <c r="EC98" s="10">
        <f t="shared" si="178"/>
        <v>0</v>
      </c>
      <c r="ED98" s="10">
        <f t="shared" si="179"/>
        <v>0</v>
      </c>
      <c r="EE98" s="10">
        <f t="shared" si="180"/>
        <v>0</v>
      </c>
      <c r="EF98" s="39">
        <f>EB98*Исходн.данные.!AJ98/1000</f>
        <v>0</v>
      </c>
      <c r="EG98" s="9">
        <f t="shared" si="181"/>
        <v>0</v>
      </c>
      <c r="EH98" s="9">
        <f t="shared" si="182"/>
        <v>0</v>
      </c>
      <c r="EI98" s="39" t="e">
        <f t="shared" si="132"/>
        <v>#DIV/0!</v>
      </c>
      <c r="EJ98" s="9" t="str">
        <f t="shared" si="153"/>
        <v>Азопреципитат</v>
      </c>
      <c r="EK98" s="12">
        <f t="shared" si="133"/>
        <v>0.26</v>
      </c>
      <c r="EL98" s="12">
        <f t="shared" si="134"/>
        <v>0.13</v>
      </c>
      <c r="EM98" s="12">
        <f t="shared" si="135"/>
        <v>0</v>
      </c>
      <c r="EN98" s="12" t="str">
        <f t="shared" si="154"/>
        <v>Нет</v>
      </c>
      <c r="EO98" s="12">
        <f t="shared" si="136"/>
        <v>0</v>
      </c>
      <c r="EP98" s="12">
        <f t="shared" si="137"/>
        <v>0</v>
      </c>
      <c r="EQ98" s="12">
        <f t="shared" si="138"/>
        <v>0</v>
      </c>
      <c r="ER98" s="12" t="str">
        <f t="shared" si="183"/>
        <v>Диаммофоска</v>
      </c>
      <c r="ES98" s="12">
        <f t="shared" si="139"/>
        <v>0.1</v>
      </c>
      <c r="ET98" s="12">
        <f t="shared" si="140"/>
        <v>0.26</v>
      </c>
      <c r="EU98" s="12">
        <f t="shared" si="141"/>
        <v>0.26</v>
      </c>
      <c r="EV98" s="12" t="str">
        <f t="shared" si="184"/>
        <v>Аммофос 12:52:00</v>
      </c>
      <c r="EW98" s="12" t="str">
        <f t="shared" si="185"/>
        <v>Кемира Свекловичное-6</v>
      </c>
      <c r="EX98" s="12">
        <f t="shared" si="142"/>
        <v>0.16</v>
      </c>
      <c r="EY98" s="12">
        <f t="shared" si="143"/>
        <v>0.12</v>
      </c>
      <c r="EZ98" s="12">
        <f t="shared" si="144"/>
        <v>0.17</v>
      </c>
      <c r="FA98" s="38" t="e">
        <f>IF(AND(OR(FJ98=$FD$1,FM98=$FD$1,FO98=$FD$1,FQ98=$FD$1,FS98=$FD$1),FD98=$FD$1,Исходн.данные.!J98&lt;2,FU98=$FD$1),"Бор,Кобальт",IF(AND(FO98=$FD$1,FH98=$FD$1,Исходн.данные.!J98&lt;2,FU98=$FD$1),"Бор,Кобальт",IF(AND(OR(FJ98=$FD$1,FM98=$FD$1,FQ98=$FD$1),FE98=$FD$1,Исходн.данные.!J98&lt;2,FT98=$FD$1,FU98=$FD$1),"Бор,Медь,Цинк",IF(AND(OR(FJ98=$FD$1,FR98="Да"),FI98="Да",Исходн.данные.!J98&lt;2,FT98="Да",FU98="Да"),"Бор,Цинк,Медь",IF(AND(OR(FM98="Да",FQ98="Да"),FI98="Да",Исходн.данные.!J98&lt;2,FT98="Да",FU98="Да"),"Бор,Цинк",IF(AND(FN98="Да",OR(FD98="Да",FE98="Да")),"Бор",FB98))))))</f>
        <v>#N/A</v>
      </c>
      <c r="FB98" s="134" t="e">
        <f>IF(AND(OR(FD98="Да",FE98="Да",FF98="Да",FG98="Да",FH98="Да"),FO98="Да"),"Бор",IF(AND(FP98="Да",OR(FD98="Да",FE98="Да",FI98="Да")),"Бор",IF(AND(FS98="Да",FE98="Да"),"Бор,Медь",IF(AND(OR(FJ98="Да",FK98="Да",FL98="Да"),FE98="Да",Исходн.данные.!I98&lt;5,FT98="Да",FU98="Да"),"Молибден,Цинк",IF(AND(FM98="Да",OR(FE98="Да",FF98="Да",FG98="Да",FH98="Да",FI98="Да")),"Молибден,Цинк",IF(AND(OR(FJ98="Да",FK98="Да",FL98="Да",FM98="Да",FQ98="Да"),OR(FE98="Да",FF98="Да"),FT98="Да",FU98="Да",Исходн.данные.!I98&gt;5.5),"Медь,Цинк",FC98))))))</f>
        <v>#N/A</v>
      </c>
      <c r="FC98" s="23" t="e">
        <f t="shared" si="186"/>
        <v>#N/A</v>
      </c>
      <c r="FD98" s="38" t="str">
        <f>IF(OR(Исходн.данные.!F98=$CC$1,Исходн.данные.!F98=$CC$2,Исходн.данные.!F98=$CC$3,Исходн.данные.!F98=$CC$4),"Да","Нет")</f>
        <v>Нет</v>
      </c>
      <c r="FE98" s="38" t="str">
        <f>IF(Исходн.данные.!F98=$CC$5,"Да","Нет")</f>
        <v>Нет</v>
      </c>
      <c r="FF98" s="38" t="str">
        <f>IF(OR(Исходн.данные.!F98=$CC$6,Исходн.данные.!F98=$CC$7),"Да","Нет")</f>
        <v>Нет</v>
      </c>
      <c r="FG98" s="38" t="str">
        <f>IF(OR(Исходн.данные.!F98=$CC$8,Исходн.данные.!F98=$CC$9),"Да","Нет")</f>
        <v>Нет</v>
      </c>
      <c r="FH98" s="38" t="str">
        <f>IF(Исходн.данные.!F98=$CC$10,"Да","Нет")</f>
        <v>Нет</v>
      </c>
      <c r="FI98" s="38" t="str">
        <f>IF(OR(Исходн.данные.!F98=$CC$11,Исходн.данные.!F98=$CC$12),"Да","Нет")</f>
        <v>Нет</v>
      </c>
      <c r="FJ98" s="38" t="str">
        <f>IF(OR(Исходн.данные.!AH98=$BS$1,Исходн.данные.!AH98=$BQ$11,Исходн.данные.!AH98=$BQ$12),"Да","Нет")</f>
        <v>Нет</v>
      </c>
      <c r="FK98" s="38" t="str">
        <f>IF(OR(Исходн.данные.!AH98=$BS$2,Исходн.данные.!AH98=$BS$4),"Да","Нет")</f>
        <v>Нет</v>
      </c>
      <c r="FL98" s="38" t="str">
        <f>IF(OR(Исходн.данные.!AH98=$BS$3,Исходн.данные.!AH98=$BS$5),"Да","Нет")</f>
        <v>Нет</v>
      </c>
      <c r="FM98" s="38" t="str">
        <f>IF(OR(Исходн.данные.!AH98=$BS$9,Исходн.данные.!AH98=$BS$10,Исходн.данные.!AH98=$BS$11,Исходн.данные.!AH98=$BS$12),"Да","Нет")</f>
        <v>Нет</v>
      </c>
      <c r="FN98" s="38" t="str">
        <f>IF(OR(Исходн.данные.!AH98=$BS$6,Исходн.данные.!AH98=$BP$3),"Да","Нет")</f>
        <v>Нет</v>
      </c>
      <c r="FO98" s="38" t="str">
        <f>IF(Исходн.данные.!AH98=$BQ$9,"Да","Нет")</f>
        <v>Нет</v>
      </c>
      <c r="FP98" s="38" t="str">
        <f>IF(OR(Исходн.данные.!AH98=$BS$8,Исходн.данные.!AH98=$BT$8),"Да","Нет")</f>
        <v>Нет</v>
      </c>
      <c r="FQ98" s="38" t="str">
        <f>IF(OR(Исходн.данные.!AH98=$BQ$7,Исходн.данные.!AH98=$BQ$8),"Да","Нет")</f>
        <v>Нет</v>
      </c>
      <c r="FR98" s="38" t="str">
        <f>IF(Исходн.данные.!AI98=$BU$9,"Да","Нет")</f>
        <v>Нет</v>
      </c>
      <c r="FS98" s="38" t="str">
        <f>IF(OR(Исходн.данные.!AH98=$BP$1,Исходн.данные.!AH98=$BP$2),"Да","Нет")</f>
        <v>Нет</v>
      </c>
      <c r="FT98" s="38" t="e">
        <f>IF((Исходн.данные.!K98*GO98*GS98*GW98+BL98*0.6+Исходн.данные.!Q98*4.5*0.275)&gt;90,"Да","Нет")</f>
        <v>#N/A</v>
      </c>
      <c r="FU98" s="38" t="e">
        <f>IF((Исходн.данные.!M98*GS98*GZ98+BM98*0.225)&gt;35,"Да","Нет")</f>
        <v>#N/A</v>
      </c>
      <c r="FV98" s="38" t="str">
        <f>IF(Исходн.данные.!O98&gt;175,"Да","Нет")</f>
        <v>Нет</v>
      </c>
      <c r="FW98" s="39" t="str">
        <f>IF(Исходн.данные.!I98&gt;5.5,"Да","Нет")</f>
        <v>Нет</v>
      </c>
      <c r="FX98" s="39" t="str">
        <f>IF(Исходн.данные.!J98&lt;2,"Да","Нет")</f>
        <v>Да</v>
      </c>
      <c r="FY98" s="39" t="e">
        <f>IF(HF98=$FY$16,0,Исходн.данные.!K98*GO98*GS98*GW98/HF98)</f>
        <v>#N/A</v>
      </c>
      <c r="FZ98" s="39" t="e">
        <f>Исходн.данные.!M98*GS98*GZ98/HG98</f>
        <v>#N/A</v>
      </c>
      <c r="GA98" s="39" t="e">
        <f>IF(K_Wyn=$FY$16,0,IF(Исходн.данные.!N98=Исходн.данные.!$L$10,Исходн.данные.!O98/1.1*GS98*HC98/HH98,IF(Исходн.данные.!N98=Исходн.данные.!$L$12,Исходн.данные.!O98/1.5*GS98*HC98/HH98,Исходн.данные.!O98*GS98*HC98/HH98)))</f>
        <v>#N/A</v>
      </c>
      <c r="GB98" s="39" t="e">
        <f>IF(HF98=$FY$16,0,((Исходн.данные.!Q98*N_Org+Исходн.данные.!R98*N_Sider+Исходн.данные.!S98*N_Soloma)*AO98+Расчет!BC98*VLOOKUP(Исходн.данные.!T98,Справ!$A$3:$O$57,15)*AO98+BB98*VLOOKUP(Исходн.данные.!T98,Справ!$A$3:$O$57,15)*AL98+(Исходн.данные.!V98*N_Rizotorf+Исходн.данные.!W98*N_Rizoagr))/HF98)</f>
        <v>#N/A</v>
      </c>
      <c r="GC98" s="39" t="e">
        <f>IF(HG98=$FY$16,0,((Исходн.данные.!Q98*Р_Org+Исходн.данные.!R98*P_Sider+Исходн.данные.!S98*P_Soloma)*AP98+Расчет!BC98*VLOOKUP(Исходн.данные.!T98,Справ!$A$3:$P$57,16)*AP98+BB98*VLOOKUP(Исходн.данные.!T98,Справ!$A$3:$P$57,16)*AM98)/HG98)</f>
        <v>#N/A</v>
      </c>
      <c r="GD98" s="39" t="e">
        <f>IF(HH98=$FY$16,0,((Исходн.данные.!Q98*К_Org+Исходн.данные.!R98*K_Sider+Исходн.данные.!S98*K_Soloma)*AQ98+Расчет!BC98*VLOOKUP(Исходн.данные.!T98,Справ!$A$3:$Q$57,17)*AQ98+BB98*VLOOKUP(Исходн.данные.!T98,Справ!$A$3:$Q$57,17)*AN98)/HH98)</f>
        <v>#N/A</v>
      </c>
      <c r="GE98" s="39" t="e">
        <f>IF(HF98=$FY$16,0,(Исходн.данные.!X98*AR98+Исходн.данные.!AA98*N_Org*AL98+Исходн.данные.!AB98*N_Sider*AL98+Исходн.данные.!AC98*N_Soloma*AL98)/HF98)</f>
        <v>#N/A</v>
      </c>
      <c r="GF98" s="39" t="e">
        <f>IF(HG98=$FY$16,0,(Исходн.данные.!Y98*AS98+Исходн.данные.!AA98*Р_Org*AM98+Исходн.данные.!AB98*P_Sider*AM98+Исходн.данные.!AC98*P_Soloma*AM98)/HG98)</f>
        <v>#N/A</v>
      </c>
      <c r="GG98" s="39" t="e">
        <f>IF(HH98=$FY$16,0,(Исходн.данные.!Z98*AT98+Исходн.данные.!AA98*К_Org*AN98+Исходн.данные.!AB98*K_Sider*AN98+Исходн.данные.!AC98*K_Soloma*AN98)/HH98)</f>
        <v>#N/A</v>
      </c>
      <c r="GH98" s="39" t="e">
        <f>Исходн.данные.!AD98*AU98/HF98</f>
        <v>#N/A</v>
      </c>
      <c r="GI98" s="39" t="e">
        <f>Исходн.данные.!AE98*AV98/HG98</f>
        <v>#N/A</v>
      </c>
      <c r="GJ98" s="39" t="e">
        <f>Исходн.данные.!AF98*AW98/HH98</f>
        <v>#N/A</v>
      </c>
      <c r="GK98" s="55">
        <f>Исходн.данные.!AK98</f>
        <v>0</v>
      </c>
      <c r="GL98" s="11" t="e">
        <f t="shared" si="187"/>
        <v>#N/A</v>
      </c>
      <c r="GM98" s="11" t="e">
        <f t="shared" si="188"/>
        <v>#N/A</v>
      </c>
      <c r="GN98" s="11" t="e">
        <f t="shared" si="189"/>
        <v>#N/A</v>
      </c>
      <c r="GO98" s="57">
        <f t="shared" si="190"/>
        <v>19</v>
      </c>
      <c r="GP98" s="55">
        <f>IF(OR(Исходн.данные.!F98=$CE$1,Исходн.данные.!F98=$CE$2,Исходн.данные.!F98=$CE$3,Исходн.данные.!F98=$CE$4,Исходн.данные.!F98=$CE$5),GQ98,GR98)</f>
        <v>19</v>
      </c>
      <c r="GQ98" s="55">
        <f>IF(Исходн.данные.!F98=$CE$1,28,IF(Исходн.данные.!F98=$CE$2,26,IF(Исходн.данные.!F98=$CE$3,24,IF(Исходн.данные.!F98=$CE$4,22,IF(Исходн.данные.!F98=$CE$5,20,GR98)))))</f>
        <v>19</v>
      </c>
      <c r="GR98" s="55">
        <f>IF(Исходн.данные.!F98=$CE$6,18,IF(Исходн.данные.!F98=$CE$7,16,IF(Исходн.данные.!F98=$CE$8,14,IF(Исходн.данные.!F98=$CE$9,13,IF(Исходн.данные.!F98=$CE$10,12,19)))))</f>
        <v>19</v>
      </c>
      <c r="GS98" s="55">
        <f>IF(Исходн.данные.!G98="Пес",0.035*(40+2*Исходн.данные.!H98),IF(Исходн.данные.!G98="Суп",0.0325*(40+2*Исходн.данные.!H98),0.03*(40+2*Исходн.данные.!H98)))</f>
        <v>1.2</v>
      </c>
      <c r="GT98" s="55">
        <f>IF(Исходн.данные.!H98&lt;23,2.6,IF(AND(Исходн.данные.!H98&gt;22,Исходн.данные.!H98&lt;26),3,IF(AND(Исходн.данные.!H98&gt;25,Исходн.данные.!H98&lt;29),3.4,3.6)))</f>
        <v>2.6</v>
      </c>
      <c r="GU98" s="55">
        <f>IF(Исходн.данные.!H98&lt;23,2.8,IF(AND(Исходн.данные.!H98&gt;22,Исходн.данные.!H98&lt;26),3.2,IF(AND(Исходн.данные.!H98&gt;25,Исходн.данные.!H98&lt;29),3.6,3.9)))</f>
        <v>2.8</v>
      </c>
      <c r="GV98" s="55">
        <f>IF(Исходн.данные.!H98&lt;23,3,IF(AND(Исходн.данные.!H98&gt;22,Исходн.данные.!H98&lt;26),3.5,IF(AND(Исходн.данные.!H98&gt;25,Исходн.данные.!H98&lt;29),3.9,4.2)))</f>
        <v>3</v>
      </c>
      <c r="GW98" s="55" t="e">
        <f>IF(Исходн.данные.!P98="Ум",GX98,GY98)</f>
        <v>#N/A</v>
      </c>
      <c r="GX98" s="55" t="e">
        <f>VLOOKUP(Исходн.данные.!AI98,Коэффициенты!$J$7:$L$13,2,FALSE)</f>
        <v>#N/A</v>
      </c>
      <c r="GY98" s="55" t="e">
        <f>VLOOKUP(Исходн.данные.!AI98,Коэффициенты!$J$7:$L$13,3,FALSE)</f>
        <v>#N/A</v>
      </c>
      <c r="GZ98" s="55" t="e">
        <f>(IF(Исходн.данные.!M98&lt;50,0.11*VLOOKUP(Исходн.данные.!AH98,Культуры.Информация,7,FALSE),IF(Исходн.данные.!M98&gt;250,0.05*VLOOKUP(Исходн.данные.!AH98,Культуры.Информация,7,FALSE),VLOOKUP(Исходн.данные.!AH98,Культуры.Информация,5,FALSE)/100*($GX$6+$GY$6*Исходн.данные.!M98))))*Расчет2!AI98</f>
        <v>#N/A</v>
      </c>
      <c r="HA98" s="211"/>
      <c r="HB98" s="211"/>
      <c r="HC98" s="55" t="e">
        <f>(IF(Исходн.данные.!O98&lt;80,0.2*VLOOKUP(Исходн.данные.!AH98,Культуры.Информация,8,FALSE),IF(Исходн.данные.!O98&gt;240,0.09*VLOOKUP(Исходн.данные.!AH98,Культуры.Информация,8,FALSE),VLOOKUP(Исходн.данные.!AH98,Культуры.Информация,6,FALSE)/100*($HB$6+$HC$6*Исходн.данные.!O98))))*Расчет2!AJ98</f>
        <v>#N/A</v>
      </c>
      <c r="HD98" s="55">
        <f>IF(Исходн.данные.!O98&gt;240,0.09,IF(Исходн.данные.!O98&lt;30,0.3,$HE$10+$HD$10*Исходн.данные.!O98))</f>
        <v>0.3</v>
      </c>
      <c r="HE98" s="55">
        <f>IF(Исходн.данные.!O98&gt;240,0.17,IF(Исходн.данные.!O98&lt;30,0.5,$HF$12+$HE$12*Исходн.данные.!O98))</f>
        <v>0.5</v>
      </c>
      <c r="HF98" s="55" t="e">
        <f>VLOOKUP(Исходн.данные.!AH98,Справ!$A$3:$D$58,2,FALSE)</f>
        <v>#N/A</v>
      </c>
      <c r="HG98" s="55" t="e">
        <f>VLOOKUP(Исходн.данные.!AH98,Справ!$A$3:$D$58,3,FALSE)</f>
        <v>#N/A</v>
      </c>
      <c r="HH98" s="55" t="e">
        <f>VLOOKUP(Исходн.данные.!AH98,Справ!$A$3:$D$58,4,FALSE)</f>
        <v>#N/A</v>
      </c>
      <c r="HI98" s="11" t="e">
        <f t="shared" si="191"/>
        <v>#N/A</v>
      </c>
      <c r="HJ98" s="11" t="e">
        <f t="shared" si="192"/>
        <v>#N/A</v>
      </c>
      <c r="HK98" s="11" t="e">
        <f t="shared" si="193"/>
        <v>#N/A</v>
      </c>
      <c r="HL98" s="55">
        <f>IF(OR(Исходн.данные.!G98="Глин",Исходн.данные.!G98="Т_суг"),1.1,IF(Исходн.данные.!G98="Ср_суг",1,1))</f>
        <v>1</v>
      </c>
      <c r="HM98" s="55">
        <f>IF(OR(Исходн.данные.!G98="Глин",Исходн.данные.!G98="Т_суг"),0.9,IF(Исходн.данные.!G98="Ср_суг",1,1.2))</f>
        <v>1.2</v>
      </c>
      <c r="HN98" s="11" t="e">
        <f t="shared" si="194"/>
        <v>#N/A</v>
      </c>
      <c r="HO98" s="11" t="e">
        <f t="shared" si="195"/>
        <v>#N/A</v>
      </c>
      <c r="HP98" s="11" t="e">
        <f t="shared" si="196"/>
        <v>#N/A</v>
      </c>
      <c r="HQ98" t="e">
        <f t="shared" si="197"/>
        <v>#N/A</v>
      </c>
      <c r="HR98" t="e">
        <f t="shared" si="198"/>
        <v>#N/A</v>
      </c>
      <c r="HS98" t="e">
        <f t="shared" si="199"/>
        <v>#N/A</v>
      </c>
      <c r="HT98" t="e">
        <f t="shared" si="145"/>
        <v>#N/A</v>
      </c>
      <c r="HU98" t="e">
        <f t="shared" si="146"/>
        <v>#N/A</v>
      </c>
      <c r="HV98" t="e">
        <f t="shared" si="147"/>
        <v>#N/A</v>
      </c>
      <c r="HW98" t="e">
        <f t="shared" si="148"/>
        <v>#N/A</v>
      </c>
      <c r="HX98" t="e">
        <f t="shared" si="149"/>
        <v>#N/A</v>
      </c>
      <c r="HY98" t="e">
        <f t="shared" si="150"/>
        <v>#N/A</v>
      </c>
      <c r="HZ98" s="55">
        <f>IF(OR(Исходн.данные.!AI98="Оз_Ч_П",Исходн.данные.!AI98="Оз_З_П",Исходн.данные.!AI98="Яр_зер"),12,30)</f>
        <v>30</v>
      </c>
      <c r="IA98" t="e">
        <f t="shared" si="200"/>
        <v>#N/A</v>
      </c>
      <c r="IB98" t="e">
        <f t="shared" si="201"/>
        <v>#N/A</v>
      </c>
      <c r="IC98" t="e">
        <f t="shared" si="202"/>
        <v>#N/A</v>
      </c>
      <c r="ID98" s="11" t="e">
        <f t="shared" si="203"/>
        <v>#N/A</v>
      </c>
      <c r="IE98" s="11" t="e">
        <f t="shared" si="204"/>
        <v>#N/A</v>
      </c>
      <c r="IF98" s="11" t="e">
        <f t="shared" si="205"/>
        <v>#N/A</v>
      </c>
    </row>
    <row r="99" spans="35:240" x14ac:dyDescent="0.2">
      <c r="AI99">
        <f>IF(Исходн.данные.!I99&gt;6,1,1.85-(0.148*Исходн.данные.!I99))</f>
        <v>1.85</v>
      </c>
      <c r="AJ99">
        <f>IF(Исходн.данные.!I99&gt;6,1,2.434-(0.246*Исходн.данные.!I99))</f>
        <v>2.4340000000000002</v>
      </c>
      <c r="AL99" s="148" t="b">
        <f>IF(Исходн.данные.!$P99="Ум",N_OrgUd_2g_um,IF(Исходн.данные.!$P99="Об",N_OrgUd_2g_ob))</f>
        <v>0</v>
      </c>
      <c r="AM99" s="148" t="b">
        <f>IF(Исходн.данные.!$P99="Ум",P_OrgUd_2g_um,IF(Исходн.данные.!$P99="Об",P_OrgUd_2g_ob))</f>
        <v>0</v>
      </c>
      <c r="AN99" s="148" t="b">
        <f>IF(Исходн.данные.!$P99="Ум",K_OrgUd_2g_um,IF(Исходн.данные.!$P99="Об",K_OrgUd_2g_ob))</f>
        <v>0</v>
      </c>
      <c r="AO99" s="148" t="b">
        <f>IF(Исходн.данные.!$P99="Ум",N_OrgUd_1g_um,IF(Исходн.данные.!$P99="Об",N_OrgUd_1g_ob))</f>
        <v>0</v>
      </c>
      <c r="AP99" s="148" t="b">
        <f>IF(Исходн.данные.!$P99="Ум",P_OrgUd_1g_um,IF(Исходн.данные.!$P99="Об",P_OrgUd_1g_ob))</f>
        <v>0</v>
      </c>
      <c r="AQ99" s="148" t="b">
        <f>IF(Исходн.данные.!$P99="Ум",K_OrgUd_1g_um,IF(Исходн.данные.!$P99="Об",K_OrgUd_1g_ob))</f>
        <v>0</v>
      </c>
      <c r="AR99" t="b">
        <f>IF(Исходн.данные.!$P99="Ум",N_MinUd_2g_um,IF(Исходн.данные.!$P99="Об",N_MinUd_2g_ob))</f>
        <v>0</v>
      </c>
      <c r="AS99" t="b">
        <f>IF(Исходн.данные.!$P99="Ум",P_MinUd_2g_um,IF(Исходн.данные.!$P99="Об",P_MinUd_2g_ob))</f>
        <v>0</v>
      </c>
      <c r="AT99" t="b">
        <f>IF(Исходн.данные.!$P99="Ум",K_MinUd_2g_um,IF(Исходн.данные.!$P99="Об",K_MinUd_2g_ob))</f>
        <v>0</v>
      </c>
      <c r="AU99" t="b">
        <f>IF(Исходн.данные.!$P99="Ум",N_MinUd_1g_um,IF(Исходн.данные.!$P99="Об",N_MinUd_1g_ob))</f>
        <v>0</v>
      </c>
      <c r="AV99" t="b">
        <f>IF(Исходн.данные.!P99="Ум",P_MinUd_1g_um,IF(Исходн.данные.!P99="Об",P_MinUd_1g_ob))</f>
        <v>0</v>
      </c>
      <c r="AW99" t="b">
        <f>IF(Исходн.данные.!P99="Ум",K_MinUd_1g_um,IF(Исходн.данные.!P99="Об",K_MinUd_1g_ob))</f>
        <v>0</v>
      </c>
      <c r="AY99" t="e">
        <f>VLOOKUP(Исходн.данные.!T99,Справ!$A$3:$N$57,12)</f>
        <v>#N/A</v>
      </c>
      <c r="AZ99" t="e">
        <f>VLOOKUP(Исходн.данные.!T99,Справ!$A$3:$N$57,13)</f>
        <v>#N/A</v>
      </c>
      <c r="BA99" t="e">
        <f>VLOOKUP(Исходн.данные.!T99,Справ!$A$3:$N$57,14)</f>
        <v>#N/A</v>
      </c>
      <c r="BB99">
        <f>IF(Исходн.данные.!AH99=0,0,25)</f>
        <v>0</v>
      </c>
      <c r="BC99" s="141">
        <f>IF(Исходн.данные.!AH99=0,0,IF(Исходн.данные.!T99=0,25,BD99))</f>
        <v>0</v>
      </c>
      <c r="BD99" s="168" t="e">
        <f>AY99+AZ99*Исходн.данные.!U99-POWER(BA99,2)*Исходн.данные.!U99</f>
        <v>#N/A</v>
      </c>
      <c r="BE9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99" s="25">
        <f>IF(Исходн.данные.!AH99=0,0,MIN(HN99:HP99))</f>
        <v>0</v>
      </c>
      <c r="BG99" s="9">
        <f>IF(Исходн.данные.!AH99=0,0,IF((HO99+10*0.25/HG99/HL99)&lt;17,17,HO99+10*0.25/HG99/HL99))</f>
        <v>0</v>
      </c>
      <c r="BH99" s="181">
        <f>IF(Исходн.данные.!AH99=0,0,HW99*HF99*HL99/AU99*AI99+Исходн.данные.!S99*10)</f>
        <v>0</v>
      </c>
      <c r="BI99" s="10"/>
      <c r="BJ99" s="182">
        <f>IF(Исходн.данные.!AH99=0,0,IF(HX99*HG99*HL99/AV99&lt;0,0,HX99*HG99*HL99/AV99*AJ99))</f>
        <v>0</v>
      </c>
      <c r="BK99" s="182">
        <f>IF(Исходн.данные.!AH99=0,0,HY99*HH99*HM99/AW99)</f>
        <v>0</v>
      </c>
      <c r="BL99" s="10">
        <f>IF(OR(Исходн.данные.!$AH99=$BP$1,Исходн.данные.!$AH99=$BP$2),0,IF(BH99&lt;0,0,IF(OR(Исходн.данные.!T99=Расчет!$BP$1,Исходн.данные.!T99=Расчет!$BP$2,Исходн.данные.!T99=Расчет!$BT$5,Исходн.данные.!T99=Расчет!$BT$6),BH99*0.5,IF(OR(Исходн.данные.!T99=Расчет!$BS$9,Исходн.данные.!T99=Расчет!$BS$10,Исходн.данные.!T99=Расчет!$BS$11,Исходн.данные.!T99=Расчет!$BS$12,Исходн.данные.!T99=Расчет!$BP$5),BH99*0.8,BH99))))</f>
        <v>0</v>
      </c>
      <c r="BM99" s="10">
        <f>IF(OR(Исходн.данные.!$AH99=$BP$1,Исходн.данные.!$AH99=$BP$2),0,IF(BJ99&lt;0,0,IF(Исходн.данные.!I99&lt;4.5,BJ99*1.2,IF(Исходн.данные.!I99&gt;5.1,BJ99,BJ99*((5.1-Исходн.данные.!I99)*0.333+1)))))</f>
        <v>0</v>
      </c>
      <c r="BN99" s="10">
        <f>IF(OR(Исходн.данные.!$AH99=$BP$1,Исходн.данные.!$AH99=$BP$2),60-Исходн.данные.!AF99,IF(BK99&lt;0,0,IF(Исходн.данные.!I99&lt;4.5,BK99*1.2,IF(Исходн.данные.!I99&gt;5.1,BK99,BK99*((5.1-Исходн.данные.!I99)*0.333+1)))))</f>
        <v>0</v>
      </c>
      <c r="BO99" s="9">
        <f>IF(BL99&lt;0,0,BL99*Исходн.данные.!$AJ99/1000)</f>
        <v>0</v>
      </c>
      <c r="BP99" s="9">
        <f>IF(BM99&lt;0,0,BM99*Исходн.данные.!$AJ99/1000)</f>
        <v>0</v>
      </c>
      <c r="BQ99" s="9">
        <f>IF(BN99&lt;0,0,BN99*Исходн.данные.!$AJ99/1000)</f>
        <v>0</v>
      </c>
      <c r="BR99" s="9">
        <f t="shared" si="155"/>
        <v>0</v>
      </c>
      <c r="BS99" s="10" t="str">
        <f t="shared" si="156"/>
        <v>Аммофос 12:52:00</v>
      </c>
      <c r="BT99" s="10" t="str">
        <f t="shared" si="157"/>
        <v>Аммофос 12:52:00</v>
      </c>
      <c r="BU99" s="10" t="str">
        <f t="shared" si="158"/>
        <v>Диаммофоска</v>
      </c>
      <c r="BV99" s="10">
        <f t="shared" si="159"/>
        <v>0</v>
      </c>
      <c r="BW99" s="10"/>
      <c r="BX99" s="10"/>
      <c r="BY99" s="9">
        <f>IF(BL99&lt;0,0,IF(OR(Исходн.данные.!AI99=Расчет!$BU$6,Исходн.данные.!AI99=Расчет!$BU$7),Расчет!BV99,IF(Исходн.данные.!$AG99=$BV$11,BL99,IF(OR(Исходн.данные.!$AH99=$BQ$7,Исходн.данные.!$AH99=$BQ$8),CB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0,IF(Исходн.данные.!$AI99=$BU$11,"Нет",IF(BL99&gt;30,30,BL99)))))))</f>
        <v>0</v>
      </c>
      <c r="BZ99" s="9">
        <f>IF(AND(Исходн.данные.!$AG99=$BV$11,BM99&lt;10),10,IF(Исходн.данные.!$AG99=$BV$11,BM99,IF(OR(Исходн.данные.!$AH99=$BQ$7,Исходн.данные.!$AH99=$BQ$8),CC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10,IF(Исходн.данные.!$AI99=$BU$11,"Нет",IF(BM99&gt;60,60,IF(BM99&lt;10,10,BM99)))))))</f>
        <v>10</v>
      </c>
      <c r="CA99" s="39">
        <f>IF(BN99&lt;0,0,IF(Исходн.данные.!$AG99=$BV$11,BN99,IF(OR(Исходн.данные.!$AH99=$BQ$7,Исходн.данные.!$AH99=$BQ$8),CD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0,IF(Исходн.данные.!$AI99=$BU$11,"Нет",IF(BN99&gt;30,30,BN99))))))</f>
        <v>0</v>
      </c>
      <c r="CB99" s="9">
        <f t="shared" si="160"/>
        <v>0</v>
      </c>
      <c r="CC99" s="9">
        <f t="shared" si="161"/>
        <v>0</v>
      </c>
      <c r="CD99" s="9">
        <f t="shared" si="162"/>
        <v>0</v>
      </c>
      <c r="CE99" s="12">
        <f t="shared" si="163"/>
        <v>10</v>
      </c>
      <c r="CF99" s="9">
        <f t="shared" si="164"/>
        <v>0</v>
      </c>
      <c r="CG99" s="9" t="s">
        <v>231</v>
      </c>
      <c r="CH99" s="132" t="str">
        <f>IF(Исходн.данные.!AP99=Расчет!$CI$16,"Нет",IF(Исходн.данные.!AL99&gt;0,Исходн.данные.!AL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BH$4,IF(OR(Исходн.данные.!AI99=Исходн.данные.!$AI$6,Исходн.данные.!AI99=Исходн.данные.!$AI$7),Расчет!BS99,IF(AND($CF99=0,$CE99&gt;0),EV99,ER99)))))</f>
        <v>Аммофос 12:52:00</v>
      </c>
      <c r="CI99" s="274">
        <f>IF(Расчет!$CH99="Нет","Нет",IF(Исходн.данные.!$AL99&gt;0,VLOOKUP(Расчет!$CH99,АшламаДВ_Irekle,2,FALSE),VLOOKUP(Расчет!$CH99,АшламаДВ_Gomumy,2,FALSE)))</f>
        <v>0.12</v>
      </c>
      <c r="CJ99" s="274">
        <f>IF(Расчет!$CH99="Нет","Нет",IF(Исходн.данные.!$AL99&gt;0,VLOOKUP(Расчет!$CH99,АшламаДВ_Irekle,3,FALSE),VLOOKUP(Расчет!$CH99,АшламаДВ_Gomumy,3,FALSE)))</f>
        <v>0.52</v>
      </c>
      <c r="CK99" s="274">
        <f>IF(Расчет!$CH99="Нет","Нет",IF(Исходн.данные.!$AL99&gt;0,VLOOKUP(Расчет!$CH99,АшламаДВ_Irekle,4,FALSE),VLOOKUP(Расчет!$CH99,АшламаДВ_Gomumy,4,FALSE)))</f>
        <v>0</v>
      </c>
      <c r="CL99" s="70"/>
      <c r="CM99" s="70"/>
      <c r="CN99" s="70"/>
      <c r="CO99" s="70"/>
      <c r="CP99" s="70"/>
      <c r="CQ99" s="70"/>
      <c r="CR99" s="10">
        <f t="shared" si="165"/>
        <v>0</v>
      </c>
      <c r="CS99" s="10">
        <f t="shared" si="166"/>
        <v>19.23076923076923</v>
      </c>
      <c r="CT99" s="10">
        <f t="shared" si="167"/>
        <v>0</v>
      </c>
      <c r="CU99" s="39">
        <f>IF($CH99="Нет",0,IF(CI99=0,30/MIN(CJ99:CK99),IF(Исходн.данные.!$AG99=$BV$11,CR99,IF(OR(Исходн.данные.!$AH99=$BQ$7,Исходн.данные.!$AH99=$BQ$8),90/CI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0,IF(Исходн.данные.!$AI99=$BU$11,"Нет",30/CI99))))))</f>
        <v>250</v>
      </c>
      <c r="CV99" s="39">
        <f>IF($CH99="Нет",0,IF(Исходн.данные.!AH99=0,0,IF(CJ99=0,60/MIN(CI99,CK99),IF(Исходн.данные.!$AG99=$BV$11,CS99,IF(OR(Исходн.данные.!$AH99=$BQ$7,Исходн.данные.!$AH99=$BQ$8),90/CJ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10/CJ99,IF(Исходн.данные.!$AI99=$BU$11,"Нет",60/CJ99)))))))</f>
        <v>0</v>
      </c>
      <c r="CW99" s="39">
        <f>IF($CH99="Нет",0,IF(Исходн.данные.!AH99=0,0,IF(CK99=0,30/MIN(CI99:CJ99),IF(Исходн.данные.!$AG99=$BV$11,CT99,IF(OR(Исходн.данные.!$AH99=$BQ$7,Исходн.данные.!$AH99=$BQ$8),90/CK99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0,IF(Исходн.данные.!$AI99=$BU$11,"Нет",30/CK99)))))))</f>
        <v>0</v>
      </c>
      <c r="CX99" s="133">
        <f>IF(Исходн.данные.!$AG99=$BV$11,MAX(CU99:CW99),IF(OR(Исходн.данные.!$AH99=$BS$8,Исходн.данные.!$AH99=$BQ$9,Исходн.данные.!$AH99=$BQ$10,Исходн.данные.!$AH99=$BQ$11,Исходн.данные.!$AH99=$BQ$12,Исходн.данные.!$AH99=$BP$3,Исходн.данные.!$AH99=$BT$8,$FM99="Да"),CV99,MIN(CU99:CW99)))</f>
        <v>0</v>
      </c>
      <c r="CY99" s="133">
        <f>IF(Исходн.данные.!AH99=0,0,IF(CR99&gt;$CX99,$CX99,CR99))</f>
        <v>0</v>
      </c>
      <c r="CZ99" s="133">
        <f>IF(Исходн.данные.!AH99=0,0,IF(CS99&gt;$CX99,$CX99,CS99))</f>
        <v>0</v>
      </c>
      <c r="DA99" s="133">
        <f>IF(Исходн.данные.!AH99=0,0,IF(CT99&gt;$CX99,$CX99,CT99))</f>
        <v>0</v>
      </c>
      <c r="DB99" s="10">
        <f t="shared" si="168"/>
        <v>0</v>
      </c>
      <c r="DC99" s="39">
        <f>DB99*Исходн.данные.!AJ99/1000</f>
        <v>0</v>
      </c>
      <c r="DD99" s="71">
        <f t="shared" si="169"/>
        <v>0</v>
      </c>
      <c r="DE99" s="9">
        <f t="shared" si="170"/>
        <v>0</v>
      </c>
      <c r="DF99" s="9">
        <f t="shared" si="171"/>
        <v>0</v>
      </c>
      <c r="DG99" s="39">
        <f>IF(BL99&lt;0,0,IF($CH99="Нет",BL99,IF(OR(Исходн.данные.!$AH99=$BP$1,Исходн.данные.!$AH99=$BP$2),0,IF(Исходн.данные.!AI99=$BU$11,BL99,IF(BL99-DD99&lt;0,0,BL99-DD99)))))</f>
        <v>0</v>
      </c>
      <c r="DH99" s="39">
        <f>IF(BM99&lt;0,0,IF($CH99="Нет",BM99,IF(OR(Исходн.данные.!$AH99=$BP$1,Исходн.данные.!$AH99=$BP$2),0,IF(Исходн.данные.!AJ99=$BU$11,BM99,IF(BM99-DE99&lt;0,0,BM99-DE99)))))</f>
        <v>0</v>
      </c>
      <c r="DI99" s="39">
        <f>IF(BN99&lt;0,0,IF($CH99="Нет",BN99,IF(OR(Исходн.данные.!$AH99=$BP$1,Исходн.данные.!$AH99=$BP$2),0,IF(Исходн.данные.!AK99=$BU$11,BN99,IF(BN99-DF99&lt;0,0,BN99-DF99)))))</f>
        <v>0</v>
      </c>
      <c r="DJ99" s="12">
        <f t="shared" si="172"/>
        <v>0</v>
      </c>
      <c r="DK99" s="9">
        <f t="shared" si="173"/>
        <v>0</v>
      </c>
      <c r="DL99" s="39">
        <f>IF(Исходн.данные.!AM99&gt;0,Исходн.данные.!AM99,IF(EG99&gt;0,$BH$10,0))</f>
        <v>0</v>
      </c>
      <c r="DM99" s="186">
        <f>IF($DL99=0,0,IF(Исходн.данные.!AM99&gt;0,VLOOKUP($DL99,АшламаДВ_Irekle,2,FALSE),VLOOKUP($DL99,АшламаДВ_Gomumy,2,FALSE)))</f>
        <v>0</v>
      </c>
      <c r="DN99" s="10">
        <f t="shared" si="151"/>
        <v>0</v>
      </c>
      <c r="DO99" s="9" t="str">
        <f>IF(Исходн.данные.!AN99&gt;0,Исходн.данные.!AN99,Удобрения!$B$37 )</f>
        <v>Хлор.калий</v>
      </c>
      <c r="DP99" s="9">
        <f>IF(Исходн.данные.!AN99&gt;0,VLOOKUP(Исходн.данные.!AN99,АшламаДВ_Irekle,4,FALSE),VLOOKUP(DO99,АшламаДВ_Gomumy,4,FALSE))</f>
        <v>0.6</v>
      </c>
      <c r="DQ99" s="10">
        <f t="shared" si="152"/>
        <v>0</v>
      </c>
      <c r="DR99" s="132" t="str">
        <f>IF(Исходн.данные.!AO99&gt;0,Исходн.данные.!AO99,IF(DH99=0,BS$17,IF(AND($DK99=0,$DJ99&gt;0),EJ99,EN99)))</f>
        <v>Нет</v>
      </c>
      <c r="DS99" s="70" t="str">
        <f>IF($DR99="Нет","Нет",IF(Исходн.данные.!$AO99&gt;0,VLOOKUP($DR99,АшламаДВ_Irekle,2,FALSE),VLOOKUP($DR99,АшламаДВ_Gomumy,2,FALSE)))</f>
        <v>Нет</v>
      </c>
      <c r="DT99" s="70" t="str">
        <f>IF($DR99="Нет","Нет",IF(Исходн.данные.!$AO99&gt;0,VLOOKUP($DR99,АшламаДВ_Irekle,3,FALSE),VLOOKUP($DR99,АшламаДВ_Gomumy,3,FALSE)))</f>
        <v>Нет</v>
      </c>
      <c r="DU99" s="70" t="str">
        <f>IF($DR99="Нет","Нет",IF(Исходн.данные.!$AO99&gt;0,VLOOKUP($DR99,АшламаДВ_Irekle,4,FALSE),VLOOKUP($DR99,АшламаДВ_Gomumy,4,FALSE)))</f>
        <v>Нет</v>
      </c>
      <c r="DV99" s="70"/>
      <c r="DW99" s="70"/>
      <c r="DX99" s="70"/>
      <c r="DY99" s="10">
        <f t="shared" si="174"/>
        <v>0</v>
      </c>
      <c r="DZ99" s="10">
        <f t="shared" si="175"/>
        <v>0</v>
      </c>
      <c r="EA99" s="10">
        <f t="shared" si="176"/>
        <v>0</v>
      </c>
      <c r="EB99" s="10">
        <f t="shared" si="177"/>
        <v>0</v>
      </c>
      <c r="EC99" s="10">
        <f t="shared" si="178"/>
        <v>0</v>
      </c>
      <c r="ED99" s="10">
        <f t="shared" si="179"/>
        <v>0</v>
      </c>
      <c r="EE99" s="10">
        <f t="shared" si="180"/>
        <v>0</v>
      </c>
      <c r="EF99" s="39">
        <f>EB99*Исходн.данные.!AJ99/1000</f>
        <v>0</v>
      </c>
      <c r="EG99" s="9">
        <f t="shared" si="181"/>
        <v>0</v>
      </c>
      <c r="EH99" s="9">
        <f t="shared" si="182"/>
        <v>0</v>
      </c>
      <c r="EI99" s="39" t="e">
        <f t="shared" si="132"/>
        <v>#DIV/0!</v>
      </c>
      <c r="EJ99" s="9" t="str">
        <f t="shared" si="153"/>
        <v>Азопреципитат</v>
      </c>
      <c r="EK99" s="12">
        <f t="shared" si="133"/>
        <v>0.26</v>
      </c>
      <c r="EL99" s="12">
        <f t="shared" si="134"/>
        <v>0.13</v>
      </c>
      <c r="EM99" s="12">
        <f t="shared" si="135"/>
        <v>0</v>
      </c>
      <c r="EN99" s="12" t="str">
        <f t="shared" si="154"/>
        <v>Нет</v>
      </c>
      <c r="EO99" s="12">
        <f t="shared" si="136"/>
        <v>0</v>
      </c>
      <c r="EP99" s="12">
        <f t="shared" si="137"/>
        <v>0</v>
      </c>
      <c r="EQ99" s="12">
        <f t="shared" si="138"/>
        <v>0</v>
      </c>
      <c r="ER99" s="12" t="str">
        <f t="shared" si="183"/>
        <v>Диаммофоска</v>
      </c>
      <c r="ES99" s="12">
        <f t="shared" si="139"/>
        <v>0.1</v>
      </c>
      <c r="ET99" s="12">
        <f t="shared" si="140"/>
        <v>0.26</v>
      </c>
      <c r="EU99" s="12">
        <f t="shared" si="141"/>
        <v>0.26</v>
      </c>
      <c r="EV99" s="12" t="str">
        <f t="shared" si="184"/>
        <v>Аммофос 12:52:00</v>
      </c>
      <c r="EW99" s="12" t="str">
        <f t="shared" si="185"/>
        <v>Кемира Свекловичное-6</v>
      </c>
      <c r="EX99" s="12">
        <f t="shared" si="142"/>
        <v>0.16</v>
      </c>
      <c r="EY99" s="12">
        <f t="shared" si="143"/>
        <v>0.12</v>
      </c>
      <c r="EZ99" s="12">
        <f t="shared" si="144"/>
        <v>0.17</v>
      </c>
      <c r="FA99" s="38" t="e">
        <f>IF(AND(OR(FJ99=$FD$1,FM99=$FD$1,FO99=$FD$1,FQ99=$FD$1,FS99=$FD$1),FD99=$FD$1,Исходн.данные.!J99&lt;2,FU99=$FD$1),"Бор,Кобальт",IF(AND(FO99=$FD$1,FH99=$FD$1,Исходн.данные.!J99&lt;2,FU99=$FD$1),"Бор,Кобальт",IF(AND(OR(FJ99=$FD$1,FM99=$FD$1,FQ99=$FD$1),FE99=$FD$1,Исходн.данные.!J99&lt;2,FT99=$FD$1,FU99=$FD$1),"Бор,Медь,Цинк",IF(AND(OR(FJ99=$FD$1,FR99="Да"),FI99="Да",Исходн.данные.!J99&lt;2,FT99="Да",FU99="Да"),"Бор,Цинк,Медь",IF(AND(OR(FM99="Да",FQ99="Да"),FI99="Да",Исходн.данные.!J99&lt;2,FT99="Да",FU99="Да"),"Бор,Цинк",IF(AND(FN99="Да",OR(FD99="Да",FE99="Да")),"Бор",FB99))))))</f>
        <v>#N/A</v>
      </c>
      <c r="FB99" s="134" t="e">
        <f>IF(AND(OR(FD99="Да",FE99="Да",FF99="Да",FG99="Да",FH99="Да"),FO99="Да"),"Бор",IF(AND(FP99="Да",OR(FD99="Да",FE99="Да",FI99="Да")),"Бор",IF(AND(FS99="Да",FE99="Да"),"Бор,Медь",IF(AND(OR(FJ99="Да",FK99="Да",FL99="Да"),FE99="Да",Исходн.данные.!I99&lt;5,FT99="Да",FU99="Да"),"Молибден,Цинк",IF(AND(FM99="Да",OR(FE99="Да",FF99="Да",FG99="Да",FH99="Да",FI99="Да")),"Молибден,Цинк",IF(AND(OR(FJ99="Да",FK99="Да",FL99="Да",FM99="Да",FQ99="Да"),OR(FE99="Да",FF99="Да"),FT99="Да",FU99="Да",Исходн.данные.!I99&gt;5.5),"Медь,Цинк",FC99))))))</f>
        <v>#N/A</v>
      </c>
      <c r="FC99" s="23" t="e">
        <f t="shared" si="186"/>
        <v>#N/A</v>
      </c>
      <c r="FD99" s="38" t="str">
        <f>IF(OR(Исходн.данные.!F99=$CC$1,Исходн.данные.!F99=$CC$2,Исходн.данные.!F99=$CC$3,Исходн.данные.!F99=$CC$4),"Да","Нет")</f>
        <v>Нет</v>
      </c>
      <c r="FE99" s="38" t="str">
        <f>IF(Исходн.данные.!F99=$CC$5,"Да","Нет")</f>
        <v>Нет</v>
      </c>
      <c r="FF99" s="38" t="str">
        <f>IF(OR(Исходн.данные.!F99=$CC$6,Исходн.данные.!F99=$CC$7),"Да","Нет")</f>
        <v>Нет</v>
      </c>
      <c r="FG99" s="38" t="str">
        <f>IF(OR(Исходн.данные.!F99=$CC$8,Исходн.данные.!F99=$CC$9),"Да","Нет")</f>
        <v>Нет</v>
      </c>
      <c r="FH99" s="38" t="str">
        <f>IF(Исходн.данные.!F99=$CC$10,"Да","Нет")</f>
        <v>Нет</v>
      </c>
      <c r="FI99" s="38" t="str">
        <f>IF(OR(Исходн.данные.!F99=$CC$11,Исходн.данные.!F99=$CC$12),"Да","Нет")</f>
        <v>Нет</v>
      </c>
      <c r="FJ99" s="38" t="str">
        <f>IF(OR(Исходн.данные.!AH99=$BS$1,Исходн.данные.!AH99=$BQ$11,Исходн.данные.!AH99=$BQ$12),"Да","Нет")</f>
        <v>Нет</v>
      </c>
      <c r="FK99" s="38" t="str">
        <f>IF(OR(Исходн.данные.!AH99=$BS$2,Исходн.данные.!AH99=$BS$4),"Да","Нет")</f>
        <v>Нет</v>
      </c>
      <c r="FL99" s="38" t="str">
        <f>IF(OR(Исходн.данные.!AH99=$BS$3,Исходн.данные.!AH99=$BS$5),"Да","Нет")</f>
        <v>Нет</v>
      </c>
      <c r="FM99" s="38" t="str">
        <f>IF(OR(Исходн.данные.!AH99=$BS$9,Исходн.данные.!AH99=$BS$10,Исходн.данные.!AH99=$BS$11,Исходн.данные.!AH99=$BS$12),"Да","Нет")</f>
        <v>Нет</v>
      </c>
      <c r="FN99" s="38" t="str">
        <f>IF(OR(Исходн.данные.!AH99=$BS$6,Исходн.данные.!AH99=$BP$3),"Да","Нет")</f>
        <v>Нет</v>
      </c>
      <c r="FO99" s="38" t="str">
        <f>IF(Исходн.данные.!AH99=$BQ$9,"Да","Нет")</f>
        <v>Нет</v>
      </c>
      <c r="FP99" s="38" t="str">
        <f>IF(OR(Исходн.данные.!AH99=$BS$8,Исходн.данные.!AH99=$BT$8),"Да","Нет")</f>
        <v>Нет</v>
      </c>
      <c r="FQ99" s="38" t="str">
        <f>IF(OR(Исходн.данные.!AH99=$BQ$7,Исходн.данные.!AH99=$BQ$8),"Да","Нет")</f>
        <v>Нет</v>
      </c>
      <c r="FR99" s="38" t="str">
        <f>IF(Исходн.данные.!AI99=$BU$9,"Да","Нет")</f>
        <v>Нет</v>
      </c>
      <c r="FS99" s="38" t="str">
        <f>IF(OR(Исходн.данные.!AH99=$BP$1,Исходн.данные.!AH99=$BP$2),"Да","Нет")</f>
        <v>Нет</v>
      </c>
      <c r="FT99" s="38" t="e">
        <f>IF((Исходн.данные.!K99*GO99*GS99*GW99+BL99*0.6+Исходн.данные.!Q99*4.5*0.275)&gt;90,"Да","Нет")</f>
        <v>#N/A</v>
      </c>
      <c r="FU99" s="38" t="e">
        <f>IF((Исходн.данные.!M99*GS99*GZ99+BM99*0.225)&gt;35,"Да","Нет")</f>
        <v>#N/A</v>
      </c>
      <c r="FV99" s="38" t="str">
        <f>IF(Исходн.данные.!O99&gt;175,"Да","Нет")</f>
        <v>Нет</v>
      </c>
      <c r="FW99" s="39" t="str">
        <f>IF(Исходн.данные.!I99&gt;5.5,"Да","Нет")</f>
        <v>Нет</v>
      </c>
      <c r="FX99" s="39" t="str">
        <f>IF(Исходн.данные.!J99&lt;2,"Да","Нет")</f>
        <v>Да</v>
      </c>
      <c r="FY99" s="39" t="e">
        <f>IF(HF99=$FY$16,0,Исходн.данные.!K99*GO99*GS99*GW99/HF99)</f>
        <v>#N/A</v>
      </c>
      <c r="FZ99" s="39" t="e">
        <f>Исходн.данные.!M99*GS99*GZ99/HG99</f>
        <v>#N/A</v>
      </c>
      <c r="GA99" s="39" t="e">
        <f>IF(K_Wyn=$FY$16,0,IF(Исходн.данные.!N99=Исходн.данные.!$L$10,Исходн.данные.!O99/1.1*GS99*HC99/HH99,IF(Исходн.данные.!N99=Исходн.данные.!$L$12,Исходн.данные.!O99/1.5*GS99*HC99/HH99,Исходн.данные.!O99*GS99*HC99/HH99)))</f>
        <v>#N/A</v>
      </c>
      <c r="GB99" s="39" t="e">
        <f>IF(HF99=$FY$16,0,((Исходн.данные.!Q99*N_Org+Исходн.данные.!R99*N_Sider+Исходн.данные.!S99*N_Soloma)*AO99+Расчет!BC99*VLOOKUP(Исходн.данные.!T99,Справ!$A$3:$O$57,15)*AO99+BB99*VLOOKUP(Исходн.данные.!T99,Справ!$A$3:$O$57,15)*AL99+(Исходн.данные.!V99*N_Rizotorf+Исходн.данные.!W99*N_Rizoagr))/HF99)</f>
        <v>#N/A</v>
      </c>
      <c r="GC99" s="39" t="e">
        <f>IF(HG99=$FY$16,0,((Исходн.данные.!Q99*Р_Org+Исходн.данные.!R99*P_Sider+Исходн.данные.!S99*P_Soloma)*AP99+Расчет!BC99*VLOOKUP(Исходн.данные.!T99,Справ!$A$3:$P$57,16)*AP99+BB99*VLOOKUP(Исходн.данные.!T99,Справ!$A$3:$P$57,16)*AM99)/HG99)</f>
        <v>#N/A</v>
      </c>
      <c r="GD99" s="39" t="e">
        <f>IF(HH99=$FY$16,0,((Исходн.данные.!Q99*К_Org+Исходн.данные.!R99*K_Sider+Исходн.данные.!S99*K_Soloma)*AQ99+Расчет!BC99*VLOOKUP(Исходн.данные.!T99,Справ!$A$3:$Q$57,17)*AQ99+BB99*VLOOKUP(Исходн.данные.!T99,Справ!$A$3:$Q$57,17)*AN99)/HH99)</f>
        <v>#N/A</v>
      </c>
      <c r="GE99" s="39" t="e">
        <f>IF(HF99=$FY$16,0,(Исходн.данные.!X99*AR99+Исходн.данные.!AA99*N_Org*AL99+Исходн.данные.!AB99*N_Sider*AL99+Исходн.данные.!AC99*N_Soloma*AL99)/HF99)</f>
        <v>#N/A</v>
      </c>
      <c r="GF99" s="39" t="e">
        <f>IF(HG99=$FY$16,0,(Исходн.данные.!Y99*AS99+Исходн.данные.!AA99*Р_Org*AM99+Исходн.данные.!AB99*P_Sider*AM99+Исходн.данные.!AC99*P_Soloma*AM99)/HG99)</f>
        <v>#N/A</v>
      </c>
      <c r="GG99" s="39" t="e">
        <f>IF(HH99=$FY$16,0,(Исходн.данные.!Z99*AT99+Исходн.данные.!AA99*К_Org*AN99+Исходн.данные.!AB99*K_Sider*AN99+Исходн.данные.!AC99*K_Soloma*AN99)/HH99)</f>
        <v>#N/A</v>
      </c>
      <c r="GH99" s="39" t="e">
        <f>Исходн.данные.!AD99*AU99/HF99</f>
        <v>#N/A</v>
      </c>
      <c r="GI99" s="39" t="e">
        <f>Исходн.данные.!AE99*AV99/HG99</f>
        <v>#N/A</v>
      </c>
      <c r="GJ99" s="39" t="e">
        <f>Исходн.данные.!AF99*AW99/HH99</f>
        <v>#N/A</v>
      </c>
      <c r="GK99" s="55">
        <f>Исходн.данные.!AK99</f>
        <v>0</v>
      </c>
      <c r="GL99" s="11" t="e">
        <f t="shared" si="187"/>
        <v>#N/A</v>
      </c>
      <c r="GM99" s="11" t="e">
        <f t="shared" si="188"/>
        <v>#N/A</v>
      </c>
      <c r="GN99" s="11" t="e">
        <f t="shared" si="189"/>
        <v>#N/A</v>
      </c>
      <c r="GO99" s="57">
        <f t="shared" si="190"/>
        <v>19</v>
      </c>
      <c r="GP99" s="55">
        <f>IF(OR(Исходн.данные.!F99=$CE$1,Исходн.данные.!F99=$CE$2,Исходн.данные.!F99=$CE$3,Исходн.данные.!F99=$CE$4,Исходн.данные.!F99=$CE$5),GQ99,GR99)</f>
        <v>19</v>
      </c>
      <c r="GQ99" s="55">
        <f>IF(Исходн.данные.!F99=$CE$1,28,IF(Исходн.данные.!F99=$CE$2,26,IF(Исходн.данные.!F99=$CE$3,24,IF(Исходн.данные.!F99=$CE$4,22,IF(Исходн.данные.!F99=$CE$5,20,GR99)))))</f>
        <v>19</v>
      </c>
      <c r="GR99" s="55">
        <f>IF(Исходн.данные.!F99=$CE$6,18,IF(Исходн.данные.!F99=$CE$7,16,IF(Исходн.данные.!F99=$CE$8,14,IF(Исходн.данные.!F99=$CE$9,13,IF(Исходн.данные.!F99=$CE$10,12,19)))))</f>
        <v>19</v>
      </c>
      <c r="GS99" s="55">
        <f>IF(Исходн.данные.!G99="Пес",0.035*(40+2*Исходн.данные.!H99),IF(Исходн.данные.!G99="Суп",0.0325*(40+2*Исходн.данные.!H99),0.03*(40+2*Исходн.данные.!H99)))</f>
        <v>1.2</v>
      </c>
      <c r="GT99" s="55">
        <f>IF(Исходн.данные.!H99&lt;23,2.6,IF(AND(Исходн.данные.!H99&gt;22,Исходн.данные.!H99&lt;26),3,IF(AND(Исходн.данные.!H99&gt;25,Исходн.данные.!H99&lt;29),3.4,3.6)))</f>
        <v>2.6</v>
      </c>
      <c r="GU99" s="55">
        <f>IF(Исходн.данные.!H99&lt;23,2.8,IF(AND(Исходн.данные.!H99&gt;22,Исходн.данные.!H99&lt;26),3.2,IF(AND(Исходн.данные.!H99&gt;25,Исходн.данные.!H99&lt;29),3.6,3.9)))</f>
        <v>2.8</v>
      </c>
      <c r="GV99" s="55">
        <f>IF(Исходн.данные.!H99&lt;23,3,IF(AND(Исходн.данные.!H99&gt;22,Исходн.данные.!H99&lt;26),3.5,IF(AND(Исходн.данные.!H99&gt;25,Исходн.данные.!H99&lt;29),3.9,4.2)))</f>
        <v>3</v>
      </c>
      <c r="GW99" s="55" t="e">
        <f>IF(Исходн.данные.!P99="Ум",GX99,GY99)</f>
        <v>#N/A</v>
      </c>
      <c r="GX99" s="55" t="e">
        <f>VLOOKUP(Исходн.данные.!AI99,Коэффициенты!$J$7:$L$13,2,FALSE)</f>
        <v>#N/A</v>
      </c>
      <c r="GY99" s="55" t="e">
        <f>VLOOKUP(Исходн.данные.!AI99,Коэффициенты!$J$7:$L$13,3,FALSE)</f>
        <v>#N/A</v>
      </c>
      <c r="GZ99" s="55" t="e">
        <f>(IF(Исходн.данные.!M99&lt;50,0.11*VLOOKUP(Исходн.данные.!AH99,Культуры.Информация,7,FALSE),IF(Исходн.данные.!M99&gt;250,0.05*VLOOKUP(Исходн.данные.!AH99,Культуры.Информация,7,FALSE),VLOOKUP(Исходн.данные.!AH99,Культуры.Информация,5,FALSE)/100*($GX$6+$GY$6*Исходн.данные.!M99))))*Расчет2!AI99</f>
        <v>#N/A</v>
      </c>
      <c r="HA99" s="211"/>
      <c r="HB99" s="211"/>
      <c r="HC99" s="55" t="e">
        <f>(IF(Исходн.данные.!O99&lt;80,0.2*VLOOKUP(Исходн.данные.!AH99,Культуры.Информация,8,FALSE),IF(Исходн.данные.!O99&gt;240,0.09*VLOOKUP(Исходн.данные.!AH99,Культуры.Информация,8,FALSE),VLOOKUP(Исходн.данные.!AH99,Культуры.Информация,6,FALSE)/100*($HB$6+$HC$6*Исходн.данные.!O99))))*Расчет2!AJ99</f>
        <v>#N/A</v>
      </c>
      <c r="HD99" s="55">
        <f>IF(Исходн.данные.!O99&gt;240,0.09,IF(Исходн.данные.!O99&lt;30,0.3,$HE$10+$HD$10*Исходн.данные.!O99))</f>
        <v>0.3</v>
      </c>
      <c r="HE99" s="55">
        <f>IF(Исходн.данные.!O99&gt;240,0.17,IF(Исходн.данные.!O99&lt;30,0.5,$HF$12+$HE$12*Исходн.данные.!O99))</f>
        <v>0.5</v>
      </c>
      <c r="HF99" s="55" t="e">
        <f>VLOOKUP(Исходн.данные.!AH99,Справ!$A$3:$D$58,2,FALSE)</f>
        <v>#N/A</v>
      </c>
      <c r="HG99" s="55" t="e">
        <f>VLOOKUP(Исходн.данные.!AH99,Справ!$A$3:$D$58,3,FALSE)</f>
        <v>#N/A</v>
      </c>
      <c r="HH99" s="55" t="e">
        <f>VLOOKUP(Исходн.данные.!AH99,Справ!$A$3:$D$58,4,FALSE)</f>
        <v>#N/A</v>
      </c>
      <c r="HI99" s="11" t="e">
        <f t="shared" si="191"/>
        <v>#N/A</v>
      </c>
      <c r="HJ99" s="11" t="e">
        <f t="shared" si="192"/>
        <v>#N/A</v>
      </c>
      <c r="HK99" s="11" t="e">
        <f t="shared" si="193"/>
        <v>#N/A</v>
      </c>
      <c r="HL99" s="55">
        <f>IF(OR(Исходн.данные.!G99="Глин",Исходн.данные.!G99="Т_суг"),1.1,IF(Исходн.данные.!G99="Ср_суг",1,1))</f>
        <v>1</v>
      </c>
      <c r="HM99" s="55">
        <f>IF(OR(Исходн.данные.!G99="Глин",Исходн.данные.!G99="Т_суг"),0.9,IF(Исходн.данные.!G99="Ср_суг",1,1.2))</f>
        <v>1.2</v>
      </c>
      <c r="HN99" s="11" t="e">
        <f t="shared" si="194"/>
        <v>#N/A</v>
      </c>
      <c r="HO99" s="11" t="e">
        <f t="shared" si="195"/>
        <v>#N/A</v>
      </c>
      <c r="HP99" s="11" t="e">
        <f t="shared" si="196"/>
        <v>#N/A</v>
      </c>
      <c r="HQ99" t="e">
        <f t="shared" si="197"/>
        <v>#N/A</v>
      </c>
      <c r="HR99" t="e">
        <f t="shared" si="198"/>
        <v>#N/A</v>
      </c>
      <c r="HS99" t="e">
        <f t="shared" si="199"/>
        <v>#N/A</v>
      </c>
      <c r="HT99" t="e">
        <f t="shared" si="145"/>
        <v>#N/A</v>
      </c>
      <c r="HU99" t="e">
        <f t="shared" si="146"/>
        <v>#N/A</v>
      </c>
      <c r="HV99" t="e">
        <f t="shared" si="147"/>
        <v>#N/A</v>
      </c>
      <c r="HW99" t="e">
        <f t="shared" si="148"/>
        <v>#N/A</v>
      </c>
      <c r="HX99" t="e">
        <f t="shared" si="149"/>
        <v>#N/A</v>
      </c>
      <c r="HY99" t="e">
        <f t="shared" si="150"/>
        <v>#N/A</v>
      </c>
      <c r="HZ99" s="55">
        <f>IF(OR(Исходн.данные.!AI99="Оз_Ч_П",Исходн.данные.!AI99="Оз_З_П",Исходн.данные.!AI99="Яр_зер"),12,30)</f>
        <v>30</v>
      </c>
      <c r="IA99" t="e">
        <f t="shared" si="200"/>
        <v>#N/A</v>
      </c>
      <c r="IB99" t="e">
        <f t="shared" si="201"/>
        <v>#N/A</v>
      </c>
      <c r="IC99" t="e">
        <f t="shared" si="202"/>
        <v>#N/A</v>
      </c>
      <c r="ID99" s="11" t="e">
        <f t="shared" si="203"/>
        <v>#N/A</v>
      </c>
      <c r="IE99" s="11" t="e">
        <f t="shared" si="204"/>
        <v>#N/A</v>
      </c>
      <c r="IF99" s="11" t="e">
        <f t="shared" si="205"/>
        <v>#N/A</v>
      </c>
    </row>
    <row r="100" spans="35:240" x14ac:dyDescent="0.2">
      <c r="AI100">
        <f>IF(Исходн.данные.!I100&gt;6,1,1.85-(0.148*Исходн.данные.!I100))</f>
        <v>1.85</v>
      </c>
      <c r="AJ100">
        <f>IF(Исходн.данные.!I100&gt;6,1,2.434-(0.246*Исходн.данные.!I100))</f>
        <v>2.4340000000000002</v>
      </c>
      <c r="AL100" s="148" t="b">
        <f>IF(Исходн.данные.!$P100="Ум",N_OrgUd_2g_um,IF(Исходн.данные.!$P100="Об",N_OrgUd_2g_ob))</f>
        <v>0</v>
      </c>
      <c r="AM100" s="148" t="b">
        <f>IF(Исходн.данные.!$P100="Ум",P_OrgUd_2g_um,IF(Исходн.данные.!$P100="Об",P_OrgUd_2g_ob))</f>
        <v>0</v>
      </c>
      <c r="AN100" s="148" t="b">
        <f>IF(Исходн.данные.!$P100="Ум",K_OrgUd_2g_um,IF(Исходн.данные.!$P100="Об",K_OrgUd_2g_ob))</f>
        <v>0</v>
      </c>
      <c r="AO100" s="148" t="b">
        <f>IF(Исходн.данные.!$P100="Ум",N_OrgUd_1g_um,IF(Исходн.данные.!$P100="Об",N_OrgUd_1g_ob))</f>
        <v>0</v>
      </c>
      <c r="AP100" s="148" t="b">
        <f>IF(Исходн.данные.!$P100="Ум",P_OrgUd_1g_um,IF(Исходн.данные.!$P100="Об",P_OrgUd_1g_ob))</f>
        <v>0</v>
      </c>
      <c r="AQ100" s="148" t="b">
        <f>IF(Исходн.данные.!$P100="Ум",K_OrgUd_1g_um,IF(Исходн.данные.!$P100="Об",K_OrgUd_1g_ob))</f>
        <v>0</v>
      </c>
      <c r="AR100" t="b">
        <f>IF(Исходн.данные.!$P100="Ум",N_MinUd_2g_um,IF(Исходн.данные.!$P100="Об",N_MinUd_2g_ob))</f>
        <v>0</v>
      </c>
      <c r="AS100" t="b">
        <f>IF(Исходн.данные.!$P100="Ум",P_MinUd_2g_um,IF(Исходн.данные.!$P100="Об",P_MinUd_2g_ob))</f>
        <v>0</v>
      </c>
      <c r="AT100" t="b">
        <f>IF(Исходн.данные.!$P100="Ум",K_MinUd_2g_um,IF(Исходн.данные.!$P100="Об",K_MinUd_2g_ob))</f>
        <v>0</v>
      </c>
      <c r="AU100" t="b">
        <f>IF(Исходн.данные.!$P100="Ум",N_MinUd_1g_um,IF(Исходн.данные.!$P100="Об",N_MinUd_1g_ob))</f>
        <v>0</v>
      </c>
      <c r="AV100" t="b">
        <f>IF(Исходн.данные.!P100="Ум",P_MinUd_1g_um,IF(Исходн.данные.!P100="Об",P_MinUd_1g_ob))</f>
        <v>0</v>
      </c>
      <c r="AW100" t="b">
        <f>IF(Исходн.данные.!P100="Ум",K_MinUd_1g_um,IF(Исходн.данные.!P100="Об",K_MinUd_1g_ob))</f>
        <v>0</v>
      </c>
      <c r="AY100" t="e">
        <f>VLOOKUP(Исходн.данные.!T100,Справ!$A$3:$N$57,12)</f>
        <v>#N/A</v>
      </c>
      <c r="AZ100" t="e">
        <f>VLOOKUP(Исходн.данные.!T100,Справ!$A$3:$N$57,13)</f>
        <v>#N/A</v>
      </c>
      <c r="BA100" t="e">
        <f>VLOOKUP(Исходн.данные.!T100,Справ!$A$3:$N$57,14)</f>
        <v>#N/A</v>
      </c>
      <c r="BB100">
        <f>IF(Исходн.данные.!AH100=0,0,25)</f>
        <v>0</v>
      </c>
      <c r="BC100" s="141">
        <f>IF(Исходн.данные.!AH100=0,0,IF(Исходн.данные.!T100=0,25,BD100))</f>
        <v>0</v>
      </c>
      <c r="BD100" s="168" t="e">
        <f>AY100+AZ100*Исходн.данные.!U100-POWER(BA100,2)*Исходн.данные.!U100</f>
        <v>#N/A</v>
      </c>
      <c r="BE10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0" s="25">
        <f>IF(Исходн.данные.!AH100=0,0,MIN(HN100:HP100))</f>
        <v>0</v>
      </c>
      <c r="BG100" s="9">
        <f>IF(Исходн.данные.!AH100=0,0,IF((HO100+10*0.25/HG100/HL100)&lt;17,17,HO100+10*0.25/HG100/HL100))</f>
        <v>0</v>
      </c>
      <c r="BH100" s="181">
        <f>IF(Исходн.данные.!AH100=0,0,HW100*HF100*HL100/AU100*AI100+Исходн.данные.!S100*10)</f>
        <v>0</v>
      </c>
      <c r="BI100" s="10"/>
      <c r="BJ100" s="182">
        <f>IF(Исходн.данные.!AH100=0,0,IF(HX100*HG100*HL100/AV100&lt;0,0,HX100*HG100*HL100/AV100*AJ100))</f>
        <v>0</v>
      </c>
      <c r="BK100" s="182">
        <f>IF(Исходн.данные.!AH100=0,0,HY100*HH100*HM100/AW100)</f>
        <v>0</v>
      </c>
      <c r="BL100" s="10">
        <f>IF(OR(Исходн.данные.!$AH100=$BP$1,Исходн.данные.!$AH100=$BP$2),0,IF(BH100&lt;0,0,IF(OR(Исходн.данные.!T100=Расчет!$BP$1,Исходн.данные.!T100=Расчет!$BP$2,Исходн.данные.!T100=Расчет!$BT$5,Исходн.данные.!T100=Расчет!$BT$6),BH100*0.5,IF(OR(Исходн.данные.!T100=Расчет!$BS$9,Исходн.данные.!T100=Расчет!$BS$10,Исходн.данные.!T100=Расчет!$BS$11,Исходн.данные.!T100=Расчет!$BS$12,Исходн.данные.!T100=Расчет!$BP$5),BH100*0.8,BH100))))</f>
        <v>0</v>
      </c>
      <c r="BM100" s="10">
        <f>IF(OR(Исходн.данные.!$AH100=$BP$1,Исходн.данные.!$AH100=$BP$2),0,IF(BJ100&lt;0,0,IF(Исходн.данные.!I100&lt;4.5,BJ100*1.2,IF(Исходн.данные.!I100&gt;5.1,BJ100,BJ100*((5.1-Исходн.данные.!I100)*0.333+1)))))</f>
        <v>0</v>
      </c>
      <c r="BN100" s="10">
        <f>IF(OR(Исходн.данные.!$AH100=$BP$1,Исходн.данные.!$AH100=$BP$2),60-Исходн.данные.!AF100,IF(BK100&lt;0,0,IF(Исходн.данные.!I100&lt;4.5,BK100*1.2,IF(Исходн.данные.!I100&gt;5.1,BK100,BK100*((5.1-Исходн.данные.!I100)*0.333+1)))))</f>
        <v>0</v>
      </c>
      <c r="BO100" s="9">
        <f>IF(BL100&lt;0,0,BL100*Исходн.данные.!$AJ100/1000)</f>
        <v>0</v>
      </c>
      <c r="BP100" s="9">
        <f>IF(BM100&lt;0,0,BM100*Исходн.данные.!$AJ100/1000)</f>
        <v>0</v>
      </c>
      <c r="BQ100" s="9">
        <f>IF(BN100&lt;0,0,BN100*Исходн.данные.!$AJ100/1000)</f>
        <v>0</v>
      </c>
      <c r="BR100" s="9">
        <f t="shared" si="155"/>
        <v>0</v>
      </c>
      <c r="BS100" s="10" t="str">
        <f t="shared" si="156"/>
        <v>Аммофос 12:52:00</v>
      </c>
      <c r="BT100" s="10" t="str">
        <f t="shared" si="157"/>
        <v>Аммофос 12:52:00</v>
      </c>
      <c r="BU100" s="10" t="str">
        <f t="shared" si="158"/>
        <v>Диаммофоска</v>
      </c>
      <c r="BV100" s="10">
        <f t="shared" si="159"/>
        <v>0</v>
      </c>
      <c r="BW100" s="10"/>
      <c r="BX100" s="10"/>
      <c r="BY100" s="9">
        <f>IF(BL100&lt;0,0,IF(OR(Исходн.данные.!AI100=Расчет!$BU$6,Исходн.данные.!AI100=Расчет!$BU$7),Расчет!BV100,IF(Исходн.данные.!$AG100=$BV$11,BL100,IF(OR(Исходн.данные.!$AH100=$BQ$7,Исходн.данные.!$AH100=$BQ$8),CB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0,IF(Исходн.данные.!$AI100=$BU$11,"Нет",IF(BL100&gt;30,30,BL100)))))))</f>
        <v>0</v>
      </c>
      <c r="BZ100" s="9">
        <f>IF(AND(Исходн.данные.!$AG100=$BV$11,BM100&lt;10),10,IF(Исходн.данные.!$AG100=$BV$11,BM100,IF(OR(Исходн.данные.!$AH100=$BQ$7,Исходн.данные.!$AH100=$BQ$8),CC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10,IF(Исходн.данные.!$AI100=$BU$11,"Нет",IF(BM100&gt;60,60,IF(BM100&lt;10,10,BM100)))))))</f>
        <v>10</v>
      </c>
      <c r="CA100" s="39">
        <f>IF(BN100&lt;0,0,IF(Исходн.данные.!$AG100=$BV$11,BN100,IF(OR(Исходн.данные.!$AH100=$BQ$7,Исходн.данные.!$AH100=$BQ$8),CD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0,IF(Исходн.данные.!$AI100=$BU$11,"Нет",IF(BN100&gt;30,30,BN100))))))</f>
        <v>0</v>
      </c>
      <c r="CB100" s="9">
        <f t="shared" si="160"/>
        <v>0</v>
      </c>
      <c r="CC100" s="9">
        <f t="shared" si="161"/>
        <v>0</v>
      </c>
      <c r="CD100" s="9">
        <f t="shared" si="162"/>
        <v>0</v>
      </c>
      <c r="CE100" s="12">
        <f t="shared" si="163"/>
        <v>10</v>
      </c>
      <c r="CF100" s="9">
        <f t="shared" si="164"/>
        <v>0</v>
      </c>
      <c r="CG100" s="9" t="s">
        <v>231</v>
      </c>
      <c r="CH100" s="132" t="str">
        <f>IF(Исходн.данные.!AP100=Расчет!$CI$16,"Нет",IF(Исходн.данные.!AL100&gt;0,Исходн.данные.!AL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BH$4,IF(OR(Исходн.данные.!AI100=Исходн.данные.!$AI$6,Исходн.данные.!AI100=Исходн.данные.!$AI$7),Расчет!BS100,IF(AND($CF100=0,$CE100&gt;0),EV100,ER100)))))</f>
        <v>Аммофос 12:52:00</v>
      </c>
      <c r="CI100" s="274">
        <f>IF(Расчет!$CH100="Нет","Нет",IF(Исходн.данные.!$AL100&gt;0,VLOOKUP(Расчет!$CH100,АшламаДВ_Irekle,2,FALSE),VLOOKUP(Расчет!$CH100,АшламаДВ_Gomumy,2,FALSE)))</f>
        <v>0.12</v>
      </c>
      <c r="CJ100" s="274">
        <f>IF(Расчет!$CH100="Нет","Нет",IF(Исходн.данные.!$AL100&gt;0,VLOOKUP(Расчет!$CH100,АшламаДВ_Irekle,3,FALSE),VLOOKUP(Расчет!$CH100,АшламаДВ_Gomumy,3,FALSE)))</f>
        <v>0.52</v>
      </c>
      <c r="CK100" s="274">
        <f>IF(Расчет!$CH100="Нет","Нет",IF(Исходн.данные.!$AL100&gt;0,VLOOKUP(Расчет!$CH100,АшламаДВ_Irekle,4,FALSE),VLOOKUP(Расчет!$CH100,АшламаДВ_Gomumy,4,FALSE)))</f>
        <v>0</v>
      </c>
      <c r="CL100" s="70"/>
      <c r="CM100" s="70"/>
      <c r="CN100" s="70"/>
      <c r="CO100" s="70"/>
      <c r="CP100" s="70"/>
      <c r="CQ100" s="70"/>
      <c r="CR100" s="10">
        <f t="shared" si="165"/>
        <v>0</v>
      </c>
      <c r="CS100" s="10">
        <f t="shared" si="166"/>
        <v>19.23076923076923</v>
      </c>
      <c r="CT100" s="10">
        <f t="shared" si="167"/>
        <v>0</v>
      </c>
      <c r="CU100" s="39">
        <f>IF($CH100="Нет",0,IF(CI100=0,30/MIN(CJ100:CK100),IF(Исходн.данные.!$AG100=$BV$11,CR100,IF(OR(Исходн.данные.!$AH100=$BQ$7,Исходн.данные.!$AH100=$BQ$8),90/CI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0,IF(Исходн.данные.!$AI100=$BU$11,"Нет",30/CI100))))))</f>
        <v>250</v>
      </c>
      <c r="CV100" s="39">
        <f>IF($CH100="Нет",0,IF(Исходн.данные.!AH100=0,0,IF(CJ100=0,60/MIN(CI100,CK100),IF(Исходн.данные.!$AG100=$BV$11,CS100,IF(OR(Исходн.данные.!$AH100=$BQ$7,Исходн.данные.!$AH100=$BQ$8),90/CJ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10/CJ100,IF(Исходн.данные.!$AI100=$BU$11,"Нет",60/CJ100)))))))</f>
        <v>0</v>
      </c>
      <c r="CW100" s="39">
        <f>IF($CH100="Нет",0,IF(Исходн.данные.!AH100=0,0,IF(CK100=0,30/MIN(CI100:CJ100),IF(Исходн.данные.!$AG100=$BV$11,CT100,IF(OR(Исходн.данные.!$AH100=$BQ$7,Исходн.данные.!$AH100=$BQ$8),90/CK100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0,IF(Исходн.данные.!$AI100=$BU$11,"Нет",30/CK100)))))))</f>
        <v>0</v>
      </c>
      <c r="CX100" s="133">
        <f>IF(Исходн.данные.!$AG100=$BV$11,MAX(CU100:CW100),IF(OR(Исходн.данные.!$AH100=$BS$8,Исходн.данные.!$AH100=$BQ$9,Исходн.данные.!$AH100=$BQ$10,Исходн.данные.!$AH100=$BQ$11,Исходн.данные.!$AH100=$BQ$12,Исходн.данные.!$AH100=$BP$3,Исходн.данные.!$AH100=$BT$8,$FM100="Да"),CV100,MIN(CU100:CW100)))</f>
        <v>0</v>
      </c>
      <c r="CY100" s="133">
        <f>IF(Исходн.данные.!AH100=0,0,IF(CR100&gt;$CX100,$CX100,CR100))</f>
        <v>0</v>
      </c>
      <c r="CZ100" s="133">
        <f>IF(Исходн.данные.!AH100=0,0,IF(CS100&gt;$CX100,$CX100,CS100))</f>
        <v>0</v>
      </c>
      <c r="DA100" s="133">
        <f>IF(Исходн.данные.!AH100=0,0,IF(CT100&gt;$CX100,$CX100,CT100))</f>
        <v>0</v>
      </c>
      <c r="DB100" s="10">
        <f t="shared" si="168"/>
        <v>0</v>
      </c>
      <c r="DC100" s="39">
        <f>DB100*Исходн.данные.!AJ100/1000</f>
        <v>0</v>
      </c>
      <c r="DD100" s="71">
        <f t="shared" si="169"/>
        <v>0</v>
      </c>
      <c r="DE100" s="9">
        <f t="shared" si="170"/>
        <v>0</v>
      </c>
      <c r="DF100" s="9">
        <f t="shared" si="171"/>
        <v>0</v>
      </c>
      <c r="DG100" s="39">
        <f>IF(BL100&lt;0,0,IF($CH100="Нет",BL100,IF(OR(Исходн.данные.!$AH100=$BP$1,Исходн.данные.!$AH100=$BP$2),0,IF(Исходн.данные.!AI100=$BU$11,BL100,IF(BL100-DD100&lt;0,0,BL100-DD100)))))</f>
        <v>0</v>
      </c>
      <c r="DH100" s="39">
        <f>IF(BM100&lt;0,0,IF($CH100="Нет",BM100,IF(OR(Исходн.данные.!$AH100=$BP$1,Исходн.данные.!$AH100=$BP$2),0,IF(Исходн.данные.!AJ100=$BU$11,BM100,IF(BM100-DE100&lt;0,0,BM100-DE100)))))</f>
        <v>0</v>
      </c>
      <c r="DI100" s="39">
        <f>IF(BN100&lt;0,0,IF($CH100="Нет",BN100,IF(OR(Исходн.данные.!$AH100=$BP$1,Исходн.данные.!$AH100=$BP$2),0,IF(Исходн.данные.!AK100=$BU$11,BN100,IF(BN100-DF100&lt;0,0,BN100-DF100)))))</f>
        <v>0</v>
      </c>
      <c r="DJ100" s="12">
        <f t="shared" si="172"/>
        <v>0</v>
      </c>
      <c r="DK100" s="9">
        <f t="shared" si="173"/>
        <v>0</v>
      </c>
      <c r="DL100" s="39">
        <f>IF(Исходн.данные.!AM100&gt;0,Исходн.данные.!AM100,IF(EG100&gt;0,$BH$10,0))</f>
        <v>0</v>
      </c>
      <c r="DM100" s="186">
        <f>IF($DL100=0,0,IF(Исходн.данные.!AM100&gt;0,VLOOKUP($DL100,АшламаДВ_Irekle,2,FALSE),VLOOKUP($DL100,АшламаДВ_Gomumy,2,FALSE)))</f>
        <v>0</v>
      </c>
      <c r="DN100" s="10">
        <f t="shared" si="151"/>
        <v>0</v>
      </c>
      <c r="DO100" s="9" t="str">
        <f>IF(Исходн.данные.!AN100&gt;0,Исходн.данные.!AN100,Удобрения!$B$37 )</f>
        <v>Хлор.калий</v>
      </c>
      <c r="DP100" s="9">
        <f>IF(Исходн.данные.!AN100&gt;0,VLOOKUP(Исходн.данные.!AN100,АшламаДВ_Irekle,4,FALSE),VLOOKUP(DO100,АшламаДВ_Gomumy,4,FALSE))</f>
        <v>0.6</v>
      </c>
      <c r="DQ100" s="10">
        <f t="shared" si="152"/>
        <v>0</v>
      </c>
      <c r="DR100" s="132" t="str">
        <f>IF(Исходн.данные.!AO100&gt;0,Исходн.данные.!AO100,IF(DH100=0,BS$17,IF(AND($DK100=0,$DJ100&gt;0),EJ100,EN100)))</f>
        <v>Нет</v>
      </c>
      <c r="DS100" s="70" t="str">
        <f>IF($DR100="Нет","Нет",IF(Исходн.данные.!$AO100&gt;0,VLOOKUP($DR100,АшламаДВ_Irekle,2,FALSE),VLOOKUP($DR100,АшламаДВ_Gomumy,2,FALSE)))</f>
        <v>Нет</v>
      </c>
      <c r="DT100" s="70" t="str">
        <f>IF($DR100="Нет","Нет",IF(Исходн.данные.!$AO100&gt;0,VLOOKUP($DR100,АшламаДВ_Irekle,3,FALSE),VLOOKUP($DR100,АшламаДВ_Gomumy,3,FALSE)))</f>
        <v>Нет</v>
      </c>
      <c r="DU100" s="70" t="str">
        <f>IF($DR100="Нет","Нет",IF(Исходн.данные.!$AO100&gt;0,VLOOKUP($DR100,АшламаДВ_Irekle,4,FALSE),VLOOKUP($DR100,АшламаДВ_Gomumy,4,FALSE)))</f>
        <v>Нет</v>
      </c>
      <c r="DV100" s="70"/>
      <c r="DW100" s="70"/>
      <c r="DX100" s="70"/>
      <c r="DY100" s="10">
        <f t="shared" si="174"/>
        <v>0</v>
      </c>
      <c r="DZ100" s="10">
        <f t="shared" si="175"/>
        <v>0</v>
      </c>
      <c r="EA100" s="10">
        <f t="shared" si="176"/>
        <v>0</v>
      </c>
      <c r="EB100" s="10">
        <f t="shared" si="177"/>
        <v>0</v>
      </c>
      <c r="EC100" s="10">
        <f t="shared" si="178"/>
        <v>0</v>
      </c>
      <c r="ED100" s="10">
        <f t="shared" si="179"/>
        <v>0</v>
      </c>
      <c r="EE100" s="10">
        <f t="shared" si="180"/>
        <v>0</v>
      </c>
      <c r="EF100" s="39">
        <f>EB100*Исходн.данные.!AJ100/1000</f>
        <v>0</v>
      </c>
      <c r="EG100" s="9">
        <f t="shared" si="181"/>
        <v>0</v>
      </c>
      <c r="EH100" s="9">
        <f t="shared" si="182"/>
        <v>0</v>
      </c>
      <c r="EI100" s="39" t="e">
        <f t="shared" si="132"/>
        <v>#DIV/0!</v>
      </c>
      <c r="EJ100" s="9" t="str">
        <f t="shared" si="153"/>
        <v>Азопреципитат</v>
      </c>
      <c r="EK100" s="12">
        <f t="shared" si="133"/>
        <v>0.26</v>
      </c>
      <c r="EL100" s="12">
        <f t="shared" si="134"/>
        <v>0.13</v>
      </c>
      <c r="EM100" s="12">
        <f t="shared" si="135"/>
        <v>0</v>
      </c>
      <c r="EN100" s="12" t="str">
        <f t="shared" si="154"/>
        <v>Нет</v>
      </c>
      <c r="EO100" s="12">
        <f t="shared" si="136"/>
        <v>0</v>
      </c>
      <c r="EP100" s="12">
        <f t="shared" si="137"/>
        <v>0</v>
      </c>
      <c r="EQ100" s="12">
        <f t="shared" si="138"/>
        <v>0</v>
      </c>
      <c r="ER100" s="12" t="str">
        <f t="shared" si="183"/>
        <v>Диаммофоска</v>
      </c>
      <c r="ES100" s="12">
        <f t="shared" si="139"/>
        <v>0.1</v>
      </c>
      <c r="ET100" s="12">
        <f t="shared" si="140"/>
        <v>0.26</v>
      </c>
      <c r="EU100" s="12">
        <f t="shared" si="141"/>
        <v>0.26</v>
      </c>
      <c r="EV100" s="12" t="str">
        <f t="shared" si="184"/>
        <v>Аммофос 12:52:00</v>
      </c>
      <c r="EW100" s="12" t="str">
        <f t="shared" si="185"/>
        <v>Кемира Свекловичное-6</v>
      </c>
      <c r="EX100" s="12">
        <f t="shared" si="142"/>
        <v>0.16</v>
      </c>
      <c r="EY100" s="12">
        <f t="shared" si="143"/>
        <v>0.12</v>
      </c>
      <c r="EZ100" s="12">
        <f t="shared" si="144"/>
        <v>0.17</v>
      </c>
      <c r="FA100" s="38" t="e">
        <f>IF(AND(OR(FJ100=$FD$1,FM100=$FD$1,FO100=$FD$1,FQ100=$FD$1,FS100=$FD$1),FD100=$FD$1,Исходн.данные.!J100&lt;2,FU100=$FD$1),"Бор,Кобальт",IF(AND(FO100=$FD$1,FH100=$FD$1,Исходн.данные.!J100&lt;2,FU100=$FD$1),"Бор,Кобальт",IF(AND(OR(FJ100=$FD$1,FM100=$FD$1,FQ100=$FD$1),FE100=$FD$1,Исходн.данные.!J100&lt;2,FT100=$FD$1,FU100=$FD$1),"Бор,Медь,Цинк",IF(AND(OR(FJ100=$FD$1,FR100="Да"),FI100="Да",Исходн.данные.!J100&lt;2,FT100="Да",FU100="Да"),"Бор,Цинк,Медь",IF(AND(OR(FM100="Да",FQ100="Да"),FI100="Да",Исходн.данные.!J100&lt;2,FT100="Да",FU100="Да"),"Бор,Цинк",IF(AND(FN100="Да",OR(FD100="Да",FE100="Да")),"Бор",FB100))))))</f>
        <v>#N/A</v>
      </c>
      <c r="FB100" s="134" t="e">
        <f>IF(AND(OR(FD100="Да",FE100="Да",FF100="Да",FG100="Да",FH100="Да"),FO100="Да"),"Бор",IF(AND(FP100="Да",OR(FD100="Да",FE100="Да",FI100="Да")),"Бор",IF(AND(FS100="Да",FE100="Да"),"Бор,Медь",IF(AND(OR(FJ100="Да",FK100="Да",FL100="Да"),FE100="Да",Исходн.данные.!I100&lt;5,FT100="Да",FU100="Да"),"Молибден,Цинк",IF(AND(FM100="Да",OR(FE100="Да",FF100="Да",FG100="Да",FH100="Да",FI100="Да")),"Молибден,Цинк",IF(AND(OR(FJ100="Да",FK100="Да",FL100="Да",FM100="Да",FQ100="Да"),OR(FE100="Да",FF100="Да"),FT100="Да",FU100="Да",Исходн.данные.!I100&gt;5.5),"Медь,Цинк",FC100))))))</f>
        <v>#N/A</v>
      </c>
      <c r="FC100" s="23" t="e">
        <f t="shared" si="186"/>
        <v>#N/A</v>
      </c>
      <c r="FD100" s="38" t="str">
        <f>IF(OR(Исходн.данные.!F100=$CC$1,Исходн.данные.!F100=$CC$2,Исходн.данные.!F100=$CC$3,Исходн.данные.!F100=$CC$4),"Да","Нет")</f>
        <v>Нет</v>
      </c>
      <c r="FE100" s="38" t="str">
        <f>IF(Исходн.данные.!F100=$CC$5,"Да","Нет")</f>
        <v>Нет</v>
      </c>
      <c r="FF100" s="38" t="str">
        <f>IF(OR(Исходн.данные.!F100=$CC$6,Исходн.данные.!F100=$CC$7),"Да","Нет")</f>
        <v>Нет</v>
      </c>
      <c r="FG100" s="38" t="str">
        <f>IF(OR(Исходн.данные.!F100=$CC$8,Исходн.данные.!F100=$CC$9),"Да","Нет")</f>
        <v>Нет</v>
      </c>
      <c r="FH100" s="38" t="str">
        <f>IF(Исходн.данные.!F100=$CC$10,"Да","Нет")</f>
        <v>Нет</v>
      </c>
      <c r="FI100" s="38" t="str">
        <f>IF(OR(Исходн.данные.!F100=$CC$11,Исходн.данные.!F100=$CC$12),"Да","Нет")</f>
        <v>Нет</v>
      </c>
      <c r="FJ100" s="38" t="str">
        <f>IF(OR(Исходн.данные.!AH100=$BS$1,Исходн.данные.!AH100=$BQ$11,Исходн.данные.!AH100=$BQ$12),"Да","Нет")</f>
        <v>Нет</v>
      </c>
      <c r="FK100" s="38" t="str">
        <f>IF(OR(Исходн.данные.!AH100=$BS$2,Исходн.данные.!AH100=$BS$4),"Да","Нет")</f>
        <v>Нет</v>
      </c>
      <c r="FL100" s="38" t="str">
        <f>IF(OR(Исходн.данные.!AH100=$BS$3,Исходн.данные.!AH100=$BS$5),"Да","Нет")</f>
        <v>Нет</v>
      </c>
      <c r="FM100" s="38" t="str">
        <f>IF(OR(Исходн.данные.!AH100=$BS$9,Исходн.данные.!AH100=$BS$10,Исходн.данные.!AH100=$BS$11,Исходн.данные.!AH100=$BS$12),"Да","Нет")</f>
        <v>Нет</v>
      </c>
      <c r="FN100" s="38" t="str">
        <f>IF(OR(Исходн.данные.!AH100=$BS$6,Исходн.данные.!AH100=$BP$3),"Да","Нет")</f>
        <v>Нет</v>
      </c>
      <c r="FO100" s="38" t="str">
        <f>IF(Исходн.данные.!AH100=$BQ$9,"Да","Нет")</f>
        <v>Нет</v>
      </c>
      <c r="FP100" s="38" t="str">
        <f>IF(OR(Исходн.данные.!AH100=$BS$8,Исходн.данные.!AH100=$BT$8),"Да","Нет")</f>
        <v>Нет</v>
      </c>
      <c r="FQ100" s="38" t="str">
        <f>IF(OR(Исходн.данные.!AH100=$BQ$7,Исходн.данные.!AH100=$BQ$8),"Да","Нет")</f>
        <v>Нет</v>
      </c>
      <c r="FR100" s="38" t="str">
        <f>IF(Исходн.данные.!AI100=$BU$9,"Да","Нет")</f>
        <v>Нет</v>
      </c>
      <c r="FS100" s="38" t="str">
        <f>IF(OR(Исходн.данные.!AH100=$BP$1,Исходн.данные.!AH100=$BP$2),"Да","Нет")</f>
        <v>Нет</v>
      </c>
      <c r="FT100" s="38" t="e">
        <f>IF((Исходн.данные.!K100*GO100*GS100*GW100+BL100*0.6+Исходн.данные.!Q100*4.5*0.275)&gt;90,"Да","Нет")</f>
        <v>#N/A</v>
      </c>
      <c r="FU100" s="38" t="e">
        <f>IF((Исходн.данные.!M100*GS100*GZ100+BM100*0.225)&gt;35,"Да","Нет")</f>
        <v>#N/A</v>
      </c>
      <c r="FV100" s="38" t="str">
        <f>IF(Исходн.данные.!O100&gt;175,"Да","Нет")</f>
        <v>Нет</v>
      </c>
      <c r="FW100" s="39" t="str">
        <f>IF(Исходн.данные.!I100&gt;5.5,"Да","Нет")</f>
        <v>Нет</v>
      </c>
      <c r="FX100" s="39" t="str">
        <f>IF(Исходн.данные.!J100&lt;2,"Да","Нет")</f>
        <v>Да</v>
      </c>
      <c r="FY100" s="39" t="e">
        <f>IF(HF100=$FY$16,0,Исходн.данные.!K100*GO100*GS100*GW100/HF100)</f>
        <v>#N/A</v>
      </c>
      <c r="FZ100" s="39" t="e">
        <f>Исходн.данные.!M100*GS100*GZ100/HG100</f>
        <v>#N/A</v>
      </c>
      <c r="GA100" s="39" t="e">
        <f>IF(K_Wyn=$FY$16,0,IF(Исходн.данные.!N100=Исходн.данные.!$L$10,Исходн.данные.!O100/1.1*GS100*HC100/HH100,IF(Исходн.данные.!N100=Исходн.данные.!$L$12,Исходн.данные.!O100/1.5*GS100*HC100/HH100,Исходн.данные.!O100*GS100*HC100/HH100)))</f>
        <v>#N/A</v>
      </c>
      <c r="GB100" s="39" t="e">
        <f>IF(HF100=$FY$16,0,((Исходн.данные.!Q100*N_Org+Исходн.данные.!R100*N_Sider+Исходн.данные.!S100*N_Soloma)*AO100+Расчет!BC100*VLOOKUP(Исходн.данные.!T100,Справ!$A$3:$O$57,15)*AO100+BB100*VLOOKUP(Исходн.данные.!T100,Справ!$A$3:$O$57,15)*AL100+(Исходн.данные.!V100*N_Rizotorf+Исходн.данные.!W100*N_Rizoagr))/HF100)</f>
        <v>#N/A</v>
      </c>
      <c r="GC100" s="39" t="e">
        <f>IF(HG100=$FY$16,0,((Исходн.данные.!Q100*Р_Org+Исходн.данные.!R100*P_Sider+Исходн.данные.!S100*P_Soloma)*AP100+Расчет!BC100*VLOOKUP(Исходн.данные.!T100,Справ!$A$3:$P$57,16)*AP100+BB100*VLOOKUP(Исходн.данные.!T100,Справ!$A$3:$P$57,16)*AM100)/HG100)</f>
        <v>#N/A</v>
      </c>
      <c r="GD100" s="39" t="e">
        <f>IF(HH100=$FY$16,0,((Исходн.данные.!Q100*К_Org+Исходн.данные.!R100*K_Sider+Исходн.данные.!S100*K_Soloma)*AQ100+Расчет!BC100*VLOOKUP(Исходн.данные.!T100,Справ!$A$3:$Q$57,17)*AQ100+BB100*VLOOKUP(Исходн.данные.!T100,Справ!$A$3:$Q$57,17)*AN100)/HH100)</f>
        <v>#N/A</v>
      </c>
      <c r="GE100" s="39" t="e">
        <f>IF(HF100=$FY$16,0,(Исходн.данные.!X100*AR100+Исходн.данные.!AA100*N_Org*AL100+Исходн.данные.!AB100*N_Sider*AL100+Исходн.данные.!AC100*N_Soloma*AL100)/HF100)</f>
        <v>#N/A</v>
      </c>
      <c r="GF100" s="39" t="e">
        <f>IF(HG100=$FY$16,0,(Исходн.данные.!Y100*AS100+Исходн.данные.!AA100*Р_Org*AM100+Исходн.данные.!AB100*P_Sider*AM100+Исходн.данные.!AC100*P_Soloma*AM100)/HG100)</f>
        <v>#N/A</v>
      </c>
      <c r="GG100" s="39" t="e">
        <f>IF(HH100=$FY$16,0,(Исходн.данные.!Z100*AT100+Исходн.данные.!AA100*К_Org*AN100+Исходн.данные.!AB100*K_Sider*AN100+Исходн.данные.!AC100*K_Soloma*AN100)/HH100)</f>
        <v>#N/A</v>
      </c>
      <c r="GH100" s="39" t="e">
        <f>Исходн.данные.!AD100*AU100/HF100</f>
        <v>#N/A</v>
      </c>
      <c r="GI100" s="39" t="e">
        <f>Исходн.данные.!AE100*AV100/HG100</f>
        <v>#N/A</v>
      </c>
      <c r="GJ100" s="39" t="e">
        <f>Исходн.данные.!AF100*AW100/HH100</f>
        <v>#N/A</v>
      </c>
      <c r="GK100" s="55">
        <f>Исходн.данные.!AK100</f>
        <v>0</v>
      </c>
      <c r="GL100" s="11" t="e">
        <f t="shared" si="187"/>
        <v>#N/A</v>
      </c>
      <c r="GM100" s="11" t="e">
        <f t="shared" si="188"/>
        <v>#N/A</v>
      </c>
      <c r="GN100" s="11" t="e">
        <f t="shared" si="189"/>
        <v>#N/A</v>
      </c>
      <c r="GO100" s="57">
        <f t="shared" si="190"/>
        <v>19</v>
      </c>
      <c r="GP100" s="55">
        <f>IF(OR(Исходн.данные.!F100=$CE$1,Исходн.данные.!F100=$CE$2,Исходн.данные.!F100=$CE$3,Исходн.данные.!F100=$CE$4,Исходн.данные.!F100=$CE$5),GQ100,GR100)</f>
        <v>19</v>
      </c>
      <c r="GQ100" s="55">
        <f>IF(Исходн.данные.!F100=$CE$1,28,IF(Исходн.данные.!F100=$CE$2,26,IF(Исходн.данные.!F100=$CE$3,24,IF(Исходн.данные.!F100=$CE$4,22,IF(Исходн.данные.!F100=$CE$5,20,GR100)))))</f>
        <v>19</v>
      </c>
      <c r="GR100" s="55">
        <f>IF(Исходн.данные.!F100=$CE$6,18,IF(Исходн.данные.!F100=$CE$7,16,IF(Исходн.данные.!F100=$CE$8,14,IF(Исходн.данные.!F100=$CE$9,13,IF(Исходн.данные.!F100=$CE$10,12,19)))))</f>
        <v>19</v>
      </c>
      <c r="GS100" s="55">
        <f>IF(Исходн.данные.!G100="Пес",0.035*(40+2*Исходн.данные.!H100),IF(Исходн.данные.!G100="Суп",0.0325*(40+2*Исходн.данные.!H100),0.03*(40+2*Исходн.данные.!H100)))</f>
        <v>1.2</v>
      </c>
      <c r="GT100" s="55">
        <f>IF(Исходн.данные.!H100&lt;23,2.6,IF(AND(Исходн.данные.!H100&gt;22,Исходн.данные.!H100&lt;26),3,IF(AND(Исходн.данные.!H100&gt;25,Исходн.данные.!H100&lt;29),3.4,3.6)))</f>
        <v>2.6</v>
      </c>
      <c r="GU100" s="55">
        <f>IF(Исходн.данные.!H100&lt;23,2.8,IF(AND(Исходн.данные.!H100&gt;22,Исходн.данные.!H100&lt;26),3.2,IF(AND(Исходн.данные.!H100&gt;25,Исходн.данные.!H100&lt;29),3.6,3.9)))</f>
        <v>2.8</v>
      </c>
      <c r="GV100" s="55">
        <f>IF(Исходн.данные.!H100&lt;23,3,IF(AND(Исходн.данные.!H100&gt;22,Исходн.данные.!H100&lt;26),3.5,IF(AND(Исходн.данные.!H100&gt;25,Исходн.данные.!H100&lt;29),3.9,4.2)))</f>
        <v>3</v>
      </c>
      <c r="GW100" s="55" t="e">
        <f>IF(Исходн.данные.!P100="Ум",GX100,GY100)</f>
        <v>#N/A</v>
      </c>
      <c r="GX100" s="55" t="e">
        <f>VLOOKUP(Исходн.данные.!AI100,Коэффициенты!$J$7:$L$13,2,FALSE)</f>
        <v>#N/A</v>
      </c>
      <c r="GY100" s="55" t="e">
        <f>VLOOKUP(Исходн.данные.!AI100,Коэффициенты!$J$7:$L$13,3,FALSE)</f>
        <v>#N/A</v>
      </c>
      <c r="GZ100" s="55" t="e">
        <f>(IF(Исходн.данные.!M100&lt;50,0.11*VLOOKUP(Исходн.данные.!AH100,Культуры.Информация,7,FALSE),IF(Исходн.данные.!M100&gt;250,0.05*VLOOKUP(Исходн.данные.!AH100,Культуры.Информация,7,FALSE),VLOOKUP(Исходн.данные.!AH100,Культуры.Информация,5,FALSE)/100*($GX$6+$GY$6*Исходн.данные.!M100))))*Расчет2!AI100</f>
        <v>#N/A</v>
      </c>
      <c r="HA100" s="211"/>
      <c r="HB100" s="211"/>
      <c r="HC100" s="55" t="e">
        <f>(IF(Исходн.данные.!O100&lt;80,0.2*VLOOKUP(Исходн.данные.!AH100,Культуры.Информация,8,FALSE),IF(Исходн.данные.!O100&gt;240,0.09*VLOOKUP(Исходн.данные.!AH100,Культуры.Информация,8,FALSE),VLOOKUP(Исходн.данные.!AH100,Культуры.Информация,6,FALSE)/100*($HB$6+$HC$6*Исходн.данные.!O100))))*Расчет2!AJ100</f>
        <v>#N/A</v>
      </c>
      <c r="HD100" s="55">
        <f>IF(Исходн.данные.!O100&gt;240,0.09,IF(Исходн.данные.!O100&lt;30,0.3,$HE$10+$HD$10*Исходн.данные.!O100))</f>
        <v>0.3</v>
      </c>
      <c r="HE100" s="55">
        <f>IF(Исходн.данные.!O100&gt;240,0.17,IF(Исходн.данные.!O100&lt;30,0.5,$HF$12+$HE$12*Исходн.данные.!O100))</f>
        <v>0.5</v>
      </c>
      <c r="HF100" s="55" t="e">
        <f>VLOOKUP(Исходн.данные.!AH100,Справ!$A$3:$D$58,2,FALSE)</f>
        <v>#N/A</v>
      </c>
      <c r="HG100" s="55" t="e">
        <f>VLOOKUP(Исходн.данные.!AH100,Справ!$A$3:$D$58,3,FALSE)</f>
        <v>#N/A</v>
      </c>
      <c r="HH100" s="55" t="e">
        <f>VLOOKUP(Исходн.данные.!AH100,Справ!$A$3:$D$58,4,FALSE)</f>
        <v>#N/A</v>
      </c>
      <c r="HI100" s="11" t="e">
        <f t="shared" si="191"/>
        <v>#N/A</v>
      </c>
      <c r="HJ100" s="11" t="e">
        <f t="shared" si="192"/>
        <v>#N/A</v>
      </c>
      <c r="HK100" s="11" t="e">
        <f t="shared" si="193"/>
        <v>#N/A</v>
      </c>
      <c r="HL100" s="55">
        <f>IF(OR(Исходн.данные.!G100="Глин",Исходн.данные.!G100="Т_суг"),1.1,IF(Исходн.данные.!G100="Ср_суг",1,1))</f>
        <v>1</v>
      </c>
      <c r="HM100" s="55">
        <f>IF(OR(Исходн.данные.!G100="Глин",Исходн.данные.!G100="Т_суг"),0.9,IF(Исходн.данные.!G100="Ср_суг",1,1.2))</f>
        <v>1.2</v>
      </c>
      <c r="HN100" s="11" t="e">
        <f t="shared" si="194"/>
        <v>#N/A</v>
      </c>
      <c r="HO100" s="11" t="e">
        <f t="shared" si="195"/>
        <v>#N/A</v>
      </c>
      <c r="HP100" s="11" t="e">
        <f t="shared" si="196"/>
        <v>#N/A</v>
      </c>
      <c r="HQ100" t="e">
        <f t="shared" si="197"/>
        <v>#N/A</v>
      </c>
      <c r="HR100" t="e">
        <f t="shared" si="198"/>
        <v>#N/A</v>
      </c>
      <c r="HS100" t="e">
        <f t="shared" si="199"/>
        <v>#N/A</v>
      </c>
      <c r="HT100" t="e">
        <f t="shared" si="145"/>
        <v>#N/A</v>
      </c>
      <c r="HU100" t="e">
        <f t="shared" si="146"/>
        <v>#N/A</v>
      </c>
      <c r="HV100" t="e">
        <f t="shared" si="147"/>
        <v>#N/A</v>
      </c>
      <c r="HW100" t="e">
        <f t="shared" si="148"/>
        <v>#N/A</v>
      </c>
      <c r="HX100" t="e">
        <f t="shared" si="149"/>
        <v>#N/A</v>
      </c>
      <c r="HY100" t="e">
        <f t="shared" si="150"/>
        <v>#N/A</v>
      </c>
      <c r="HZ100" s="55">
        <f>IF(OR(Исходн.данные.!AI100="Оз_Ч_П",Исходн.данные.!AI100="Оз_З_П",Исходн.данные.!AI100="Яр_зер"),12,30)</f>
        <v>30</v>
      </c>
      <c r="IA100" t="e">
        <f t="shared" si="200"/>
        <v>#N/A</v>
      </c>
      <c r="IB100" t="e">
        <f t="shared" si="201"/>
        <v>#N/A</v>
      </c>
      <c r="IC100" t="e">
        <f t="shared" si="202"/>
        <v>#N/A</v>
      </c>
      <c r="ID100" s="11" t="e">
        <f t="shared" si="203"/>
        <v>#N/A</v>
      </c>
      <c r="IE100" s="11" t="e">
        <f t="shared" si="204"/>
        <v>#N/A</v>
      </c>
      <c r="IF100" s="11" t="e">
        <f t="shared" si="205"/>
        <v>#N/A</v>
      </c>
    </row>
    <row r="101" spans="35:240" x14ac:dyDescent="0.2">
      <c r="AI101">
        <f>IF(Исходн.данные.!I101&gt;6,1,1.85-(0.148*Исходн.данные.!I101))</f>
        <v>1.85</v>
      </c>
      <c r="AJ101">
        <f>IF(Исходн.данные.!I101&gt;6,1,2.434-(0.246*Исходн.данные.!I101))</f>
        <v>2.4340000000000002</v>
      </c>
      <c r="AL101" s="148" t="b">
        <f>IF(Исходн.данные.!$P101="Ум",N_OrgUd_2g_um,IF(Исходн.данные.!$P101="Об",N_OrgUd_2g_ob))</f>
        <v>0</v>
      </c>
      <c r="AM101" s="148" t="b">
        <f>IF(Исходн.данные.!$P101="Ум",P_OrgUd_2g_um,IF(Исходн.данные.!$P101="Об",P_OrgUd_2g_ob))</f>
        <v>0</v>
      </c>
      <c r="AN101" s="148" t="b">
        <f>IF(Исходн.данные.!$P101="Ум",K_OrgUd_2g_um,IF(Исходн.данные.!$P101="Об",K_OrgUd_2g_ob))</f>
        <v>0</v>
      </c>
      <c r="AO101" s="148" t="b">
        <f>IF(Исходн.данные.!$P101="Ум",N_OrgUd_1g_um,IF(Исходн.данные.!$P101="Об",N_OrgUd_1g_ob))</f>
        <v>0</v>
      </c>
      <c r="AP101" s="148" t="b">
        <f>IF(Исходн.данные.!$P101="Ум",P_OrgUd_1g_um,IF(Исходн.данные.!$P101="Об",P_OrgUd_1g_ob))</f>
        <v>0</v>
      </c>
      <c r="AQ101" s="148" t="b">
        <f>IF(Исходн.данные.!$P101="Ум",K_OrgUd_1g_um,IF(Исходн.данные.!$P101="Об",K_OrgUd_1g_ob))</f>
        <v>0</v>
      </c>
      <c r="AR101" t="b">
        <f>IF(Исходн.данные.!$P101="Ум",N_MinUd_2g_um,IF(Исходн.данные.!$P101="Об",N_MinUd_2g_ob))</f>
        <v>0</v>
      </c>
      <c r="AS101" t="b">
        <f>IF(Исходн.данные.!$P101="Ум",P_MinUd_2g_um,IF(Исходн.данные.!$P101="Об",P_MinUd_2g_ob))</f>
        <v>0</v>
      </c>
      <c r="AT101" t="b">
        <f>IF(Исходн.данные.!$P101="Ум",K_MinUd_2g_um,IF(Исходн.данные.!$P101="Об",K_MinUd_2g_ob))</f>
        <v>0</v>
      </c>
      <c r="AU101" t="b">
        <f>IF(Исходн.данные.!$P101="Ум",N_MinUd_1g_um,IF(Исходн.данные.!$P101="Об",N_MinUd_1g_ob))</f>
        <v>0</v>
      </c>
      <c r="AV101" t="b">
        <f>IF(Исходн.данные.!P101="Ум",P_MinUd_1g_um,IF(Исходн.данные.!P101="Об",P_MinUd_1g_ob))</f>
        <v>0</v>
      </c>
      <c r="AW101" t="b">
        <f>IF(Исходн.данные.!P101="Ум",K_MinUd_1g_um,IF(Исходн.данные.!P101="Об",K_MinUd_1g_ob))</f>
        <v>0</v>
      </c>
      <c r="AY101" t="e">
        <f>VLOOKUP(Исходн.данные.!T101,Справ!$A$3:$N$57,12)</f>
        <v>#N/A</v>
      </c>
      <c r="AZ101" t="e">
        <f>VLOOKUP(Исходн.данные.!T101,Справ!$A$3:$N$57,13)</f>
        <v>#N/A</v>
      </c>
      <c r="BA101" t="e">
        <f>VLOOKUP(Исходн.данные.!T101,Справ!$A$3:$N$57,14)</f>
        <v>#N/A</v>
      </c>
      <c r="BB101">
        <f>IF(Исходн.данные.!AH101=0,0,25)</f>
        <v>0</v>
      </c>
      <c r="BC101" s="141">
        <f>IF(Исходн.данные.!AH101=0,0,IF(Исходн.данные.!T101=0,25,BD101))</f>
        <v>0</v>
      </c>
      <c r="BD101" s="168" t="e">
        <f>AY101+AZ101*Исходн.данные.!U101-POWER(BA101,2)*Исходн.данные.!U101</f>
        <v>#N/A</v>
      </c>
      <c r="BE10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1" s="25">
        <f>IF(Исходн.данные.!AH101=0,0,MIN(HN101:HP101))</f>
        <v>0</v>
      </c>
      <c r="BG101" s="9">
        <f>IF(Исходн.данные.!AH101=0,0,IF((HO101+10*0.25/HG101/HL101)&lt;17,17,HO101+10*0.25/HG101/HL101))</f>
        <v>0</v>
      </c>
      <c r="BH101" s="181">
        <f>IF(Исходн.данные.!AH101=0,0,HW101*HF101*HL101/AU101*AI101+Исходн.данные.!S101*10)</f>
        <v>0</v>
      </c>
      <c r="BI101" s="10"/>
      <c r="BJ101" s="182">
        <f>IF(Исходн.данные.!AH101=0,0,IF(HX101*HG101*HL101/AV101&lt;0,0,HX101*HG101*HL101/AV101*AJ101))</f>
        <v>0</v>
      </c>
      <c r="BK101" s="182">
        <f>IF(Исходн.данные.!AH101=0,0,HY101*HH101*HM101/AW101)</f>
        <v>0</v>
      </c>
      <c r="BL101" s="10">
        <f>IF(OR(Исходн.данные.!$AH101=$BP$1,Исходн.данные.!$AH101=$BP$2),0,IF(BH101&lt;0,0,IF(OR(Исходн.данные.!T101=Расчет!$BP$1,Исходн.данные.!T101=Расчет!$BP$2,Исходн.данные.!T101=Расчет!$BT$5,Исходн.данные.!T101=Расчет!$BT$6),BH101*0.5,IF(OR(Исходн.данные.!T101=Расчет!$BS$9,Исходн.данные.!T101=Расчет!$BS$10,Исходн.данные.!T101=Расчет!$BS$11,Исходн.данные.!T101=Расчет!$BS$12,Исходн.данные.!T101=Расчет!$BP$5),BH101*0.8,BH101))))</f>
        <v>0</v>
      </c>
      <c r="BM101" s="10">
        <f>IF(OR(Исходн.данные.!$AH101=$BP$1,Исходн.данные.!$AH101=$BP$2),0,IF(BJ101&lt;0,0,IF(Исходн.данные.!I101&lt;4.5,BJ101*1.2,IF(Исходн.данные.!I101&gt;5.1,BJ101,BJ101*((5.1-Исходн.данные.!I101)*0.333+1)))))</f>
        <v>0</v>
      </c>
      <c r="BN101" s="10">
        <f>IF(OR(Исходн.данные.!$AH101=$BP$1,Исходн.данные.!$AH101=$BP$2),60-Исходн.данные.!AF101,IF(BK101&lt;0,0,IF(Исходн.данные.!I101&lt;4.5,BK101*1.2,IF(Исходн.данные.!I101&gt;5.1,BK101,BK101*((5.1-Исходн.данные.!I101)*0.333+1)))))</f>
        <v>0</v>
      </c>
      <c r="BO101" s="9">
        <f>IF(BL101&lt;0,0,BL101*Исходн.данные.!$AJ101/1000)</f>
        <v>0</v>
      </c>
      <c r="BP101" s="9">
        <f>IF(BM101&lt;0,0,BM101*Исходн.данные.!$AJ101/1000)</f>
        <v>0</v>
      </c>
      <c r="BQ101" s="9">
        <f>IF(BN101&lt;0,0,BN101*Исходн.данные.!$AJ101/1000)</f>
        <v>0</v>
      </c>
      <c r="BR101" s="9">
        <f t="shared" si="155"/>
        <v>0</v>
      </c>
      <c r="BS101" s="10" t="str">
        <f t="shared" si="156"/>
        <v>Аммофос 12:52:00</v>
      </c>
      <c r="BT101" s="10" t="str">
        <f t="shared" si="157"/>
        <v>Аммофос 12:52:00</v>
      </c>
      <c r="BU101" s="10" t="str">
        <f t="shared" si="158"/>
        <v>Диаммофоска</v>
      </c>
      <c r="BV101" s="10">
        <f t="shared" si="159"/>
        <v>0</v>
      </c>
      <c r="BW101" s="10"/>
      <c r="BX101" s="10"/>
      <c r="BY101" s="9">
        <f>IF(BL101&lt;0,0,IF(OR(Исходн.данные.!AI101=Расчет!$BU$6,Исходн.данные.!AI101=Расчет!$BU$7),Расчет!BV101,IF(Исходн.данные.!$AG101=$BV$11,BL101,IF(OR(Исходн.данные.!$AH101=$BQ$7,Исходн.данные.!$AH101=$BQ$8),CB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0,IF(Исходн.данные.!$AI101=$BU$11,"Нет",IF(BL101&gt;30,30,BL101)))))))</f>
        <v>0</v>
      </c>
      <c r="BZ101" s="9">
        <f>IF(AND(Исходн.данные.!$AG101=$BV$11,BM101&lt;10),10,IF(Исходн.данные.!$AG101=$BV$11,BM101,IF(OR(Исходн.данные.!$AH101=$BQ$7,Исходн.данные.!$AH101=$BQ$8),CC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10,IF(Исходн.данные.!$AI101=$BU$11,"Нет",IF(BM101&gt;60,60,IF(BM101&lt;10,10,BM101)))))))</f>
        <v>10</v>
      </c>
      <c r="CA101" s="39">
        <f>IF(BN101&lt;0,0,IF(Исходн.данные.!$AG101=$BV$11,BN101,IF(OR(Исходн.данные.!$AH101=$BQ$7,Исходн.данные.!$AH101=$BQ$8),CD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0,IF(Исходн.данные.!$AI101=$BU$11,"Нет",IF(BN101&gt;30,30,BN101))))))</f>
        <v>0</v>
      </c>
      <c r="CB101" s="9">
        <f t="shared" si="160"/>
        <v>0</v>
      </c>
      <c r="CC101" s="9">
        <f t="shared" si="161"/>
        <v>0</v>
      </c>
      <c r="CD101" s="9">
        <f t="shared" si="162"/>
        <v>0</v>
      </c>
      <c r="CE101" s="12">
        <f t="shared" si="163"/>
        <v>10</v>
      </c>
      <c r="CF101" s="9">
        <f t="shared" si="164"/>
        <v>0</v>
      </c>
      <c r="CG101" s="9" t="s">
        <v>231</v>
      </c>
      <c r="CH101" s="132" t="str">
        <f>IF(Исходн.данные.!AP101=Расчет!$CI$16,"Нет",IF(Исходн.данные.!AL101&gt;0,Исходн.данные.!AL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BH$4,IF(OR(Исходн.данные.!AI101=Исходн.данные.!$AI$6,Исходн.данные.!AI101=Исходн.данные.!$AI$7),Расчет!BS101,IF(AND($CF101=0,$CE101&gt;0),EV101,ER101)))))</f>
        <v>Аммофос 12:52:00</v>
      </c>
      <c r="CI101" s="274">
        <f>IF(Расчет!$CH101="Нет","Нет",IF(Исходн.данные.!$AL101&gt;0,VLOOKUP(Расчет!$CH101,АшламаДВ_Irekle,2,FALSE),VLOOKUP(Расчет!$CH101,АшламаДВ_Gomumy,2,FALSE)))</f>
        <v>0.12</v>
      </c>
      <c r="CJ101" s="274">
        <f>IF(Расчет!$CH101="Нет","Нет",IF(Исходн.данные.!$AL101&gt;0,VLOOKUP(Расчет!$CH101,АшламаДВ_Irekle,3,FALSE),VLOOKUP(Расчет!$CH101,АшламаДВ_Gomumy,3,FALSE)))</f>
        <v>0.52</v>
      </c>
      <c r="CK101" s="274">
        <f>IF(Расчет!$CH101="Нет","Нет",IF(Исходн.данные.!$AL101&gt;0,VLOOKUP(Расчет!$CH101,АшламаДВ_Irekle,4,FALSE),VLOOKUP(Расчет!$CH101,АшламаДВ_Gomumy,4,FALSE)))</f>
        <v>0</v>
      </c>
      <c r="CL101" s="70"/>
      <c r="CM101" s="70"/>
      <c r="CN101" s="70"/>
      <c r="CO101" s="70"/>
      <c r="CP101" s="70"/>
      <c r="CQ101" s="70"/>
      <c r="CR101" s="10">
        <f t="shared" si="165"/>
        <v>0</v>
      </c>
      <c r="CS101" s="10">
        <f t="shared" si="166"/>
        <v>19.23076923076923</v>
      </c>
      <c r="CT101" s="10">
        <f t="shared" si="167"/>
        <v>0</v>
      </c>
      <c r="CU101" s="39">
        <f>IF($CH101="Нет",0,IF(CI101=0,30/MIN(CJ101:CK101),IF(Исходн.данные.!$AG101=$BV$11,CR101,IF(OR(Исходн.данные.!$AH101=$BQ$7,Исходн.данные.!$AH101=$BQ$8),90/CI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0,IF(Исходн.данные.!$AI101=$BU$11,"Нет",30/CI101))))))</f>
        <v>250</v>
      </c>
      <c r="CV101" s="39">
        <f>IF($CH101="Нет",0,IF(Исходн.данные.!AH101=0,0,IF(CJ101=0,60/MIN(CI101,CK101),IF(Исходн.данные.!$AG101=$BV$11,CS101,IF(OR(Исходн.данные.!$AH101=$BQ$7,Исходн.данные.!$AH101=$BQ$8),90/CJ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10/CJ101,IF(Исходн.данные.!$AI101=$BU$11,"Нет",60/CJ101)))))))</f>
        <v>0</v>
      </c>
      <c r="CW101" s="39">
        <f>IF($CH101="Нет",0,IF(Исходн.данные.!AH101=0,0,IF(CK101=0,30/MIN(CI101:CJ101),IF(Исходн.данные.!$AG101=$BV$11,CT101,IF(OR(Исходн.данные.!$AH101=$BQ$7,Исходн.данные.!$AH101=$BQ$8),90/CK101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0,IF(Исходн.данные.!$AI101=$BU$11,"Нет",30/CK101)))))))</f>
        <v>0</v>
      </c>
      <c r="CX101" s="133">
        <f>IF(Исходн.данные.!$AG101=$BV$11,MAX(CU101:CW101),IF(OR(Исходн.данные.!$AH101=$BS$8,Исходн.данные.!$AH101=$BQ$9,Исходн.данные.!$AH101=$BQ$10,Исходн.данные.!$AH101=$BQ$11,Исходн.данные.!$AH101=$BQ$12,Исходн.данные.!$AH101=$BP$3,Исходн.данные.!$AH101=$BT$8,$FM101="Да"),CV101,MIN(CU101:CW101)))</f>
        <v>0</v>
      </c>
      <c r="CY101" s="133">
        <f>IF(Исходн.данные.!AH101=0,0,IF(CR101&gt;$CX101,$CX101,CR101))</f>
        <v>0</v>
      </c>
      <c r="CZ101" s="133">
        <f>IF(Исходн.данные.!AH101=0,0,IF(CS101&gt;$CX101,$CX101,CS101))</f>
        <v>0</v>
      </c>
      <c r="DA101" s="133">
        <f>IF(Исходн.данные.!AH101=0,0,IF(CT101&gt;$CX101,$CX101,CT101))</f>
        <v>0</v>
      </c>
      <c r="DB101" s="10">
        <f t="shared" si="168"/>
        <v>0</v>
      </c>
      <c r="DC101" s="39">
        <f>DB101*Исходн.данные.!AJ101/1000</f>
        <v>0</v>
      </c>
      <c r="DD101" s="71">
        <f t="shared" si="169"/>
        <v>0</v>
      </c>
      <c r="DE101" s="9">
        <f t="shared" si="170"/>
        <v>0</v>
      </c>
      <c r="DF101" s="9">
        <f t="shared" si="171"/>
        <v>0</v>
      </c>
      <c r="DG101" s="39">
        <f>IF(BL101&lt;0,0,IF($CH101="Нет",BL101,IF(OR(Исходн.данные.!$AH101=$BP$1,Исходн.данные.!$AH101=$BP$2),0,IF(Исходн.данные.!AI101=$BU$11,BL101,IF(BL101-DD101&lt;0,0,BL101-DD101)))))</f>
        <v>0</v>
      </c>
      <c r="DH101" s="39">
        <f>IF(BM101&lt;0,0,IF($CH101="Нет",BM101,IF(OR(Исходн.данные.!$AH101=$BP$1,Исходн.данные.!$AH101=$BP$2),0,IF(Исходн.данные.!AJ101=$BU$11,BM101,IF(BM101-DE101&lt;0,0,BM101-DE101)))))</f>
        <v>0</v>
      </c>
      <c r="DI101" s="39">
        <f>IF(BN101&lt;0,0,IF($CH101="Нет",BN101,IF(OR(Исходн.данные.!$AH101=$BP$1,Исходн.данные.!$AH101=$BP$2),0,IF(Исходн.данные.!AK101=$BU$11,BN101,IF(BN101-DF101&lt;0,0,BN101-DF101)))))</f>
        <v>0</v>
      </c>
      <c r="DJ101" s="12">
        <f t="shared" si="172"/>
        <v>0</v>
      </c>
      <c r="DK101" s="9">
        <f t="shared" si="173"/>
        <v>0</v>
      </c>
      <c r="DL101" s="39">
        <f>IF(Исходн.данные.!AM101&gt;0,Исходн.данные.!AM101,IF(EG101&gt;0,$BH$10,0))</f>
        <v>0</v>
      </c>
      <c r="DM101" s="186">
        <f>IF($DL101=0,0,IF(Исходн.данные.!AM101&gt;0,VLOOKUP($DL101,АшламаДВ_Irekle,2,FALSE),VLOOKUP($DL101,АшламаДВ_Gomumy,2,FALSE)))</f>
        <v>0</v>
      </c>
      <c r="DN101" s="10">
        <f t="shared" si="151"/>
        <v>0</v>
      </c>
      <c r="DO101" s="9" t="str">
        <f>IF(Исходн.данные.!AN101&gt;0,Исходн.данные.!AN101,Удобрения!$B$37 )</f>
        <v>Хлор.калий</v>
      </c>
      <c r="DP101" s="9">
        <f>IF(Исходн.данные.!AN101&gt;0,VLOOKUP(Исходн.данные.!AN101,АшламаДВ_Irekle,4,FALSE),VLOOKUP(DO101,АшламаДВ_Gomumy,4,FALSE))</f>
        <v>0.6</v>
      </c>
      <c r="DQ101" s="10">
        <f t="shared" si="152"/>
        <v>0</v>
      </c>
      <c r="DR101" s="132" t="str">
        <f>IF(Исходн.данные.!AO101&gt;0,Исходн.данные.!AO101,IF(DH101=0,BS$17,IF(AND($DK101=0,$DJ101&gt;0),EJ101,EN101)))</f>
        <v>Нет</v>
      </c>
      <c r="DS101" s="70" t="str">
        <f>IF($DR101="Нет","Нет",IF(Исходн.данные.!$AO101&gt;0,VLOOKUP($DR101,АшламаДВ_Irekle,2,FALSE),VLOOKUP($DR101,АшламаДВ_Gomumy,2,FALSE)))</f>
        <v>Нет</v>
      </c>
      <c r="DT101" s="70" t="str">
        <f>IF($DR101="Нет","Нет",IF(Исходн.данные.!$AO101&gt;0,VLOOKUP($DR101,АшламаДВ_Irekle,3,FALSE),VLOOKUP($DR101,АшламаДВ_Gomumy,3,FALSE)))</f>
        <v>Нет</v>
      </c>
      <c r="DU101" s="70" t="str">
        <f>IF($DR101="Нет","Нет",IF(Исходн.данные.!$AO101&gt;0,VLOOKUP($DR101,АшламаДВ_Irekle,4,FALSE),VLOOKUP($DR101,АшламаДВ_Gomumy,4,FALSE)))</f>
        <v>Нет</v>
      </c>
      <c r="DV101" s="70"/>
      <c r="DW101" s="70"/>
      <c r="DX101" s="70"/>
      <c r="DY101" s="10">
        <f t="shared" si="174"/>
        <v>0</v>
      </c>
      <c r="DZ101" s="10">
        <f t="shared" si="175"/>
        <v>0</v>
      </c>
      <c r="EA101" s="10">
        <f t="shared" si="176"/>
        <v>0</v>
      </c>
      <c r="EB101" s="10">
        <f t="shared" si="177"/>
        <v>0</v>
      </c>
      <c r="EC101" s="10">
        <f t="shared" si="178"/>
        <v>0</v>
      </c>
      <c r="ED101" s="10">
        <f t="shared" si="179"/>
        <v>0</v>
      </c>
      <c r="EE101" s="10">
        <f t="shared" si="180"/>
        <v>0</v>
      </c>
      <c r="EF101" s="39">
        <f>EB101*Исходн.данные.!AJ101/1000</f>
        <v>0</v>
      </c>
      <c r="EG101" s="9">
        <f t="shared" si="181"/>
        <v>0</v>
      </c>
      <c r="EH101" s="9">
        <f t="shared" si="182"/>
        <v>0</v>
      </c>
      <c r="EI101" s="39" t="e">
        <f t="shared" si="132"/>
        <v>#DIV/0!</v>
      </c>
      <c r="EJ101" s="9" t="str">
        <f t="shared" si="153"/>
        <v>Азопреципитат</v>
      </c>
      <c r="EK101" s="12">
        <f t="shared" si="133"/>
        <v>0.26</v>
      </c>
      <c r="EL101" s="12">
        <f t="shared" si="134"/>
        <v>0.13</v>
      </c>
      <c r="EM101" s="12">
        <f t="shared" si="135"/>
        <v>0</v>
      </c>
      <c r="EN101" s="12" t="str">
        <f t="shared" si="154"/>
        <v>Нет</v>
      </c>
      <c r="EO101" s="12">
        <f t="shared" si="136"/>
        <v>0</v>
      </c>
      <c r="EP101" s="12">
        <f t="shared" si="137"/>
        <v>0</v>
      </c>
      <c r="EQ101" s="12">
        <f t="shared" si="138"/>
        <v>0</v>
      </c>
      <c r="ER101" s="12" t="str">
        <f t="shared" si="183"/>
        <v>Диаммофоска</v>
      </c>
      <c r="ES101" s="12">
        <f t="shared" si="139"/>
        <v>0.1</v>
      </c>
      <c r="ET101" s="12">
        <f t="shared" si="140"/>
        <v>0.26</v>
      </c>
      <c r="EU101" s="12">
        <f t="shared" si="141"/>
        <v>0.26</v>
      </c>
      <c r="EV101" s="12" t="str">
        <f t="shared" si="184"/>
        <v>Аммофос 12:52:00</v>
      </c>
      <c r="EW101" s="12" t="str">
        <f t="shared" si="185"/>
        <v>Кемира Свекловичное-6</v>
      </c>
      <c r="EX101" s="12">
        <f t="shared" si="142"/>
        <v>0.16</v>
      </c>
      <c r="EY101" s="12">
        <f t="shared" si="143"/>
        <v>0.12</v>
      </c>
      <c r="EZ101" s="12">
        <f t="shared" si="144"/>
        <v>0.17</v>
      </c>
      <c r="FA101" s="38" t="e">
        <f>IF(AND(OR(FJ101=$FD$1,FM101=$FD$1,FO101=$FD$1,FQ101=$FD$1,FS101=$FD$1),FD101=$FD$1,Исходн.данные.!J101&lt;2,FU101=$FD$1),"Бор,Кобальт",IF(AND(FO101=$FD$1,FH101=$FD$1,Исходн.данные.!J101&lt;2,FU101=$FD$1),"Бор,Кобальт",IF(AND(OR(FJ101=$FD$1,FM101=$FD$1,FQ101=$FD$1),FE101=$FD$1,Исходн.данные.!J101&lt;2,FT101=$FD$1,FU101=$FD$1),"Бор,Медь,Цинк",IF(AND(OR(FJ101=$FD$1,FR101="Да"),FI101="Да",Исходн.данные.!J101&lt;2,FT101="Да",FU101="Да"),"Бор,Цинк,Медь",IF(AND(OR(FM101="Да",FQ101="Да"),FI101="Да",Исходн.данные.!J101&lt;2,FT101="Да",FU101="Да"),"Бор,Цинк",IF(AND(FN101="Да",OR(FD101="Да",FE101="Да")),"Бор",FB101))))))</f>
        <v>#N/A</v>
      </c>
      <c r="FB101" s="134" t="e">
        <f>IF(AND(OR(FD101="Да",FE101="Да",FF101="Да",FG101="Да",FH101="Да"),FO101="Да"),"Бор",IF(AND(FP101="Да",OR(FD101="Да",FE101="Да",FI101="Да")),"Бор",IF(AND(FS101="Да",FE101="Да"),"Бор,Медь",IF(AND(OR(FJ101="Да",FK101="Да",FL101="Да"),FE101="Да",Исходн.данные.!I101&lt;5,FT101="Да",FU101="Да"),"Молибден,Цинк",IF(AND(FM101="Да",OR(FE101="Да",FF101="Да",FG101="Да",FH101="Да",FI101="Да")),"Молибден,Цинк",IF(AND(OR(FJ101="Да",FK101="Да",FL101="Да",FM101="Да",FQ101="Да"),OR(FE101="Да",FF101="Да"),FT101="Да",FU101="Да",Исходн.данные.!I101&gt;5.5),"Медь,Цинк",FC101))))))</f>
        <v>#N/A</v>
      </c>
      <c r="FC101" s="23" t="e">
        <f t="shared" si="186"/>
        <v>#N/A</v>
      </c>
      <c r="FD101" s="38" t="str">
        <f>IF(OR(Исходн.данные.!F101=$CC$1,Исходн.данные.!F101=$CC$2,Исходн.данные.!F101=$CC$3,Исходн.данные.!F101=$CC$4),"Да","Нет")</f>
        <v>Нет</v>
      </c>
      <c r="FE101" s="38" t="str">
        <f>IF(Исходн.данные.!F101=$CC$5,"Да","Нет")</f>
        <v>Нет</v>
      </c>
      <c r="FF101" s="38" t="str">
        <f>IF(OR(Исходн.данные.!F101=$CC$6,Исходн.данные.!F101=$CC$7),"Да","Нет")</f>
        <v>Нет</v>
      </c>
      <c r="FG101" s="38" t="str">
        <f>IF(OR(Исходн.данные.!F101=$CC$8,Исходн.данные.!F101=$CC$9),"Да","Нет")</f>
        <v>Нет</v>
      </c>
      <c r="FH101" s="38" t="str">
        <f>IF(Исходн.данные.!F101=$CC$10,"Да","Нет")</f>
        <v>Нет</v>
      </c>
      <c r="FI101" s="38" t="str">
        <f>IF(OR(Исходн.данные.!F101=$CC$11,Исходн.данные.!F101=$CC$12),"Да","Нет")</f>
        <v>Нет</v>
      </c>
      <c r="FJ101" s="38" t="str">
        <f>IF(OR(Исходн.данные.!AH101=$BS$1,Исходн.данные.!AH101=$BQ$11,Исходн.данные.!AH101=$BQ$12),"Да","Нет")</f>
        <v>Нет</v>
      </c>
      <c r="FK101" s="38" t="str">
        <f>IF(OR(Исходн.данные.!AH101=$BS$2,Исходн.данные.!AH101=$BS$4),"Да","Нет")</f>
        <v>Нет</v>
      </c>
      <c r="FL101" s="38" t="str">
        <f>IF(OR(Исходн.данные.!AH101=$BS$3,Исходн.данные.!AH101=$BS$5),"Да","Нет")</f>
        <v>Нет</v>
      </c>
      <c r="FM101" s="38" t="str">
        <f>IF(OR(Исходн.данные.!AH101=$BS$9,Исходн.данные.!AH101=$BS$10,Исходн.данные.!AH101=$BS$11,Исходн.данные.!AH101=$BS$12),"Да","Нет")</f>
        <v>Нет</v>
      </c>
      <c r="FN101" s="38" t="str">
        <f>IF(OR(Исходн.данные.!AH101=$BS$6,Исходн.данные.!AH101=$BP$3),"Да","Нет")</f>
        <v>Нет</v>
      </c>
      <c r="FO101" s="38" t="str">
        <f>IF(Исходн.данные.!AH101=$BQ$9,"Да","Нет")</f>
        <v>Нет</v>
      </c>
      <c r="FP101" s="38" t="str">
        <f>IF(OR(Исходн.данные.!AH101=$BS$8,Исходн.данные.!AH101=$BT$8),"Да","Нет")</f>
        <v>Нет</v>
      </c>
      <c r="FQ101" s="38" t="str">
        <f>IF(OR(Исходн.данные.!AH101=$BQ$7,Исходн.данные.!AH101=$BQ$8),"Да","Нет")</f>
        <v>Нет</v>
      </c>
      <c r="FR101" s="38" t="str">
        <f>IF(Исходн.данные.!AI101=$BU$9,"Да","Нет")</f>
        <v>Нет</v>
      </c>
      <c r="FS101" s="38" t="str">
        <f>IF(OR(Исходн.данные.!AH101=$BP$1,Исходн.данные.!AH101=$BP$2),"Да","Нет")</f>
        <v>Нет</v>
      </c>
      <c r="FT101" s="38" t="e">
        <f>IF((Исходн.данные.!K101*GO101*GS101*GW101+BL101*0.6+Исходн.данные.!Q101*4.5*0.275)&gt;90,"Да","Нет")</f>
        <v>#N/A</v>
      </c>
      <c r="FU101" s="38" t="e">
        <f>IF((Исходн.данные.!M101*GS101*GZ101+BM101*0.225)&gt;35,"Да","Нет")</f>
        <v>#N/A</v>
      </c>
      <c r="FV101" s="38" t="str">
        <f>IF(Исходн.данные.!O101&gt;175,"Да","Нет")</f>
        <v>Нет</v>
      </c>
      <c r="FW101" s="39" t="str">
        <f>IF(Исходн.данные.!I101&gt;5.5,"Да","Нет")</f>
        <v>Нет</v>
      </c>
      <c r="FX101" s="39" t="str">
        <f>IF(Исходн.данные.!J101&lt;2,"Да","Нет")</f>
        <v>Да</v>
      </c>
      <c r="FY101" s="39" t="e">
        <f>IF(HF101=$FY$16,0,Исходн.данные.!K101*GO101*GS101*GW101/HF101)</f>
        <v>#N/A</v>
      </c>
      <c r="FZ101" s="39" t="e">
        <f>Исходн.данные.!M101*GS101*GZ101/HG101</f>
        <v>#N/A</v>
      </c>
      <c r="GA101" s="39" t="e">
        <f>IF(K_Wyn=$FY$16,0,IF(Исходн.данные.!N101=Исходн.данные.!$L$10,Исходн.данные.!O101/1.1*GS101*HC101/HH101,IF(Исходн.данные.!N101=Исходн.данные.!$L$12,Исходн.данные.!O101/1.5*GS101*HC101/HH101,Исходн.данные.!O101*GS101*HC101/HH101)))</f>
        <v>#N/A</v>
      </c>
      <c r="GB101" s="39" t="e">
        <f>IF(HF101=$FY$16,0,((Исходн.данные.!Q101*N_Org+Исходн.данные.!R101*N_Sider+Исходн.данные.!S101*N_Soloma)*AO101+Расчет!BC101*VLOOKUP(Исходн.данные.!T101,Справ!$A$3:$O$57,15)*AO101+BB101*VLOOKUP(Исходн.данные.!T101,Справ!$A$3:$O$57,15)*AL101+(Исходн.данные.!V101*N_Rizotorf+Исходн.данные.!W101*N_Rizoagr))/HF101)</f>
        <v>#N/A</v>
      </c>
      <c r="GC101" s="39" t="e">
        <f>IF(HG101=$FY$16,0,((Исходн.данные.!Q101*Р_Org+Исходн.данные.!R101*P_Sider+Исходн.данные.!S101*P_Soloma)*AP101+Расчет!BC101*VLOOKUP(Исходн.данные.!T101,Справ!$A$3:$P$57,16)*AP101+BB101*VLOOKUP(Исходн.данные.!T101,Справ!$A$3:$P$57,16)*AM101)/HG101)</f>
        <v>#N/A</v>
      </c>
      <c r="GD101" s="39" t="e">
        <f>IF(HH101=$FY$16,0,((Исходн.данные.!Q101*К_Org+Исходн.данные.!R101*K_Sider+Исходн.данные.!S101*K_Soloma)*AQ101+Расчет!BC101*VLOOKUP(Исходн.данные.!T101,Справ!$A$3:$Q$57,17)*AQ101+BB101*VLOOKUP(Исходн.данные.!T101,Справ!$A$3:$Q$57,17)*AN101)/HH101)</f>
        <v>#N/A</v>
      </c>
      <c r="GE101" s="39" t="e">
        <f>IF(HF101=$FY$16,0,(Исходн.данные.!X101*AR101+Исходн.данные.!AA101*N_Org*AL101+Исходн.данные.!AB101*N_Sider*AL101+Исходн.данные.!AC101*N_Soloma*AL101)/HF101)</f>
        <v>#N/A</v>
      </c>
      <c r="GF101" s="39" t="e">
        <f>IF(HG101=$FY$16,0,(Исходн.данные.!Y101*AS101+Исходн.данные.!AA101*Р_Org*AM101+Исходн.данные.!AB101*P_Sider*AM101+Исходн.данные.!AC101*P_Soloma*AM101)/HG101)</f>
        <v>#N/A</v>
      </c>
      <c r="GG101" s="39" t="e">
        <f>IF(HH101=$FY$16,0,(Исходн.данные.!Z101*AT101+Исходн.данные.!AA101*К_Org*AN101+Исходн.данные.!AB101*K_Sider*AN101+Исходн.данные.!AC101*K_Soloma*AN101)/HH101)</f>
        <v>#N/A</v>
      </c>
      <c r="GH101" s="39" t="e">
        <f>Исходн.данные.!AD101*AU101/HF101</f>
        <v>#N/A</v>
      </c>
      <c r="GI101" s="39" t="e">
        <f>Исходн.данные.!AE101*AV101/HG101</f>
        <v>#N/A</v>
      </c>
      <c r="GJ101" s="39" t="e">
        <f>Исходн.данные.!AF101*AW101/HH101</f>
        <v>#N/A</v>
      </c>
      <c r="GK101" s="55">
        <f>Исходн.данные.!AK101</f>
        <v>0</v>
      </c>
      <c r="GL101" s="11" t="e">
        <f t="shared" si="187"/>
        <v>#N/A</v>
      </c>
      <c r="GM101" s="11" t="e">
        <f t="shared" si="188"/>
        <v>#N/A</v>
      </c>
      <c r="GN101" s="11" t="e">
        <f t="shared" si="189"/>
        <v>#N/A</v>
      </c>
      <c r="GO101" s="57">
        <f t="shared" si="190"/>
        <v>19</v>
      </c>
      <c r="GP101" s="55">
        <f>IF(OR(Исходн.данные.!F101=$CE$1,Исходн.данные.!F101=$CE$2,Исходн.данные.!F101=$CE$3,Исходн.данные.!F101=$CE$4,Исходн.данные.!F101=$CE$5),GQ101,GR101)</f>
        <v>19</v>
      </c>
      <c r="GQ101" s="55">
        <f>IF(Исходн.данные.!F101=$CE$1,28,IF(Исходн.данные.!F101=$CE$2,26,IF(Исходн.данные.!F101=$CE$3,24,IF(Исходн.данные.!F101=$CE$4,22,IF(Исходн.данные.!F101=$CE$5,20,GR101)))))</f>
        <v>19</v>
      </c>
      <c r="GR101" s="55">
        <f>IF(Исходн.данные.!F101=$CE$6,18,IF(Исходн.данные.!F101=$CE$7,16,IF(Исходн.данные.!F101=$CE$8,14,IF(Исходн.данные.!F101=$CE$9,13,IF(Исходн.данные.!F101=$CE$10,12,19)))))</f>
        <v>19</v>
      </c>
      <c r="GS101" s="55">
        <f>IF(Исходн.данные.!G101="Пес",0.035*(40+2*Исходн.данные.!H101),IF(Исходн.данные.!G101="Суп",0.0325*(40+2*Исходн.данные.!H101),0.03*(40+2*Исходн.данные.!H101)))</f>
        <v>1.2</v>
      </c>
      <c r="GT101" s="55">
        <f>IF(Исходн.данные.!H101&lt;23,2.6,IF(AND(Исходн.данные.!H101&gt;22,Исходн.данные.!H101&lt;26),3,IF(AND(Исходн.данные.!H101&gt;25,Исходн.данные.!H101&lt;29),3.4,3.6)))</f>
        <v>2.6</v>
      </c>
      <c r="GU101" s="55">
        <f>IF(Исходн.данные.!H101&lt;23,2.8,IF(AND(Исходн.данные.!H101&gt;22,Исходн.данные.!H101&lt;26),3.2,IF(AND(Исходн.данные.!H101&gt;25,Исходн.данные.!H101&lt;29),3.6,3.9)))</f>
        <v>2.8</v>
      </c>
      <c r="GV101" s="55">
        <f>IF(Исходн.данные.!H101&lt;23,3,IF(AND(Исходн.данные.!H101&gt;22,Исходн.данные.!H101&lt;26),3.5,IF(AND(Исходн.данные.!H101&gt;25,Исходн.данные.!H101&lt;29),3.9,4.2)))</f>
        <v>3</v>
      </c>
      <c r="GW101" s="55" t="e">
        <f>IF(Исходн.данные.!P101="Ум",GX101,GY101)</f>
        <v>#N/A</v>
      </c>
      <c r="GX101" s="55" t="e">
        <f>VLOOKUP(Исходн.данные.!AI101,Коэффициенты!$J$7:$L$13,2,FALSE)</f>
        <v>#N/A</v>
      </c>
      <c r="GY101" s="55" t="e">
        <f>VLOOKUP(Исходн.данные.!AI101,Коэффициенты!$J$7:$L$13,3,FALSE)</f>
        <v>#N/A</v>
      </c>
      <c r="GZ101" s="55" t="e">
        <f>(IF(Исходн.данные.!M101&lt;50,0.11*VLOOKUP(Исходн.данные.!AH101,Культуры.Информация,7,FALSE),IF(Исходн.данные.!M101&gt;250,0.05*VLOOKUP(Исходн.данные.!AH101,Культуры.Информация,7,FALSE),VLOOKUP(Исходн.данные.!AH101,Культуры.Информация,5,FALSE)/100*($GX$6+$GY$6*Исходн.данные.!M101))))*Расчет2!AI101</f>
        <v>#N/A</v>
      </c>
      <c r="HA101" s="211"/>
      <c r="HB101" s="211"/>
      <c r="HC101" s="55" t="e">
        <f>(IF(Исходн.данные.!O101&lt;80,0.2*VLOOKUP(Исходн.данные.!AH101,Культуры.Информация,8,FALSE),IF(Исходн.данные.!O101&gt;240,0.09*VLOOKUP(Исходн.данные.!AH101,Культуры.Информация,8,FALSE),VLOOKUP(Исходн.данные.!AH101,Культуры.Информация,6,FALSE)/100*($HB$6+$HC$6*Исходн.данные.!O101))))*Расчет2!AJ101</f>
        <v>#N/A</v>
      </c>
      <c r="HD101" s="55">
        <f>IF(Исходн.данные.!O101&gt;240,0.09,IF(Исходн.данные.!O101&lt;30,0.3,$HE$10+$HD$10*Исходн.данные.!O101))</f>
        <v>0.3</v>
      </c>
      <c r="HE101" s="55">
        <f>IF(Исходн.данные.!O101&gt;240,0.17,IF(Исходн.данные.!O101&lt;30,0.5,$HF$12+$HE$12*Исходн.данные.!O101))</f>
        <v>0.5</v>
      </c>
      <c r="HF101" s="55" t="e">
        <f>VLOOKUP(Исходн.данные.!AH101,Справ!$A$3:$D$58,2,FALSE)</f>
        <v>#N/A</v>
      </c>
      <c r="HG101" s="55" t="e">
        <f>VLOOKUP(Исходн.данные.!AH101,Справ!$A$3:$D$58,3,FALSE)</f>
        <v>#N/A</v>
      </c>
      <c r="HH101" s="55" t="e">
        <f>VLOOKUP(Исходн.данные.!AH101,Справ!$A$3:$D$58,4,FALSE)</f>
        <v>#N/A</v>
      </c>
      <c r="HI101" s="11" t="e">
        <f t="shared" si="191"/>
        <v>#N/A</v>
      </c>
      <c r="HJ101" s="11" t="e">
        <f t="shared" si="192"/>
        <v>#N/A</v>
      </c>
      <c r="HK101" s="11" t="e">
        <f t="shared" si="193"/>
        <v>#N/A</v>
      </c>
      <c r="HL101" s="55">
        <f>IF(OR(Исходн.данные.!G101="Глин",Исходн.данные.!G101="Т_суг"),1.1,IF(Исходн.данные.!G101="Ср_суг",1,1))</f>
        <v>1</v>
      </c>
      <c r="HM101" s="55">
        <f>IF(OR(Исходн.данные.!G101="Глин",Исходн.данные.!G101="Т_суг"),0.9,IF(Исходн.данные.!G101="Ср_суг",1,1.2))</f>
        <v>1.2</v>
      </c>
      <c r="HN101" s="11" t="e">
        <f t="shared" si="194"/>
        <v>#N/A</v>
      </c>
      <c r="HO101" s="11" t="e">
        <f t="shared" si="195"/>
        <v>#N/A</v>
      </c>
      <c r="HP101" s="11" t="e">
        <f t="shared" si="196"/>
        <v>#N/A</v>
      </c>
      <c r="HQ101" t="e">
        <f t="shared" si="197"/>
        <v>#N/A</v>
      </c>
      <c r="HR101" t="e">
        <f t="shared" si="198"/>
        <v>#N/A</v>
      </c>
      <c r="HS101" t="e">
        <f t="shared" si="199"/>
        <v>#N/A</v>
      </c>
      <c r="HT101" t="e">
        <f t="shared" si="145"/>
        <v>#N/A</v>
      </c>
      <c r="HU101" t="e">
        <f t="shared" si="146"/>
        <v>#N/A</v>
      </c>
      <c r="HV101" t="e">
        <f t="shared" si="147"/>
        <v>#N/A</v>
      </c>
      <c r="HW101" t="e">
        <f t="shared" si="148"/>
        <v>#N/A</v>
      </c>
      <c r="HX101" t="e">
        <f t="shared" si="149"/>
        <v>#N/A</v>
      </c>
      <c r="HY101" t="e">
        <f t="shared" si="150"/>
        <v>#N/A</v>
      </c>
      <c r="HZ101" s="55">
        <f>IF(OR(Исходн.данные.!AI101="Оз_Ч_П",Исходн.данные.!AI101="Оз_З_П",Исходн.данные.!AI101="Яр_зер"),12,30)</f>
        <v>30</v>
      </c>
      <c r="IA101" t="e">
        <f t="shared" si="200"/>
        <v>#N/A</v>
      </c>
      <c r="IB101" t="e">
        <f t="shared" si="201"/>
        <v>#N/A</v>
      </c>
      <c r="IC101" t="e">
        <f t="shared" si="202"/>
        <v>#N/A</v>
      </c>
      <c r="ID101" s="11" t="e">
        <f t="shared" si="203"/>
        <v>#N/A</v>
      </c>
      <c r="IE101" s="11" t="e">
        <f t="shared" si="204"/>
        <v>#N/A</v>
      </c>
      <c r="IF101" s="11" t="e">
        <f t="shared" si="205"/>
        <v>#N/A</v>
      </c>
    </row>
    <row r="102" spans="35:240" x14ac:dyDescent="0.2">
      <c r="AI102">
        <f>IF(Исходн.данные.!I102&gt;6,1,1.85-(0.148*Исходн.данные.!I102))</f>
        <v>1.85</v>
      </c>
      <c r="AJ102">
        <f>IF(Исходн.данные.!I102&gt;6,1,2.434-(0.246*Исходн.данные.!I102))</f>
        <v>2.4340000000000002</v>
      </c>
      <c r="AL102" s="148" t="b">
        <f>IF(Исходн.данные.!$P102="Ум",N_OrgUd_2g_um,IF(Исходн.данные.!$P102="Об",N_OrgUd_2g_ob))</f>
        <v>0</v>
      </c>
      <c r="AM102" s="148" t="b">
        <f>IF(Исходн.данные.!$P102="Ум",P_OrgUd_2g_um,IF(Исходн.данные.!$P102="Об",P_OrgUd_2g_ob))</f>
        <v>0</v>
      </c>
      <c r="AN102" s="148" t="b">
        <f>IF(Исходн.данные.!$P102="Ум",K_OrgUd_2g_um,IF(Исходн.данные.!$P102="Об",K_OrgUd_2g_ob))</f>
        <v>0</v>
      </c>
      <c r="AO102" s="148" t="b">
        <f>IF(Исходн.данные.!$P102="Ум",N_OrgUd_1g_um,IF(Исходн.данные.!$P102="Об",N_OrgUd_1g_ob))</f>
        <v>0</v>
      </c>
      <c r="AP102" s="148" t="b">
        <f>IF(Исходн.данные.!$P102="Ум",P_OrgUd_1g_um,IF(Исходн.данные.!$P102="Об",P_OrgUd_1g_ob))</f>
        <v>0</v>
      </c>
      <c r="AQ102" s="148" t="b">
        <f>IF(Исходн.данные.!$P102="Ум",K_OrgUd_1g_um,IF(Исходн.данные.!$P102="Об",K_OrgUd_1g_ob))</f>
        <v>0</v>
      </c>
      <c r="AR102" t="b">
        <f>IF(Исходн.данные.!$P102="Ум",N_MinUd_2g_um,IF(Исходн.данные.!$P102="Об",N_MinUd_2g_ob))</f>
        <v>0</v>
      </c>
      <c r="AS102" t="b">
        <f>IF(Исходн.данные.!$P102="Ум",P_MinUd_2g_um,IF(Исходн.данные.!$P102="Об",P_MinUd_2g_ob))</f>
        <v>0</v>
      </c>
      <c r="AT102" t="b">
        <f>IF(Исходн.данные.!$P102="Ум",K_MinUd_2g_um,IF(Исходн.данные.!$P102="Об",K_MinUd_2g_ob))</f>
        <v>0</v>
      </c>
      <c r="AU102" t="b">
        <f>IF(Исходн.данные.!$P102="Ум",N_MinUd_1g_um,IF(Исходн.данные.!$P102="Об",N_MinUd_1g_ob))</f>
        <v>0</v>
      </c>
      <c r="AV102" t="b">
        <f>IF(Исходн.данные.!P102="Ум",P_MinUd_1g_um,IF(Исходн.данные.!P102="Об",P_MinUd_1g_ob))</f>
        <v>0</v>
      </c>
      <c r="AW102" t="b">
        <f>IF(Исходн.данные.!P102="Ум",K_MinUd_1g_um,IF(Исходн.данные.!P102="Об",K_MinUd_1g_ob))</f>
        <v>0</v>
      </c>
      <c r="AY102" t="e">
        <f>VLOOKUP(Исходн.данные.!T102,Справ!$A$3:$N$57,12)</f>
        <v>#N/A</v>
      </c>
      <c r="AZ102" t="e">
        <f>VLOOKUP(Исходн.данные.!T102,Справ!$A$3:$N$57,13)</f>
        <v>#N/A</v>
      </c>
      <c r="BA102" t="e">
        <f>VLOOKUP(Исходн.данные.!T102,Справ!$A$3:$N$57,14)</f>
        <v>#N/A</v>
      </c>
      <c r="BB102">
        <f>IF(Исходн.данные.!AH102=0,0,25)</f>
        <v>0</v>
      </c>
      <c r="BC102" s="141">
        <f>IF(Исходн.данные.!AH102=0,0,IF(Исходн.данные.!T102=0,25,BD102))</f>
        <v>0</v>
      </c>
      <c r="BD102" s="168" t="e">
        <f>AY102+AZ102*Исходн.данные.!U102-POWER(BA102,2)*Исходн.данные.!U102</f>
        <v>#N/A</v>
      </c>
      <c r="BE10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2" s="25">
        <f>IF(Исходн.данные.!AH102=0,0,MIN(HN102:HP102))</f>
        <v>0</v>
      </c>
      <c r="BG102" s="9">
        <f>IF(Исходн.данные.!AH102=0,0,IF((HO102+10*0.25/HG102/HL102)&lt;17,17,HO102+10*0.25/HG102/HL102))</f>
        <v>0</v>
      </c>
      <c r="BH102" s="181">
        <f>IF(Исходн.данные.!AH102=0,0,HW102*HF102*HL102/AU102*AI102+Исходн.данные.!S102*10)</f>
        <v>0</v>
      </c>
      <c r="BI102" s="10"/>
      <c r="BJ102" s="182">
        <f>IF(Исходн.данные.!AH102=0,0,IF(HX102*HG102*HL102/AV102&lt;0,0,HX102*HG102*HL102/AV102*AJ102))</f>
        <v>0</v>
      </c>
      <c r="BK102" s="182">
        <f>IF(Исходн.данные.!AH102=0,0,HY102*HH102*HM102/AW102)</f>
        <v>0</v>
      </c>
      <c r="BL102" s="10">
        <f>IF(OR(Исходн.данные.!$AH102=$BP$1,Исходн.данные.!$AH102=$BP$2),0,IF(BH102&lt;0,0,IF(OR(Исходн.данные.!T102=Расчет!$BP$1,Исходн.данные.!T102=Расчет!$BP$2,Исходн.данные.!T102=Расчет!$BT$5,Исходн.данные.!T102=Расчет!$BT$6),BH102*0.5,IF(OR(Исходн.данные.!T102=Расчет!$BS$9,Исходн.данные.!T102=Расчет!$BS$10,Исходн.данные.!T102=Расчет!$BS$11,Исходн.данные.!T102=Расчет!$BS$12,Исходн.данные.!T102=Расчет!$BP$5),BH102*0.8,BH102))))</f>
        <v>0</v>
      </c>
      <c r="BM102" s="10">
        <f>IF(OR(Исходн.данные.!$AH102=$BP$1,Исходн.данные.!$AH102=$BP$2),0,IF(BJ102&lt;0,0,IF(Исходн.данные.!I102&lt;4.5,BJ102*1.2,IF(Исходн.данные.!I102&gt;5.1,BJ102,BJ102*((5.1-Исходн.данные.!I102)*0.333+1)))))</f>
        <v>0</v>
      </c>
      <c r="BN102" s="10">
        <f>IF(OR(Исходн.данные.!$AH102=$BP$1,Исходн.данные.!$AH102=$BP$2),60-Исходн.данные.!AF102,IF(BK102&lt;0,0,IF(Исходн.данные.!I102&lt;4.5,BK102*1.2,IF(Исходн.данные.!I102&gt;5.1,BK102,BK102*((5.1-Исходн.данные.!I102)*0.333+1)))))</f>
        <v>0</v>
      </c>
      <c r="BO102" s="9">
        <f>IF(BL102&lt;0,0,BL102*Исходн.данные.!$AJ102/1000)</f>
        <v>0</v>
      </c>
      <c r="BP102" s="9">
        <f>IF(BM102&lt;0,0,BM102*Исходн.данные.!$AJ102/1000)</f>
        <v>0</v>
      </c>
      <c r="BQ102" s="9">
        <f>IF(BN102&lt;0,0,BN102*Исходн.данные.!$AJ102/1000)</f>
        <v>0</v>
      </c>
      <c r="BR102" s="9">
        <f t="shared" si="155"/>
        <v>0</v>
      </c>
      <c r="BS102" s="10" t="str">
        <f t="shared" si="156"/>
        <v>Аммофос 12:52:00</v>
      </c>
      <c r="BT102" s="10" t="str">
        <f t="shared" si="157"/>
        <v>Аммофос 12:52:00</v>
      </c>
      <c r="BU102" s="10" t="str">
        <f t="shared" si="158"/>
        <v>Диаммофоска</v>
      </c>
      <c r="BV102" s="10">
        <f t="shared" si="159"/>
        <v>0</v>
      </c>
      <c r="BW102" s="10"/>
      <c r="BX102" s="10"/>
      <c r="BY102" s="9">
        <f>IF(BL102&lt;0,0,IF(OR(Исходн.данные.!AI102=Расчет!$BU$6,Исходн.данные.!AI102=Расчет!$BU$7),Расчет!BV102,IF(Исходн.данные.!$AG102=$BV$11,BL102,IF(OR(Исходн.данные.!$AH102=$BQ$7,Исходн.данные.!$AH102=$BQ$8),CB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0,IF(Исходн.данные.!$AI102=$BU$11,"Нет",IF(BL102&gt;30,30,BL102)))))))</f>
        <v>0</v>
      </c>
      <c r="BZ102" s="9">
        <f>IF(AND(Исходн.данные.!$AG102=$BV$11,BM102&lt;10),10,IF(Исходн.данные.!$AG102=$BV$11,BM102,IF(OR(Исходн.данные.!$AH102=$BQ$7,Исходн.данные.!$AH102=$BQ$8),CC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10,IF(Исходн.данные.!$AI102=$BU$11,"Нет",IF(BM102&gt;60,60,IF(BM102&lt;10,10,BM102)))))))</f>
        <v>10</v>
      </c>
      <c r="CA102" s="39">
        <f>IF(BN102&lt;0,0,IF(Исходн.данные.!$AG102=$BV$11,BN102,IF(OR(Исходн.данные.!$AH102=$BQ$7,Исходн.данные.!$AH102=$BQ$8),CD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0,IF(Исходн.данные.!$AI102=$BU$11,"Нет",IF(BN102&gt;30,30,BN102))))))</f>
        <v>0</v>
      </c>
      <c r="CB102" s="9">
        <f t="shared" si="160"/>
        <v>0</v>
      </c>
      <c r="CC102" s="9">
        <f t="shared" si="161"/>
        <v>0</v>
      </c>
      <c r="CD102" s="9">
        <f t="shared" si="162"/>
        <v>0</v>
      </c>
      <c r="CE102" s="12">
        <f t="shared" si="163"/>
        <v>10</v>
      </c>
      <c r="CF102" s="9">
        <f t="shared" si="164"/>
        <v>0</v>
      </c>
      <c r="CG102" s="9" t="s">
        <v>231</v>
      </c>
      <c r="CH102" s="132" t="str">
        <f>IF(Исходн.данные.!AP102=Расчет!$CI$16,"Нет",IF(Исходн.данные.!AL102&gt;0,Исходн.данные.!AL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BH$4,IF(OR(Исходн.данные.!AI102=Исходн.данные.!$AI$6,Исходн.данные.!AI102=Исходн.данные.!$AI$7),Расчет!BS102,IF(AND($CF102=0,$CE102&gt;0),EV102,ER102)))))</f>
        <v>Аммофос 12:52:00</v>
      </c>
      <c r="CI102" s="274">
        <f>IF(Расчет!$CH102="Нет","Нет",IF(Исходн.данные.!$AL102&gt;0,VLOOKUP(Расчет!$CH102,АшламаДВ_Irekle,2,FALSE),VLOOKUP(Расчет!$CH102,АшламаДВ_Gomumy,2,FALSE)))</f>
        <v>0.12</v>
      </c>
      <c r="CJ102" s="274">
        <f>IF(Расчет!$CH102="Нет","Нет",IF(Исходн.данные.!$AL102&gt;0,VLOOKUP(Расчет!$CH102,АшламаДВ_Irekle,3,FALSE),VLOOKUP(Расчет!$CH102,АшламаДВ_Gomumy,3,FALSE)))</f>
        <v>0.52</v>
      </c>
      <c r="CK102" s="274">
        <f>IF(Расчет!$CH102="Нет","Нет",IF(Исходн.данные.!$AL102&gt;0,VLOOKUP(Расчет!$CH102,АшламаДВ_Irekle,4,FALSE),VLOOKUP(Расчет!$CH102,АшламаДВ_Gomumy,4,FALSE)))</f>
        <v>0</v>
      </c>
      <c r="CL102" s="70"/>
      <c r="CM102" s="70"/>
      <c r="CN102" s="70"/>
      <c r="CO102" s="70"/>
      <c r="CP102" s="70"/>
      <c r="CQ102" s="70"/>
      <c r="CR102" s="10">
        <f t="shared" si="165"/>
        <v>0</v>
      </c>
      <c r="CS102" s="10">
        <f t="shared" si="166"/>
        <v>19.23076923076923</v>
      </c>
      <c r="CT102" s="10">
        <f t="shared" si="167"/>
        <v>0</v>
      </c>
      <c r="CU102" s="39">
        <f>IF($CH102="Нет",0,IF(CI102=0,30/MIN(CJ102:CK102),IF(Исходн.данные.!$AG102=$BV$11,CR102,IF(OR(Исходн.данные.!$AH102=$BQ$7,Исходн.данные.!$AH102=$BQ$8),90/CI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0,IF(Исходн.данные.!$AI102=$BU$11,"Нет",30/CI102))))))</f>
        <v>250</v>
      </c>
      <c r="CV102" s="39">
        <f>IF($CH102="Нет",0,IF(Исходн.данные.!AH102=0,0,IF(CJ102=0,60/MIN(CI102,CK102),IF(Исходн.данные.!$AG102=$BV$11,CS102,IF(OR(Исходн.данные.!$AH102=$BQ$7,Исходн.данные.!$AH102=$BQ$8),90/CJ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10/CJ102,IF(Исходн.данные.!$AI102=$BU$11,"Нет",60/CJ102)))))))</f>
        <v>0</v>
      </c>
      <c r="CW102" s="39">
        <f>IF($CH102="Нет",0,IF(Исходн.данные.!AH102=0,0,IF(CK102=0,30/MIN(CI102:CJ102),IF(Исходн.данные.!$AG102=$BV$11,CT102,IF(OR(Исходн.данные.!$AH102=$BQ$7,Исходн.данные.!$AH102=$BQ$8),90/CK102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0,IF(Исходн.данные.!$AI102=$BU$11,"Нет",30/CK102)))))))</f>
        <v>0</v>
      </c>
      <c r="CX102" s="133">
        <f>IF(Исходн.данные.!$AG102=$BV$11,MAX(CU102:CW102),IF(OR(Исходн.данные.!$AH102=$BS$8,Исходн.данные.!$AH102=$BQ$9,Исходн.данные.!$AH102=$BQ$10,Исходн.данные.!$AH102=$BQ$11,Исходн.данные.!$AH102=$BQ$12,Исходн.данные.!$AH102=$BP$3,Исходн.данные.!$AH102=$BT$8,$FM102="Да"),CV102,MIN(CU102:CW102)))</f>
        <v>0</v>
      </c>
      <c r="CY102" s="133">
        <f>IF(Исходн.данные.!AH102=0,0,IF(CR102&gt;$CX102,$CX102,CR102))</f>
        <v>0</v>
      </c>
      <c r="CZ102" s="133">
        <f>IF(Исходн.данные.!AH102=0,0,IF(CS102&gt;$CX102,$CX102,CS102))</f>
        <v>0</v>
      </c>
      <c r="DA102" s="133">
        <f>IF(Исходн.данные.!AH102=0,0,IF(CT102&gt;$CX102,$CX102,CT102))</f>
        <v>0</v>
      </c>
      <c r="DB102" s="10">
        <f t="shared" si="168"/>
        <v>0</v>
      </c>
      <c r="DC102" s="39">
        <f>DB102*Исходн.данные.!AJ102/1000</f>
        <v>0</v>
      </c>
      <c r="DD102" s="71">
        <f t="shared" si="169"/>
        <v>0</v>
      </c>
      <c r="DE102" s="9">
        <f t="shared" si="170"/>
        <v>0</v>
      </c>
      <c r="DF102" s="9">
        <f t="shared" si="171"/>
        <v>0</v>
      </c>
      <c r="DG102" s="39">
        <f>IF(BL102&lt;0,0,IF($CH102="Нет",BL102,IF(OR(Исходн.данные.!$AH102=$BP$1,Исходн.данные.!$AH102=$BP$2),0,IF(Исходн.данные.!AI102=$BU$11,BL102,IF(BL102-DD102&lt;0,0,BL102-DD102)))))</f>
        <v>0</v>
      </c>
      <c r="DH102" s="39">
        <f>IF(BM102&lt;0,0,IF($CH102="Нет",BM102,IF(OR(Исходн.данные.!$AH102=$BP$1,Исходн.данные.!$AH102=$BP$2),0,IF(Исходн.данные.!AJ102=$BU$11,BM102,IF(BM102-DE102&lt;0,0,BM102-DE102)))))</f>
        <v>0</v>
      </c>
      <c r="DI102" s="39">
        <f>IF(BN102&lt;0,0,IF($CH102="Нет",BN102,IF(OR(Исходн.данные.!$AH102=$BP$1,Исходн.данные.!$AH102=$BP$2),0,IF(Исходн.данные.!AK102=$BU$11,BN102,IF(BN102-DF102&lt;0,0,BN102-DF102)))))</f>
        <v>0</v>
      </c>
      <c r="DJ102" s="12">
        <f t="shared" si="172"/>
        <v>0</v>
      </c>
      <c r="DK102" s="9">
        <f t="shared" si="173"/>
        <v>0</v>
      </c>
      <c r="DL102" s="39">
        <f>IF(Исходн.данные.!AM102&gt;0,Исходн.данные.!AM102,IF(EG102&gt;0,$BH$10,0))</f>
        <v>0</v>
      </c>
      <c r="DM102" s="186">
        <f>IF($DL102=0,0,IF(Исходн.данные.!AM102&gt;0,VLOOKUP($DL102,АшламаДВ_Irekle,2,FALSE),VLOOKUP($DL102,АшламаДВ_Gomumy,2,FALSE)))</f>
        <v>0</v>
      </c>
      <c r="DN102" s="10">
        <f t="shared" si="151"/>
        <v>0</v>
      </c>
      <c r="DO102" s="9" t="str">
        <f>IF(Исходн.данные.!AN102&gt;0,Исходн.данные.!AN102,Удобрения!$B$37 )</f>
        <v>Хлор.калий</v>
      </c>
      <c r="DP102" s="9">
        <f>IF(Исходн.данные.!AN102&gt;0,VLOOKUP(Исходн.данные.!AN102,АшламаДВ_Irekle,4,FALSE),VLOOKUP(DO102,АшламаДВ_Gomumy,4,FALSE))</f>
        <v>0.6</v>
      </c>
      <c r="DQ102" s="10">
        <f t="shared" si="152"/>
        <v>0</v>
      </c>
      <c r="DR102" s="132" t="str">
        <f>IF(Исходн.данные.!AO102&gt;0,Исходн.данные.!AO102,IF(DH102=0,BS$17,IF(AND($DK102=0,$DJ102&gt;0),EJ102,EN102)))</f>
        <v>Нет</v>
      </c>
      <c r="DS102" s="70" t="str">
        <f>IF($DR102="Нет","Нет",IF(Исходн.данные.!$AO102&gt;0,VLOOKUP($DR102,АшламаДВ_Irekle,2,FALSE),VLOOKUP($DR102,АшламаДВ_Gomumy,2,FALSE)))</f>
        <v>Нет</v>
      </c>
      <c r="DT102" s="70" t="str">
        <f>IF($DR102="Нет","Нет",IF(Исходн.данные.!$AO102&gt;0,VLOOKUP($DR102,АшламаДВ_Irekle,3,FALSE),VLOOKUP($DR102,АшламаДВ_Gomumy,3,FALSE)))</f>
        <v>Нет</v>
      </c>
      <c r="DU102" s="70" t="str">
        <f>IF($DR102="Нет","Нет",IF(Исходн.данные.!$AO102&gt;0,VLOOKUP($DR102,АшламаДВ_Irekle,4,FALSE),VLOOKUP($DR102,АшламаДВ_Gomumy,4,FALSE)))</f>
        <v>Нет</v>
      </c>
      <c r="DV102" s="70"/>
      <c r="DW102" s="70"/>
      <c r="DX102" s="70"/>
      <c r="DY102" s="10">
        <f t="shared" si="174"/>
        <v>0</v>
      </c>
      <c r="DZ102" s="10">
        <f t="shared" si="175"/>
        <v>0</v>
      </c>
      <c r="EA102" s="10">
        <f t="shared" si="176"/>
        <v>0</v>
      </c>
      <c r="EB102" s="10">
        <f t="shared" si="177"/>
        <v>0</v>
      </c>
      <c r="EC102" s="10">
        <f t="shared" si="178"/>
        <v>0</v>
      </c>
      <c r="ED102" s="10">
        <f t="shared" si="179"/>
        <v>0</v>
      </c>
      <c r="EE102" s="10">
        <f t="shared" si="180"/>
        <v>0</v>
      </c>
      <c r="EF102" s="39">
        <f>EB102*Исходн.данные.!AJ102/1000</f>
        <v>0</v>
      </c>
      <c r="EG102" s="9">
        <f t="shared" si="181"/>
        <v>0</v>
      </c>
      <c r="EH102" s="9">
        <f t="shared" si="182"/>
        <v>0</v>
      </c>
      <c r="EI102" s="39" t="e">
        <f t="shared" si="132"/>
        <v>#DIV/0!</v>
      </c>
      <c r="EJ102" s="9" t="str">
        <f t="shared" si="153"/>
        <v>Азопреципитат</v>
      </c>
      <c r="EK102" s="12">
        <f t="shared" si="133"/>
        <v>0.26</v>
      </c>
      <c r="EL102" s="12">
        <f t="shared" si="134"/>
        <v>0.13</v>
      </c>
      <c r="EM102" s="12">
        <f t="shared" si="135"/>
        <v>0</v>
      </c>
      <c r="EN102" s="12" t="str">
        <f t="shared" si="154"/>
        <v>Нет</v>
      </c>
      <c r="EO102" s="12">
        <f t="shared" si="136"/>
        <v>0</v>
      </c>
      <c r="EP102" s="12">
        <f t="shared" si="137"/>
        <v>0</v>
      </c>
      <c r="EQ102" s="12">
        <f t="shared" si="138"/>
        <v>0</v>
      </c>
      <c r="ER102" s="12" t="str">
        <f t="shared" si="183"/>
        <v>Диаммофоска</v>
      </c>
      <c r="ES102" s="12">
        <f t="shared" si="139"/>
        <v>0.1</v>
      </c>
      <c r="ET102" s="12">
        <f t="shared" si="140"/>
        <v>0.26</v>
      </c>
      <c r="EU102" s="12">
        <f t="shared" si="141"/>
        <v>0.26</v>
      </c>
      <c r="EV102" s="12" t="str">
        <f t="shared" si="184"/>
        <v>Аммофос 12:52:00</v>
      </c>
      <c r="EW102" s="12" t="str">
        <f t="shared" si="185"/>
        <v>Кемира Свекловичное-6</v>
      </c>
      <c r="EX102" s="12">
        <f t="shared" si="142"/>
        <v>0.16</v>
      </c>
      <c r="EY102" s="12">
        <f t="shared" si="143"/>
        <v>0.12</v>
      </c>
      <c r="EZ102" s="12">
        <f t="shared" si="144"/>
        <v>0.17</v>
      </c>
      <c r="FA102" s="38" t="e">
        <f>IF(AND(OR(FJ102=$FD$1,FM102=$FD$1,FO102=$FD$1,FQ102=$FD$1,FS102=$FD$1),FD102=$FD$1,Исходн.данные.!J102&lt;2,FU102=$FD$1),"Бор,Кобальт",IF(AND(FO102=$FD$1,FH102=$FD$1,Исходн.данные.!J102&lt;2,FU102=$FD$1),"Бор,Кобальт",IF(AND(OR(FJ102=$FD$1,FM102=$FD$1,FQ102=$FD$1),FE102=$FD$1,Исходн.данные.!J102&lt;2,FT102=$FD$1,FU102=$FD$1),"Бор,Медь,Цинк",IF(AND(OR(FJ102=$FD$1,FR102="Да"),FI102="Да",Исходн.данные.!J102&lt;2,FT102="Да",FU102="Да"),"Бор,Цинк,Медь",IF(AND(OR(FM102="Да",FQ102="Да"),FI102="Да",Исходн.данные.!J102&lt;2,FT102="Да",FU102="Да"),"Бор,Цинк",IF(AND(FN102="Да",OR(FD102="Да",FE102="Да")),"Бор",FB102))))))</f>
        <v>#N/A</v>
      </c>
      <c r="FB102" s="134" t="e">
        <f>IF(AND(OR(FD102="Да",FE102="Да",FF102="Да",FG102="Да",FH102="Да"),FO102="Да"),"Бор",IF(AND(FP102="Да",OR(FD102="Да",FE102="Да",FI102="Да")),"Бор",IF(AND(FS102="Да",FE102="Да"),"Бор,Медь",IF(AND(OR(FJ102="Да",FK102="Да",FL102="Да"),FE102="Да",Исходн.данные.!I102&lt;5,FT102="Да",FU102="Да"),"Молибден,Цинк",IF(AND(FM102="Да",OR(FE102="Да",FF102="Да",FG102="Да",FH102="Да",FI102="Да")),"Молибден,Цинк",IF(AND(OR(FJ102="Да",FK102="Да",FL102="Да",FM102="Да",FQ102="Да"),OR(FE102="Да",FF102="Да"),FT102="Да",FU102="Да",Исходн.данные.!I102&gt;5.5),"Медь,Цинк",FC102))))))</f>
        <v>#N/A</v>
      </c>
      <c r="FC102" s="23" t="e">
        <f t="shared" si="186"/>
        <v>#N/A</v>
      </c>
      <c r="FD102" s="38" t="str">
        <f>IF(OR(Исходн.данные.!F102=$CC$1,Исходн.данные.!F102=$CC$2,Исходн.данные.!F102=$CC$3,Исходн.данные.!F102=$CC$4),"Да","Нет")</f>
        <v>Нет</v>
      </c>
      <c r="FE102" s="38" t="str">
        <f>IF(Исходн.данные.!F102=$CC$5,"Да","Нет")</f>
        <v>Нет</v>
      </c>
      <c r="FF102" s="38" t="str">
        <f>IF(OR(Исходн.данные.!F102=$CC$6,Исходн.данные.!F102=$CC$7),"Да","Нет")</f>
        <v>Нет</v>
      </c>
      <c r="FG102" s="38" t="str">
        <f>IF(OR(Исходн.данные.!F102=$CC$8,Исходн.данные.!F102=$CC$9),"Да","Нет")</f>
        <v>Нет</v>
      </c>
      <c r="FH102" s="38" t="str">
        <f>IF(Исходн.данные.!F102=$CC$10,"Да","Нет")</f>
        <v>Нет</v>
      </c>
      <c r="FI102" s="38" t="str">
        <f>IF(OR(Исходн.данные.!F102=$CC$11,Исходн.данные.!F102=$CC$12),"Да","Нет")</f>
        <v>Нет</v>
      </c>
      <c r="FJ102" s="38" t="str">
        <f>IF(OR(Исходн.данные.!AH102=$BS$1,Исходн.данные.!AH102=$BQ$11,Исходн.данные.!AH102=$BQ$12),"Да","Нет")</f>
        <v>Нет</v>
      </c>
      <c r="FK102" s="38" t="str">
        <f>IF(OR(Исходн.данные.!AH102=$BS$2,Исходн.данные.!AH102=$BS$4),"Да","Нет")</f>
        <v>Нет</v>
      </c>
      <c r="FL102" s="38" t="str">
        <f>IF(OR(Исходн.данные.!AH102=$BS$3,Исходн.данные.!AH102=$BS$5),"Да","Нет")</f>
        <v>Нет</v>
      </c>
      <c r="FM102" s="38" t="str">
        <f>IF(OR(Исходн.данные.!AH102=$BS$9,Исходн.данные.!AH102=$BS$10,Исходн.данные.!AH102=$BS$11,Исходн.данные.!AH102=$BS$12),"Да","Нет")</f>
        <v>Нет</v>
      </c>
      <c r="FN102" s="38" t="str">
        <f>IF(OR(Исходн.данные.!AH102=$BS$6,Исходн.данные.!AH102=$BP$3),"Да","Нет")</f>
        <v>Нет</v>
      </c>
      <c r="FO102" s="38" t="str">
        <f>IF(Исходн.данные.!AH102=$BQ$9,"Да","Нет")</f>
        <v>Нет</v>
      </c>
      <c r="FP102" s="38" t="str">
        <f>IF(OR(Исходн.данные.!AH102=$BS$8,Исходн.данные.!AH102=$BT$8),"Да","Нет")</f>
        <v>Нет</v>
      </c>
      <c r="FQ102" s="38" t="str">
        <f>IF(OR(Исходн.данные.!AH102=$BQ$7,Исходн.данные.!AH102=$BQ$8),"Да","Нет")</f>
        <v>Нет</v>
      </c>
      <c r="FR102" s="38" t="str">
        <f>IF(Исходн.данные.!AI102=$BU$9,"Да","Нет")</f>
        <v>Нет</v>
      </c>
      <c r="FS102" s="38" t="str">
        <f>IF(OR(Исходн.данные.!AH102=$BP$1,Исходн.данные.!AH102=$BP$2),"Да","Нет")</f>
        <v>Нет</v>
      </c>
      <c r="FT102" s="38" t="e">
        <f>IF((Исходн.данные.!K102*GO102*GS102*GW102+BL102*0.6+Исходн.данные.!Q102*4.5*0.275)&gt;90,"Да","Нет")</f>
        <v>#N/A</v>
      </c>
      <c r="FU102" s="38" t="e">
        <f>IF((Исходн.данные.!M102*GS102*GZ102+BM102*0.225)&gt;35,"Да","Нет")</f>
        <v>#N/A</v>
      </c>
      <c r="FV102" s="38" t="str">
        <f>IF(Исходн.данные.!O102&gt;175,"Да","Нет")</f>
        <v>Нет</v>
      </c>
      <c r="FW102" s="39" t="str">
        <f>IF(Исходн.данные.!I102&gt;5.5,"Да","Нет")</f>
        <v>Нет</v>
      </c>
      <c r="FX102" s="39" t="str">
        <f>IF(Исходн.данные.!J102&lt;2,"Да","Нет")</f>
        <v>Да</v>
      </c>
      <c r="FY102" s="39" t="e">
        <f>IF(HF102=$FY$16,0,Исходн.данные.!K102*GO102*GS102*GW102/HF102)</f>
        <v>#N/A</v>
      </c>
      <c r="FZ102" s="39" t="e">
        <f>Исходн.данные.!M102*GS102*GZ102/HG102</f>
        <v>#N/A</v>
      </c>
      <c r="GA102" s="39" t="e">
        <f>IF(K_Wyn=$FY$16,0,IF(Исходн.данные.!N102=Исходн.данные.!$L$10,Исходн.данные.!O102/1.1*GS102*HC102/HH102,IF(Исходн.данные.!N102=Исходн.данные.!$L$12,Исходн.данные.!O102/1.5*GS102*HC102/HH102,Исходн.данные.!O102*GS102*HC102/HH102)))</f>
        <v>#N/A</v>
      </c>
      <c r="GB102" s="39" t="e">
        <f>IF(HF102=$FY$16,0,((Исходн.данные.!Q102*N_Org+Исходн.данные.!R102*N_Sider+Исходн.данные.!S102*N_Soloma)*AO102+Расчет!BC102*VLOOKUP(Исходн.данные.!T102,Справ!$A$3:$O$57,15)*AO102+BB102*VLOOKUP(Исходн.данные.!T102,Справ!$A$3:$O$57,15)*AL102+(Исходн.данные.!V102*N_Rizotorf+Исходн.данные.!W102*N_Rizoagr))/HF102)</f>
        <v>#N/A</v>
      </c>
      <c r="GC102" s="39" t="e">
        <f>IF(HG102=$FY$16,0,((Исходн.данные.!Q102*Р_Org+Исходн.данные.!R102*P_Sider+Исходн.данные.!S102*P_Soloma)*AP102+Расчет!BC102*VLOOKUP(Исходн.данные.!T102,Справ!$A$3:$P$57,16)*AP102+BB102*VLOOKUP(Исходн.данные.!T102,Справ!$A$3:$P$57,16)*AM102)/HG102)</f>
        <v>#N/A</v>
      </c>
      <c r="GD102" s="39" t="e">
        <f>IF(HH102=$FY$16,0,((Исходн.данные.!Q102*К_Org+Исходн.данные.!R102*K_Sider+Исходн.данные.!S102*K_Soloma)*AQ102+Расчет!BC102*VLOOKUP(Исходн.данные.!T102,Справ!$A$3:$Q$57,17)*AQ102+BB102*VLOOKUP(Исходн.данные.!T102,Справ!$A$3:$Q$57,17)*AN102)/HH102)</f>
        <v>#N/A</v>
      </c>
      <c r="GE102" s="39" t="e">
        <f>IF(HF102=$FY$16,0,(Исходн.данные.!X102*AR102+Исходн.данные.!AA102*N_Org*AL102+Исходн.данные.!AB102*N_Sider*AL102+Исходн.данные.!AC102*N_Soloma*AL102)/HF102)</f>
        <v>#N/A</v>
      </c>
      <c r="GF102" s="39" t="e">
        <f>IF(HG102=$FY$16,0,(Исходн.данные.!Y102*AS102+Исходн.данные.!AA102*Р_Org*AM102+Исходн.данные.!AB102*P_Sider*AM102+Исходн.данные.!AC102*P_Soloma*AM102)/HG102)</f>
        <v>#N/A</v>
      </c>
      <c r="GG102" s="39" t="e">
        <f>IF(HH102=$FY$16,0,(Исходн.данные.!Z102*AT102+Исходн.данные.!AA102*К_Org*AN102+Исходн.данные.!AB102*K_Sider*AN102+Исходн.данные.!AC102*K_Soloma*AN102)/HH102)</f>
        <v>#N/A</v>
      </c>
      <c r="GH102" s="39" t="e">
        <f>Исходн.данные.!AD102*AU102/HF102</f>
        <v>#N/A</v>
      </c>
      <c r="GI102" s="39" t="e">
        <f>Исходн.данные.!AE102*AV102/HG102</f>
        <v>#N/A</v>
      </c>
      <c r="GJ102" s="39" t="e">
        <f>Исходн.данные.!AF102*AW102/HH102</f>
        <v>#N/A</v>
      </c>
      <c r="GK102" s="55">
        <f>Исходн.данные.!AK102</f>
        <v>0</v>
      </c>
      <c r="GL102" s="11" t="e">
        <f t="shared" si="187"/>
        <v>#N/A</v>
      </c>
      <c r="GM102" s="11" t="e">
        <f t="shared" si="188"/>
        <v>#N/A</v>
      </c>
      <c r="GN102" s="11" t="e">
        <f t="shared" si="189"/>
        <v>#N/A</v>
      </c>
      <c r="GO102" s="57">
        <f t="shared" si="190"/>
        <v>19</v>
      </c>
      <c r="GP102" s="55">
        <f>IF(OR(Исходн.данные.!F102=$CE$1,Исходн.данные.!F102=$CE$2,Исходн.данные.!F102=$CE$3,Исходн.данные.!F102=$CE$4,Исходн.данные.!F102=$CE$5),GQ102,GR102)</f>
        <v>19</v>
      </c>
      <c r="GQ102" s="55">
        <f>IF(Исходн.данные.!F102=$CE$1,28,IF(Исходн.данные.!F102=$CE$2,26,IF(Исходн.данные.!F102=$CE$3,24,IF(Исходн.данные.!F102=$CE$4,22,IF(Исходн.данные.!F102=$CE$5,20,GR102)))))</f>
        <v>19</v>
      </c>
      <c r="GR102" s="55">
        <f>IF(Исходн.данные.!F102=$CE$6,18,IF(Исходн.данные.!F102=$CE$7,16,IF(Исходн.данные.!F102=$CE$8,14,IF(Исходн.данные.!F102=$CE$9,13,IF(Исходн.данные.!F102=$CE$10,12,19)))))</f>
        <v>19</v>
      </c>
      <c r="GS102" s="55">
        <f>IF(Исходн.данные.!G102="Пес",0.035*(40+2*Исходн.данные.!H102),IF(Исходн.данные.!G102="Суп",0.0325*(40+2*Исходн.данные.!H102),0.03*(40+2*Исходн.данные.!H102)))</f>
        <v>1.2</v>
      </c>
      <c r="GT102" s="55">
        <f>IF(Исходн.данные.!H102&lt;23,2.6,IF(AND(Исходн.данные.!H102&gt;22,Исходн.данные.!H102&lt;26),3,IF(AND(Исходн.данные.!H102&gt;25,Исходн.данные.!H102&lt;29),3.4,3.6)))</f>
        <v>2.6</v>
      </c>
      <c r="GU102" s="55">
        <f>IF(Исходн.данные.!H102&lt;23,2.8,IF(AND(Исходн.данные.!H102&gt;22,Исходн.данные.!H102&lt;26),3.2,IF(AND(Исходн.данные.!H102&gt;25,Исходн.данные.!H102&lt;29),3.6,3.9)))</f>
        <v>2.8</v>
      </c>
      <c r="GV102" s="55">
        <f>IF(Исходн.данные.!H102&lt;23,3,IF(AND(Исходн.данные.!H102&gt;22,Исходн.данные.!H102&lt;26),3.5,IF(AND(Исходн.данные.!H102&gt;25,Исходн.данные.!H102&lt;29),3.9,4.2)))</f>
        <v>3</v>
      </c>
      <c r="GW102" s="55" t="e">
        <f>IF(Исходн.данные.!P102="Ум",GX102,GY102)</f>
        <v>#N/A</v>
      </c>
      <c r="GX102" s="55" t="e">
        <f>VLOOKUP(Исходн.данные.!AI102,Коэффициенты!$J$7:$L$13,2,FALSE)</f>
        <v>#N/A</v>
      </c>
      <c r="GY102" s="55" t="e">
        <f>VLOOKUP(Исходн.данные.!AI102,Коэффициенты!$J$7:$L$13,3,FALSE)</f>
        <v>#N/A</v>
      </c>
      <c r="GZ102" s="55" t="e">
        <f>(IF(Исходн.данные.!M102&lt;50,0.11*VLOOKUP(Исходн.данные.!AH102,Культуры.Информация,7,FALSE),IF(Исходн.данные.!M102&gt;250,0.05*VLOOKUP(Исходн.данные.!AH102,Культуры.Информация,7,FALSE),VLOOKUP(Исходн.данные.!AH102,Культуры.Информация,5,FALSE)/100*($GX$6+$GY$6*Исходн.данные.!M102))))*Расчет2!AI102</f>
        <v>#N/A</v>
      </c>
      <c r="HA102" s="211"/>
      <c r="HB102" s="211"/>
      <c r="HC102" s="55" t="e">
        <f>(IF(Исходн.данные.!O102&lt;80,0.2*VLOOKUP(Исходн.данные.!AH102,Культуры.Информация,8,FALSE),IF(Исходн.данные.!O102&gt;240,0.09*VLOOKUP(Исходн.данные.!AH102,Культуры.Информация,8,FALSE),VLOOKUP(Исходн.данные.!AH102,Культуры.Информация,6,FALSE)/100*($HB$6+$HC$6*Исходн.данные.!O102))))*Расчет2!AJ102</f>
        <v>#N/A</v>
      </c>
      <c r="HD102" s="55">
        <f>IF(Исходн.данные.!O102&gt;240,0.09,IF(Исходн.данные.!O102&lt;30,0.3,$HE$10+$HD$10*Исходн.данные.!O102))</f>
        <v>0.3</v>
      </c>
      <c r="HE102" s="55">
        <f>IF(Исходн.данные.!O102&gt;240,0.17,IF(Исходн.данные.!O102&lt;30,0.5,$HF$12+$HE$12*Исходн.данные.!O102))</f>
        <v>0.5</v>
      </c>
      <c r="HF102" s="55" t="e">
        <f>VLOOKUP(Исходн.данные.!AH102,Справ!$A$3:$D$58,2,FALSE)</f>
        <v>#N/A</v>
      </c>
      <c r="HG102" s="55" t="e">
        <f>VLOOKUP(Исходн.данные.!AH102,Справ!$A$3:$D$58,3,FALSE)</f>
        <v>#N/A</v>
      </c>
      <c r="HH102" s="55" t="e">
        <f>VLOOKUP(Исходн.данные.!AH102,Справ!$A$3:$D$58,4,FALSE)</f>
        <v>#N/A</v>
      </c>
      <c r="HI102" s="11" t="e">
        <f t="shared" si="191"/>
        <v>#N/A</v>
      </c>
      <c r="HJ102" s="11" t="e">
        <f t="shared" si="192"/>
        <v>#N/A</v>
      </c>
      <c r="HK102" s="11" t="e">
        <f t="shared" si="193"/>
        <v>#N/A</v>
      </c>
      <c r="HL102" s="55">
        <f>IF(OR(Исходн.данные.!G102="Глин",Исходн.данные.!G102="Т_суг"),1.1,IF(Исходн.данные.!G102="Ср_суг",1,1))</f>
        <v>1</v>
      </c>
      <c r="HM102" s="55">
        <f>IF(OR(Исходн.данные.!G102="Глин",Исходн.данные.!G102="Т_суг"),0.9,IF(Исходн.данные.!G102="Ср_суг",1,1.2))</f>
        <v>1.2</v>
      </c>
      <c r="HN102" s="11" t="e">
        <f t="shared" si="194"/>
        <v>#N/A</v>
      </c>
      <c r="HO102" s="11" t="e">
        <f t="shared" si="195"/>
        <v>#N/A</v>
      </c>
      <c r="HP102" s="11" t="e">
        <f t="shared" si="196"/>
        <v>#N/A</v>
      </c>
      <c r="HQ102" t="e">
        <f t="shared" si="197"/>
        <v>#N/A</v>
      </c>
      <c r="HR102" t="e">
        <f t="shared" si="198"/>
        <v>#N/A</v>
      </c>
      <c r="HS102" t="e">
        <f t="shared" si="199"/>
        <v>#N/A</v>
      </c>
      <c r="HT102" t="e">
        <f t="shared" si="145"/>
        <v>#N/A</v>
      </c>
      <c r="HU102" t="e">
        <f t="shared" si="146"/>
        <v>#N/A</v>
      </c>
      <c r="HV102" t="e">
        <f t="shared" si="147"/>
        <v>#N/A</v>
      </c>
      <c r="HW102" t="e">
        <f t="shared" si="148"/>
        <v>#N/A</v>
      </c>
      <c r="HX102" t="e">
        <f t="shared" si="149"/>
        <v>#N/A</v>
      </c>
      <c r="HY102" t="e">
        <f t="shared" si="150"/>
        <v>#N/A</v>
      </c>
      <c r="HZ102" s="55">
        <f>IF(OR(Исходн.данные.!AI102="Оз_Ч_П",Исходн.данные.!AI102="Оз_З_П",Исходн.данные.!AI102="Яр_зер"),12,30)</f>
        <v>30</v>
      </c>
      <c r="IA102" t="e">
        <f t="shared" si="200"/>
        <v>#N/A</v>
      </c>
      <c r="IB102" t="e">
        <f t="shared" si="201"/>
        <v>#N/A</v>
      </c>
      <c r="IC102" t="e">
        <f t="shared" si="202"/>
        <v>#N/A</v>
      </c>
      <c r="ID102" s="11" t="e">
        <f t="shared" si="203"/>
        <v>#N/A</v>
      </c>
      <c r="IE102" s="11" t="e">
        <f t="shared" si="204"/>
        <v>#N/A</v>
      </c>
      <c r="IF102" s="11" t="e">
        <f t="shared" si="205"/>
        <v>#N/A</v>
      </c>
    </row>
    <row r="103" spans="35:240" x14ac:dyDescent="0.2">
      <c r="AI103">
        <f>IF(Исходн.данные.!I103&gt;6,1,1.85-(0.148*Исходн.данные.!I103))</f>
        <v>1.85</v>
      </c>
      <c r="AJ103">
        <f>IF(Исходн.данные.!I103&gt;6,1,2.434-(0.246*Исходн.данные.!I103))</f>
        <v>2.4340000000000002</v>
      </c>
      <c r="AL103" s="148" t="b">
        <f>IF(Исходн.данные.!$P103="Ум",N_OrgUd_2g_um,IF(Исходн.данные.!$P103="Об",N_OrgUd_2g_ob))</f>
        <v>0</v>
      </c>
      <c r="AM103" s="148" t="b">
        <f>IF(Исходн.данные.!$P103="Ум",P_OrgUd_2g_um,IF(Исходн.данные.!$P103="Об",P_OrgUd_2g_ob))</f>
        <v>0</v>
      </c>
      <c r="AN103" s="148" t="b">
        <f>IF(Исходн.данные.!$P103="Ум",K_OrgUd_2g_um,IF(Исходн.данные.!$P103="Об",K_OrgUd_2g_ob))</f>
        <v>0</v>
      </c>
      <c r="AO103" s="148" t="b">
        <f>IF(Исходн.данные.!$P103="Ум",N_OrgUd_1g_um,IF(Исходн.данные.!$P103="Об",N_OrgUd_1g_ob))</f>
        <v>0</v>
      </c>
      <c r="AP103" s="148" t="b">
        <f>IF(Исходн.данные.!$P103="Ум",P_OrgUd_1g_um,IF(Исходн.данные.!$P103="Об",P_OrgUd_1g_ob))</f>
        <v>0</v>
      </c>
      <c r="AQ103" s="148" t="b">
        <f>IF(Исходн.данные.!$P103="Ум",K_OrgUd_1g_um,IF(Исходн.данные.!$P103="Об",K_OrgUd_1g_ob))</f>
        <v>0</v>
      </c>
      <c r="AR103" t="b">
        <f>IF(Исходн.данные.!$P103="Ум",N_MinUd_2g_um,IF(Исходн.данные.!$P103="Об",N_MinUd_2g_ob))</f>
        <v>0</v>
      </c>
      <c r="AS103" t="b">
        <f>IF(Исходн.данные.!$P103="Ум",P_MinUd_2g_um,IF(Исходн.данные.!$P103="Об",P_MinUd_2g_ob))</f>
        <v>0</v>
      </c>
      <c r="AT103" t="b">
        <f>IF(Исходн.данные.!$P103="Ум",K_MinUd_2g_um,IF(Исходн.данные.!$P103="Об",K_MinUd_2g_ob))</f>
        <v>0</v>
      </c>
      <c r="AU103" t="b">
        <f>IF(Исходн.данные.!$P103="Ум",N_MinUd_1g_um,IF(Исходн.данные.!$P103="Об",N_MinUd_1g_ob))</f>
        <v>0</v>
      </c>
      <c r="AV103" t="b">
        <f>IF(Исходн.данные.!P103="Ум",P_MinUd_1g_um,IF(Исходн.данные.!P103="Об",P_MinUd_1g_ob))</f>
        <v>0</v>
      </c>
      <c r="AW103" t="b">
        <f>IF(Исходн.данные.!P103="Ум",K_MinUd_1g_um,IF(Исходн.данные.!P103="Об",K_MinUd_1g_ob))</f>
        <v>0</v>
      </c>
      <c r="AY103" t="e">
        <f>VLOOKUP(Исходн.данные.!T103,Справ!$A$3:$N$57,12)</f>
        <v>#N/A</v>
      </c>
      <c r="AZ103" t="e">
        <f>VLOOKUP(Исходн.данные.!T103,Справ!$A$3:$N$57,13)</f>
        <v>#N/A</v>
      </c>
      <c r="BA103" t="e">
        <f>VLOOKUP(Исходн.данные.!T103,Справ!$A$3:$N$57,14)</f>
        <v>#N/A</v>
      </c>
      <c r="BB103">
        <f>IF(Исходн.данные.!AH103=0,0,25)</f>
        <v>0</v>
      </c>
      <c r="BC103" s="141">
        <f>IF(Исходн.данные.!AH103=0,0,IF(Исходн.данные.!T103=0,25,BD103))</f>
        <v>0</v>
      </c>
      <c r="BD103" s="168" t="e">
        <f>AY103+AZ103*Исходн.данные.!U103-POWER(BA103,2)*Исходн.данные.!U103</f>
        <v>#N/A</v>
      </c>
      <c r="BE10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3" s="25">
        <f>IF(Исходн.данные.!AH103=0,0,MIN(HN103:HP103))</f>
        <v>0</v>
      </c>
      <c r="BG103" s="9">
        <f>IF(Исходн.данные.!AH103=0,0,IF((HO103+10*0.25/HG103/HL103)&lt;17,17,HO103+10*0.25/HG103/HL103))</f>
        <v>0</v>
      </c>
      <c r="BH103" s="181">
        <f>IF(Исходн.данные.!AH103=0,0,HW103*HF103*HL103/AU103*AI103+Исходн.данные.!S103*10)</f>
        <v>0</v>
      </c>
      <c r="BI103" s="10"/>
      <c r="BJ103" s="182">
        <f>IF(Исходн.данные.!AH103=0,0,IF(HX103*HG103*HL103/AV103&lt;0,0,HX103*HG103*HL103/AV103*AJ103))</f>
        <v>0</v>
      </c>
      <c r="BK103" s="182">
        <f>IF(Исходн.данные.!AH103=0,0,HY103*HH103*HM103/AW103)</f>
        <v>0</v>
      </c>
      <c r="BL103" s="10">
        <f>IF(OR(Исходн.данные.!$AH103=$BP$1,Исходн.данные.!$AH103=$BP$2),0,IF(BH103&lt;0,0,IF(OR(Исходн.данные.!T103=Расчет!$BP$1,Исходн.данные.!T103=Расчет!$BP$2,Исходн.данные.!T103=Расчет!$BT$5,Исходн.данные.!T103=Расчет!$BT$6),BH103*0.5,IF(OR(Исходн.данные.!T103=Расчет!$BS$9,Исходн.данные.!T103=Расчет!$BS$10,Исходн.данные.!T103=Расчет!$BS$11,Исходн.данные.!T103=Расчет!$BS$12,Исходн.данные.!T103=Расчет!$BP$5),BH103*0.8,BH103))))</f>
        <v>0</v>
      </c>
      <c r="BM103" s="10">
        <f>IF(OR(Исходн.данные.!$AH103=$BP$1,Исходн.данные.!$AH103=$BP$2),0,IF(BJ103&lt;0,0,IF(Исходн.данные.!I103&lt;4.5,BJ103*1.2,IF(Исходн.данные.!I103&gt;5.1,BJ103,BJ103*((5.1-Исходн.данные.!I103)*0.333+1)))))</f>
        <v>0</v>
      </c>
      <c r="BN103" s="10">
        <f>IF(OR(Исходн.данные.!$AH103=$BP$1,Исходн.данные.!$AH103=$BP$2),60-Исходн.данные.!AF103,IF(BK103&lt;0,0,IF(Исходн.данные.!I103&lt;4.5,BK103*1.2,IF(Исходн.данные.!I103&gt;5.1,BK103,BK103*((5.1-Исходн.данные.!I103)*0.333+1)))))</f>
        <v>0</v>
      </c>
      <c r="BO103" s="9">
        <f>IF(BL103&lt;0,0,BL103*Исходн.данные.!$AJ103/1000)</f>
        <v>0</v>
      </c>
      <c r="BP103" s="9">
        <f>IF(BM103&lt;0,0,BM103*Исходн.данные.!$AJ103/1000)</f>
        <v>0</v>
      </c>
      <c r="BQ103" s="9">
        <f>IF(BN103&lt;0,0,BN103*Исходн.данные.!$AJ103/1000)</f>
        <v>0</v>
      </c>
      <c r="BR103" s="9">
        <f t="shared" si="155"/>
        <v>0</v>
      </c>
      <c r="BS103" s="10" t="str">
        <f t="shared" si="156"/>
        <v>Аммофос 12:52:00</v>
      </c>
      <c r="BT103" s="10" t="str">
        <f t="shared" si="157"/>
        <v>Аммофос 12:52:00</v>
      </c>
      <c r="BU103" s="10" t="str">
        <f t="shared" si="158"/>
        <v>Диаммофоска</v>
      </c>
      <c r="BV103" s="10">
        <f t="shared" si="159"/>
        <v>0</v>
      </c>
      <c r="BW103" s="10"/>
      <c r="BX103" s="10"/>
      <c r="BY103" s="9">
        <f>IF(BL103&lt;0,0,IF(OR(Исходн.данные.!AI103=Расчет!$BU$6,Исходн.данные.!AI103=Расчет!$BU$7),Расчет!BV103,IF(Исходн.данные.!$AG103=$BV$11,BL103,IF(OR(Исходн.данные.!$AH103=$BQ$7,Исходн.данные.!$AH103=$BQ$8),CB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0,IF(Исходн.данные.!$AI103=$BU$11,"Нет",IF(BL103&gt;30,30,BL103)))))))</f>
        <v>0</v>
      </c>
      <c r="BZ103" s="9">
        <f>IF(AND(Исходн.данные.!$AG103=$BV$11,BM103&lt;10),10,IF(Исходн.данные.!$AG103=$BV$11,BM103,IF(OR(Исходн.данные.!$AH103=$BQ$7,Исходн.данные.!$AH103=$BQ$8),CC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10,IF(Исходн.данные.!$AI103=$BU$11,"Нет",IF(BM103&gt;60,60,IF(BM103&lt;10,10,BM103)))))))</f>
        <v>10</v>
      </c>
      <c r="CA103" s="39">
        <f>IF(BN103&lt;0,0,IF(Исходн.данные.!$AG103=$BV$11,BN103,IF(OR(Исходн.данные.!$AH103=$BQ$7,Исходн.данные.!$AH103=$BQ$8),CD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0,IF(Исходн.данные.!$AI103=$BU$11,"Нет",IF(BN103&gt;30,30,BN103))))))</f>
        <v>0</v>
      </c>
      <c r="CB103" s="9">
        <f t="shared" si="160"/>
        <v>0</v>
      </c>
      <c r="CC103" s="9">
        <f t="shared" si="161"/>
        <v>0</v>
      </c>
      <c r="CD103" s="9">
        <f t="shared" si="162"/>
        <v>0</v>
      </c>
      <c r="CE103" s="12">
        <f t="shared" si="163"/>
        <v>10</v>
      </c>
      <c r="CF103" s="9">
        <f t="shared" si="164"/>
        <v>0</v>
      </c>
      <c r="CG103" s="9" t="s">
        <v>231</v>
      </c>
      <c r="CH103" s="132" t="str">
        <f>IF(Исходн.данные.!AP103=Расчет!$CI$16,"Нет",IF(Исходн.данные.!AL103&gt;0,Исходн.данные.!AL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BH$4,IF(OR(Исходн.данные.!AI103=Исходн.данные.!$AI$6,Исходн.данные.!AI103=Исходн.данные.!$AI$7),Расчет!BS103,IF(AND($CF103=0,$CE103&gt;0),EV103,ER103)))))</f>
        <v>Аммофос 12:52:00</v>
      </c>
      <c r="CI103" s="274">
        <f>IF(Расчет!$CH103="Нет","Нет",IF(Исходн.данные.!$AL103&gt;0,VLOOKUP(Расчет!$CH103,АшламаДВ_Irekle,2,FALSE),VLOOKUP(Расчет!$CH103,АшламаДВ_Gomumy,2,FALSE)))</f>
        <v>0.12</v>
      </c>
      <c r="CJ103" s="274">
        <f>IF(Расчет!$CH103="Нет","Нет",IF(Исходн.данные.!$AL103&gt;0,VLOOKUP(Расчет!$CH103,АшламаДВ_Irekle,3,FALSE),VLOOKUP(Расчет!$CH103,АшламаДВ_Gomumy,3,FALSE)))</f>
        <v>0.52</v>
      </c>
      <c r="CK103" s="274">
        <f>IF(Расчет!$CH103="Нет","Нет",IF(Исходн.данные.!$AL103&gt;0,VLOOKUP(Расчет!$CH103,АшламаДВ_Irekle,4,FALSE),VLOOKUP(Расчет!$CH103,АшламаДВ_Gomumy,4,FALSE)))</f>
        <v>0</v>
      </c>
      <c r="CL103" s="70"/>
      <c r="CM103" s="70"/>
      <c r="CN103" s="70"/>
      <c r="CO103" s="70"/>
      <c r="CP103" s="70"/>
      <c r="CQ103" s="70"/>
      <c r="CR103" s="10">
        <f t="shared" si="165"/>
        <v>0</v>
      </c>
      <c r="CS103" s="10">
        <f t="shared" si="166"/>
        <v>19.23076923076923</v>
      </c>
      <c r="CT103" s="10">
        <f t="shared" si="167"/>
        <v>0</v>
      </c>
      <c r="CU103" s="39">
        <f>IF($CH103="Нет",0,IF(CI103=0,30/MIN(CJ103:CK103),IF(Исходн.данные.!$AG103=$BV$11,CR103,IF(OR(Исходн.данные.!$AH103=$BQ$7,Исходн.данные.!$AH103=$BQ$8),90/CI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0,IF(Исходн.данные.!$AI103=$BU$11,"Нет",30/CI103))))))</f>
        <v>250</v>
      </c>
      <c r="CV103" s="39">
        <f>IF($CH103="Нет",0,IF(Исходн.данные.!AH103=0,0,IF(CJ103=0,60/MIN(CI103,CK103),IF(Исходн.данные.!$AG103=$BV$11,CS103,IF(OR(Исходн.данные.!$AH103=$BQ$7,Исходн.данные.!$AH103=$BQ$8),90/CJ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10/CJ103,IF(Исходн.данные.!$AI103=$BU$11,"Нет",60/CJ103)))))))</f>
        <v>0</v>
      </c>
      <c r="CW103" s="39">
        <f>IF($CH103="Нет",0,IF(Исходн.данные.!AH103=0,0,IF(CK103=0,30/MIN(CI103:CJ103),IF(Исходн.данные.!$AG103=$BV$11,CT103,IF(OR(Исходн.данные.!$AH103=$BQ$7,Исходн.данные.!$AH103=$BQ$8),90/CK103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0,IF(Исходн.данные.!$AI103=$BU$11,"Нет",30/CK103)))))))</f>
        <v>0</v>
      </c>
      <c r="CX103" s="133">
        <f>IF(Исходн.данные.!$AG103=$BV$11,MAX(CU103:CW103),IF(OR(Исходн.данные.!$AH103=$BS$8,Исходн.данные.!$AH103=$BQ$9,Исходн.данные.!$AH103=$BQ$10,Исходн.данные.!$AH103=$BQ$11,Исходн.данные.!$AH103=$BQ$12,Исходн.данные.!$AH103=$BP$3,Исходн.данные.!$AH103=$BT$8,$FM103="Да"),CV103,MIN(CU103:CW103)))</f>
        <v>0</v>
      </c>
      <c r="CY103" s="133">
        <f>IF(Исходн.данные.!AH103=0,0,IF(CR103&gt;$CX103,$CX103,CR103))</f>
        <v>0</v>
      </c>
      <c r="CZ103" s="133">
        <f>IF(Исходн.данные.!AH103=0,0,IF(CS103&gt;$CX103,$CX103,CS103))</f>
        <v>0</v>
      </c>
      <c r="DA103" s="133">
        <f>IF(Исходн.данные.!AH103=0,0,IF(CT103&gt;$CX103,$CX103,CT103))</f>
        <v>0</v>
      </c>
      <c r="DB103" s="10">
        <f t="shared" si="168"/>
        <v>0</v>
      </c>
      <c r="DC103" s="39">
        <f>DB103*Исходн.данные.!AJ103/1000</f>
        <v>0</v>
      </c>
      <c r="DD103" s="71">
        <f t="shared" si="169"/>
        <v>0</v>
      </c>
      <c r="DE103" s="9">
        <f t="shared" si="170"/>
        <v>0</v>
      </c>
      <c r="DF103" s="9">
        <f t="shared" si="171"/>
        <v>0</v>
      </c>
      <c r="DG103" s="39">
        <f>IF(BL103&lt;0,0,IF($CH103="Нет",BL103,IF(OR(Исходн.данные.!$AH103=$BP$1,Исходн.данные.!$AH103=$BP$2),0,IF(Исходн.данные.!AI103=$BU$11,BL103,IF(BL103-DD103&lt;0,0,BL103-DD103)))))</f>
        <v>0</v>
      </c>
      <c r="DH103" s="39">
        <f>IF(BM103&lt;0,0,IF($CH103="Нет",BM103,IF(OR(Исходн.данные.!$AH103=$BP$1,Исходн.данные.!$AH103=$BP$2),0,IF(Исходн.данные.!AJ103=$BU$11,BM103,IF(BM103-DE103&lt;0,0,BM103-DE103)))))</f>
        <v>0</v>
      </c>
      <c r="DI103" s="39">
        <f>IF(BN103&lt;0,0,IF($CH103="Нет",BN103,IF(OR(Исходн.данные.!$AH103=$BP$1,Исходн.данные.!$AH103=$BP$2),0,IF(Исходн.данные.!AK103=$BU$11,BN103,IF(BN103-DF103&lt;0,0,BN103-DF103)))))</f>
        <v>0</v>
      </c>
      <c r="DJ103" s="12">
        <f t="shared" si="172"/>
        <v>0</v>
      </c>
      <c r="DK103" s="9">
        <f t="shared" si="173"/>
        <v>0</v>
      </c>
      <c r="DL103" s="39">
        <f>IF(Исходн.данные.!AM103&gt;0,Исходн.данные.!AM103,IF(EG103&gt;0,$BH$10,0))</f>
        <v>0</v>
      </c>
      <c r="DM103" s="186">
        <f>IF($DL103=0,0,IF(Исходн.данные.!AM103&gt;0,VLOOKUP($DL103,АшламаДВ_Irekle,2,FALSE),VLOOKUP($DL103,АшламаДВ_Gomumy,2,FALSE)))</f>
        <v>0</v>
      </c>
      <c r="DN103" s="10">
        <f t="shared" si="151"/>
        <v>0</v>
      </c>
      <c r="DO103" s="9" t="str">
        <f>IF(Исходн.данные.!AN103&gt;0,Исходн.данные.!AN103,Удобрения!$B$37 )</f>
        <v>Хлор.калий</v>
      </c>
      <c r="DP103" s="9">
        <f>IF(Исходн.данные.!AN103&gt;0,VLOOKUP(Исходн.данные.!AN103,АшламаДВ_Irekle,4,FALSE),VLOOKUP(DO103,АшламаДВ_Gomumy,4,FALSE))</f>
        <v>0.6</v>
      </c>
      <c r="DQ103" s="10">
        <f t="shared" si="152"/>
        <v>0</v>
      </c>
      <c r="DR103" s="132" t="str">
        <f>IF(Исходн.данные.!AO103&gt;0,Исходн.данные.!AO103,IF(DH103=0,BS$17,IF(AND($DK103=0,$DJ103&gt;0),EJ103,EN103)))</f>
        <v>Нет</v>
      </c>
      <c r="DS103" s="70" t="str">
        <f>IF($DR103="Нет","Нет",IF(Исходн.данные.!$AO103&gt;0,VLOOKUP($DR103,АшламаДВ_Irekle,2,FALSE),VLOOKUP($DR103,АшламаДВ_Gomumy,2,FALSE)))</f>
        <v>Нет</v>
      </c>
      <c r="DT103" s="70" t="str">
        <f>IF($DR103="Нет","Нет",IF(Исходн.данные.!$AO103&gt;0,VLOOKUP($DR103,АшламаДВ_Irekle,3,FALSE),VLOOKUP($DR103,АшламаДВ_Gomumy,3,FALSE)))</f>
        <v>Нет</v>
      </c>
      <c r="DU103" s="70" t="str">
        <f>IF($DR103="Нет","Нет",IF(Исходн.данные.!$AO103&gt;0,VLOOKUP($DR103,АшламаДВ_Irekle,4,FALSE),VLOOKUP($DR103,АшламаДВ_Gomumy,4,FALSE)))</f>
        <v>Нет</v>
      </c>
      <c r="DV103" s="70"/>
      <c r="DW103" s="70"/>
      <c r="DX103" s="70"/>
      <c r="DY103" s="10">
        <f t="shared" si="174"/>
        <v>0</v>
      </c>
      <c r="DZ103" s="10">
        <f t="shared" si="175"/>
        <v>0</v>
      </c>
      <c r="EA103" s="10">
        <f t="shared" si="176"/>
        <v>0</v>
      </c>
      <c r="EB103" s="10">
        <f t="shared" si="177"/>
        <v>0</v>
      </c>
      <c r="EC103" s="10">
        <f t="shared" si="178"/>
        <v>0</v>
      </c>
      <c r="ED103" s="10">
        <f t="shared" si="179"/>
        <v>0</v>
      </c>
      <c r="EE103" s="10">
        <f t="shared" si="180"/>
        <v>0</v>
      </c>
      <c r="EF103" s="39">
        <f>EB103*Исходн.данные.!AJ103/1000</f>
        <v>0</v>
      </c>
      <c r="EG103" s="9">
        <f t="shared" si="181"/>
        <v>0</v>
      </c>
      <c r="EH103" s="9">
        <f t="shared" si="182"/>
        <v>0</v>
      </c>
      <c r="EI103" s="39" t="e">
        <f t="shared" si="132"/>
        <v>#DIV/0!</v>
      </c>
      <c r="EJ103" s="9" t="str">
        <f t="shared" si="153"/>
        <v>Азопреципитат</v>
      </c>
      <c r="EK103" s="12">
        <f t="shared" si="133"/>
        <v>0.26</v>
      </c>
      <c r="EL103" s="12">
        <f t="shared" si="134"/>
        <v>0.13</v>
      </c>
      <c r="EM103" s="12">
        <f t="shared" si="135"/>
        <v>0</v>
      </c>
      <c r="EN103" s="12" t="str">
        <f t="shared" si="154"/>
        <v>Нет</v>
      </c>
      <c r="EO103" s="12">
        <f t="shared" si="136"/>
        <v>0</v>
      </c>
      <c r="EP103" s="12">
        <f t="shared" si="137"/>
        <v>0</v>
      </c>
      <c r="EQ103" s="12">
        <f t="shared" si="138"/>
        <v>0</v>
      </c>
      <c r="ER103" s="12" t="str">
        <f t="shared" si="183"/>
        <v>Диаммофоска</v>
      </c>
      <c r="ES103" s="12">
        <f t="shared" si="139"/>
        <v>0.1</v>
      </c>
      <c r="ET103" s="12">
        <f t="shared" si="140"/>
        <v>0.26</v>
      </c>
      <c r="EU103" s="12">
        <f t="shared" si="141"/>
        <v>0.26</v>
      </c>
      <c r="EV103" s="12" t="str">
        <f t="shared" si="184"/>
        <v>Аммофос 12:52:00</v>
      </c>
      <c r="EW103" s="12" t="str">
        <f t="shared" si="185"/>
        <v>Кемира Свекловичное-6</v>
      </c>
      <c r="EX103" s="12">
        <f t="shared" si="142"/>
        <v>0.16</v>
      </c>
      <c r="EY103" s="12">
        <f t="shared" si="143"/>
        <v>0.12</v>
      </c>
      <c r="EZ103" s="12">
        <f t="shared" si="144"/>
        <v>0.17</v>
      </c>
      <c r="FA103" s="38" t="e">
        <f>IF(AND(OR(FJ103=$FD$1,FM103=$FD$1,FO103=$FD$1,FQ103=$FD$1,FS103=$FD$1),FD103=$FD$1,Исходн.данные.!J103&lt;2,FU103=$FD$1),"Бор,Кобальт",IF(AND(FO103=$FD$1,FH103=$FD$1,Исходн.данные.!J103&lt;2,FU103=$FD$1),"Бор,Кобальт",IF(AND(OR(FJ103=$FD$1,FM103=$FD$1,FQ103=$FD$1),FE103=$FD$1,Исходн.данные.!J103&lt;2,FT103=$FD$1,FU103=$FD$1),"Бор,Медь,Цинк",IF(AND(OR(FJ103=$FD$1,FR103="Да"),FI103="Да",Исходн.данные.!J103&lt;2,FT103="Да",FU103="Да"),"Бор,Цинк,Медь",IF(AND(OR(FM103="Да",FQ103="Да"),FI103="Да",Исходн.данные.!J103&lt;2,FT103="Да",FU103="Да"),"Бор,Цинк",IF(AND(FN103="Да",OR(FD103="Да",FE103="Да")),"Бор",FB103))))))</f>
        <v>#N/A</v>
      </c>
      <c r="FB103" s="134" t="e">
        <f>IF(AND(OR(FD103="Да",FE103="Да",FF103="Да",FG103="Да",FH103="Да"),FO103="Да"),"Бор",IF(AND(FP103="Да",OR(FD103="Да",FE103="Да",FI103="Да")),"Бор",IF(AND(FS103="Да",FE103="Да"),"Бор,Медь",IF(AND(OR(FJ103="Да",FK103="Да",FL103="Да"),FE103="Да",Исходн.данные.!I103&lt;5,FT103="Да",FU103="Да"),"Молибден,Цинк",IF(AND(FM103="Да",OR(FE103="Да",FF103="Да",FG103="Да",FH103="Да",FI103="Да")),"Молибден,Цинк",IF(AND(OR(FJ103="Да",FK103="Да",FL103="Да",FM103="Да",FQ103="Да"),OR(FE103="Да",FF103="Да"),FT103="Да",FU103="Да",Исходн.данные.!I103&gt;5.5),"Медь,Цинк",FC103))))))</f>
        <v>#N/A</v>
      </c>
      <c r="FC103" s="23" t="e">
        <f t="shared" si="186"/>
        <v>#N/A</v>
      </c>
      <c r="FD103" s="38" t="str">
        <f>IF(OR(Исходн.данные.!F103=$CC$1,Исходн.данные.!F103=$CC$2,Исходн.данные.!F103=$CC$3,Исходн.данные.!F103=$CC$4),"Да","Нет")</f>
        <v>Нет</v>
      </c>
      <c r="FE103" s="38" t="str">
        <f>IF(Исходн.данные.!F103=$CC$5,"Да","Нет")</f>
        <v>Нет</v>
      </c>
      <c r="FF103" s="38" t="str">
        <f>IF(OR(Исходн.данные.!F103=$CC$6,Исходн.данные.!F103=$CC$7),"Да","Нет")</f>
        <v>Нет</v>
      </c>
      <c r="FG103" s="38" t="str">
        <f>IF(OR(Исходн.данные.!F103=$CC$8,Исходн.данные.!F103=$CC$9),"Да","Нет")</f>
        <v>Нет</v>
      </c>
      <c r="FH103" s="38" t="str">
        <f>IF(Исходн.данные.!F103=$CC$10,"Да","Нет")</f>
        <v>Нет</v>
      </c>
      <c r="FI103" s="38" t="str">
        <f>IF(OR(Исходн.данные.!F103=$CC$11,Исходн.данные.!F103=$CC$12),"Да","Нет")</f>
        <v>Нет</v>
      </c>
      <c r="FJ103" s="38" t="str">
        <f>IF(OR(Исходн.данные.!AH103=$BS$1,Исходн.данные.!AH103=$BQ$11,Исходн.данные.!AH103=$BQ$12),"Да","Нет")</f>
        <v>Нет</v>
      </c>
      <c r="FK103" s="38" t="str">
        <f>IF(OR(Исходн.данные.!AH103=$BS$2,Исходн.данные.!AH103=$BS$4),"Да","Нет")</f>
        <v>Нет</v>
      </c>
      <c r="FL103" s="38" t="str">
        <f>IF(OR(Исходн.данные.!AH103=$BS$3,Исходн.данные.!AH103=$BS$5),"Да","Нет")</f>
        <v>Нет</v>
      </c>
      <c r="FM103" s="38" t="str">
        <f>IF(OR(Исходн.данные.!AH103=$BS$9,Исходн.данные.!AH103=$BS$10,Исходн.данные.!AH103=$BS$11,Исходн.данные.!AH103=$BS$12),"Да","Нет")</f>
        <v>Нет</v>
      </c>
      <c r="FN103" s="38" t="str">
        <f>IF(OR(Исходн.данные.!AH103=$BS$6,Исходн.данные.!AH103=$BP$3),"Да","Нет")</f>
        <v>Нет</v>
      </c>
      <c r="FO103" s="38" t="str">
        <f>IF(Исходн.данные.!AH103=$BQ$9,"Да","Нет")</f>
        <v>Нет</v>
      </c>
      <c r="FP103" s="38" t="str">
        <f>IF(OR(Исходн.данные.!AH103=$BS$8,Исходн.данные.!AH103=$BT$8),"Да","Нет")</f>
        <v>Нет</v>
      </c>
      <c r="FQ103" s="38" t="str">
        <f>IF(OR(Исходн.данные.!AH103=$BQ$7,Исходн.данные.!AH103=$BQ$8),"Да","Нет")</f>
        <v>Нет</v>
      </c>
      <c r="FR103" s="38" t="str">
        <f>IF(Исходн.данные.!AI103=$BU$9,"Да","Нет")</f>
        <v>Нет</v>
      </c>
      <c r="FS103" s="38" t="str">
        <f>IF(OR(Исходн.данные.!AH103=$BP$1,Исходн.данные.!AH103=$BP$2),"Да","Нет")</f>
        <v>Нет</v>
      </c>
      <c r="FT103" s="38" t="e">
        <f>IF((Исходн.данные.!K103*GO103*GS103*GW103+BL103*0.6+Исходн.данные.!Q103*4.5*0.275)&gt;90,"Да","Нет")</f>
        <v>#N/A</v>
      </c>
      <c r="FU103" s="38" t="e">
        <f>IF((Исходн.данные.!M103*GS103*GZ103+BM103*0.225)&gt;35,"Да","Нет")</f>
        <v>#N/A</v>
      </c>
      <c r="FV103" s="38" t="str">
        <f>IF(Исходн.данные.!O103&gt;175,"Да","Нет")</f>
        <v>Нет</v>
      </c>
      <c r="FW103" s="39" t="str">
        <f>IF(Исходн.данные.!I103&gt;5.5,"Да","Нет")</f>
        <v>Нет</v>
      </c>
      <c r="FX103" s="39" t="str">
        <f>IF(Исходн.данные.!J103&lt;2,"Да","Нет")</f>
        <v>Да</v>
      </c>
      <c r="FY103" s="39" t="e">
        <f>IF(HF103=$FY$16,0,Исходн.данные.!K103*GO103*GS103*GW103/HF103)</f>
        <v>#N/A</v>
      </c>
      <c r="FZ103" s="39" t="e">
        <f>Исходн.данные.!M103*GS103*GZ103/HG103</f>
        <v>#N/A</v>
      </c>
      <c r="GA103" s="39" t="e">
        <f>IF(K_Wyn=$FY$16,0,IF(Исходн.данные.!N103=Исходн.данные.!$L$10,Исходн.данные.!O103/1.1*GS103*HC103/HH103,IF(Исходн.данные.!N103=Исходн.данные.!$L$12,Исходн.данные.!O103/1.5*GS103*HC103/HH103,Исходн.данные.!O103*GS103*HC103/HH103)))</f>
        <v>#N/A</v>
      </c>
      <c r="GB103" s="39" t="e">
        <f>IF(HF103=$FY$16,0,((Исходн.данные.!Q103*N_Org+Исходн.данные.!R103*N_Sider+Исходн.данные.!S103*N_Soloma)*AO103+Расчет!BC103*VLOOKUP(Исходн.данные.!T103,Справ!$A$3:$O$57,15)*AO103+BB103*VLOOKUP(Исходн.данные.!T103,Справ!$A$3:$O$57,15)*AL103+(Исходн.данные.!V103*N_Rizotorf+Исходн.данные.!W103*N_Rizoagr))/HF103)</f>
        <v>#N/A</v>
      </c>
      <c r="GC103" s="39" t="e">
        <f>IF(HG103=$FY$16,0,((Исходн.данные.!Q103*Р_Org+Исходн.данные.!R103*P_Sider+Исходн.данные.!S103*P_Soloma)*AP103+Расчет!BC103*VLOOKUP(Исходн.данные.!T103,Справ!$A$3:$P$57,16)*AP103+BB103*VLOOKUP(Исходн.данные.!T103,Справ!$A$3:$P$57,16)*AM103)/HG103)</f>
        <v>#N/A</v>
      </c>
      <c r="GD103" s="39" t="e">
        <f>IF(HH103=$FY$16,0,((Исходн.данные.!Q103*К_Org+Исходн.данные.!R103*K_Sider+Исходн.данные.!S103*K_Soloma)*AQ103+Расчет!BC103*VLOOKUP(Исходн.данные.!T103,Справ!$A$3:$Q$57,17)*AQ103+BB103*VLOOKUP(Исходн.данные.!T103,Справ!$A$3:$Q$57,17)*AN103)/HH103)</f>
        <v>#N/A</v>
      </c>
      <c r="GE103" s="39" t="e">
        <f>IF(HF103=$FY$16,0,(Исходн.данные.!X103*AR103+Исходн.данные.!AA103*N_Org*AL103+Исходн.данные.!AB103*N_Sider*AL103+Исходн.данные.!AC103*N_Soloma*AL103)/HF103)</f>
        <v>#N/A</v>
      </c>
      <c r="GF103" s="39" t="e">
        <f>IF(HG103=$FY$16,0,(Исходн.данные.!Y103*AS103+Исходн.данные.!AA103*Р_Org*AM103+Исходн.данные.!AB103*P_Sider*AM103+Исходн.данные.!AC103*P_Soloma*AM103)/HG103)</f>
        <v>#N/A</v>
      </c>
      <c r="GG103" s="39" t="e">
        <f>IF(HH103=$FY$16,0,(Исходн.данные.!Z103*AT103+Исходн.данные.!AA103*К_Org*AN103+Исходн.данные.!AB103*K_Sider*AN103+Исходн.данные.!AC103*K_Soloma*AN103)/HH103)</f>
        <v>#N/A</v>
      </c>
      <c r="GH103" s="39" t="e">
        <f>Исходн.данные.!AD103*AU103/HF103</f>
        <v>#N/A</v>
      </c>
      <c r="GI103" s="39" t="e">
        <f>Исходн.данные.!AE103*AV103/HG103</f>
        <v>#N/A</v>
      </c>
      <c r="GJ103" s="39" t="e">
        <f>Исходн.данные.!AF103*AW103/HH103</f>
        <v>#N/A</v>
      </c>
      <c r="GK103" s="55">
        <f>Исходн.данные.!AK103</f>
        <v>0</v>
      </c>
      <c r="GL103" s="11" t="e">
        <f t="shared" si="187"/>
        <v>#N/A</v>
      </c>
      <c r="GM103" s="11" t="e">
        <f t="shared" si="188"/>
        <v>#N/A</v>
      </c>
      <c r="GN103" s="11" t="e">
        <f t="shared" si="189"/>
        <v>#N/A</v>
      </c>
      <c r="GO103" s="57">
        <f t="shared" si="190"/>
        <v>19</v>
      </c>
      <c r="GP103" s="55">
        <f>IF(OR(Исходн.данные.!F103=$CE$1,Исходн.данные.!F103=$CE$2,Исходн.данные.!F103=$CE$3,Исходн.данные.!F103=$CE$4,Исходн.данные.!F103=$CE$5),GQ103,GR103)</f>
        <v>19</v>
      </c>
      <c r="GQ103" s="55">
        <f>IF(Исходн.данные.!F103=$CE$1,28,IF(Исходн.данные.!F103=$CE$2,26,IF(Исходн.данные.!F103=$CE$3,24,IF(Исходн.данные.!F103=$CE$4,22,IF(Исходн.данные.!F103=$CE$5,20,GR103)))))</f>
        <v>19</v>
      </c>
      <c r="GR103" s="55">
        <f>IF(Исходн.данные.!F103=$CE$6,18,IF(Исходн.данные.!F103=$CE$7,16,IF(Исходн.данные.!F103=$CE$8,14,IF(Исходн.данные.!F103=$CE$9,13,IF(Исходн.данные.!F103=$CE$10,12,19)))))</f>
        <v>19</v>
      </c>
      <c r="GS103" s="55">
        <f>IF(Исходн.данные.!G103="Пес",0.035*(40+2*Исходн.данные.!H103),IF(Исходн.данные.!G103="Суп",0.0325*(40+2*Исходн.данные.!H103),0.03*(40+2*Исходн.данные.!H103)))</f>
        <v>1.2</v>
      </c>
      <c r="GT103" s="55">
        <f>IF(Исходн.данные.!H103&lt;23,2.6,IF(AND(Исходн.данные.!H103&gt;22,Исходн.данные.!H103&lt;26),3,IF(AND(Исходн.данные.!H103&gt;25,Исходн.данные.!H103&lt;29),3.4,3.6)))</f>
        <v>2.6</v>
      </c>
      <c r="GU103" s="55">
        <f>IF(Исходн.данные.!H103&lt;23,2.8,IF(AND(Исходн.данные.!H103&gt;22,Исходн.данные.!H103&lt;26),3.2,IF(AND(Исходн.данные.!H103&gt;25,Исходн.данные.!H103&lt;29),3.6,3.9)))</f>
        <v>2.8</v>
      </c>
      <c r="GV103" s="55">
        <f>IF(Исходн.данные.!H103&lt;23,3,IF(AND(Исходн.данные.!H103&gt;22,Исходн.данные.!H103&lt;26),3.5,IF(AND(Исходн.данные.!H103&gt;25,Исходн.данные.!H103&lt;29),3.9,4.2)))</f>
        <v>3</v>
      </c>
      <c r="GW103" s="55" t="e">
        <f>IF(Исходн.данные.!P103="Ум",GX103,GY103)</f>
        <v>#N/A</v>
      </c>
      <c r="GX103" s="55" t="e">
        <f>VLOOKUP(Исходн.данные.!AI103,Коэффициенты!$J$7:$L$13,2,FALSE)</f>
        <v>#N/A</v>
      </c>
      <c r="GY103" s="55" t="e">
        <f>VLOOKUP(Исходн.данные.!AI103,Коэффициенты!$J$7:$L$13,3,FALSE)</f>
        <v>#N/A</v>
      </c>
      <c r="GZ103" s="55" t="e">
        <f>(IF(Исходн.данные.!M103&lt;50,0.11*VLOOKUP(Исходн.данные.!AH103,Культуры.Информация,7,FALSE),IF(Исходн.данные.!M103&gt;250,0.05*VLOOKUP(Исходн.данные.!AH103,Культуры.Информация,7,FALSE),VLOOKUP(Исходн.данные.!AH103,Культуры.Информация,5,FALSE)/100*($GX$6+$GY$6*Исходн.данные.!M103))))*Расчет2!AI103</f>
        <v>#N/A</v>
      </c>
      <c r="HA103" s="211"/>
      <c r="HB103" s="211"/>
      <c r="HC103" s="55" t="e">
        <f>(IF(Исходн.данные.!O103&lt;80,0.2*VLOOKUP(Исходн.данные.!AH103,Культуры.Информация,8,FALSE),IF(Исходн.данные.!O103&gt;240,0.09*VLOOKUP(Исходн.данные.!AH103,Культуры.Информация,8,FALSE),VLOOKUP(Исходн.данные.!AH103,Культуры.Информация,6,FALSE)/100*($HB$6+$HC$6*Исходн.данные.!O103))))*Расчет2!AJ103</f>
        <v>#N/A</v>
      </c>
      <c r="HD103" s="55">
        <f>IF(Исходн.данные.!O103&gt;240,0.09,IF(Исходн.данные.!O103&lt;30,0.3,$HE$10+$HD$10*Исходн.данные.!O103))</f>
        <v>0.3</v>
      </c>
      <c r="HE103" s="55">
        <f>IF(Исходн.данные.!O103&gt;240,0.17,IF(Исходн.данные.!O103&lt;30,0.5,$HF$12+$HE$12*Исходн.данные.!O103))</f>
        <v>0.5</v>
      </c>
      <c r="HF103" s="55" t="e">
        <f>VLOOKUP(Исходн.данные.!AH103,Справ!$A$3:$D$58,2,FALSE)</f>
        <v>#N/A</v>
      </c>
      <c r="HG103" s="55" t="e">
        <f>VLOOKUP(Исходн.данные.!AH103,Справ!$A$3:$D$58,3,FALSE)</f>
        <v>#N/A</v>
      </c>
      <c r="HH103" s="55" t="e">
        <f>VLOOKUP(Исходн.данные.!AH103,Справ!$A$3:$D$58,4,FALSE)</f>
        <v>#N/A</v>
      </c>
      <c r="HI103" s="11" t="e">
        <f t="shared" si="191"/>
        <v>#N/A</v>
      </c>
      <c r="HJ103" s="11" t="e">
        <f t="shared" si="192"/>
        <v>#N/A</v>
      </c>
      <c r="HK103" s="11" t="e">
        <f t="shared" si="193"/>
        <v>#N/A</v>
      </c>
      <c r="HL103" s="55">
        <f>IF(OR(Исходн.данные.!G103="Глин",Исходн.данные.!G103="Т_суг"),1.1,IF(Исходн.данные.!G103="Ср_суг",1,1))</f>
        <v>1</v>
      </c>
      <c r="HM103" s="55">
        <f>IF(OR(Исходн.данные.!G103="Глин",Исходн.данные.!G103="Т_суг"),0.9,IF(Исходн.данные.!G103="Ср_суг",1,1.2))</f>
        <v>1.2</v>
      </c>
      <c r="HN103" s="11" t="e">
        <f t="shared" si="194"/>
        <v>#N/A</v>
      </c>
      <c r="HO103" s="11" t="e">
        <f t="shared" si="195"/>
        <v>#N/A</v>
      </c>
      <c r="HP103" s="11" t="e">
        <f t="shared" si="196"/>
        <v>#N/A</v>
      </c>
      <c r="HQ103" t="e">
        <f t="shared" si="197"/>
        <v>#N/A</v>
      </c>
      <c r="HR103" t="e">
        <f t="shared" si="198"/>
        <v>#N/A</v>
      </c>
      <c r="HS103" t="e">
        <f t="shared" si="199"/>
        <v>#N/A</v>
      </c>
      <c r="HT103" t="e">
        <f t="shared" si="145"/>
        <v>#N/A</v>
      </c>
      <c r="HU103" t="e">
        <f t="shared" si="146"/>
        <v>#N/A</v>
      </c>
      <c r="HV103" t="e">
        <f t="shared" si="147"/>
        <v>#N/A</v>
      </c>
      <c r="HW103" t="e">
        <f t="shared" si="148"/>
        <v>#N/A</v>
      </c>
      <c r="HX103" t="e">
        <f t="shared" si="149"/>
        <v>#N/A</v>
      </c>
      <c r="HY103" t="e">
        <f t="shared" si="150"/>
        <v>#N/A</v>
      </c>
      <c r="HZ103" s="55">
        <f>IF(OR(Исходн.данные.!AI103="Оз_Ч_П",Исходн.данные.!AI103="Оз_З_П",Исходн.данные.!AI103="Яр_зер"),12,30)</f>
        <v>30</v>
      </c>
      <c r="IA103" t="e">
        <f t="shared" si="200"/>
        <v>#N/A</v>
      </c>
      <c r="IB103" t="e">
        <f t="shared" si="201"/>
        <v>#N/A</v>
      </c>
      <c r="IC103" t="e">
        <f t="shared" si="202"/>
        <v>#N/A</v>
      </c>
      <c r="ID103" s="11" t="e">
        <f t="shared" si="203"/>
        <v>#N/A</v>
      </c>
      <c r="IE103" s="11" t="e">
        <f t="shared" si="204"/>
        <v>#N/A</v>
      </c>
      <c r="IF103" s="11" t="e">
        <f t="shared" si="205"/>
        <v>#N/A</v>
      </c>
    </row>
    <row r="104" spans="35:240" x14ac:dyDescent="0.2">
      <c r="AI104">
        <f>IF(Исходн.данные.!I104&gt;6,1,1.85-(0.148*Исходн.данные.!I104))</f>
        <v>1.85</v>
      </c>
      <c r="AJ104">
        <f>IF(Исходн.данные.!I104&gt;6,1,2.434-(0.246*Исходн.данные.!I104))</f>
        <v>2.4340000000000002</v>
      </c>
      <c r="AL104" s="148" t="b">
        <f>IF(Исходн.данные.!$P104="Ум",N_OrgUd_2g_um,IF(Исходн.данные.!$P104="Об",N_OrgUd_2g_ob))</f>
        <v>0</v>
      </c>
      <c r="AM104" s="148" t="b">
        <f>IF(Исходн.данные.!$P104="Ум",P_OrgUd_2g_um,IF(Исходн.данные.!$P104="Об",P_OrgUd_2g_ob))</f>
        <v>0</v>
      </c>
      <c r="AN104" s="148" t="b">
        <f>IF(Исходн.данные.!$P104="Ум",K_OrgUd_2g_um,IF(Исходн.данные.!$P104="Об",K_OrgUd_2g_ob))</f>
        <v>0</v>
      </c>
      <c r="AO104" s="148" t="b">
        <f>IF(Исходн.данные.!$P104="Ум",N_OrgUd_1g_um,IF(Исходн.данные.!$P104="Об",N_OrgUd_1g_ob))</f>
        <v>0</v>
      </c>
      <c r="AP104" s="148" t="b">
        <f>IF(Исходн.данные.!$P104="Ум",P_OrgUd_1g_um,IF(Исходн.данные.!$P104="Об",P_OrgUd_1g_ob))</f>
        <v>0</v>
      </c>
      <c r="AQ104" s="148" t="b">
        <f>IF(Исходн.данные.!$P104="Ум",K_OrgUd_1g_um,IF(Исходн.данные.!$P104="Об",K_OrgUd_1g_ob))</f>
        <v>0</v>
      </c>
      <c r="AR104" t="b">
        <f>IF(Исходн.данные.!$P104="Ум",N_MinUd_2g_um,IF(Исходн.данные.!$P104="Об",N_MinUd_2g_ob))</f>
        <v>0</v>
      </c>
      <c r="AS104" t="b">
        <f>IF(Исходн.данные.!$P104="Ум",P_MinUd_2g_um,IF(Исходн.данные.!$P104="Об",P_MinUd_2g_ob))</f>
        <v>0</v>
      </c>
      <c r="AT104" t="b">
        <f>IF(Исходн.данные.!$P104="Ум",K_MinUd_2g_um,IF(Исходн.данные.!$P104="Об",K_MinUd_2g_ob))</f>
        <v>0</v>
      </c>
      <c r="AU104" t="b">
        <f>IF(Исходн.данные.!$P104="Ум",N_MinUd_1g_um,IF(Исходн.данные.!$P104="Об",N_MinUd_1g_ob))</f>
        <v>0</v>
      </c>
      <c r="AV104" t="b">
        <f>IF(Исходн.данные.!P104="Ум",P_MinUd_1g_um,IF(Исходн.данные.!P104="Об",P_MinUd_1g_ob))</f>
        <v>0</v>
      </c>
      <c r="AW104" t="b">
        <f>IF(Исходн.данные.!P104="Ум",K_MinUd_1g_um,IF(Исходн.данные.!P104="Об",K_MinUd_1g_ob))</f>
        <v>0</v>
      </c>
      <c r="AY104" t="e">
        <f>VLOOKUP(Исходн.данные.!T104,Справ!$A$3:$N$57,12)</f>
        <v>#N/A</v>
      </c>
      <c r="AZ104" t="e">
        <f>VLOOKUP(Исходн.данные.!T104,Справ!$A$3:$N$57,13)</f>
        <v>#N/A</v>
      </c>
      <c r="BA104" t="e">
        <f>VLOOKUP(Исходн.данные.!T104,Справ!$A$3:$N$57,14)</f>
        <v>#N/A</v>
      </c>
      <c r="BB104">
        <f>IF(Исходн.данные.!AH104=0,0,25)</f>
        <v>0</v>
      </c>
      <c r="BC104" s="141">
        <f>IF(Исходн.данные.!AH104=0,0,IF(Исходн.данные.!T104=0,25,BD104))</f>
        <v>0</v>
      </c>
      <c r="BD104" s="168" t="e">
        <f>AY104+AZ104*Исходн.данные.!U104-POWER(BA104,2)*Исходн.данные.!U104</f>
        <v>#N/A</v>
      </c>
      <c r="BE10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4" s="25">
        <f>IF(Исходн.данные.!AH104=0,0,MIN(HN104:HP104))</f>
        <v>0</v>
      </c>
      <c r="BG104" s="9">
        <f>IF(Исходн.данные.!AH104=0,0,IF((HO104+10*0.25/HG104/HL104)&lt;17,17,HO104+10*0.25/HG104/HL104))</f>
        <v>0</v>
      </c>
      <c r="BH104" s="181">
        <f>IF(Исходн.данные.!AH104=0,0,HW104*HF104*HL104/AU104*AI104+Исходн.данные.!S104*10)</f>
        <v>0</v>
      </c>
      <c r="BI104" s="10"/>
      <c r="BJ104" s="182">
        <f>IF(Исходн.данные.!AH104=0,0,IF(HX104*HG104*HL104/AV104&lt;0,0,HX104*HG104*HL104/AV104*AJ104))</f>
        <v>0</v>
      </c>
      <c r="BK104" s="182">
        <f>IF(Исходн.данные.!AH104=0,0,HY104*HH104*HM104/AW104)</f>
        <v>0</v>
      </c>
      <c r="BL104" s="10">
        <f>IF(OR(Исходн.данные.!$AH104=$BP$1,Исходн.данные.!$AH104=$BP$2),0,IF(BH104&lt;0,0,IF(OR(Исходн.данные.!T104=Расчет!$BP$1,Исходн.данные.!T104=Расчет!$BP$2,Исходн.данные.!T104=Расчет!$BT$5,Исходн.данные.!T104=Расчет!$BT$6),BH104*0.5,IF(OR(Исходн.данные.!T104=Расчет!$BS$9,Исходн.данные.!T104=Расчет!$BS$10,Исходн.данные.!T104=Расчет!$BS$11,Исходн.данные.!T104=Расчет!$BS$12,Исходн.данные.!T104=Расчет!$BP$5),BH104*0.8,BH104))))</f>
        <v>0</v>
      </c>
      <c r="BM104" s="10">
        <f>IF(OR(Исходн.данные.!$AH104=$BP$1,Исходн.данные.!$AH104=$BP$2),0,IF(BJ104&lt;0,0,IF(Исходн.данные.!I104&lt;4.5,BJ104*1.2,IF(Исходн.данные.!I104&gt;5.1,BJ104,BJ104*((5.1-Исходн.данные.!I104)*0.333+1)))))</f>
        <v>0</v>
      </c>
      <c r="BN104" s="10">
        <f>IF(OR(Исходн.данные.!$AH104=$BP$1,Исходн.данные.!$AH104=$BP$2),60-Исходн.данные.!AF104,IF(BK104&lt;0,0,IF(Исходн.данные.!I104&lt;4.5,BK104*1.2,IF(Исходн.данные.!I104&gt;5.1,BK104,BK104*((5.1-Исходн.данные.!I104)*0.333+1)))))</f>
        <v>0</v>
      </c>
      <c r="BO104" s="9">
        <f>IF(BL104&lt;0,0,BL104*Исходн.данные.!$AJ104/1000)</f>
        <v>0</v>
      </c>
      <c r="BP104" s="9">
        <f>IF(BM104&lt;0,0,BM104*Исходн.данные.!$AJ104/1000)</f>
        <v>0</v>
      </c>
      <c r="BQ104" s="9">
        <f>IF(BN104&lt;0,0,BN104*Исходн.данные.!$AJ104/1000)</f>
        <v>0</v>
      </c>
      <c r="BR104" s="9">
        <f t="shared" si="155"/>
        <v>0</v>
      </c>
      <c r="BS104" s="10" t="str">
        <f t="shared" si="156"/>
        <v>Аммофос 12:52:00</v>
      </c>
      <c r="BT104" s="10" t="str">
        <f t="shared" si="157"/>
        <v>Аммофос 12:52:00</v>
      </c>
      <c r="BU104" s="10" t="str">
        <f t="shared" si="158"/>
        <v>Диаммофоска</v>
      </c>
      <c r="BV104" s="10">
        <f t="shared" si="159"/>
        <v>0</v>
      </c>
      <c r="BW104" s="10"/>
      <c r="BX104" s="10"/>
      <c r="BY104" s="9">
        <f>IF(BL104&lt;0,0,IF(OR(Исходн.данные.!AI104=Расчет!$BU$6,Исходн.данные.!AI104=Расчет!$BU$7),Расчет!BV104,IF(Исходн.данные.!$AG104=$BV$11,BL104,IF(OR(Исходн.данные.!$AH104=$BQ$7,Исходн.данные.!$AH104=$BQ$8),CB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0,IF(Исходн.данные.!$AI104=$BU$11,"Нет",IF(BL104&gt;30,30,BL104)))))))</f>
        <v>0</v>
      </c>
      <c r="BZ104" s="9">
        <f>IF(AND(Исходн.данные.!$AG104=$BV$11,BM104&lt;10),10,IF(Исходн.данные.!$AG104=$BV$11,BM104,IF(OR(Исходн.данные.!$AH104=$BQ$7,Исходн.данные.!$AH104=$BQ$8),CC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10,IF(Исходн.данные.!$AI104=$BU$11,"Нет",IF(BM104&gt;60,60,IF(BM104&lt;10,10,BM104)))))))</f>
        <v>10</v>
      </c>
      <c r="CA104" s="39">
        <f>IF(BN104&lt;0,0,IF(Исходн.данные.!$AG104=$BV$11,BN104,IF(OR(Исходн.данные.!$AH104=$BQ$7,Исходн.данные.!$AH104=$BQ$8),CD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0,IF(Исходн.данные.!$AI104=$BU$11,"Нет",IF(BN104&gt;30,30,BN104))))))</f>
        <v>0</v>
      </c>
      <c r="CB104" s="9">
        <f t="shared" si="160"/>
        <v>0</v>
      </c>
      <c r="CC104" s="9">
        <f t="shared" si="161"/>
        <v>0</v>
      </c>
      <c r="CD104" s="9">
        <f t="shared" si="162"/>
        <v>0</v>
      </c>
      <c r="CE104" s="12">
        <f t="shared" si="163"/>
        <v>10</v>
      </c>
      <c r="CF104" s="9">
        <f t="shared" si="164"/>
        <v>0</v>
      </c>
      <c r="CG104" s="9" t="s">
        <v>231</v>
      </c>
      <c r="CH104" s="132" t="str">
        <f>IF(Исходн.данные.!AP104=Расчет!$CI$16,"Нет",IF(Исходн.данные.!AL104&gt;0,Исходн.данные.!AL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BH$4,IF(OR(Исходн.данные.!AI104=Исходн.данные.!$AI$6,Исходн.данные.!AI104=Исходн.данные.!$AI$7),Расчет!BS104,IF(AND($CF104=0,$CE104&gt;0),EV104,ER104)))))</f>
        <v>Аммофос 12:52:00</v>
      </c>
      <c r="CI104" s="274">
        <f>IF(Расчет!$CH104="Нет","Нет",IF(Исходн.данные.!$AL104&gt;0,VLOOKUP(Расчет!$CH104,АшламаДВ_Irekle,2,FALSE),VLOOKUP(Расчет!$CH104,АшламаДВ_Gomumy,2,FALSE)))</f>
        <v>0.12</v>
      </c>
      <c r="CJ104" s="274">
        <f>IF(Расчет!$CH104="Нет","Нет",IF(Исходн.данные.!$AL104&gt;0,VLOOKUP(Расчет!$CH104,АшламаДВ_Irekle,3,FALSE),VLOOKUP(Расчет!$CH104,АшламаДВ_Gomumy,3,FALSE)))</f>
        <v>0.52</v>
      </c>
      <c r="CK104" s="274">
        <f>IF(Расчет!$CH104="Нет","Нет",IF(Исходн.данные.!$AL104&gt;0,VLOOKUP(Расчет!$CH104,АшламаДВ_Irekle,4,FALSE),VLOOKUP(Расчет!$CH104,АшламаДВ_Gomumy,4,FALSE)))</f>
        <v>0</v>
      </c>
      <c r="CL104" s="70"/>
      <c r="CM104" s="70"/>
      <c r="CN104" s="70"/>
      <c r="CO104" s="70"/>
      <c r="CP104" s="70"/>
      <c r="CQ104" s="70"/>
      <c r="CR104" s="10">
        <f t="shared" si="165"/>
        <v>0</v>
      </c>
      <c r="CS104" s="10">
        <f t="shared" si="166"/>
        <v>19.23076923076923</v>
      </c>
      <c r="CT104" s="10">
        <f t="shared" si="167"/>
        <v>0</v>
      </c>
      <c r="CU104" s="39">
        <f>IF($CH104="Нет",0,IF(CI104=0,30/MIN(CJ104:CK104),IF(Исходн.данные.!$AG104=$BV$11,CR104,IF(OR(Исходн.данные.!$AH104=$BQ$7,Исходн.данные.!$AH104=$BQ$8),90/CI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0,IF(Исходн.данные.!$AI104=$BU$11,"Нет",30/CI104))))))</f>
        <v>250</v>
      </c>
      <c r="CV104" s="39">
        <f>IF($CH104="Нет",0,IF(Исходн.данные.!AH104=0,0,IF(CJ104=0,60/MIN(CI104,CK104),IF(Исходн.данные.!$AG104=$BV$11,CS104,IF(OR(Исходн.данные.!$AH104=$BQ$7,Исходн.данные.!$AH104=$BQ$8),90/CJ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10/CJ104,IF(Исходн.данные.!$AI104=$BU$11,"Нет",60/CJ104)))))))</f>
        <v>0</v>
      </c>
      <c r="CW104" s="39">
        <f>IF($CH104="Нет",0,IF(Исходн.данные.!AH104=0,0,IF(CK104=0,30/MIN(CI104:CJ104),IF(Исходн.данные.!$AG104=$BV$11,CT104,IF(OR(Исходн.данные.!$AH104=$BQ$7,Исходн.данные.!$AH104=$BQ$8),90/CK104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0,IF(Исходн.данные.!$AI104=$BU$11,"Нет",30/CK104)))))))</f>
        <v>0</v>
      </c>
      <c r="CX104" s="133">
        <f>IF(Исходн.данные.!$AG104=$BV$11,MAX(CU104:CW104),IF(OR(Исходн.данные.!$AH104=$BS$8,Исходн.данные.!$AH104=$BQ$9,Исходн.данные.!$AH104=$BQ$10,Исходн.данные.!$AH104=$BQ$11,Исходн.данные.!$AH104=$BQ$12,Исходн.данные.!$AH104=$BP$3,Исходн.данные.!$AH104=$BT$8,$FM104="Да"),CV104,MIN(CU104:CW104)))</f>
        <v>0</v>
      </c>
      <c r="CY104" s="133">
        <f>IF(Исходн.данные.!AH104=0,0,IF(CR104&gt;$CX104,$CX104,CR104))</f>
        <v>0</v>
      </c>
      <c r="CZ104" s="133">
        <f>IF(Исходн.данные.!AH104=0,0,IF(CS104&gt;$CX104,$CX104,CS104))</f>
        <v>0</v>
      </c>
      <c r="DA104" s="133">
        <f>IF(Исходн.данные.!AH104=0,0,IF(CT104&gt;$CX104,$CX104,CT104))</f>
        <v>0</v>
      </c>
      <c r="DB104" s="10">
        <f t="shared" si="168"/>
        <v>0</v>
      </c>
      <c r="DC104" s="39">
        <f>DB104*Исходн.данные.!AJ104/1000</f>
        <v>0</v>
      </c>
      <c r="DD104" s="71">
        <f t="shared" si="169"/>
        <v>0</v>
      </c>
      <c r="DE104" s="9">
        <f t="shared" si="170"/>
        <v>0</v>
      </c>
      <c r="DF104" s="9">
        <f t="shared" si="171"/>
        <v>0</v>
      </c>
      <c r="DG104" s="39">
        <f>IF(BL104&lt;0,0,IF($CH104="Нет",BL104,IF(OR(Исходн.данные.!$AH104=$BP$1,Исходн.данные.!$AH104=$BP$2),0,IF(Исходн.данные.!AI104=$BU$11,BL104,IF(BL104-DD104&lt;0,0,BL104-DD104)))))</f>
        <v>0</v>
      </c>
      <c r="DH104" s="39">
        <f>IF(BM104&lt;0,0,IF($CH104="Нет",BM104,IF(OR(Исходн.данные.!$AH104=$BP$1,Исходн.данные.!$AH104=$BP$2),0,IF(Исходн.данные.!AJ104=$BU$11,BM104,IF(BM104-DE104&lt;0,0,BM104-DE104)))))</f>
        <v>0</v>
      </c>
      <c r="DI104" s="39">
        <f>IF(BN104&lt;0,0,IF($CH104="Нет",BN104,IF(OR(Исходн.данные.!$AH104=$BP$1,Исходн.данные.!$AH104=$BP$2),0,IF(Исходн.данные.!AK104=$BU$11,BN104,IF(BN104-DF104&lt;0,0,BN104-DF104)))))</f>
        <v>0</v>
      </c>
      <c r="DJ104" s="12">
        <f t="shared" si="172"/>
        <v>0</v>
      </c>
      <c r="DK104" s="9">
        <f t="shared" si="173"/>
        <v>0</v>
      </c>
      <c r="DL104" s="39">
        <f>IF(Исходн.данные.!AM104&gt;0,Исходн.данные.!AM104,IF(EG104&gt;0,$BH$10,0))</f>
        <v>0</v>
      </c>
      <c r="DM104" s="186">
        <f>IF($DL104=0,0,IF(Исходн.данные.!AM104&gt;0,VLOOKUP($DL104,АшламаДВ_Irekle,2,FALSE),VLOOKUP($DL104,АшламаДВ_Gomumy,2,FALSE)))</f>
        <v>0</v>
      </c>
      <c r="DN104" s="10">
        <f t="shared" si="151"/>
        <v>0</v>
      </c>
      <c r="DO104" s="9" t="str">
        <f>IF(Исходн.данные.!AN104&gt;0,Исходн.данные.!AN104,Удобрения!$B$37 )</f>
        <v>Хлор.калий</v>
      </c>
      <c r="DP104" s="9">
        <f>IF(Исходн.данные.!AN104&gt;0,VLOOKUP(Исходн.данные.!AN104,АшламаДВ_Irekle,4,FALSE),VLOOKUP(DO104,АшламаДВ_Gomumy,4,FALSE))</f>
        <v>0.6</v>
      </c>
      <c r="DQ104" s="10">
        <f t="shared" si="152"/>
        <v>0</v>
      </c>
      <c r="DR104" s="132" t="str">
        <f>IF(Исходн.данные.!AO104&gt;0,Исходн.данные.!AO104,IF(DH104=0,BS$17,IF(AND($DK104=0,$DJ104&gt;0),EJ104,EN104)))</f>
        <v>Нет</v>
      </c>
      <c r="DS104" s="70" t="str">
        <f>IF($DR104="Нет","Нет",IF(Исходн.данные.!$AO104&gt;0,VLOOKUP($DR104,АшламаДВ_Irekle,2,FALSE),VLOOKUP($DR104,АшламаДВ_Gomumy,2,FALSE)))</f>
        <v>Нет</v>
      </c>
      <c r="DT104" s="70" t="str">
        <f>IF($DR104="Нет","Нет",IF(Исходн.данные.!$AO104&gt;0,VLOOKUP($DR104,АшламаДВ_Irekle,3,FALSE),VLOOKUP($DR104,АшламаДВ_Gomumy,3,FALSE)))</f>
        <v>Нет</v>
      </c>
      <c r="DU104" s="70" t="str">
        <f>IF($DR104="Нет","Нет",IF(Исходн.данные.!$AO104&gt;0,VLOOKUP($DR104,АшламаДВ_Irekle,4,FALSE),VLOOKUP($DR104,АшламаДВ_Gomumy,4,FALSE)))</f>
        <v>Нет</v>
      </c>
      <c r="DV104" s="70"/>
      <c r="DW104" s="70"/>
      <c r="DX104" s="70"/>
      <c r="DY104" s="10">
        <f t="shared" si="174"/>
        <v>0</v>
      </c>
      <c r="DZ104" s="10">
        <f t="shared" si="175"/>
        <v>0</v>
      </c>
      <c r="EA104" s="10">
        <f t="shared" si="176"/>
        <v>0</v>
      </c>
      <c r="EB104" s="10">
        <f t="shared" si="177"/>
        <v>0</v>
      </c>
      <c r="EC104" s="10">
        <f t="shared" si="178"/>
        <v>0</v>
      </c>
      <c r="ED104" s="10">
        <f t="shared" si="179"/>
        <v>0</v>
      </c>
      <c r="EE104" s="10">
        <f t="shared" si="180"/>
        <v>0</v>
      </c>
      <c r="EF104" s="39">
        <f>EB104*Исходн.данные.!AJ104/1000</f>
        <v>0</v>
      </c>
      <c r="EG104" s="9">
        <f t="shared" si="181"/>
        <v>0</v>
      </c>
      <c r="EH104" s="9">
        <f t="shared" si="182"/>
        <v>0</v>
      </c>
      <c r="EI104" s="39" t="e">
        <f t="shared" si="132"/>
        <v>#DIV/0!</v>
      </c>
      <c r="EJ104" s="9" t="str">
        <f t="shared" si="153"/>
        <v>Азопреципитат</v>
      </c>
      <c r="EK104" s="12">
        <f t="shared" si="133"/>
        <v>0.26</v>
      </c>
      <c r="EL104" s="12">
        <f t="shared" si="134"/>
        <v>0.13</v>
      </c>
      <c r="EM104" s="12">
        <f t="shared" si="135"/>
        <v>0</v>
      </c>
      <c r="EN104" s="12" t="str">
        <f t="shared" si="154"/>
        <v>Нет</v>
      </c>
      <c r="EO104" s="12">
        <f t="shared" si="136"/>
        <v>0</v>
      </c>
      <c r="EP104" s="12">
        <f t="shared" si="137"/>
        <v>0</v>
      </c>
      <c r="EQ104" s="12">
        <f t="shared" si="138"/>
        <v>0</v>
      </c>
      <c r="ER104" s="12" t="str">
        <f t="shared" si="183"/>
        <v>Диаммофоска</v>
      </c>
      <c r="ES104" s="12">
        <f t="shared" si="139"/>
        <v>0.1</v>
      </c>
      <c r="ET104" s="12">
        <f t="shared" si="140"/>
        <v>0.26</v>
      </c>
      <c r="EU104" s="12">
        <f t="shared" si="141"/>
        <v>0.26</v>
      </c>
      <c r="EV104" s="12" t="str">
        <f t="shared" si="184"/>
        <v>Аммофос 12:52:00</v>
      </c>
      <c r="EW104" s="12" t="str">
        <f t="shared" si="185"/>
        <v>Кемира Свекловичное-6</v>
      </c>
      <c r="EX104" s="12">
        <f t="shared" si="142"/>
        <v>0.16</v>
      </c>
      <c r="EY104" s="12">
        <f t="shared" si="143"/>
        <v>0.12</v>
      </c>
      <c r="EZ104" s="12">
        <f t="shared" si="144"/>
        <v>0.17</v>
      </c>
      <c r="FA104" s="38" t="e">
        <f>IF(AND(OR(FJ104=$FD$1,FM104=$FD$1,FO104=$FD$1,FQ104=$FD$1,FS104=$FD$1),FD104=$FD$1,Исходн.данные.!J104&lt;2,FU104=$FD$1),"Бор,Кобальт",IF(AND(FO104=$FD$1,FH104=$FD$1,Исходн.данные.!J104&lt;2,FU104=$FD$1),"Бор,Кобальт",IF(AND(OR(FJ104=$FD$1,FM104=$FD$1,FQ104=$FD$1),FE104=$FD$1,Исходн.данные.!J104&lt;2,FT104=$FD$1,FU104=$FD$1),"Бор,Медь,Цинк",IF(AND(OR(FJ104=$FD$1,FR104="Да"),FI104="Да",Исходн.данные.!J104&lt;2,FT104="Да",FU104="Да"),"Бор,Цинк,Медь",IF(AND(OR(FM104="Да",FQ104="Да"),FI104="Да",Исходн.данные.!J104&lt;2,FT104="Да",FU104="Да"),"Бор,Цинк",IF(AND(FN104="Да",OR(FD104="Да",FE104="Да")),"Бор",FB104))))))</f>
        <v>#N/A</v>
      </c>
      <c r="FB104" s="134" t="e">
        <f>IF(AND(OR(FD104="Да",FE104="Да",FF104="Да",FG104="Да",FH104="Да"),FO104="Да"),"Бор",IF(AND(FP104="Да",OR(FD104="Да",FE104="Да",FI104="Да")),"Бор",IF(AND(FS104="Да",FE104="Да"),"Бор,Медь",IF(AND(OR(FJ104="Да",FK104="Да",FL104="Да"),FE104="Да",Исходн.данные.!I104&lt;5,FT104="Да",FU104="Да"),"Молибден,Цинк",IF(AND(FM104="Да",OR(FE104="Да",FF104="Да",FG104="Да",FH104="Да",FI104="Да")),"Молибден,Цинк",IF(AND(OR(FJ104="Да",FK104="Да",FL104="Да",FM104="Да",FQ104="Да"),OR(FE104="Да",FF104="Да"),FT104="Да",FU104="Да",Исходн.данные.!I104&gt;5.5),"Медь,Цинк",FC104))))))</f>
        <v>#N/A</v>
      </c>
      <c r="FC104" s="23" t="e">
        <f t="shared" si="186"/>
        <v>#N/A</v>
      </c>
      <c r="FD104" s="38" t="str">
        <f>IF(OR(Исходн.данные.!F104=$CC$1,Исходн.данные.!F104=$CC$2,Исходн.данные.!F104=$CC$3,Исходн.данные.!F104=$CC$4),"Да","Нет")</f>
        <v>Нет</v>
      </c>
      <c r="FE104" s="38" t="str">
        <f>IF(Исходн.данные.!F104=$CC$5,"Да","Нет")</f>
        <v>Нет</v>
      </c>
      <c r="FF104" s="38" t="str">
        <f>IF(OR(Исходн.данные.!F104=$CC$6,Исходн.данные.!F104=$CC$7),"Да","Нет")</f>
        <v>Нет</v>
      </c>
      <c r="FG104" s="38" t="str">
        <f>IF(OR(Исходн.данные.!F104=$CC$8,Исходн.данные.!F104=$CC$9),"Да","Нет")</f>
        <v>Нет</v>
      </c>
      <c r="FH104" s="38" t="str">
        <f>IF(Исходн.данные.!F104=$CC$10,"Да","Нет")</f>
        <v>Нет</v>
      </c>
      <c r="FI104" s="38" t="str">
        <f>IF(OR(Исходн.данные.!F104=$CC$11,Исходн.данные.!F104=$CC$12),"Да","Нет")</f>
        <v>Нет</v>
      </c>
      <c r="FJ104" s="38" t="str">
        <f>IF(OR(Исходн.данные.!AH104=$BS$1,Исходн.данные.!AH104=$BQ$11,Исходн.данные.!AH104=$BQ$12),"Да","Нет")</f>
        <v>Нет</v>
      </c>
      <c r="FK104" s="38" t="str">
        <f>IF(OR(Исходн.данные.!AH104=$BS$2,Исходн.данные.!AH104=$BS$4),"Да","Нет")</f>
        <v>Нет</v>
      </c>
      <c r="FL104" s="38" t="str">
        <f>IF(OR(Исходн.данные.!AH104=$BS$3,Исходн.данные.!AH104=$BS$5),"Да","Нет")</f>
        <v>Нет</v>
      </c>
      <c r="FM104" s="38" t="str">
        <f>IF(OR(Исходн.данные.!AH104=$BS$9,Исходн.данные.!AH104=$BS$10,Исходн.данные.!AH104=$BS$11,Исходн.данные.!AH104=$BS$12),"Да","Нет")</f>
        <v>Нет</v>
      </c>
      <c r="FN104" s="38" t="str">
        <f>IF(OR(Исходн.данные.!AH104=$BS$6,Исходн.данные.!AH104=$BP$3),"Да","Нет")</f>
        <v>Нет</v>
      </c>
      <c r="FO104" s="38" t="str">
        <f>IF(Исходн.данные.!AH104=$BQ$9,"Да","Нет")</f>
        <v>Нет</v>
      </c>
      <c r="FP104" s="38" t="str">
        <f>IF(OR(Исходн.данные.!AH104=$BS$8,Исходн.данные.!AH104=$BT$8),"Да","Нет")</f>
        <v>Нет</v>
      </c>
      <c r="FQ104" s="38" t="str">
        <f>IF(OR(Исходн.данные.!AH104=$BQ$7,Исходн.данные.!AH104=$BQ$8),"Да","Нет")</f>
        <v>Нет</v>
      </c>
      <c r="FR104" s="38" t="str">
        <f>IF(Исходн.данные.!AI104=$BU$9,"Да","Нет")</f>
        <v>Нет</v>
      </c>
      <c r="FS104" s="38" t="str">
        <f>IF(OR(Исходн.данные.!AH104=$BP$1,Исходн.данные.!AH104=$BP$2),"Да","Нет")</f>
        <v>Нет</v>
      </c>
      <c r="FT104" s="38" t="e">
        <f>IF((Исходн.данные.!K104*GO104*GS104*GW104+BL104*0.6+Исходн.данные.!Q104*4.5*0.275)&gt;90,"Да","Нет")</f>
        <v>#N/A</v>
      </c>
      <c r="FU104" s="38" t="e">
        <f>IF((Исходн.данные.!M104*GS104*GZ104+BM104*0.225)&gt;35,"Да","Нет")</f>
        <v>#N/A</v>
      </c>
      <c r="FV104" s="38" t="str">
        <f>IF(Исходн.данные.!O104&gt;175,"Да","Нет")</f>
        <v>Нет</v>
      </c>
      <c r="FW104" s="39" t="str">
        <f>IF(Исходн.данные.!I104&gt;5.5,"Да","Нет")</f>
        <v>Нет</v>
      </c>
      <c r="FX104" s="39" t="str">
        <f>IF(Исходн.данные.!J104&lt;2,"Да","Нет")</f>
        <v>Да</v>
      </c>
      <c r="FY104" s="39" t="e">
        <f>IF(HF104=$FY$16,0,Исходн.данные.!K104*GO104*GS104*GW104/HF104)</f>
        <v>#N/A</v>
      </c>
      <c r="FZ104" s="39" t="e">
        <f>Исходн.данные.!M104*GS104*GZ104/HG104</f>
        <v>#N/A</v>
      </c>
      <c r="GA104" s="39" t="e">
        <f>IF(K_Wyn=$FY$16,0,IF(Исходн.данные.!N104=Исходн.данные.!$L$10,Исходн.данные.!O104/1.1*GS104*HC104/HH104,IF(Исходн.данные.!N104=Исходн.данные.!$L$12,Исходн.данные.!O104/1.5*GS104*HC104/HH104,Исходн.данные.!O104*GS104*HC104/HH104)))</f>
        <v>#N/A</v>
      </c>
      <c r="GB104" s="39" t="e">
        <f>IF(HF104=$FY$16,0,((Исходн.данные.!Q104*N_Org+Исходн.данные.!R104*N_Sider+Исходн.данные.!S104*N_Soloma)*AO104+Расчет!BC104*VLOOKUP(Исходн.данные.!T104,Справ!$A$3:$O$57,15)*AO104+BB104*VLOOKUP(Исходн.данные.!T104,Справ!$A$3:$O$57,15)*AL104+(Исходн.данные.!V104*N_Rizotorf+Исходн.данные.!W104*N_Rizoagr))/HF104)</f>
        <v>#N/A</v>
      </c>
      <c r="GC104" s="39" t="e">
        <f>IF(HG104=$FY$16,0,((Исходн.данные.!Q104*Р_Org+Исходн.данные.!R104*P_Sider+Исходн.данные.!S104*P_Soloma)*AP104+Расчет!BC104*VLOOKUP(Исходн.данные.!T104,Справ!$A$3:$P$57,16)*AP104+BB104*VLOOKUP(Исходн.данные.!T104,Справ!$A$3:$P$57,16)*AM104)/HG104)</f>
        <v>#N/A</v>
      </c>
      <c r="GD104" s="39" t="e">
        <f>IF(HH104=$FY$16,0,((Исходн.данные.!Q104*К_Org+Исходн.данные.!R104*K_Sider+Исходн.данные.!S104*K_Soloma)*AQ104+Расчет!BC104*VLOOKUP(Исходн.данные.!T104,Справ!$A$3:$Q$57,17)*AQ104+BB104*VLOOKUP(Исходн.данные.!T104,Справ!$A$3:$Q$57,17)*AN104)/HH104)</f>
        <v>#N/A</v>
      </c>
      <c r="GE104" s="39" t="e">
        <f>IF(HF104=$FY$16,0,(Исходн.данные.!X104*AR104+Исходн.данные.!AA104*N_Org*AL104+Исходн.данные.!AB104*N_Sider*AL104+Исходн.данные.!AC104*N_Soloma*AL104)/HF104)</f>
        <v>#N/A</v>
      </c>
      <c r="GF104" s="39" t="e">
        <f>IF(HG104=$FY$16,0,(Исходн.данные.!Y104*AS104+Исходн.данные.!AA104*Р_Org*AM104+Исходн.данные.!AB104*P_Sider*AM104+Исходн.данные.!AC104*P_Soloma*AM104)/HG104)</f>
        <v>#N/A</v>
      </c>
      <c r="GG104" s="39" t="e">
        <f>IF(HH104=$FY$16,0,(Исходн.данные.!Z104*AT104+Исходн.данные.!AA104*К_Org*AN104+Исходн.данные.!AB104*K_Sider*AN104+Исходн.данные.!AC104*K_Soloma*AN104)/HH104)</f>
        <v>#N/A</v>
      </c>
      <c r="GH104" s="39" t="e">
        <f>Исходн.данные.!AD104*AU104/HF104</f>
        <v>#N/A</v>
      </c>
      <c r="GI104" s="39" t="e">
        <f>Исходн.данные.!AE104*AV104/HG104</f>
        <v>#N/A</v>
      </c>
      <c r="GJ104" s="39" t="e">
        <f>Исходн.данные.!AF104*AW104/HH104</f>
        <v>#N/A</v>
      </c>
      <c r="GK104" s="55">
        <f>Исходн.данные.!AK104</f>
        <v>0</v>
      </c>
      <c r="GL104" s="11" t="e">
        <f t="shared" si="187"/>
        <v>#N/A</v>
      </c>
      <c r="GM104" s="11" t="e">
        <f t="shared" si="188"/>
        <v>#N/A</v>
      </c>
      <c r="GN104" s="11" t="e">
        <f t="shared" si="189"/>
        <v>#N/A</v>
      </c>
      <c r="GO104" s="57">
        <f t="shared" si="190"/>
        <v>19</v>
      </c>
      <c r="GP104" s="55">
        <f>IF(OR(Исходн.данные.!F104=$CE$1,Исходн.данные.!F104=$CE$2,Исходн.данные.!F104=$CE$3,Исходн.данные.!F104=$CE$4,Исходн.данные.!F104=$CE$5),GQ104,GR104)</f>
        <v>19</v>
      </c>
      <c r="GQ104" s="55">
        <f>IF(Исходн.данные.!F104=$CE$1,28,IF(Исходн.данные.!F104=$CE$2,26,IF(Исходн.данные.!F104=$CE$3,24,IF(Исходн.данные.!F104=$CE$4,22,IF(Исходн.данные.!F104=$CE$5,20,GR104)))))</f>
        <v>19</v>
      </c>
      <c r="GR104" s="55">
        <f>IF(Исходн.данные.!F104=$CE$6,18,IF(Исходн.данные.!F104=$CE$7,16,IF(Исходн.данные.!F104=$CE$8,14,IF(Исходн.данные.!F104=$CE$9,13,IF(Исходн.данные.!F104=$CE$10,12,19)))))</f>
        <v>19</v>
      </c>
      <c r="GS104" s="55">
        <f>IF(Исходн.данные.!G104="Пес",0.035*(40+2*Исходн.данные.!H104),IF(Исходн.данные.!G104="Суп",0.0325*(40+2*Исходн.данные.!H104),0.03*(40+2*Исходн.данные.!H104)))</f>
        <v>1.2</v>
      </c>
      <c r="GT104" s="55">
        <f>IF(Исходн.данные.!H104&lt;23,2.6,IF(AND(Исходн.данные.!H104&gt;22,Исходн.данные.!H104&lt;26),3,IF(AND(Исходн.данные.!H104&gt;25,Исходн.данные.!H104&lt;29),3.4,3.6)))</f>
        <v>2.6</v>
      </c>
      <c r="GU104" s="55">
        <f>IF(Исходн.данные.!H104&lt;23,2.8,IF(AND(Исходн.данные.!H104&gt;22,Исходн.данные.!H104&lt;26),3.2,IF(AND(Исходн.данные.!H104&gt;25,Исходн.данные.!H104&lt;29),3.6,3.9)))</f>
        <v>2.8</v>
      </c>
      <c r="GV104" s="55">
        <f>IF(Исходн.данные.!H104&lt;23,3,IF(AND(Исходн.данные.!H104&gt;22,Исходн.данные.!H104&lt;26),3.5,IF(AND(Исходн.данные.!H104&gt;25,Исходн.данные.!H104&lt;29),3.9,4.2)))</f>
        <v>3</v>
      </c>
      <c r="GW104" s="55" t="e">
        <f>IF(Исходн.данные.!P104="Ум",GX104,GY104)</f>
        <v>#N/A</v>
      </c>
      <c r="GX104" s="55" t="e">
        <f>VLOOKUP(Исходн.данные.!AI104,Коэффициенты!$J$7:$L$13,2,FALSE)</f>
        <v>#N/A</v>
      </c>
      <c r="GY104" s="55" t="e">
        <f>VLOOKUP(Исходн.данные.!AI104,Коэффициенты!$J$7:$L$13,3,FALSE)</f>
        <v>#N/A</v>
      </c>
      <c r="GZ104" s="55" t="e">
        <f>(IF(Исходн.данные.!M104&lt;50,0.11*VLOOKUP(Исходн.данные.!AH104,Культуры.Информация,7,FALSE),IF(Исходн.данные.!M104&gt;250,0.05*VLOOKUP(Исходн.данные.!AH104,Культуры.Информация,7,FALSE),VLOOKUP(Исходн.данные.!AH104,Культуры.Информация,5,FALSE)/100*($GX$6+$GY$6*Исходн.данные.!M104))))*Расчет2!AI104</f>
        <v>#N/A</v>
      </c>
      <c r="HA104" s="211"/>
      <c r="HB104" s="211"/>
      <c r="HC104" s="55" t="e">
        <f>(IF(Исходн.данные.!O104&lt;80,0.2*VLOOKUP(Исходн.данные.!AH104,Культуры.Информация,8,FALSE),IF(Исходн.данные.!O104&gt;240,0.09*VLOOKUP(Исходн.данные.!AH104,Культуры.Информация,8,FALSE),VLOOKUP(Исходн.данные.!AH104,Культуры.Информация,6,FALSE)/100*($HB$6+$HC$6*Исходн.данные.!O104))))*Расчет2!AJ104</f>
        <v>#N/A</v>
      </c>
      <c r="HD104" s="55">
        <f>IF(Исходн.данные.!O104&gt;240,0.09,IF(Исходн.данные.!O104&lt;30,0.3,$HE$10+$HD$10*Исходн.данные.!O104))</f>
        <v>0.3</v>
      </c>
      <c r="HE104" s="55">
        <f>IF(Исходн.данные.!O104&gt;240,0.17,IF(Исходн.данные.!O104&lt;30,0.5,$HF$12+$HE$12*Исходн.данные.!O104))</f>
        <v>0.5</v>
      </c>
      <c r="HF104" s="55" t="e">
        <f>VLOOKUP(Исходн.данные.!AH104,Справ!$A$3:$D$58,2,FALSE)</f>
        <v>#N/A</v>
      </c>
      <c r="HG104" s="55" t="e">
        <f>VLOOKUP(Исходн.данные.!AH104,Справ!$A$3:$D$58,3,FALSE)</f>
        <v>#N/A</v>
      </c>
      <c r="HH104" s="55" t="e">
        <f>VLOOKUP(Исходн.данные.!AH104,Справ!$A$3:$D$58,4,FALSE)</f>
        <v>#N/A</v>
      </c>
      <c r="HI104" s="11" t="e">
        <f t="shared" si="191"/>
        <v>#N/A</v>
      </c>
      <c r="HJ104" s="11" t="e">
        <f t="shared" si="192"/>
        <v>#N/A</v>
      </c>
      <c r="HK104" s="11" t="e">
        <f t="shared" si="193"/>
        <v>#N/A</v>
      </c>
      <c r="HL104" s="55">
        <f>IF(OR(Исходн.данные.!G104="Глин",Исходн.данные.!G104="Т_суг"),1.1,IF(Исходн.данные.!G104="Ср_суг",1,1))</f>
        <v>1</v>
      </c>
      <c r="HM104" s="55">
        <f>IF(OR(Исходн.данные.!G104="Глин",Исходн.данные.!G104="Т_суг"),0.9,IF(Исходн.данные.!G104="Ср_суг",1,1.2))</f>
        <v>1.2</v>
      </c>
      <c r="HN104" s="11" t="e">
        <f t="shared" si="194"/>
        <v>#N/A</v>
      </c>
      <c r="HO104" s="11" t="e">
        <f t="shared" si="195"/>
        <v>#N/A</v>
      </c>
      <c r="HP104" s="11" t="e">
        <f t="shared" si="196"/>
        <v>#N/A</v>
      </c>
      <c r="HQ104" t="e">
        <f t="shared" si="197"/>
        <v>#N/A</v>
      </c>
      <c r="HR104" t="e">
        <f t="shared" si="198"/>
        <v>#N/A</v>
      </c>
      <c r="HS104" t="e">
        <f t="shared" si="199"/>
        <v>#N/A</v>
      </c>
      <c r="HT104" t="e">
        <f t="shared" si="145"/>
        <v>#N/A</v>
      </c>
      <c r="HU104" t="e">
        <f t="shared" si="146"/>
        <v>#N/A</v>
      </c>
      <c r="HV104" t="e">
        <f t="shared" si="147"/>
        <v>#N/A</v>
      </c>
      <c r="HW104" t="e">
        <f t="shared" si="148"/>
        <v>#N/A</v>
      </c>
      <c r="HX104" t="e">
        <f t="shared" si="149"/>
        <v>#N/A</v>
      </c>
      <c r="HY104" t="e">
        <f t="shared" si="150"/>
        <v>#N/A</v>
      </c>
      <c r="HZ104" s="55">
        <f>IF(OR(Исходн.данные.!AI104="Оз_Ч_П",Исходн.данные.!AI104="Оз_З_П",Исходн.данные.!AI104="Яр_зер"),12,30)</f>
        <v>30</v>
      </c>
      <c r="IA104" t="e">
        <f t="shared" si="200"/>
        <v>#N/A</v>
      </c>
      <c r="IB104" t="e">
        <f t="shared" si="201"/>
        <v>#N/A</v>
      </c>
      <c r="IC104" t="e">
        <f t="shared" si="202"/>
        <v>#N/A</v>
      </c>
      <c r="ID104" s="11" t="e">
        <f t="shared" si="203"/>
        <v>#N/A</v>
      </c>
      <c r="IE104" s="11" t="e">
        <f t="shared" si="204"/>
        <v>#N/A</v>
      </c>
      <c r="IF104" s="11" t="e">
        <f t="shared" si="205"/>
        <v>#N/A</v>
      </c>
    </row>
    <row r="105" spans="35:240" x14ac:dyDescent="0.2">
      <c r="AI105">
        <f>IF(Исходн.данные.!I105&gt;6,1,1.85-(0.148*Исходн.данные.!I105))</f>
        <v>1.85</v>
      </c>
      <c r="AJ105">
        <f>IF(Исходн.данные.!I105&gt;6,1,2.434-(0.246*Исходн.данные.!I105))</f>
        <v>2.4340000000000002</v>
      </c>
      <c r="AL105" s="148" t="b">
        <f>IF(Исходн.данные.!$P105="Ум",N_OrgUd_2g_um,IF(Исходн.данные.!$P105="Об",N_OrgUd_2g_ob))</f>
        <v>0</v>
      </c>
      <c r="AM105" s="148" t="b">
        <f>IF(Исходн.данные.!$P105="Ум",P_OrgUd_2g_um,IF(Исходн.данные.!$P105="Об",P_OrgUd_2g_ob))</f>
        <v>0</v>
      </c>
      <c r="AN105" s="148" t="b">
        <f>IF(Исходн.данные.!$P105="Ум",K_OrgUd_2g_um,IF(Исходн.данные.!$P105="Об",K_OrgUd_2g_ob))</f>
        <v>0</v>
      </c>
      <c r="AO105" s="148" t="b">
        <f>IF(Исходн.данные.!$P105="Ум",N_OrgUd_1g_um,IF(Исходн.данные.!$P105="Об",N_OrgUd_1g_ob))</f>
        <v>0</v>
      </c>
      <c r="AP105" s="148" t="b">
        <f>IF(Исходн.данные.!$P105="Ум",P_OrgUd_1g_um,IF(Исходн.данные.!$P105="Об",P_OrgUd_1g_ob))</f>
        <v>0</v>
      </c>
      <c r="AQ105" s="148" t="b">
        <f>IF(Исходн.данные.!$P105="Ум",K_OrgUd_1g_um,IF(Исходн.данные.!$P105="Об",K_OrgUd_1g_ob))</f>
        <v>0</v>
      </c>
      <c r="AR105" t="b">
        <f>IF(Исходн.данные.!$P105="Ум",N_MinUd_2g_um,IF(Исходн.данные.!$P105="Об",N_MinUd_2g_ob))</f>
        <v>0</v>
      </c>
      <c r="AS105" t="b">
        <f>IF(Исходн.данные.!$P105="Ум",P_MinUd_2g_um,IF(Исходн.данные.!$P105="Об",P_MinUd_2g_ob))</f>
        <v>0</v>
      </c>
      <c r="AT105" t="b">
        <f>IF(Исходн.данные.!$P105="Ум",K_MinUd_2g_um,IF(Исходн.данные.!$P105="Об",K_MinUd_2g_ob))</f>
        <v>0</v>
      </c>
      <c r="AU105" t="b">
        <f>IF(Исходн.данные.!$P105="Ум",N_MinUd_1g_um,IF(Исходн.данные.!$P105="Об",N_MinUd_1g_ob))</f>
        <v>0</v>
      </c>
      <c r="AV105" t="b">
        <f>IF(Исходн.данные.!P105="Ум",P_MinUd_1g_um,IF(Исходн.данные.!P105="Об",P_MinUd_1g_ob))</f>
        <v>0</v>
      </c>
      <c r="AW105" t="b">
        <f>IF(Исходн.данные.!P105="Ум",K_MinUd_1g_um,IF(Исходн.данные.!P105="Об",K_MinUd_1g_ob))</f>
        <v>0</v>
      </c>
      <c r="AY105" t="e">
        <f>VLOOKUP(Исходн.данные.!T105,Справ!$A$3:$N$57,12)</f>
        <v>#N/A</v>
      </c>
      <c r="AZ105" t="e">
        <f>VLOOKUP(Исходн.данные.!T105,Справ!$A$3:$N$57,13)</f>
        <v>#N/A</v>
      </c>
      <c r="BA105" t="e">
        <f>VLOOKUP(Исходн.данные.!T105,Справ!$A$3:$N$57,14)</f>
        <v>#N/A</v>
      </c>
      <c r="BB105">
        <f>IF(Исходн.данные.!AH105=0,0,25)</f>
        <v>0</v>
      </c>
      <c r="BC105" s="141">
        <f>IF(Исходн.данные.!AH105=0,0,IF(Исходн.данные.!T105=0,25,BD105))</f>
        <v>0</v>
      </c>
      <c r="BD105" s="168" t="e">
        <f>AY105+AZ105*Исходн.данные.!U105-POWER(BA105,2)*Исходн.данные.!U105</f>
        <v>#N/A</v>
      </c>
      <c r="BE10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5" s="25">
        <f>IF(Исходн.данные.!AH105=0,0,MIN(HN105:HP105))</f>
        <v>0</v>
      </c>
      <c r="BG105" s="9">
        <f>IF(Исходн.данные.!AH105=0,0,IF((HO105+10*0.25/HG105/HL105)&lt;17,17,HO105+10*0.25/HG105/HL105))</f>
        <v>0</v>
      </c>
      <c r="BH105" s="181">
        <f>IF(Исходн.данные.!AH105=0,0,HW105*HF105*HL105/AU105*AI105+Исходн.данные.!S105*10)</f>
        <v>0</v>
      </c>
      <c r="BI105" s="10"/>
      <c r="BJ105" s="182">
        <f>IF(Исходн.данные.!AH105=0,0,IF(HX105*HG105*HL105/AV105&lt;0,0,HX105*HG105*HL105/AV105*AJ105))</f>
        <v>0</v>
      </c>
      <c r="BK105" s="182">
        <f>IF(Исходн.данные.!AH105=0,0,HY105*HH105*HM105/AW105)</f>
        <v>0</v>
      </c>
      <c r="BL105" s="10">
        <f>IF(OR(Исходн.данные.!$AH105=$BP$1,Исходн.данные.!$AH105=$BP$2),0,IF(BH105&lt;0,0,IF(OR(Исходн.данные.!T105=Расчет!$BP$1,Исходн.данные.!T105=Расчет!$BP$2,Исходн.данные.!T105=Расчет!$BT$5,Исходн.данные.!T105=Расчет!$BT$6),BH105*0.5,IF(OR(Исходн.данные.!T105=Расчет!$BS$9,Исходн.данные.!T105=Расчет!$BS$10,Исходн.данные.!T105=Расчет!$BS$11,Исходн.данные.!T105=Расчет!$BS$12,Исходн.данные.!T105=Расчет!$BP$5),BH105*0.8,BH105))))</f>
        <v>0</v>
      </c>
      <c r="BM105" s="10">
        <f>IF(OR(Исходн.данные.!$AH105=$BP$1,Исходн.данные.!$AH105=$BP$2),0,IF(BJ105&lt;0,0,IF(Исходн.данные.!I105&lt;4.5,BJ105*1.2,IF(Исходн.данные.!I105&gt;5.1,BJ105,BJ105*((5.1-Исходн.данные.!I105)*0.333+1)))))</f>
        <v>0</v>
      </c>
      <c r="BN105" s="10">
        <f>IF(OR(Исходн.данные.!$AH105=$BP$1,Исходн.данные.!$AH105=$BP$2),60-Исходн.данные.!AF105,IF(BK105&lt;0,0,IF(Исходн.данные.!I105&lt;4.5,BK105*1.2,IF(Исходн.данные.!I105&gt;5.1,BK105,BK105*((5.1-Исходн.данные.!I105)*0.333+1)))))</f>
        <v>0</v>
      </c>
      <c r="BO105" s="9">
        <f>IF(BL105&lt;0,0,BL105*Исходн.данные.!$AJ105/1000)</f>
        <v>0</v>
      </c>
      <c r="BP105" s="9">
        <f>IF(BM105&lt;0,0,BM105*Исходн.данные.!$AJ105/1000)</f>
        <v>0</v>
      </c>
      <c r="BQ105" s="9">
        <f>IF(BN105&lt;0,0,BN105*Исходн.данные.!$AJ105/1000)</f>
        <v>0</v>
      </c>
      <c r="BR105" s="9">
        <f t="shared" si="155"/>
        <v>0</v>
      </c>
      <c r="BS105" s="10" t="str">
        <f t="shared" si="156"/>
        <v>Аммофос 12:52:00</v>
      </c>
      <c r="BT105" s="10" t="str">
        <f t="shared" si="157"/>
        <v>Аммофос 12:52:00</v>
      </c>
      <c r="BU105" s="10" t="str">
        <f t="shared" si="158"/>
        <v>Диаммофоска</v>
      </c>
      <c r="BV105" s="10">
        <f t="shared" si="159"/>
        <v>0</v>
      </c>
      <c r="BW105" s="10"/>
      <c r="BX105" s="10"/>
      <c r="BY105" s="9">
        <f>IF(BL105&lt;0,0,IF(OR(Исходн.данные.!AI105=Расчет!$BU$6,Исходн.данные.!AI105=Расчет!$BU$7),Расчет!BV105,IF(Исходн.данные.!$AG105=$BV$11,BL105,IF(OR(Исходн.данные.!$AH105=$BQ$7,Исходн.данные.!$AH105=$BQ$8),CB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0,IF(Исходн.данные.!$AI105=$BU$11,"Нет",IF(BL105&gt;30,30,BL105)))))))</f>
        <v>0</v>
      </c>
      <c r="BZ105" s="9">
        <f>IF(AND(Исходн.данные.!$AG105=$BV$11,BM105&lt;10),10,IF(Исходн.данные.!$AG105=$BV$11,BM105,IF(OR(Исходн.данные.!$AH105=$BQ$7,Исходн.данные.!$AH105=$BQ$8),CC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10,IF(Исходн.данные.!$AI105=$BU$11,"Нет",IF(BM105&gt;60,60,IF(BM105&lt;10,10,BM105)))))))</f>
        <v>10</v>
      </c>
      <c r="CA105" s="39">
        <f>IF(BN105&lt;0,0,IF(Исходн.данные.!$AG105=$BV$11,BN105,IF(OR(Исходн.данные.!$AH105=$BQ$7,Исходн.данные.!$AH105=$BQ$8),CD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0,IF(Исходн.данные.!$AI105=$BU$11,"Нет",IF(BN105&gt;30,30,BN105))))))</f>
        <v>0</v>
      </c>
      <c r="CB105" s="9">
        <f t="shared" si="160"/>
        <v>0</v>
      </c>
      <c r="CC105" s="9">
        <f t="shared" si="161"/>
        <v>0</v>
      </c>
      <c r="CD105" s="9">
        <f t="shared" si="162"/>
        <v>0</v>
      </c>
      <c r="CE105" s="12">
        <f t="shared" si="163"/>
        <v>10</v>
      </c>
      <c r="CF105" s="9">
        <f t="shared" si="164"/>
        <v>0</v>
      </c>
      <c r="CG105" s="9" t="s">
        <v>231</v>
      </c>
      <c r="CH105" s="132" t="str">
        <f>IF(Исходн.данные.!AP105=Расчет!$CI$16,"Нет",IF(Исходн.данные.!AL105&gt;0,Исходн.данные.!AL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BH$4,IF(OR(Исходн.данные.!AI105=Исходн.данные.!$AI$6,Исходн.данные.!AI105=Исходн.данные.!$AI$7),Расчет!BS105,IF(AND($CF105=0,$CE105&gt;0),EV105,ER105)))))</f>
        <v>Аммофос 12:52:00</v>
      </c>
      <c r="CI105" s="274">
        <f>IF(Расчет!$CH105="Нет","Нет",IF(Исходн.данные.!$AL105&gt;0,VLOOKUP(Расчет!$CH105,АшламаДВ_Irekle,2,FALSE),VLOOKUP(Расчет!$CH105,АшламаДВ_Gomumy,2,FALSE)))</f>
        <v>0.12</v>
      </c>
      <c r="CJ105" s="274">
        <f>IF(Расчет!$CH105="Нет","Нет",IF(Исходн.данные.!$AL105&gt;0,VLOOKUP(Расчет!$CH105,АшламаДВ_Irekle,3,FALSE),VLOOKUP(Расчет!$CH105,АшламаДВ_Gomumy,3,FALSE)))</f>
        <v>0.52</v>
      </c>
      <c r="CK105" s="274">
        <f>IF(Расчет!$CH105="Нет","Нет",IF(Исходн.данные.!$AL105&gt;0,VLOOKUP(Расчет!$CH105,АшламаДВ_Irekle,4,FALSE),VLOOKUP(Расчет!$CH105,АшламаДВ_Gomumy,4,FALSE)))</f>
        <v>0</v>
      </c>
      <c r="CL105" s="70"/>
      <c r="CM105" s="70"/>
      <c r="CN105" s="70"/>
      <c r="CO105" s="70"/>
      <c r="CP105" s="70"/>
      <c r="CQ105" s="70"/>
      <c r="CR105" s="10">
        <f t="shared" si="165"/>
        <v>0</v>
      </c>
      <c r="CS105" s="10">
        <f t="shared" si="166"/>
        <v>19.23076923076923</v>
      </c>
      <c r="CT105" s="10">
        <f t="shared" si="167"/>
        <v>0</v>
      </c>
      <c r="CU105" s="39">
        <f>IF($CH105="Нет",0,IF(CI105=0,30/MIN(CJ105:CK105),IF(Исходн.данные.!$AG105=$BV$11,CR105,IF(OR(Исходн.данные.!$AH105=$BQ$7,Исходн.данные.!$AH105=$BQ$8),90/CI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0,IF(Исходн.данные.!$AI105=$BU$11,"Нет",30/CI105))))))</f>
        <v>250</v>
      </c>
      <c r="CV105" s="39">
        <f>IF($CH105="Нет",0,IF(Исходн.данные.!AH105=0,0,IF(CJ105=0,60/MIN(CI105,CK105),IF(Исходн.данные.!$AG105=$BV$11,CS105,IF(OR(Исходн.данные.!$AH105=$BQ$7,Исходн.данные.!$AH105=$BQ$8),90/CJ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10/CJ105,IF(Исходн.данные.!$AI105=$BU$11,"Нет",60/CJ105)))))))</f>
        <v>0</v>
      </c>
      <c r="CW105" s="39">
        <f>IF($CH105="Нет",0,IF(Исходн.данные.!AH105=0,0,IF(CK105=0,30/MIN(CI105:CJ105),IF(Исходн.данные.!$AG105=$BV$11,CT105,IF(OR(Исходн.данные.!$AH105=$BQ$7,Исходн.данные.!$AH105=$BQ$8),90/CK105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0,IF(Исходн.данные.!$AI105=$BU$11,"Нет",30/CK105)))))))</f>
        <v>0</v>
      </c>
      <c r="CX105" s="133">
        <f>IF(Исходн.данные.!$AG105=$BV$11,MAX(CU105:CW105),IF(OR(Исходн.данные.!$AH105=$BS$8,Исходн.данные.!$AH105=$BQ$9,Исходн.данные.!$AH105=$BQ$10,Исходн.данные.!$AH105=$BQ$11,Исходн.данные.!$AH105=$BQ$12,Исходн.данные.!$AH105=$BP$3,Исходн.данные.!$AH105=$BT$8,$FM105="Да"),CV105,MIN(CU105:CW105)))</f>
        <v>0</v>
      </c>
      <c r="CY105" s="133">
        <f>IF(Исходн.данные.!AH105=0,0,IF(CR105&gt;$CX105,$CX105,CR105))</f>
        <v>0</v>
      </c>
      <c r="CZ105" s="133">
        <f>IF(Исходн.данные.!AH105=0,0,IF(CS105&gt;$CX105,$CX105,CS105))</f>
        <v>0</v>
      </c>
      <c r="DA105" s="133">
        <f>IF(Исходн.данные.!AH105=0,0,IF(CT105&gt;$CX105,$CX105,CT105))</f>
        <v>0</v>
      </c>
      <c r="DB105" s="10">
        <f t="shared" si="168"/>
        <v>0</v>
      </c>
      <c r="DC105" s="39">
        <f>DB105*Исходн.данные.!AJ105/1000</f>
        <v>0</v>
      </c>
      <c r="DD105" s="71">
        <f t="shared" si="169"/>
        <v>0</v>
      </c>
      <c r="DE105" s="9">
        <f t="shared" si="170"/>
        <v>0</v>
      </c>
      <c r="DF105" s="9">
        <f t="shared" si="171"/>
        <v>0</v>
      </c>
      <c r="DG105" s="39">
        <f>IF(BL105&lt;0,0,IF($CH105="Нет",BL105,IF(OR(Исходн.данные.!$AH105=$BP$1,Исходн.данные.!$AH105=$BP$2),0,IF(Исходн.данные.!AI105=$BU$11,BL105,IF(BL105-DD105&lt;0,0,BL105-DD105)))))</f>
        <v>0</v>
      </c>
      <c r="DH105" s="39">
        <f>IF(BM105&lt;0,0,IF($CH105="Нет",BM105,IF(OR(Исходн.данные.!$AH105=$BP$1,Исходн.данные.!$AH105=$BP$2),0,IF(Исходн.данные.!AJ105=$BU$11,BM105,IF(BM105-DE105&lt;0,0,BM105-DE105)))))</f>
        <v>0</v>
      </c>
      <c r="DI105" s="39">
        <f>IF(BN105&lt;0,0,IF($CH105="Нет",BN105,IF(OR(Исходн.данные.!$AH105=$BP$1,Исходн.данные.!$AH105=$BP$2),0,IF(Исходн.данные.!AK105=$BU$11,BN105,IF(BN105-DF105&lt;0,0,BN105-DF105)))))</f>
        <v>0</v>
      </c>
      <c r="DJ105" s="12">
        <f t="shared" si="172"/>
        <v>0</v>
      </c>
      <c r="DK105" s="9">
        <f t="shared" si="173"/>
        <v>0</v>
      </c>
      <c r="DL105" s="39">
        <f>IF(Исходн.данные.!AM105&gt;0,Исходн.данные.!AM105,IF(EG105&gt;0,$BH$10,0))</f>
        <v>0</v>
      </c>
      <c r="DM105" s="186">
        <f>IF($DL105=0,0,IF(Исходн.данные.!AM105&gt;0,VLOOKUP($DL105,АшламаДВ_Irekle,2,FALSE),VLOOKUP($DL105,АшламаДВ_Gomumy,2,FALSE)))</f>
        <v>0</v>
      </c>
      <c r="DN105" s="10">
        <f t="shared" si="151"/>
        <v>0</v>
      </c>
      <c r="DO105" s="9" t="str">
        <f>IF(Исходн.данные.!AN105&gt;0,Исходн.данные.!AN105,Удобрения!$B$37 )</f>
        <v>Хлор.калий</v>
      </c>
      <c r="DP105" s="9">
        <f>IF(Исходн.данные.!AN105&gt;0,VLOOKUP(Исходн.данные.!AN105,АшламаДВ_Irekle,4,FALSE),VLOOKUP(DO105,АшламаДВ_Gomumy,4,FALSE))</f>
        <v>0.6</v>
      </c>
      <c r="DQ105" s="10">
        <f t="shared" si="152"/>
        <v>0</v>
      </c>
      <c r="DR105" s="132" t="str">
        <f>IF(Исходн.данные.!AO105&gt;0,Исходн.данные.!AO105,IF(DH105=0,BS$17,IF(AND($DK105=0,$DJ105&gt;0),EJ105,EN105)))</f>
        <v>Нет</v>
      </c>
      <c r="DS105" s="70" t="str">
        <f>IF($DR105="Нет","Нет",IF(Исходн.данные.!$AO105&gt;0,VLOOKUP($DR105,АшламаДВ_Irekle,2,FALSE),VLOOKUP($DR105,АшламаДВ_Gomumy,2,FALSE)))</f>
        <v>Нет</v>
      </c>
      <c r="DT105" s="70" t="str">
        <f>IF($DR105="Нет","Нет",IF(Исходн.данные.!$AO105&gt;0,VLOOKUP($DR105,АшламаДВ_Irekle,3,FALSE),VLOOKUP($DR105,АшламаДВ_Gomumy,3,FALSE)))</f>
        <v>Нет</v>
      </c>
      <c r="DU105" s="70" t="str">
        <f>IF($DR105="Нет","Нет",IF(Исходн.данные.!$AO105&gt;0,VLOOKUP($DR105,АшламаДВ_Irekle,4,FALSE),VLOOKUP($DR105,АшламаДВ_Gomumy,4,FALSE)))</f>
        <v>Нет</v>
      </c>
      <c r="DV105" s="70"/>
      <c r="DW105" s="70"/>
      <c r="DX105" s="70"/>
      <c r="DY105" s="10">
        <f t="shared" si="174"/>
        <v>0</v>
      </c>
      <c r="DZ105" s="10">
        <f t="shared" si="175"/>
        <v>0</v>
      </c>
      <c r="EA105" s="10">
        <f t="shared" si="176"/>
        <v>0</v>
      </c>
      <c r="EB105" s="10">
        <f t="shared" si="177"/>
        <v>0</v>
      </c>
      <c r="EC105" s="10">
        <f t="shared" si="178"/>
        <v>0</v>
      </c>
      <c r="ED105" s="10">
        <f t="shared" si="179"/>
        <v>0</v>
      </c>
      <c r="EE105" s="10">
        <f t="shared" si="180"/>
        <v>0</v>
      </c>
      <c r="EF105" s="39">
        <f>EB105*Исходн.данные.!AJ105/1000</f>
        <v>0</v>
      </c>
      <c r="EG105" s="9">
        <f t="shared" si="181"/>
        <v>0</v>
      </c>
      <c r="EH105" s="9">
        <f t="shared" si="182"/>
        <v>0</v>
      </c>
      <c r="EI105" s="39" t="e">
        <f t="shared" si="132"/>
        <v>#DIV/0!</v>
      </c>
      <c r="EJ105" s="9" t="str">
        <f t="shared" si="153"/>
        <v>Азопреципитат</v>
      </c>
      <c r="EK105" s="12">
        <f t="shared" si="133"/>
        <v>0.26</v>
      </c>
      <c r="EL105" s="12">
        <f t="shared" si="134"/>
        <v>0.13</v>
      </c>
      <c r="EM105" s="12">
        <f t="shared" si="135"/>
        <v>0</v>
      </c>
      <c r="EN105" s="12" t="str">
        <f t="shared" si="154"/>
        <v>Нет</v>
      </c>
      <c r="EO105" s="12">
        <f t="shared" si="136"/>
        <v>0</v>
      </c>
      <c r="EP105" s="12">
        <f t="shared" si="137"/>
        <v>0</v>
      </c>
      <c r="EQ105" s="12">
        <f t="shared" si="138"/>
        <v>0</v>
      </c>
      <c r="ER105" s="12" t="str">
        <f t="shared" si="183"/>
        <v>Диаммофоска</v>
      </c>
      <c r="ES105" s="12">
        <f t="shared" si="139"/>
        <v>0.1</v>
      </c>
      <c r="ET105" s="12">
        <f t="shared" si="140"/>
        <v>0.26</v>
      </c>
      <c r="EU105" s="12">
        <f t="shared" si="141"/>
        <v>0.26</v>
      </c>
      <c r="EV105" s="12" t="str">
        <f t="shared" si="184"/>
        <v>Аммофос 12:52:00</v>
      </c>
      <c r="EW105" s="12" t="str">
        <f t="shared" si="185"/>
        <v>Кемира Свекловичное-6</v>
      </c>
      <c r="EX105" s="12">
        <f t="shared" si="142"/>
        <v>0.16</v>
      </c>
      <c r="EY105" s="12">
        <f t="shared" si="143"/>
        <v>0.12</v>
      </c>
      <c r="EZ105" s="12">
        <f t="shared" si="144"/>
        <v>0.17</v>
      </c>
      <c r="FA105" s="38" t="e">
        <f>IF(AND(OR(FJ105=$FD$1,FM105=$FD$1,FO105=$FD$1,FQ105=$FD$1,FS105=$FD$1),FD105=$FD$1,Исходн.данные.!J105&lt;2,FU105=$FD$1),"Бор,Кобальт",IF(AND(FO105=$FD$1,FH105=$FD$1,Исходн.данные.!J105&lt;2,FU105=$FD$1),"Бор,Кобальт",IF(AND(OR(FJ105=$FD$1,FM105=$FD$1,FQ105=$FD$1),FE105=$FD$1,Исходн.данные.!J105&lt;2,FT105=$FD$1,FU105=$FD$1),"Бор,Медь,Цинк",IF(AND(OR(FJ105=$FD$1,FR105="Да"),FI105="Да",Исходн.данные.!J105&lt;2,FT105="Да",FU105="Да"),"Бор,Цинк,Медь",IF(AND(OR(FM105="Да",FQ105="Да"),FI105="Да",Исходн.данные.!J105&lt;2,FT105="Да",FU105="Да"),"Бор,Цинк",IF(AND(FN105="Да",OR(FD105="Да",FE105="Да")),"Бор",FB105))))))</f>
        <v>#N/A</v>
      </c>
      <c r="FB105" s="134" t="e">
        <f>IF(AND(OR(FD105="Да",FE105="Да",FF105="Да",FG105="Да",FH105="Да"),FO105="Да"),"Бор",IF(AND(FP105="Да",OR(FD105="Да",FE105="Да",FI105="Да")),"Бор",IF(AND(FS105="Да",FE105="Да"),"Бор,Медь",IF(AND(OR(FJ105="Да",FK105="Да",FL105="Да"),FE105="Да",Исходн.данные.!I105&lt;5,FT105="Да",FU105="Да"),"Молибден,Цинк",IF(AND(FM105="Да",OR(FE105="Да",FF105="Да",FG105="Да",FH105="Да",FI105="Да")),"Молибден,Цинк",IF(AND(OR(FJ105="Да",FK105="Да",FL105="Да",FM105="Да",FQ105="Да"),OR(FE105="Да",FF105="Да"),FT105="Да",FU105="Да",Исходн.данные.!I105&gt;5.5),"Медь,Цинк",FC105))))))</f>
        <v>#N/A</v>
      </c>
      <c r="FC105" s="23" t="e">
        <f t="shared" si="186"/>
        <v>#N/A</v>
      </c>
      <c r="FD105" s="38" t="str">
        <f>IF(OR(Исходн.данные.!F105=$CC$1,Исходн.данные.!F105=$CC$2,Исходн.данные.!F105=$CC$3,Исходн.данные.!F105=$CC$4),"Да","Нет")</f>
        <v>Нет</v>
      </c>
      <c r="FE105" s="38" t="str">
        <f>IF(Исходн.данные.!F105=$CC$5,"Да","Нет")</f>
        <v>Нет</v>
      </c>
      <c r="FF105" s="38" t="str">
        <f>IF(OR(Исходн.данные.!F105=$CC$6,Исходн.данные.!F105=$CC$7),"Да","Нет")</f>
        <v>Нет</v>
      </c>
      <c r="FG105" s="38" t="str">
        <f>IF(OR(Исходн.данные.!F105=$CC$8,Исходн.данные.!F105=$CC$9),"Да","Нет")</f>
        <v>Нет</v>
      </c>
      <c r="FH105" s="38" t="str">
        <f>IF(Исходн.данные.!F105=$CC$10,"Да","Нет")</f>
        <v>Нет</v>
      </c>
      <c r="FI105" s="38" t="str">
        <f>IF(OR(Исходн.данные.!F105=$CC$11,Исходн.данные.!F105=$CC$12),"Да","Нет")</f>
        <v>Нет</v>
      </c>
      <c r="FJ105" s="38" t="str">
        <f>IF(OR(Исходн.данные.!AH105=$BS$1,Исходн.данные.!AH105=$BQ$11,Исходн.данные.!AH105=$BQ$12),"Да","Нет")</f>
        <v>Нет</v>
      </c>
      <c r="FK105" s="38" t="str">
        <f>IF(OR(Исходн.данные.!AH105=$BS$2,Исходн.данные.!AH105=$BS$4),"Да","Нет")</f>
        <v>Нет</v>
      </c>
      <c r="FL105" s="38" t="str">
        <f>IF(OR(Исходн.данные.!AH105=$BS$3,Исходн.данные.!AH105=$BS$5),"Да","Нет")</f>
        <v>Нет</v>
      </c>
      <c r="FM105" s="38" t="str">
        <f>IF(OR(Исходн.данные.!AH105=$BS$9,Исходн.данные.!AH105=$BS$10,Исходн.данные.!AH105=$BS$11,Исходн.данные.!AH105=$BS$12),"Да","Нет")</f>
        <v>Нет</v>
      </c>
      <c r="FN105" s="38" t="str">
        <f>IF(OR(Исходн.данные.!AH105=$BS$6,Исходн.данные.!AH105=$BP$3),"Да","Нет")</f>
        <v>Нет</v>
      </c>
      <c r="FO105" s="38" t="str">
        <f>IF(Исходн.данные.!AH105=$BQ$9,"Да","Нет")</f>
        <v>Нет</v>
      </c>
      <c r="FP105" s="38" t="str">
        <f>IF(OR(Исходн.данные.!AH105=$BS$8,Исходн.данные.!AH105=$BT$8),"Да","Нет")</f>
        <v>Нет</v>
      </c>
      <c r="FQ105" s="38" t="str">
        <f>IF(OR(Исходн.данные.!AH105=$BQ$7,Исходн.данные.!AH105=$BQ$8),"Да","Нет")</f>
        <v>Нет</v>
      </c>
      <c r="FR105" s="38" t="str">
        <f>IF(Исходн.данные.!AI105=$BU$9,"Да","Нет")</f>
        <v>Нет</v>
      </c>
      <c r="FS105" s="38" t="str">
        <f>IF(OR(Исходн.данные.!AH105=$BP$1,Исходн.данные.!AH105=$BP$2),"Да","Нет")</f>
        <v>Нет</v>
      </c>
      <c r="FT105" s="38" t="e">
        <f>IF((Исходн.данные.!K105*GO105*GS105*GW105+BL105*0.6+Исходн.данные.!Q105*4.5*0.275)&gt;90,"Да","Нет")</f>
        <v>#N/A</v>
      </c>
      <c r="FU105" s="38" t="e">
        <f>IF((Исходн.данные.!M105*GS105*GZ105+BM105*0.225)&gt;35,"Да","Нет")</f>
        <v>#N/A</v>
      </c>
      <c r="FV105" s="38" t="str">
        <f>IF(Исходн.данные.!O105&gt;175,"Да","Нет")</f>
        <v>Нет</v>
      </c>
      <c r="FW105" s="39" t="str">
        <f>IF(Исходн.данные.!I105&gt;5.5,"Да","Нет")</f>
        <v>Нет</v>
      </c>
      <c r="FX105" s="39" t="str">
        <f>IF(Исходн.данные.!J105&lt;2,"Да","Нет")</f>
        <v>Да</v>
      </c>
      <c r="FY105" s="39" t="e">
        <f>IF(HF105=$FY$16,0,Исходн.данные.!K105*GO105*GS105*GW105/HF105)</f>
        <v>#N/A</v>
      </c>
      <c r="FZ105" s="39" t="e">
        <f>Исходн.данные.!M105*GS105*GZ105/HG105</f>
        <v>#N/A</v>
      </c>
      <c r="GA105" s="39" t="e">
        <f>IF(K_Wyn=$FY$16,0,IF(Исходн.данные.!N105=Исходн.данные.!$L$10,Исходн.данные.!O105/1.1*GS105*HC105/HH105,IF(Исходн.данные.!N105=Исходн.данные.!$L$12,Исходн.данные.!O105/1.5*GS105*HC105/HH105,Исходн.данные.!O105*GS105*HC105/HH105)))</f>
        <v>#N/A</v>
      </c>
      <c r="GB105" s="39" t="e">
        <f>IF(HF105=$FY$16,0,((Исходн.данные.!Q105*N_Org+Исходн.данные.!R105*N_Sider+Исходн.данные.!S105*N_Soloma)*AO105+Расчет!BC105*VLOOKUP(Исходн.данные.!T105,Справ!$A$3:$O$57,15)*AO105+BB105*VLOOKUP(Исходн.данные.!T105,Справ!$A$3:$O$57,15)*AL105+(Исходн.данные.!V105*N_Rizotorf+Исходн.данные.!W105*N_Rizoagr))/HF105)</f>
        <v>#N/A</v>
      </c>
      <c r="GC105" s="39" t="e">
        <f>IF(HG105=$FY$16,0,((Исходн.данные.!Q105*Р_Org+Исходн.данные.!R105*P_Sider+Исходн.данные.!S105*P_Soloma)*AP105+Расчет!BC105*VLOOKUP(Исходн.данные.!T105,Справ!$A$3:$P$57,16)*AP105+BB105*VLOOKUP(Исходн.данные.!T105,Справ!$A$3:$P$57,16)*AM105)/HG105)</f>
        <v>#N/A</v>
      </c>
      <c r="GD105" s="39" t="e">
        <f>IF(HH105=$FY$16,0,((Исходн.данные.!Q105*К_Org+Исходн.данные.!R105*K_Sider+Исходн.данные.!S105*K_Soloma)*AQ105+Расчет!BC105*VLOOKUP(Исходн.данные.!T105,Справ!$A$3:$Q$57,17)*AQ105+BB105*VLOOKUP(Исходн.данные.!T105,Справ!$A$3:$Q$57,17)*AN105)/HH105)</f>
        <v>#N/A</v>
      </c>
      <c r="GE105" s="39" t="e">
        <f>IF(HF105=$FY$16,0,(Исходн.данные.!X105*AR105+Исходн.данные.!AA105*N_Org*AL105+Исходн.данные.!AB105*N_Sider*AL105+Исходн.данные.!AC105*N_Soloma*AL105)/HF105)</f>
        <v>#N/A</v>
      </c>
      <c r="GF105" s="39" t="e">
        <f>IF(HG105=$FY$16,0,(Исходн.данные.!Y105*AS105+Исходн.данные.!AA105*Р_Org*AM105+Исходн.данные.!AB105*P_Sider*AM105+Исходн.данные.!AC105*P_Soloma*AM105)/HG105)</f>
        <v>#N/A</v>
      </c>
      <c r="GG105" s="39" t="e">
        <f>IF(HH105=$FY$16,0,(Исходн.данные.!Z105*AT105+Исходн.данные.!AA105*К_Org*AN105+Исходн.данные.!AB105*K_Sider*AN105+Исходн.данные.!AC105*K_Soloma*AN105)/HH105)</f>
        <v>#N/A</v>
      </c>
      <c r="GH105" s="39" t="e">
        <f>Исходн.данные.!AD105*AU105/HF105</f>
        <v>#N/A</v>
      </c>
      <c r="GI105" s="39" t="e">
        <f>Исходн.данные.!AE105*AV105/HG105</f>
        <v>#N/A</v>
      </c>
      <c r="GJ105" s="39" t="e">
        <f>Исходн.данные.!AF105*AW105/HH105</f>
        <v>#N/A</v>
      </c>
      <c r="GK105" s="55">
        <f>Исходн.данные.!AK105</f>
        <v>0</v>
      </c>
      <c r="GL105" s="11" t="e">
        <f t="shared" si="187"/>
        <v>#N/A</v>
      </c>
      <c r="GM105" s="11" t="e">
        <f t="shared" si="188"/>
        <v>#N/A</v>
      </c>
      <c r="GN105" s="11" t="e">
        <f t="shared" si="189"/>
        <v>#N/A</v>
      </c>
      <c r="GO105" s="57">
        <f t="shared" si="190"/>
        <v>19</v>
      </c>
      <c r="GP105" s="55">
        <f>IF(OR(Исходн.данные.!F105=$CE$1,Исходн.данные.!F105=$CE$2,Исходн.данные.!F105=$CE$3,Исходн.данные.!F105=$CE$4,Исходн.данные.!F105=$CE$5),GQ105,GR105)</f>
        <v>19</v>
      </c>
      <c r="GQ105" s="55">
        <f>IF(Исходн.данные.!F105=$CE$1,28,IF(Исходн.данные.!F105=$CE$2,26,IF(Исходн.данные.!F105=$CE$3,24,IF(Исходн.данные.!F105=$CE$4,22,IF(Исходн.данные.!F105=$CE$5,20,GR105)))))</f>
        <v>19</v>
      </c>
      <c r="GR105" s="55">
        <f>IF(Исходн.данные.!F105=$CE$6,18,IF(Исходн.данные.!F105=$CE$7,16,IF(Исходн.данные.!F105=$CE$8,14,IF(Исходн.данные.!F105=$CE$9,13,IF(Исходн.данные.!F105=$CE$10,12,19)))))</f>
        <v>19</v>
      </c>
      <c r="GS105" s="55">
        <f>IF(Исходн.данные.!G105="Пес",0.035*(40+2*Исходн.данные.!H105),IF(Исходн.данные.!G105="Суп",0.0325*(40+2*Исходн.данные.!H105),0.03*(40+2*Исходн.данные.!H105)))</f>
        <v>1.2</v>
      </c>
      <c r="GT105" s="55">
        <f>IF(Исходн.данные.!H105&lt;23,2.6,IF(AND(Исходн.данные.!H105&gt;22,Исходн.данные.!H105&lt;26),3,IF(AND(Исходн.данные.!H105&gt;25,Исходн.данные.!H105&lt;29),3.4,3.6)))</f>
        <v>2.6</v>
      </c>
      <c r="GU105" s="55">
        <f>IF(Исходн.данные.!H105&lt;23,2.8,IF(AND(Исходн.данные.!H105&gt;22,Исходн.данные.!H105&lt;26),3.2,IF(AND(Исходн.данные.!H105&gt;25,Исходн.данные.!H105&lt;29),3.6,3.9)))</f>
        <v>2.8</v>
      </c>
      <c r="GV105" s="55">
        <f>IF(Исходн.данные.!H105&lt;23,3,IF(AND(Исходн.данные.!H105&gt;22,Исходн.данные.!H105&lt;26),3.5,IF(AND(Исходн.данные.!H105&gt;25,Исходн.данные.!H105&lt;29),3.9,4.2)))</f>
        <v>3</v>
      </c>
      <c r="GW105" s="55" t="e">
        <f>IF(Исходн.данные.!P105="Ум",GX105,GY105)</f>
        <v>#N/A</v>
      </c>
      <c r="GX105" s="55" t="e">
        <f>VLOOKUP(Исходн.данные.!AI105,Коэффициенты!$J$7:$L$13,2,FALSE)</f>
        <v>#N/A</v>
      </c>
      <c r="GY105" s="55" t="e">
        <f>VLOOKUP(Исходн.данные.!AI105,Коэффициенты!$J$7:$L$13,3,FALSE)</f>
        <v>#N/A</v>
      </c>
      <c r="GZ105" s="55" t="e">
        <f>(IF(Исходн.данные.!M105&lt;50,0.11*VLOOKUP(Исходн.данные.!AH105,Культуры.Информация,7,FALSE),IF(Исходн.данные.!M105&gt;250,0.05*VLOOKUP(Исходн.данные.!AH105,Культуры.Информация,7,FALSE),VLOOKUP(Исходн.данные.!AH105,Культуры.Информация,5,FALSE)/100*($GX$6+$GY$6*Исходн.данные.!M105))))*Расчет2!AI105</f>
        <v>#N/A</v>
      </c>
      <c r="HA105" s="211"/>
      <c r="HB105" s="211"/>
      <c r="HC105" s="55" t="e">
        <f>(IF(Исходн.данные.!O105&lt;80,0.2*VLOOKUP(Исходн.данные.!AH105,Культуры.Информация,8,FALSE),IF(Исходн.данные.!O105&gt;240,0.09*VLOOKUP(Исходн.данные.!AH105,Культуры.Информация,8,FALSE),VLOOKUP(Исходн.данные.!AH105,Культуры.Информация,6,FALSE)/100*($HB$6+$HC$6*Исходн.данные.!O105))))*Расчет2!AJ105</f>
        <v>#N/A</v>
      </c>
      <c r="HD105" s="55">
        <f>IF(Исходн.данные.!O105&gt;240,0.09,IF(Исходн.данные.!O105&lt;30,0.3,$HE$10+$HD$10*Исходн.данные.!O105))</f>
        <v>0.3</v>
      </c>
      <c r="HE105" s="55">
        <f>IF(Исходн.данные.!O105&gt;240,0.17,IF(Исходн.данные.!O105&lt;30,0.5,$HF$12+$HE$12*Исходн.данные.!O105))</f>
        <v>0.5</v>
      </c>
      <c r="HF105" s="55" t="e">
        <f>VLOOKUP(Исходн.данные.!AH105,Справ!$A$3:$D$58,2,FALSE)</f>
        <v>#N/A</v>
      </c>
      <c r="HG105" s="55" t="e">
        <f>VLOOKUP(Исходн.данные.!AH105,Справ!$A$3:$D$58,3,FALSE)</f>
        <v>#N/A</v>
      </c>
      <c r="HH105" s="55" t="e">
        <f>VLOOKUP(Исходн.данные.!AH105,Справ!$A$3:$D$58,4,FALSE)</f>
        <v>#N/A</v>
      </c>
      <c r="HI105" s="11" t="e">
        <f t="shared" si="191"/>
        <v>#N/A</v>
      </c>
      <c r="HJ105" s="11" t="e">
        <f t="shared" si="192"/>
        <v>#N/A</v>
      </c>
      <c r="HK105" s="11" t="e">
        <f t="shared" si="193"/>
        <v>#N/A</v>
      </c>
      <c r="HL105" s="55">
        <f>IF(OR(Исходн.данные.!G105="Глин",Исходн.данные.!G105="Т_суг"),1.1,IF(Исходн.данные.!G105="Ср_суг",1,1))</f>
        <v>1</v>
      </c>
      <c r="HM105" s="55">
        <f>IF(OR(Исходн.данные.!G105="Глин",Исходн.данные.!G105="Т_суг"),0.9,IF(Исходн.данные.!G105="Ср_суг",1,1.2))</f>
        <v>1.2</v>
      </c>
      <c r="HN105" s="11" t="e">
        <f t="shared" si="194"/>
        <v>#N/A</v>
      </c>
      <c r="HO105" s="11" t="e">
        <f t="shared" si="195"/>
        <v>#N/A</v>
      </c>
      <c r="HP105" s="11" t="e">
        <f t="shared" si="196"/>
        <v>#N/A</v>
      </c>
      <c r="HQ105" t="e">
        <f t="shared" si="197"/>
        <v>#N/A</v>
      </c>
      <c r="HR105" t="e">
        <f t="shared" si="198"/>
        <v>#N/A</v>
      </c>
      <c r="HS105" t="e">
        <f t="shared" si="199"/>
        <v>#N/A</v>
      </c>
      <c r="HT105" t="e">
        <f t="shared" si="145"/>
        <v>#N/A</v>
      </c>
      <c r="HU105" t="e">
        <f t="shared" si="146"/>
        <v>#N/A</v>
      </c>
      <c r="HV105" t="e">
        <f t="shared" si="147"/>
        <v>#N/A</v>
      </c>
      <c r="HW105" t="e">
        <f t="shared" si="148"/>
        <v>#N/A</v>
      </c>
      <c r="HX105" t="e">
        <f t="shared" si="149"/>
        <v>#N/A</v>
      </c>
      <c r="HY105" t="e">
        <f t="shared" si="150"/>
        <v>#N/A</v>
      </c>
      <c r="HZ105" s="55">
        <f>IF(OR(Исходн.данные.!AI105="Оз_Ч_П",Исходн.данные.!AI105="Оз_З_П",Исходн.данные.!AI105="Яр_зер"),12,30)</f>
        <v>30</v>
      </c>
      <c r="IA105" t="e">
        <f t="shared" si="200"/>
        <v>#N/A</v>
      </c>
      <c r="IB105" t="e">
        <f t="shared" si="201"/>
        <v>#N/A</v>
      </c>
      <c r="IC105" t="e">
        <f t="shared" si="202"/>
        <v>#N/A</v>
      </c>
      <c r="ID105" s="11" t="e">
        <f t="shared" si="203"/>
        <v>#N/A</v>
      </c>
      <c r="IE105" s="11" t="e">
        <f t="shared" si="204"/>
        <v>#N/A</v>
      </c>
      <c r="IF105" s="11" t="e">
        <f t="shared" si="205"/>
        <v>#N/A</v>
      </c>
    </row>
    <row r="106" spans="35:240" x14ac:dyDescent="0.2">
      <c r="AI106">
        <f>IF(Исходн.данные.!I106&gt;6,1,1.85-(0.148*Исходн.данные.!I106))</f>
        <v>1.85</v>
      </c>
      <c r="AJ106">
        <f>IF(Исходн.данные.!I106&gt;6,1,2.434-(0.246*Исходн.данные.!I106))</f>
        <v>2.4340000000000002</v>
      </c>
      <c r="AL106" s="148" t="b">
        <f>IF(Исходн.данные.!$P106="Ум",N_OrgUd_2g_um,IF(Исходн.данные.!$P106="Об",N_OrgUd_2g_ob))</f>
        <v>0</v>
      </c>
      <c r="AM106" s="148" t="b">
        <f>IF(Исходн.данные.!$P106="Ум",P_OrgUd_2g_um,IF(Исходн.данные.!$P106="Об",P_OrgUd_2g_ob))</f>
        <v>0</v>
      </c>
      <c r="AN106" s="148" t="b">
        <f>IF(Исходн.данные.!$P106="Ум",K_OrgUd_2g_um,IF(Исходн.данные.!$P106="Об",K_OrgUd_2g_ob))</f>
        <v>0</v>
      </c>
      <c r="AO106" s="148" t="b">
        <f>IF(Исходн.данные.!$P106="Ум",N_OrgUd_1g_um,IF(Исходн.данные.!$P106="Об",N_OrgUd_1g_ob))</f>
        <v>0</v>
      </c>
      <c r="AP106" s="148" t="b">
        <f>IF(Исходн.данные.!$P106="Ум",P_OrgUd_1g_um,IF(Исходн.данные.!$P106="Об",P_OrgUd_1g_ob))</f>
        <v>0</v>
      </c>
      <c r="AQ106" s="148" t="b">
        <f>IF(Исходн.данные.!$P106="Ум",K_OrgUd_1g_um,IF(Исходн.данные.!$P106="Об",K_OrgUd_1g_ob))</f>
        <v>0</v>
      </c>
      <c r="AR106" t="b">
        <f>IF(Исходн.данные.!$P106="Ум",N_MinUd_2g_um,IF(Исходн.данные.!$P106="Об",N_MinUd_2g_ob))</f>
        <v>0</v>
      </c>
      <c r="AS106" t="b">
        <f>IF(Исходн.данные.!$P106="Ум",P_MinUd_2g_um,IF(Исходн.данные.!$P106="Об",P_MinUd_2g_ob))</f>
        <v>0</v>
      </c>
      <c r="AT106" t="b">
        <f>IF(Исходн.данные.!$P106="Ум",K_MinUd_2g_um,IF(Исходн.данные.!$P106="Об",K_MinUd_2g_ob))</f>
        <v>0</v>
      </c>
      <c r="AU106" t="b">
        <f>IF(Исходн.данные.!$P106="Ум",N_MinUd_1g_um,IF(Исходн.данные.!$P106="Об",N_MinUd_1g_ob))</f>
        <v>0</v>
      </c>
      <c r="AV106" t="b">
        <f>IF(Исходн.данные.!P106="Ум",P_MinUd_1g_um,IF(Исходн.данные.!P106="Об",P_MinUd_1g_ob))</f>
        <v>0</v>
      </c>
      <c r="AW106" t="b">
        <f>IF(Исходн.данные.!P106="Ум",K_MinUd_1g_um,IF(Исходн.данные.!P106="Об",K_MinUd_1g_ob))</f>
        <v>0</v>
      </c>
      <c r="AY106" t="e">
        <f>VLOOKUP(Исходн.данные.!T106,Справ!$A$3:$N$57,12)</f>
        <v>#N/A</v>
      </c>
      <c r="AZ106" t="e">
        <f>VLOOKUP(Исходн.данные.!T106,Справ!$A$3:$N$57,13)</f>
        <v>#N/A</v>
      </c>
      <c r="BA106" t="e">
        <f>VLOOKUP(Исходн.данные.!T106,Справ!$A$3:$N$57,14)</f>
        <v>#N/A</v>
      </c>
      <c r="BB106">
        <f>IF(Исходн.данные.!AH106=0,0,25)</f>
        <v>0</v>
      </c>
      <c r="BC106" s="141">
        <f>IF(Исходн.данные.!AH106=0,0,IF(Исходн.данные.!T106=0,25,BD106))</f>
        <v>0</v>
      </c>
      <c r="BD106" s="168" t="e">
        <f>AY106+AZ106*Исходн.данные.!U106-POWER(BA106,2)*Исходн.данные.!U106</f>
        <v>#N/A</v>
      </c>
      <c r="BE10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6" s="25">
        <f>IF(Исходн.данные.!AH106=0,0,MIN(HN106:HP106))</f>
        <v>0</v>
      </c>
      <c r="BG106" s="9">
        <f>IF(Исходн.данные.!AH106=0,0,IF((HO106+10*0.25/HG106/HL106)&lt;17,17,HO106+10*0.25/HG106/HL106))</f>
        <v>0</v>
      </c>
      <c r="BH106" s="181">
        <f>IF(Исходн.данные.!AH106=0,0,HW106*HF106*HL106/AU106*AI106+Исходн.данные.!S106*10)</f>
        <v>0</v>
      </c>
      <c r="BI106" s="10"/>
      <c r="BJ106" s="182">
        <f>IF(Исходн.данные.!AH106=0,0,IF(HX106*HG106*HL106/AV106&lt;0,0,HX106*HG106*HL106/AV106*AJ106))</f>
        <v>0</v>
      </c>
      <c r="BK106" s="182">
        <f>IF(Исходн.данные.!AH106=0,0,HY106*HH106*HM106/AW106)</f>
        <v>0</v>
      </c>
      <c r="BL106" s="10">
        <f>IF(OR(Исходн.данные.!$AH106=$BP$1,Исходн.данные.!$AH106=$BP$2),0,IF(BH106&lt;0,0,IF(OR(Исходн.данные.!T106=Расчет!$BP$1,Исходн.данные.!T106=Расчет!$BP$2,Исходн.данные.!T106=Расчет!$BT$5,Исходн.данные.!T106=Расчет!$BT$6),BH106*0.5,IF(OR(Исходн.данные.!T106=Расчет!$BS$9,Исходн.данные.!T106=Расчет!$BS$10,Исходн.данные.!T106=Расчет!$BS$11,Исходн.данные.!T106=Расчет!$BS$12,Исходн.данные.!T106=Расчет!$BP$5),BH106*0.8,BH106))))</f>
        <v>0</v>
      </c>
      <c r="BM106" s="10">
        <f>IF(OR(Исходн.данные.!$AH106=$BP$1,Исходн.данные.!$AH106=$BP$2),0,IF(BJ106&lt;0,0,IF(Исходн.данные.!I106&lt;4.5,BJ106*1.2,IF(Исходн.данные.!I106&gt;5.1,BJ106,BJ106*((5.1-Исходн.данные.!I106)*0.333+1)))))</f>
        <v>0</v>
      </c>
      <c r="BN106" s="10">
        <f>IF(OR(Исходн.данные.!$AH106=$BP$1,Исходн.данные.!$AH106=$BP$2),60-Исходн.данные.!AF106,IF(BK106&lt;0,0,IF(Исходн.данные.!I106&lt;4.5,BK106*1.2,IF(Исходн.данные.!I106&gt;5.1,BK106,BK106*((5.1-Исходн.данные.!I106)*0.333+1)))))</f>
        <v>0</v>
      </c>
      <c r="BO106" s="9">
        <f>IF(BL106&lt;0,0,BL106*Исходн.данные.!$AJ106/1000)</f>
        <v>0</v>
      </c>
      <c r="BP106" s="9">
        <f>IF(BM106&lt;0,0,BM106*Исходн.данные.!$AJ106/1000)</f>
        <v>0</v>
      </c>
      <c r="BQ106" s="9">
        <f>IF(BN106&lt;0,0,BN106*Исходн.данные.!$AJ106/1000)</f>
        <v>0</v>
      </c>
      <c r="BR106" s="9">
        <f t="shared" si="155"/>
        <v>0</v>
      </c>
      <c r="BS106" s="10" t="str">
        <f t="shared" si="156"/>
        <v>Аммофос 12:52:00</v>
      </c>
      <c r="BT106" s="10" t="str">
        <f t="shared" si="157"/>
        <v>Аммофос 12:52:00</v>
      </c>
      <c r="BU106" s="10" t="str">
        <f t="shared" si="158"/>
        <v>Диаммофоска</v>
      </c>
      <c r="BV106" s="10">
        <f t="shared" si="159"/>
        <v>0</v>
      </c>
      <c r="BW106" s="10"/>
      <c r="BX106" s="10"/>
      <c r="BY106" s="9">
        <f>IF(BL106&lt;0,0,IF(OR(Исходн.данные.!AI106=Расчет!$BU$6,Исходн.данные.!AI106=Расчет!$BU$7),Расчет!BV106,IF(Исходн.данные.!$AG106=$BV$11,BL106,IF(OR(Исходн.данные.!$AH106=$BQ$7,Исходн.данные.!$AH106=$BQ$8),CB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0,IF(Исходн.данные.!$AI106=$BU$11,"Нет",IF(BL106&gt;30,30,BL106)))))))</f>
        <v>0</v>
      </c>
      <c r="BZ106" s="9">
        <f>IF(AND(Исходн.данные.!$AG106=$BV$11,BM106&lt;10),10,IF(Исходн.данные.!$AG106=$BV$11,BM106,IF(OR(Исходн.данные.!$AH106=$BQ$7,Исходн.данные.!$AH106=$BQ$8),CC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10,IF(Исходн.данные.!$AI106=$BU$11,"Нет",IF(BM106&gt;60,60,IF(BM106&lt;10,10,BM106)))))))</f>
        <v>10</v>
      </c>
      <c r="CA106" s="39">
        <f>IF(BN106&lt;0,0,IF(Исходн.данные.!$AG106=$BV$11,BN106,IF(OR(Исходн.данные.!$AH106=$BQ$7,Исходн.данные.!$AH106=$BQ$8),CD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0,IF(Исходн.данные.!$AI106=$BU$11,"Нет",IF(BN106&gt;30,30,BN106))))))</f>
        <v>0</v>
      </c>
      <c r="CB106" s="9">
        <f t="shared" si="160"/>
        <v>0</v>
      </c>
      <c r="CC106" s="9">
        <f t="shared" si="161"/>
        <v>0</v>
      </c>
      <c r="CD106" s="9">
        <f t="shared" si="162"/>
        <v>0</v>
      </c>
      <c r="CE106" s="12">
        <f t="shared" si="163"/>
        <v>10</v>
      </c>
      <c r="CF106" s="9">
        <f t="shared" si="164"/>
        <v>0</v>
      </c>
      <c r="CG106" s="9" t="s">
        <v>231</v>
      </c>
      <c r="CH106" s="132" t="str">
        <f>IF(Исходн.данные.!AP106=Расчет!$CI$16,"Нет",IF(Исходн.данные.!AL106&gt;0,Исходн.данные.!AL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BH$4,IF(OR(Исходн.данные.!AI106=Исходн.данные.!$AI$6,Исходн.данные.!AI106=Исходн.данные.!$AI$7),Расчет!BS106,IF(AND($CF106=0,$CE106&gt;0),EV106,ER106)))))</f>
        <v>Аммофос 12:52:00</v>
      </c>
      <c r="CI106" s="274">
        <f>IF(Расчет!$CH106="Нет","Нет",IF(Исходн.данные.!$AL106&gt;0,VLOOKUP(Расчет!$CH106,АшламаДВ_Irekle,2,FALSE),VLOOKUP(Расчет!$CH106,АшламаДВ_Gomumy,2,FALSE)))</f>
        <v>0.12</v>
      </c>
      <c r="CJ106" s="274">
        <f>IF(Расчет!$CH106="Нет","Нет",IF(Исходн.данные.!$AL106&gt;0,VLOOKUP(Расчет!$CH106,АшламаДВ_Irekle,3,FALSE),VLOOKUP(Расчет!$CH106,АшламаДВ_Gomumy,3,FALSE)))</f>
        <v>0.52</v>
      </c>
      <c r="CK106" s="274">
        <f>IF(Расчет!$CH106="Нет","Нет",IF(Исходн.данные.!$AL106&gt;0,VLOOKUP(Расчет!$CH106,АшламаДВ_Irekle,4,FALSE),VLOOKUP(Расчет!$CH106,АшламаДВ_Gomumy,4,FALSE)))</f>
        <v>0</v>
      </c>
      <c r="CL106" s="70"/>
      <c r="CM106" s="70"/>
      <c r="CN106" s="70"/>
      <c r="CO106" s="70"/>
      <c r="CP106" s="70"/>
      <c r="CQ106" s="70"/>
      <c r="CR106" s="10">
        <f t="shared" si="165"/>
        <v>0</v>
      </c>
      <c r="CS106" s="10">
        <f t="shared" si="166"/>
        <v>19.23076923076923</v>
      </c>
      <c r="CT106" s="10">
        <f t="shared" si="167"/>
        <v>0</v>
      </c>
      <c r="CU106" s="39">
        <f>IF($CH106="Нет",0,IF(CI106=0,30/MIN(CJ106:CK106),IF(Исходн.данные.!$AG106=$BV$11,CR106,IF(OR(Исходн.данные.!$AH106=$BQ$7,Исходн.данные.!$AH106=$BQ$8),90/CI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0,IF(Исходн.данные.!$AI106=$BU$11,"Нет",30/CI106))))))</f>
        <v>250</v>
      </c>
      <c r="CV106" s="39">
        <f>IF($CH106="Нет",0,IF(Исходн.данные.!AH106=0,0,IF(CJ106=0,60/MIN(CI106,CK106),IF(Исходн.данные.!$AG106=$BV$11,CS106,IF(OR(Исходн.данные.!$AH106=$BQ$7,Исходн.данные.!$AH106=$BQ$8),90/CJ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10/CJ106,IF(Исходн.данные.!$AI106=$BU$11,"Нет",60/CJ106)))))))</f>
        <v>0</v>
      </c>
      <c r="CW106" s="39">
        <f>IF($CH106="Нет",0,IF(Исходн.данные.!AH106=0,0,IF(CK106=0,30/MIN(CI106:CJ106),IF(Исходн.данные.!$AG106=$BV$11,CT106,IF(OR(Исходн.данные.!$AH106=$BQ$7,Исходн.данные.!$AH106=$BQ$8),90/CK106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0,IF(Исходн.данные.!$AI106=$BU$11,"Нет",30/CK106)))))))</f>
        <v>0</v>
      </c>
      <c r="CX106" s="133">
        <f>IF(Исходн.данные.!$AG106=$BV$11,MAX(CU106:CW106),IF(OR(Исходн.данные.!$AH106=$BS$8,Исходн.данные.!$AH106=$BQ$9,Исходн.данные.!$AH106=$BQ$10,Исходн.данные.!$AH106=$BQ$11,Исходн.данные.!$AH106=$BQ$12,Исходн.данные.!$AH106=$BP$3,Исходн.данные.!$AH106=$BT$8,$FM106="Да"),CV106,MIN(CU106:CW106)))</f>
        <v>0</v>
      </c>
      <c r="CY106" s="133">
        <f>IF(Исходн.данные.!AH106=0,0,IF(CR106&gt;$CX106,$CX106,CR106))</f>
        <v>0</v>
      </c>
      <c r="CZ106" s="133">
        <f>IF(Исходн.данные.!AH106=0,0,IF(CS106&gt;$CX106,$CX106,CS106))</f>
        <v>0</v>
      </c>
      <c r="DA106" s="133">
        <f>IF(Исходн.данные.!AH106=0,0,IF(CT106&gt;$CX106,$CX106,CT106))</f>
        <v>0</v>
      </c>
      <c r="DB106" s="10">
        <f t="shared" si="168"/>
        <v>0</v>
      </c>
      <c r="DC106" s="39">
        <f>DB106*Исходн.данные.!AJ106/1000</f>
        <v>0</v>
      </c>
      <c r="DD106" s="71">
        <f t="shared" si="169"/>
        <v>0</v>
      </c>
      <c r="DE106" s="9">
        <f t="shared" si="170"/>
        <v>0</v>
      </c>
      <c r="DF106" s="9">
        <f t="shared" si="171"/>
        <v>0</v>
      </c>
      <c r="DG106" s="39">
        <f>IF(BL106&lt;0,0,IF($CH106="Нет",BL106,IF(OR(Исходн.данные.!$AH106=$BP$1,Исходн.данные.!$AH106=$BP$2),0,IF(Исходн.данные.!AI106=$BU$11,BL106,IF(BL106-DD106&lt;0,0,BL106-DD106)))))</f>
        <v>0</v>
      </c>
      <c r="DH106" s="39">
        <f>IF(BM106&lt;0,0,IF($CH106="Нет",BM106,IF(OR(Исходн.данные.!$AH106=$BP$1,Исходн.данные.!$AH106=$BP$2),0,IF(Исходн.данные.!AJ106=$BU$11,BM106,IF(BM106-DE106&lt;0,0,BM106-DE106)))))</f>
        <v>0</v>
      </c>
      <c r="DI106" s="39">
        <f>IF(BN106&lt;0,0,IF($CH106="Нет",BN106,IF(OR(Исходн.данные.!$AH106=$BP$1,Исходн.данные.!$AH106=$BP$2),0,IF(Исходн.данные.!AK106=$BU$11,BN106,IF(BN106-DF106&lt;0,0,BN106-DF106)))))</f>
        <v>0</v>
      </c>
      <c r="DJ106" s="12">
        <f t="shared" si="172"/>
        <v>0</v>
      </c>
      <c r="DK106" s="9">
        <f t="shared" si="173"/>
        <v>0</v>
      </c>
      <c r="DL106" s="39">
        <f>IF(Исходн.данные.!AM106&gt;0,Исходн.данные.!AM106,IF(EG106&gt;0,$BH$10,0))</f>
        <v>0</v>
      </c>
      <c r="DM106" s="186">
        <f>IF($DL106=0,0,IF(Исходн.данные.!AM106&gt;0,VLOOKUP($DL106,АшламаДВ_Irekle,2,FALSE),VLOOKUP($DL106,АшламаДВ_Gomumy,2,FALSE)))</f>
        <v>0</v>
      </c>
      <c r="DN106" s="10">
        <f t="shared" si="151"/>
        <v>0</v>
      </c>
      <c r="DO106" s="9" t="str">
        <f>IF(Исходн.данные.!AN106&gt;0,Исходн.данные.!AN106,Удобрения!$B$37 )</f>
        <v>Хлор.калий</v>
      </c>
      <c r="DP106" s="9">
        <f>IF(Исходн.данные.!AN106&gt;0,VLOOKUP(Исходн.данные.!AN106,АшламаДВ_Irekle,4,FALSE),VLOOKUP(DO106,АшламаДВ_Gomumy,4,FALSE))</f>
        <v>0.6</v>
      </c>
      <c r="DQ106" s="10">
        <f t="shared" si="152"/>
        <v>0</v>
      </c>
      <c r="DR106" s="132" t="str">
        <f>IF(Исходн.данные.!AO106&gt;0,Исходн.данные.!AO106,IF(DH106=0,BS$17,IF(AND($DK106=0,$DJ106&gt;0),EJ106,EN106)))</f>
        <v>Нет</v>
      </c>
      <c r="DS106" s="70" t="str">
        <f>IF($DR106="Нет","Нет",IF(Исходн.данные.!$AO106&gt;0,VLOOKUP($DR106,АшламаДВ_Irekle,2,FALSE),VLOOKUP($DR106,АшламаДВ_Gomumy,2,FALSE)))</f>
        <v>Нет</v>
      </c>
      <c r="DT106" s="70" t="str">
        <f>IF($DR106="Нет","Нет",IF(Исходн.данные.!$AO106&gt;0,VLOOKUP($DR106,АшламаДВ_Irekle,3,FALSE),VLOOKUP($DR106,АшламаДВ_Gomumy,3,FALSE)))</f>
        <v>Нет</v>
      </c>
      <c r="DU106" s="70" t="str">
        <f>IF($DR106="Нет","Нет",IF(Исходн.данные.!$AO106&gt;0,VLOOKUP($DR106,АшламаДВ_Irekle,4,FALSE),VLOOKUP($DR106,АшламаДВ_Gomumy,4,FALSE)))</f>
        <v>Нет</v>
      </c>
      <c r="DV106" s="70"/>
      <c r="DW106" s="70"/>
      <c r="DX106" s="70"/>
      <c r="DY106" s="10">
        <f t="shared" si="174"/>
        <v>0</v>
      </c>
      <c r="DZ106" s="10">
        <f t="shared" si="175"/>
        <v>0</v>
      </c>
      <c r="EA106" s="10">
        <f t="shared" si="176"/>
        <v>0</v>
      </c>
      <c r="EB106" s="10">
        <f t="shared" si="177"/>
        <v>0</v>
      </c>
      <c r="EC106" s="10">
        <f t="shared" si="178"/>
        <v>0</v>
      </c>
      <c r="ED106" s="10">
        <f t="shared" si="179"/>
        <v>0</v>
      </c>
      <c r="EE106" s="10">
        <f t="shared" si="180"/>
        <v>0</v>
      </c>
      <c r="EF106" s="39">
        <f>EB106*Исходн.данные.!AJ106/1000</f>
        <v>0</v>
      </c>
      <c r="EG106" s="9">
        <f t="shared" si="181"/>
        <v>0</v>
      </c>
      <c r="EH106" s="9">
        <f t="shared" si="182"/>
        <v>0</v>
      </c>
      <c r="EI106" s="39" t="e">
        <f t="shared" si="132"/>
        <v>#DIV/0!</v>
      </c>
      <c r="EJ106" s="9" t="str">
        <f t="shared" si="153"/>
        <v>Азопреципитат</v>
      </c>
      <c r="EK106" s="12">
        <f t="shared" si="133"/>
        <v>0.26</v>
      </c>
      <c r="EL106" s="12">
        <f t="shared" si="134"/>
        <v>0.13</v>
      </c>
      <c r="EM106" s="12">
        <f t="shared" si="135"/>
        <v>0</v>
      </c>
      <c r="EN106" s="12" t="str">
        <f t="shared" si="154"/>
        <v>Нет</v>
      </c>
      <c r="EO106" s="12">
        <f t="shared" si="136"/>
        <v>0</v>
      </c>
      <c r="EP106" s="12">
        <f t="shared" si="137"/>
        <v>0</v>
      </c>
      <c r="EQ106" s="12">
        <f t="shared" si="138"/>
        <v>0</v>
      </c>
      <c r="ER106" s="12" t="str">
        <f t="shared" si="183"/>
        <v>Диаммофоска</v>
      </c>
      <c r="ES106" s="12">
        <f t="shared" si="139"/>
        <v>0.1</v>
      </c>
      <c r="ET106" s="12">
        <f t="shared" si="140"/>
        <v>0.26</v>
      </c>
      <c r="EU106" s="12">
        <f t="shared" si="141"/>
        <v>0.26</v>
      </c>
      <c r="EV106" s="12" t="str">
        <f t="shared" si="184"/>
        <v>Аммофос 12:52:00</v>
      </c>
      <c r="EW106" s="12" t="str">
        <f t="shared" si="185"/>
        <v>Кемира Свекловичное-6</v>
      </c>
      <c r="EX106" s="12">
        <f t="shared" si="142"/>
        <v>0.16</v>
      </c>
      <c r="EY106" s="12">
        <f t="shared" si="143"/>
        <v>0.12</v>
      </c>
      <c r="EZ106" s="12">
        <f t="shared" si="144"/>
        <v>0.17</v>
      </c>
      <c r="FA106" s="38" t="e">
        <f>IF(AND(OR(FJ106=$FD$1,FM106=$FD$1,FO106=$FD$1,FQ106=$FD$1,FS106=$FD$1),FD106=$FD$1,Исходн.данные.!J106&lt;2,FU106=$FD$1),"Бор,Кобальт",IF(AND(FO106=$FD$1,FH106=$FD$1,Исходн.данные.!J106&lt;2,FU106=$FD$1),"Бор,Кобальт",IF(AND(OR(FJ106=$FD$1,FM106=$FD$1,FQ106=$FD$1),FE106=$FD$1,Исходн.данные.!J106&lt;2,FT106=$FD$1,FU106=$FD$1),"Бор,Медь,Цинк",IF(AND(OR(FJ106=$FD$1,FR106="Да"),FI106="Да",Исходн.данные.!J106&lt;2,FT106="Да",FU106="Да"),"Бор,Цинк,Медь",IF(AND(OR(FM106="Да",FQ106="Да"),FI106="Да",Исходн.данные.!J106&lt;2,FT106="Да",FU106="Да"),"Бор,Цинк",IF(AND(FN106="Да",OR(FD106="Да",FE106="Да")),"Бор",FB106))))))</f>
        <v>#N/A</v>
      </c>
      <c r="FB106" s="134" t="e">
        <f>IF(AND(OR(FD106="Да",FE106="Да",FF106="Да",FG106="Да",FH106="Да"),FO106="Да"),"Бор",IF(AND(FP106="Да",OR(FD106="Да",FE106="Да",FI106="Да")),"Бор",IF(AND(FS106="Да",FE106="Да"),"Бор,Медь",IF(AND(OR(FJ106="Да",FK106="Да",FL106="Да"),FE106="Да",Исходн.данные.!I106&lt;5,FT106="Да",FU106="Да"),"Молибден,Цинк",IF(AND(FM106="Да",OR(FE106="Да",FF106="Да",FG106="Да",FH106="Да",FI106="Да")),"Молибден,Цинк",IF(AND(OR(FJ106="Да",FK106="Да",FL106="Да",FM106="Да",FQ106="Да"),OR(FE106="Да",FF106="Да"),FT106="Да",FU106="Да",Исходн.данные.!I106&gt;5.5),"Медь,Цинк",FC106))))))</f>
        <v>#N/A</v>
      </c>
      <c r="FC106" s="23" t="e">
        <f t="shared" si="186"/>
        <v>#N/A</v>
      </c>
      <c r="FD106" s="38" t="str">
        <f>IF(OR(Исходн.данные.!F106=$CC$1,Исходн.данные.!F106=$CC$2,Исходн.данные.!F106=$CC$3,Исходн.данные.!F106=$CC$4),"Да","Нет")</f>
        <v>Нет</v>
      </c>
      <c r="FE106" s="38" t="str">
        <f>IF(Исходн.данные.!F106=$CC$5,"Да","Нет")</f>
        <v>Нет</v>
      </c>
      <c r="FF106" s="38" t="str">
        <f>IF(OR(Исходн.данные.!F106=$CC$6,Исходн.данные.!F106=$CC$7),"Да","Нет")</f>
        <v>Нет</v>
      </c>
      <c r="FG106" s="38" t="str">
        <f>IF(OR(Исходн.данные.!F106=$CC$8,Исходн.данные.!F106=$CC$9),"Да","Нет")</f>
        <v>Нет</v>
      </c>
      <c r="FH106" s="38" t="str">
        <f>IF(Исходн.данные.!F106=$CC$10,"Да","Нет")</f>
        <v>Нет</v>
      </c>
      <c r="FI106" s="38" t="str">
        <f>IF(OR(Исходн.данные.!F106=$CC$11,Исходн.данные.!F106=$CC$12),"Да","Нет")</f>
        <v>Нет</v>
      </c>
      <c r="FJ106" s="38" t="str">
        <f>IF(OR(Исходн.данные.!AH106=$BS$1,Исходн.данные.!AH106=$BQ$11,Исходн.данные.!AH106=$BQ$12),"Да","Нет")</f>
        <v>Нет</v>
      </c>
      <c r="FK106" s="38" t="str">
        <f>IF(OR(Исходн.данные.!AH106=$BS$2,Исходн.данные.!AH106=$BS$4),"Да","Нет")</f>
        <v>Нет</v>
      </c>
      <c r="FL106" s="38" t="str">
        <f>IF(OR(Исходн.данные.!AH106=$BS$3,Исходн.данные.!AH106=$BS$5),"Да","Нет")</f>
        <v>Нет</v>
      </c>
      <c r="FM106" s="38" t="str">
        <f>IF(OR(Исходн.данные.!AH106=$BS$9,Исходн.данные.!AH106=$BS$10,Исходн.данные.!AH106=$BS$11,Исходн.данные.!AH106=$BS$12),"Да","Нет")</f>
        <v>Нет</v>
      </c>
      <c r="FN106" s="38" t="str">
        <f>IF(OR(Исходн.данные.!AH106=$BS$6,Исходн.данные.!AH106=$BP$3),"Да","Нет")</f>
        <v>Нет</v>
      </c>
      <c r="FO106" s="38" t="str">
        <f>IF(Исходн.данные.!AH106=$BQ$9,"Да","Нет")</f>
        <v>Нет</v>
      </c>
      <c r="FP106" s="38" t="str">
        <f>IF(OR(Исходн.данные.!AH106=$BS$8,Исходн.данные.!AH106=$BT$8),"Да","Нет")</f>
        <v>Нет</v>
      </c>
      <c r="FQ106" s="38" t="str">
        <f>IF(OR(Исходн.данные.!AH106=$BQ$7,Исходн.данные.!AH106=$BQ$8),"Да","Нет")</f>
        <v>Нет</v>
      </c>
      <c r="FR106" s="38" t="str">
        <f>IF(Исходн.данные.!AI106=$BU$9,"Да","Нет")</f>
        <v>Нет</v>
      </c>
      <c r="FS106" s="38" t="str">
        <f>IF(OR(Исходн.данные.!AH106=$BP$1,Исходн.данные.!AH106=$BP$2),"Да","Нет")</f>
        <v>Нет</v>
      </c>
      <c r="FT106" s="38" t="e">
        <f>IF((Исходн.данные.!K106*GO106*GS106*GW106+BL106*0.6+Исходн.данные.!Q106*4.5*0.275)&gt;90,"Да","Нет")</f>
        <v>#N/A</v>
      </c>
      <c r="FU106" s="38" t="e">
        <f>IF((Исходн.данные.!M106*GS106*GZ106+BM106*0.225)&gt;35,"Да","Нет")</f>
        <v>#N/A</v>
      </c>
      <c r="FV106" s="38" t="str">
        <f>IF(Исходн.данные.!O106&gt;175,"Да","Нет")</f>
        <v>Нет</v>
      </c>
      <c r="FW106" s="39" t="str">
        <f>IF(Исходн.данные.!I106&gt;5.5,"Да","Нет")</f>
        <v>Нет</v>
      </c>
      <c r="FX106" s="39" t="str">
        <f>IF(Исходн.данные.!J106&lt;2,"Да","Нет")</f>
        <v>Да</v>
      </c>
      <c r="FY106" s="39" t="e">
        <f>IF(HF106=$FY$16,0,Исходн.данные.!K106*GO106*GS106*GW106/HF106)</f>
        <v>#N/A</v>
      </c>
      <c r="FZ106" s="39" t="e">
        <f>Исходн.данные.!M106*GS106*GZ106/HG106</f>
        <v>#N/A</v>
      </c>
      <c r="GA106" s="39" t="e">
        <f>IF(K_Wyn=$FY$16,0,IF(Исходн.данные.!N106=Исходн.данные.!$L$10,Исходн.данные.!O106/1.1*GS106*HC106/HH106,IF(Исходн.данные.!N106=Исходн.данные.!$L$12,Исходн.данные.!O106/1.5*GS106*HC106/HH106,Исходн.данные.!O106*GS106*HC106/HH106)))</f>
        <v>#N/A</v>
      </c>
      <c r="GB106" s="39" t="e">
        <f>IF(HF106=$FY$16,0,((Исходн.данные.!Q106*N_Org+Исходн.данные.!R106*N_Sider+Исходн.данные.!S106*N_Soloma)*AO106+Расчет!BC106*VLOOKUP(Исходн.данные.!T106,Справ!$A$3:$O$57,15)*AO106+BB106*VLOOKUP(Исходн.данные.!T106,Справ!$A$3:$O$57,15)*AL106+(Исходн.данные.!V106*N_Rizotorf+Исходн.данные.!W106*N_Rizoagr))/HF106)</f>
        <v>#N/A</v>
      </c>
      <c r="GC106" s="39" t="e">
        <f>IF(HG106=$FY$16,0,((Исходн.данные.!Q106*Р_Org+Исходн.данные.!R106*P_Sider+Исходн.данные.!S106*P_Soloma)*AP106+Расчет!BC106*VLOOKUP(Исходн.данные.!T106,Справ!$A$3:$P$57,16)*AP106+BB106*VLOOKUP(Исходн.данные.!T106,Справ!$A$3:$P$57,16)*AM106)/HG106)</f>
        <v>#N/A</v>
      </c>
      <c r="GD106" s="39" t="e">
        <f>IF(HH106=$FY$16,0,((Исходн.данные.!Q106*К_Org+Исходн.данные.!R106*K_Sider+Исходн.данные.!S106*K_Soloma)*AQ106+Расчет!BC106*VLOOKUP(Исходн.данные.!T106,Справ!$A$3:$Q$57,17)*AQ106+BB106*VLOOKUP(Исходн.данные.!T106,Справ!$A$3:$Q$57,17)*AN106)/HH106)</f>
        <v>#N/A</v>
      </c>
      <c r="GE106" s="39" t="e">
        <f>IF(HF106=$FY$16,0,(Исходн.данные.!X106*AR106+Исходн.данные.!AA106*N_Org*AL106+Исходн.данные.!AB106*N_Sider*AL106+Исходн.данные.!AC106*N_Soloma*AL106)/HF106)</f>
        <v>#N/A</v>
      </c>
      <c r="GF106" s="39" t="e">
        <f>IF(HG106=$FY$16,0,(Исходн.данные.!Y106*AS106+Исходн.данные.!AA106*Р_Org*AM106+Исходн.данные.!AB106*P_Sider*AM106+Исходн.данные.!AC106*P_Soloma*AM106)/HG106)</f>
        <v>#N/A</v>
      </c>
      <c r="GG106" s="39" t="e">
        <f>IF(HH106=$FY$16,0,(Исходн.данные.!Z106*AT106+Исходн.данные.!AA106*К_Org*AN106+Исходн.данные.!AB106*K_Sider*AN106+Исходн.данные.!AC106*K_Soloma*AN106)/HH106)</f>
        <v>#N/A</v>
      </c>
      <c r="GH106" s="39" t="e">
        <f>Исходн.данные.!AD106*AU106/HF106</f>
        <v>#N/A</v>
      </c>
      <c r="GI106" s="39" t="e">
        <f>Исходн.данные.!AE106*AV106/HG106</f>
        <v>#N/A</v>
      </c>
      <c r="GJ106" s="39" t="e">
        <f>Исходн.данные.!AF106*AW106/HH106</f>
        <v>#N/A</v>
      </c>
      <c r="GK106" s="55">
        <f>Исходн.данные.!AK106</f>
        <v>0</v>
      </c>
      <c r="GL106" s="11" t="e">
        <f t="shared" si="187"/>
        <v>#N/A</v>
      </c>
      <c r="GM106" s="11" t="e">
        <f t="shared" si="188"/>
        <v>#N/A</v>
      </c>
      <c r="GN106" s="11" t="e">
        <f t="shared" si="189"/>
        <v>#N/A</v>
      </c>
      <c r="GO106" s="57">
        <f t="shared" si="190"/>
        <v>19</v>
      </c>
      <c r="GP106" s="55">
        <f>IF(OR(Исходн.данные.!F106=$CE$1,Исходн.данные.!F106=$CE$2,Исходн.данные.!F106=$CE$3,Исходн.данные.!F106=$CE$4,Исходн.данные.!F106=$CE$5),GQ106,GR106)</f>
        <v>19</v>
      </c>
      <c r="GQ106" s="55">
        <f>IF(Исходн.данные.!F106=$CE$1,28,IF(Исходн.данные.!F106=$CE$2,26,IF(Исходн.данные.!F106=$CE$3,24,IF(Исходн.данные.!F106=$CE$4,22,IF(Исходн.данные.!F106=$CE$5,20,GR106)))))</f>
        <v>19</v>
      </c>
      <c r="GR106" s="55">
        <f>IF(Исходн.данные.!F106=$CE$6,18,IF(Исходн.данные.!F106=$CE$7,16,IF(Исходн.данные.!F106=$CE$8,14,IF(Исходн.данные.!F106=$CE$9,13,IF(Исходн.данные.!F106=$CE$10,12,19)))))</f>
        <v>19</v>
      </c>
      <c r="GS106" s="55">
        <f>IF(Исходн.данные.!G106="Пес",0.035*(40+2*Исходн.данные.!H106),IF(Исходн.данные.!G106="Суп",0.0325*(40+2*Исходн.данные.!H106),0.03*(40+2*Исходн.данные.!H106)))</f>
        <v>1.2</v>
      </c>
      <c r="GT106" s="55">
        <f>IF(Исходн.данные.!H106&lt;23,2.6,IF(AND(Исходн.данные.!H106&gt;22,Исходн.данные.!H106&lt;26),3,IF(AND(Исходн.данные.!H106&gt;25,Исходн.данные.!H106&lt;29),3.4,3.6)))</f>
        <v>2.6</v>
      </c>
      <c r="GU106" s="55">
        <f>IF(Исходн.данные.!H106&lt;23,2.8,IF(AND(Исходн.данные.!H106&gt;22,Исходн.данные.!H106&lt;26),3.2,IF(AND(Исходн.данные.!H106&gt;25,Исходн.данные.!H106&lt;29),3.6,3.9)))</f>
        <v>2.8</v>
      </c>
      <c r="GV106" s="55">
        <f>IF(Исходн.данные.!H106&lt;23,3,IF(AND(Исходн.данные.!H106&gt;22,Исходн.данные.!H106&lt;26),3.5,IF(AND(Исходн.данные.!H106&gt;25,Исходн.данные.!H106&lt;29),3.9,4.2)))</f>
        <v>3</v>
      </c>
      <c r="GW106" s="55" t="e">
        <f>IF(Исходн.данные.!P106="Ум",GX106,GY106)</f>
        <v>#N/A</v>
      </c>
      <c r="GX106" s="55" t="e">
        <f>VLOOKUP(Исходн.данные.!AI106,Коэффициенты!$J$7:$L$13,2,FALSE)</f>
        <v>#N/A</v>
      </c>
      <c r="GY106" s="55" t="e">
        <f>VLOOKUP(Исходн.данные.!AI106,Коэффициенты!$J$7:$L$13,3,FALSE)</f>
        <v>#N/A</v>
      </c>
      <c r="GZ106" s="55" t="e">
        <f>(IF(Исходн.данные.!M106&lt;50,0.11*VLOOKUP(Исходн.данные.!AH106,Культуры.Информация,7,FALSE),IF(Исходн.данные.!M106&gt;250,0.05*VLOOKUP(Исходн.данные.!AH106,Культуры.Информация,7,FALSE),VLOOKUP(Исходн.данные.!AH106,Культуры.Информация,5,FALSE)/100*($GX$6+$GY$6*Исходн.данные.!M106))))*Расчет2!AI106</f>
        <v>#N/A</v>
      </c>
      <c r="HA106" s="211"/>
      <c r="HB106" s="211"/>
      <c r="HC106" s="55" t="e">
        <f>(IF(Исходн.данные.!O106&lt;80,0.2*VLOOKUP(Исходн.данные.!AH106,Культуры.Информация,8,FALSE),IF(Исходн.данные.!O106&gt;240,0.09*VLOOKUP(Исходн.данные.!AH106,Культуры.Информация,8,FALSE),VLOOKUP(Исходн.данные.!AH106,Культуры.Информация,6,FALSE)/100*($HB$6+$HC$6*Исходн.данные.!O106))))*Расчет2!AJ106</f>
        <v>#N/A</v>
      </c>
      <c r="HD106" s="55">
        <f>IF(Исходн.данные.!O106&gt;240,0.09,IF(Исходн.данные.!O106&lt;30,0.3,$HE$10+$HD$10*Исходн.данные.!O106))</f>
        <v>0.3</v>
      </c>
      <c r="HE106" s="55">
        <f>IF(Исходн.данные.!O106&gt;240,0.17,IF(Исходн.данные.!O106&lt;30,0.5,$HF$12+$HE$12*Исходн.данные.!O106))</f>
        <v>0.5</v>
      </c>
      <c r="HF106" s="55" t="e">
        <f>VLOOKUP(Исходн.данные.!AH106,Справ!$A$3:$D$58,2,FALSE)</f>
        <v>#N/A</v>
      </c>
      <c r="HG106" s="55" t="e">
        <f>VLOOKUP(Исходн.данные.!AH106,Справ!$A$3:$D$58,3,FALSE)</f>
        <v>#N/A</v>
      </c>
      <c r="HH106" s="55" t="e">
        <f>VLOOKUP(Исходн.данные.!AH106,Справ!$A$3:$D$58,4,FALSE)</f>
        <v>#N/A</v>
      </c>
      <c r="HI106" s="11" t="e">
        <f t="shared" si="191"/>
        <v>#N/A</v>
      </c>
      <c r="HJ106" s="11" t="e">
        <f t="shared" si="192"/>
        <v>#N/A</v>
      </c>
      <c r="HK106" s="11" t="e">
        <f t="shared" si="193"/>
        <v>#N/A</v>
      </c>
      <c r="HL106" s="55">
        <f>IF(OR(Исходн.данные.!G106="Глин",Исходн.данные.!G106="Т_суг"),1.1,IF(Исходн.данные.!G106="Ср_суг",1,1))</f>
        <v>1</v>
      </c>
      <c r="HM106" s="55">
        <f>IF(OR(Исходн.данные.!G106="Глин",Исходн.данные.!G106="Т_суг"),0.9,IF(Исходн.данные.!G106="Ср_суг",1,1.2))</f>
        <v>1.2</v>
      </c>
      <c r="HN106" s="11" t="e">
        <f t="shared" si="194"/>
        <v>#N/A</v>
      </c>
      <c r="HO106" s="11" t="e">
        <f t="shared" si="195"/>
        <v>#N/A</v>
      </c>
      <c r="HP106" s="11" t="e">
        <f t="shared" si="196"/>
        <v>#N/A</v>
      </c>
      <c r="HQ106" t="e">
        <f t="shared" si="197"/>
        <v>#N/A</v>
      </c>
      <c r="HR106" t="e">
        <f t="shared" si="198"/>
        <v>#N/A</v>
      </c>
      <c r="HS106" t="e">
        <f t="shared" si="199"/>
        <v>#N/A</v>
      </c>
      <c r="HT106" t="e">
        <f t="shared" si="145"/>
        <v>#N/A</v>
      </c>
      <c r="HU106" t="e">
        <f t="shared" si="146"/>
        <v>#N/A</v>
      </c>
      <c r="HV106" t="e">
        <f t="shared" si="147"/>
        <v>#N/A</v>
      </c>
      <c r="HW106" t="e">
        <f t="shared" si="148"/>
        <v>#N/A</v>
      </c>
      <c r="HX106" t="e">
        <f t="shared" si="149"/>
        <v>#N/A</v>
      </c>
      <c r="HY106" t="e">
        <f t="shared" si="150"/>
        <v>#N/A</v>
      </c>
      <c r="HZ106" s="55">
        <f>IF(OR(Исходн.данные.!AI106="Оз_Ч_П",Исходн.данные.!AI106="Оз_З_П",Исходн.данные.!AI106="Яр_зер"),12,30)</f>
        <v>30</v>
      </c>
      <c r="IA106" t="e">
        <f t="shared" si="200"/>
        <v>#N/A</v>
      </c>
      <c r="IB106" t="e">
        <f t="shared" si="201"/>
        <v>#N/A</v>
      </c>
      <c r="IC106" t="e">
        <f t="shared" si="202"/>
        <v>#N/A</v>
      </c>
      <c r="ID106" s="11" t="e">
        <f t="shared" si="203"/>
        <v>#N/A</v>
      </c>
      <c r="IE106" s="11" t="e">
        <f t="shared" si="204"/>
        <v>#N/A</v>
      </c>
      <c r="IF106" s="11" t="e">
        <f t="shared" si="205"/>
        <v>#N/A</v>
      </c>
    </row>
    <row r="107" spans="35:240" x14ac:dyDescent="0.2">
      <c r="AI107">
        <f>IF(Исходн.данные.!I107&gt;6,1,1.85-(0.148*Исходн.данные.!I107))</f>
        <v>1.85</v>
      </c>
      <c r="AJ107">
        <f>IF(Исходн.данные.!I107&gt;6,1,2.434-(0.246*Исходн.данные.!I107))</f>
        <v>2.4340000000000002</v>
      </c>
      <c r="AL107" s="148" t="b">
        <f>IF(Исходн.данные.!$P107="Ум",N_OrgUd_2g_um,IF(Исходн.данные.!$P107="Об",N_OrgUd_2g_ob))</f>
        <v>0</v>
      </c>
      <c r="AM107" s="148" t="b">
        <f>IF(Исходн.данные.!$P107="Ум",P_OrgUd_2g_um,IF(Исходн.данные.!$P107="Об",P_OrgUd_2g_ob))</f>
        <v>0</v>
      </c>
      <c r="AN107" s="148" t="b">
        <f>IF(Исходн.данные.!$P107="Ум",K_OrgUd_2g_um,IF(Исходн.данные.!$P107="Об",K_OrgUd_2g_ob))</f>
        <v>0</v>
      </c>
      <c r="AO107" s="148" t="b">
        <f>IF(Исходн.данные.!$P107="Ум",N_OrgUd_1g_um,IF(Исходн.данные.!$P107="Об",N_OrgUd_1g_ob))</f>
        <v>0</v>
      </c>
      <c r="AP107" s="148" t="b">
        <f>IF(Исходн.данные.!$P107="Ум",P_OrgUd_1g_um,IF(Исходн.данные.!$P107="Об",P_OrgUd_1g_ob))</f>
        <v>0</v>
      </c>
      <c r="AQ107" s="148" t="b">
        <f>IF(Исходн.данные.!$P107="Ум",K_OrgUd_1g_um,IF(Исходн.данные.!$P107="Об",K_OrgUd_1g_ob))</f>
        <v>0</v>
      </c>
      <c r="AR107" t="b">
        <f>IF(Исходн.данные.!$P107="Ум",N_MinUd_2g_um,IF(Исходн.данные.!$P107="Об",N_MinUd_2g_ob))</f>
        <v>0</v>
      </c>
      <c r="AS107" t="b">
        <f>IF(Исходн.данные.!$P107="Ум",P_MinUd_2g_um,IF(Исходн.данные.!$P107="Об",P_MinUd_2g_ob))</f>
        <v>0</v>
      </c>
      <c r="AT107" t="b">
        <f>IF(Исходн.данные.!$P107="Ум",K_MinUd_2g_um,IF(Исходн.данные.!$P107="Об",K_MinUd_2g_ob))</f>
        <v>0</v>
      </c>
      <c r="AU107" t="b">
        <f>IF(Исходн.данные.!$P107="Ум",N_MinUd_1g_um,IF(Исходн.данные.!$P107="Об",N_MinUd_1g_ob))</f>
        <v>0</v>
      </c>
      <c r="AV107" t="b">
        <f>IF(Исходн.данные.!P107="Ум",P_MinUd_1g_um,IF(Исходн.данные.!P107="Об",P_MinUd_1g_ob))</f>
        <v>0</v>
      </c>
      <c r="AW107" t="b">
        <f>IF(Исходн.данные.!P107="Ум",K_MinUd_1g_um,IF(Исходн.данные.!P107="Об",K_MinUd_1g_ob))</f>
        <v>0</v>
      </c>
      <c r="AY107" t="e">
        <f>VLOOKUP(Исходн.данные.!T107,Справ!$A$3:$N$57,12)</f>
        <v>#N/A</v>
      </c>
      <c r="AZ107" t="e">
        <f>VLOOKUP(Исходн.данные.!T107,Справ!$A$3:$N$57,13)</f>
        <v>#N/A</v>
      </c>
      <c r="BA107" t="e">
        <f>VLOOKUP(Исходн.данные.!T107,Справ!$A$3:$N$57,14)</f>
        <v>#N/A</v>
      </c>
      <c r="BB107">
        <f>IF(Исходн.данные.!AH107=0,0,25)</f>
        <v>0</v>
      </c>
      <c r="BC107" s="141">
        <f>IF(Исходн.данные.!AH107=0,0,IF(Исходн.данные.!T107=0,25,BD107))</f>
        <v>0</v>
      </c>
      <c r="BD107" s="168" t="e">
        <f>AY107+AZ107*Исходн.данные.!U107-POWER(BA107,2)*Исходн.данные.!U107</f>
        <v>#N/A</v>
      </c>
      <c r="BE10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7" s="25">
        <f>IF(Исходн.данные.!AH107=0,0,MIN(HN107:HP107))</f>
        <v>0</v>
      </c>
      <c r="BG107" s="9">
        <f>IF(Исходн.данные.!AH107=0,0,IF((HO107+10*0.25/HG107/HL107)&lt;17,17,HO107+10*0.25/HG107/HL107))</f>
        <v>0</v>
      </c>
      <c r="BH107" s="181">
        <f>IF(Исходн.данные.!AH107=0,0,HW107*HF107*HL107/AU107*AI107+Исходн.данные.!S107*10)</f>
        <v>0</v>
      </c>
      <c r="BI107" s="10"/>
      <c r="BJ107" s="182">
        <f>IF(Исходн.данные.!AH107=0,0,IF(HX107*HG107*HL107/AV107&lt;0,0,HX107*HG107*HL107/AV107*AJ107))</f>
        <v>0</v>
      </c>
      <c r="BK107" s="182">
        <f>IF(Исходн.данные.!AH107=0,0,HY107*HH107*HM107/AW107)</f>
        <v>0</v>
      </c>
      <c r="BL107" s="10">
        <f>IF(OR(Исходн.данные.!$AH107=$BP$1,Исходн.данные.!$AH107=$BP$2),0,IF(BH107&lt;0,0,IF(OR(Исходн.данные.!T107=Расчет!$BP$1,Исходн.данные.!T107=Расчет!$BP$2,Исходн.данные.!T107=Расчет!$BT$5,Исходн.данные.!T107=Расчет!$BT$6),BH107*0.5,IF(OR(Исходн.данные.!T107=Расчет!$BS$9,Исходн.данные.!T107=Расчет!$BS$10,Исходн.данные.!T107=Расчет!$BS$11,Исходн.данные.!T107=Расчет!$BS$12,Исходн.данные.!T107=Расчет!$BP$5),BH107*0.8,BH107))))</f>
        <v>0</v>
      </c>
      <c r="BM107" s="10">
        <f>IF(OR(Исходн.данные.!$AH107=$BP$1,Исходн.данные.!$AH107=$BP$2),0,IF(BJ107&lt;0,0,IF(Исходн.данные.!I107&lt;4.5,BJ107*1.2,IF(Исходн.данные.!I107&gt;5.1,BJ107,BJ107*((5.1-Исходн.данные.!I107)*0.333+1)))))</f>
        <v>0</v>
      </c>
      <c r="BN107" s="10">
        <f>IF(OR(Исходн.данные.!$AH107=$BP$1,Исходн.данные.!$AH107=$BP$2),60-Исходн.данные.!AF107,IF(BK107&lt;0,0,IF(Исходн.данные.!I107&lt;4.5,BK107*1.2,IF(Исходн.данные.!I107&gt;5.1,BK107,BK107*((5.1-Исходн.данные.!I107)*0.333+1)))))</f>
        <v>0</v>
      </c>
      <c r="BO107" s="9">
        <f>IF(BL107&lt;0,0,BL107*Исходн.данные.!$AJ107/1000)</f>
        <v>0</v>
      </c>
      <c r="BP107" s="9">
        <f>IF(BM107&lt;0,0,BM107*Исходн.данные.!$AJ107/1000)</f>
        <v>0</v>
      </c>
      <c r="BQ107" s="9">
        <f>IF(BN107&lt;0,0,BN107*Исходн.данные.!$AJ107/1000)</f>
        <v>0</v>
      </c>
      <c r="BR107" s="9">
        <f t="shared" si="155"/>
        <v>0</v>
      </c>
      <c r="BS107" s="10" t="str">
        <f t="shared" si="156"/>
        <v>Аммофос 12:52:00</v>
      </c>
      <c r="BT107" s="10" t="str">
        <f t="shared" si="157"/>
        <v>Аммофос 12:52:00</v>
      </c>
      <c r="BU107" s="10" t="str">
        <f t="shared" si="158"/>
        <v>Диаммофоска</v>
      </c>
      <c r="BV107" s="10">
        <f t="shared" si="159"/>
        <v>0</v>
      </c>
      <c r="BW107" s="10"/>
      <c r="BX107" s="10"/>
      <c r="BY107" s="9">
        <f>IF(BL107&lt;0,0,IF(OR(Исходн.данные.!AI107=Расчет!$BU$6,Исходн.данные.!AI107=Расчет!$BU$7),Расчет!BV107,IF(Исходн.данные.!$AG107=$BV$11,BL107,IF(OR(Исходн.данные.!$AH107=$BQ$7,Исходн.данные.!$AH107=$BQ$8),CB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0,IF(Исходн.данные.!$AI107=$BU$11,"Нет",IF(BL107&gt;30,30,BL107)))))))</f>
        <v>0</v>
      </c>
      <c r="BZ107" s="9">
        <f>IF(AND(Исходн.данные.!$AG107=$BV$11,BM107&lt;10),10,IF(Исходн.данные.!$AG107=$BV$11,BM107,IF(OR(Исходн.данные.!$AH107=$BQ$7,Исходн.данные.!$AH107=$BQ$8),CC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10,IF(Исходн.данные.!$AI107=$BU$11,"Нет",IF(BM107&gt;60,60,IF(BM107&lt;10,10,BM107)))))))</f>
        <v>10</v>
      </c>
      <c r="CA107" s="39">
        <f>IF(BN107&lt;0,0,IF(Исходн.данные.!$AG107=$BV$11,BN107,IF(OR(Исходн.данные.!$AH107=$BQ$7,Исходн.данные.!$AH107=$BQ$8),CD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0,IF(Исходн.данные.!$AI107=$BU$11,"Нет",IF(BN107&gt;30,30,BN107))))))</f>
        <v>0</v>
      </c>
      <c r="CB107" s="9">
        <f t="shared" si="160"/>
        <v>0</v>
      </c>
      <c r="CC107" s="9">
        <f t="shared" si="161"/>
        <v>0</v>
      </c>
      <c r="CD107" s="9">
        <f t="shared" si="162"/>
        <v>0</v>
      </c>
      <c r="CE107" s="12">
        <f t="shared" si="163"/>
        <v>10</v>
      </c>
      <c r="CF107" s="9">
        <f t="shared" si="164"/>
        <v>0</v>
      </c>
      <c r="CG107" s="9" t="s">
        <v>231</v>
      </c>
      <c r="CH107" s="132" t="str">
        <f>IF(Исходн.данные.!AP107=Расчет!$CI$16,"Нет",IF(Исходн.данные.!AL107&gt;0,Исходн.данные.!AL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BH$4,IF(OR(Исходн.данные.!AI107=Исходн.данные.!$AI$6,Исходн.данные.!AI107=Исходн.данные.!$AI$7),Расчет!BS107,IF(AND($CF107=0,$CE107&gt;0),EV107,ER107)))))</f>
        <v>Аммофос 12:52:00</v>
      </c>
      <c r="CI107" s="274">
        <f>IF(Расчет!$CH107="Нет","Нет",IF(Исходн.данные.!$AL107&gt;0,VLOOKUP(Расчет!$CH107,АшламаДВ_Irekle,2,FALSE),VLOOKUP(Расчет!$CH107,АшламаДВ_Gomumy,2,FALSE)))</f>
        <v>0.12</v>
      </c>
      <c r="CJ107" s="274">
        <f>IF(Расчет!$CH107="Нет","Нет",IF(Исходн.данные.!$AL107&gt;0,VLOOKUP(Расчет!$CH107,АшламаДВ_Irekle,3,FALSE),VLOOKUP(Расчет!$CH107,АшламаДВ_Gomumy,3,FALSE)))</f>
        <v>0.52</v>
      </c>
      <c r="CK107" s="274">
        <f>IF(Расчет!$CH107="Нет","Нет",IF(Исходн.данные.!$AL107&gt;0,VLOOKUP(Расчет!$CH107,АшламаДВ_Irekle,4,FALSE),VLOOKUP(Расчет!$CH107,АшламаДВ_Gomumy,4,FALSE)))</f>
        <v>0</v>
      </c>
      <c r="CL107" s="70"/>
      <c r="CM107" s="70"/>
      <c r="CN107" s="70"/>
      <c r="CO107" s="70"/>
      <c r="CP107" s="70"/>
      <c r="CQ107" s="70"/>
      <c r="CR107" s="10">
        <f t="shared" si="165"/>
        <v>0</v>
      </c>
      <c r="CS107" s="10">
        <f t="shared" si="166"/>
        <v>19.23076923076923</v>
      </c>
      <c r="CT107" s="10">
        <f t="shared" si="167"/>
        <v>0</v>
      </c>
      <c r="CU107" s="39">
        <f>IF($CH107="Нет",0,IF(CI107=0,30/MIN(CJ107:CK107),IF(Исходн.данные.!$AG107=$BV$11,CR107,IF(OR(Исходн.данные.!$AH107=$BQ$7,Исходн.данные.!$AH107=$BQ$8),90/CI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0,IF(Исходн.данные.!$AI107=$BU$11,"Нет",30/CI107))))))</f>
        <v>250</v>
      </c>
      <c r="CV107" s="39">
        <f>IF($CH107="Нет",0,IF(Исходн.данные.!AH107=0,0,IF(CJ107=0,60/MIN(CI107,CK107),IF(Исходн.данные.!$AG107=$BV$11,CS107,IF(OR(Исходн.данные.!$AH107=$BQ$7,Исходн.данные.!$AH107=$BQ$8),90/CJ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10/CJ107,IF(Исходн.данные.!$AI107=$BU$11,"Нет",60/CJ107)))))))</f>
        <v>0</v>
      </c>
      <c r="CW107" s="39">
        <f>IF($CH107="Нет",0,IF(Исходн.данные.!AH107=0,0,IF(CK107=0,30/MIN(CI107:CJ107),IF(Исходн.данные.!$AG107=$BV$11,CT107,IF(OR(Исходн.данные.!$AH107=$BQ$7,Исходн.данные.!$AH107=$BQ$8),90/CK107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0,IF(Исходн.данные.!$AI107=$BU$11,"Нет",30/CK107)))))))</f>
        <v>0</v>
      </c>
      <c r="CX107" s="133">
        <f>IF(Исходн.данные.!$AG107=$BV$11,MAX(CU107:CW107),IF(OR(Исходн.данные.!$AH107=$BS$8,Исходн.данные.!$AH107=$BQ$9,Исходн.данные.!$AH107=$BQ$10,Исходн.данные.!$AH107=$BQ$11,Исходн.данные.!$AH107=$BQ$12,Исходн.данные.!$AH107=$BP$3,Исходн.данные.!$AH107=$BT$8,$FM107="Да"),CV107,MIN(CU107:CW107)))</f>
        <v>0</v>
      </c>
      <c r="CY107" s="133">
        <f>IF(Исходн.данные.!AH107=0,0,IF(CR107&gt;$CX107,$CX107,CR107))</f>
        <v>0</v>
      </c>
      <c r="CZ107" s="133">
        <f>IF(Исходн.данные.!AH107=0,0,IF(CS107&gt;$CX107,$CX107,CS107))</f>
        <v>0</v>
      </c>
      <c r="DA107" s="133">
        <f>IF(Исходн.данные.!AH107=0,0,IF(CT107&gt;$CX107,$CX107,CT107))</f>
        <v>0</v>
      </c>
      <c r="DB107" s="10">
        <f t="shared" si="168"/>
        <v>0</v>
      </c>
      <c r="DC107" s="39">
        <f>DB107*Исходн.данные.!AJ107/1000</f>
        <v>0</v>
      </c>
      <c r="DD107" s="71">
        <f t="shared" si="169"/>
        <v>0</v>
      </c>
      <c r="DE107" s="9">
        <f t="shared" si="170"/>
        <v>0</v>
      </c>
      <c r="DF107" s="9">
        <f t="shared" si="171"/>
        <v>0</v>
      </c>
      <c r="DG107" s="39">
        <f>IF(BL107&lt;0,0,IF($CH107="Нет",BL107,IF(OR(Исходн.данные.!$AH107=$BP$1,Исходн.данные.!$AH107=$BP$2),0,IF(Исходн.данные.!AI107=$BU$11,BL107,IF(BL107-DD107&lt;0,0,BL107-DD107)))))</f>
        <v>0</v>
      </c>
      <c r="DH107" s="39">
        <f>IF(BM107&lt;0,0,IF($CH107="Нет",BM107,IF(OR(Исходн.данные.!$AH107=$BP$1,Исходн.данные.!$AH107=$BP$2),0,IF(Исходн.данные.!AJ107=$BU$11,BM107,IF(BM107-DE107&lt;0,0,BM107-DE107)))))</f>
        <v>0</v>
      </c>
      <c r="DI107" s="39">
        <f>IF(BN107&lt;0,0,IF($CH107="Нет",BN107,IF(OR(Исходн.данные.!$AH107=$BP$1,Исходн.данные.!$AH107=$BP$2),0,IF(Исходн.данные.!AK107=$BU$11,BN107,IF(BN107-DF107&lt;0,0,BN107-DF107)))))</f>
        <v>0</v>
      </c>
      <c r="DJ107" s="12">
        <f t="shared" si="172"/>
        <v>0</v>
      </c>
      <c r="DK107" s="9">
        <f t="shared" si="173"/>
        <v>0</v>
      </c>
      <c r="DL107" s="39">
        <f>IF(Исходн.данные.!AM107&gt;0,Исходн.данные.!AM107,IF(EG107&gt;0,$BH$10,0))</f>
        <v>0</v>
      </c>
      <c r="DM107" s="186">
        <f>IF($DL107=0,0,IF(Исходн.данные.!AM107&gt;0,VLOOKUP($DL107,АшламаДВ_Irekle,2,FALSE),VLOOKUP($DL107,АшламаДВ_Gomumy,2,FALSE)))</f>
        <v>0</v>
      </c>
      <c r="DN107" s="10">
        <f t="shared" si="151"/>
        <v>0</v>
      </c>
      <c r="DO107" s="9" t="str">
        <f>IF(Исходн.данные.!AN107&gt;0,Исходн.данные.!AN107,Удобрения!$B$37 )</f>
        <v>Хлор.калий</v>
      </c>
      <c r="DP107" s="9">
        <f>IF(Исходн.данные.!AN107&gt;0,VLOOKUP(Исходн.данные.!AN107,АшламаДВ_Irekle,4,FALSE),VLOOKUP(DO107,АшламаДВ_Gomumy,4,FALSE))</f>
        <v>0.6</v>
      </c>
      <c r="DQ107" s="10">
        <f t="shared" si="152"/>
        <v>0</v>
      </c>
      <c r="DR107" s="132" t="str">
        <f>IF(Исходн.данные.!AO107&gt;0,Исходн.данные.!AO107,IF(DH107=0,BS$17,IF(AND($DK107=0,$DJ107&gt;0),EJ107,EN107)))</f>
        <v>Нет</v>
      </c>
      <c r="DS107" s="70" t="str">
        <f>IF($DR107="Нет","Нет",IF(Исходн.данные.!$AO107&gt;0,VLOOKUP($DR107,АшламаДВ_Irekle,2,FALSE),VLOOKUP($DR107,АшламаДВ_Gomumy,2,FALSE)))</f>
        <v>Нет</v>
      </c>
      <c r="DT107" s="70" t="str">
        <f>IF($DR107="Нет","Нет",IF(Исходн.данные.!$AO107&gt;0,VLOOKUP($DR107,АшламаДВ_Irekle,3,FALSE),VLOOKUP($DR107,АшламаДВ_Gomumy,3,FALSE)))</f>
        <v>Нет</v>
      </c>
      <c r="DU107" s="70" t="str">
        <f>IF($DR107="Нет","Нет",IF(Исходн.данные.!$AO107&gt;0,VLOOKUP($DR107,АшламаДВ_Irekle,4,FALSE),VLOOKUP($DR107,АшламаДВ_Gomumy,4,FALSE)))</f>
        <v>Нет</v>
      </c>
      <c r="DV107" s="70"/>
      <c r="DW107" s="70"/>
      <c r="DX107" s="70"/>
      <c r="DY107" s="10">
        <f t="shared" si="174"/>
        <v>0</v>
      </c>
      <c r="DZ107" s="10">
        <f t="shared" si="175"/>
        <v>0</v>
      </c>
      <c r="EA107" s="10">
        <f t="shared" si="176"/>
        <v>0</v>
      </c>
      <c r="EB107" s="10">
        <f t="shared" si="177"/>
        <v>0</v>
      </c>
      <c r="EC107" s="10">
        <f t="shared" si="178"/>
        <v>0</v>
      </c>
      <c r="ED107" s="10">
        <f t="shared" si="179"/>
        <v>0</v>
      </c>
      <c r="EE107" s="10">
        <f t="shared" si="180"/>
        <v>0</v>
      </c>
      <c r="EF107" s="39">
        <f>EB107*Исходн.данные.!AJ107/1000</f>
        <v>0</v>
      </c>
      <c r="EG107" s="9">
        <f t="shared" si="181"/>
        <v>0</v>
      </c>
      <c r="EH107" s="9">
        <f t="shared" si="182"/>
        <v>0</v>
      </c>
      <c r="EI107" s="39" t="e">
        <f t="shared" si="132"/>
        <v>#DIV/0!</v>
      </c>
      <c r="EJ107" s="9" t="str">
        <f t="shared" si="153"/>
        <v>Азопреципитат</v>
      </c>
      <c r="EK107" s="12">
        <f t="shared" si="133"/>
        <v>0.26</v>
      </c>
      <c r="EL107" s="12">
        <f t="shared" si="134"/>
        <v>0.13</v>
      </c>
      <c r="EM107" s="12">
        <f t="shared" si="135"/>
        <v>0</v>
      </c>
      <c r="EN107" s="12" t="str">
        <f t="shared" si="154"/>
        <v>Нет</v>
      </c>
      <c r="EO107" s="12">
        <f t="shared" si="136"/>
        <v>0</v>
      </c>
      <c r="EP107" s="12">
        <f t="shared" si="137"/>
        <v>0</v>
      </c>
      <c r="EQ107" s="12">
        <f t="shared" si="138"/>
        <v>0</v>
      </c>
      <c r="ER107" s="12" t="str">
        <f t="shared" si="183"/>
        <v>Диаммофоска</v>
      </c>
      <c r="ES107" s="12">
        <f t="shared" si="139"/>
        <v>0.1</v>
      </c>
      <c r="ET107" s="12">
        <f t="shared" si="140"/>
        <v>0.26</v>
      </c>
      <c r="EU107" s="12">
        <f t="shared" si="141"/>
        <v>0.26</v>
      </c>
      <c r="EV107" s="12" t="str">
        <f t="shared" si="184"/>
        <v>Аммофос 12:52:00</v>
      </c>
      <c r="EW107" s="12" t="str">
        <f t="shared" si="185"/>
        <v>Кемира Свекловичное-6</v>
      </c>
      <c r="EX107" s="12">
        <f t="shared" si="142"/>
        <v>0.16</v>
      </c>
      <c r="EY107" s="12">
        <f t="shared" si="143"/>
        <v>0.12</v>
      </c>
      <c r="EZ107" s="12">
        <f t="shared" si="144"/>
        <v>0.17</v>
      </c>
      <c r="FA107" s="38" t="e">
        <f>IF(AND(OR(FJ107=$FD$1,FM107=$FD$1,FO107=$FD$1,FQ107=$FD$1,FS107=$FD$1),FD107=$FD$1,Исходн.данные.!J107&lt;2,FU107=$FD$1),"Бор,Кобальт",IF(AND(FO107=$FD$1,FH107=$FD$1,Исходн.данные.!J107&lt;2,FU107=$FD$1),"Бор,Кобальт",IF(AND(OR(FJ107=$FD$1,FM107=$FD$1,FQ107=$FD$1),FE107=$FD$1,Исходн.данные.!J107&lt;2,FT107=$FD$1,FU107=$FD$1),"Бор,Медь,Цинк",IF(AND(OR(FJ107=$FD$1,FR107="Да"),FI107="Да",Исходн.данные.!J107&lt;2,FT107="Да",FU107="Да"),"Бор,Цинк,Медь",IF(AND(OR(FM107="Да",FQ107="Да"),FI107="Да",Исходн.данные.!J107&lt;2,FT107="Да",FU107="Да"),"Бор,Цинк",IF(AND(FN107="Да",OR(FD107="Да",FE107="Да")),"Бор",FB107))))))</f>
        <v>#N/A</v>
      </c>
      <c r="FB107" s="134" t="e">
        <f>IF(AND(OR(FD107="Да",FE107="Да",FF107="Да",FG107="Да",FH107="Да"),FO107="Да"),"Бор",IF(AND(FP107="Да",OR(FD107="Да",FE107="Да",FI107="Да")),"Бор",IF(AND(FS107="Да",FE107="Да"),"Бор,Медь",IF(AND(OR(FJ107="Да",FK107="Да",FL107="Да"),FE107="Да",Исходн.данные.!I107&lt;5,FT107="Да",FU107="Да"),"Молибден,Цинк",IF(AND(FM107="Да",OR(FE107="Да",FF107="Да",FG107="Да",FH107="Да",FI107="Да")),"Молибден,Цинк",IF(AND(OR(FJ107="Да",FK107="Да",FL107="Да",FM107="Да",FQ107="Да"),OR(FE107="Да",FF107="Да"),FT107="Да",FU107="Да",Исходн.данные.!I107&gt;5.5),"Медь,Цинк",FC107))))))</f>
        <v>#N/A</v>
      </c>
      <c r="FC107" s="23" t="e">
        <f t="shared" si="186"/>
        <v>#N/A</v>
      </c>
      <c r="FD107" s="38" t="str">
        <f>IF(OR(Исходн.данные.!F107=$CC$1,Исходн.данные.!F107=$CC$2,Исходн.данные.!F107=$CC$3,Исходн.данные.!F107=$CC$4),"Да","Нет")</f>
        <v>Нет</v>
      </c>
      <c r="FE107" s="38" t="str">
        <f>IF(Исходн.данные.!F107=$CC$5,"Да","Нет")</f>
        <v>Нет</v>
      </c>
      <c r="FF107" s="38" t="str">
        <f>IF(OR(Исходн.данные.!F107=$CC$6,Исходн.данные.!F107=$CC$7),"Да","Нет")</f>
        <v>Нет</v>
      </c>
      <c r="FG107" s="38" t="str">
        <f>IF(OR(Исходн.данные.!F107=$CC$8,Исходн.данные.!F107=$CC$9),"Да","Нет")</f>
        <v>Нет</v>
      </c>
      <c r="FH107" s="38" t="str">
        <f>IF(Исходн.данные.!F107=$CC$10,"Да","Нет")</f>
        <v>Нет</v>
      </c>
      <c r="FI107" s="38" t="str">
        <f>IF(OR(Исходн.данные.!F107=$CC$11,Исходн.данные.!F107=$CC$12),"Да","Нет")</f>
        <v>Нет</v>
      </c>
      <c r="FJ107" s="38" t="str">
        <f>IF(OR(Исходн.данные.!AH107=$BS$1,Исходн.данные.!AH107=$BQ$11,Исходн.данные.!AH107=$BQ$12),"Да","Нет")</f>
        <v>Нет</v>
      </c>
      <c r="FK107" s="38" t="str">
        <f>IF(OR(Исходн.данные.!AH107=$BS$2,Исходн.данные.!AH107=$BS$4),"Да","Нет")</f>
        <v>Нет</v>
      </c>
      <c r="FL107" s="38" t="str">
        <f>IF(OR(Исходн.данные.!AH107=$BS$3,Исходн.данные.!AH107=$BS$5),"Да","Нет")</f>
        <v>Нет</v>
      </c>
      <c r="FM107" s="38" t="str">
        <f>IF(OR(Исходн.данные.!AH107=$BS$9,Исходн.данные.!AH107=$BS$10,Исходн.данные.!AH107=$BS$11,Исходн.данные.!AH107=$BS$12),"Да","Нет")</f>
        <v>Нет</v>
      </c>
      <c r="FN107" s="38" t="str">
        <f>IF(OR(Исходн.данные.!AH107=$BS$6,Исходн.данные.!AH107=$BP$3),"Да","Нет")</f>
        <v>Нет</v>
      </c>
      <c r="FO107" s="38" t="str">
        <f>IF(Исходн.данные.!AH107=$BQ$9,"Да","Нет")</f>
        <v>Нет</v>
      </c>
      <c r="FP107" s="38" t="str">
        <f>IF(OR(Исходн.данные.!AH107=$BS$8,Исходн.данные.!AH107=$BT$8),"Да","Нет")</f>
        <v>Нет</v>
      </c>
      <c r="FQ107" s="38" t="str">
        <f>IF(OR(Исходн.данные.!AH107=$BQ$7,Исходн.данные.!AH107=$BQ$8),"Да","Нет")</f>
        <v>Нет</v>
      </c>
      <c r="FR107" s="38" t="str">
        <f>IF(Исходн.данные.!AI107=$BU$9,"Да","Нет")</f>
        <v>Нет</v>
      </c>
      <c r="FS107" s="38" t="str">
        <f>IF(OR(Исходн.данные.!AH107=$BP$1,Исходн.данные.!AH107=$BP$2),"Да","Нет")</f>
        <v>Нет</v>
      </c>
      <c r="FT107" s="38" t="e">
        <f>IF((Исходн.данные.!K107*GO107*GS107*GW107+BL107*0.6+Исходн.данные.!Q107*4.5*0.275)&gt;90,"Да","Нет")</f>
        <v>#N/A</v>
      </c>
      <c r="FU107" s="38" t="e">
        <f>IF((Исходн.данные.!M107*GS107*GZ107+BM107*0.225)&gt;35,"Да","Нет")</f>
        <v>#N/A</v>
      </c>
      <c r="FV107" s="38" t="str">
        <f>IF(Исходн.данные.!O107&gt;175,"Да","Нет")</f>
        <v>Нет</v>
      </c>
      <c r="FW107" s="39" t="str">
        <f>IF(Исходн.данные.!I107&gt;5.5,"Да","Нет")</f>
        <v>Нет</v>
      </c>
      <c r="FX107" s="39" t="str">
        <f>IF(Исходн.данные.!J107&lt;2,"Да","Нет")</f>
        <v>Да</v>
      </c>
      <c r="FY107" s="39" t="e">
        <f>IF(HF107=$FY$16,0,Исходн.данные.!K107*GO107*GS107*GW107/HF107)</f>
        <v>#N/A</v>
      </c>
      <c r="FZ107" s="39" t="e">
        <f>Исходн.данные.!M107*GS107*GZ107/HG107</f>
        <v>#N/A</v>
      </c>
      <c r="GA107" s="39" t="e">
        <f>IF(K_Wyn=$FY$16,0,IF(Исходн.данные.!N107=Исходн.данные.!$L$10,Исходн.данные.!O107/1.1*GS107*HC107/HH107,IF(Исходн.данные.!N107=Исходн.данные.!$L$12,Исходн.данные.!O107/1.5*GS107*HC107/HH107,Исходн.данные.!O107*GS107*HC107/HH107)))</f>
        <v>#N/A</v>
      </c>
      <c r="GB107" s="39" t="e">
        <f>IF(HF107=$FY$16,0,((Исходн.данные.!Q107*N_Org+Исходн.данные.!R107*N_Sider+Исходн.данные.!S107*N_Soloma)*AO107+Расчет!BC107*VLOOKUP(Исходн.данные.!T107,Справ!$A$3:$O$57,15)*AO107+BB107*VLOOKUP(Исходн.данные.!T107,Справ!$A$3:$O$57,15)*AL107+(Исходн.данные.!V107*N_Rizotorf+Исходн.данные.!W107*N_Rizoagr))/HF107)</f>
        <v>#N/A</v>
      </c>
      <c r="GC107" s="39" t="e">
        <f>IF(HG107=$FY$16,0,((Исходн.данные.!Q107*Р_Org+Исходн.данные.!R107*P_Sider+Исходн.данные.!S107*P_Soloma)*AP107+Расчет!BC107*VLOOKUP(Исходн.данные.!T107,Справ!$A$3:$P$57,16)*AP107+BB107*VLOOKUP(Исходн.данные.!T107,Справ!$A$3:$P$57,16)*AM107)/HG107)</f>
        <v>#N/A</v>
      </c>
      <c r="GD107" s="39" t="e">
        <f>IF(HH107=$FY$16,0,((Исходн.данные.!Q107*К_Org+Исходн.данные.!R107*K_Sider+Исходн.данные.!S107*K_Soloma)*AQ107+Расчет!BC107*VLOOKUP(Исходн.данные.!T107,Справ!$A$3:$Q$57,17)*AQ107+BB107*VLOOKUP(Исходн.данные.!T107,Справ!$A$3:$Q$57,17)*AN107)/HH107)</f>
        <v>#N/A</v>
      </c>
      <c r="GE107" s="39" t="e">
        <f>IF(HF107=$FY$16,0,(Исходн.данные.!X107*AR107+Исходн.данные.!AA107*N_Org*AL107+Исходн.данные.!AB107*N_Sider*AL107+Исходн.данные.!AC107*N_Soloma*AL107)/HF107)</f>
        <v>#N/A</v>
      </c>
      <c r="GF107" s="39" t="e">
        <f>IF(HG107=$FY$16,0,(Исходн.данные.!Y107*AS107+Исходн.данные.!AA107*Р_Org*AM107+Исходн.данные.!AB107*P_Sider*AM107+Исходн.данные.!AC107*P_Soloma*AM107)/HG107)</f>
        <v>#N/A</v>
      </c>
      <c r="GG107" s="39" t="e">
        <f>IF(HH107=$FY$16,0,(Исходн.данные.!Z107*AT107+Исходн.данные.!AA107*К_Org*AN107+Исходн.данные.!AB107*K_Sider*AN107+Исходн.данные.!AC107*K_Soloma*AN107)/HH107)</f>
        <v>#N/A</v>
      </c>
      <c r="GH107" s="39" t="e">
        <f>Исходн.данные.!AD107*AU107/HF107</f>
        <v>#N/A</v>
      </c>
      <c r="GI107" s="39" t="e">
        <f>Исходн.данные.!AE107*AV107/HG107</f>
        <v>#N/A</v>
      </c>
      <c r="GJ107" s="39" t="e">
        <f>Исходн.данные.!AF107*AW107/HH107</f>
        <v>#N/A</v>
      </c>
      <c r="GK107" s="55">
        <f>Исходн.данные.!AK107</f>
        <v>0</v>
      </c>
      <c r="GL107" s="11" t="e">
        <f t="shared" si="187"/>
        <v>#N/A</v>
      </c>
      <c r="GM107" s="11" t="e">
        <f t="shared" si="188"/>
        <v>#N/A</v>
      </c>
      <c r="GN107" s="11" t="e">
        <f t="shared" si="189"/>
        <v>#N/A</v>
      </c>
      <c r="GO107" s="57">
        <f t="shared" si="190"/>
        <v>19</v>
      </c>
      <c r="GP107" s="55">
        <f>IF(OR(Исходн.данные.!F107=$CE$1,Исходн.данные.!F107=$CE$2,Исходн.данные.!F107=$CE$3,Исходн.данные.!F107=$CE$4,Исходн.данные.!F107=$CE$5),GQ107,GR107)</f>
        <v>19</v>
      </c>
      <c r="GQ107" s="55">
        <f>IF(Исходн.данные.!F107=$CE$1,28,IF(Исходн.данные.!F107=$CE$2,26,IF(Исходн.данные.!F107=$CE$3,24,IF(Исходн.данные.!F107=$CE$4,22,IF(Исходн.данные.!F107=$CE$5,20,GR107)))))</f>
        <v>19</v>
      </c>
      <c r="GR107" s="55">
        <f>IF(Исходн.данные.!F107=$CE$6,18,IF(Исходн.данные.!F107=$CE$7,16,IF(Исходн.данные.!F107=$CE$8,14,IF(Исходн.данные.!F107=$CE$9,13,IF(Исходн.данные.!F107=$CE$10,12,19)))))</f>
        <v>19</v>
      </c>
      <c r="GS107" s="55">
        <f>IF(Исходн.данные.!G107="Пес",0.035*(40+2*Исходн.данные.!H107),IF(Исходн.данные.!G107="Суп",0.0325*(40+2*Исходн.данные.!H107),0.03*(40+2*Исходн.данные.!H107)))</f>
        <v>1.2</v>
      </c>
      <c r="GT107" s="55">
        <f>IF(Исходн.данные.!H107&lt;23,2.6,IF(AND(Исходн.данные.!H107&gt;22,Исходн.данные.!H107&lt;26),3,IF(AND(Исходн.данные.!H107&gt;25,Исходн.данные.!H107&lt;29),3.4,3.6)))</f>
        <v>2.6</v>
      </c>
      <c r="GU107" s="55">
        <f>IF(Исходн.данные.!H107&lt;23,2.8,IF(AND(Исходн.данные.!H107&gt;22,Исходн.данные.!H107&lt;26),3.2,IF(AND(Исходн.данные.!H107&gt;25,Исходн.данные.!H107&lt;29),3.6,3.9)))</f>
        <v>2.8</v>
      </c>
      <c r="GV107" s="55">
        <f>IF(Исходн.данные.!H107&lt;23,3,IF(AND(Исходн.данные.!H107&gt;22,Исходн.данные.!H107&lt;26),3.5,IF(AND(Исходн.данные.!H107&gt;25,Исходн.данные.!H107&lt;29),3.9,4.2)))</f>
        <v>3</v>
      </c>
      <c r="GW107" s="55" t="e">
        <f>IF(Исходн.данные.!P107="Ум",GX107,GY107)</f>
        <v>#N/A</v>
      </c>
      <c r="GX107" s="55" t="e">
        <f>VLOOKUP(Исходн.данные.!AI107,Коэффициенты!$J$7:$L$13,2,FALSE)</f>
        <v>#N/A</v>
      </c>
      <c r="GY107" s="55" t="e">
        <f>VLOOKUP(Исходн.данные.!AI107,Коэффициенты!$J$7:$L$13,3,FALSE)</f>
        <v>#N/A</v>
      </c>
      <c r="GZ107" s="55" t="e">
        <f>(IF(Исходн.данные.!M107&lt;50,0.11*VLOOKUP(Исходн.данные.!AH107,Культуры.Информация,7,FALSE),IF(Исходн.данные.!M107&gt;250,0.05*VLOOKUP(Исходн.данные.!AH107,Культуры.Информация,7,FALSE),VLOOKUP(Исходн.данные.!AH107,Культуры.Информация,5,FALSE)/100*($GX$6+$GY$6*Исходн.данные.!M107))))*Расчет2!AI107</f>
        <v>#N/A</v>
      </c>
      <c r="HA107" s="211"/>
      <c r="HB107" s="211"/>
      <c r="HC107" s="55" t="e">
        <f>(IF(Исходн.данные.!O107&lt;80,0.2*VLOOKUP(Исходн.данные.!AH107,Культуры.Информация,8,FALSE),IF(Исходн.данные.!O107&gt;240,0.09*VLOOKUP(Исходн.данные.!AH107,Культуры.Информация,8,FALSE),VLOOKUP(Исходн.данные.!AH107,Культуры.Информация,6,FALSE)/100*($HB$6+$HC$6*Исходн.данные.!O107))))*Расчет2!AJ107</f>
        <v>#N/A</v>
      </c>
      <c r="HD107" s="55">
        <f>IF(Исходн.данные.!O107&gt;240,0.09,IF(Исходн.данные.!O107&lt;30,0.3,$HE$10+$HD$10*Исходн.данные.!O107))</f>
        <v>0.3</v>
      </c>
      <c r="HE107" s="55">
        <f>IF(Исходн.данные.!O107&gt;240,0.17,IF(Исходн.данные.!O107&lt;30,0.5,$HF$12+$HE$12*Исходн.данные.!O107))</f>
        <v>0.5</v>
      </c>
      <c r="HF107" s="55" t="e">
        <f>VLOOKUP(Исходн.данные.!AH107,Справ!$A$3:$D$58,2,FALSE)</f>
        <v>#N/A</v>
      </c>
      <c r="HG107" s="55" t="e">
        <f>VLOOKUP(Исходн.данные.!AH107,Справ!$A$3:$D$58,3,FALSE)</f>
        <v>#N/A</v>
      </c>
      <c r="HH107" s="55" t="e">
        <f>VLOOKUP(Исходн.данные.!AH107,Справ!$A$3:$D$58,4,FALSE)</f>
        <v>#N/A</v>
      </c>
      <c r="HI107" s="11" t="e">
        <f t="shared" si="191"/>
        <v>#N/A</v>
      </c>
      <c r="HJ107" s="11" t="e">
        <f t="shared" si="192"/>
        <v>#N/A</v>
      </c>
      <c r="HK107" s="11" t="e">
        <f t="shared" si="193"/>
        <v>#N/A</v>
      </c>
      <c r="HL107" s="55">
        <f>IF(OR(Исходн.данные.!G107="Глин",Исходн.данные.!G107="Т_суг"),1.1,IF(Исходн.данные.!G107="Ср_суг",1,1))</f>
        <v>1</v>
      </c>
      <c r="HM107" s="55">
        <f>IF(OR(Исходн.данные.!G107="Глин",Исходн.данные.!G107="Т_суг"),0.9,IF(Исходн.данные.!G107="Ср_суг",1,1.2))</f>
        <v>1.2</v>
      </c>
      <c r="HN107" s="11" t="e">
        <f t="shared" si="194"/>
        <v>#N/A</v>
      </c>
      <c r="HO107" s="11" t="e">
        <f t="shared" si="195"/>
        <v>#N/A</v>
      </c>
      <c r="HP107" s="11" t="e">
        <f t="shared" si="196"/>
        <v>#N/A</v>
      </c>
      <c r="HQ107" t="e">
        <f t="shared" si="197"/>
        <v>#N/A</v>
      </c>
      <c r="HR107" t="e">
        <f t="shared" si="198"/>
        <v>#N/A</v>
      </c>
      <c r="HS107" t="e">
        <f t="shared" si="199"/>
        <v>#N/A</v>
      </c>
      <c r="HT107" t="e">
        <f t="shared" si="145"/>
        <v>#N/A</v>
      </c>
      <c r="HU107" t="e">
        <f t="shared" si="146"/>
        <v>#N/A</v>
      </c>
      <c r="HV107" t="e">
        <f t="shared" si="147"/>
        <v>#N/A</v>
      </c>
      <c r="HW107" t="e">
        <f t="shared" si="148"/>
        <v>#N/A</v>
      </c>
      <c r="HX107" t="e">
        <f t="shared" si="149"/>
        <v>#N/A</v>
      </c>
      <c r="HY107" t="e">
        <f t="shared" si="150"/>
        <v>#N/A</v>
      </c>
      <c r="HZ107" s="55">
        <f>IF(OR(Исходн.данные.!AI107="Оз_Ч_П",Исходн.данные.!AI107="Оз_З_П",Исходн.данные.!AI107="Яр_зер"),12,30)</f>
        <v>30</v>
      </c>
      <c r="IA107" t="e">
        <f t="shared" si="200"/>
        <v>#N/A</v>
      </c>
      <c r="IB107" t="e">
        <f t="shared" si="201"/>
        <v>#N/A</v>
      </c>
      <c r="IC107" t="e">
        <f t="shared" si="202"/>
        <v>#N/A</v>
      </c>
      <c r="ID107" s="11" t="e">
        <f t="shared" si="203"/>
        <v>#N/A</v>
      </c>
      <c r="IE107" s="11" t="e">
        <f t="shared" si="204"/>
        <v>#N/A</v>
      </c>
      <c r="IF107" s="11" t="e">
        <f t="shared" si="205"/>
        <v>#N/A</v>
      </c>
    </row>
    <row r="108" spans="35:240" x14ac:dyDescent="0.2">
      <c r="AI108">
        <f>IF(Исходн.данные.!I108&gt;6,1,1.85-(0.148*Исходн.данные.!I108))</f>
        <v>1.85</v>
      </c>
      <c r="AJ108">
        <f>IF(Исходн.данные.!I108&gt;6,1,2.434-(0.246*Исходн.данные.!I108))</f>
        <v>2.4340000000000002</v>
      </c>
      <c r="AL108" s="148" t="b">
        <f>IF(Исходн.данные.!$P108="Ум",N_OrgUd_2g_um,IF(Исходн.данные.!$P108="Об",N_OrgUd_2g_ob))</f>
        <v>0</v>
      </c>
      <c r="AM108" s="148" t="b">
        <f>IF(Исходн.данные.!$P108="Ум",P_OrgUd_2g_um,IF(Исходн.данные.!$P108="Об",P_OrgUd_2g_ob))</f>
        <v>0</v>
      </c>
      <c r="AN108" s="148" t="b">
        <f>IF(Исходн.данные.!$P108="Ум",K_OrgUd_2g_um,IF(Исходн.данные.!$P108="Об",K_OrgUd_2g_ob))</f>
        <v>0</v>
      </c>
      <c r="AO108" s="148" t="b">
        <f>IF(Исходн.данные.!$P108="Ум",N_OrgUd_1g_um,IF(Исходн.данные.!$P108="Об",N_OrgUd_1g_ob))</f>
        <v>0</v>
      </c>
      <c r="AP108" s="148" t="b">
        <f>IF(Исходн.данные.!$P108="Ум",P_OrgUd_1g_um,IF(Исходн.данные.!$P108="Об",P_OrgUd_1g_ob))</f>
        <v>0</v>
      </c>
      <c r="AQ108" s="148" t="b">
        <f>IF(Исходн.данные.!$P108="Ум",K_OrgUd_1g_um,IF(Исходн.данные.!$P108="Об",K_OrgUd_1g_ob))</f>
        <v>0</v>
      </c>
      <c r="AR108" t="b">
        <f>IF(Исходн.данные.!$P108="Ум",N_MinUd_2g_um,IF(Исходн.данные.!$P108="Об",N_MinUd_2g_ob))</f>
        <v>0</v>
      </c>
      <c r="AS108" t="b">
        <f>IF(Исходн.данные.!$P108="Ум",P_MinUd_2g_um,IF(Исходн.данные.!$P108="Об",P_MinUd_2g_ob))</f>
        <v>0</v>
      </c>
      <c r="AT108" t="b">
        <f>IF(Исходн.данные.!$P108="Ум",K_MinUd_2g_um,IF(Исходн.данные.!$P108="Об",K_MinUd_2g_ob))</f>
        <v>0</v>
      </c>
      <c r="AU108" t="b">
        <f>IF(Исходн.данные.!$P108="Ум",N_MinUd_1g_um,IF(Исходн.данные.!$P108="Об",N_MinUd_1g_ob))</f>
        <v>0</v>
      </c>
      <c r="AV108" t="b">
        <f>IF(Исходн.данные.!P108="Ум",P_MinUd_1g_um,IF(Исходн.данные.!P108="Об",P_MinUd_1g_ob))</f>
        <v>0</v>
      </c>
      <c r="AW108" t="b">
        <f>IF(Исходн.данные.!P108="Ум",K_MinUd_1g_um,IF(Исходн.данные.!P108="Об",K_MinUd_1g_ob))</f>
        <v>0</v>
      </c>
      <c r="AY108" t="e">
        <f>VLOOKUP(Исходн.данные.!T108,Справ!$A$3:$N$57,12)</f>
        <v>#N/A</v>
      </c>
      <c r="AZ108" t="e">
        <f>VLOOKUP(Исходн.данные.!T108,Справ!$A$3:$N$57,13)</f>
        <v>#N/A</v>
      </c>
      <c r="BA108" t="e">
        <f>VLOOKUP(Исходн.данные.!T108,Справ!$A$3:$N$57,14)</f>
        <v>#N/A</v>
      </c>
      <c r="BB108">
        <f>IF(Исходн.данные.!AH108=0,0,25)</f>
        <v>0</v>
      </c>
      <c r="BC108" s="141">
        <f>IF(Исходн.данные.!AH108=0,0,IF(Исходн.данные.!T108=0,25,BD108))</f>
        <v>0</v>
      </c>
      <c r="BD108" s="168" t="e">
        <f>AY108+AZ108*Исходн.данные.!U108-POWER(BA108,2)*Исходн.данные.!U108</f>
        <v>#N/A</v>
      </c>
      <c r="BE10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8" s="25">
        <f>IF(Исходн.данные.!AH108=0,0,MIN(HN108:HP108))</f>
        <v>0</v>
      </c>
      <c r="BG108" s="9">
        <f>IF(Исходн.данные.!AH108=0,0,IF((HO108+10*0.25/HG108/HL108)&lt;17,17,HO108+10*0.25/HG108/HL108))</f>
        <v>0</v>
      </c>
      <c r="BH108" s="181">
        <f>IF(Исходн.данные.!AH108=0,0,HW108*HF108*HL108/AU108*AI108+Исходн.данные.!S108*10)</f>
        <v>0</v>
      </c>
      <c r="BI108" s="10"/>
      <c r="BJ108" s="182">
        <f>IF(Исходн.данные.!AH108=0,0,IF(HX108*HG108*HL108/AV108&lt;0,0,HX108*HG108*HL108/AV108*AJ108))</f>
        <v>0</v>
      </c>
      <c r="BK108" s="182">
        <f>IF(Исходн.данные.!AH108=0,0,HY108*HH108*HM108/AW108)</f>
        <v>0</v>
      </c>
      <c r="BL108" s="10">
        <f>IF(OR(Исходн.данные.!$AH108=$BP$1,Исходн.данные.!$AH108=$BP$2),0,IF(BH108&lt;0,0,IF(OR(Исходн.данные.!T108=Расчет!$BP$1,Исходн.данные.!T108=Расчет!$BP$2,Исходн.данные.!T108=Расчет!$BT$5,Исходн.данные.!T108=Расчет!$BT$6),BH108*0.5,IF(OR(Исходн.данные.!T108=Расчет!$BS$9,Исходн.данные.!T108=Расчет!$BS$10,Исходн.данные.!T108=Расчет!$BS$11,Исходн.данные.!T108=Расчет!$BS$12,Исходн.данные.!T108=Расчет!$BP$5),BH108*0.8,BH108))))</f>
        <v>0</v>
      </c>
      <c r="BM108" s="10">
        <f>IF(OR(Исходн.данные.!$AH108=$BP$1,Исходн.данные.!$AH108=$BP$2),0,IF(BJ108&lt;0,0,IF(Исходн.данные.!I108&lt;4.5,BJ108*1.2,IF(Исходн.данные.!I108&gt;5.1,BJ108,BJ108*((5.1-Исходн.данные.!I108)*0.333+1)))))</f>
        <v>0</v>
      </c>
      <c r="BN108" s="10">
        <f>IF(OR(Исходн.данные.!$AH108=$BP$1,Исходн.данные.!$AH108=$BP$2),60-Исходн.данные.!AF108,IF(BK108&lt;0,0,IF(Исходн.данные.!I108&lt;4.5,BK108*1.2,IF(Исходн.данные.!I108&gt;5.1,BK108,BK108*((5.1-Исходн.данные.!I108)*0.333+1)))))</f>
        <v>0</v>
      </c>
      <c r="BO108" s="9">
        <f>IF(BL108&lt;0,0,BL108*Исходн.данные.!$AJ108/1000)</f>
        <v>0</v>
      </c>
      <c r="BP108" s="9">
        <f>IF(BM108&lt;0,0,BM108*Исходн.данные.!$AJ108/1000)</f>
        <v>0</v>
      </c>
      <c r="BQ108" s="9">
        <f>IF(BN108&lt;0,0,BN108*Исходн.данные.!$AJ108/1000)</f>
        <v>0</v>
      </c>
      <c r="BR108" s="9">
        <f t="shared" si="155"/>
        <v>0</v>
      </c>
      <c r="BS108" s="10" t="str">
        <f t="shared" si="156"/>
        <v>Аммофос 12:52:00</v>
      </c>
      <c r="BT108" s="10" t="str">
        <f t="shared" si="157"/>
        <v>Аммофос 12:52:00</v>
      </c>
      <c r="BU108" s="10" t="str">
        <f t="shared" si="158"/>
        <v>Диаммофоска</v>
      </c>
      <c r="BV108" s="10">
        <f t="shared" si="159"/>
        <v>0</v>
      </c>
      <c r="BW108" s="10"/>
      <c r="BX108" s="10"/>
      <c r="BY108" s="9">
        <f>IF(BL108&lt;0,0,IF(OR(Исходн.данные.!AI108=Расчет!$BU$6,Исходн.данные.!AI108=Расчет!$BU$7),Расчет!BV108,IF(Исходн.данные.!$AG108=$BV$11,BL108,IF(OR(Исходн.данные.!$AH108=$BQ$7,Исходн.данные.!$AH108=$BQ$8),CB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0,IF(Исходн.данные.!$AI108=$BU$11,"Нет",IF(BL108&gt;30,30,BL108)))))))</f>
        <v>0</v>
      </c>
      <c r="BZ108" s="9">
        <f>IF(AND(Исходн.данные.!$AG108=$BV$11,BM108&lt;10),10,IF(Исходн.данные.!$AG108=$BV$11,BM108,IF(OR(Исходн.данные.!$AH108=$BQ$7,Исходн.данные.!$AH108=$BQ$8),CC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10,IF(Исходн.данные.!$AI108=$BU$11,"Нет",IF(BM108&gt;60,60,IF(BM108&lt;10,10,BM108)))))))</f>
        <v>10</v>
      </c>
      <c r="CA108" s="39">
        <f>IF(BN108&lt;0,0,IF(Исходн.данные.!$AG108=$BV$11,BN108,IF(OR(Исходн.данные.!$AH108=$BQ$7,Исходн.данные.!$AH108=$BQ$8),CD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0,IF(Исходн.данные.!$AI108=$BU$11,"Нет",IF(BN108&gt;30,30,BN108))))))</f>
        <v>0</v>
      </c>
      <c r="CB108" s="9">
        <f t="shared" si="160"/>
        <v>0</v>
      </c>
      <c r="CC108" s="9">
        <f t="shared" si="161"/>
        <v>0</v>
      </c>
      <c r="CD108" s="9">
        <f t="shared" si="162"/>
        <v>0</v>
      </c>
      <c r="CE108" s="12">
        <f t="shared" si="163"/>
        <v>10</v>
      </c>
      <c r="CF108" s="9">
        <f t="shared" si="164"/>
        <v>0</v>
      </c>
      <c r="CG108" s="9" t="s">
        <v>231</v>
      </c>
      <c r="CH108" s="132" t="str">
        <f>IF(Исходн.данные.!AP108=Расчет!$CI$16,"Нет",IF(Исходн.данные.!AL108&gt;0,Исходн.данные.!AL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BH$4,IF(OR(Исходн.данные.!AI108=Исходн.данные.!$AI$6,Исходн.данные.!AI108=Исходн.данные.!$AI$7),Расчет!BS108,IF(AND($CF108=0,$CE108&gt;0),EV108,ER108)))))</f>
        <v>Аммофос 12:52:00</v>
      </c>
      <c r="CI108" s="274">
        <f>IF(Расчет!$CH108="Нет","Нет",IF(Исходн.данные.!$AL108&gt;0,VLOOKUP(Расчет!$CH108,АшламаДВ_Irekle,2,FALSE),VLOOKUP(Расчет!$CH108,АшламаДВ_Gomumy,2,FALSE)))</f>
        <v>0.12</v>
      </c>
      <c r="CJ108" s="274">
        <f>IF(Расчет!$CH108="Нет","Нет",IF(Исходн.данные.!$AL108&gt;0,VLOOKUP(Расчет!$CH108,АшламаДВ_Irekle,3,FALSE),VLOOKUP(Расчет!$CH108,АшламаДВ_Gomumy,3,FALSE)))</f>
        <v>0.52</v>
      </c>
      <c r="CK108" s="274">
        <f>IF(Расчет!$CH108="Нет","Нет",IF(Исходн.данные.!$AL108&gt;0,VLOOKUP(Расчет!$CH108,АшламаДВ_Irekle,4,FALSE),VLOOKUP(Расчет!$CH108,АшламаДВ_Gomumy,4,FALSE)))</f>
        <v>0</v>
      </c>
      <c r="CL108" s="70"/>
      <c r="CM108" s="70"/>
      <c r="CN108" s="70"/>
      <c r="CO108" s="70"/>
      <c r="CP108" s="70"/>
      <c r="CQ108" s="70"/>
      <c r="CR108" s="10">
        <f t="shared" si="165"/>
        <v>0</v>
      </c>
      <c r="CS108" s="10">
        <f t="shared" si="166"/>
        <v>19.23076923076923</v>
      </c>
      <c r="CT108" s="10">
        <f t="shared" si="167"/>
        <v>0</v>
      </c>
      <c r="CU108" s="39">
        <f>IF($CH108="Нет",0,IF(CI108=0,30/MIN(CJ108:CK108),IF(Исходн.данные.!$AG108=$BV$11,CR108,IF(OR(Исходн.данные.!$AH108=$BQ$7,Исходн.данные.!$AH108=$BQ$8),90/CI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0,IF(Исходн.данные.!$AI108=$BU$11,"Нет",30/CI108))))))</f>
        <v>250</v>
      </c>
      <c r="CV108" s="39">
        <f>IF($CH108="Нет",0,IF(Исходн.данные.!AH108=0,0,IF(CJ108=0,60/MIN(CI108,CK108),IF(Исходн.данные.!$AG108=$BV$11,CS108,IF(OR(Исходн.данные.!$AH108=$BQ$7,Исходн.данные.!$AH108=$BQ$8),90/CJ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10/CJ108,IF(Исходн.данные.!$AI108=$BU$11,"Нет",60/CJ108)))))))</f>
        <v>0</v>
      </c>
      <c r="CW108" s="39">
        <f>IF($CH108="Нет",0,IF(Исходн.данные.!AH108=0,0,IF(CK108=0,30/MIN(CI108:CJ108),IF(Исходн.данные.!$AG108=$BV$11,CT108,IF(OR(Исходн.данные.!$AH108=$BQ$7,Исходн.данные.!$AH108=$BQ$8),90/CK108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0,IF(Исходн.данные.!$AI108=$BU$11,"Нет",30/CK108)))))))</f>
        <v>0</v>
      </c>
      <c r="CX108" s="133">
        <f>IF(Исходн.данные.!$AG108=$BV$11,MAX(CU108:CW108),IF(OR(Исходн.данные.!$AH108=$BS$8,Исходн.данные.!$AH108=$BQ$9,Исходн.данные.!$AH108=$BQ$10,Исходн.данные.!$AH108=$BQ$11,Исходн.данные.!$AH108=$BQ$12,Исходн.данные.!$AH108=$BP$3,Исходн.данные.!$AH108=$BT$8,$FM108="Да"),CV108,MIN(CU108:CW108)))</f>
        <v>0</v>
      </c>
      <c r="CY108" s="133">
        <f>IF(Исходн.данные.!AH108=0,0,IF(CR108&gt;$CX108,$CX108,CR108))</f>
        <v>0</v>
      </c>
      <c r="CZ108" s="133">
        <f>IF(Исходн.данные.!AH108=0,0,IF(CS108&gt;$CX108,$CX108,CS108))</f>
        <v>0</v>
      </c>
      <c r="DA108" s="133">
        <f>IF(Исходн.данные.!AH108=0,0,IF(CT108&gt;$CX108,$CX108,CT108))</f>
        <v>0</v>
      </c>
      <c r="DB108" s="10">
        <f t="shared" si="168"/>
        <v>0</v>
      </c>
      <c r="DC108" s="39">
        <f>DB108*Исходн.данные.!AJ108/1000</f>
        <v>0</v>
      </c>
      <c r="DD108" s="71">
        <f t="shared" si="169"/>
        <v>0</v>
      </c>
      <c r="DE108" s="9">
        <f t="shared" si="170"/>
        <v>0</v>
      </c>
      <c r="DF108" s="9">
        <f t="shared" si="171"/>
        <v>0</v>
      </c>
      <c r="DG108" s="39">
        <f>IF(BL108&lt;0,0,IF($CH108="Нет",BL108,IF(OR(Исходн.данные.!$AH108=$BP$1,Исходн.данные.!$AH108=$BP$2),0,IF(Исходн.данные.!AI108=$BU$11,BL108,IF(BL108-DD108&lt;0,0,BL108-DD108)))))</f>
        <v>0</v>
      </c>
      <c r="DH108" s="39">
        <f>IF(BM108&lt;0,0,IF($CH108="Нет",BM108,IF(OR(Исходн.данные.!$AH108=$BP$1,Исходн.данные.!$AH108=$BP$2),0,IF(Исходн.данные.!AJ108=$BU$11,BM108,IF(BM108-DE108&lt;0,0,BM108-DE108)))))</f>
        <v>0</v>
      </c>
      <c r="DI108" s="39">
        <f>IF(BN108&lt;0,0,IF($CH108="Нет",BN108,IF(OR(Исходн.данные.!$AH108=$BP$1,Исходн.данные.!$AH108=$BP$2),0,IF(Исходн.данные.!AK108=$BU$11,BN108,IF(BN108-DF108&lt;0,0,BN108-DF108)))))</f>
        <v>0</v>
      </c>
      <c r="DJ108" s="12">
        <f t="shared" si="172"/>
        <v>0</v>
      </c>
      <c r="DK108" s="9">
        <f t="shared" si="173"/>
        <v>0</v>
      </c>
      <c r="DL108" s="39">
        <f>IF(Исходн.данные.!AM108&gt;0,Исходн.данные.!AM108,IF(EG108&gt;0,$BH$10,0))</f>
        <v>0</v>
      </c>
      <c r="DM108" s="186">
        <f>IF($DL108=0,0,IF(Исходн.данные.!AM108&gt;0,VLOOKUP($DL108,АшламаДВ_Irekle,2,FALSE),VLOOKUP($DL108,АшламаДВ_Gomumy,2,FALSE)))</f>
        <v>0</v>
      </c>
      <c r="DN108" s="10">
        <f t="shared" si="151"/>
        <v>0</v>
      </c>
      <c r="DO108" s="9" t="str">
        <f>IF(Исходн.данные.!AN108&gt;0,Исходн.данные.!AN108,Удобрения!$B$37 )</f>
        <v>Хлор.калий</v>
      </c>
      <c r="DP108" s="9">
        <f>IF(Исходн.данные.!AN108&gt;0,VLOOKUP(Исходн.данные.!AN108,АшламаДВ_Irekle,4,FALSE),VLOOKUP(DO108,АшламаДВ_Gomumy,4,FALSE))</f>
        <v>0.6</v>
      </c>
      <c r="DQ108" s="10">
        <f t="shared" si="152"/>
        <v>0</v>
      </c>
      <c r="DR108" s="132" t="str">
        <f>IF(Исходн.данные.!AO108&gt;0,Исходн.данные.!AO108,IF(DH108=0,BS$17,IF(AND($DK108=0,$DJ108&gt;0),EJ108,EN108)))</f>
        <v>Нет</v>
      </c>
      <c r="DS108" s="70" t="str">
        <f>IF($DR108="Нет","Нет",IF(Исходн.данные.!$AO108&gt;0,VLOOKUP($DR108,АшламаДВ_Irekle,2,FALSE),VLOOKUP($DR108,АшламаДВ_Gomumy,2,FALSE)))</f>
        <v>Нет</v>
      </c>
      <c r="DT108" s="70" t="str">
        <f>IF($DR108="Нет","Нет",IF(Исходн.данные.!$AO108&gt;0,VLOOKUP($DR108,АшламаДВ_Irekle,3,FALSE),VLOOKUP($DR108,АшламаДВ_Gomumy,3,FALSE)))</f>
        <v>Нет</v>
      </c>
      <c r="DU108" s="70" t="str">
        <f>IF($DR108="Нет","Нет",IF(Исходн.данные.!$AO108&gt;0,VLOOKUP($DR108,АшламаДВ_Irekle,4,FALSE),VLOOKUP($DR108,АшламаДВ_Gomumy,4,FALSE)))</f>
        <v>Нет</v>
      </c>
      <c r="DV108" s="70"/>
      <c r="DW108" s="70"/>
      <c r="DX108" s="70"/>
      <c r="DY108" s="10">
        <f t="shared" si="174"/>
        <v>0</v>
      </c>
      <c r="DZ108" s="10">
        <f t="shared" si="175"/>
        <v>0</v>
      </c>
      <c r="EA108" s="10">
        <f t="shared" si="176"/>
        <v>0</v>
      </c>
      <c r="EB108" s="10">
        <f t="shared" si="177"/>
        <v>0</v>
      </c>
      <c r="EC108" s="10">
        <f t="shared" si="178"/>
        <v>0</v>
      </c>
      <c r="ED108" s="10">
        <f t="shared" si="179"/>
        <v>0</v>
      </c>
      <c r="EE108" s="10">
        <f t="shared" si="180"/>
        <v>0</v>
      </c>
      <c r="EF108" s="39">
        <f>EB108*Исходн.данные.!AJ108/1000</f>
        <v>0</v>
      </c>
      <c r="EG108" s="9">
        <f t="shared" si="181"/>
        <v>0</v>
      </c>
      <c r="EH108" s="9">
        <f t="shared" si="182"/>
        <v>0</v>
      </c>
      <c r="EI108" s="39" t="e">
        <f t="shared" si="132"/>
        <v>#DIV/0!</v>
      </c>
      <c r="EJ108" s="9" t="str">
        <f t="shared" si="153"/>
        <v>Азопреципитат</v>
      </c>
      <c r="EK108" s="12">
        <f t="shared" si="133"/>
        <v>0.26</v>
      </c>
      <c r="EL108" s="12">
        <f t="shared" si="134"/>
        <v>0.13</v>
      </c>
      <c r="EM108" s="12">
        <f t="shared" si="135"/>
        <v>0</v>
      </c>
      <c r="EN108" s="12" t="str">
        <f t="shared" si="154"/>
        <v>Нет</v>
      </c>
      <c r="EO108" s="12">
        <f t="shared" si="136"/>
        <v>0</v>
      </c>
      <c r="EP108" s="12">
        <f t="shared" si="137"/>
        <v>0</v>
      </c>
      <c r="EQ108" s="12">
        <f t="shared" si="138"/>
        <v>0</v>
      </c>
      <c r="ER108" s="12" t="str">
        <f t="shared" si="183"/>
        <v>Диаммофоска</v>
      </c>
      <c r="ES108" s="12">
        <f t="shared" si="139"/>
        <v>0.1</v>
      </c>
      <c r="ET108" s="12">
        <f t="shared" si="140"/>
        <v>0.26</v>
      </c>
      <c r="EU108" s="12">
        <f t="shared" si="141"/>
        <v>0.26</v>
      </c>
      <c r="EV108" s="12" t="str">
        <f t="shared" si="184"/>
        <v>Аммофос 12:52:00</v>
      </c>
      <c r="EW108" s="12" t="str">
        <f t="shared" si="185"/>
        <v>Кемира Свекловичное-6</v>
      </c>
      <c r="EX108" s="12">
        <f t="shared" si="142"/>
        <v>0.16</v>
      </c>
      <c r="EY108" s="12">
        <f t="shared" si="143"/>
        <v>0.12</v>
      </c>
      <c r="EZ108" s="12">
        <f t="shared" si="144"/>
        <v>0.17</v>
      </c>
      <c r="FA108" s="38" t="e">
        <f>IF(AND(OR(FJ108=$FD$1,FM108=$FD$1,FO108=$FD$1,FQ108=$FD$1,FS108=$FD$1),FD108=$FD$1,Исходн.данные.!J108&lt;2,FU108=$FD$1),"Бор,Кобальт",IF(AND(FO108=$FD$1,FH108=$FD$1,Исходн.данные.!J108&lt;2,FU108=$FD$1),"Бор,Кобальт",IF(AND(OR(FJ108=$FD$1,FM108=$FD$1,FQ108=$FD$1),FE108=$FD$1,Исходн.данные.!J108&lt;2,FT108=$FD$1,FU108=$FD$1),"Бор,Медь,Цинк",IF(AND(OR(FJ108=$FD$1,FR108="Да"),FI108="Да",Исходн.данные.!J108&lt;2,FT108="Да",FU108="Да"),"Бор,Цинк,Медь",IF(AND(OR(FM108="Да",FQ108="Да"),FI108="Да",Исходн.данные.!J108&lt;2,FT108="Да",FU108="Да"),"Бор,Цинк",IF(AND(FN108="Да",OR(FD108="Да",FE108="Да")),"Бор",FB108))))))</f>
        <v>#N/A</v>
      </c>
      <c r="FB108" s="134" t="e">
        <f>IF(AND(OR(FD108="Да",FE108="Да",FF108="Да",FG108="Да",FH108="Да"),FO108="Да"),"Бор",IF(AND(FP108="Да",OR(FD108="Да",FE108="Да",FI108="Да")),"Бор",IF(AND(FS108="Да",FE108="Да"),"Бор,Медь",IF(AND(OR(FJ108="Да",FK108="Да",FL108="Да"),FE108="Да",Исходн.данные.!I108&lt;5,FT108="Да",FU108="Да"),"Молибден,Цинк",IF(AND(FM108="Да",OR(FE108="Да",FF108="Да",FG108="Да",FH108="Да",FI108="Да")),"Молибден,Цинк",IF(AND(OR(FJ108="Да",FK108="Да",FL108="Да",FM108="Да",FQ108="Да"),OR(FE108="Да",FF108="Да"),FT108="Да",FU108="Да",Исходн.данные.!I108&gt;5.5),"Медь,Цинк",FC108))))))</f>
        <v>#N/A</v>
      </c>
      <c r="FC108" s="23" t="e">
        <f t="shared" si="186"/>
        <v>#N/A</v>
      </c>
      <c r="FD108" s="38" t="str">
        <f>IF(OR(Исходн.данные.!F108=$CC$1,Исходн.данные.!F108=$CC$2,Исходн.данные.!F108=$CC$3,Исходн.данные.!F108=$CC$4),"Да","Нет")</f>
        <v>Нет</v>
      </c>
      <c r="FE108" s="38" t="str">
        <f>IF(Исходн.данные.!F108=$CC$5,"Да","Нет")</f>
        <v>Нет</v>
      </c>
      <c r="FF108" s="38" t="str">
        <f>IF(OR(Исходн.данные.!F108=$CC$6,Исходн.данные.!F108=$CC$7),"Да","Нет")</f>
        <v>Нет</v>
      </c>
      <c r="FG108" s="38" t="str">
        <f>IF(OR(Исходн.данные.!F108=$CC$8,Исходн.данные.!F108=$CC$9),"Да","Нет")</f>
        <v>Нет</v>
      </c>
      <c r="FH108" s="38" t="str">
        <f>IF(Исходн.данные.!F108=$CC$10,"Да","Нет")</f>
        <v>Нет</v>
      </c>
      <c r="FI108" s="38" t="str">
        <f>IF(OR(Исходн.данные.!F108=$CC$11,Исходн.данные.!F108=$CC$12),"Да","Нет")</f>
        <v>Нет</v>
      </c>
      <c r="FJ108" s="38" t="str">
        <f>IF(OR(Исходн.данные.!AH108=$BS$1,Исходн.данные.!AH108=$BQ$11,Исходн.данные.!AH108=$BQ$12),"Да","Нет")</f>
        <v>Нет</v>
      </c>
      <c r="FK108" s="38" t="str">
        <f>IF(OR(Исходн.данные.!AH108=$BS$2,Исходн.данные.!AH108=$BS$4),"Да","Нет")</f>
        <v>Нет</v>
      </c>
      <c r="FL108" s="38" t="str">
        <f>IF(OR(Исходн.данные.!AH108=$BS$3,Исходн.данные.!AH108=$BS$5),"Да","Нет")</f>
        <v>Нет</v>
      </c>
      <c r="FM108" s="38" t="str">
        <f>IF(OR(Исходн.данные.!AH108=$BS$9,Исходн.данные.!AH108=$BS$10,Исходн.данные.!AH108=$BS$11,Исходн.данные.!AH108=$BS$12),"Да","Нет")</f>
        <v>Нет</v>
      </c>
      <c r="FN108" s="38" t="str">
        <f>IF(OR(Исходн.данные.!AH108=$BS$6,Исходн.данные.!AH108=$BP$3),"Да","Нет")</f>
        <v>Нет</v>
      </c>
      <c r="FO108" s="38" t="str">
        <f>IF(Исходн.данные.!AH108=$BQ$9,"Да","Нет")</f>
        <v>Нет</v>
      </c>
      <c r="FP108" s="38" t="str">
        <f>IF(OR(Исходн.данные.!AH108=$BS$8,Исходн.данные.!AH108=$BT$8),"Да","Нет")</f>
        <v>Нет</v>
      </c>
      <c r="FQ108" s="38" t="str">
        <f>IF(OR(Исходн.данные.!AH108=$BQ$7,Исходн.данные.!AH108=$BQ$8),"Да","Нет")</f>
        <v>Нет</v>
      </c>
      <c r="FR108" s="38" t="str">
        <f>IF(Исходн.данные.!AI108=$BU$9,"Да","Нет")</f>
        <v>Нет</v>
      </c>
      <c r="FS108" s="38" t="str">
        <f>IF(OR(Исходн.данные.!AH108=$BP$1,Исходн.данные.!AH108=$BP$2),"Да","Нет")</f>
        <v>Нет</v>
      </c>
      <c r="FT108" s="38" t="e">
        <f>IF((Исходн.данные.!K108*GO108*GS108*GW108+BL108*0.6+Исходн.данные.!Q108*4.5*0.275)&gt;90,"Да","Нет")</f>
        <v>#N/A</v>
      </c>
      <c r="FU108" s="38" t="e">
        <f>IF((Исходн.данные.!M108*GS108*GZ108+BM108*0.225)&gt;35,"Да","Нет")</f>
        <v>#N/A</v>
      </c>
      <c r="FV108" s="38" t="str">
        <f>IF(Исходн.данные.!O108&gt;175,"Да","Нет")</f>
        <v>Нет</v>
      </c>
      <c r="FW108" s="39" t="str">
        <f>IF(Исходн.данные.!I108&gt;5.5,"Да","Нет")</f>
        <v>Нет</v>
      </c>
      <c r="FX108" s="39" t="str">
        <f>IF(Исходн.данные.!J108&lt;2,"Да","Нет")</f>
        <v>Да</v>
      </c>
      <c r="FY108" s="39" t="e">
        <f>IF(HF108=$FY$16,0,Исходн.данные.!K108*GO108*GS108*GW108/HF108)</f>
        <v>#N/A</v>
      </c>
      <c r="FZ108" s="39" t="e">
        <f>Исходн.данные.!M108*GS108*GZ108/HG108</f>
        <v>#N/A</v>
      </c>
      <c r="GA108" s="39" t="e">
        <f>IF(K_Wyn=$FY$16,0,IF(Исходн.данные.!N108=Исходн.данные.!$L$10,Исходн.данные.!O108/1.1*GS108*HC108/HH108,IF(Исходн.данные.!N108=Исходн.данные.!$L$12,Исходн.данные.!O108/1.5*GS108*HC108/HH108,Исходн.данные.!O108*GS108*HC108/HH108)))</f>
        <v>#N/A</v>
      </c>
      <c r="GB108" s="39" t="e">
        <f>IF(HF108=$FY$16,0,((Исходн.данные.!Q108*N_Org+Исходн.данные.!R108*N_Sider+Исходн.данные.!S108*N_Soloma)*AO108+Расчет!BC108*VLOOKUP(Исходн.данные.!T108,Справ!$A$3:$O$57,15)*AO108+BB108*VLOOKUP(Исходн.данные.!T108,Справ!$A$3:$O$57,15)*AL108+(Исходн.данные.!V108*N_Rizotorf+Исходн.данные.!W108*N_Rizoagr))/HF108)</f>
        <v>#N/A</v>
      </c>
      <c r="GC108" s="39" t="e">
        <f>IF(HG108=$FY$16,0,((Исходн.данные.!Q108*Р_Org+Исходн.данные.!R108*P_Sider+Исходн.данные.!S108*P_Soloma)*AP108+Расчет!BC108*VLOOKUP(Исходн.данные.!T108,Справ!$A$3:$P$57,16)*AP108+BB108*VLOOKUP(Исходн.данные.!T108,Справ!$A$3:$P$57,16)*AM108)/HG108)</f>
        <v>#N/A</v>
      </c>
      <c r="GD108" s="39" t="e">
        <f>IF(HH108=$FY$16,0,((Исходн.данные.!Q108*К_Org+Исходн.данные.!R108*K_Sider+Исходн.данные.!S108*K_Soloma)*AQ108+Расчет!BC108*VLOOKUP(Исходн.данные.!T108,Справ!$A$3:$Q$57,17)*AQ108+BB108*VLOOKUP(Исходн.данные.!T108,Справ!$A$3:$Q$57,17)*AN108)/HH108)</f>
        <v>#N/A</v>
      </c>
      <c r="GE108" s="39" t="e">
        <f>IF(HF108=$FY$16,0,(Исходн.данные.!X108*AR108+Исходн.данные.!AA108*N_Org*AL108+Исходн.данные.!AB108*N_Sider*AL108+Исходн.данные.!AC108*N_Soloma*AL108)/HF108)</f>
        <v>#N/A</v>
      </c>
      <c r="GF108" s="39" t="e">
        <f>IF(HG108=$FY$16,0,(Исходн.данные.!Y108*AS108+Исходн.данные.!AA108*Р_Org*AM108+Исходн.данные.!AB108*P_Sider*AM108+Исходн.данные.!AC108*P_Soloma*AM108)/HG108)</f>
        <v>#N/A</v>
      </c>
      <c r="GG108" s="39" t="e">
        <f>IF(HH108=$FY$16,0,(Исходн.данные.!Z108*AT108+Исходн.данные.!AA108*К_Org*AN108+Исходн.данные.!AB108*K_Sider*AN108+Исходн.данные.!AC108*K_Soloma*AN108)/HH108)</f>
        <v>#N/A</v>
      </c>
      <c r="GH108" s="39" t="e">
        <f>Исходн.данные.!AD108*AU108/HF108</f>
        <v>#N/A</v>
      </c>
      <c r="GI108" s="39" t="e">
        <f>Исходн.данные.!AE108*AV108/HG108</f>
        <v>#N/A</v>
      </c>
      <c r="GJ108" s="39" t="e">
        <f>Исходн.данные.!AF108*AW108/HH108</f>
        <v>#N/A</v>
      </c>
      <c r="GK108" s="55">
        <f>Исходн.данные.!AK108</f>
        <v>0</v>
      </c>
      <c r="GL108" s="11" t="e">
        <f t="shared" si="187"/>
        <v>#N/A</v>
      </c>
      <c r="GM108" s="11" t="e">
        <f t="shared" si="188"/>
        <v>#N/A</v>
      </c>
      <c r="GN108" s="11" t="e">
        <f t="shared" si="189"/>
        <v>#N/A</v>
      </c>
      <c r="GO108" s="57">
        <f t="shared" si="190"/>
        <v>19</v>
      </c>
      <c r="GP108" s="55">
        <f>IF(OR(Исходн.данные.!F108=$CE$1,Исходн.данные.!F108=$CE$2,Исходн.данные.!F108=$CE$3,Исходн.данные.!F108=$CE$4,Исходн.данные.!F108=$CE$5),GQ108,GR108)</f>
        <v>19</v>
      </c>
      <c r="GQ108" s="55">
        <f>IF(Исходн.данные.!F108=$CE$1,28,IF(Исходн.данные.!F108=$CE$2,26,IF(Исходн.данные.!F108=$CE$3,24,IF(Исходн.данные.!F108=$CE$4,22,IF(Исходн.данные.!F108=$CE$5,20,GR108)))))</f>
        <v>19</v>
      </c>
      <c r="GR108" s="55">
        <f>IF(Исходн.данные.!F108=$CE$6,18,IF(Исходн.данные.!F108=$CE$7,16,IF(Исходн.данные.!F108=$CE$8,14,IF(Исходн.данные.!F108=$CE$9,13,IF(Исходн.данные.!F108=$CE$10,12,19)))))</f>
        <v>19</v>
      </c>
      <c r="GS108" s="55">
        <f>IF(Исходн.данные.!G108="Пес",0.035*(40+2*Исходн.данные.!H108),IF(Исходн.данные.!G108="Суп",0.0325*(40+2*Исходн.данные.!H108),0.03*(40+2*Исходн.данные.!H108)))</f>
        <v>1.2</v>
      </c>
      <c r="GT108" s="55">
        <f>IF(Исходн.данные.!H108&lt;23,2.6,IF(AND(Исходн.данные.!H108&gt;22,Исходн.данные.!H108&lt;26),3,IF(AND(Исходн.данные.!H108&gt;25,Исходн.данные.!H108&lt;29),3.4,3.6)))</f>
        <v>2.6</v>
      </c>
      <c r="GU108" s="55">
        <f>IF(Исходн.данные.!H108&lt;23,2.8,IF(AND(Исходн.данные.!H108&gt;22,Исходн.данные.!H108&lt;26),3.2,IF(AND(Исходн.данные.!H108&gt;25,Исходн.данные.!H108&lt;29),3.6,3.9)))</f>
        <v>2.8</v>
      </c>
      <c r="GV108" s="55">
        <f>IF(Исходн.данные.!H108&lt;23,3,IF(AND(Исходн.данные.!H108&gt;22,Исходн.данные.!H108&lt;26),3.5,IF(AND(Исходн.данные.!H108&gt;25,Исходн.данные.!H108&lt;29),3.9,4.2)))</f>
        <v>3</v>
      </c>
      <c r="GW108" s="55" t="e">
        <f>IF(Исходн.данные.!P108="Ум",GX108,GY108)</f>
        <v>#N/A</v>
      </c>
      <c r="GX108" s="55" t="e">
        <f>VLOOKUP(Исходн.данные.!AI108,Коэффициенты!$J$7:$L$13,2,FALSE)</f>
        <v>#N/A</v>
      </c>
      <c r="GY108" s="55" t="e">
        <f>VLOOKUP(Исходн.данные.!AI108,Коэффициенты!$J$7:$L$13,3,FALSE)</f>
        <v>#N/A</v>
      </c>
      <c r="GZ108" s="55" t="e">
        <f>(IF(Исходн.данные.!M108&lt;50,0.11*VLOOKUP(Исходн.данные.!AH108,Культуры.Информация,7,FALSE),IF(Исходн.данные.!M108&gt;250,0.05*VLOOKUP(Исходн.данные.!AH108,Культуры.Информация,7,FALSE),VLOOKUP(Исходн.данные.!AH108,Культуры.Информация,5,FALSE)/100*($GX$6+$GY$6*Исходн.данные.!M108))))*Расчет2!AI108</f>
        <v>#N/A</v>
      </c>
      <c r="HA108" s="211"/>
      <c r="HB108" s="211"/>
      <c r="HC108" s="55" t="e">
        <f>(IF(Исходн.данные.!O108&lt;80,0.2*VLOOKUP(Исходн.данные.!AH108,Культуры.Информация,8,FALSE),IF(Исходн.данные.!O108&gt;240,0.09*VLOOKUP(Исходн.данные.!AH108,Культуры.Информация,8,FALSE),VLOOKUP(Исходн.данные.!AH108,Культуры.Информация,6,FALSE)/100*($HB$6+$HC$6*Исходн.данные.!O108))))*Расчет2!AJ108</f>
        <v>#N/A</v>
      </c>
      <c r="HD108" s="55">
        <f>IF(Исходн.данные.!O108&gt;240,0.09,IF(Исходн.данные.!O108&lt;30,0.3,$HE$10+$HD$10*Исходн.данные.!O108))</f>
        <v>0.3</v>
      </c>
      <c r="HE108" s="55">
        <f>IF(Исходн.данные.!O108&gt;240,0.17,IF(Исходн.данные.!O108&lt;30,0.5,$HF$12+$HE$12*Исходн.данные.!O108))</f>
        <v>0.5</v>
      </c>
      <c r="HF108" s="55" t="e">
        <f>VLOOKUP(Исходн.данные.!AH108,Справ!$A$3:$D$58,2,FALSE)</f>
        <v>#N/A</v>
      </c>
      <c r="HG108" s="55" t="e">
        <f>VLOOKUP(Исходн.данные.!AH108,Справ!$A$3:$D$58,3,FALSE)</f>
        <v>#N/A</v>
      </c>
      <c r="HH108" s="55" t="e">
        <f>VLOOKUP(Исходн.данные.!AH108,Справ!$A$3:$D$58,4,FALSE)</f>
        <v>#N/A</v>
      </c>
      <c r="HI108" s="11" t="e">
        <f t="shared" si="191"/>
        <v>#N/A</v>
      </c>
      <c r="HJ108" s="11" t="e">
        <f t="shared" si="192"/>
        <v>#N/A</v>
      </c>
      <c r="HK108" s="11" t="e">
        <f t="shared" si="193"/>
        <v>#N/A</v>
      </c>
      <c r="HL108" s="55">
        <f>IF(OR(Исходн.данные.!G108="Глин",Исходн.данные.!G108="Т_суг"),1.1,IF(Исходн.данные.!G108="Ср_суг",1,1))</f>
        <v>1</v>
      </c>
      <c r="HM108" s="55">
        <f>IF(OR(Исходн.данные.!G108="Глин",Исходн.данные.!G108="Т_суг"),0.9,IF(Исходн.данные.!G108="Ср_суг",1,1.2))</f>
        <v>1.2</v>
      </c>
      <c r="HN108" s="11" t="e">
        <f t="shared" si="194"/>
        <v>#N/A</v>
      </c>
      <c r="HO108" s="11" t="e">
        <f t="shared" si="195"/>
        <v>#N/A</v>
      </c>
      <c r="HP108" s="11" t="e">
        <f t="shared" si="196"/>
        <v>#N/A</v>
      </c>
      <c r="HQ108" t="e">
        <f t="shared" si="197"/>
        <v>#N/A</v>
      </c>
      <c r="HR108" t="e">
        <f t="shared" si="198"/>
        <v>#N/A</v>
      </c>
      <c r="HS108" t="e">
        <f t="shared" si="199"/>
        <v>#N/A</v>
      </c>
      <c r="HT108" t="e">
        <f t="shared" si="145"/>
        <v>#N/A</v>
      </c>
      <c r="HU108" t="e">
        <f t="shared" si="146"/>
        <v>#N/A</v>
      </c>
      <c r="HV108" t="e">
        <f t="shared" si="147"/>
        <v>#N/A</v>
      </c>
      <c r="HW108" t="e">
        <f t="shared" si="148"/>
        <v>#N/A</v>
      </c>
      <c r="HX108" t="e">
        <f t="shared" si="149"/>
        <v>#N/A</v>
      </c>
      <c r="HY108" t="e">
        <f t="shared" si="150"/>
        <v>#N/A</v>
      </c>
      <c r="HZ108" s="55">
        <f>IF(OR(Исходн.данные.!AI108="Оз_Ч_П",Исходн.данные.!AI108="Оз_З_П",Исходн.данные.!AI108="Яр_зер"),12,30)</f>
        <v>30</v>
      </c>
      <c r="IA108" t="e">
        <f t="shared" si="200"/>
        <v>#N/A</v>
      </c>
      <c r="IB108" t="e">
        <f t="shared" si="201"/>
        <v>#N/A</v>
      </c>
      <c r="IC108" t="e">
        <f t="shared" si="202"/>
        <v>#N/A</v>
      </c>
      <c r="ID108" s="11" t="e">
        <f t="shared" si="203"/>
        <v>#N/A</v>
      </c>
      <c r="IE108" s="11" t="e">
        <f t="shared" si="204"/>
        <v>#N/A</v>
      </c>
      <c r="IF108" s="11" t="e">
        <f t="shared" si="205"/>
        <v>#N/A</v>
      </c>
    </row>
    <row r="109" spans="35:240" x14ac:dyDescent="0.2">
      <c r="AI109">
        <f>IF(Исходн.данные.!I109&gt;6,1,1.85-(0.148*Исходн.данные.!I109))</f>
        <v>1.85</v>
      </c>
      <c r="AJ109">
        <f>IF(Исходн.данные.!I109&gt;6,1,2.434-(0.246*Исходн.данные.!I109))</f>
        <v>2.4340000000000002</v>
      </c>
      <c r="AL109" s="148" t="b">
        <f>IF(Исходн.данные.!$P109="Ум",N_OrgUd_2g_um,IF(Исходн.данные.!$P109="Об",N_OrgUd_2g_ob))</f>
        <v>0</v>
      </c>
      <c r="AM109" s="148" t="b">
        <f>IF(Исходн.данные.!$P109="Ум",P_OrgUd_2g_um,IF(Исходн.данные.!$P109="Об",P_OrgUd_2g_ob))</f>
        <v>0</v>
      </c>
      <c r="AN109" s="148" t="b">
        <f>IF(Исходн.данные.!$P109="Ум",K_OrgUd_2g_um,IF(Исходн.данные.!$P109="Об",K_OrgUd_2g_ob))</f>
        <v>0</v>
      </c>
      <c r="AO109" s="148" t="b">
        <f>IF(Исходн.данные.!$P109="Ум",N_OrgUd_1g_um,IF(Исходн.данные.!$P109="Об",N_OrgUd_1g_ob))</f>
        <v>0</v>
      </c>
      <c r="AP109" s="148" t="b">
        <f>IF(Исходн.данные.!$P109="Ум",P_OrgUd_1g_um,IF(Исходн.данные.!$P109="Об",P_OrgUd_1g_ob))</f>
        <v>0</v>
      </c>
      <c r="AQ109" s="148" t="b">
        <f>IF(Исходн.данные.!$P109="Ум",K_OrgUd_1g_um,IF(Исходн.данные.!$P109="Об",K_OrgUd_1g_ob))</f>
        <v>0</v>
      </c>
      <c r="AR109" t="b">
        <f>IF(Исходн.данные.!$P109="Ум",N_MinUd_2g_um,IF(Исходн.данные.!$P109="Об",N_MinUd_2g_ob))</f>
        <v>0</v>
      </c>
      <c r="AS109" t="b">
        <f>IF(Исходн.данные.!$P109="Ум",P_MinUd_2g_um,IF(Исходн.данные.!$P109="Об",P_MinUd_2g_ob))</f>
        <v>0</v>
      </c>
      <c r="AT109" t="b">
        <f>IF(Исходн.данные.!$P109="Ум",K_MinUd_2g_um,IF(Исходн.данные.!$P109="Об",K_MinUd_2g_ob))</f>
        <v>0</v>
      </c>
      <c r="AU109" t="b">
        <f>IF(Исходн.данные.!$P109="Ум",N_MinUd_1g_um,IF(Исходн.данные.!$P109="Об",N_MinUd_1g_ob))</f>
        <v>0</v>
      </c>
      <c r="AV109" t="b">
        <f>IF(Исходн.данные.!P109="Ум",P_MinUd_1g_um,IF(Исходн.данные.!P109="Об",P_MinUd_1g_ob))</f>
        <v>0</v>
      </c>
      <c r="AW109" t="b">
        <f>IF(Исходн.данные.!P109="Ум",K_MinUd_1g_um,IF(Исходн.данные.!P109="Об",K_MinUd_1g_ob))</f>
        <v>0</v>
      </c>
      <c r="AY109" t="e">
        <f>VLOOKUP(Исходн.данные.!T109,Справ!$A$3:$N$57,12)</f>
        <v>#N/A</v>
      </c>
      <c r="AZ109" t="e">
        <f>VLOOKUP(Исходн.данные.!T109,Справ!$A$3:$N$57,13)</f>
        <v>#N/A</v>
      </c>
      <c r="BA109" t="e">
        <f>VLOOKUP(Исходн.данные.!T109,Справ!$A$3:$N$57,14)</f>
        <v>#N/A</v>
      </c>
      <c r="BB109">
        <f>IF(Исходн.данные.!AH109=0,0,25)</f>
        <v>0</v>
      </c>
      <c r="BC109" s="141">
        <f>IF(Исходн.данные.!AH109=0,0,IF(Исходн.данные.!T109=0,25,BD109))</f>
        <v>0</v>
      </c>
      <c r="BD109" s="168" t="e">
        <f>AY109+AZ109*Исходн.данные.!U109-POWER(BA109,2)*Исходн.данные.!U109</f>
        <v>#N/A</v>
      </c>
      <c r="BE10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09" s="25">
        <f>IF(Исходн.данные.!AH109=0,0,MIN(HN109:HP109))</f>
        <v>0</v>
      </c>
      <c r="BG109" s="9">
        <f>IF(Исходн.данные.!AH109=0,0,IF((HO109+10*0.25/HG109/HL109)&lt;17,17,HO109+10*0.25/HG109/HL109))</f>
        <v>0</v>
      </c>
      <c r="BH109" s="181">
        <f>IF(Исходн.данные.!AH109=0,0,HW109*HF109*HL109/AU109*AI109+Исходн.данные.!S109*10)</f>
        <v>0</v>
      </c>
      <c r="BI109" s="10"/>
      <c r="BJ109" s="182">
        <f>IF(Исходн.данные.!AH109=0,0,IF(HX109*HG109*HL109/AV109&lt;0,0,HX109*HG109*HL109/AV109*AJ109))</f>
        <v>0</v>
      </c>
      <c r="BK109" s="182">
        <f>IF(Исходн.данные.!AH109=0,0,HY109*HH109*HM109/AW109)</f>
        <v>0</v>
      </c>
      <c r="BL109" s="10">
        <f>IF(OR(Исходн.данные.!$AH109=$BP$1,Исходн.данные.!$AH109=$BP$2),0,IF(BH109&lt;0,0,IF(OR(Исходн.данные.!T109=Расчет!$BP$1,Исходн.данные.!T109=Расчет!$BP$2,Исходн.данные.!T109=Расчет!$BT$5,Исходн.данные.!T109=Расчет!$BT$6),BH109*0.5,IF(OR(Исходн.данные.!T109=Расчет!$BS$9,Исходн.данные.!T109=Расчет!$BS$10,Исходн.данные.!T109=Расчет!$BS$11,Исходн.данные.!T109=Расчет!$BS$12,Исходн.данные.!T109=Расчет!$BP$5),BH109*0.8,BH109))))</f>
        <v>0</v>
      </c>
      <c r="BM109" s="10">
        <f>IF(OR(Исходн.данные.!$AH109=$BP$1,Исходн.данные.!$AH109=$BP$2),0,IF(BJ109&lt;0,0,IF(Исходн.данные.!I109&lt;4.5,BJ109*1.2,IF(Исходн.данные.!I109&gt;5.1,BJ109,BJ109*((5.1-Исходн.данные.!I109)*0.333+1)))))</f>
        <v>0</v>
      </c>
      <c r="BN109" s="10">
        <f>IF(OR(Исходн.данные.!$AH109=$BP$1,Исходн.данные.!$AH109=$BP$2),60-Исходн.данные.!AF109,IF(BK109&lt;0,0,IF(Исходн.данные.!I109&lt;4.5,BK109*1.2,IF(Исходн.данные.!I109&gt;5.1,BK109,BK109*((5.1-Исходн.данные.!I109)*0.333+1)))))</f>
        <v>0</v>
      </c>
      <c r="BO109" s="9">
        <f>IF(BL109&lt;0,0,BL109*Исходн.данные.!$AJ109/1000)</f>
        <v>0</v>
      </c>
      <c r="BP109" s="9">
        <f>IF(BM109&lt;0,0,BM109*Исходн.данные.!$AJ109/1000)</f>
        <v>0</v>
      </c>
      <c r="BQ109" s="9">
        <f>IF(BN109&lt;0,0,BN109*Исходн.данные.!$AJ109/1000)</f>
        <v>0</v>
      </c>
      <c r="BR109" s="9">
        <f t="shared" si="155"/>
        <v>0</v>
      </c>
      <c r="BS109" s="10" t="str">
        <f t="shared" si="156"/>
        <v>Аммофос 12:52:00</v>
      </c>
      <c r="BT109" s="10" t="str">
        <f t="shared" si="157"/>
        <v>Аммофос 12:52:00</v>
      </c>
      <c r="BU109" s="10" t="str">
        <f t="shared" si="158"/>
        <v>Диаммофоска</v>
      </c>
      <c r="BV109" s="10">
        <f t="shared" si="159"/>
        <v>0</v>
      </c>
      <c r="BW109" s="10"/>
      <c r="BX109" s="10"/>
      <c r="BY109" s="9">
        <f>IF(BL109&lt;0,0,IF(OR(Исходн.данные.!AI109=Расчет!$BU$6,Исходн.данные.!AI109=Расчет!$BU$7),Расчет!BV109,IF(Исходн.данные.!$AG109=$BV$11,BL109,IF(OR(Исходн.данные.!$AH109=$BQ$7,Исходн.данные.!$AH109=$BQ$8),CB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0,IF(Исходн.данные.!$AI109=$BU$11,"Нет",IF(BL109&gt;30,30,BL109)))))))</f>
        <v>0</v>
      </c>
      <c r="BZ109" s="9">
        <f>IF(AND(Исходн.данные.!$AG109=$BV$11,BM109&lt;10),10,IF(Исходн.данные.!$AG109=$BV$11,BM109,IF(OR(Исходн.данные.!$AH109=$BQ$7,Исходн.данные.!$AH109=$BQ$8),CC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10,IF(Исходн.данные.!$AI109=$BU$11,"Нет",IF(BM109&gt;60,60,IF(BM109&lt;10,10,BM109)))))))</f>
        <v>10</v>
      </c>
      <c r="CA109" s="39">
        <f>IF(BN109&lt;0,0,IF(Исходн.данные.!$AG109=$BV$11,BN109,IF(OR(Исходн.данные.!$AH109=$BQ$7,Исходн.данные.!$AH109=$BQ$8),CD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0,IF(Исходн.данные.!$AI109=$BU$11,"Нет",IF(BN109&gt;30,30,BN109))))))</f>
        <v>0</v>
      </c>
      <c r="CB109" s="9">
        <f t="shared" si="160"/>
        <v>0</v>
      </c>
      <c r="CC109" s="9">
        <f t="shared" si="161"/>
        <v>0</v>
      </c>
      <c r="CD109" s="9">
        <f t="shared" si="162"/>
        <v>0</v>
      </c>
      <c r="CE109" s="12">
        <f t="shared" si="163"/>
        <v>10</v>
      </c>
      <c r="CF109" s="9">
        <f t="shared" si="164"/>
        <v>0</v>
      </c>
      <c r="CG109" s="9" t="s">
        <v>231</v>
      </c>
      <c r="CH109" s="132" t="str">
        <f>IF(Исходн.данные.!AP109=Расчет!$CI$16,"Нет",IF(Исходн.данные.!AL109&gt;0,Исходн.данные.!AL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BH$4,IF(OR(Исходн.данные.!AI109=Исходн.данные.!$AI$6,Исходн.данные.!AI109=Исходн.данные.!$AI$7),Расчет!BS109,IF(AND($CF109=0,$CE109&gt;0),EV109,ER109)))))</f>
        <v>Аммофос 12:52:00</v>
      </c>
      <c r="CI109" s="274">
        <f>IF(Расчет!$CH109="Нет","Нет",IF(Исходн.данные.!$AL109&gt;0,VLOOKUP(Расчет!$CH109,АшламаДВ_Irekle,2,FALSE),VLOOKUP(Расчет!$CH109,АшламаДВ_Gomumy,2,FALSE)))</f>
        <v>0.12</v>
      </c>
      <c r="CJ109" s="274">
        <f>IF(Расчет!$CH109="Нет","Нет",IF(Исходн.данные.!$AL109&gt;0,VLOOKUP(Расчет!$CH109,АшламаДВ_Irekle,3,FALSE),VLOOKUP(Расчет!$CH109,АшламаДВ_Gomumy,3,FALSE)))</f>
        <v>0.52</v>
      </c>
      <c r="CK109" s="274">
        <f>IF(Расчет!$CH109="Нет","Нет",IF(Исходн.данные.!$AL109&gt;0,VLOOKUP(Расчет!$CH109,АшламаДВ_Irekle,4,FALSE),VLOOKUP(Расчет!$CH109,АшламаДВ_Gomumy,4,FALSE)))</f>
        <v>0</v>
      </c>
      <c r="CL109" s="70"/>
      <c r="CM109" s="70"/>
      <c r="CN109" s="70"/>
      <c r="CO109" s="70"/>
      <c r="CP109" s="70"/>
      <c r="CQ109" s="70"/>
      <c r="CR109" s="10">
        <f t="shared" si="165"/>
        <v>0</v>
      </c>
      <c r="CS109" s="10">
        <f t="shared" si="166"/>
        <v>19.23076923076923</v>
      </c>
      <c r="CT109" s="10">
        <f t="shared" si="167"/>
        <v>0</v>
      </c>
      <c r="CU109" s="39">
        <f>IF($CH109="Нет",0,IF(CI109=0,30/MIN(CJ109:CK109),IF(Исходн.данные.!$AG109=$BV$11,CR109,IF(OR(Исходн.данные.!$AH109=$BQ$7,Исходн.данные.!$AH109=$BQ$8),90/CI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0,IF(Исходн.данные.!$AI109=$BU$11,"Нет",30/CI109))))))</f>
        <v>250</v>
      </c>
      <c r="CV109" s="39">
        <f>IF($CH109="Нет",0,IF(Исходн.данные.!AH109=0,0,IF(CJ109=0,60/MIN(CI109,CK109),IF(Исходн.данные.!$AG109=$BV$11,CS109,IF(OR(Исходн.данные.!$AH109=$BQ$7,Исходн.данные.!$AH109=$BQ$8),90/CJ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10/CJ109,IF(Исходн.данные.!$AI109=$BU$11,"Нет",60/CJ109)))))))</f>
        <v>0</v>
      </c>
      <c r="CW109" s="39">
        <f>IF($CH109="Нет",0,IF(Исходн.данные.!AH109=0,0,IF(CK109=0,30/MIN(CI109:CJ109),IF(Исходн.данные.!$AG109=$BV$11,CT109,IF(OR(Исходн.данные.!$AH109=$BQ$7,Исходн.данные.!$AH109=$BQ$8),90/CK109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0,IF(Исходн.данные.!$AI109=$BU$11,"Нет",30/CK109)))))))</f>
        <v>0</v>
      </c>
      <c r="CX109" s="133">
        <f>IF(Исходн.данные.!$AG109=$BV$11,MAX(CU109:CW109),IF(OR(Исходн.данные.!$AH109=$BS$8,Исходн.данные.!$AH109=$BQ$9,Исходн.данные.!$AH109=$BQ$10,Исходн.данные.!$AH109=$BQ$11,Исходн.данные.!$AH109=$BQ$12,Исходн.данные.!$AH109=$BP$3,Исходн.данные.!$AH109=$BT$8,$FM109="Да"),CV109,MIN(CU109:CW109)))</f>
        <v>0</v>
      </c>
      <c r="CY109" s="133">
        <f>IF(Исходн.данные.!AH109=0,0,IF(CR109&gt;$CX109,$CX109,CR109))</f>
        <v>0</v>
      </c>
      <c r="CZ109" s="133">
        <f>IF(Исходн.данные.!AH109=0,0,IF(CS109&gt;$CX109,$CX109,CS109))</f>
        <v>0</v>
      </c>
      <c r="DA109" s="133">
        <f>IF(Исходн.данные.!AH109=0,0,IF(CT109&gt;$CX109,$CX109,CT109))</f>
        <v>0</v>
      </c>
      <c r="DB109" s="10">
        <f t="shared" si="168"/>
        <v>0</v>
      </c>
      <c r="DC109" s="39">
        <f>DB109*Исходн.данные.!AJ109/1000</f>
        <v>0</v>
      </c>
      <c r="DD109" s="71">
        <f t="shared" si="169"/>
        <v>0</v>
      </c>
      <c r="DE109" s="9">
        <f t="shared" si="170"/>
        <v>0</v>
      </c>
      <c r="DF109" s="9">
        <f t="shared" si="171"/>
        <v>0</v>
      </c>
      <c r="DG109" s="39">
        <f>IF(BL109&lt;0,0,IF($CH109="Нет",BL109,IF(OR(Исходн.данные.!$AH109=$BP$1,Исходн.данные.!$AH109=$BP$2),0,IF(Исходн.данные.!AI109=$BU$11,BL109,IF(BL109-DD109&lt;0,0,BL109-DD109)))))</f>
        <v>0</v>
      </c>
      <c r="DH109" s="39">
        <f>IF(BM109&lt;0,0,IF($CH109="Нет",BM109,IF(OR(Исходн.данные.!$AH109=$BP$1,Исходн.данные.!$AH109=$BP$2),0,IF(Исходн.данные.!AJ109=$BU$11,BM109,IF(BM109-DE109&lt;0,0,BM109-DE109)))))</f>
        <v>0</v>
      </c>
      <c r="DI109" s="39">
        <f>IF(BN109&lt;0,0,IF($CH109="Нет",BN109,IF(OR(Исходн.данные.!$AH109=$BP$1,Исходн.данные.!$AH109=$BP$2),0,IF(Исходн.данные.!AK109=$BU$11,BN109,IF(BN109-DF109&lt;0,0,BN109-DF109)))))</f>
        <v>0</v>
      </c>
      <c r="DJ109" s="12">
        <f t="shared" si="172"/>
        <v>0</v>
      </c>
      <c r="DK109" s="9">
        <f t="shared" si="173"/>
        <v>0</v>
      </c>
      <c r="DL109" s="39">
        <f>IF(Исходн.данные.!AM109&gt;0,Исходн.данные.!AM109,IF(EG109&gt;0,$BH$10,0))</f>
        <v>0</v>
      </c>
      <c r="DM109" s="186">
        <f>IF($DL109=0,0,IF(Исходн.данные.!AM109&gt;0,VLOOKUP($DL109,АшламаДВ_Irekle,2,FALSE),VLOOKUP($DL109,АшламаДВ_Gomumy,2,FALSE)))</f>
        <v>0</v>
      </c>
      <c r="DN109" s="10">
        <f t="shared" si="151"/>
        <v>0</v>
      </c>
      <c r="DO109" s="9" t="str">
        <f>IF(Исходн.данные.!AN109&gt;0,Исходн.данные.!AN109,Удобрения!$B$37 )</f>
        <v>Хлор.калий</v>
      </c>
      <c r="DP109" s="9">
        <f>IF(Исходн.данные.!AN109&gt;0,VLOOKUP(Исходн.данные.!AN109,АшламаДВ_Irekle,4,FALSE),VLOOKUP(DO109,АшламаДВ_Gomumy,4,FALSE))</f>
        <v>0.6</v>
      </c>
      <c r="DQ109" s="10">
        <f t="shared" si="152"/>
        <v>0</v>
      </c>
      <c r="DR109" s="132" t="str">
        <f>IF(Исходн.данные.!AO109&gt;0,Исходн.данные.!AO109,IF(DH109=0,BS$17,IF(AND($DK109=0,$DJ109&gt;0),EJ109,EN109)))</f>
        <v>Нет</v>
      </c>
      <c r="DS109" s="70" t="str">
        <f>IF($DR109="Нет","Нет",IF(Исходн.данные.!$AO109&gt;0,VLOOKUP($DR109,АшламаДВ_Irekle,2,FALSE),VLOOKUP($DR109,АшламаДВ_Gomumy,2,FALSE)))</f>
        <v>Нет</v>
      </c>
      <c r="DT109" s="70" t="str">
        <f>IF($DR109="Нет","Нет",IF(Исходн.данные.!$AO109&gt;0,VLOOKUP($DR109,АшламаДВ_Irekle,3,FALSE),VLOOKUP($DR109,АшламаДВ_Gomumy,3,FALSE)))</f>
        <v>Нет</v>
      </c>
      <c r="DU109" s="70" t="str">
        <f>IF($DR109="Нет","Нет",IF(Исходн.данные.!$AO109&gt;0,VLOOKUP($DR109,АшламаДВ_Irekle,4,FALSE),VLOOKUP($DR109,АшламаДВ_Gomumy,4,FALSE)))</f>
        <v>Нет</v>
      </c>
      <c r="DV109" s="70"/>
      <c r="DW109" s="70"/>
      <c r="DX109" s="70"/>
      <c r="DY109" s="10">
        <f t="shared" si="174"/>
        <v>0</v>
      </c>
      <c r="DZ109" s="10">
        <f t="shared" si="175"/>
        <v>0</v>
      </c>
      <c r="EA109" s="10">
        <f t="shared" si="176"/>
        <v>0</v>
      </c>
      <c r="EB109" s="10">
        <f t="shared" si="177"/>
        <v>0</v>
      </c>
      <c r="EC109" s="10">
        <f t="shared" si="178"/>
        <v>0</v>
      </c>
      <c r="ED109" s="10">
        <f t="shared" si="179"/>
        <v>0</v>
      </c>
      <c r="EE109" s="10">
        <f t="shared" si="180"/>
        <v>0</v>
      </c>
      <c r="EF109" s="39">
        <f>EB109*Исходн.данные.!AJ109/1000</f>
        <v>0</v>
      </c>
      <c r="EG109" s="9">
        <f t="shared" si="181"/>
        <v>0</v>
      </c>
      <c r="EH109" s="9">
        <f t="shared" si="182"/>
        <v>0</v>
      </c>
      <c r="EI109" s="39" t="e">
        <f t="shared" si="132"/>
        <v>#DIV/0!</v>
      </c>
      <c r="EJ109" s="9" t="str">
        <f t="shared" si="153"/>
        <v>Азопреципитат</v>
      </c>
      <c r="EK109" s="12">
        <f t="shared" si="133"/>
        <v>0.26</v>
      </c>
      <c r="EL109" s="12">
        <f t="shared" si="134"/>
        <v>0.13</v>
      </c>
      <c r="EM109" s="12">
        <f t="shared" si="135"/>
        <v>0</v>
      </c>
      <c r="EN109" s="12" t="str">
        <f t="shared" si="154"/>
        <v>Нет</v>
      </c>
      <c r="EO109" s="12">
        <f t="shared" si="136"/>
        <v>0</v>
      </c>
      <c r="EP109" s="12">
        <f t="shared" si="137"/>
        <v>0</v>
      </c>
      <c r="EQ109" s="12">
        <f t="shared" si="138"/>
        <v>0</v>
      </c>
      <c r="ER109" s="12" t="str">
        <f t="shared" si="183"/>
        <v>Диаммофоска</v>
      </c>
      <c r="ES109" s="12">
        <f t="shared" si="139"/>
        <v>0.1</v>
      </c>
      <c r="ET109" s="12">
        <f t="shared" si="140"/>
        <v>0.26</v>
      </c>
      <c r="EU109" s="12">
        <f t="shared" si="141"/>
        <v>0.26</v>
      </c>
      <c r="EV109" s="12" t="str">
        <f t="shared" si="184"/>
        <v>Аммофос 12:52:00</v>
      </c>
      <c r="EW109" s="12" t="str">
        <f t="shared" si="185"/>
        <v>Кемира Свекловичное-6</v>
      </c>
      <c r="EX109" s="12">
        <f t="shared" si="142"/>
        <v>0.16</v>
      </c>
      <c r="EY109" s="12">
        <f t="shared" si="143"/>
        <v>0.12</v>
      </c>
      <c r="EZ109" s="12">
        <f t="shared" si="144"/>
        <v>0.17</v>
      </c>
      <c r="FA109" s="38" t="e">
        <f>IF(AND(OR(FJ109=$FD$1,FM109=$FD$1,FO109=$FD$1,FQ109=$FD$1,FS109=$FD$1),FD109=$FD$1,Исходн.данные.!J109&lt;2,FU109=$FD$1),"Бор,Кобальт",IF(AND(FO109=$FD$1,FH109=$FD$1,Исходн.данные.!J109&lt;2,FU109=$FD$1),"Бор,Кобальт",IF(AND(OR(FJ109=$FD$1,FM109=$FD$1,FQ109=$FD$1),FE109=$FD$1,Исходн.данные.!J109&lt;2,FT109=$FD$1,FU109=$FD$1),"Бор,Медь,Цинк",IF(AND(OR(FJ109=$FD$1,FR109="Да"),FI109="Да",Исходн.данные.!J109&lt;2,FT109="Да",FU109="Да"),"Бор,Цинк,Медь",IF(AND(OR(FM109="Да",FQ109="Да"),FI109="Да",Исходн.данные.!J109&lt;2,FT109="Да",FU109="Да"),"Бор,Цинк",IF(AND(FN109="Да",OR(FD109="Да",FE109="Да")),"Бор",FB109))))))</f>
        <v>#N/A</v>
      </c>
      <c r="FB109" s="134" t="e">
        <f>IF(AND(OR(FD109="Да",FE109="Да",FF109="Да",FG109="Да",FH109="Да"),FO109="Да"),"Бор",IF(AND(FP109="Да",OR(FD109="Да",FE109="Да",FI109="Да")),"Бор",IF(AND(FS109="Да",FE109="Да"),"Бор,Медь",IF(AND(OR(FJ109="Да",FK109="Да",FL109="Да"),FE109="Да",Исходн.данные.!I109&lt;5,FT109="Да",FU109="Да"),"Молибден,Цинк",IF(AND(FM109="Да",OR(FE109="Да",FF109="Да",FG109="Да",FH109="Да",FI109="Да")),"Молибден,Цинк",IF(AND(OR(FJ109="Да",FK109="Да",FL109="Да",FM109="Да",FQ109="Да"),OR(FE109="Да",FF109="Да"),FT109="Да",FU109="Да",Исходн.данные.!I109&gt;5.5),"Медь,Цинк",FC109))))))</f>
        <v>#N/A</v>
      </c>
      <c r="FC109" s="23" t="e">
        <f t="shared" si="186"/>
        <v>#N/A</v>
      </c>
      <c r="FD109" s="38" t="str">
        <f>IF(OR(Исходн.данные.!F109=$CC$1,Исходн.данные.!F109=$CC$2,Исходн.данные.!F109=$CC$3,Исходн.данные.!F109=$CC$4),"Да","Нет")</f>
        <v>Нет</v>
      </c>
      <c r="FE109" s="38" t="str">
        <f>IF(Исходн.данные.!F109=$CC$5,"Да","Нет")</f>
        <v>Нет</v>
      </c>
      <c r="FF109" s="38" t="str">
        <f>IF(OR(Исходн.данные.!F109=$CC$6,Исходн.данные.!F109=$CC$7),"Да","Нет")</f>
        <v>Нет</v>
      </c>
      <c r="FG109" s="38" t="str">
        <f>IF(OR(Исходн.данные.!F109=$CC$8,Исходн.данные.!F109=$CC$9),"Да","Нет")</f>
        <v>Нет</v>
      </c>
      <c r="FH109" s="38" t="str">
        <f>IF(Исходн.данные.!F109=$CC$10,"Да","Нет")</f>
        <v>Нет</v>
      </c>
      <c r="FI109" s="38" t="str">
        <f>IF(OR(Исходн.данные.!F109=$CC$11,Исходн.данные.!F109=$CC$12),"Да","Нет")</f>
        <v>Нет</v>
      </c>
      <c r="FJ109" s="38" t="str">
        <f>IF(OR(Исходн.данные.!AH109=$BS$1,Исходн.данные.!AH109=$BQ$11,Исходн.данные.!AH109=$BQ$12),"Да","Нет")</f>
        <v>Нет</v>
      </c>
      <c r="FK109" s="38" t="str">
        <f>IF(OR(Исходн.данные.!AH109=$BS$2,Исходн.данные.!AH109=$BS$4),"Да","Нет")</f>
        <v>Нет</v>
      </c>
      <c r="FL109" s="38" t="str">
        <f>IF(OR(Исходн.данные.!AH109=$BS$3,Исходн.данные.!AH109=$BS$5),"Да","Нет")</f>
        <v>Нет</v>
      </c>
      <c r="FM109" s="38" t="str">
        <f>IF(OR(Исходн.данные.!AH109=$BS$9,Исходн.данные.!AH109=$BS$10,Исходн.данные.!AH109=$BS$11,Исходн.данные.!AH109=$BS$12),"Да","Нет")</f>
        <v>Нет</v>
      </c>
      <c r="FN109" s="38" t="str">
        <f>IF(OR(Исходн.данные.!AH109=$BS$6,Исходн.данные.!AH109=$BP$3),"Да","Нет")</f>
        <v>Нет</v>
      </c>
      <c r="FO109" s="38" t="str">
        <f>IF(Исходн.данные.!AH109=$BQ$9,"Да","Нет")</f>
        <v>Нет</v>
      </c>
      <c r="FP109" s="38" t="str">
        <f>IF(OR(Исходн.данные.!AH109=$BS$8,Исходн.данные.!AH109=$BT$8),"Да","Нет")</f>
        <v>Нет</v>
      </c>
      <c r="FQ109" s="38" t="str">
        <f>IF(OR(Исходн.данные.!AH109=$BQ$7,Исходн.данные.!AH109=$BQ$8),"Да","Нет")</f>
        <v>Нет</v>
      </c>
      <c r="FR109" s="38" t="str">
        <f>IF(Исходн.данные.!AI109=$BU$9,"Да","Нет")</f>
        <v>Нет</v>
      </c>
      <c r="FS109" s="38" t="str">
        <f>IF(OR(Исходн.данные.!AH109=$BP$1,Исходн.данные.!AH109=$BP$2),"Да","Нет")</f>
        <v>Нет</v>
      </c>
      <c r="FT109" s="38" t="e">
        <f>IF((Исходн.данные.!K109*GO109*GS109*GW109+BL109*0.6+Исходн.данные.!Q109*4.5*0.275)&gt;90,"Да","Нет")</f>
        <v>#N/A</v>
      </c>
      <c r="FU109" s="38" t="e">
        <f>IF((Исходн.данные.!M109*GS109*GZ109+BM109*0.225)&gt;35,"Да","Нет")</f>
        <v>#N/A</v>
      </c>
      <c r="FV109" s="38" t="str">
        <f>IF(Исходн.данные.!O109&gt;175,"Да","Нет")</f>
        <v>Нет</v>
      </c>
      <c r="FW109" s="39" t="str">
        <f>IF(Исходн.данные.!I109&gt;5.5,"Да","Нет")</f>
        <v>Нет</v>
      </c>
      <c r="FX109" s="39" t="str">
        <f>IF(Исходн.данные.!J109&lt;2,"Да","Нет")</f>
        <v>Да</v>
      </c>
      <c r="FY109" s="39" t="e">
        <f>IF(HF109=$FY$16,0,Исходн.данные.!K109*GO109*GS109*GW109/HF109)</f>
        <v>#N/A</v>
      </c>
      <c r="FZ109" s="39" t="e">
        <f>Исходн.данные.!M109*GS109*GZ109/HG109</f>
        <v>#N/A</v>
      </c>
      <c r="GA109" s="39" t="e">
        <f>IF(K_Wyn=$FY$16,0,IF(Исходн.данные.!N109=Исходн.данные.!$L$10,Исходн.данные.!O109/1.1*GS109*HC109/HH109,IF(Исходн.данные.!N109=Исходн.данные.!$L$12,Исходн.данные.!O109/1.5*GS109*HC109/HH109,Исходн.данные.!O109*GS109*HC109/HH109)))</f>
        <v>#N/A</v>
      </c>
      <c r="GB109" s="39" t="e">
        <f>IF(HF109=$FY$16,0,((Исходн.данные.!Q109*N_Org+Исходн.данные.!R109*N_Sider+Исходн.данные.!S109*N_Soloma)*AO109+Расчет!BC109*VLOOKUP(Исходн.данные.!T109,Справ!$A$3:$O$57,15)*AO109+BB109*VLOOKUP(Исходн.данные.!T109,Справ!$A$3:$O$57,15)*AL109+(Исходн.данные.!V109*N_Rizotorf+Исходн.данные.!W109*N_Rizoagr))/HF109)</f>
        <v>#N/A</v>
      </c>
      <c r="GC109" s="39" t="e">
        <f>IF(HG109=$FY$16,0,((Исходн.данные.!Q109*Р_Org+Исходн.данные.!R109*P_Sider+Исходн.данные.!S109*P_Soloma)*AP109+Расчет!BC109*VLOOKUP(Исходн.данные.!T109,Справ!$A$3:$P$57,16)*AP109+BB109*VLOOKUP(Исходн.данные.!T109,Справ!$A$3:$P$57,16)*AM109)/HG109)</f>
        <v>#N/A</v>
      </c>
      <c r="GD109" s="39" t="e">
        <f>IF(HH109=$FY$16,0,((Исходн.данные.!Q109*К_Org+Исходн.данные.!R109*K_Sider+Исходн.данные.!S109*K_Soloma)*AQ109+Расчет!BC109*VLOOKUP(Исходн.данные.!T109,Справ!$A$3:$Q$57,17)*AQ109+BB109*VLOOKUP(Исходн.данные.!T109,Справ!$A$3:$Q$57,17)*AN109)/HH109)</f>
        <v>#N/A</v>
      </c>
      <c r="GE109" s="39" t="e">
        <f>IF(HF109=$FY$16,0,(Исходн.данные.!X109*AR109+Исходн.данные.!AA109*N_Org*AL109+Исходн.данные.!AB109*N_Sider*AL109+Исходн.данные.!AC109*N_Soloma*AL109)/HF109)</f>
        <v>#N/A</v>
      </c>
      <c r="GF109" s="39" t="e">
        <f>IF(HG109=$FY$16,0,(Исходн.данные.!Y109*AS109+Исходн.данные.!AA109*Р_Org*AM109+Исходн.данные.!AB109*P_Sider*AM109+Исходн.данные.!AC109*P_Soloma*AM109)/HG109)</f>
        <v>#N/A</v>
      </c>
      <c r="GG109" s="39" t="e">
        <f>IF(HH109=$FY$16,0,(Исходн.данные.!Z109*AT109+Исходн.данные.!AA109*К_Org*AN109+Исходн.данные.!AB109*K_Sider*AN109+Исходн.данные.!AC109*K_Soloma*AN109)/HH109)</f>
        <v>#N/A</v>
      </c>
      <c r="GH109" s="39" t="e">
        <f>Исходн.данные.!AD109*AU109/HF109</f>
        <v>#N/A</v>
      </c>
      <c r="GI109" s="39" t="e">
        <f>Исходн.данные.!AE109*AV109/HG109</f>
        <v>#N/A</v>
      </c>
      <c r="GJ109" s="39" t="e">
        <f>Исходн.данные.!AF109*AW109/HH109</f>
        <v>#N/A</v>
      </c>
      <c r="GK109" s="55">
        <f>Исходн.данные.!AK109</f>
        <v>0</v>
      </c>
      <c r="GL109" s="11" t="e">
        <f t="shared" si="187"/>
        <v>#N/A</v>
      </c>
      <c r="GM109" s="11" t="e">
        <f t="shared" si="188"/>
        <v>#N/A</v>
      </c>
      <c r="GN109" s="11" t="e">
        <f t="shared" si="189"/>
        <v>#N/A</v>
      </c>
      <c r="GO109" s="57">
        <f t="shared" si="190"/>
        <v>19</v>
      </c>
      <c r="GP109" s="55">
        <f>IF(OR(Исходн.данные.!F109=$CE$1,Исходн.данные.!F109=$CE$2,Исходн.данные.!F109=$CE$3,Исходн.данные.!F109=$CE$4,Исходн.данные.!F109=$CE$5),GQ109,GR109)</f>
        <v>19</v>
      </c>
      <c r="GQ109" s="55">
        <f>IF(Исходн.данные.!F109=$CE$1,28,IF(Исходн.данные.!F109=$CE$2,26,IF(Исходн.данные.!F109=$CE$3,24,IF(Исходн.данные.!F109=$CE$4,22,IF(Исходн.данные.!F109=$CE$5,20,GR109)))))</f>
        <v>19</v>
      </c>
      <c r="GR109" s="55">
        <f>IF(Исходн.данные.!F109=$CE$6,18,IF(Исходн.данные.!F109=$CE$7,16,IF(Исходн.данные.!F109=$CE$8,14,IF(Исходн.данные.!F109=$CE$9,13,IF(Исходн.данные.!F109=$CE$10,12,19)))))</f>
        <v>19</v>
      </c>
      <c r="GS109" s="55">
        <f>IF(Исходн.данные.!G109="Пес",0.035*(40+2*Исходн.данные.!H109),IF(Исходн.данные.!G109="Суп",0.0325*(40+2*Исходн.данные.!H109),0.03*(40+2*Исходн.данные.!H109)))</f>
        <v>1.2</v>
      </c>
      <c r="GT109" s="55">
        <f>IF(Исходн.данные.!H109&lt;23,2.6,IF(AND(Исходн.данные.!H109&gt;22,Исходн.данные.!H109&lt;26),3,IF(AND(Исходн.данные.!H109&gt;25,Исходн.данные.!H109&lt;29),3.4,3.6)))</f>
        <v>2.6</v>
      </c>
      <c r="GU109" s="55">
        <f>IF(Исходн.данные.!H109&lt;23,2.8,IF(AND(Исходн.данные.!H109&gt;22,Исходн.данные.!H109&lt;26),3.2,IF(AND(Исходн.данные.!H109&gt;25,Исходн.данные.!H109&lt;29),3.6,3.9)))</f>
        <v>2.8</v>
      </c>
      <c r="GV109" s="55">
        <f>IF(Исходн.данные.!H109&lt;23,3,IF(AND(Исходн.данные.!H109&gt;22,Исходн.данные.!H109&lt;26),3.5,IF(AND(Исходн.данные.!H109&gt;25,Исходн.данные.!H109&lt;29),3.9,4.2)))</f>
        <v>3</v>
      </c>
      <c r="GW109" s="55" t="e">
        <f>IF(Исходн.данные.!P109="Ум",GX109,GY109)</f>
        <v>#N/A</v>
      </c>
      <c r="GX109" s="55" t="e">
        <f>VLOOKUP(Исходн.данные.!AI109,Коэффициенты!$J$7:$L$13,2,FALSE)</f>
        <v>#N/A</v>
      </c>
      <c r="GY109" s="55" t="e">
        <f>VLOOKUP(Исходн.данные.!AI109,Коэффициенты!$J$7:$L$13,3,FALSE)</f>
        <v>#N/A</v>
      </c>
      <c r="GZ109" s="55" t="e">
        <f>(IF(Исходн.данные.!M109&lt;50,0.11*VLOOKUP(Исходн.данные.!AH109,Культуры.Информация,7,FALSE),IF(Исходн.данные.!M109&gt;250,0.05*VLOOKUP(Исходн.данные.!AH109,Культуры.Информация,7,FALSE),VLOOKUP(Исходн.данные.!AH109,Культуры.Информация,5,FALSE)/100*($GX$6+$GY$6*Исходн.данные.!M109))))*Расчет2!AI109</f>
        <v>#N/A</v>
      </c>
      <c r="HA109" s="211"/>
      <c r="HB109" s="211"/>
      <c r="HC109" s="55" t="e">
        <f>(IF(Исходн.данные.!O109&lt;80,0.2*VLOOKUP(Исходн.данные.!AH109,Культуры.Информация,8,FALSE),IF(Исходн.данные.!O109&gt;240,0.09*VLOOKUP(Исходн.данные.!AH109,Культуры.Информация,8,FALSE),VLOOKUP(Исходн.данные.!AH109,Культуры.Информация,6,FALSE)/100*($HB$6+$HC$6*Исходн.данные.!O109))))*Расчет2!AJ109</f>
        <v>#N/A</v>
      </c>
      <c r="HD109" s="55">
        <f>IF(Исходн.данные.!O109&gt;240,0.09,IF(Исходн.данные.!O109&lt;30,0.3,$HE$10+$HD$10*Исходн.данные.!O109))</f>
        <v>0.3</v>
      </c>
      <c r="HE109" s="55">
        <f>IF(Исходн.данные.!O109&gt;240,0.17,IF(Исходн.данные.!O109&lt;30,0.5,$HF$12+$HE$12*Исходн.данные.!O109))</f>
        <v>0.5</v>
      </c>
      <c r="HF109" s="55" t="e">
        <f>VLOOKUP(Исходн.данные.!AH109,Справ!$A$3:$D$58,2,FALSE)</f>
        <v>#N/A</v>
      </c>
      <c r="HG109" s="55" t="e">
        <f>VLOOKUP(Исходн.данные.!AH109,Справ!$A$3:$D$58,3,FALSE)</f>
        <v>#N/A</v>
      </c>
      <c r="HH109" s="55" t="e">
        <f>VLOOKUP(Исходн.данные.!AH109,Справ!$A$3:$D$58,4,FALSE)</f>
        <v>#N/A</v>
      </c>
      <c r="HI109" s="11" t="e">
        <f t="shared" si="191"/>
        <v>#N/A</v>
      </c>
      <c r="HJ109" s="11" t="e">
        <f t="shared" si="192"/>
        <v>#N/A</v>
      </c>
      <c r="HK109" s="11" t="e">
        <f t="shared" si="193"/>
        <v>#N/A</v>
      </c>
      <c r="HL109" s="55">
        <f>IF(OR(Исходн.данные.!G109="Глин",Исходн.данные.!G109="Т_суг"),1.1,IF(Исходн.данные.!G109="Ср_суг",1,1))</f>
        <v>1</v>
      </c>
      <c r="HM109" s="55">
        <f>IF(OR(Исходн.данные.!G109="Глин",Исходн.данные.!G109="Т_суг"),0.9,IF(Исходн.данные.!G109="Ср_суг",1,1.2))</f>
        <v>1.2</v>
      </c>
      <c r="HN109" s="11" t="e">
        <f t="shared" si="194"/>
        <v>#N/A</v>
      </c>
      <c r="HO109" s="11" t="e">
        <f t="shared" si="195"/>
        <v>#N/A</v>
      </c>
      <c r="HP109" s="11" t="e">
        <f t="shared" si="196"/>
        <v>#N/A</v>
      </c>
      <c r="HQ109" t="e">
        <f t="shared" si="197"/>
        <v>#N/A</v>
      </c>
      <c r="HR109" t="e">
        <f t="shared" si="198"/>
        <v>#N/A</v>
      </c>
      <c r="HS109" t="e">
        <f t="shared" si="199"/>
        <v>#N/A</v>
      </c>
      <c r="HT109" t="e">
        <f t="shared" si="145"/>
        <v>#N/A</v>
      </c>
      <c r="HU109" t="e">
        <f t="shared" si="146"/>
        <v>#N/A</v>
      </c>
      <c r="HV109" t="e">
        <f t="shared" si="147"/>
        <v>#N/A</v>
      </c>
      <c r="HW109" t="e">
        <f t="shared" si="148"/>
        <v>#N/A</v>
      </c>
      <c r="HX109" t="e">
        <f t="shared" si="149"/>
        <v>#N/A</v>
      </c>
      <c r="HY109" t="e">
        <f t="shared" si="150"/>
        <v>#N/A</v>
      </c>
      <c r="HZ109" s="55">
        <f>IF(OR(Исходн.данные.!AI109="Оз_Ч_П",Исходн.данные.!AI109="Оз_З_П",Исходн.данные.!AI109="Яр_зер"),12,30)</f>
        <v>30</v>
      </c>
      <c r="IA109" t="e">
        <f t="shared" si="200"/>
        <v>#N/A</v>
      </c>
      <c r="IB109" t="e">
        <f t="shared" si="201"/>
        <v>#N/A</v>
      </c>
      <c r="IC109" t="e">
        <f t="shared" si="202"/>
        <v>#N/A</v>
      </c>
      <c r="ID109" s="11" t="e">
        <f t="shared" si="203"/>
        <v>#N/A</v>
      </c>
      <c r="IE109" s="11" t="e">
        <f t="shared" si="204"/>
        <v>#N/A</v>
      </c>
      <c r="IF109" s="11" t="e">
        <f t="shared" si="205"/>
        <v>#N/A</v>
      </c>
    </row>
    <row r="110" spans="35:240" x14ac:dyDescent="0.2">
      <c r="AI110">
        <f>IF(Исходн.данные.!I110&gt;6,1,1.85-(0.148*Исходн.данные.!I110))</f>
        <v>1.85</v>
      </c>
      <c r="AJ110">
        <f>IF(Исходн.данные.!I110&gt;6,1,2.434-(0.246*Исходн.данные.!I110))</f>
        <v>2.4340000000000002</v>
      </c>
      <c r="AL110" s="148" t="b">
        <f>IF(Исходн.данные.!$P110="Ум",N_OrgUd_2g_um,IF(Исходн.данные.!$P110="Об",N_OrgUd_2g_ob))</f>
        <v>0</v>
      </c>
      <c r="AM110" s="148" t="b">
        <f>IF(Исходн.данные.!$P110="Ум",P_OrgUd_2g_um,IF(Исходн.данные.!$P110="Об",P_OrgUd_2g_ob))</f>
        <v>0</v>
      </c>
      <c r="AN110" s="148" t="b">
        <f>IF(Исходн.данные.!$P110="Ум",K_OrgUd_2g_um,IF(Исходн.данные.!$P110="Об",K_OrgUd_2g_ob))</f>
        <v>0</v>
      </c>
      <c r="AO110" s="148" t="b">
        <f>IF(Исходн.данные.!$P110="Ум",N_OrgUd_1g_um,IF(Исходн.данные.!$P110="Об",N_OrgUd_1g_ob))</f>
        <v>0</v>
      </c>
      <c r="AP110" s="148" t="b">
        <f>IF(Исходн.данные.!$P110="Ум",P_OrgUd_1g_um,IF(Исходн.данные.!$P110="Об",P_OrgUd_1g_ob))</f>
        <v>0</v>
      </c>
      <c r="AQ110" s="148" t="b">
        <f>IF(Исходн.данные.!$P110="Ум",K_OrgUd_1g_um,IF(Исходн.данные.!$P110="Об",K_OrgUd_1g_ob))</f>
        <v>0</v>
      </c>
      <c r="AR110" t="b">
        <f>IF(Исходн.данные.!$P110="Ум",N_MinUd_2g_um,IF(Исходн.данные.!$P110="Об",N_MinUd_2g_ob))</f>
        <v>0</v>
      </c>
      <c r="AS110" t="b">
        <f>IF(Исходн.данные.!$P110="Ум",P_MinUd_2g_um,IF(Исходн.данные.!$P110="Об",P_MinUd_2g_ob))</f>
        <v>0</v>
      </c>
      <c r="AT110" t="b">
        <f>IF(Исходн.данные.!$P110="Ум",K_MinUd_2g_um,IF(Исходн.данные.!$P110="Об",K_MinUd_2g_ob))</f>
        <v>0</v>
      </c>
      <c r="AU110" t="b">
        <f>IF(Исходн.данные.!$P110="Ум",N_MinUd_1g_um,IF(Исходн.данные.!$P110="Об",N_MinUd_1g_ob))</f>
        <v>0</v>
      </c>
      <c r="AV110" t="b">
        <f>IF(Исходн.данные.!P110="Ум",P_MinUd_1g_um,IF(Исходн.данные.!P110="Об",P_MinUd_1g_ob))</f>
        <v>0</v>
      </c>
      <c r="AW110" t="b">
        <f>IF(Исходн.данные.!P110="Ум",K_MinUd_1g_um,IF(Исходн.данные.!P110="Об",K_MinUd_1g_ob))</f>
        <v>0</v>
      </c>
      <c r="AY110" t="e">
        <f>VLOOKUP(Исходн.данные.!T110,Справ!$A$3:$N$57,12)</f>
        <v>#N/A</v>
      </c>
      <c r="AZ110" t="e">
        <f>VLOOKUP(Исходн.данные.!T110,Справ!$A$3:$N$57,13)</f>
        <v>#N/A</v>
      </c>
      <c r="BA110" t="e">
        <f>VLOOKUP(Исходн.данные.!T110,Справ!$A$3:$N$57,14)</f>
        <v>#N/A</v>
      </c>
      <c r="BB110">
        <f>IF(Исходн.данные.!AH110=0,0,25)</f>
        <v>0</v>
      </c>
      <c r="BC110" s="141">
        <f>IF(Исходн.данные.!AH110=0,0,IF(Исходн.данные.!T110=0,25,BD110))</f>
        <v>0</v>
      </c>
      <c r="BD110" s="168" t="e">
        <f>AY110+AZ110*Исходн.данные.!U110-POWER(BA110,2)*Исходн.данные.!U110</f>
        <v>#N/A</v>
      </c>
      <c r="BE11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0" s="25">
        <f>IF(Исходн.данные.!AH110=0,0,MIN(HN110:HP110))</f>
        <v>0</v>
      </c>
      <c r="BG110" s="9">
        <f>IF(Исходн.данные.!AH110=0,0,IF((HO110+10*0.25/HG110/HL110)&lt;17,17,HO110+10*0.25/HG110/HL110))</f>
        <v>0</v>
      </c>
      <c r="BH110" s="181">
        <f>IF(Исходн.данные.!AH110=0,0,HW110*HF110*HL110/AU110*AI110+Исходн.данные.!S110*10)</f>
        <v>0</v>
      </c>
      <c r="BI110" s="10"/>
      <c r="BJ110" s="182">
        <f>IF(Исходн.данные.!AH110=0,0,IF(HX110*HG110*HL110/AV110&lt;0,0,HX110*HG110*HL110/AV110*AJ110))</f>
        <v>0</v>
      </c>
      <c r="BK110" s="182">
        <f>IF(Исходн.данные.!AH110=0,0,HY110*HH110*HM110/AW110)</f>
        <v>0</v>
      </c>
      <c r="BL110" s="10">
        <f>IF(OR(Исходн.данные.!$AH110=$BP$1,Исходн.данные.!$AH110=$BP$2),0,IF(BH110&lt;0,0,IF(OR(Исходн.данные.!T110=Расчет!$BP$1,Исходн.данные.!T110=Расчет!$BP$2,Исходн.данные.!T110=Расчет!$BT$5,Исходн.данные.!T110=Расчет!$BT$6),BH110*0.5,IF(OR(Исходн.данные.!T110=Расчет!$BS$9,Исходн.данные.!T110=Расчет!$BS$10,Исходн.данные.!T110=Расчет!$BS$11,Исходн.данные.!T110=Расчет!$BS$12,Исходн.данные.!T110=Расчет!$BP$5),BH110*0.8,BH110))))</f>
        <v>0</v>
      </c>
      <c r="BM110" s="10">
        <f>IF(OR(Исходн.данные.!$AH110=$BP$1,Исходн.данные.!$AH110=$BP$2),0,IF(BJ110&lt;0,0,IF(Исходн.данные.!I110&lt;4.5,BJ110*1.2,IF(Исходн.данные.!I110&gt;5.1,BJ110,BJ110*((5.1-Исходн.данные.!I110)*0.333+1)))))</f>
        <v>0</v>
      </c>
      <c r="BN110" s="10">
        <f>IF(OR(Исходн.данные.!$AH110=$BP$1,Исходн.данные.!$AH110=$BP$2),60-Исходн.данные.!AF110,IF(BK110&lt;0,0,IF(Исходн.данные.!I110&lt;4.5,BK110*1.2,IF(Исходн.данные.!I110&gt;5.1,BK110,BK110*((5.1-Исходн.данные.!I110)*0.333+1)))))</f>
        <v>0</v>
      </c>
      <c r="BO110" s="9">
        <f>IF(BL110&lt;0,0,BL110*Исходн.данные.!$AJ110/1000)</f>
        <v>0</v>
      </c>
      <c r="BP110" s="9">
        <f>IF(BM110&lt;0,0,BM110*Исходн.данные.!$AJ110/1000)</f>
        <v>0</v>
      </c>
      <c r="BQ110" s="9">
        <f>IF(BN110&lt;0,0,BN110*Исходн.данные.!$AJ110/1000)</f>
        <v>0</v>
      </c>
      <c r="BR110" s="9">
        <f t="shared" si="155"/>
        <v>0</v>
      </c>
      <c r="BS110" s="10" t="str">
        <f t="shared" si="156"/>
        <v>Аммофос 12:52:00</v>
      </c>
      <c r="BT110" s="10" t="str">
        <f t="shared" si="157"/>
        <v>Аммофос 12:52:00</v>
      </c>
      <c r="BU110" s="10" t="str">
        <f t="shared" si="158"/>
        <v>Диаммофоска</v>
      </c>
      <c r="BV110" s="10">
        <f t="shared" si="159"/>
        <v>0</v>
      </c>
      <c r="BW110" s="10"/>
      <c r="BX110" s="10"/>
      <c r="BY110" s="9">
        <f>IF(BL110&lt;0,0,IF(OR(Исходн.данные.!AI110=Расчет!$BU$6,Исходн.данные.!AI110=Расчет!$BU$7),Расчет!BV110,IF(Исходн.данные.!$AG110=$BV$11,BL110,IF(OR(Исходн.данные.!$AH110=$BQ$7,Исходн.данные.!$AH110=$BQ$8),CB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0,IF(Исходн.данные.!$AI110=$BU$11,"Нет",IF(BL110&gt;30,30,BL110)))))))</f>
        <v>0</v>
      </c>
      <c r="BZ110" s="9">
        <f>IF(AND(Исходн.данные.!$AG110=$BV$11,BM110&lt;10),10,IF(Исходн.данные.!$AG110=$BV$11,BM110,IF(OR(Исходн.данные.!$AH110=$BQ$7,Исходн.данные.!$AH110=$BQ$8),CC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10,IF(Исходн.данные.!$AI110=$BU$11,"Нет",IF(BM110&gt;60,60,IF(BM110&lt;10,10,BM110)))))))</f>
        <v>10</v>
      </c>
      <c r="CA110" s="39">
        <f>IF(BN110&lt;0,0,IF(Исходн.данные.!$AG110=$BV$11,BN110,IF(OR(Исходн.данные.!$AH110=$BQ$7,Исходн.данные.!$AH110=$BQ$8),CD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0,IF(Исходн.данные.!$AI110=$BU$11,"Нет",IF(BN110&gt;30,30,BN110))))))</f>
        <v>0</v>
      </c>
      <c r="CB110" s="9">
        <f t="shared" si="160"/>
        <v>0</v>
      </c>
      <c r="CC110" s="9">
        <f t="shared" si="161"/>
        <v>0</v>
      </c>
      <c r="CD110" s="9">
        <f t="shared" si="162"/>
        <v>0</v>
      </c>
      <c r="CE110" s="12">
        <f t="shared" si="163"/>
        <v>10</v>
      </c>
      <c r="CF110" s="9">
        <f t="shared" si="164"/>
        <v>0</v>
      </c>
      <c r="CG110" s="9" t="s">
        <v>231</v>
      </c>
      <c r="CH110" s="132" t="str">
        <f>IF(Исходн.данные.!AP110=Расчет!$CI$16,"Нет",IF(Исходн.данные.!AL110&gt;0,Исходн.данные.!AL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BH$4,IF(OR(Исходн.данные.!AI110=Исходн.данные.!$AI$6,Исходн.данные.!AI110=Исходн.данные.!$AI$7),Расчет!BS110,IF(AND($CF110=0,$CE110&gt;0),EV110,ER110)))))</f>
        <v>Аммофос 12:52:00</v>
      </c>
      <c r="CI110" s="274">
        <f>IF(Расчет!$CH110="Нет","Нет",IF(Исходн.данные.!$AL110&gt;0,VLOOKUP(Расчет!$CH110,АшламаДВ_Irekle,2,FALSE),VLOOKUP(Расчет!$CH110,АшламаДВ_Gomumy,2,FALSE)))</f>
        <v>0.12</v>
      </c>
      <c r="CJ110" s="274">
        <f>IF(Расчет!$CH110="Нет","Нет",IF(Исходн.данные.!$AL110&gt;0,VLOOKUP(Расчет!$CH110,АшламаДВ_Irekle,3,FALSE),VLOOKUP(Расчет!$CH110,АшламаДВ_Gomumy,3,FALSE)))</f>
        <v>0.52</v>
      </c>
      <c r="CK110" s="274">
        <f>IF(Расчет!$CH110="Нет","Нет",IF(Исходн.данные.!$AL110&gt;0,VLOOKUP(Расчет!$CH110,АшламаДВ_Irekle,4,FALSE),VLOOKUP(Расчет!$CH110,АшламаДВ_Gomumy,4,FALSE)))</f>
        <v>0</v>
      </c>
      <c r="CL110" s="70"/>
      <c r="CM110" s="70"/>
      <c r="CN110" s="70"/>
      <c r="CO110" s="70"/>
      <c r="CP110" s="70"/>
      <c r="CQ110" s="70"/>
      <c r="CR110" s="10">
        <f t="shared" si="165"/>
        <v>0</v>
      </c>
      <c r="CS110" s="10">
        <f t="shared" si="166"/>
        <v>19.23076923076923</v>
      </c>
      <c r="CT110" s="10">
        <f t="shared" si="167"/>
        <v>0</v>
      </c>
      <c r="CU110" s="39">
        <f>IF($CH110="Нет",0,IF(CI110=0,30/MIN(CJ110:CK110),IF(Исходн.данные.!$AG110=$BV$11,CR110,IF(OR(Исходн.данные.!$AH110=$BQ$7,Исходн.данные.!$AH110=$BQ$8),90/CI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0,IF(Исходн.данные.!$AI110=$BU$11,"Нет",30/CI110))))))</f>
        <v>250</v>
      </c>
      <c r="CV110" s="39">
        <f>IF($CH110="Нет",0,IF(Исходн.данные.!AH110=0,0,IF(CJ110=0,60/MIN(CI110,CK110),IF(Исходн.данные.!$AG110=$BV$11,CS110,IF(OR(Исходн.данные.!$AH110=$BQ$7,Исходн.данные.!$AH110=$BQ$8),90/CJ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10/CJ110,IF(Исходн.данные.!$AI110=$BU$11,"Нет",60/CJ110)))))))</f>
        <v>0</v>
      </c>
      <c r="CW110" s="39">
        <f>IF($CH110="Нет",0,IF(Исходн.данные.!AH110=0,0,IF(CK110=0,30/MIN(CI110:CJ110),IF(Исходн.данные.!$AG110=$BV$11,CT110,IF(OR(Исходн.данные.!$AH110=$BQ$7,Исходн.данные.!$AH110=$BQ$8),90/CK110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0,IF(Исходн.данные.!$AI110=$BU$11,"Нет",30/CK110)))))))</f>
        <v>0</v>
      </c>
      <c r="CX110" s="133">
        <f>IF(Исходн.данные.!$AG110=$BV$11,MAX(CU110:CW110),IF(OR(Исходн.данные.!$AH110=$BS$8,Исходн.данные.!$AH110=$BQ$9,Исходн.данные.!$AH110=$BQ$10,Исходн.данные.!$AH110=$BQ$11,Исходн.данные.!$AH110=$BQ$12,Исходн.данные.!$AH110=$BP$3,Исходн.данные.!$AH110=$BT$8,$FM110="Да"),CV110,MIN(CU110:CW110)))</f>
        <v>0</v>
      </c>
      <c r="CY110" s="133">
        <f>IF(Исходн.данные.!AH110=0,0,IF(CR110&gt;$CX110,$CX110,CR110))</f>
        <v>0</v>
      </c>
      <c r="CZ110" s="133">
        <f>IF(Исходн.данные.!AH110=0,0,IF(CS110&gt;$CX110,$CX110,CS110))</f>
        <v>0</v>
      </c>
      <c r="DA110" s="133">
        <f>IF(Исходн.данные.!AH110=0,0,IF(CT110&gt;$CX110,$CX110,CT110))</f>
        <v>0</v>
      </c>
      <c r="DB110" s="10">
        <f t="shared" si="168"/>
        <v>0</v>
      </c>
      <c r="DC110" s="39">
        <f>DB110*Исходн.данные.!AJ110/1000</f>
        <v>0</v>
      </c>
      <c r="DD110" s="71">
        <f t="shared" si="169"/>
        <v>0</v>
      </c>
      <c r="DE110" s="9">
        <f t="shared" si="170"/>
        <v>0</v>
      </c>
      <c r="DF110" s="9">
        <f t="shared" si="171"/>
        <v>0</v>
      </c>
      <c r="DG110" s="39">
        <f>IF(BL110&lt;0,0,IF($CH110="Нет",BL110,IF(OR(Исходн.данные.!$AH110=$BP$1,Исходн.данные.!$AH110=$BP$2),0,IF(Исходн.данные.!AI110=$BU$11,BL110,IF(BL110-DD110&lt;0,0,BL110-DD110)))))</f>
        <v>0</v>
      </c>
      <c r="DH110" s="39">
        <f>IF(BM110&lt;0,0,IF($CH110="Нет",BM110,IF(OR(Исходн.данные.!$AH110=$BP$1,Исходн.данные.!$AH110=$BP$2),0,IF(Исходн.данные.!AJ110=$BU$11,BM110,IF(BM110-DE110&lt;0,0,BM110-DE110)))))</f>
        <v>0</v>
      </c>
      <c r="DI110" s="39">
        <f>IF(BN110&lt;0,0,IF($CH110="Нет",BN110,IF(OR(Исходн.данные.!$AH110=$BP$1,Исходн.данные.!$AH110=$BP$2),0,IF(Исходн.данные.!AK110=$BU$11,BN110,IF(BN110-DF110&lt;0,0,BN110-DF110)))))</f>
        <v>0</v>
      </c>
      <c r="DJ110" s="12">
        <f t="shared" si="172"/>
        <v>0</v>
      </c>
      <c r="DK110" s="9">
        <f t="shared" si="173"/>
        <v>0</v>
      </c>
      <c r="DL110" s="39">
        <f>IF(Исходн.данные.!AM110&gt;0,Исходн.данные.!AM110,IF(EG110&gt;0,$BH$10,0))</f>
        <v>0</v>
      </c>
      <c r="DM110" s="186">
        <f>IF($DL110=0,0,IF(Исходн.данные.!AM110&gt;0,VLOOKUP($DL110,АшламаДВ_Irekle,2,FALSE),VLOOKUP($DL110,АшламаДВ_Gomumy,2,FALSE)))</f>
        <v>0</v>
      </c>
      <c r="DN110" s="10">
        <f t="shared" si="151"/>
        <v>0</v>
      </c>
      <c r="DO110" s="9" t="str">
        <f>IF(Исходн.данные.!AN110&gt;0,Исходн.данные.!AN110,Удобрения!$B$37 )</f>
        <v>Хлор.калий</v>
      </c>
      <c r="DP110" s="9">
        <f>IF(Исходн.данные.!AN110&gt;0,VLOOKUP(Исходн.данные.!AN110,АшламаДВ_Irekle,4,FALSE),VLOOKUP(DO110,АшламаДВ_Gomumy,4,FALSE))</f>
        <v>0.6</v>
      </c>
      <c r="DQ110" s="10">
        <f t="shared" si="152"/>
        <v>0</v>
      </c>
      <c r="DR110" s="132" t="str">
        <f>IF(Исходн.данные.!AO110&gt;0,Исходн.данные.!AO110,IF(DH110=0,BS$17,IF(AND($DK110=0,$DJ110&gt;0),EJ110,EN110)))</f>
        <v>Нет</v>
      </c>
      <c r="DS110" s="70" t="str">
        <f>IF($DR110="Нет","Нет",IF(Исходн.данные.!$AO110&gt;0,VLOOKUP($DR110,АшламаДВ_Irekle,2,FALSE),VLOOKUP($DR110,АшламаДВ_Gomumy,2,FALSE)))</f>
        <v>Нет</v>
      </c>
      <c r="DT110" s="70" t="str">
        <f>IF($DR110="Нет","Нет",IF(Исходн.данные.!$AO110&gt;0,VLOOKUP($DR110,АшламаДВ_Irekle,3,FALSE),VLOOKUP($DR110,АшламаДВ_Gomumy,3,FALSE)))</f>
        <v>Нет</v>
      </c>
      <c r="DU110" s="70" t="str">
        <f>IF($DR110="Нет","Нет",IF(Исходн.данные.!$AO110&gt;0,VLOOKUP($DR110,АшламаДВ_Irekle,4,FALSE),VLOOKUP($DR110,АшламаДВ_Gomumy,4,FALSE)))</f>
        <v>Нет</v>
      </c>
      <c r="DV110" s="70"/>
      <c r="DW110" s="70"/>
      <c r="DX110" s="70"/>
      <c r="DY110" s="10">
        <f t="shared" si="174"/>
        <v>0</v>
      </c>
      <c r="DZ110" s="10">
        <f t="shared" si="175"/>
        <v>0</v>
      </c>
      <c r="EA110" s="10">
        <f t="shared" si="176"/>
        <v>0</v>
      </c>
      <c r="EB110" s="10">
        <f t="shared" si="177"/>
        <v>0</v>
      </c>
      <c r="EC110" s="10">
        <f t="shared" si="178"/>
        <v>0</v>
      </c>
      <c r="ED110" s="10">
        <f t="shared" si="179"/>
        <v>0</v>
      </c>
      <c r="EE110" s="10">
        <f t="shared" si="180"/>
        <v>0</v>
      </c>
      <c r="EF110" s="39">
        <f>EB110*Исходн.данные.!AJ110/1000</f>
        <v>0</v>
      </c>
      <c r="EG110" s="9">
        <f t="shared" si="181"/>
        <v>0</v>
      </c>
      <c r="EH110" s="9">
        <f t="shared" si="182"/>
        <v>0</v>
      </c>
      <c r="EI110" s="39" t="e">
        <f t="shared" si="132"/>
        <v>#DIV/0!</v>
      </c>
      <c r="EJ110" s="9" t="str">
        <f t="shared" si="153"/>
        <v>Азопреципитат</v>
      </c>
      <c r="EK110" s="12">
        <f t="shared" si="133"/>
        <v>0.26</v>
      </c>
      <c r="EL110" s="12">
        <f t="shared" si="134"/>
        <v>0.13</v>
      </c>
      <c r="EM110" s="12">
        <f t="shared" si="135"/>
        <v>0</v>
      </c>
      <c r="EN110" s="12" t="str">
        <f t="shared" si="154"/>
        <v>Нет</v>
      </c>
      <c r="EO110" s="12">
        <f t="shared" si="136"/>
        <v>0</v>
      </c>
      <c r="EP110" s="12">
        <f t="shared" si="137"/>
        <v>0</v>
      </c>
      <c r="EQ110" s="12">
        <f t="shared" si="138"/>
        <v>0</v>
      </c>
      <c r="ER110" s="12" t="str">
        <f t="shared" si="183"/>
        <v>Диаммофоска</v>
      </c>
      <c r="ES110" s="12">
        <f t="shared" si="139"/>
        <v>0.1</v>
      </c>
      <c r="ET110" s="12">
        <f t="shared" si="140"/>
        <v>0.26</v>
      </c>
      <c r="EU110" s="12">
        <f t="shared" si="141"/>
        <v>0.26</v>
      </c>
      <c r="EV110" s="12" t="str">
        <f t="shared" si="184"/>
        <v>Аммофос 12:52:00</v>
      </c>
      <c r="EW110" s="12" t="str">
        <f t="shared" si="185"/>
        <v>Кемира Свекловичное-6</v>
      </c>
      <c r="EX110" s="12">
        <f t="shared" si="142"/>
        <v>0.16</v>
      </c>
      <c r="EY110" s="12">
        <f t="shared" si="143"/>
        <v>0.12</v>
      </c>
      <c r="EZ110" s="12">
        <f t="shared" si="144"/>
        <v>0.17</v>
      </c>
      <c r="FA110" s="38" t="e">
        <f>IF(AND(OR(FJ110=$FD$1,FM110=$FD$1,FO110=$FD$1,FQ110=$FD$1,FS110=$FD$1),FD110=$FD$1,Исходн.данные.!J110&lt;2,FU110=$FD$1),"Бор,Кобальт",IF(AND(FO110=$FD$1,FH110=$FD$1,Исходн.данные.!J110&lt;2,FU110=$FD$1),"Бор,Кобальт",IF(AND(OR(FJ110=$FD$1,FM110=$FD$1,FQ110=$FD$1),FE110=$FD$1,Исходн.данные.!J110&lt;2,FT110=$FD$1,FU110=$FD$1),"Бор,Медь,Цинк",IF(AND(OR(FJ110=$FD$1,FR110="Да"),FI110="Да",Исходн.данные.!J110&lt;2,FT110="Да",FU110="Да"),"Бор,Цинк,Медь",IF(AND(OR(FM110="Да",FQ110="Да"),FI110="Да",Исходн.данные.!J110&lt;2,FT110="Да",FU110="Да"),"Бор,Цинк",IF(AND(FN110="Да",OR(FD110="Да",FE110="Да")),"Бор",FB110))))))</f>
        <v>#N/A</v>
      </c>
      <c r="FB110" s="134" t="e">
        <f>IF(AND(OR(FD110="Да",FE110="Да",FF110="Да",FG110="Да",FH110="Да"),FO110="Да"),"Бор",IF(AND(FP110="Да",OR(FD110="Да",FE110="Да",FI110="Да")),"Бор",IF(AND(FS110="Да",FE110="Да"),"Бор,Медь",IF(AND(OR(FJ110="Да",FK110="Да",FL110="Да"),FE110="Да",Исходн.данные.!I110&lt;5,FT110="Да",FU110="Да"),"Молибден,Цинк",IF(AND(FM110="Да",OR(FE110="Да",FF110="Да",FG110="Да",FH110="Да",FI110="Да")),"Молибден,Цинк",IF(AND(OR(FJ110="Да",FK110="Да",FL110="Да",FM110="Да",FQ110="Да"),OR(FE110="Да",FF110="Да"),FT110="Да",FU110="Да",Исходн.данные.!I110&gt;5.5),"Медь,Цинк",FC110))))))</f>
        <v>#N/A</v>
      </c>
      <c r="FC110" s="23" t="e">
        <f t="shared" si="186"/>
        <v>#N/A</v>
      </c>
      <c r="FD110" s="38" t="str">
        <f>IF(OR(Исходн.данные.!F110=$CC$1,Исходн.данные.!F110=$CC$2,Исходн.данные.!F110=$CC$3,Исходн.данные.!F110=$CC$4),"Да","Нет")</f>
        <v>Нет</v>
      </c>
      <c r="FE110" s="38" t="str">
        <f>IF(Исходн.данные.!F110=$CC$5,"Да","Нет")</f>
        <v>Нет</v>
      </c>
      <c r="FF110" s="38" t="str">
        <f>IF(OR(Исходн.данные.!F110=$CC$6,Исходн.данные.!F110=$CC$7),"Да","Нет")</f>
        <v>Нет</v>
      </c>
      <c r="FG110" s="38" t="str">
        <f>IF(OR(Исходн.данные.!F110=$CC$8,Исходн.данные.!F110=$CC$9),"Да","Нет")</f>
        <v>Нет</v>
      </c>
      <c r="FH110" s="38" t="str">
        <f>IF(Исходн.данные.!F110=$CC$10,"Да","Нет")</f>
        <v>Нет</v>
      </c>
      <c r="FI110" s="38" t="str">
        <f>IF(OR(Исходн.данные.!F110=$CC$11,Исходн.данные.!F110=$CC$12),"Да","Нет")</f>
        <v>Нет</v>
      </c>
      <c r="FJ110" s="38" t="str">
        <f>IF(OR(Исходн.данные.!AH110=$BS$1,Исходн.данные.!AH110=$BQ$11,Исходн.данные.!AH110=$BQ$12),"Да","Нет")</f>
        <v>Нет</v>
      </c>
      <c r="FK110" s="38" t="str">
        <f>IF(OR(Исходн.данные.!AH110=$BS$2,Исходн.данные.!AH110=$BS$4),"Да","Нет")</f>
        <v>Нет</v>
      </c>
      <c r="FL110" s="38" t="str">
        <f>IF(OR(Исходн.данные.!AH110=$BS$3,Исходн.данные.!AH110=$BS$5),"Да","Нет")</f>
        <v>Нет</v>
      </c>
      <c r="FM110" s="38" t="str">
        <f>IF(OR(Исходн.данные.!AH110=$BS$9,Исходн.данные.!AH110=$BS$10,Исходн.данные.!AH110=$BS$11,Исходн.данные.!AH110=$BS$12),"Да","Нет")</f>
        <v>Нет</v>
      </c>
      <c r="FN110" s="38" t="str">
        <f>IF(OR(Исходн.данные.!AH110=$BS$6,Исходн.данные.!AH110=$BP$3),"Да","Нет")</f>
        <v>Нет</v>
      </c>
      <c r="FO110" s="38" t="str">
        <f>IF(Исходн.данные.!AH110=$BQ$9,"Да","Нет")</f>
        <v>Нет</v>
      </c>
      <c r="FP110" s="38" t="str">
        <f>IF(OR(Исходн.данные.!AH110=$BS$8,Исходн.данные.!AH110=$BT$8),"Да","Нет")</f>
        <v>Нет</v>
      </c>
      <c r="FQ110" s="38" t="str">
        <f>IF(OR(Исходн.данные.!AH110=$BQ$7,Исходн.данные.!AH110=$BQ$8),"Да","Нет")</f>
        <v>Нет</v>
      </c>
      <c r="FR110" s="38" t="str">
        <f>IF(Исходн.данные.!AI110=$BU$9,"Да","Нет")</f>
        <v>Нет</v>
      </c>
      <c r="FS110" s="38" t="str">
        <f>IF(OR(Исходн.данные.!AH110=$BP$1,Исходн.данные.!AH110=$BP$2),"Да","Нет")</f>
        <v>Нет</v>
      </c>
      <c r="FT110" s="38" t="e">
        <f>IF((Исходн.данные.!K110*GO110*GS110*GW110+BL110*0.6+Исходн.данные.!Q110*4.5*0.275)&gt;90,"Да","Нет")</f>
        <v>#N/A</v>
      </c>
      <c r="FU110" s="38" t="e">
        <f>IF((Исходн.данные.!M110*GS110*GZ110+BM110*0.225)&gt;35,"Да","Нет")</f>
        <v>#N/A</v>
      </c>
      <c r="FV110" s="38" t="str">
        <f>IF(Исходн.данные.!O110&gt;175,"Да","Нет")</f>
        <v>Нет</v>
      </c>
      <c r="FW110" s="39" t="str">
        <f>IF(Исходн.данные.!I110&gt;5.5,"Да","Нет")</f>
        <v>Нет</v>
      </c>
      <c r="FX110" s="39" t="str">
        <f>IF(Исходн.данные.!J110&lt;2,"Да","Нет")</f>
        <v>Да</v>
      </c>
      <c r="FY110" s="39" t="e">
        <f>IF(HF110=$FY$16,0,Исходн.данные.!K110*GO110*GS110*GW110/HF110)</f>
        <v>#N/A</v>
      </c>
      <c r="FZ110" s="39" t="e">
        <f>Исходн.данные.!M110*GS110*GZ110/HG110</f>
        <v>#N/A</v>
      </c>
      <c r="GA110" s="39" t="e">
        <f>IF(K_Wyn=$FY$16,0,IF(Исходн.данные.!N110=Исходн.данные.!$L$10,Исходн.данные.!O110/1.1*GS110*HC110/HH110,IF(Исходн.данные.!N110=Исходн.данные.!$L$12,Исходн.данные.!O110/1.5*GS110*HC110/HH110,Исходн.данные.!O110*GS110*HC110/HH110)))</f>
        <v>#N/A</v>
      </c>
      <c r="GB110" s="39" t="e">
        <f>IF(HF110=$FY$16,0,((Исходн.данные.!Q110*N_Org+Исходн.данные.!R110*N_Sider+Исходн.данные.!S110*N_Soloma)*AO110+Расчет!BC110*VLOOKUP(Исходн.данные.!T110,Справ!$A$3:$O$57,15)*AO110+BB110*VLOOKUP(Исходн.данные.!T110,Справ!$A$3:$O$57,15)*AL110+(Исходн.данные.!V110*N_Rizotorf+Исходн.данные.!W110*N_Rizoagr))/HF110)</f>
        <v>#N/A</v>
      </c>
      <c r="GC110" s="39" t="e">
        <f>IF(HG110=$FY$16,0,((Исходн.данные.!Q110*Р_Org+Исходн.данные.!R110*P_Sider+Исходн.данные.!S110*P_Soloma)*AP110+Расчет!BC110*VLOOKUP(Исходн.данные.!T110,Справ!$A$3:$P$57,16)*AP110+BB110*VLOOKUP(Исходн.данные.!T110,Справ!$A$3:$P$57,16)*AM110)/HG110)</f>
        <v>#N/A</v>
      </c>
      <c r="GD110" s="39" t="e">
        <f>IF(HH110=$FY$16,0,((Исходн.данные.!Q110*К_Org+Исходн.данные.!R110*K_Sider+Исходн.данные.!S110*K_Soloma)*AQ110+Расчет!BC110*VLOOKUP(Исходн.данные.!T110,Справ!$A$3:$Q$57,17)*AQ110+BB110*VLOOKUP(Исходн.данные.!T110,Справ!$A$3:$Q$57,17)*AN110)/HH110)</f>
        <v>#N/A</v>
      </c>
      <c r="GE110" s="39" t="e">
        <f>IF(HF110=$FY$16,0,(Исходн.данные.!X110*AR110+Исходн.данные.!AA110*N_Org*AL110+Исходн.данные.!AB110*N_Sider*AL110+Исходн.данные.!AC110*N_Soloma*AL110)/HF110)</f>
        <v>#N/A</v>
      </c>
      <c r="GF110" s="39" t="e">
        <f>IF(HG110=$FY$16,0,(Исходн.данные.!Y110*AS110+Исходн.данные.!AA110*Р_Org*AM110+Исходн.данные.!AB110*P_Sider*AM110+Исходн.данные.!AC110*P_Soloma*AM110)/HG110)</f>
        <v>#N/A</v>
      </c>
      <c r="GG110" s="39" t="e">
        <f>IF(HH110=$FY$16,0,(Исходн.данные.!Z110*AT110+Исходн.данные.!AA110*К_Org*AN110+Исходн.данные.!AB110*K_Sider*AN110+Исходн.данные.!AC110*K_Soloma*AN110)/HH110)</f>
        <v>#N/A</v>
      </c>
      <c r="GH110" s="39" t="e">
        <f>Исходн.данные.!AD110*AU110/HF110</f>
        <v>#N/A</v>
      </c>
      <c r="GI110" s="39" t="e">
        <f>Исходн.данные.!AE110*AV110/HG110</f>
        <v>#N/A</v>
      </c>
      <c r="GJ110" s="39" t="e">
        <f>Исходн.данные.!AF110*AW110/HH110</f>
        <v>#N/A</v>
      </c>
      <c r="GK110" s="55">
        <f>Исходн.данные.!AK110</f>
        <v>0</v>
      </c>
      <c r="GL110" s="11" t="e">
        <f t="shared" si="187"/>
        <v>#N/A</v>
      </c>
      <c r="GM110" s="11" t="e">
        <f t="shared" si="188"/>
        <v>#N/A</v>
      </c>
      <c r="GN110" s="11" t="e">
        <f t="shared" si="189"/>
        <v>#N/A</v>
      </c>
      <c r="GO110" s="57">
        <f t="shared" si="190"/>
        <v>19</v>
      </c>
      <c r="GP110" s="55">
        <f>IF(OR(Исходн.данные.!F110=$CE$1,Исходн.данные.!F110=$CE$2,Исходн.данные.!F110=$CE$3,Исходн.данные.!F110=$CE$4,Исходн.данные.!F110=$CE$5),GQ110,GR110)</f>
        <v>19</v>
      </c>
      <c r="GQ110" s="55">
        <f>IF(Исходн.данные.!F110=$CE$1,28,IF(Исходн.данные.!F110=$CE$2,26,IF(Исходн.данные.!F110=$CE$3,24,IF(Исходн.данные.!F110=$CE$4,22,IF(Исходн.данные.!F110=$CE$5,20,GR110)))))</f>
        <v>19</v>
      </c>
      <c r="GR110" s="55">
        <f>IF(Исходн.данные.!F110=$CE$6,18,IF(Исходн.данные.!F110=$CE$7,16,IF(Исходн.данные.!F110=$CE$8,14,IF(Исходн.данные.!F110=$CE$9,13,IF(Исходн.данные.!F110=$CE$10,12,19)))))</f>
        <v>19</v>
      </c>
      <c r="GS110" s="55">
        <f>IF(Исходн.данные.!G110="Пес",0.035*(40+2*Исходн.данные.!H110),IF(Исходн.данные.!G110="Суп",0.0325*(40+2*Исходн.данные.!H110),0.03*(40+2*Исходн.данные.!H110)))</f>
        <v>1.2</v>
      </c>
      <c r="GT110" s="55">
        <f>IF(Исходн.данные.!H110&lt;23,2.6,IF(AND(Исходн.данные.!H110&gt;22,Исходн.данные.!H110&lt;26),3,IF(AND(Исходн.данные.!H110&gt;25,Исходн.данные.!H110&lt;29),3.4,3.6)))</f>
        <v>2.6</v>
      </c>
      <c r="GU110" s="55">
        <f>IF(Исходн.данные.!H110&lt;23,2.8,IF(AND(Исходн.данные.!H110&gt;22,Исходн.данные.!H110&lt;26),3.2,IF(AND(Исходн.данные.!H110&gt;25,Исходн.данные.!H110&lt;29),3.6,3.9)))</f>
        <v>2.8</v>
      </c>
      <c r="GV110" s="55">
        <f>IF(Исходн.данные.!H110&lt;23,3,IF(AND(Исходн.данные.!H110&gt;22,Исходн.данные.!H110&lt;26),3.5,IF(AND(Исходн.данные.!H110&gt;25,Исходн.данные.!H110&lt;29),3.9,4.2)))</f>
        <v>3</v>
      </c>
      <c r="GW110" s="55" t="e">
        <f>IF(Исходн.данные.!P110="Ум",GX110,GY110)</f>
        <v>#N/A</v>
      </c>
      <c r="GX110" s="55" t="e">
        <f>VLOOKUP(Исходн.данные.!AI110,Коэффициенты!$J$7:$L$13,2,FALSE)</f>
        <v>#N/A</v>
      </c>
      <c r="GY110" s="55" t="e">
        <f>VLOOKUP(Исходн.данные.!AI110,Коэффициенты!$J$7:$L$13,3,FALSE)</f>
        <v>#N/A</v>
      </c>
      <c r="GZ110" s="55" t="e">
        <f>(IF(Исходн.данные.!M110&lt;50,0.11*VLOOKUP(Исходн.данные.!AH110,Культуры.Информация,7,FALSE),IF(Исходн.данные.!M110&gt;250,0.05*VLOOKUP(Исходн.данные.!AH110,Культуры.Информация,7,FALSE),VLOOKUP(Исходн.данные.!AH110,Культуры.Информация,5,FALSE)/100*($GX$6+$GY$6*Исходн.данные.!M110))))*Расчет2!AI110</f>
        <v>#N/A</v>
      </c>
      <c r="HA110" s="211"/>
      <c r="HB110" s="211"/>
      <c r="HC110" s="55" t="e">
        <f>(IF(Исходн.данные.!O110&lt;80,0.2*VLOOKUP(Исходн.данные.!AH110,Культуры.Информация,8,FALSE),IF(Исходн.данные.!O110&gt;240,0.09*VLOOKUP(Исходн.данные.!AH110,Культуры.Информация,8,FALSE),VLOOKUP(Исходн.данные.!AH110,Культуры.Информация,6,FALSE)/100*($HB$6+$HC$6*Исходн.данные.!O110))))*Расчет2!AJ110</f>
        <v>#N/A</v>
      </c>
      <c r="HD110" s="55">
        <f>IF(Исходн.данные.!O110&gt;240,0.09,IF(Исходн.данные.!O110&lt;30,0.3,$HE$10+$HD$10*Исходн.данные.!O110))</f>
        <v>0.3</v>
      </c>
      <c r="HE110" s="55">
        <f>IF(Исходн.данные.!O110&gt;240,0.17,IF(Исходн.данные.!O110&lt;30,0.5,$HF$12+$HE$12*Исходн.данные.!O110))</f>
        <v>0.5</v>
      </c>
      <c r="HF110" s="55" t="e">
        <f>VLOOKUP(Исходн.данные.!AH110,Справ!$A$3:$D$58,2,FALSE)</f>
        <v>#N/A</v>
      </c>
      <c r="HG110" s="55" t="e">
        <f>VLOOKUP(Исходн.данные.!AH110,Справ!$A$3:$D$58,3,FALSE)</f>
        <v>#N/A</v>
      </c>
      <c r="HH110" s="55" t="e">
        <f>VLOOKUP(Исходн.данные.!AH110,Справ!$A$3:$D$58,4,FALSE)</f>
        <v>#N/A</v>
      </c>
      <c r="HI110" s="11" t="e">
        <f t="shared" si="191"/>
        <v>#N/A</v>
      </c>
      <c r="HJ110" s="11" t="e">
        <f t="shared" si="192"/>
        <v>#N/A</v>
      </c>
      <c r="HK110" s="11" t="e">
        <f t="shared" si="193"/>
        <v>#N/A</v>
      </c>
      <c r="HL110" s="55">
        <f>IF(OR(Исходн.данные.!G110="Глин",Исходн.данные.!G110="Т_суг"),1.1,IF(Исходн.данные.!G110="Ср_суг",1,1))</f>
        <v>1</v>
      </c>
      <c r="HM110" s="55">
        <f>IF(OR(Исходн.данные.!G110="Глин",Исходн.данные.!G110="Т_суг"),0.9,IF(Исходн.данные.!G110="Ср_суг",1,1.2))</f>
        <v>1.2</v>
      </c>
      <c r="HN110" s="11" t="e">
        <f t="shared" si="194"/>
        <v>#N/A</v>
      </c>
      <c r="HO110" s="11" t="e">
        <f t="shared" si="195"/>
        <v>#N/A</v>
      </c>
      <c r="HP110" s="11" t="e">
        <f t="shared" si="196"/>
        <v>#N/A</v>
      </c>
      <c r="HQ110" t="e">
        <f t="shared" si="197"/>
        <v>#N/A</v>
      </c>
      <c r="HR110" t="e">
        <f t="shared" si="198"/>
        <v>#N/A</v>
      </c>
      <c r="HS110" t="e">
        <f t="shared" si="199"/>
        <v>#N/A</v>
      </c>
      <c r="HT110" t="e">
        <f t="shared" si="145"/>
        <v>#N/A</v>
      </c>
      <c r="HU110" t="e">
        <f t="shared" si="146"/>
        <v>#N/A</v>
      </c>
      <c r="HV110" t="e">
        <f t="shared" si="147"/>
        <v>#N/A</v>
      </c>
      <c r="HW110" t="e">
        <f t="shared" si="148"/>
        <v>#N/A</v>
      </c>
      <c r="HX110" t="e">
        <f t="shared" si="149"/>
        <v>#N/A</v>
      </c>
      <c r="HY110" t="e">
        <f t="shared" si="150"/>
        <v>#N/A</v>
      </c>
      <c r="HZ110" s="55">
        <f>IF(OR(Исходн.данные.!AI110="Оз_Ч_П",Исходн.данные.!AI110="Оз_З_П",Исходн.данные.!AI110="Яр_зер"),12,30)</f>
        <v>30</v>
      </c>
      <c r="IA110" t="e">
        <f t="shared" si="200"/>
        <v>#N/A</v>
      </c>
      <c r="IB110" t="e">
        <f t="shared" si="201"/>
        <v>#N/A</v>
      </c>
      <c r="IC110" t="e">
        <f t="shared" si="202"/>
        <v>#N/A</v>
      </c>
      <c r="ID110" s="11" t="e">
        <f t="shared" si="203"/>
        <v>#N/A</v>
      </c>
      <c r="IE110" s="11" t="e">
        <f t="shared" si="204"/>
        <v>#N/A</v>
      </c>
      <c r="IF110" s="11" t="e">
        <f t="shared" si="205"/>
        <v>#N/A</v>
      </c>
    </row>
    <row r="111" spans="35:240" x14ac:dyDescent="0.2">
      <c r="AI111">
        <f>IF(Исходн.данные.!I111&gt;6,1,1.85-(0.148*Исходн.данные.!I111))</f>
        <v>1.85</v>
      </c>
      <c r="AJ111">
        <f>IF(Исходн.данные.!I111&gt;6,1,2.434-(0.246*Исходн.данные.!I111))</f>
        <v>2.4340000000000002</v>
      </c>
      <c r="AL111" s="148" t="b">
        <f>IF(Исходн.данные.!$P111="Ум",N_OrgUd_2g_um,IF(Исходн.данные.!$P111="Об",N_OrgUd_2g_ob))</f>
        <v>0</v>
      </c>
      <c r="AM111" s="148" t="b">
        <f>IF(Исходн.данные.!$P111="Ум",P_OrgUd_2g_um,IF(Исходн.данные.!$P111="Об",P_OrgUd_2g_ob))</f>
        <v>0</v>
      </c>
      <c r="AN111" s="148" t="b">
        <f>IF(Исходн.данные.!$P111="Ум",K_OrgUd_2g_um,IF(Исходн.данные.!$P111="Об",K_OrgUd_2g_ob))</f>
        <v>0</v>
      </c>
      <c r="AO111" s="148" t="b">
        <f>IF(Исходн.данные.!$P111="Ум",N_OrgUd_1g_um,IF(Исходн.данные.!$P111="Об",N_OrgUd_1g_ob))</f>
        <v>0</v>
      </c>
      <c r="AP111" s="148" t="b">
        <f>IF(Исходн.данные.!$P111="Ум",P_OrgUd_1g_um,IF(Исходн.данные.!$P111="Об",P_OrgUd_1g_ob))</f>
        <v>0</v>
      </c>
      <c r="AQ111" s="148" t="b">
        <f>IF(Исходн.данные.!$P111="Ум",K_OrgUd_1g_um,IF(Исходн.данные.!$P111="Об",K_OrgUd_1g_ob))</f>
        <v>0</v>
      </c>
      <c r="AR111" t="b">
        <f>IF(Исходн.данные.!$P111="Ум",N_MinUd_2g_um,IF(Исходн.данные.!$P111="Об",N_MinUd_2g_ob))</f>
        <v>0</v>
      </c>
      <c r="AS111" t="b">
        <f>IF(Исходн.данные.!$P111="Ум",P_MinUd_2g_um,IF(Исходн.данные.!$P111="Об",P_MinUd_2g_ob))</f>
        <v>0</v>
      </c>
      <c r="AT111" t="b">
        <f>IF(Исходн.данные.!$P111="Ум",K_MinUd_2g_um,IF(Исходн.данные.!$P111="Об",K_MinUd_2g_ob))</f>
        <v>0</v>
      </c>
      <c r="AU111" t="b">
        <f>IF(Исходн.данные.!$P111="Ум",N_MinUd_1g_um,IF(Исходн.данные.!$P111="Об",N_MinUd_1g_ob))</f>
        <v>0</v>
      </c>
      <c r="AV111" t="b">
        <f>IF(Исходн.данные.!P111="Ум",P_MinUd_1g_um,IF(Исходн.данные.!P111="Об",P_MinUd_1g_ob))</f>
        <v>0</v>
      </c>
      <c r="AW111" t="b">
        <f>IF(Исходн.данные.!P111="Ум",K_MinUd_1g_um,IF(Исходн.данные.!P111="Об",K_MinUd_1g_ob))</f>
        <v>0</v>
      </c>
      <c r="AY111" t="e">
        <f>VLOOKUP(Исходн.данные.!T111,Справ!$A$3:$N$57,12)</f>
        <v>#N/A</v>
      </c>
      <c r="AZ111" t="e">
        <f>VLOOKUP(Исходн.данные.!T111,Справ!$A$3:$N$57,13)</f>
        <v>#N/A</v>
      </c>
      <c r="BA111" t="e">
        <f>VLOOKUP(Исходн.данные.!T111,Справ!$A$3:$N$57,14)</f>
        <v>#N/A</v>
      </c>
      <c r="BB111">
        <f>IF(Исходн.данные.!AH111=0,0,25)</f>
        <v>0</v>
      </c>
      <c r="BC111" s="141">
        <f>IF(Исходн.данные.!AH111=0,0,IF(Исходн.данные.!T111=0,25,BD111))</f>
        <v>0</v>
      </c>
      <c r="BD111" s="168" t="e">
        <f>AY111+AZ111*Исходн.данные.!U111-POWER(BA111,2)*Исходн.данные.!U111</f>
        <v>#N/A</v>
      </c>
      <c r="BE11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1" s="25">
        <f>IF(Исходн.данные.!AH111=0,0,MIN(HN111:HP111))</f>
        <v>0</v>
      </c>
      <c r="BG111" s="9">
        <f>IF(Исходн.данные.!AH111=0,0,IF((HO111+10*0.25/HG111/HL111)&lt;17,17,HO111+10*0.25/HG111/HL111))</f>
        <v>0</v>
      </c>
      <c r="BH111" s="181">
        <f>IF(Исходн.данные.!AH111=0,0,HW111*HF111*HL111/AU111*AI111+Исходн.данные.!S111*10)</f>
        <v>0</v>
      </c>
      <c r="BI111" s="10"/>
      <c r="BJ111" s="182">
        <f>IF(Исходн.данные.!AH111=0,0,IF(HX111*HG111*HL111/AV111&lt;0,0,HX111*HG111*HL111/AV111*AJ111))</f>
        <v>0</v>
      </c>
      <c r="BK111" s="182">
        <f>IF(Исходн.данные.!AH111=0,0,HY111*HH111*HM111/AW111)</f>
        <v>0</v>
      </c>
      <c r="BL111" s="10">
        <f>IF(OR(Исходн.данные.!$AH111=$BP$1,Исходн.данные.!$AH111=$BP$2),0,IF(BH111&lt;0,0,IF(OR(Исходн.данные.!T111=Расчет!$BP$1,Исходн.данные.!T111=Расчет!$BP$2,Исходн.данные.!T111=Расчет!$BT$5,Исходн.данные.!T111=Расчет!$BT$6),BH111*0.5,IF(OR(Исходн.данные.!T111=Расчет!$BS$9,Исходн.данные.!T111=Расчет!$BS$10,Исходн.данные.!T111=Расчет!$BS$11,Исходн.данные.!T111=Расчет!$BS$12,Исходн.данные.!T111=Расчет!$BP$5),BH111*0.8,BH111))))</f>
        <v>0</v>
      </c>
      <c r="BM111" s="10">
        <f>IF(OR(Исходн.данные.!$AH111=$BP$1,Исходн.данные.!$AH111=$BP$2),0,IF(BJ111&lt;0,0,IF(Исходн.данные.!I111&lt;4.5,BJ111*1.2,IF(Исходн.данные.!I111&gt;5.1,BJ111,BJ111*((5.1-Исходн.данные.!I111)*0.333+1)))))</f>
        <v>0</v>
      </c>
      <c r="BN111" s="10">
        <f>IF(OR(Исходн.данные.!$AH111=$BP$1,Исходн.данные.!$AH111=$BP$2),60-Исходн.данные.!AF111,IF(BK111&lt;0,0,IF(Исходн.данные.!I111&lt;4.5,BK111*1.2,IF(Исходн.данные.!I111&gt;5.1,BK111,BK111*((5.1-Исходн.данные.!I111)*0.333+1)))))</f>
        <v>0</v>
      </c>
      <c r="BO111" s="9">
        <f>IF(BL111&lt;0,0,BL111*Исходн.данные.!$AJ111/1000)</f>
        <v>0</v>
      </c>
      <c r="BP111" s="9">
        <f>IF(BM111&lt;0,0,BM111*Исходн.данные.!$AJ111/1000)</f>
        <v>0</v>
      </c>
      <c r="BQ111" s="9">
        <f>IF(BN111&lt;0,0,BN111*Исходн.данные.!$AJ111/1000)</f>
        <v>0</v>
      </c>
      <c r="BR111" s="9">
        <f t="shared" si="155"/>
        <v>0</v>
      </c>
      <c r="BS111" s="10" t="str">
        <f t="shared" si="156"/>
        <v>Аммофос 12:52:00</v>
      </c>
      <c r="BT111" s="10" t="str">
        <f t="shared" si="157"/>
        <v>Аммофос 12:52:00</v>
      </c>
      <c r="BU111" s="10" t="str">
        <f t="shared" si="158"/>
        <v>Диаммофоска</v>
      </c>
      <c r="BV111" s="10">
        <f t="shared" si="159"/>
        <v>0</v>
      </c>
      <c r="BW111" s="10"/>
      <c r="BX111" s="10"/>
      <c r="BY111" s="9">
        <f>IF(BL111&lt;0,0,IF(OR(Исходн.данные.!AI111=Расчет!$BU$6,Исходн.данные.!AI111=Расчет!$BU$7),Расчет!BV111,IF(Исходн.данные.!$AG111=$BV$11,BL111,IF(OR(Исходн.данные.!$AH111=$BQ$7,Исходн.данные.!$AH111=$BQ$8),CB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0,IF(Исходн.данные.!$AI111=$BU$11,"Нет",IF(BL111&gt;30,30,BL111)))))))</f>
        <v>0</v>
      </c>
      <c r="BZ111" s="9">
        <f>IF(AND(Исходн.данные.!$AG111=$BV$11,BM111&lt;10),10,IF(Исходн.данные.!$AG111=$BV$11,BM111,IF(OR(Исходн.данные.!$AH111=$BQ$7,Исходн.данные.!$AH111=$BQ$8),CC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10,IF(Исходн.данные.!$AI111=$BU$11,"Нет",IF(BM111&gt;60,60,IF(BM111&lt;10,10,BM111)))))))</f>
        <v>10</v>
      </c>
      <c r="CA111" s="39">
        <f>IF(BN111&lt;0,0,IF(Исходн.данные.!$AG111=$BV$11,BN111,IF(OR(Исходн.данные.!$AH111=$BQ$7,Исходн.данные.!$AH111=$BQ$8),CD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0,IF(Исходн.данные.!$AI111=$BU$11,"Нет",IF(BN111&gt;30,30,BN111))))))</f>
        <v>0</v>
      </c>
      <c r="CB111" s="9">
        <f t="shared" si="160"/>
        <v>0</v>
      </c>
      <c r="CC111" s="9">
        <f t="shared" si="161"/>
        <v>0</v>
      </c>
      <c r="CD111" s="9">
        <f t="shared" si="162"/>
        <v>0</v>
      </c>
      <c r="CE111" s="12">
        <f t="shared" si="163"/>
        <v>10</v>
      </c>
      <c r="CF111" s="9">
        <f t="shared" si="164"/>
        <v>0</v>
      </c>
      <c r="CG111" s="9" t="s">
        <v>231</v>
      </c>
      <c r="CH111" s="132" t="str">
        <f>IF(Исходн.данные.!AP111=Расчет!$CI$16,"Нет",IF(Исходн.данные.!AL111&gt;0,Исходн.данные.!AL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BH$4,IF(OR(Исходн.данные.!AI111=Исходн.данные.!$AI$6,Исходн.данные.!AI111=Исходн.данные.!$AI$7),Расчет!BS111,IF(AND($CF111=0,$CE111&gt;0),EV111,ER111)))))</f>
        <v>Аммофос 12:52:00</v>
      </c>
      <c r="CI111" s="274">
        <f>IF(Расчет!$CH111="Нет","Нет",IF(Исходн.данные.!$AL111&gt;0,VLOOKUP(Расчет!$CH111,АшламаДВ_Irekle,2,FALSE),VLOOKUP(Расчет!$CH111,АшламаДВ_Gomumy,2,FALSE)))</f>
        <v>0.12</v>
      </c>
      <c r="CJ111" s="274">
        <f>IF(Расчет!$CH111="Нет","Нет",IF(Исходн.данные.!$AL111&gt;0,VLOOKUP(Расчет!$CH111,АшламаДВ_Irekle,3,FALSE),VLOOKUP(Расчет!$CH111,АшламаДВ_Gomumy,3,FALSE)))</f>
        <v>0.52</v>
      </c>
      <c r="CK111" s="274">
        <f>IF(Расчет!$CH111="Нет","Нет",IF(Исходн.данные.!$AL111&gt;0,VLOOKUP(Расчет!$CH111,АшламаДВ_Irekle,4,FALSE),VLOOKUP(Расчет!$CH111,АшламаДВ_Gomumy,4,FALSE)))</f>
        <v>0</v>
      </c>
      <c r="CL111" s="70"/>
      <c r="CM111" s="70"/>
      <c r="CN111" s="70"/>
      <c r="CO111" s="70"/>
      <c r="CP111" s="70"/>
      <c r="CQ111" s="70"/>
      <c r="CR111" s="10">
        <f t="shared" si="165"/>
        <v>0</v>
      </c>
      <c r="CS111" s="10">
        <f t="shared" si="166"/>
        <v>19.23076923076923</v>
      </c>
      <c r="CT111" s="10">
        <f t="shared" si="167"/>
        <v>0</v>
      </c>
      <c r="CU111" s="39">
        <f>IF($CH111="Нет",0,IF(CI111=0,30/MIN(CJ111:CK111),IF(Исходн.данные.!$AG111=$BV$11,CR111,IF(OR(Исходн.данные.!$AH111=$BQ$7,Исходн.данные.!$AH111=$BQ$8),90/CI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0,IF(Исходн.данные.!$AI111=$BU$11,"Нет",30/CI111))))))</f>
        <v>250</v>
      </c>
      <c r="CV111" s="39">
        <f>IF($CH111="Нет",0,IF(Исходн.данные.!AH111=0,0,IF(CJ111=0,60/MIN(CI111,CK111),IF(Исходн.данные.!$AG111=$BV$11,CS111,IF(OR(Исходн.данные.!$AH111=$BQ$7,Исходн.данные.!$AH111=$BQ$8),90/CJ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10/CJ111,IF(Исходн.данные.!$AI111=$BU$11,"Нет",60/CJ111)))))))</f>
        <v>0</v>
      </c>
      <c r="CW111" s="39">
        <f>IF($CH111="Нет",0,IF(Исходн.данные.!AH111=0,0,IF(CK111=0,30/MIN(CI111:CJ111),IF(Исходн.данные.!$AG111=$BV$11,CT111,IF(OR(Исходн.данные.!$AH111=$BQ$7,Исходн.данные.!$AH111=$BQ$8),90/CK111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0,IF(Исходн.данные.!$AI111=$BU$11,"Нет",30/CK111)))))))</f>
        <v>0</v>
      </c>
      <c r="CX111" s="133">
        <f>IF(Исходн.данные.!$AG111=$BV$11,MAX(CU111:CW111),IF(OR(Исходн.данные.!$AH111=$BS$8,Исходн.данные.!$AH111=$BQ$9,Исходн.данные.!$AH111=$BQ$10,Исходн.данные.!$AH111=$BQ$11,Исходн.данные.!$AH111=$BQ$12,Исходн.данные.!$AH111=$BP$3,Исходн.данные.!$AH111=$BT$8,$FM111="Да"),CV111,MIN(CU111:CW111)))</f>
        <v>0</v>
      </c>
      <c r="CY111" s="133">
        <f>IF(Исходн.данные.!AH111=0,0,IF(CR111&gt;$CX111,$CX111,CR111))</f>
        <v>0</v>
      </c>
      <c r="CZ111" s="133">
        <f>IF(Исходн.данные.!AH111=0,0,IF(CS111&gt;$CX111,$CX111,CS111))</f>
        <v>0</v>
      </c>
      <c r="DA111" s="133">
        <f>IF(Исходн.данные.!AH111=0,0,IF(CT111&gt;$CX111,$CX111,CT111))</f>
        <v>0</v>
      </c>
      <c r="DB111" s="10">
        <f t="shared" si="168"/>
        <v>0</v>
      </c>
      <c r="DC111" s="39">
        <f>DB111*Исходн.данные.!AJ111/1000</f>
        <v>0</v>
      </c>
      <c r="DD111" s="71">
        <f t="shared" si="169"/>
        <v>0</v>
      </c>
      <c r="DE111" s="9">
        <f t="shared" si="170"/>
        <v>0</v>
      </c>
      <c r="DF111" s="9">
        <f t="shared" si="171"/>
        <v>0</v>
      </c>
      <c r="DG111" s="39">
        <f>IF(BL111&lt;0,0,IF($CH111="Нет",BL111,IF(OR(Исходн.данные.!$AH111=$BP$1,Исходн.данные.!$AH111=$BP$2),0,IF(Исходн.данные.!AI111=$BU$11,BL111,IF(BL111-DD111&lt;0,0,BL111-DD111)))))</f>
        <v>0</v>
      </c>
      <c r="DH111" s="39">
        <f>IF(BM111&lt;0,0,IF($CH111="Нет",BM111,IF(OR(Исходн.данные.!$AH111=$BP$1,Исходн.данные.!$AH111=$BP$2),0,IF(Исходн.данные.!AJ111=$BU$11,BM111,IF(BM111-DE111&lt;0,0,BM111-DE111)))))</f>
        <v>0</v>
      </c>
      <c r="DI111" s="39">
        <f>IF(BN111&lt;0,0,IF($CH111="Нет",BN111,IF(OR(Исходн.данные.!$AH111=$BP$1,Исходн.данные.!$AH111=$BP$2),0,IF(Исходн.данные.!AK111=$BU$11,BN111,IF(BN111-DF111&lt;0,0,BN111-DF111)))))</f>
        <v>0</v>
      </c>
      <c r="DJ111" s="12">
        <f t="shared" si="172"/>
        <v>0</v>
      </c>
      <c r="DK111" s="9">
        <f t="shared" si="173"/>
        <v>0</v>
      </c>
      <c r="DL111" s="39">
        <f>IF(Исходн.данные.!AM111&gt;0,Исходн.данные.!AM111,IF(EG111&gt;0,$BH$10,0))</f>
        <v>0</v>
      </c>
      <c r="DM111" s="186">
        <f>IF($DL111=0,0,IF(Исходн.данные.!AM111&gt;0,VLOOKUP($DL111,АшламаДВ_Irekle,2,FALSE),VLOOKUP($DL111,АшламаДВ_Gomumy,2,FALSE)))</f>
        <v>0</v>
      </c>
      <c r="DN111" s="10">
        <f t="shared" si="151"/>
        <v>0</v>
      </c>
      <c r="DO111" s="9" t="str">
        <f>IF(Исходн.данные.!AN111&gt;0,Исходн.данные.!AN111,Удобрения!$B$37 )</f>
        <v>Хлор.калий</v>
      </c>
      <c r="DP111" s="9">
        <f>IF(Исходн.данные.!AN111&gt;0,VLOOKUP(Исходн.данные.!AN111,АшламаДВ_Irekle,4,FALSE),VLOOKUP(DO111,АшламаДВ_Gomumy,4,FALSE))</f>
        <v>0.6</v>
      </c>
      <c r="DQ111" s="10">
        <f t="shared" si="152"/>
        <v>0</v>
      </c>
      <c r="DR111" s="132" t="str">
        <f>IF(Исходн.данные.!AO111&gt;0,Исходн.данные.!AO111,IF(DH111=0,BS$17,IF(AND($DK111=0,$DJ111&gt;0),EJ111,EN111)))</f>
        <v>Нет</v>
      </c>
      <c r="DS111" s="70" t="str">
        <f>IF($DR111="Нет","Нет",IF(Исходн.данные.!$AO111&gt;0,VLOOKUP($DR111,АшламаДВ_Irekle,2,FALSE),VLOOKUP($DR111,АшламаДВ_Gomumy,2,FALSE)))</f>
        <v>Нет</v>
      </c>
      <c r="DT111" s="70" t="str">
        <f>IF($DR111="Нет","Нет",IF(Исходн.данные.!$AO111&gt;0,VLOOKUP($DR111,АшламаДВ_Irekle,3,FALSE),VLOOKUP($DR111,АшламаДВ_Gomumy,3,FALSE)))</f>
        <v>Нет</v>
      </c>
      <c r="DU111" s="70" t="str">
        <f>IF($DR111="Нет","Нет",IF(Исходн.данные.!$AO111&gt;0,VLOOKUP($DR111,АшламаДВ_Irekle,4,FALSE),VLOOKUP($DR111,АшламаДВ_Gomumy,4,FALSE)))</f>
        <v>Нет</v>
      </c>
      <c r="DV111" s="70"/>
      <c r="DW111" s="70"/>
      <c r="DX111" s="70"/>
      <c r="DY111" s="10">
        <f t="shared" si="174"/>
        <v>0</v>
      </c>
      <c r="DZ111" s="10">
        <f t="shared" si="175"/>
        <v>0</v>
      </c>
      <c r="EA111" s="10">
        <f t="shared" si="176"/>
        <v>0</v>
      </c>
      <c r="EB111" s="10">
        <f t="shared" si="177"/>
        <v>0</v>
      </c>
      <c r="EC111" s="10">
        <f t="shared" si="178"/>
        <v>0</v>
      </c>
      <c r="ED111" s="10">
        <f t="shared" si="179"/>
        <v>0</v>
      </c>
      <c r="EE111" s="10">
        <f t="shared" si="180"/>
        <v>0</v>
      </c>
      <c r="EF111" s="39">
        <f>EB111*Исходн.данные.!AJ111/1000</f>
        <v>0</v>
      </c>
      <c r="EG111" s="9">
        <f t="shared" si="181"/>
        <v>0</v>
      </c>
      <c r="EH111" s="9">
        <f t="shared" si="182"/>
        <v>0</v>
      </c>
      <c r="EI111" s="39" t="e">
        <f t="shared" si="132"/>
        <v>#DIV/0!</v>
      </c>
      <c r="EJ111" s="9" t="str">
        <f t="shared" si="153"/>
        <v>Азопреципитат</v>
      </c>
      <c r="EK111" s="12">
        <f t="shared" si="133"/>
        <v>0.26</v>
      </c>
      <c r="EL111" s="12">
        <f t="shared" si="134"/>
        <v>0.13</v>
      </c>
      <c r="EM111" s="12">
        <f t="shared" si="135"/>
        <v>0</v>
      </c>
      <c r="EN111" s="12" t="str">
        <f t="shared" si="154"/>
        <v>Нет</v>
      </c>
      <c r="EO111" s="12">
        <f t="shared" si="136"/>
        <v>0</v>
      </c>
      <c r="EP111" s="12">
        <f t="shared" si="137"/>
        <v>0</v>
      </c>
      <c r="EQ111" s="12">
        <f t="shared" si="138"/>
        <v>0</v>
      </c>
      <c r="ER111" s="12" t="str">
        <f t="shared" si="183"/>
        <v>Диаммофоска</v>
      </c>
      <c r="ES111" s="12">
        <f t="shared" si="139"/>
        <v>0.1</v>
      </c>
      <c r="ET111" s="12">
        <f t="shared" si="140"/>
        <v>0.26</v>
      </c>
      <c r="EU111" s="12">
        <f t="shared" si="141"/>
        <v>0.26</v>
      </c>
      <c r="EV111" s="12" t="str">
        <f t="shared" si="184"/>
        <v>Аммофос 12:52:00</v>
      </c>
      <c r="EW111" s="12" t="str">
        <f t="shared" si="185"/>
        <v>Кемира Свекловичное-6</v>
      </c>
      <c r="EX111" s="12">
        <f t="shared" si="142"/>
        <v>0.16</v>
      </c>
      <c r="EY111" s="12">
        <f t="shared" si="143"/>
        <v>0.12</v>
      </c>
      <c r="EZ111" s="12">
        <f t="shared" si="144"/>
        <v>0.17</v>
      </c>
      <c r="FA111" s="38" t="e">
        <f>IF(AND(OR(FJ111=$FD$1,FM111=$FD$1,FO111=$FD$1,FQ111=$FD$1,FS111=$FD$1),FD111=$FD$1,Исходн.данные.!J111&lt;2,FU111=$FD$1),"Бор,Кобальт",IF(AND(FO111=$FD$1,FH111=$FD$1,Исходн.данные.!J111&lt;2,FU111=$FD$1),"Бор,Кобальт",IF(AND(OR(FJ111=$FD$1,FM111=$FD$1,FQ111=$FD$1),FE111=$FD$1,Исходн.данные.!J111&lt;2,FT111=$FD$1,FU111=$FD$1),"Бор,Медь,Цинк",IF(AND(OR(FJ111=$FD$1,FR111="Да"),FI111="Да",Исходн.данные.!J111&lt;2,FT111="Да",FU111="Да"),"Бор,Цинк,Медь",IF(AND(OR(FM111="Да",FQ111="Да"),FI111="Да",Исходн.данные.!J111&lt;2,FT111="Да",FU111="Да"),"Бор,Цинк",IF(AND(FN111="Да",OR(FD111="Да",FE111="Да")),"Бор",FB111))))))</f>
        <v>#N/A</v>
      </c>
      <c r="FB111" s="134" t="e">
        <f>IF(AND(OR(FD111="Да",FE111="Да",FF111="Да",FG111="Да",FH111="Да"),FO111="Да"),"Бор",IF(AND(FP111="Да",OR(FD111="Да",FE111="Да",FI111="Да")),"Бор",IF(AND(FS111="Да",FE111="Да"),"Бор,Медь",IF(AND(OR(FJ111="Да",FK111="Да",FL111="Да"),FE111="Да",Исходн.данные.!I111&lt;5,FT111="Да",FU111="Да"),"Молибден,Цинк",IF(AND(FM111="Да",OR(FE111="Да",FF111="Да",FG111="Да",FH111="Да",FI111="Да")),"Молибден,Цинк",IF(AND(OR(FJ111="Да",FK111="Да",FL111="Да",FM111="Да",FQ111="Да"),OR(FE111="Да",FF111="Да"),FT111="Да",FU111="Да",Исходн.данные.!I111&gt;5.5),"Медь,Цинк",FC111))))))</f>
        <v>#N/A</v>
      </c>
      <c r="FC111" s="23" t="e">
        <f t="shared" si="186"/>
        <v>#N/A</v>
      </c>
      <c r="FD111" s="38" t="str">
        <f>IF(OR(Исходн.данные.!F111=$CC$1,Исходн.данные.!F111=$CC$2,Исходн.данные.!F111=$CC$3,Исходн.данные.!F111=$CC$4),"Да","Нет")</f>
        <v>Нет</v>
      </c>
      <c r="FE111" s="38" t="str">
        <f>IF(Исходн.данные.!F111=$CC$5,"Да","Нет")</f>
        <v>Нет</v>
      </c>
      <c r="FF111" s="38" t="str">
        <f>IF(OR(Исходн.данные.!F111=$CC$6,Исходн.данные.!F111=$CC$7),"Да","Нет")</f>
        <v>Нет</v>
      </c>
      <c r="FG111" s="38" t="str">
        <f>IF(OR(Исходн.данные.!F111=$CC$8,Исходн.данные.!F111=$CC$9),"Да","Нет")</f>
        <v>Нет</v>
      </c>
      <c r="FH111" s="38" t="str">
        <f>IF(Исходн.данные.!F111=$CC$10,"Да","Нет")</f>
        <v>Нет</v>
      </c>
      <c r="FI111" s="38" t="str">
        <f>IF(OR(Исходн.данные.!F111=$CC$11,Исходн.данные.!F111=$CC$12),"Да","Нет")</f>
        <v>Нет</v>
      </c>
      <c r="FJ111" s="38" t="str">
        <f>IF(OR(Исходн.данные.!AH111=$BS$1,Исходн.данные.!AH111=$BQ$11,Исходн.данные.!AH111=$BQ$12),"Да","Нет")</f>
        <v>Нет</v>
      </c>
      <c r="FK111" s="38" t="str">
        <f>IF(OR(Исходн.данные.!AH111=$BS$2,Исходн.данные.!AH111=$BS$4),"Да","Нет")</f>
        <v>Нет</v>
      </c>
      <c r="FL111" s="38" t="str">
        <f>IF(OR(Исходн.данные.!AH111=$BS$3,Исходн.данные.!AH111=$BS$5),"Да","Нет")</f>
        <v>Нет</v>
      </c>
      <c r="FM111" s="38" t="str">
        <f>IF(OR(Исходн.данные.!AH111=$BS$9,Исходн.данные.!AH111=$BS$10,Исходн.данные.!AH111=$BS$11,Исходн.данные.!AH111=$BS$12),"Да","Нет")</f>
        <v>Нет</v>
      </c>
      <c r="FN111" s="38" t="str">
        <f>IF(OR(Исходн.данные.!AH111=$BS$6,Исходн.данные.!AH111=$BP$3),"Да","Нет")</f>
        <v>Нет</v>
      </c>
      <c r="FO111" s="38" t="str">
        <f>IF(Исходн.данные.!AH111=$BQ$9,"Да","Нет")</f>
        <v>Нет</v>
      </c>
      <c r="FP111" s="38" t="str">
        <f>IF(OR(Исходн.данные.!AH111=$BS$8,Исходн.данные.!AH111=$BT$8),"Да","Нет")</f>
        <v>Нет</v>
      </c>
      <c r="FQ111" s="38" t="str">
        <f>IF(OR(Исходн.данные.!AH111=$BQ$7,Исходн.данные.!AH111=$BQ$8),"Да","Нет")</f>
        <v>Нет</v>
      </c>
      <c r="FR111" s="38" t="str">
        <f>IF(Исходн.данные.!AI111=$BU$9,"Да","Нет")</f>
        <v>Нет</v>
      </c>
      <c r="FS111" s="38" t="str">
        <f>IF(OR(Исходн.данные.!AH111=$BP$1,Исходн.данные.!AH111=$BP$2),"Да","Нет")</f>
        <v>Нет</v>
      </c>
      <c r="FT111" s="38" t="e">
        <f>IF((Исходн.данные.!K111*GO111*GS111*GW111+BL111*0.6+Исходн.данные.!Q111*4.5*0.275)&gt;90,"Да","Нет")</f>
        <v>#N/A</v>
      </c>
      <c r="FU111" s="38" t="e">
        <f>IF((Исходн.данные.!M111*GS111*GZ111+BM111*0.225)&gt;35,"Да","Нет")</f>
        <v>#N/A</v>
      </c>
      <c r="FV111" s="38" t="str">
        <f>IF(Исходн.данные.!O111&gt;175,"Да","Нет")</f>
        <v>Нет</v>
      </c>
      <c r="FW111" s="39" t="str">
        <f>IF(Исходн.данные.!I111&gt;5.5,"Да","Нет")</f>
        <v>Нет</v>
      </c>
      <c r="FX111" s="39" t="str">
        <f>IF(Исходн.данные.!J111&lt;2,"Да","Нет")</f>
        <v>Да</v>
      </c>
      <c r="FY111" s="39" t="e">
        <f>IF(HF111=$FY$16,0,Исходн.данные.!K111*GO111*GS111*GW111/HF111)</f>
        <v>#N/A</v>
      </c>
      <c r="FZ111" s="39" t="e">
        <f>Исходн.данные.!M111*GS111*GZ111/HG111</f>
        <v>#N/A</v>
      </c>
      <c r="GA111" s="39" t="e">
        <f>IF(K_Wyn=$FY$16,0,IF(Исходн.данные.!N111=Исходн.данные.!$L$10,Исходн.данные.!O111/1.1*GS111*HC111/HH111,IF(Исходн.данные.!N111=Исходн.данные.!$L$12,Исходн.данные.!O111/1.5*GS111*HC111/HH111,Исходн.данные.!O111*GS111*HC111/HH111)))</f>
        <v>#N/A</v>
      </c>
      <c r="GB111" s="39" t="e">
        <f>IF(HF111=$FY$16,0,((Исходн.данные.!Q111*N_Org+Исходн.данные.!R111*N_Sider+Исходн.данные.!S111*N_Soloma)*AO111+Расчет!BC111*VLOOKUP(Исходн.данные.!T111,Справ!$A$3:$O$57,15)*AO111+BB111*VLOOKUP(Исходн.данные.!T111,Справ!$A$3:$O$57,15)*AL111+(Исходн.данные.!V111*N_Rizotorf+Исходн.данные.!W111*N_Rizoagr))/HF111)</f>
        <v>#N/A</v>
      </c>
      <c r="GC111" s="39" t="e">
        <f>IF(HG111=$FY$16,0,((Исходн.данные.!Q111*Р_Org+Исходн.данные.!R111*P_Sider+Исходн.данные.!S111*P_Soloma)*AP111+Расчет!BC111*VLOOKUP(Исходн.данные.!T111,Справ!$A$3:$P$57,16)*AP111+BB111*VLOOKUP(Исходн.данные.!T111,Справ!$A$3:$P$57,16)*AM111)/HG111)</f>
        <v>#N/A</v>
      </c>
      <c r="GD111" s="39" t="e">
        <f>IF(HH111=$FY$16,0,((Исходн.данные.!Q111*К_Org+Исходн.данные.!R111*K_Sider+Исходн.данные.!S111*K_Soloma)*AQ111+Расчет!BC111*VLOOKUP(Исходн.данные.!T111,Справ!$A$3:$Q$57,17)*AQ111+BB111*VLOOKUP(Исходн.данные.!T111,Справ!$A$3:$Q$57,17)*AN111)/HH111)</f>
        <v>#N/A</v>
      </c>
      <c r="GE111" s="39" t="e">
        <f>IF(HF111=$FY$16,0,(Исходн.данные.!X111*AR111+Исходн.данные.!AA111*N_Org*AL111+Исходн.данные.!AB111*N_Sider*AL111+Исходн.данные.!AC111*N_Soloma*AL111)/HF111)</f>
        <v>#N/A</v>
      </c>
      <c r="GF111" s="39" t="e">
        <f>IF(HG111=$FY$16,0,(Исходн.данные.!Y111*AS111+Исходн.данные.!AA111*Р_Org*AM111+Исходн.данные.!AB111*P_Sider*AM111+Исходн.данные.!AC111*P_Soloma*AM111)/HG111)</f>
        <v>#N/A</v>
      </c>
      <c r="GG111" s="39" t="e">
        <f>IF(HH111=$FY$16,0,(Исходн.данные.!Z111*AT111+Исходн.данные.!AA111*К_Org*AN111+Исходн.данные.!AB111*K_Sider*AN111+Исходн.данные.!AC111*K_Soloma*AN111)/HH111)</f>
        <v>#N/A</v>
      </c>
      <c r="GH111" s="39" t="e">
        <f>Исходн.данные.!AD111*AU111/HF111</f>
        <v>#N/A</v>
      </c>
      <c r="GI111" s="39" t="e">
        <f>Исходн.данные.!AE111*AV111/HG111</f>
        <v>#N/A</v>
      </c>
      <c r="GJ111" s="39" t="e">
        <f>Исходн.данные.!AF111*AW111/HH111</f>
        <v>#N/A</v>
      </c>
      <c r="GK111" s="55">
        <f>Исходн.данные.!AK111</f>
        <v>0</v>
      </c>
      <c r="GL111" s="11" t="e">
        <f t="shared" si="187"/>
        <v>#N/A</v>
      </c>
      <c r="GM111" s="11" t="e">
        <f t="shared" si="188"/>
        <v>#N/A</v>
      </c>
      <c r="GN111" s="11" t="e">
        <f t="shared" si="189"/>
        <v>#N/A</v>
      </c>
      <c r="GO111" s="57">
        <f t="shared" si="190"/>
        <v>19</v>
      </c>
      <c r="GP111" s="55">
        <f>IF(OR(Исходн.данные.!F111=$CE$1,Исходн.данные.!F111=$CE$2,Исходн.данные.!F111=$CE$3,Исходн.данные.!F111=$CE$4,Исходн.данные.!F111=$CE$5),GQ111,GR111)</f>
        <v>19</v>
      </c>
      <c r="GQ111" s="55">
        <f>IF(Исходн.данные.!F111=$CE$1,28,IF(Исходн.данные.!F111=$CE$2,26,IF(Исходн.данные.!F111=$CE$3,24,IF(Исходн.данные.!F111=$CE$4,22,IF(Исходн.данные.!F111=$CE$5,20,GR111)))))</f>
        <v>19</v>
      </c>
      <c r="GR111" s="55">
        <f>IF(Исходн.данные.!F111=$CE$6,18,IF(Исходн.данные.!F111=$CE$7,16,IF(Исходн.данные.!F111=$CE$8,14,IF(Исходн.данные.!F111=$CE$9,13,IF(Исходн.данные.!F111=$CE$10,12,19)))))</f>
        <v>19</v>
      </c>
      <c r="GS111" s="55">
        <f>IF(Исходн.данные.!G111="Пес",0.035*(40+2*Исходн.данные.!H111),IF(Исходн.данные.!G111="Суп",0.0325*(40+2*Исходн.данные.!H111),0.03*(40+2*Исходн.данные.!H111)))</f>
        <v>1.2</v>
      </c>
      <c r="GT111" s="55">
        <f>IF(Исходн.данные.!H111&lt;23,2.6,IF(AND(Исходн.данные.!H111&gt;22,Исходн.данные.!H111&lt;26),3,IF(AND(Исходн.данные.!H111&gt;25,Исходн.данные.!H111&lt;29),3.4,3.6)))</f>
        <v>2.6</v>
      </c>
      <c r="GU111" s="55">
        <f>IF(Исходн.данные.!H111&lt;23,2.8,IF(AND(Исходн.данные.!H111&gt;22,Исходн.данные.!H111&lt;26),3.2,IF(AND(Исходн.данные.!H111&gt;25,Исходн.данные.!H111&lt;29),3.6,3.9)))</f>
        <v>2.8</v>
      </c>
      <c r="GV111" s="55">
        <f>IF(Исходн.данные.!H111&lt;23,3,IF(AND(Исходн.данные.!H111&gt;22,Исходн.данные.!H111&lt;26),3.5,IF(AND(Исходн.данные.!H111&gt;25,Исходн.данные.!H111&lt;29),3.9,4.2)))</f>
        <v>3</v>
      </c>
      <c r="GW111" s="55" t="e">
        <f>IF(Исходн.данные.!P111="Ум",GX111,GY111)</f>
        <v>#N/A</v>
      </c>
      <c r="GX111" s="55" t="e">
        <f>VLOOKUP(Исходн.данные.!AI111,Коэффициенты!$J$7:$L$13,2,FALSE)</f>
        <v>#N/A</v>
      </c>
      <c r="GY111" s="55" t="e">
        <f>VLOOKUP(Исходн.данные.!AI111,Коэффициенты!$J$7:$L$13,3,FALSE)</f>
        <v>#N/A</v>
      </c>
      <c r="GZ111" s="55" t="e">
        <f>(IF(Исходн.данные.!M111&lt;50,0.11*VLOOKUP(Исходн.данные.!AH111,Культуры.Информация,7,FALSE),IF(Исходн.данные.!M111&gt;250,0.05*VLOOKUP(Исходн.данные.!AH111,Культуры.Информация,7,FALSE),VLOOKUP(Исходн.данные.!AH111,Культуры.Информация,5,FALSE)/100*($GX$6+$GY$6*Исходн.данные.!M111))))*Расчет2!AI111</f>
        <v>#N/A</v>
      </c>
      <c r="HA111" s="211"/>
      <c r="HB111" s="211"/>
      <c r="HC111" s="55" t="e">
        <f>(IF(Исходн.данные.!O111&lt;80,0.2*VLOOKUP(Исходн.данные.!AH111,Культуры.Информация,8,FALSE),IF(Исходн.данные.!O111&gt;240,0.09*VLOOKUP(Исходн.данные.!AH111,Культуры.Информация,8,FALSE),VLOOKUP(Исходн.данные.!AH111,Культуры.Информация,6,FALSE)/100*($HB$6+$HC$6*Исходн.данные.!O111))))*Расчет2!AJ111</f>
        <v>#N/A</v>
      </c>
      <c r="HD111" s="55">
        <f>IF(Исходн.данные.!O111&gt;240,0.09,IF(Исходн.данные.!O111&lt;30,0.3,$HE$10+$HD$10*Исходн.данные.!O111))</f>
        <v>0.3</v>
      </c>
      <c r="HE111" s="55">
        <f>IF(Исходн.данные.!O111&gt;240,0.17,IF(Исходн.данные.!O111&lt;30,0.5,$HF$12+$HE$12*Исходн.данные.!O111))</f>
        <v>0.5</v>
      </c>
      <c r="HF111" s="55" t="e">
        <f>VLOOKUP(Исходн.данные.!AH111,Справ!$A$3:$D$58,2,FALSE)</f>
        <v>#N/A</v>
      </c>
      <c r="HG111" s="55" t="e">
        <f>VLOOKUP(Исходн.данные.!AH111,Справ!$A$3:$D$58,3,FALSE)</f>
        <v>#N/A</v>
      </c>
      <c r="HH111" s="55" t="e">
        <f>VLOOKUP(Исходн.данные.!AH111,Справ!$A$3:$D$58,4,FALSE)</f>
        <v>#N/A</v>
      </c>
      <c r="HI111" s="11" t="e">
        <f t="shared" si="191"/>
        <v>#N/A</v>
      </c>
      <c r="HJ111" s="11" t="e">
        <f t="shared" si="192"/>
        <v>#N/A</v>
      </c>
      <c r="HK111" s="11" t="e">
        <f t="shared" si="193"/>
        <v>#N/A</v>
      </c>
      <c r="HL111" s="55">
        <f>IF(OR(Исходн.данные.!G111="Глин",Исходн.данные.!G111="Т_суг"),1.1,IF(Исходн.данные.!G111="Ср_суг",1,1))</f>
        <v>1</v>
      </c>
      <c r="HM111" s="55">
        <f>IF(OR(Исходн.данные.!G111="Глин",Исходн.данные.!G111="Т_суг"),0.9,IF(Исходн.данные.!G111="Ср_суг",1,1.2))</f>
        <v>1.2</v>
      </c>
      <c r="HN111" s="11" t="e">
        <f t="shared" si="194"/>
        <v>#N/A</v>
      </c>
      <c r="HO111" s="11" t="e">
        <f t="shared" si="195"/>
        <v>#N/A</v>
      </c>
      <c r="HP111" s="11" t="e">
        <f t="shared" si="196"/>
        <v>#N/A</v>
      </c>
      <c r="HQ111" t="e">
        <f t="shared" si="197"/>
        <v>#N/A</v>
      </c>
      <c r="HR111" t="e">
        <f t="shared" si="198"/>
        <v>#N/A</v>
      </c>
      <c r="HS111" t="e">
        <f t="shared" si="199"/>
        <v>#N/A</v>
      </c>
      <c r="HT111" t="e">
        <f t="shared" si="145"/>
        <v>#N/A</v>
      </c>
      <c r="HU111" t="e">
        <f t="shared" si="146"/>
        <v>#N/A</v>
      </c>
      <c r="HV111" t="e">
        <f t="shared" si="147"/>
        <v>#N/A</v>
      </c>
      <c r="HW111" t="e">
        <f t="shared" si="148"/>
        <v>#N/A</v>
      </c>
      <c r="HX111" t="e">
        <f t="shared" si="149"/>
        <v>#N/A</v>
      </c>
      <c r="HY111" t="e">
        <f t="shared" si="150"/>
        <v>#N/A</v>
      </c>
      <c r="HZ111" s="55">
        <f>IF(OR(Исходн.данные.!AI111="Оз_Ч_П",Исходн.данные.!AI111="Оз_З_П",Исходн.данные.!AI111="Яр_зер"),12,30)</f>
        <v>30</v>
      </c>
      <c r="IA111" t="e">
        <f t="shared" si="200"/>
        <v>#N/A</v>
      </c>
      <c r="IB111" t="e">
        <f t="shared" si="201"/>
        <v>#N/A</v>
      </c>
      <c r="IC111" t="e">
        <f t="shared" si="202"/>
        <v>#N/A</v>
      </c>
      <c r="ID111" s="11" t="e">
        <f t="shared" si="203"/>
        <v>#N/A</v>
      </c>
      <c r="IE111" s="11" t="e">
        <f t="shared" si="204"/>
        <v>#N/A</v>
      </c>
      <c r="IF111" s="11" t="e">
        <f t="shared" si="205"/>
        <v>#N/A</v>
      </c>
    </row>
    <row r="112" spans="35:240" x14ac:dyDescent="0.2">
      <c r="AI112">
        <f>IF(Исходн.данные.!I112&gt;6,1,1.85-(0.148*Исходн.данные.!I112))</f>
        <v>1.85</v>
      </c>
      <c r="AJ112">
        <f>IF(Исходн.данные.!I112&gt;6,1,2.434-(0.246*Исходн.данные.!I112))</f>
        <v>2.4340000000000002</v>
      </c>
      <c r="AL112" s="148" t="b">
        <f>IF(Исходн.данные.!$P112="Ум",N_OrgUd_2g_um,IF(Исходн.данные.!$P112="Об",N_OrgUd_2g_ob))</f>
        <v>0</v>
      </c>
      <c r="AM112" s="148" t="b">
        <f>IF(Исходн.данные.!$P112="Ум",P_OrgUd_2g_um,IF(Исходн.данные.!$P112="Об",P_OrgUd_2g_ob))</f>
        <v>0</v>
      </c>
      <c r="AN112" s="148" t="b">
        <f>IF(Исходн.данные.!$P112="Ум",K_OrgUd_2g_um,IF(Исходн.данные.!$P112="Об",K_OrgUd_2g_ob))</f>
        <v>0</v>
      </c>
      <c r="AO112" s="148" t="b">
        <f>IF(Исходн.данные.!$P112="Ум",N_OrgUd_1g_um,IF(Исходн.данные.!$P112="Об",N_OrgUd_1g_ob))</f>
        <v>0</v>
      </c>
      <c r="AP112" s="148" t="b">
        <f>IF(Исходн.данные.!$P112="Ум",P_OrgUd_1g_um,IF(Исходн.данные.!$P112="Об",P_OrgUd_1g_ob))</f>
        <v>0</v>
      </c>
      <c r="AQ112" s="148" t="b">
        <f>IF(Исходн.данные.!$P112="Ум",K_OrgUd_1g_um,IF(Исходн.данные.!$P112="Об",K_OrgUd_1g_ob))</f>
        <v>0</v>
      </c>
      <c r="AR112" t="b">
        <f>IF(Исходн.данные.!$P112="Ум",N_MinUd_2g_um,IF(Исходн.данные.!$P112="Об",N_MinUd_2g_ob))</f>
        <v>0</v>
      </c>
      <c r="AS112" t="b">
        <f>IF(Исходн.данные.!$P112="Ум",P_MinUd_2g_um,IF(Исходн.данные.!$P112="Об",P_MinUd_2g_ob))</f>
        <v>0</v>
      </c>
      <c r="AT112" t="b">
        <f>IF(Исходн.данные.!$P112="Ум",K_MinUd_2g_um,IF(Исходн.данные.!$P112="Об",K_MinUd_2g_ob))</f>
        <v>0</v>
      </c>
      <c r="AU112" t="b">
        <f>IF(Исходн.данные.!$P112="Ум",N_MinUd_1g_um,IF(Исходн.данные.!$P112="Об",N_MinUd_1g_ob))</f>
        <v>0</v>
      </c>
      <c r="AV112" t="b">
        <f>IF(Исходн.данные.!P112="Ум",P_MinUd_1g_um,IF(Исходн.данные.!P112="Об",P_MinUd_1g_ob))</f>
        <v>0</v>
      </c>
      <c r="AW112" t="b">
        <f>IF(Исходн.данные.!P112="Ум",K_MinUd_1g_um,IF(Исходн.данные.!P112="Об",K_MinUd_1g_ob))</f>
        <v>0</v>
      </c>
      <c r="AY112" t="e">
        <f>VLOOKUP(Исходн.данные.!T112,Справ!$A$3:$N$57,12)</f>
        <v>#N/A</v>
      </c>
      <c r="AZ112" t="e">
        <f>VLOOKUP(Исходн.данные.!T112,Справ!$A$3:$N$57,13)</f>
        <v>#N/A</v>
      </c>
      <c r="BA112" t="e">
        <f>VLOOKUP(Исходн.данные.!T112,Справ!$A$3:$N$57,14)</f>
        <v>#N/A</v>
      </c>
      <c r="BB112">
        <f>IF(Исходн.данные.!AH112=0,0,25)</f>
        <v>0</v>
      </c>
      <c r="BC112" s="141">
        <f>IF(Исходн.данные.!AH112=0,0,IF(Исходн.данные.!T112=0,25,BD112))</f>
        <v>0</v>
      </c>
      <c r="BD112" s="168" t="e">
        <f>AY112+AZ112*Исходн.данные.!U112-POWER(BA112,2)*Исходн.данные.!U112</f>
        <v>#N/A</v>
      </c>
      <c r="BE11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2" s="25">
        <f>IF(Исходн.данные.!AH112=0,0,MIN(HN112:HP112))</f>
        <v>0</v>
      </c>
      <c r="BG112" s="9">
        <f>IF(Исходн.данные.!AH112=0,0,IF((HO112+10*0.25/HG112/HL112)&lt;17,17,HO112+10*0.25/HG112/HL112))</f>
        <v>0</v>
      </c>
      <c r="BH112" s="181">
        <f>IF(Исходн.данные.!AH112=0,0,HW112*HF112*HL112/AU112*AI112+Исходн.данные.!S112*10)</f>
        <v>0</v>
      </c>
      <c r="BI112" s="10"/>
      <c r="BJ112" s="182">
        <f>IF(Исходн.данные.!AH112=0,0,IF(HX112*HG112*HL112/AV112&lt;0,0,HX112*HG112*HL112/AV112*AJ112))</f>
        <v>0</v>
      </c>
      <c r="BK112" s="182">
        <f>IF(Исходн.данные.!AH112=0,0,HY112*HH112*HM112/AW112)</f>
        <v>0</v>
      </c>
      <c r="BL112" s="10">
        <f>IF(OR(Исходн.данные.!$AH112=$BP$1,Исходн.данные.!$AH112=$BP$2),0,IF(BH112&lt;0,0,IF(OR(Исходн.данные.!T112=Расчет!$BP$1,Исходн.данные.!T112=Расчет!$BP$2,Исходн.данные.!T112=Расчет!$BT$5,Исходн.данные.!T112=Расчет!$BT$6),BH112*0.5,IF(OR(Исходн.данные.!T112=Расчет!$BS$9,Исходн.данные.!T112=Расчет!$BS$10,Исходн.данные.!T112=Расчет!$BS$11,Исходн.данные.!T112=Расчет!$BS$12,Исходн.данные.!T112=Расчет!$BP$5),BH112*0.8,BH112))))</f>
        <v>0</v>
      </c>
      <c r="BM112" s="10">
        <f>IF(OR(Исходн.данные.!$AH112=$BP$1,Исходн.данные.!$AH112=$BP$2),0,IF(BJ112&lt;0,0,IF(Исходн.данные.!I112&lt;4.5,BJ112*1.2,IF(Исходн.данные.!I112&gt;5.1,BJ112,BJ112*((5.1-Исходн.данные.!I112)*0.333+1)))))</f>
        <v>0</v>
      </c>
      <c r="BN112" s="10">
        <f>IF(OR(Исходн.данные.!$AH112=$BP$1,Исходн.данные.!$AH112=$BP$2),60-Исходн.данные.!AF112,IF(BK112&lt;0,0,IF(Исходн.данные.!I112&lt;4.5,BK112*1.2,IF(Исходн.данные.!I112&gt;5.1,BK112,BK112*((5.1-Исходн.данные.!I112)*0.333+1)))))</f>
        <v>0</v>
      </c>
      <c r="BO112" s="9">
        <f>IF(BL112&lt;0,0,BL112*Исходн.данные.!$AJ112/1000)</f>
        <v>0</v>
      </c>
      <c r="BP112" s="9">
        <f>IF(BM112&lt;0,0,BM112*Исходн.данные.!$AJ112/1000)</f>
        <v>0</v>
      </c>
      <c r="BQ112" s="9">
        <f>IF(BN112&lt;0,0,BN112*Исходн.данные.!$AJ112/1000)</f>
        <v>0</v>
      </c>
      <c r="BR112" s="9">
        <f t="shared" si="155"/>
        <v>0</v>
      </c>
      <c r="BS112" s="10" t="str">
        <f t="shared" si="156"/>
        <v>Аммофос 12:52:00</v>
      </c>
      <c r="BT112" s="10" t="str">
        <f t="shared" si="157"/>
        <v>Аммофос 12:52:00</v>
      </c>
      <c r="BU112" s="10" t="str">
        <f t="shared" si="158"/>
        <v>Диаммофоска</v>
      </c>
      <c r="BV112" s="10">
        <f t="shared" si="159"/>
        <v>0</v>
      </c>
      <c r="BW112" s="10"/>
      <c r="BX112" s="10"/>
      <c r="BY112" s="9">
        <f>IF(BL112&lt;0,0,IF(OR(Исходн.данные.!AI112=Расчет!$BU$6,Исходн.данные.!AI112=Расчет!$BU$7),Расчет!BV112,IF(Исходн.данные.!$AG112=$BV$11,BL112,IF(OR(Исходн.данные.!$AH112=$BQ$7,Исходн.данные.!$AH112=$BQ$8),CB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0,IF(Исходн.данные.!$AI112=$BU$11,"Нет",IF(BL112&gt;30,30,BL112)))))))</f>
        <v>0</v>
      </c>
      <c r="BZ112" s="9">
        <f>IF(AND(Исходн.данные.!$AG112=$BV$11,BM112&lt;10),10,IF(Исходн.данные.!$AG112=$BV$11,BM112,IF(OR(Исходн.данные.!$AH112=$BQ$7,Исходн.данные.!$AH112=$BQ$8),CC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10,IF(Исходн.данные.!$AI112=$BU$11,"Нет",IF(BM112&gt;60,60,IF(BM112&lt;10,10,BM112)))))))</f>
        <v>10</v>
      </c>
      <c r="CA112" s="39">
        <f>IF(BN112&lt;0,0,IF(Исходн.данные.!$AG112=$BV$11,BN112,IF(OR(Исходн.данные.!$AH112=$BQ$7,Исходн.данные.!$AH112=$BQ$8),CD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0,IF(Исходн.данные.!$AI112=$BU$11,"Нет",IF(BN112&gt;30,30,BN112))))))</f>
        <v>0</v>
      </c>
      <c r="CB112" s="9">
        <f t="shared" si="160"/>
        <v>0</v>
      </c>
      <c r="CC112" s="9">
        <f t="shared" si="161"/>
        <v>0</v>
      </c>
      <c r="CD112" s="9">
        <f t="shared" si="162"/>
        <v>0</v>
      </c>
      <c r="CE112" s="12">
        <f t="shared" si="163"/>
        <v>10</v>
      </c>
      <c r="CF112" s="9">
        <f t="shared" si="164"/>
        <v>0</v>
      </c>
      <c r="CG112" s="9" t="s">
        <v>231</v>
      </c>
      <c r="CH112" s="132" t="str">
        <f>IF(Исходн.данные.!AP112=Расчет!$CI$16,"Нет",IF(Исходн.данные.!AL112&gt;0,Исходн.данные.!AL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BH$4,IF(OR(Исходн.данные.!AI112=Исходн.данные.!$AI$6,Исходн.данные.!AI112=Исходн.данные.!$AI$7),Расчет!BS112,IF(AND($CF112=0,$CE112&gt;0),EV112,ER112)))))</f>
        <v>Аммофос 12:52:00</v>
      </c>
      <c r="CI112" s="274">
        <f>IF(Расчет!$CH112="Нет","Нет",IF(Исходн.данные.!$AL112&gt;0,VLOOKUP(Расчет!$CH112,АшламаДВ_Irekle,2,FALSE),VLOOKUP(Расчет!$CH112,АшламаДВ_Gomumy,2,FALSE)))</f>
        <v>0.12</v>
      </c>
      <c r="CJ112" s="274">
        <f>IF(Расчет!$CH112="Нет","Нет",IF(Исходн.данные.!$AL112&gt;0,VLOOKUP(Расчет!$CH112,АшламаДВ_Irekle,3,FALSE),VLOOKUP(Расчет!$CH112,АшламаДВ_Gomumy,3,FALSE)))</f>
        <v>0.52</v>
      </c>
      <c r="CK112" s="274">
        <f>IF(Расчет!$CH112="Нет","Нет",IF(Исходн.данные.!$AL112&gt;0,VLOOKUP(Расчет!$CH112,АшламаДВ_Irekle,4,FALSE),VLOOKUP(Расчет!$CH112,АшламаДВ_Gomumy,4,FALSE)))</f>
        <v>0</v>
      </c>
      <c r="CL112" s="70"/>
      <c r="CM112" s="70"/>
      <c r="CN112" s="70"/>
      <c r="CO112" s="70"/>
      <c r="CP112" s="70"/>
      <c r="CQ112" s="70"/>
      <c r="CR112" s="10">
        <f t="shared" si="165"/>
        <v>0</v>
      </c>
      <c r="CS112" s="10">
        <f t="shared" si="166"/>
        <v>19.23076923076923</v>
      </c>
      <c r="CT112" s="10">
        <f t="shared" si="167"/>
        <v>0</v>
      </c>
      <c r="CU112" s="39">
        <f>IF($CH112="Нет",0,IF(CI112=0,30/MIN(CJ112:CK112),IF(Исходн.данные.!$AG112=$BV$11,CR112,IF(OR(Исходн.данные.!$AH112=$BQ$7,Исходн.данные.!$AH112=$BQ$8),90/CI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0,IF(Исходн.данные.!$AI112=$BU$11,"Нет",30/CI112))))))</f>
        <v>250</v>
      </c>
      <c r="CV112" s="39">
        <f>IF($CH112="Нет",0,IF(Исходн.данные.!AH112=0,0,IF(CJ112=0,60/MIN(CI112,CK112),IF(Исходн.данные.!$AG112=$BV$11,CS112,IF(OR(Исходн.данные.!$AH112=$BQ$7,Исходн.данные.!$AH112=$BQ$8),90/CJ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10/CJ112,IF(Исходн.данные.!$AI112=$BU$11,"Нет",60/CJ112)))))))</f>
        <v>0</v>
      </c>
      <c r="CW112" s="39">
        <f>IF($CH112="Нет",0,IF(Исходн.данные.!AH112=0,0,IF(CK112=0,30/MIN(CI112:CJ112),IF(Исходн.данные.!$AG112=$BV$11,CT112,IF(OR(Исходн.данные.!$AH112=$BQ$7,Исходн.данные.!$AH112=$BQ$8),90/CK112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0,IF(Исходн.данные.!$AI112=$BU$11,"Нет",30/CK112)))))))</f>
        <v>0</v>
      </c>
      <c r="CX112" s="133">
        <f>IF(Исходн.данные.!$AG112=$BV$11,MAX(CU112:CW112),IF(OR(Исходн.данные.!$AH112=$BS$8,Исходн.данные.!$AH112=$BQ$9,Исходн.данные.!$AH112=$BQ$10,Исходн.данные.!$AH112=$BQ$11,Исходн.данные.!$AH112=$BQ$12,Исходн.данные.!$AH112=$BP$3,Исходн.данные.!$AH112=$BT$8,$FM112="Да"),CV112,MIN(CU112:CW112)))</f>
        <v>0</v>
      </c>
      <c r="CY112" s="133">
        <f>IF(Исходн.данные.!AH112=0,0,IF(CR112&gt;$CX112,$CX112,CR112))</f>
        <v>0</v>
      </c>
      <c r="CZ112" s="133">
        <f>IF(Исходн.данные.!AH112=0,0,IF(CS112&gt;$CX112,$CX112,CS112))</f>
        <v>0</v>
      </c>
      <c r="DA112" s="133">
        <f>IF(Исходн.данные.!AH112=0,0,IF(CT112&gt;$CX112,$CX112,CT112))</f>
        <v>0</v>
      </c>
      <c r="DB112" s="10">
        <f t="shared" si="168"/>
        <v>0</v>
      </c>
      <c r="DC112" s="39">
        <f>DB112*Исходн.данные.!AJ112/1000</f>
        <v>0</v>
      </c>
      <c r="DD112" s="71">
        <f t="shared" si="169"/>
        <v>0</v>
      </c>
      <c r="DE112" s="9">
        <f t="shared" si="170"/>
        <v>0</v>
      </c>
      <c r="DF112" s="9">
        <f t="shared" si="171"/>
        <v>0</v>
      </c>
      <c r="DG112" s="39">
        <f>IF(BL112&lt;0,0,IF($CH112="Нет",BL112,IF(OR(Исходн.данные.!$AH112=$BP$1,Исходн.данные.!$AH112=$BP$2),0,IF(Исходн.данные.!AI112=$BU$11,BL112,IF(BL112-DD112&lt;0,0,BL112-DD112)))))</f>
        <v>0</v>
      </c>
      <c r="DH112" s="39">
        <f>IF(BM112&lt;0,0,IF($CH112="Нет",BM112,IF(OR(Исходн.данные.!$AH112=$BP$1,Исходн.данные.!$AH112=$BP$2),0,IF(Исходн.данные.!AJ112=$BU$11,BM112,IF(BM112-DE112&lt;0,0,BM112-DE112)))))</f>
        <v>0</v>
      </c>
      <c r="DI112" s="39">
        <f>IF(BN112&lt;0,0,IF($CH112="Нет",BN112,IF(OR(Исходн.данные.!$AH112=$BP$1,Исходн.данные.!$AH112=$BP$2),0,IF(Исходн.данные.!AK112=$BU$11,BN112,IF(BN112-DF112&lt;0,0,BN112-DF112)))))</f>
        <v>0</v>
      </c>
      <c r="DJ112" s="12">
        <f t="shared" si="172"/>
        <v>0</v>
      </c>
      <c r="DK112" s="9">
        <f t="shared" si="173"/>
        <v>0</v>
      </c>
      <c r="DL112" s="39">
        <f>IF(Исходн.данные.!AM112&gt;0,Исходн.данные.!AM112,IF(EG112&gt;0,$BH$10,0))</f>
        <v>0</v>
      </c>
      <c r="DM112" s="186">
        <f>IF($DL112=0,0,IF(Исходн.данные.!AM112&gt;0,VLOOKUP($DL112,АшламаДВ_Irekle,2,FALSE),VLOOKUP($DL112,АшламаДВ_Gomumy,2,FALSE)))</f>
        <v>0</v>
      </c>
      <c r="DN112" s="10">
        <f t="shared" si="151"/>
        <v>0</v>
      </c>
      <c r="DO112" s="9" t="str">
        <f>IF(Исходн.данные.!AN112&gt;0,Исходн.данные.!AN112,Удобрения!$B$37 )</f>
        <v>Хлор.калий</v>
      </c>
      <c r="DP112" s="9">
        <f>IF(Исходн.данные.!AN112&gt;0,VLOOKUP(Исходн.данные.!AN112,АшламаДВ_Irekle,4,FALSE),VLOOKUP(DO112,АшламаДВ_Gomumy,4,FALSE))</f>
        <v>0.6</v>
      </c>
      <c r="DQ112" s="10">
        <f t="shared" si="152"/>
        <v>0</v>
      </c>
      <c r="DR112" s="132" t="str">
        <f>IF(Исходн.данные.!AO112&gt;0,Исходн.данные.!AO112,IF(DH112=0,BS$17,IF(AND($DK112=0,$DJ112&gt;0),EJ112,EN112)))</f>
        <v>Нет</v>
      </c>
      <c r="DS112" s="70" t="str">
        <f>IF($DR112="Нет","Нет",IF(Исходн.данные.!$AO112&gt;0,VLOOKUP($DR112,АшламаДВ_Irekle,2,FALSE),VLOOKUP($DR112,АшламаДВ_Gomumy,2,FALSE)))</f>
        <v>Нет</v>
      </c>
      <c r="DT112" s="70" t="str">
        <f>IF($DR112="Нет","Нет",IF(Исходн.данные.!$AO112&gt;0,VLOOKUP($DR112,АшламаДВ_Irekle,3,FALSE),VLOOKUP($DR112,АшламаДВ_Gomumy,3,FALSE)))</f>
        <v>Нет</v>
      </c>
      <c r="DU112" s="70" t="str">
        <f>IF($DR112="Нет","Нет",IF(Исходн.данные.!$AO112&gt;0,VLOOKUP($DR112,АшламаДВ_Irekle,4,FALSE),VLOOKUP($DR112,АшламаДВ_Gomumy,4,FALSE)))</f>
        <v>Нет</v>
      </c>
      <c r="DV112" s="70"/>
      <c r="DW112" s="70"/>
      <c r="DX112" s="70"/>
      <c r="DY112" s="10">
        <f t="shared" si="174"/>
        <v>0</v>
      </c>
      <c r="DZ112" s="10">
        <f t="shared" si="175"/>
        <v>0</v>
      </c>
      <c r="EA112" s="10">
        <f t="shared" si="176"/>
        <v>0</v>
      </c>
      <c r="EB112" s="10">
        <f t="shared" si="177"/>
        <v>0</v>
      </c>
      <c r="EC112" s="10">
        <f t="shared" si="178"/>
        <v>0</v>
      </c>
      <c r="ED112" s="10">
        <f t="shared" si="179"/>
        <v>0</v>
      </c>
      <c r="EE112" s="10">
        <f t="shared" si="180"/>
        <v>0</v>
      </c>
      <c r="EF112" s="39">
        <f>EB112*Исходн.данные.!AJ112/1000</f>
        <v>0</v>
      </c>
      <c r="EG112" s="9">
        <f t="shared" si="181"/>
        <v>0</v>
      </c>
      <c r="EH112" s="9">
        <f t="shared" si="182"/>
        <v>0</v>
      </c>
      <c r="EI112" s="39" t="e">
        <f t="shared" si="132"/>
        <v>#DIV/0!</v>
      </c>
      <c r="EJ112" s="9" t="str">
        <f t="shared" si="153"/>
        <v>Азопреципитат</v>
      </c>
      <c r="EK112" s="12">
        <f t="shared" si="133"/>
        <v>0.26</v>
      </c>
      <c r="EL112" s="12">
        <f t="shared" si="134"/>
        <v>0.13</v>
      </c>
      <c r="EM112" s="12">
        <f t="shared" si="135"/>
        <v>0</v>
      </c>
      <c r="EN112" s="12" t="str">
        <f t="shared" si="154"/>
        <v>Нет</v>
      </c>
      <c r="EO112" s="12">
        <f t="shared" si="136"/>
        <v>0</v>
      </c>
      <c r="EP112" s="12">
        <f t="shared" si="137"/>
        <v>0</v>
      </c>
      <c r="EQ112" s="12">
        <f t="shared" si="138"/>
        <v>0</v>
      </c>
      <c r="ER112" s="12" t="str">
        <f t="shared" si="183"/>
        <v>Диаммофоска</v>
      </c>
      <c r="ES112" s="12">
        <f t="shared" si="139"/>
        <v>0.1</v>
      </c>
      <c r="ET112" s="12">
        <f t="shared" si="140"/>
        <v>0.26</v>
      </c>
      <c r="EU112" s="12">
        <f t="shared" si="141"/>
        <v>0.26</v>
      </c>
      <c r="EV112" s="12" t="str">
        <f t="shared" si="184"/>
        <v>Аммофос 12:52:00</v>
      </c>
      <c r="EW112" s="12" t="str">
        <f t="shared" si="185"/>
        <v>Кемира Свекловичное-6</v>
      </c>
      <c r="EX112" s="12">
        <f t="shared" si="142"/>
        <v>0.16</v>
      </c>
      <c r="EY112" s="12">
        <f t="shared" si="143"/>
        <v>0.12</v>
      </c>
      <c r="EZ112" s="12">
        <f t="shared" si="144"/>
        <v>0.17</v>
      </c>
      <c r="FA112" s="38" t="e">
        <f>IF(AND(OR(FJ112=$FD$1,FM112=$FD$1,FO112=$FD$1,FQ112=$FD$1,FS112=$FD$1),FD112=$FD$1,Исходн.данные.!J112&lt;2,FU112=$FD$1),"Бор,Кобальт",IF(AND(FO112=$FD$1,FH112=$FD$1,Исходн.данные.!J112&lt;2,FU112=$FD$1),"Бор,Кобальт",IF(AND(OR(FJ112=$FD$1,FM112=$FD$1,FQ112=$FD$1),FE112=$FD$1,Исходн.данные.!J112&lt;2,FT112=$FD$1,FU112=$FD$1),"Бор,Медь,Цинк",IF(AND(OR(FJ112=$FD$1,FR112="Да"),FI112="Да",Исходн.данные.!J112&lt;2,FT112="Да",FU112="Да"),"Бор,Цинк,Медь",IF(AND(OR(FM112="Да",FQ112="Да"),FI112="Да",Исходн.данные.!J112&lt;2,FT112="Да",FU112="Да"),"Бор,Цинк",IF(AND(FN112="Да",OR(FD112="Да",FE112="Да")),"Бор",FB112))))))</f>
        <v>#N/A</v>
      </c>
      <c r="FB112" s="134" t="e">
        <f>IF(AND(OR(FD112="Да",FE112="Да",FF112="Да",FG112="Да",FH112="Да"),FO112="Да"),"Бор",IF(AND(FP112="Да",OR(FD112="Да",FE112="Да",FI112="Да")),"Бор",IF(AND(FS112="Да",FE112="Да"),"Бор,Медь",IF(AND(OR(FJ112="Да",FK112="Да",FL112="Да"),FE112="Да",Исходн.данные.!I112&lt;5,FT112="Да",FU112="Да"),"Молибден,Цинк",IF(AND(FM112="Да",OR(FE112="Да",FF112="Да",FG112="Да",FH112="Да",FI112="Да")),"Молибден,Цинк",IF(AND(OR(FJ112="Да",FK112="Да",FL112="Да",FM112="Да",FQ112="Да"),OR(FE112="Да",FF112="Да"),FT112="Да",FU112="Да",Исходн.данные.!I112&gt;5.5),"Медь,Цинк",FC112))))))</f>
        <v>#N/A</v>
      </c>
      <c r="FC112" s="23" t="e">
        <f t="shared" si="186"/>
        <v>#N/A</v>
      </c>
      <c r="FD112" s="38" t="str">
        <f>IF(OR(Исходн.данные.!F112=$CC$1,Исходн.данные.!F112=$CC$2,Исходн.данные.!F112=$CC$3,Исходн.данные.!F112=$CC$4),"Да","Нет")</f>
        <v>Нет</v>
      </c>
      <c r="FE112" s="38" t="str">
        <f>IF(Исходн.данные.!F112=$CC$5,"Да","Нет")</f>
        <v>Нет</v>
      </c>
      <c r="FF112" s="38" t="str">
        <f>IF(OR(Исходн.данные.!F112=$CC$6,Исходн.данные.!F112=$CC$7),"Да","Нет")</f>
        <v>Нет</v>
      </c>
      <c r="FG112" s="38" t="str">
        <f>IF(OR(Исходн.данные.!F112=$CC$8,Исходн.данные.!F112=$CC$9),"Да","Нет")</f>
        <v>Нет</v>
      </c>
      <c r="FH112" s="38" t="str">
        <f>IF(Исходн.данные.!F112=$CC$10,"Да","Нет")</f>
        <v>Нет</v>
      </c>
      <c r="FI112" s="38" t="str">
        <f>IF(OR(Исходн.данные.!F112=$CC$11,Исходн.данные.!F112=$CC$12),"Да","Нет")</f>
        <v>Нет</v>
      </c>
      <c r="FJ112" s="38" t="str">
        <f>IF(OR(Исходн.данные.!AH112=$BS$1,Исходн.данные.!AH112=$BQ$11,Исходн.данные.!AH112=$BQ$12),"Да","Нет")</f>
        <v>Нет</v>
      </c>
      <c r="FK112" s="38" t="str">
        <f>IF(OR(Исходн.данные.!AH112=$BS$2,Исходн.данные.!AH112=$BS$4),"Да","Нет")</f>
        <v>Нет</v>
      </c>
      <c r="FL112" s="38" t="str">
        <f>IF(OR(Исходн.данные.!AH112=$BS$3,Исходн.данные.!AH112=$BS$5),"Да","Нет")</f>
        <v>Нет</v>
      </c>
      <c r="FM112" s="38" t="str">
        <f>IF(OR(Исходн.данные.!AH112=$BS$9,Исходн.данные.!AH112=$BS$10,Исходн.данные.!AH112=$BS$11,Исходн.данные.!AH112=$BS$12),"Да","Нет")</f>
        <v>Нет</v>
      </c>
      <c r="FN112" s="38" t="str">
        <f>IF(OR(Исходн.данные.!AH112=$BS$6,Исходн.данные.!AH112=$BP$3),"Да","Нет")</f>
        <v>Нет</v>
      </c>
      <c r="FO112" s="38" t="str">
        <f>IF(Исходн.данные.!AH112=$BQ$9,"Да","Нет")</f>
        <v>Нет</v>
      </c>
      <c r="FP112" s="38" t="str">
        <f>IF(OR(Исходн.данные.!AH112=$BS$8,Исходн.данные.!AH112=$BT$8),"Да","Нет")</f>
        <v>Нет</v>
      </c>
      <c r="FQ112" s="38" t="str">
        <f>IF(OR(Исходн.данные.!AH112=$BQ$7,Исходн.данные.!AH112=$BQ$8),"Да","Нет")</f>
        <v>Нет</v>
      </c>
      <c r="FR112" s="38" t="str">
        <f>IF(Исходн.данные.!AI112=$BU$9,"Да","Нет")</f>
        <v>Нет</v>
      </c>
      <c r="FS112" s="38" t="str">
        <f>IF(OR(Исходн.данные.!AH112=$BP$1,Исходн.данные.!AH112=$BP$2),"Да","Нет")</f>
        <v>Нет</v>
      </c>
      <c r="FT112" s="38" t="e">
        <f>IF((Исходн.данные.!K112*GO112*GS112*GW112+BL112*0.6+Исходн.данные.!Q112*4.5*0.275)&gt;90,"Да","Нет")</f>
        <v>#N/A</v>
      </c>
      <c r="FU112" s="38" t="e">
        <f>IF((Исходн.данные.!M112*GS112*GZ112+BM112*0.225)&gt;35,"Да","Нет")</f>
        <v>#N/A</v>
      </c>
      <c r="FV112" s="38" t="str">
        <f>IF(Исходн.данные.!O112&gt;175,"Да","Нет")</f>
        <v>Нет</v>
      </c>
      <c r="FW112" s="39" t="str">
        <f>IF(Исходн.данные.!I112&gt;5.5,"Да","Нет")</f>
        <v>Нет</v>
      </c>
      <c r="FX112" s="39" t="str">
        <f>IF(Исходн.данные.!J112&lt;2,"Да","Нет")</f>
        <v>Да</v>
      </c>
      <c r="FY112" s="39" t="e">
        <f>IF(HF112=$FY$16,0,Исходн.данные.!K112*GO112*GS112*GW112/HF112)</f>
        <v>#N/A</v>
      </c>
      <c r="FZ112" s="39" t="e">
        <f>Исходн.данные.!M112*GS112*GZ112/HG112</f>
        <v>#N/A</v>
      </c>
      <c r="GA112" s="39" t="e">
        <f>IF(K_Wyn=$FY$16,0,IF(Исходн.данные.!N112=Исходн.данные.!$L$10,Исходн.данные.!O112/1.1*GS112*HC112/HH112,IF(Исходн.данные.!N112=Исходн.данные.!$L$12,Исходн.данные.!O112/1.5*GS112*HC112/HH112,Исходн.данные.!O112*GS112*HC112/HH112)))</f>
        <v>#N/A</v>
      </c>
      <c r="GB112" s="39" t="e">
        <f>IF(HF112=$FY$16,0,((Исходн.данные.!Q112*N_Org+Исходн.данные.!R112*N_Sider+Исходн.данные.!S112*N_Soloma)*AO112+Расчет!BC112*VLOOKUP(Исходн.данные.!T112,Справ!$A$3:$O$57,15)*AO112+BB112*VLOOKUP(Исходн.данные.!T112,Справ!$A$3:$O$57,15)*AL112+(Исходн.данные.!V112*N_Rizotorf+Исходн.данные.!W112*N_Rizoagr))/HF112)</f>
        <v>#N/A</v>
      </c>
      <c r="GC112" s="39" t="e">
        <f>IF(HG112=$FY$16,0,((Исходн.данные.!Q112*Р_Org+Исходн.данные.!R112*P_Sider+Исходн.данные.!S112*P_Soloma)*AP112+Расчет!BC112*VLOOKUP(Исходн.данные.!T112,Справ!$A$3:$P$57,16)*AP112+BB112*VLOOKUP(Исходн.данные.!T112,Справ!$A$3:$P$57,16)*AM112)/HG112)</f>
        <v>#N/A</v>
      </c>
      <c r="GD112" s="39" t="e">
        <f>IF(HH112=$FY$16,0,((Исходн.данные.!Q112*К_Org+Исходн.данные.!R112*K_Sider+Исходн.данные.!S112*K_Soloma)*AQ112+Расчет!BC112*VLOOKUP(Исходн.данные.!T112,Справ!$A$3:$Q$57,17)*AQ112+BB112*VLOOKUP(Исходн.данные.!T112,Справ!$A$3:$Q$57,17)*AN112)/HH112)</f>
        <v>#N/A</v>
      </c>
      <c r="GE112" s="39" t="e">
        <f>IF(HF112=$FY$16,0,(Исходн.данные.!X112*AR112+Исходн.данные.!AA112*N_Org*AL112+Исходн.данные.!AB112*N_Sider*AL112+Исходн.данные.!AC112*N_Soloma*AL112)/HF112)</f>
        <v>#N/A</v>
      </c>
      <c r="GF112" s="39" t="e">
        <f>IF(HG112=$FY$16,0,(Исходн.данные.!Y112*AS112+Исходн.данные.!AA112*Р_Org*AM112+Исходн.данные.!AB112*P_Sider*AM112+Исходн.данные.!AC112*P_Soloma*AM112)/HG112)</f>
        <v>#N/A</v>
      </c>
      <c r="GG112" s="39" t="e">
        <f>IF(HH112=$FY$16,0,(Исходн.данные.!Z112*AT112+Исходн.данные.!AA112*К_Org*AN112+Исходн.данные.!AB112*K_Sider*AN112+Исходн.данные.!AC112*K_Soloma*AN112)/HH112)</f>
        <v>#N/A</v>
      </c>
      <c r="GH112" s="39" t="e">
        <f>Исходн.данные.!AD112*AU112/HF112</f>
        <v>#N/A</v>
      </c>
      <c r="GI112" s="39" t="e">
        <f>Исходн.данные.!AE112*AV112/HG112</f>
        <v>#N/A</v>
      </c>
      <c r="GJ112" s="39" t="e">
        <f>Исходн.данные.!AF112*AW112/HH112</f>
        <v>#N/A</v>
      </c>
      <c r="GK112" s="55">
        <f>Исходн.данные.!AK112</f>
        <v>0</v>
      </c>
      <c r="GL112" s="11" t="e">
        <f t="shared" si="187"/>
        <v>#N/A</v>
      </c>
      <c r="GM112" s="11" t="e">
        <f t="shared" si="188"/>
        <v>#N/A</v>
      </c>
      <c r="GN112" s="11" t="e">
        <f t="shared" si="189"/>
        <v>#N/A</v>
      </c>
      <c r="GO112" s="57">
        <f t="shared" si="190"/>
        <v>19</v>
      </c>
      <c r="GP112" s="55">
        <f>IF(OR(Исходн.данные.!F112=$CE$1,Исходн.данные.!F112=$CE$2,Исходн.данные.!F112=$CE$3,Исходн.данные.!F112=$CE$4,Исходн.данные.!F112=$CE$5),GQ112,GR112)</f>
        <v>19</v>
      </c>
      <c r="GQ112" s="55">
        <f>IF(Исходн.данные.!F112=$CE$1,28,IF(Исходн.данные.!F112=$CE$2,26,IF(Исходн.данные.!F112=$CE$3,24,IF(Исходн.данные.!F112=$CE$4,22,IF(Исходн.данные.!F112=$CE$5,20,GR112)))))</f>
        <v>19</v>
      </c>
      <c r="GR112" s="55">
        <f>IF(Исходн.данные.!F112=$CE$6,18,IF(Исходн.данные.!F112=$CE$7,16,IF(Исходн.данные.!F112=$CE$8,14,IF(Исходн.данные.!F112=$CE$9,13,IF(Исходн.данные.!F112=$CE$10,12,19)))))</f>
        <v>19</v>
      </c>
      <c r="GS112" s="55">
        <f>IF(Исходн.данные.!G112="Пес",0.035*(40+2*Исходн.данные.!H112),IF(Исходн.данные.!G112="Суп",0.0325*(40+2*Исходн.данные.!H112),0.03*(40+2*Исходн.данные.!H112)))</f>
        <v>1.2</v>
      </c>
      <c r="GT112" s="55">
        <f>IF(Исходн.данные.!H112&lt;23,2.6,IF(AND(Исходн.данные.!H112&gt;22,Исходн.данные.!H112&lt;26),3,IF(AND(Исходн.данные.!H112&gt;25,Исходн.данные.!H112&lt;29),3.4,3.6)))</f>
        <v>2.6</v>
      </c>
      <c r="GU112" s="55">
        <f>IF(Исходн.данные.!H112&lt;23,2.8,IF(AND(Исходн.данные.!H112&gt;22,Исходн.данные.!H112&lt;26),3.2,IF(AND(Исходн.данные.!H112&gt;25,Исходн.данные.!H112&lt;29),3.6,3.9)))</f>
        <v>2.8</v>
      </c>
      <c r="GV112" s="55">
        <f>IF(Исходн.данные.!H112&lt;23,3,IF(AND(Исходн.данные.!H112&gt;22,Исходн.данные.!H112&lt;26),3.5,IF(AND(Исходн.данные.!H112&gt;25,Исходн.данные.!H112&lt;29),3.9,4.2)))</f>
        <v>3</v>
      </c>
      <c r="GW112" s="55" t="e">
        <f>IF(Исходн.данные.!P112="Ум",GX112,GY112)</f>
        <v>#N/A</v>
      </c>
      <c r="GX112" s="55" t="e">
        <f>VLOOKUP(Исходн.данные.!AI112,Коэффициенты!$J$7:$L$13,2,FALSE)</f>
        <v>#N/A</v>
      </c>
      <c r="GY112" s="55" t="e">
        <f>VLOOKUP(Исходн.данные.!AI112,Коэффициенты!$J$7:$L$13,3,FALSE)</f>
        <v>#N/A</v>
      </c>
      <c r="GZ112" s="55" t="e">
        <f>(IF(Исходн.данные.!M112&lt;50,0.11*VLOOKUP(Исходн.данные.!AH112,Культуры.Информация,7,FALSE),IF(Исходн.данные.!M112&gt;250,0.05*VLOOKUP(Исходн.данные.!AH112,Культуры.Информация,7,FALSE),VLOOKUP(Исходн.данные.!AH112,Культуры.Информация,5,FALSE)/100*($GX$6+$GY$6*Исходн.данные.!M112))))*Расчет2!AI112</f>
        <v>#N/A</v>
      </c>
      <c r="HA112" s="211"/>
      <c r="HB112" s="211"/>
      <c r="HC112" s="55" t="e">
        <f>(IF(Исходн.данные.!O112&lt;80,0.2*VLOOKUP(Исходн.данные.!AH112,Культуры.Информация,8,FALSE),IF(Исходн.данные.!O112&gt;240,0.09*VLOOKUP(Исходн.данные.!AH112,Культуры.Информация,8,FALSE),VLOOKUP(Исходн.данные.!AH112,Культуры.Информация,6,FALSE)/100*($HB$6+$HC$6*Исходн.данные.!O112))))*Расчет2!AJ112</f>
        <v>#N/A</v>
      </c>
      <c r="HD112" s="55">
        <f>IF(Исходн.данные.!O112&gt;240,0.09,IF(Исходн.данные.!O112&lt;30,0.3,$HE$10+$HD$10*Исходн.данные.!O112))</f>
        <v>0.3</v>
      </c>
      <c r="HE112" s="55">
        <f>IF(Исходн.данные.!O112&gt;240,0.17,IF(Исходн.данные.!O112&lt;30,0.5,$HF$12+$HE$12*Исходн.данные.!O112))</f>
        <v>0.5</v>
      </c>
      <c r="HF112" s="55" t="e">
        <f>VLOOKUP(Исходн.данные.!AH112,Справ!$A$3:$D$58,2,FALSE)</f>
        <v>#N/A</v>
      </c>
      <c r="HG112" s="55" t="e">
        <f>VLOOKUP(Исходн.данные.!AH112,Справ!$A$3:$D$58,3,FALSE)</f>
        <v>#N/A</v>
      </c>
      <c r="HH112" s="55" t="e">
        <f>VLOOKUP(Исходн.данные.!AH112,Справ!$A$3:$D$58,4,FALSE)</f>
        <v>#N/A</v>
      </c>
      <c r="HI112" s="11" t="e">
        <f t="shared" si="191"/>
        <v>#N/A</v>
      </c>
      <c r="HJ112" s="11" t="e">
        <f t="shared" si="192"/>
        <v>#N/A</v>
      </c>
      <c r="HK112" s="11" t="e">
        <f t="shared" si="193"/>
        <v>#N/A</v>
      </c>
      <c r="HL112" s="55">
        <f>IF(OR(Исходн.данные.!G112="Глин",Исходн.данные.!G112="Т_суг"),1.1,IF(Исходн.данные.!G112="Ср_суг",1,1))</f>
        <v>1</v>
      </c>
      <c r="HM112" s="55">
        <f>IF(OR(Исходн.данные.!G112="Глин",Исходн.данные.!G112="Т_суг"),0.9,IF(Исходн.данные.!G112="Ср_суг",1,1.2))</f>
        <v>1.2</v>
      </c>
      <c r="HN112" s="11" t="e">
        <f t="shared" si="194"/>
        <v>#N/A</v>
      </c>
      <c r="HO112" s="11" t="e">
        <f t="shared" si="195"/>
        <v>#N/A</v>
      </c>
      <c r="HP112" s="11" t="e">
        <f t="shared" si="196"/>
        <v>#N/A</v>
      </c>
      <c r="HQ112" t="e">
        <f t="shared" si="197"/>
        <v>#N/A</v>
      </c>
      <c r="HR112" t="e">
        <f t="shared" si="198"/>
        <v>#N/A</v>
      </c>
      <c r="HS112" t="e">
        <f t="shared" si="199"/>
        <v>#N/A</v>
      </c>
      <c r="HT112" t="e">
        <f t="shared" si="145"/>
        <v>#N/A</v>
      </c>
      <c r="HU112" t="e">
        <f t="shared" si="146"/>
        <v>#N/A</v>
      </c>
      <c r="HV112" t="e">
        <f t="shared" si="147"/>
        <v>#N/A</v>
      </c>
      <c r="HW112" t="e">
        <f t="shared" si="148"/>
        <v>#N/A</v>
      </c>
      <c r="HX112" t="e">
        <f t="shared" si="149"/>
        <v>#N/A</v>
      </c>
      <c r="HY112" t="e">
        <f t="shared" si="150"/>
        <v>#N/A</v>
      </c>
      <c r="HZ112" s="55">
        <f>IF(OR(Исходн.данные.!AI112="Оз_Ч_П",Исходн.данные.!AI112="Оз_З_П",Исходн.данные.!AI112="Яр_зер"),12,30)</f>
        <v>30</v>
      </c>
      <c r="IA112" t="e">
        <f t="shared" si="200"/>
        <v>#N/A</v>
      </c>
      <c r="IB112" t="e">
        <f t="shared" si="201"/>
        <v>#N/A</v>
      </c>
      <c r="IC112" t="e">
        <f t="shared" si="202"/>
        <v>#N/A</v>
      </c>
      <c r="ID112" s="11" t="e">
        <f t="shared" si="203"/>
        <v>#N/A</v>
      </c>
      <c r="IE112" s="11" t="e">
        <f t="shared" si="204"/>
        <v>#N/A</v>
      </c>
      <c r="IF112" s="11" t="e">
        <f t="shared" si="205"/>
        <v>#N/A</v>
      </c>
    </row>
    <row r="113" spans="35:240" x14ac:dyDescent="0.2">
      <c r="AI113">
        <f>IF(Исходн.данные.!I113&gt;6,1,1.85-(0.148*Исходн.данные.!I113))</f>
        <v>1.85</v>
      </c>
      <c r="AJ113">
        <f>IF(Исходн.данные.!I113&gt;6,1,2.434-(0.246*Исходн.данные.!I113))</f>
        <v>2.4340000000000002</v>
      </c>
      <c r="AL113" s="148" t="b">
        <f>IF(Исходн.данные.!$P113="Ум",N_OrgUd_2g_um,IF(Исходн.данные.!$P113="Об",N_OrgUd_2g_ob))</f>
        <v>0</v>
      </c>
      <c r="AM113" s="148" t="b">
        <f>IF(Исходн.данные.!$P113="Ум",P_OrgUd_2g_um,IF(Исходн.данные.!$P113="Об",P_OrgUd_2g_ob))</f>
        <v>0</v>
      </c>
      <c r="AN113" s="148" t="b">
        <f>IF(Исходн.данные.!$P113="Ум",K_OrgUd_2g_um,IF(Исходн.данные.!$P113="Об",K_OrgUd_2g_ob))</f>
        <v>0</v>
      </c>
      <c r="AO113" s="148" t="b">
        <f>IF(Исходн.данные.!$P113="Ум",N_OrgUd_1g_um,IF(Исходн.данные.!$P113="Об",N_OrgUd_1g_ob))</f>
        <v>0</v>
      </c>
      <c r="AP113" s="148" t="b">
        <f>IF(Исходн.данные.!$P113="Ум",P_OrgUd_1g_um,IF(Исходн.данные.!$P113="Об",P_OrgUd_1g_ob))</f>
        <v>0</v>
      </c>
      <c r="AQ113" s="148" t="b">
        <f>IF(Исходн.данные.!$P113="Ум",K_OrgUd_1g_um,IF(Исходн.данные.!$P113="Об",K_OrgUd_1g_ob))</f>
        <v>0</v>
      </c>
      <c r="AR113" t="b">
        <f>IF(Исходн.данные.!$P113="Ум",N_MinUd_2g_um,IF(Исходн.данные.!$P113="Об",N_MinUd_2g_ob))</f>
        <v>0</v>
      </c>
      <c r="AS113" t="b">
        <f>IF(Исходн.данные.!$P113="Ум",P_MinUd_2g_um,IF(Исходн.данные.!$P113="Об",P_MinUd_2g_ob))</f>
        <v>0</v>
      </c>
      <c r="AT113" t="b">
        <f>IF(Исходн.данные.!$P113="Ум",K_MinUd_2g_um,IF(Исходн.данные.!$P113="Об",K_MinUd_2g_ob))</f>
        <v>0</v>
      </c>
      <c r="AU113" t="b">
        <f>IF(Исходн.данные.!$P113="Ум",N_MinUd_1g_um,IF(Исходн.данные.!$P113="Об",N_MinUd_1g_ob))</f>
        <v>0</v>
      </c>
      <c r="AV113" t="b">
        <f>IF(Исходн.данные.!P113="Ум",P_MinUd_1g_um,IF(Исходн.данные.!P113="Об",P_MinUd_1g_ob))</f>
        <v>0</v>
      </c>
      <c r="AW113" t="b">
        <f>IF(Исходн.данные.!P113="Ум",K_MinUd_1g_um,IF(Исходн.данные.!P113="Об",K_MinUd_1g_ob))</f>
        <v>0</v>
      </c>
      <c r="AY113" t="e">
        <f>VLOOKUP(Исходн.данные.!T113,Справ!$A$3:$N$57,12)</f>
        <v>#N/A</v>
      </c>
      <c r="AZ113" t="e">
        <f>VLOOKUP(Исходн.данные.!T113,Справ!$A$3:$N$57,13)</f>
        <v>#N/A</v>
      </c>
      <c r="BA113" t="e">
        <f>VLOOKUP(Исходн.данные.!T113,Справ!$A$3:$N$57,14)</f>
        <v>#N/A</v>
      </c>
      <c r="BB113">
        <f>IF(Исходн.данные.!AH113=0,0,25)</f>
        <v>0</v>
      </c>
      <c r="BC113" s="141">
        <f>IF(Исходн.данные.!AH113=0,0,IF(Исходн.данные.!T113=0,25,BD113))</f>
        <v>0</v>
      </c>
      <c r="BD113" s="168" t="e">
        <f>AY113+AZ113*Исходн.данные.!U113-POWER(BA113,2)*Исходн.данные.!U113</f>
        <v>#N/A</v>
      </c>
      <c r="BE11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3" s="25">
        <f>IF(Исходн.данные.!AH113=0,0,MIN(HN113:HP113))</f>
        <v>0</v>
      </c>
      <c r="BG113" s="9">
        <f>IF(Исходн.данные.!AH113=0,0,IF((HO113+10*0.25/HG113/HL113)&lt;17,17,HO113+10*0.25/HG113/HL113))</f>
        <v>0</v>
      </c>
      <c r="BH113" s="181">
        <f>IF(Исходн.данные.!AH113=0,0,HW113*HF113*HL113/AU113*AI113+Исходн.данные.!S113*10)</f>
        <v>0</v>
      </c>
      <c r="BI113" s="10"/>
      <c r="BJ113" s="182">
        <f>IF(Исходн.данные.!AH113=0,0,IF(HX113*HG113*HL113/AV113&lt;0,0,HX113*HG113*HL113/AV113*AJ113))</f>
        <v>0</v>
      </c>
      <c r="BK113" s="182">
        <f>IF(Исходн.данные.!AH113=0,0,HY113*HH113*HM113/AW113)</f>
        <v>0</v>
      </c>
      <c r="BL113" s="10">
        <f>IF(OR(Исходн.данные.!$AH113=$BP$1,Исходн.данные.!$AH113=$BP$2),0,IF(BH113&lt;0,0,IF(OR(Исходн.данные.!T113=Расчет!$BP$1,Исходн.данные.!T113=Расчет!$BP$2,Исходн.данные.!T113=Расчет!$BT$5,Исходн.данные.!T113=Расчет!$BT$6),BH113*0.5,IF(OR(Исходн.данные.!T113=Расчет!$BS$9,Исходн.данные.!T113=Расчет!$BS$10,Исходн.данные.!T113=Расчет!$BS$11,Исходн.данные.!T113=Расчет!$BS$12,Исходн.данные.!T113=Расчет!$BP$5),BH113*0.8,BH113))))</f>
        <v>0</v>
      </c>
      <c r="BM113" s="10">
        <f>IF(OR(Исходн.данные.!$AH113=$BP$1,Исходн.данные.!$AH113=$BP$2),0,IF(BJ113&lt;0,0,IF(Исходн.данные.!I113&lt;4.5,BJ113*1.2,IF(Исходн.данные.!I113&gt;5.1,BJ113,BJ113*((5.1-Исходн.данные.!I113)*0.333+1)))))</f>
        <v>0</v>
      </c>
      <c r="BN113" s="10">
        <f>IF(OR(Исходн.данные.!$AH113=$BP$1,Исходн.данные.!$AH113=$BP$2),60-Исходн.данные.!AF113,IF(BK113&lt;0,0,IF(Исходн.данные.!I113&lt;4.5,BK113*1.2,IF(Исходн.данные.!I113&gt;5.1,BK113,BK113*((5.1-Исходн.данные.!I113)*0.333+1)))))</f>
        <v>0</v>
      </c>
      <c r="BO113" s="9">
        <f>IF(BL113&lt;0,0,BL113*Исходн.данные.!$AJ113/1000)</f>
        <v>0</v>
      </c>
      <c r="BP113" s="9">
        <f>IF(BM113&lt;0,0,BM113*Исходн.данные.!$AJ113/1000)</f>
        <v>0</v>
      </c>
      <c r="BQ113" s="9">
        <f>IF(BN113&lt;0,0,BN113*Исходн.данные.!$AJ113/1000)</f>
        <v>0</v>
      </c>
      <c r="BR113" s="9">
        <f t="shared" si="155"/>
        <v>0</v>
      </c>
      <c r="BS113" s="10" t="str">
        <f t="shared" si="156"/>
        <v>Аммофос 12:52:00</v>
      </c>
      <c r="BT113" s="10" t="str">
        <f t="shared" si="157"/>
        <v>Аммофос 12:52:00</v>
      </c>
      <c r="BU113" s="10" t="str">
        <f t="shared" si="158"/>
        <v>Диаммофоска</v>
      </c>
      <c r="BV113" s="10">
        <f t="shared" si="159"/>
        <v>0</v>
      </c>
      <c r="BW113" s="10"/>
      <c r="BX113" s="10"/>
      <c r="BY113" s="9">
        <f>IF(BL113&lt;0,0,IF(OR(Исходн.данные.!AI113=Расчет!$BU$6,Исходн.данные.!AI113=Расчет!$BU$7),Расчет!BV113,IF(Исходн.данные.!$AG113=$BV$11,BL113,IF(OR(Исходн.данные.!$AH113=$BQ$7,Исходн.данные.!$AH113=$BQ$8),CB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0,IF(Исходн.данные.!$AI113=$BU$11,"Нет",IF(BL113&gt;30,30,BL113)))))))</f>
        <v>0</v>
      </c>
      <c r="BZ113" s="9">
        <f>IF(AND(Исходн.данные.!$AG113=$BV$11,BM113&lt;10),10,IF(Исходн.данные.!$AG113=$BV$11,BM113,IF(OR(Исходн.данные.!$AH113=$BQ$7,Исходн.данные.!$AH113=$BQ$8),CC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10,IF(Исходн.данные.!$AI113=$BU$11,"Нет",IF(BM113&gt;60,60,IF(BM113&lt;10,10,BM113)))))))</f>
        <v>10</v>
      </c>
      <c r="CA113" s="39">
        <f>IF(BN113&lt;0,0,IF(Исходн.данные.!$AG113=$BV$11,BN113,IF(OR(Исходн.данные.!$AH113=$BQ$7,Исходн.данные.!$AH113=$BQ$8),CD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0,IF(Исходн.данные.!$AI113=$BU$11,"Нет",IF(BN113&gt;30,30,BN113))))))</f>
        <v>0</v>
      </c>
      <c r="CB113" s="9">
        <f t="shared" si="160"/>
        <v>0</v>
      </c>
      <c r="CC113" s="9">
        <f t="shared" si="161"/>
        <v>0</v>
      </c>
      <c r="CD113" s="9">
        <f t="shared" si="162"/>
        <v>0</v>
      </c>
      <c r="CE113" s="12">
        <f t="shared" si="163"/>
        <v>10</v>
      </c>
      <c r="CF113" s="9">
        <f t="shared" si="164"/>
        <v>0</v>
      </c>
      <c r="CG113" s="9" t="s">
        <v>231</v>
      </c>
      <c r="CH113" s="132" t="str">
        <f>IF(Исходн.данные.!AP113=Расчет!$CI$16,"Нет",IF(Исходн.данные.!AL113&gt;0,Исходн.данные.!AL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BH$4,IF(OR(Исходн.данные.!AI113=Исходн.данные.!$AI$6,Исходн.данные.!AI113=Исходн.данные.!$AI$7),Расчет!BS113,IF(AND($CF113=0,$CE113&gt;0),EV113,ER113)))))</f>
        <v>Аммофос 12:52:00</v>
      </c>
      <c r="CI113" s="274">
        <f>IF(Расчет!$CH113="Нет","Нет",IF(Исходн.данные.!$AL113&gt;0,VLOOKUP(Расчет!$CH113,АшламаДВ_Irekle,2,FALSE),VLOOKUP(Расчет!$CH113,АшламаДВ_Gomumy,2,FALSE)))</f>
        <v>0.12</v>
      </c>
      <c r="CJ113" s="274">
        <f>IF(Расчет!$CH113="Нет","Нет",IF(Исходн.данные.!$AL113&gt;0,VLOOKUP(Расчет!$CH113,АшламаДВ_Irekle,3,FALSE),VLOOKUP(Расчет!$CH113,АшламаДВ_Gomumy,3,FALSE)))</f>
        <v>0.52</v>
      </c>
      <c r="CK113" s="274">
        <f>IF(Расчет!$CH113="Нет","Нет",IF(Исходн.данные.!$AL113&gt;0,VLOOKUP(Расчет!$CH113,АшламаДВ_Irekle,4,FALSE),VLOOKUP(Расчет!$CH113,АшламаДВ_Gomumy,4,FALSE)))</f>
        <v>0</v>
      </c>
      <c r="CL113" s="70"/>
      <c r="CM113" s="70"/>
      <c r="CN113" s="70"/>
      <c r="CO113" s="70"/>
      <c r="CP113" s="70"/>
      <c r="CQ113" s="70"/>
      <c r="CR113" s="10">
        <f t="shared" si="165"/>
        <v>0</v>
      </c>
      <c r="CS113" s="10">
        <f t="shared" si="166"/>
        <v>19.23076923076923</v>
      </c>
      <c r="CT113" s="10">
        <f t="shared" si="167"/>
        <v>0</v>
      </c>
      <c r="CU113" s="39">
        <f>IF($CH113="Нет",0,IF(CI113=0,30/MIN(CJ113:CK113),IF(Исходн.данные.!$AG113=$BV$11,CR113,IF(OR(Исходн.данные.!$AH113=$BQ$7,Исходн.данные.!$AH113=$BQ$8),90/CI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0,IF(Исходн.данные.!$AI113=$BU$11,"Нет",30/CI113))))))</f>
        <v>250</v>
      </c>
      <c r="CV113" s="39">
        <f>IF($CH113="Нет",0,IF(Исходн.данные.!AH113=0,0,IF(CJ113=0,60/MIN(CI113,CK113),IF(Исходн.данные.!$AG113=$BV$11,CS113,IF(OR(Исходн.данные.!$AH113=$BQ$7,Исходн.данные.!$AH113=$BQ$8),90/CJ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10/CJ113,IF(Исходн.данные.!$AI113=$BU$11,"Нет",60/CJ113)))))))</f>
        <v>0</v>
      </c>
      <c r="CW113" s="39">
        <f>IF($CH113="Нет",0,IF(Исходн.данные.!AH113=0,0,IF(CK113=0,30/MIN(CI113:CJ113),IF(Исходн.данные.!$AG113=$BV$11,CT113,IF(OR(Исходн.данные.!$AH113=$BQ$7,Исходн.данные.!$AH113=$BQ$8),90/CK113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0,IF(Исходн.данные.!$AI113=$BU$11,"Нет",30/CK113)))))))</f>
        <v>0</v>
      </c>
      <c r="CX113" s="133">
        <f>IF(Исходн.данные.!$AG113=$BV$11,MAX(CU113:CW113),IF(OR(Исходн.данные.!$AH113=$BS$8,Исходн.данные.!$AH113=$BQ$9,Исходн.данные.!$AH113=$BQ$10,Исходн.данные.!$AH113=$BQ$11,Исходн.данные.!$AH113=$BQ$12,Исходн.данные.!$AH113=$BP$3,Исходн.данные.!$AH113=$BT$8,$FM113="Да"),CV113,MIN(CU113:CW113)))</f>
        <v>0</v>
      </c>
      <c r="CY113" s="133">
        <f>IF(Исходн.данные.!AH113=0,0,IF(CR113&gt;$CX113,$CX113,CR113))</f>
        <v>0</v>
      </c>
      <c r="CZ113" s="133">
        <f>IF(Исходн.данные.!AH113=0,0,IF(CS113&gt;$CX113,$CX113,CS113))</f>
        <v>0</v>
      </c>
      <c r="DA113" s="133">
        <f>IF(Исходн.данные.!AH113=0,0,IF(CT113&gt;$CX113,$CX113,CT113))</f>
        <v>0</v>
      </c>
      <c r="DB113" s="10">
        <f t="shared" si="168"/>
        <v>0</v>
      </c>
      <c r="DC113" s="39">
        <f>DB113*Исходн.данные.!AJ113/1000</f>
        <v>0</v>
      </c>
      <c r="DD113" s="71">
        <f t="shared" si="169"/>
        <v>0</v>
      </c>
      <c r="DE113" s="9">
        <f t="shared" si="170"/>
        <v>0</v>
      </c>
      <c r="DF113" s="9">
        <f t="shared" si="171"/>
        <v>0</v>
      </c>
      <c r="DG113" s="39">
        <f>IF(BL113&lt;0,0,IF($CH113="Нет",BL113,IF(OR(Исходн.данные.!$AH113=$BP$1,Исходн.данные.!$AH113=$BP$2),0,IF(Исходн.данные.!AI113=$BU$11,BL113,IF(BL113-DD113&lt;0,0,BL113-DD113)))))</f>
        <v>0</v>
      </c>
      <c r="DH113" s="39">
        <f>IF(BM113&lt;0,0,IF($CH113="Нет",BM113,IF(OR(Исходн.данные.!$AH113=$BP$1,Исходн.данные.!$AH113=$BP$2),0,IF(Исходн.данные.!AJ113=$BU$11,BM113,IF(BM113-DE113&lt;0,0,BM113-DE113)))))</f>
        <v>0</v>
      </c>
      <c r="DI113" s="39">
        <f>IF(BN113&lt;0,0,IF($CH113="Нет",BN113,IF(OR(Исходн.данные.!$AH113=$BP$1,Исходн.данные.!$AH113=$BP$2),0,IF(Исходн.данные.!AK113=$BU$11,BN113,IF(BN113-DF113&lt;0,0,BN113-DF113)))))</f>
        <v>0</v>
      </c>
      <c r="DJ113" s="12">
        <f t="shared" si="172"/>
        <v>0</v>
      </c>
      <c r="DK113" s="9">
        <f t="shared" si="173"/>
        <v>0</v>
      </c>
      <c r="DL113" s="39">
        <f>IF(Исходн.данные.!AM113&gt;0,Исходн.данные.!AM113,IF(EG113&gt;0,$BH$10,0))</f>
        <v>0</v>
      </c>
      <c r="DM113" s="186">
        <f>IF($DL113=0,0,IF(Исходн.данные.!AM113&gt;0,VLOOKUP($DL113,АшламаДВ_Irekle,2,FALSE),VLOOKUP($DL113,АшламаДВ_Gomumy,2,FALSE)))</f>
        <v>0</v>
      </c>
      <c r="DN113" s="10">
        <f t="shared" si="151"/>
        <v>0</v>
      </c>
      <c r="DO113" s="9" t="str">
        <f>IF(Исходн.данные.!AN113&gt;0,Исходн.данные.!AN113,Удобрения!$B$37 )</f>
        <v>Хлор.калий</v>
      </c>
      <c r="DP113" s="9">
        <f>IF(Исходн.данные.!AN113&gt;0,VLOOKUP(Исходн.данные.!AN113,АшламаДВ_Irekle,4,FALSE),VLOOKUP(DO113,АшламаДВ_Gomumy,4,FALSE))</f>
        <v>0.6</v>
      </c>
      <c r="DQ113" s="10">
        <f t="shared" si="152"/>
        <v>0</v>
      </c>
      <c r="DR113" s="132" t="str">
        <f>IF(Исходн.данные.!AO113&gt;0,Исходн.данные.!AO113,IF(DH113=0,BS$17,IF(AND($DK113=0,$DJ113&gt;0),EJ113,EN113)))</f>
        <v>Нет</v>
      </c>
      <c r="DS113" s="70" t="str">
        <f>IF($DR113="Нет","Нет",IF(Исходн.данные.!$AO113&gt;0,VLOOKUP($DR113,АшламаДВ_Irekle,2,FALSE),VLOOKUP($DR113,АшламаДВ_Gomumy,2,FALSE)))</f>
        <v>Нет</v>
      </c>
      <c r="DT113" s="70" t="str">
        <f>IF($DR113="Нет","Нет",IF(Исходн.данные.!$AO113&gt;0,VLOOKUP($DR113,АшламаДВ_Irekle,3,FALSE),VLOOKUP($DR113,АшламаДВ_Gomumy,3,FALSE)))</f>
        <v>Нет</v>
      </c>
      <c r="DU113" s="70" t="str">
        <f>IF($DR113="Нет","Нет",IF(Исходн.данные.!$AO113&gt;0,VLOOKUP($DR113,АшламаДВ_Irekle,4,FALSE),VLOOKUP($DR113,АшламаДВ_Gomumy,4,FALSE)))</f>
        <v>Нет</v>
      </c>
      <c r="DV113" s="70"/>
      <c r="DW113" s="70"/>
      <c r="DX113" s="70"/>
      <c r="DY113" s="10">
        <f t="shared" si="174"/>
        <v>0</v>
      </c>
      <c r="DZ113" s="10">
        <f t="shared" si="175"/>
        <v>0</v>
      </c>
      <c r="EA113" s="10">
        <f t="shared" si="176"/>
        <v>0</v>
      </c>
      <c r="EB113" s="10">
        <f t="shared" si="177"/>
        <v>0</v>
      </c>
      <c r="EC113" s="10">
        <f t="shared" si="178"/>
        <v>0</v>
      </c>
      <c r="ED113" s="10">
        <f t="shared" si="179"/>
        <v>0</v>
      </c>
      <c r="EE113" s="10">
        <f t="shared" si="180"/>
        <v>0</v>
      </c>
      <c r="EF113" s="39">
        <f>EB113*Исходн.данные.!AJ113/1000</f>
        <v>0</v>
      </c>
      <c r="EG113" s="9">
        <f t="shared" si="181"/>
        <v>0</v>
      </c>
      <c r="EH113" s="9">
        <f t="shared" si="182"/>
        <v>0</v>
      </c>
      <c r="EI113" s="39" t="e">
        <f t="shared" si="132"/>
        <v>#DIV/0!</v>
      </c>
      <c r="EJ113" s="9" t="str">
        <f t="shared" si="153"/>
        <v>Азопреципитат</v>
      </c>
      <c r="EK113" s="12">
        <f t="shared" si="133"/>
        <v>0.26</v>
      </c>
      <c r="EL113" s="12">
        <f t="shared" si="134"/>
        <v>0.13</v>
      </c>
      <c r="EM113" s="12">
        <f t="shared" si="135"/>
        <v>0</v>
      </c>
      <c r="EN113" s="12" t="str">
        <f t="shared" si="154"/>
        <v>Нет</v>
      </c>
      <c r="EO113" s="12">
        <f t="shared" si="136"/>
        <v>0</v>
      </c>
      <c r="EP113" s="12">
        <f t="shared" si="137"/>
        <v>0</v>
      </c>
      <c r="EQ113" s="12">
        <f t="shared" si="138"/>
        <v>0</v>
      </c>
      <c r="ER113" s="12" t="str">
        <f t="shared" si="183"/>
        <v>Диаммофоска</v>
      </c>
      <c r="ES113" s="12">
        <f t="shared" si="139"/>
        <v>0.1</v>
      </c>
      <c r="ET113" s="12">
        <f t="shared" si="140"/>
        <v>0.26</v>
      </c>
      <c r="EU113" s="12">
        <f t="shared" si="141"/>
        <v>0.26</v>
      </c>
      <c r="EV113" s="12" t="str">
        <f t="shared" si="184"/>
        <v>Аммофос 12:52:00</v>
      </c>
      <c r="EW113" s="12" t="str">
        <f t="shared" si="185"/>
        <v>Кемира Свекловичное-6</v>
      </c>
      <c r="EX113" s="12">
        <f t="shared" si="142"/>
        <v>0.16</v>
      </c>
      <c r="EY113" s="12">
        <f t="shared" si="143"/>
        <v>0.12</v>
      </c>
      <c r="EZ113" s="12">
        <f t="shared" si="144"/>
        <v>0.17</v>
      </c>
      <c r="FA113" s="38" t="e">
        <f>IF(AND(OR(FJ113=$FD$1,FM113=$FD$1,FO113=$FD$1,FQ113=$FD$1,FS113=$FD$1),FD113=$FD$1,Исходн.данные.!J113&lt;2,FU113=$FD$1),"Бор,Кобальт",IF(AND(FO113=$FD$1,FH113=$FD$1,Исходн.данные.!J113&lt;2,FU113=$FD$1),"Бор,Кобальт",IF(AND(OR(FJ113=$FD$1,FM113=$FD$1,FQ113=$FD$1),FE113=$FD$1,Исходн.данные.!J113&lt;2,FT113=$FD$1,FU113=$FD$1),"Бор,Медь,Цинк",IF(AND(OR(FJ113=$FD$1,FR113="Да"),FI113="Да",Исходн.данные.!J113&lt;2,FT113="Да",FU113="Да"),"Бор,Цинк,Медь",IF(AND(OR(FM113="Да",FQ113="Да"),FI113="Да",Исходн.данные.!J113&lt;2,FT113="Да",FU113="Да"),"Бор,Цинк",IF(AND(FN113="Да",OR(FD113="Да",FE113="Да")),"Бор",FB113))))))</f>
        <v>#N/A</v>
      </c>
      <c r="FB113" s="134" t="e">
        <f>IF(AND(OR(FD113="Да",FE113="Да",FF113="Да",FG113="Да",FH113="Да"),FO113="Да"),"Бор",IF(AND(FP113="Да",OR(FD113="Да",FE113="Да",FI113="Да")),"Бор",IF(AND(FS113="Да",FE113="Да"),"Бор,Медь",IF(AND(OR(FJ113="Да",FK113="Да",FL113="Да"),FE113="Да",Исходн.данные.!I113&lt;5,FT113="Да",FU113="Да"),"Молибден,Цинк",IF(AND(FM113="Да",OR(FE113="Да",FF113="Да",FG113="Да",FH113="Да",FI113="Да")),"Молибден,Цинк",IF(AND(OR(FJ113="Да",FK113="Да",FL113="Да",FM113="Да",FQ113="Да"),OR(FE113="Да",FF113="Да"),FT113="Да",FU113="Да",Исходн.данные.!I113&gt;5.5),"Медь,Цинк",FC113))))))</f>
        <v>#N/A</v>
      </c>
      <c r="FC113" s="23" t="e">
        <f t="shared" si="186"/>
        <v>#N/A</v>
      </c>
      <c r="FD113" s="38" t="str">
        <f>IF(OR(Исходн.данные.!F113=$CC$1,Исходн.данные.!F113=$CC$2,Исходн.данные.!F113=$CC$3,Исходн.данные.!F113=$CC$4),"Да","Нет")</f>
        <v>Нет</v>
      </c>
      <c r="FE113" s="38" t="str">
        <f>IF(Исходн.данные.!F113=$CC$5,"Да","Нет")</f>
        <v>Нет</v>
      </c>
      <c r="FF113" s="38" t="str">
        <f>IF(OR(Исходн.данные.!F113=$CC$6,Исходн.данные.!F113=$CC$7),"Да","Нет")</f>
        <v>Нет</v>
      </c>
      <c r="FG113" s="38" t="str">
        <f>IF(OR(Исходн.данные.!F113=$CC$8,Исходн.данные.!F113=$CC$9),"Да","Нет")</f>
        <v>Нет</v>
      </c>
      <c r="FH113" s="38" t="str">
        <f>IF(Исходн.данные.!F113=$CC$10,"Да","Нет")</f>
        <v>Нет</v>
      </c>
      <c r="FI113" s="38" t="str">
        <f>IF(OR(Исходн.данные.!F113=$CC$11,Исходн.данные.!F113=$CC$12),"Да","Нет")</f>
        <v>Нет</v>
      </c>
      <c r="FJ113" s="38" t="str">
        <f>IF(OR(Исходн.данные.!AH113=$BS$1,Исходн.данные.!AH113=$BQ$11,Исходн.данные.!AH113=$BQ$12),"Да","Нет")</f>
        <v>Нет</v>
      </c>
      <c r="FK113" s="38" t="str">
        <f>IF(OR(Исходн.данные.!AH113=$BS$2,Исходн.данные.!AH113=$BS$4),"Да","Нет")</f>
        <v>Нет</v>
      </c>
      <c r="FL113" s="38" t="str">
        <f>IF(OR(Исходн.данные.!AH113=$BS$3,Исходн.данные.!AH113=$BS$5),"Да","Нет")</f>
        <v>Нет</v>
      </c>
      <c r="FM113" s="38" t="str">
        <f>IF(OR(Исходн.данные.!AH113=$BS$9,Исходн.данные.!AH113=$BS$10,Исходн.данные.!AH113=$BS$11,Исходн.данные.!AH113=$BS$12),"Да","Нет")</f>
        <v>Нет</v>
      </c>
      <c r="FN113" s="38" t="str">
        <f>IF(OR(Исходн.данные.!AH113=$BS$6,Исходн.данные.!AH113=$BP$3),"Да","Нет")</f>
        <v>Нет</v>
      </c>
      <c r="FO113" s="38" t="str">
        <f>IF(Исходн.данные.!AH113=$BQ$9,"Да","Нет")</f>
        <v>Нет</v>
      </c>
      <c r="FP113" s="38" t="str">
        <f>IF(OR(Исходн.данные.!AH113=$BS$8,Исходн.данные.!AH113=$BT$8),"Да","Нет")</f>
        <v>Нет</v>
      </c>
      <c r="FQ113" s="38" t="str">
        <f>IF(OR(Исходн.данные.!AH113=$BQ$7,Исходн.данные.!AH113=$BQ$8),"Да","Нет")</f>
        <v>Нет</v>
      </c>
      <c r="FR113" s="38" t="str">
        <f>IF(Исходн.данные.!AI113=$BU$9,"Да","Нет")</f>
        <v>Нет</v>
      </c>
      <c r="FS113" s="38" t="str">
        <f>IF(OR(Исходн.данные.!AH113=$BP$1,Исходн.данные.!AH113=$BP$2),"Да","Нет")</f>
        <v>Нет</v>
      </c>
      <c r="FT113" s="38" t="e">
        <f>IF((Исходн.данные.!K113*GO113*GS113*GW113+BL113*0.6+Исходн.данные.!Q113*4.5*0.275)&gt;90,"Да","Нет")</f>
        <v>#N/A</v>
      </c>
      <c r="FU113" s="38" t="e">
        <f>IF((Исходн.данные.!M113*GS113*GZ113+BM113*0.225)&gt;35,"Да","Нет")</f>
        <v>#N/A</v>
      </c>
      <c r="FV113" s="38" t="str">
        <f>IF(Исходн.данные.!O113&gt;175,"Да","Нет")</f>
        <v>Нет</v>
      </c>
      <c r="FW113" s="39" t="str">
        <f>IF(Исходн.данные.!I113&gt;5.5,"Да","Нет")</f>
        <v>Нет</v>
      </c>
      <c r="FX113" s="39" t="str">
        <f>IF(Исходн.данные.!J113&lt;2,"Да","Нет")</f>
        <v>Да</v>
      </c>
      <c r="FY113" s="39" t="e">
        <f>IF(HF113=$FY$16,0,Исходн.данные.!K113*GO113*GS113*GW113/HF113)</f>
        <v>#N/A</v>
      </c>
      <c r="FZ113" s="39" t="e">
        <f>Исходн.данные.!M113*GS113*GZ113/HG113</f>
        <v>#N/A</v>
      </c>
      <c r="GA113" s="39" t="e">
        <f>IF(K_Wyn=$FY$16,0,IF(Исходн.данные.!N113=Исходн.данные.!$L$10,Исходн.данные.!O113/1.1*GS113*HC113/HH113,IF(Исходн.данные.!N113=Исходн.данные.!$L$12,Исходн.данные.!O113/1.5*GS113*HC113/HH113,Исходн.данные.!O113*GS113*HC113/HH113)))</f>
        <v>#N/A</v>
      </c>
      <c r="GB113" s="39" t="e">
        <f>IF(HF113=$FY$16,0,((Исходн.данные.!Q113*N_Org+Исходн.данные.!R113*N_Sider+Исходн.данные.!S113*N_Soloma)*AO113+Расчет!BC113*VLOOKUP(Исходн.данные.!T113,Справ!$A$3:$O$57,15)*AO113+BB113*VLOOKUP(Исходн.данные.!T113,Справ!$A$3:$O$57,15)*AL113+(Исходн.данные.!V113*N_Rizotorf+Исходн.данные.!W113*N_Rizoagr))/HF113)</f>
        <v>#N/A</v>
      </c>
      <c r="GC113" s="39" t="e">
        <f>IF(HG113=$FY$16,0,((Исходн.данные.!Q113*Р_Org+Исходн.данные.!R113*P_Sider+Исходн.данные.!S113*P_Soloma)*AP113+Расчет!BC113*VLOOKUP(Исходн.данные.!T113,Справ!$A$3:$P$57,16)*AP113+BB113*VLOOKUP(Исходн.данные.!T113,Справ!$A$3:$P$57,16)*AM113)/HG113)</f>
        <v>#N/A</v>
      </c>
      <c r="GD113" s="39" t="e">
        <f>IF(HH113=$FY$16,0,((Исходн.данные.!Q113*К_Org+Исходн.данные.!R113*K_Sider+Исходн.данные.!S113*K_Soloma)*AQ113+Расчет!BC113*VLOOKUP(Исходн.данные.!T113,Справ!$A$3:$Q$57,17)*AQ113+BB113*VLOOKUP(Исходн.данные.!T113,Справ!$A$3:$Q$57,17)*AN113)/HH113)</f>
        <v>#N/A</v>
      </c>
      <c r="GE113" s="39" t="e">
        <f>IF(HF113=$FY$16,0,(Исходн.данные.!X113*AR113+Исходн.данные.!AA113*N_Org*AL113+Исходн.данные.!AB113*N_Sider*AL113+Исходн.данные.!AC113*N_Soloma*AL113)/HF113)</f>
        <v>#N/A</v>
      </c>
      <c r="GF113" s="39" t="e">
        <f>IF(HG113=$FY$16,0,(Исходн.данные.!Y113*AS113+Исходн.данные.!AA113*Р_Org*AM113+Исходн.данные.!AB113*P_Sider*AM113+Исходн.данные.!AC113*P_Soloma*AM113)/HG113)</f>
        <v>#N/A</v>
      </c>
      <c r="GG113" s="39" t="e">
        <f>IF(HH113=$FY$16,0,(Исходн.данные.!Z113*AT113+Исходн.данные.!AA113*К_Org*AN113+Исходн.данные.!AB113*K_Sider*AN113+Исходн.данные.!AC113*K_Soloma*AN113)/HH113)</f>
        <v>#N/A</v>
      </c>
      <c r="GH113" s="39" t="e">
        <f>Исходн.данные.!AD113*AU113/HF113</f>
        <v>#N/A</v>
      </c>
      <c r="GI113" s="39" t="e">
        <f>Исходн.данные.!AE113*AV113/HG113</f>
        <v>#N/A</v>
      </c>
      <c r="GJ113" s="39" t="e">
        <f>Исходн.данные.!AF113*AW113/HH113</f>
        <v>#N/A</v>
      </c>
      <c r="GK113" s="55">
        <f>Исходн.данные.!AK113</f>
        <v>0</v>
      </c>
      <c r="GL113" s="11" t="e">
        <f t="shared" si="187"/>
        <v>#N/A</v>
      </c>
      <c r="GM113" s="11" t="e">
        <f t="shared" si="188"/>
        <v>#N/A</v>
      </c>
      <c r="GN113" s="11" t="e">
        <f t="shared" si="189"/>
        <v>#N/A</v>
      </c>
      <c r="GO113" s="57">
        <f t="shared" si="190"/>
        <v>19</v>
      </c>
      <c r="GP113" s="55">
        <f>IF(OR(Исходн.данные.!F113=$CE$1,Исходн.данные.!F113=$CE$2,Исходн.данные.!F113=$CE$3,Исходн.данные.!F113=$CE$4,Исходн.данные.!F113=$CE$5),GQ113,GR113)</f>
        <v>19</v>
      </c>
      <c r="GQ113" s="55">
        <f>IF(Исходн.данные.!F113=$CE$1,28,IF(Исходн.данные.!F113=$CE$2,26,IF(Исходн.данные.!F113=$CE$3,24,IF(Исходн.данные.!F113=$CE$4,22,IF(Исходн.данные.!F113=$CE$5,20,GR113)))))</f>
        <v>19</v>
      </c>
      <c r="GR113" s="55">
        <f>IF(Исходн.данные.!F113=$CE$6,18,IF(Исходн.данные.!F113=$CE$7,16,IF(Исходн.данные.!F113=$CE$8,14,IF(Исходн.данные.!F113=$CE$9,13,IF(Исходн.данные.!F113=$CE$10,12,19)))))</f>
        <v>19</v>
      </c>
      <c r="GS113" s="55">
        <f>IF(Исходн.данные.!G113="Пес",0.035*(40+2*Исходн.данные.!H113),IF(Исходн.данные.!G113="Суп",0.0325*(40+2*Исходн.данные.!H113),0.03*(40+2*Исходн.данные.!H113)))</f>
        <v>1.2</v>
      </c>
      <c r="GT113" s="55">
        <f>IF(Исходн.данные.!H113&lt;23,2.6,IF(AND(Исходн.данные.!H113&gt;22,Исходн.данные.!H113&lt;26),3,IF(AND(Исходн.данные.!H113&gt;25,Исходн.данные.!H113&lt;29),3.4,3.6)))</f>
        <v>2.6</v>
      </c>
      <c r="GU113" s="55">
        <f>IF(Исходн.данные.!H113&lt;23,2.8,IF(AND(Исходн.данные.!H113&gt;22,Исходн.данные.!H113&lt;26),3.2,IF(AND(Исходн.данные.!H113&gt;25,Исходн.данные.!H113&lt;29),3.6,3.9)))</f>
        <v>2.8</v>
      </c>
      <c r="GV113" s="55">
        <f>IF(Исходн.данные.!H113&lt;23,3,IF(AND(Исходн.данные.!H113&gt;22,Исходн.данные.!H113&lt;26),3.5,IF(AND(Исходн.данные.!H113&gt;25,Исходн.данные.!H113&lt;29),3.9,4.2)))</f>
        <v>3</v>
      </c>
      <c r="GW113" s="55" t="e">
        <f>IF(Исходн.данные.!P113="Ум",GX113,GY113)</f>
        <v>#N/A</v>
      </c>
      <c r="GX113" s="55" t="e">
        <f>VLOOKUP(Исходн.данные.!AI113,Коэффициенты!$J$7:$L$13,2,FALSE)</f>
        <v>#N/A</v>
      </c>
      <c r="GY113" s="55" t="e">
        <f>VLOOKUP(Исходн.данные.!AI113,Коэффициенты!$J$7:$L$13,3,FALSE)</f>
        <v>#N/A</v>
      </c>
      <c r="GZ113" s="55" t="e">
        <f>(IF(Исходн.данные.!M113&lt;50,0.11*VLOOKUP(Исходн.данные.!AH113,Культуры.Информация,7,FALSE),IF(Исходн.данные.!M113&gt;250,0.05*VLOOKUP(Исходн.данные.!AH113,Культуры.Информация,7,FALSE),VLOOKUP(Исходн.данные.!AH113,Культуры.Информация,5,FALSE)/100*($GX$6+$GY$6*Исходн.данные.!M113))))*Расчет2!AI113</f>
        <v>#N/A</v>
      </c>
      <c r="HA113" s="211"/>
      <c r="HB113" s="211"/>
      <c r="HC113" s="55" t="e">
        <f>(IF(Исходн.данные.!O113&lt;80,0.2*VLOOKUP(Исходн.данные.!AH113,Культуры.Информация,8,FALSE),IF(Исходн.данные.!O113&gt;240,0.09*VLOOKUP(Исходн.данные.!AH113,Культуры.Информация,8,FALSE),VLOOKUP(Исходн.данные.!AH113,Культуры.Информация,6,FALSE)/100*($HB$6+$HC$6*Исходн.данные.!O113))))*Расчет2!AJ113</f>
        <v>#N/A</v>
      </c>
      <c r="HD113" s="55">
        <f>IF(Исходн.данные.!O113&gt;240,0.09,IF(Исходн.данные.!O113&lt;30,0.3,$HE$10+$HD$10*Исходн.данные.!O113))</f>
        <v>0.3</v>
      </c>
      <c r="HE113" s="55">
        <f>IF(Исходн.данные.!O113&gt;240,0.17,IF(Исходн.данные.!O113&lt;30,0.5,$HF$12+$HE$12*Исходн.данные.!O113))</f>
        <v>0.5</v>
      </c>
      <c r="HF113" s="55" t="e">
        <f>VLOOKUP(Исходн.данные.!AH113,Справ!$A$3:$D$58,2,FALSE)</f>
        <v>#N/A</v>
      </c>
      <c r="HG113" s="55" t="e">
        <f>VLOOKUP(Исходн.данные.!AH113,Справ!$A$3:$D$58,3,FALSE)</f>
        <v>#N/A</v>
      </c>
      <c r="HH113" s="55" t="e">
        <f>VLOOKUP(Исходн.данные.!AH113,Справ!$A$3:$D$58,4,FALSE)</f>
        <v>#N/A</v>
      </c>
      <c r="HI113" s="11" t="e">
        <f t="shared" si="191"/>
        <v>#N/A</v>
      </c>
      <c r="HJ113" s="11" t="e">
        <f t="shared" si="192"/>
        <v>#N/A</v>
      </c>
      <c r="HK113" s="11" t="e">
        <f t="shared" si="193"/>
        <v>#N/A</v>
      </c>
      <c r="HL113" s="55">
        <f>IF(OR(Исходн.данные.!G113="Глин",Исходн.данные.!G113="Т_суг"),1.1,IF(Исходн.данные.!G113="Ср_суг",1,1))</f>
        <v>1</v>
      </c>
      <c r="HM113" s="55">
        <f>IF(OR(Исходн.данные.!G113="Глин",Исходн.данные.!G113="Т_суг"),0.9,IF(Исходн.данные.!G113="Ср_суг",1,1.2))</f>
        <v>1.2</v>
      </c>
      <c r="HN113" s="11" t="e">
        <f t="shared" si="194"/>
        <v>#N/A</v>
      </c>
      <c r="HO113" s="11" t="e">
        <f t="shared" si="195"/>
        <v>#N/A</v>
      </c>
      <c r="HP113" s="11" t="e">
        <f t="shared" si="196"/>
        <v>#N/A</v>
      </c>
      <c r="HQ113" t="e">
        <f t="shared" si="197"/>
        <v>#N/A</v>
      </c>
      <c r="HR113" t="e">
        <f t="shared" si="198"/>
        <v>#N/A</v>
      </c>
      <c r="HS113" t="e">
        <f t="shared" si="199"/>
        <v>#N/A</v>
      </c>
      <c r="HT113" t="e">
        <f t="shared" si="145"/>
        <v>#N/A</v>
      </c>
      <c r="HU113" t="e">
        <f t="shared" si="146"/>
        <v>#N/A</v>
      </c>
      <c r="HV113" t="e">
        <f t="shared" si="147"/>
        <v>#N/A</v>
      </c>
      <c r="HW113" t="e">
        <f t="shared" si="148"/>
        <v>#N/A</v>
      </c>
      <c r="HX113" t="e">
        <f t="shared" si="149"/>
        <v>#N/A</v>
      </c>
      <c r="HY113" t="e">
        <f t="shared" si="150"/>
        <v>#N/A</v>
      </c>
      <c r="HZ113" s="55">
        <f>IF(OR(Исходн.данные.!AI113="Оз_Ч_П",Исходн.данные.!AI113="Оз_З_П",Исходн.данные.!AI113="Яр_зер"),12,30)</f>
        <v>30</v>
      </c>
      <c r="IA113" t="e">
        <f t="shared" si="200"/>
        <v>#N/A</v>
      </c>
      <c r="IB113" t="e">
        <f t="shared" si="201"/>
        <v>#N/A</v>
      </c>
      <c r="IC113" t="e">
        <f t="shared" si="202"/>
        <v>#N/A</v>
      </c>
      <c r="ID113" s="11" t="e">
        <f t="shared" si="203"/>
        <v>#N/A</v>
      </c>
      <c r="IE113" s="11" t="e">
        <f t="shared" si="204"/>
        <v>#N/A</v>
      </c>
      <c r="IF113" s="11" t="e">
        <f t="shared" si="205"/>
        <v>#N/A</v>
      </c>
    </row>
    <row r="114" spans="35:240" x14ac:dyDescent="0.2">
      <c r="AI114">
        <f>IF(Исходн.данные.!I114&gt;6,1,1.85-(0.148*Исходн.данные.!I114))</f>
        <v>1.85</v>
      </c>
      <c r="AJ114">
        <f>IF(Исходн.данные.!I114&gt;6,1,2.434-(0.246*Исходн.данные.!I114))</f>
        <v>2.4340000000000002</v>
      </c>
      <c r="AL114" s="148" t="b">
        <f>IF(Исходн.данные.!$P114="Ум",N_OrgUd_2g_um,IF(Исходн.данные.!$P114="Об",N_OrgUd_2g_ob))</f>
        <v>0</v>
      </c>
      <c r="AM114" s="148" t="b">
        <f>IF(Исходн.данные.!$P114="Ум",P_OrgUd_2g_um,IF(Исходн.данные.!$P114="Об",P_OrgUd_2g_ob))</f>
        <v>0</v>
      </c>
      <c r="AN114" s="148" t="b">
        <f>IF(Исходн.данные.!$P114="Ум",K_OrgUd_2g_um,IF(Исходн.данные.!$P114="Об",K_OrgUd_2g_ob))</f>
        <v>0</v>
      </c>
      <c r="AO114" s="148" t="b">
        <f>IF(Исходн.данные.!$P114="Ум",N_OrgUd_1g_um,IF(Исходн.данные.!$P114="Об",N_OrgUd_1g_ob))</f>
        <v>0</v>
      </c>
      <c r="AP114" s="148" t="b">
        <f>IF(Исходн.данные.!$P114="Ум",P_OrgUd_1g_um,IF(Исходн.данные.!$P114="Об",P_OrgUd_1g_ob))</f>
        <v>0</v>
      </c>
      <c r="AQ114" s="148" t="b">
        <f>IF(Исходн.данные.!$P114="Ум",K_OrgUd_1g_um,IF(Исходн.данные.!$P114="Об",K_OrgUd_1g_ob))</f>
        <v>0</v>
      </c>
      <c r="AR114" t="b">
        <f>IF(Исходн.данные.!$P114="Ум",N_MinUd_2g_um,IF(Исходн.данные.!$P114="Об",N_MinUd_2g_ob))</f>
        <v>0</v>
      </c>
      <c r="AS114" t="b">
        <f>IF(Исходн.данные.!$P114="Ум",P_MinUd_2g_um,IF(Исходн.данные.!$P114="Об",P_MinUd_2g_ob))</f>
        <v>0</v>
      </c>
      <c r="AT114" t="b">
        <f>IF(Исходн.данные.!$P114="Ум",K_MinUd_2g_um,IF(Исходн.данные.!$P114="Об",K_MinUd_2g_ob))</f>
        <v>0</v>
      </c>
      <c r="AU114" t="b">
        <f>IF(Исходн.данные.!$P114="Ум",N_MinUd_1g_um,IF(Исходн.данные.!$P114="Об",N_MinUd_1g_ob))</f>
        <v>0</v>
      </c>
      <c r="AV114" t="b">
        <f>IF(Исходн.данные.!P114="Ум",P_MinUd_1g_um,IF(Исходн.данные.!P114="Об",P_MinUd_1g_ob))</f>
        <v>0</v>
      </c>
      <c r="AW114" t="b">
        <f>IF(Исходн.данные.!P114="Ум",K_MinUd_1g_um,IF(Исходн.данные.!P114="Об",K_MinUd_1g_ob))</f>
        <v>0</v>
      </c>
      <c r="AY114" t="e">
        <f>VLOOKUP(Исходн.данные.!T114,Справ!$A$3:$N$57,12)</f>
        <v>#N/A</v>
      </c>
      <c r="AZ114" t="e">
        <f>VLOOKUP(Исходн.данные.!T114,Справ!$A$3:$N$57,13)</f>
        <v>#N/A</v>
      </c>
      <c r="BA114" t="e">
        <f>VLOOKUP(Исходн.данные.!T114,Справ!$A$3:$N$57,14)</f>
        <v>#N/A</v>
      </c>
      <c r="BB114">
        <f>IF(Исходн.данные.!AH114=0,0,25)</f>
        <v>0</v>
      </c>
      <c r="BC114" s="141">
        <f>IF(Исходн.данные.!AH114=0,0,IF(Исходн.данные.!T114=0,25,BD114))</f>
        <v>0</v>
      </c>
      <c r="BD114" s="168" t="e">
        <f>AY114+AZ114*Исходн.данные.!U114-POWER(BA114,2)*Исходн.данные.!U114</f>
        <v>#N/A</v>
      </c>
      <c r="BE11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4" s="25">
        <f>IF(Исходн.данные.!AH114=0,0,MIN(HN114:HP114))</f>
        <v>0</v>
      </c>
      <c r="BG114" s="9">
        <f>IF(Исходн.данные.!AH114=0,0,IF((HO114+10*0.25/HG114/HL114)&lt;17,17,HO114+10*0.25/HG114/HL114))</f>
        <v>0</v>
      </c>
      <c r="BH114" s="181">
        <f>IF(Исходн.данные.!AH114=0,0,HW114*HF114*HL114/AU114*AI114+Исходн.данные.!S114*10)</f>
        <v>0</v>
      </c>
      <c r="BI114" s="10"/>
      <c r="BJ114" s="182">
        <f>IF(Исходн.данные.!AH114=0,0,IF(HX114*HG114*HL114/AV114&lt;0,0,HX114*HG114*HL114/AV114*AJ114))</f>
        <v>0</v>
      </c>
      <c r="BK114" s="182">
        <f>IF(Исходн.данные.!AH114=0,0,HY114*HH114*HM114/AW114)</f>
        <v>0</v>
      </c>
      <c r="BL114" s="10">
        <f>IF(OR(Исходн.данные.!$AH114=$BP$1,Исходн.данные.!$AH114=$BP$2),0,IF(BH114&lt;0,0,IF(OR(Исходн.данные.!T114=Расчет!$BP$1,Исходн.данные.!T114=Расчет!$BP$2,Исходн.данные.!T114=Расчет!$BT$5,Исходн.данные.!T114=Расчет!$BT$6),BH114*0.5,IF(OR(Исходн.данные.!T114=Расчет!$BS$9,Исходн.данные.!T114=Расчет!$BS$10,Исходн.данные.!T114=Расчет!$BS$11,Исходн.данные.!T114=Расчет!$BS$12,Исходн.данные.!T114=Расчет!$BP$5),BH114*0.8,BH114))))</f>
        <v>0</v>
      </c>
      <c r="BM114" s="10">
        <f>IF(OR(Исходн.данные.!$AH114=$BP$1,Исходн.данные.!$AH114=$BP$2),0,IF(BJ114&lt;0,0,IF(Исходн.данные.!I114&lt;4.5,BJ114*1.2,IF(Исходн.данные.!I114&gt;5.1,BJ114,BJ114*((5.1-Исходн.данные.!I114)*0.333+1)))))</f>
        <v>0</v>
      </c>
      <c r="BN114" s="10">
        <f>IF(OR(Исходн.данные.!$AH114=$BP$1,Исходн.данные.!$AH114=$BP$2),60-Исходн.данные.!AF114,IF(BK114&lt;0,0,IF(Исходн.данные.!I114&lt;4.5,BK114*1.2,IF(Исходн.данные.!I114&gt;5.1,BK114,BK114*((5.1-Исходн.данные.!I114)*0.333+1)))))</f>
        <v>0</v>
      </c>
      <c r="BO114" s="9">
        <f>IF(BL114&lt;0,0,BL114*Исходн.данные.!$AJ114/1000)</f>
        <v>0</v>
      </c>
      <c r="BP114" s="9">
        <f>IF(BM114&lt;0,0,BM114*Исходн.данные.!$AJ114/1000)</f>
        <v>0</v>
      </c>
      <c r="BQ114" s="9">
        <f>IF(BN114&lt;0,0,BN114*Исходн.данные.!$AJ114/1000)</f>
        <v>0</v>
      </c>
      <c r="BR114" s="9">
        <f t="shared" si="155"/>
        <v>0</v>
      </c>
      <c r="BS114" s="10" t="str">
        <f t="shared" si="156"/>
        <v>Аммофос 12:52:00</v>
      </c>
      <c r="BT114" s="10" t="str">
        <f t="shared" si="157"/>
        <v>Аммофос 12:52:00</v>
      </c>
      <c r="BU114" s="10" t="str">
        <f t="shared" si="158"/>
        <v>Диаммофоска</v>
      </c>
      <c r="BV114" s="10">
        <f t="shared" si="159"/>
        <v>0</v>
      </c>
      <c r="BW114" s="10"/>
      <c r="BX114" s="10"/>
      <c r="BY114" s="9">
        <f>IF(BL114&lt;0,0,IF(OR(Исходн.данные.!AI114=Расчет!$BU$6,Исходн.данные.!AI114=Расчет!$BU$7),Расчет!BV114,IF(Исходн.данные.!$AG114=$BV$11,BL114,IF(OR(Исходн.данные.!$AH114=$BQ$7,Исходн.данные.!$AH114=$BQ$8),CB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0,IF(Исходн.данные.!$AI114=$BU$11,"Нет",IF(BL114&gt;30,30,BL114)))))))</f>
        <v>0</v>
      </c>
      <c r="BZ114" s="9">
        <f>IF(AND(Исходн.данные.!$AG114=$BV$11,BM114&lt;10),10,IF(Исходн.данные.!$AG114=$BV$11,BM114,IF(OR(Исходн.данные.!$AH114=$BQ$7,Исходн.данные.!$AH114=$BQ$8),CC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10,IF(Исходн.данные.!$AI114=$BU$11,"Нет",IF(BM114&gt;60,60,IF(BM114&lt;10,10,BM114)))))))</f>
        <v>10</v>
      </c>
      <c r="CA114" s="39">
        <f>IF(BN114&lt;0,0,IF(Исходн.данные.!$AG114=$BV$11,BN114,IF(OR(Исходн.данные.!$AH114=$BQ$7,Исходн.данные.!$AH114=$BQ$8),CD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0,IF(Исходн.данные.!$AI114=$BU$11,"Нет",IF(BN114&gt;30,30,BN114))))))</f>
        <v>0</v>
      </c>
      <c r="CB114" s="9">
        <f t="shared" si="160"/>
        <v>0</v>
      </c>
      <c r="CC114" s="9">
        <f t="shared" si="161"/>
        <v>0</v>
      </c>
      <c r="CD114" s="9">
        <f t="shared" si="162"/>
        <v>0</v>
      </c>
      <c r="CE114" s="12">
        <f t="shared" si="163"/>
        <v>10</v>
      </c>
      <c r="CF114" s="9">
        <f t="shared" si="164"/>
        <v>0</v>
      </c>
      <c r="CG114" s="9" t="s">
        <v>231</v>
      </c>
      <c r="CH114" s="132" t="str">
        <f>IF(Исходн.данные.!AP114=Расчет!$CI$16,"Нет",IF(Исходн.данные.!AL114&gt;0,Исходн.данные.!AL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BH$4,IF(OR(Исходн.данные.!AI114=Исходн.данные.!$AI$6,Исходн.данные.!AI114=Исходн.данные.!$AI$7),Расчет!BS114,IF(AND($CF114=0,$CE114&gt;0),EV114,ER114)))))</f>
        <v>Аммофос 12:52:00</v>
      </c>
      <c r="CI114" s="274">
        <f>IF(Расчет!$CH114="Нет","Нет",IF(Исходн.данные.!$AL114&gt;0,VLOOKUP(Расчет!$CH114,АшламаДВ_Irekle,2,FALSE),VLOOKUP(Расчет!$CH114,АшламаДВ_Gomumy,2,FALSE)))</f>
        <v>0.12</v>
      </c>
      <c r="CJ114" s="274">
        <f>IF(Расчет!$CH114="Нет","Нет",IF(Исходн.данные.!$AL114&gt;0,VLOOKUP(Расчет!$CH114,АшламаДВ_Irekle,3,FALSE),VLOOKUP(Расчет!$CH114,АшламаДВ_Gomumy,3,FALSE)))</f>
        <v>0.52</v>
      </c>
      <c r="CK114" s="274">
        <f>IF(Расчет!$CH114="Нет","Нет",IF(Исходн.данные.!$AL114&gt;0,VLOOKUP(Расчет!$CH114,АшламаДВ_Irekle,4,FALSE),VLOOKUP(Расчет!$CH114,АшламаДВ_Gomumy,4,FALSE)))</f>
        <v>0</v>
      </c>
      <c r="CL114" s="70"/>
      <c r="CM114" s="70"/>
      <c r="CN114" s="70"/>
      <c r="CO114" s="70"/>
      <c r="CP114" s="70"/>
      <c r="CQ114" s="70"/>
      <c r="CR114" s="10">
        <f t="shared" si="165"/>
        <v>0</v>
      </c>
      <c r="CS114" s="10">
        <f t="shared" si="166"/>
        <v>19.23076923076923</v>
      </c>
      <c r="CT114" s="10">
        <f t="shared" si="167"/>
        <v>0</v>
      </c>
      <c r="CU114" s="39">
        <f>IF($CH114="Нет",0,IF(CI114=0,30/MIN(CJ114:CK114),IF(Исходн.данные.!$AG114=$BV$11,CR114,IF(OR(Исходн.данные.!$AH114=$BQ$7,Исходн.данные.!$AH114=$BQ$8),90/CI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0,IF(Исходн.данные.!$AI114=$BU$11,"Нет",30/CI114))))))</f>
        <v>250</v>
      </c>
      <c r="CV114" s="39">
        <f>IF($CH114="Нет",0,IF(Исходн.данные.!AH114=0,0,IF(CJ114=0,60/MIN(CI114,CK114),IF(Исходн.данные.!$AG114=$BV$11,CS114,IF(OR(Исходн.данные.!$AH114=$BQ$7,Исходн.данные.!$AH114=$BQ$8),90/CJ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10/CJ114,IF(Исходн.данные.!$AI114=$BU$11,"Нет",60/CJ114)))))))</f>
        <v>0</v>
      </c>
      <c r="CW114" s="39">
        <f>IF($CH114="Нет",0,IF(Исходн.данные.!AH114=0,0,IF(CK114=0,30/MIN(CI114:CJ114),IF(Исходн.данные.!$AG114=$BV$11,CT114,IF(OR(Исходн.данные.!$AH114=$BQ$7,Исходн.данные.!$AH114=$BQ$8),90/CK114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0,IF(Исходн.данные.!$AI114=$BU$11,"Нет",30/CK114)))))))</f>
        <v>0</v>
      </c>
      <c r="CX114" s="133">
        <f>IF(Исходн.данные.!$AG114=$BV$11,MAX(CU114:CW114),IF(OR(Исходн.данные.!$AH114=$BS$8,Исходн.данные.!$AH114=$BQ$9,Исходн.данные.!$AH114=$BQ$10,Исходн.данные.!$AH114=$BQ$11,Исходн.данные.!$AH114=$BQ$12,Исходн.данные.!$AH114=$BP$3,Исходн.данные.!$AH114=$BT$8,$FM114="Да"),CV114,MIN(CU114:CW114)))</f>
        <v>0</v>
      </c>
      <c r="CY114" s="133">
        <f>IF(Исходн.данные.!AH114=0,0,IF(CR114&gt;$CX114,$CX114,CR114))</f>
        <v>0</v>
      </c>
      <c r="CZ114" s="133">
        <f>IF(Исходн.данные.!AH114=0,0,IF(CS114&gt;$CX114,$CX114,CS114))</f>
        <v>0</v>
      </c>
      <c r="DA114" s="133">
        <f>IF(Исходн.данные.!AH114=0,0,IF(CT114&gt;$CX114,$CX114,CT114))</f>
        <v>0</v>
      </c>
      <c r="DB114" s="10">
        <f t="shared" si="168"/>
        <v>0</v>
      </c>
      <c r="DC114" s="39">
        <f>DB114*Исходн.данные.!AJ114/1000</f>
        <v>0</v>
      </c>
      <c r="DD114" s="71">
        <f t="shared" si="169"/>
        <v>0</v>
      </c>
      <c r="DE114" s="9">
        <f t="shared" si="170"/>
        <v>0</v>
      </c>
      <c r="DF114" s="9">
        <f t="shared" si="171"/>
        <v>0</v>
      </c>
      <c r="DG114" s="39">
        <f>IF(BL114&lt;0,0,IF($CH114="Нет",BL114,IF(OR(Исходн.данные.!$AH114=$BP$1,Исходн.данные.!$AH114=$BP$2),0,IF(Исходн.данные.!AI114=$BU$11,BL114,IF(BL114-DD114&lt;0,0,BL114-DD114)))))</f>
        <v>0</v>
      </c>
      <c r="DH114" s="39">
        <f>IF(BM114&lt;0,0,IF($CH114="Нет",BM114,IF(OR(Исходн.данные.!$AH114=$BP$1,Исходн.данные.!$AH114=$BP$2),0,IF(Исходн.данные.!AJ114=$BU$11,BM114,IF(BM114-DE114&lt;0,0,BM114-DE114)))))</f>
        <v>0</v>
      </c>
      <c r="DI114" s="39">
        <f>IF(BN114&lt;0,0,IF($CH114="Нет",BN114,IF(OR(Исходн.данные.!$AH114=$BP$1,Исходн.данные.!$AH114=$BP$2),0,IF(Исходн.данные.!AK114=$BU$11,BN114,IF(BN114-DF114&lt;0,0,BN114-DF114)))))</f>
        <v>0</v>
      </c>
      <c r="DJ114" s="12">
        <f t="shared" si="172"/>
        <v>0</v>
      </c>
      <c r="DK114" s="9">
        <f t="shared" si="173"/>
        <v>0</v>
      </c>
      <c r="DL114" s="39">
        <f>IF(Исходн.данные.!AM114&gt;0,Исходн.данные.!AM114,IF(EG114&gt;0,$BH$10,0))</f>
        <v>0</v>
      </c>
      <c r="DM114" s="186">
        <f>IF($DL114=0,0,IF(Исходн.данные.!AM114&gt;0,VLOOKUP($DL114,АшламаДВ_Irekle,2,FALSE),VLOOKUP($DL114,АшламаДВ_Gomumy,2,FALSE)))</f>
        <v>0</v>
      </c>
      <c r="DN114" s="10">
        <f t="shared" si="151"/>
        <v>0</v>
      </c>
      <c r="DO114" s="9" t="str">
        <f>IF(Исходн.данные.!AN114&gt;0,Исходн.данные.!AN114,Удобрения!$B$37 )</f>
        <v>Хлор.калий</v>
      </c>
      <c r="DP114" s="9">
        <f>IF(Исходн.данные.!AN114&gt;0,VLOOKUP(Исходн.данные.!AN114,АшламаДВ_Irekle,4,FALSE),VLOOKUP(DO114,АшламаДВ_Gomumy,4,FALSE))</f>
        <v>0.6</v>
      </c>
      <c r="DQ114" s="10">
        <f t="shared" si="152"/>
        <v>0</v>
      </c>
      <c r="DR114" s="132" t="str">
        <f>IF(Исходн.данные.!AO114&gt;0,Исходн.данные.!AO114,IF(DH114=0,BS$17,IF(AND($DK114=0,$DJ114&gt;0),EJ114,EN114)))</f>
        <v>Нет</v>
      </c>
      <c r="DS114" s="70" t="str">
        <f>IF($DR114="Нет","Нет",IF(Исходн.данные.!$AO114&gt;0,VLOOKUP($DR114,АшламаДВ_Irekle,2,FALSE),VLOOKUP($DR114,АшламаДВ_Gomumy,2,FALSE)))</f>
        <v>Нет</v>
      </c>
      <c r="DT114" s="70" t="str">
        <f>IF($DR114="Нет","Нет",IF(Исходн.данные.!$AO114&gt;0,VLOOKUP($DR114,АшламаДВ_Irekle,3,FALSE),VLOOKUP($DR114,АшламаДВ_Gomumy,3,FALSE)))</f>
        <v>Нет</v>
      </c>
      <c r="DU114" s="70" t="str">
        <f>IF($DR114="Нет","Нет",IF(Исходн.данные.!$AO114&gt;0,VLOOKUP($DR114,АшламаДВ_Irekle,4,FALSE),VLOOKUP($DR114,АшламаДВ_Gomumy,4,FALSE)))</f>
        <v>Нет</v>
      </c>
      <c r="DV114" s="70"/>
      <c r="DW114" s="70"/>
      <c r="DX114" s="70"/>
      <c r="DY114" s="10">
        <f t="shared" si="174"/>
        <v>0</v>
      </c>
      <c r="DZ114" s="10">
        <f t="shared" si="175"/>
        <v>0</v>
      </c>
      <c r="EA114" s="10">
        <f t="shared" si="176"/>
        <v>0</v>
      </c>
      <c r="EB114" s="10">
        <f t="shared" si="177"/>
        <v>0</v>
      </c>
      <c r="EC114" s="10">
        <f t="shared" si="178"/>
        <v>0</v>
      </c>
      <c r="ED114" s="10">
        <f t="shared" si="179"/>
        <v>0</v>
      </c>
      <c r="EE114" s="10">
        <f t="shared" si="180"/>
        <v>0</v>
      </c>
      <c r="EF114" s="39">
        <f>EB114*Исходн.данные.!AJ114/1000</f>
        <v>0</v>
      </c>
      <c r="EG114" s="9">
        <f t="shared" si="181"/>
        <v>0</v>
      </c>
      <c r="EH114" s="9">
        <f t="shared" si="182"/>
        <v>0</v>
      </c>
      <c r="EI114" s="39" t="e">
        <f t="shared" si="132"/>
        <v>#DIV/0!</v>
      </c>
      <c r="EJ114" s="9" t="str">
        <f t="shared" si="153"/>
        <v>Азопреципитат</v>
      </c>
      <c r="EK114" s="12">
        <f t="shared" si="133"/>
        <v>0.26</v>
      </c>
      <c r="EL114" s="12">
        <f t="shared" si="134"/>
        <v>0.13</v>
      </c>
      <c r="EM114" s="12">
        <f t="shared" si="135"/>
        <v>0</v>
      </c>
      <c r="EN114" s="12" t="str">
        <f t="shared" si="154"/>
        <v>Нет</v>
      </c>
      <c r="EO114" s="12">
        <f t="shared" si="136"/>
        <v>0</v>
      </c>
      <c r="EP114" s="12">
        <f t="shared" si="137"/>
        <v>0</v>
      </c>
      <c r="EQ114" s="12">
        <f t="shared" si="138"/>
        <v>0</v>
      </c>
      <c r="ER114" s="12" t="str">
        <f t="shared" si="183"/>
        <v>Диаммофоска</v>
      </c>
      <c r="ES114" s="12">
        <f t="shared" si="139"/>
        <v>0.1</v>
      </c>
      <c r="ET114" s="12">
        <f t="shared" si="140"/>
        <v>0.26</v>
      </c>
      <c r="EU114" s="12">
        <f t="shared" si="141"/>
        <v>0.26</v>
      </c>
      <c r="EV114" s="12" t="str">
        <f t="shared" si="184"/>
        <v>Аммофос 12:52:00</v>
      </c>
      <c r="EW114" s="12" t="str">
        <f t="shared" si="185"/>
        <v>Кемира Свекловичное-6</v>
      </c>
      <c r="EX114" s="12">
        <f t="shared" si="142"/>
        <v>0.16</v>
      </c>
      <c r="EY114" s="12">
        <f t="shared" si="143"/>
        <v>0.12</v>
      </c>
      <c r="EZ114" s="12">
        <f t="shared" si="144"/>
        <v>0.17</v>
      </c>
      <c r="FA114" s="38" t="e">
        <f>IF(AND(OR(FJ114=$FD$1,FM114=$FD$1,FO114=$FD$1,FQ114=$FD$1,FS114=$FD$1),FD114=$FD$1,Исходн.данные.!J114&lt;2,FU114=$FD$1),"Бор,Кобальт",IF(AND(FO114=$FD$1,FH114=$FD$1,Исходн.данные.!J114&lt;2,FU114=$FD$1),"Бор,Кобальт",IF(AND(OR(FJ114=$FD$1,FM114=$FD$1,FQ114=$FD$1),FE114=$FD$1,Исходн.данные.!J114&lt;2,FT114=$FD$1,FU114=$FD$1),"Бор,Медь,Цинк",IF(AND(OR(FJ114=$FD$1,FR114="Да"),FI114="Да",Исходн.данные.!J114&lt;2,FT114="Да",FU114="Да"),"Бор,Цинк,Медь",IF(AND(OR(FM114="Да",FQ114="Да"),FI114="Да",Исходн.данные.!J114&lt;2,FT114="Да",FU114="Да"),"Бор,Цинк",IF(AND(FN114="Да",OR(FD114="Да",FE114="Да")),"Бор",FB114))))))</f>
        <v>#N/A</v>
      </c>
      <c r="FB114" s="134" t="e">
        <f>IF(AND(OR(FD114="Да",FE114="Да",FF114="Да",FG114="Да",FH114="Да"),FO114="Да"),"Бор",IF(AND(FP114="Да",OR(FD114="Да",FE114="Да",FI114="Да")),"Бор",IF(AND(FS114="Да",FE114="Да"),"Бор,Медь",IF(AND(OR(FJ114="Да",FK114="Да",FL114="Да"),FE114="Да",Исходн.данные.!I114&lt;5,FT114="Да",FU114="Да"),"Молибден,Цинк",IF(AND(FM114="Да",OR(FE114="Да",FF114="Да",FG114="Да",FH114="Да",FI114="Да")),"Молибден,Цинк",IF(AND(OR(FJ114="Да",FK114="Да",FL114="Да",FM114="Да",FQ114="Да"),OR(FE114="Да",FF114="Да"),FT114="Да",FU114="Да",Исходн.данные.!I114&gt;5.5),"Медь,Цинк",FC114))))))</f>
        <v>#N/A</v>
      </c>
      <c r="FC114" s="23" t="e">
        <f t="shared" si="186"/>
        <v>#N/A</v>
      </c>
      <c r="FD114" s="38" t="str">
        <f>IF(OR(Исходн.данные.!F114=$CC$1,Исходн.данные.!F114=$CC$2,Исходн.данные.!F114=$CC$3,Исходн.данные.!F114=$CC$4),"Да","Нет")</f>
        <v>Нет</v>
      </c>
      <c r="FE114" s="38" t="str">
        <f>IF(Исходн.данные.!F114=$CC$5,"Да","Нет")</f>
        <v>Нет</v>
      </c>
      <c r="FF114" s="38" t="str">
        <f>IF(OR(Исходн.данные.!F114=$CC$6,Исходн.данные.!F114=$CC$7),"Да","Нет")</f>
        <v>Нет</v>
      </c>
      <c r="FG114" s="38" t="str">
        <f>IF(OR(Исходн.данные.!F114=$CC$8,Исходн.данные.!F114=$CC$9),"Да","Нет")</f>
        <v>Нет</v>
      </c>
      <c r="FH114" s="38" t="str">
        <f>IF(Исходн.данные.!F114=$CC$10,"Да","Нет")</f>
        <v>Нет</v>
      </c>
      <c r="FI114" s="38" t="str">
        <f>IF(OR(Исходн.данные.!F114=$CC$11,Исходн.данные.!F114=$CC$12),"Да","Нет")</f>
        <v>Нет</v>
      </c>
      <c r="FJ114" s="38" t="str">
        <f>IF(OR(Исходн.данные.!AH114=$BS$1,Исходн.данные.!AH114=$BQ$11,Исходн.данные.!AH114=$BQ$12),"Да","Нет")</f>
        <v>Нет</v>
      </c>
      <c r="FK114" s="38" t="str">
        <f>IF(OR(Исходн.данные.!AH114=$BS$2,Исходн.данные.!AH114=$BS$4),"Да","Нет")</f>
        <v>Нет</v>
      </c>
      <c r="FL114" s="38" t="str">
        <f>IF(OR(Исходн.данные.!AH114=$BS$3,Исходн.данные.!AH114=$BS$5),"Да","Нет")</f>
        <v>Нет</v>
      </c>
      <c r="FM114" s="38" t="str">
        <f>IF(OR(Исходн.данные.!AH114=$BS$9,Исходн.данные.!AH114=$BS$10,Исходн.данные.!AH114=$BS$11,Исходн.данные.!AH114=$BS$12),"Да","Нет")</f>
        <v>Нет</v>
      </c>
      <c r="FN114" s="38" t="str">
        <f>IF(OR(Исходн.данные.!AH114=$BS$6,Исходн.данные.!AH114=$BP$3),"Да","Нет")</f>
        <v>Нет</v>
      </c>
      <c r="FO114" s="38" t="str">
        <f>IF(Исходн.данные.!AH114=$BQ$9,"Да","Нет")</f>
        <v>Нет</v>
      </c>
      <c r="FP114" s="38" t="str">
        <f>IF(OR(Исходн.данные.!AH114=$BS$8,Исходн.данные.!AH114=$BT$8),"Да","Нет")</f>
        <v>Нет</v>
      </c>
      <c r="FQ114" s="38" t="str">
        <f>IF(OR(Исходн.данные.!AH114=$BQ$7,Исходн.данные.!AH114=$BQ$8),"Да","Нет")</f>
        <v>Нет</v>
      </c>
      <c r="FR114" s="38" t="str">
        <f>IF(Исходн.данные.!AI114=$BU$9,"Да","Нет")</f>
        <v>Нет</v>
      </c>
      <c r="FS114" s="38" t="str">
        <f>IF(OR(Исходн.данные.!AH114=$BP$1,Исходн.данные.!AH114=$BP$2),"Да","Нет")</f>
        <v>Нет</v>
      </c>
      <c r="FT114" s="38" t="e">
        <f>IF((Исходн.данные.!K114*GO114*GS114*GW114+BL114*0.6+Исходн.данные.!Q114*4.5*0.275)&gt;90,"Да","Нет")</f>
        <v>#N/A</v>
      </c>
      <c r="FU114" s="38" t="e">
        <f>IF((Исходн.данные.!M114*GS114*GZ114+BM114*0.225)&gt;35,"Да","Нет")</f>
        <v>#N/A</v>
      </c>
      <c r="FV114" s="38" t="str">
        <f>IF(Исходн.данные.!O114&gt;175,"Да","Нет")</f>
        <v>Нет</v>
      </c>
      <c r="FW114" s="39" t="str">
        <f>IF(Исходн.данные.!I114&gt;5.5,"Да","Нет")</f>
        <v>Нет</v>
      </c>
      <c r="FX114" s="39" t="str">
        <f>IF(Исходн.данные.!J114&lt;2,"Да","Нет")</f>
        <v>Да</v>
      </c>
      <c r="FY114" s="39" t="e">
        <f>IF(HF114=$FY$16,0,Исходн.данные.!K114*GO114*GS114*GW114/HF114)</f>
        <v>#N/A</v>
      </c>
      <c r="FZ114" s="39" t="e">
        <f>Исходн.данные.!M114*GS114*GZ114/HG114</f>
        <v>#N/A</v>
      </c>
      <c r="GA114" s="39" t="e">
        <f>IF(K_Wyn=$FY$16,0,IF(Исходн.данные.!N114=Исходн.данные.!$L$10,Исходн.данные.!O114/1.1*GS114*HC114/HH114,IF(Исходн.данные.!N114=Исходн.данные.!$L$12,Исходн.данные.!O114/1.5*GS114*HC114/HH114,Исходн.данные.!O114*GS114*HC114/HH114)))</f>
        <v>#N/A</v>
      </c>
      <c r="GB114" s="39" t="e">
        <f>IF(HF114=$FY$16,0,((Исходн.данные.!Q114*N_Org+Исходн.данные.!R114*N_Sider+Исходн.данные.!S114*N_Soloma)*AO114+Расчет!BC114*VLOOKUP(Исходн.данные.!T114,Справ!$A$3:$O$57,15)*AO114+BB114*VLOOKUP(Исходн.данные.!T114,Справ!$A$3:$O$57,15)*AL114+(Исходн.данные.!V114*N_Rizotorf+Исходн.данные.!W114*N_Rizoagr))/HF114)</f>
        <v>#N/A</v>
      </c>
      <c r="GC114" s="39" t="e">
        <f>IF(HG114=$FY$16,0,((Исходн.данные.!Q114*Р_Org+Исходн.данные.!R114*P_Sider+Исходн.данные.!S114*P_Soloma)*AP114+Расчет!BC114*VLOOKUP(Исходн.данные.!T114,Справ!$A$3:$P$57,16)*AP114+BB114*VLOOKUP(Исходн.данные.!T114,Справ!$A$3:$P$57,16)*AM114)/HG114)</f>
        <v>#N/A</v>
      </c>
      <c r="GD114" s="39" t="e">
        <f>IF(HH114=$FY$16,0,((Исходн.данные.!Q114*К_Org+Исходн.данные.!R114*K_Sider+Исходн.данные.!S114*K_Soloma)*AQ114+Расчет!BC114*VLOOKUP(Исходн.данные.!T114,Справ!$A$3:$Q$57,17)*AQ114+BB114*VLOOKUP(Исходн.данные.!T114,Справ!$A$3:$Q$57,17)*AN114)/HH114)</f>
        <v>#N/A</v>
      </c>
      <c r="GE114" s="39" t="e">
        <f>IF(HF114=$FY$16,0,(Исходн.данные.!X114*AR114+Исходн.данные.!AA114*N_Org*AL114+Исходн.данные.!AB114*N_Sider*AL114+Исходн.данные.!AC114*N_Soloma*AL114)/HF114)</f>
        <v>#N/A</v>
      </c>
      <c r="GF114" s="39" t="e">
        <f>IF(HG114=$FY$16,0,(Исходн.данные.!Y114*AS114+Исходн.данные.!AA114*Р_Org*AM114+Исходн.данные.!AB114*P_Sider*AM114+Исходн.данные.!AC114*P_Soloma*AM114)/HG114)</f>
        <v>#N/A</v>
      </c>
      <c r="GG114" s="39" t="e">
        <f>IF(HH114=$FY$16,0,(Исходн.данные.!Z114*AT114+Исходн.данные.!AA114*К_Org*AN114+Исходн.данные.!AB114*K_Sider*AN114+Исходн.данные.!AC114*K_Soloma*AN114)/HH114)</f>
        <v>#N/A</v>
      </c>
      <c r="GH114" s="39" t="e">
        <f>Исходн.данные.!AD114*AU114/HF114</f>
        <v>#N/A</v>
      </c>
      <c r="GI114" s="39" t="e">
        <f>Исходн.данные.!AE114*AV114/HG114</f>
        <v>#N/A</v>
      </c>
      <c r="GJ114" s="39" t="e">
        <f>Исходн.данные.!AF114*AW114/HH114</f>
        <v>#N/A</v>
      </c>
      <c r="GK114" s="55">
        <f>Исходн.данные.!AK114</f>
        <v>0</v>
      </c>
      <c r="GL114" s="11" t="e">
        <f t="shared" si="187"/>
        <v>#N/A</v>
      </c>
      <c r="GM114" s="11" t="e">
        <f t="shared" si="188"/>
        <v>#N/A</v>
      </c>
      <c r="GN114" s="11" t="e">
        <f t="shared" si="189"/>
        <v>#N/A</v>
      </c>
      <c r="GO114" s="57">
        <f t="shared" si="190"/>
        <v>19</v>
      </c>
      <c r="GP114" s="55">
        <f>IF(OR(Исходн.данные.!F114=$CE$1,Исходн.данные.!F114=$CE$2,Исходн.данные.!F114=$CE$3,Исходн.данные.!F114=$CE$4,Исходн.данные.!F114=$CE$5),GQ114,GR114)</f>
        <v>19</v>
      </c>
      <c r="GQ114" s="55">
        <f>IF(Исходн.данные.!F114=$CE$1,28,IF(Исходн.данные.!F114=$CE$2,26,IF(Исходн.данные.!F114=$CE$3,24,IF(Исходн.данные.!F114=$CE$4,22,IF(Исходн.данные.!F114=$CE$5,20,GR114)))))</f>
        <v>19</v>
      </c>
      <c r="GR114" s="55">
        <f>IF(Исходн.данные.!F114=$CE$6,18,IF(Исходн.данные.!F114=$CE$7,16,IF(Исходн.данные.!F114=$CE$8,14,IF(Исходн.данные.!F114=$CE$9,13,IF(Исходн.данные.!F114=$CE$10,12,19)))))</f>
        <v>19</v>
      </c>
      <c r="GS114" s="55">
        <f>IF(Исходн.данные.!G114="Пес",0.035*(40+2*Исходн.данные.!H114),IF(Исходн.данные.!G114="Суп",0.0325*(40+2*Исходн.данные.!H114),0.03*(40+2*Исходн.данные.!H114)))</f>
        <v>1.2</v>
      </c>
      <c r="GT114" s="55">
        <f>IF(Исходн.данные.!H114&lt;23,2.6,IF(AND(Исходн.данные.!H114&gt;22,Исходн.данные.!H114&lt;26),3,IF(AND(Исходн.данные.!H114&gt;25,Исходн.данные.!H114&lt;29),3.4,3.6)))</f>
        <v>2.6</v>
      </c>
      <c r="GU114" s="55">
        <f>IF(Исходн.данные.!H114&lt;23,2.8,IF(AND(Исходн.данные.!H114&gt;22,Исходн.данные.!H114&lt;26),3.2,IF(AND(Исходн.данные.!H114&gt;25,Исходн.данные.!H114&lt;29),3.6,3.9)))</f>
        <v>2.8</v>
      </c>
      <c r="GV114" s="55">
        <f>IF(Исходн.данные.!H114&lt;23,3,IF(AND(Исходн.данные.!H114&gt;22,Исходн.данные.!H114&lt;26),3.5,IF(AND(Исходн.данные.!H114&gt;25,Исходн.данные.!H114&lt;29),3.9,4.2)))</f>
        <v>3</v>
      </c>
      <c r="GW114" s="55" t="e">
        <f>IF(Исходн.данные.!P114="Ум",GX114,GY114)</f>
        <v>#N/A</v>
      </c>
      <c r="GX114" s="55" t="e">
        <f>VLOOKUP(Исходн.данные.!AI114,Коэффициенты!$J$7:$L$13,2,FALSE)</f>
        <v>#N/A</v>
      </c>
      <c r="GY114" s="55" t="e">
        <f>VLOOKUP(Исходн.данные.!AI114,Коэффициенты!$J$7:$L$13,3,FALSE)</f>
        <v>#N/A</v>
      </c>
      <c r="GZ114" s="55" t="e">
        <f>(IF(Исходн.данные.!M114&lt;50,0.11*VLOOKUP(Исходн.данные.!AH114,Культуры.Информация,7,FALSE),IF(Исходн.данные.!M114&gt;250,0.05*VLOOKUP(Исходн.данные.!AH114,Культуры.Информация,7,FALSE),VLOOKUP(Исходн.данные.!AH114,Культуры.Информация,5,FALSE)/100*($GX$6+$GY$6*Исходн.данные.!M114))))*Расчет2!AI114</f>
        <v>#N/A</v>
      </c>
      <c r="HA114" s="211"/>
      <c r="HB114" s="211"/>
      <c r="HC114" s="55" t="e">
        <f>(IF(Исходн.данные.!O114&lt;80,0.2*VLOOKUP(Исходн.данные.!AH114,Культуры.Информация,8,FALSE),IF(Исходн.данные.!O114&gt;240,0.09*VLOOKUP(Исходн.данные.!AH114,Культуры.Информация,8,FALSE),VLOOKUP(Исходн.данные.!AH114,Культуры.Информация,6,FALSE)/100*($HB$6+$HC$6*Исходн.данные.!O114))))*Расчет2!AJ114</f>
        <v>#N/A</v>
      </c>
      <c r="HD114" s="55">
        <f>IF(Исходн.данные.!O114&gt;240,0.09,IF(Исходн.данные.!O114&lt;30,0.3,$HE$10+$HD$10*Исходн.данные.!O114))</f>
        <v>0.3</v>
      </c>
      <c r="HE114" s="55">
        <f>IF(Исходн.данные.!O114&gt;240,0.17,IF(Исходн.данные.!O114&lt;30,0.5,$HF$12+$HE$12*Исходн.данные.!O114))</f>
        <v>0.5</v>
      </c>
      <c r="HF114" s="55" t="e">
        <f>VLOOKUP(Исходн.данные.!AH114,Справ!$A$3:$D$58,2,FALSE)</f>
        <v>#N/A</v>
      </c>
      <c r="HG114" s="55" t="e">
        <f>VLOOKUP(Исходн.данные.!AH114,Справ!$A$3:$D$58,3,FALSE)</f>
        <v>#N/A</v>
      </c>
      <c r="HH114" s="55" t="e">
        <f>VLOOKUP(Исходн.данные.!AH114,Справ!$A$3:$D$58,4,FALSE)</f>
        <v>#N/A</v>
      </c>
      <c r="HI114" s="11" t="e">
        <f t="shared" si="191"/>
        <v>#N/A</v>
      </c>
      <c r="HJ114" s="11" t="e">
        <f t="shared" si="192"/>
        <v>#N/A</v>
      </c>
      <c r="HK114" s="11" t="e">
        <f t="shared" si="193"/>
        <v>#N/A</v>
      </c>
      <c r="HL114" s="55">
        <f>IF(OR(Исходн.данные.!G114="Глин",Исходн.данные.!G114="Т_суг"),1.1,IF(Исходн.данные.!G114="Ср_суг",1,1))</f>
        <v>1</v>
      </c>
      <c r="HM114" s="55">
        <f>IF(OR(Исходн.данные.!G114="Глин",Исходн.данные.!G114="Т_суг"),0.9,IF(Исходн.данные.!G114="Ср_суг",1,1.2))</f>
        <v>1.2</v>
      </c>
      <c r="HN114" s="11" t="e">
        <f t="shared" si="194"/>
        <v>#N/A</v>
      </c>
      <c r="HO114" s="11" t="e">
        <f t="shared" si="195"/>
        <v>#N/A</v>
      </c>
      <c r="HP114" s="11" t="e">
        <f t="shared" si="196"/>
        <v>#N/A</v>
      </c>
      <c r="HQ114" t="e">
        <f t="shared" si="197"/>
        <v>#N/A</v>
      </c>
      <c r="HR114" t="e">
        <f t="shared" si="198"/>
        <v>#N/A</v>
      </c>
      <c r="HS114" t="e">
        <f t="shared" si="199"/>
        <v>#N/A</v>
      </c>
      <c r="HT114" t="e">
        <f t="shared" si="145"/>
        <v>#N/A</v>
      </c>
      <c r="HU114" t="e">
        <f t="shared" si="146"/>
        <v>#N/A</v>
      </c>
      <c r="HV114" t="e">
        <f t="shared" si="147"/>
        <v>#N/A</v>
      </c>
      <c r="HW114" t="e">
        <f t="shared" si="148"/>
        <v>#N/A</v>
      </c>
      <c r="HX114" t="e">
        <f t="shared" si="149"/>
        <v>#N/A</v>
      </c>
      <c r="HY114" t="e">
        <f t="shared" si="150"/>
        <v>#N/A</v>
      </c>
      <c r="HZ114" s="55">
        <f>IF(OR(Исходн.данные.!AI114="Оз_Ч_П",Исходн.данные.!AI114="Оз_З_П",Исходн.данные.!AI114="Яр_зер"),12,30)</f>
        <v>30</v>
      </c>
      <c r="IA114" t="e">
        <f t="shared" si="200"/>
        <v>#N/A</v>
      </c>
      <c r="IB114" t="e">
        <f t="shared" si="201"/>
        <v>#N/A</v>
      </c>
      <c r="IC114" t="e">
        <f t="shared" si="202"/>
        <v>#N/A</v>
      </c>
      <c r="ID114" s="11" t="e">
        <f t="shared" si="203"/>
        <v>#N/A</v>
      </c>
      <c r="IE114" s="11" t="e">
        <f t="shared" si="204"/>
        <v>#N/A</v>
      </c>
      <c r="IF114" s="11" t="e">
        <f t="shared" si="205"/>
        <v>#N/A</v>
      </c>
    </row>
    <row r="115" spans="35:240" x14ac:dyDescent="0.2">
      <c r="AI115">
        <f>IF(Исходн.данные.!I115&gt;6,1,1.85-(0.148*Исходн.данные.!I115))</f>
        <v>1.85</v>
      </c>
      <c r="AJ115">
        <f>IF(Исходн.данные.!I115&gt;6,1,2.434-(0.246*Исходн.данные.!I115))</f>
        <v>2.4340000000000002</v>
      </c>
      <c r="AL115" s="148" t="b">
        <f>IF(Исходн.данные.!$P115="Ум",N_OrgUd_2g_um,IF(Исходн.данные.!$P115="Об",N_OrgUd_2g_ob))</f>
        <v>0</v>
      </c>
      <c r="AM115" s="148" t="b">
        <f>IF(Исходн.данные.!$P115="Ум",P_OrgUd_2g_um,IF(Исходн.данные.!$P115="Об",P_OrgUd_2g_ob))</f>
        <v>0</v>
      </c>
      <c r="AN115" s="148" t="b">
        <f>IF(Исходн.данные.!$P115="Ум",K_OrgUd_2g_um,IF(Исходн.данные.!$P115="Об",K_OrgUd_2g_ob))</f>
        <v>0</v>
      </c>
      <c r="AO115" s="148" t="b">
        <f>IF(Исходн.данные.!$P115="Ум",N_OrgUd_1g_um,IF(Исходн.данные.!$P115="Об",N_OrgUd_1g_ob))</f>
        <v>0</v>
      </c>
      <c r="AP115" s="148" t="b">
        <f>IF(Исходн.данные.!$P115="Ум",P_OrgUd_1g_um,IF(Исходн.данные.!$P115="Об",P_OrgUd_1g_ob))</f>
        <v>0</v>
      </c>
      <c r="AQ115" s="148" t="b">
        <f>IF(Исходн.данные.!$P115="Ум",K_OrgUd_1g_um,IF(Исходн.данные.!$P115="Об",K_OrgUd_1g_ob))</f>
        <v>0</v>
      </c>
      <c r="AR115" t="b">
        <f>IF(Исходн.данные.!$P115="Ум",N_MinUd_2g_um,IF(Исходн.данные.!$P115="Об",N_MinUd_2g_ob))</f>
        <v>0</v>
      </c>
      <c r="AS115" t="b">
        <f>IF(Исходн.данные.!$P115="Ум",P_MinUd_2g_um,IF(Исходн.данные.!$P115="Об",P_MinUd_2g_ob))</f>
        <v>0</v>
      </c>
      <c r="AT115" t="b">
        <f>IF(Исходн.данные.!$P115="Ум",K_MinUd_2g_um,IF(Исходн.данные.!$P115="Об",K_MinUd_2g_ob))</f>
        <v>0</v>
      </c>
      <c r="AU115" t="b">
        <f>IF(Исходн.данные.!$P115="Ум",N_MinUd_1g_um,IF(Исходн.данные.!$P115="Об",N_MinUd_1g_ob))</f>
        <v>0</v>
      </c>
      <c r="AV115" t="b">
        <f>IF(Исходн.данные.!P115="Ум",P_MinUd_1g_um,IF(Исходн.данные.!P115="Об",P_MinUd_1g_ob))</f>
        <v>0</v>
      </c>
      <c r="AW115" t="b">
        <f>IF(Исходн.данные.!P115="Ум",K_MinUd_1g_um,IF(Исходн.данные.!P115="Об",K_MinUd_1g_ob))</f>
        <v>0</v>
      </c>
      <c r="AY115" t="e">
        <f>VLOOKUP(Исходн.данные.!T115,Справ!$A$3:$N$57,12)</f>
        <v>#N/A</v>
      </c>
      <c r="AZ115" t="e">
        <f>VLOOKUP(Исходн.данные.!T115,Справ!$A$3:$N$57,13)</f>
        <v>#N/A</v>
      </c>
      <c r="BA115" t="e">
        <f>VLOOKUP(Исходн.данные.!T115,Справ!$A$3:$N$57,14)</f>
        <v>#N/A</v>
      </c>
      <c r="BB115">
        <f>IF(Исходн.данные.!AH115=0,0,25)</f>
        <v>0</v>
      </c>
      <c r="BC115" s="141">
        <f>IF(Исходн.данные.!AH115=0,0,IF(Исходн.данные.!T115=0,25,BD115))</f>
        <v>0</v>
      </c>
      <c r="BD115" s="168" t="e">
        <f>AY115+AZ115*Исходн.данные.!U115-POWER(BA115,2)*Исходн.данные.!U115</f>
        <v>#N/A</v>
      </c>
      <c r="BE11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5" s="25">
        <f>IF(Исходн.данные.!AH115=0,0,MIN(HN115:HP115))</f>
        <v>0</v>
      </c>
      <c r="BG115" s="9">
        <f>IF(Исходн.данные.!AH115=0,0,IF((HO115+10*0.25/HG115/HL115)&lt;17,17,HO115+10*0.25/HG115/HL115))</f>
        <v>0</v>
      </c>
      <c r="BH115" s="181">
        <f>IF(Исходн.данные.!AH115=0,0,HW115*HF115*HL115/AU115*AI115+Исходн.данные.!S115*10)</f>
        <v>0</v>
      </c>
      <c r="BI115" s="10"/>
      <c r="BJ115" s="182">
        <f>IF(Исходн.данные.!AH115=0,0,IF(HX115*HG115*HL115/AV115&lt;0,0,HX115*HG115*HL115/AV115*AJ115))</f>
        <v>0</v>
      </c>
      <c r="BK115" s="182">
        <f>IF(Исходн.данные.!AH115=0,0,HY115*HH115*HM115/AW115)</f>
        <v>0</v>
      </c>
      <c r="BL115" s="10">
        <f>IF(OR(Исходн.данные.!$AH115=$BP$1,Исходн.данные.!$AH115=$BP$2),0,IF(BH115&lt;0,0,IF(OR(Исходн.данные.!T115=Расчет!$BP$1,Исходн.данные.!T115=Расчет!$BP$2,Исходн.данные.!T115=Расчет!$BT$5,Исходн.данные.!T115=Расчет!$BT$6),BH115*0.5,IF(OR(Исходн.данные.!T115=Расчет!$BS$9,Исходн.данные.!T115=Расчет!$BS$10,Исходн.данные.!T115=Расчет!$BS$11,Исходн.данные.!T115=Расчет!$BS$12,Исходн.данные.!T115=Расчет!$BP$5),BH115*0.8,BH115))))</f>
        <v>0</v>
      </c>
      <c r="BM115" s="10">
        <f>IF(OR(Исходн.данные.!$AH115=$BP$1,Исходн.данные.!$AH115=$BP$2),0,IF(BJ115&lt;0,0,IF(Исходн.данные.!I115&lt;4.5,BJ115*1.2,IF(Исходн.данные.!I115&gt;5.1,BJ115,BJ115*((5.1-Исходн.данные.!I115)*0.333+1)))))</f>
        <v>0</v>
      </c>
      <c r="BN115" s="10">
        <f>IF(OR(Исходн.данные.!$AH115=$BP$1,Исходн.данные.!$AH115=$BP$2),60-Исходн.данные.!AF115,IF(BK115&lt;0,0,IF(Исходн.данные.!I115&lt;4.5,BK115*1.2,IF(Исходн.данные.!I115&gt;5.1,BK115,BK115*((5.1-Исходн.данные.!I115)*0.333+1)))))</f>
        <v>0</v>
      </c>
      <c r="BO115" s="9">
        <f>IF(BL115&lt;0,0,BL115*Исходн.данные.!$AJ115/1000)</f>
        <v>0</v>
      </c>
      <c r="BP115" s="9">
        <f>IF(BM115&lt;0,0,BM115*Исходн.данные.!$AJ115/1000)</f>
        <v>0</v>
      </c>
      <c r="BQ115" s="9">
        <f>IF(BN115&lt;0,0,BN115*Исходн.данные.!$AJ115/1000)</f>
        <v>0</v>
      </c>
      <c r="BR115" s="9">
        <f t="shared" si="155"/>
        <v>0</v>
      </c>
      <c r="BS115" s="10" t="str">
        <f t="shared" si="156"/>
        <v>Аммофос 12:52:00</v>
      </c>
      <c r="BT115" s="10" t="str">
        <f t="shared" si="157"/>
        <v>Аммофос 12:52:00</v>
      </c>
      <c r="BU115" s="10" t="str">
        <f t="shared" si="158"/>
        <v>Диаммофоска</v>
      </c>
      <c r="BV115" s="10">
        <f t="shared" si="159"/>
        <v>0</v>
      </c>
      <c r="BW115" s="10"/>
      <c r="BX115" s="10"/>
      <c r="BY115" s="9">
        <f>IF(BL115&lt;0,0,IF(OR(Исходн.данные.!AI115=Расчет!$BU$6,Исходн.данные.!AI115=Расчет!$BU$7),Расчет!BV115,IF(Исходн.данные.!$AG115=$BV$11,BL115,IF(OR(Исходн.данные.!$AH115=$BQ$7,Исходн.данные.!$AH115=$BQ$8),CB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0,IF(Исходн.данные.!$AI115=$BU$11,"Нет",IF(BL115&gt;30,30,BL115)))))))</f>
        <v>0</v>
      </c>
      <c r="BZ115" s="9">
        <f>IF(AND(Исходн.данные.!$AG115=$BV$11,BM115&lt;10),10,IF(Исходн.данные.!$AG115=$BV$11,BM115,IF(OR(Исходн.данные.!$AH115=$BQ$7,Исходн.данные.!$AH115=$BQ$8),CC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10,IF(Исходн.данные.!$AI115=$BU$11,"Нет",IF(BM115&gt;60,60,IF(BM115&lt;10,10,BM115)))))))</f>
        <v>10</v>
      </c>
      <c r="CA115" s="39">
        <f>IF(BN115&lt;0,0,IF(Исходн.данные.!$AG115=$BV$11,BN115,IF(OR(Исходн.данные.!$AH115=$BQ$7,Исходн.данные.!$AH115=$BQ$8),CD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0,IF(Исходн.данные.!$AI115=$BU$11,"Нет",IF(BN115&gt;30,30,BN115))))))</f>
        <v>0</v>
      </c>
      <c r="CB115" s="9">
        <f t="shared" si="160"/>
        <v>0</v>
      </c>
      <c r="CC115" s="9">
        <f t="shared" si="161"/>
        <v>0</v>
      </c>
      <c r="CD115" s="9">
        <f t="shared" si="162"/>
        <v>0</v>
      </c>
      <c r="CE115" s="12">
        <f t="shared" si="163"/>
        <v>10</v>
      </c>
      <c r="CF115" s="9">
        <f t="shared" si="164"/>
        <v>0</v>
      </c>
      <c r="CG115" s="9" t="s">
        <v>231</v>
      </c>
      <c r="CH115" s="132" t="str">
        <f>IF(Исходн.данные.!AP115=Расчет!$CI$16,"Нет",IF(Исходн.данные.!AL115&gt;0,Исходн.данные.!AL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BH$4,IF(OR(Исходн.данные.!AI115=Исходн.данные.!$AI$6,Исходн.данные.!AI115=Исходн.данные.!$AI$7),Расчет!BS115,IF(AND($CF115=0,$CE115&gt;0),EV115,ER115)))))</f>
        <v>Аммофос 12:52:00</v>
      </c>
      <c r="CI115" s="274">
        <f>IF(Расчет!$CH115="Нет","Нет",IF(Исходн.данные.!$AL115&gt;0,VLOOKUP(Расчет!$CH115,АшламаДВ_Irekle,2,FALSE),VLOOKUP(Расчет!$CH115,АшламаДВ_Gomumy,2,FALSE)))</f>
        <v>0.12</v>
      </c>
      <c r="CJ115" s="274">
        <f>IF(Расчет!$CH115="Нет","Нет",IF(Исходн.данные.!$AL115&gt;0,VLOOKUP(Расчет!$CH115,АшламаДВ_Irekle,3,FALSE),VLOOKUP(Расчет!$CH115,АшламаДВ_Gomumy,3,FALSE)))</f>
        <v>0.52</v>
      </c>
      <c r="CK115" s="274">
        <f>IF(Расчет!$CH115="Нет","Нет",IF(Исходн.данные.!$AL115&gt;0,VLOOKUP(Расчет!$CH115,АшламаДВ_Irekle,4,FALSE),VLOOKUP(Расчет!$CH115,АшламаДВ_Gomumy,4,FALSE)))</f>
        <v>0</v>
      </c>
      <c r="CL115" s="70"/>
      <c r="CM115" s="70"/>
      <c r="CN115" s="70"/>
      <c r="CO115" s="70"/>
      <c r="CP115" s="70"/>
      <c r="CQ115" s="70"/>
      <c r="CR115" s="10">
        <f t="shared" si="165"/>
        <v>0</v>
      </c>
      <c r="CS115" s="10">
        <f t="shared" si="166"/>
        <v>19.23076923076923</v>
      </c>
      <c r="CT115" s="10">
        <f t="shared" si="167"/>
        <v>0</v>
      </c>
      <c r="CU115" s="39">
        <f>IF($CH115="Нет",0,IF(CI115=0,30/MIN(CJ115:CK115),IF(Исходн.данные.!$AG115=$BV$11,CR115,IF(OR(Исходн.данные.!$AH115=$BQ$7,Исходн.данные.!$AH115=$BQ$8),90/CI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0,IF(Исходн.данные.!$AI115=$BU$11,"Нет",30/CI115))))))</f>
        <v>250</v>
      </c>
      <c r="CV115" s="39">
        <f>IF($CH115="Нет",0,IF(Исходн.данные.!AH115=0,0,IF(CJ115=0,60/MIN(CI115,CK115),IF(Исходн.данные.!$AG115=$BV$11,CS115,IF(OR(Исходн.данные.!$AH115=$BQ$7,Исходн.данные.!$AH115=$BQ$8),90/CJ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10/CJ115,IF(Исходн.данные.!$AI115=$BU$11,"Нет",60/CJ115)))))))</f>
        <v>0</v>
      </c>
      <c r="CW115" s="39">
        <f>IF($CH115="Нет",0,IF(Исходн.данные.!AH115=0,0,IF(CK115=0,30/MIN(CI115:CJ115),IF(Исходн.данные.!$AG115=$BV$11,CT115,IF(OR(Исходн.данные.!$AH115=$BQ$7,Исходн.данные.!$AH115=$BQ$8),90/CK115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0,IF(Исходн.данные.!$AI115=$BU$11,"Нет",30/CK115)))))))</f>
        <v>0</v>
      </c>
      <c r="CX115" s="133">
        <f>IF(Исходн.данные.!$AG115=$BV$11,MAX(CU115:CW115),IF(OR(Исходн.данные.!$AH115=$BS$8,Исходн.данные.!$AH115=$BQ$9,Исходн.данные.!$AH115=$BQ$10,Исходн.данные.!$AH115=$BQ$11,Исходн.данные.!$AH115=$BQ$12,Исходн.данные.!$AH115=$BP$3,Исходн.данные.!$AH115=$BT$8,$FM115="Да"),CV115,MIN(CU115:CW115)))</f>
        <v>0</v>
      </c>
      <c r="CY115" s="133">
        <f>IF(Исходн.данные.!AH115=0,0,IF(CR115&gt;$CX115,$CX115,CR115))</f>
        <v>0</v>
      </c>
      <c r="CZ115" s="133">
        <f>IF(Исходн.данные.!AH115=0,0,IF(CS115&gt;$CX115,$CX115,CS115))</f>
        <v>0</v>
      </c>
      <c r="DA115" s="133">
        <f>IF(Исходн.данные.!AH115=0,0,IF(CT115&gt;$CX115,$CX115,CT115))</f>
        <v>0</v>
      </c>
      <c r="DB115" s="10">
        <f t="shared" si="168"/>
        <v>0</v>
      </c>
      <c r="DC115" s="39">
        <f>DB115*Исходн.данные.!AJ115/1000</f>
        <v>0</v>
      </c>
      <c r="DD115" s="71">
        <f t="shared" si="169"/>
        <v>0</v>
      </c>
      <c r="DE115" s="9">
        <f t="shared" si="170"/>
        <v>0</v>
      </c>
      <c r="DF115" s="9">
        <f t="shared" si="171"/>
        <v>0</v>
      </c>
      <c r="DG115" s="39">
        <f>IF(BL115&lt;0,0,IF($CH115="Нет",BL115,IF(OR(Исходн.данные.!$AH115=$BP$1,Исходн.данные.!$AH115=$BP$2),0,IF(Исходн.данные.!AI115=$BU$11,BL115,IF(BL115-DD115&lt;0,0,BL115-DD115)))))</f>
        <v>0</v>
      </c>
      <c r="DH115" s="39">
        <f>IF(BM115&lt;0,0,IF($CH115="Нет",BM115,IF(OR(Исходн.данные.!$AH115=$BP$1,Исходн.данные.!$AH115=$BP$2),0,IF(Исходн.данные.!AJ115=$BU$11,BM115,IF(BM115-DE115&lt;0,0,BM115-DE115)))))</f>
        <v>0</v>
      </c>
      <c r="DI115" s="39">
        <f>IF(BN115&lt;0,0,IF($CH115="Нет",BN115,IF(OR(Исходн.данные.!$AH115=$BP$1,Исходн.данные.!$AH115=$BP$2),0,IF(Исходн.данные.!AK115=$BU$11,BN115,IF(BN115-DF115&lt;0,0,BN115-DF115)))))</f>
        <v>0</v>
      </c>
      <c r="DJ115" s="12">
        <f t="shared" si="172"/>
        <v>0</v>
      </c>
      <c r="DK115" s="9">
        <f t="shared" si="173"/>
        <v>0</v>
      </c>
      <c r="DL115" s="39">
        <f>IF(Исходн.данные.!AM115&gt;0,Исходн.данные.!AM115,IF(EG115&gt;0,$BH$10,0))</f>
        <v>0</v>
      </c>
      <c r="DM115" s="186">
        <f>IF($DL115=0,0,IF(Исходн.данные.!AM115&gt;0,VLOOKUP($DL115,АшламаДВ_Irekle,2,FALSE),VLOOKUP($DL115,АшламаДВ_Gomumy,2,FALSE)))</f>
        <v>0</v>
      </c>
      <c r="DN115" s="10">
        <f t="shared" si="151"/>
        <v>0</v>
      </c>
      <c r="DO115" s="9" t="str">
        <f>IF(Исходн.данные.!AN115&gt;0,Исходн.данные.!AN115,Удобрения!$B$37 )</f>
        <v>Хлор.калий</v>
      </c>
      <c r="DP115" s="9">
        <f>IF(Исходн.данные.!AN115&gt;0,VLOOKUP(Исходн.данные.!AN115,АшламаДВ_Irekle,4,FALSE),VLOOKUP(DO115,АшламаДВ_Gomumy,4,FALSE))</f>
        <v>0.6</v>
      </c>
      <c r="DQ115" s="10">
        <f t="shared" si="152"/>
        <v>0</v>
      </c>
      <c r="DR115" s="132" t="str">
        <f>IF(Исходн.данные.!AO115&gt;0,Исходн.данные.!AO115,IF(DH115=0,BS$17,IF(AND($DK115=0,$DJ115&gt;0),EJ115,EN115)))</f>
        <v>Нет</v>
      </c>
      <c r="DS115" s="70" t="str">
        <f>IF($DR115="Нет","Нет",IF(Исходн.данные.!$AO115&gt;0,VLOOKUP($DR115,АшламаДВ_Irekle,2,FALSE),VLOOKUP($DR115,АшламаДВ_Gomumy,2,FALSE)))</f>
        <v>Нет</v>
      </c>
      <c r="DT115" s="70" t="str">
        <f>IF($DR115="Нет","Нет",IF(Исходн.данные.!$AO115&gt;0,VLOOKUP($DR115,АшламаДВ_Irekle,3,FALSE),VLOOKUP($DR115,АшламаДВ_Gomumy,3,FALSE)))</f>
        <v>Нет</v>
      </c>
      <c r="DU115" s="70" t="str">
        <f>IF($DR115="Нет","Нет",IF(Исходн.данные.!$AO115&gt;0,VLOOKUP($DR115,АшламаДВ_Irekle,4,FALSE),VLOOKUP($DR115,АшламаДВ_Gomumy,4,FALSE)))</f>
        <v>Нет</v>
      </c>
      <c r="DV115" s="70"/>
      <c r="DW115" s="70"/>
      <c r="DX115" s="70"/>
      <c r="DY115" s="10">
        <f t="shared" si="174"/>
        <v>0</v>
      </c>
      <c r="DZ115" s="10">
        <f t="shared" si="175"/>
        <v>0</v>
      </c>
      <c r="EA115" s="10">
        <f t="shared" si="176"/>
        <v>0</v>
      </c>
      <c r="EB115" s="10">
        <f t="shared" si="177"/>
        <v>0</v>
      </c>
      <c r="EC115" s="10">
        <f t="shared" si="178"/>
        <v>0</v>
      </c>
      <c r="ED115" s="10">
        <f t="shared" si="179"/>
        <v>0</v>
      </c>
      <c r="EE115" s="10">
        <f t="shared" si="180"/>
        <v>0</v>
      </c>
      <c r="EF115" s="39">
        <f>EB115*Исходн.данные.!AJ115/1000</f>
        <v>0</v>
      </c>
      <c r="EG115" s="9">
        <f t="shared" si="181"/>
        <v>0</v>
      </c>
      <c r="EH115" s="9">
        <f t="shared" si="182"/>
        <v>0</v>
      </c>
      <c r="EI115" s="39" t="e">
        <f t="shared" si="132"/>
        <v>#DIV/0!</v>
      </c>
      <c r="EJ115" s="9" t="str">
        <f t="shared" si="153"/>
        <v>Азопреципитат</v>
      </c>
      <c r="EK115" s="12">
        <f t="shared" si="133"/>
        <v>0.26</v>
      </c>
      <c r="EL115" s="12">
        <f t="shared" si="134"/>
        <v>0.13</v>
      </c>
      <c r="EM115" s="12">
        <f t="shared" si="135"/>
        <v>0</v>
      </c>
      <c r="EN115" s="12" t="str">
        <f t="shared" si="154"/>
        <v>Нет</v>
      </c>
      <c r="EO115" s="12">
        <f t="shared" si="136"/>
        <v>0</v>
      </c>
      <c r="EP115" s="12">
        <f t="shared" si="137"/>
        <v>0</v>
      </c>
      <c r="EQ115" s="12">
        <f t="shared" si="138"/>
        <v>0</v>
      </c>
      <c r="ER115" s="12" t="str">
        <f t="shared" si="183"/>
        <v>Диаммофоска</v>
      </c>
      <c r="ES115" s="12">
        <f t="shared" si="139"/>
        <v>0.1</v>
      </c>
      <c r="ET115" s="12">
        <f t="shared" si="140"/>
        <v>0.26</v>
      </c>
      <c r="EU115" s="12">
        <f t="shared" si="141"/>
        <v>0.26</v>
      </c>
      <c r="EV115" s="12" t="str">
        <f t="shared" si="184"/>
        <v>Аммофос 12:52:00</v>
      </c>
      <c r="EW115" s="12" t="str">
        <f t="shared" si="185"/>
        <v>Кемира Свекловичное-6</v>
      </c>
      <c r="EX115" s="12">
        <f t="shared" si="142"/>
        <v>0.16</v>
      </c>
      <c r="EY115" s="12">
        <f t="shared" si="143"/>
        <v>0.12</v>
      </c>
      <c r="EZ115" s="12">
        <f t="shared" si="144"/>
        <v>0.17</v>
      </c>
      <c r="FA115" s="38" t="e">
        <f>IF(AND(OR(FJ115=$FD$1,FM115=$FD$1,FO115=$FD$1,FQ115=$FD$1,FS115=$FD$1),FD115=$FD$1,Исходн.данные.!J115&lt;2,FU115=$FD$1),"Бор,Кобальт",IF(AND(FO115=$FD$1,FH115=$FD$1,Исходн.данные.!J115&lt;2,FU115=$FD$1),"Бор,Кобальт",IF(AND(OR(FJ115=$FD$1,FM115=$FD$1,FQ115=$FD$1),FE115=$FD$1,Исходн.данные.!J115&lt;2,FT115=$FD$1,FU115=$FD$1),"Бор,Медь,Цинк",IF(AND(OR(FJ115=$FD$1,FR115="Да"),FI115="Да",Исходн.данные.!J115&lt;2,FT115="Да",FU115="Да"),"Бор,Цинк,Медь",IF(AND(OR(FM115="Да",FQ115="Да"),FI115="Да",Исходн.данные.!J115&lt;2,FT115="Да",FU115="Да"),"Бор,Цинк",IF(AND(FN115="Да",OR(FD115="Да",FE115="Да")),"Бор",FB115))))))</f>
        <v>#N/A</v>
      </c>
      <c r="FB115" s="134" t="e">
        <f>IF(AND(OR(FD115="Да",FE115="Да",FF115="Да",FG115="Да",FH115="Да"),FO115="Да"),"Бор",IF(AND(FP115="Да",OR(FD115="Да",FE115="Да",FI115="Да")),"Бор",IF(AND(FS115="Да",FE115="Да"),"Бор,Медь",IF(AND(OR(FJ115="Да",FK115="Да",FL115="Да"),FE115="Да",Исходн.данные.!I115&lt;5,FT115="Да",FU115="Да"),"Молибден,Цинк",IF(AND(FM115="Да",OR(FE115="Да",FF115="Да",FG115="Да",FH115="Да",FI115="Да")),"Молибден,Цинк",IF(AND(OR(FJ115="Да",FK115="Да",FL115="Да",FM115="Да",FQ115="Да"),OR(FE115="Да",FF115="Да"),FT115="Да",FU115="Да",Исходн.данные.!I115&gt;5.5),"Медь,Цинк",FC115))))))</f>
        <v>#N/A</v>
      </c>
      <c r="FC115" s="23" t="e">
        <f t="shared" si="186"/>
        <v>#N/A</v>
      </c>
      <c r="FD115" s="38" t="str">
        <f>IF(OR(Исходн.данные.!F115=$CC$1,Исходн.данные.!F115=$CC$2,Исходн.данные.!F115=$CC$3,Исходн.данные.!F115=$CC$4),"Да","Нет")</f>
        <v>Нет</v>
      </c>
      <c r="FE115" s="38" t="str">
        <f>IF(Исходн.данные.!F115=$CC$5,"Да","Нет")</f>
        <v>Нет</v>
      </c>
      <c r="FF115" s="38" t="str">
        <f>IF(OR(Исходн.данные.!F115=$CC$6,Исходн.данные.!F115=$CC$7),"Да","Нет")</f>
        <v>Нет</v>
      </c>
      <c r="FG115" s="38" t="str">
        <f>IF(OR(Исходн.данные.!F115=$CC$8,Исходн.данные.!F115=$CC$9),"Да","Нет")</f>
        <v>Нет</v>
      </c>
      <c r="FH115" s="38" t="str">
        <f>IF(Исходн.данные.!F115=$CC$10,"Да","Нет")</f>
        <v>Нет</v>
      </c>
      <c r="FI115" s="38" t="str">
        <f>IF(OR(Исходн.данные.!F115=$CC$11,Исходн.данные.!F115=$CC$12),"Да","Нет")</f>
        <v>Нет</v>
      </c>
      <c r="FJ115" s="38" t="str">
        <f>IF(OR(Исходн.данные.!AH115=$BS$1,Исходн.данные.!AH115=$BQ$11,Исходн.данные.!AH115=$BQ$12),"Да","Нет")</f>
        <v>Нет</v>
      </c>
      <c r="FK115" s="38" t="str">
        <f>IF(OR(Исходн.данные.!AH115=$BS$2,Исходн.данные.!AH115=$BS$4),"Да","Нет")</f>
        <v>Нет</v>
      </c>
      <c r="FL115" s="38" t="str">
        <f>IF(OR(Исходн.данные.!AH115=$BS$3,Исходн.данные.!AH115=$BS$5),"Да","Нет")</f>
        <v>Нет</v>
      </c>
      <c r="FM115" s="38" t="str">
        <f>IF(OR(Исходн.данные.!AH115=$BS$9,Исходн.данные.!AH115=$BS$10,Исходн.данные.!AH115=$BS$11,Исходн.данные.!AH115=$BS$12),"Да","Нет")</f>
        <v>Нет</v>
      </c>
      <c r="FN115" s="38" t="str">
        <f>IF(OR(Исходн.данные.!AH115=$BS$6,Исходн.данные.!AH115=$BP$3),"Да","Нет")</f>
        <v>Нет</v>
      </c>
      <c r="FO115" s="38" t="str">
        <f>IF(Исходн.данные.!AH115=$BQ$9,"Да","Нет")</f>
        <v>Нет</v>
      </c>
      <c r="FP115" s="38" t="str">
        <f>IF(OR(Исходн.данные.!AH115=$BS$8,Исходн.данные.!AH115=$BT$8),"Да","Нет")</f>
        <v>Нет</v>
      </c>
      <c r="FQ115" s="38" t="str">
        <f>IF(OR(Исходн.данные.!AH115=$BQ$7,Исходн.данные.!AH115=$BQ$8),"Да","Нет")</f>
        <v>Нет</v>
      </c>
      <c r="FR115" s="38" t="str">
        <f>IF(Исходн.данные.!AI115=$BU$9,"Да","Нет")</f>
        <v>Нет</v>
      </c>
      <c r="FS115" s="38" t="str">
        <f>IF(OR(Исходн.данные.!AH115=$BP$1,Исходн.данные.!AH115=$BP$2),"Да","Нет")</f>
        <v>Нет</v>
      </c>
      <c r="FT115" s="38" t="e">
        <f>IF((Исходн.данные.!K115*GO115*GS115*GW115+BL115*0.6+Исходн.данные.!Q115*4.5*0.275)&gt;90,"Да","Нет")</f>
        <v>#N/A</v>
      </c>
      <c r="FU115" s="38" t="e">
        <f>IF((Исходн.данные.!M115*GS115*GZ115+BM115*0.225)&gt;35,"Да","Нет")</f>
        <v>#N/A</v>
      </c>
      <c r="FV115" s="38" t="str">
        <f>IF(Исходн.данные.!O115&gt;175,"Да","Нет")</f>
        <v>Нет</v>
      </c>
      <c r="FW115" s="39" t="str">
        <f>IF(Исходн.данные.!I115&gt;5.5,"Да","Нет")</f>
        <v>Нет</v>
      </c>
      <c r="FX115" s="39" t="str">
        <f>IF(Исходн.данные.!J115&lt;2,"Да","Нет")</f>
        <v>Да</v>
      </c>
      <c r="FY115" s="39" t="e">
        <f>IF(HF115=$FY$16,0,Исходн.данные.!K115*GO115*GS115*GW115/HF115)</f>
        <v>#N/A</v>
      </c>
      <c r="FZ115" s="39" t="e">
        <f>Исходн.данные.!M115*GS115*GZ115/HG115</f>
        <v>#N/A</v>
      </c>
      <c r="GA115" s="39" t="e">
        <f>IF(K_Wyn=$FY$16,0,IF(Исходн.данные.!N115=Исходн.данные.!$L$10,Исходн.данные.!O115/1.1*GS115*HC115/HH115,IF(Исходн.данные.!N115=Исходн.данные.!$L$12,Исходн.данные.!O115/1.5*GS115*HC115/HH115,Исходн.данные.!O115*GS115*HC115/HH115)))</f>
        <v>#N/A</v>
      </c>
      <c r="GB115" s="39" t="e">
        <f>IF(HF115=$FY$16,0,((Исходн.данные.!Q115*N_Org+Исходн.данные.!R115*N_Sider+Исходн.данные.!S115*N_Soloma)*AO115+Расчет!BC115*VLOOKUP(Исходн.данные.!T115,Справ!$A$3:$O$57,15)*AO115+BB115*VLOOKUP(Исходн.данные.!T115,Справ!$A$3:$O$57,15)*AL115+(Исходн.данные.!V115*N_Rizotorf+Исходн.данные.!W115*N_Rizoagr))/HF115)</f>
        <v>#N/A</v>
      </c>
      <c r="GC115" s="39" t="e">
        <f>IF(HG115=$FY$16,0,((Исходн.данные.!Q115*Р_Org+Исходн.данные.!R115*P_Sider+Исходн.данные.!S115*P_Soloma)*AP115+Расчет!BC115*VLOOKUP(Исходн.данные.!T115,Справ!$A$3:$P$57,16)*AP115+BB115*VLOOKUP(Исходн.данные.!T115,Справ!$A$3:$P$57,16)*AM115)/HG115)</f>
        <v>#N/A</v>
      </c>
      <c r="GD115" s="39" t="e">
        <f>IF(HH115=$FY$16,0,((Исходн.данные.!Q115*К_Org+Исходн.данные.!R115*K_Sider+Исходн.данные.!S115*K_Soloma)*AQ115+Расчет!BC115*VLOOKUP(Исходн.данные.!T115,Справ!$A$3:$Q$57,17)*AQ115+BB115*VLOOKUP(Исходн.данные.!T115,Справ!$A$3:$Q$57,17)*AN115)/HH115)</f>
        <v>#N/A</v>
      </c>
      <c r="GE115" s="39" t="e">
        <f>IF(HF115=$FY$16,0,(Исходн.данные.!X115*AR115+Исходн.данные.!AA115*N_Org*AL115+Исходн.данные.!AB115*N_Sider*AL115+Исходн.данные.!AC115*N_Soloma*AL115)/HF115)</f>
        <v>#N/A</v>
      </c>
      <c r="GF115" s="39" t="e">
        <f>IF(HG115=$FY$16,0,(Исходн.данные.!Y115*AS115+Исходн.данные.!AA115*Р_Org*AM115+Исходн.данные.!AB115*P_Sider*AM115+Исходн.данные.!AC115*P_Soloma*AM115)/HG115)</f>
        <v>#N/A</v>
      </c>
      <c r="GG115" s="39" t="e">
        <f>IF(HH115=$FY$16,0,(Исходн.данные.!Z115*AT115+Исходн.данные.!AA115*К_Org*AN115+Исходн.данные.!AB115*K_Sider*AN115+Исходн.данные.!AC115*K_Soloma*AN115)/HH115)</f>
        <v>#N/A</v>
      </c>
      <c r="GH115" s="39" t="e">
        <f>Исходн.данные.!AD115*AU115/HF115</f>
        <v>#N/A</v>
      </c>
      <c r="GI115" s="39" t="e">
        <f>Исходн.данные.!AE115*AV115/HG115</f>
        <v>#N/A</v>
      </c>
      <c r="GJ115" s="39" t="e">
        <f>Исходн.данные.!AF115*AW115/HH115</f>
        <v>#N/A</v>
      </c>
      <c r="GK115" s="55">
        <f>Исходн.данные.!AK115</f>
        <v>0</v>
      </c>
      <c r="GL115" s="11" t="e">
        <f t="shared" si="187"/>
        <v>#N/A</v>
      </c>
      <c r="GM115" s="11" t="e">
        <f t="shared" si="188"/>
        <v>#N/A</v>
      </c>
      <c r="GN115" s="11" t="e">
        <f t="shared" si="189"/>
        <v>#N/A</v>
      </c>
      <c r="GO115" s="57">
        <f t="shared" si="190"/>
        <v>19</v>
      </c>
      <c r="GP115" s="55">
        <f>IF(OR(Исходн.данные.!F115=$CE$1,Исходн.данные.!F115=$CE$2,Исходн.данные.!F115=$CE$3,Исходн.данные.!F115=$CE$4,Исходн.данные.!F115=$CE$5),GQ115,GR115)</f>
        <v>19</v>
      </c>
      <c r="GQ115" s="55">
        <f>IF(Исходн.данные.!F115=$CE$1,28,IF(Исходн.данные.!F115=$CE$2,26,IF(Исходн.данные.!F115=$CE$3,24,IF(Исходн.данные.!F115=$CE$4,22,IF(Исходн.данные.!F115=$CE$5,20,GR115)))))</f>
        <v>19</v>
      </c>
      <c r="GR115" s="55">
        <f>IF(Исходн.данные.!F115=$CE$6,18,IF(Исходн.данные.!F115=$CE$7,16,IF(Исходн.данные.!F115=$CE$8,14,IF(Исходн.данные.!F115=$CE$9,13,IF(Исходн.данные.!F115=$CE$10,12,19)))))</f>
        <v>19</v>
      </c>
      <c r="GS115" s="55">
        <f>IF(Исходн.данные.!G115="Пес",0.035*(40+2*Исходн.данные.!H115),IF(Исходн.данные.!G115="Суп",0.0325*(40+2*Исходн.данные.!H115),0.03*(40+2*Исходн.данные.!H115)))</f>
        <v>1.2</v>
      </c>
      <c r="GT115" s="55">
        <f>IF(Исходн.данные.!H115&lt;23,2.6,IF(AND(Исходн.данные.!H115&gt;22,Исходн.данные.!H115&lt;26),3,IF(AND(Исходн.данные.!H115&gt;25,Исходн.данные.!H115&lt;29),3.4,3.6)))</f>
        <v>2.6</v>
      </c>
      <c r="GU115" s="55">
        <f>IF(Исходн.данные.!H115&lt;23,2.8,IF(AND(Исходн.данные.!H115&gt;22,Исходн.данные.!H115&lt;26),3.2,IF(AND(Исходн.данные.!H115&gt;25,Исходн.данные.!H115&lt;29),3.6,3.9)))</f>
        <v>2.8</v>
      </c>
      <c r="GV115" s="55">
        <f>IF(Исходн.данные.!H115&lt;23,3,IF(AND(Исходн.данные.!H115&gt;22,Исходн.данные.!H115&lt;26),3.5,IF(AND(Исходн.данные.!H115&gt;25,Исходн.данные.!H115&lt;29),3.9,4.2)))</f>
        <v>3</v>
      </c>
      <c r="GW115" s="55" t="e">
        <f>IF(Исходн.данные.!P115="Ум",GX115,GY115)</f>
        <v>#N/A</v>
      </c>
      <c r="GX115" s="55" t="e">
        <f>VLOOKUP(Исходн.данные.!AI115,Коэффициенты!$J$7:$L$13,2,FALSE)</f>
        <v>#N/A</v>
      </c>
      <c r="GY115" s="55" t="e">
        <f>VLOOKUP(Исходн.данные.!AI115,Коэффициенты!$J$7:$L$13,3,FALSE)</f>
        <v>#N/A</v>
      </c>
      <c r="GZ115" s="55" t="e">
        <f>(IF(Исходн.данные.!M115&lt;50,0.11*VLOOKUP(Исходн.данные.!AH115,Культуры.Информация,7,FALSE),IF(Исходн.данные.!M115&gt;250,0.05*VLOOKUP(Исходн.данные.!AH115,Культуры.Информация,7,FALSE),VLOOKUP(Исходн.данные.!AH115,Культуры.Информация,5,FALSE)/100*($GX$6+$GY$6*Исходн.данные.!M115))))*Расчет2!AI115</f>
        <v>#N/A</v>
      </c>
      <c r="HA115" s="211"/>
      <c r="HB115" s="211"/>
      <c r="HC115" s="55" t="e">
        <f>(IF(Исходн.данные.!O115&lt;80,0.2*VLOOKUP(Исходн.данные.!AH115,Культуры.Информация,8,FALSE),IF(Исходн.данные.!O115&gt;240,0.09*VLOOKUP(Исходн.данные.!AH115,Культуры.Информация,8,FALSE),VLOOKUP(Исходн.данные.!AH115,Культуры.Информация,6,FALSE)/100*($HB$6+$HC$6*Исходн.данные.!O115))))*Расчет2!AJ115</f>
        <v>#N/A</v>
      </c>
      <c r="HD115" s="55">
        <f>IF(Исходн.данные.!O115&gt;240,0.09,IF(Исходн.данные.!O115&lt;30,0.3,$HE$10+$HD$10*Исходн.данные.!O115))</f>
        <v>0.3</v>
      </c>
      <c r="HE115" s="55">
        <f>IF(Исходн.данные.!O115&gt;240,0.17,IF(Исходн.данные.!O115&lt;30,0.5,$HF$12+$HE$12*Исходн.данные.!O115))</f>
        <v>0.5</v>
      </c>
      <c r="HF115" s="55" t="e">
        <f>VLOOKUP(Исходн.данные.!AH115,Справ!$A$3:$D$58,2,FALSE)</f>
        <v>#N/A</v>
      </c>
      <c r="HG115" s="55" t="e">
        <f>VLOOKUP(Исходн.данные.!AH115,Справ!$A$3:$D$58,3,FALSE)</f>
        <v>#N/A</v>
      </c>
      <c r="HH115" s="55" t="e">
        <f>VLOOKUP(Исходн.данные.!AH115,Справ!$A$3:$D$58,4,FALSE)</f>
        <v>#N/A</v>
      </c>
      <c r="HI115" s="11" t="e">
        <f t="shared" si="191"/>
        <v>#N/A</v>
      </c>
      <c r="HJ115" s="11" t="e">
        <f t="shared" si="192"/>
        <v>#N/A</v>
      </c>
      <c r="HK115" s="11" t="e">
        <f t="shared" si="193"/>
        <v>#N/A</v>
      </c>
      <c r="HL115" s="55">
        <f>IF(OR(Исходн.данные.!G115="Глин",Исходн.данные.!G115="Т_суг"),1.1,IF(Исходн.данные.!G115="Ср_суг",1,1))</f>
        <v>1</v>
      </c>
      <c r="HM115" s="55">
        <f>IF(OR(Исходн.данные.!G115="Глин",Исходн.данные.!G115="Т_суг"),0.9,IF(Исходн.данные.!G115="Ср_суг",1,1.2))</f>
        <v>1.2</v>
      </c>
      <c r="HN115" s="11" t="e">
        <f t="shared" si="194"/>
        <v>#N/A</v>
      </c>
      <c r="HO115" s="11" t="e">
        <f t="shared" si="195"/>
        <v>#N/A</v>
      </c>
      <c r="HP115" s="11" t="e">
        <f t="shared" si="196"/>
        <v>#N/A</v>
      </c>
      <c r="HQ115" t="e">
        <f t="shared" si="197"/>
        <v>#N/A</v>
      </c>
      <c r="HR115" t="e">
        <f t="shared" si="198"/>
        <v>#N/A</v>
      </c>
      <c r="HS115" t="e">
        <f t="shared" si="199"/>
        <v>#N/A</v>
      </c>
      <c r="HT115" t="e">
        <f t="shared" si="145"/>
        <v>#N/A</v>
      </c>
      <c r="HU115" t="e">
        <f t="shared" si="146"/>
        <v>#N/A</v>
      </c>
      <c r="HV115" t="e">
        <f t="shared" si="147"/>
        <v>#N/A</v>
      </c>
      <c r="HW115" t="e">
        <f t="shared" si="148"/>
        <v>#N/A</v>
      </c>
      <c r="HX115" t="e">
        <f t="shared" si="149"/>
        <v>#N/A</v>
      </c>
      <c r="HY115" t="e">
        <f t="shared" si="150"/>
        <v>#N/A</v>
      </c>
      <c r="HZ115" s="55">
        <f>IF(OR(Исходн.данные.!AI115="Оз_Ч_П",Исходн.данные.!AI115="Оз_З_П",Исходн.данные.!AI115="Яр_зер"),12,30)</f>
        <v>30</v>
      </c>
      <c r="IA115" t="e">
        <f t="shared" si="200"/>
        <v>#N/A</v>
      </c>
      <c r="IB115" t="e">
        <f t="shared" si="201"/>
        <v>#N/A</v>
      </c>
      <c r="IC115" t="e">
        <f t="shared" si="202"/>
        <v>#N/A</v>
      </c>
      <c r="ID115" s="11" t="e">
        <f t="shared" si="203"/>
        <v>#N/A</v>
      </c>
      <c r="IE115" s="11" t="e">
        <f t="shared" si="204"/>
        <v>#N/A</v>
      </c>
      <c r="IF115" s="11" t="e">
        <f t="shared" si="205"/>
        <v>#N/A</v>
      </c>
    </row>
    <row r="116" spans="35:240" x14ac:dyDescent="0.2">
      <c r="AI116">
        <f>IF(Исходн.данные.!I116&gt;6,1,1.85-(0.148*Исходн.данные.!I116))</f>
        <v>1.85</v>
      </c>
      <c r="AJ116">
        <f>IF(Исходн.данные.!I116&gt;6,1,2.434-(0.246*Исходн.данные.!I116))</f>
        <v>2.4340000000000002</v>
      </c>
      <c r="AL116" s="148" t="b">
        <f>IF(Исходн.данные.!$P116="Ум",N_OrgUd_2g_um,IF(Исходн.данные.!$P116="Об",N_OrgUd_2g_ob))</f>
        <v>0</v>
      </c>
      <c r="AM116" s="148" t="b">
        <f>IF(Исходн.данные.!$P116="Ум",P_OrgUd_2g_um,IF(Исходн.данные.!$P116="Об",P_OrgUd_2g_ob))</f>
        <v>0</v>
      </c>
      <c r="AN116" s="148" t="b">
        <f>IF(Исходн.данные.!$P116="Ум",K_OrgUd_2g_um,IF(Исходн.данные.!$P116="Об",K_OrgUd_2g_ob))</f>
        <v>0</v>
      </c>
      <c r="AO116" s="148" t="b">
        <f>IF(Исходн.данные.!$P116="Ум",N_OrgUd_1g_um,IF(Исходн.данные.!$P116="Об",N_OrgUd_1g_ob))</f>
        <v>0</v>
      </c>
      <c r="AP116" s="148" t="b">
        <f>IF(Исходн.данные.!$P116="Ум",P_OrgUd_1g_um,IF(Исходн.данные.!$P116="Об",P_OrgUd_1g_ob))</f>
        <v>0</v>
      </c>
      <c r="AQ116" s="148" t="b">
        <f>IF(Исходн.данные.!$P116="Ум",K_OrgUd_1g_um,IF(Исходн.данные.!$P116="Об",K_OrgUd_1g_ob))</f>
        <v>0</v>
      </c>
      <c r="AR116" t="b">
        <f>IF(Исходн.данные.!$P116="Ум",N_MinUd_2g_um,IF(Исходн.данные.!$P116="Об",N_MinUd_2g_ob))</f>
        <v>0</v>
      </c>
      <c r="AS116" t="b">
        <f>IF(Исходн.данные.!$P116="Ум",P_MinUd_2g_um,IF(Исходн.данные.!$P116="Об",P_MinUd_2g_ob))</f>
        <v>0</v>
      </c>
      <c r="AT116" t="b">
        <f>IF(Исходн.данные.!$P116="Ум",K_MinUd_2g_um,IF(Исходн.данные.!$P116="Об",K_MinUd_2g_ob))</f>
        <v>0</v>
      </c>
      <c r="AU116" t="b">
        <f>IF(Исходн.данные.!$P116="Ум",N_MinUd_1g_um,IF(Исходн.данные.!$P116="Об",N_MinUd_1g_ob))</f>
        <v>0</v>
      </c>
      <c r="AV116" t="b">
        <f>IF(Исходн.данные.!P116="Ум",P_MinUd_1g_um,IF(Исходн.данные.!P116="Об",P_MinUd_1g_ob))</f>
        <v>0</v>
      </c>
      <c r="AW116" t="b">
        <f>IF(Исходн.данные.!P116="Ум",K_MinUd_1g_um,IF(Исходн.данные.!P116="Об",K_MinUd_1g_ob))</f>
        <v>0</v>
      </c>
      <c r="AY116" t="e">
        <f>VLOOKUP(Исходн.данные.!T116,Справ!$A$3:$N$57,12)</f>
        <v>#N/A</v>
      </c>
      <c r="AZ116" t="e">
        <f>VLOOKUP(Исходн.данные.!T116,Справ!$A$3:$N$57,13)</f>
        <v>#N/A</v>
      </c>
      <c r="BA116" t="e">
        <f>VLOOKUP(Исходн.данные.!T116,Справ!$A$3:$N$57,14)</f>
        <v>#N/A</v>
      </c>
      <c r="BB116">
        <f>IF(Исходн.данные.!AH116=0,0,25)</f>
        <v>0</v>
      </c>
      <c r="BC116" s="141">
        <f>IF(Исходн.данные.!AH116=0,0,IF(Исходн.данные.!T116=0,25,BD116))</f>
        <v>0</v>
      </c>
      <c r="BD116" s="168" t="e">
        <f>AY116+AZ116*Исходн.данные.!U116-POWER(BA116,2)*Исходн.данные.!U116</f>
        <v>#N/A</v>
      </c>
      <c r="BE11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6" s="25">
        <f>IF(Исходн.данные.!AH116=0,0,MIN(HN116:HP116))</f>
        <v>0</v>
      </c>
      <c r="BG116" s="9">
        <f>IF(Исходн.данные.!AH116=0,0,IF((HO116+10*0.25/HG116/HL116)&lt;17,17,HO116+10*0.25/HG116/HL116))</f>
        <v>0</v>
      </c>
      <c r="BH116" s="181">
        <f>IF(Исходн.данные.!AH116=0,0,HW116*HF116*HL116/AU116*AI116+Исходн.данные.!S116*10)</f>
        <v>0</v>
      </c>
      <c r="BI116" s="10"/>
      <c r="BJ116" s="182">
        <f>IF(Исходн.данные.!AH116=0,0,IF(HX116*HG116*HL116/AV116&lt;0,0,HX116*HG116*HL116/AV116*AJ116))</f>
        <v>0</v>
      </c>
      <c r="BK116" s="182">
        <f>IF(Исходн.данные.!AH116=0,0,HY116*HH116*HM116/AW116)</f>
        <v>0</v>
      </c>
      <c r="BL116" s="10">
        <f>IF(OR(Исходн.данные.!$AH116=$BP$1,Исходн.данные.!$AH116=$BP$2),0,IF(BH116&lt;0,0,IF(OR(Исходн.данные.!T116=Расчет!$BP$1,Исходн.данные.!T116=Расчет!$BP$2,Исходн.данные.!T116=Расчет!$BT$5,Исходн.данные.!T116=Расчет!$BT$6),BH116*0.5,IF(OR(Исходн.данные.!T116=Расчет!$BS$9,Исходн.данные.!T116=Расчет!$BS$10,Исходн.данные.!T116=Расчет!$BS$11,Исходн.данные.!T116=Расчет!$BS$12,Исходн.данные.!T116=Расчет!$BP$5),BH116*0.8,BH116))))</f>
        <v>0</v>
      </c>
      <c r="BM116" s="10">
        <f>IF(OR(Исходн.данные.!$AH116=$BP$1,Исходн.данные.!$AH116=$BP$2),0,IF(BJ116&lt;0,0,IF(Исходн.данные.!I116&lt;4.5,BJ116*1.2,IF(Исходн.данные.!I116&gt;5.1,BJ116,BJ116*((5.1-Исходн.данные.!I116)*0.333+1)))))</f>
        <v>0</v>
      </c>
      <c r="BN116" s="10">
        <f>IF(OR(Исходн.данные.!$AH116=$BP$1,Исходн.данные.!$AH116=$BP$2),60-Исходн.данные.!AF116,IF(BK116&lt;0,0,IF(Исходн.данные.!I116&lt;4.5,BK116*1.2,IF(Исходн.данные.!I116&gt;5.1,BK116,BK116*((5.1-Исходн.данные.!I116)*0.333+1)))))</f>
        <v>0</v>
      </c>
      <c r="BO116" s="9">
        <f>IF(BL116&lt;0,0,BL116*Исходн.данные.!$AJ116/1000)</f>
        <v>0</v>
      </c>
      <c r="BP116" s="9">
        <f>IF(BM116&lt;0,0,BM116*Исходн.данные.!$AJ116/1000)</f>
        <v>0</v>
      </c>
      <c r="BQ116" s="9">
        <f>IF(BN116&lt;0,0,BN116*Исходн.данные.!$AJ116/1000)</f>
        <v>0</v>
      </c>
      <c r="BR116" s="9">
        <f t="shared" si="155"/>
        <v>0</v>
      </c>
      <c r="BS116" s="10" t="str">
        <f t="shared" si="156"/>
        <v>Аммофос 12:52:00</v>
      </c>
      <c r="BT116" s="10" t="str">
        <f t="shared" si="157"/>
        <v>Аммофос 12:52:00</v>
      </c>
      <c r="BU116" s="10" t="str">
        <f t="shared" si="158"/>
        <v>Диаммофоска</v>
      </c>
      <c r="BV116" s="10">
        <f t="shared" si="159"/>
        <v>0</v>
      </c>
      <c r="BW116" s="10"/>
      <c r="BX116" s="10"/>
      <c r="BY116" s="9">
        <f>IF(BL116&lt;0,0,IF(OR(Исходн.данные.!AI116=Расчет!$BU$6,Исходн.данные.!AI116=Расчет!$BU$7),Расчет!BV116,IF(Исходн.данные.!$AG116=$BV$11,BL116,IF(OR(Исходн.данные.!$AH116=$BQ$7,Исходн.данные.!$AH116=$BQ$8),CB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0,IF(Исходн.данные.!$AI116=$BU$11,"Нет",IF(BL116&gt;30,30,BL116)))))))</f>
        <v>0</v>
      </c>
      <c r="BZ116" s="9">
        <f>IF(AND(Исходн.данные.!$AG116=$BV$11,BM116&lt;10),10,IF(Исходн.данные.!$AG116=$BV$11,BM116,IF(OR(Исходн.данные.!$AH116=$BQ$7,Исходн.данные.!$AH116=$BQ$8),CC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10,IF(Исходн.данные.!$AI116=$BU$11,"Нет",IF(BM116&gt;60,60,IF(BM116&lt;10,10,BM116)))))))</f>
        <v>10</v>
      </c>
      <c r="CA116" s="39">
        <f>IF(BN116&lt;0,0,IF(Исходн.данные.!$AG116=$BV$11,BN116,IF(OR(Исходн.данные.!$AH116=$BQ$7,Исходн.данные.!$AH116=$BQ$8),CD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0,IF(Исходн.данные.!$AI116=$BU$11,"Нет",IF(BN116&gt;30,30,BN116))))))</f>
        <v>0</v>
      </c>
      <c r="CB116" s="9">
        <f t="shared" si="160"/>
        <v>0</v>
      </c>
      <c r="CC116" s="9">
        <f t="shared" si="161"/>
        <v>0</v>
      </c>
      <c r="CD116" s="9">
        <f t="shared" si="162"/>
        <v>0</v>
      </c>
      <c r="CE116" s="12">
        <f t="shared" si="163"/>
        <v>10</v>
      </c>
      <c r="CF116" s="9">
        <f t="shared" si="164"/>
        <v>0</v>
      </c>
      <c r="CG116" s="9" t="s">
        <v>231</v>
      </c>
      <c r="CH116" s="132" t="str">
        <f>IF(Исходн.данные.!AP116=Расчет!$CI$16,"Нет",IF(Исходн.данные.!AL116&gt;0,Исходн.данные.!AL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BH$4,IF(OR(Исходн.данные.!AI116=Исходн.данные.!$AI$6,Исходн.данные.!AI116=Исходн.данные.!$AI$7),Расчет!BS116,IF(AND($CF116=0,$CE116&gt;0),EV116,ER116)))))</f>
        <v>Аммофос 12:52:00</v>
      </c>
      <c r="CI116" s="274">
        <f>IF(Расчет!$CH116="Нет","Нет",IF(Исходн.данные.!$AL116&gt;0,VLOOKUP(Расчет!$CH116,АшламаДВ_Irekle,2,FALSE),VLOOKUP(Расчет!$CH116,АшламаДВ_Gomumy,2,FALSE)))</f>
        <v>0.12</v>
      </c>
      <c r="CJ116" s="274">
        <f>IF(Расчет!$CH116="Нет","Нет",IF(Исходн.данные.!$AL116&gt;0,VLOOKUP(Расчет!$CH116,АшламаДВ_Irekle,3,FALSE),VLOOKUP(Расчет!$CH116,АшламаДВ_Gomumy,3,FALSE)))</f>
        <v>0.52</v>
      </c>
      <c r="CK116" s="274">
        <f>IF(Расчет!$CH116="Нет","Нет",IF(Исходн.данные.!$AL116&gt;0,VLOOKUP(Расчет!$CH116,АшламаДВ_Irekle,4,FALSE),VLOOKUP(Расчет!$CH116,АшламаДВ_Gomumy,4,FALSE)))</f>
        <v>0</v>
      </c>
      <c r="CL116" s="70"/>
      <c r="CM116" s="70"/>
      <c r="CN116" s="70"/>
      <c r="CO116" s="70"/>
      <c r="CP116" s="70"/>
      <c r="CQ116" s="70"/>
      <c r="CR116" s="10">
        <f t="shared" si="165"/>
        <v>0</v>
      </c>
      <c r="CS116" s="10">
        <f t="shared" si="166"/>
        <v>19.23076923076923</v>
      </c>
      <c r="CT116" s="10">
        <f t="shared" si="167"/>
        <v>0</v>
      </c>
      <c r="CU116" s="39">
        <f>IF($CH116="Нет",0,IF(CI116=0,30/MIN(CJ116:CK116),IF(Исходн.данные.!$AG116=$BV$11,CR116,IF(OR(Исходн.данные.!$AH116=$BQ$7,Исходн.данные.!$AH116=$BQ$8),90/CI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0,IF(Исходн.данные.!$AI116=$BU$11,"Нет",30/CI116))))))</f>
        <v>250</v>
      </c>
      <c r="CV116" s="39">
        <f>IF($CH116="Нет",0,IF(Исходн.данные.!AH116=0,0,IF(CJ116=0,60/MIN(CI116,CK116),IF(Исходн.данные.!$AG116=$BV$11,CS116,IF(OR(Исходн.данные.!$AH116=$BQ$7,Исходн.данные.!$AH116=$BQ$8),90/CJ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10/CJ116,IF(Исходн.данные.!$AI116=$BU$11,"Нет",60/CJ116)))))))</f>
        <v>0</v>
      </c>
      <c r="CW116" s="39">
        <f>IF($CH116="Нет",0,IF(Исходн.данные.!AH116=0,0,IF(CK116=0,30/MIN(CI116:CJ116),IF(Исходн.данные.!$AG116=$BV$11,CT116,IF(OR(Исходн.данные.!$AH116=$BQ$7,Исходн.данные.!$AH116=$BQ$8),90/CK116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0,IF(Исходн.данные.!$AI116=$BU$11,"Нет",30/CK116)))))))</f>
        <v>0</v>
      </c>
      <c r="CX116" s="133">
        <f>IF(Исходн.данные.!$AG116=$BV$11,MAX(CU116:CW116),IF(OR(Исходн.данные.!$AH116=$BS$8,Исходн.данные.!$AH116=$BQ$9,Исходн.данные.!$AH116=$BQ$10,Исходн.данные.!$AH116=$BQ$11,Исходн.данные.!$AH116=$BQ$12,Исходн.данные.!$AH116=$BP$3,Исходн.данные.!$AH116=$BT$8,$FM116="Да"),CV116,MIN(CU116:CW116)))</f>
        <v>0</v>
      </c>
      <c r="CY116" s="133">
        <f>IF(Исходн.данные.!AH116=0,0,IF(CR116&gt;$CX116,$CX116,CR116))</f>
        <v>0</v>
      </c>
      <c r="CZ116" s="133">
        <f>IF(Исходн.данные.!AH116=0,0,IF(CS116&gt;$CX116,$CX116,CS116))</f>
        <v>0</v>
      </c>
      <c r="DA116" s="133">
        <f>IF(Исходн.данные.!AH116=0,0,IF(CT116&gt;$CX116,$CX116,CT116))</f>
        <v>0</v>
      </c>
      <c r="DB116" s="10">
        <f t="shared" si="168"/>
        <v>0</v>
      </c>
      <c r="DC116" s="39">
        <f>DB116*Исходн.данные.!AJ116/1000</f>
        <v>0</v>
      </c>
      <c r="DD116" s="71">
        <f t="shared" si="169"/>
        <v>0</v>
      </c>
      <c r="DE116" s="9">
        <f t="shared" si="170"/>
        <v>0</v>
      </c>
      <c r="DF116" s="9">
        <f t="shared" si="171"/>
        <v>0</v>
      </c>
      <c r="DG116" s="39">
        <f>IF(BL116&lt;0,0,IF($CH116="Нет",BL116,IF(OR(Исходн.данные.!$AH116=$BP$1,Исходн.данные.!$AH116=$BP$2),0,IF(Исходн.данные.!AI116=$BU$11,BL116,IF(BL116-DD116&lt;0,0,BL116-DD116)))))</f>
        <v>0</v>
      </c>
      <c r="DH116" s="39">
        <f>IF(BM116&lt;0,0,IF($CH116="Нет",BM116,IF(OR(Исходн.данные.!$AH116=$BP$1,Исходн.данные.!$AH116=$BP$2),0,IF(Исходн.данные.!AJ116=$BU$11,BM116,IF(BM116-DE116&lt;0,0,BM116-DE116)))))</f>
        <v>0</v>
      </c>
      <c r="DI116" s="39">
        <f>IF(BN116&lt;0,0,IF($CH116="Нет",BN116,IF(OR(Исходн.данные.!$AH116=$BP$1,Исходн.данные.!$AH116=$BP$2),0,IF(Исходн.данные.!AK116=$BU$11,BN116,IF(BN116-DF116&lt;0,0,BN116-DF116)))))</f>
        <v>0</v>
      </c>
      <c r="DJ116" s="12">
        <f t="shared" si="172"/>
        <v>0</v>
      </c>
      <c r="DK116" s="9">
        <f t="shared" si="173"/>
        <v>0</v>
      </c>
      <c r="DL116" s="39">
        <f>IF(Исходн.данные.!AM116&gt;0,Исходн.данные.!AM116,IF(EG116&gt;0,$BH$10,0))</f>
        <v>0</v>
      </c>
      <c r="DM116" s="186">
        <f>IF($DL116=0,0,IF(Исходн.данные.!AM116&gt;0,VLOOKUP($DL116,АшламаДВ_Irekle,2,FALSE),VLOOKUP($DL116,АшламаДВ_Gomumy,2,FALSE)))</f>
        <v>0</v>
      </c>
      <c r="DN116" s="10">
        <f t="shared" si="151"/>
        <v>0</v>
      </c>
      <c r="DO116" s="9" t="str">
        <f>IF(Исходн.данные.!AN116&gt;0,Исходн.данные.!AN116,Удобрения!$B$37 )</f>
        <v>Хлор.калий</v>
      </c>
      <c r="DP116" s="9">
        <f>IF(Исходн.данные.!AN116&gt;0,VLOOKUP(Исходн.данные.!AN116,АшламаДВ_Irekle,4,FALSE),VLOOKUP(DO116,АшламаДВ_Gomumy,4,FALSE))</f>
        <v>0.6</v>
      </c>
      <c r="DQ116" s="10">
        <f t="shared" si="152"/>
        <v>0</v>
      </c>
      <c r="DR116" s="132" t="str">
        <f>IF(Исходн.данные.!AO116&gt;0,Исходн.данные.!AO116,IF(DH116=0,BS$17,IF(AND($DK116=0,$DJ116&gt;0),EJ116,EN116)))</f>
        <v>Нет</v>
      </c>
      <c r="DS116" s="70" t="str">
        <f>IF($DR116="Нет","Нет",IF(Исходн.данные.!$AO116&gt;0,VLOOKUP($DR116,АшламаДВ_Irekle,2,FALSE),VLOOKUP($DR116,АшламаДВ_Gomumy,2,FALSE)))</f>
        <v>Нет</v>
      </c>
      <c r="DT116" s="70" t="str">
        <f>IF($DR116="Нет","Нет",IF(Исходн.данные.!$AO116&gt;0,VLOOKUP($DR116,АшламаДВ_Irekle,3,FALSE),VLOOKUP($DR116,АшламаДВ_Gomumy,3,FALSE)))</f>
        <v>Нет</v>
      </c>
      <c r="DU116" s="70" t="str">
        <f>IF($DR116="Нет","Нет",IF(Исходн.данные.!$AO116&gt;0,VLOOKUP($DR116,АшламаДВ_Irekle,4,FALSE),VLOOKUP($DR116,АшламаДВ_Gomumy,4,FALSE)))</f>
        <v>Нет</v>
      </c>
      <c r="DV116" s="70"/>
      <c r="DW116" s="70"/>
      <c r="DX116" s="70"/>
      <c r="DY116" s="10">
        <f t="shared" si="174"/>
        <v>0</v>
      </c>
      <c r="DZ116" s="10">
        <f t="shared" si="175"/>
        <v>0</v>
      </c>
      <c r="EA116" s="10">
        <f t="shared" si="176"/>
        <v>0</v>
      </c>
      <c r="EB116" s="10">
        <f t="shared" si="177"/>
        <v>0</v>
      </c>
      <c r="EC116" s="10">
        <f t="shared" si="178"/>
        <v>0</v>
      </c>
      <c r="ED116" s="10">
        <f t="shared" si="179"/>
        <v>0</v>
      </c>
      <c r="EE116" s="10">
        <f t="shared" si="180"/>
        <v>0</v>
      </c>
      <c r="EF116" s="39">
        <f>EB116*Исходн.данные.!AJ116/1000</f>
        <v>0</v>
      </c>
      <c r="EG116" s="9">
        <f t="shared" si="181"/>
        <v>0</v>
      </c>
      <c r="EH116" s="9">
        <f t="shared" si="182"/>
        <v>0</v>
      </c>
      <c r="EI116" s="39" t="e">
        <f t="shared" si="132"/>
        <v>#DIV/0!</v>
      </c>
      <c r="EJ116" s="9" t="str">
        <f t="shared" si="153"/>
        <v>Азопреципитат</v>
      </c>
      <c r="EK116" s="12">
        <f t="shared" si="133"/>
        <v>0.26</v>
      </c>
      <c r="EL116" s="12">
        <f t="shared" si="134"/>
        <v>0.13</v>
      </c>
      <c r="EM116" s="12">
        <f t="shared" si="135"/>
        <v>0</v>
      </c>
      <c r="EN116" s="12" t="str">
        <f t="shared" si="154"/>
        <v>Нет</v>
      </c>
      <c r="EO116" s="12">
        <f t="shared" si="136"/>
        <v>0</v>
      </c>
      <c r="EP116" s="12">
        <f t="shared" si="137"/>
        <v>0</v>
      </c>
      <c r="EQ116" s="12">
        <f t="shared" si="138"/>
        <v>0</v>
      </c>
      <c r="ER116" s="12" t="str">
        <f t="shared" si="183"/>
        <v>Диаммофоска</v>
      </c>
      <c r="ES116" s="12">
        <f t="shared" si="139"/>
        <v>0.1</v>
      </c>
      <c r="ET116" s="12">
        <f t="shared" si="140"/>
        <v>0.26</v>
      </c>
      <c r="EU116" s="12">
        <f t="shared" si="141"/>
        <v>0.26</v>
      </c>
      <c r="EV116" s="12" t="str">
        <f t="shared" si="184"/>
        <v>Аммофос 12:52:00</v>
      </c>
      <c r="EW116" s="12" t="str">
        <f t="shared" si="185"/>
        <v>Кемира Свекловичное-6</v>
      </c>
      <c r="EX116" s="12">
        <f t="shared" si="142"/>
        <v>0.16</v>
      </c>
      <c r="EY116" s="12">
        <f t="shared" si="143"/>
        <v>0.12</v>
      </c>
      <c r="EZ116" s="12">
        <f t="shared" si="144"/>
        <v>0.17</v>
      </c>
      <c r="FA116" s="38" t="e">
        <f>IF(AND(OR(FJ116=$FD$1,FM116=$FD$1,FO116=$FD$1,FQ116=$FD$1,FS116=$FD$1),FD116=$FD$1,Исходн.данные.!J116&lt;2,FU116=$FD$1),"Бор,Кобальт",IF(AND(FO116=$FD$1,FH116=$FD$1,Исходн.данные.!J116&lt;2,FU116=$FD$1),"Бор,Кобальт",IF(AND(OR(FJ116=$FD$1,FM116=$FD$1,FQ116=$FD$1),FE116=$FD$1,Исходн.данные.!J116&lt;2,FT116=$FD$1,FU116=$FD$1),"Бор,Медь,Цинк",IF(AND(OR(FJ116=$FD$1,FR116="Да"),FI116="Да",Исходн.данные.!J116&lt;2,FT116="Да",FU116="Да"),"Бор,Цинк,Медь",IF(AND(OR(FM116="Да",FQ116="Да"),FI116="Да",Исходн.данные.!J116&lt;2,FT116="Да",FU116="Да"),"Бор,Цинк",IF(AND(FN116="Да",OR(FD116="Да",FE116="Да")),"Бор",FB116))))))</f>
        <v>#N/A</v>
      </c>
      <c r="FB116" s="134" t="e">
        <f>IF(AND(OR(FD116="Да",FE116="Да",FF116="Да",FG116="Да",FH116="Да"),FO116="Да"),"Бор",IF(AND(FP116="Да",OR(FD116="Да",FE116="Да",FI116="Да")),"Бор",IF(AND(FS116="Да",FE116="Да"),"Бор,Медь",IF(AND(OR(FJ116="Да",FK116="Да",FL116="Да"),FE116="Да",Исходн.данные.!I116&lt;5,FT116="Да",FU116="Да"),"Молибден,Цинк",IF(AND(FM116="Да",OR(FE116="Да",FF116="Да",FG116="Да",FH116="Да",FI116="Да")),"Молибден,Цинк",IF(AND(OR(FJ116="Да",FK116="Да",FL116="Да",FM116="Да",FQ116="Да"),OR(FE116="Да",FF116="Да"),FT116="Да",FU116="Да",Исходн.данные.!I116&gt;5.5),"Медь,Цинк",FC116))))))</f>
        <v>#N/A</v>
      </c>
      <c r="FC116" s="23" t="e">
        <f t="shared" si="186"/>
        <v>#N/A</v>
      </c>
      <c r="FD116" s="38" t="str">
        <f>IF(OR(Исходн.данные.!F116=$CC$1,Исходн.данные.!F116=$CC$2,Исходн.данные.!F116=$CC$3,Исходн.данные.!F116=$CC$4),"Да","Нет")</f>
        <v>Нет</v>
      </c>
      <c r="FE116" s="38" t="str">
        <f>IF(Исходн.данные.!F116=$CC$5,"Да","Нет")</f>
        <v>Нет</v>
      </c>
      <c r="FF116" s="38" t="str">
        <f>IF(OR(Исходн.данные.!F116=$CC$6,Исходн.данные.!F116=$CC$7),"Да","Нет")</f>
        <v>Нет</v>
      </c>
      <c r="FG116" s="38" t="str">
        <f>IF(OR(Исходн.данные.!F116=$CC$8,Исходн.данные.!F116=$CC$9),"Да","Нет")</f>
        <v>Нет</v>
      </c>
      <c r="FH116" s="38" t="str">
        <f>IF(Исходн.данные.!F116=$CC$10,"Да","Нет")</f>
        <v>Нет</v>
      </c>
      <c r="FI116" s="38" t="str">
        <f>IF(OR(Исходн.данные.!F116=$CC$11,Исходн.данные.!F116=$CC$12),"Да","Нет")</f>
        <v>Нет</v>
      </c>
      <c r="FJ116" s="38" t="str">
        <f>IF(OR(Исходн.данные.!AH116=$BS$1,Исходн.данные.!AH116=$BQ$11,Исходн.данные.!AH116=$BQ$12),"Да","Нет")</f>
        <v>Нет</v>
      </c>
      <c r="FK116" s="38" t="str">
        <f>IF(OR(Исходн.данные.!AH116=$BS$2,Исходн.данные.!AH116=$BS$4),"Да","Нет")</f>
        <v>Нет</v>
      </c>
      <c r="FL116" s="38" t="str">
        <f>IF(OR(Исходн.данные.!AH116=$BS$3,Исходн.данные.!AH116=$BS$5),"Да","Нет")</f>
        <v>Нет</v>
      </c>
      <c r="FM116" s="38" t="str">
        <f>IF(OR(Исходн.данные.!AH116=$BS$9,Исходн.данные.!AH116=$BS$10,Исходн.данные.!AH116=$BS$11,Исходн.данные.!AH116=$BS$12),"Да","Нет")</f>
        <v>Нет</v>
      </c>
      <c r="FN116" s="38" t="str">
        <f>IF(OR(Исходн.данные.!AH116=$BS$6,Исходн.данные.!AH116=$BP$3),"Да","Нет")</f>
        <v>Нет</v>
      </c>
      <c r="FO116" s="38" t="str">
        <f>IF(Исходн.данные.!AH116=$BQ$9,"Да","Нет")</f>
        <v>Нет</v>
      </c>
      <c r="FP116" s="38" t="str">
        <f>IF(OR(Исходн.данные.!AH116=$BS$8,Исходн.данные.!AH116=$BT$8),"Да","Нет")</f>
        <v>Нет</v>
      </c>
      <c r="FQ116" s="38" t="str">
        <f>IF(OR(Исходн.данные.!AH116=$BQ$7,Исходн.данные.!AH116=$BQ$8),"Да","Нет")</f>
        <v>Нет</v>
      </c>
      <c r="FR116" s="38" t="str">
        <f>IF(Исходн.данные.!AI116=$BU$9,"Да","Нет")</f>
        <v>Нет</v>
      </c>
      <c r="FS116" s="38" t="str">
        <f>IF(OR(Исходн.данные.!AH116=$BP$1,Исходн.данные.!AH116=$BP$2),"Да","Нет")</f>
        <v>Нет</v>
      </c>
      <c r="FT116" s="38" t="e">
        <f>IF((Исходн.данные.!K116*GO116*GS116*GW116+BL116*0.6+Исходн.данные.!Q116*4.5*0.275)&gt;90,"Да","Нет")</f>
        <v>#N/A</v>
      </c>
      <c r="FU116" s="38" t="e">
        <f>IF((Исходн.данные.!M116*GS116*GZ116+BM116*0.225)&gt;35,"Да","Нет")</f>
        <v>#N/A</v>
      </c>
      <c r="FV116" s="38" t="str">
        <f>IF(Исходн.данные.!O116&gt;175,"Да","Нет")</f>
        <v>Нет</v>
      </c>
      <c r="FW116" s="39" t="str">
        <f>IF(Исходн.данные.!I116&gt;5.5,"Да","Нет")</f>
        <v>Нет</v>
      </c>
      <c r="FX116" s="39" t="str">
        <f>IF(Исходн.данные.!J116&lt;2,"Да","Нет")</f>
        <v>Да</v>
      </c>
      <c r="FY116" s="39" t="e">
        <f>IF(HF116=$FY$16,0,Исходн.данные.!K116*GO116*GS116*GW116/HF116)</f>
        <v>#N/A</v>
      </c>
      <c r="FZ116" s="39" t="e">
        <f>Исходн.данные.!M116*GS116*GZ116/HG116</f>
        <v>#N/A</v>
      </c>
      <c r="GA116" s="39" t="e">
        <f>IF(K_Wyn=$FY$16,0,IF(Исходн.данные.!N116=Исходн.данные.!$L$10,Исходн.данные.!O116/1.1*GS116*HC116/HH116,IF(Исходн.данные.!N116=Исходн.данные.!$L$12,Исходн.данные.!O116/1.5*GS116*HC116/HH116,Исходн.данные.!O116*GS116*HC116/HH116)))</f>
        <v>#N/A</v>
      </c>
      <c r="GB116" s="39" t="e">
        <f>IF(HF116=$FY$16,0,((Исходн.данные.!Q116*N_Org+Исходн.данные.!R116*N_Sider+Исходн.данные.!S116*N_Soloma)*AO116+Расчет!BC116*VLOOKUP(Исходн.данные.!T116,Справ!$A$3:$O$57,15)*AO116+BB116*VLOOKUP(Исходн.данные.!T116,Справ!$A$3:$O$57,15)*AL116+(Исходн.данные.!V116*N_Rizotorf+Исходн.данные.!W116*N_Rizoagr))/HF116)</f>
        <v>#N/A</v>
      </c>
      <c r="GC116" s="39" t="e">
        <f>IF(HG116=$FY$16,0,((Исходн.данные.!Q116*Р_Org+Исходн.данные.!R116*P_Sider+Исходн.данные.!S116*P_Soloma)*AP116+Расчет!BC116*VLOOKUP(Исходн.данные.!T116,Справ!$A$3:$P$57,16)*AP116+BB116*VLOOKUP(Исходн.данные.!T116,Справ!$A$3:$P$57,16)*AM116)/HG116)</f>
        <v>#N/A</v>
      </c>
      <c r="GD116" s="39" t="e">
        <f>IF(HH116=$FY$16,0,((Исходн.данные.!Q116*К_Org+Исходн.данные.!R116*K_Sider+Исходн.данные.!S116*K_Soloma)*AQ116+Расчет!BC116*VLOOKUP(Исходн.данные.!T116,Справ!$A$3:$Q$57,17)*AQ116+BB116*VLOOKUP(Исходн.данные.!T116,Справ!$A$3:$Q$57,17)*AN116)/HH116)</f>
        <v>#N/A</v>
      </c>
      <c r="GE116" s="39" t="e">
        <f>IF(HF116=$FY$16,0,(Исходн.данные.!X116*AR116+Исходн.данные.!AA116*N_Org*AL116+Исходн.данные.!AB116*N_Sider*AL116+Исходн.данные.!AC116*N_Soloma*AL116)/HF116)</f>
        <v>#N/A</v>
      </c>
      <c r="GF116" s="39" t="e">
        <f>IF(HG116=$FY$16,0,(Исходн.данные.!Y116*AS116+Исходн.данные.!AA116*Р_Org*AM116+Исходн.данные.!AB116*P_Sider*AM116+Исходн.данные.!AC116*P_Soloma*AM116)/HG116)</f>
        <v>#N/A</v>
      </c>
      <c r="GG116" s="39" t="e">
        <f>IF(HH116=$FY$16,0,(Исходн.данные.!Z116*AT116+Исходн.данные.!AA116*К_Org*AN116+Исходн.данные.!AB116*K_Sider*AN116+Исходн.данные.!AC116*K_Soloma*AN116)/HH116)</f>
        <v>#N/A</v>
      </c>
      <c r="GH116" s="39" t="e">
        <f>Исходн.данные.!AD116*AU116/HF116</f>
        <v>#N/A</v>
      </c>
      <c r="GI116" s="39" t="e">
        <f>Исходн.данные.!AE116*AV116/HG116</f>
        <v>#N/A</v>
      </c>
      <c r="GJ116" s="39" t="e">
        <f>Исходн.данные.!AF116*AW116/HH116</f>
        <v>#N/A</v>
      </c>
      <c r="GK116" s="55">
        <f>Исходн.данные.!AK116</f>
        <v>0</v>
      </c>
      <c r="GL116" s="11" t="e">
        <f t="shared" si="187"/>
        <v>#N/A</v>
      </c>
      <c r="GM116" s="11" t="e">
        <f t="shared" si="188"/>
        <v>#N/A</v>
      </c>
      <c r="GN116" s="11" t="e">
        <f t="shared" si="189"/>
        <v>#N/A</v>
      </c>
      <c r="GO116" s="57">
        <f t="shared" si="190"/>
        <v>19</v>
      </c>
      <c r="GP116" s="55">
        <f>IF(OR(Исходн.данные.!F116=$CE$1,Исходн.данные.!F116=$CE$2,Исходн.данные.!F116=$CE$3,Исходн.данные.!F116=$CE$4,Исходн.данные.!F116=$CE$5),GQ116,GR116)</f>
        <v>19</v>
      </c>
      <c r="GQ116" s="55">
        <f>IF(Исходн.данные.!F116=$CE$1,28,IF(Исходн.данные.!F116=$CE$2,26,IF(Исходн.данные.!F116=$CE$3,24,IF(Исходн.данные.!F116=$CE$4,22,IF(Исходн.данные.!F116=$CE$5,20,GR116)))))</f>
        <v>19</v>
      </c>
      <c r="GR116" s="55">
        <f>IF(Исходн.данные.!F116=$CE$6,18,IF(Исходн.данные.!F116=$CE$7,16,IF(Исходн.данные.!F116=$CE$8,14,IF(Исходн.данные.!F116=$CE$9,13,IF(Исходн.данные.!F116=$CE$10,12,19)))))</f>
        <v>19</v>
      </c>
      <c r="GS116" s="55">
        <f>IF(Исходн.данные.!G116="Пес",0.035*(40+2*Исходн.данные.!H116),IF(Исходн.данные.!G116="Суп",0.0325*(40+2*Исходн.данные.!H116),0.03*(40+2*Исходн.данные.!H116)))</f>
        <v>1.2</v>
      </c>
      <c r="GT116" s="55">
        <f>IF(Исходн.данные.!H116&lt;23,2.6,IF(AND(Исходн.данные.!H116&gt;22,Исходн.данные.!H116&lt;26),3,IF(AND(Исходн.данные.!H116&gt;25,Исходн.данные.!H116&lt;29),3.4,3.6)))</f>
        <v>2.6</v>
      </c>
      <c r="GU116" s="55">
        <f>IF(Исходн.данные.!H116&lt;23,2.8,IF(AND(Исходн.данные.!H116&gt;22,Исходн.данные.!H116&lt;26),3.2,IF(AND(Исходн.данные.!H116&gt;25,Исходн.данные.!H116&lt;29),3.6,3.9)))</f>
        <v>2.8</v>
      </c>
      <c r="GV116" s="55">
        <f>IF(Исходн.данные.!H116&lt;23,3,IF(AND(Исходн.данные.!H116&gt;22,Исходн.данные.!H116&lt;26),3.5,IF(AND(Исходн.данные.!H116&gt;25,Исходн.данные.!H116&lt;29),3.9,4.2)))</f>
        <v>3</v>
      </c>
      <c r="GW116" s="55" t="e">
        <f>IF(Исходн.данные.!P116="Ум",GX116,GY116)</f>
        <v>#N/A</v>
      </c>
      <c r="GX116" s="55" t="e">
        <f>VLOOKUP(Исходн.данные.!AI116,Коэффициенты!$J$7:$L$13,2,FALSE)</f>
        <v>#N/A</v>
      </c>
      <c r="GY116" s="55" t="e">
        <f>VLOOKUP(Исходн.данные.!AI116,Коэффициенты!$J$7:$L$13,3,FALSE)</f>
        <v>#N/A</v>
      </c>
      <c r="GZ116" s="55" t="e">
        <f>(IF(Исходн.данные.!M116&lt;50,0.11*VLOOKUP(Исходн.данные.!AH116,Культуры.Информация,7,FALSE),IF(Исходн.данные.!M116&gt;250,0.05*VLOOKUP(Исходн.данные.!AH116,Культуры.Информация,7,FALSE),VLOOKUP(Исходн.данные.!AH116,Культуры.Информация,5,FALSE)/100*($GX$6+$GY$6*Исходн.данные.!M116))))*Расчет2!AI116</f>
        <v>#N/A</v>
      </c>
      <c r="HA116" s="211"/>
      <c r="HB116" s="211"/>
      <c r="HC116" s="55" t="e">
        <f>(IF(Исходн.данные.!O116&lt;80,0.2*VLOOKUP(Исходн.данные.!AH116,Культуры.Информация,8,FALSE),IF(Исходн.данные.!O116&gt;240,0.09*VLOOKUP(Исходн.данные.!AH116,Культуры.Информация,8,FALSE),VLOOKUP(Исходн.данные.!AH116,Культуры.Информация,6,FALSE)/100*($HB$6+$HC$6*Исходн.данные.!O116))))*Расчет2!AJ116</f>
        <v>#N/A</v>
      </c>
      <c r="HD116" s="55">
        <f>IF(Исходн.данные.!O116&gt;240,0.09,IF(Исходн.данные.!O116&lt;30,0.3,$HE$10+$HD$10*Исходн.данные.!O116))</f>
        <v>0.3</v>
      </c>
      <c r="HE116" s="55">
        <f>IF(Исходн.данные.!O116&gt;240,0.17,IF(Исходн.данные.!O116&lt;30,0.5,$HF$12+$HE$12*Исходн.данные.!O116))</f>
        <v>0.5</v>
      </c>
      <c r="HF116" s="55" t="e">
        <f>VLOOKUP(Исходн.данные.!AH116,Справ!$A$3:$D$58,2,FALSE)</f>
        <v>#N/A</v>
      </c>
      <c r="HG116" s="55" t="e">
        <f>VLOOKUP(Исходн.данные.!AH116,Справ!$A$3:$D$58,3,FALSE)</f>
        <v>#N/A</v>
      </c>
      <c r="HH116" s="55" t="e">
        <f>VLOOKUP(Исходн.данные.!AH116,Справ!$A$3:$D$58,4,FALSE)</f>
        <v>#N/A</v>
      </c>
      <c r="HI116" s="11" t="e">
        <f t="shared" si="191"/>
        <v>#N/A</v>
      </c>
      <c r="HJ116" s="11" t="e">
        <f t="shared" si="192"/>
        <v>#N/A</v>
      </c>
      <c r="HK116" s="11" t="e">
        <f t="shared" si="193"/>
        <v>#N/A</v>
      </c>
      <c r="HL116" s="55">
        <f>IF(OR(Исходн.данные.!G116="Глин",Исходн.данные.!G116="Т_суг"),1.1,IF(Исходн.данные.!G116="Ср_суг",1,1))</f>
        <v>1</v>
      </c>
      <c r="HM116" s="55">
        <f>IF(OR(Исходн.данные.!G116="Глин",Исходн.данные.!G116="Т_суг"),0.9,IF(Исходн.данные.!G116="Ср_суг",1,1.2))</f>
        <v>1.2</v>
      </c>
      <c r="HN116" s="11" t="e">
        <f t="shared" si="194"/>
        <v>#N/A</v>
      </c>
      <c r="HO116" s="11" t="e">
        <f t="shared" si="195"/>
        <v>#N/A</v>
      </c>
      <c r="HP116" s="11" t="e">
        <f t="shared" si="196"/>
        <v>#N/A</v>
      </c>
      <c r="HQ116" t="e">
        <f t="shared" si="197"/>
        <v>#N/A</v>
      </c>
      <c r="HR116" t="e">
        <f t="shared" si="198"/>
        <v>#N/A</v>
      </c>
      <c r="HS116" t="e">
        <f t="shared" si="199"/>
        <v>#N/A</v>
      </c>
      <c r="HT116" t="e">
        <f t="shared" si="145"/>
        <v>#N/A</v>
      </c>
      <c r="HU116" t="e">
        <f t="shared" si="146"/>
        <v>#N/A</v>
      </c>
      <c r="HV116" t="e">
        <f t="shared" si="147"/>
        <v>#N/A</v>
      </c>
      <c r="HW116" t="e">
        <f t="shared" si="148"/>
        <v>#N/A</v>
      </c>
      <c r="HX116" t="e">
        <f t="shared" si="149"/>
        <v>#N/A</v>
      </c>
      <c r="HY116" t="e">
        <f t="shared" si="150"/>
        <v>#N/A</v>
      </c>
      <c r="HZ116" s="55">
        <f>IF(OR(Исходн.данные.!AI116="Оз_Ч_П",Исходн.данные.!AI116="Оз_З_П",Исходн.данные.!AI116="Яр_зер"),12,30)</f>
        <v>30</v>
      </c>
      <c r="IA116" t="e">
        <f t="shared" si="200"/>
        <v>#N/A</v>
      </c>
      <c r="IB116" t="e">
        <f t="shared" si="201"/>
        <v>#N/A</v>
      </c>
      <c r="IC116" t="e">
        <f t="shared" si="202"/>
        <v>#N/A</v>
      </c>
      <c r="ID116" s="11" t="e">
        <f t="shared" si="203"/>
        <v>#N/A</v>
      </c>
      <c r="IE116" s="11" t="e">
        <f t="shared" si="204"/>
        <v>#N/A</v>
      </c>
      <c r="IF116" s="11" t="e">
        <f t="shared" si="205"/>
        <v>#N/A</v>
      </c>
    </row>
    <row r="117" spans="35:240" x14ac:dyDescent="0.2">
      <c r="AI117">
        <f>IF(Исходн.данные.!I117&gt;6,1,1.85-(0.148*Исходн.данные.!I117))</f>
        <v>1.85</v>
      </c>
      <c r="AJ117">
        <f>IF(Исходн.данные.!I117&gt;6,1,2.434-(0.246*Исходн.данные.!I117))</f>
        <v>2.4340000000000002</v>
      </c>
      <c r="AL117" s="148" t="b">
        <f>IF(Исходн.данные.!$P117="Ум",N_OrgUd_2g_um,IF(Исходн.данные.!$P117="Об",N_OrgUd_2g_ob))</f>
        <v>0</v>
      </c>
      <c r="AM117" s="148" t="b">
        <f>IF(Исходн.данные.!$P117="Ум",P_OrgUd_2g_um,IF(Исходн.данные.!$P117="Об",P_OrgUd_2g_ob))</f>
        <v>0</v>
      </c>
      <c r="AN117" s="148" t="b">
        <f>IF(Исходн.данные.!$P117="Ум",K_OrgUd_2g_um,IF(Исходн.данные.!$P117="Об",K_OrgUd_2g_ob))</f>
        <v>0</v>
      </c>
      <c r="AO117" s="148" t="b">
        <f>IF(Исходн.данные.!$P117="Ум",N_OrgUd_1g_um,IF(Исходн.данные.!$P117="Об",N_OrgUd_1g_ob))</f>
        <v>0</v>
      </c>
      <c r="AP117" s="148" t="b">
        <f>IF(Исходн.данные.!$P117="Ум",P_OrgUd_1g_um,IF(Исходн.данные.!$P117="Об",P_OrgUd_1g_ob))</f>
        <v>0</v>
      </c>
      <c r="AQ117" s="148" t="b">
        <f>IF(Исходн.данные.!$P117="Ум",K_OrgUd_1g_um,IF(Исходн.данные.!$P117="Об",K_OrgUd_1g_ob))</f>
        <v>0</v>
      </c>
      <c r="AR117" t="b">
        <f>IF(Исходн.данные.!$P117="Ум",N_MinUd_2g_um,IF(Исходн.данные.!$P117="Об",N_MinUd_2g_ob))</f>
        <v>0</v>
      </c>
      <c r="AS117" t="b">
        <f>IF(Исходн.данные.!$P117="Ум",P_MinUd_2g_um,IF(Исходн.данные.!$P117="Об",P_MinUd_2g_ob))</f>
        <v>0</v>
      </c>
      <c r="AT117" t="b">
        <f>IF(Исходн.данные.!$P117="Ум",K_MinUd_2g_um,IF(Исходн.данные.!$P117="Об",K_MinUd_2g_ob))</f>
        <v>0</v>
      </c>
      <c r="AU117" t="b">
        <f>IF(Исходн.данные.!$P117="Ум",N_MinUd_1g_um,IF(Исходн.данные.!$P117="Об",N_MinUd_1g_ob))</f>
        <v>0</v>
      </c>
      <c r="AV117" t="b">
        <f>IF(Исходн.данные.!P117="Ум",P_MinUd_1g_um,IF(Исходн.данные.!P117="Об",P_MinUd_1g_ob))</f>
        <v>0</v>
      </c>
      <c r="AW117" t="b">
        <f>IF(Исходн.данные.!P117="Ум",K_MinUd_1g_um,IF(Исходн.данные.!P117="Об",K_MinUd_1g_ob))</f>
        <v>0</v>
      </c>
      <c r="AY117" t="e">
        <f>VLOOKUP(Исходн.данные.!T117,Справ!$A$3:$N$57,12)</f>
        <v>#N/A</v>
      </c>
      <c r="AZ117" t="e">
        <f>VLOOKUP(Исходн.данные.!T117,Справ!$A$3:$N$57,13)</f>
        <v>#N/A</v>
      </c>
      <c r="BA117" t="e">
        <f>VLOOKUP(Исходн.данные.!T117,Справ!$A$3:$N$57,14)</f>
        <v>#N/A</v>
      </c>
      <c r="BB117">
        <f>IF(Исходн.данные.!AH117=0,0,25)</f>
        <v>0</v>
      </c>
      <c r="BC117" s="141">
        <f>IF(Исходн.данные.!AH117=0,0,IF(Исходн.данные.!T117=0,25,BD117))</f>
        <v>0</v>
      </c>
      <c r="BD117" s="168" t="e">
        <f>AY117+AZ117*Исходн.данные.!U117-POWER(BA117,2)*Исходн.данные.!U117</f>
        <v>#N/A</v>
      </c>
      <c r="BE11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7" s="25">
        <f>IF(Исходн.данные.!AH117=0,0,MIN(HN117:HP117))</f>
        <v>0</v>
      </c>
      <c r="BG117" s="9">
        <f>IF(Исходн.данные.!AH117=0,0,IF((HO117+10*0.25/HG117/HL117)&lt;17,17,HO117+10*0.25/HG117/HL117))</f>
        <v>0</v>
      </c>
      <c r="BH117" s="181">
        <f>IF(Исходн.данные.!AH117=0,0,HW117*HF117*HL117/AU117*AI117+Исходн.данные.!S117*10)</f>
        <v>0</v>
      </c>
      <c r="BI117" s="10"/>
      <c r="BJ117" s="182">
        <f>IF(Исходн.данные.!AH117=0,0,IF(HX117*HG117*HL117/AV117&lt;0,0,HX117*HG117*HL117/AV117*AJ117))</f>
        <v>0</v>
      </c>
      <c r="BK117" s="182">
        <f>IF(Исходн.данные.!AH117=0,0,HY117*HH117*HM117/AW117)</f>
        <v>0</v>
      </c>
      <c r="BL117" s="10">
        <f>IF(OR(Исходн.данные.!$AH117=$BP$1,Исходн.данные.!$AH117=$BP$2),0,IF(BH117&lt;0,0,IF(OR(Исходн.данные.!T117=Расчет!$BP$1,Исходн.данные.!T117=Расчет!$BP$2,Исходн.данные.!T117=Расчет!$BT$5,Исходн.данные.!T117=Расчет!$BT$6),BH117*0.5,IF(OR(Исходн.данные.!T117=Расчет!$BS$9,Исходн.данные.!T117=Расчет!$BS$10,Исходн.данные.!T117=Расчет!$BS$11,Исходн.данные.!T117=Расчет!$BS$12,Исходн.данные.!T117=Расчет!$BP$5),BH117*0.8,BH117))))</f>
        <v>0</v>
      </c>
      <c r="BM117" s="10">
        <f>IF(OR(Исходн.данные.!$AH117=$BP$1,Исходн.данные.!$AH117=$BP$2),0,IF(BJ117&lt;0,0,IF(Исходн.данные.!I117&lt;4.5,BJ117*1.2,IF(Исходн.данные.!I117&gt;5.1,BJ117,BJ117*((5.1-Исходн.данные.!I117)*0.333+1)))))</f>
        <v>0</v>
      </c>
      <c r="BN117" s="10">
        <f>IF(OR(Исходн.данные.!$AH117=$BP$1,Исходн.данные.!$AH117=$BP$2),60-Исходн.данные.!AF117,IF(BK117&lt;0,0,IF(Исходн.данные.!I117&lt;4.5,BK117*1.2,IF(Исходн.данные.!I117&gt;5.1,BK117,BK117*((5.1-Исходн.данные.!I117)*0.333+1)))))</f>
        <v>0</v>
      </c>
      <c r="BO117" s="9">
        <f>IF(BL117&lt;0,0,BL117*Исходн.данные.!$AJ117/1000)</f>
        <v>0</v>
      </c>
      <c r="BP117" s="9">
        <f>IF(BM117&lt;0,0,BM117*Исходн.данные.!$AJ117/1000)</f>
        <v>0</v>
      </c>
      <c r="BQ117" s="9">
        <f>IF(BN117&lt;0,0,BN117*Исходн.данные.!$AJ117/1000)</f>
        <v>0</v>
      </c>
      <c r="BR117" s="9">
        <f t="shared" si="155"/>
        <v>0</v>
      </c>
      <c r="BS117" s="10" t="str">
        <f t="shared" si="156"/>
        <v>Аммофос 12:52:00</v>
      </c>
      <c r="BT117" s="10" t="str">
        <f t="shared" si="157"/>
        <v>Аммофос 12:52:00</v>
      </c>
      <c r="BU117" s="10" t="str">
        <f t="shared" si="158"/>
        <v>Диаммофоска</v>
      </c>
      <c r="BV117" s="10">
        <f t="shared" si="159"/>
        <v>0</v>
      </c>
      <c r="BW117" s="10"/>
      <c r="BX117" s="10"/>
      <c r="BY117" s="9">
        <f>IF(BL117&lt;0,0,IF(OR(Исходн.данные.!AI117=Расчет!$BU$6,Исходн.данные.!AI117=Расчет!$BU$7),Расчет!BV117,IF(Исходн.данные.!$AG117=$BV$11,BL117,IF(OR(Исходн.данные.!$AH117=$BQ$7,Исходн.данные.!$AH117=$BQ$8),CB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0,IF(Исходн.данные.!$AI117=$BU$11,"Нет",IF(BL117&gt;30,30,BL117)))))))</f>
        <v>0</v>
      </c>
      <c r="BZ117" s="9">
        <f>IF(AND(Исходн.данные.!$AG117=$BV$11,BM117&lt;10),10,IF(Исходн.данные.!$AG117=$BV$11,BM117,IF(OR(Исходн.данные.!$AH117=$BQ$7,Исходн.данные.!$AH117=$BQ$8),CC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10,IF(Исходн.данные.!$AI117=$BU$11,"Нет",IF(BM117&gt;60,60,IF(BM117&lt;10,10,BM117)))))))</f>
        <v>10</v>
      </c>
      <c r="CA117" s="39">
        <f>IF(BN117&lt;0,0,IF(Исходн.данные.!$AG117=$BV$11,BN117,IF(OR(Исходн.данные.!$AH117=$BQ$7,Исходн.данные.!$AH117=$BQ$8),CD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0,IF(Исходн.данные.!$AI117=$BU$11,"Нет",IF(BN117&gt;30,30,BN117))))))</f>
        <v>0</v>
      </c>
      <c r="CB117" s="9">
        <f t="shared" si="160"/>
        <v>0</v>
      </c>
      <c r="CC117" s="9">
        <f t="shared" si="161"/>
        <v>0</v>
      </c>
      <c r="CD117" s="9">
        <f t="shared" si="162"/>
        <v>0</v>
      </c>
      <c r="CE117" s="12">
        <f t="shared" si="163"/>
        <v>10</v>
      </c>
      <c r="CF117" s="9">
        <f t="shared" si="164"/>
        <v>0</v>
      </c>
      <c r="CG117" s="9" t="s">
        <v>231</v>
      </c>
      <c r="CH117" s="132" t="str">
        <f>IF(Исходн.данные.!AP117=Расчет!$CI$16,"Нет",IF(Исходн.данные.!AL117&gt;0,Исходн.данные.!AL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BH$4,IF(OR(Исходн.данные.!AI117=Исходн.данные.!$AI$6,Исходн.данные.!AI117=Исходн.данные.!$AI$7),Расчет!BS117,IF(AND($CF117=0,$CE117&gt;0),EV117,ER117)))))</f>
        <v>Аммофос 12:52:00</v>
      </c>
      <c r="CI117" s="274">
        <f>IF(Расчет!$CH117="Нет","Нет",IF(Исходн.данные.!$AL117&gt;0,VLOOKUP(Расчет!$CH117,АшламаДВ_Irekle,2,FALSE),VLOOKUP(Расчет!$CH117,АшламаДВ_Gomumy,2,FALSE)))</f>
        <v>0.12</v>
      </c>
      <c r="CJ117" s="274">
        <f>IF(Расчет!$CH117="Нет","Нет",IF(Исходн.данные.!$AL117&gt;0,VLOOKUP(Расчет!$CH117,АшламаДВ_Irekle,3,FALSE),VLOOKUP(Расчет!$CH117,АшламаДВ_Gomumy,3,FALSE)))</f>
        <v>0.52</v>
      </c>
      <c r="CK117" s="274">
        <f>IF(Расчет!$CH117="Нет","Нет",IF(Исходн.данные.!$AL117&gt;0,VLOOKUP(Расчет!$CH117,АшламаДВ_Irekle,4,FALSE),VLOOKUP(Расчет!$CH117,АшламаДВ_Gomumy,4,FALSE)))</f>
        <v>0</v>
      </c>
      <c r="CL117" s="70"/>
      <c r="CM117" s="70"/>
      <c r="CN117" s="70"/>
      <c r="CO117" s="70"/>
      <c r="CP117" s="70"/>
      <c r="CQ117" s="70"/>
      <c r="CR117" s="10">
        <f t="shared" si="165"/>
        <v>0</v>
      </c>
      <c r="CS117" s="10">
        <f t="shared" si="166"/>
        <v>19.23076923076923</v>
      </c>
      <c r="CT117" s="10">
        <f t="shared" si="167"/>
        <v>0</v>
      </c>
      <c r="CU117" s="39">
        <f>IF($CH117="Нет",0,IF(CI117=0,30/MIN(CJ117:CK117),IF(Исходн.данные.!$AG117=$BV$11,CR117,IF(OR(Исходн.данные.!$AH117=$BQ$7,Исходн.данные.!$AH117=$BQ$8),90/CI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0,IF(Исходн.данные.!$AI117=$BU$11,"Нет",30/CI117))))))</f>
        <v>250</v>
      </c>
      <c r="CV117" s="39">
        <f>IF($CH117="Нет",0,IF(Исходн.данные.!AH117=0,0,IF(CJ117=0,60/MIN(CI117,CK117),IF(Исходн.данные.!$AG117=$BV$11,CS117,IF(OR(Исходн.данные.!$AH117=$BQ$7,Исходн.данные.!$AH117=$BQ$8),90/CJ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10/CJ117,IF(Исходн.данные.!$AI117=$BU$11,"Нет",60/CJ117)))))))</f>
        <v>0</v>
      </c>
      <c r="CW117" s="39">
        <f>IF($CH117="Нет",0,IF(Исходн.данные.!AH117=0,0,IF(CK117=0,30/MIN(CI117:CJ117),IF(Исходн.данные.!$AG117=$BV$11,CT117,IF(OR(Исходн.данные.!$AH117=$BQ$7,Исходн.данные.!$AH117=$BQ$8),90/CK117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0,IF(Исходн.данные.!$AI117=$BU$11,"Нет",30/CK117)))))))</f>
        <v>0</v>
      </c>
      <c r="CX117" s="133">
        <f>IF(Исходн.данные.!$AG117=$BV$11,MAX(CU117:CW117),IF(OR(Исходн.данные.!$AH117=$BS$8,Исходн.данные.!$AH117=$BQ$9,Исходн.данные.!$AH117=$BQ$10,Исходн.данные.!$AH117=$BQ$11,Исходн.данные.!$AH117=$BQ$12,Исходн.данные.!$AH117=$BP$3,Исходн.данные.!$AH117=$BT$8,$FM117="Да"),CV117,MIN(CU117:CW117)))</f>
        <v>0</v>
      </c>
      <c r="CY117" s="133">
        <f>IF(Исходн.данные.!AH117=0,0,IF(CR117&gt;$CX117,$CX117,CR117))</f>
        <v>0</v>
      </c>
      <c r="CZ117" s="133">
        <f>IF(Исходн.данные.!AH117=0,0,IF(CS117&gt;$CX117,$CX117,CS117))</f>
        <v>0</v>
      </c>
      <c r="DA117" s="133">
        <f>IF(Исходн.данные.!AH117=0,0,IF(CT117&gt;$CX117,$CX117,CT117))</f>
        <v>0</v>
      </c>
      <c r="DB117" s="10">
        <f t="shared" si="168"/>
        <v>0</v>
      </c>
      <c r="DC117" s="39">
        <f>DB117*Исходн.данные.!AJ117/1000</f>
        <v>0</v>
      </c>
      <c r="DD117" s="71">
        <f t="shared" si="169"/>
        <v>0</v>
      </c>
      <c r="DE117" s="9">
        <f t="shared" si="170"/>
        <v>0</v>
      </c>
      <c r="DF117" s="9">
        <f t="shared" si="171"/>
        <v>0</v>
      </c>
      <c r="DG117" s="39">
        <f>IF(BL117&lt;0,0,IF($CH117="Нет",BL117,IF(OR(Исходн.данные.!$AH117=$BP$1,Исходн.данные.!$AH117=$BP$2),0,IF(Исходн.данные.!AI117=$BU$11,BL117,IF(BL117-DD117&lt;0,0,BL117-DD117)))))</f>
        <v>0</v>
      </c>
      <c r="DH117" s="39">
        <f>IF(BM117&lt;0,0,IF($CH117="Нет",BM117,IF(OR(Исходн.данные.!$AH117=$BP$1,Исходн.данные.!$AH117=$BP$2),0,IF(Исходн.данные.!AJ117=$BU$11,BM117,IF(BM117-DE117&lt;0,0,BM117-DE117)))))</f>
        <v>0</v>
      </c>
      <c r="DI117" s="39">
        <f>IF(BN117&lt;0,0,IF($CH117="Нет",BN117,IF(OR(Исходн.данные.!$AH117=$BP$1,Исходн.данные.!$AH117=$BP$2),0,IF(Исходн.данные.!AK117=$BU$11,BN117,IF(BN117-DF117&lt;0,0,BN117-DF117)))))</f>
        <v>0</v>
      </c>
      <c r="DJ117" s="12">
        <f t="shared" si="172"/>
        <v>0</v>
      </c>
      <c r="DK117" s="9">
        <f t="shared" si="173"/>
        <v>0</v>
      </c>
      <c r="DL117" s="39">
        <f>IF(Исходн.данные.!AM117&gt;0,Исходн.данные.!AM117,IF(EG117&gt;0,$BH$10,0))</f>
        <v>0</v>
      </c>
      <c r="DM117" s="186">
        <f>IF($DL117=0,0,IF(Исходн.данные.!AM117&gt;0,VLOOKUP($DL117,АшламаДВ_Irekle,2,FALSE),VLOOKUP($DL117,АшламаДВ_Gomumy,2,FALSE)))</f>
        <v>0</v>
      </c>
      <c r="DN117" s="10">
        <f t="shared" si="151"/>
        <v>0</v>
      </c>
      <c r="DO117" s="9" t="str">
        <f>IF(Исходн.данные.!AN117&gt;0,Исходн.данные.!AN117,Удобрения!$B$37 )</f>
        <v>Хлор.калий</v>
      </c>
      <c r="DP117" s="9">
        <f>IF(Исходн.данные.!AN117&gt;0,VLOOKUP(Исходн.данные.!AN117,АшламаДВ_Irekle,4,FALSE),VLOOKUP(DO117,АшламаДВ_Gomumy,4,FALSE))</f>
        <v>0.6</v>
      </c>
      <c r="DQ117" s="10">
        <f t="shared" si="152"/>
        <v>0</v>
      </c>
      <c r="DR117" s="132" t="str">
        <f>IF(Исходн.данные.!AO117&gt;0,Исходн.данные.!AO117,IF(DH117=0,BS$17,IF(AND($DK117=0,$DJ117&gt;0),EJ117,EN117)))</f>
        <v>Нет</v>
      </c>
      <c r="DS117" s="70" t="str">
        <f>IF($DR117="Нет","Нет",IF(Исходн.данные.!$AO117&gt;0,VLOOKUP($DR117,АшламаДВ_Irekle,2,FALSE),VLOOKUP($DR117,АшламаДВ_Gomumy,2,FALSE)))</f>
        <v>Нет</v>
      </c>
      <c r="DT117" s="70" t="str">
        <f>IF($DR117="Нет","Нет",IF(Исходн.данные.!$AO117&gt;0,VLOOKUP($DR117,АшламаДВ_Irekle,3,FALSE),VLOOKUP($DR117,АшламаДВ_Gomumy,3,FALSE)))</f>
        <v>Нет</v>
      </c>
      <c r="DU117" s="70" t="str">
        <f>IF($DR117="Нет","Нет",IF(Исходн.данные.!$AO117&gt;0,VLOOKUP($DR117,АшламаДВ_Irekle,4,FALSE),VLOOKUP($DR117,АшламаДВ_Gomumy,4,FALSE)))</f>
        <v>Нет</v>
      </c>
      <c r="DV117" s="70"/>
      <c r="DW117" s="70"/>
      <c r="DX117" s="70"/>
      <c r="DY117" s="10">
        <f t="shared" si="174"/>
        <v>0</v>
      </c>
      <c r="DZ117" s="10">
        <f t="shared" si="175"/>
        <v>0</v>
      </c>
      <c r="EA117" s="10">
        <f t="shared" si="176"/>
        <v>0</v>
      </c>
      <c r="EB117" s="10">
        <f t="shared" si="177"/>
        <v>0</v>
      </c>
      <c r="EC117" s="10">
        <f t="shared" si="178"/>
        <v>0</v>
      </c>
      <c r="ED117" s="10">
        <f t="shared" si="179"/>
        <v>0</v>
      </c>
      <c r="EE117" s="10">
        <f t="shared" si="180"/>
        <v>0</v>
      </c>
      <c r="EF117" s="39">
        <f>EB117*Исходн.данные.!AJ117/1000</f>
        <v>0</v>
      </c>
      <c r="EG117" s="9">
        <f t="shared" si="181"/>
        <v>0</v>
      </c>
      <c r="EH117" s="9">
        <f t="shared" si="182"/>
        <v>0</v>
      </c>
      <c r="EI117" s="39" t="e">
        <f t="shared" si="132"/>
        <v>#DIV/0!</v>
      </c>
      <c r="EJ117" s="9" t="str">
        <f t="shared" si="153"/>
        <v>Азопреципитат</v>
      </c>
      <c r="EK117" s="12">
        <f t="shared" si="133"/>
        <v>0.26</v>
      </c>
      <c r="EL117" s="12">
        <f t="shared" si="134"/>
        <v>0.13</v>
      </c>
      <c r="EM117" s="12">
        <f t="shared" si="135"/>
        <v>0</v>
      </c>
      <c r="EN117" s="12" t="str">
        <f t="shared" si="154"/>
        <v>Нет</v>
      </c>
      <c r="EO117" s="12">
        <f t="shared" si="136"/>
        <v>0</v>
      </c>
      <c r="EP117" s="12">
        <f t="shared" si="137"/>
        <v>0</v>
      </c>
      <c r="EQ117" s="12">
        <f t="shared" si="138"/>
        <v>0</v>
      </c>
      <c r="ER117" s="12" t="str">
        <f t="shared" si="183"/>
        <v>Диаммофоска</v>
      </c>
      <c r="ES117" s="12">
        <f t="shared" si="139"/>
        <v>0.1</v>
      </c>
      <c r="ET117" s="12">
        <f t="shared" si="140"/>
        <v>0.26</v>
      </c>
      <c r="EU117" s="12">
        <f t="shared" si="141"/>
        <v>0.26</v>
      </c>
      <c r="EV117" s="12" t="str">
        <f t="shared" si="184"/>
        <v>Аммофос 12:52:00</v>
      </c>
      <c r="EW117" s="12" t="str">
        <f t="shared" si="185"/>
        <v>Кемира Свекловичное-6</v>
      </c>
      <c r="EX117" s="12">
        <f t="shared" si="142"/>
        <v>0.16</v>
      </c>
      <c r="EY117" s="12">
        <f t="shared" si="143"/>
        <v>0.12</v>
      </c>
      <c r="EZ117" s="12">
        <f t="shared" si="144"/>
        <v>0.17</v>
      </c>
      <c r="FA117" s="38" t="e">
        <f>IF(AND(OR(FJ117=$FD$1,FM117=$FD$1,FO117=$FD$1,FQ117=$FD$1,FS117=$FD$1),FD117=$FD$1,Исходн.данные.!J117&lt;2,FU117=$FD$1),"Бор,Кобальт",IF(AND(FO117=$FD$1,FH117=$FD$1,Исходн.данные.!J117&lt;2,FU117=$FD$1),"Бор,Кобальт",IF(AND(OR(FJ117=$FD$1,FM117=$FD$1,FQ117=$FD$1),FE117=$FD$1,Исходн.данные.!J117&lt;2,FT117=$FD$1,FU117=$FD$1),"Бор,Медь,Цинк",IF(AND(OR(FJ117=$FD$1,FR117="Да"),FI117="Да",Исходн.данные.!J117&lt;2,FT117="Да",FU117="Да"),"Бор,Цинк,Медь",IF(AND(OR(FM117="Да",FQ117="Да"),FI117="Да",Исходн.данные.!J117&lt;2,FT117="Да",FU117="Да"),"Бор,Цинк",IF(AND(FN117="Да",OR(FD117="Да",FE117="Да")),"Бор",FB117))))))</f>
        <v>#N/A</v>
      </c>
      <c r="FB117" s="134" t="e">
        <f>IF(AND(OR(FD117="Да",FE117="Да",FF117="Да",FG117="Да",FH117="Да"),FO117="Да"),"Бор",IF(AND(FP117="Да",OR(FD117="Да",FE117="Да",FI117="Да")),"Бор",IF(AND(FS117="Да",FE117="Да"),"Бор,Медь",IF(AND(OR(FJ117="Да",FK117="Да",FL117="Да"),FE117="Да",Исходн.данные.!I117&lt;5,FT117="Да",FU117="Да"),"Молибден,Цинк",IF(AND(FM117="Да",OR(FE117="Да",FF117="Да",FG117="Да",FH117="Да",FI117="Да")),"Молибден,Цинк",IF(AND(OR(FJ117="Да",FK117="Да",FL117="Да",FM117="Да",FQ117="Да"),OR(FE117="Да",FF117="Да"),FT117="Да",FU117="Да",Исходн.данные.!I117&gt;5.5),"Медь,Цинк",FC117))))))</f>
        <v>#N/A</v>
      </c>
      <c r="FC117" s="23" t="e">
        <f t="shared" si="186"/>
        <v>#N/A</v>
      </c>
      <c r="FD117" s="38" t="str">
        <f>IF(OR(Исходн.данные.!F117=$CC$1,Исходн.данные.!F117=$CC$2,Исходн.данные.!F117=$CC$3,Исходн.данные.!F117=$CC$4),"Да","Нет")</f>
        <v>Нет</v>
      </c>
      <c r="FE117" s="38" t="str">
        <f>IF(Исходн.данные.!F117=$CC$5,"Да","Нет")</f>
        <v>Нет</v>
      </c>
      <c r="FF117" s="38" t="str">
        <f>IF(OR(Исходн.данные.!F117=$CC$6,Исходн.данные.!F117=$CC$7),"Да","Нет")</f>
        <v>Нет</v>
      </c>
      <c r="FG117" s="38" t="str">
        <f>IF(OR(Исходн.данные.!F117=$CC$8,Исходн.данные.!F117=$CC$9),"Да","Нет")</f>
        <v>Нет</v>
      </c>
      <c r="FH117" s="38" t="str">
        <f>IF(Исходн.данные.!F117=$CC$10,"Да","Нет")</f>
        <v>Нет</v>
      </c>
      <c r="FI117" s="38" t="str">
        <f>IF(OR(Исходн.данные.!F117=$CC$11,Исходн.данные.!F117=$CC$12),"Да","Нет")</f>
        <v>Нет</v>
      </c>
      <c r="FJ117" s="38" t="str">
        <f>IF(OR(Исходн.данные.!AH117=$BS$1,Исходн.данные.!AH117=$BQ$11,Исходн.данные.!AH117=$BQ$12),"Да","Нет")</f>
        <v>Нет</v>
      </c>
      <c r="FK117" s="38" t="str">
        <f>IF(OR(Исходн.данные.!AH117=$BS$2,Исходн.данные.!AH117=$BS$4),"Да","Нет")</f>
        <v>Нет</v>
      </c>
      <c r="FL117" s="38" t="str">
        <f>IF(OR(Исходн.данные.!AH117=$BS$3,Исходн.данные.!AH117=$BS$5),"Да","Нет")</f>
        <v>Нет</v>
      </c>
      <c r="FM117" s="38" t="str">
        <f>IF(OR(Исходн.данные.!AH117=$BS$9,Исходн.данные.!AH117=$BS$10,Исходн.данные.!AH117=$BS$11,Исходн.данные.!AH117=$BS$12),"Да","Нет")</f>
        <v>Нет</v>
      </c>
      <c r="FN117" s="38" t="str">
        <f>IF(OR(Исходн.данные.!AH117=$BS$6,Исходн.данные.!AH117=$BP$3),"Да","Нет")</f>
        <v>Нет</v>
      </c>
      <c r="FO117" s="38" t="str">
        <f>IF(Исходн.данные.!AH117=$BQ$9,"Да","Нет")</f>
        <v>Нет</v>
      </c>
      <c r="FP117" s="38" t="str">
        <f>IF(OR(Исходн.данные.!AH117=$BS$8,Исходн.данные.!AH117=$BT$8),"Да","Нет")</f>
        <v>Нет</v>
      </c>
      <c r="FQ117" s="38" t="str">
        <f>IF(OR(Исходн.данные.!AH117=$BQ$7,Исходн.данные.!AH117=$BQ$8),"Да","Нет")</f>
        <v>Нет</v>
      </c>
      <c r="FR117" s="38" t="str">
        <f>IF(Исходн.данные.!AI117=$BU$9,"Да","Нет")</f>
        <v>Нет</v>
      </c>
      <c r="FS117" s="38" t="str">
        <f>IF(OR(Исходн.данные.!AH117=$BP$1,Исходн.данные.!AH117=$BP$2),"Да","Нет")</f>
        <v>Нет</v>
      </c>
      <c r="FT117" s="38" t="e">
        <f>IF((Исходн.данные.!K117*GO117*GS117*GW117+BL117*0.6+Исходн.данные.!Q117*4.5*0.275)&gt;90,"Да","Нет")</f>
        <v>#N/A</v>
      </c>
      <c r="FU117" s="38" t="e">
        <f>IF((Исходн.данные.!M117*GS117*GZ117+BM117*0.225)&gt;35,"Да","Нет")</f>
        <v>#N/A</v>
      </c>
      <c r="FV117" s="38" t="str">
        <f>IF(Исходн.данные.!O117&gt;175,"Да","Нет")</f>
        <v>Нет</v>
      </c>
      <c r="FW117" s="39" t="str">
        <f>IF(Исходн.данные.!I117&gt;5.5,"Да","Нет")</f>
        <v>Нет</v>
      </c>
      <c r="FX117" s="39" t="str">
        <f>IF(Исходн.данные.!J117&lt;2,"Да","Нет")</f>
        <v>Да</v>
      </c>
      <c r="FY117" s="39" t="e">
        <f>IF(HF117=$FY$16,0,Исходн.данные.!K117*GO117*GS117*GW117/HF117)</f>
        <v>#N/A</v>
      </c>
      <c r="FZ117" s="39" t="e">
        <f>Исходн.данные.!M117*GS117*GZ117/HG117</f>
        <v>#N/A</v>
      </c>
      <c r="GA117" s="39" t="e">
        <f>IF(K_Wyn=$FY$16,0,IF(Исходн.данные.!N117=Исходн.данные.!$L$10,Исходн.данные.!O117/1.1*GS117*HC117/HH117,IF(Исходн.данные.!N117=Исходн.данные.!$L$12,Исходн.данные.!O117/1.5*GS117*HC117/HH117,Исходн.данные.!O117*GS117*HC117/HH117)))</f>
        <v>#N/A</v>
      </c>
      <c r="GB117" s="39" t="e">
        <f>IF(HF117=$FY$16,0,((Исходн.данные.!Q117*N_Org+Исходн.данные.!R117*N_Sider+Исходн.данные.!S117*N_Soloma)*AO117+Расчет!BC117*VLOOKUP(Исходн.данные.!T117,Справ!$A$3:$O$57,15)*AO117+BB117*VLOOKUP(Исходн.данные.!T117,Справ!$A$3:$O$57,15)*AL117+(Исходн.данные.!V117*N_Rizotorf+Исходн.данные.!W117*N_Rizoagr))/HF117)</f>
        <v>#N/A</v>
      </c>
      <c r="GC117" s="39" t="e">
        <f>IF(HG117=$FY$16,0,((Исходн.данные.!Q117*Р_Org+Исходн.данные.!R117*P_Sider+Исходн.данные.!S117*P_Soloma)*AP117+Расчет!BC117*VLOOKUP(Исходн.данные.!T117,Справ!$A$3:$P$57,16)*AP117+BB117*VLOOKUP(Исходн.данные.!T117,Справ!$A$3:$P$57,16)*AM117)/HG117)</f>
        <v>#N/A</v>
      </c>
      <c r="GD117" s="39" t="e">
        <f>IF(HH117=$FY$16,0,((Исходн.данные.!Q117*К_Org+Исходн.данные.!R117*K_Sider+Исходн.данные.!S117*K_Soloma)*AQ117+Расчет!BC117*VLOOKUP(Исходн.данные.!T117,Справ!$A$3:$Q$57,17)*AQ117+BB117*VLOOKUP(Исходн.данные.!T117,Справ!$A$3:$Q$57,17)*AN117)/HH117)</f>
        <v>#N/A</v>
      </c>
      <c r="GE117" s="39" t="e">
        <f>IF(HF117=$FY$16,0,(Исходн.данные.!X117*AR117+Исходн.данные.!AA117*N_Org*AL117+Исходн.данные.!AB117*N_Sider*AL117+Исходн.данные.!AC117*N_Soloma*AL117)/HF117)</f>
        <v>#N/A</v>
      </c>
      <c r="GF117" s="39" t="e">
        <f>IF(HG117=$FY$16,0,(Исходн.данные.!Y117*AS117+Исходн.данные.!AA117*Р_Org*AM117+Исходн.данные.!AB117*P_Sider*AM117+Исходн.данные.!AC117*P_Soloma*AM117)/HG117)</f>
        <v>#N/A</v>
      </c>
      <c r="GG117" s="39" t="e">
        <f>IF(HH117=$FY$16,0,(Исходн.данные.!Z117*AT117+Исходн.данные.!AA117*К_Org*AN117+Исходн.данные.!AB117*K_Sider*AN117+Исходн.данные.!AC117*K_Soloma*AN117)/HH117)</f>
        <v>#N/A</v>
      </c>
      <c r="GH117" s="39" t="e">
        <f>Исходн.данные.!AD117*AU117/HF117</f>
        <v>#N/A</v>
      </c>
      <c r="GI117" s="39" t="e">
        <f>Исходн.данные.!AE117*AV117/HG117</f>
        <v>#N/A</v>
      </c>
      <c r="GJ117" s="39" t="e">
        <f>Исходн.данные.!AF117*AW117/HH117</f>
        <v>#N/A</v>
      </c>
      <c r="GK117" s="55">
        <f>Исходн.данные.!AK117</f>
        <v>0</v>
      </c>
      <c r="GL117" s="11" t="e">
        <f t="shared" si="187"/>
        <v>#N/A</v>
      </c>
      <c r="GM117" s="11" t="e">
        <f t="shared" si="188"/>
        <v>#N/A</v>
      </c>
      <c r="GN117" s="11" t="e">
        <f t="shared" si="189"/>
        <v>#N/A</v>
      </c>
      <c r="GO117" s="57">
        <f t="shared" si="190"/>
        <v>19</v>
      </c>
      <c r="GP117" s="55">
        <f>IF(OR(Исходн.данные.!F117=$CE$1,Исходн.данные.!F117=$CE$2,Исходн.данные.!F117=$CE$3,Исходн.данные.!F117=$CE$4,Исходн.данные.!F117=$CE$5),GQ117,GR117)</f>
        <v>19</v>
      </c>
      <c r="GQ117" s="55">
        <f>IF(Исходн.данные.!F117=$CE$1,28,IF(Исходн.данные.!F117=$CE$2,26,IF(Исходн.данные.!F117=$CE$3,24,IF(Исходн.данные.!F117=$CE$4,22,IF(Исходн.данные.!F117=$CE$5,20,GR117)))))</f>
        <v>19</v>
      </c>
      <c r="GR117" s="55">
        <f>IF(Исходн.данные.!F117=$CE$6,18,IF(Исходн.данные.!F117=$CE$7,16,IF(Исходн.данные.!F117=$CE$8,14,IF(Исходн.данные.!F117=$CE$9,13,IF(Исходн.данные.!F117=$CE$10,12,19)))))</f>
        <v>19</v>
      </c>
      <c r="GS117" s="55">
        <f>IF(Исходн.данные.!G117="Пес",0.035*(40+2*Исходн.данные.!H117),IF(Исходн.данные.!G117="Суп",0.0325*(40+2*Исходн.данные.!H117),0.03*(40+2*Исходн.данные.!H117)))</f>
        <v>1.2</v>
      </c>
      <c r="GT117" s="55">
        <f>IF(Исходн.данные.!H117&lt;23,2.6,IF(AND(Исходн.данные.!H117&gt;22,Исходн.данные.!H117&lt;26),3,IF(AND(Исходн.данные.!H117&gt;25,Исходн.данные.!H117&lt;29),3.4,3.6)))</f>
        <v>2.6</v>
      </c>
      <c r="GU117" s="55">
        <f>IF(Исходн.данные.!H117&lt;23,2.8,IF(AND(Исходн.данные.!H117&gt;22,Исходн.данные.!H117&lt;26),3.2,IF(AND(Исходн.данные.!H117&gt;25,Исходн.данные.!H117&lt;29),3.6,3.9)))</f>
        <v>2.8</v>
      </c>
      <c r="GV117" s="55">
        <f>IF(Исходн.данные.!H117&lt;23,3,IF(AND(Исходн.данные.!H117&gt;22,Исходн.данные.!H117&lt;26),3.5,IF(AND(Исходн.данные.!H117&gt;25,Исходн.данные.!H117&lt;29),3.9,4.2)))</f>
        <v>3</v>
      </c>
      <c r="GW117" s="55" t="e">
        <f>IF(Исходн.данные.!P117="Ум",GX117,GY117)</f>
        <v>#N/A</v>
      </c>
      <c r="GX117" s="55" t="e">
        <f>VLOOKUP(Исходн.данные.!AI117,Коэффициенты!$J$7:$L$13,2,FALSE)</f>
        <v>#N/A</v>
      </c>
      <c r="GY117" s="55" t="e">
        <f>VLOOKUP(Исходн.данные.!AI117,Коэффициенты!$J$7:$L$13,3,FALSE)</f>
        <v>#N/A</v>
      </c>
      <c r="GZ117" s="55" t="e">
        <f>(IF(Исходн.данные.!M117&lt;50,0.11*VLOOKUP(Исходн.данные.!AH117,Культуры.Информация,7,FALSE),IF(Исходн.данные.!M117&gt;250,0.05*VLOOKUP(Исходн.данные.!AH117,Культуры.Информация,7,FALSE),VLOOKUP(Исходн.данные.!AH117,Культуры.Информация,5,FALSE)/100*($GX$6+$GY$6*Исходн.данные.!M117))))*Расчет2!AI117</f>
        <v>#N/A</v>
      </c>
      <c r="HA117" s="211"/>
      <c r="HB117" s="211"/>
      <c r="HC117" s="55" t="e">
        <f>(IF(Исходн.данные.!O117&lt;80,0.2*VLOOKUP(Исходн.данные.!AH117,Культуры.Информация,8,FALSE),IF(Исходн.данные.!O117&gt;240,0.09*VLOOKUP(Исходн.данные.!AH117,Культуры.Информация,8,FALSE),VLOOKUP(Исходн.данные.!AH117,Культуры.Информация,6,FALSE)/100*($HB$6+$HC$6*Исходн.данные.!O117))))*Расчет2!AJ117</f>
        <v>#N/A</v>
      </c>
      <c r="HD117" s="55">
        <f>IF(Исходн.данные.!O117&gt;240,0.09,IF(Исходн.данные.!O117&lt;30,0.3,$HE$10+$HD$10*Исходн.данные.!O117))</f>
        <v>0.3</v>
      </c>
      <c r="HE117" s="55">
        <f>IF(Исходн.данные.!O117&gt;240,0.17,IF(Исходн.данные.!O117&lt;30,0.5,$HF$12+$HE$12*Исходн.данные.!O117))</f>
        <v>0.5</v>
      </c>
      <c r="HF117" s="55" t="e">
        <f>VLOOKUP(Исходн.данные.!AH117,Справ!$A$3:$D$58,2,FALSE)</f>
        <v>#N/A</v>
      </c>
      <c r="HG117" s="55" t="e">
        <f>VLOOKUP(Исходн.данные.!AH117,Справ!$A$3:$D$58,3,FALSE)</f>
        <v>#N/A</v>
      </c>
      <c r="HH117" s="55" t="e">
        <f>VLOOKUP(Исходн.данные.!AH117,Справ!$A$3:$D$58,4,FALSE)</f>
        <v>#N/A</v>
      </c>
      <c r="HI117" s="11" t="e">
        <f t="shared" si="191"/>
        <v>#N/A</v>
      </c>
      <c r="HJ117" s="11" t="e">
        <f t="shared" si="192"/>
        <v>#N/A</v>
      </c>
      <c r="HK117" s="11" t="e">
        <f t="shared" si="193"/>
        <v>#N/A</v>
      </c>
      <c r="HL117" s="55">
        <f>IF(OR(Исходн.данные.!G117="Глин",Исходн.данные.!G117="Т_суг"),1.1,IF(Исходн.данные.!G117="Ср_суг",1,1))</f>
        <v>1</v>
      </c>
      <c r="HM117" s="55">
        <f>IF(OR(Исходн.данные.!G117="Глин",Исходн.данные.!G117="Т_суг"),0.9,IF(Исходн.данные.!G117="Ср_суг",1,1.2))</f>
        <v>1.2</v>
      </c>
      <c r="HN117" s="11" t="e">
        <f t="shared" si="194"/>
        <v>#N/A</v>
      </c>
      <c r="HO117" s="11" t="e">
        <f t="shared" si="195"/>
        <v>#N/A</v>
      </c>
      <c r="HP117" s="11" t="e">
        <f t="shared" si="196"/>
        <v>#N/A</v>
      </c>
      <c r="HQ117" t="e">
        <f t="shared" si="197"/>
        <v>#N/A</v>
      </c>
      <c r="HR117" t="e">
        <f t="shared" si="198"/>
        <v>#N/A</v>
      </c>
      <c r="HS117" t="e">
        <f t="shared" si="199"/>
        <v>#N/A</v>
      </c>
      <c r="HT117" t="e">
        <f t="shared" si="145"/>
        <v>#N/A</v>
      </c>
      <c r="HU117" t="e">
        <f t="shared" si="146"/>
        <v>#N/A</v>
      </c>
      <c r="HV117" t="e">
        <f t="shared" si="147"/>
        <v>#N/A</v>
      </c>
      <c r="HW117" t="e">
        <f t="shared" si="148"/>
        <v>#N/A</v>
      </c>
      <c r="HX117" t="e">
        <f t="shared" si="149"/>
        <v>#N/A</v>
      </c>
      <c r="HY117" t="e">
        <f t="shared" si="150"/>
        <v>#N/A</v>
      </c>
      <c r="HZ117" s="55">
        <f>IF(OR(Исходн.данные.!AI117="Оз_Ч_П",Исходн.данные.!AI117="Оз_З_П",Исходн.данные.!AI117="Яр_зер"),12,30)</f>
        <v>30</v>
      </c>
      <c r="IA117" t="e">
        <f t="shared" si="200"/>
        <v>#N/A</v>
      </c>
      <c r="IB117" t="e">
        <f t="shared" si="201"/>
        <v>#N/A</v>
      </c>
      <c r="IC117" t="e">
        <f t="shared" si="202"/>
        <v>#N/A</v>
      </c>
      <c r="ID117" s="11" t="e">
        <f t="shared" si="203"/>
        <v>#N/A</v>
      </c>
      <c r="IE117" s="11" t="e">
        <f t="shared" si="204"/>
        <v>#N/A</v>
      </c>
      <c r="IF117" s="11" t="e">
        <f t="shared" si="205"/>
        <v>#N/A</v>
      </c>
    </row>
    <row r="118" spans="35:240" x14ac:dyDescent="0.2">
      <c r="AI118">
        <f>IF(Исходн.данные.!I118&gt;6,1,1.85-(0.148*Исходн.данные.!I118))</f>
        <v>1.85</v>
      </c>
      <c r="AJ118">
        <f>IF(Исходн.данные.!I118&gt;6,1,2.434-(0.246*Исходн.данные.!I118))</f>
        <v>2.4340000000000002</v>
      </c>
      <c r="AL118" s="148" t="b">
        <f>IF(Исходн.данные.!$P118="Ум",N_OrgUd_2g_um,IF(Исходн.данные.!$P118="Об",N_OrgUd_2g_ob))</f>
        <v>0</v>
      </c>
      <c r="AM118" s="148" t="b">
        <f>IF(Исходн.данные.!$P118="Ум",P_OrgUd_2g_um,IF(Исходн.данные.!$P118="Об",P_OrgUd_2g_ob))</f>
        <v>0</v>
      </c>
      <c r="AN118" s="148" t="b">
        <f>IF(Исходн.данные.!$P118="Ум",K_OrgUd_2g_um,IF(Исходн.данные.!$P118="Об",K_OrgUd_2g_ob))</f>
        <v>0</v>
      </c>
      <c r="AO118" s="148" t="b">
        <f>IF(Исходн.данные.!$P118="Ум",N_OrgUd_1g_um,IF(Исходн.данные.!$P118="Об",N_OrgUd_1g_ob))</f>
        <v>0</v>
      </c>
      <c r="AP118" s="148" t="b">
        <f>IF(Исходн.данные.!$P118="Ум",P_OrgUd_1g_um,IF(Исходн.данные.!$P118="Об",P_OrgUd_1g_ob))</f>
        <v>0</v>
      </c>
      <c r="AQ118" s="148" t="b">
        <f>IF(Исходн.данные.!$P118="Ум",K_OrgUd_1g_um,IF(Исходн.данные.!$P118="Об",K_OrgUd_1g_ob))</f>
        <v>0</v>
      </c>
      <c r="AR118" t="b">
        <f>IF(Исходн.данные.!$P118="Ум",N_MinUd_2g_um,IF(Исходн.данные.!$P118="Об",N_MinUd_2g_ob))</f>
        <v>0</v>
      </c>
      <c r="AS118" t="b">
        <f>IF(Исходн.данные.!$P118="Ум",P_MinUd_2g_um,IF(Исходн.данные.!$P118="Об",P_MinUd_2g_ob))</f>
        <v>0</v>
      </c>
      <c r="AT118" t="b">
        <f>IF(Исходн.данные.!$P118="Ум",K_MinUd_2g_um,IF(Исходн.данные.!$P118="Об",K_MinUd_2g_ob))</f>
        <v>0</v>
      </c>
      <c r="AU118" t="b">
        <f>IF(Исходн.данные.!$P118="Ум",N_MinUd_1g_um,IF(Исходн.данные.!$P118="Об",N_MinUd_1g_ob))</f>
        <v>0</v>
      </c>
      <c r="AV118" t="b">
        <f>IF(Исходн.данные.!P118="Ум",P_MinUd_1g_um,IF(Исходн.данные.!P118="Об",P_MinUd_1g_ob))</f>
        <v>0</v>
      </c>
      <c r="AW118" t="b">
        <f>IF(Исходн.данные.!P118="Ум",K_MinUd_1g_um,IF(Исходн.данные.!P118="Об",K_MinUd_1g_ob))</f>
        <v>0</v>
      </c>
      <c r="AY118" t="e">
        <f>VLOOKUP(Исходн.данные.!T118,Справ!$A$3:$N$57,12)</f>
        <v>#N/A</v>
      </c>
      <c r="AZ118" t="e">
        <f>VLOOKUP(Исходн.данные.!T118,Справ!$A$3:$N$57,13)</f>
        <v>#N/A</v>
      </c>
      <c r="BA118" t="e">
        <f>VLOOKUP(Исходн.данные.!T118,Справ!$A$3:$N$57,14)</f>
        <v>#N/A</v>
      </c>
      <c r="BB118">
        <f>IF(Исходн.данные.!AH118=0,0,25)</f>
        <v>0</v>
      </c>
      <c r="BC118" s="141">
        <f>IF(Исходн.данные.!AH118=0,0,IF(Исходн.данные.!T118=0,25,BD118))</f>
        <v>0</v>
      </c>
      <c r="BD118" s="168" t="e">
        <f>AY118+AZ118*Исходн.данные.!U118-POWER(BA118,2)*Исходн.данные.!U118</f>
        <v>#N/A</v>
      </c>
      <c r="BE11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8" s="25">
        <f>IF(Исходн.данные.!AH118=0,0,MIN(HN118:HP118))</f>
        <v>0</v>
      </c>
      <c r="BG118" s="9">
        <f>IF(Исходн.данные.!AH118=0,0,IF((HO118+10*0.25/HG118/HL118)&lt;17,17,HO118+10*0.25/HG118/HL118))</f>
        <v>0</v>
      </c>
      <c r="BH118" s="181">
        <f>IF(Исходн.данные.!AH118=0,0,HW118*HF118*HL118/AU118*AI118+Исходн.данные.!S118*10)</f>
        <v>0</v>
      </c>
      <c r="BI118" s="10"/>
      <c r="BJ118" s="182">
        <f>IF(Исходн.данные.!AH118=0,0,IF(HX118*HG118*HL118/AV118&lt;0,0,HX118*HG118*HL118/AV118*AJ118))</f>
        <v>0</v>
      </c>
      <c r="BK118" s="182">
        <f>IF(Исходн.данные.!AH118=0,0,HY118*HH118*HM118/AW118)</f>
        <v>0</v>
      </c>
      <c r="BL118" s="10">
        <f>IF(OR(Исходн.данные.!$AH118=$BP$1,Исходн.данные.!$AH118=$BP$2),0,IF(BH118&lt;0,0,IF(OR(Исходн.данные.!T118=Расчет!$BP$1,Исходн.данные.!T118=Расчет!$BP$2,Исходн.данные.!T118=Расчет!$BT$5,Исходн.данные.!T118=Расчет!$BT$6),BH118*0.5,IF(OR(Исходн.данные.!T118=Расчет!$BS$9,Исходн.данные.!T118=Расчет!$BS$10,Исходн.данные.!T118=Расчет!$BS$11,Исходн.данные.!T118=Расчет!$BS$12,Исходн.данные.!T118=Расчет!$BP$5),BH118*0.8,BH118))))</f>
        <v>0</v>
      </c>
      <c r="BM118" s="10">
        <f>IF(OR(Исходн.данные.!$AH118=$BP$1,Исходн.данные.!$AH118=$BP$2),0,IF(BJ118&lt;0,0,IF(Исходн.данные.!I118&lt;4.5,BJ118*1.2,IF(Исходн.данные.!I118&gt;5.1,BJ118,BJ118*((5.1-Исходн.данные.!I118)*0.333+1)))))</f>
        <v>0</v>
      </c>
      <c r="BN118" s="10">
        <f>IF(OR(Исходн.данные.!$AH118=$BP$1,Исходн.данные.!$AH118=$BP$2),60-Исходн.данные.!AF118,IF(BK118&lt;0,0,IF(Исходн.данные.!I118&lt;4.5,BK118*1.2,IF(Исходн.данные.!I118&gt;5.1,BK118,BK118*((5.1-Исходн.данные.!I118)*0.333+1)))))</f>
        <v>0</v>
      </c>
      <c r="BO118" s="9">
        <f>IF(BL118&lt;0,0,BL118*Исходн.данные.!$AJ118/1000)</f>
        <v>0</v>
      </c>
      <c r="BP118" s="9">
        <f>IF(BM118&lt;0,0,BM118*Исходн.данные.!$AJ118/1000)</f>
        <v>0</v>
      </c>
      <c r="BQ118" s="9">
        <f>IF(BN118&lt;0,0,BN118*Исходн.данные.!$AJ118/1000)</f>
        <v>0</v>
      </c>
      <c r="BR118" s="9">
        <f t="shared" si="155"/>
        <v>0</v>
      </c>
      <c r="BS118" s="10" t="str">
        <f t="shared" si="156"/>
        <v>Аммофос 12:52:00</v>
      </c>
      <c r="BT118" s="10" t="str">
        <f t="shared" si="157"/>
        <v>Аммофос 12:52:00</v>
      </c>
      <c r="BU118" s="10" t="str">
        <f t="shared" si="158"/>
        <v>Диаммофоска</v>
      </c>
      <c r="BV118" s="10">
        <f t="shared" si="159"/>
        <v>0</v>
      </c>
      <c r="BW118" s="10"/>
      <c r="BX118" s="10"/>
      <c r="BY118" s="9">
        <f>IF(BL118&lt;0,0,IF(OR(Исходн.данные.!AI118=Расчет!$BU$6,Исходн.данные.!AI118=Расчет!$BU$7),Расчет!BV118,IF(Исходн.данные.!$AG118=$BV$11,BL118,IF(OR(Исходн.данные.!$AH118=$BQ$7,Исходн.данные.!$AH118=$BQ$8),CB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0,IF(Исходн.данные.!$AI118=$BU$11,"Нет",IF(BL118&gt;30,30,BL118)))))))</f>
        <v>0</v>
      </c>
      <c r="BZ118" s="9">
        <f>IF(AND(Исходн.данные.!$AG118=$BV$11,BM118&lt;10),10,IF(Исходн.данные.!$AG118=$BV$11,BM118,IF(OR(Исходн.данные.!$AH118=$BQ$7,Исходн.данные.!$AH118=$BQ$8),CC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10,IF(Исходн.данные.!$AI118=$BU$11,"Нет",IF(BM118&gt;60,60,IF(BM118&lt;10,10,BM118)))))))</f>
        <v>10</v>
      </c>
      <c r="CA118" s="39">
        <f>IF(BN118&lt;0,0,IF(Исходн.данные.!$AG118=$BV$11,BN118,IF(OR(Исходн.данные.!$AH118=$BQ$7,Исходн.данные.!$AH118=$BQ$8),CD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0,IF(Исходн.данные.!$AI118=$BU$11,"Нет",IF(BN118&gt;30,30,BN118))))))</f>
        <v>0</v>
      </c>
      <c r="CB118" s="9">
        <f t="shared" si="160"/>
        <v>0</v>
      </c>
      <c r="CC118" s="9">
        <f t="shared" si="161"/>
        <v>0</v>
      </c>
      <c r="CD118" s="9">
        <f t="shared" si="162"/>
        <v>0</v>
      </c>
      <c r="CE118" s="12">
        <f t="shared" si="163"/>
        <v>10</v>
      </c>
      <c r="CF118" s="9">
        <f t="shared" si="164"/>
        <v>0</v>
      </c>
      <c r="CG118" s="9" t="s">
        <v>231</v>
      </c>
      <c r="CH118" s="132" t="str">
        <f>IF(Исходн.данные.!AP118=Расчет!$CI$16,"Нет",IF(Исходн.данные.!AL118&gt;0,Исходн.данные.!AL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BH$4,IF(OR(Исходн.данные.!AI118=Исходн.данные.!$AI$6,Исходн.данные.!AI118=Исходн.данные.!$AI$7),Расчет!BS118,IF(AND($CF118=0,$CE118&gt;0),EV118,ER118)))))</f>
        <v>Аммофос 12:52:00</v>
      </c>
      <c r="CI118" s="274">
        <f>IF(Расчет!$CH118="Нет","Нет",IF(Исходн.данные.!$AL118&gt;0,VLOOKUP(Расчет!$CH118,АшламаДВ_Irekle,2,FALSE),VLOOKUP(Расчет!$CH118,АшламаДВ_Gomumy,2,FALSE)))</f>
        <v>0.12</v>
      </c>
      <c r="CJ118" s="274">
        <f>IF(Расчет!$CH118="Нет","Нет",IF(Исходн.данные.!$AL118&gt;0,VLOOKUP(Расчет!$CH118,АшламаДВ_Irekle,3,FALSE),VLOOKUP(Расчет!$CH118,АшламаДВ_Gomumy,3,FALSE)))</f>
        <v>0.52</v>
      </c>
      <c r="CK118" s="274">
        <f>IF(Расчет!$CH118="Нет","Нет",IF(Исходн.данные.!$AL118&gt;0,VLOOKUP(Расчет!$CH118,АшламаДВ_Irekle,4,FALSE),VLOOKUP(Расчет!$CH118,АшламаДВ_Gomumy,4,FALSE)))</f>
        <v>0</v>
      </c>
      <c r="CL118" s="70"/>
      <c r="CM118" s="70"/>
      <c r="CN118" s="70"/>
      <c r="CO118" s="70"/>
      <c r="CP118" s="70"/>
      <c r="CQ118" s="70"/>
      <c r="CR118" s="10">
        <f t="shared" si="165"/>
        <v>0</v>
      </c>
      <c r="CS118" s="10">
        <f t="shared" si="166"/>
        <v>19.23076923076923</v>
      </c>
      <c r="CT118" s="10">
        <f t="shared" si="167"/>
        <v>0</v>
      </c>
      <c r="CU118" s="39">
        <f>IF($CH118="Нет",0,IF(CI118=0,30/MIN(CJ118:CK118),IF(Исходн.данные.!$AG118=$BV$11,CR118,IF(OR(Исходн.данные.!$AH118=$BQ$7,Исходн.данные.!$AH118=$BQ$8),90/CI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0,IF(Исходн.данные.!$AI118=$BU$11,"Нет",30/CI118))))))</f>
        <v>250</v>
      </c>
      <c r="CV118" s="39">
        <f>IF($CH118="Нет",0,IF(Исходн.данные.!AH118=0,0,IF(CJ118=0,60/MIN(CI118,CK118),IF(Исходн.данные.!$AG118=$BV$11,CS118,IF(OR(Исходн.данные.!$AH118=$BQ$7,Исходн.данные.!$AH118=$BQ$8),90/CJ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10/CJ118,IF(Исходн.данные.!$AI118=$BU$11,"Нет",60/CJ118)))))))</f>
        <v>0</v>
      </c>
      <c r="CW118" s="39">
        <f>IF($CH118="Нет",0,IF(Исходн.данные.!AH118=0,0,IF(CK118=0,30/MIN(CI118:CJ118),IF(Исходн.данные.!$AG118=$BV$11,CT118,IF(OR(Исходн.данные.!$AH118=$BQ$7,Исходн.данные.!$AH118=$BQ$8),90/CK118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0,IF(Исходн.данные.!$AI118=$BU$11,"Нет",30/CK118)))))))</f>
        <v>0</v>
      </c>
      <c r="CX118" s="133">
        <f>IF(Исходн.данные.!$AG118=$BV$11,MAX(CU118:CW118),IF(OR(Исходн.данные.!$AH118=$BS$8,Исходн.данные.!$AH118=$BQ$9,Исходн.данные.!$AH118=$BQ$10,Исходн.данные.!$AH118=$BQ$11,Исходн.данные.!$AH118=$BQ$12,Исходн.данные.!$AH118=$BP$3,Исходн.данные.!$AH118=$BT$8,$FM118="Да"),CV118,MIN(CU118:CW118)))</f>
        <v>0</v>
      </c>
      <c r="CY118" s="133">
        <f>IF(Исходн.данные.!AH118=0,0,IF(CR118&gt;$CX118,$CX118,CR118))</f>
        <v>0</v>
      </c>
      <c r="CZ118" s="133">
        <f>IF(Исходн.данные.!AH118=0,0,IF(CS118&gt;$CX118,$CX118,CS118))</f>
        <v>0</v>
      </c>
      <c r="DA118" s="133">
        <f>IF(Исходн.данные.!AH118=0,0,IF(CT118&gt;$CX118,$CX118,CT118))</f>
        <v>0</v>
      </c>
      <c r="DB118" s="10">
        <f t="shared" si="168"/>
        <v>0</v>
      </c>
      <c r="DC118" s="39">
        <f>DB118*Исходн.данные.!AJ118/1000</f>
        <v>0</v>
      </c>
      <c r="DD118" s="71">
        <f t="shared" si="169"/>
        <v>0</v>
      </c>
      <c r="DE118" s="9">
        <f t="shared" si="170"/>
        <v>0</v>
      </c>
      <c r="DF118" s="9">
        <f t="shared" si="171"/>
        <v>0</v>
      </c>
      <c r="DG118" s="39">
        <f>IF(BL118&lt;0,0,IF($CH118="Нет",BL118,IF(OR(Исходн.данные.!$AH118=$BP$1,Исходн.данные.!$AH118=$BP$2),0,IF(Исходн.данные.!AI118=$BU$11,BL118,IF(BL118-DD118&lt;0,0,BL118-DD118)))))</f>
        <v>0</v>
      </c>
      <c r="DH118" s="39">
        <f>IF(BM118&lt;0,0,IF($CH118="Нет",BM118,IF(OR(Исходн.данные.!$AH118=$BP$1,Исходн.данные.!$AH118=$BP$2),0,IF(Исходн.данные.!AJ118=$BU$11,BM118,IF(BM118-DE118&lt;0,0,BM118-DE118)))))</f>
        <v>0</v>
      </c>
      <c r="DI118" s="39">
        <f>IF(BN118&lt;0,0,IF($CH118="Нет",BN118,IF(OR(Исходн.данные.!$AH118=$BP$1,Исходн.данные.!$AH118=$BP$2),0,IF(Исходн.данные.!AK118=$BU$11,BN118,IF(BN118-DF118&lt;0,0,BN118-DF118)))))</f>
        <v>0</v>
      </c>
      <c r="DJ118" s="12">
        <f t="shared" si="172"/>
        <v>0</v>
      </c>
      <c r="DK118" s="9">
        <f t="shared" si="173"/>
        <v>0</v>
      </c>
      <c r="DL118" s="39">
        <f>IF(Исходн.данные.!AM118&gt;0,Исходн.данные.!AM118,IF(EG118&gt;0,$BH$10,0))</f>
        <v>0</v>
      </c>
      <c r="DM118" s="186">
        <f>IF($DL118=0,0,IF(Исходн.данные.!AM118&gt;0,VLOOKUP($DL118,АшламаДВ_Irekle,2,FALSE),VLOOKUP($DL118,АшламаДВ_Gomumy,2,FALSE)))</f>
        <v>0</v>
      </c>
      <c r="DN118" s="10">
        <f t="shared" si="151"/>
        <v>0</v>
      </c>
      <c r="DO118" s="9" t="str">
        <f>IF(Исходн.данные.!AN118&gt;0,Исходн.данные.!AN118,Удобрения!$B$37 )</f>
        <v>Хлор.калий</v>
      </c>
      <c r="DP118" s="9">
        <f>IF(Исходн.данные.!AN118&gt;0,VLOOKUP(Исходн.данные.!AN118,АшламаДВ_Irekle,4,FALSE),VLOOKUP(DO118,АшламаДВ_Gomumy,4,FALSE))</f>
        <v>0.6</v>
      </c>
      <c r="DQ118" s="10">
        <f t="shared" si="152"/>
        <v>0</v>
      </c>
      <c r="DR118" s="132" t="str">
        <f>IF(Исходн.данные.!AO118&gt;0,Исходн.данные.!AO118,IF(DH118=0,BS$17,IF(AND($DK118=0,$DJ118&gt;0),EJ118,EN118)))</f>
        <v>Нет</v>
      </c>
      <c r="DS118" s="70" t="str">
        <f>IF($DR118="Нет","Нет",IF(Исходн.данные.!$AO118&gt;0,VLOOKUP($DR118,АшламаДВ_Irekle,2,FALSE),VLOOKUP($DR118,АшламаДВ_Gomumy,2,FALSE)))</f>
        <v>Нет</v>
      </c>
      <c r="DT118" s="70" t="str">
        <f>IF($DR118="Нет","Нет",IF(Исходн.данные.!$AO118&gt;0,VLOOKUP($DR118,АшламаДВ_Irekle,3,FALSE),VLOOKUP($DR118,АшламаДВ_Gomumy,3,FALSE)))</f>
        <v>Нет</v>
      </c>
      <c r="DU118" s="70" t="str">
        <f>IF($DR118="Нет","Нет",IF(Исходн.данные.!$AO118&gt;0,VLOOKUP($DR118,АшламаДВ_Irekle,4,FALSE),VLOOKUP($DR118,АшламаДВ_Gomumy,4,FALSE)))</f>
        <v>Нет</v>
      </c>
      <c r="DV118" s="70"/>
      <c r="DW118" s="70"/>
      <c r="DX118" s="70"/>
      <c r="DY118" s="10">
        <f t="shared" si="174"/>
        <v>0</v>
      </c>
      <c r="DZ118" s="10">
        <f t="shared" si="175"/>
        <v>0</v>
      </c>
      <c r="EA118" s="10">
        <f t="shared" si="176"/>
        <v>0</v>
      </c>
      <c r="EB118" s="10">
        <f t="shared" si="177"/>
        <v>0</v>
      </c>
      <c r="EC118" s="10">
        <f t="shared" si="178"/>
        <v>0</v>
      </c>
      <c r="ED118" s="10">
        <f t="shared" si="179"/>
        <v>0</v>
      </c>
      <c r="EE118" s="10">
        <f t="shared" si="180"/>
        <v>0</v>
      </c>
      <c r="EF118" s="39">
        <f>EB118*Исходн.данные.!AJ118/1000</f>
        <v>0</v>
      </c>
      <c r="EG118" s="9">
        <f t="shared" si="181"/>
        <v>0</v>
      </c>
      <c r="EH118" s="9">
        <f t="shared" si="182"/>
        <v>0</v>
      </c>
      <c r="EI118" s="39" t="e">
        <f t="shared" si="132"/>
        <v>#DIV/0!</v>
      </c>
      <c r="EJ118" s="9" t="str">
        <f t="shared" si="153"/>
        <v>Азопреципитат</v>
      </c>
      <c r="EK118" s="12">
        <f t="shared" si="133"/>
        <v>0.26</v>
      </c>
      <c r="EL118" s="12">
        <f t="shared" si="134"/>
        <v>0.13</v>
      </c>
      <c r="EM118" s="12">
        <f t="shared" si="135"/>
        <v>0</v>
      </c>
      <c r="EN118" s="12" t="str">
        <f t="shared" si="154"/>
        <v>Нет</v>
      </c>
      <c r="EO118" s="12">
        <f t="shared" si="136"/>
        <v>0</v>
      </c>
      <c r="EP118" s="12">
        <f t="shared" si="137"/>
        <v>0</v>
      </c>
      <c r="EQ118" s="12">
        <f t="shared" si="138"/>
        <v>0</v>
      </c>
      <c r="ER118" s="12" t="str">
        <f t="shared" si="183"/>
        <v>Диаммофоска</v>
      </c>
      <c r="ES118" s="12">
        <f t="shared" si="139"/>
        <v>0.1</v>
      </c>
      <c r="ET118" s="12">
        <f t="shared" si="140"/>
        <v>0.26</v>
      </c>
      <c r="EU118" s="12">
        <f t="shared" si="141"/>
        <v>0.26</v>
      </c>
      <c r="EV118" s="12" t="str">
        <f t="shared" si="184"/>
        <v>Аммофос 12:52:00</v>
      </c>
      <c r="EW118" s="12" t="str">
        <f t="shared" si="185"/>
        <v>Кемира Свекловичное-6</v>
      </c>
      <c r="EX118" s="12">
        <f t="shared" si="142"/>
        <v>0.16</v>
      </c>
      <c r="EY118" s="12">
        <f t="shared" si="143"/>
        <v>0.12</v>
      </c>
      <c r="EZ118" s="12">
        <f t="shared" si="144"/>
        <v>0.17</v>
      </c>
      <c r="FA118" s="38" t="e">
        <f>IF(AND(OR(FJ118=$FD$1,FM118=$FD$1,FO118=$FD$1,FQ118=$FD$1,FS118=$FD$1),FD118=$FD$1,Исходн.данные.!J118&lt;2,FU118=$FD$1),"Бор,Кобальт",IF(AND(FO118=$FD$1,FH118=$FD$1,Исходн.данные.!J118&lt;2,FU118=$FD$1),"Бор,Кобальт",IF(AND(OR(FJ118=$FD$1,FM118=$FD$1,FQ118=$FD$1),FE118=$FD$1,Исходн.данные.!J118&lt;2,FT118=$FD$1,FU118=$FD$1),"Бор,Медь,Цинк",IF(AND(OR(FJ118=$FD$1,FR118="Да"),FI118="Да",Исходн.данные.!J118&lt;2,FT118="Да",FU118="Да"),"Бор,Цинк,Медь",IF(AND(OR(FM118="Да",FQ118="Да"),FI118="Да",Исходн.данные.!J118&lt;2,FT118="Да",FU118="Да"),"Бор,Цинк",IF(AND(FN118="Да",OR(FD118="Да",FE118="Да")),"Бор",FB118))))))</f>
        <v>#N/A</v>
      </c>
      <c r="FB118" s="134" t="e">
        <f>IF(AND(OR(FD118="Да",FE118="Да",FF118="Да",FG118="Да",FH118="Да"),FO118="Да"),"Бор",IF(AND(FP118="Да",OR(FD118="Да",FE118="Да",FI118="Да")),"Бор",IF(AND(FS118="Да",FE118="Да"),"Бор,Медь",IF(AND(OR(FJ118="Да",FK118="Да",FL118="Да"),FE118="Да",Исходн.данные.!I118&lt;5,FT118="Да",FU118="Да"),"Молибден,Цинк",IF(AND(FM118="Да",OR(FE118="Да",FF118="Да",FG118="Да",FH118="Да",FI118="Да")),"Молибден,Цинк",IF(AND(OR(FJ118="Да",FK118="Да",FL118="Да",FM118="Да",FQ118="Да"),OR(FE118="Да",FF118="Да"),FT118="Да",FU118="Да",Исходн.данные.!I118&gt;5.5),"Медь,Цинк",FC118))))))</f>
        <v>#N/A</v>
      </c>
      <c r="FC118" s="23" t="e">
        <f t="shared" si="186"/>
        <v>#N/A</v>
      </c>
      <c r="FD118" s="38" t="str">
        <f>IF(OR(Исходн.данные.!F118=$CC$1,Исходн.данные.!F118=$CC$2,Исходн.данные.!F118=$CC$3,Исходн.данные.!F118=$CC$4),"Да","Нет")</f>
        <v>Нет</v>
      </c>
      <c r="FE118" s="38" t="str">
        <f>IF(Исходн.данные.!F118=$CC$5,"Да","Нет")</f>
        <v>Нет</v>
      </c>
      <c r="FF118" s="38" t="str">
        <f>IF(OR(Исходн.данные.!F118=$CC$6,Исходн.данные.!F118=$CC$7),"Да","Нет")</f>
        <v>Нет</v>
      </c>
      <c r="FG118" s="38" t="str">
        <f>IF(OR(Исходн.данные.!F118=$CC$8,Исходн.данные.!F118=$CC$9),"Да","Нет")</f>
        <v>Нет</v>
      </c>
      <c r="FH118" s="38" t="str">
        <f>IF(Исходн.данные.!F118=$CC$10,"Да","Нет")</f>
        <v>Нет</v>
      </c>
      <c r="FI118" s="38" t="str">
        <f>IF(OR(Исходн.данные.!F118=$CC$11,Исходн.данные.!F118=$CC$12),"Да","Нет")</f>
        <v>Нет</v>
      </c>
      <c r="FJ118" s="38" t="str">
        <f>IF(OR(Исходн.данные.!AH118=$BS$1,Исходн.данные.!AH118=$BQ$11,Исходн.данные.!AH118=$BQ$12),"Да","Нет")</f>
        <v>Нет</v>
      </c>
      <c r="FK118" s="38" t="str">
        <f>IF(OR(Исходн.данные.!AH118=$BS$2,Исходн.данные.!AH118=$BS$4),"Да","Нет")</f>
        <v>Нет</v>
      </c>
      <c r="FL118" s="38" t="str">
        <f>IF(OR(Исходн.данные.!AH118=$BS$3,Исходн.данные.!AH118=$BS$5),"Да","Нет")</f>
        <v>Нет</v>
      </c>
      <c r="FM118" s="38" t="str">
        <f>IF(OR(Исходн.данные.!AH118=$BS$9,Исходн.данные.!AH118=$BS$10,Исходн.данные.!AH118=$BS$11,Исходн.данные.!AH118=$BS$12),"Да","Нет")</f>
        <v>Нет</v>
      </c>
      <c r="FN118" s="38" t="str">
        <f>IF(OR(Исходн.данные.!AH118=$BS$6,Исходн.данные.!AH118=$BP$3),"Да","Нет")</f>
        <v>Нет</v>
      </c>
      <c r="FO118" s="38" t="str">
        <f>IF(Исходн.данные.!AH118=$BQ$9,"Да","Нет")</f>
        <v>Нет</v>
      </c>
      <c r="FP118" s="38" t="str">
        <f>IF(OR(Исходн.данные.!AH118=$BS$8,Исходн.данные.!AH118=$BT$8),"Да","Нет")</f>
        <v>Нет</v>
      </c>
      <c r="FQ118" s="38" t="str">
        <f>IF(OR(Исходн.данные.!AH118=$BQ$7,Исходн.данные.!AH118=$BQ$8),"Да","Нет")</f>
        <v>Нет</v>
      </c>
      <c r="FR118" s="38" t="str">
        <f>IF(Исходн.данные.!AI118=$BU$9,"Да","Нет")</f>
        <v>Нет</v>
      </c>
      <c r="FS118" s="38" t="str">
        <f>IF(OR(Исходн.данные.!AH118=$BP$1,Исходн.данные.!AH118=$BP$2),"Да","Нет")</f>
        <v>Нет</v>
      </c>
      <c r="FT118" s="38" t="e">
        <f>IF((Исходн.данные.!K118*GO118*GS118*GW118+BL118*0.6+Исходн.данные.!Q118*4.5*0.275)&gt;90,"Да","Нет")</f>
        <v>#N/A</v>
      </c>
      <c r="FU118" s="38" t="e">
        <f>IF((Исходн.данные.!M118*GS118*GZ118+BM118*0.225)&gt;35,"Да","Нет")</f>
        <v>#N/A</v>
      </c>
      <c r="FV118" s="38" t="str">
        <f>IF(Исходн.данные.!O118&gt;175,"Да","Нет")</f>
        <v>Нет</v>
      </c>
      <c r="FW118" s="39" t="str">
        <f>IF(Исходн.данные.!I118&gt;5.5,"Да","Нет")</f>
        <v>Нет</v>
      </c>
      <c r="FX118" s="39" t="str">
        <f>IF(Исходн.данные.!J118&lt;2,"Да","Нет")</f>
        <v>Да</v>
      </c>
      <c r="FY118" s="39" t="e">
        <f>IF(HF118=$FY$16,0,Исходн.данные.!K118*GO118*GS118*GW118/HF118)</f>
        <v>#N/A</v>
      </c>
      <c r="FZ118" s="39" t="e">
        <f>Исходн.данные.!M118*GS118*GZ118/HG118</f>
        <v>#N/A</v>
      </c>
      <c r="GA118" s="39" t="e">
        <f>IF(K_Wyn=$FY$16,0,IF(Исходн.данные.!N118=Исходн.данные.!$L$10,Исходн.данные.!O118/1.1*GS118*HC118/HH118,IF(Исходн.данные.!N118=Исходн.данные.!$L$12,Исходн.данные.!O118/1.5*GS118*HC118/HH118,Исходн.данные.!O118*GS118*HC118/HH118)))</f>
        <v>#N/A</v>
      </c>
      <c r="GB118" s="39" t="e">
        <f>IF(HF118=$FY$16,0,((Исходн.данные.!Q118*N_Org+Исходн.данные.!R118*N_Sider+Исходн.данные.!S118*N_Soloma)*AO118+Расчет!BC118*VLOOKUP(Исходн.данные.!T118,Справ!$A$3:$O$57,15)*AO118+BB118*VLOOKUP(Исходн.данные.!T118,Справ!$A$3:$O$57,15)*AL118+(Исходн.данные.!V118*N_Rizotorf+Исходн.данные.!W118*N_Rizoagr))/HF118)</f>
        <v>#N/A</v>
      </c>
      <c r="GC118" s="39" t="e">
        <f>IF(HG118=$FY$16,0,((Исходн.данные.!Q118*Р_Org+Исходн.данные.!R118*P_Sider+Исходн.данные.!S118*P_Soloma)*AP118+Расчет!BC118*VLOOKUP(Исходн.данные.!T118,Справ!$A$3:$P$57,16)*AP118+BB118*VLOOKUP(Исходн.данные.!T118,Справ!$A$3:$P$57,16)*AM118)/HG118)</f>
        <v>#N/A</v>
      </c>
      <c r="GD118" s="39" t="e">
        <f>IF(HH118=$FY$16,0,((Исходн.данные.!Q118*К_Org+Исходн.данные.!R118*K_Sider+Исходн.данные.!S118*K_Soloma)*AQ118+Расчет!BC118*VLOOKUP(Исходн.данные.!T118,Справ!$A$3:$Q$57,17)*AQ118+BB118*VLOOKUP(Исходн.данные.!T118,Справ!$A$3:$Q$57,17)*AN118)/HH118)</f>
        <v>#N/A</v>
      </c>
      <c r="GE118" s="39" t="e">
        <f>IF(HF118=$FY$16,0,(Исходн.данные.!X118*AR118+Исходн.данные.!AA118*N_Org*AL118+Исходн.данные.!AB118*N_Sider*AL118+Исходн.данные.!AC118*N_Soloma*AL118)/HF118)</f>
        <v>#N/A</v>
      </c>
      <c r="GF118" s="39" t="e">
        <f>IF(HG118=$FY$16,0,(Исходн.данные.!Y118*AS118+Исходн.данные.!AA118*Р_Org*AM118+Исходн.данные.!AB118*P_Sider*AM118+Исходн.данные.!AC118*P_Soloma*AM118)/HG118)</f>
        <v>#N/A</v>
      </c>
      <c r="GG118" s="39" t="e">
        <f>IF(HH118=$FY$16,0,(Исходн.данные.!Z118*AT118+Исходн.данные.!AA118*К_Org*AN118+Исходн.данные.!AB118*K_Sider*AN118+Исходн.данные.!AC118*K_Soloma*AN118)/HH118)</f>
        <v>#N/A</v>
      </c>
      <c r="GH118" s="39" t="e">
        <f>Исходн.данные.!AD118*AU118/HF118</f>
        <v>#N/A</v>
      </c>
      <c r="GI118" s="39" t="e">
        <f>Исходн.данные.!AE118*AV118/HG118</f>
        <v>#N/A</v>
      </c>
      <c r="GJ118" s="39" t="e">
        <f>Исходн.данные.!AF118*AW118/HH118</f>
        <v>#N/A</v>
      </c>
      <c r="GK118" s="55">
        <f>Исходн.данные.!AK118</f>
        <v>0</v>
      </c>
      <c r="GL118" s="11" t="e">
        <f t="shared" si="187"/>
        <v>#N/A</v>
      </c>
      <c r="GM118" s="11" t="e">
        <f t="shared" si="188"/>
        <v>#N/A</v>
      </c>
      <c r="GN118" s="11" t="e">
        <f t="shared" si="189"/>
        <v>#N/A</v>
      </c>
      <c r="GO118" s="57">
        <f t="shared" si="190"/>
        <v>19</v>
      </c>
      <c r="GP118" s="55">
        <f>IF(OR(Исходн.данные.!F118=$CE$1,Исходн.данные.!F118=$CE$2,Исходн.данные.!F118=$CE$3,Исходн.данные.!F118=$CE$4,Исходн.данные.!F118=$CE$5),GQ118,GR118)</f>
        <v>19</v>
      </c>
      <c r="GQ118" s="55">
        <f>IF(Исходн.данные.!F118=$CE$1,28,IF(Исходн.данные.!F118=$CE$2,26,IF(Исходн.данные.!F118=$CE$3,24,IF(Исходн.данные.!F118=$CE$4,22,IF(Исходн.данные.!F118=$CE$5,20,GR118)))))</f>
        <v>19</v>
      </c>
      <c r="GR118" s="55">
        <f>IF(Исходн.данные.!F118=$CE$6,18,IF(Исходн.данные.!F118=$CE$7,16,IF(Исходн.данные.!F118=$CE$8,14,IF(Исходн.данные.!F118=$CE$9,13,IF(Исходн.данные.!F118=$CE$10,12,19)))))</f>
        <v>19</v>
      </c>
      <c r="GS118" s="55">
        <f>IF(Исходн.данные.!G118="Пес",0.035*(40+2*Исходн.данные.!H118),IF(Исходн.данные.!G118="Суп",0.0325*(40+2*Исходн.данные.!H118),0.03*(40+2*Исходн.данные.!H118)))</f>
        <v>1.2</v>
      </c>
      <c r="GT118" s="55">
        <f>IF(Исходн.данные.!H118&lt;23,2.6,IF(AND(Исходн.данные.!H118&gt;22,Исходн.данные.!H118&lt;26),3,IF(AND(Исходн.данные.!H118&gt;25,Исходн.данные.!H118&lt;29),3.4,3.6)))</f>
        <v>2.6</v>
      </c>
      <c r="GU118" s="55">
        <f>IF(Исходн.данные.!H118&lt;23,2.8,IF(AND(Исходн.данные.!H118&gt;22,Исходн.данные.!H118&lt;26),3.2,IF(AND(Исходн.данные.!H118&gt;25,Исходн.данные.!H118&lt;29),3.6,3.9)))</f>
        <v>2.8</v>
      </c>
      <c r="GV118" s="55">
        <f>IF(Исходн.данные.!H118&lt;23,3,IF(AND(Исходн.данные.!H118&gt;22,Исходн.данные.!H118&lt;26),3.5,IF(AND(Исходн.данные.!H118&gt;25,Исходн.данные.!H118&lt;29),3.9,4.2)))</f>
        <v>3</v>
      </c>
      <c r="GW118" s="55" t="e">
        <f>IF(Исходн.данные.!P118="Ум",GX118,GY118)</f>
        <v>#N/A</v>
      </c>
      <c r="GX118" s="55" t="e">
        <f>VLOOKUP(Исходн.данные.!AI118,Коэффициенты!$J$7:$L$13,2,FALSE)</f>
        <v>#N/A</v>
      </c>
      <c r="GY118" s="55" t="e">
        <f>VLOOKUP(Исходн.данные.!AI118,Коэффициенты!$J$7:$L$13,3,FALSE)</f>
        <v>#N/A</v>
      </c>
      <c r="GZ118" s="55" t="e">
        <f>(IF(Исходн.данные.!M118&lt;50,0.11*VLOOKUP(Исходн.данные.!AH118,Культуры.Информация,7,FALSE),IF(Исходн.данные.!M118&gt;250,0.05*VLOOKUP(Исходн.данные.!AH118,Культуры.Информация,7,FALSE),VLOOKUP(Исходн.данные.!AH118,Культуры.Информация,5,FALSE)/100*($GX$6+$GY$6*Исходн.данные.!M118))))*Расчет2!AI118</f>
        <v>#N/A</v>
      </c>
      <c r="HA118" s="211"/>
      <c r="HB118" s="211"/>
      <c r="HC118" s="55" t="e">
        <f>(IF(Исходн.данные.!O118&lt;80,0.2*VLOOKUP(Исходн.данные.!AH118,Культуры.Информация,8,FALSE),IF(Исходн.данные.!O118&gt;240,0.09*VLOOKUP(Исходн.данные.!AH118,Культуры.Информация,8,FALSE),VLOOKUP(Исходн.данные.!AH118,Культуры.Информация,6,FALSE)/100*($HB$6+$HC$6*Исходн.данные.!O118))))*Расчет2!AJ118</f>
        <v>#N/A</v>
      </c>
      <c r="HD118" s="55">
        <f>IF(Исходн.данные.!O118&gt;240,0.09,IF(Исходн.данные.!O118&lt;30,0.3,$HE$10+$HD$10*Исходн.данные.!O118))</f>
        <v>0.3</v>
      </c>
      <c r="HE118" s="55">
        <f>IF(Исходн.данные.!O118&gt;240,0.17,IF(Исходн.данные.!O118&lt;30,0.5,$HF$12+$HE$12*Исходн.данные.!O118))</f>
        <v>0.5</v>
      </c>
      <c r="HF118" s="55" t="e">
        <f>VLOOKUP(Исходн.данные.!AH118,Справ!$A$3:$D$58,2,FALSE)</f>
        <v>#N/A</v>
      </c>
      <c r="HG118" s="55" t="e">
        <f>VLOOKUP(Исходн.данные.!AH118,Справ!$A$3:$D$58,3,FALSE)</f>
        <v>#N/A</v>
      </c>
      <c r="HH118" s="55" t="e">
        <f>VLOOKUP(Исходн.данные.!AH118,Справ!$A$3:$D$58,4,FALSE)</f>
        <v>#N/A</v>
      </c>
      <c r="HI118" s="11" t="e">
        <f t="shared" si="191"/>
        <v>#N/A</v>
      </c>
      <c r="HJ118" s="11" t="e">
        <f t="shared" si="192"/>
        <v>#N/A</v>
      </c>
      <c r="HK118" s="11" t="e">
        <f t="shared" si="193"/>
        <v>#N/A</v>
      </c>
      <c r="HL118" s="55">
        <f>IF(OR(Исходн.данные.!G118="Глин",Исходн.данные.!G118="Т_суг"),1.1,IF(Исходн.данные.!G118="Ср_суг",1,1))</f>
        <v>1</v>
      </c>
      <c r="HM118" s="55">
        <f>IF(OR(Исходн.данные.!G118="Глин",Исходн.данные.!G118="Т_суг"),0.9,IF(Исходн.данные.!G118="Ср_суг",1,1.2))</f>
        <v>1.2</v>
      </c>
      <c r="HN118" s="11" t="e">
        <f t="shared" si="194"/>
        <v>#N/A</v>
      </c>
      <c r="HO118" s="11" t="e">
        <f t="shared" si="195"/>
        <v>#N/A</v>
      </c>
      <c r="HP118" s="11" t="e">
        <f t="shared" si="196"/>
        <v>#N/A</v>
      </c>
      <c r="HQ118" t="e">
        <f t="shared" si="197"/>
        <v>#N/A</v>
      </c>
      <c r="HR118" t="e">
        <f t="shared" si="198"/>
        <v>#N/A</v>
      </c>
      <c r="HS118" t="e">
        <f t="shared" si="199"/>
        <v>#N/A</v>
      </c>
      <c r="HT118" t="e">
        <f t="shared" si="145"/>
        <v>#N/A</v>
      </c>
      <c r="HU118" t="e">
        <f t="shared" si="146"/>
        <v>#N/A</v>
      </c>
      <c r="HV118" t="e">
        <f t="shared" si="147"/>
        <v>#N/A</v>
      </c>
      <c r="HW118" t="e">
        <f t="shared" si="148"/>
        <v>#N/A</v>
      </c>
      <c r="HX118" t="e">
        <f t="shared" si="149"/>
        <v>#N/A</v>
      </c>
      <c r="HY118" t="e">
        <f t="shared" si="150"/>
        <v>#N/A</v>
      </c>
      <c r="HZ118" s="55">
        <f>IF(OR(Исходн.данные.!AI118="Оз_Ч_П",Исходн.данные.!AI118="Оз_З_П",Исходн.данные.!AI118="Яр_зер"),12,30)</f>
        <v>30</v>
      </c>
      <c r="IA118" t="e">
        <f t="shared" si="200"/>
        <v>#N/A</v>
      </c>
      <c r="IB118" t="e">
        <f t="shared" si="201"/>
        <v>#N/A</v>
      </c>
      <c r="IC118" t="e">
        <f t="shared" si="202"/>
        <v>#N/A</v>
      </c>
      <c r="ID118" s="11" t="e">
        <f t="shared" si="203"/>
        <v>#N/A</v>
      </c>
      <c r="IE118" s="11" t="e">
        <f t="shared" si="204"/>
        <v>#N/A</v>
      </c>
      <c r="IF118" s="11" t="e">
        <f t="shared" si="205"/>
        <v>#N/A</v>
      </c>
    </row>
    <row r="119" spans="35:240" x14ac:dyDescent="0.2">
      <c r="AI119">
        <f>IF(Исходн.данные.!I119&gt;6,1,1.85-(0.148*Исходн.данные.!I119))</f>
        <v>1.85</v>
      </c>
      <c r="AJ119">
        <f>IF(Исходн.данные.!I119&gt;6,1,2.434-(0.246*Исходн.данные.!I119))</f>
        <v>2.4340000000000002</v>
      </c>
      <c r="AL119" s="148" t="b">
        <f>IF(Исходн.данные.!$P119="Ум",N_OrgUd_2g_um,IF(Исходн.данные.!$P119="Об",N_OrgUd_2g_ob))</f>
        <v>0</v>
      </c>
      <c r="AM119" s="148" t="b">
        <f>IF(Исходн.данные.!$P119="Ум",P_OrgUd_2g_um,IF(Исходн.данные.!$P119="Об",P_OrgUd_2g_ob))</f>
        <v>0</v>
      </c>
      <c r="AN119" s="148" t="b">
        <f>IF(Исходн.данные.!$P119="Ум",K_OrgUd_2g_um,IF(Исходн.данные.!$P119="Об",K_OrgUd_2g_ob))</f>
        <v>0</v>
      </c>
      <c r="AO119" s="148" t="b">
        <f>IF(Исходн.данные.!$P119="Ум",N_OrgUd_1g_um,IF(Исходн.данные.!$P119="Об",N_OrgUd_1g_ob))</f>
        <v>0</v>
      </c>
      <c r="AP119" s="148" t="b">
        <f>IF(Исходн.данные.!$P119="Ум",P_OrgUd_1g_um,IF(Исходн.данные.!$P119="Об",P_OrgUd_1g_ob))</f>
        <v>0</v>
      </c>
      <c r="AQ119" s="148" t="b">
        <f>IF(Исходн.данные.!$P119="Ум",K_OrgUd_1g_um,IF(Исходн.данные.!$P119="Об",K_OrgUd_1g_ob))</f>
        <v>0</v>
      </c>
      <c r="AR119" t="b">
        <f>IF(Исходн.данные.!$P119="Ум",N_MinUd_2g_um,IF(Исходн.данные.!$P119="Об",N_MinUd_2g_ob))</f>
        <v>0</v>
      </c>
      <c r="AS119" t="b">
        <f>IF(Исходн.данные.!$P119="Ум",P_MinUd_2g_um,IF(Исходн.данные.!$P119="Об",P_MinUd_2g_ob))</f>
        <v>0</v>
      </c>
      <c r="AT119" t="b">
        <f>IF(Исходн.данные.!$P119="Ум",K_MinUd_2g_um,IF(Исходн.данные.!$P119="Об",K_MinUd_2g_ob))</f>
        <v>0</v>
      </c>
      <c r="AU119" t="b">
        <f>IF(Исходн.данные.!$P119="Ум",N_MinUd_1g_um,IF(Исходн.данные.!$P119="Об",N_MinUd_1g_ob))</f>
        <v>0</v>
      </c>
      <c r="AV119" t="b">
        <f>IF(Исходн.данные.!P119="Ум",P_MinUd_1g_um,IF(Исходн.данные.!P119="Об",P_MinUd_1g_ob))</f>
        <v>0</v>
      </c>
      <c r="AW119" t="b">
        <f>IF(Исходн.данные.!P119="Ум",K_MinUd_1g_um,IF(Исходн.данные.!P119="Об",K_MinUd_1g_ob))</f>
        <v>0</v>
      </c>
      <c r="AY119" t="e">
        <f>VLOOKUP(Исходн.данные.!T119,Справ!$A$3:$N$57,12)</f>
        <v>#N/A</v>
      </c>
      <c r="AZ119" t="e">
        <f>VLOOKUP(Исходн.данные.!T119,Справ!$A$3:$N$57,13)</f>
        <v>#N/A</v>
      </c>
      <c r="BA119" t="e">
        <f>VLOOKUP(Исходн.данные.!T119,Справ!$A$3:$N$57,14)</f>
        <v>#N/A</v>
      </c>
      <c r="BB119">
        <f>IF(Исходн.данные.!AH119=0,0,25)</f>
        <v>0</v>
      </c>
      <c r="BC119" s="141">
        <f>IF(Исходн.данные.!AH119=0,0,IF(Исходн.данные.!T119=0,25,BD119))</f>
        <v>0</v>
      </c>
      <c r="BD119" s="168" t="e">
        <f>AY119+AZ119*Исходн.данные.!U119-POWER(BA119,2)*Исходн.данные.!U119</f>
        <v>#N/A</v>
      </c>
      <c r="BE11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19" s="25">
        <f>IF(Исходн.данные.!AH119=0,0,MIN(HN119:HP119))</f>
        <v>0</v>
      </c>
      <c r="BG119" s="9">
        <f>IF(Исходн.данные.!AH119=0,0,IF((HO119+10*0.25/HG119/HL119)&lt;17,17,HO119+10*0.25/HG119/HL119))</f>
        <v>0</v>
      </c>
      <c r="BH119" s="181">
        <f>IF(Исходн.данные.!AH119=0,0,HW119*HF119*HL119/AU119*AI119+Исходн.данные.!S119*10)</f>
        <v>0</v>
      </c>
      <c r="BI119" s="10"/>
      <c r="BJ119" s="182">
        <f>IF(Исходн.данные.!AH119=0,0,IF(HX119*HG119*HL119/AV119&lt;0,0,HX119*HG119*HL119/AV119*AJ119))</f>
        <v>0</v>
      </c>
      <c r="BK119" s="182">
        <f>IF(Исходн.данные.!AH119=0,0,HY119*HH119*HM119/AW119)</f>
        <v>0</v>
      </c>
      <c r="BL119" s="10">
        <f>IF(OR(Исходн.данные.!$AH119=$BP$1,Исходн.данные.!$AH119=$BP$2),0,IF(BH119&lt;0,0,IF(OR(Исходн.данные.!T119=Расчет!$BP$1,Исходн.данные.!T119=Расчет!$BP$2,Исходн.данные.!T119=Расчет!$BT$5,Исходн.данные.!T119=Расчет!$BT$6),BH119*0.5,IF(OR(Исходн.данные.!T119=Расчет!$BS$9,Исходн.данные.!T119=Расчет!$BS$10,Исходн.данные.!T119=Расчет!$BS$11,Исходн.данные.!T119=Расчет!$BS$12,Исходн.данные.!T119=Расчет!$BP$5),BH119*0.8,BH119))))</f>
        <v>0</v>
      </c>
      <c r="BM119" s="10">
        <f>IF(OR(Исходн.данные.!$AH119=$BP$1,Исходн.данные.!$AH119=$BP$2),0,IF(BJ119&lt;0,0,IF(Исходн.данные.!I119&lt;4.5,BJ119*1.2,IF(Исходн.данные.!I119&gt;5.1,BJ119,BJ119*((5.1-Исходн.данные.!I119)*0.333+1)))))</f>
        <v>0</v>
      </c>
      <c r="BN119" s="10">
        <f>IF(OR(Исходн.данные.!$AH119=$BP$1,Исходн.данные.!$AH119=$BP$2),60-Исходн.данные.!AF119,IF(BK119&lt;0,0,IF(Исходн.данные.!I119&lt;4.5,BK119*1.2,IF(Исходн.данные.!I119&gt;5.1,BK119,BK119*((5.1-Исходн.данные.!I119)*0.333+1)))))</f>
        <v>0</v>
      </c>
      <c r="BO119" s="9">
        <f>IF(BL119&lt;0,0,BL119*Исходн.данные.!$AJ119/1000)</f>
        <v>0</v>
      </c>
      <c r="BP119" s="9">
        <f>IF(BM119&lt;0,0,BM119*Исходн.данные.!$AJ119/1000)</f>
        <v>0</v>
      </c>
      <c r="BQ119" s="9">
        <f>IF(BN119&lt;0,0,BN119*Исходн.данные.!$AJ119/1000)</f>
        <v>0</v>
      </c>
      <c r="BR119" s="9">
        <f t="shared" si="155"/>
        <v>0</v>
      </c>
      <c r="BS119" s="10" t="str">
        <f t="shared" si="156"/>
        <v>Аммофос 12:52:00</v>
      </c>
      <c r="BT119" s="10" t="str">
        <f t="shared" si="157"/>
        <v>Аммофос 12:52:00</v>
      </c>
      <c r="BU119" s="10" t="str">
        <f t="shared" si="158"/>
        <v>Диаммофоска</v>
      </c>
      <c r="BV119" s="10">
        <f t="shared" si="159"/>
        <v>0</v>
      </c>
      <c r="BW119" s="10"/>
      <c r="BX119" s="10"/>
      <c r="BY119" s="9">
        <f>IF(BL119&lt;0,0,IF(OR(Исходн.данные.!AI119=Расчет!$BU$6,Исходн.данные.!AI119=Расчет!$BU$7),Расчет!BV119,IF(Исходн.данные.!$AG119=$BV$11,BL119,IF(OR(Исходн.данные.!$AH119=$BQ$7,Исходн.данные.!$AH119=$BQ$8),CB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0,IF(Исходн.данные.!$AI119=$BU$11,"Нет",IF(BL119&gt;30,30,BL119)))))))</f>
        <v>0</v>
      </c>
      <c r="BZ119" s="9">
        <f>IF(AND(Исходн.данные.!$AG119=$BV$11,BM119&lt;10),10,IF(Исходн.данные.!$AG119=$BV$11,BM119,IF(OR(Исходн.данные.!$AH119=$BQ$7,Исходн.данные.!$AH119=$BQ$8),CC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10,IF(Исходн.данные.!$AI119=$BU$11,"Нет",IF(BM119&gt;60,60,IF(BM119&lt;10,10,BM119)))))))</f>
        <v>10</v>
      </c>
      <c r="CA119" s="39">
        <f>IF(BN119&lt;0,0,IF(Исходн.данные.!$AG119=$BV$11,BN119,IF(OR(Исходн.данные.!$AH119=$BQ$7,Исходн.данные.!$AH119=$BQ$8),CD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0,IF(Исходн.данные.!$AI119=$BU$11,"Нет",IF(BN119&gt;30,30,BN119))))))</f>
        <v>0</v>
      </c>
      <c r="CB119" s="9">
        <f t="shared" si="160"/>
        <v>0</v>
      </c>
      <c r="CC119" s="9">
        <f t="shared" si="161"/>
        <v>0</v>
      </c>
      <c r="CD119" s="9">
        <f t="shared" si="162"/>
        <v>0</v>
      </c>
      <c r="CE119" s="12">
        <f t="shared" si="163"/>
        <v>10</v>
      </c>
      <c r="CF119" s="9">
        <f t="shared" si="164"/>
        <v>0</v>
      </c>
      <c r="CG119" s="9" t="s">
        <v>231</v>
      </c>
      <c r="CH119" s="132" t="str">
        <f>IF(Исходн.данные.!AP119=Расчет!$CI$16,"Нет",IF(Исходн.данные.!AL119&gt;0,Исходн.данные.!AL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BH$4,IF(OR(Исходн.данные.!AI119=Исходн.данные.!$AI$6,Исходн.данные.!AI119=Исходн.данные.!$AI$7),Расчет!BS119,IF(AND($CF119=0,$CE119&gt;0),EV119,ER119)))))</f>
        <v>Аммофос 12:52:00</v>
      </c>
      <c r="CI119" s="274">
        <f>IF(Расчет!$CH119="Нет","Нет",IF(Исходн.данные.!$AL119&gt;0,VLOOKUP(Расчет!$CH119,АшламаДВ_Irekle,2,FALSE),VLOOKUP(Расчет!$CH119,АшламаДВ_Gomumy,2,FALSE)))</f>
        <v>0.12</v>
      </c>
      <c r="CJ119" s="274">
        <f>IF(Расчет!$CH119="Нет","Нет",IF(Исходн.данные.!$AL119&gt;0,VLOOKUP(Расчет!$CH119,АшламаДВ_Irekle,3,FALSE),VLOOKUP(Расчет!$CH119,АшламаДВ_Gomumy,3,FALSE)))</f>
        <v>0.52</v>
      </c>
      <c r="CK119" s="274">
        <f>IF(Расчет!$CH119="Нет","Нет",IF(Исходн.данные.!$AL119&gt;0,VLOOKUP(Расчет!$CH119,АшламаДВ_Irekle,4,FALSE),VLOOKUP(Расчет!$CH119,АшламаДВ_Gomumy,4,FALSE)))</f>
        <v>0</v>
      </c>
      <c r="CL119" s="70"/>
      <c r="CM119" s="70"/>
      <c r="CN119" s="70"/>
      <c r="CO119" s="70"/>
      <c r="CP119" s="70"/>
      <c r="CQ119" s="70"/>
      <c r="CR119" s="10">
        <f t="shared" si="165"/>
        <v>0</v>
      </c>
      <c r="CS119" s="10">
        <f t="shared" si="166"/>
        <v>19.23076923076923</v>
      </c>
      <c r="CT119" s="10">
        <f t="shared" si="167"/>
        <v>0</v>
      </c>
      <c r="CU119" s="39">
        <f>IF($CH119="Нет",0,IF(CI119=0,30/MIN(CJ119:CK119),IF(Исходн.данные.!$AG119=$BV$11,CR119,IF(OR(Исходн.данные.!$AH119=$BQ$7,Исходн.данные.!$AH119=$BQ$8),90/CI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0,IF(Исходн.данные.!$AI119=$BU$11,"Нет",30/CI119))))))</f>
        <v>250</v>
      </c>
      <c r="CV119" s="39">
        <f>IF($CH119="Нет",0,IF(Исходн.данные.!AH119=0,0,IF(CJ119=0,60/MIN(CI119,CK119),IF(Исходн.данные.!$AG119=$BV$11,CS119,IF(OR(Исходн.данные.!$AH119=$BQ$7,Исходн.данные.!$AH119=$BQ$8),90/CJ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10/CJ119,IF(Исходн.данные.!$AI119=$BU$11,"Нет",60/CJ119)))))))</f>
        <v>0</v>
      </c>
      <c r="CW119" s="39">
        <f>IF($CH119="Нет",0,IF(Исходн.данные.!AH119=0,0,IF(CK119=0,30/MIN(CI119:CJ119),IF(Исходн.данные.!$AG119=$BV$11,CT119,IF(OR(Исходн.данные.!$AH119=$BQ$7,Исходн.данные.!$AH119=$BQ$8),90/CK119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0,IF(Исходн.данные.!$AI119=$BU$11,"Нет",30/CK119)))))))</f>
        <v>0</v>
      </c>
      <c r="CX119" s="133">
        <f>IF(Исходн.данные.!$AG119=$BV$11,MAX(CU119:CW119),IF(OR(Исходн.данные.!$AH119=$BS$8,Исходн.данные.!$AH119=$BQ$9,Исходн.данные.!$AH119=$BQ$10,Исходн.данные.!$AH119=$BQ$11,Исходн.данные.!$AH119=$BQ$12,Исходн.данные.!$AH119=$BP$3,Исходн.данные.!$AH119=$BT$8,$FM119="Да"),CV119,MIN(CU119:CW119)))</f>
        <v>0</v>
      </c>
      <c r="CY119" s="133">
        <f>IF(Исходн.данные.!AH119=0,0,IF(CR119&gt;$CX119,$CX119,CR119))</f>
        <v>0</v>
      </c>
      <c r="CZ119" s="133">
        <f>IF(Исходн.данные.!AH119=0,0,IF(CS119&gt;$CX119,$CX119,CS119))</f>
        <v>0</v>
      </c>
      <c r="DA119" s="133">
        <f>IF(Исходн.данные.!AH119=0,0,IF(CT119&gt;$CX119,$CX119,CT119))</f>
        <v>0</v>
      </c>
      <c r="DB119" s="10">
        <f t="shared" si="168"/>
        <v>0</v>
      </c>
      <c r="DC119" s="39">
        <f>DB119*Исходн.данные.!AJ119/1000</f>
        <v>0</v>
      </c>
      <c r="DD119" s="71">
        <f t="shared" si="169"/>
        <v>0</v>
      </c>
      <c r="DE119" s="9">
        <f t="shared" si="170"/>
        <v>0</v>
      </c>
      <c r="DF119" s="9">
        <f t="shared" si="171"/>
        <v>0</v>
      </c>
      <c r="DG119" s="39">
        <f>IF(BL119&lt;0,0,IF($CH119="Нет",BL119,IF(OR(Исходн.данные.!$AH119=$BP$1,Исходн.данные.!$AH119=$BP$2),0,IF(Исходн.данные.!AI119=$BU$11,BL119,IF(BL119-DD119&lt;0,0,BL119-DD119)))))</f>
        <v>0</v>
      </c>
      <c r="DH119" s="39">
        <f>IF(BM119&lt;0,0,IF($CH119="Нет",BM119,IF(OR(Исходн.данные.!$AH119=$BP$1,Исходн.данные.!$AH119=$BP$2),0,IF(Исходн.данные.!AJ119=$BU$11,BM119,IF(BM119-DE119&lt;0,0,BM119-DE119)))))</f>
        <v>0</v>
      </c>
      <c r="DI119" s="39">
        <f>IF(BN119&lt;0,0,IF($CH119="Нет",BN119,IF(OR(Исходн.данные.!$AH119=$BP$1,Исходн.данные.!$AH119=$BP$2),0,IF(Исходн.данные.!AK119=$BU$11,BN119,IF(BN119-DF119&lt;0,0,BN119-DF119)))))</f>
        <v>0</v>
      </c>
      <c r="DJ119" s="12">
        <f t="shared" si="172"/>
        <v>0</v>
      </c>
      <c r="DK119" s="9">
        <f t="shared" si="173"/>
        <v>0</v>
      </c>
      <c r="DL119" s="39">
        <f>IF(Исходн.данные.!AM119&gt;0,Исходн.данные.!AM119,IF(EG119&gt;0,$BH$10,0))</f>
        <v>0</v>
      </c>
      <c r="DM119" s="186">
        <f>IF($DL119=0,0,IF(Исходн.данные.!AM119&gt;0,VLOOKUP($DL119,АшламаДВ_Irekle,2,FALSE),VLOOKUP($DL119,АшламаДВ_Gomumy,2,FALSE)))</f>
        <v>0</v>
      </c>
      <c r="DN119" s="10">
        <f t="shared" si="151"/>
        <v>0</v>
      </c>
      <c r="DO119" s="9" t="str">
        <f>IF(Исходн.данные.!AN119&gt;0,Исходн.данные.!AN119,Удобрения!$B$37 )</f>
        <v>Хлор.калий</v>
      </c>
      <c r="DP119" s="9">
        <f>IF(Исходн.данные.!AN119&gt;0,VLOOKUP(Исходн.данные.!AN119,АшламаДВ_Irekle,4,FALSE),VLOOKUP(DO119,АшламаДВ_Gomumy,4,FALSE))</f>
        <v>0.6</v>
      </c>
      <c r="DQ119" s="10">
        <f t="shared" si="152"/>
        <v>0</v>
      </c>
      <c r="DR119" s="132" t="str">
        <f>IF(Исходн.данные.!AO119&gt;0,Исходн.данные.!AO119,IF(DH119=0,BS$17,IF(AND($DK119=0,$DJ119&gt;0),EJ119,EN119)))</f>
        <v>Нет</v>
      </c>
      <c r="DS119" s="70" t="str">
        <f>IF($DR119="Нет","Нет",IF(Исходн.данные.!$AO119&gt;0,VLOOKUP($DR119,АшламаДВ_Irekle,2,FALSE),VLOOKUP($DR119,АшламаДВ_Gomumy,2,FALSE)))</f>
        <v>Нет</v>
      </c>
      <c r="DT119" s="70" t="str">
        <f>IF($DR119="Нет","Нет",IF(Исходн.данные.!$AO119&gt;0,VLOOKUP($DR119,АшламаДВ_Irekle,3,FALSE),VLOOKUP($DR119,АшламаДВ_Gomumy,3,FALSE)))</f>
        <v>Нет</v>
      </c>
      <c r="DU119" s="70" t="str">
        <f>IF($DR119="Нет","Нет",IF(Исходн.данные.!$AO119&gt;0,VLOOKUP($DR119,АшламаДВ_Irekle,4,FALSE),VLOOKUP($DR119,АшламаДВ_Gomumy,4,FALSE)))</f>
        <v>Нет</v>
      </c>
      <c r="DV119" s="70"/>
      <c r="DW119" s="70"/>
      <c r="DX119" s="70"/>
      <c r="DY119" s="10">
        <f t="shared" si="174"/>
        <v>0</v>
      </c>
      <c r="DZ119" s="10">
        <f t="shared" si="175"/>
        <v>0</v>
      </c>
      <c r="EA119" s="10">
        <f t="shared" si="176"/>
        <v>0</v>
      </c>
      <c r="EB119" s="10">
        <f t="shared" si="177"/>
        <v>0</v>
      </c>
      <c r="EC119" s="10">
        <f t="shared" si="178"/>
        <v>0</v>
      </c>
      <c r="ED119" s="10">
        <f t="shared" si="179"/>
        <v>0</v>
      </c>
      <c r="EE119" s="10">
        <f t="shared" si="180"/>
        <v>0</v>
      </c>
      <c r="EF119" s="39">
        <f>EB119*Исходн.данные.!AJ119/1000</f>
        <v>0</v>
      </c>
      <c r="EG119" s="9">
        <f t="shared" si="181"/>
        <v>0</v>
      </c>
      <c r="EH119" s="9">
        <f t="shared" si="182"/>
        <v>0</v>
      </c>
      <c r="EI119" s="39" t="e">
        <f t="shared" si="132"/>
        <v>#DIV/0!</v>
      </c>
      <c r="EJ119" s="9" t="str">
        <f t="shared" si="153"/>
        <v>Азопреципитат</v>
      </c>
      <c r="EK119" s="12">
        <f t="shared" si="133"/>
        <v>0.26</v>
      </c>
      <c r="EL119" s="12">
        <f t="shared" si="134"/>
        <v>0.13</v>
      </c>
      <c r="EM119" s="12">
        <f t="shared" si="135"/>
        <v>0</v>
      </c>
      <c r="EN119" s="12" t="str">
        <f t="shared" si="154"/>
        <v>Нет</v>
      </c>
      <c r="EO119" s="12">
        <f t="shared" si="136"/>
        <v>0</v>
      </c>
      <c r="EP119" s="12">
        <f t="shared" si="137"/>
        <v>0</v>
      </c>
      <c r="EQ119" s="12">
        <f t="shared" si="138"/>
        <v>0</v>
      </c>
      <c r="ER119" s="12" t="str">
        <f t="shared" si="183"/>
        <v>Диаммофоска</v>
      </c>
      <c r="ES119" s="12">
        <f t="shared" si="139"/>
        <v>0.1</v>
      </c>
      <c r="ET119" s="12">
        <f t="shared" si="140"/>
        <v>0.26</v>
      </c>
      <c r="EU119" s="12">
        <f t="shared" si="141"/>
        <v>0.26</v>
      </c>
      <c r="EV119" s="12" t="str">
        <f t="shared" si="184"/>
        <v>Аммофос 12:52:00</v>
      </c>
      <c r="EW119" s="12" t="str">
        <f t="shared" si="185"/>
        <v>Кемира Свекловичное-6</v>
      </c>
      <c r="EX119" s="12">
        <f t="shared" si="142"/>
        <v>0.16</v>
      </c>
      <c r="EY119" s="12">
        <f t="shared" si="143"/>
        <v>0.12</v>
      </c>
      <c r="EZ119" s="12">
        <f t="shared" si="144"/>
        <v>0.17</v>
      </c>
      <c r="FA119" s="38" t="e">
        <f>IF(AND(OR(FJ119=$FD$1,FM119=$FD$1,FO119=$FD$1,FQ119=$FD$1,FS119=$FD$1),FD119=$FD$1,Исходн.данные.!J119&lt;2,FU119=$FD$1),"Бор,Кобальт",IF(AND(FO119=$FD$1,FH119=$FD$1,Исходн.данные.!J119&lt;2,FU119=$FD$1),"Бор,Кобальт",IF(AND(OR(FJ119=$FD$1,FM119=$FD$1,FQ119=$FD$1),FE119=$FD$1,Исходн.данные.!J119&lt;2,FT119=$FD$1,FU119=$FD$1),"Бор,Медь,Цинк",IF(AND(OR(FJ119=$FD$1,FR119="Да"),FI119="Да",Исходн.данные.!J119&lt;2,FT119="Да",FU119="Да"),"Бор,Цинк,Медь",IF(AND(OR(FM119="Да",FQ119="Да"),FI119="Да",Исходн.данные.!J119&lt;2,FT119="Да",FU119="Да"),"Бор,Цинк",IF(AND(FN119="Да",OR(FD119="Да",FE119="Да")),"Бор",FB119))))))</f>
        <v>#N/A</v>
      </c>
      <c r="FB119" s="134" t="e">
        <f>IF(AND(OR(FD119="Да",FE119="Да",FF119="Да",FG119="Да",FH119="Да"),FO119="Да"),"Бор",IF(AND(FP119="Да",OR(FD119="Да",FE119="Да",FI119="Да")),"Бор",IF(AND(FS119="Да",FE119="Да"),"Бор,Медь",IF(AND(OR(FJ119="Да",FK119="Да",FL119="Да"),FE119="Да",Исходн.данные.!I119&lt;5,FT119="Да",FU119="Да"),"Молибден,Цинк",IF(AND(FM119="Да",OR(FE119="Да",FF119="Да",FG119="Да",FH119="Да",FI119="Да")),"Молибден,Цинк",IF(AND(OR(FJ119="Да",FK119="Да",FL119="Да",FM119="Да",FQ119="Да"),OR(FE119="Да",FF119="Да"),FT119="Да",FU119="Да",Исходн.данные.!I119&gt;5.5),"Медь,Цинк",FC119))))))</f>
        <v>#N/A</v>
      </c>
      <c r="FC119" s="23" t="e">
        <f t="shared" si="186"/>
        <v>#N/A</v>
      </c>
      <c r="FD119" s="38" t="str">
        <f>IF(OR(Исходн.данные.!F119=$CC$1,Исходн.данные.!F119=$CC$2,Исходн.данные.!F119=$CC$3,Исходн.данные.!F119=$CC$4),"Да","Нет")</f>
        <v>Нет</v>
      </c>
      <c r="FE119" s="38" t="str">
        <f>IF(Исходн.данные.!F119=$CC$5,"Да","Нет")</f>
        <v>Нет</v>
      </c>
      <c r="FF119" s="38" t="str">
        <f>IF(OR(Исходн.данные.!F119=$CC$6,Исходн.данные.!F119=$CC$7),"Да","Нет")</f>
        <v>Нет</v>
      </c>
      <c r="FG119" s="38" t="str">
        <f>IF(OR(Исходн.данные.!F119=$CC$8,Исходн.данные.!F119=$CC$9),"Да","Нет")</f>
        <v>Нет</v>
      </c>
      <c r="FH119" s="38" t="str">
        <f>IF(Исходн.данные.!F119=$CC$10,"Да","Нет")</f>
        <v>Нет</v>
      </c>
      <c r="FI119" s="38" t="str">
        <f>IF(OR(Исходн.данные.!F119=$CC$11,Исходн.данные.!F119=$CC$12),"Да","Нет")</f>
        <v>Нет</v>
      </c>
      <c r="FJ119" s="38" t="str">
        <f>IF(OR(Исходн.данные.!AH119=$BS$1,Исходн.данные.!AH119=$BQ$11,Исходн.данные.!AH119=$BQ$12),"Да","Нет")</f>
        <v>Нет</v>
      </c>
      <c r="FK119" s="38" t="str">
        <f>IF(OR(Исходн.данные.!AH119=$BS$2,Исходн.данные.!AH119=$BS$4),"Да","Нет")</f>
        <v>Нет</v>
      </c>
      <c r="FL119" s="38" t="str">
        <f>IF(OR(Исходн.данные.!AH119=$BS$3,Исходн.данные.!AH119=$BS$5),"Да","Нет")</f>
        <v>Нет</v>
      </c>
      <c r="FM119" s="38" t="str">
        <f>IF(OR(Исходн.данные.!AH119=$BS$9,Исходн.данные.!AH119=$BS$10,Исходн.данные.!AH119=$BS$11,Исходн.данные.!AH119=$BS$12),"Да","Нет")</f>
        <v>Нет</v>
      </c>
      <c r="FN119" s="38" t="str">
        <f>IF(OR(Исходн.данные.!AH119=$BS$6,Исходн.данные.!AH119=$BP$3),"Да","Нет")</f>
        <v>Нет</v>
      </c>
      <c r="FO119" s="38" t="str">
        <f>IF(Исходн.данные.!AH119=$BQ$9,"Да","Нет")</f>
        <v>Нет</v>
      </c>
      <c r="FP119" s="38" t="str">
        <f>IF(OR(Исходн.данные.!AH119=$BS$8,Исходн.данные.!AH119=$BT$8),"Да","Нет")</f>
        <v>Нет</v>
      </c>
      <c r="FQ119" s="38" t="str">
        <f>IF(OR(Исходн.данные.!AH119=$BQ$7,Исходн.данные.!AH119=$BQ$8),"Да","Нет")</f>
        <v>Нет</v>
      </c>
      <c r="FR119" s="38" t="str">
        <f>IF(Исходн.данные.!AI119=$BU$9,"Да","Нет")</f>
        <v>Нет</v>
      </c>
      <c r="FS119" s="38" t="str">
        <f>IF(OR(Исходн.данные.!AH119=$BP$1,Исходн.данные.!AH119=$BP$2),"Да","Нет")</f>
        <v>Нет</v>
      </c>
      <c r="FT119" s="38" t="e">
        <f>IF((Исходн.данные.!K119*GO119*GS119*GW119+BL119*0.6+Исходн.данные.!Q119*4.5*0.275)&gt;90,"Да","Нет")</f>
        <v>#N/A</v>
      </c>
      <c r="FU119" s="38" t="e">
        <f>IF((Исходн.данные.!M119*GS119*GZ119+BM119*0.225)&gt;35,"Да","Нет")</f>
        <v>#N/A</v>
      </c>
      <c r="FV119" s="38" t="str">
        <f>IF(Исходн.данные.!O119&gt;175,"Да","Нет")</f>
        <v>Нет</v>
      </c>
      <c r="FW119" s="39" t="str">
        <f>IF(Исходн.данные.!I119&gt;5.5,"Да","Нет")</f>
        <v>Нет</v>
      </c>
      <c r="FX119" s="39" t="str">
        <f>IF(Исходн.данные.!J119&lt;2,"Да","Нет")</f>
        <v>Да</v>
      </c>
      <c r="FY119" s="39" t="e">
        <f>IF(HF119=$FY$16,0,Исходн.данные.!K119*GO119*GS119*GW119/HF119)</f>
        <v>#N/A</v>
      </c>
      <c r="FZ119" s="39" t="e">
        <f>Исходн.данные.!M119*GS119*GZ119/HG119</f>
        <v>#N/A</v>
      </c>
      <c r="GA119" s="39" t="e">
        <f>IF(K_Wyn=$FY$16,0,IF(Исходн.данные.!N119=Исходн.данные.!$L$10,Исходн.данные.!O119/1.1*GS119*HC119/HH119,IF(Исходн.данные.!N119=Исходн.данные.!$L$12,Исходн.данные.!O119/1.5*GS119*HC119/HH119,Исходн.данные.!O119*GS119*HC119/HH119)))</f>
        <v>#N/A</v>
      </c>
      <c r="GB119" s="39" t="e">
        <f>IF(HF119=$FY$16,0,((Исходн.данные.!Q119*N_Org+Исходн.данные.!R119*N_Sider+Исходн.данные.!S119*N_Soloma)*AO119+Расчет!BC119*VLOOKUP(Исходн.данные.!T119,Справ!$A$3:$O$57,15)*AO119+BB119*VLOOKUP(Исходн.данные.!T119,Справ!$A$3:$O$57,15)*AL119+(Исходн.данные.!V119*N_Rizotorf+Исходн.данные.!W119*N_Rizoagr))/HF119)</f>
        <v>#N/A</v>
      </c>
      <c r="GC119" s="39" t="e">
        <f>IF(HG119=$FY$16,0,((Исходн.данные.!Q119*Р_Org+Исходн.данные.!R119*P_Sider+Исходн.данные.!S119*P_Soloma)*AP119+Расчет!BC119*VLOOKUP(Исходн.данные.!T119,Справ!$A$3:$P$57,16)*AP119+BB119*VLOOKUP(Исходн.данные.!T119,Справ!$A$3:$P$57,16)*AM119)/HG119)</f>
        <v>#N/A</v>
      </c>
      <c r="GD119" s="39" t="e">
        <f>IF(HH119=$FY$16,0,((Исходн.данные.!Q119*К_Org+Исходн.данные.!R119*K_Sider+Исходн.данные.!S119*K_Soloma)*AQ119+Расчет!BC119*VLOOKUP(Исходн.данные.!T119,Справ!$A$3:$Q$57,17)*AQ119+BB119*VLOOKUP(Исходн.данные.!T119,Справ!$A$3:$Q$57,17)*AN119)/HH119)</f>
        <v>#N/A</v>
      </c>
      <c r="GE119" s="39" t="e">
        <f>IF(HF119=$FY$16,0,(Исходн.данные.!X119*AR119+Исходн.данные.!AA119*N_Org*AL119+Исходн.данные.!AB119*N_Sider*AL119+Исходн.данные.!AC119*N_Soloma*AL119)/HF119)</f>
        <v>#N/A</v>
      </c>
      <c r="GF119" s="39" t="e">
        <f>IF(HG119=$FY$16,0,(Исходн.данные.!Y119*AS119+Исходн.данные.!AA119*Р_Org*AM119+Исходн.данные.!AB119*P_Sider*AM119+Исходн.данные.!AC119*P_Soloma*AM119)/HG119)</f>
        <v>#N/A</v>
      </c>
      <c r="GG119" s="39" t="e">
        <f>IF(HH119=$FY$16,0,(Исходн.данные.!Z119*AT119+Исходн.данные.!AA119*К_Org*AN119+Исходн.данные.!AB119*K_Sider*AN119+Исходн.данные.!AC119*K_Soloma*AN119)/HH119)</f>
        <v>#N/A</v>
      </c>
      <c r="GH119" s="39" t="e">
        <f>Исходн.данные.!AD119*AU119/HF119</f>
        <v>#N/A</v>
      </c>
      <c r="GI119" s="39" t="e">
        <f>Исходн.данные.!AE119*AV119/HG119</f>
        <v>#N/A</v>
      </c>
      <c r="GJ119" s="39" t="e">
        <f>Исходн.данные.!AF119*AW119/HH119</f>
        <v>#N/A</v>
      </c>
      <c r="GK119" s="55">
        <f>Исходн.данные.!AK119</f>
        <v>0</v>
      </c>
      <c r="GL119" s="11" t="e">
        <f t="shared" si="187"/>
        <v>#N/A</v>
      </c>
      <c r="GM119" s="11" t="e">
        <f t="shared" si="188"/>
        <v>#N/A</v>
      </c>
      <c r="GN119" s="11" t="e">
        <f t="shared" si="189"/>
        <v>#N/A</v>
      </c>
      <c r="GO119" s="57">
        <f t="shared" si="190"/>
        <v>19</v>
      </c>
      <c r="GP119" s="55">
        <f>IF(OR(Исходн.данные.!F119=$CE$1,Исходн.данные.!F119=$CE$2,Исходн.данные.!F119=$CE$3,Исходн.данные.!F119=$CE$4,Исходн.данные.!F119=$CE$5),GQ119,GR119)</f>
        <v>19</v>
      </c>
      <c r="GQ119" s="55">
        <f>IF(Исходн.данные.!F119=$CE$1,28,IF(Исходн.данные.!F119=$CE$2,26,IF(Исходн.данные.!F119=$CE$3,24,IF(Исходн.данные.!F119=$CE$4,22,IF(Исходн.данные.!F119=$CE$5,20,GR119)))))</f>
        <v>19</v>
      </c>
      <c r="GR119" s="55">
        <f>IF(Исходн.данные.!F119=$CE$6,18,IF(Исходн.данные.!F119=$CE$7,16,IF(Исходн.данные.!F119=$CE$8,14,IF(Исходн.данные.!F119=$CE$9,13,IF(Исходн.данные.!F119=$CE$10,12,19)))))</f>
        <v>19</v>
      </c>
      <c r="GS119" s="55">
        <f>IF(Исходн.данные.!G119="Пес",0.035*(40+2*Исходн.данные.!H119),IF(Исходн.данные.!G119="Суп",0.0325*(40+2*Исходн.данные.!H119),0.03*(40+2*Исходн.данные.!H119)))</f>
        <v>1.2</v>
      </c>
      <c r="GT119" s="55">
        <f>IF(Исходн.данные.!H119&lt;23,2.6,IF(AND(Исходн.данные.!H119&gt;22,Исходн.данные.!H119&lt;26),3,IF(AND(Исходн.данные.!H119&gt;25,Исходн.данные.!H119&lt;29),3.4,3.6)))</f>
        <v>2.6</v>
      </c>
      <c r="GU119" s="55">
        <f>IF(Исходн.данные.!H119&lt;23,2.8,IF(AND(Исходн.данные.!H119&gt;22,Исходн.данные.!H119&lt;26),3.2,IF(AND(Исходн.данные.!H119&gt;25,Исходн.данные.!H119&lt;29),3.6,3.9)))</f>
        <v>2.8</v>
      </c>
      <c r="GV119" s="55">
        <f>IF(Исходн.данные.!H119&lt;23,3,IF(AND(Исходн.данные.!H119&gt;22,Исходн.данные.!H119&lt;26),3.5,IF(AND(Исходн.данные.!H119&gt;25,Исходн.данные.!H119&lt;29),3.9,4.2)))</f>
        <v>3</v>
      </c>
      <c r="GW119" s="55" t="e">
        <f>IF(Исходн.данные.!P119="Ум",GX119,GY119)</f>
        <v>#N/A</v>
      </c>
      <c r="GX119" s="55" t="e">
        <f>VLOOKUP(Исходн.данные.!AI119,Коэффициенты!$J$7:$L$13,2,FALSE)</f>
        <v>#N/A</v>
      </c>
      <c r="GY119" s="55" t="e">
        <f>VLOOKUP(Исходн.данные.!AI119,Коэффициенты!$J$7:$L$13,3,FALSE)</f>
        <v>#N/A</v>
      </c>
      <c r="GZ119" s="55" t="e">
        <f>(IF(Исходн.данные.!M119&lt;50,0.11*VLOOKUP(Исходн.данные.!AH119,Культуры.Информация,7,FALSE),IF(Исходн.данные.!M119&gt;250,0.05*VLOOKUP(Исходн.данные.!AH119,Культуры.Информация,7,FALSE),VLOOKUP(Исходн.данные.!AH119,Культуры.Информация,5,FALSE)/100*($GX$6+$GY$6*Исходн.данные.!M119))))*Расчет2!AI119</f>
        <v>#N/A</v>
      </c>
      <c r="HA119" s="211"/>
      <c r="HB119" s="211"/>
      <c r="HC119" s="55" t="e">
        <f>(IF(Исходн.данные.!O119&lt;80,0.2*VLOOKUP(Исходн.данные.!AH119,Культуры.Информация,8,FALSE),IF(Исходн.данные.!O119&gt;240,0.09*VLOOKUP(Исходн.данные.!AH119,Культуры.Информация,8,FALSE),VLOOKUP(Исходн.данные.!AH119,Культуры.Информация,6,FALSE)/100*($HB$6+$HC$6*Исходн.данные.!O119))))*Расчет2!AJ119</f>
        <v>#N/A</v>
      </c>
      <c r="HD119" s="55">
        <f>IF(Исходн.данные.!O119&gt;240,0.09,IF(Исходн.данные.!O119&lt;30,0.3,$HE$10+$HD$10*Исходн.данные.!O119))</f>
        <v>0.3</v>
      </c>
      <c r="HE119" s="55">
        <f>IF(Исходн.данные.!O119&gt;240,0.17,IF(Исходн.данные.!O119&lt;30,0.5,$HF$12+$HE$12*Исходн.данные.!O119))</f>
        <v>0.5</v>
      </c>
      <c r="HF119" s="55" t="e">
        <f>VLOOKUP(Исходн.данные.!AH119,Справ!$A$3:$D$58,2,FALSE)</f>
        <v>#N/A</v>
      </c>
      <c r="HG119" s="55" t="e">
        <f>VLOOKUP(Исходн.данные.!AH119,Справ!$A$3:$D$58,3,FALSE)</f>
        <v>#N/A</v>
      </c>
      <c r="HH119" s="55" t="e">
        <f>VLOOKUP(Исходн.данные.!AH119,Справ!$A$3:$D$58,4,FALSE)</f>
        <v>#N/A</v>
      </c>
      <c r="HI119" s="11" t="e">
        <f t="shared" si="191"/>
        <v>#N/A</v>
      </c>
      <c r="HJ119" s="11" t="e">
        <f t="shared" si="192"/>
        <v>#N/A</v>
      </c>
      <c r="HK119" s="11" t="e">
        <f t="shared" si="193"/>
        <v>#N/A</v>
      </c>
      <c r="HL119" s="55">
        <f>IF(OR(Исходн.данные.!G119="Глин",Исходн.данные.!G119="Т_суг"),1.1,IF(Исходн.данные.!G119="Ср_суг",1,1))</f>
        <v>1</v>
      </c>
      <c r="HM119" s="55">
        <f>IF(OR(Исходн.данные.!G119="Глин",Исходн.данные.!G119="Т_суг"),0.9,IF(Исходн.данные.!G119="Ср_суг",1,1.2))</f>
        <v>1.2</v>
      </c>
      <c r="HN119" s="11" t="e">
        <f t="shared" si="194"/>
        <v>#N/A</v>
      </c>
      <c r="HO119" s="11" t="e">
        <f t="shared" si="195"/>
        <v>#N/A</v>
      </c>
      <c r="HP119" s="11" t="e">
        <f t="shared" si="196"/>
        <v>#N/A</v>
      </c>
      <c r="HQ119" t="e">
        <f t="shared" si="197"/>
        <v>#N/A</v>
      </c>
      <c r="HR119" t="e">
        <f t="shared" si="198"/>
        <v>#N/A</v>
      </c>
      <c r="HS119" t="e">
        <f t="shared" si="199"/>
        <v>#N/A</v>
      </c>
      <c r="HT119" t="e">
        <f t="shared" si="145"/>
        <v>#N/A</v>
      </c>
      <c r="HU119" t="e">
        <f t="shared" si="146"/>
        <v>#N/A</v>
      </c>
      <c r="HV119" t="e">
        <f t="shared" si="147"/>
        <v>#N/A</v>
      </c>
      <c r="HW119" t="e">
        <f t="shared" si="148"/>
        <v>#N/A</v>
      </c>
      <c r="HX119" t="e">
        <f t="shared" si="149"/>
        <v>#N/A</v>
      </c>
      <c r="HY119" t="e">
        <f t="shared" si="150"/>
        <v>#N/A</v>
      </c>
      <c r="HZ119" s="55">
        <f>IF(OR(Исходн.данные.!AI119="Оз_Ч_П",Исходн.данные.!AI119="Оз_З_П",Исходн.данные.!AI119="Яр_зер"),12,30)</f>
        <v>30</v>
      </c>
      <c r="IA119" t="e">
        <f t="shared" si="200"/>
        <v>#N/A</v>
      </c>
      <c r="IB119" t="e">
        <f t="shared" si="201"/>
        <v>#N/A</v>
      </c>
      <c r="IC119" t="e">
        <f t="shared" si="202"/>
        <v>#N/A</v>
      </c>
      <c r="ID119" s="11" t="e">
        <f t="shared" si="203"/>
        <v>#N/A</v>
      </c>
      <c r="IE119" s="11" t="e">
        <f t="shared" si="204"/>
        <v>#N/A</v>
      </c>
      <c r="IF119" s="11" t="e">
        <f t="shared" si="205"/>
        <v>#N/A</v>
      </c>
    </row>
    <row r="120" spans="35:240" x14ac:dyDescent="0.2">
      <c r="AI120">
        <f>IF(Исходн.данные.!I120&gt;6,1,1.85-(0.148*Исходн.данные.!I120))</f>
        <v>1.85</v>
      </c>
      <c r="AJ120">
        <f>IF(Исходн.данные.!I120&gt;6,1,2.434-(0.246*Исходн.данные.!I120))</f>
        <v>2.4340000000000002</v>
      </c>
      <c r="AL120" s="148" t="b">
        <f>IF(Исходн.данные.!$P120="Ум",N_OrgUd_2g_um,IF(Исходн.данные.!$P120="Об",N_OrgUd_2g_ob))</f>
        <v>0</v>
      </c>
      <c r="AM120" s="148" t="b">
        <f>IF(Исходн.данные.!$P120="Ум",P_OrgUd_2g_um,IF(Исходн.данные.!$P120="Об",P_OrgUd_2g_ob))</f>
        <v>0</v>
      </c>
      <c r="AN120" s="148" t="b">
        <f>IF(Исходн.данные.!$P120="Ум",K_OrgUd_2g_um,IF(Исходн.данные.!$P120="Об",K_OrgUd_2g_ob))</f>
        <v>0</v>
      </c>
      <c r="AO120" s="148" t="b">
        <f>IF(Исходн.данные.!$P120="Ум",N_OrgUd_1g_um,IF(Исходн.данные.!$P120="Об",N_OrgUd_1g_ob))</f>
        <v>0</v>
      </c>
      <c r="AP120" s="148" t="b">
        <f>IF(Исходн.данные.!$P120="Ум",P_OrgUd_1g_um,IF(Исходн.данные.!$P120="Об",P_OrgUd_1g_ob))</f>
        <v>0</v>
      </c>
      <c r="AQ120" s="148" t="b">
        <f>IF(Исходн.данные.!$P120="Ум",K_OrgUd_1g_um,IF(Исходн.данные.!$P120="Об",K_OrgUd_1g_ob))</f>
        <v>0</v>
      </c>
      <c r="AR120" t="b">
        <f>IF(Исходн.данные.!$P120="Ум",N_MinUd_2g_um,IF(Исходн.данные.!$P120="Об",N_MinUd_2g_ob))</f>
        <v>0</v>
      </c>
      <c r="AS120" t="b">
        <f>IF(Исходн.данные.!$P120="Ум",P_MinUd_2g_um,IF(Исходн.данные.!$P120="Об",P_MinUd_2g_ob))</f>
        <v>0</v>
      </c>
      <c r="AT120" t="b">
        <f>IF(Исходн.данные.!$P120="Ум",K_MinUd_2g_um,IF(Исходн.данные.!$P120="Об",K_MinUd_2g_ob))</f>
        <v>0</v>
      </c>
      <c r="AU120" t="b">
        <f>IF(Исходн.данные.!$P120="Ум",N_MinUd_1g_um,IF(Исходн.данные.!$P120="Об",N_MinUd_1g_ob))</f>
        <v>0</v>
      </c>
      <c r="AV120" t="b">
        <f>IF(Исходн.данные.!P120="Ум",P_MinUd_1g_um,IF(Исходн.данные.!P120="Об",P_MinUd_1g_ob))</f>
        <v>0</v>
      </c>
      <c r="AW120" t="b">
        <f>IF(Исходн.данные.!P120="Ум",K_MinUd_1g_um,IF(Исходн.данные.!P120="Об",K_MinUd_1g_ob))</f>
        <v>0</v>
      </c>
      <c r="AY120" t="e">
        <f>VLOOKUP(Исходн.данные.!T120,Справ!$A$3:$N$57,12)</f>
        <v>#N/A</v>
      </c>
      <c r="AZ120" t="e">
        <f>VLOOKUP(Исходн.данные.!T120,Справ!$A$3:$N$57,13)</f>
        <v>#N/A</v>
      </c>
      <c r="BA120" t="e">
        <f>VLOOKUP(Исходн.данные.!T120,Справ!$A$3:$N$57,14)</f>
        <v>#N/A</v>
      </c>
      <c r="BB120">
        <f>IF(Исходн.данные.!AH120=0,0,25)</f>
        <v>0</v>
      </c>
      <c r="BC120" s="141">
        <f>IF(Исходн.данные.!AH120=0,0,IF(Исходн.данные.!T120=0,25,BD120))</f>
        <v>0</v>
      </c>
      <c r="BD120" s="168" t="e">
        <f>AY120+AZ120*Исходн.данные.!U120-POWER(BA120,2)*Исходн.данные.!U120</f>
        <v>#N/A</v>
      </c>
      <c r="BE12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0" s="25">
        <f>IF(Исходн.данные.!AH120=0,0,MIN(HN120:HP120))</f>
        <v>0</v>
      </c>
      <c r="BG120" s="9">
        <f>IF(Исходн.данные.!AH120=0,0,IF((HO120+10*0.25/HG120/HL120)&lt;17,17,HO120+10*0.25/HG120/HL120))</f>
        <v>0</v>
      </c>
      <c r="BH120" s="181">
        <f>IF(Исходн.данные.!AH120=0,0,HW120*HF120*HL120/AU120*AI120+Исходн.данные.!S120*10)</f>
        <v>0</v>
      </c>
      <c r="BI120" s="10"/>
      <c r="BJ120" s="182">
        <f>IF(Исходн.данные.!AH120=0,0,IF(HX120*HG120*HL120/AV120&lt;0,0,HX120*HG120*HL120/AV120*AJ120))</f>
        <v>0</v>
      </c>
      <c r="BK120" s="182">
        <f>IF(Исходн.данные.!AH120=0,0,HY120*HH120*HM120/AW120)</f>
        <v>0</v>
      </c>
      <c r="BL120" s="10">
        <f>IF(OR(Исходн.данные.!$AH120=$BP$1,Исходн.данные.!$AH120=$BP$2),0,IF(BH120&lt;0,0,IF(OR(Исходн.данные.!T120=Расчет!$BP$1,Исходн.данные.!T120=Расчет!$BP$2,Исходн.данные.!T120=Расчет!$BT$5,Исходн.данные.!T120=Расчет!$BT$6),BH120*0.5,IF(OR(Исходн.данные.!T120=Расчет!$BS$9,Исходн.данные.!T120=Расчет!$BS$10,Исходн.данные.!T120=Расчет!$BS$11,Исходн.данные.!T120=Расчет!$BS$12,Исходн.данные.!T120=Расчет!$BP$5),BH120*0.8,BH120))))</f>
        <v>0</v>
      </c>
      <c r="BM120" s="10">
        <f>IF(OR(Исходн.данные.!$AH120=$BP$1,Исходн.данные.!$AH120=$BP$2),0,IF(BJ120&lt;0,0,IF(Исходн.данные.!I120&lt;4.5,BJ120*1.2,IF(Исходн.данные.!I120&gt;5.1,BJ120,BJ120*((5.1-Исходн.данные.!I120)*0.333+1)))))</f>
        <v>0</v>
      </c>
      <c r="BN120" s="10">
        <f>IF(OR(Исходн.данные.!$AH120=$BP$1,Исходн.данные.!$AH120=$BP$2),60-Исходн.данные.!AF120,IF(BK120&lt;0,0,IF(Исходн.данные.!I120&lt;4.5,BK120*1.2,IF(Исходн.данные.!I120&gt;5.1,BK120,BK120*((5.1-Исходн.данные.!I120)*0.333+1)))))</f>
        <v>0</v>
      </c>
      <c r="BO120" s="9">
        <f>IF(BL120&lt;0,0,BL120*Исходн.данные.!$AJ120/1000)</f>
        <v>0</v>
      </c>
      <c r="BP120" s="9">
        <f>IF(BM120&lt;0,0,BM120*Исходн.данные.!$AJ120/1000)</f>
        <v>0</v>
      </c>
      <c r="BQ120" s="9">
        <f>IF(BN120&lt;0,0,BN120*Исходн.данные.!$AJ120/1000)</f>
        <v>0</v>
      </c>
      <c r="BR120" s="9">
        <f t="shared" si="155"/>
        <v>0</v>
      </c>
      <c r="BS120" s="10" t="str">
        <f t="shared" si="156"/>
        <v>Аммофос 12:52:00</v>
      </c>
      <c r="BT120" s="10" t="str">
        <f t="shared" si="157"/>
        <v>Аммофос 12:52:00</v>
      </c>
      <c r="BU120" s="10" t="str">
        <f t="shared" si="158"/>
        <v>Диаммофоска</v>
      </c>
      <c r="BV120" s="10">
        <f t="shared" si="159"/>
        <v>0</v>
      </c>
      <c r="BW120" s="10"/>
      <c r="BX120" s="10"/>
      <c r="BY120" s="9">
        <f>IF(BL120&lt;0,0,IF(OR(Исходн.данные.!AI120=Расчет!$BU$6,Исходн.данные.!AI120=Расчет!$BU$7),Расчет!BV120,IF(Исходн.данные.!$AG120=$BV$11,BL120,IF(OR(Исходн.данные.!$AH120=$BQ$7,Исходн.данные.!$AH120=$BQ$8),CB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0,IF(Исходн.данные.!$AI120=$BU$11,"Нет",IF(BL120&gt;30,30,BL120)))))))</f>
        <v>0</v>
      </c>
      <c r="BZ120" s="9">
        <f>IF(AND(Исходн.данные.!$AG120=$BV$11,BM120&lt;10),10,IF(Исходн.данные.!$AG120=$BV$11,BM120,IF(OR(Исходн.данные.!$AH120=$BQ$7,Исходн.данные.!$AH120=$BQ$8),CC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10,IF(Исходн.данные.!$AI120=$BU$11,"Нет",IF(BM120&gt;60,60,IF(BM120&lt;10,10,BM120)))))))</f>
        <v>10</v>
      </c>
      <c r="CA120" s="39">
        <f>IF(BN120&lt;0,0,IF(Исходн.данные.!$AG120=$BV$11,BN120,IF(OR(Исходн.данные.!$AH120=$BQ$7,Исходн.данные.!$AH120=$BQ$8),CD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0,IF(Исходн.данные.!$AI120=$BU$11,"Нет",IF(BN120&gt;30,30,BN120))))))</f>
        <v>0</v>
      </c>
      <c r="CB120" s="9">
        <f t="shared" si="160"/>
        <v>0</v>
      </c>
      <c r="CC120" s="9">
        <f t="shared" si="161"/>
        <v>0</v>
      </c>
      <c r="CD120" s="9">
        <f t="shared" si="162"/>
        <v>0</v>
      </c>
      <c r="CE120" s="12">
        <f t="shared" si="163"/>
        <v>10</v>
      </c>
      <c r="CF120" s="9">
        <f t="shared" si="164"/>
        <v>0</v>
      </c>
      <c r="CG120" s="9" t="s">
        <v>231</v>
      </c>
      <c r="CH120" s="132" t="str">
        <f>IF(Исходн.данные.!AP120=Расчет!$CI$16,"Нет",IF(Исходн.данные.!AL120&gt;0,Исходн.данные.!AL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BH$4,IF(OR(Исходн.данные.!AI120=Исходн.данные.!$AI$6,Исходн.данные.!AI120=Исходн.данные.!$AI$7),Расчет!BS120,IF(AND($CF120=0,$CE120&gt;0),EV120,ER120)))))</f>
        <v>Аммофос 12:52:00</v>
      </c>
      <c r="CI120" s="274">
        <f>IF(Расчет!$CH120="Нет","Нет",IF(Исходн.данные.!$AL120&gt;0,VLOOKUP(Расчет!$CH120,АшламаДВ_Irekle,2,FALSE),VLOOKUP(Расчет!$CH120,АшламаДВ_Gomumy,2,FALSE)))</f>
        <v>0.12</v>
      </c>
      <c r="CJ120" s="274">
        <f>IF(Расчет!$CH120="Нет","Нет",IF(Исходн.данные.!$AL120&gt;0,VLOOKUP(Расчет!$CH120,АшламаДВ_Irekle,3,FALSE),VLOOKUP(Расчет!$CH120,АшламаДВ_Gomumy,3,FALSE)))</f>
        <v>0.52</v>
      </c>
      <c r="CK120" s="274">
        <f>IF(Расчет!$CH120="Нет","Нет",IF(Исходн.данные.!$AL120&gt;0,VLOOKUP(Расчет!$CH120,АшламаДВ_Irekle,4,FALSE),VLOOKUP(Расчет!$CH120,АшламаДВ_Gomumy,4,FALSE)))</f>
        <v>0</v>
      </c>
      <c r="CL120" s="70"/>
      <c r="CM120" s="70"/>
      <c r="CN120" s="70"/>
      <c r="CO120" s="70"/>
      <c r="CP120" s="70"/>
      <c r="CQ120" s="70"/>
      <c r="CR120" s="10">
        <f t="shared" si="165"/>
        <v>0</v>
      </c>
      <c r="CS120" s="10">
        <f t="shared" si="166"/>
        <v>19.23076923076923</v>
      </c>
      <c r="CT120" s="10">
        <f t="shared" si="167"/>
        <v>0</v>
      </c>
      <c r="CU120" s="39">
        <f>IF($CH120="Нет",0,IF(CI120=0,30/MIN(CJ120:CK120),IF(Исходн.данные.!$AG120=$BV$11,CR120,IF(OR(Исходн.данные.!$AH120=$BQ$7,Исходн.данные.!$AH120=$BQ$8),90/CI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0,IF(Исходн.данные.!$AI120=$BU$11,"Нет",30/CI120))))))</f>
        <v>250</v>
      </c>
      <c r="CV120" s="39">
        <f>IF($CH120="Нет",0,IF(Исходн.данные.!AH120=0,0,IF(CJ120=0,60/MIN(CI120,CK120),IF(Исходн.данные.!$AG120=$BV$11,CS120,IF(OR(Исходн.данные.!$AH120=$BQ$7,Исходн.данные.!$AH120=$BQ$8),90/CJ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10/CJ120,IF(Исходн.данные.!$AI120=$BU$11,"Нет",60/CJ120)))))))</f>
        <v>0</v>
      </c>
      <c r="CW120" s="39">
        <f>IF($CH120="Нет",0,IF(Исходн.данные.!AH120=0,0,IF(CK120=0,30/MIN(CI120:CJ120),IF(Исходн.данные.!$AG120=$BV$11,CT120,IF(OR(Исходн.данные.!$AH120=$BQ$7,Исходн.данные.!$AH120=$BQ$8),90/CK120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0,IF(Исходн.данные.!$AI120=$BU$11,"Нет",30/CK120)))))))</f>
        <v>0</v>
      </c>
      <c r="CX120" s="133">
        <f>IF(Исходн.данные.!$AG120=$BV$11,MAX(CU120:CW120),IF(OR(Исходн.данные.!$AH120=$BS$8,Исходн.данные.!$AH120=$BQ$9,Исходн.данные.!$AH120=$BQ$10,Исходн.данные.!$AH120=$BQ$11,Исходн.данные.!$AH120=$BQ$12,Исходн.данные.!$AH120=$BP$3,Исходн.данные.!$AH120=$BT$8,$FM120="Да"),CV120,MIN(CU120:CW120)))</f>
        <v>0</v>
      </c>
      <c r="CY120" s="133">
        <f>IF(Исходн.данные.!AH120=0,0,IF(CR120&gt;$CX120,$CX120,CR120))</f>
        <v>0</v>
      </c>
      <c r="CZ120" s="133">
        <f>IF(Исходн.данные.!AH120=0,0,IF(CS120&gt;$CX120,$CX120,CS120))</f>
        <v>0</v>
      </c>
      <c r="DA120" s="133">
        <f>IF(Исходн.данные.!AH120=0,0,IF(CT120&gt;$CX120,$CX120,CT120))</f>
        <v>0</v>
      </c>
      <c r="DB120" s="10">
        <f t="shared" si="168"/>
        <v>0</v>
      </c>
      <c r="DC120" s="39">
        <f>DB120*Исходн.данные.!AJ120/1000</f>
        <v>0</v>
      </c>
      <c r="DD120" s="71">
        <f t="shared" si="169"/>
        <v>0</v>
      </c>
      <c r="DE120" s="9">
        <f t="shared" si="170"/>
        <v>0</v>
      </c>
      <c r="DF120" s="9">
        <f t="shared" si="171"/>
        <v>0</v>
      </c>
      <c r="DG120" s="39">
        <f>IF(BL120&lt;0,0,IF($CH120="Нет",BL120,IF(OR(Исходн.данные.!$AH120=$BP$1,Исходн.данные.!$AH120=$BP$2),0,IF(Исходн.данные.!AI120=$BU$11,BL120,IF(BL120-DD120&lt;0,0,BL120-DD120)))))</f>
        <v>0</v>
      </c>
      <c r="DH120" s="39">
        <f>IF(BM120&lt;0,0,IF($CH120="Нет",BM120,IF(OR(Исходн.данные.!$AH120=$BP$1,Исходн.данные.!$AH120=$BP$2),0,IF(Исходн.данные.!AJ120=$BU$11,BM120,IF(BM120-DE120&lt;0,0,BM120-DE120)))))</f>
        <v>0</v>
      </c>
      <c r="DI120" s="39">
        <f>IF(BN120&lt;0,0,IF($CH120="Нет",BN120,IF(OR(Исходн.данные.!$AH120=$BP$1,Исходн.данные.!$AH120=$BP$2),0,IF(Исходн.данные.!AK120=$BU$11,BN120,IF(BN120-DF120&lt;0,0,BN120-DF120)))))</f>
        <v>0</v>
      </c>
      <c r="DJ120" s="12">
        <f t="shared" si="172"/>
        <v>0</v>
      </c>
      <c r="DK120" s="9">
        <f t="shared" si="173"/>
        <v>0</v>
      </c>
      <c r="DL120" s="39">
        <f>IF(Исходн.данные.!AM120&gt;0,Исходн.данные.!AM120,IF(EG120&gt;0,$BH$10,0))</f>
        <v>0</v>
      </c>
      <c r="DM120" s="186">
        <f>IF($DL120=0,0,IF(Исходн.данные.!AM120&gt;0,VLOOKUP($DL120,АшламаДВ_Irekle,2,FALSE),VLOOKUP($DL120,АшламаДВ_Gomumy,2,FALSE)))</f>
        <v>0</v>
      </c>
      <c r="DN120" s="10">
        <f t="shared" si="151"/>
        <v>0</v>
      </c>
      <c r="DO120" s="9" t="str">
        <f>IF(Исходн.данные.!AN120&gt;0,Исходн.данные.!AN120,Удобрения!$B$37 )</f>
        <v>Хлор.калий</v>
      </c>
      <c r="DP120" s="9">
        <f>IF(Исходн.данные.!AN120&gt;0,VLOOKUP(Исходн.данные.!AN120,АшламаДВ_Irekle,4,FALSE),VLOOKUP(DO120,АшламаДВ_Gomumy,4,FALSE))</f>
        <v>0.6</v>
      </c>
      <c r="DQ120" s="10">
        <f t="shared" si="152"/>
        <v>0</v>
      </c>
      <c r="DR120" s="132" t="str">
        <f>IF(Исходн.данные.!AO120&gt;0,Исходн.данные.!AO120,IF(DH120=0,BS$17,IF(AND($DK120=0,$DJ120&gt;0),EJ120,EN120)))</f>
        <v>Нет</v>
      </c>
      <c r="DS120" s="70" t="str">
        <f>IF($DR120="Нет","Нет",IF(Исходн.данные.!$AO120&gt;0,VLOOKUP($DR120,АшламаДВ_Irekle,2,FALSE),VLOOKUP($DR120,АшламаДВ_Gomumy,2,FALSE)))</f>
        <v>Нет</v>
      </c>
      <c r="DT120" s="70" t="str">
        <f>IF($DR120="Нет","Нет",IF(Исходн.данные.!$AO120&gt;0,VLOOKUP($DR120,АшламаДВ_Irekle,3,FALSE),VLOOKUP($DR120,АшламаДВ_Gomumy,3,FALSE)))</f>
        <v>Нет</v>
      </c>
      <c r="DU120" s="70" t="str">
        <f>IF($DR120="Нет","Нет",IF(Исходн.данные.!$AO120&gt;0,VLOOKUP($DR120,АшламаДВ_Irekle,4,FALSE),VLOOKUP($DR120,АшламаДВ_Gomumy,4,FALSE)))</f>
        <v>Нет</v>
      </c>
      <c r="DV120" s="70"/>
      <c r="DW120" s="70"/>
      <c r="DX120" s="70"/>
      <c r="DY120" s="10">
        <f t="shared" si="174"/>
        <v>0</v>
      </c>
      <c r="DZ120" s="10">
        <f t="shared" si="175"/>
        <v>0</v>
      </c>
      <c r="EA120" s="10">
        <f t="shared" si="176"/>
        <v>0</v>
      </c>
      <c r="EB120" s="10">
        <f t="shared" si="177"/>
        <v>0</v>
      </c>
      <c r="EC120" s="10">
        <f t="shared" si="178"/>
        <v>0</v>
      </c>
      <c r="ED120" s="10">
        <f t="shared" si="179"/>
        <v>0</v>
      </c>
      <c r="EE120" s="10">
        <f t="shared" si="180"/>
        <v>0</v>
      </c>
      <c r="EF120" s="39">
        <f>EB120*Исходн.данные.!AJ120/1000</f>
        <v>0</v>
      </c>
      <c r="EG120" s="9">
        <f t="shared" si="181"/>
        <v>0</v>
      </c>
      <c r="EH120" s="9">
        <f t="shared" si="182"/>
        <v>0</v>
      </c>
      <c r="EI120" s="39" t="e">
        <f t="shared" si="132"/>
        <v>#DIV/0!</v>
      </c>
      <c r="EJ120" s="9" t="str">
        <f t="shared" si="153"/>
        <v>Азопреципитат</v>
      </c>
      <c r="EK120" s="12">
        <f t="shared" si="133"/>
        <v>0.26</v>
      </c>
      <c r="EL120" s="12">
        <f t="shared" si="134"/>
        <v>0.13</v>
      </c>
      <c r="EM120" s="12">
        <f t="shared" si="135"/>
        <v>0</v>
      </c>
      <c r="EN120" s="12" t="str">
        <f t="shared" si="154"/>
        <v>Нет</v>
      </c>
      <c r="EO120" s="12">
        <f t="shared" si="136"/>
        <v>0</v>
      </c>
      <c r="EP120" s="12">
        <f t="shared" si="137"/>
        <v>0</v>
      </c>
      <c r="EQ120" s="12">
        <f t="shared" si="138"/>
        <v>0</v>
      </c>
      <c r="ER120" s="12" t="str">
        <f t="shared" si="183"/>
        <v>Диаммофоска</v>
      </c>
      <c r="ES120" s="12">
        <f t="shared" si="139"/>
        <v>0.1</v>
      </c>
      <c r="ET120" s="12">
        <f t="shared" si="140"/>
        <v>0.26</v>
      </c>
      <c r="EU120" s="12">
        <f t="shared" si="141"/>
        <v>0.26</v>
      </c>
      <c r="EV120" s="12" t="str">
        <f t="shared" si="184"/>
        <v>Аммофос 12:52:00</v>
      </c>
      <c r="EW120" s="12" t="str">
        <f t="shared" si="185"/>
        <v>Кемира Свекловичное-6</v>
      </c>
      <c r="EX120" s="12">
        <f t="shared" si="142"/>
        <v>0.16</v>
      </c>
      <c r="EY120" s="12">
        <f t="shared" si="143"/>
        <v>0.12</v>
      </c>
      <c r="EZ120" s="12">
        <f t="shared" si="144"/>
        <v>0.17</v>
      </c>
      <c r="FA120" s="38" t="e">
        <f>IF(AND(OR(FJ120=$FD$1,FM120=$FD$1,FO120=$FD$1,FQ120=$FD$1,FS120=$FD$1),FD120=$FD$1,Исходн.данные.!J120&lt;2,FU120=$FD$1),"Бор,Кобальт",IF(AND(FO120=$FD$1,FH120=$FD$1,Исходн.данные.!J120&lt;2,FU120=$FD$1),"Бор,Кобальт",IF(AND(OR(FJ120=$FD$1,FM120=$FD$1,FQ120=$FD$1),FE120=$FD$1,Исходн.данные.!J120&lt;2,FT120=$FD$1,FU120=$FD$1),"Бор,Медь,Цинк",IF(AND(OR(FJ120=$FD$1,FR120="Да"),FI120="Да",Исходн.данные.!J120&lt;2,FT120="Да",FU120="Да"),"Бор,Цинк,Медь",IF(AND(OR(FM120="Да",FQ120="Да"),FI120="Да",Исходн.данные.!J120&lt;2,FT120="Да",FU120="Да"),"Бор,Цинк",IF(AND(FN120="Да",OR(FD120="Да",FE120="Да")),"Бор",FB120))))))</f>
        <v>#N/A</v>
      </c>
      <c r="FB120" s="134" t="e">
        <f>IF(AND(OR(FD120="Да",FE120="Да",FF120="Да",FG120="Да",FH120="Да"),FO120="Да"),"Бор",IF(AND(FP120="Да",OR(FD120="Да",FE120="Да",FI120="Да")),"Бор",IF(AND(FS120="Да",FE120="Да"),"Бор,Медь",IF(AND(OR(FJ120="Да",FK120="Да",FL120="Да"),FE120="Да",Исходн.данные.!I120&lt;5,FT120="Да",FU120="Да"),"Молибден,Цинк",IF(AND(FM120="Да",OR(FE120="Да",FF120="Да",FG120="Да",FH120="Да",FI120="Да")),"Молибден,Цинк",IF(AND(OR(FJ120="Да",FK120="Да",FL120="Да",FM120="Да",FQ120="Да"),OR(FE120="Да",FF120="Да"),FT120="Да",FU120="Да",Исходн.данные.!I120&gt;5.5),"Медь,Цинк",FC120))))))</f>
        <v>#N/A</v>
      </c>
      <c r="FC120" s="23" t="e">
        <f t="shared" si="186"/>
        <v>#N/A</v>
      </c>
      <c r="FD120" s="38" t="str">
        <f>IF(OR(Исходн.данные.!F120=$CC$1,Исходн.данные.!F120=$CC$2,Исходн.данные.!F120=$CC$3,Исходн.данные.!F120=$CC$4),"Да","Нет")</f>
        <v>Нет</v>
      </c>
      <c r="FE120" s="38" t="str">
        <f>IF(Исходн.данные.!F120=$CC$5,"Да","Нет")</f>
        <v>Нет</v>
      </c>
      <c r="FF120" s="38" t="str">
        <f>IF(OR(Исходн.данные.!F120=$CC$6,Исходн.данные.!F120=$CC$7),"Да","Нет")</f>
        <v>Нет</v>
      </c>
      <c r="FG120" s="38" t="str">
        <f>IF(OR(Исходн.данные.!F120=$CC$8,Исходн.данные.!F120=$CC$9),"Да","Нет")</f>
        <v>Нет</v>
      </c>
      <c r="FH120" s="38" t="str">
        <f>IF(Исходн.данные.!F120=$CC$10,"Да","Нет")</f>
        <v>Нет</v>
      </c>
      <c r="FI120" s="38" t="str">
        <f>IF(OR(Исходн.данные.!F120=$CC$11,Исходн.данные.!F120=$CC$12),"Да","Нет")</f>
        <v>Нет</v>
      </c>
      <c r="FJ120" s="38" t="str">
        <f>IF(OR(Исходн.данные.!AH120=$BS$1,Исходн.данные.!AH120=$BQ$11,Исходн.данные.!AH120=$BQ$12),"Да","Нет")</f>
        <v>Нет</v>
      </c>
      <c r="FK120" s="38" t="str">
        <f>IF(OR(Исходн.данные.!AH120=$BS$2,Исходн.данные.!AH120=$BS$4),"Да","Нет")</f>
        <v>Нет</v>
      </c>
      <c r="FL120" s="38" t="str">
        <f>IF(OR(Исходн.данные.!AH120=$BS$3,Исходн.данные.!AH120=$BS$5),"Да","Нет")</f>
        <v>Нет</v>
      </c>
      <c r="FM120" s="38" t="str">
        <f>IF(OR(Исходн.данные.!AH120=$BS$9,Исходн.данные.!AH120=$BS$10,Исходн.данные.!AH120=$BS$11,Исходн.данные.!AH120=$BS$12),"Да","Нет")</f>
        <v>Нет</v>
      </c>
      <c r="FN120" s="38" t="str">
        <f>IF(OR(Исходн.данные.!AH120=$BS$6,Исходн.данные.!AH120=$BP$3),"Да","Нет")</f>
        <v>Нет</v>
      </c>
      <c r="FO120" s="38" t="str">
        <f>IF(Исходн.данные.!AH120=$BQ$9,"Да","Нет")</f>
        <v>Нет</v>
      </c>
      <c r="FP120" s="38" t="str">
        <f>IF(OR(Исходн.данные.!AH120=$BS$8,Исходн.данные.!AH120=$BT$8),"Да","Нет")</f>
        <v>Нет</v>
      </c>
      <c r="FQ120" s="38" t="str">
        <f>IF(OR(Исходн.данные.!AH120=$BQ$7,Исходн.данные.!AH120=$BQ$8),"Да","Нет")</f>
        <v>Нет</v>
      </c>
      <c r="FR120" s="38" t="str">
        <f>IF(Исходн.данные.!AI120=$BU$9,"Да","Нет")</f>
        <v>Нет</v>
      </c>
      <c r="FS120" s="38" t="str">
        <f>IF(OR(Исходн.данные.!AH120=$BP$1,Исходн.данные.!AH120=$BP$2),"Да","Нет")</f>
        <v>Нет</v>
      </c>
      <c r="FT120" s="38" t="e">
        <f>IF((Исходн.данные.!K120*GO120*GS120*GW120+BL120*0.6+Исходн.данные.!Q120*4.5*0.275)&gt;90,"Да","Нет")</f>
        <v>#N/A</v>
      </c>
      <c r="FU120" s="38" t="e">
        <f>IF((Исходн.данные.!M120*GS120*GZ120+BM120*0.225)&gt;35,"Да","Нет")</f>
        <v>#N/A</v>
      </c>
      <c r="FV120" s="38" t="str">
        <f>IF(Исходн.данные.!O120&gt;175,"Да","Нет")</f>
        <v>Нет</v>
      </c>
      <c r="FW120" s="39" t="str">
        <f>IF(Исходн.данные.!I120&gt;5.5,"Да","Нет")</f>
        <v>Нет</v>
      </c>
      <c r="FX120" s="39" t="str">
        <f>IF(Исходн.данные.!J120&lt;2,"Да","Нет")</f>
        <v>Да</v>
      </c>
      <c r="FY120" s="39" t="e">
        <f>IF(HF120=$FY$16,0,Исходн.данные.!K120*GO120*GS120*GW120/HF120)</f>
        <v>#N/A</v>
      </c>
      <c r="FZ120" s="39" t="e">
        <f>Исходн.данные.!M120*GS120*GZ120/HG120</f>
        <v>#N/A</v>
      </c>
      <c r="GA120" s="39" t="e">
        <f>IF(K_Wyn=$FY$16,0,IF(Исходн.данные.!N120=Исходн.данные.!$L$10,Исходн.данные.!O120/1.1*GS120*HC120/HH120,IF(Исходн.данные.!N120=Исходн.данные.!$L$12,Исходн.данные.!O120/1.5*GS120*HC120/HH120,Исходн.данные.!O120*GS120*HC120/HH120)))</f>
        <v>#N/A</v>
      </c>
      <c r="GB120" s="39" t="e">
        <f>IF(HF120=$FY$16,0,((Исходн.данные.!Q120*N_Org+Исходн.данные.!R120*N_Sider+Исходн.данные.!S120*N_Soloma)*AO120+Расчет!BC120*VLOOKUP(Исходн.данные.!T120,Справ!$A$3:$O$57,15)*AO120+BB120*VLOOKUP(Исходн.данные.!T120,Справ!$A$3:$O$57,15)*AL120+(Исходн.данные.!V120*N_Rizotorf+Исходн.данные.!W120*N_Rizoagr))/HF120)</f>
        <v>#N/A</v>
      </c>
      <c r="GC120" s="39" t="e">
        <f>IF(HG120=$FY$16,0,((Исходн.данные.!Q120*Р_Org+Исходн.данные.!R120*P_Sider+Исходн.данные.!S120*P_Soloma)*AP120+Расчет!BC120*VLOOKUP(Исходн.данные.!T120,Справ!$A$3:$P$57,16)*AP120+BB120*VLOOKUP(Исходн.данные.!T120,Справ!$A$3:$P$57,16)*AM120)/HG120)</f>
        <v>#N/A</v>
      </c>
      <c r="GD120" s="39" t="e">
        <f>IF(HH120=$FY$16,0,((Исходн.данные.!Q120*К_Org+Исходн.данные.!R120*K_Sider+Исходн.данные.!S120*K_Soloma)*AQ120+Расчет!BC120*VLOOKUP(Исходн.данные.!T120,Справ!$A$3:$Q$57,17)*AQ120+BB120*VLOOKUP(Исходн.данные.!T120,Справ!$A$3:$Q$57,17)*AN120)/HH120)</f>
        <v>#N/A</v>
      </c>
      <c r="GE120" s="39" t="e">
        <f>IF(HF120=$FY$16,0,(Исходн.данные.!X120*AR120+Исходн.данные.!AA120*N_Org*AL120+Исходн.данные.!AB120*N_Sider*AL120+Исходн.данные.!AC120*N_Soloma*AL120)/HF120)</f>
        <v>#N/A</v>
      </c>
      <c r="GF120" s="39" t="e">
        <f>IF(HG120=$FY$16,0,(Исходн.данные.!Y120*AS120+Исходн.данные.!AA120*Р_Org*AM120+Исходн.данные.!AB120*P_Sider*AM120+Исходн.данные.!AC120*P_Soloma*AM120)/HG120)</f>
        <v>#N/A</v>
      </c>
      <c r="GG120" s="39" t="e">
        <f>IF(HH120=$FY$16,0,(Исходн.данные.!Z120*AT120+Исходн.данные.!AA120*К_Org*AN120+Исходн.данные.!AB120*K_Sider*AN120+Исходн.данные.!AC120*K_Soloma*AN120)/HH120)</f>
        <v>#N/A</v>
      </c>
      <c r="GH120" s="39" t="e">
        <f>Исходн.данные.!AD120*AU120/HF120</f>
        <v>#N/A</v>
      </c>
      <c r="GI120" s="39" t="e">
        <f>Исходн.данные.!AE120*AV120/HG120</f>
        <v>#N/A</v>
      </c>
      <c r="GJ120" s="39" t="e">
        <f>Исходн.данные.!AF120*AW120/HH120</f>
        <v>#N/A</v>
      </c>
      <c r="GK120" s="55">
        <f>Исходн.данные.!AK120</f>
        <v>0</v>
      </c>
      <c r="GL120" s="11" t="e">
        <f t="shared" si="187"/>
        <v>#N/A</v>
      </c>
      <c r="GM120" s="11" t="e">
        <f t="shared" si="188"/>
        <v>#N/A</v>
      </c>
      <c r="GN120" s="11" t="e">
        <f t="shared" si="189"/>
        <v>#N/A</v>
      </c>
      <c r="GO120" s="57">
        <f t="shared" si="190"/>
        <v>19</v>
      </c>
      <c r="GP120" s="55">
        <f>IF(OR(Исходн.данные.!F120=$CE$1,Исходн.данные.!F120=$CE$2,Исходн.данные.!F120=$CE$3,Исходн.данные.!F120=$CE$4,Исходн.данные.!F120=$CE$5),GQ120,GR120)</f>
        <v>19</v>
      </c>
      <c r="GQ120" s="55">
        <f>IF(Исходн.данные.!F120=$CE$1,28,IF(Исходн.данные.!F120=$CE$2,26,IF(Исходн.данные.!F120=$CE$3,24,IF(Исходн.данные.!F120=$CE$4,22,IF(Исходн.данные.!F120=$CE$5,20,GR120)))))</f>
        <v>19</v>
      </c>
      <c r="GR120" s="55">
        <f>IF(Исходн.данные.!F120=$CE$6,18,IF(Исходн.данные.!F120=$CE$7,16,IF(Исходн.данные.!F120=$CE$8,14,IF(Исходн.данные.!F120=$CE$9,13,IF(Исходн.данные.!F120=$CE$10,12,19)))))</f>
        <v>19</v>
      </c>
      <c r="GS120" s="55">
        <f>IF(Исходн.данные.!G120="Пес",0.035*(40+2*Исходн.данные.!H120),IF(Исходн.данные.!G120="Суп",0.0325*(40+2*Исходн.данные.!H120),0.03*(40+2*Исходн.данные.!H120)))</f>
        <v>1.2</v>
      </c>
      <c r="GT120" s="55">
        <f>IF(Исходн.данные.!H120&lt;23,2.6,IF(AND(Исходн.данные.!H120&gt;22,Исходн.данные.!H120&lt;26),3,IF(AND(Исходн.данные.!H120&gt;25,Исходн.данные.!H120&lt;29),3.4,3.6)))</f>
        <v>2.6</v>
      </c>
      <c r="GU120" s="55">
        <f>IF(Исходн.данные.!H120&lt;23,2.8,IF(AND(Исходн.данные.!H120&gt;22,Исходн.данные.!H120&lt;26),3.2,IF(AND(Исходн.данные.!H120&gt;25,Исходн.данные.!H120&lt;29),3.6,3.9)))</f>
        <v>2.8</v>
      </c>
      <c r="GV120" s="55">
        <f>IF(Исходн.данные.!H120&lt;23,3,IF(AND(Исходн.данные.!H120&gt;22,Исходн.данные.!H120&lt;26),3.5,IF(AND(Исходн.данные.!H120&gt;25,Исходн.данные.!H120&lt;29),3.9,4.2)))</f>
        <v>3</v>
      </c>
      <c r="GW120" s="55" t="e">
        <f>IF(Исходн.данные.!P120="Ум",GX120,GY120)</f>
        <v>#N/A</v>
      </c>
      <c r="GX120" s="55" t="e">
        <f>VLOOKUP(Исходн.данные.!AI120,Коэффициенты!$J$7:$L$13,2,FALSE)</f>
        <v>#N/A</v>
      </c>
      <c r="GY120" s="55" t="e">
        <f>VLOOKUP(Исходн.данные.!AI120,Коэффициенты!$J$7:$L$13,3,FALSE)</f>
        <v>#N/A</v>
      </c>
      <c r="GZ120" s="55" t="e">
        <f>(IF(Исходн.данные.!M120&lt;50,0.11*VLOOKUP(Исходн.данные.!AH120,Культуры.Информация,7,FALSE),IF(Исходн.данные.!M120&gt;250,0.05*VLOOKUP(Исходн.данные.!AH120,Культуры.Информация,7,FALSE),VLOOKUP(Исходн.данные.!AH120,Культуры.Информация,5,FALSE)/100*($GX$6+$GY$6*Исходн.данные.!M120))))*Расчет2!AI120</f>
        <v>#N/A</v>
      </c>
      <c r="HA120" s="211"/>
      <c r="HB120" s="211"/>
      <c r="HC120" s="55" t="e">
        <f>(IF(Исходн.данные.!O120&lt;80,0.2*VLOOKUP(Исходн.данные.!AH120,Культуры.Информация,8,FALSE),IF(Исходн.данные.!O120&gt;240,0.09*VLOOKUP(Исходн.данные.!AH120,Культуры.Информация,8,FALSE),VLOOKUP(Исходн.данные.!AH120,Культуры.Информация,6,FALSE)/100*($HB$6+$HC$6*Исходн.данные.!O120))))*Расчет2!AJ120</f>
        <v>#N/A</v>
      </c>
      <c r="HD120" s="55">
        <f>IF(Исходн.данные.!O120&gt;240,0.09,IF(Исходн.данные.!O120&lt;30,0.3,$HE$10+$HD$10*Исходн.данные.!O120))</f>
        <v>0.3</v>
      </c>
      <c r="HE120" s="55">
        <f>IF(Исходн.данные.!O120&gt;240,0.17,IF(Исходн.данные.!O120&lt;30,0.5,$HF$12+$HE$12*Исходн.данные.!O120))</f>
        <v>0.5</v>
      </c>
      <c r="HF120" s="55" t="e">
        <f>VLOOKUP(Исходн.данные.!AH120,Справ!$A$3:$D$58,2,FALSE)</f>
        <v>#N/A</v>
      </c>
      <c r="HG120" s="55" t="e">
        <f>VLOOKUP(Исходн.данные.!AH120,Справ!$A$3:$D$58,3,FALSE)</f>
        <v>#N/A</v>
      </c>
      <c r="HH120" s="55" t="e">
        <f>VLOOKUP(Исходн.данные.!AH120,Справ!$A$3:$D$58,4,FALSE)</f>
        <v>#N/A</v>
      </c>
      <c r="HI120" s="11" t="e">
        <f t="shared" si="191"/>
        <v>#N/A</v>
      </c>
      <c r="HJ120" s="11" t="e">
        <f t="shared" si="192"/>
        <v>#N/A</v>
      </c>
      <c r="HK120" s="11" t="e">
        <f t="shared" si="193"/>
        <v>#N/A</v>
      </c>
      <c r="HL120" s="55">
        <f>IF(OR(Исходн.данные.!G120="Глин",Исходн.данные.!G120="Т_суг"),1.1,IF(Исходн.данные.!G120="Ср_суг",1,1))</f>
        <v>1</v>
      </c>
      <c r="HM120" s="55">
        <f>IF(OR(Исходн.данные.!G120="Глин",Исходн.данные.!G120="Т_суг"),0.9,IF(Исходн.данные.!G120="Ср_суг",1,1.2))</f>
        <v>1.2</v>
      </c>
      <c r="HN120" s="11" t="e">
        <f t="shared" si="194"/>
        <v>#N/A</v>
      </c>
      <c r="HO120" s="11" t="e">
        <f t="shared" si="195"/>
        <v>#N/A</v>
      </c>
      <c r="HP120" s="11" t="e">
        <f t="shared" si="196"/>
        <v>#N/A</v>
      </c>
      <c r="HQ120" t="e">
        <f t="shared" si="197"/>
        <v>#N/A</v>
      </c>
      <c r="HR120" t="e">
        <f t="shared" si="198"/>
        <v>#N/A</v>
      </c>
      <c r="HS120" t="e">
        <f t="shared" si="199"/>
        <v>#N/A</v>
      </c>
      <c r="HT120" t="e">
        <f t="shared" si="145"/>
        <v>#N/A</v>
      </c>
      <c r="HU120" t="e">
        <f t="shared" si="146"/>
        <v>#N/A</v>
      </c>
      <c r="HV120" t="e">
        <f t="shared" si="147"/>
        <v>#N/A</v>
      </c>
      <c r="HW120" t="e">
        <f t="shared" si="148"/>
        <v>#N/A</v>
      </c>
      <c r="HX120" t="e">
        <f t="shared" si="149"/>
        <v>#N/A</v>
      </c>
      <c r="HY120" t="e">
        <f t="shared" si="150"/>
        <v>#N/A</v>
      </c>
      <c r="HZ120" s="55">
        <f>IF(OR(Исходн.данные.!AI120="Оз_Ч_П",Исходн.данные.!AI120="Оз_З_П",Исходн.данные.!AI120="Яр_зер"),12,30)</f>
        <v>30</v>
      </c>
      <c r="IA120" t="e">
        <f t="shared" si="200"/>
        <v>#N/A</v>
      </c>
      <c r="IB120" t="e">
        <f t="shared" si="201"/>
        <v>#N/A</v>
      </c>
      <c r="IC120" t="e">
        <f t="shared" si="202"/>
        <v>#N/A</v>
      </c>
      <c r="ID120" s="11" t="e">
        <f t="shared" si="203"/>
        <v>#N/A</v>
      </c>
      <c r="IE120" s="11" t="e">
        <f t="shared" si="204"/>
        <v>#N/A</v>
      </c>
      <c r="IF120" s="11" t="e">
        <f t="shared" si="205"/>
        <v>#N/A</v>
      </c>
    </row>
    <row r="121" spans="35:240" x14ac:dyDescent="0.2">
      <c r="AI121">
        <f>IF(Исходн.данные.!I121&gt;6,1,1.85-(0.148*Исходн.данные.!I121))</f>
        <v>1.85</v>
      </c>
      <c r="AJ121">
        <f>IF(Исходн.данные.!I121&gt;6,1,2.434-(0.246*Исходн.данные.!I121))</f>
        <v>2.4340000000000002</v>
      </c>
      <c r="AL121" s="148" t="b">
        <f>IF(Исходн.данные.!$P121="Ум",N_OrgUd_2g_um,IF(Исходн.данные.!$P121="Об",N_OrgUd_2g_ob))</f>
        <v>0</v>
      </c>
      <c r="AM121" s="148" t="b">
        <f>IF(Исходн.данные.!$P121="Ум",P_OrgUd_2g_um,IF(Исходн.данные.!$P121="Об",P_OrgUd_2g_ob))</f>
        <v>0</v>
      </c>
      <c r="AN121" s="148" t="b">
        <f>IF(Исходн.данные.!$P121="Ум",K_OrgUd_2g_um,IF(Исходн.данные.!$P121="Об",K_OrgUd_2g_ob))</f>
        <v>0</v>
      </c>
      <c r="AO121" s="148" t="b">
        <f>IF(Исходн.данные.!$P121="Ум",N_OrgUd_1g_um,IF(Исходн.данные.!$P121="Об",N_OrgUd_1g_ob))</f>
        <v>0</v>
      </c>
      <c r="AP121" s="148" t="b">
        <f>IF(Исходн.данные.!$P121="Ум",P_OrgUd_1g_um,IF(Исходн.данные.!$P121="Об",P_OrgUd_1g_ob))</f>
        <v>0</v>
      </c>
      <c r="AQ121" s="148" t="b">
        <f>IF(Исходн.данные.!$P121="Ум",K_OrgUd_1g_um,IF(Исходн.данные.!$P121="Об",K_OrgUd_1g_ob))</f>
        <v>0</v>
      </c>
      <c r="AR121" t="b">
        <f>IF(Исходн.данные.!$P121="Ум",N_MinUd_2g_um,IF(Исходн.данные.!$P121="Об",N_MinUd_2g_ob))</f>
        <v>0</v>
      </c>
      <c r="AS121" t="b">
        <f>IF(Исходн.данные.!$P121="Ум",P_MinUd_2g_um,IF(Исходн.данные.!$P121="Об",P_MinUd_2g_ob))</f>
        <v>0</v>
      </c>
      <c r="AT121" t="b">
        <f>IF(Исходн.данные.!$P121="Ум",K_MinUd_2g_um,IF(Исходн.данные.!$P121="Об",K_MinUd_2g_ob))</f>
        <v>0</v>
      </c>
      <c r="AU121" t="b">
        <f>IF(Исходн.данные.!$P121="Ум",N_MinUd_1g_um,IF(Исходн.данные.!$P121="Об",N_MinUd_1g_ob))</f>
        <v>0</v>
      </c>
      <c r="AV121" t="b">
        <f>IF(Исходн.данные.!P121="Ум",P_MinUd_1g_um,IF(Исходн.данные.!P121="Об",P_MinUd_1g_ob))</f>
        <v>0</v>
      </c>
      <c r="AW121" t="b">
        <f>IF(Исходн.данные.!P121="Ум",K_MinUd_1g_um,IF(Исходн.данные.!P121="Об",K_MinUd_1g_ob))</f>
        <v>0</v>
      </c>
      <c r="AY121" t="e">
        <f>VLOOKUP(Исходн.данные.!T121,Справ!$A$3:$N$57,12)</f>
        <v>#N/A</v>
      </c>
      <c r="AZ121" t="e">
        <f>VLOOKUP(Исходн.данные.!T121,Справ!$A$3:$N$57,13)</f>
        <v>#N/A</v>
      </c>
      <c r="BA121" t="e">
        <f>VLOOKUP(Исходн.данные.!T121,Справ!$A$3:$N$57,14)</f>
        <v>#N/A</v>
      </c>
      <c r="BB121">
        <f>IF(Исходн.данные.!AH121=0,0,25)</f>
        <v>0</v>
      </c>
      <c r="BC121" s="141">
        <f>IF(Исходн.данные.!AH121=0,0,IF(Исходн.данные.!T121=0,25,BD121))</f>
        <v>0</v>
      </c>
      <c r="BD121" s="168" t="e">
        <f>AY121+AZ121*Исходн.данные.!U121-POWER(BA121,2)*Исходн.данные.!U121</f>
        <v>#N/A</v>
      </c>
      <c r="BE12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1" s="25">
        <f>IF(Исходн.данные.!AH121=0,0,MIN(HN121:HP121))</f>
        <v>0</v>
      </c>
      <c r="BG121" s="9">
        <f>IF(Исходн.данные.!AH121=0,0,IF((HO121+10*0.25/HG121/HL121)&lt;17,17,HO121+10*0.25/HG121/HL121))</f>
        <v>0</v>
      </c>
      <c r="BH121" s="181">
        <f>IF(Исходн.данные.!AH121=0,0,HW121*HF121*HL121/AU121*AI121+Исходн.данные.!S121*10)</f>
        <v>0</v>
      </c>
      <c r="BI121" s="10"/>
      <c r="BJ121" s="182">
        <f>IF(Исходн.данные.!AH121=0,0,IF(HX121*HG121*HL121/AV121&lt;0,0,HX121*HG121*HL121/AV121*AJ121))</f>
        <v>0</v>
      </c>
      <c r="BK121" s="182">
        <f>IF(Исходн.данные.!AH121=0,0,HY121*HH121*HM121/AW121)</f>
        <v>0</v>
      </c>
      <c r="BL121" s="10">
        <f>IF(OR(Исходн.данные.!$AH121=$BP$1,Исходн.данные.!$AH121=$BP$2),0,IF(BH121&lt;0,0,IF(OR(Исходн.данные.!T121=Расчет!$BP$1,Исходн.данные.!T121=Расчет!$BP$2,Исходн.данные.!T121=Расчет!$BT$5,Исходн.данные.!T121=Расчет!$BT$6),BH121*0.5,IF(OR(Исходн.данные.!T121=Расчет!$BS$9,Исходн.данные.!T121=Расчет!$BS$10,Исходн.данные.!T121=Расчет!$BS$11,Исходн.данные.!T121=Расчет!$BS$12,Исходн.данные.!T121=Расчет!$BP$5),BH121*0.8,BH121))))</f>
        <v>0</v>
      </c>
      <c r="BM121" s="10">
        <f>IF(OR(Исходн.данные.!$AH121=$BP$1,Исходн.данные.!$AH121=$BP$2),0,IF(BJ121&lt;0,0,IF(Исходн.данные.!I121&lt;4.5,BJ121*1.2,IF(Исходн.данные.!I121&gt;5.1,BJ121,BJ121*((5.1-Исходн.данные.!I121)*0.333+1)))))</f>
        <v>0</v>
      </c>
      <c r="BN121" s="10">
        <f>IF(OR(Исходн.данные.!$AH121=$BP$1,Исходн.данные.!$AH121=$BP$2),60-Исходн.данные.!AF121,IF(BK121&lt;0,0,IF(Исходн.данные.!I121&lt;4.5,BK121*1.2,IF(Исходн.данные.!I121&gt;5.1,BK121,BK121*((5.1-Исходн.данные.!I121)*0.333+1)))))</f>
        <v>0</v>
      </c>
      <c r="BO121" s="9">
        <f>IF(BL121&lt;0,0,BL121*Исходн.данные.!$AJ121/1000)</f>
        <v>0</v>
      </c>
      <c r="BP121" s="9">
        <f>IF(BM121&lt;0,0,BM121*Исходн.данные.!$AJ121/1000)</f>
        <v>0</v>
      </c>
      <c r="BQ121" s="9">
        <f>IF(BN121&lt;0,0,BN121*Исходн.данные.!$AJ121/1000)</f>
        <v>0</v>
      </c>
      <c r="BR121" s="9">
        <f t="shared" si="155"/>
        <v>0</v>
      </c>
      <c r="BS121" s="10" t="str">
        <f t="shared" si="156"/>
        <v>Аммофос 12:52:00</v>
      </c>
      <c r="BT121" s="10" t="str">
        <f t="shared" si="157"/>
        <v>Аммофос 12:52:00</v>
      </c>
      <c r="BU121" s="10" t="str">
        <f t="shared" si="158"/>
        <v>Диаммофоска</v>
      </c>
      <c r="BV121" s="10">
        <f t="shared" si="159"/>
        <v>0</v>
      </c>
      <c r="BW121" s="10"/>
      <c r="BX121" s="10"/>
      <c r="BY121" s="9">
        <f>IF(BL121&lt;0,0,IF(OR(Исходн.данные.!AI121=Расчет!$BU$6,Исходн.данные.!AI121=Расчет!$BU$7),Расчет!BV121,IF(Исходн.данные.!$AG121=$BV$11,BL121,IF(OR(Исходн.данные.!$AH121=$BQ$7,Исходн.данные.!$AH121=$BQ$8),CB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0,IF(Исходн.данные.!$AI121=$BU$11,"Нет",IF(BL121&gt;30,30,BL121)))))))</f>
        <v>0</v>
      </c>
      <c r="BZ121" s="9">
        <f>IF(AND(Исходн.данные.!$AG121=$BV$11,BM121&lt;10),10,IF(Исходн.данные.!$AG121=$BV$11,BM121,IF(OR(Исходн.данные.!$AH121=$BQ$7,Исходн.данные.!$AH121=$BQ$8),CC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10,IF(Исходн.данные.!$AI121=$BU$11,"Нет",IF(BM121&gt;60,60,IF(BM121&lt;10,10,BM121)))))))</f>
        <v>10</v>
      </c>
      <c r="CA121" s="39">
        <f>IF(BN121&lt;0,0,IF(Исходн.данные.!$AG121=$BV$11,BN121,IF(OR(Исходн.данные.!$AH121=$BQ$7,Исходн.данные.!$AH121=$BQ$8),CD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0,IF(Исходн.данные.!$AI121=$BU$11,"Нет",IF(BN121&gt;30,30,BN121))))))</f>
        <v>0</v>
      </c>
      <c r="CB121" s="9">
        <f t="shared" si="160"/>
        <v>0</v>
      </c>
      <c r="CC121" s="9">
        <f t="shared" si="161"/>
        <v>0</v>
      </c>
      <c r="CD121" s="9">
        <f t="shared" si="162"/>
        <v>0</v>
      </c>
      <c r="CE121" s="12">
        <f t="shared" si="163"/>
        <v>10</v>
      </c>
      <c r="CF121" s="9">
        <f t="shared" si="164"/>
        <v>0</v>
      </c>
      <c r="CG121" s="9" t="s">
        <v>231</v>
      </c>
      <c r="CH121" s="132" t="str">
        <f>IF(Исходн.данные.!AP121=Расчет!$CI$16,"Нет",IF(Исходн.данные.!AL121&gt;0,Исходн.данные.!AL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BH$4,IF(OR(Исходн.данные.!AI121=Исходн.данные.!$AI$6,Исходн.данные.!AI121=Исходн.данные.!$AI$7),Расчет!BS121,IF(AND($CF121=0,$CE121&gt;0),EV121,ER121)))))</f>
        <v>Аммофос 12:52:00</v>
      </c>
      <c r="CI121" s="274">
        <f>IF(Расчет!$CH121="Нет","Нет",IF(Исходн.данные.!$AL121&gt;0,VLOOKUP(Расчет!$CH121,АшламаДВ_Irekle,2,FALSE),VLOOKUP(Расчет!$CH121,АшламаДВ_Gomumy,2,FALSE)))</f>
        <v>0.12</v>
      </c>
      <c r="CJ121" s="274">
        <f>IF(Расчет!$CH121="Нет","Нет",IF(Исходн.данные.!$AL121&gt;0,VLOOKUP(Расчет!$CH121,АшламаДВ_Irekle,3,FALSE),VLOOKUP(Расчет!$CH121,АшламаДВ_Gomumy,3,FALSE)))</f>
        <v>0.52</v>
      </c>
      <c r="CK121" s="274">
        <f>IF(Расчет!$CH121="Нет","Нет",IF(Исходн.данные.!$AL121&gt;0,VLOOKUP(Расчет!$CH121,АшламаДВ_Irekle,4,FALSE),VLOOKUP(Расчет!$CH121,АшламаДВ_Gomumy,4,FALSE)))</f>
        <v>0</v>
      </c>
      <c r="CL121" s="70"/>
      <c r="CM121" s="70"/>
      <c r="CN121" s="70"/>
      <c r="CO121" s="70"/>
      <c r="CP121" s="70"/>
      <c r="CQ121" s="70"/>
      <c r="CR121" s="10">
        <f t="shared" si="165"/>
        <v>0</v>
      </c>
      <c r="CS121" s="10">
        <f t="shared" si="166"/>
        <v>19.23076923076923</v>
      </c>
      <c r="CT121" s="10">
        <f t="shared" si="167"/>
        <v>0</v>
      </c>
      <c r="CU121" s="39">
        <f>IF($CH121="Нет",0,IF(CI121=0,30/MIN(CJ121:CK121),IF(Исходн.данные.!$AG121=$BV$11,CR121,IF(OR(Исходн.данные.!$AH121=$BQ$7,Исходн.данные.!$AH121=$BQ$8),90/CI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0,IF(Исходн.данные.!$AI121=$BU$11,"Нет",30/CI121))))))</f>
        <v>250</v>
      </c>
      <c r="CV121" s="39">
        <f>IF($CH121="Нет",0,IF(Исходн.данные.!AH121=0,0,IF(CJ121=0,60/MIN(CI121,CK121),IF(Исходн.данные.!$AG121=$BV$11,CS121,IF(OR(Исходн.данные.!$AH121=$BQ$7,Исходн.данные.!$AH121=$BQ$8),90/CJ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10/CJ121,IF(Исходн.данные.!$AI121=$BU$11,"Нет",60/CJ121)))))))</f>
        <v>0</v>
      </c>
      <c r="CW121" s="39">
        <f>IF($CH121="Нет",0,IF(Исходн.данные.!AH121=0,0,IF(CK121=0,30/MIN(CI121:CJ121),IF(Исходн.данные.!$AG121=$BV$11,CT121,IF(OR(Исходн.данные.!$AH121=$BQ$7,Исходн.данные.!$AH121=$BQ$8),90/CK121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0,IF(Исходн.данные.!$AI121=$BU$11,"Нет",30/CK121)))))))</f>
        <v>0</v>
      </c>
      <c r="CX121" s="133">
        <f>IF(Исходн.данные.!$AG121=$BV$11,MAX(CU121:CW121),IF(OR(Исходн.данные.!$AH121=$BS$8,Исходн.данные.!$AH121=$BQ$9,Исходн.данные.!$AH121=$BQ$10,Исходн.данные.!$AH121=$BQ$11,Исходн.данные.!$AH121=$BQ$12,Исходн.данные.!$AH121=$BP$3,Исходн.данные.!$AH121=$BT$8,$FM121="Да"),CV121,MIN(CU121:CW121)))</f>
        <v>0</v>
      </c>
      <c r="CY121" s="133">
        <f>IF(Исходн.данные.!AH121=0,0,IF(CR121&gt;$CX121,$CX121,CR121))</f>
        <v>0</v>
      </c>
      <c r="CZ121" s="133">
        <f>IF(Исходн.данные.!AH121=0,0,IF(CS121&gt;$CX121,$CX121,CS121))</f>
        <v>0</v>
      </c>
      <c r="DA121" s="133">
        <f>IF(Исходн.данные.!AH121=0,0,IF(CT121&gt;$CX121,$CX121,CT121))</f>
        <v>0</v>
      </c>
      <c r="DB121" s="10">
        <f t="shared" si="168"/>
        <v>0</v>
      </c>
      <c r="DC121" s="39">
        <f>DB121*Исходн.данные.!AJ121/1000</f>
        <v>0</v>
      </c>
      <c r="DD121" s="71">
        <f t="shared" si="169"/>
        <v>0</v>
      </c>
      <c r="DE121" s="9">
        <f t="shared" si="170"/>
        <v>0</v>
      </c>
      <c r="DF121" s="9">
        <f t="shared" si="171"/>
        <v>0</v>
      </c>
      <c r="DG121" s="39">
        <f>IF(BL121&lt;0,0,IF($CH121="Нет",BL121,IF(OR(Исходн.данные.!$AH121=$BP$1,Исходн.данные.!$AH121=$BP$2),0,IF(Исходн.данные.!AI121=$BU$11,BL121,IF(BL121-DD121&lt;0,0,BL121-DD121)))))</f>
        <v>0</v>
      </c>
      <c r="DH121" s="39">
        <f>IF(BM121&lt;0,0,IF($CH121="Нет",BM121,IF(OR(Исходн.данные.!$AH121=$BP$1,Исходн.данные.!$AH121=$BP$2),0,IF(Исходн.данные.!AJ121=$BU$11,BM121,IF(BM121-DE121&lt;0,0,BM121-DE121)))))</f>
        <v>0</v>
      </c>
      <c r="DI121" s="39">
        <f>IF(BN121&lt;0,0,IF($CH121="Нет",BN121,IF(OR(Исходн.данные.!$AH121=$BP$1,Исходн.данные.!$AH121=$BP$2),0,IF(Исходн.данные.!AK121=$BU$11,BN121,IF(BN121-DF121&lt;0,0,BN121-DF121)))))</f>
        <v>0</v>
      </c>
      <c r="DJ121" s="12">
        <f t="shared" si="172"/>
        <v>0</v>
      </c>
      <c r="DK121" s="9">
        <f t="shared" si="173"/>
        <v>0</v>
      </c>
      <c r="DL121" s="39">
        <f>IF(Исходн.данные.!AM121&gt;0,Исходн.данные.!AM121,IF(EG121&gt;0,$BH$10,0))</f>
        <v>0</v>
      </c>
      <c r="DM121" s="186">
        <f>IF($DL121=0,0,IF(Исходн.данные.!AM121&gt;0,VLOOKUP($DL121,АшламаДВ_Irekle,2,FALSE),VLOOKUP($DL121,АшламаДВ_Gomumy,2,FALSE)))</f>
        <v>0</v>
      </c>
      <c r="DN121" s="10">
        <f t="shared" si="151"/>
        <v>0</v>
      </c>
      <c r="DO121" s="9" t="str">
        <f>IF(Исходн.данные.!AN121&gt;0,Исходн.данные.!AN121,Удобрения!$B$37 )</f>
        <v>Хлор.калий</v>
      </c>
      <c r="DP121" s="9">
        <f>IF(Исходн.данные.!AN121&gt;0,VLOOKUP(Исходн.данные.!AN121,АшламаДВ_Irekle,4,FALSE),VLOOKUP(DO121,АшламаДВ_Gomumy,4,FALSE))</f>
        <v>0.6</v>
      </c>
      <c r="DQ121" s="10">
        <f t="shared" si="152"/>
        <v>0</v>
      </c>
      <c r="DR121" s="132" t="str">
        <f>IF(Исходн.данные.!AO121&gt;0,Исходн.данные.!AO121,IF(DH121=0,BS$17,IF(AND($DK121=0,$DJ121&gt;0),EJ121,EN121)))</f>
        <v>Нет</v>
      </c>
      <c r="DS121" s="70" t="str">
        <f>IF($DR121="Нет","Нет",IF(Исходн.данные.!$AO121&gt;0,VLOOKUP($DR121,АшламаДВ_Irekle,2,FALSE),VLOOKUP($DR121,АшламаДВ_Gomumy,2,FALSE)))</f>
        <v>Нет</v>
      </c>
      <c r="DT121" s="70" t="str">
        <f>IF($DR121="Нет","Нет",IF(Исходн.данные.!$AO121&gt;0,VLOOKUP($DR121,АшламаДВ_Irekle,3,FALSE),VLOOKUP($DR121,АшламаДВ_Gomumy,3,FALSE)))</f>
        <v>Нет</v>
      </c>
      <c r="DU121" s="70" t="str">
        <f>IF($DR121="Нет","Нет",IF(Исходн.данные.!$AO121&gt;0,VLOOKUP($DR121,АшламаДВ_Irekle,4,FALSE),VLOOKUP($DR121,АшламаДВ_Gomumy,4,FALSE)))</f>
        <v>Нет</v>
      </c>
      <c r="DV121" s="70"/>
      <c r="DW121" s="70"/>
      <c r="DX121" s="70"/>
      <c r="DY121" s="10">
        <f t="shared" si="174"/>
        <v>0</v>
      </c>
      <c r="DZ121" s="10">
        <f t="shared" si="175"/>
        <v>0</v>
      </c>
      <c r="EA121" s="10">
        <f t="shared" si="176"/>
        <v>0</v>
      </c>
      <c r="EB121" s="10">
        <f t="shared" si="177"/>
        <v>0</v>
      </c>
      <c r="EC121" s="10">
        <f t="shared" si="178"/>
        <v>0</v>
      </c>
      <c r="ED121" s="10">
        <f t="shared" si="179"/>
        <v>0</v>
      </c>
      <c r="EE121" s="10">
        <f t="shared" si="180"/>
        <v>0</v>
      </c>
      <c r="EF121" s="39">
        <f>EB121*Исходн.данные.!AJ121/1000</f>
        <v>0</v>
      </c>
      <c r="EG121" s="9">
        <f t="shared" si="181"/>
        <v>0</v>
      </c>
      <c r="EH121" s="9">
        <f t="shared" si="182"/>
        <v>0</v>
      </c>
      <c r="EI121" s="39" t="e">
        <f t="shared" si="132"/>
        <v>#DIV/0!</v>
      </c>
      <c r="EJ121" s="9" t="str">
        <f t="shared" si="153"/>
        <v>Азопреципитат</v>
      </c>
      <c r="EK121" s="12">
        <f t="shared" si="133"/>
        <v>0.26</v>
      </c>
      <c r="EL121" s="12">
        <f t="shared" si="134"/>
        <v>0.13</v>
      </c>
      <c r="EM121" s="12">
        <f t="shared" si="135"/>
        <v>0</v>
      </c>
      <c r="EN121" s="12" t="str">
        <f t="shared" si="154"/>
        <v>Нет</v>
      </c>
      <c r="EO121" s="12">
        <f t="shared" si="136"/>
        <v>0</v>
      </c>
      <c r="EP121" s="12">
        <f t="shared" si="137"/>
        <v>0</v>
      </c>
      <c r="EQ121" s="12">
        <f t="shared" si="138"/>
        <v>0</v>
      </c>
      <c r="ER121" s="12" t="str">
        <f t="shared" si="183"/>
        <v>Диаммофоска</v>
      </c>
      <c r="ES121" s="12">
        <f t="shared" si="139"/>
        <v>0.1</v>
      </c>
      <c r="ET121" s="12">
        <f t="shared" si="140"/>
        <v>0.26</v>
      </c>
      <c r="EU121" s="12">
        <f t="shared" si="141"/>
        <v>0.26</v>
      </c>
      <c r="EV121" s="12" t="str">
        <f t="shared" si="184"/>
        <v>Аммофос 12:52:00</v>
      </c>
      <c r="EW121" s="12" t="str">
        <f t="shared" si="185"/>
        <v>Кемира Свекловичное-6</v>
      </c>
      <c r="EX121" s="12">
        <f t="shared" si="142"/>
        <v>0.16</v>
      </c>
      <c r="EY121" s="12">
        <f t="shared" si="143"/>
        <v>0.12</v>
      </c>
      <c r="EZ121" s="12">
        <f t="shared" si="144"/>
        <v>0.17</v>
      </c>
      <c r="FA121" s="38" t="e">
        <f>IF(AND(OR(FJ121=$FD$1,FM121=$FD$1,FO121=$FD$1,FQ121=$FD$1,FS121=$FD$1),FD121=$FD$1,Исходн.данные.!J121&lt;2,FU121=$FD$1),"Бор,Кобальт",IF(AND(FO121=$FD$1,FH121=$FD$1,Исходн.данные.!J121&lt;2,FU121=$FD$1),"Бор,Кобальт",IF(AND(OR(FJ121=$FD$1,FM121=$FD$1,FQ121=$FD$1),FE121=$FD$1,Исходн.данные.!J121&lt;2,FT121=$FD$1,FU121=$FD$1),"Бор,Медь,Цинк",IF(AND(OR(FJ121=$FD$1,FR121="Да"),FI121="Да",Исходн.данные.!J121&lt;2,FT121="Да",FU121="Да"),"Бор,Цинк,Медь",IF(AND(OR(FM121="Да",FQ121="Да"),FI121="Да",Исходн.данные.!J121&lt;2,FT121="Да",FU121="Да"),"Бор,Цинк",IF(AND(FN121="Да",OR(FD121="Да",FE121="Да")),"Бор",FB121))))))</f>
        <v>#N/A</v>
      </c>
      <c r="FB121" s="134" t="e">
        <f>IF(AND(OR(FD121="Да",FE121="Да",FF121="Да",FG121="Да",FH121="Да"),FO121="Да"),"Бор",IF(AND(FP121="Да",OR(FD121="Да",FE121="Да",FI121="Да")),"Бор",IF(AND(FS121="Да",FE121="Да"),"Бор,Медь",IF(AND(OR(FJ121="Да",FK121="Да",FL121="Да"),FE121="Да",Исходн.данные.!I121&lt;5,FT121="Да",FU121="Да"),"Молибден,Цинк",IF(AND(FM121="Да",OR(FE121="Да",FF121="Да",FG121="Да",FH121="Да",FI121="Да")),"Молибден,Цинк",IF(AND(OR(FJ121="Да",FK121="Да",FL121="Да",FM121="Да",FQ121="Да"),OR(FE121="Да",FF121="Да"),FT121="Да",FU121="Да",Исходн.данные.!I121&gt;5.5),"Медь,Цинк",FC121))))))</f>
        <v>#N/A</v>
      </c>
      <c r="FC121" s="23" t="e">
        <f t="shared" si="186"/>
        <v>#N/A</v>
      </c>
      <c r="FD121" s="38" t="str">
        <f>IF(OR(Исходн.данные.!F121=$CC$1,Исходн.данные.!F121=$CC$2,Исходн.данные.!F121=$CC$3,Исходн.данные.!F121=$CC$4),"Да","Нет")</f>
        <v>Нет</v>
      </c>
      <c r="FE121" s="38" t="str">
        <f>IF(Исходн.данные.!F121=$CC$5,"Да","Нет")</f>
        <v>Нет</v>
      </c>
      <c r="FF121" s="38" t="str">
        <f>IF(OR(Исходн.данные.!F121=$CC$6,Исходн.данные.!F121=$CC$7),"Да","Нет")</f>
        <v>Нет</v>
      </c>
      <c r="FG121" s="38" t="str">
        <f>IF(OR(Исходн.данные.!F121=$CC$8,Исходн.данные.!F121=$CC$9),"Да","Нет")</f>
        <v>Нет</v>
      </c>
      <c r="FH121" s="38" t="str">
        <f>IF(Исходн.данные.!F121=$CC$10,"Да","Нет")</f>
        <v>Нет</v>
      </c>
      <c r="FI121" s="38" t="str">
        <f>IF(OR(Исходн.данные.!F121=$CC$11,Исходн.данные.!F121=$CC$12),"Да","Нет")</f>
        <v>Нет</v>
      </c>
      <c r="FJ121" s="38" t="str">
        <f>IF(OR(Исходн.данные.!AH121=$BS$1,Исходн.данные.!AH121=$BQ$11,Исходн.данные.!AH121=$BQ$12),"Да","Нет")</f>
        <v>Нет</v>
      </c>
      <c r="FK121" s="38" t="str">
        <f>IF(OR(Исходн.данные.!AH121=$BS$2,Исходн.данные.!AH121=$BS$4),"Да","Нет")</f>
        <v>Нет</v>
      </c>
      <c r="FL121" s="38" t="str">
        <f>IF(OR(Исходн.данные.!AH121=$BS$3,Исходн.данные.!AH121=$BS$5),"Да","Нет")</f>
        <v>Нет</v>
      </c>
      <c r="FM121" s="38" t="str">
        <f>IF(OR(Исходн.данные.!AH121=$BS$9,Исходн.данные.!AH121=$BS$10,Исходн.данные.!AH121=$BS$11,Исходн.данные.!AH121=$BS$12),"Да","Нет")</f>
        <v>Нет</v>
      </c>
      <c r="FN121" s="38" t="str">
        <f>IF(OR(Исходн.данные.!AH121=$BS$6,Исходн.данные.!AH121=$BP$3),"Да","Нет")</f>
        <v>Нет</v>
      </c>
      <c r="FO121" s="38" t="str">
        <f>IF(Исходн.данные.!AH121=$BQ$9,"Да","Нет")</f>
        <v>Нет</v>
      </c>
      <c r="FP121" s="38" t="str">
        <f>IF(OR(Исходн.данные.!AH121=$BS$8,Исходн.данные.!AH121=$BT$8),"Да","Нет")</f>
        <v>Нет</v>
      </c>
      <c r="FQ121" s="38" t="str">
        <f>IF(OR(Исходн.данные.!AH121=$BQ$7,Исходн.данные.!AH121=$BQ$8),"Да","Нет")</f>
        <v>Нет</v>
      </c>
      <c r="FR121" s="38" t="str">
        <f>IF(Исходн.данные.!AI121=$BU$9,"Да","Нет")</f>
        <v>Нет</v>
      </c>
      <c r="FS121" s="38" t="str">
        <f>IF(OR(Исходн.данные.!AH121=$BP$1,Исходн.данные.!AH121=$BP$2),"Да","Нет")</f>
        <v>Нет</v>
      </c>
      <c r="FT121" s="38" t="e">
        <f>IF((Исходн.данные.!K121*GO121*GS121*GW121+BL121*0.6+Исходн.данные.!Q121*4.5*0.275)&gt;90,"Да","Нет")</f>
        <v>#N/A</v>
      </c>
      <c r="FU121" s="38" t="e">
        <f>IF((Исходн.данные.!M121*GS121*GZ121+BM121*0.225)&gt;35,"Да","Нет")</f>
        <v>#N/A</v>
      </c>
      <c r="FV121" s="38" t="str">
        <f>IF(Исходн.данные.!O121&gt;175,"Да","Нет")</f>
        <v>Нет</v>
      </c>
      <c r="FW121" s="39" t="str">
        <f>IF(Исходн.данные.!I121&gt;5.5,"Да","Нет")</f>
        <v>Нет</v>
      </c>
      <c r="FX121" s="39" t="str">
        <f>IF(Исходн.данные.!J121&lt;2,"Да","Нет")</f>
        <v>Да</v>
      </c>
      <c r="FY121" s="39" t="e">
        <f>IF(HF121=$FY$16,0,Исходн.данные.!K121*GO121*GS121*GW121/HF121)</f>
        <v>#N/A</v>
      </c>
      <c r="FZ121" s="39" t="e">
        <f>Исходн.данные.!M121*GS121*GZ121/HG121</f>
        <v>#N/A</v>
      </c>
      <c r="GA121" s="39" t="e">
        <f>IF(K_Wyn=$FY$16,0,IF(Исходн.данные.!N121=Исходн.данные.!$L$10,Исходн.данные.!O121/1.1*GS121*HC121/HH121,IF(Исходн.данные.!N121=Исходн.данные.!$L$12,Исходн.данные.!O121/1.5*GS121*HC121/HH121,Исходн.данные.!O121*GS121*HC121/HH121)))</f>
        <v>#N/A</v>
      </c>
      <c r="GB121" s="39" t="e">
        <f>IF(HF121=$FY$16,0,((Исходн.данные.!Q121*N_Org+Исходн.данные.!R121*N_Sider+Исходн.данные.!S121*N_Soloma)*AO121+Расчет!BC121*VLOOKUP(Исходн.данные.!T121,Справ!$A$3:$O$57,15)*AO121+BB121*VLOOKUP(Исходн.данные.!T121,Справ!$A$3:$O$57,15)*AL121+(Исходн.данные.!V121*N_Rizotorf+Исходн.данные.!W121*N_Rizoagr))/HF121)</f>
        <v>#N/A</v>
      </c>
      <c r="GC121" s="39" t="e">
        <f>IF(HG121=$FY$16,0,((Исходн.данные.!Q121*Р_Org+Исходн.данные.!R121*P_Sider+Исходн.данные.!S121*P_Soloma)*AP121+Расчет!BC121*VLOOKUP(Исходн.данные.!T121,Справ!$A$3:$P$57,16)*AP121+BB121*VLOOKUP(Исходн.данные.!T121,Справ!$A$3:$P$57,16)*AM121)/HG121)</f>
        <v>#N/A</v>
      </c>
      <c r="GD121" s="39" t="e">
        <f>IF(HH121=$FY$16,0,((Исходн.данные.!Q121*К_Org+Исходн.данные.!R121*K_Sider+Исходн.данные.!S121*K_Soloma)*AQ121+Расчет!BC121*VLOOKUP(Исходн.данные.!T121,Справ!$A$3:$Q$57,17)*AQ121+BB121*VLOOKUP(Исходн.данные.!T121,Справ!$A$3:$Q$57,17)*AN121)/HH121)</f>
        <v>#N/A</v>
      </c>
      <c r="GE121" s="39" t="e">
        <f>IF(HF121=$FY$16,0,(Исходн.данные.!X121*AR121+Исходн.данные.!AA121*N_Org*AL121+Исходн.данные.!AB121*N_Sider*AL121+Исходн.данные.!AC121*N_Soloma*AL121)/HF121)</f>
        <v>#N/A</v>
      </c>
      <c r="GF121" s="39" t="e">
        <f>IF(HG121=$FY$16,0,(Исходн.данные.!Y121*AS121+Исходн.данные.!AA121*Р_Org*AM121+Исходн.данные.!AB121*P_Sider*AM121+Исходн.данные.!AC121*P_Soloma*AM121)/HG121)</f>
        <v>#N/A</v>
      </c>
      <c r="GG121" s="39" t="e">
        <f>IF(HH121=$FY$16,0,(Исходн.данные.!Z121*AT121+Исходн.данные.!AA121*К_Org*AN121+Исходн.данные.!AB121*K_Sider*AN121+Исходн.данные.!AC121*K_Soloma*AN121)/HH121)</f>
        <v>#N/A</v>
      </c>
      <c r="GH121" s="39" t="e">
        <f>Исходн.данные.!AD121*AU121/HF121</f>
        <v>#N/A</v>
      </c>
      <c r="GI121" s="39" t="e">
        <f>Исходн.данные.!AE121*AV121/HG121</f>
        <v>#N/A</v>
      </c>
      <c r="GJ121" s="39" t="e">
        <f>Исходн.данные.!AF121*AW121/HH121</f>
        <v>#N/A</v>
      </c>
      <c r="GK121" s="55">
        <f>Исходн.данные.!AK121</f>
        <v>0</v>
      </c>
      <c r="GL121" s="11" t="e">
        <f t="shared" si="187"/>
        <v>#N/A</v>
      </c>
      <c r="GM121" s="11" t="e">
        <f t="shared" si="188"/>
        <v>#N/A</v>
      </c>
      <c r="GN121" s="11" t="e">
        <f t="shared" si="189"/>
        <v>#N/A</v>
      </c>
      <c r="GO121" s="57">
        <f t="shared" si="190"/>
        <v>19</v>
      </c>
      <c r="GP121" s="55">
        <f>IF(OR(Исходн.данные.!F121=$CE$1,Исходн.данные.!F121=$CE$2,Исходн.данные.!F121=$CE$3,Исходн.данные.!F121=$CE$4,Исходн.данные.!F121=$CE$5),GQ121,GR121)</f>
        <v>19</v>
      </c>
      <c r="GQ121" s="55">
        <f>IF(Исходн.данные.!F121=$CE$1,28,IF(Исходн.данные.!F121=$CE$2,26,IF(Исходн.данные.!F121=$CE$3,24,IF(Исходн.данные.!F121=$CE$4,22,IF(Исходн.данные.!F121=$CE$5,20,GR121)))))</f>
        <v>19</v>
      </c>
      <c r="GR121" s="55">
        <f>IF(Исходн.данные.!F121=$CE$6,18,IF(Исходн.данные.!F121=$CE$7,16,IF(Исходн.данные.!F121=$CE$8,14,IF(Исходн.данные.!F121=$CE$9,13,IF(Исходн.данные.!F121=$CE$10,12,19)))))</f>
        <v>19</v>
      </c>
      <c r="GS121" s="55">
        <f>IF(Исходн.данные.!G121="Пес",0.035*(40+2*Исходн.данные.!H121),IF(Исходн.данные.!G121="Суп",0.0325*(40+2*Исходн.данные.!H121),0.03*(40+2*Исходн.данные.!H121)))</f>
        <v>1.2</v>
      </c>
      <c r="GT121" s="55">
        <f>IF(Исходн.данные.!H121&lt;23,2.6,IF(AND(Исходн.данные.!H121&gt;22,Исходн.данные.!H121&lt;26),3,IF(AND(Исходн.данные.!H121&gt;25,Исходн.данные.!H121&lt;29),3.4,3.6)))</f>
        <v>2.6</v>
      </c>
      <c r="GU121" s="55">
        <f>IF(Исходн.данные.!H121&lt;23,2.8,IF(AND(Исходн.данные.!H121&gt;22,Исходн.данные.!H121&lt;26),3.2,IF(AND(Исходн.данные.!H121&gt;25,Исходн.данные.!H121&lt;29),3.6,3.9)))</f>
        <v>2.8</v>
      </c>
      <c r="GV121" s="55">
        <f>IF(Исходн.данные.!H121&lt;23,3,IF(AND(Исходн.данные.!H121&gt;22,Исходн.данные.!H121&lt;26),3.5,IF(AND(Исходн.данные.!H121&gt;25,Исходн.данные.!H121&lt;29),3.9,4.2)))</f>
        <v>3</v>
      </c>
      <c r="GW121" s="55" t="e">
        <f>IF(Исходн.данные.!P121="Ум",GX121,GY121)</f>
        <v>#N/A</v>
      </c>
      <c r="GX121" s="55" t="e">
        <f>VLOOKUP(Исходн.данные.!AI121,Коэффициенты!$J$7:$L$13,2,FALSE)</f>
        <v>#N/A</v>
      </c>
      <c r="GY121" s="55" t="e">
        <f>VLOOKUP(Исходн.данные.!AI121,Коэффициенты!$J$7:$L$13,3,FALSE)</f>
        <v>#N/A</v>
      </c>
      <c r="GZ121" s="55" t="e">
        <f>(IF(Исходн.данные.!M121&lt;50,0.11*VLOOKUP(Исходн.данные.!AH121,Культуры.Информация,7,FALSE),IF(Исходн.данные.!M121&gt;250,0.05*VLOOKUP(Исходн.данные.!AH121,Культуры.Информация,7,FALSE),VLOOKUP(Исходн.данные.!AH121,Культуры.Информация,5,FALSE)/100*($GX$6+$GY$6*Исходн.данные.!M121))))*Расчет2!AI121</f>
        <v>#N/A</v>
      </c>
      <c r="HA121" s="211"/>
      <c r="HB121" s="211"/>
      <c r="HC121" s="55" t="e">
        <f>(IF(Исходн.данные.!O121&lt;80,0.2*VLOOKUP(Исходн.данные.!AH121,Культуры.Информация,8,FALSE),IF(Исходн.данные.!O121&gt;240,0.09*VLOOKUP(Исходн.данные.!AH121,Культуры.Информация,8,FALSE),VLOOKUP(Исходн.данные.!AH121,Культуры.Информация,6,FALSE)/100*($HB$6+$HC$6*Исходн.данные.!O121))))*Расчет2!AJ121</f>
        <v>#N/A</v>
      </c>
      <c r="HD121" s="55">
        <f>IF(Исходн.данные.!O121&gt;240,0.09,IF(Исходн.данные.!O121&lt;30,0.3,$HE$10+$HD$10*Исходн.данные.!O121))</f>
        <v>0.3</v>
      </c>
      <c r="HE121" s="55">
        <f>IF(Исходн.данные.!O121&gt;240,0.17,IF(Исходн.данные.!O121&lt;30,0.5,$HF$12+$HE$12*Исходн.данные.!O121))</f>
        <v>0.5</v>
      </c>
      <c r="HF121" s="55" t="e">
        <f>VLOOKUP(Исходн.данные.!AH121,Справ!$A$3:$D$58,2,FALSE)</f>
        <v>#N/A</v>
      </c>
      <c r="HG121" s="55" t="e">
        <f>VLOOKUP(Исходн.данные.!AH121,Справ!$A$3:$D$58,3,FALSE)</f>
        <v>#N/A</v>
      </c>
      <c r="HH121" s="55" t="e">
        <f>VLOOKUP(Исходн.данные.!AH121,Справ!$A$3:$D$58,4,FALSE)</f>
        <v>#N/A</v>
      </c>
      <c r="HI121" s="11" t="e">
        <f t="shared" si="191"/>
        <v>#N/A</v>
      </c>
      <c r="HJ121" s="11" t="e">
        <f t="shared" si="192"/>
        <v>#N/A</v>
      </c>
      <c r="HK121" s="11" t="e">
        <f t="shared" si="193"/>
        <v>#N/A</v>
      </c>
      <c r="HL121" s="55">
        <f>IF(OR(Исходн.данные.!G121="Глин",Исходн.данные.!G121="Т_суг"),1.1,IF(Исходн.данные.!G121="Ср_суг",1,1))</f>
        <v>1</v>
      </c>
      <c r="HM121" s="55">
        <f>IF(OR(Исходн.данные.!G121="Глин",Исходн.данные.!G121="Т_суг"),0.9,IF(Исходн.данные.!G121="Ср_суг",1,1.2))</f>
        <v>1.2</v>
      </c>
      <c r="HN121" s="11" t="e">
        <f t="shared" si="194"/>
        <v>#N/A</v>
      </c>
      <c r="HO121" s="11" t="e">
        <f t="shared" si="195"/>
        <v>#N/A</v>
      </c>
      <c r="HP121" s="11" t="e">
        <f t="shared" si="196"/>
        <v>#N/A</v>
      </c>
      <c r="HQ121" t="e">
        <f t="shared" si="197"/>
        <v>#N/A</v>
      </c>
      <c r="HR121" t="e">
        <f t="shared" si="198"/>
        <v>#N/A</v>
      </c>
      <c r="HS121" t="e">
        <f t="shared" si="199"/>
        <v>#N/A</v>
      </c>
      <c r="HT121" t="e">
        <f t="shared" si="145"/>
        <v>#N/A</v>
      </c>
      <c r="HU121" t="e">
        <f t="shared" si="146"/>
        <v>#N/A</v>
      </c>
      <c r="HV121" t="e">
        <f t="shared" si="147"/>
        <v>#N/A</v>
      </c>
      <c r="HW121" t="e">
        <f t="shared" si="148"/>
        <v>#N/A</v>
      </c>
      <c r="HX121" t="e">
        <f t="shared" si="149"/>
        <v>#N/A</v>
      </c>
      <c r="HY121" t="e">
        <f t="shared" si="150"/>
        <v>#N/A</v>
      </c>
      <c r="HZ121" s="55">
        <f>IF(OR(Исходн.данные.!AI121="Оз_Ч_П",Исходн.данные.!AI121="Оз_З_П",Исходн.данные.!AI121="Яр_зер"),12,30)</f>
        <v>30</v>
      </c>
      <c r="IA121" t="e">
        <f t="shared" si="200"/>
        <v>#N/A</v>
      </c>
      <c r="IB121" t="e">
        <f t="shared" si="201"/>
        <v>#N/A</v>
      </c>
      <c r="IC121" t="e">
        <f t="shared" si="202"/>
        <v>#N/A</v>
      </c>
      <c r="ID121" s="11" t="e">
        <f t="shared" si="203"/>
        <v>#N/A</v>
      </c>
      <c r="IE121" s="11" t="e">
        <f t="shared" si="204"/>
        <v>#N/A</v>
      </c>
      <c r="IF121" s="11" t="e">
        <f t="shared" si="205"/>
        <v>#N/A</v>
      </c>
    </row>
    <row r="122" spans="35:240" x14ac:dyDescent="0.2">
      <c r="AI122">
        <f>IF(Исходн.данные.!I122&gt;6,1,1.85-(0.148*Исходн.данные.!I122))</f>
        <v>1.85</v>
      </c>
      <c r="AJ122">
        <f>IF(Исходн.данные.!I122&gt;6,1,2.434-(0.246*Исходн.данные.!I122))</f>
        <v>2.4340000000000002</v>
      </c>
      <c r="AL122" s="148" t="b">
        <f>IF(Исходн.данные.!$P122="Ум",N_OrgUd_2g_um,IF(Исходн.данные.!$P122="Об",N_OrgUd_2g_ob))</f>
        <v>0</v>
      </c>
      <c r="AM122" s="148" t="b">
        <f>IF(Исходн.данные.!$P122="Ум",P_OrgUd_2g_um,IF(Исходн.данные.!$P122="Об",P_OrgUd_2g_ob))</f>
        <v>0</v>
      </c>
      <c r="AN122" s="148" t="b">
        <f>IF(Исходн.данные.!$P122="Ум",K_OrgUd_2g_um,IF(Исходн.данные.!$P122="Об",K_OrgUd_2g_ob))</f>
        <v>0</v>
      </c>
      <c r="AO122" s="148" t="b">
        <f>IF(Исходн.данные.!$P122="Ум",N_OrgUd_1g_um,IF(Исходн.данные.!$P122="Об",N_OrgUd_1g_ob))</f>
        <v>0</v>
      </c>
      <c r="AP122" s="148" t="b">
        <f>IF(Исходн.данные.!$P122="Ум",P_OrgUd_1g_um,IF(Исходн.данные.!$P122="Об",P_OrgUd_1g_ob))</f>
        <v>0</v>
      </c>
      <c r="AQ122" s="148" t="b">
        <f>IF(Исходн.данные.!$P122="Ум",K_OrgUd_1g_um,IF(Исходн.данные.!$P122="Об",K_OrgUd_1g_ob))</f>
        <v>0</v>
      </c>
      <c r="AR122" t="b">
        <f>IF(Исходн.данные.!$P122="Ум",N_MinUd_2g_um,IF(Исходн.данные.!$P122="Об",N_MinUd_2g_ob))</f>
        <v>0</v>
      </c>
      <c r="AS122" t="b">
        <f>IF(Исходн.данные.!$P122="Ум",P_MinUd_2g_um,IF(Исходн.данные.!$P122="Об",P_MinUd_2g_ob))</f>
        <v>0</v>
      </c>
      <c r="AT122" t="b">
        <f>IF(Исходн.данные.!$P122="Ум",K_MinUd_2g_um,IF(Исходн.данные.!$P122="Об",K_MinUd_2g_ob))</f>
        <v>0</v>
      </c>
      <c r="AU122" t="b">
        <f>IF(Исходн.данные.!$P122="Ум",N_MinUd_1g_um,IF(Исходн.данные.!$P122="Об",N_MinUd_1g_ob))</f>
        <v>0</v>
      </c>
      <c r="AV122" t="b">
        <f>IF(Исходн.данные.!P122="Ум",P_MinUd_1g_um,IF(Исходн.данные.!P122="Об",P_MinUd_1g_ob))</f>
        <v>0</v>
      </c>
      <c r="AW122" t="b">
        <f>IF(Исходн.данные.!P122="Ум",K_MinUd_1g_um,IF(Исходн.данные.!P122="Об",K_MinUd_1g_ob))</f>
        <v>0</v>
      </c>
      <c r="AY122" t="e">
        <f>VLOOKUP(Исходн.данные.!T122,Справ!$A$3:$N$57,12)</f>
        <v>#N/A</v>
      </c>
      <c r="AZ122" t="e">
        <f>VLOOKUP(Исходн.данные.!T122,Справ!$A$3:$N$57,13)</f>
        <v>#N/A</v>
      </c>
      <c r="BA122" t="e">
        <f>VLOOKUP(Исходн.данные.!T122,Справ!$A$3:$N$57,14)</f>
        <v>#N/A</v>
      </c>
      <c r="BB122">
        <f>IF(Исходн.данные.!AH122=0,0,25)</f>
        <v>0</v>
      </c>
      <c r="BC122" s="141">
        <f>IF(Исходн.данные.!AH122=0,0,IF(Исходн.данные.!T122=0,25,BD122))</f>
        <v>0</v>
      </c>
      <c r="BD122" s="168" t="e">
        <f>AY122+AZ122*Исходн.данные.!U122-POWER(BA122,2)*Исходн.данные.!U122</f>
        <v>#N/A</v>
      </c>
      <c r="BE12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2" s="25">
        <f>IF(Исходн.данные.!AH122=0,0,MIN(HN122:HP122))</f>
        <v>0</v>
      </c>
      <c r="BG122" s="9">
        <f>IF(Исходн.данные.!AH122=0,0,IF((HO122+10*0.25/HG122/HL122)&lt;17,17,HO122+10*0.25/HG122/HL122))</f>
        <v>0</v>
      </c>
      <c r="BH122" s="181">
        <f>IF(Исходн.данные.!AH122=0,0,HW122*HF122*HL122/AU122*AI122+Исходн.данные.!S122*10)</f>
        <v>0</v>
      </c>
      <c r="BI122" s="10"/>
      <c r="BJ122" s="182">
        <f>IF(Исходн.данные.!AH122=0,0,IF(HX122*HG122*HL122/AV122&lt;0,0,HX122*HG122*HL122/AV122*AJ122))</f>
        <v>0</v>
      </c>
      <c r="BK122" s="182">
        <f>IF(Исходн.данные.!AH122=0,0,HY122*HH122*HM122/AW122)</f>
        <v>0</v>
      </c>
      <c r="BL122" s="10">
        <f>IF(OR(Исходн.данные.!$AH122=$BP$1,Исходн.данные.!$AH122=$BP$2),0,IF(BH122&lt;0,0,IF(OR(Исходн.данные.!T122=Расчет!$BP$1,Исходн.данные.!T122=Расчет!$BP$2,Исходн.данные.!T122=Расчет!$BT$5,Исходн.данные.!T122=Расчет!$BT$6),BH122*0.5,IF(OR(Исходн.данные.!T122=Расчет!$BS$9,Исходн.данные.!T122=Расчет!$BS$10,Исходн.данные.!T122=Расчет!$BS$11,Исходн.данные.!T122=Расчет!$BS$12,Исходн.данные.!T122=Расчет!$BP$5),BH122*0.8,BH122))))</f>
        <v>0</v>
      </c>
      <c r="BM122" s="10">
        <f>IF(OR(Исходн.данные.!$AH122=$BP$1,Исходн.данные.!$AH122=$BP$2),0,IF(BJ122&lt;0,0,IF(Исходн.данные.!I122&lt;4.5,BJ122*1.2,IF(Исходн.данные.!I122&gt;5.1,BJ122,BJ122*((5.1-Исходн.данные.!I122)*0.333+1)))))</f>
        <v>0</v>
      </c>
      <c r="BN122" s="10">
        <f>IF(OR(Исходн.данные.!$AH122=$BP$1,Исходн.данные.!$AH122=$BP$2),60-Исходн.данные.!AF122,IF(BK122&lt;0,0,IF(Исходн.данные.!I122&lt;4.5,BK122*1.2,IF(Исходн.данные.!I122&gt;5.1,BK122,BK122*((5.1-Исходн.данные.!I122)*0.333+1)))))</f>
        <v>0</v>
      </c>
      <c r="BO122" s="9">
        <f>IF(BL122&lt;0,0,BL122*Исходн.данные.!$AJ122/1000)</f>
        <v>0</v>
      </c>
      <c r="BP122" s="9">
        <f>IF(BM122&lt;0,0,BM122*Исходн.данные.!$AJ122/1000)</f>
        <v>0</v>
      </c>
      <c r="BQ122" s="9">
        <f>IF(BN122&lt;0,0,BN122*Исходн.данные.!$AJ122/1000)</f>
        <v>0</v>
      </c>
      <c r="BR122" s="9">
        <f t="shared" si="155"/>
        <v>0</v>
      </c>
      <c r="BS122" s="10" t="str">
        <f t="shared" si="156"/>
        <v>Аммофос 12:52:00</v>
      </c>
      <c r="BT122" s="10" t="str">
        <f t="shared" si="157"/>
        <v>Аммофос 12:52:00</v>
      </c>
      <c r="BU122" s="10" t="str">
        <f t="shared" si="158"/>
        <v>Диаммофоска</v>
      </c>
      <c r="BV122" s="10">
        <f t="shared" si="159"/>
        <v>0</v>
      </c>
      <c r="BW122" s="10"/>
      <c r="BX122" s="10"/>
      <c r="BY122" s="9">
        <f>IF(BL122&lt;0,0,IF(OR(Исходн.данные.!AI122=Расчет!$BU$6,Исходн.данные.!AI122=Расчет!$BU$7),Расчет!BV122,IF(Исходн.данные.!$AG122=$BV$11,BL122,IF(OR(Исходн.данные.!$AH122=$BQ$7,Исходн.данные.!$AH122=$BQ$8),CB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0,IF(Исходн.данные.!$AI122=$BU$11,"Нет",IF(BL122&gt;30,30,BL122)))))))</f>
        <v>0</v>
      </c>
      <c r="BZ122" s="9">
        <f>IF(AND(Исходн.данные.!$AG122=$BV$11,BM122&lt;10),10,IF(Исходн.данные.!$AG122=$BV$11,BM122,IF(OR(Исходн.данные.!$AH122=$BQ$7,Исходн.данные.!$AH122=$BQ$8),CC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10,IF(Исходн.данные.!$AI122=$BU$11,"Нет",IF(BM122&gt;60,60,IF(BM122&lt;10,10,BM122)))))))</f>
        <v>10</v>
      </c>
      <c r="CA122" s="39">
        <f>IF(BN122&lt;0,0,IF(Исходн.данные.!$AG122=$BV$11,BN122,IF(OR(Исходн.данные.!$AH122=$BQ$7,Исходн.данные.!$AH122=$BQ$8),CD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0,IF(Исходн.данные.!$AI122=$BU$11,"Нет",IF(BN122&gt;30,30,BN122))))))</f>
        <v>0</v>
      </c>
      <c r="CB122" s="9">
        <f t="shared" si="160"/>
        <v>0</v>
      </c>
      <c r="CC122" s="9">
        <f t="shared" si="161"/>
        <v>0</v>
      </c>
      <c r="CD122" s="9">
        <f t="shared" si="162"/>
        <v>0</v>
      </c>
      <c r="CE122" s="12">
        <f t="shared" si="163"/>
        <v>10</v>
      </c>
      <c r="CF122" s="9">
        <f t="shared" si="164"/>
        <v>0</v>
      </c>
      <c r="CG122" s="9" t="s">
        <v>231</v>
      </c>
      <c r="CH122" s="132" t="str">
        <f>IF(Исходн.данные.!AP122=Расчет!$CI$16,"Нет",IF(Исходн.данные.!AL122&gt;0,Исходн.данные.!AL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BH$4,IF(OR(Исходн.данные.!AI122=Исходн.данные.!$AI$6,Исходн.данные.!AI122=Исходн.данные.!$AI$7),Расчет!BS122,IF(AND($CF122=0,$CE122&gt;0),EV122,ER122)))))</f>
        <v>Аммофос 12:52:00</v>
      </c>
      <c r="CI122" s="274">
        <f>IF(Расчет!$CH122="Нет","Нет",IF(Исходн.данные.!$AL122&gt;0,VLOOKUP(Расчет!$CH122,АшламаДВ_Irekle,2,FALSE),VLOOKUP(Расчет!$CH122,АшламаДВ_Gomumy,2,FALSE)))</f>
        <v>0.12</v>
      </c>
      <c r="CJ122" s="274">
        <f>IF(Расчет!$CH122="Нет","Нет",IF(Исходн.данные.!$AL122&gt;0,VLOOKUP(Расчет!$CH122,АшламаДВ_Irekle,3,FALSE),VLOOKUP(Расчет!$CH122,АшламаДВ_Gomumy,3,FALSE)))</f>
        <v>0.52</v>
      </c>
      <c r="CK122" s="274">
        <f>IF(Расчет!$CH122="Нет","Нет",IF(Исходн.данные.!$AL122&gt;0,VLOOKUP(Расчет!$CH122,АшламаДВ_Irekle,4,FALSE),VLOOKUP(Расчет!$CH122,АшламаДВ_Gomumy,4,FALSE)))</f>
        <v>0</v>
      </c>
      <c r="CL122" s="70"/>
      <c r="CM122" s="70"/>
      <c r="CN122" s="70"/>
      <c r="CO122" s="70"/>
      <c r="CP122" s="70"/>
      <c r="CQ122" s="70"/>
      <c r="CR122" s="10">
        <f t="shared" si="165"/>
        <v>0</v>
      </c>
      <c r="CS122" s="10">
        <f t="shared" si="166"/>
        <v>19.23076923076923</v>
      </c>
      <c r="CT122" s="10">
        <f t="shared" si="167"/>
        <v>0</v>
      </c>
      <c r="CU122" s="39">
        <f>IF($CH122="Нет",0,IF(CI122=0,30/MIN(CJ122:CK122),IF(Исходн.данные.!$AG122=$BV$11,CR122,IF(OR(Исходн.данные.!$AH122=$BQ$7,Исходн.данные.!$AH122=$BQ$8),90/CI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0,IF(Исходн.данные.!$AI122=$BU$11,"Нет",30/CI122))))))</f>
        <v>250</v>
      </c>
      <c r="CV122" s="39">
        <f>IF($CH122="Нет",0,IF(Исходн.данные.!AH122=0,0,IF(CJ122=0,60/MIN(CI122,CK122),IF(Исходн.данные.!$AG122=$BV$11,CS122,IF(OR(Исходн.данные.!$AH122=$BQ$7,Исходн.данные.!$AH122=$BQ$8),90/CJ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10/CJ122,IF(Исходн.данные.!$AI122=$BU$11,"Нет",60/CJ122)))))))</f>
        <v>0</v>
      </c>
      <c r="CW122" s="39">
        <f>IF($CH122="Нет",0,IF(Исходн.данные.!AH122=0,0,IF(CK122=0,30/MIN(CI122:CJ122),IF(Исходн.данные.!$AG122=$BV$11,CT122,IF(OR(Исходн.данные.!$AH122=$BQ$7,Исходн.данные.!$AH122=$BQ$8),90/CK122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0,IF(Исходн.данные.!$AI122=$BU$11,"Нет",30/CK122)))))))</f>
        <v>0</v>
      </c>
      <c r="CX122" s="133">
        <f>IF(Исходн.данные.!$AG122=$BV$11,MAX(CU122:CW122),IF(OR(Исходн.данные.!$AH122=$BS$8,Исходн.данные.!$AH122=$BQ$9,Исходн.данные.!$AH122=$BQ$10,Исходн.данные.!$AH122=$BQ$11,Исходн.данные.!$AH122=$BQ$12,Исходн.данные.!$AH122=$BP$3,Исходн.данные.!$AH122=$BT$8,$FM122="Да"),CV122,MIN(CU122:CW122)))</f>
        <v>0</v>
      </c>
      <c r="CY122" s="133">
        <f>IF(Исходн.данные.!AH122=0,0,IF(CR122&gt;$CX122,$CX122,CR122))</f>
        <v>0</v>
      </c>
      <c r="CZ122" s="133">
        <f>IF(Исходн.данные.!AH122=0,0,IF(CS122&gt;$CX122,$CX122,CS122))</f>
        <v>0</v>
      </c>
      <c r="DA122" s="133">
        <f>IF(Исходн.данные.!AH122=0,0,IF(CT122&gt;$CX122,$CX122,CT122))</f>
        <v>0</v>
      </c>
      <c r="DB122" s="10">
        <f t="shared" si="168"/>
        <v>0</v>
      </c>
      <c r="DC122" s="39">
        <f>DB122*Исходн.данные.!AJ122/1000</f>
        <v>0</v>
      </c>
      <c r="DD122" s="71">
        <f t="shared" si="169"/>
        <v>0</v>
      </c>
      <c r="DE122" s="9">
        <f t="shared" si="170"/>
        <v>0</v>
      </c>
      <c r="DF122" s="9">
        <f t="shared" si="171"/>
        <v>0</v>
      </c>
      <c r="DG122" s="39">
        <f>IF(BL122&lt;0,0,IF($CH122="Нет",BL122,IF(OR(Исходн.данные.!$AH122=$BP$1,Исходн.данные.!$AH122=$BP$2),0,IF(Исходн.данные.!AI122=$BU$11,BL122,IF(BL122-DD122&lt;0,0,BL122-DD122)))))</f>
        <v>0</v>
      </c>
      <c r="DH122" s="39">
        <f>IF(BM122&lt;0,0,IF($CH122="Нет",BM122,IF(OR(Исходн.данные.!$AH122=$BP$1,Исходн.данные.!$AH122=$BP$2),0,IF(Исходн.данные.!AJ122=$BU$11,BM122,IF(BM122-DE122&lt;0,0,BM122-DE122)))))</f>
        <v>0</v>
      </c>
      <c r="DI122" s="39">
        <f>IF(BN122&lt;0,0,IF($CH122="Нет",BN122,IF(OR(Исходн.данные.!$AH122=$BP$1,Исходн.данные.!$AH122=$BP$2),0,IF(Исходн.данные.!AK122=$BU$11,BN122,IF(BN122-DF122&lt;0,0,BN122-DF122)))))</f>
        <v>0</v>
      </c>
      <c r="DJ122" s="12">
        <f t="shared" si="172"/>
        <v>0</v>
      </c>
      <c r="DK122" s="9">
        <f t="shared" si="173"/>
        <v>0</v>
      </c>
      <c r="DL122" s="39">
        <f>IF(Исходн.данные.!AM122&gt;0,Исходн.данные.!AM122,IF(EG122&gt;0,$BH$10,0))</f>
        <v>0</v>
      </c>
      <c r="DM122" s="186">
        <f>IF($DL122=0,0,IF(Исходн.данные.!AM122&gt;0,VLOOKUP($DL122,АшламаДВ_Irekle,2,FALSE),VLOOKUP($DL122,АшламаДВ_Gomumy,2,FALSE)))</f>
        <v>0</v>
      </c>
      <c r="DN122" s="10">
        <f t="shared" si="151"/>
        <v>0</v>
      </c>
      <c r="DO122" s="9" t="str">
        <f>IF(Исходн.данные.!AN122&gt;0,Исходн.данные.!AN122,Удобрения!$B$37 )</f>
        <v>Хлор.калий</v>
      </c>
      <c r="DP122" s="9">
        <f>IF(Исходн.данные.!AN122&gt;0,VLOOKUP(Исходн.данные.!AN122,АшламаДВ_Irekle,4,FALSE),VLOOKUP(DO122,АшламаДВ_Gomumy,4,FALSE))</f>
        <v>0.6</v>
      </c>
      <c r="DQ122" s="10">
        <f t="shared" si="152"/>
        <v>0</v>
      </c>
      <c r="DR122" s="132" t="str">
        <f>IF(Исходн.данные.!AO122&gt;0,Исходн.данные.!AO122,IF(DH122=0,BS$17,IF(AND($DK122=0,$DJ122&gt;0),EJ122,EN122)))</f>
        <v>Нет</v>
      </c>
      <c r="DS122" s="70" t="str">
        <f>IF($DR122="Нет","Нет",IF(Исходн.данные.!$AO122&gt;0,VLOOKUP($DR122,АшламаДВ_Irekle,2,FALSE),VLOOKUP($DR122,АшламаДВ_Gomumy,2,FALSE)))</f>
        <v>Нет</v>
      </c>
      <c r="DT122" s="70" t="str">
        <f>IF($DR122="Нет","Нет",IF(Исходн.данные.!$AO122&gt;0,VLOOKUP($DR122,АшламаДВ_Irekle,3,FALSE),VLOOKUP($DR122,АшламаДВ_Gomumy,3,FALSE)))</f>
        <v>Нет</v>
      </c>
      <c r="DU122" s="70" t="str">
        <f>IF($DR122="Нет","Нет",IF(Исходн.данные.!$AO122&gt;0,VLOOKUP($DR122,АшламаДВ_Irekle,4,FALSE),VLOOKUP($DR122,АшламаДВ_Gomumy,4,FALSE)))</f>
        <v>Нет</v>
      </c>
      <c r="DV122" s="70"/>
      <c r="DW122" s="70"/>
      <c r="DX122" s="70"/>
      <c r="DY122" s="10">
        <f t="shared" si="174"/>
        <v>0</v>
      </c>
      <c r="DZ122" s="10">
        <f t="shared" si="175"/>
        <v>0</v>
      </c>
      <c r="EA122" s="10">
        <f t="shared" si="176"/>
        <v>0</v>
      </c>
      <c r="EB122" s="10">
        <f t="shared" si="177"/>
        <v>0</v>
      </c>
      <c r="EC122" s="10">
        <f t="shared" si="178"/>
        <v>0</v>
      </c>
      <c r="ED122" s="10">
        <f t="shared" si="179"/>
        <v>0</v>
      </c>
      <c r="EE122" s="10">
        <f t="shared" si="180"/>
        <v>0</v>
      </c>
      <c r="EF122" s="39">
        <f>EB122*Исходн.данные.!AJ122/1000</f>
        <v>0</v>
      </c>
      <c r="EG122" s="9">
        <f t="shared" si="181"/>
        <v>0</v>
      </c>
      <c r="EH122" s="9">
        <f t="shared" si="182"/>
        <v>0</v>
      </c>
      <c r="EI122" s="39" t="e">
        <f t="shared" si="132"/>
        <v>#DIV/0!</v>
      </c>
      <c r="EJ122" s="9" t="str">
        <f t="shared" si="153"/>
        <v>Азопреципитат</v>
      </c>
      <c r="EK122" s="12">
        <f t="shared" si="133"/>
        <v>0.26</v>
      </c>
      <c r="EL122" s="12">
        <f t="shared" si="134"/>
        <v>0.13</v>
      </c>
      <c r="EM122" s="12">
        <f t="shared" si="135"/>
        <v>0</v>
      </c>
      <c r="EN122" s="12" t="str">
        <f t="shared" si="154"/>
        <v>Нет</v>
      </c>
      <c r="EO122" s="12">
        <f t="shared" si="136"/>
        <v>0</v>
      </c>
      <c r="EP122" s="12">
        <f t="shared" si="137"/>
        <v>0</v>
      </c>
      <c r="EQ122" s="12">
        <f t="shared" si="138"/>
        <v>0</v>
      </c>
      <c r="ER122" s="12" t="str">
        <f t="shared" si="183"/>
        <v>Диаммофоска</v>
      </c>
      <c r="ES122" s="12">
        <f t="shared" si="139"/>
        <v>0.1</v>
      </c>
      <c r="ET122" s="12">
        <f t="shared" si="140"/>
        <v>0.26</v>
      </c>
      <c r="EU122" s="12">
        <f t="shared" si="141"/>
        <v>0.26</v>
      </c>
      <c r="EV122" s="12" t="str">
        <f t="shared" si="184"/>
        <v>Аммофос 12:52:00</v>
      </c>
      <c r="EW122" s="12" t="str">
        <f t="shared" si="185"/>
        <v>Кемира Свекловичное-6</v>
      </c>
      <c r="EX122" s="12">
        <f t="shared" si="142"/>
        <v>0.16</v>
      </c>
      <c r="EY122" s="12">
        <f t="shared" si="143"/>
        <v>0.12</v>
      </c>
      <c r="EZ122" s="12">
        <f t="shared" si="144"/>
        <v>0.17</v>
      </c>
      <c r="FA122" s="38" t="e">
        <f>IF(AND(OR(FJ122=$FD$1,FM122=$FD$1,FO122=$FD$1,FQ122=$FD$1,FS122=$FD$1),FD122=$FD$1,Исходн.данные.!J122&lt;2,FU122=$FD$1),"Бор,Кобальт",IF(AND(FO122=$FD$1,FH122=$FD$1,Исходн.данные.!J122&lt;2,FU122=$FD$1),"Бор,Кобальт",IF(AND(OR(FJ122=$FD$1,FM122=$FD$1,FQ122=$FD$1),FE122=$FD$1,Исходн.данные.!J122&lt;2,FT122=$FD$1,FU122=$FD$1),"Бор,Медь,Цинк",IF(AND(OR(FJ122=$FD$1,FR122="Да"),FI122="Да",Исходн.данные.!J122&lt;2,FT122="Да",FU122="Да"),"Бор,Цинк,Медь",IF(AND(OR(FM122="Да",FQ122="Да"),FI122="Да",Исходн.данные.!J122&lt;2,FT122="Да",FU122="Да"),"Бор,Цинк",IF(AND(FN122="Да",OR(FD122="Да",FE122="Да")),"Бор",FB122))))))</f>
        <v>#N/A</v>
      </c>
      <c r="FB122" s="134" t="e">
        <f>IF(AND(OR(FD122="Да",FE122="Да",FF122="Да",FG122="Да",FH122="Да"),FO122="Да"),"Бор",IF(AND(FP122="Да",OR(FD122="Да",FE122="Да",FI122="Да")),"Бор",IF(AND(FS122="Да",FE122="Да"),"Бор,Медь",IF(AND(OR(FJ122="Да",FK122="Да",FL122="Да"),FE122="Да",Исходн.данные.!I122&lt;5,FT122="Да",FU122="Да"),"Молибден,Цинк",IF(AND(FM122="Да",OR(FE122="Да",FF122="Да",FG122="Да",FH122="Да",FI122="Да")),"Молибден,Цинк",IF(AND(OR(FJ122="Да",FK122="Да",FL122="Да",FM122="Да",FQ122="Да"),OR(FE122="Да",FF122="Да"),FT122="Да",FU122="Да",Исходн.данные.!I122&gt;5.5),"Медь,Цинк",FC122))))))</f>
        <v>#N/A</v>
      </c>
      <c r="FC122" s="23" t="e">
        <f t="shared" si="186"/>
        <v>#N/A</v>
      </c>
      <c r="FD122" s="38" t="str">
        <f>IF(OR(Исходн.данные.!F122=$CC$1,Исходн.данные.!F122=$CC$2,Исходн.данные.!F122=$CC$3,Исходн.данные.!F122=$CC$4),"Да","Нет")</f>
        <v>Нет</v>
      </c>
      <c r="FE122" s="38" t="str">
        <f>IF(Исходн.данные.!F122=$CC$5,"Да","Нет")</f>
        <v>Нет</v>
      </c>
      <c r="FF122" s="38" t="str">
        <f>IF(OR(Исходн.данные.!F122=$CC$6,Исходн.данные.!F122=$CC$7),"Да","Нет")</f>
        <v>Нет</v>
      </c>
      <c r="FG122" s="38" t="str">
        <f>IF(OR(Исходн.данные.!F122=$CC$8,Исходн.данные.!F122=$CC$9),"Да","Нет")</f>
        <v>Нет</v>
      </c>
      <c r="FH122" s="38" t="str">
        <f>IF(Исходн.данные.!F122=$CC$10,"Да","Нет")</f>
        <v>Нет</v>
      </c>
      <c r="FI122" s="38" t="str">
        <f>IF(OR(Исходн.данные.!F122=$CC$11,Исходн.данные.!F122=$CC$12),"Да","Нет")</f>
        <v>Нет</v>
      </c>
      <c r="FJ122" s="38" t="str">
        <f>IF(OR(Исходн.данные.!AH122=$BS$1,Исходн.данные.!AH122=$BQ$11,Исходн.данные.!AH122=$BQ$12),"Да","Нет")</f>
        <v>Нет</v>
      </c>
      <c r="FK122" s="38" t="str">
        <f>IF(OR(Исходн.данные.!AH122=$BS$2,Исходн.данные.!AH122=$BS$4),"Да","Нет")</f>
        <v>Нет</v>
      </c>
      <c r="FL122" s="38" t="str">
        <f>IF(OR(Исходн.данные.!AH122=$BS$3,Исходн.данные.!AH122=$BS$5),"Да","Нет")</f>
        <v>Нет</v>
      </c>
      <c r="FM122" s="38" t="str">
        <f>IF(OR(Исходн.данные.!AH122=$BS$9,Исходн.данные.!AH122=$BS$10,Исходн.данные.!AH122=$BS$11,Исходн.данные.!AH122=$BS$12),"Да","Нет")</f>
        <v>Нет</v>
      </c>
      <c r="FN122" s="38" t="str">
        <f>IF(OR(Исходн.данные.!AH122=$BS$6,Исходн.данные.!AH122=$BP$3),"Да","Нет")</f>
        <v>Нет</v>
      </c>
      <c r="FO122" s="38" t="str">
        <f>IF(Исходн.данные.!AH122=$BQ$9,"Да","Нет")</f>
        <v>Нет</v>
      </c>
      <c r="FP122" s="38" t="str">
        <f>IF(OR(Исходн.данные.!AH122=$BS$8,Исходн.данные.!AH122=$BT$8),"Да","Нет")</f>
        <v>Нет</v>
      </c>
      <c r="FQ122" s="38" t="str">
        <f>IF(OR(Исходн.данные.!AH122=$BQ$7,Исходн.данные.!AH122=$BQ$8),"Да","Нет")</f>
        <v>Нет</v>
      </c>
      <c r="FR122" s="38" t="str">
        <f>IF(Исходн.данные.!AI122=$BU$9,"Да","Нет")</f>
        <v>Нет</v>
      </c>
      <c r="FS122" s="38" t="str">
        <f>IF(OR(Исходн.данные.!AH122=$BP$1,Исходн.данные.!AH122=$BP$2),"Да","Нет")</f>
        <v>Нет</v>
      </c>
      <c r="FT122" s="38" t="e">
        <f>IF((Исходн.данные.!K122*GO122*GS122*GW122+BL122*0.6+Исходн.данные.!Q122*4.5*0.275)&gt;90,"Да","Нет")</f>
        <v>#N/A</v>
      </c>
      <c r="FU122" s="38" t="e">
        <f>IF((Исходн.данные.!M122*GS122*GZ122+BM122*0.225)&gt;35,"Да","Нет")</f>
        <v>#N/A</v>
      </c>
      <c r="FV122" s="38" t="str">
        <f>IF(Исходн.данные.!O122&gt;175,"Да","Нет")</f>
        <v>Нет</v>
      </c>
      <c r="FW122" s="39" t="str">
        <f>IF(Исходн.данные.!I122&gt;5.5,"Да","Нет")</f>
        <v>Нет</v>
      </c>
      <c r="FX122" s="39" t="str">
        <f>IF(Исходн.данные.!J122&lt;2,"Да","Нет")</f>
        <v>Да</v>
      </c>
      <c r="FY122" s="39" t="e">
        <f>IF(HF122=$FY$16,0,Исходн.данные.!K122*GO122*GS122*GW122/HF122)</f>
        <v>#N/A</v>
      </c>
      <c r="FZ122" s="39" t="e">
        <f>Исходн.данные.!M122*GS122*GZ122/HG122</f>
        <v>#N/A</v>
      </c>
      <c r="GA122" s="39" t="e">
        <f>IF(K_Wyn=$FY$16,0,IF(Исходн.данные.!N122=Исходн.данные.!$L$10,Исходн.данные.!O122/1.1*GS122*HC122/HH122,IF(Исходн.данные.!N122=Исходн.данные.!$L$12,Исходн.данные.!O122/1.5*GS122*HC122/HH122,Исходн.данные.!O122*GS122*HC122/HH122)))</f>
        <v>#N/A</v>
      </c>
      <c r="GB122" s="39" t="e">
        <f>IF(HF122=$FY$16,0,((Исходн.данные.!Q122*N_Org+Исходн.данные.!R122*N_Sider+Исходн.данные.!S122*N_Soloma)*AO122+Расчет!BC122*VLOOKUP(Исходн.данные.!T122,Справ!$A$3:$O$57,15)*AO122+BB122*VLOOKUP(Исходн.данные.!T122,Справ!$A$3:$O$57,15)*AL122+(Исходн.данные.!V122*N_Rizotorf+Исходн.данные.!W122*N_Rizoagr))/HF122)</f>
        <v>#N/A</v>
      </c>
      <c r="GC122" s="39" t="e">
        <f>IF(HG122=$FY$16,0,((Исходн.данные.!Q122*Р_Org+Исходн.данные.!R122*P_Sider+Исходн.данные.!S122*P_Soloma)*AP122+Расчет!BC122*VLOOKUP(Исходн.данные.!T122,Справ!$A$3:$P$57,16)*AP122+BB122*VLOOKUP(Исходн.данные.!T122,Справ!$A$3:$P$57,16)*AM122)/HG122)</f>
        <v>#N/A</v>
      </c>
      <c r="GD122" s="39" t="e">
        <f>IF(HH122=$FY$16,0,((Исходн.данные.!Q122*К_Org+Исходн.данные.!R122*K_Sider+Исходн.данные.!S122*K_Soloma)*AQ122+Расчет!BC122*VLOOKUP(Исходн.данные.!T122,Справ!$A$3:$Q$57,17)*AQ122+BB122*VLOOKUP(Исходн.данные.!T122,Справ!$A$3:$Q$57,17)*AN122)/HH122)</f>
        <v>#N/A</v>
      </c>
      <c r="GE122" s="39" t="e">
        <f>IF(HF122=$FY$16,0,(Исходн.данные.!X122*AR122+Исходн.данные.!AA122*N_Org*AL122+Исходн.данные.!AB122*N_Sider*AL122+Исходн.данные.!AC122*N_Soloma*AL122)/HF122)</f>
        <v>#N/A</v>
      </c>
      <c r="GF122" s="39" t="e">
        <f>IF(HG122=$FY$16,0,(Исходн.данные.!Y122*AS122+Исходн.данные.!AA122*Р_Org*AM122+Исходн.данные.!AB122*P_Sider*AM122+Исходн.данные.!AC122*P_Soloma*AM122)/HG122)</f>
        <v>#N/A</v>
      </c>
      <c r="GG122" s="39" t="e">
        <f>IF(HH122=$FY$16,0,(Исходн.данные.!Z122*AT122+Исходн.данные.!AA122*К_Org*AN122+Исходн.данные.!AB122*K_Sider*AN122+Исходн.данные.!AC122*K_Soloma*AN122)/HH122)</f>
        <v>#N/A</v>
      </c>
      <c r="GH122" s="39" t="e">
        <f>Исходн.данные.!AD122*AU122/HF122</f>
        <v>#N/A</v>
      </c>
      <c r="GI122" s="39" t="e">
        <f>Исходн.данные.!AE122*AV122/HG122</f>
        <v>#N/A</v>
      </c>
      <c r="GJ122" s="39" t="e">
        <f>Исходн.данные.!AF122*AW122/HH122</f>
        <v>#N/A</v>
      </c>
      <c r="GK122" s="55">
        <f>Исходн.данные.!AK122</f>
        <v>0</v>
      </c>
      <c r="GL122" s="11" t="e">
        <f t="shared" si="187"/>
        <v>#N/A</v>
      </c>
      <c r="GM122" s="11" t="e">
        <f t="shared" si="188"/>
        <v>#N/A</v>
      </c>
      <c r="GN122" s="11" t="e">
        <f t="shared" si="189"/>
        <v>#N/A</v>
      </c>
      <c r="GO122" s="57">
        <f t="shared" si="190"/>
        <v>19</v>
      </c>
      <c r="GP122" s="55">
        <f>IF(OR(Исходн.данные.!F122=$CE$1,Исходн.данные.!F122=$CE$2,Исходн.данные.!F122=$CE$3,Исходн.данные.!F122=$CE$4,Исходн.данные.!F122=$CE$5),GQ122,GR122)</f>
        <v>19</v>
      </c>
      <c r="GQ122" s="55">
        <f>IF(Исходн.данные.!F122=$CE$1,28,IF(Исходн.данные.!F122=$CE$2,26,IF(Исходн.данные.!F122=$CE$3,24,IF(Исходн.данные.!F122=$CE$4,22,IF(Исходн.данные.!F122=$CE$5,20,GR122)))))</f>
        <v>19</v>
      </c>
      <c r="GR122" s="55">
        <f>IF(Исходн.данные.!F122=$CE$6,18,IF(Исходн.данные.!F122=$CE$7,16,IF(Исходн.данные.!F122=$CE$8,14,IF(Исходн.данные.!F122=$CE$9,13,IF(Исходн.данные.!F122=$CE$10,12,19)))))</f>
        <v>19</v>
      </c>
      <c r="GS122" s="55">
        <f>IF(Исходн.данные.!G122="Пес",0.035*(40+2*Исходн.данные.!H122),IF(Исходн.данные.!G122="Суп",0.0325*(40+2*Исходн.данные.!H122),0.03*(40+2*Исходн.данные.!H122)))</f>
        <v>1.2</v>
      </c>
      <c r="GT122" s="55">
        <f>IF(Исходн.данные.!H122&lt;23,2.6,IF(AND(Исходн.данные.!H122&gt;22,Исходн.данные.!H122&lt;26),3,IF(AND(Исходн.данные.!H122&gt;25,Исходн.данные.!H122&lt;29),3.4,3.6)))</f>
        <v>2.6</v>
      </c>
      <c r="GU122" s="55">
        <f>IF(Исходн.данные.!H122&lt;23,2.8,IF(AND(Исходн.данные.!H122&gt;22,Исходн.данные.!H122&lt;26),3.2,IF(AND(Исходн.данные.!H122&gt;25,Исходн.данные.!H122&lt;29),3.6,3.9)))</f>
        <v>2.8</v>
      </c>
      <c r="GV122" s="55">
        <f>IF(Исходн.данные.!H122&lt;23,3,IF(AND(Исходн.данные.!H122&gt;22,Исходн.данные.!H122&lt;26),3.5,IF(AND(Исходн.данные.!H122&gt;25,Исходн.данные.!H122&lt;29),3.9,4.2)))</f>
        <v>3</v>
      </c>
      <c r="GW122" s="55" t="e">
        <f>IF(Исходн.данные.!P122="Ум",GX122,GY122)</f>
        <v>#N/A</v>
      </c>
      <c r="GX122" s="55" t="e">
        <f>VLOOKUP(Исходн.данные.!AI122,Коэффициенты!$J$7:$L$13,2,FALSE)</f>
        <v>#N/A</v>
      </c>
      <c r="GY122" s="55" t="e">
        <f>VLOOKUP(Исходн.данные.!AI122,Коэффициенты!$J$7:$L$13,3,FALSE)</f>
        <v>#N/A</v>
      </c>
      <c r="GZ122" s="55" t="e">
        <f>(IF(Исходн.данные.!M122&lt;50,0.11*VLOOKUP(Исходн.данные.!AH122,Культуры.Информация,7,FALSE),IF(Исходн.данные.!M122&gt;250,0.05*VLOOKUP(Исходн.данные.!AH122,Культуры.Информация,7,FALSE),VLOOKUP(Исходн.данные.!AH122,Культуры.Информация,5,FALSE)/100*($GX$6+$GY$6*Исходн.данные.!M122))))*Расчет2!AI122</f>
        <v>#N/A</v>
      </c>
      <c r="HA122" s="211"/>
      <c r="HB122" s="211"/>
      <c r="HC122" s="55" t="e">
        <f>(IF(Исходн.данные.!O122&lt;80,0.2*VLOOKUP(Исходн.данные.!AH122,Культуры.Информация,8,FALSE),IF(Исходн.данные.!O122&gt;240,0.09*VLOOKUP(Исходн.данные.!AH122,Культуры.Информация,8,FALSE),VLOOKUP(Исходн.данные.!AH122,Культуры.Информация,6,FALSE)/100*($HB$6+$HC$6*Исходн.данные.!O122))))*Расчет2!AJ122</f>
        <v>#N/A</v>
      </c>
      <c r="HD122" s="55">
        <f>IF(Исходн.данные.!O122&gt;240,0.09,IF(Исходн.данные.!O122&lt;30,0.3,$HE$10+$HD$10*Исходн.данные.!O122))</f>
        <v>0.3</v>
      </c>
      <c r="HE122" s="55">
        <f>IF(Исходн.данные.!O122&gt;240,0.17,IF(Исходн.данные.!O122&lt;30,0.5,$HF$12+$HE$12*Исходн.данные.!O122))</f>
        <v>0.5</v>
      </c>
      <c r="HF122" s="55" t="e">
        <f>VLOOKUP(Исходн.данные.!AH122,Справ!$A$3:$D$58,2,FALSE)</f>
        <v>#N/A</v>
      </c>
      <c r="HG122" s="55" t="e">
        <f>VLOOKUP(Исходн.данные.!AH122,Справ!$A$3:$D$58,3,FALSE)</f>
        <v>#N/A</v>
      </c>
      <c r="HH122" s="55" t="e">
        <f>VLOOKUP(Исходн.данные.!AH122,Справ!$A$3:$D$58,4,FALSE)</f>
        <v>#N/A</v>
      </c>
      <c r="HI122" s="11" t="e">
        <f t="shared" si="191"/>
        <v>#N/A</v>
      </c>
      <c r="HJ122" s="11" t="e">
        <f t="shared" si="192"/>
        <v>#N/A</v>
      </c>
      <c r="HK122" s="11" t="e">
        <f t="shared" si="193"/>
        <v>#N/A</v>
      </c>
      <c r="HL122" s="55">
        <f>IF(OR(Исходн.данные.!G122="Глин",Исходн.данные.!G122="Т_суг"),1.1,IF(Исходн.данные.!G122="Ср_суг",1,1))</f>
        <v>1</v>
      </c>
      <c r="HM122" s="55">
        <f>IF(OR(Исходн.данные.!G122="Глин",Исходн.данные.!G122="Т_суг"),0.9,IF(Исходн.данные.!G122="Ср_суг",1,1.2))</f>
        <v>1.2</v>
      </c>
      <c r="HN122" s="11" t="e">
        <f t="shared" si="194"/>
        <v>#N/A</v>
      </c>
      <c r="HO122" s="11" t="e">
        <f t="shared" si="195"/>
        <v>#N/A</v>
      </c>
      <c r="HP122" s="11" t="e">
        <f t="shared" si="196"/>
        <v>#N/A</v>
      </c>
      <c r="HQ122" t="e">
        <f t="shared" si="197"/>
        <v>#N/A</v>
      </c>
      <c r="HR122" t="e">
        <f t="shared" si="198"/>
        <v>#N/A</v>
      </c>
      <c r="HS122" t="e">
        <f t="shared" si="199"/>
        <v>#N/A</v>
      </c>
      <c r="HT122" t="e">
        <f t="shared" si="145"/>
        <v>#N/A</v>
      </c>
      <c r="HU122" t="e">
        <f t="shared" si="146"/>
        <v>#N/A</v>
      </c>
      <c r="HV122" t="e">
        <f t="shared" si="147"/>
        <v>#N/A</v>
      </c>
      <c r="HW122" t="e">
        <f t="shared" si="148"/>
        <v>#N/A</v>
      </c>
      <c r="HX122" t="e">
        <f t="shared" si="149"/>
        <v>#N/A</v>
      </c>
      <c r="HY122" t="e">
        <f t="shared" si="150"/>
        <v>#N/A</v>
      </c>
      <c r="HZ122" s="55">
        <f>IF(OR(Исходн.данные.!AI122="Оз_Ч_П",Исходн.данные.!AI122="Оз_З_П",Исходн.данные.!AI122="Яр_зер"),12,30)</f>
        <v>30</v>
      </c>
      <c r="IA122" t="e">
        <f t="shared" si="200"/>
        <v>#N/A</v>
      </c>
      <c r="IB122" t="e">
        <f t="shared" si="201"/>
        <v>#N/A</v>
      </c>
      <c r="IC122" t="e">
        <f t="shared" si="202"/>
        <v>#N/A</v>
      </c>
      <c r="ID122" s="11" t="e">
        <f t="shared" si="203"/>
        <v>#N/A</v>
      </c>
      <c r="IE122" s="11" t="e">
        <f t="shared" si="204"/>
        <v>#N/A</v>
      </c>
      <c r="IF122" s="11" t="e">
        <f t="shared" si="205"/>
        <v>#N/A</v>
      </c>
    </row>
    <row r="123" spans="35:240" x14ac:dyDescent="0.2">
      <c r="AI123">
        <f>IF(Исходн.данные.!I123&gt;6,1,1.85-(0.148*Исходн.данные.!I123))</f>
        <v>1.85</v>
      </c>
      <c r="AJ123">
        <f>IF(Исходн.данные.!I123&gt;6,1,2.434-(0.246*Исходн.данные.!I123))</f>
        <v>2.4340000000000002</v>
      </c>
      <c r="AL123" s="148" t="b">
        <f>IF(Исходн.данные.!$P123="Ум",N_OrgUd_2g_um,IF(Исходн.данные.!$P123="Об",N_OrgUd_2g_ob))</f>
        <v>0</v>
      </c>
      <c r="AM123" s="148" t="b">
        <f>IF(Исходн.данные.!$P123="Ум",P_OrgUd_2g_um,IF(Исходн.данные.!$P123="Об",P_OrgUd_2g_ob))</f>
        <v>0</v>
      </c>
      <c r="AN123" s="148" t="b">
        <f>IF(Исходн.данные.!$P123="Ум",K_OrgUd_2g_um,IF(Исходн.данные.!$P123="Об",K_OrgUd_2g_ob))</f>
        <v>0</v>
      </c>
      <c r="AO123" s="148" t="b">
        <f>IF(Исходн.данные.!$P123="Ум",N_OrgUd_1g_um,IF(Исходн.данные.!$P123="Об",N_OrgUd_1g_ob))</f>
        <v>0</v>
      </c>
      <c r="AP123" s="148" t="b">
        <f>IF(Исходн.данные.!$P123="Ум",P_OrgUd_1g_um,IF(Исходн.данные.!$P123="Об",P_OrgUd_1g_ob))</f>
        <v>0</v>
      </c>
      <c r="AQ123" s="148" t="b">
        <f>IF(Исходн.данные.!$P123="Ум",K_OrgUd_1g_um,IF(Исходн.данные.!$P123="Об",K_OrgUd_1g_ob))</f>
        <v>0</v>
      </c>
      <c r="AR123" t="b">
        <f>IF(Исходн.данные.!$P123="Ум",N_MinUd_2g_um,IF(Исходн.данные.!$P123="Об",N_MinUd_2g_ob))</f>
        <v>0</v>
      </c>
      <c r="AS123" t="b">
        <f>IF(Исходн.данные.!$P123="Ум",P_MinUd_2g_um,IF(Исходн.данные.!$P123="Об",P_MinUd_2g_ob))</f>
        <v>0</v>
      </c>
      <c r="AT123" t="b">
        <f>IF(Исходн.данные.!$P123="Ум",K_MinUd_2g_um,IF(Исходн.данные.!$P123="Об",K_MinUd_2g_ob))</f>
        <v>0</v>
      </c>
      <c r="AU123" t="b">
        <f>IF(Исходн.данные.!$P123="Ум",N_MinUd_1g_um,IF(Исходн.данные.!$P123="Об",N_MinUd_1g_ob))</f>
        <v>0</v>
      </c>
      <c r="AV123" t="b">
        <f>IF(Исходн.данные.!P123="Ум",P_MinUd_1g_um,IF(Исходн.данные.!P123="Об",P_MinUd_1g_ob))</f>
        <v>0</v>
      </c>
      <c r="AW123" t="b">
        <f>IF(Исходн.данные.!P123="Ум",K_MinUd_1g_um,IF(Исходн.данные.!P123="Об",K_MinUd_1g_ob))</f>
        <v>0</v>
      </c>
      <c r="AY123" t="e">
        <f>VLOOKUP(Исходн.данные.!T123,Справ!$A$3:$N$57,12)</f>
        <v>#N/A</v>
      </c>
      <c r="AZ123" t="e">
        <f>VLOOKUP(Исходн.данные.!T123,Справ!$A$3:$N$57,13)</f>
        <v>#N/A</v>
      </c>
      <c r="BA123" t="e">
        <f>VLOOKUP(Исходн.данные.!T123,Справ!$A$3:$N$57,14)</f>
        <v>#N/A</v>
      </c>
      <c r="BB123">
        <f>IF(Исходн.данные.!AH123=0,0,25)</f>
        <v>0</v>
      </c>
      <c r="BC123" s="141">
        <f>IF(Исходн.данные.!AH123=0,0,IF(Исходн.данные.!T123=0,25,BD123))</f>
        <v>0</v>
      </c>
      <c r="BD123" s="168" t="e">
        <f>AY123+AZ123*Исходн.данные.!U123-POWER(BA123,2)*Исходн.данные.!U123</f>
        <v>#N/A</v>
      </c>
      <c r="BE12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3" s="25">
        <f>IF(Исходн.данные.!AH123=0,0,MIN(HN123:HP123))</f>
        <v>0</v>
      </c>
      <c r="BG123" s="9">
        <f>IF(Исходн.данные.!AH123=0,0,IF((HO123+10*0.25/HG123/HL123)&lt;17,17,HO123+10*0.25/HG123/HL123))</f>
        <v>0</v>
      </c>
      <c r="BH123" s="181">
        <f>IF(Исходн.данные.!AH123=0,0,HW123*HF123*HL123/AU123*AI123+Исходн.данные.!S123*10)</f>
        <v>0</v>
      </c>
      <c r="BI123" s="10"/>
      <c r="BJ123" s="182">
        <f>IF(Исходн.данные.!AH123=0,0,IF(HX123*HG123*HL123/AV123&lt;0,0,HX123*HG123*HL123/AV123*AJ123))</f>
        <v>0</v>
      </c>
      <c r="BK123" s="182">
        <f>IF(Исходн.данные.!AH123=0,0,HY123*HH123*HM123/AW123)</f>
        <v>0</v>
      </c>
      <c r="BL123" s="10">
        <f>IF(OR(Исходн.данные.!$AH123=$BP$1,Исходн.данные.!$AH123=$BP$2),0,IF(BH123&lt;0,0,IF(OR(Исходн.данные.!T123=Расчет!$BP$1,Исходн.данные.!T123=Расчет!$BP$2,Исходн.данные.!T123=Расчет!$BT$5,Исходн.данные.!T123=Расчет!$BT$6),BH123*0.5,IF(OR(Исходн.данные.!T123=Расчет!$BS$9,Исходн.данные.!T123=Расчет!$BS$10,Исходн.данные.!T123=Расчет!$BS$11,Исходн.данные.!T123=Расчет!$BS$12,Исходн.данные.!T123=Расчет!$BP$5),BH123*0.8,BH123))))</f>
        <v>0</v>
      </c>
      <c r="BM123" s="10">
        <f>IF(OR(Исходн.данные.!$AH123=$BP$1,Исходн.данные.!$AH123=$BP$2),0,IF(BJ123&lt;0,0,IF(Исходн.данные.!I123&lt;4.5,BJ123*1.2,IF(Исходн.данные.!I123&gt;5.1,BJ123,BJ123*((5.1-Исходн.данные.!I123)*0.333+1)))))</f>
        <v>0</v>
      </c>
      <c r="BN123" s="10">
        <f>IF(OR(Исходн.данные.!$AH123=$BP$1,Исходн.данные.!$AH123=$BP$2),60-Исходн.данные.!AF123,IF(BK123&lt;0,0,IF(Исходн.данные.!I123&lt;4.5,BK123*1.2,IF(Исходн.данные.!I123&gt;5.1,BK123,BK123*((5.1-Исходн.данные.!I123)*0.333+1)))))</f>
        <v>0</v>
      </c>
      <c r="BO123" s="9">
        <f>IF(BL123&lt;0,0,BL123*Исходн.данные.!$AJ123/1000)</f>
        <v>0</v>
      </c>
      <c r="BP123" s="9">
        <f>IF(BM123&lt;0,0,BM123*Исходн.данные.!$AJ123/1000)</f>
        <v>0</v>
      </c>
      <c r="BQ123" s="9">
        <f>IF(BN123&lt;0,0,BN123*Исходн.данные.!$AJ123/1000)</f>
        <v>0</v>
      </c>
      <c r="BR123" s="9">
        <f t="shared" si="155"/>
        <v>0</v>
      </c>
      <c r="BS123" s="10" t="str">
        <f t="shared" si="156"/>
        <v>Аммофос 12:52:00</v>
      </c>
      <c r="BT123" s="10" t="str">
        <f t="shared" si="157"/>
        <v>Аммофос 12:52:00</v>
      </c>
      <c r="BU123" s="10" t="str">
        <f t="shared" si="158"/>
        <v>Диаммофоска</v>
      </c>
      <c r="BV123" s="10">
        <f t="shared" si="159"/>
        <v>0</v>
      </c>
      <c r="BW123" s="10"/>
      <c r="BX123" s="10"/>
      <c r="BY123" s="9">
        <f>IF(BL123&lt;0,0,IF(OR(Исходн.данные.!AI123=Расчет!$BU$6,Исходн.данные.!AI123=Расчет!$BU$7),Расчет!BV123,IF(Исходн.данные.!$AG123=$BV$11,BL123,IF(OR(Исходн.данные.!$AH123=$BQ$7,Исходн.данные.!$AH123=$BQ$8),CB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0,IF(Исходн.данные.!$AI123=$BU$11,"Нет",IF(BL123&gt;30,30,BL123)))))))</f>
        <v>0</v>
      </c>
      <c r="BZ123" s="9">
        <f>IF(AND(Исходн.данные.!$AG123=$BV$11,BM123&lt;10),10,IF(Исходн.данные.!$AG123=$BV$11,BM123,IF(OR(Исходн.данные.!$AH123=$BQ$7,Исходн.данные.!$AH123=$BQ$8),CC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10,IF(Исходн.данные.!$AI123=$BU$11,"Нет",IF(BM123&gt;60,60,IF(BM123&lt;10,10,BM123)))))))</f>
        <v>10</v>
      </c>
      <c r="CA123" s="39">
        <f>IF(BN123&lt;0,0,IF(Исходн.данные.!$AG123=$BV$11,BN123,IF(OR(Исходн.данные.!$AH123=$BQ$7,Исходн.данные.!$AH123=$BQ$8),CD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0,IF(Исходн.данные.!$AI123=$BU$11,"Нет",IF(BN123&gt;30,30,BN123))))))</f>
        <v>0</v>
      </c>
      <c r="CB123" s="9">
        <f t="shared" si="160"/>
        <v>0</v>
      </c>
      <c r="CC123" s="9">
        <f t="shared" si="161"/>
        <v>0</v>
      </c>
      <c r="CD123" s="9">
        <f t="shared" si="162"/>
        <v>0</v>
      </c>
      <c r="CE123" s="12">
        <f t="shared" si="163"/>
        <v>10</v>
      </c>
      <c r="CF123" s="9">
        <f t="shared" si="164"/>
        <v>0</v>
      </c>
      <c r="CG123" s="9" t="s">
        <v>231</v>
      </c>
      <c r="CH123" s="132" t="str">
        <f>IF(Исходн.данные.!AP123=Расчет!$CI$16,"Нет",IF(Исходн.данные.!AL123&gt;0,Исходн.данные.!AL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BH$4,IF(OR(Исходн.данные.!AI123=Исходн.данные.!$AI$6,Исходн.данные.!AI123=Исходн.данные.!$AI$7),Расчет!BS123,IF(AND($CF123=0,$CE123&gt;0),EV123,ER123)))))</f>
        <v>Аммофос 12:52:00</v>
      </c>
      <c r="CI123" s="274">
        <f>IF(Расчет!$CH123="Нет","Нет",IF(Исходн.данные.!$AL123&gt;0,VLOOKUP(Расчет!$CH123,АшламаДВ_Irekle,2,FALSE),VLOOKUP(Расчет!$CH123,АшламаДВ_Gomumy,2,FALSE)))</f>
        <v>0.12</v>
      </c>
      <c r="CJ123" s="274">
        <f>IF(Расчет!$CH123="Нет","Нет",IF(Исходн.данные.!$AL123&gt;0,VLOOKUP(Расчет!$CH123,АшламаДВ_Irekle,3,FALSE),VLOOKUP(Расчет!$CH123,АшламаДВ_Gomumy,3,FALSE)))</f>
        <v>0.52</v>
      </c>
      <c r="CK123" s="274">
        <f>IF(Расчет!$CH123="Нет","Нет",IF(Исходн.данные.!$AL123&gt;0,VLOOKUP(Расчет!$CH123,АшламаДВ_Irekle,4,FALSE),VLOOKUP(Расчет!$CH123,АшламаДВ_Gomumy,4,FALSE)))</f>
        <v>0</v>
      </c>
      <c r="CL123" s="70"/>
      <c r="CM123" s="70"/>
      <c r="CN123" s="70"/>
      <c r="CO123" s="70"/>
      <c r="CP123" s="70"/>
      <c r="CQ123" s="70"/>
      <c r="CR123" s="10">
        <f t="shared" si="165"/>
        <v>0</v>
      </c>
      <c r="CS123" s="10">
        <f t="shared" si="166"/>
        <v>19.23076923076923</v>
      </c>
      <c r="CT123" s="10">
        <f t="shared" si="167"/>
        <v>0</v>
      </c>
      <c r="CU123" s="39">
        <f>IF($CH123="Нет",0,IF(CI123=0,30/MIN(CJ123:CK123),IF(Исходн.данные.!$AG123=$BV$11,CR123,IF(OR(Исходн.данные.!$AH123=$BQ$7,Исходн.данные.!$AH123=$BQ$8),90/CI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0,IF(Исходн.данные.!$AI123=$BU$11,"Нет",30/CI123))))))</f>
        <v>250</v>
      </c>
      <c r="CV123" s="39">
        <f>IF($CH123="Нет",0,IF(Исходн.данные.!AH123=0,0,IF(CJ123=0,60/MIN(CI123,CK123),IF(Исходн.данные.!$AG123=$BV$11,CS123,IF(OR(Исходн.данные.!$AH123=$BQ$7,Исходн.данные.!$AH123=$BQ$8),90/CJ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10/CJ123,IF(Исходн.данные.!$AI123=$BU$11,"Нет",60/CJ123)))))))</f>
        <v>0</v>
      </c>
      <c r="CW123" s="39">
        <f>IF($CH123="Нет",0,IF(Исходн.данные.!AH123=0,0,IF(CK123=0,30/MIN(CI123:CJ123),IF(Исходн.данные.!$AG123=$BV$11,CT123,IF(OR(Исходн.данные.!$AH123=$BQ$7,Исходн.данные.!$AH123=$BQ$8),90/CK123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0,IF(Исходн.данные.!$AI123=$BU$11,"Нет",30/CK123)))))))</f>
        <v>0</v>
      </c>
      <c r="CX123" s="133">
        <f>IF(Исходн.данные.!$AG123=$BV$11,MAX(CU123:CW123),IF(OR(Исходн.данные.!$AH123=$BS$8,Исходн.данные.!$AH123=$BQ$9,Исходн.данные.!$AH123=$BQ$10,Исходн.данные.!$AH123=$BQ$11,Исходн.данные.!$AH123=$BQ$12,Исходн.данные.!$AH123=$BP$3,Исходн.данные.!$AH123=$BT$8,$FM123="Да"),CV123,MIN(CU123:CW123)))</f>
        <v>0</v>
      </c>
      <c r="CY123" s="133">
        <f>IF(Исходн.данные.!AH123=0,0,IF(CR123&gt;$CX123,$CX123,CR123))</f>
        <v>0</v>
      </c>
      <c r="CZ123" s="133">
        <f>IF(Исходн.данные.!AH123=0,0,IF(CS123&gt;$CX123,$CX123,CS123))</f>
        <v>0</v>
      </c>
      <c r="DA123" s="133">
        <f>IF(Исходн.данные.!AH123=0,0,IF(CT123&gt;$CX123,$CX123,CT123))</f>
        <v>0</v>
      </c>
      <c r="DB123" s="10">
        <f t="shared" si="168"/>
        <v>0</v>
      </c>
      <c r="DC123" s="39">
        <f>DB123*Исходн.данные.!AJ123/1000</f>
        <v>0</v>
      </c>
      <c r="DD123" s="71">
        <f t="shared" si="169"/>
        <v>0</v>
      </c>
      <c r="DE123" s="9">
        <f t="shared" si="170"/>
        <v>0</v>
      </c>
      <c r="DF123" s="9">
        <f t="shared" si="171"/>
        <v>0</v>
      </c>
      <c r="DG123" s="39">
        <f>IF(BL123&lt;0,0,IF($CH123="Нет",BL123,IF(OR(Исходн.данные.!$AH123=$BP$1,Исходн.данные.!$AH123=$BP$2),0,IF(Исходн.данные.!AI123=$BU$11,BL123,IF(BL123-DD123&lt;0,0,BL123-DD123)))))</f>
        <v>0</v>
      </c>
      <c r="DH123" s="39">
        <f>IF(BM123&lt;0,0,IF($CH123="Нет",BM123,IF(OR(Исходн.данные.!$AH123=$BP$1,Исходн.данные.!$AH123=$BP$2),0,IF(Исходн.данные.!AJ123=$BU$11,BM123,IF(BM123-DE123&lt;0,0,BM123-DE123)))))</f>
        <v>0</v>
      </c>
      <c r="DI123" s="39">
        <f>IF(BN123&lt;0,0,IF($CH123="Нет",BN123,IF(OR(Исходн.данные.!$AH123=$BP$1,Исходн.данные.!$AH123=$BP$2),0,IF(Исходн.данные.!AK123=$BU$11,BN123,IF(BN123-DF123&lt;0,0,BN123-DF123)))))</f>
        <v>0</v>
      </c>
      <c r="DJ123" s="12">
        <f t="shared" si="172"/>
        <v>0</v>
      </c>
      <c r="DK123" s="9">
        <f t="shared" si="173"/>
        <v>0</v>
      </c>
      <c r="DL123" s="39">
        <f>IF(Исходн.данные.!AM123&gt;0,Исходн.данные.!AM123,IF(EG123&gt;0,$BH$10,0))</f>
        <v>0</v>
      </c>
      <c r="DM123" s="186">
        <f>IF($DL123=0,0,IF(Исходн.данные.!AM123&gt;0,VLOOKUP($DL123,АшламаДВ_Irekle,2,FALSE),VLOOKUP($DL123,АшламаДВ_Gomumy,2,FALSE)))</f>
        <v>0</v>
      </c>
      <c r="DN123" s="10">
        <f t="shared" si="151"/>
        <v>0</v>
      </c>
      <c r="DO123" s="9" t="str">
        <f>IF(Исходн.данные.!AN123&gt;0,Исходн.данные.!AN123,Удобрения!$B$37 )</f>
        <v>Хлор.калий</v>
      </c>
      <c r="DP123" s="9">
        <f>IF(Исходн.данные.!AN123&gt;0,VLOOKUP(Исходн.данные.!AN123,АшламаДВ_Irekle,4,FALSE),VLOOKUP(DO123,АшламаДВ_Gomumy,4,FALSE))</f>
        <v>0.6</v>
      </c>
      <c r="DQ123" s="10">
        <f t="shared" si="152"/>
        <v>0</v>
      </c>
      <c r="DR123" s="132" t="str">
        <f>IF(Исходн.данные.!AO123&gt;0,Исходн.данные.!AO123,IF(DH123=0,BS$17,IF(AND($DK123=0,$DJ123&gt;0),EJ123,EN123)))</f>
        <v>Нет</v>
      </c>
      <c r="DS123" s="70" t="str">
        <f>IF($DR123="Нет","Нет",IF(Исходн.данные.!$AO123&gt;0,VLOOKUP($DR123,АшламаДВ_Irekle,2,FALSE),VLOOKUP($DR123,АшламаДВ_Gomumy,2,FALSE)))</f>
        <v>Нет</v>
      </c>
      <c r="DT123" s="70" t="str">
        <f>IF($DR123="Нет","Нет",IF(Исходн.данные.!$AO123&gt;0,VLOOKUP($DR123,АшламаДВ_Irekle,3,FALSE),VLOOKUP($DR123,АшламаДВ_Gomumy,3,FALSE)))</f>
        <v>Нет</v>
      </c>
      <c r="DU123" s="70" t="str">
        <f>IF($DR123="Нет","Нет",IF(Исходн.данные.!$AO123&gt;0,VLOOKUP($DR123,АшламаДВ_Irekle,4,FALSE),VLOOKUP($DR123,АшламаДВ_Gomumy,4,FALSE)))</f>
        <v>Нет</v>
      </c>
      <c r="DV123" s="70"/>
      <c r="DW123" s="70"/>
      <c r="DX123" s="70"/>
      <c r="DY123" s="10">
        <f t="shared" si="174"/>
        <v>0</v>
      </c>
      <c r="DZ123" s="10">
        <f t="shared" si="175"/>
        <v>0</v>
      </c>
      <c r="EA123" s="10">
        <f t="shared" si="176"/>
        <v>0</v>
      </c>
      <c r="EB123" s="10">
        <f t="shared" si="177"/>
        <v>0</v>
      </c>
      <c r="EC123" s="10">
        <f t="shared" si="178"/>
        <v>0</v>
      </c>
      <c r="ED123" s="10">
        <f t="shared" si="179"/>
        <v>0</v>
      </c>
      <c r="EE123" s="10">
        <f t="shared" si="180"/>
        <v>0</v>
      </c>
      <c r="EF123" s="39">
        <f>EB123*Исходн.данные.!AJ123/1000</f>
        <v>0</v>
      </c>
      <c r="EG123" s="9">
        <f t="shared" si="181"/>
        <v>0</v>
      </c>
      <c r="EH123" s="9">
        <f t="shared" si="182"/>
        <v>0</v>
      </c>
      <c r="EI123" s="39" t="e">
        <f t="shared" si="132"/>
        <v>#DIV/0!</v>
      </c>
      <c r="EJ123" s="9" t="str">
        <f t="shared" si="153"/>
        <v>Азопреципитат</v>
      </c>
      <c r="EK123" s="12">
        <f t="shared" si="133"/>
        <v>0.26</v>
      </c>
      <c r="EL123" s="12">
        <f t="shared" si="134"/>
        <v>0.13</v>
      </c>
      <c r="EM123" s="12">
        <f t="shared" si="135"/>
        <v>0</v>
      </c>
      <c r="EN123" s="12" t="str">
        <f t="shared" si="154"/>
        <v>Нет</v>
      </c>
      <c r="EO123" s="12">
        <f t="shared" si="136"/>
        <v>0</v>
      </c>
      <c r="EP123" s="12">
        <f t="shared" si="137"/>
        <v>0</v>
      </c>
      <c r="EQ123" s="12">
        <f t="shared" si="138"/>
        <v>0</v>
      </c>
      <c r="ER123" s="12" t="str">
        <f t="shared" si="183"/>
        <v>Диаммофоска</v>
      </c>
      <c r="ES123" s="12">
        <f t="shared" si="139"/>
        <v>0.1</v>
      </c>
      <c r="ET123" s="12">
        <f t="shared" si="140"/>
        <v>0.26</v>
      </c>
      <c r="EU123" s="12">
        <f t="shared" si="141"/>
        <v>0.26</v>
      </c>
      <c r="EV123" s="12" t="str">
        <f t="shared" si="184"/>
        <v>Аммофос 12:52:00</v>
      </c>
      <c r="EW123" s="12" t="str">
        <f t="shared" si="185"/>
        <v>Кемира Свекловичное-6</v>
      </c>
      <c r="EX123" s="12">
        <f t="shared" si="142"/>
        <v>0.16</v>
      </c>
      <c r="EY123" s="12">
        <f t="shared" si="143"/>
        <v>0.12</v>
      </c>
      <c r="EZ123" s="12">
        <f t="shared" si="144"/>
        <v>0.17</v>
      </c>
      <c r="FA123" s="38" t="e">
        <f>IF(AND(OR(FJ123=$FD$1,FM123=$FD$1,FO123=$FD$1,FQ123=$FD$1,FS123=$FD$1),FD123=$FD$1,Исходн.данные.!J123&lt;2,FU123=$FD$1),"Бор,Кобальт",IF(AND(FO123=$FD$1,FH123=$FD$1,Исходн.данные.!J123&lt;2,FU123=$FD$1),"Бор,Кобальт",IF(AND(OR(FJ123=$FD$1,FM123=$FD$1,FQ123=$FD$1),FE123=$FD$1,Исходн.данные.!J123&lt;2,FT123=$FD$1,FU123=$FD$1),"Бор,Медь,Цинк",IF(AND(OR(FJ123=$FD$1,FR123="Да"),FI123="Да",Исходн.данные.!J123&lt;2,FT123="Да",FU123="Да"),"Бор,Цинк,Медь",IF(AND(OR(FM123="Да",FQ123="Да"),FI123="Да",Исходн.данные.!J123&lt;2,FT123="Да",FU123="Да"),"Бор,Цинк",IF(AND(FN123="Да",OR(FD123="Да",FE123="Да")),"Бор",FB123))))))</f>
        <v>#N/A</v>
      </c>
      <c r="FB123" s="134" t="e">
        <f>IF(AND(OR(FD123="Да",FE123="Да",FF123="Да",FG123="Да",FH123="Да"),FO123="Да"),"Бор",IF(AND(FP123="Да",OR(FD123="Да",FE123="Да",FI123="Да")),"Бор",IF(AND(FS123="Да",FE123="Да"),"Бор,Медь",IF(AND(OR(FJ123="Да",FK123="Да",FL123="Да"),FE123="Да",Исходн.данные.!I123&lt;5,FT123="Да",FU123="Да"),"Молибден,Цинк",IF(AND(FM123="Да",OR(FE123="Да",FF123="Да",FG123="Да",FH123="Да",FI123="Да")),"Молибден,Цинк",IF(AND(OR(FJ123="Да",FK123="Да",FL123="Да",FM123="Да",FQ123="Да"),OR(FE123="Да",FF123="Да"),FT123="Да",FU123="Да",Исходн.данные.!I123&gt;5.5),"Медь,Цинк",FC123))))))</f>
        <v>#N/A</v>
      </c>
      <c r="FC123" s="23" t="e">
        <f t="shared" si="186"/>
        <v>#N/A</v>
      </c>
      <c r="FD123" s="38" t="str">
        <f>IF(OR(Исходн.данные.!F123=$CC$1,Исходн.данные.!F123=$CC$2,Исходн.данные.!F123=$CC$3,Исходн.данные.!F123=$CC$4),"Да","Нет")</f>
        <v>Нет</v>
      </c>
      <c r="FE123" s="38" t="str">
        <f>IF(Исходн.данные.!F123=$CC$5,"Да","Нет")</f>
        <v>Нет</v>
      </c>
      <c r="FF123" s="38" t="str">
        <f>IF(OR(Исходн.данные.!F123=$CC$6,Исходн.данные.!F123=$CC$7),"Да","Нет")</f>
        <v>Нет</v>
      </c>
      <c r="FG123" s="38" t="str">
        <f>IF(OR(Исходн.данные.!F123=$CC$8,Исходн.данные.!F123=$CC$9),"Да","Нет")</f>
        <v>Нет</v>
      </c>
      <c r="FH123" s="38" t="str">
        <f>IF(Исходн.данные.!F123=$CC$10,"Да","Нет")</f>
        <v>Нет</v>
      </c>
      <c r="FI123" s="38" t="str">
        <f>IF(OR(Исходн.данные.!F123=$CC$11,Исходн.данные.!F123=$CC$12),"Да","Нет")</f>
        <v>Нет</v>
      </c>
      <c r="FJ123" s="38" t="str">
        <f>IF(OR(Исходн.данные.!AH123=$BS$1,Исходн.данные.!AH123=$BQ$11,Исходн.данные.!AH123=$BQ$12),"Да","Нет")</f>
        <v>Нет</v>
      </c>
      <c r="FK123" s="38" t="str">
        <f>IF(OR(Исходн.данные.!AH123=$BS$2,Исходн.данные.!AH123=$BS$4),"Да","Нет")</f>
        <v>Нет</v>
      </c>
      <c r="FL123" s="38" t="str">
        <f>IF(OR(Исходн.данные.!AH123=$BS$3,Исходн.данные.!AH123=$BS$5),"Да","Нет")</f>
        <v>Нет</v>
      </c>
      <c r="FM123" s="38" t="str">
        <f>IF(OR(Исходн.данные.!AH123=$BS$9,Исходн.данные.!AH123=$BS$10,Исходн.данные.!AH123=$BS$11,Исходн.данные.!AH123=$BS$12),"Да","Нет")</f>
        <v>Нет</v>
      </c>
      <c r="FN123" s="38" t="str">
        <f>IF(OR(Исходн.данные.!AH123=$BS$6,Исходн.данные.!AH123=$BP$3),"Да","Нет")</f>
        <v>Нет</v>
      </c>
      <c r="FO123" s="38" t="str">
        <f>IF(Исходн.данные.!AH123=$BQ$9,"Да","Нет")</f>
        <v>Нет</v>
      </c>
      <c r="FP123" s="38" t="str">
        <f>IF(OR(Исходн.данные.!AH123=$BS$8,Исходн.данные.!AH123=$BT$8),"Да","Нет")</f>
        <v>Нет</v>
      </c>
      <c r="FQ123" s="38" t="str">
        <f>IF(OR(Исходн.данные.!AH123=$BQ$7,Исходн.данные.!AH123=$BQ$8),"Да","Нет")</f>
        <v>Нет</v>
      </c>
      <c r="FR123" s="38" t="str">
        <f>IF(Исходн.данные.!AI123=$BU$9,"Да","Нет")</f>
        <v>Нет</v>
      </c>
      <c r="FS123" s="38" t="str">
        <f>IF(OR(Исходн.данные.!AH123=$BP$1,Исходн.данные.!AH123=$BP$2),"Да","Нет")</f>
        <v>Нет</v>
      </c>
      <c r="FT123" s="38" t="e">
        <f>IF((Исходн.данные.!K123*GO123*GS123*GW123+BL123*0.6+Исходн.данные.!Q123*4.5*0.275)&gt;90,"Да","Нет")</f>
        <v>#N/A</v>
      </c>
      <c r="FU123" s="38" t="e">
        <f>IF((Исходн.данные.!M123*GS123*GZ123+BM123*0.225)&gt;35,"Да","Нет")</f>
        <v>#N/A</v>
      </c>
      <c r="FV123" s="38" t="str">
        <f>IF(Исходн.данные.!O123&gt;175,"Да","Нет")</f>
        <v>Нет</v>
      </c>
      <c r="FW123" s="39" t="str">
        <f>IF(Исходн.данные.!I123&gt;5.5,"Да","Нет")</f>
        <v>Нет</v>
      </c>
      <c r="FX123" s="39" t="str">
        <f>IF(Исходн.данные.!J123&lt;2,"Да","Нет")</f>
        <v>Да</v>
      </c>
      <c r="FY123" s="39" t="e">
        <f>IF(HF123=$FY$16,0,Исходн.данные.!K123*GO123*GS123*GW123/HF123)</f>
        <v>#N/A</v>
      </c>
      <c r="FZ123" s="39" t="e">
        <f>Исходн.данные.!M123*GS123*GZ123/HG123</f>
        <v>#N/A</v>
      </c>
      <c r="GA123" s="39" t="e">
        <f>IF(K_Wyn=$FY$16,0,IF(Исходн.данные.!N123=Исходн.данные.!$L$10,Исходн.данные.!O123/1.1*GS123*HC123/HH123,IF(Исходн.данные.!N123=Исходн.данные.!$L$12,Исходн.данные.!O123/1.5*GS123*HC123/HH123,Исходн.данные.!O123*GS123*HC123/HH123)))</f>
        <v>#N/A</v>
      </c>
      <c r="GB123" s="39" t="e">
        <f>IF(HF123=$FY$16,0,((Исходн.данные.!Q123*N_Org+Исходн.данные.!R123*N_Sider+Исходн.данные.!S123*N_Soloma)*AO123+Расчет!BC123*VLOOKUP(Исходн.данные.!T123,Справ!$A$3:$O$57,15)*AO123+BB123*VLOOKUP(Исходн.данные.!T123,Справ!$A$3:$O$57,15)*AL123+(Исходн.данные.!V123*N_Rizotorf+Исходн.данные.!W123*N_Rizoagr))/HF123)</f>
        <v>#N/A</v>
      </c>
      <c r="GC123" s="39" t="e">
        <f>IF(HG123=$FY$16,0,((Исходн.данные.!Q123*Р_Org+Исходн.данные.!R123*P_Sider+Исходн.данные.!S123*P_Soloma)*AP123+Расчет!BC123*VLOOKUP(Исходн.данные.!T123,Справ!$A$3:$P$57,16)*AP123+BB123*VLOOKUP(Исходн.данные.!T123,Справ!$A$3:$P$57,16)*AM123)/HG123)</f>
        <v>#N/A</v>
      </c>
      <c r="GD123" s="39" t="e">
        <f>IF(HH123=$FY$16,0,((Исходн.данные.!Q123*К_Org+Исходн.данные.!R123*K_Sider+Исходн.данные.!S123*K_Soloma)*AQ123+Расчет!BC123*VLOOKUP(Исходн.данные.!T123,Справ!$A$3:$Q$57,17)*AQ123+BB123*VLOOKUP(Исходн.данные.!T123,Справ!$A$3:$Q$57,17)*AN123)/HH123)</f>
        <v>#N/A</v>
      </c>
      <c r="GE123" s="39" t="e">
        <f>IF(HF123=$FY$16,0,(Исходн.данные.!X123*AR123+Исходн.данные.!AA123*N_Org*AL123+Исходн.данные.!AB123*N_Sider*AL123+Исходн.данные.!AC123*N_Soloma*AL123)/HF123)</f>
        <v>#N/A</v>
      </c>
      <c r="GF123" s="39" t="e">
        <f>IF(HG123=$FY$16,0,(Исходн.данные.!Y123*AS123+Исходн.данные.!AA123*Р_Org*AM123+Исходн.данные.!AB123*P_Sider*AM123+Исходн.данные.!AC123*P_Soloma*AM123)/HG123)</f>
        <v>#N/A</v>
      </c>
      <c r="GG123" s="39" t="e">
        <f>IF(HH123=$FY$16,0,(Исходн.данные.!Z123*AT123+Исходн.данные.!AA123*К_Org*AN123+Исходн.данные.!AB123*K_Sider*AN123+Исходн.данные.!AC123*K_Soloma*AN123)/HH123)</f>
        <v>#N/A</v>
      </c>
      <c r="GH123" s="39" t="e">
        <f>Исходн.данные.!AD123*AU123/HF123</f>
        <v>#N/A</v>
      </c>
      <c r="GI123" s="39" t="e">
        <f>Исходн.данные.!AE123*AV123/HG123</f>
        <v>#N/A</v>
      </c>
      <c r="GJ123" s="39" t="e">
        <f>Исходн.данные.!AF123*AW123/HH123</f>
        <v>#N/A</v>
      </c>
      <c r="GK123" s="55">
        <f>Исходн.данные.!AK123</f>
        <v>0</v>
      </c>
      <c r="GL123" s="11" t="e">
        <f t="shared" si="187"/>
        <v>#N/A</v>
      </c>
      <c r="GM123" s="11" t="e">
        <f t="shared" si="188"/>
        <v>#N/A</v>
      </c>
      <c r="GN123" s="11" t="e">
        <f t="shared" si="189"/>
        <v>#N/A</v>
      </c>
      <c r="GO123" s="57">
        <f t="shared" si="190"/>
        <v>19</v>
      </c>
      <c r="GP123" s="55">
        <f>IF(OR(Исходн.данные.!F123=$CE$1,Исходн.данные.!F123=$CE$2,Исходн.данные.!F123=$CE$3,Исходн.данные.!F123=$CE$4,Исходн.данные.!F123=$CE$5),GQ123,GR123)</f>
        <v>19</v>
      </c>
      <c r="GQ123" s="55">
        <f>IF(Исходн.данные.!F123=$CE$1,28,IF(Исходн.данные.!F123=$CE$2,26,IF(Исходн.данные.!F123=$CE$3,24,IF(Исходн.данные.!F123=$CE$4,22,IF(Исходн.данные.!F123=$CE$5,20,GR123)))))</f>
        <v>19</v>
      </c>
      <c r="GR123" s="55">
        <f>IF(Исходн.данные.!F123=$CE$6,18,IF(Исходн.данные.!F123=$CE$7,16,IF(Исходн.данные.!F123=$CE$8,14,IF(Исходн.данные.!F123=$CE$9,13,IF(Исходн.данные.!F123=$CE$10,12,19)))))</f>
        <v>19</v>
      </c>
      <c r="GS123" s="55">
        <f>IF(Исходн.данные.!G123="Пес",0.035*(40+2*Исходн.данные.!H123),IF(Исходн.данные.!G123="Суп",0.0325*(40+2*Исходн.данные.!H123),0.03*(40+2*Исходн.данные.!H123)))</f>
        <v>1.2</v>
      </c>
      <c r="GT123" s="55">
        <f>IF(Исходн.данные.!H123&lt;23,2.6,IF(AND(Исходн.данные.!H123&gt;22,Исходн.данные.!H123&lt;26),3,IF(AND(Исходн.данные.!H123&gt;25,Исходн.данные.!H123&lt;29),3.4,3.6)))</f>
        <v>2.6</v>
      </c>
      <c r="GU123" s="55">
        <f>IF(Исходн.данные.!H123&lt;23,2.8,IF(AND(Исходн.данные.!H123&gt;22,Исходн.данные.!H123&lt;26),3.2,IF(AND(Исходн.данные.!H123&gt;25,Исходн.данные.!H123&lt;29),3.6,3.9)))</f>
        <v>2.8</v>
      </c>
      <c r="GV123" s="55">
        <f>IF(Исходн.данные.!H123&lt;23,3,IF(AND(Исходн.данные.!H123&gt;22,Исходн.данные.!H123&lt;26),3.5,IF(AND(Исходн.данные.!H123&gt;25,Исходн.данные.!H123&lt;29),3.9,4.2)))</f>
        <v>3</v>
      </c>
      <c r="GW123" s="55" t="e">
        <f>IF(Исходн.данные.!P123="Ум",GX123,GY123)</f>
        <v>#N/A</v>
      </c>
      <c r="GX123" s="55" t="e">
        <f>VLOOKUP(Исходн.данные.!AI123,Коэффициенты!$J$7:$L$13,2,FALSE)</f>
        <v>#N/A</v>
      </c>
      <c r="GY123" s="55" t="e">
        <f>VLOOKUP(Исходн.данные.!AI123,Коэффициенты!$J$7:$L$13,3,FALSE)</f>
        <v>#N/A</v>
      </c>
      <c r="GZ123" s="55" t="e">
        <f>(IF(Исходн.данные.!M123&lt;50,0.11*VLOOKUP(Исходн.данные.!AH123,Культуры.Информация,7,FALSE),IF(Исходн.данные.!M123&gt;250,0.05*VLOOKUP(Исходн.данные.!AH123,Культуры.Информация,7,FALSE),VLOOKUP(Исходн.данные.!AH123,Культуры.Информация,5,FALSE)/100*($GX$6+$GY$6*Исходн.данные.!M123))))*Расчет2!AI123</f>
        <v>#N/A</v>
      </c>
      <c r="HA123" s="211"/>
      <c r="HB123" s="211"/>
      <c r="HC123" s="55" t="e">
        <f>(IF(Исходн.данные.!O123&lt;80,0.2*VLOOKUP(Исходн.данные.!AH123,Культуры.Информация,8,FALSE),IF(Исходн.данные.!O123&gt;240,0.09*VLOOKUP(Исходн.данные.!AH123,Культуры.Информация,8,FALSE),VLOOKUP(Исходн.данные.!AH123,Культуры.Информация,6,FALSE)/100*($HB$6+$HC$6*Исходн.данные.!O123))))*Расчет2!AJ123</f>
        <v>#N/A</v>
      </c>
      <c r="HD123" s="55">
        <f>IF(Исходн.данные.!O123&gt;240,0.09,IF(Исходн.данные.!O123&lt;30,0.3,$HE$10+$HD$10*Исходн.данные.!O123))</f>
        <v>0.3</v>
      </c>
      <c r="HE123" s="55">
        <f>IF(Исходн.данные.!O123&gt;240,0.17,IF(Исходн.данные.!O123&lt;30,0.5,$HF$12+$HE$12*Исходн.данные.!O123))</f>
        <v>0.5</v>
      </c>
      <c r="HF123" s="55" t="e">
        <f>VLOOKUP(Исходн.данные.!AH123,Справ!$A$3:$D$58,2,FALSE)</f>
        <v>#N/A</v>
      </c>
      <c r="HG123" s="55" t="e">
        <f>VLOOKUP(Исходн.данные.!AH123,Справ!$A$3:$D$58,3,FALSE)</f>
        <v>#N/A</v>
      </c>
      <c r="HH123" s="55" t="e">
        <f>VLOOKUP(Исходн.данные.!AH123,Справ!$A$3:$D$58,4,FALSE)</f>
        <v>#N/A</v>
      </c>
      <c r="HI123" s="11" t="e">
        <f t="shared" si="191"/>
        <v>#N/A</v>
      </c>
      <c r="HJ123" s="11" t="e">
        <f t="shared" si="192"/>
        <v>#N/A</v>
      </c>
      <c r="HK123" s="11" t="e">
        <f t="shared" si="193"/>
        <v>#N/A</v>
      </c>
      <c r="HL123" s="55">
        <f>IF(OR(Исходн.данные.!G123="Глин",Исходн.данные.!G123="Т_суг"),1.1,IF(Исходн.данные.!G123="Ср_суг",1,1))</f>
        <v>1</v>
      </c>
      <c r="HM123" s="55">
        <f>IF(OR(Исходн.данные.!G123="Глин",Исходн.данные.!G123="Т_суг"),0.9,IF(Исходн.данные.!G123="Ср_суг",1,1.2))</f>
        <v>1.2</v>
      </c>
      <c r="HN123" s="11" t="e">
        <f t="shared" si="194"/>
        <v>#N/A</v>
      </c>
      <c r="HO123" s="11" t="e">
        <f t="shared" si="195"/>
        <v>#N/A</v>
      </c>
      <c r="HP123" s="11" t="e">
        <f t="shared" si="196"/>
        <v>#N/A</v>
      </c>
      <c r="HQ123" t="e">
        <f t="shared" si="197"/>
        <v>#N/A</v>
      </c>
      <c r="HR123" t="e">
        <f t="shared" si="198"/>
        <v>#N/A</v>
      </c>
      <c r="HS123" t="e">
        <f t="shared" si="199"/>
        <v>#N/A</v>
      </c>
      <c r="HT123" t="e">
        <f t="shared" si="145"/>
        <v>#N/A</v>
      </c>
      <c r="HU123" t="e">
        <f t="shared" si="146"/>
        <v>#N/A</v>
      </c>
      <c r="HV123" t="e">
        <f t="shared" si="147"/>
        <v>#N/A</v>
      </c>
      <c r="HW123" t="e">
        <f t="shared" si="148"/>
        <v>#N/A</v>
      </c>
      <c r="HX123" t="e">
        <f t="shared" si="149"/>
        <v>#N/A</v>
      </c>
      <c r="HY123" t="e">
        <f t="shared" si="150"/>
        <v>#N/A</v>
      </c>
      <c r="HZ123" s="55">
        <f>IF(OR(Исходн.данные.!AI123="Оз_Ч_П",Исходн.данные.!AI123="Оз_З_П",Исходн.данные.!AI123="Яр_зер"),12,30)</f>
        <v>30</v>
      </c>
      <c r="IA123" t="e">
        <f t="shared" si="200"/>
        <v>#N/A</v>
      </c>
      <c r="IB123" t="e">
        <f t="shared" si="201"/>
        <v>#N/A</v>
      </c>
      <c r="IC123" t="e">
        <f t="shared" si="202"/>
        <v>#N/A</v>
      </c>
      <c r="ID123" s="11" t="e">
        <f t="shared" si="203"/>
        <v>#N/A</v>
      </c>
      <c r="IE123" s="11" t="e">
        <f t="shared" si="204"/>
        <v>#N/A</v>
      </c>
      <c r="IF123" s="11" t="e">
        <f t="shared" si="205"/>
        <v>#N/A</v>
      </c>
    </row>
    <row r="124" spans="35:240" x14ac:dyDescent="0.2">
      <c r="AI124">
        <f>IF(Исходн.данные.!I124&gt;6,1,1.85-(0.148*Исходн.данные.!I124))</f>
        <v>1.85</v>
      </c>
      <c r="AJ124">
        <f>IF(Исходн.данные.!I124&gt;6,1,2.434-(0.246*Исходн.данные.!I124))</f>
        <v>2.4340000000000002</v>
      </c>
      <c r="AL124" s="148" t="b">
        <f>IF(Исходн.данные.!$P124="Ум",N_OrgUd_2g_um,IF(Исходн.данные.!$P124="Об",N_OrgUd_2g_ob))</f>
        <v>0</v>
      </c>
      <c r="AM124" s="148" t="b">
        <f>IF(Исходн.данные.!$P124="Ум",P_OrgUd_2g_um,IF(Исходн.данные.!$P124="Об",P_OrgUd_2g_ob))</f>
        <v>0</v>
      </c>
      <c r="AN124" s="148" t="b">
        <f>IF(Исходн.данные.!$P124="Ум",K_OrgUd_2g_um,IF(Исходн.данные.!$P124="Об",K_OrgUd_2g_ob))</f>
        <v>0</v>
      </c>
      <c r="AO124" s="148" t="b">
        <f>IF(Исходн.данные.!$P124="Ум",N_OrgUd_1g_um,IF(Исходн.данные.!$P124="Об",N_OrgUd_1g_ob))</f>
        <v>0</v>
      </c>
      <c r="AP124" s="148" t="b">
        <f>IF(Исходн.данные.!$P124="Ум",P_OrgUd_1g_um,IF(Исходн.данные.!$P124="Об",P_OrgUd_1g_ob))</f>
        <v>0</v>
      </c>
      <c r="AQ124" s="148" t="b">
        <f>IF(Исходн.данные.!$P124="Ум",K_OrgUd_1g_um,IF(Исходн.данные.!$P124="Об",K_OrgUd_1g_ob))</f>
        <v>0</v>
      </c>
      <c r="AR124" t="b">
        <f>IF(Исходн.данные.!$P124="Ум",N_MinUd_2g_um,IF(Исходн.данные.!$P124="Об",N_MinUd_2g_ob))</f>
        <v>0</v>
      </c>
      <c r="AS124" t="b">
        <f>IF(Исходн.данные.!$P124="Ум",P_MinUd_2g_um,IF(Исходн.данные.!$P124="Об",P_MinUd_2g_ob))</f>
        <v>0</v>
      </c>
      <c r="AT124" t="b">
        <f>IF(Исходн.данные.!$P124="Ум",K_MinUd_2g_um,IF(Исходн.данные.!$P124="Об",K_MinUd_2g_ob))</f>
        <v>0</v>
      </c>
      <c r="AU124" t="b">
        <f>IF(Исходн.данные.!$P124="Ум",N_MinUd_1g_um,IF(Исходн.данные.!$P124="Об",N_MinUd_1g_ob))</f>
        <v>0</v>
      </c>
      <c r="AV124" t="b">
        <f>IF(Исходн.данные.!P124="Ум",P_MinUd_1g_um,IF(Исходн.данные.!P124="Об",P_MinUd_1g_ob))</f>
        <v>0</v>
      </c>
      <c r="AW124" t="b">
        <f>IF(Исходн.данные.!P124="Ум",K_MinUd_1g_um,IF(Исходн.данные.!P124="Об",K_MinUd_1g_ob))</f>
        <v>0</v>
      </c>
      <c r="AY124" t="e">
        <f>VLOOKUP(Исходн.данные.!T124,Справ!$A$3:$N$57,12)</f>
        <v>#N/A</v>
      </c>
      <c r="AZ124" t="e">
        <f>VLOOKUP(Исходн.данные.!T124,Справ!$A$3:$N$57,13)</f>
        <v>#N/A</v>
      </c>
      <c r="BA124" t="e">
        <f>VLOOKUP(Исходн.данные.!T124,Справ!$A$3:$N$57,14)</f>
        <v>#N/A</v>
      </c>
      <c r="BB124">
        <f>IF(Исходн.данные.!AH124=0,0,25)</f>
        <v>0</v>
      </c>
      <c r="BC124" s="141">
        <f>IF(Исходн.данные.!AH124=0,0,IF(Исходн.данные.!T124=0,25,BD124))</f>
        <v>0</v>
      </c>
      <c r="BD124" s="168" t="e">
        <f>AY124+AZ124*Исходн.данные.!U124-POWER(BA124,2)*Исходн.данные.!U124</f>
        <v>#N/A</v>
      </c>
      <c r="BE12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4" s="25">
        <f>IF(Исходн.данные.!AH124=0,0,MIN(HN124:HP124))</f>
        <v>0</v>
      </c>
      <c r="BG124" s="9">
        <f>IF(Исходн.данные.!AH124=0,0,IF((HO124+10*0.25/HG124/HL124)&lt;17,17,HO124+10*0.25/HG124/HL124))</f>
        <v>0</v>
      </c>
      <c r="BH124" s="181">
        <f>IF(Исходн.данные.!AH124=0,0,HW124*HF124*HL124/AU124*AI124+Исходн.данные.!S124*10)</f>
        <v>0</v>
      </c>
      <c r="BI124" s="10"/>
      <c r="BJ124" s="182">
        <f>IF(Исходн.данные.!AH124=0,0,IF(HX124*HG124*HL124/AV124&lt;0,0,HX124*HG124*HL124/AV124*AJ124))</f>
        <v>0</v>
      </c>
      <c r="BK124" s="182">
        <f>IF(Исходн.данные.!AH124=0,0,HY124*HH124*HM124/AW124)</f>
        <v>0</v>
      </c>
      <c r="BL124" s="10">
        <f>IF(OR(Исходн.данные.!$AH124=$BP$1,Исходн.данные.!$AH124=$BP$2),0,IF(BH124&lt;0,0,IF(OR(Исходн.данные.!T124=Расчет!$BP$1,Исходн.данные.!T124=Расчет!$BP$2,Исходн.данные.!T124=Расчет!$BT$5,Исходн.данные.!T124=Расчет!$BT$6),BH124*0.5,IF(OR(Исходн.данные.!T124=Расчет!$BS$9,Исходн.данные.!T124=Расчет!$BS$10,Исходн.данные.!T124=Расчет!$BS$11,Исходн.данные.!T124=Расчет!$BS$12,Исходн.данные.!T124=Расчет!$BP$5),BH124*0.8,BH124))))</f>
        <v>0</v>
      </c>
      <c r="BM124" s="10">
        <f>IF(OR(Исходн.данные.!$AH124=$BP$1,Исходн.данные.!$AH124=$BP$2),0,IF(BJ124&lt;0,0,IF(Исходн.данные.!I124&lt;4.5,BJ124*1.2,IF(Исходн.данные.!I124&gt;5.1,BJ124,BJ124*((5.1-Исходн.данные.!I124)*0.333+1)))))</f>
        <v>0</v>
      </c>
      <c r="BN124" s="10">
        <f>IF(OR(Исходн.данные.!$AH124=$BP$1,Исходн.данные.!$AH124=$BP$2),60-Исходн.данные.!AF124,IF(BK124&lt;0,0,IF(Исходн.данные.!I124&lt;4.5,BK124*1.2,IF(Исходн.данные.!I124&gt;5.1,BK124,BK124*((5.1-Исходн.данные.!I124)*0.333+1)))))</f>
        <v>0</v>
      </c>
      <c r="BO124" s="9">
        <f>IF(BL124&lt;0,0,BL124*Исходн.данные.!$AJ124/1000)</f>
        <v>0</v>
      </c>
      <c r="BP124" s="9">
        <f>IF(BM124&lt;0,0,BM124*Исходн.данные.!$AJ124/1000)</f>
        <v>0</v>
      </c>
      <c r="BQ124" s="9">
        <f>IF(BN124&lt;0,0,BN124*Исходн.данные.!$AJ124/1000)</f>
        <v>0</v>
      </c>
      <c r="BR124" s="9">
        <f t="shared" si="155"/>
        <v>0</v>
      </c>
      <c r="BS124" s="10" t="str">
        <f t="shared" si="156"/>
        <v>Аммофос 12:52:00</v>
      </c>
      <c r="BT124" s="10" t="str">
        <f t="shared" si="157"/>
        <v>Аммофос 12:52:00</v>
      </c>
      <c r="BU124" s="10" t="str">
        <f t="shared" si="158"/>
        <v>Диаммофоска</v>
      </c>
      <c r="BV124" s="10">
        <f t="shared" si="159"/>
        <v>0</v>
      </c>
      <c r="BW124" s="10"/>
      <c r="BX124" s="10"/>
      <c r="BY124" s="9">
        <f>IF(BL124&lt;0,0,IF(OR(Исходн.данные.!AI124=Расчет!$BU$6,Исходн.данные.!AI124=Расчет!$BU$7),Расчет!BV124,IF(Исходн.данные.!$AG124=$BV$11,BL124,IF(OR(Исходн.данные.!$AH124=$BQ$7,Исходн.данные.!$AH124=$BQ$8),CB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0,IF(Исходн.данные.!$AI124=$BU$11,"Нет",IF(BL124&gt;30,30,BL124)))))))</f>
        <v>0</v>
      </c>
      <c r="BZ124" s="9">
        <f>IF(AND(Исходн.данные.!$AG124=$BV$11,BM124&lt;10),10,IF(Исходн.данные.!$AG124=$BV$11,BM124,IF(OR(Исходн.данные.!$AH124=$BQ$7,Исходн.данные.!$AH124=$BQ$8),CC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10,IF(Исходн.данные.!$AI124=$BU$11,"Нет",IF(BM124&gt;60,60,IF(BM124&lt;10,10,BM124)))))))</f>
        <v>10</v>
      </c>
      <c r="CA124" s="39">
        <f>IF(BN124&lt;0,0,IF(Исходн.данные.!$AG124=$BV$11,BN124,IF(OR(Исходн.данные.!$AH124=$BQ$7,Исходн.данные.!$AH124=$BQ$8),CD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0,IF(Исходн.данные.!$AI124=$BU$11,"Нет",IF(BN124&gt;30,30,BN124))))))</f>
        <v>0</v>
      </c>
      <c r="CB124" s="9">
        <f t="shared" si="160"/>
        <v>0</v>
      </c>
      <c r="CC124" s="9">
        <f t="shared" si="161"/>
        <v>0</v>
      </c>
      <c r="CD124" s="9">
        <f t="shared" si="162"/>
        <v>0</v>
      </c>
      <c r="CE124" s="12">
        <f t="shared" si="163"/>
        <v>10</v>
      </c>
      <c r="CF124" s="9">
        <f t="shared" si="164"/>
        <v>0</v>
      </c>
      <c r="CG124" s="9" t="s">
        <v>231</v>
      </c>
      <c r="CH124" s="132" t="str">
        <f>IF(Исходн.данные.!AP124=Расчет!$CI$16,"Нет",IF(Исходн.данные.!AL124&gt;0,Исходн.данные.!AL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BH$4,IF(OR(Исходн.данные.!AI124=Исходн.данные.!$AI$6,Исходн.данные.!AI124=Исходн.данные.!$AI$7),Расчет!BS124,IF(AND($CF124=0,$CE124&gt;0),EV124,ER124)))))</f>
        <v>Аммофос 12:52:00</v>
      </c>
      <c r="CI124" s="274">
        <f>IF(Расчет!$CH124="Нет","Нет",IF(Исходн.данные.!$AL124&gt;0,VLOOKUP(Расчет!$CH124,АшламаДВ_Irekle,2,FALSE),VLOOKUP(Расчет!$CH124,АшламаДВ_Gomumy,2,FALSE)))</f>
        <v>0.12</v>
      </c>
      <c r="CJ124" s="274">
        <f>IF(Расчет!$CH124="Нет","Нет",IF(Исходн.данные.!$AL124&gt;0,VLOOKUP(Расчет!$CH124,АшламаДВ_Irekle,3,FALSE),VLOOKUP(Расчет!$CH124,АшламаДВ_Gomumy,3,FALSE)))</f>
        <v>0.52</v>
      </c>
      <c r="CK124" s="274">
        <f>IF(Расчет!$CH124="Нет","Нет",IF(Исходн.данные.!$AL124&gt;0,VLOOKUP(Расчет!$CH124,АшламаДВ_Irekle,4,FALSE),VLOOKUP(Расчет!$CH124,АшламаДВ_Gomumy,4,FALSE)))</f>
        <v>0</v>
      </c>
      <c r="CL124" s="70"/>
      <c r="CM124" s="70"/>
      <c r="CN124" s="70"/>
      <c r="CO124" s="70"/>
      <c r="CP124" s="70"/>
      <c r="CQ124" s="70"/>
      <c r="CR124" s="10">
        <f t="shared" si="165"/>
        <v>0</v>
      </c>
      <c r="CS124" s="10">
        <f t="shared" si="166"/>
        <v>19.23076923076923</v>
      </c>
      <c r="CT124" s="10">
        <f t="shared" si="167"/>
        <v>0</v>
      </c>
      <c r="CU124" s="39">
        <f>IF($CH124="Нет",0,IF(CI124=0,30/MIN(CJ124:CK124),IF(Исходн.данные.!$AG124=$BV$11,CR124,IF(OR(Исходн.данные.!$AH124=$BQ$7,Исходн.данные.!$AH124=$BQ$8),90/CI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0,IF(Исходн.данные.!$AI124=$BU$11,"Нет",30/CI124))))))</f>
        <v>250</v>
      </c>
      <c r="CV124" s="39">
        <f>IF($CH124="Нет",0,IF(Исходн.данные.!AH124=0,0,IF(CJ124=0,60/MIN(CI124,CK124),IF(Исходн.данные.!$AG124=$BV$11,CS124,IF(OR(Исходн.данные.!$AH124=$BQ$7,Исходн.данные.!$AH124=$BQ$8),90/CJ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10/CJ124,IF(Исходн.данные.!$AI124=$BU$11,"Нет",60/CJ124)))))))</f>
        <v>0</v>
      </c>
      <c r="CW124" s="39">
        <f>IF($CH124="Нет",0,IF(Исходн.данные.!AH124=0,0,IF(CK124=0,30/MIN(CI124:CJ124),IF(Исходн.данные.!$AG124=$BV$11,CT124,IF(OR(Исходн.данные.!$AH124=$BQ$7,Исходн.данные.!$AH124=$BQ$8),90/CK124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0,IF(Исходн.данные.!$AI124=$BU$11,"Нет",30/CK124)))))))</f>
        <v>0</v>
      </c>
      <c r="CX124" s="133">
        <f>IF(Исходн.данные.!$AG124=$BV$11,MAX(CU124:CW124),IF(OR(Исходн.данные.!$AH124=$BS$8,Исходн.данные.!$AH124=$BQ$9,Исходн.данные.!$AH124=$BQ$10,Исходн.данные.!$AH124=$BQ$11,Исходн.данные.!$AH124=$BQ$12,Исходн.данные.!$AH124=$BP$3,Исходн.данные.!$AH124=$BT$8,$FM124="Да"),CV124,MIN(CU124:CW124)))</f>
        <v>0</v>
      </c>
      <c r="CY124" s="133">
        <f>IF(Исходн.данные.!AH124=0,0,IF(CR124&gt;$CX124,$CX124,CR124))</f>
        <v>0</v>
      </c>
      <c r="CZ124" s="133">
        <f>IF(Исходн.данные.!AH124=0,0,IF(CS124&gt;$CX124,$CX124,CS124))</f>
        <v>0</v>
      </c>
      <c r="DA124" s="133">
        <f>IF(Исходн.данные.!AH124=0,0,IF(CT124&gt;$CX124,$CX124,CT124))</f>
        <v>0</v>
      </c>
      <c r="DB124" s="10">
        <f t="shared" si="168"/>
        <v>0</v>
      </c>
      <c r="DC124" s="39">
        <f>DB124*Исходн.данные.!AJ124/1000</f>
        <v>0</v>
      </c>
      <c r="DD124" s="71">
        <f t="shared" si="169"/>
        <v>0</v>
      </c>
      <c r="DE124" s="9">
        <f t="shared" si="170"/>
        <v>0</v>
      </c>
      <c r="DF124" s="9">
        <f t="shared" si="171"/>
        <v>0</v>
      </c>
      <c r="DG124" s="39">
        <f>IF(BL124&lt;0,0,IF($CH124="Нет",BL124,IF(OR(Исходн.данные.!$AH124=$BP$1,Исходн.данные.!$AH124=$BP$2),0,IF(Исходн.данные.!AI124=$BU$11,BL124,IF(BL124-DD124&lt;0,0,BL124-DD124)))))</f>
        <v>0</v>
      </c>
      <c r="DH124" s="39">
        <f>IF(BM124&lt;0,0,IF($CH124="Нет",BM124,IF(OR(Исходн.данные.!$AH124=$BP$1,Исходн.данные.!$AH124=$BP$2),0,IF(Исходн.данные.!AJ124=$BU$11,BM124,IF(BM124-DE124&lt;0,0,BM124-DE124)))))</f>
        <v>0</v>
      </c>
      <c r="DI124" s="39">
        <f>IF(BN124&lt;0,0,IF($CH124="Нет",BN124,IF(OR(Исходн.данные.!$AH124=$BP$1,Исходн.данные.!$AH124=$BP$2),0,IF(Исходн.данные.!AK124=$BU$11,BN124,IF(BN124-DF124&lt;0,0,BN124-DF124)))))</f>
        <v>0</v>
      </c>
      <c r="DJ124" s="12">
        <f t="shared" si="172"/>
        <v>0</v>
      </c>
      <c r="DK124" s="9">
        <f t="shared" si="173"/>
        <v>0</v>
      </c>
      <c r="DL124" s="39">
        <f>IF(Исходн.данные.!AM124&gt;0,Исходн.данные.!AM124,IF(EG124&gt;0,$BH$10,0))</f>
        <v>0</v>
      </c>
      <c r="DM124" s="186">
        <f>IF($DL124=0,0,IF(Исходн.данные.!AM124&gt;0,VLOOKUP($DL124,АшламаДВ_Irekle,2,FALSE),VLOOKUP($DL124,АшламаДВ_Gomumy,2,FALSE)))</f>
        <v>0</v>
      </c>
      <c r="DN124" s="10">
        <f t="shared" si="151"/>
        <v>0</v>
      </c>
      <c r="DO124" s="9" t="str">
        <f>IF(Исходн.данные.!AN124&gt;0,Исходн.данные.!AN124,Удобрения!$B$37 )</f>
        <v>Хлор.калий</v>
      </c>
      <c r="DP124" s="9">
        <f>IF(Исходн.данные.!AN124&gt;0,VLOOKUP(Исходн.данные.!AN124,АшламаДВ_Irekle,4,FALSE),VLOOKUP(DO124,АшламаДВ_Gomumy,4,FALSE))</f>
        <v>0.6</v>
      </c>
      <c r="DQ124" s="10">
        <f t="shared" si="152"/>
        <v>0</v>
      </c>
      <c r="DR124" s="132" t="str">
        <f>IF(Исходн.данные.!AO124&gt;0,Исходн.данные.!AO124,IF(DH124=0,BS$17,IF(AND($DK124=0,$DJ124&gt;0),EJ124,EN124)))</f>
        <v>Нет</v>
      </c>
      <c r="DS124" s="70" t="str">
        <f>IF($DR124="Нет","Нет",IF(Исходн.данные.!$AO124&gt;0,VLOOKUP($DR124,АшламаДВ_Irekle,2,FALSE),VLOOKUP($DR124,АшламаДВ_Gomumy,2,FALSE)))</f>
        <v>Нет</v>
      </c>
      <c r="DT124" s="70" t="str">
        <f>IF($DR124="Нет","Нет",IF(Исходн.данные.!$AO124&gt;0,VLOOKUP($DR124,АшламаДВ_Irekle,3,FALSE),VLOOKUP($DR124,АшламаДВ_Gomumy,3,FALSE)))</f>
        <v>Нет</v>
      </c>
      <c r="DU124" s="70" t="str">
        <f>IF($DR124="Нет","Нет",IF(Исходн.данные.!$AO124&gt;0,VLOOKUP($DR124,АшламаДВ_Irekle,4,FALSE),VLOOKUP($DR124,АшламаДВ_Gomumy,4,FALSE)))</f>
        <v>Нет</v>
      </c>
      <c r="DV124" s="70"/>
      <c r="DW124" s="70"/>
      <c r="DX124" s="70"/>
      <c r="DY124" s="10">
        <f t="shared" si="174"/>
        <v>0</v>
      </c>
      <c r="DZ124" s="10">
        <f t="shared" si="175"/>
        <v>0</v>
      </c>
      <c r="EA124" s="10">
        <f t="shared" si="176"/>
        <v>0</v>
      </c>
      <c r="EB124" s="10">
        <f t="shared" si="177"/>
        <v>0</v>
      </c>
      <c r="EC124" s="10">
        <f t="shared" si="178"/>
        <v>0</v>
      </c>
      <c r="ED124" s="10">
        <f t="shared" si="179"/>
        <v>0</v>
      </c>
      <c r="EE124" s="10">
        <f t="shared" si="180"/>
        <v>0</v>
      </c>
      <c r="EF124" s="39">
        <f>EB124*Исходн.данные.!AJ124/1000</f>
        <v>0</v>
      </c>
      <c r="EG124" s="9">
        <f t="shared" si="181"/>
        <v>0</v>
      </c>
      <c r="EH124" s="9">
        <f t="shared" si="182"/>
        <v>0</v>
      </c>
      <c r="EI124" s="39" t="e">
        <f t="shared" si="132"/>
        <v>#DIV/0!</v>
      </c>
      <c r="EJ124" s="9" t="str">
        <f t="shared" si="153"/>
        <v>Азопреципитат</v>
      </c>
      <c r="EK124" s="12">
        <f t="shared" si="133"/>
        <v>0.26</v>
      </c>
      <c r="EL124" s="12">
        <f t="shared" si="134"/>
        <v>0.13</v>
      </c>
      <c r="EM124" s="12">
        <f t="shared" si="135"/>
        <v>0</v>
      </c>
      <c r="EN124" s="12" t="str">
        <f t="shared" si="154"/>
        <v>Нет</v>
      </c>
      <c r="EO124" s="12">
        <f t="shared" si="136"/>
        <v>0</v>
      </c>
      <c r="EP124" s="12">
        <f t="shared" si="137"/>
        <v>0</v>
      </c>
      <c r="EQ124" s="12">
        <f t="shared" si="138"/>
        <v>0</v>
      </c>
      <c r="ER124" s="12" t="str">
        <f t="shared" si="183"/>
        <v>Диаммофоска</v>
      </c>
      <c r="ES124" s="12">
        <f t="shared" si="139"/>
        <v>0.1</v>
      </c>
      <c r="ET124" s="12">
        <f t="shared" si="140"/>
        <v>0.26</v>
      </c>
      <c r="EU124" s="12">
        <f t="shared" si="141"/>
        <v>0.26</v>
      </c>
      <c r="EV124" s="12" t="str">
        <f t="shared" si="184"/>
        <v>Аммофос 12:52:00</v>
      </c>
      <c r="EW124" s="12" t="str">
        <f t="shared" si="185"/>
        <v>Кемира Свекловичное-6</v>
      </c>
      <c r="EX124" s="12">
        <f t="shared" si="142"/>
        <v>0.16</v>
      </c>
      <c r="EY124" s="12">
        <f t="shared" si="143"/>
        <v>0.12</v>
      </c>
      <c r="EZ124" s="12">
        <f t="shared" si="144"/>
        <v>0.17</v>
      </c>
      <c r="FA124" s="38" t="e">
        <f>IF(AND(OR(FJ124=$FD$1,FM124=$FD$1,FO124=$FD$1,FQ124=$FD$1,FS124=$FD$1),FD124=$FD$1,Исходн.данные.!J124&lt;2,FU124=$FD$1),"Бор,Кобальт",IF(AND(FO124=$FD$1,FH124=$FD$1,Исходн.данные.!J124&lt;2,FU124=$FD$1),"Бор,Кобальт",IF(AND(OR(FJ124=$FD$1,FM124=$FD$1,FQ124=$FD$1),FE124=$FD$1,Исходн.данные.!J124&lt;2,FT124=$FD$1,FU124=$FD$1),"Бор,Медь,Цинк",IF(AND(OR(FJ124=$FD$1,FR124="Да"),FI124="Да",Исходн.данные.!J124&lt;2,FT124="Да",FU124="Да"),"Бор,Цинк,Медь",IF(AND(OR(FM124="Да",FQ124="Да"),FI124="Да",Исходн.данные.!J124&lt;2,FT124="Да",FU124="Да"),"Бор,Цинк",IF(AND(FN124="Да",OR(FD124="Да",FE124="Да")),"Бор",FB124))))))</f>
        <v>#N/A</v>
      </c>
      <c r="FB124" s="134" t="e">
        <f>IF(AND(OR(FD124="Да",FE124="Да",FF124="Да",FG124="Да",FH124="Да"),FO124="Да"),"Бор",IF(AND(FP124="Да",OR(FD124="Да",FE124="Да",FI124="Да")),"Бор",IF(AND(FS124="Да",FE124="Да"),"Бор,Медь",IF(AND(OR(FJ124="Да",FK124="Да",FL124="Да"),FE124="Да",Исходн.данные.!I124&lt;5,FT124="Да",FU124="Да"),"Молибден,Цинк",IF(AND(FM124="Да",OR(FE124="Да",FF124="Да",FG124="Да",FH124="Да",FI124="Да")),"Молибден,Цинк",IF(AND(OR(FJ124="Да",FK124="Да",FL124="Да",FM124="Да",FQ124="Да"),OR(FE124="Да",FF124="Да"),FT124="Да",FU124="Да",Исходн.данные.!I124&gt;5.5),"Медь,Цинк",FC124))))))</f>
        <v>#N/A</v>
      </c>
      <c r="FC124" s="23" t="e">
        <f t="shared" si="186"/>
        <v>#N/A</v>
      </c>
      <c r="FD124" s="38" t="str">
        <f>IF(OR(Исходн.данные.!F124=$CC$1,Исходн.данные.!F124=$CC$2,Исходн.данные.!F124=$CC$3,Исходн.данные.!F124=$CC$4),"Да","Нет")</f>
        <v>Нет</v>
      </c>
      <c r="FE124" s="38" t="str">
        <f>IF(Исходн.данные.!F124=$CC$5,"Да","Нет")</f>
        <v>Нет</v>
      </c>
      <c r="FF124" s="38" t="str">
        <f>IF(OR(Исходн.данные.!F124=$CC$6,Исходн.данные.!F124=$CC$7),"Да","Нет")</f>
        <v>Нет</v>
      </c>
      <c r="FG124" s="38" t="str">
        <f>IF(OR(Исходн.данные.!F124=$CC$8,Исходн.данные.!F124=$CC$9),"Да","Нет")</f>
        <v>Нет</v>
      </c>
      <c r="FH124" s="38" t="str">
        <f>IF(Исходн.данные.!F124=$CC$10,"Да","Нет")</f>
        <v>Нет</v>
      </c>
      <c r="FI124" s="38" t="str">
        <f>IF(OR(Исходн.данные.!F124=$CC$11,Исходн.данные.!F124=$CC$12),"Да","Нет")</f>
        <v>Нет</v>
      </c>
      <c r="FJ124" s="38" t="str">
        <f>IF(OR(Исходн.данные.!AH124=$BS$1,Исходн.данные.!AH124=$BQ$11,Исходн.данные.!AH124=$BQ$12),"Да","Нет")</f>
        <v>Нет</v>
      </c>
      <c r="FK124" s="38" t="str">
        <f>IF(OR(Исходн.данные.!AH124=$BS$2,Исходн.данные.!AH124=$BS$4),"Да","Нет")</f>
        <v>Нет</v>
      </c>
      <c r="FL124" s="38" t="str">
        <f>IF(OR(Исходн.данные.!AH124=$BS$3,Исходн.данные.!AH124=$BS$5),"Да","Нет")</f>
        <v>Нет</v>
      </c>
      <c r="FM124" s="38" t="str">
        <f>IF(OR(Исходн.данные.!AH124=$BS$9,Исходн.данные.!AH124=$BS$10,Исходн.данные.!AH124=$BS$11,Исходн.данные.!AH124=$BS$12),"Да","Нет")</f>
        <v>Нет</v>
      </c>
      <c r="FN124" s="38" t="str">
        <f>IF(OR(Исходн.данные.!AH124=$BS$6,Исходн.данные.!AH124=$BP$3),"Да","Нет")</f>
        <v>Нет</v>
      </c>
      <c r="FO124" s="38" t="str">
        <f>IF(Исходн.данные.!AH124=$BQ$9,"Да","Нет")</f>
        <v>Нет</v>
      </c>
      <c r="FP124" s="38" t="str">
        <f>IF(OR(Исходн.данные.!AH124=$BS$8,Исходн.данные.!AH124=$BT$8),"Да","Нет")</f>
        <v>Нет</v>
      </c>
      <c r="FQ124" s="38" t="str">
        <f>IF(OR(Исходн.данные.!AH124=$BQ$7,Исходн.данные.!AH124=$BQ$8),"Да","Нет")</f>
        <v>Нет</v>
      </c>
      <c r="FR124" s="38" t="str">
        <f>IF(Исходн.данные.!AI124=$BU$9,"Да","Нет")</f>
        <v>Нет</v>
      </c>
      <c r="FS124" s="38" t="str">
        <f>IF(OR(Исходн.данные.!AH124=$BP$1,Исходн.данные.!AH124=$BP$2),"Да","Нет")</f>
        <v>Нет</v>
      </c>
      <c r="FT124" s="38" t="e">
        <f>IF((Исходн.данные.!K124*GO124*GS124*GW124+BL124*0.6+Исходн.данные.!Q124*4.5*0.275)&gt;90,"Да","Нет")</f>
        <v>#N/A</v>
      </c>
      <c r="FU124" s="38" t="e">
        <f>IF((Исходн.данные.!M124*GS124*GZ124+BM124*0.225)&gt;35,"Да","Нет")</f>
        <v>#N/A</v>
      </c>
      <c r="FV124" s="38" t="str">
        <f>IF(Исходн.данные.!O124&gt;175,"Да","Нет")</f>
        <v>Нет</v>
      </c>
      <c r="FW124" s="39" t="str">
        <f>IF(Исходн.данные.!I124&gt;5.5,"Да","Нет")</f>
        <v>Нет</v>
      </c>
      <c r="FX124" s="39" t="str">
        <f>IF(Исходн.данные.!J124&lt;2,"Да","Нет")</f>
        <v>Да</v>
      </c>
      <c r="FY124" s="39" t="e">
        <f>IF(HF124=$FY$16,0,Исходн.данные.!K124*GO124*GS124*GW124/HF124)</f>
        <v>#N/A</v>
      </c>
      <c r="FZ124" s="39" t="e">
        <f>Исходн.данные.!M124*GS124*GZ124/HG124</f>
        <v>#N/A</v>
      </c>
      <c r="GA124" s="39" t="e">
        <f>IF(K_Wyn=$FY$16,0,IF(Исходн.данные.!N124=Исходн.данные.!$L$10,Исходн.данные.!O124/1.1*GS124*HC124/HH124,IF(Исходн.данные.!N124=Исходн.данные.!$L$12,Исходн.данные.!O124/1.5*GS124*HC124/HH124,Исходн.данные.!O124*GS124*HC124/HH124)))</f>
        <v>#N/A</v>
      </c>
      <c r="GB124" s="39" t="e">
        <f>IF(HF124=$FY$16,0,((Исходн.данные.!Q124*N_Org+Исходн.данные.!R124*N_Sider+Исходн.данные.!S124*N_Soloma)*AO124+Расчет!BC124*VLOOKUP(Исходн.данные.!T124,Справ!$A$3:$O$57,15)*AO124+BB124*VLOOKUP(Исходн.данные.!T124,Справ!$A$3:$O$57,15)*AL124+(Исходн.данные.!V124*N_Rizotorf+Исходн.данные.!W124*N_Rizoagr))/HF124)</f>
        <v>#N/A</v>
      </c>
      <c r="GC124" s="39" t="e">
        <f>IF(HG124=$FY$16,0,((Исходн.данные.!Q124*Р_Org+Исходн.данные.!R124*P_Sider+Исходн.данные.!S124*P_Soloma)*AP124+Расчет!BC124*VLOOKUP(Исходн.данные.!T124,Справ!$A$3:$P$57,16)*AP124+BB124*VLOOKUP(Исходн.данные.!T124,Справ!$A$3:$P$57,16)*AM124)/HG124)</f>
        <v>#N/A</v>
      </c>
      <c r="GD124" s="39" t="e">
        <f>IF(HH124=$FY$16,0,((Исходн.данные.!Q124*К_Org+Исходн.данные.!R124*K_Sider+Исходн.данные.!S124*K_Soloma)*AQ124+Расчет!BC124*VLOOKUP(Исходн.данные.!T124,Справ!$A$3:$Q$57,17)*AQ124+BB124*VLOOKUP(Исходн.данные.!T124,Справ!$A$3:$Q$57,17)*AN124)/HH124)</f>
        <v>#N/A</v>
      </c>
      <c r="GE124" s="39" t="e">
        <f>IF(HF124=$FY$16,0,(Исходн.данные.!X124*AR124+Исходн.данные.!AA124*N_Org*AL124+Исходн.данные.!AB124*N_Sider*AL124+Исходн.данные.!AC124*N_Soloma*AL124)/HF124)</f>
        <v>#N/A</v>
      </c>
      <c r="GF124" s="39" t="e">
        <f>IF(HG124=$FY$16,0,(Исходн.данные.!Y124*AS124+Исходн.данные.!AA124*Р_Org*AM124+Исходн.данные.!AB124*P_Sider*AM124+Исходн.данные.!AC124*P_Soloma*AM124)/HG124)</f>
        <v>#N/A</v>
      </c>
      <c r="GG124" s="39" t="e">
        <f>IF(HH124=$FY$16,0,(Исходн.данные.!Z124*AT124+Исходн.данные.!AA124*К_Org*AN124+Исходн.данные.!AB124*K_Sider*AN124+Исходн.данные.!AC124*K_Soloma*AN124)/HH124)</f>
        <v>#N/A</v>
      </c>
      <c r="GH124" s="39" t="e">
        <f>Исходн.данные.!AD124*AU124/HF124</f>
        <v>#N/A</v>
      </c>
      <c r="GI124" s="39" t="e">
        <f>Исходн.данные.!AE124*AV124/HG124</f>
        <v>#N/A</v>
      </c>
      <c r="GJ124" s="39" t="e">
        <f>Исходн.данные.!AF124*AW124/HH124</f>
        <v>#N/A</v>
      </c>
      <c r="GK124" s="55">
        <f>Исходн.данные.!AK124</f>
        <v>0</v>
      </c>
      <c r="GL124" s="11" t="e">
        <f t="shared" si="187"/>
        <v>#N/A</v>
      </c>
      <c r="GM124" s="11" t="e">
        <f t="shared" si="188"/>
        <v>#N/A</v>
      </c>
      <c r="GN124" s="11" t="e">
        <f t="shared" si="189"/>
        <v>#N/A</v>
      </c>
      <c r="GO124" s="57">
        <f t="shared" si="190"/>
        <v>19</v>
      </c>
      <c r="GP124" s="55">
        <f>IF(OR(Исходн.данные.!F124=$CE$1,Исходн.данные.!F124=$CE$2,Исходн.данные.!F124=$CE$3,Исходн.данные.!F124=$CE$4,Исходн.данные.!F124=$CE$5),GQ124,GR124)</f>
        <v>19</v>
      </c>
      <c r="GQ124" s="55">
        <f>IF(Исходн.данные.!F124=$CE$1,28,IF(Исходн.данные.!F124=$CE$2,26,IF(Исходн.данные.!F124=$CE$3,24,IF(Исходн.данные.!F124=$CE$4,22,IF(Исходн.данные.!F124=$CE$5,20,GR124)))))</f>
        <v>19</v>
      </c>
      <c r="GR124" s="55">
        <f>IF(Исходн.данные.!F124=$CE$6,18,IF(Исходн.данные.!F124=$CE$7,16,IF(Исходн.данные.!F124=$CE$8,14,IF(Исходн.данные.!F124=$CE$9,13,IF(Исходн.данные.!F124=$CE$10,12,19)))))</f>
        <v>19</v>
      </c>
      <c r="GS124" s="55">
        <f>IF(Исходн.данные.!G124="Пес",0.035*(40+2*Исходн.данные.!H124),IF(Исходн.данные.!G124="Суп",0.0325*(40+2*Исходн.данные.!H124),0.03*(40+2*Исходн.данные.!H124)))</f>
        <v>1.2</v>
      </c>
      <c r="GT124" s="55">
        <f>IF(Исходн.данные.!H124&lt;23,2.6,IF(AND(Исходн.данные.!H124&gt;22,Исходн.данные.!H124&lt;26),3,IF(AND(Исходн.данные.!H124&gt;25,Исходн.данные.!H124&lt;29),3.4,3.6)))</f>
        <v>2.6</v>
      </c>
      <c r="GU124" s="55">
        <f>IF(Исходн.данные.!H124&lt;23,2.8,IF(AND(Исходн.данные.!H124&gt;22,Исходн.данные.!H124&lt;26),3.2,IF(AND(Исходн.данные.!H124&gt;25,Исходн.данные.!H124&lt;29),3.6,3.9)))</f>
        <v>2.8</v>
      </c>
      <c r="GV124" s="55">
        <f>IF(Исходн.данные.!H124&lt;23,3,IF(AND(Исходн.данные.!H124&gt;22,Исходн.данные.!H124&lt;26),3.5,IF(AND(Исходн.данные.!H124&gt;25,Исходн.данные.!H124&lt;29),3.9,4.2)))</f>
        <v>3</v>
      </c>
      <c r="GW124" s="55" t="e">
        <f>IF(Исходн.данные.!P124="Ум",GX124,GY124)</f>
        <v>#N/A</v>
      </c>
      <c r="GX124" s="55" t="e">
        <f>VLOOKUP(Исходн.данные.!AI124,Коэффициенты!$J$7:$L$13,2,FALSE)</f>
        <v>#N/A</v>
      </c>
      <c r="GY124" s="55" t="e">
        <f>VLOOKUP(Исходн.данные.!AI124,Коэффициенты!$J$7:$L$13,3,FALSE)</f>
        <v>#N/A</v>
      </c>
      <c r="GZ124" s="55" t="e">
        <f>(IF(Исходн.данные.!M124&lt;50,0.11*VLOOKUP(Исходн.данные.!AH124,Культуры.Информация,7,FALSE),IF(Исходн.данные.!M124&gt;250,0.05*VLOOKUP(Исходн.данные.!AH124,Культуры.Информация,7,FALSE),VLOOKUP(Исходн.данные.!AH124,Культуры.Информация,5,FALSE)/100*($GX$6+$GY$6*Исходн.данные.!M124))))*Расчет2!AI124</f>
        <v>#N/A</v>
      </c>
      <c r="HA124" s="211"/>
      <c r="HB124" s="211"/>
      <c r="HC124" s="55" t="e">
        <f>(IF(Исходн.данные.!O124&lt;80,0.2*VLOOKUP(Исходн.данные.!AH124,Культуры.Информация,8,FALSE),IF(Исходн.данные.!O124&gt;240,0.09*VLOOKUP(Исходн.данные.!AH124,Культуры.Информация,8,FALSE),VLOOKUP(Исходн.данные.!AH124,Культуры.Информация,6,FALSE)/100*($HB$6+$HC$6*Исходн.данные.!O124))))*Расчет2!AJ124</f>
        <v>#N/A</v>
      </c>
      <c r="HD124" s="55">
        <f>IF(Исходн.данные.!O124&gt;240,0.09,IF(Исходн.данные.!O124&lt;30,0.3,$HE$10+$HD$10*Исходн.данные.!O124))</f>
        <v>0.3</v>
      </c>
      <c r="HE124" s="55">
        <f>IF(Исходн.данные.!O124&gt;240,0.17,IF(Исходн.данные.!O124&lt;30,0.5,$HF$12+$HE$12*Исходн.данные.!O124))</f>
        <v>0.5</v>
      </c>
      <c r="HF124" s="55" t="e">
        <f>VLOOKUP(Исходн.данные.!AH124,Справ!$A$3:$D$58,2,FALSE)</f>
        <v>#N/A</v>
      </c>
      <c r="HG124" s="55" t="e">
        <f>VLOOKUP(Исходн.данные.!AH124,Справ!$A$3:$D$58,3,FALSE)</f>
        <v>#N/A</v>
      </c>
      <c r="HH124" s="55" t="e">
        <f>VLOOKUP(Исходн.данные.!AH124,Справ!$A$3:$D$58,4,FALSE)</f>
        <v>#N/A</v>
      </c>
      <c r="HI124" s="11" t="e">
        <f t="shared" si="191"/>
        <v>#N/A</v>
      </c>
      <c r="HJ124" s="11" t="e">
        <f t="shared" si="192"/>
        <v>#N/A</v>
      </c>
      <c r="HK124" s="11" t="e">
        <f t="shared" si="193"/>
        <v>#N/A</v>
      </c>
      <c r="HL124" s="55">
        <f>IF(OR(Исходн.данные.!G124="Глин",Исходн.данные.!G124="Т_суг"),1.1,IF(Исходн.данные.!G124="Ср_суг",1,1))</f>
        <v>1</v>
      </c>
      <c r="HM124" s="55">
        <f>IF(OR(Исходн.данные.!G124="Глин",Исходн.данные.!G124="Т_суг"),0.9,IF(Исходн.данные.!G124="Ср_суг",1,1.2))</f>
        <v>1.2</v>
      </c>
      <c r="HN124" s="11" t="e">
        <f t="shared" si="194"/>
        <v>#N/A</v>
      </c>
      <c r="HO124" s="11" t="e">
        <f t="shared" si="195"/>
        <v>#N/A</v>
      </c>
      <c r="HP124" s="11" t="e">
        <f t="shared" si="196"/>
        <v>#N/A</v>
      </c>
      <c r="HQ124" t="e">
        <f t="shared" si="197"/>
        <v>#N/A</v>
      </c>
      <c r="HR124" t="e">
        <f t="shared" si="198"/>
        <v>#N/A</v>
      </c>
      <c r="HS124" t="e">
        <f t="shared" si="199"/>
        <v>#N/A</v>
      </c>
      <c r="HT124" t="e">
        <f t="shared" si="145"/>
        <v>#N/A</v>
      </c>
      <c r="HU124" t="e">
        <f t="shared" si="146"/>
        <v>#N/A</v>
      </c>
      <c r="HV124" t="e">
        <f t="shared" si="147"/>
        <v>#N/A</v>
      </c>
      <c r="HW124" t="e">
        <f t="shared" si="148"/>
        <v>#N/A</v>
      </c>
      <c r="HX124" t="e">
        <f t="shared" si="149"/>
        <v>#N/A</v>
      </c>
      <c r="HY124" t="e">
        <f t="shared" si="150"/>
        <v>#N/A</v>
      </c>
      <c r="HZ124" s="55">
        <f>IF(OR(Исходн.данные.!AI124="Оз_Ч_П",Исходн.данные.!AI124="Оз_З_П",Исходн.данные.!AI124="Яр_зер"),12,30)</f>
        <v>30</v>
      </c>
      <c r="IA124" t="e">
        <f t="shared" si="200"/>
        <v>#N/A</v>
      </c>
      <c r="IB124" t="e">
        <f t="shared" si="201"/>
        <v>#N/A</v>
      </c>
      <c r="IC124" t="e">
        <f t="shared" si="202"/>
        <v>#N/A</v>
      </c>
      <c r="ID124" s="11" t="e">
        <f t="shared" si="203"/>
        <v>#N/A</v>
      </c>
      <c r="IE124" s="11" t="e">
        <f t="shared" si="204"/>
        <v>#N/A</v>
      </c>
      <c r="IF124" s="11" t="e">
        <f t="shared" si="205"/>
        <v>#N/A</v>
      </c>
    </row>
    <row r="125" spans="35:240" x14ac:dyDescent="0.2">
      <c r="AI125">
        <f>IF(Исходн.данные.!I125&gt;6,1,1.85-(0.148*Исходн.данные.!I125))</f>
        <v>1.85</v>
      </c>
      <c r="AJ125">
        <f>IF(Исходн.данные.!I125&gt;6,1,2.434-(0.246*Исходн.данные.!I125))</f>
        <v>2.4340000000000002</v>
      </c>
      <c r="AL125" s="148" t="b">
        <f>IF(Исходн.данные.!$P125="Ум",N_OrgUd_2g_um,IF(Исходн.данные.!$P125="Об",N_OrgUd_2g_ob))</f>
        <v>0</v>
      </c>
      <c r="AM125" s="148" t="b">
        <f>IF(Исходн.данные.!$P125="Ум",P_OrgUd_2g_um,IF(Исходн.данные.!$P125="Об",P_OrgUd_2g_ob))</f>
        <v>0</v>
      </c>
      <c r="AN125" s="148" t="b">
        <f>IF(Исходн.данные.!$P125="Ум",K_OrgUd_2g_um,IF(Исходн.данные.!$P125="Об",K_OrgUd_2g_ob))</f>
        <v>0</v>
      </c>
      <c r="AO125" s="148" t="b">
        <f>IF(Исходн.данные.!$P125="Ум",N_OrgUd_1g_um,IF(Исходн.данные.!$P125="Об",N_OrgUd_1g_ob))</f>
        <v>0</v>
      </c>
      <c r="AP125" s="148" t="b">
        <f>IF(Исходн.данные.!$P125="Ум",P_OrgUd_1g_um,IF(Исходн.данные.!$P125="Об",P_OrgUd_1g_ob))</f>
        <v>0</v>
      </c>
      <c r="AQ125" s="148" t="b">
        <f>IF(Исходн.данные.!$P125="Ум",K_OrgUd_1g_um,IF(Исходн.данные.!$P125="Об",K_OrgUd_1g_ob))</f>
        <v>0</v>
      </c>
      <c r="AR125" t="b">
        <f>IF(Исходн.данные.!$P125="Ум",N_MinUd_2g_um,IF(Исходн.данные.!$P125="Об",N_MinUd_2g_ob))</f>
        <v>0</v>
      </c>
      <c r="AS125" t="b">
        <f>IF(Исходн.данные.!$P125="Ум",P_MinUd_2g_um,IF(Исходн.данные.!$P125="Об",P_MinUd_2g_ob))</f>
        <v>0</v>
      </c>
      <c r="AT125" t="b">
        <f>IF(Исходн.данные.!$P125="Ум",K_MinUd_2g_um,IF(Исходн.данные.!$P125="Об",K_MinUd_2g_ob))</f>
        <v>0</v>
      </c>
      <c r="AU125" t="b">
        <f>IF(Исходн.данные.!$P125="Ум",N_MinUd_1g_um,IF(Исходн.данные.!$P125="Об",N_MinUd_1g_ob))</f>
        <v>0</v>
      </c>
      <c r="AV125" t="b">
        <f>IF(Исходн.данные.!P125="Ум",P_MinUd_1g_um,IF(Исходн.данные.!P125="Об",P_MinUd_1g_ob))</f>
        <v>0</v>
      </c>
      <c r="AW125" t="b">
        <f>IF(Исходн.данные.!P125="Ум",K_MinUd_1g_um,IF(Исходн.данные.!P125="Об",K_MinUd_1g_ob))</f>
        <v>0</v>
      </c>
      <c r="AY125" t="e">
        <f>VLOOKUP(Исходн.данные.!T125,Справ!$A$3:$N$57,12)</f>
        <v>#N/A</v>
      </c>
      <c r="AZ125" t="e">
        <f>VLOOKUP(Исходн.данные.!T125,Справ!$A$3:$N$57,13)</f>
        <v>#N/A</v>
      </c>
      <c r="BA125" t="e">
        <f>VLOOKUP(Исходн.данные.!T125,Справ!$A$3:$N$57,14)</f>
        <v>#N/A</v>
      </c>
      <c r="BB125">
        <f>IF(Исходн.данные.!AH125=0,0,25)</f>
        <v>0</v>
      </c>
      <c r="BC125" s="141">
        <f>IF(Исходн.данные.!AH125=0,0,IF(Исходн.данные.!T125=0,25,BD125))</f>
        <v>0</v>
      </c>
      <c r="BD125" s="168" t="e">
        <f>AY125+AZ125*Исходн.данные.!U125-POWER(BA125,2)*Исходн.данные.!U125</f>
        <v>#N/A</v>
      </c>
      <c r="BE12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5" s="25">
        <f>IF(Исходн.данные.!AH125=0,0,MIN(HN125:HP125))</f>
        <v>0</v>
      </c>
      <c r="BG125" s="9">
        <f>IF(Исходн.данные.!AH125=0,0,IF((HO125+10*0.25/HG125/HL125)&lt;17,17,HO125+10*0.25/HG125/HL125))</f>
        <v>0</v>
      </c>
      <c r="BH125" s="181">
        <f>IF(Исходн.данные.!AH125=0,0,HW125*HF125*HL125/AU125*AI125+Исходн.данные.!S125*10)</f>
        <v>0</v>
      </c>
      <c r="BI125" s="10"/>
      <c r="BJ125" s="182">
        <f>IF(Исходн.данные.!AH125=0,0,IF(HX125*HG125*HL125/AV125&lt;0,0,HX125*HG125*HL125/AV125*AJ125))</f>
        <v>0</v>
      </c>
      <c r="BK125" s="182">
        <f>IF(Исходн.данные.!AH125=0,0,HY125*HH125*HM125/AW125)</f>
        <v>0</v>
      </c>
      <c r="BL125" s="10">
        <f>IF(OR(Исходн.данные.!$AH125=$BP$1,Исходн.данные.!$AH125=$BP$2),0,IF(BH125&lt;0,0,IF(OR(Исходн.данные.!T125=Расчет!$BP$1,Исходн.данные.!T125=Расчет!$BP$2,Исходн.данные.!T125=Расчет!$BT$5,Исходн.данные.!T125=Расчет!$BT$6),BH125*0.5,IF(OR(Исходн.данные.!T125=Расчет!$BS$9,Исходн.данные.!T125=Расчет!$BS$10,Исходн.данные.!T125=Расчет!$BS$11,Исходн.данные.!T125=Расчет!$BS$12,Исходн.данные.!T125=Расчет!$BP$5),BH125*0.8,BH125))))</f>
        <v>0</v>
      </c>
      <c r="BM125" s="10">
        <f>IF(OR(Исходн.данные.!$AH125=$BP$1,Исходн.данные.!$AH125=$BP$2),0,IF(BJ125&lt;0,0,IF(Исходн.данные.!I125&lt;4.5,BJ125*1.2,IF(Исходн.данные.!I125&gt;5.1,BJ125,BJ125*((5.1-Исходн.данные.!I125)*0.333+1)))))</f>
        <v>0</v>
      </c>
      <c r="BN125" s="10">
        <f>IF(OR(Исходн.данные.!$AH125=$BP$1,Исходн.данные.!$AH125=$BP$2),60-Исходн.данные.!AF125,IF(BK125&lt;0,0,IF(Исходн.данные.!I125&lt;4.5,BK125*1.2,IF(Исходн.данные.!I125&gt;5.1,BK125,BK125*((5.1-Исходн.данные.!I125)*0.333+1)))))</f>
        <v>0</v>
      </c>
      <c r="BO125" s="9">
        <f>IF(BL125&lt;0,0,BL125*Исходн.данные.!$AJ125/1000)</f>
        <v>0</v>
      </c>
      <c r="BP125" s="9">
        <f>IF(BM125&lt;0,0,BM125*Исходн.данные.!$AJ125/1000)</f>
        <v>0</v>
      </c>
      <c r="BQ125" s="9">
        <f>IF(BN125&lt;0,0,BN125*Исходн.данные.!$AJ125/1000)</f>
        <v>0</v>
      </c>
      <c r="BR125" s="9">
        <f t="shared" si="155"/>
        <v>0</v>
      </c>
      <c r="BS125" s="10" t="str">
        <f t="shared" si="156"/>
        <v>Аммофос 12:52:00</v>
      </c>
      <c r="BT125" s="10" t="str">
        <f t="shared" si="157"/>
        <v>Аммофос 12:52:00</v>
      </c>
      <c r="BU125" s="10" t="str">
        <f t="shared" si="158"/>
        <v>Диаммофоска</v>
      </c>
      <c r="BV125" s="10">
        <f t="shared" si="159"/>
        <v>0</v>
      </c>
      <c r="BW125" s="10"/>
      <c r="BX125" s="10"/>
      <c r="BY125" s="9">
        <f>IF(BL125&lt;0,0,IF(OR(Исходн.данные.!AI125=Расчет!$BU$6,Исходн.данные.!AI125=Расчет!$BU$7),Расчет!BV125,IF(Исходн.данные.!$AG125=$BV$11,BL125,IF(OR(Исходн.данные.!$AH125=$BQ$7,Исходн.данные.!$AH125=$BQ$8),CB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0,IF(Исходн.данные.!$AI125=$BU$11,"Нет",IF(BL125&gt;30,30,BL125)))))))</f>
        <v>0</v>
      </c>
      <c r="BZ125" s="9">
        <f>IF(AND(Исходн.данные.!$AG125=$BV$11,BM125&lt;10),10,IF(Исходн.данные.!$AG125=$BV$11,BM125,IF(OR(Исходн.данные.!$AH125=$BQ$7,Исходн.данные.!$AH125=$BQ$8),CC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10,IF(Исходн.данные.!$AI125=$BU$11,"Нет",IF(BM125&gt;60,60,IF(BM125&lt;10,10,BM125)))))))</f>
        <v>10</v>
      </c>
      <c r="CA125" s="39">
        <f>IF(BN125&lt;0,0,IF(Исходн.данные.!$AG125=$BV$11,BN125,IF(OR(Исходн.данные.!$AH125=$BQ$7,Исходн.данные.!$AH125=$BQ$8),CD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0,IF(Исходн.данные.!$AI125=$BU$11,"Нет",IF(BN125&gt;30,30,BN125))))))</f>
        <v>0</v>
      </c>
      <c r="CB125" s="9">
        <f t="shared" si="160"/>
        <v>0</v>
      </c>
      <c r="CC125" s="9">
        <f t="shared" si="161"/>
        <v>0</v>
      </c>
      <c r="CD125" s="9">
        <f t="shared" si="162"/>
        <v>0</v>
      </c>
      <c r="CE125" s="12">
        <f t="shared" si="163"/>
        <v>10</v>
      </c>
      <c r="CF125" s="9">
        <f t="shared" si="164"/>
        <v>0</v>
      </c>
      <c r="CG125" s="9" t="s">
        <v>231</v>
      </c>
      <c r="CH125" s="132" t="str">
        <f>IF(Исходн.данные.!AP125=Расчет!$CI$16,"Нет",IF(Исходн.данные.!AL125&gt;0,Исходн.данные.!AL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BH$4,IF(OR(Исходн.данные.!AI125=Исходн.данные.!$AI$6,Исходн.данные.!AI125=Исходн.данные.!$AI$7),Расчет!BS125,IF(AND($CF125=0,$CE125&gt;0),EV125,ER125)))))</f>
        <v>Аммофос 12:52:00</v>
      </c>
      <c r="CI125" s="274">
        <f>IF(Расчет!$CH125="Нет","Нет",IF(Исходн.данные.!$AL125&gt;0,VLOOKUP(Расчет!$CH125,АшламаДВ_Irekle,2,FALSE),VLOOKUP(Расчет!$CH125,АшламаДВ_Gomumy,2,FALSE)))</f>
        <v>0.12</v>
      </c>
      <c r="CJ125" s="274">
        <f>IF(Расчет!$CH125="Нет","Нет",IF(Исходн.данные.!$AL125&gt;0,VLOOKUP(Расчет!$CH125,АшламаДВ_Irekle,3,FALSE),VLOOKUP(Расчет!$CH125,АшламаДВ_Gomumy,3,FALSE)))</f>
        <v>0.52</v>
      </c>
      <c r="CK125" s="274">
        <f>IF(Расчет!$CH125="Нет","Нет",IF(Исходн.данные.!$AL125&gt;0,VLOOKUP(Расчет!$CH125,АшламаДВ_Irekle,4,FALSE),VLOOKUP(Расчет!$CH125,АшламаДВ_Gomumy,4,FALSE)))</f>
        <v>0</v>
      </c>
      <c r="CL125" s="70"/>
      <c r="CM125" s="70"/>
      <c r="CN125" s="70"/>
      <c r="CO125" s="70"/>
      <c r="CP125" s="70"/>
      <c r="CQ125" s="70"/>
      <c r="CR125" s="10">
        <f t="shared" si="165"/>
        <v>0</v>
      </c>
      <c r="CS125" s="10">
        <f t="shared" si="166"/>
        <v>19.23076923076923</v>
      </c>
      <c r="CT125" s="10">
        <f t="shared" si="167"/>
        <v>0</v>
      </c>
      <c r="CU125" s="39">
        <f>IF($CH125="Нет",0,IF(CI125=0,30/MIN(CJ125:CK125),IF(Исходн.данные.!$AG125=$BV$11,CR125,IF(OR(Исходн.данные.!$AH125=$BQ$7,Исходн.данные.!$AH125=$BQ$8),90/CI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0,IF(Исходн.данные.!$AI125=$BU$11,"Нет",30/CI125))))))</f>
        <v>250</v>
      </c>
      <c r="CV125" s="39">
        <f>IF($CH125="Нет",0,IF(Исходн.данные.!AH125=0,0,IF(CJ125=0,60/MIN(CI125,CK125),IF(Исходн.данные.!$AG125=$BV$11,CS125,IF(OR(Исходн.данные.!$AH125=$BQ$7,Исходн.данные.!$AH125=$BQ$8),90/CJ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10/CJ125,IF(Исходн.данные.!$AI125=$BU$11,"Нет",60/CJ125)))))))</f>
        <v>0</v>
      </c>
      <c r="CW125" s="39">
        <f>IF($CH125="Нет",0,IF(Исходн.данные.!AH125=0,0,IF(CK125=0,30/MIN(CI125:CJ125),IF(Исходн.данные.!$AG125=$BV$11,CT125,IF(OR(Исходн.данные.!$AH125=$BQ$7,Исходн.данные.!$AH125=$BQ$8),90/CK125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0,IF(Исходн.данные.!$AI125=$BU$11,"Нет",30/CK125)))))))</f>
        <v>0</v>
      </c>
      <c r="CX125" s="133">
        <f>IF(Исходн.данные.!$AG125=$BV$11,MAX(CU125:CW125),IF(OR(Исходн.данные.!$AH125=$BS$8,Исходн.данные.!$AH125=$BQ$9,Исходн.данные.!$AH125=$BQ$10,Исходн.данные.!$AH125=$BQ$11,Исходн.данные.!$AH125=$BQ$12,Исходн.данные.!$AH125=$BP$3,Исходн.данные.!$AH125=$BT$8,$FM125="Да"),CV125,MIN(CU125:CW125)))</f>
        <v>0</v>
      </c>
      <c r="CY125" s="133">
        <f>IF(Исходн.данные.!AH125=0,0,IF(CR125&gt;$CX125,$CX125,CR125))</f>
        <v>0</v>
      </c>
      <c r="CZ125" s="133">
        <f>IF(Исходн.данные.!AH125=0,0,IF(CS125&gt;$CX125,$CX125,CS125))</f>
        <v>0</v>
      </c>
      <c r="DA125" s="133">
        <f>IF(Исходн.данные.!AH125=0,0,IF(CT125&gt;$CX125,$CX125,CT125))</f>
        <v>0</v>
      </c>
      <c r="DB125" s="10">
        <f t="shared" si="168"/>
        <v>0</v>
      </c>
      <c r="DC125" s="39">
        <f>DB125*Исходн.данные.!AJ125/1000</f>
        <v>0</v>
      </c>
      <c r="DD125" s="71">
        <f t="shared" si="169"/>
        <v>0</v>
      </c>
      <c r="DE125" s="9">
        <f t="shared" si="170"/>
        <v>0</v>
      </c>
      <c r="DF125" s="9">
        <f t="shared" si="171"/>
        <v>0</v>
      </c>
      <c r="DG125" s="39">
        <f>IF(BL125&lt;0,0,IF($CH125="Нет",BL125,IF(OR(Исходн.данные.!$AH125=$BP$1,Исходн.данные.!$AH125=$BP$2),0,IF(Исходн.данные.!AI125=$BU$11,BL125,IF(BL125-DD125&lt;0,0,BL125-DD125)))))</f>
        <v>0</v>
      </c>
      <c r="DH125" s="39">
        <f>IF(BM125&lt;0,0,IF($CH125="Нет",BM125,IF(OR(Исходн.данные.!$AH125=$BP$1,Исходн.данные.!$AH125=$BP$2),0,IF(Исходн.данные.!AJ125=$BU$11,BM125,IF(BM125-DE125&lt;0,0,BM125-DE125)))))</f>
        <v>0</v>
      </c>
      <c r="DI125" s="39">
        <f>IF(BN125&lt;0,0,IF($CH125="Нет",BN125,IF(OR(Исходн.данные.!$AH125=$BP$1,Исходн.данные.!$AH125=$BP$2),0,IF(Исходн.данные.!AK125=$BU$11,BN125,IF(BN125-DF125&lt;0,0,BN125-DF125)))))</f>
        <v>0</v>
      </c>
      <c r="DJ125" s="12">
        <f t="shared" si="172"/>
        <v>0</v>
      </c>
      <c r="DK125" s="9">
        <f t="shared" si="173"/>
        <v>0</v>
      </c>
      <c r="DL125" s="39">
        <f>IF(Исходн.данные.!AM125&gt;0,Исходн.данные.!AM125,IF(EG125&gt;0,$BH$10,0))</f>
        <v>0</v>
      </c>
      <c r="DM125" s="186">
        <f>IF($DL125=0,0,IF(Исходн.данные.!AM125&gt;0,VLOOKUP($DL125,АшламаДВ_Irekle,2,FALSE),VLOOKUP($DL125,АшламаДВ_Gomumy,2,FALSE)))</f>
        <v>0</v>
      </c>
      <c r="DN125" s="10">
        <f t="shared" si="151"/>
        <v>0</v>
      </c>
      <c r="DO125" s="9" t="str">
        <f>IF(Исходн.данные.!AN125&gt;0,Исходн.данные.!AN125,Удобрения!$B$37 )</f>
        <v>Хлор.калий</v>
      </c>
      <c r="DP125" s="9">
        <f>IF(Исходн.данные.!AN125&gt;0,VLOOKUP(Исходн.данные.!AN125,АшламаДВ_Irekle,4,FALSE),VLOOKUP(DO125,АшламаДВ_Gomumy,4,FALSE))</f>
        <v>0.6</v>
      </c>
      <c r="DQ125" s="10">
        <f t="shared" si="152"/>
        <v>0</v>
      </c>
      <c r="DR125" s="132" t="str">
        <f>IF(Исходн.данные.!AO125&gt;0,Исходн.данные.!AO125,IF(DH125=0,BS$17,IF(AND($DK125=0,$DJ125&gt;0),EJ125,EN125)))</f>
        <v>Нет</v>
      </c>
      <c r="DS125" s="70" t="str">
        <f>IF($DR125="Нет","Нет",IF(Исходн.данные.!$AO125&gt;0,VLOOKUP($DR125,АшламаДВ_Irekle,2,FALSE),VLOOKUP($DR125,АшламаДВ_Gomumy,2,FALSE)))</f>
        <v>Нет</v>
      </c>
      <c r="DT125" s="70" t="str">
        <f>IF($DR125="Нет","Нет",IF(Исходн.данные.!$AO125&gt;0,VLOOKUP($DR125,АшламаДВ_Irekle,3,FALSE),VLOOKUP($DR125,АшламаДВ_Gomumy,3,FALSE)))</f>
        <v>Нет</v>
      </c>
      <c r="DU125" s="70" t="str">
        <f>IF($DR125="Нет","Нет",IF(Исходн.данные.!$AO125&gt;0,VLOOKUP($DR125,АшламаДВ_Irekle,4,FALSE),VLOOKUP($DR125,АшламаДВ_Gomumy,4,FALSE)))</f>
        <v>Нет</v>
      </c>
      <c r="DV125" s="70"/>
      <c r="DW125" s="70"/>
      <c r="DX125" s="70"/>
      <c r="DY125" s="10">
        <f t="shared" si="174"/>
        <v>0</v>
      </c>
      <c r="DZ125" s="10">
        <f t="shared" si="175"/>
        <v>0</v>
      </c>
      <c r="EA125" s="10">
        <f t="shared" si="176"/>
        <v>0</v>
      </c>
      <c r="EB125" s="10">
        <f t="shared" si="177"/>
        <v>0</v>
      </c>
      <c r="EC125" s="10">
        <f t="shared" si="178"/>
        <v>0</v>
      </c>
      <c r="ED125" s="10">
        <f t="shared" si="179"/>
        <v>0</v>
      </c>
      <c r="EE125" s="10">
        <f t="shared" si="180"/>
        <v>0</v>
      </c>
      <c r="EF125" s="39">
        <f>EB125*Исходн.данные.!AJ125/1000</f>
        <v>0</v>
      </c>
      <c r="EG125" s="9">
        <f t="shared" si="181"/>
        <v>0</v>
      </c>
      <c r="EH125" s="9">
        <f t="shared" si="182"/>
        <v>0</v>
      </c>
      <c r="EI125" s="39" t="e">
        <f t="shared" si="132"/>
        <v>#DIV/0!</v>
      </c>
      <c r="EJ125" s="9" t="str">
        <f t="shared" si="153"/>
        <v>Азопреципитат</v>
      </c>
      <c r="EK125" s="12">
        <f t="shared" si="133"/>
        <v>0.26</v>
      </c>
      <c r="EL125" s="12">
        <f t="shared" si="134"/>
        <v>0.13</v>
      </c>
      <c r="EM125" s="12">
        <f t="shared" si="135"/>
        <v>0</v>
      </c>
      <c r="EN125" s="12" t="str">
        <f t="shared" si="154"/>
        <v>Нет</v>
      </c>
      <c r="EO125" s="12">
        <f t="shared" si="136"/>
        <v>0</v>
      </c>
      <c r="EP125" s="12">
        <f t="shared" si="137"/>
        <v>0</v>
      </c>
      <c r="EQ125" s="12">
        <f t="shared" si="138"/>
        <v>0</v>
      </c>
      <c r="ER125" s="12" t="str">
        <f t="shared" si="183"/>
        <v>Диаммофоска</v>
      </c>
      <c r="ES125" s="12">
        <f t="shared" si="139"/>
        <v>0.1</v>
      </c>
      <c r="ET125" s="12">
        <f t="shared" si="140"/>
        <v>0.26</v>
      </c>
      <c r="EU125" s="12">
        <f t="shared" si="141"/>
        <v>0.26</v>
      </c>
      <c r="EV125" s="12" t="str">
        <f t="shared" si="184"/>
        <v>Аммофос 12:52:00</v>
      </c>
      <c r="EW125" s="12" t="str">
        <f t="shared" si="185"/>
        <v>Кемира Свекловичное-6</v>
      </c>
      <c r="EX125" s="12">
        <f t="shared" si="142"/>
        <v>0.16</v>
      </c>
      <c r="EY125" s="12">
        <f t="shared" si="143"/>
        <v>0.12</v>
      </c>
      <c r="EZ125" s="12">
        <f t="shared" si="144"/>
        <v>0.17</v>
      </c>
      <c r="FA125" s="38" t="e">
        <f>IF(AND(OR(FJ125=$FD$1,FM125=$FD$1,FO125=$FD$1,FQ125=$FD$1,FS125=$FD$1),FD125=$FD$1,Исходн.данные.!J125&lt;2,FU125=$FD$1),"Бор,Кобальт",IF(AND(FO125=$FD$1,FH125=$FD$1,Исходн.данные.!J125&lt;2,FU125=$FD$1),"Бор,Кобальт",IF(AND(OR(FJ125=$FD$1,FM125=$FD$1,FQ125=$FD$1),FE125=$FD$1,Исходн.данные.!J125&lt;2,FT125=$FD$1,FU125=$FD$1),"Бор,Медь,Цинк",IF(AND(OR(FJ125=$FD$1,FR125="Да"),FI125="Да",Исходн.данные.!J125&lt;2,FT125="Да",FU125="Да"),"Бор,Цинк,Медь",IF(AND(OR(FM125="Да",FQ125="Да"),FI125="Да",Исходн.данные.!J125&lt;2,FT125="Да",FU125="Да"),"Бор,Цинк",IF(AND(FN125="Да",OR(FD125="Да",FE125="Да")),"Бор",FB125))))))</f>
        <v>#N/A</v>
      </c>
      <c r="FB125" s="134" t="e">
        <f>IF(AND(OR(FD125="Да",FE125="Да",FF125="Да",FG125="Да",FH125="Да"),FO125="Да"),"Бор",IF(AND(FP125="Да",OR(FD125="Да",FE125="Да",FI125="Да")),"Бор",IF(AND(FS125="Да",FE125="Да"),"Бор,Медь",IF(AND(OR(FJ125="Да",FK125="Да",FL125="Да"),FE125="Да",Исходн.данные.!I125&lt;5,FT125="Да",FU125="Да"),"Молибден,Цинк",IF(AND(FM125="Да",OR(FE125="Да",FF125="Да",FG125="Да",FH125="Да",FI125="Да")),"Молибден,Цинк",IF(AND(OR(FJ125="Да",FK125="Да",FL125="Да",FM125="Да",FQ125="Да"),OR(FE125="Да",FF125="Да"),FT125="Да",FU125="Да",Исходн.данные.!I125&gt;5.5),"Медь,Цинк",FC125))))))</f>
        <v>#N/A</v>
      </c>
      <c r="FC125" s="23" t="e">
        <f t="shared" si="186"/>
        <v>#N/A</v>
      </c>
      <c r="FD125" s="38" t="str">
        <f>IF(OR(Исходн.данные.!F125=$CC$1,Исходн.данные.!F125=$CC$2,Исходн.данные.!F125=$CC$3,Исходн.данные.!F125=$CC$4),"Да","Нет")</f>
        <v>Нет</v>
      </c>
      <c r="FE125" s="38" t="str">
        <f>IF(Исходн.данные.!F125=$CC$5,"Да","Нет")</f>
        <v>Нет</v>
      </c>
      <c r="FF125" s="38" t="str">
        <f>IF(OR(Исходн.данные.!F125=$CC$6,Исходн.данные.!F125=$CC$7),"Да","Нет")</f>
        <v>Нет</v>
      </c>
      <c r="FG125" s="38" t="str">
        <f>IF(OR(Исходн.данные.!F125=$CC$8,Исходн.данные.!F125=$CC$9),"Да","Нет")</f>
        <v>Нет</v>
      </c>
      <c r="FH125" s="38" t="str">
        <f>IF(Исходн.данные.!F125=$CC$10,"Да","Нет")</f>
        <v>Нет</v>
      </c>
      <c r="FI125" s="38" t="str">
        <f>IF(OR(Исходн.данные.!F125=$CC$11,Исходн.данные.!F125=$CC$12),"Да","Нет")</f>
        <v>Нет</v>
      </c>
      <c r="FJ125" s="38" t="str">
        <f>IF(OR(Исходн.данные.!AH125=$BS$1,Исходн.данные.!AH125=$BQ$11,Исходн.данные.!AH125=$BQ$12),"Да","Нет")</f>
        <v>Нет</v>
      </c>
      <c r="FK125" s="38" t="str">
        <f>IF(OR(Исходн.данные.!AH125=$BS$2,Исходн.данные.!AH125=$BS$4),"Да","Нет")</f>
        <v>Нет</v>
      </c>
      <c r="FL125" s="38" t="str">
        <f>IF(OR(Исходн.данные.!AH125=$BS$3,Исходн.данные.!AH125=$BS$5),"Да","Нет")</f>
        <v>Нет</v>
      </c>
      <c r="FM125" s="38" t="str">
        <f>IF(OR(Исходн.данные.!AH125=$BS$9,Исходн.данные.!AH125=$BS$10,Исходн.данные.!AH125=$BS$11,Исходн.данные.!AH125=$BS$12),"Да","Нет")</f>
        <v>Нет</v>
      </c>
      <c r="FN125" s="38" t="str">
        <f>IF(OR(Исходн.данные.!AH125=$BS$6,Исходн.данные.!AH125=$BP$3),"Да","Нет")</f>
        <v>Нет</v>
      </c>
      <c r="FO125" s="38" t="str">
        <f>IF(Исходн.данные.!AH125=$BQ$9,"Да","Нет")</f>
        <v>Нет</v>
      </c>
      <c r="FP125" s="38" t="str">
        <f>IF(OR(Исходн.данные.!AH125=$BS$8,Исходн.данные.!AH125=$BT$8),"Да","Нет")</f>
        <v>Нет</v>
      </c>
      <c r="FQ125" s="38" t="str">
        <f>IF(OR(Исходн.данные.!AH125=$BQ$7,Исходн.данные.!AH125=$BQ$8),"Да","Нет")</f>
        <v>Нет</v>
      </c>
      <c r="FR125" s="38" t="str">
        <f>IF(Исходн.данные.!AI125=$BU$9,"Да","Нет")</f>
        <v>Нет</v>
      </c>
      <c r="FS125" s="38" t="str">
        <f>IF(OR(Исходн.данные.!AH125=$BP$1,Исходн.данные.!AH125=$BP$2),"Да","Нет")</f>
        <v>Нет</v>
      </c>
      <c r="FT125" s="38" t="e">
        <f>IF((Исходн.данные.!K125*GO125*GS125*GW125+BL125*0.6+Исходн.данные.!Q125*4.5*0.275)&gt;90,"Да","Нет")</f>
        <v>#N/A</v>
      </c>
      <c r="FU125" s="38" t="e">
        <f>IF((Исходн.данные.!M125*GS125*GZ125+BM125*0.225)&gt;35,"Да","Нет")</f>
        <v>#N/A</v>
      </c>
      <c r="FV125" s="38" t="str">
        <f>IF(Исходн.данные.!O125&gt;175,"Да","Нет")</f>
        <v>Нет</v>
      </c>
      <c r="FW125" s="39" t="str">
        <f>IF(Исходн.данные.!I125&gt;5.5,"Да","Нет")</f>
        <v>Нет</v>
      </c>
      <c r="FX125" s="39" t="str">
        <f>IF(Исходн.данные.!J125&lt;2,"Да","Нет")</f>
        <v>Да</v>
      </c>
      <c r="FY125" s="39" t="e">
        <f>IF(HF125=$FY$16,0,Исходн.данные.!K125*GO125*GS125*GW125/HF125)</f>
        <v>#N/A</v>
      </c>
      <c r="FZ125" s="39" t="e">
        <f>Исходн.данные.!M125*GS125*GZ125/HG125</f>
        <v>#N/A</v>
      </c>
      <c r="GA125" s="39" t="e">
        <f>IF(K_Wyn=$FY$16,0,IF(Исходн.данные.!N125=Исходн.данные.!$L$10,Исходн.данные.!O125/1.1*GS125*HC125/HH125,IF(Исходн.данные.!N125=Исходн.данные.!$L$12,Исходн.данные.!O125/1.5*GS125*HC125/HH125,Исходн.данные.!O125*GS125*HC125/HH125)))</f>
        <v>#N/A</v>
      </c>
      <c r="GB125" s="39" t="e">
        <f>IF(HF125=$FY$16,0,((Исходн.данные.!Q125*N_Org+Исходн.данные.!R125*N_Sider+Исходн.данные.!S125*N_Soloma)*AO125+Расчет!BC125*VLOOKUP(Исходн.данные.!T125,Справ!$A$3:$O$57,15)*AO125+BB125*VLOOKUP(Исходн.данные.!T125,Справ!$A$3:$O$57,15)*AL125+(Исходн.данные.!V125*N_Rizotorf+Исходн.данные.!W125*N_Rizoagr))/HF125)</f>
        <v>#N/A</v>
      </c>
      <c r="GC125" s="39" t="e">
        <f>IF(HG125=$FY$16,0,((Исходн.данные.!Q125*Р_Org+Исходн.данные.!R125*P_Sider+Исходн.данные.!S125*P_Soloma)*AP125+Расчет!BC125*VLOOKUP(Исходн.данные.!T125,Справ!$A$3:$P$57,16)*AP125+BB125*VLOOKUP(Исходн.данные.!T125,Справ!$A$3:$P$57,16)*AM125)/HG125)</f>
        <v>#N/A</v>
      </c>
      <c r="GD125" s="39" t="e">
        <f>IF(HH125=$FY$16,0,((Исходн.данные.!Q125*К_Org+Исходн.данные.!R125*K_Sider+Исходн.данные.!S125*K_Soloma)*AQ125+Расчет!BC125*VLOOKUP(Исходн.данные.!T125,Справ!$A$3:$Q$57,17)*AQ125+BB125*VLOOKUP(Исходн.данные.!T125,Справ!$A$3:$Q$57,17)*AN125)/HH125)</f>
        <v>#N/A</v>
      </c>
      <c r="GE125" s="39" t="e">
        <f>IF(HF125=$FY$16,0,(Исходн.данные.!X125*AR125+Исходн.данные.!AA125*N_Org*AL125+Исходн.данные.!AB125*N_Sider*AL125+Исходн.данные.!AC125*N_Soloma*AL125)/HF125)</f>
        <v>#N/A</v>
      </c>
      <c r="GF125" s="39" t="e">
        <f>IF(HG125=$FY$16,0,(Исходн.данные.!Y125*AS125+Исходн.данные.!AA125*Р_Org*AM125+Исходн.данные.!AB125*P_Sider*AM125+Исходн.данные.!AC125*P_Soloma*AM125)/HG125)</f>
        <v>#N/A</v>
      </c>
      <c r="GG125" s="39" t="e">
        <f>IF(HH125=$FY$16,0,(Исходн.данные.!Z125*AT125+Исходн.данные.!AA125*К_Org*AN125+Исходн.данные.!AB125*K_Sider*AN125+Исходн.данные.!AC125*K_Soloma*AN125)/HH125)</f>
        <v>#N/A</v>
      </c>
      <c r="GH125" s="39" t="e">
        <f>Исходн.данные.!AD125*AU125/HF125</f>
        <v>#N/A</v>
      </c>
      <c r="GI125" s="39" t="e">
        <f>Исходн.данные.!AE125*AV125/HG125</f>
        <v>#N/A</v>
      </c>
      <c r="GJ125" s="39" t="e">
        <f>Исходн.данные.!AF125*AW125/HH125</f>
        <v>#N/A</v>
      </c>
      <c r="GK125" s="55">
        <f>Исходн.данные.!AK125</f>
        <v>0</v>
      </c>
      <c r="GL125" s="11" t="e">
        <f t="shared" si="187"/>
        <v>#N/A</v>
      </c>
      <c r="GM125" s="11" t="e">
        <f t="shared" si="188"/>
        <v>#N/A</v>
      </c>
      <c r="GN125" s="11" t="e">
        <f t="shared" si="189"/>
        <v>#N/A</v>
      </c>
      <c r="GO125" s="57">
        <f t="shared" si="190"/>
        <v>19</v>
      </c>
      <c r="GP125" s="55">
        <f>IF(OR(Исходн.данные.!F125=$CE$1,Исходн.данные.!F125=$CE$2,Исходн.данные.!F125=$CE$3,Исходн.данные.!F125=$CE$4,Исходн.данные.!F125=$CE$5),GQ125,GR125)</f>
        <v>19</v>
      </c>
      <c r="GQ125" s="55">
        <f>IF(Исходн.данные.!F125=$CE$1,28,IF(Исходн.данные.!F125=$CE$2,26,IF(Исходн.данные.!F125=$CE$3,24,IF(Исходн.данные.!F125=$CE$4,22,IF(Исходн.данные.!F125=$CE$5,20,GR125)))))</f>
        <v>19</v>
      </c>
      <c r="GR125" s="55">
        <f>IF(Исходн.данные.!F125=$CE$6,18,IF(Исходн.данные.!F125=$CE$7,16,IF(Исходн.данные.!F125=$CE$8,14,IF(Исходн.данные.!F125=$CE$9,13,IF(Исходн.данные.!F125=$CE$10,12,19)))))</f>
        <v>19</v>
      </c>
      <c r="GS125" s="55">
        <f>IF(Исходн.данные.!G125="Пес",0.035*(40+2*Исходн.данные.!H125),IF(Исходн.данные.!G125="Суп",0.0325*(40+2*Исходн.данные.!H125),0.03*(40+2*Исходн.данные.!H125)))</f>
        <v>1.2</v>
      </c>
      <c r="GT125" s="55">
        <f>IF(Исходн.данные.!H125&lt;23,2.6,IF(AND(Исходн.данные.!H125&gt;22,Исходн.данные.!H125&lt;26),3,IF(AND(Исходн.данные.!H125&gt;25,Исходн.данные.!H125&lt;29),3.4,3.6)))</f>
        <v>2.6</v>
      </c>
      <c r="GU125" s="55">
        <f>IF(Исходн.данные.!H125&lt;23,2.8,IF(AND(Исходн.данные.!H125&gt;22,Исходн.данные.!H125&lt;26),3.2,IF(AND(Исходн.данные.!H125&gt;25,Исходн.данные.!H125&lt;29),3.6,3.9)))</f>
        <v>2.8</v>
      </c>
      <c r="GV125" s="55">
        <f>IF(Исходн.данные.!H125&lt;23,3,IF(AND(Исходн.данные.!H125&gt;22,Исходн.данные.!H125&lt;26),3.5,IF(AND(Исходн.данные.!H125&gt;25,Исходн.данные.!H125&lt;29),3.9,4.2)))</f>
        <v>3</v>
      </c>
      <c r="GW125" s="55" t="e">
        <f>IF(Исходн.данные.!P125="Ум",GX125,GY125)</f>
        <v>#N/A</v>
      </c>
      <c r="GX125" s="55" t="e">
        <f>VLOOKUP(Исходн.данные.!AI125,Коэффициенты!$J$7:$L$13,2,FALSE)</f>
        <v>#N/A</v>
      </c>
      <c r="GY125" s="55" t="e">
        <f>VLOOKUP(Исходн.данные.!AI125,Коэффициенты!$J$7:$L$13,3,FALSE)</f>
        <v>#N/A</v>
      </c>
      <c r="GZ125" s="55" t="e">
        <f>(IF(Исходн.данные.!M125&lt;50,0.11*VLOOKUP(Исходн.данные.!AH125,Культуры.Информация,7,FALSE),IF(Исходн.данные.!M125&gt;250,0.05*VLOOKUP(Исходн.данные.!AH125,Культуры.Информация,7,FALSE),VLOOKUP(Исходн.данные.!AH125,Культуры.Информация,5,FALSE)/100*($GX$6+$GY$6*Исходн.данные.!M125))))*Расчет2!AI125</f>
        <v>#N/A</v>
      </c>
      <c r="HA125" s="211"/>
      <c r="HB125" s="211"/>
      <c r="HC125" s="55" t="e">
        <f>(IF(Исходн.данные.!O125&lt;80,0.2*VLOOKUP(Исходн.данные.!AH125,Культуры.Информация,8,FALSE),IF(Исходн.данные.!O125&gt;240,0.09*VLOOKUP(Исходн.данные.!AH125,Культуры.Информация,8,FALSE),VLOOKUP(Исходн.данные.!AH125,Культуры.Информация,6,FALSE)/100*($HB$6+$HC$6*Исходн.данные.!O125))))*Расчет2!AJ125</f>
        <v>#N/A</v>
      </c>
      <c r="HD125" s="55">
        <f>IF(Исходн.данные.!O125&gt;240,0.09,IF(Исходн.данные.!O125&lt;30,0.3,$HE$10+$HD$10*Исходн.данные.!O125))</f>
        <v>0.3</v>
      </c>
      <c r="HE125" s="55">
        <f>IF(Исходн.данные.!O125&gt;240,0.17,IF(Исходн.данные.!O125&lt;30,0.5,$HF$12+$HE$12*Исходн.данные.!O125))</f>
        <v>0.5</v>
      </c>
      <c r="HF125" s="55" t="e">
        <f>VLOOKUP(Исходн.данные.!AH125,Справ!$A$3:$D$58,2,FALSE)</f>
        <v>#N/A</v>
      </c>
      <c r="HG125" s="55" t="e">
        <f>VLOOKUP(Исходн.данные.!AH125,Справ!$A$3:$D$58,3,FALSE)</f>
        <v>#N/A</v>
      </c>
      <c r="HH125" s="55" t="e">
        <f>VLOOKUP(Исходн.данные.!AH125,Справ!$A$3:$D$58,4,FALSE)</f>
        <v>#N/A</v>
      </c>
      <c r="HI125" s="11" t="e">
        <f t="shared" si="191"/>
        <v>#N/A</v>
      </c>
      <c r="HJ125" s="11" t="e">
        <f t="shared" si="192"/>
        <v>#N/A</v>
      </c>
      <c r="HK125" s="11" t="e">
        <f t="shared" si="193"/>
        <v>#N/A</v>
      </c>
      <c r="HL125" s="55">
        <f>IF(OR(Исходн.данные.!G125="Глин",Исходн.данные.!G125="Т_суг"),1.1,IF(Исходн.данные.!G125="Ср_суг",1,1))</f>
        <v>1</v>
      </c>
      <c r="HM125" s="55">
        <f>IF(OR(Исходн.данные.!G125="Глин",Исходн.данные.!G125="Т_суг"),0.9,IF(Исходн.данные.!G125="Ср_суг",1,1.2))</f>
        <v>1.2</v>
      </c>
      <c r="HN125" s="11" t="e">
        <f t="shared" si="194"/>
        <v>#N/A</v>
      </c>
      <c r="HO125" s="11" t="e">
        <f t="shared" si="195"/>
        <v>#N/A</v>
      </c>
      <c r="HP125" s="11" t="e">
        <f t="shared" si="196"/>
        <v>#N/A</v>
      </c>
      <c r="HQ125" t="e">
        <f t="shared" si="197"/>
        <v>#N/A</v>
      </c>
      <c r="HR125" t="e">
        <f t="shared" si="198"/>
        <v>#N/A</v>
      </c>
      <c r="HS125" t="e">
        <f t="shared" si="199"/>
        <v>#N/A</v>
      </c>
      <c r="HT125" t="e">
        <f t="shared" si="145"/>
        <v>#N/A</v>
      </c>
      <c r="HU125" t="e">
        <f t="shared" si="146"/>
        <v>#N/A</v>
      </c>
      <c r="HV125" t="e">
        <f t="shared" si="147"/>
        <v>#N/A</v>
      </c>
      <c r="HW125" t="e">
        <f t="shared" si="148"/>
        <v>#N/A</v>
      </c>
      <c r="HX125" t="e">
        <f t="shared" si="149"/>
        <v>#N/A</v>
      </c>
      <c r="HY125" t="e">
        <f t="shared" si="150"/>
        <v>#N/A</v>
      </c>
      <c r="HZ125" s="55">
        <f>IF(OR(Исходн.данные.!AI125="Оз_Ч_П",Исходн.данные.!AI125="Оз_З_П",Исходн.данные.!AI125="Яр_зер"),12,30)</f>
        <v>30</v>
      </c>
      <c r="IA125" t="e">
        <f t="shared" si="200"/>
        <v>#N/A</v>
      </c>
      <c r="IB125" t="e">
        <f t="shared" si="201"/>
        <v>#N/A</v>
      </c>
      <c r="IC125" t="e">
        <f t="shared" si="202"/>
        <v>#N/A</v>
      </c>
      <c r="ID125" s="11" t="e">
        <f t="shared" si="203"/>
        <v>#N/A</v>
      </c>
      <c r="IE125" s="11" t="e">
        <f t="shared" si="204"/>
        <v>#N/A</v>
      </c>
      <c r="IF125" s="11" t="e">
        <f t="shared" si="205"/>
        <v>#N/A</v>
      </c>
    </row>
    <row r="126" spans="35:240" x14ac:dyDescent="0.2">
      <c r="AI126">
        <f>IF(Исходн.данные.!I126&gt;6,1,1.85-(0.148*Исходн.данные.!I126))</f>
        <v>1.85</v>
      </c>
      <c r="AJ126">
        <f>IF(Исходн.данные.!I126&gt;6,1,2.434-(0.246*Исходн.данные.!I126))</f>
        <v>2.4340000000000002</v>
      </c>
      <c r="AL126" s="148" t="b">
        <f>IF(Исходн.данные.!$P126="Ум",N_OrgUd_2g_um,IF(Исходн.данные.!$P126="Об",N_OrgUd_2g_ob))</f>
        <v>0</v>
      </c>
      <c r="AM126" s="148" t="b">
        <f>IF(Исходн.данные.!$P126="Ум",P_OrgUd_2g_um,IF(Исходн.данные.!$P126="Об",P_OrgUd_2g_ob))</f>
        <v>0</v>
      </c>
      <c r="AN126" s="148" t="b">
        <f>IF(Исходн.данные.!$P126="Ум",K_OrgUd_2g_um,IF(Исходн.данные.!$P126="Об",K_OrgUd_2g_ob))</f>
        <v>0</v>
      </c>
      <c r="AO126" s="148" t="b">
        <f>IF(Исходн.данные.!$P126="Ум",N_OrgUd_1g_um,IF(Исходн.данные.!$P126="Об",N_OrgUd_1g_ob))</f>
        <v>0</v>
      </c>
      <c r="AP126" s="148" t="b">
        <f>IF(Исходн.данные.!$P126="Ум",P_OrgUd_1g_um,IF(Исходн.данные.!$P126="Об",P_OrgUd_1g_ob))</f>
        <v>0</v>
      </c>
      <c r="AQ126" s="148" t="b">
        <f>IF(Исходн.данные.!$P126="Ум",K_OrgUd_1g_um,IF(Исходн.данные.!$P126="Об",K_OrgUd_1g_ob))</f>
        <v>0</v>
      </c>
      <c r="AR126" t="b">
        <f>IF(Исходн.данные.!$P126="Ум",N_MinUd_2g_um,IF(Исходн.данные.!$P126="Об",N_MinUd_2g_ob))</f>
        <v>0</v>
      </c>
      <c r="AS126" t="b">
        <f>IF(Исходн.данные.!$P126="Ум",P_MinUd_2g_um,IF(Исходн.данные.!$P126="Об",P_MinUd_2g_ob))</f>
        <v>0</v>
      </c>
      <c r="AT126" t="b">
        <f>IF(Исходн.данные.!$P126="Ум",K_MinUd_2g_um,IF(Исходн.данные.!$P126="Об",K_MinUd_2g_ob))</f>
        <v>0</v>
      </c>
      <c r="AU126" t="b">
        <f>IF(Исходн.данные.!$P126="Ум",N_MinUd_1g_um,IF(Исходн.данные.!$P126="Об",N_MinUd_1g_ob))</f>
        <v>0</v>
      </c>
      <c r="AV126" t="b">
        <f>IF(Исходн.данные.!P126="Ум",P_MinUd_1g_um,IF(Исходн.данные.!P126="Об",P_MinUd_1g_ob))</f>
        <v>0</v>
      </c>
      <c r="AW126" t="b">
        <f>IF(Исходн.данные.!P126="Ум",K_MinUd_1g_um,IF(Исходн.данные.!P126="Об",K_MinUd_1g_ob))</f>
        <v>0</v>
      </c>
      <c r="AY126" t="e">
        <f>VLOOKUP(Исходн.данные.!T126,Справ!$A$3:$N$57,12)</f>
        <v>#N/A</v>
      </c>
      <c r="AZ126" t="e">
        <f>VLOOKUP(Исходн.данные.!T126,Справ!$A$3:$N$57,13)</f>
        <v>#N/A</v>
      </c>
      <c r="BA126" t="e">
        <f>VLOOKUP(Исходн.данные.!T126,Справ!$A$3:$N$57,14)</f>
        <v>#N/A</v>
      </c>
      <c r="BB126">
        <f>IF(Исходн.данные.!AH126=0,0,25)</f>
        <v>0</v>
      </c>
      <c r="BC126" s="141">
        <f>IF(Исходн.данные.!AH126=0,0,IF(Исходн.данные.!T126=0,25,BD126))</f>
        <v>0</v>
      </c>
      <c r="BD126" s="168" t="e">
        <f>AY126+AZ126*Исходн.данные.!U126-POWER(BA126,2)*Исходн.данные.!U126</f>
        <v>#N/A</v>
      </c>
      <c r="BE12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6" s="25">
        <f>IF(Исходн.данные.!AH126=0,0,MIN(HN126:HP126))</f>
        <v>0</v>
      </c>
      <c r="BG126" s="9">
        <f>IF(Исходн.данные.!AH126=0,0,IF((HO126+10*0.25/HG126/HL126)&lt;17,17,HO126+10*0.25/HG126/HL126))</f>
        <v>0</v>
      </c>
      <c r="BH126" s="181">
        <f>IF(Исходн.данные.!AH126=0,0,HW126*HF126*HL126/AU126*AI126+Исходн.данные.!S126*10)</f>
        <v>0</v>
      </c>
      <c r="BI126" s="10"/>
      <c r="BJ126" s="182">
        <f>IF(Исходн.данные.!AH126=0,0,IF(HX126*HG126*HL126/AV126&lt;0,0,HX126*HG126*HL126/AV126*AJ126))</f>
        <v>0</v>
      </c>
      <c r="BK126" s="182">
        <f>IF(Исходн.данные.!AH126=0,0,HY126*HH126*HM126/AW126)</f>
        <v>0</v>
      </c>
      <c r="BL126" s="10">
        <f>IF(OR(Исходн.данные.!$AH126=$BP$1,Исходн.данные.!$AH126=$BP$2),0,IF(BH126&lt;0,0,IF(OR(Исходн.данные.!T126=Расчет!$BP$1,Исходн.данные.!T126=Расчет!$BP$2,Исходн.данные.!T126=Расчет!$BT$5,Исходн.данные.!T126=Расчет!$BT$6),BH126*0.5,IF(OR(Исходн.данные.!T126=Расчет!$BS$9,Исходн.данные.!T126=Расчет!$BS$10,Исходн.данные.!T126=Расчет!$BS$11,Исходн.данные.!T126=Расчет!$BS$12,Исходн.данные.!T126=Расчет!$BP$5),BH126*0.8,BH126))))</f>
        <v>0</v>
      </c>
      <c r="BM126" s="10">
        <f>IF(OR(Исходн.данные.!$AH126=$BP$1,Исходн.данные.!$AH126=$BP$2),0,IF(BJ126&lt;0,0,IF(Исходн.данные.!I126&lt;4.5,BJ126*1.2,IF(Исходн.данные.!I126&gt;5.1,BJ126,BJ126*((5.1-Исходн.данные.!I126)*0.333+1)))))</f>
        <v>0</v>
      </c>
      <c r="BN126" s="10">
        <f>IF(OR(Исходн.данные.!$AH126=$BP$1,Исходн.данные.!$AH126=$BP$2),60-Исходн.данные.!AF126,IF(BK126&lt;0,0,IF(Исходн.данные.!I126&lt;4.5,BK126*1.2,IF(Исходн.данные.!I126&gt;5.1,BK126,BK126*((5.1-Исходн.данные.!I126)*0.333+1)))))</f>
        <v>0</v>
      </c>
      <c r="BO126" s="9">
        <f>IF(BL126&lt;0,0,BL126*Исходн.данные.!$AJ126/1000)</f>
        <v>0</v>
      </c>
      <c r="BP126" s="9">
        <f>IF(BM126&lt;0,0,BM126*Исходн.данные.!$AJ126/1000)</f>
        <v>0</v>
      </c>
      <c r="BQ126" s="9">
        <f>IF(BN126&lt;0,0,BN126*Исходн.данные.!$AJ126/1000)</f>
        <v>0</v>
      </c>
      <c r="BR126" s="9">
        <f t="shared" si="155"/>
        <v>0</v>
      </c>
      <c r="BS126" s="10" t="str">
        <f t="shared" si="156"/>
        <v>Аммофос 12:52:00</v>
      </c>
      <c r="BT126" s="10" t="str">
        <f t="shared" si="157"/>
        <v>Аммофос 12:52:00</v>
      </c>
      <c r="BU126" s="10" t="str">
        <f t="shared" si="158"/>
        <v>Диаммофоска</v>
      </c>
      <c r="BV126" s="10">
        <f t="shared" si="159"/>
        <v>0</v>
      </c>
      <c r="BW126" s="10"/>
      <c r="BX126" s="10"/>
      <c r="BY126" s="9">
        <f>IF(BL126&lt;0,0,IF(OR(Исходн.данные.!AI126=Расчет!$BU$6,Исходн.данные.!AI126=Расчет!$BU$7),Расчет!BV126,IF(Исходн.данные.!$AG126=$BV$11,BL126,IF(OR(Исходн.данные.!$AH126=$BQ$7,Исходн.данные.!$AH126=$BQ$8),CB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0,IF(Исходн.данные.!$AI126=$BU$11,"Нет",IF(BL126&gt;30,30,BL126)))))))</f>
        <v>0</v>
      </c>
      <c r="BZ126" s="9">
        <f>IF(AND(Исходн.данные.!$AG126=$BV$11,BM126&lt;10),10,IF(Исходн.данные.!$AG126=$BV$11,BM126,IF(OR(Исходн.данные.!$AH126=$BQ$7,Исходн.данные.!$AH126=$BQ$8),CC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10,IF(Исходн.данные.!$AI126=$BU$11,"Нет",IF(BM126&gt;60,60,IF(BM126&lt;10,10,BM126)))))))</f>
        <v>10</v>
      </c>
      <c r="CA126" s="39">
        <f>IF(BN126&lt;0,0,IF(Исходн.данные.!$AG126=$BV$11,BN126,IF(OR(Исходн.данные.!$AH126=$BQ$7,Исходн.данные.!$AH126=$BQ$8),CD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0,IF(Исходн.данные.!$AI126=$BU$11,"Нет",IF(BN126&gt;30,30,BN126))))))</f>
        <v>0</v>
      </c>
      <c r="CB126" s="9">
        <f t="shared" si="160"/>
        <v>0</v>
      </c>
      <c r="CC126" s="9">
        <f t="shared" si="161"/>
        <v>0</v>
      </c>
      <c r="CD126" s="9">
        <f t="shared" si="162"/>
        <v>0</v>
      </c>
      <c r="CE126" s="12">
        <f t="shared" si="163"/>
        <v>10</v>
      </c>
      <c r="CF126" s="9">
        <f t="shared" si="164"/>
        <v>0</v>
      </c>
      <c r="CG126" s="9" t="s">
        <v>231</v>
      </c>
      <c r="CH126" s="132" t="str">
        <f>IF(Исходн.данные.!AP126=Расчет!$CI$16,"Нет",IF(Исходн.данные.!AL126&gt;0,Исходн.данные.!AL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BH$4,IF(OR(Исходн.данные.!AI126=Исходн.данные.!$AI$6,Исходн.данные.!AI126=Исходн.данные.!$AI$7),Расчет!BS126,IF(AND($CF126=0,$CE126&gt;0),EV126,ER126)))))</f>
        <v>Аммофос 12:52:00</v>
      </c>
      <c r="CI126" s="274">
        <f>IF(Расчет!$CH126="Нет","Нет",IF(Исходн.данные.!$AL126&gt;0,VLOOKUP(Расчет!$CH126,АшламаДВ_Irekle,2,FALSE),VLOOKUP(Расчет!$CH126,АшламаДВ_Gomumy,2,FALSE)))</f>
        <v>0.12</v>
      </c>
      <c r="CJ126" s="274">
        <f>IF(Расчет!$CH126="Нет","Нет",IF(Исходн.данные.!$AL126&gt;0,VLOOKUP(Расчет!$CH126,АшламаДВ_Irekle,3,FALSE),VLOOKUP(Расчет!$CH126,АшламаДВ_Gomumy,3,FALSE)))</f>
        <v>0.52</v>
      </c>
      <c r="CK126" s="274">
        <f>IF(Расчет!$CH126="Нет","Нет",IF(Исходн.данные.!$AL126&gt;0,VLOOKUP(Расчет!$CH126,АшламаДВ_Irekle,4,FALSE),VLOOKUP(Расчет!$CH126,АшламаДВ_Gomumy,4,FALSE)))</f>
        <v>0</v>
      </c>
      <c r="CL126" s="70"/>
      <c r="CM126" s="70"/>
      <c r="CN126" s="70"/>
      <c r="CO126" s="70"/>
      <c r="CP126" s="70"/>
      <c r="CQ126" s="70"/>
      <c r="CR126" s="10">
        <f t="shared" si="165"/>
        <v>0</v>
      </c>
      <c r="CS126" s="10">
        <f t="shared" si="166"/>
        <v>19.23076923076923</v>
      </c>
      <c r="CT126" s="10">
        <f t="shared" si="167"/>
        <v>0</v>
      </c>
      <c r="CU126" s="39">
        <f>IF($CH126="Нет",0,IF(CI126=0,30/MIN(CJ126:CK126),IF(Исходн.данные.!$AG126=$BV$11,CR126,IF(OR(Исходн.данные.!$AH126=$BQ$7,Исходн.данные.!$AH126=$BQ$8),90/CI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0,IF(Исходн.данные.!$AI126=$BU$11,"Нет",30/CI126))))))</f>
        <v>250</v>
      </c>
      <c r="CV126" s="39">
        <f>IF($CH126="Нет",0,IF(Исходн.данные.!AH126=0,0,IF(CJ126=0,60/MIN(CI126,CK126),IF(Исходн.данные.!$AG126=$BV$11,CS126,IF(OR(Исходн.данные.!$AH126=$BQ$7,Исходн.данные.!$AH126=$BQ$8),90/CJ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10/CJ126,IF(Исходн.данные.!$AI126=$BU$11,"Нет",60/CJ126)))))))</f>
        <v>0</v>
      </c>
      <c r="CW126" s="39">
        <f>IF($CH126="Нет",0,IF(Исходн.данные.!AH126=0,0,IF(CK126=0,30/MIN(CI126:CJ126),IF(Исходн.данные.!$AG126=$BV$11,CT126,IF(OR(Исходн.данные.!$AH126=$BQ$7,Исходн.данные.!$AH126=$BQ$8),90/CK126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0,IF(Исходн.данные.!$AI126=$BU$11,"Нет",30/CK126)))))))</f>
        <v>0</v>
      </c>
      <c r="CX126" s="133">
        <f>IF(Исходн.данные.!$AG126=$BV$11,MAX(CU126:CW126),IF(OR(Исходн.данные.!$AH126=$BS$8,Исходн.данные.!$AH126=$BQ$9,Исходн.данные.!$AH126=$BQ$10,Исходн.данные.!$AH126=$BQ$11,Исходн.данные.!$AH126=$BQ$12,Исходн.данные.!$AH126=$BP$3,Исходн.данные.!$AH126=$BT$8,$FM126="Да"),CV126,MIN(CU126:CW126)))</f>
        <v>0</v>
      </c>
      <c r="CY126" s="133">
        <f>IF(Исходн.данные.!AH126=0,0,IF(CR126&gt;$CX126,$CX126,CR126))</f>
        <v>0</v>
      </c>
      <c r="CZ126" s="133">
        <f>IF(Исходн.данные.!AH126=0,0,IF(CS126&gt;$CX126,$CX126,CS126))</f>
        <v>0</v>
      </c>
      <c r="DA126" s="133">
        <f>IF(Исходн.данные.!AH126=0,0,IF(CT126&gt;$CX126,$CX126,CT126))</f>
        <v>0</v>
      </c>
      <c r="DB126" s="10">
        <f t="shared" si="168"/>
        <v>0</v>
      </c>
      <c r="DC126" s="39">
        <f>DB126*Исходн.данные.!AJ126/1000</f>
        <v>0</v>
      </c>
      <c r="DD126" s="71">
        <f t="shared" si="169"/>
        <v>0</v>
      </c>
      <c r="DE126" s="9">
        <f t="shared" si="170"/>
        <v>0</v>
      </c>
      <c r="DF126" s="9">
        <f t="shared" si="171"/>
        <v>0</v>
      </c>
      <c r="DG126" s="39">
        <f>IF(BL126&lt;0,0,IF($CH126="Нет",BL126,IF(OR(Исходн.данные.!$AH126=$BP$1,Исходн.данные.!$AH126=$BP$2),0,IF(Исходн.данные.!AI126=$BU$11,BL126,IF(BL126-DD126&lt;0,0,BL126-DD126)))))</f>
        <v>0</v>
      </c>
      <c r="DH126" s="39">
        <f>IF(BM126&lt;0,0,IF($CH126="Нет",BM126,IF(OR(Исходн.данные.!$AH126=$BP$1,Исходн.данные.!$AH126=$BP$2),0,IF(Исходн.данные.!AJ126=$BU$11,BM126,IF(BM126-DE126&lt;0,0,BM126-DE126)))))</f>
        <v>0</v>
      </c>
      <c r="DI126" s="39">
        <f>IF(BN126&lt;0,0,IF($CH126="Нет",BN126,IF(OR(Исходн.данные.!$AH126=$BP$1,Исходн.данные.!$AH126=$BP$2),0,IF(Исходн.данные.!AK126=$BU$11,BN126,IF(BN126-DF126&lt;0,0,BN126-DF126)))))</f>
        <v>0</v>
      </c>
      <c r="DJ126" s="12">
        <f t="shared" si="172"/>
        <v>0</v>
      </c>
      <c r="DK126" s="9">
        <f t="shared" si="173"/>
        <v>0</v>
      </c>
      <c r="DL126" s="39">
        <f>IF(Исходн.данные.!AM126&gt;0,Исходн.данные.!AM126,IF(EG126&gt;0,$BH$10,0))</f>
        <v>0</v>
      </c>
      <c r="DM126" s="186">
        <f>IF($DL126=0,0,IF(Исходн.данные.!AM126&gt;0,VLOOKUP($DL126,АшламаДВ_Irekle,2,FALSE),VLOOKUP($DL126,АшламаДВ_Gomumy,2,FALSE)))</f>
        <v>0</v>
      </c>
      <c r="DN126" s="10">
        <f t="shared" si="151"/>
        <v>0</v>
      </c>
      <c r="DO126" s="9" t="str">
        <f>IF(Исходн.данные.!AN126&gt;0,Исходн.данные.!AN126,Удобрения!$B$37 )</f>
        <v>Хлор.калий</v>
      </c>
      <c r="DP126" s="9">
        <f>IF(Исходн.данные.!AN126&gt;0,VLOOKUP(Исходн.данные.!AN126,АшламаДВ_Irekle,4,FALSE),VLOOKUP(DO126,АшламаДВ_Gomumy,4,FALSE))</f>
        <v>0.6</v>
      </c>
      <c r="DQ126" s="10">
        <f t="shared" si="152"/>
        <v>0</v>
      </c>
      <c r="DR126" s="132" t="str">
        <f>IF(Исходн.данные.!AO126&gt;0,Исходн.данные.!AO126,IF(DH126=0,BS$17,IF(AND($DK126=0,$DJ126&gt;0),EJ126,EN126)))</f>
        <v>Нет</v>
      </c>
      <c r="DS126" s="70" t="str">
        <f>IF($DR126="Нет","Нет",IF(Исходн.данные.!$AO126&gt;0,VLOOKUP($DR126,АшламаДВ_Irekle,2,FALSE),VLOOKUP($DR126,АшламаДВ_Gomumy,2,FALSE)))</f>
        <v>Нет</v>
      </c>
      <c r="DT126" s="70" t="str">
        <f>IF($DR126="Нет","Нет",IF(Исходн.данные.!$AO126&gt;0,VLOOKUP($DR126,АшламаДВ_Irekle,3,FALSE),VLOOKUP($DR126,АшламаДВ_Gomumy,3,FALSE)))</f>
        <v>Нет</v>
      </c>
      <c r="DU126" s="70" t="str">
        <f>IF($DR126="Нет","Нет",IF(Исходн.данные.!$AO126&gt;0,VLOOKUP($DR126,АшламаДВ_Irekle,4,FALSE),VLOOKUP($DR126,АшламаДВ_Gomumy,4,FALSE)))</f>
        <v>Нет</v>
      </c>
      <c r="DV126" s="70"/>
      <c r="DW126" s="70"/>
      <c r="DX126" s="70"/>
      <c r="DY126" s="10">
        <f t="shared" si="174"/>
        <v>0</v>
      </c>
      <c r="DZ126" s="10">
        <f t="shared" si="175"/>
        <v>0</v>
      </c>
      <c r="EA126" s="10">
        <f t="shared" si="176"/>
        <v>0</v>
      </c>
      <c r="EB126" s="10">
        <f t="shared" si="177"/>
        <v>0</v>
      </c>
      <c r="EC126" s="10">
        <f t="shared" si="178"/>
        <v>0</v>
      </c>
      <c r="ED126" s="10">
        <f t="shared" si="179"/>
        <v>0</v>
      </c>
      <c r="EE126" s="10">
        <f t="shared" si="180"/>
        <v>0</v>
      </c>
      <c r="EF126" s="39">
        <f>EB126*Исходн.данные.!AJ126/1000</f>
        <v>0</v>
      </c>
      <c r="EG126" s="9">
        <f t="shared" si="181"/>
        <v>0</v>
      </c>
      <c r="EH126" s="9">
        <f t="shared" si="182"/>
        <v>0</v>
      </c>
      <c r="EI126" s="39" t="e">
        <f t="shared" si="132"/>
        <v>#DIV/0!</v>
      </c>
      <c r="EJ126" s="9" t="str">
        <f t="shared" si="153"/>
        <v>Азопреципитат</v>
      </c>
      <c r="EK126" s="12">
        <f t="shared" si="133"/>
        <v>0.26</v>
      </c>
      <c r="EL126" s="12">
        <f t="shared" si="134"/>
        <v>0.13</v>
      </c>
      <c r="EM126" s="12">
        <f t="shared" si="135"/>
        <v>0</v>
      </c>
      <c r="EN126" s="12" t="str">
        <f t="shared" si="154"/>
        <v>Нет</v>
      </c>
      <c r="EO126" s="12">
        <f t="shared" si="136"/>
        <v>0</v>
      </c>
      <c r="EP126" s="12">
        <f t="shared" si="137"/>
        <v>0</v>
      </c>
      <c r="EQ126" s="12">
        <f t="shared" si="138"/>
        <v>0</v>
      </c>
      <c r="ER126" s="12" t="str">
        <f t="shared" si="183"/>
        <v>Диаммофоска</v>
      </c>
      <c r="ES126" s="12">
        <f t="shared" si="139"/>
        <v>0.1</v>
      </c>
      <c r="ET126" s="12">
        <f t="shared" si="140"/>
        <v>0.26</v>
      </c>
      <c r="EU126" s="12">
        <f t="shared" si="141"/>
        <v>0.26</v>
      </c>
      <c r="EV126" s="12" t="str">
        <f t="shared" si="184"/>
        <v>Аммофос 12:52:00</v>
      </c>
      <c r="EW126" s="12" t="str">
        <f t="shared" si="185"/>
        <v>Кемира Свекловичное-6</v>
      </c>
      <c r="EX126" s="12">
        <f t="shared" si="142"/>
        <v>0.16</v>
      </c>
      <c r="EY126" s="12">
        <f t="shared" si="143"/>
        <v>0.12</v>
      </c>
      <c r="EZ126" s="12">
        <f t="shared" si="144"/>
        <v>0.17</v>
      </c>
      <c r="FA126" s="38" t="e">
        <f>IF(AND(OR(FJ126=$FD$1,FM126=$FD$1,FO126=$FD$1,FQ126=$FD$1,FS126=$FD$1),FD126=$FD$1,Исходн.данные.!J126&lt;2,FU126=$FD$1),"Бор,Кобальт",IF(AND(FO126=$FD$1,FH126=$FD$1,Исходн.данные.!J126&lt;2,FU126=$FD$1),"Бор,Кобальт",IF(AND(OR(FJ126=$FD$1,FM126=$FD$1,FQ126=$FD$1),FE126=$FD$1,Исходн.данные.!J126&lt;2,FT126=$FD$1,FU126=$FD$1),"Бор,Медь,Цинк",IF(AND(OR(FJ126=$FD$1,FR126="Да"),FI126="Да",Исходн.данные.!J126&lt;2,FT126="Да",FU126="Да"),"Бор,Цинк,Медь",IF(AND(OR(FM126="Да",FQ126="Да"),FI126="Да",Исходн.данные.!J126&lt;2,FT126="Да",FU126="Да"),"Бор,Цинк",IF(AND(FN126="Да",OR(FD126="Да",FE126="Да")),"Бор",FB126))))))</f>
        <v>#N/A</v>
      </c>
      <c r="FB126" s="134" t="e">
        <f>IF(AND(OR(FD126="Да",FE126="Да",FF126="Да",FG126="Да",FH126="Да"),FO126="Да"),"Бор",IF(AND(FP126="Да",OR(FD126="Да",FE126="Да",FI126="Да")),"Бор",IF(AND(FS126="Да",FE126="Да"),"Бор,Медь",IF(AND(OR(FJ126="Да",FK126="Да",FL126="Да"),FE126="Да",Исходн.данные.!I126&lt;5,FT126="Да",FU126="Да"),"Молибден,Цинк",IF(AND(FM126="Да",OR(FE126="Да",FF126="Да",FG126="Да",FH126="Да",FI126="Да")),"Молибден,Цинк",IF(AND(OR(FJ126="Да",FK126="Да",FL126="Да",FM126="Да",FQ126="Да"),OR(FE126="Да",FF126="Да"),FT126="Да",FU126="Да",Исходн.данные.!I126&gt;5.5),"Медь,Цинк",FC126))))))</f>
        <v>#N/A</v>
      </c>
      <c r="FC126" s="23" t="e">
        <f t="shared" si="186"/>
        <v>#N/A</v>
      </c>
      <c r="FD126" s="38" t="str">
        <f>IF(OR(Исходн.данные.!F126=$CC$1,Исходн.данные.!F126=$CC$2,Исходн.данные.!F126=$CC$3,Исходн.данные.!F126=$CC$4),"Да","Нет")</f>
        <v>Нет</v>
      </c>
      <c r="FE126" s="38" t="str">
        <f>IF(Исходн.данные.!F126=$CC$5,"Да","Нет")</f>
        <v>Нет</v>
      </c>
      <c r="FF126" s="38" t="str">
        <f>IF(OR(Исходн.данные.!F126=$CC$6,Исходн.данные.!F126=$CC$7),"Да","Нет")</f>
        <v>Нет</v>
      </c>
      <c r="FG126" s="38" t="str">
        <f>IF(OR(Исходн.данные.!F126=$CC$8,Исходн.данные.!F126=$CC$9),"Да","Нет")</f>
        <v>Нет</v>
      </c>
      <c r="FH126" s="38" t="str">
        <f>IF(Исходн.данные.!F126=$CC$10,"Да","Нет")</f>
        <v>Нет</v>
      </c>
      <c r="FI126" s="38" t="str">
        <f>IF(OR(Исходн.данные.!F126=$CC$11,Исходн.данные.!F126=$CC$12),"Да","Нет")</f>
        <v>Нет</v>
      </c>
      <c r="FJ126" s="38" t="str">
        <f>IF(OR(Исходн.данные.!AH126=$BS$1,Исходн.данные.!AH126=$BQ$11,Исходн.данные.!AH126=$BQ$12),"Да","Нет")</f>
        <v>Нет</v>
      </c>
      <c r="FK126" s="38" t="str">
        <f>IF(OR(Исходн.данные.!AH126=$BS$2,Исходн.данные.!AH126=$BS$4),"Да","Нет")</f>
        <v>Нет</v>
      </c>
      <c r="FL126" s="38" t="str">
        <f>IF(OR(Исходн.данные.!AH126=$BS$3,Исходн.данные.!AH126=$BS$5),"Да","Нет")</f>
        <v>Нет</v>
      </c>
      <c r="FM126" s="38" t="str">
        <f>IF(OR(Исходн.данные.!AH126=$BS$9,Исходн.данные.!AH126=$BS$10,Исходн.данные.!AH126=$BS$11,Исходн.данные.!AH126=$BS$12),"Да","Нет")</f>
        <v>Нет</v>
      </c>
      <c r="FN126" s="38" t="str">
        <f>IF(OR(Исходн.данные.!AH126=$BS$6,Исходн.данные.!AH126=$BP$3),"Да","Нет")</f>
        <v>Нет</v>
      </c>
      <c r="FO126" s="38" t="str">
        <f>IF(Исходн.данные.!AH126=$BQ$9,"Да","Нет")</f>
        <v>Нет</v>
      </c>
      <c r="FP126" s="38" t="str">
        <f>IF(OR(Исходн.данные.!AH126=$BS$8,Исходн.данные.!AH126=$BT$8),"Да","Нет")</f>
        <v>Нет</v>
      </c>
      <c r="FQ126" s="38" t="str">
        <f>IF(OR(Исходн.данные.!AH126=$BQ$7,Исходн.данные.!AH126=$BQ$8),"Да","Нет")</f>
        <v>Нет</v>
      </c>
      <c r="FR126" s="38" t="str">
        <f>IF(Исходн.данные.!AI126=$BU$9,"Да","Нет")</f>
        <v>Нет</v>
      </c>
      <c r="FS126" s="38" t="str">
        <f>IF(OR(Исходн.данные.!AH126=$BP$1,Исходн.данные.!AH126=$BP$2),"Да","Нет")</f>
        <v>Нет</v>
      </c>
      <c r="FT126" s="38" t="e">
        <f>IF((Исходн.данные.!K126*GO126*GS126*GW126+BL126*0.6+Исходн.данные.!Q126*4.5*0.275)&gt;90,"Да","Нет")</f>
        <v>#N/A</v>
      </c>
      <c r="FU126" s="38" t="e">
        <f>IF((Исходн.данные.!M126*GS126*GZ126+BM126*0.225)&gt;35,"Да","Нет")</f>
        <v>#N/A</v>
      </c>
      <c r="FV126" s="38" t="str">
        <f>IF(Исходн.данные.!O126&gt;175,"Да","Нет")</f>
        <v>Нет</v>
      </c>
      <c r="FW126" s="39" t="str">
        <f>IF(Исходн.данные.!I126&gt;5.5,"Да","Нет")</f>
        <v>Нет</v>
      </c>
      <c r="FX126" s="39" t="str">
        <f>IF(Исходн.данные.!J126&lt;2,"Да","Нет")</f>
        <v>Да</v>
      </c>
      <c r="FY126" s="39" t="e">
        <f>IF(HF126=$FY$16,0,Исходн.данные.!K126*GO126*GS126*GW126/HF126)</f>
        <v>#N/A</v>
      </c>
      <c r="FZ126" s="39" t="e">
        <f>Исходн.данные.!M126*GS126*GZ126/HG126</f>
        <v>#N/A</v>
      </c>
      <c r="GA126" s="39" t="e">
        <f>IF(K_Wyn=$FY$16,0,IF(Исходн.данные.!N126=Исходн.данные.!$L$10,Исходн.данные.!O126/1.1*GS126*HC126/HH126,IF(Исходн.данные.!N126=Исходн.данные.!$L$12,Исходн.данные.!O126/1.5*GS126*HC126/HH126,Исходн.данные.!O126*GS126*HC126/HH126)))</f>
        <v>#N/A</v>
      </c>
      <c r="GB126" s="39" t="e">
        <f>IF(HF126=$FY$16,0,((Исходн.данные.!Q126*N_Org+Исходн.данные.!R126*N_Sider+Исходн.данные.!S126*N_Soloma)*AO126+Расчет!BC126*VLOOKUP(Исходн.данные.!T126,Справ!$A$3:$O$57,15)*AO126+BB126*VLOOKUP(Исходн.данные.!T126,Справ!$A$3:$O$57,15)*AL126+(Исходн.данные.!V126*N_Rizotorf+Исходн.данные.!W126*N_Rizoagr))/HF126)</f>
        <v>#N/A</v>
      </c>
      <c r="GC126" s="39" t="e">
        <f>IF(HG126=$FY$16,0,((Исходн.данные.!Q126*Р_Org+Исходн.данные.!R126*P_Sider+Исходн.данные.!S126*P_Soloma)*AP126+Расчет!BC126*VLOOKUP(Исходн.данные.!T126,Справ!$A$3:$P$57,16)*AP126+BB126*VLOOKUP(Исходн.данные.!T126,Справ!$A$3:$P$57,16)*AM126)/HG126)</f>
        <v>#N/A</v>
      </c>
      <c r="GD126" s="39" t="e">
        <f>IF(HH126=$FY$16,0,((Исходн.данные.!Q126*К_Org+Исходн.данные.!R126*K_Sider+Исходн.данные.!S126*K_Soloma)*AQ126+Расчет!BC126*VLOOKUP(Исходн.данные.!T126,Справ!$A$3:$Q$57,17)*AQ126+BB126*VLOOKUP(Исходн.данные.!T126,Справ!$A$3:$Q$57,17)*AN126)/HH126)</f>
        <v>#N/A</v>
      </c>
      <c r="GE126" s="39" t="e">
        <f>IF(HF126=$FY$16,0,(Исходн.данные.!X126*AR126+Исходн.данные.!AA126*N_Org*AL126+Исходн.данные.!AB126*N_Sider*AL126+Исходн.данные.!AC126*N_Soloma*AL126)/HF126)</f>
        <v>#N/A</v>
      </c>
      <c r="GF126" s="39" t="e">
        <f>IF(HG126=$FY$16,0,(Исходн.данные.!Y126*AS126+Исходн.данные.!AA126*Р_Org*AM126+Исходн.данные.!AB126*P_Sider*AM126+Исходн.данные.!AC126*P_Soloma*AM126)/HG126)</f>
        <v>#N/A</v>
      </c>
      <c r="GG126" s="39" t="e">
        <f>IF(HH126=$FY$16,0,(Исходн.данные.!Z126*AT126+Исходн.данные.!AA126*К_Org*AN126+Исходн.данные.!AB126*K_Sider*AN126+Исходн.данные.!AC126*K_Soloma*AN126)/HH126)</f>
        <v>#N/A</v>
      </c>
      <c r="GH126" s="39" t="e">
        <f>Исходн.данные.!AD126*AU126/HF126</f>
        <v>#N/A</v>
      </c>
      <c r="GI126" s="39" t="e">
        <f>Исходн.данные.!AE126*AV126/HG126</f>
        <v>#N/A</v>
      </c>
      <c r="GJ126" s="39" t="e">
        <f>Исходн.данные.!AF126*AW126/HH126</f>
        <v>#N/A</v>
      </c>
      <c r="GK126" s="55">
        <f>Исходн.данные.!AK126</f>
        <v>0</v>
      </c>
      <c r="GL126" s="11" t="e">
        <f t="shared" si="187"/>
        <v>#N/A</v>
      </c>
      <c r="GM126" s="11" t="e">
        <f t="shared" si="188"/>
        <v>#N/A</v>
      </c>
      <c r="GN126" s="11" t="e">
        <f t="shared" si="189"/>
        <v>#N/A</v>
      </c>
      <c r="GO126" s="57">
        <f t="shared" si="190"/>
        <v>19</v>
      </c>
      <c r="GP126" s="55">
        <f>IF(OR(Исходн.данные.!F126=$CE$1,Исходн.данные.!F126=$CE$2,Исходн.данные.!F126=$CE$3,Исходн.данные.!F126=$CE$4,Исходн.данные.!F126=$CE$5),GQ126,GR126)</f>
        <v>19</v>
      </c>
      <c r="GQ126" s="55">
        <f>IF(Исходн.данные.!F126=$CE$1,28,IF(Исходн.данные.!F126=$CE$2,26,IF(Исходн.данные.!F126=$CE$3,24,IF(Исходн.данные.!F126=$CE$4,22,IF(Исходн.данные.!F126=$CE$5,20,GR126)))))</f>
        <v>19</v>
      </c>
      <c r="GR126" s="55">
        <f>IF(Исходн.данные.!F126=$CE$6,18,IF(Исходн.данные.!F126=$CE$7,16,IF(Исходн.данные.!F126=$CE$8,14,IF(Исходн.данные.!F126=$CE$9,13,IF(Исходн.данные.!F126=$CE$10,12,19)))))</f>
        <v>19</v>
      </c>
      <c r="GS126" s="55">
        <f>IF(Исходн.данные.!G126="Пес",0.035*(40+2*Исходн.данные.!H126),IF(Исходн.данные.!G126="Суп",0.0325*(40+2*Исходн.данные.!H126),0.03*(40+2*Исходн.данные.!H126)))</f>
        <v>1.2</v>
      </c>
      <c r="GT126" s="55">
        <f>IF(Исходн.данные.!H126&lt;23,2.6,IF(AND(Исходн.данные.!H126&gt;22,Исходн.данные.!H126&lt;26),3,IF(AND(Исходн.данные.!H126&gt;25,Исходн.данные.!H126&lt;29),3.4,3.6)))</f>
        <v>2.6</v>
      </c>
      <c r="GU126" s="55">
        <f>IF(Исходн.данные.!H126&lt;23,2.8,IF(AND(Исходн.данные.!H126&gt;22,Исходн.данные.!H126&lt;26),3.2,IF(AND(Исходн.данные.!H126&gt;25,Исходн.данные.!H126&lt;29),3.6,3.9)))</f>
        <v>2.8</v>
      </c>
      <c r="GV126" s="55">
        <f>IF(Исходн.данные.!H126&lt;23,3,IF(AND(Исходн.данные.!H126&gt;22,Исходн.данные.!H126&lt;26),3.5,IF(AND(Исходн.данные.!H126&gt;25,Исходн.данные.!H126&lt;29),3.9,4.2)))</f>
        <v>3</v>
      </c>
      <c r="GW126" s="55" t="e">
        <f>IF(Исходн.данные.!P126="Ум",GX126,GY126)</f>
        <v>#N/A</v>
      </c>
      <c r="GX126" s="55" t="e">
        <f>VLOOKUP(Исходн.данные.!AI126,Коэффициенты!$J$7:$L$13,2,FALSE)</f>
        <v>#N/A</v>
      </c>
      <c r="GY126" s="55" t="e">
        <f>VLOOKUP(Исходн.данные.!AI126,Коэффициенты!$J$7:$L$13,3,FALSE)</f>
        <v>#N/A</v>
      </c>
      <c r="GZ126" s="55" t="e">
        <f>(IF(Исходн.данные.!M126&lt;50,0.11*VLOOKUP(Исходн.данные.!AH126,Культуры.Информация,7,FALSE),IF(Исходн.данные.!M126&gt;250,0.05*VLOOKUP(Исходн.данные.!AH126,Культуры.Информация,7,FALSE),VLOOKUP(Исходн.данные.!AH126,Культуры.Информация,5,FALSE)/100*($GX$6+$GY$6*Исходн.данные.!M126))))*Расчет2!AI126</f>
        <v>#N/A</v>
      </c>
      <c r="HA126" s="211"/>
      <c r="HB126" s="211"/>
      <c r="HC126" s="55" t="e">
        <f>(IF(Исходн.данные.!O126&lt;80,0.2*VLOOKUP(Исходн.данные.!AH126,Культуры.Информация,8,FALSE),IF(Исходн.данные.!O126&gt;240,0.09*VLOOKUP(Исходн.данные.!AH126,Культуры.Информация,8,FALSE),VLOOKUP(Исходн.данные.!AH126,Культуры.Информация,6,FALSE)/100*($HB$6+$HC$6*Исходн.данные.!O126))))*Расчет2!AJ126</f>
        <v>#N/A</v>
      </c>
      <c r="HD126" s="55">
        <f>IF(Исходн.данные.!O126&gt;240,0.09,IF(Исходн.данные.!O126&lt;30,0.3,$HE$10+$HD$10*Исходн.данные.!O126))</f>
        <v>0.3</v>
      </c>
      <c r="HE126" s="55">
        <f>IF(Исходн.данные.!O126&gt;240,0.17,IF(Исходн.данные.!O126&lt;30,0.5,$HF$12+$HE$12*Исходн.данные.!O126))</f>
        <v>0.5</v>
      </c>
      <c r="HF126" s="55" t="e">
        <f>VLOOKUP(Исходн.данные.!AH126,Справ!$A$3:$D$58,2,FALSE)</f>
        <v>#N/A</v>
      </c>
      <c r="HG126" s="55" t="e">
        <f>VLOOKUP(Исходн.данные.!AH126,Справ!$A$3:$D$58,3,FALSE)</f>
        <v>#N/A</v>
      </c>
      <c r="HH126" s="55" t="e">
        <f>VLOOKUP(Исходн.данные.!AH126,Справ!$A$3:$D$58,4,FALSE)</f>
        <v>#N/A</v>
      </c>
      <c r="HI126" s="11" t="e">
        <f t="shared" si="191"/>
        <v>#N/A</v>
      </c>
      <c r="HJ126" s="11" t="e">
        <f t="shared" si="192"/>
        <v>#N/A</v>
      </c>
      <c r="HK126" s="11" t="e">
        <f t="shared" si="193"/>
        <v>#N/A</v>
      </c>
      <c r="HL126" s="55">
        <f>IF(OR(Исходн.данные.!G126="Глин",Исходн.данные.!G126="Т_суг"),1.1,IF(Исходн.данные.!G126="Ср_суг",1,1))</f>
        <v>1</v>
      </c>
      <c r="HM126" s="55">
        <f>IF(OR(Исходн.данные.!G126="Глин",Исходн.данные.!G126="Т_суг"),0.9,IF(Исходн.данные.!G126="Ср_суг",1,1.2))</f>
        <v>1.2</v>
      </c>
      <c r="HN126" s="11" t="e">
        <f t="shared" si="194"/>
        <v>#N/A</v>
      </c>
      <c r="HO126" s="11" t="e">
        <f t="shared" si="195"/>
        <v>#N/A</v>
      </c>
      <c r="HP126" s="11" t="e">
        <f t="shared" si="196"/>
        <v>#N/A</v>
      </c>
      <c r="HQ126" t="e">
        <f t="shared" si="197"/>
        <v>#N/A</v>
      </c>
      <c r="HR126" t="e">
        <f t="shared" si="198"/>
        <v>#N/A</v>
      </c>
      <c r="HS126" t="e">
        <f t="shared" si="199"/>
        <v>#N/A</v>
      </c>
      <c r="HT126" t="e">
        <f t="shared" si="145"/>
        <v>#N/A</v>
      </c>
      <c r="HU126" t="e">
        <f t="shared" si="146"/>
        <v>#N/A</v>
      </c>
      <c r="HV126" t="e">
        <f t="shared" si="147"/>
        <v>#N/A</v>
      </c>
      <c r="HW126" t="e">
        <f t="shared" si="148"/>
        <v>#N/A</v>
      </c>
      <c r="HX126" t="e">
        <f t="shared" si="149"/>
        <v>#N/A</v>
      </c>
      <c r="HY126" t="e">
        <f t="shared" si="150"/>
        <v>#N/A</v>
      </c>
      <c r="HZ126" s="55">
        <f>IF(OR(Исходн.данные.!AI126="Оз_Ч_П",Исходн.данные.!AI126="Оз_З_П",Исходн.данные.!AI126="Яр_зер"),12,30)</f>
        <v>30</v>
      </c>
      <c r="IA126" t="e">
        <f t="shared" si="200"/>
        <v>#N/A</v>
      </c>
      <c r="IB126" t="e">
        <f t="shared" si="201"/>
        <v>#N/A</v>
      </c>
      <c r="IC126" t="e">
        <f t="shared" si="202"/>
        <v>#N/A</v>
      </c>
      <c r="ID126" s="11" t="e">
        <f t="shared" si="203"/>
        <v>#N/A</v>
      </c>
      <c r="IE126" s="11" t="e">
        <f t="shared" si="204"/>
        <v>#N/A</v>
      </c>
      <c r="IF126" s="11" t="e">
        <f t="shared" si="205"/>
        <v>#N/A</v>
      </c>
    </row>
    <row r="127" spans="35:240" x14ac:dyDescent="0.2">
      <c r="AI127">
        <f>IF(Исходн.данные.!I127&gt;6,1,1.85-(0.148*Исходн.данные.!I127))</f>
        <v>1.85</v>
      </c>
      <c r="AJ127">
        <f>IF(Исходн.данные.!I127&gt;6,1,2.434-(0.246*Исходн.данные.!I127))</f>
        <v>2.4340000000000002</v>
      </c>
      <c r="AL127" s="148" t="b">
        <f>IF(Исходн.данные.!$P127="Ум",N_OrgUd_2g_um,IF(Исходн.данные.!$P127="Об",N_OrgUd_2g_ob))</f>
        <v>0</v>
      </c>
      <c r="AM127" s="148" t="b">
        <f>IF(Исходн.данные.!$P127="Ум",P_OrgUd_2g_um,IF(Исходн.данные.!$P127="Об",P_OrgUd_2g_ob))</f>
        <v>0</v>
      </c>
      <c r="AN127" s="148" t="b">
        <f>IF(Исходн.данные.!$P127="Ум",K_OrgUd_2g_um,IF(Исходн.данные.!$P127="Об",K_OrgUd_2g_ob))</f>
        <v>0</v>
      </c>
      <c r="AO127" s="148" t="b">
        <f>IF(Исходн.данные.!$P127="Ум",N_OrgUd_1g_um,IF(Исходн.данные.!$P127="Об",N_OrgUd_1g_ob))</f>
        <v>0</v>
      </c>
      <c r="AP127" s="148" t="b">
        <f>IF(Исходн.данные.!$P127="Ум",P_OrgUd_1g_um,IF(Исходн.данные.!$P127="Об",P_OrgUd_1g_ob))</f>
        <v>0</v>
      </c>
      <c r="AQ127" s="148" t="b">
        <f>IF(Исходн.данные.!$P127="Ум",K_OrgUd_1g_um,IF(Исходн.данные.!$P127="Об",K_OrgUd_1g_ob))</f>
        <v>0</v>
      </c>
      <c r="AR127" t="b">
        <f>IF(Исходн.данные.!$P127="Ум",N_MinUd_2g_um,IF(Исходн.данные.!$P127="Об",N_MinUd_2g_ob))</f>
        <v>0</v>
      </c>
      <c r="AS127" t="b">
        <f>IF(Исходн.данные.!$P127="Ум",P_MinUd_2g_um,IF(Исходн.данные.!$P127="Об",P_MinUd_2g_ob))</f>
        <v>0</v>
      </c>
      <c r="AT127" t="b">
        <f>IF(Исходн.данные.!$P127="Ум",K_MinUd_2g_um,IF(Исходн.данные.!$P127="Об",K_MinUd_2g_ob))</f>
        <v>0</v>
      </c>
      <c r="AU127" t="b">
        <f>IF(Исходн.данные.!$P127="Ум",N_MinUd_1g_um,IF(Исходн.данные.!$P127="Об",N_MinUd_1g_ob))</f>
        <v>0</v>
      </c>
      <c r="AV127" t="b">
        <f>IF(Исходн.данные.!P127="Ум",P_MinUd_1g_um,IF(Исходн.данные.!P127="Об",P_MinUd_1g_ob))</f>
        <v>0</v>
      </c>
      <c r="AW127" t="b">
        <f>IF(Исходн.данные.!P127="Ум",K_MinUd_1g_um,IF(Исходн.данные.!P127="Об",K_MinUd_1g_ob))</f>
        <v>0</v>
      </c>
      <c r="AY127" t="e">
        <f>VLOOKUP(Исходн.данные.!T127,Справ!$A$3:$N$57,12)</f>
        <v>#N/A</v>
      </c>
      <c r="AZ127" t="e">
        <f>VLOOKUP(Исходн.данные.!T127,Справ!$A$3:$N$57,13)</f>
        <v>#N/A</v>
      </c>
      <c r="BA127" t="e">
        <f>VLOOKUP(Исходн.данные.!T127,Справ!$A$3:$N$57,14)</f>
        <v>#N/A</v>
      </c>
      <c r="BB127">
        <f>IF(Исходн.данные.!AH127=0,0,25)</f>
        <v>0</v>
      </c>
      <c r="BC127" s="141">
        <f>IF(Исходн.данные.!AH127=0,0,IF(Исходн.данные.!T127=0,25,BD127))</f>
        <v>0</v>
      </c>
      <c r="BD127" s="168" t="e">
        <f>AY127+AZ127*Исходн.данные.!U127-POWER(BA127,2)*Исходн.данные.!U127</f>
        <v>#N/A</v>
      </c>
      <c r="BE12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7" s="25">
        <f>IF(Исходн.данные.!AH127=0,0,MIN(HN127:HP127))</f>
        <v>0</v>
      </c>
      <c r="BG127" s="9">
        <f>IF(Исходн.данные.!AH127=0,0,IF((HO127+10*0.25/HG127/HL127)&lt;17,17,HO127+10*0.25/HG127/HL127))</f>
        <v>0</v>
      </c>
      <c r="BH127" s="181">
        <f>IF(Исходн.данные.!AH127=0,0,HW127*HF127*HL127/AU127*AI127+Исходн.данные.!S127*10)</f>
        <v>0</v>
      </c>
      <c r="BI127" s="10"/>
      <c r="BJ127" s="182">
        <f>IF(Исходн.данные.!AH127=0,0,IF(HX127*HG127*HL127/AV127&lt;0,0,HX127*HG127*HL127/AV127*AJ127))</f>
        <v>0</v>
      </c>
      <c r="BK127" s="182">
        <f>IF(Исходн.данные.!AH127=0,0,HY127*HH127*HM127/AW127)</f>
        <v>0</v>
      </c>
      <c r="BL127" s="10">
        <f>IF(OR(Исходн.данные.!$AH127=$BP$1,Исходн.данные.!$AH127=$BP$2),0,IF(BH127&lt;0,0,IF(OR(Исходн.данные.!T127=Расчет!$BP$1,Исходн.данные.!T127=Расчет!$BP$2,Исходн.данные.!T127=Расчет!$BT$5,Исходн.данные.!T127=Расчет!$BT$6),BH127*0.5,IF(OR(Исходн.данные.!T127=Расчет!$BS$9,Исходн.данные.!T127=Расчет!$BS$10,Исходн.данные.!T127=Расчет!$BS$11,Исходн.данные.!T127=Расчет!$BS$12,Исходн.данные.!T127=Расчет!$BP$5),BH127*0.8,BH127))))</f>
        <v>0</v>
      </c>
      <c r="BM127" s="10">
        <f>IF(OR(Исходн.данные.!$AH127=$BP$1,Исходн.данные.!$AH127=$BP$2),0,IF(BJ127&lt;0,0,IF(Исходн.данные.!I127&lt;4.5,BJ127*1.2,IF(Исходн.данные.!I127&gt;5.1,BJ127,BJ127*((5.1-Исходн.данные.!I127)*0.333+1)))))</f>
        <v>0</v>
      </c>
      <c r="BN127" s="10">
        <f>IF(OR(Исходн.данные.!$AH127=$BP$1,Исходн.данные.!$AH127=$BP$2),60-Исходн.данные.!AF127,IF(BK127&lt;0,0,IF(Исходн.данные.!I127&lt;4.5,BK127*1.2,IF(Исходн.данные.!I127&gt;5.1,BK127,BK127*((5.1-Исходн.данные.!I127)*0.333+1)))))</f>
        <v>0</v>
      </c>
      <c r="BO127" s="9">
        <f>IF(BL127&lt;0,0,BL127*Исходн.данные.!$AJ127/1000)</f>
        <v>0</v>
      </c>
      <c r="BP127" s="9">
        <f>IF(BM127&lt;0,0,BM127*Исходн.данные.!$AJ127/1000)</f>
        <v>0</v>
      </c>
      <c r="BQ127" s="9">
        <f>IF(BN127&lt;0,0,BN127*Исходн.данные.!$AJ127/1000)</f>
        <v>0</v>
      </c>
      <c r="BR127" s="9">
        <f t="shared" si="155"/>
        <v>0</v>
      </c>
      <c r="BS127" s="10" t="str">
        <f t="shared" si="156"/>
        <v>Аммофос 12:52:00</v>
      </c>
      <c r="BT127" s="10" t="str">
        <f t="shared" si="157"/>
        <v>Аммофос 12:52:00</v>
      </c>
      <c r="BU127" s="10" t="str">
        <f t="shared" si="158"/>
        <v>Диаммофоска</v>
      </c>
      <c r="BV127" s="10">
        <f t="shared" si="159"/>
        <v>0</v>
      </c>
      <c r="BW127" s="10"/>
      <c r="BX127" s="10"/>
      <c r="BY127" s="9">
        <f>IF(BL127&lt;0,0,IF(OR(Исходн.данные.!AI127=Расчет!$BU$6,Исходн.данные.!AI127=Расчет!$BU$7),Расчет!BV127,IF(Исходн.данные.!$AG127=$BV$11,BL127,IF(OR(Исходн.данные.!$AH127=$BQ$7,Исходн.данные.!$AH127=$BQ$8),CB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0,IF(Исходн.данные.!$AI127=$BU$11,"Нет",IF(BL127&gt;30,30,BL127)))))))</f>
        <v>0</v>
      </c>
      <c r="BZ127" s="9">
        <f>IF(AND(Исходн.данные.!$AG127=$BV$11,BM127&lt;10),10,IF(Исходн.данные.!$AG127=$BV$11,BM127,IF(OR(Исходн.данные.!$AH127=$BQ$7,Исходн.данные.!$AH127=$BQ$8),CC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10,IF(Исходн.данные.!$AI127=$BU$11,"Нет",IF(BM127&gt;60,60,IF(BM127&lt;10,10,BM127)))))))</f>
        <v>10</v>
      </c>
      <c r="CA127" s="39">
        <f>IF(BN127&lt;0,0,IF(Исходн.данные.!$AG127=$BV$11,BN127,IF(OR(Исходн.данные.!$AH127=$BQ$7,Исходн.данные.!$AH127=$BQ$8),CD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0,IF(Исходн.данные.!$AI127=$BU$11,"Нет",IF(BN127&gt;30,30,BN127))))))</f>
        <v>0</v>
      </c>
      <c r="CB127" s="9">
        <f t="shared" si="160"/>
        <v>0</v>
      </c>
      <c r="CC127" s="9">
        <f t="shared" si="161"/>
        <v>0</v>
      </c>
      <c r="CD127" s="9">
        <f t="shared" si="162"/>
        <v>0</v>
      </c>
      <c r="CE127" s="12">
        <f t="shared" si="163"/>
        <v>10</v>
      </c>
      <c r="CF127" s="9">
        <f t="shared" si="164"/>
        <v>0</v>
      </c>
      <c r="CG127" s="9" t="s">
        <v>231</v>
      </c>
      <c r="CH127" s="132" t="str">
        <f>IF(Исходн.данные.!AP127=Расчет!$CI$16,"Нет",IF(Исходн.данные.!AL127&gt;0,Исходн.данные.!AL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BH$4,IF(OR(Исходн.данные.!AI127=Исходн.данные.!$AI$6,Исходн.данные.!AI127=Исходн.данные.!$AI$7),Расчет!BS127,IF(AND($CF127=0,$CE127&gt;0),EV127,ER127)))))</f>
        <v>Аммофос 12:52:00</v>
      </c>
      <c r="CI127" s="274">
        <f>IF(Расчет!$CH127="Нет","Нет",IF(Исходн.данные.!$AL127&gt;0,VLOOKUP(Расчет!$CH127,АшламаДВ_Irekle,2,FALSE),VLOOKUP(Расчет!$CH127,АшламаДВ_Gomumy,2,FALSE)))</f>
        <v>0.12</v>
      </c>
      <c r="CJ127" s="274">
        <f>IF(Расчет!$CH127="Нет","Нет",IF(Исходн.данные.!$AL127&gt;0,VLOOKUP(Расчет!$CH127,АшламаДВ_Irekle,3,FALSE),VLOOKUP(Расчет!$CH127,АшламаДВ_Gomumy,3,FALSE)))</f>
        <v>0.52</v>
      </c>
      <c r="CK127" s="274">
        <f>IF(Расчет!$CH127="Нет","Нет",IF(Исходн.данные.!$AL127&gt;0,VLOOKUP(Расчет!$CH127,АшламаДВ_Irekle,4,FALSE),VLOOKUP(Расчет!$CH127,АшламаДВ_Gomumy,4,FALSE)))</f>
        <v>0</v>
      </c>
      <c r="CL127" s="70"/>
      <c r="CM127" s="70"/>
      <c r="CN127" s="70"/>
      <c r="CO127" s="70"/>
      <c r="CP127" s="70"/>
      <c r="CQ127" s="70"/>
      <c r="CR127" s="10">
        <f t="shared" si="165"/>
        <v>0</v>
      </c>
      <c r="CS127" s="10">
        <f t="shared" si="166"/>
        <v>19.23076923076923</v>
      </c>
      <c r="CT127" s="10">
        <f t="shared" si="167"/>
        <v>0</v>
      </c>
      <c r="CU127" s="39">
        <f>IF($CH127="Нет",0,IF(CI127=0,30/MIN(CJ127:CK127),IF(Исходн.данные.!$AG127=$BV$11,CR127,IF(OR(Исходн.данные.!$AH127=$BQ$7,Исходн.данные.!$AH127=$BQ$8),90/CI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0,IF(Исходн.данные.!$AI127=$BU$11,"Нет",30/CI127))))))</f>
        <v>250</v>
      </c>
      <c r="CV127" s="39">
        <f>IF($CH127="Нет",0,IF(Исходн.данные.!AH127=0,0,IF(CJ127=0,60/MIN(CI127,CK127),IF(Исходн.данные.!$AG127=$BV$11,CS127,IF(OR(Исходн.данные.!$AH127=$BQ$7,Исходн.данные.!$AH127=$BQ$8),90/CJ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10/CJ127,IF(Исходн.данные.!$AI127=$BU$11,"Нет",60/CJ127)))))))</f>
        <v>0</v>
      </c>
      <c r="CW127" s="39">
        <f>IF($CH127="Нет",0,IF(Исходн.данные.!AH127=0,0,IF(CK127=0,30/MIN(CI127:CJ127),IF(Исходн.данные.!$AG127=$BV$11,CT127,IF(OR(Исходн.данные.!$AH127=$BQ$7,Исходн.данные.!$AH127=$BQ$8),90/CK127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0,IF(Исходн.данные.!$AI127=$BU$11,"Нет",30/CK127)))))))</f>
        <v>0</v>
      </c>
      <c r="CX127" s="133">
        <f>IF(Исходн.данные.!$AG127=$BV$11,MAX(CU127:CW127),IF(OR(Исходн.данные.!$AH127=$BS$8,Исходн.данные.!$AH127=$BQ$9,Исходн.данные.!$AH127=$BQ$10,Исходн.данные.!$AH127=$BQ$11,Исходн.данные.!$AH127=$BQ$12,Исходн.данные.!$AH127=$BP$3,Исходн.данные.!$AH127=$BT$8,$FM127="Да"),CV127,MIN(CU127:CW127)))</f>
        <v>0</v>
      </c>
      <c r="CY127" s="133">
        <f>IF(Исходн.данные.!AH127=0,0,IF(CR127&gt;$CX127,$CX127,CR127))</f>
        <v>0</v>
      </c>
      <c r="CZ127" s="133">
        <f>IF(Исходн.данные.!AH127=0,0,IF(CS127&gt;$CX127,$CX127,CS127))</f>
        <v>0</v>
      </c>
      <c r="DA127" s="133">
        <f>IF(Исходн.данные.!AH127=0,0,IF(CT127&gt;$CX127,$CX127,CT127))</f>
        <v>0</v>
      </c>
      <c r="DB127" s="10">
        <f t="shared" si="168"/>
        <v>0</v>
      </c>
      <c r="DC127" s="39">
        <f>DB127*Исходн.данные.!AJ127/1000</f>
        <v>0</v>
      </c>
      <c r="DD127" s="71">
        <f t="shared" si="169"/>
        <v>0</v>
      </c>
      <c r="DE127" s="9">
        <f t="shared" si="170"/>
        <v>0</v>
      </c>
      <c r="DF127" s="9">
        <f t="shared" si="171"/>
        <v>0</v>
      </c>
      <c r="DG127" s="39">
        <f>IF(BL127&lt;0,0,IF($CH127="Нет",BL127,IF(OR(Исходн.данные.!$AH127=$BP$1,Исходн.данные.!$AH127=$BP$2),0,IF(Исходн.данные.!AI127=$BU$11,BL127,IF(BL127-DD127&lt;0,0,BL127-DD127)))))</f>
        <v>0</v>
      </c>
      <c r="DH127" s="39">
        <f>IF(BM127&lt;0,0,IF($CH127="Нет",BM127,IF(OR(Исходн.данные.!$AH127=$BP$1,Исходн.данные.!$AH127=$BP$2),0,IF(Исходн.данные.!AJ127=$BU$11,BM127,IF(BM127-DE127&lt;0,0,BM127-DE127)))))</f>
        <v>0</v>
      </c>
      <c r="DI127" s="39">
        <f>IF(BN127&lt;0,0,IF($CH127="Нет",BN127,IF(OR(Исходн.данные.!$AH127=$BP$1,Исходн.данные.!$AH127=$BP$2),0,IF(Исходн.данные.!AK127=$BU$11,BN127,IF(BN127-DF127&lt;0,0,BN127-DF127)))))</f>
        <v>0</v>
      </c>
      <c r="DJ127" s="12">
        <f t="shared" si="172"/>
        <v>0</v>
      </c>
      <c r="DK127" s="9">
        <f t="shared" si="173"/>
        <v>0</v>
      </c>
      <c r="DL127" s="39">
        <f>IF(Исходн.данные.!AM127&gt;0,Исходн.данные.!AM127,IF(EG127&gt;0,$BH$10,0))</f>
        <v>0</v>
      </c>
      <c r="DM127" s="186">
        <f>IF($DL127=0,0,IF(Исходн.данные.!AM127&gt;0,VLOOKUP($DL127,АшламаДВ_Irekle,2,FALSE),VLOOKUP($DL127,АшламаДВ_Gomumy,2,FALSE)))</f>
        <v>0</v>
      </c>
      <c r="DN127" s="10">
        <f t="shared" si="151"/>
        <v>0</v>
      </c>
      <c r="DO127" s="9" t="str">
        <f>IF(Исходн.данные.!AN127&gt;0,Исходн.данные.!AN127,Удобрения!$B$37 )</f>
        <v>Хлор.калий</v>
      </c>
      <c r="DP127" s="9">
        <f>IF(Исходн.данные.!AN127&gt;0,VLOOKUP(Исходн.данные.!AN127,АшламаДВ_Irekle,4,FALSE),VLOOKUP(DO127,АшламаДВ_Gomumy,4,FALSE))</f>
        <v>0.6</v>
      </c>
      <c r="DQ127" s="10">
        <f t="shared" si="152"/>
        <v>0</v>
      </c>
      <c r="DR127" s="132" t="str">
        <f>IF(Исходн.данные.!AO127&gt;0,Исходн.данные.!AO127,IF(DH127=0,BS$17,IF(AND($DK127=0,$DJ127&gt;0),EJ127,EN127)))</f>
        <v>Нет</v>
      </c>
      <c r="DS127" s="70" t="str">
        <f>IF($DR127="Нет","Нет",IF(Исходн.данные.!$AO127&gt;0,VLOOKUP($DR127,АшламаДВ_Irekle,2,FALSE),VLOOKUP($DR127,АшламаДВ_Gomumy,2,FALSE)))</f>
        <v>Нет</v>
      </c>
      <c r="DT127" s="70" t="str">
        <f>IF($DR127="Нет","Нет",IF(Исходн.данные.!$AO127&gt;0,VLOOKUP($DR127,АшламаДВ_Irekle,3,FALSE),VLOOKUP($DR127,АшламаДВ_Gomumy,3,FALSE)))</f>
        <v>Нет</v>
      </c>
      <c r="DU127" s="70" t="str">
        <f>IF($DR127="Нет","Нет",IF(Исходн.данные.!$AO127&gt;0,VLOOKUP($DR127,АшламаДВ_Irekle,4,FALSE),VLOOKUP($DR127,АшламаДВ_Gomumy,4,FALSE)))</f>
        <v>Нет</v>
      </c>
      <c r="DV127" s="70"/>
      <c r="DW127" s="70"/>
      <c r="DX127" s="70"/>
      <c r="DY127" s="10">
        <f t="shared" si="174"/>
        <v>0</v>
      </c>
      <c r="DZ127" s="10">
        <f t="shared" si="175"/>
        <v>0</v>
      </c>
      <c r="EA127" s="10">
        <f t="shared" si="176"/>
        <v>0</v>
      </c>
      <c r="EB127" s="10">
        <f t="shared" si="177"/>
        <v>0</v>
      </c>
      <c r="EC127" s="10">
        <f t="shared" si="178"/>
        <v>0</v>
      </c>
      <c r="ED127" s="10">
        <f t="shared" si="179"/>
        <v>0</v>
      </c>
      <c r="EE127" s="10">
        <f t="shared" si="180"/>
        <v>0</v>
      </c>
      <c r="EF127" s="39">
        <f>EB127*Исходн.данные.!AJ127/1000</f>
        <v>0</v>
      </c>
      <c r="EG127" s="9">
        <f t="shared" si="181"/>
        <v>0</v>
      </c>
      <c r="EH127" s="9">
        <f t="shared" si="182"/>
        <v>0</v>
      </c>
      <c r="EI127" s="39" t="e">
        <f t="shared" si="132"/>
        <v>#DIV/0!</v>
      </c>
      <c r="EJ127" s="9" t="str">
        <f t="shared" si="153"/>
        <v>Азопреципитат</v>
      </c>
      <c r="EK127" s="12">
        <f t="shared" si="133"/>
        <v>0.26</v>
      </c>
      <c r="EL127" s="12">
        <f t="shared" si="134"/>
        <v>0.13</v>
      </c>
      <c r="EM127" s="12">
        <f t="shared" si="135"/>
        <v>0</v>
      </c>
      <c r="EN127" s="12" t="str">
        <f t="shared" si="154"/>
        <v>Нет</v>
      </c>
      <c r="EO127" s="12">
        <f t="shared" si="136"/>
        <v>0</v>
      </c>
      <c r="EP127" s="12">
        <f t="shared" si="137"/>
        <v>0</v>
      </c>
      <c r="EQ127" s="12">
        <f t="shared" si="138"/>
        <v>0</v>
      </c>
      <c r="ER127" s="12" t="str">
        <f t="shared" si="183"/>
        <v>Диаммофоска</v>
      </c>
      <c r="ES127" s="12">
        <f t="shared" si="139"/>
        <v>0.1</v>
      </c>
      <c r="ET127" s="12">
        <f t="shared" si="140"/>
        <v>0.26</v>
      </c>
      <c r="EU127" s="12">
        <f t="shared" si="141"/>
        <v>0.26</v>
      </c>
      <c r="EV127" s="12" t="str">
        <f t="shared" si="184"/>
        <v>Аммофос 12:52:00</v>
      </c>
      <c r="EW127" s="12" t="str">
        <f t="shared" si="185"/>
        <v>Кемира Свекловичное-6</v>
      </c>
      <c r="EX127" s="12">
        <f t="shared" si="142"/>
        <v>0.16</v>
      </c>
      <c r="EY127" s="12">
        <f t="shared" si="143"/>
        <v>0.12</v>
      </c>
      <c r="EZ127" s="12">
        <f t="shared" si="144"/>
        <v>0.17</v>
      </c>
      <c r="FA127" s="38" t="e">
        <f>IF(AND(OR(FJ127=$FD$1,FM127=$FD$1,FO127=$FD$1,FQ127=$FD$1,FS127=$FD$1),FD127=$FD$1,Исходн.данные.!J127&lt;2,FU127=$FD$1),"Бор,Кобальт",IF(AND(FO127=$FD$1,FH127=$FD$1,Исходн.данные.!J127&lt;2,FU127=$FD$1),"Бор,Кобальт",IF(AND(OR(FJ127=$FD$1,FM127=$FD$1,FQ127=$FD$1),FE127=$FD$1,Исходн.данные.!J127&lt;2,FT127=$FD$1,FU127=$FD$1),"Бор,Медь,Цинк",IF(AND(OR(FJ127=$FD$1,FR127="Да"),FI127="Да",Исходн.данные.!J127&lt;2,FT127="Да",FU127="Да"),"Бор,Цинк,Медь",IF(AND(OR(FM127="Да",FQ127="Да"),FI127="Да",Исходн.данные.!J127&lt;2,FT127="Да",FU127="Да"),"Бор,Цинк",IF(AND(FN127="Да",OR(FD127="Да",FE127="Да")),"Бор",FB127))))))</f>
        <v>#N/A</v>
      </c>
      <c r="FB127" s="134" t="e">
        <f>IF(AND(OR(FD127="Да",FE127="Да",FF127="Да",FG127="Да",FH127="Да"),FO127="Да"),"Бор",IF(AND(FP127="Да",OR(FD127="Да",FE127="Да",FI127="Да")),"Бор",IF(AND(FS127="Да",FE127="Да"),"Бор,Медь",IF(AND(OR(FJ127="Да",FK127="Да",FL127="Да"),FE127="Да",Исходн.данные.!I127&lt;5,FT127="Да",FU127="Да"),"Молибден,Цинк",IF(AND(FM127="Да",OR(FE127="Да",FF127="Да",FG127="Да",FH127="Да",FI127="Да")),"Молибден,Цинк",IF(AND(OR(FJ127="Да",FK127="Да",FL127="Да",FM127="Да",FQ127="Да"),OR(FE127="Да",FF127="Да"),FT127="Да",FU127="Да",Исходн.данные.!I127&gt;5.5),"Медь,Цинк",FC127))))))</f>
        <v>#N/A</v>
      </c>
      <c r="FC127" s="23" t="e">
        <f t="shared" si="186"/>
        <v>#N/A</v>
      </c>
      <c r="FD127" s="38" t="str">
        <f>IF(OR(Исходн.данные.!F127=$CC$1,Исходн.данные.!F127=$CC$2,Исходн.данные.!F127=$CC$3,Исходн.данные.!F127=$CC$4),"Да","Нет")</f>
        <v>Нет</v>
      </c>
      <c r="FE127" s="38" t="str">
        <f>IF(Исходн.данные.!F127=$CC$5,"Да","Нет")</f>
        <v>Нет</v>
      </c>
      <c r="FF127" s="38" t="str">
        <f>IF(OR(Исходн.данные.!F127=$CC$6,Исходн.данные.!F127=$CC$7),"Да","Нет")</f>
        <v>Нет</v>
      </c>
      <c r="FG127" s="38" t="str">
        <f>IF(OR(Исходн.данные.!F127=$CC$8,Исходн.данные.!F127=$CC$9),"Да","Нет")</f>
        <v>Нет</v>
      </c>
      <c r="FH127" s="38" t="str">
        <f>IF(Исходн.данные.!F127=$CC$10,"Да","Нет")</f>
        <v>Нет</v>
      </c>
      <c r="FI127" s="38" t="str">
        <f>IF(OR(Исходн.данные.!F127=$CC$11,Исходн.данные.!F127=$CC$12),"Да","Нет")</f>
        <v>Нет</v>
      </c>
      <c r="FJ127" s="38" t="str">
        <f>IF(OR(Исходн.данные.!AH127=$BS$1,Исходн.данные.!AH127=$BQ$11,Исходн.данные.!AH127=$BQ$12),"Да","Нет")</f>
        <v>Нет</v>
      </c>
      <c r="FK127" s="38" t="str">
        <f>IF(OR(Исходн.данные.!AH127=$BS$2,Исходн.данные.!AH127=$BS$4),"Да","Нет")</f>
        <v>Нет</v>
      </c>
      <c r="FL127" s="38" t="str">
        <f>IF(OR(Исходн.данные.!AH127=$BS$3,Исходн.данные.!AH127=$BS$5),"Да","Нет")</f>
        <v>Нет</v>
      </c>
      <c r="FM127" s="38" t="str">
        <f>IF(OR(Исходн.данные.!AH127=$BS$9,Исходн.данные.!AH127=$BS$10,Исходн.данные.!AH127=$BS$11,Исходн.данные.!AH127=$BS$12),"Да","Нет")</f>
        <v>Нет</v>
      </c>
      <c r="FN127" s="38" t="str">
        <f>IF(OR(Исходн.данные.!AH127=$BS$6,Исходн.данные.!AH127=$BP$3),"Да","Нет")</f>
        <v>Нет</v>
      </c>
      <c r="FO127" s="38" t="str">
        <f>IF(Исходн.данные.!AH127=$BQ$9,"Да","Нет")</f>
        <v>Нет</v>
      </c>
      <c r="FP127" s="38" t="str">
        <f>IF(OR(Исходн.данные.!AH127=$BS$8,Исходн.данные.!AH127=$BT$8),"Да","Нет")</f>
        <v>Нет</v>
      </c>
      <c r="FQ127" s="38" t="str">
        <f>IF(OR(Исходн.данные.!AH127=$BQ$7,Исходн.данные.!AH127=$BQ$8),"Да","Нет")</f>
        <v>Нет</v>
      </c>
      <c r="FR127" s="38" t="str">
        <f>IF(Исходн.данные.!AI127=$BU$9,"Да","Нет")</f>
        <v>Нет</v>
      </c>
      <c r="FS127" s="38" t="str">
        <f>IF(OR(Исходн.данные.!AH127=$BP$1,Исходн.данные.!AH127=$BP$2),"Да","Нет")</f>
        <v>Нет</v>
      </c>
      <c r="FT127" s="38" t="e">
        <f>IF((Исходн.данные.!K127*GO127*GS127*GW127+BL127*0.6+Исходн.данные.!Q127*4.5*0.275)&gt;90,"Да","Нет")</f>
        <v>#N/A</v>
      </c>
      <c r="FU127" s="38" t="e">
        <f>IF((Исходн.данные.!M127*GS127*GZ127+BM127*0.225)&gt;35,"Да","Нет")</f>
        <v>#N/A</v>
      </c>
      <c r="FV127" s="38" t="str">
        <f>IF(Исходн.данные.!O127&gt;175,"Да","Нет")</f>
        <v>Нет</v>
      </c>
      <c r="FW127" s="39" t="str">
        <f>IF(Исходн.данные.!I127&gt;5.5,"Да","Нет")</f>
        <v>Нет</v>
      </c>
      <c r="FX127" s="39" t="str">
        <f>IF(Исходн.данные.!J127&lt;2,"Да","Нет")</f>
        <v>Да</v>
      </c>
      <c r="FY127" s="39" t="e">
        <f>IF(HF127=$FY$16,0,Исходн.данные.!K127*GO127*GS127*GW127/HF127)</f>
        <v>#N/A</v>
      </c>
      <c r="FZ127" s="39" t="e">
        <f>Исходн.данные.!M127*GS127*GZ127/HG127</f>
        <v>#N/A</v>
      </c>
      <c r="GA127" s="39" t="e">
        <f>IF(K_Wyn=$FY$16,0,IF(Исходн.данные.!N127=Исходн.данные.!$L$10,Исходн.данные.!O127/1.1*GS127*HC127/HH127,IF(Исходн.данные.!N127=Исходн.данные.!$L$12,Исходн.данные.!O127/1.5*GS127*HC127/HH127,Исходн.данные.!O127*GS127*HC127/HH127)))</f>
        <v>#N/A</v>
      </c>
      <c r="GB127" s="39" t="e">
        <f>IF(HF127=$FY$16,0,((Исходн.данные.!Q127*N_Org+Исходн.данные.!R127*N_Sider+Исходн.данные.!S127*N_Soloma)*AO127+Расчет!BC127*VLOOKUP(Исходн.данные.!T127,Справ!$A$3:$O$57,15)*AO127+BB127*VLOOKUP(Исходн.данные.!T127,Справ!$A$3:$O$57,15)*AL127+(Исходн.данные.!V127*N_Rizotorf+Исходн.данные.!W127*N_Rizoagr))/HF127)</f>
        <v>#N/A</v>
      </c>
      <c r="GC127" s="39" t="e">
        <f>IF(HG127=$FY$16,0,((Исходн.данные.!Q127*Р_Org+Исходн.данные.!R127*P_Sider+Исходн.данные.!S127*P_Soloma)*AP127+Расчет!BC127*VLOOKUP(Исходн.данные.!T127,Справ!$A$3:$P$57,16)*AP127+BB127*VLOOKUP(Исходн.данные.!T127,Справ!$A$3:$P$57,16)*AM127)/HG127)</f>
        <v>#N/A</v>
      </c>
      <c r="GD127" s="39" t="e">
        <f>IF(HH127=$FY$16,0,((Исходн.данные.!Q127*К_Org+Исходн.данные.!R127*K_Sider+Исходн.данные.!S127*K_Soloma)*AQ127+Расчет!BC127*VLOOKUP(Исходн.данные.!T127,Справ!$A$3:$Q$57,17)*AQ127+BB127*VLOOKUP(Исходн.данные.!T127,Справ!$A$3:$Q$57,17)*AN127)/HH127)</f>
        <v>#N/A</v>
      </c>
      <c r="GE127" s="39" t="e">
        <f>IF(HF127=$FY$16,0,(Исходн.данные.!X127*AR127+Исходн.данные.!AA127*N_Org*AL127+Исходн.данные.!AB127*N_Sider*AL127+Исходн.данные.!AC127*N_Soloma*AL127)/HF127)</f>
        <v>#N/A</v>
      </c>
      <c r="GF127" s="39" t="e">
        <f>IF(HG127=$FY$16,0,(Исходн.данные.!Y127*AS127+Исходн.данные.!AA127*Р_Org*AM127+Исходн.данные.!AB127*P_Sider*AM127+Исходн.данные.!AC127*P_Soloma*AM127)/HG127)</f>
        <v>#N/A</v>
      </c>
      <c r="GG127" s="39" t="e">
        <f>IF(HH127=$FY$16,0,(Исходн.данные.!Z127*AT127+Исходн.данные.!AA127*К_Org*AN127+Исходн.данные.!AB127*K_Sider*AN127+Исходн.данные.!AC127*K_Soloma*AN127)/HH127)</f>
        <v>#N/A</v>
      </c>
      <c r="GH127" s="39" t="e">
        <f>Исходн.данные.!AD127*AU127/HF127</f>
        <v>#N/A</v>
      </c>
      <c r="GI127" s="39" t="e">
        <f>Исходн.данные.!AE127*AV127/HG127</f>
        <v>#N/A</v>
      </c>
      <c r="GJ127" s="39" t="e">
        <f>Исходн.данные.!AF127*AW127/HH127</f>
        <v>#N/A</v>
      </c>
      <c r="GK127" s="55">
        <f>Исходн.данные.!AK127</f>
        <v>0</v>
      </c>
      <c r="GL127" s="11" t="e">
        <f t="shared" si="187"/>
        <v>#N/A</v>
      </c>
      <c r="GM127" s="11" t="e">
        <f t="shared" si="188"/>
        <v>#N/A</v>
      </c>
      <c r="GN127" s="11" t="e">
        <f t="shared" si="189"/>
        <v>#N/A</v>
      </c>
      <c r="GO127" s="57">
        <f t="shared" si="190"/>
        <v>19</v>
      </c>
      <c r="GP127" s="55">
        <f>IF(OR(Исходн.данные.!F127=$CE$1,Исходн.данные.!F127=$CE$2,Исходн.данные.!F127=$CE$3,Исходн.данные.!F127=$CE$4,Исходн.данные.!F127=$CE$5),GQ127,GR127)</f>
        <v>19</v>
      </c>
      <c r="GQ127" s="55">
        <f>IF(Исходн.данные.!F127=$CE$1,28,IF(Исходн.данные.!F127=$CE$2,26,IF(Исходн.данные.!F127=$CE$3,24,IF(Исходн.данные.!F127=$CE$4,22,IF(Исходн.данные.!F127=$CE$5,20,GR127)))))</f>
        <v>19</v>
      </c>
      <c r="GR127" s="55">
        <f>IF(Исходн.данные.!F127=$CE$6,18,IF(Исходн.данные.!F127=$CE$7,16,IF(Исходн.данные.!F127=$CE$8,14,IF(Исходн.данные.!F127=$CE$9,13,IF(Исходн.данные.!F127=$CE$10,12,19)))))</f>
        <v>19</v>
      </c>
      <c r="GS127" s="55">
        <f>IF(Исходн.данные.!G127="Пес",0.035*(40+2*Исходн.данные.!H127),IF(Исходн.данные.!G127="Суп",0.0325*(40+2*Исходн.данные.!H127),0.03*(40+2*Исходн.данные.!H127)))</f>
        <v>1.2</v>
      </c>
      <c r="GT127" s="55">
        <f>IF(Исходн.данные.!H127&lt;23,2.6,IF(AND(Исходн.данные.!H127&gt;22,Исходн.данные.!H127&lt;26),3,IF(AND(Исходн.данные.!H127&gt;25,Исходн.данные.!H127&lt;29),3.4,3.6)))</f>
        <v>2.6</v>
      </c>
      <c r="GU127" s="55">
        <f>IF(Исходн.данные.!H127&lt;23,2.8,IF(AND(Исходн.данные.!H127&gt;22,Исходн.данные.!H127&lt;26),3.2,IF(AND(Исходн.данные.!H127&gt;25,Исходн.данные.!H127&lt;29),3.6,3.9)))</f>
        <v>2.8</v>
      </c>
      <c r="GV127" s="55">
        <f>IF(Исходн.данные.!H127&lt;23,3,IF(AND(Исходн.данные.!H127&gt;22,Исходн.данные.!H127&lt;26),3.5,IF(AND(Исходн.данные.!H127&gt;25,Исходн.данные.!H127&lt;29),3.9,4.2)))</f>
        <v>3</v>
      </c>
      <c r="GW127" s="55" t="e">
        <f>IF(Исходн.данные.!P127="Ум",GX127,GY127)</f>
        <v>#N/A</v>
      </c>
      <c r="GX127" s="55" t="e">
        <f>VLOOKUP(Исходн.данные.!AI127,Коэффициенты!$J$7:$L$13,2,FALSE)</f>
        <v>#N/A</v>
      </c>
      <c r="GY127" s="55" t="e">
        <f>VLOOKUP(Исходн.данные.!AI127,Коэффициенты!$J$7:$L$13,3,FALSE)</f>
        <v>#N/A</v>
      </c>
      <c r="GZ127" s="55" t="e">
        <f>(IF(Исходн.данные.!M127&lt;50,0.11*VLOOKUP(Исходн.данные.!AH127,Культуры.Информация,7,FALSE),IF(Исходн.данные.!M127&gt;250,0.05*VLOOKUP(Исходн.данные.!AH127,Культуры.Информация,7,FALSE),VLOOKUP(Исходн.данные.!AH127,Культуры.Информация,5,FALSE)/100*($GX$6+$GY$6*Исходн.данные.!M127))))*Расчет2!AI127</f>
        <v>#N/A</v>
      </c>
      <c r="HA127" s="211"/>
      <c r="HB127" s="211"/>
      <c r="HC127" s="55" t="e">
        <f>(IF(Исходн.данные.!O127&lt;80,0.2*VLOOKUP(Исходн.данные.!AH127,Культуры.Информация,8,FALSE),IF(Исходн.данные.!O127&gt;240,0.09*VLOOKUP(Исходн.данные.!AH127,Культуры.Информация,8,FALSE),VLOOKUP(Исходн.данные.!AH127,Культуры.Информация,6,FALSE)/100*($HB$6+$HC$6*Исходн.данные.!O127))))*Расчет2!AJ127</f>
        <v>#N/A</v>
      </c>
      <c r="HD127" s="55">
        <f>IF(Исходн.данные.!O127&gt;240,0.09,IF(Исходн.данные.!O127&lt;30,0.3,$HE$10+$HD$10*Исходн.данные.!O127))</f>
        <v>0.3</v>
      </c>
      <c r="HE127" s="55">
        <f>IF(Исходн.данные.!O127&gt;240,0.17,IF(Исходн.данные.!O127&lt;30,0.5,$HF$12+$HE$12*Исходн.данные.!O127))</f>
        <v>0.5</v>
      </c>
      <c r="HF127" s="55" t="e">
        <f>VLOOKUP(Исходн.данные.!AH127,Справ!$A$3:$D$58,2,FALSE)</f>
        <v>#N/A</v>
      </c>
      <c r="HG127" s="55" t="e">
        <f>VLOOKUP(Исходн.данные.!AH127,Справ!$A$3:$D$58,3,FALSE)</f>
        <v>#N/A</v>
      </c>
      <c r="HH127" s="55" t="e">
        <f>VLOOKUP(Исходн.данные.!AH127,Справ!$A$3:$D$58,4,FALSE)</f>
        <v>#N/A</v>
      </c>
      <c r="HI127" s="11" t="e">
        <f t="shared" si="191"/>
        <v>#N/A</v>
      </c>
      <c r="HJ127" s="11" t="e">
        <f t="shared" si="192"/>
        <v>#N/A</v>
      </c>
      <c r="HK127" s="11" t="e">
        <f t="shared" si="193"/>
        <v>#N/A</v>
      </c>
      <c r="HL127" s="55">
        <f>IF(OR(Исходн.данные.!G127="Глин",Исходн.данные.!G127="Т_суг"),1.1,IF(Исходн.данные.!G127="Ср_суг",1,1))</f>
        <v>1</v>
      </c>
      <c r="HM127" s="55">
        <f>IF(OR(Исходн.данные.!G127="Глин",Исходн.данные.!G127="Т_суг"),0.9,IF(Исходн.данные.!G127="Ср_суг",1,1.2))</f>
        <v>1.2</v>
      </c>
      <c r="HN127" s="11" t="e">
        <f t="shared" si="194"/>
        <v>#N/A</v>
      </c>
      <c r="HO127" s="11" t="e">
        <f t="shared" si="195"/>
        <v>#N/A</v>
      </c>
      <c r="HP127" s="11" t="e">
        <f t="shared" si="196"/>
        <v>#N/A</v>
      </c>
      <c r="HQ127" t="e">
        <f t="shared" si="197"/>
        <v>#N/A</v>
      </c>
      <c r="HR127" t="e">
        <f t="shared" si="198"/>
        <v>#N/A</v>
      </c>
      <c r="HS127" t="e">
        <f t="shared" si="199"/>
        <v>#N/A</v>
      </c>
      <c r="HT127" t="e">
        <f t="shared" si="145"/>
        <v>#N/A</v>
      </c>
      <c r="HU127" t="e">
        <f t="shared" si="146"/>
        <v>#N/A</v>
      </c>
      <c r="HV127" t="e">
        <f t="shared" si="147"/>
        <v>#N/A</v>
      </c>
      <c r="HW127" t="e">
        <f t="shared" si="148"/>
        <v>#N/A</v>
      </c>
      <c r="HX127" t="e">
        <f t="shared" si="149"/>
        <v>#N/A</v>
      </c>
      <c r="HY127" t="e">
        <f t="shared" si="150"/>
        <v>#N/A</v>
      </c>
      <c r="HZ127" s="55">
        <f>IF(OR(Исходн.данные.!AI127="Оз_Ч_П",Исходн.данные.!AI127="Оз_З_П",Исходн.данные.!AI127="Яр_зер"),12,30)</f>
        <v>30</v>
      </c>
      <c r="IA127" t="e">
        <f t="shared" si="200"/>
        <v>#N/A</v>
      </c>
      <c r="IB127" t="e">
        <f t="shared" si="201"/>
        <v>#N/A</v>
      </c>
      <c r="IC127" t="e">
        <f t="shared" si="202"/>
        <v>#N/A</v>
      </c>
      <c r="ID127" s="11" t="e">
        <f t="shared" si="203"/>
        <v>#N/A</v>
      </c>
      <c r="IE127" s="11" t="e">
        <f t="shared" si="204"/>
        <v>#N/A</v>
      </c>
      <c r="IF127" s="11" t="e">
        <f t="shared" si="205"/>
        <v>#N/A</v>
      </c>
    </row>
    <row r="128" spans="35:240" x14ac:dyDescent="0.2">
      <c r="AI128">
        <f>IF(Исходн.данные.!I128&gt;6,1,1.85-(0.148*Исходн.данные.!I128))</f>
        <v>1.85</v>
      </c>
      <c r="AJ128">
        <f>IF(Исходн.данные.!I128&gt;6,1,2.434-(0.246*Исходн.данные.!I128))</f>
        <v>2.4340000000000002</v>
      </c>
      <c r="AL128" s="148" t="b">
        <f>IF(Исходн.данные.!$P128="Ум",N_OrgUd_2g_um,IF(Исходн.данные.!$P128="Об",N_OrgUd_2g_ob))</f>
        <v>0</v>
      </c>
      <c r="AM128" s="148" t="b">
        <f>IF(Исходн.данные.!$P128="Ум",P_OrgUd_2g_um,IF(Исходн.данные.!$P128="Об",P_OrgUd_2g_ob))</f>
        <v>0</v>
      </c>
      <c r="AN128" s="148" t="b">
        <f>IF(Исходн.данные.!$P128="Ум",K_OrgUd_2g_um,IF(Исходн.данные.!$P128="Об",K_OrgUd_2g_ob))</f>
        <v>0</v>
      </c>
      <c r="AO128" s="148" t="b">
        <f>IF(Исходн.данные.!$P128="Ум",N_OrgUd_1g_um,IF(Исходн.данные.!$P128="Об",N_OrgUd_1g_ob))</f>
        <v>0</v>
      </c>
      <c r="AP128" s="148" t="b">
        <f>IF(Исходн.данные.!$P128="Ум",P_OrgUd_1g_um,IF(Исходн.данные.!$P128="Об",P_OrgUd_1g_ob))</f>
        <v>0</v>
      </c>
      <c r="AQ128" s="148" t="b">
        <f>IF(Исходн.данные.!$P128="Ум",K_OrgUd_1g_um,IF(Исходн.данные.!$P128="Об",K_OrgUd_1g_ob))</f>
        <v>0</v>
      </c>
      <c r="AR128" t="b">
        <f>IF(Исходн.данные.!$P128="Ум",N_MinUd_2g_um,IF(Исходн.данные.!$P128="Об",N_MinUd_2g_ob))</f>
        <v>0</v>
      </c>
      <c r="AS128" t="b">
        <f>IF(Исходн.данные.!$P128="Ум",P_MinUd_2g_um,IF(Исходн.данные.!$P128="Об",P_MinUd_2g_ob))</f>
        <v>0</v>
      </c>
      <c r="AT128" t="b">
        <f>IF(Исходн.данные.!$P128="Ум",K_MinUd_2g_um,IF(Исходн.данные.!$P128="Об",K_MinUd_2g_ob))</f>
        <v>0</v>
      </c>
      <c r="AU128" t="b">
        <f>IF(Исходн.данные.!$P128="Ум",N_MinUd_1g_um,IF(Исходн.данные.!$P128="Об",N_MinUd_1g_ob))</f>
        <v>0</v>
      </c>
      <c r="AV128" t="b">
        <f>IF(Исходн.данные.!P128="Ум",P_MinUd_1g_um,IF(Исходн.данные.!P128="Об",P_MinUd_1g_ob))</f>
        <v>0</v>
      </c>
      <c r="AW128" t="b">
        <f>IF(Исходн.данные.!P128="Ум",K_MinUd_1g_um,IF(Исходн.данные.!P128="Об",K_MinUd_1g_ob))</f>
        <v>0</v>
      </c>
      <c r="AY128" t="e">
        <f>VLOOKUP(Исходн.данные.!T128,Справ!$A$3:$N$57,12)</f>
        <v>#N/A</v>
      </c>
      <c r="AZ128" t="e">
        <f>VLOOKUP(Исходн.данные.!T128,Справ!$A$3:$N$57,13)</f>
        <v>#N/A</v>
      </c>
      <c r="BA128" t="e">
        <f>VLOOKUP(Исходн.данные.!T128,Справ!$A$3:$N$57,14)</f>
        <v>#N/A</v>
      </c>
      <c r="BB128">
        <f>IF(Исходн.данные.!AH128=0,0,25)</f>
        <v>0</v>
      </c>
      <c r="BC128" s="141">
        <f>IF(Исходн.данные.!AH128=0,0,IF(Исходн.данные.!T128=0,25,BD128))</f>
        <v>0</v>
      </c>
      <c r="BD128" s="168" t="e">
        <f>AY128+AZ128*Исходн.данные.!U128-POWER(BA128,2)*Исходн.данные.!U128</f>
        <v>#N/A</v>
      </c>
      <c r="BE12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8" s="25">
        <f>IF(Исходн.данные.!AH128=0,0,MIN(HN128:HP128))</f>
        <v>0</v>
      </c>
      <c r="BG128" s="9">
        <f>IF(Исходн.данные.!AH128=0,0,IF((HO128+10*0.25/HG128/HL128)&lt;17,17,HO128+10*0.25/HG128/HL128))</f>
        <v>0</v>
      </c>
      <c r="BH128" s="181">
        <f>IF(Исходн.данные.!AH128=0,0,HW128*HF128*HL128/AU128*AI128+Исходн.данные.!S128*10)</f>
        <v>0</v>
      </c>
      <c r="BI128" s="10"/>
      <c r="BJ128" s="182">
        <f>IF(Исходн.данные.!AH128=0,0,IF(HX128*HG128*HL128/AV128&lt;0,0,HX128*HG128*HL128/AV128*AJ128))</f>
        <v>0</v>
      </c>
      <c r="BK128" s="182">
        <f>IF(Исходн.данные.!AH128=0,0,HY128*HH128*HM128/AW128)</f>
        <v>0</v>
      </c>
      <c r="BL128" s="10">
        <f>IF(OR(Исходн.данные.!$AH128=$BP$1,Исходн.данные.!$AH128=$BP$2),0,IF(BH128&lt;0,0,IF(OR(Исходн.данные.!T128=Расчет!$BP$1,Исходн.данные.!T128=Расчет!$BP$2,Исходн.данные.!T128=Расчет!$BT$5,Исходн.данные.!T128=Расчет!$BT$6),BH128*0.5,IF(OR(Исходн.данные.!T128=Расчет!$BS$9,Исходн.данные.!T128=Расчет!$BS$10,Исходн.данные.!T128=Расчет!$BS$11,Исходн.данные.!T128=Расчет!$BS$12,Исходн.данные.!T128=Расчет!$BP$5),BH128*0.8,BH128))))</f>
        <v>0</v>
      </c>
      <c r="BM128" s="10">
        <f>IF(OR(Исходн.данные.!$AH128=$BP$1,Исходн.данные.!$AH128=$BP$2),0,IF(BJ128&lt;0,0,IF(Исходн.данные.!I128&lt;4.5,BJ128*1.2,IF(Исходн.данные.!I128&gt;5.1,BJ128,BJ128*((5.1-Исходн.данные.!I128)*0.333+1)))))</f>
        <v>0</v>
      </c>
      <c r="BN128" s="10">
        <f>IF(OR(Исходн.данные.!$AH128=$BP$1,Исходн.данные.!$AH128=$BP$2),60-Исходн.данные.!AF128,IF(BK128&lt;0,0,IF(Исходн.данные.!I128&lt;4.5,BK128*1.2,IF(Исходн.данные.!I128&gt;5.1,BK128,BK128*((5.1-Исходн.данные.!I128)*0.333+1)))))</f>
        <v>0</v>
      </c>
      <c r="BO128" s="9">
        <f>IF(BL128&lt;0,0,BL128*Исходн.данные.!$AJ128/1000)</f>
        <v>0</v>
      </c>
      <c r="BP128" s="9">
        <f>IF(BM128&lt;0,0,BM128*Исходн.данные.!$AJ128/1000)</f>
        <v>0</v>
      </c>
      <c r="BQ128" s="9">
        <f>IF(BN128&lt;0,0,BN128*Исходн.данные.!$AJ128/1000)</f>
        <v>0</v>
      </c>
      <c r="BR128" s="9">
        <f t="shared" si="155"/>
        <v>0</v>
      </c>
      <c r="BS128" s="10" t="str">
        <f t="shared" si="156"/>
        <v>Аммофос 12:52:00</v>
      </c>
      <c r="BT128" s="10" t="str">
        <f t="shared" si="157"/>
        <v>Аммофос 12:52:00</v>
      </c>
      <c r="BU128" s="10" t="str">
        <f t="shared" si="158"/>
        <v>Диаммофоска</v>
      </c>
      <c r="BV128" s="10">
        <f t="shared" si="159"/>
        <v>0</v>
      </c>
      <c r="BW128" s="10"/>
      <c r="BX128" s="10"/>
      <c r="BY128" s="9">
        <f>IF(BL128&lt;0,0,IF(OR(Исходн.данные.!AI128=Расчет!$BU$6,Исходн.данные.!AI128=Расчет!$BU$7),Расчет!BV128,IF(Исходн.данные.!$AG128=$BV$11,BL128,IF(OR(Исходн.данные.!$AH128=$BQ$7,Исходн.данные.!$AH128=$BQ$8),CB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0,IF(Исходн.данные.!$AI128=$BU$11,"Нет",IF(BL128&gt;30,30,BL128)))))))</f>
        <v>0</v>
      </c>
      <c r="BZ128" s="9">
        <f>IF(AND(Исходн.данные.!$AG128=$BV$11,BM128&lt;10),10,IF(Исходн.данные.!$AG128=$BV$11,BM128,IF(OR(Исходн.данные.!$AH128=$BQ$7,Исходн.данные.!$AH128=$BQ$8),CC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10,IF(Исходн.данные.!$AI128=$BU$11,"Нет",IF(BM128&gt;60,60,IF(BM128&lt;10,10,BM128)))))))</f>
        <v>10</v>
      </c>
      <c r="CA128" s="39">
        <f>IF(BN128&lt;0,0,IF(Исходн.данные.!$AG128=$BV$11,BN128,IF(OR(Исходн.данные.!$AH128=$BQ$7,Исходн.данные.!$AH128=$BQ$8),CD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0,IF(Исходн.данные.!$AI128=$BU$11,"Нет",IF(BN128&gt;30,30,BN128))))))</f>
        <v>0</v>
      </c>
      <c r="CB128" s="9">
        <f t="shared" si="160"/>
        <v>0</v>
      </c>
      <c r="CC128" s="9">
        <f t="shared" si="161"/>
        <v>0</v>
      </c>
      <c r="CD128" s="9">
        <f t="shared" si="162"/>
        <v>0</v>
      </c>
      <c r="CE128" s="12">
        <f t="shared" si="163"/>
        <v>10</v>
      </c>
      <c r="CF128" s="9">
        <f t="shared" si="164"/>
        <v>0</v>
      </c>
      <c r="CG128" s="9" t="s">
        <v>231</v>
      </c>
      <c r="CH128" s="132" t="str">
        <f>IF(Исходн.данные.!AP128=Расчет!$CI$16,"Нет",IF(Исходн.данные.!AL128&gt;0,Исходн.данные.!AL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BH$4,IF(OR(Исходн.данные.!AI128=Исходн.данные.!$AI$6,Исходн.данные.!AI128=Исходн.данные.!$AI$7),Расчет!BS128,IF(AND($CF128=0,$CE128&gt;0),EV128,ER128)))))</f>
        <v>Аммофос 12:52:00</v>
      </c>
      <c r="CI128" s="274">
        <f>IF(Расчет!$CH128="Нет","Нет",IF(Исходн.данные.!$AL128&gt;0,VLOOKUP(Расчет!$CH128,АшламаДВ_Irekle,2,FALSE),VLOOKUP(Расчет!$CH128,АшламаДВ_Gomumy,2,FALSE)))</f>
        <v>0.12</v>
      </c>
      <c r="CJ128" s="274">
        <f>IF(Расчет!$CH128="Нет","Нет",IF(Исходн.данные.!$AL128&gt;0,VLOOKUP(Расчет!$CH128,АшламаДВ_Irekle,3,FALSE),VLOOKUP(Расчет!$CH128,АшламаДВ_Gomumy,3,FALSE)))</f>
        <v>0.52</v>
      </c>
      <c r="CK128" s="274">
        <f>IF(Расчет!$CH128="Нет","Нет",IF(Исходн.данные.!$AL128&gt;0,VLOOKUP(Расчет!$CH128,АшламаДВ_Irekle,4,FALSE),VLOOKUP(Расчет!$CH128,АшламаДВ_Gomumy,4,FALSE)))</f>
        <v>0</v>
      </c>
      <c r="CL128" s="70"/>
      <c r="CM128" s="70"/>
      <c r="CN128" s="70"/>
      <c r="CO128" s="70"/>
      <c r="CP128" s="70"/>
      <c r="CQ128" s="70"/>
      <c r="CR128" s="10">
        <f t="shared" si="165"/>
        <v>0</v>
      </c>
      <c r="CS128" s="10">
        <f t="shared" si="166"/>
        <v>19.23076923076923</v>
      </c>
      <c r="CT128" s="10">
        <f t="shared" si="167"/>
        <v>0</v>
      </c>
      <c r="CU128" s="39">
        <f>IF($CH128="Нет",0,IF(CI128=0,30/MIN(CJ128:CK128),IF(Исходн.данные.!$AG128=$BV$11,CR128,IF(OR(Исходн.данные.!$AH128=$BQ$7,Исходн.данные.!$AH128=$BQ$8),90/CI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0,IF(Исходн.данные.!$AI128=$BU$11,"Нет",30/CI128))))))</f>
        <v>250</v>
      </c>
      <c r="CV128" s="39">
        <f>IF($CH128="Нет",0,IF(Исходн.данные.!AH128=0,0,IF(CJ128=0,60/MIN(CI128,CK128),IF(Исходн.данные.!$AG128=$BV$11,CS128,IF(OR(Исходн.данные.!$AH128=$BQ$7,Исходн.данные.!$AH128=$BQ$8),90/CJ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10/CJ128,IF(Исходн.данные.!$AI128=$BU$11,"Нет",60/CJ128)))))))</f>
        <v>0</v>
      </c>
      <c r="CW128" s="39">
        <f>IF($CH128="Нет",0,IF(Исходн.данные.!AH128=0,0,IF(CK128=0,30/MIN(CI128:CJ128),IF(Исходн.данные.!$AG128=$BV$11,CT128,IF(OR(Исходн.данные.!$AH128=$BQ$7,Исходн.данные.!$AH128=$BQ$8),90/CK128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0,IF(Исходн.данные.!$AI128=$BU$11,"Нет",30/CK128)))))))</f>
        <v>0</v>
      </c>
      <c r="CX128" s="133">
        <f>IF(Исходн.данные.!$AG128=$BV$11,MAX(CU128:CW128),IF(OR(Исходн.данные.!$AH128=$BS$8,Исходн.данные.!$AH128=$BQ$9,Исходн.данные.!$AH128=$BQ$10,Исходн.данные.!$AH128=$BQ$11,Исходн.данные.!$AH128=$BQ$12,Исходн.данные.!$AH128=$BP$3,Исходн.данные.!$AH128=$BT$8,$FM128="Да"),CV128,MIN(CU128:CW128)))</f>
        <v>0</v>
      </c>
      <c r="CY128" s="133">
        <f>IF(Исходн.данные.!AH128=0,0,IF(CR128&gt;$CX128,$CX128,CR128))</f>
        <v>0</v>
      </c>
      <c r="CZ128" s="133">
        <f>IF(Исходн.данные.!AH128=0,0,IF(CS128&gt;$CX128,$CX128,CS128))</f>
        <v>0</v>
      </c>
      <c r="DA128" s="133">
        <f>IF(Исходн.данные.!AH128=0,0,IF(CT128&gt;$CX128,$CX128,CT128))</f>
        <v>0</v>
      </c>
      <c r="DB128" s="10">
        <f t="shared" si="168"/>
        <v>0</v>
      </c>
      <c r="DC128" s="39">
        <f>DB128*Исходн.данные.!AJ128/1000</f>
        <v>0</v>
      </c>
      <c r="DD128" s="71">
        <f t="shared" si="169"/>
        <v>0</v>
      </c>
      <c r="DE128" s="9">
        <f t="shared" si="170"/>
        <v>0</v>
      </c>
      <c r="DF128" s="9">
        <f t="shared" si="171"/>
        <v>0</v>
      </c>
      <c r="DG128" s="39">
        <f>IF(BL128&lt;0,0,IF($CH128="Нет",BL128,IF(OR(Исходн.данные.!$AH128=$BP$1,Исходн.данные.!$AH128=$BP$2),0,IF(Исходн.данные.!AI128=$BU$11,BL128,IF(BL128-DD128&lt;0,0,BL128-DD128)))))</f>
        <v>0</v>
      </c>
      <c r="DH128" s="39">
        <f>IF(BM128&lt;0,0,IF($CH128="Нет",BM128,IF(OR(Исходн.данные.!$AH128=$BP$1,Исходн.данные.!$AH128=$BP$2),0,IF(Исходн.данные.!AJ128=$BU$11,BM128,IF(BM128-DE128&lt;0,0,BM128-DE128)))))</f>
        <v>0</v>
      </c>
      <c r="DI128" s="39">
        <f>IF(BN128&lt;0,0,IF($CH128="Нет",BN128,IF(OR(Исходн.данные.!$AH128=$BP$1,Исходн.данные.!$AH128=$BP$2),0,IF(Исходн.данные.!AK128=$BU$11,BN128,IF(BN128-DF128&lt;0,0,BN128-DF128)))))</f>
        <v>0</v>
      </c>
      <c r="DJ128" s="12">
        <f t="shared" si="172"/>
        <v>0</v>
      </c>
      <c r="DK128" s="9">
        <f t="shared" si="173"/>
        <v>0</v>
      </c>
      <c r="DL128" s="39">
        <f>IF(Исходн.данные.!AM128&gt;0,Исходн.данные.!AM128,IF(EG128&gt;0,$BH$10,0))</f>
        <v>0</v>
      </c>
      <c r="DM128" s="186">
        <f>IF($DL128=0,0,IF(Исходн.данные.!AM128&gt;0,VLOOKUP($DL128,АшламаДВ_Irekle,2,FALSE),VLOOKUP($DL128,АшламаДВ_Gomumy,2,FALSE)))</f>
        <v>0</v>
      </c>
      <c r="DN128" s="10">
        <f t="shared" si="151"/>
        <v>0</v>
      </c>
      <c r="DO128" s="9" t="str">
        <f>IF(Исходн.данные.!AN128&gt;0,Исходн.данные.!AN128,Удобрения!$B$37 )</f>
        <v>Хлор.калий</v>
      </c>
      <c r="DP128" s="9">
        <f>IF(Исходн.данные.!AN128&gt;0,VLOOKUP(Исходн.данные.!AN128,АшламаДВ_Irekle,4,FALSE),VLOOKUP(DO128,АшламаДВ_Gomumy,4,FALSE))</f>
        <v>0.6</v>
      </c>
      <c r="DQ128" s="10">
        <f t="shared" si="152"/>
        <v>0</v>
      </c>
      <c r="DR128" s="132" t="str">
        <f>IF(Исходн.данные.!AO128&gt;0,Исходн.данные.!AO128,IF(DH128=0,BS$17,IF(AND($DK128=0,$DJ128&gt;0),EJ128,EN128)))</f>
        <v>Нет</v>
      </c>
      <c r="DS128" s="70" t="str">
        <f>IF($DR128="Нет","Нет",IF(Исходн.данные.!$AO128&gt;0,VLOOKUP($DR128,АшламаДВ_Irekle,2,FALSE),VLOOKUP($DR128,АшламаДВ_Gomumy,2,FALSE)))</f>
        <v>Нет</v>
      </c>
      <c r="DT128" s="70" t="str">
        <f>IF($DR128="Нет","Нет",IF(Исходн.данные.!$AO128&gt;0,VLOOKUP($DR128,АшламаДВ_Irekle,3,FALSE),VLOOKUP($DR128,АшламаДВ_Gomumy,3,FALSE)))</f>
        <v>Нет</v>
      </c>
      <c r="DU128" s="70" t="str">
        <f>IF($DR128="Нет","Нет",IF(Исходн.данные.!$AO128&gt;0,VLOOKUP($DR128,АшламаДВ_Irekle,4,FALSE),VLOOKUP($DR128,АшламаДВ_Gomumy,4,FALSE)))</f>
        <v>Нет</v>
      </c>
      <c r="DV128" s="70"/>
      <c r="DW128" s="70"/>
      <c r="DX128" s="70"/>
      <c r="DY128" s="10">
        <f t="shared" si="174"/>
        <v>0</v>
      </c>
      <c r="DZ128" s="10">
        <f t="shared" si="175"/>
        <v>0</v>
      </c>
      <c r="EA128" s="10">
        <f t="shared" si="176"/>
        <v>0</v>
      </c>
      <c r="EB128" s="10">
        <f t="shared" si="177"/>
        <v>0</v>
      </c>
      <c r="EC128" s="10">
        <f t="shared" si="178"/>
        <v>0</v>
      </c>
      <c r="ED128" s="10">
        <f t="shared" si="179"/>
        <v>0</v>
      </c>
      <c r="EE128" s="10">
        <f t="shared" si="180"/>
        <v>0</v>
      </c>
      <c r="EF128" s="39">
        <f>EB128*Исходн.данные.!AJ128/1000</f>
        <v>0</v>
      </c>
      <c r="EG128" s="9">
        <f t="shared" si="181"/>
        <v>0</v>
      </c>
      <c r="EH128" s="9">
        <f t="shared" si="182"/>
        <v>0</v>
      </c>
      <c r="EI128" s="39" t="e">
        <f t="shared" si="132"/>
        <v>#DIV/0!</v>
      </c>
      <c r="EJ128" s="9" t="str">
        <f t="shared" si="153"/>
        <v>Азопреципитат</v>
      </c>
      <c r="EK128" s="12">
        <f t="shared" si="133"/>
        <v>0.26</v>
      </c>
      <c r="EL128" s="12">
        <f t="shared" si="134"/>
        <v>0.13</v>
      </c>
      <c r="EM128" s="12">
        <f t="shared" si="135"/>
        <v>0</v>
      </c>
      <c r="EN128" s="12" t="str">
        <f t="shared" si="154"/>
        <v>Нет</v>
      </c>
      <c r="EO128" s="12">
        <f t="shared" si="136"/>
        <v>0</v>
      </c>
      <c r="EP128" s="12">
        <f t="shared" si="137"/>
        <v>0</v>
      </c>
      <c r="EQ128" s="12">
        <f t="shared" si="138"/>
        <v>0</v>
      </c>
      <c r="ER128" s="12" t="str">
        <f t="shared" si="183"/>
        <v>Диаммофоска</v>
      </c>
      <c r="ES128" s="12">
        <f t="shared" si="139"/>
        <v>0.1</v>
      </c>
      <c r="ET128" s="12">
        <f t="shared" si="140"/>
        <v>0.26</v>
      </c>
      <c r="EU128" s="12">
        <f t="shared" si="141"/>
        <v>0.26</v>
      </c>
      <c r="EV128" s="12" t="str">
        <f t="shared" si="184"/>
        <v>Аммофос 12:52:00</v>
      </c>
      <c r="EW128" s="12" t="str">
        <f t="shared" si="185"/>
        <v>Кемира Свекловичное-6</v>
      </c>
      <c r="EX128" s="12">
        <f t="shared" si="142"/>
        <v>0.16</v>
      </c>
      <c r="EY128" s="12">
        <f t="shared" si="143"/>
        <v>0.12</v>
      </c>
      <c r="EZ128" s="12">
        <f t="shared" si="144"/>
        <v>0.17</v>
      </c>
      <c r="FA128" s="38" t="e">
        <f>IF(AND(OR(FJ128=$FD$1,FM128=$FD$1,FO128=$FD$1,FQ128=$FD$1,FS128=$FD$1),FD128=$FD$1,Исходн.данные.!J128&lt;2,FU128=$FD$1),"Бор,Кобальт",IF(AND(FO128=$FD$1,FH128=$FD$1,Исходн.данные.!J128&lt;2,FU128=$FD$1),"Бор,Кобальт",IF(AND(OR(FJ128=$FD$1,FM128=$FD$1,FQ128=$FD$1),FE128=$FD$1,Исходн.данные.!J128&lt;2,FT128=$FD$1,FU128=$FD$1),"Бор,Медь,Цинк",IF(AND(OR(FJ128=$FD$1,FR128="Да"),FI128="Да",Исходн.данные.!J128&lt;2,FT128="Да",FU128="Да"),"Бор,Цинк,Медь",IF(AND(OR(FM128="Да",FQ128="Да"),FI128="Да",Исходн.данные.!J128&lt;2,FT128="Да",FU128="Да"),"Бор,Цинк",IF(AND(FN128="Да",OR(FD128="Да",FE128="Да")),"Бор",FB128))))))</f>
        <v>#N/A</v>
      </c>
      <c r="FB128" s="134" t="e">
        <f>IF(AND(OR(FD128="Да",FE128="Да",FF128="Да",FG128="Да",FH128="Да"),FO128="Да"),"Бор",IF(AND(FP128="Да",OR(FD128="Да",FE128="Да",FI128="Да")),"Бор",IF(AND(FS128="Да",FE128="Да"),"Бор,Медь",IF(AND(OR(FJ128="Да",FK128="Да",FL128="Да"),FE128="Да",Исходн.данные.!I128&lt;5,FT128="Да",FU128="Да"),"Молибден,Цинк",IF(AND(FM128="Да",OR(FE128="Да",FF128="Да",FG128="Да",FH128="Да",FI128="Да")),"Молибден,Цинк",IF(AND(OR(FJ128="Да",FK128="Да",FL128="Да",FM128="Да",FQ128="Да"),OR(FE128="Да",FF128="Да"),FT128="Да",FU128="Да",Исходн.данные.!I128&gt;5.5),"Медь,Цинк",FC128))))))</f>
        <v>#N/A</v>
      </c>
      <c r="FC128" s="23" t="e">
        <f t="shared" si="186"/>
        <v>#N/A</v>
      </c>
      <c r="FD128" s="38" t="str">
        <f>IF(OR(Исходн.данные.!F128=$CC$1,Исходн.данные.!F128=$CC$2,Исходн.данные.!F128=$CC$3,Исходн.данные.!F128=$CC$4),"Да","Нет")</f>
        <v>Нет</v>
      </c>
      <c r="FE128" s="38" t="str">
        <f>IF(Исходн.данные.!F128=$CC$5,"Да","Нет")</f>
        <v>Нет</v>
      </c>
      <c r="FF128" s="38" t="str">
        <f>IF(OR(Исходн.данные.!F128=$CC$6,Исходн.данные.!F128=$CC$7),"Да","Нет")</f>
        <v>Нет</v>
      </c>
      <c r="FG128" s="38" t="str">
        <f>IF(OR(Исходн.данные.!F128=$CC$8,Исходн.данные.!F128=$CC$9),"Да","Нет")</f>
        <v>Нет</v>
      </c>
      <c r="FH128" s="38" t="str">
        <f>IF(Исходн.данные.!F128=$CC$10,"Да","Нет")</f>
        <v>Нет</v>
      </c>
      <c r="FI128" s="38" t="str">
        <f>IF(OR(Исходн.данные.!F128=$CC$11,Исходн.данные.!F128=$CC$12),"Да","Нет")</f>
        <v>Нет</v>
      </c>
      <c r="FJ128" s="38" t="str">
        <f>IF(OR(Исходн.данные.!AH128=$BS$1,Исходн.данные.!AH128=$BQ$11,Исходн.данные.!AH128=$BQ$12),"Да","Нет")</f>
        <v>Нет</v>
      </c>
      <c r="FK128" s="38" t="str">
        <f>IF(OR(Исходн.данные.!AH128=$BS$2,Исходн.данные.!AH128=$BS$4),"Да","Нет")</f>
        <v>Нет</v>
      </c>
      <c r="FL128" s="38" t="str">
        <f>IF(OR(Исходн.данные.!AH128=$BS$3,Исходн.данные.!AH128=$BS$5),"Да","Нет")</f>
        <v>Нет</v>
      </c>
      <c r="FM128" s="38" t="str">
        <f>IF(OR(Исходн.данные.!AH128=$BS$9,Исходн.данные.!AH128=$BS$10,Исходн.данные.!AH128=$BS$11,Исходн.данные.!AH128=$BS$12),"Да","Нет")</f>
        <v>Нет</v>
      </c>
      <c r="FN128" s="38" t="str">
        <f>IF(OR(Исходн.данные.!AH128=$BS$6,Исходн.данные.!AH128=$BP$3),"Да","Нет")</f>
        <v>Нет</v>
      </c>
      <c r="FO128" s="38" t="str">
        <f>IF(Исходн.данные.!AH128=$BQ$9,"Да","Нет")</f>
        <v>Нет</v>
      </c>
      <c r="FP128" s="38" t="str">
        <f>IF(OR(Исходн.данные.!AH128=$BS$8,Исходн.данные.!AH128=$BT$8),"Да","Нет")</f>
        <v>Нет</v>
      </c>
      <c r="FQ128" s="38" t="str">
        <f>IF(OR(Исходн.данные.!AH128=$BQ$7,Исходн.данные.!AH128=$BQ$8),"Да","Нет")</f>
        <v>Нет</v>
      </c>
      <c r="FR128" s="38" t="str">
        <f>IF(Исходн.данные.!AI128=$BU$9,"Да","Нет")</f>
        <v>Нет</v>
      </c>
      <c r="FS128" s="38" t="str">
        <f>IF(OR(Исходн.данные.!AH128=$BP$1,Исходн.данные.!AH128=$BP$2),"Да","Нет")</f>
        <v>Нет</v>
      </c>
      <c r="FT128" s="38" t="e">
        <f>IF((Исходн.данные.!K128*GO128*GS128*GW128+BL128*0.6+Исходн.данные.!Q128*4.5*0.275)&gt;90,"Да","Нет")</f>
        <v>#N/A</v>
      </c>
      <c r="FU128" s="38" t="e">
        <f>IF((Исходн.данные.!M128*GS128*GZ128+BM128*0.225)&gt;35,"Да","Нет")</f>
        <v>#N/A</v>
      </c>
      <c r="FV128" s="38" t="str">
        <f>IF(Исходн.данные.!O128&gt;175,"Да","Нет")</f>
        <v>Нет</v>
      </c>
      <c r="FW128" s="39" t="str">
        <f>IF(Исходн.данные.!I128&gt;5.5,"Да","Нет")</f>
        <v>Нет</v>
      </c>
      <c r="FX128" s="39" t="str">
        <f>IF(Исходн.данные.!J128&lt;2,"Да","Нет")</f>
        <v>Да</v>
      </c>
      <c r="FY128" s="39" t="e">
        <f>IF(HF128=$FY$16,0,Исходн.данные.!K128*GO128*GS128*GW128/HF128)</f>
        <v>#N/A</v>
      </c>
      <c r="FZ128" s="39" t="e">
        <f>Исходн.данные.!M128*GS128*GZ128/HG128</f>
        <v>#N/A</v>
      </c>
      <c r="GA128" s="39" t="e">
        <f>IF(K_Wyn=$FY$16,0,IF(Исходн.данные.!N128=Исходн.данные.!$L$10,Исходн.данные.!O128/1.1*GS128*HC128/HH128,IF(Исходн.данные.!N128=Исходн.данные.!$L$12,Исходн.данные.!O128/1.5*GS128*HC128/HH128,Исходн.данные.!O128*GS128*HC128/HH128)))</f>
        <v>#N/A</v>
      </c>
      <c r="GB128" s="39" t="e">
        <f>IF(HF128=$FY$16,0,((Исходн.данные.!Q128*N_Org+Исходн.данные.!R128*N_Sider+Исходн.данные.!S128*N_Soloma)*AO128+Расчет!BC128*VLOOKUP(Исходн.данные.!T128,Справ!$A$3:$O$57,15)*AO128+BB128*VLOOKUP(Исходн.данные.!T128,Справ!$A$3:$O$57,15)*AL128+(Исходн.данные.!V128*N_Rizotorf+Исходн.данные.!W128*N_Rizoagr))/HF128)</f>
        <v>#N/A</v>
      </c>
      <c r="GC128" s="39" t="e">
        <f>IF(HG128=$FY$16,0,((Исходн.данные.!Q128*Р_Org+Исходн.данные.!R128*P_Sider+Исходн.данные.!S128*P_Soloma)*AP128+Расчет!BC128*VLOOKUP(Исходн.данные.!T128,Справ!$A$3:$P$57,16)*AP128+BB128*VLOOKUP(Исходн.данные.!T128,Справ!$A$3:$P$57,16)*AM128)/HG128)</f>
        <v>#N/A</v>
      </c>
      <c r="GD128" s="39" t="e">
        <f>IF(HH128=$FY$16,0,((Исходн.данные.!Q128*К_Org+Исходн.данные.!R128*K_Sider+Исходн.данные.!S128*K_Soloma)*AQ128+Расчет!BC128*VLOOKUP(Исходн.данные.!T128,Справ!$A$3:$Q$57,17)*AQ128+BB128*VLOOKUP(Исходн.данные.!T128,Справ!$A$3:$Q$57,17)*AN128)/HH128)</f>
        <v>#N/A</v>
      </c>
      <c r="GE128" s="39" t="e">
        <f>IF(HF128=$FY$16,0,(Исходн.данные.!X128*AR128+Исходн.данные.!AA128*N_Org*AL128+Исходн.данные.!AB128*N_Sider*AL128+Исходн.данные.!AC128*N_Soloma*AL128)/HF128)</f>
        <v>#N/A</v>
      </c>
      <c r="GF128" s="39" t="e">
        <f>IF(HG128=$FY$16,0,(Исходн.данные.!Y128*AS128+Исходн.данные.!AA128*Р_Org*AM128+Исходн.данные.!AB128*P_Sider*AM128+Исходн.данные.!AC128*P_Soloma*AM128)/HG128)</f>
        <v>#N/A</v>
      </c>
      <c r="GG128" s="39" t="e">
        <f>IF(HH128=$FY$16,0,(Исходн.данные.!Z128*AT128+Исходн.данные.!AA128*К_Org*AN128+Исходн.данные.!AB128*K_Sider*AN128+Исходн.данные.!AC128*K_Soloma*AN128)/HH128)</f>
        <v>#N/A</v>
      </c>
      <c r="GH128" s="39" t="e">
        <f>Исходн.данные.!AD128*AU128/HF128</f>
        <v>#N/A</v>
      </c>
      <c r="GI128" s="39" t="e">
        <f>Исходн.данные.!AE128*AV128/HG128</f>
        <v>#N/A</v>
      </c>
      <c r="GJ128" s="39" t="e">
        <f>Исходн.данные.!AF128*AW128/HH128</f>
        <v>#N/A</v>
      </c>
      <c r="GK128" s="55">
        <f>Исходн.данные.!AK128</f>
        <v>0</v>
      </c>
      <c r="GL128" s="11" t="e">
        <f t="shared" si="187"/>
        <v>#N/A</v>
      </c>
      <c r="GM128" s="11" t="e">
        <f t="shared" si="188"/>
        <v>#N/A</v>
      </c>
      <c r="GN128" s="11" t="e">
        <f t="shared" si="189"/>
        <v>#N/A</v>
      </c>
      <c r="GO128" s="57">
        <f t="shared" si="190"/>
        <v>19</v>
      </c>
      <c r="GP128" s="55">
        <f>IF(OR(Исходн.данные.!F128=$CE$1,Исходн.данные.!F128=$CE$2,Исходн.данные.!F128=$CE$3,Исходн.данные.!F128=$CE$4,Исходн.данные.!F128=$CE$5),GQ128,GR128)</f>
        <v>19</v>
      </c>
      <c r="GQ128" s="55">
        <f>IF(Исходн.данные.!F128=$CE$1,28,IF(Исходн.данные.!F128=$CE$2,26,IF(Исходн.данные.!F128=$CE$3,24,IF(Исходн.данные.!F128=$CE$4,22,IF(Исходн.данные.!F128=$CE$5,20,GR128)))))</f>
        <v>19</v>
      </c>
      <c r="GR128" s="55">
        <f>IF(Исходн.данные.!F128=$CE$6,18,IF(Исходн.данные.!F128=$CE$7,16,IF(Исходн.данные.!F128=$CE$8,14,IF(Исходн.данные.!F128=$CE$9,13,IF(Исходн.данные.!F128=$CE$10,12,19)))))</f>
        <v>19</v>
      </c>
      <c r="GS128" s="55">
        <f>IF(Исходн.данные.!G128="Пес",0.035*(40+2*Исходн.данные.!H128),IF(Исходн.данные.!G128="Суп",0.0325*(40+2*Исходн.данные.!H128),0.03*(40+2*Исходн.данные.!H128)))</f>
        <v>1.2</v>
      </c>
      <c r="GT128" s="55">
        <f>IF(Исходн.данные.!H128&lt;23,2.6,IF(AND(Исходн.данные.!H128&gt;22,Исходн.данные.!H128&lt;26),3,IF(AND(Исходн.данные.!H128&gt;25,Исходн.данные.!H128&lt;29),3.4,3.6)))</f>
        <v>2.6</v>
      </c>
      <c r="GU128" s="55">
        <f>IF(Исходн.данные.!H128&lt;23,2.8,IF(AND(Исходн.данные.!H128&gt;22,Исходн.данные.!H128&lt;26),3.2,IF(AND(Исходн.данные.!H128&gt;25,Исходн.данные.!H128&lt;29),3.6,3.9)))</f>
        <v>2.8</v>
      </c>
      <c r="GV128" s="55">
        <f>IF(Исходн.данные.!H128&lt;23,3,IF(AND(Исходн.данные.!H128&gt;22,Исходн.данные.!H128&lt;26),3.5,IF(AND(Исходн.данные.!H128&gt;25,Исходн.данные.!H128&lt;29),3.9,4.2)))</f>
        <v>3</v>
      </c>
      <c r="GW128" s="55" t="e">
        <f>IF(Исходн.данные.!P128="Ум",GX128,GY128)</f>
        <v>#N/A</v>
      </c>
      <c r="GX128" s="55" t="e">
        <f>VLOOKUP(Исходн.данные.!AI128,Коэффициенты!$J$7:$L$13,2,FALSE)</f>
        <v>#N/A</v>
      </c>
      <c r="GY128" s="55" t="e">
        <f>VLOOKUP(Исходн.данные.!AI128,Коэффициенты!$J$7:$L$13,3,FALSE)</f>
        <v>#N/A</v>
      </c>
      <c r="GZ128" s="55" t="e">
        <f>(IF(Исходн.данные.!M128&lt;50,0.11*VLOOKUP(Исходн.данные.!AH128,Культуры.Информация,7,FALSE),IF(Исходн.данные.!M128&gt;250,0.05*VLOOKUP(Исходн.данные.!AH128,Культуры.Информация,7,FALSE),VLOOKUP(Исходн.данные.!AH128,Культуры.Информация,5,FALSE)/100*($GX$6+$GY$6*Исходн.данные.!M128))))*Расчет2!AI128</f>
        <v>#N/A</v>
      </c>
      <c r="HA128" s="211"/>
      <c r="HB128" s="211"/>
      <c r="HC128" s="55" t="e">
        <f>(IF(Исходн.данные.!O128&lt;80,0.2*VLOOKUP(Исходн.данные.!AH128,Культуры.Информация,8,FALSE),IF(Исходн.данные.!O128&gt;240,0.09*VLOOKUP(Исходн.данные.!AH128,Культуры.Информация,8,FALSE),VLOOKUP(Исходн.данные.!AH128,Культуры.Информация,6,FALSE)/100*($HB$6+$HC$6*Исходн.данные.!O128))))*Расчет2!AJ128</f>
        <v>#N/A</v>
      </c>
      <c r="HD128" s="55">
        <f>IF(Исходн.данные.!O128&gt;240,0.09,IF(Исходн.данные.!O128&lt;30,0.3,$HE$10+$HD$10*Исходн.данные.!O128))</f>
        <v>0.3</v>
      </c>
      <c r="HE128" s="55">
        <f>IF(Исходн.данные.!O128&gt;240,0.17,IF(Исходн.данные.!O128&lt;30,0.5,$HF$12+$HE$12*Исходн.данные.!O128))</f>
        <v>0.5</v>
      </c>
      <c r="HF128" s="55" t="e">
        <f>VLOOKUP(Исходн.данные.!AH128,Справ!$A$3:$D$58,2,FALSE)</f>
        <v>#N/A</v>
      </c>
      <c r="HG128" s="55" t="e">
        <f>VLOOKUP(Исходн.данные.!AH128,Справ!$A$3:$D$58,3,FALSE)</f>
        <v>#N/A</v>
      </c>
      <c r="HH128" s="55" t="e">
        <f>VLOOKUP(Исходн.данные.!AH128,Справ!$A$3:$D$58,4,FALSE)</f>
        <v>#N/A</v>
      </c>
      <c r="HI128" s="11" t="e">
        <f t="shared" si="191"/>
        <v>#N/A</v>
      </c>
      <c r="HJ128" s="11" t="e">
        <f t="shared" si="192"/>
        <v>#N/A</v>
      </c>
      <c r="HK128" s="11" t="e">
        <f t="shared" si="193"/>
        <v>#N/A</v>
      </c>
      <c r="HL128" s="55">
        <f>IF(OR(Исходн.данные.!G128="Глин",Исходн.данные.!G128="Т_суг"),1.1,IF(Исходн.данные.!G128="Ср_суг",1,1))</f>
        <v>1</v>
      </c>
      <c r="HM128" s="55">
        <f>IF(OR(Исходн.данные.!G128="Глин",Исходн.данные.!G128="Т_суг"),0.9,IF(Исходн.данные.!G128="Ср_суг",1,1.2))</f>
        <v>1.2</v>
      </c>
      <c r="HN128" s="11" t="e">
        <f t="shared" si="194"/>
        <v>#N/A</v>
      </c>
      <c r="HO128" s="11" t="e">
        <f t="shared" si="195"/>
        <v>#N/A</v>
      </c>
      <c r="HP128" s="11" t="e">
        <f t="shared" si="196"/>
        <v>#N/A</v>
      </c>
      <c r="HQ128" t="e">
        <f t="shared" si="197"/>
        <v>#N/A</v>
      </c>
      <c r="HR128" t="e">
        <f t="shared" si="198"/>
        <v>#N/A</v>
      </c>
      <c r="HS128" t="e">
        <f t="shared" si="199"/>
        <v>#N/A</v>
      </c>
      <c r="HT128" t="e">
        <f t="shared" si="145"/>
        <v>#N/A</v>
      </c>
      <c r="HU128" t="e">
        <f t="shared" si="146"/>
        <v>#N/A</v>
      </c>
      <c r="HV128" t="e">
        <f t="shared" si="147"/>
        <v>#N/A</v>
      </c>
      <c r="HW128" t="e">
        <f t="shared" si="148"/>
        <v>#N/A</v>
      </c>
      <c r="HX128" t="e">
        <f t="shared" si="149"/>
        <v>#N/A</v>
      </c>
      <c r="HY128" t="e">
        <f t="shared" si="150"/>
        <v>#N/A</v>
      </c>
      <c r="HZ128" s="55">
        <f>IF(OR(Исходн.данные.!AI128="Оз_Ч_П",Исходн.данные.!AI128="Оз_З_П",Исходн.данные.!AI128="Яр_зер"),12,30)</f>
        <v>30</v>
      </c>
      <c r="IA128" t="e">
        <f t="shared" si="200"/>
        <v>#N/A</v>
      </c>
      <c r="IB128" t="e">
        <f t="shared" si="201"/>
        <v>#N/A</v>
      </c>
      <c r="IC128" t="e">
        <f t="shared" si="202"/>
        <v>#N/A</v>
      </c>
      <c r="ID128" s="11" t="e">
        <f t="shared" si="203"/>
        <v>#N/A</v>
      </c>
      <c r="IE128" s="11" t="e">
        <f t="shared" si="204"/>
        <v>#N/A</v>
      </c>
      <c r="IF128" s="11" t="e">
        <f t="shared" si="205"/>
        <v>#N/A</v>
      </c>
    </row>
    <row r="129" spans="35:240" x14ac:dyDescent="0.2">
      <c r="AI129">
        <f>IF(Исходн.данные.!I129&gt;6,1,1.85-(0.148*Исходн.данные.!I129))</f>
        <v>1.85</v>
      </c>
      <c r="AJ129">
        <f>IF(Исходн.данные.!I129&gt;6,1,2.434-(0.246*Исходн.данные.!I129))</f>
        <v>2.4340000000000002</v>
      </c>
      <c r="AL129" s="148" t="b">
        <f>IF(Исходн.данные.!$P129="Ум",N_OrgUd_2g_um,IF(Исходн.данные.!$P129="Об",N_OrgUd_2g_ob))</f>
        <v>0</v>
      </c>
      <c r="AM129" s="148" t="b">
        <f>IF(Исходн.данные.!$P129="Ум",P_OrgUd_2g_um,IF(Исходн.данные.!$P129="Об",P_OrgUd_2g_ob))</f>
        <v>0</v>
      </c>
      <c r="AN129" s="148" t="b">
        <f>IF(Исходн.данные.!$P129="Ум",K_OrgUd_2g_um,IF(Исходн.данные.!$P129="Об",K_OrgUd_2g_ob))</f>
        <v>0</v>
      </c>
      <c r="AO129" s="148" t="b">
        <f>IF(Исходн.данные.!$P129="Ум",N_OrgUd_1g_um,IF(Исходн.данные.!$P129="Об",N_OrgUd_1g_ob))</f>
        <v>0</v>
      </c>
      <c r="AP129" s="148" t="b">
        <f>IF(Исходн.данные.!$P129="Ум",P_OrgUd_1g_um,IF(Исходн.данные.!$P129="Об",P_OrgUd_1g_ob))</f>
        <v>0</v>
      </c>
      <c r="AQ129" s="148" t="b">
        <f>IF(Исходн.данные.!$P129="Ум",K_OrgUd_1g_um,IF(Исходн.данные.!$P129="Об",K_OrgUd_1g_ob))</f>
        <v>0</v>
      </c>
      <c r="AR129" t="b">
        <f>IF(Исходн.данные.!$P129="Ум",N_MinUd_2g_um,IF(Исходн.данные.!$P129="Об",N_MinUd_2g_ob))</f>
        <v>0</v>
      </c>
      <c r="AS129" t="b">
        <f>IF(Исходн.данные.!$P129="Ум",P_MinUd_2g_um,IF(Исходн.данные.!$P129="Об",P_MinUd_2g_ob))</f>
        <v>0</v>
      </c>
      <c r="AT129" t="b">
        <f>IF(Исходн.данные.!$P129="Ум",K_MinUd_2g_um,IF(Исходн.данные.!$P129="Об",K_MinUd_2g_ob))</f>
        <v>0</v>
      </c>
      <c r="AU129" t="b">
        <f>IF(Исходн.данные.!$P129="Ум",N_MinUd_1g_um,IF(Исходн.данные.!$P129="Об",N_MinUd_1g_ob))</f>
        <v>0</v>
      </c>
      <c r="AV129" t="b">
        <f>IF(Исходн.данные.!P129="Ум",P_MinUd_1g_um,IF(Исходн.данные.!P129="Об",P_MinUd_1g_ob))</f>
        <v>0</v>
      </c>
      <c r="AW129" t="b">
        <f>IF(Исходн.данные.!P129="Ум",K_MinUd_1g_um,IF(Исходн.данные.!P129="Об",K_MinUd_1g_ob))</f>
        <v>0</v>
      </c>
      <c r="AY129" t="e">
        <f>VLOOKUP(Исходн.данные.!T129,Справ!$A$3:$N$57,12)</f>
        <v>#N/A</v>
      </c>
      <c r="AZ129" t="e">
        <f>VLOOKUP(Исходн.данные.!T129,Справ!$A$3:$N$57,13)</f>
        <v>#N/A</v>
      </c>
      <c r="BA129" t="e">
        <f>VLOOKUP(Исходн.данные.!T129,Справ!$A$3:$N$57,14)</f>
        <v>#N/A</v>
      </c>
      <c r="BB129">
        <f>IF(Исходн.данные.!AH129=0,0,25)</f>
        <v>0</v>
      </c>
      <c r="BC129" s="141">
        <f>IF(Исходн.данные.!AH129=0,0,IF(Исходн.данные.!T129=0,25,BD129))</f>
        <v>0</v>
      </c>
      <c r="BD129" s="168" t="e">
        <f>AY129+AZ129*Исходн.данные.!U129-POWER(BA129,2)*Исходн.данные.!U129</f>
        <v>#N/A</v>
      </c>
      <c r="BE12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29" s="25">
        <f>IF(Исходн.данные.!AH129=0,0,MIN(HN129:HP129))</f>
        <v>0</v>
      </c>
      <c r="BG129" s="9">
        <f>IF(Исходн.данные.!AH129=0,0,IF((HO129+10*0.25/HG129/HL129)&lt;17,17,HO129+10*0.25/HG129/HL129))</f>
        <v>0</v>
      </c>
      <c r="BH129" s="181">
        <f>IF(Исходн.данные.!AH129=0,0,HW129*HF129*HL129/AU129*AI129+Исходн.данные.!S129*10)</f>
        <v>0</v>
      </c>
      <c r="BI129" s="10"/>
      <c r="BJ129" s="182">
        <f>IF(Исходн.данные.!AH129=0,0,IF(HX129*HG129*HL129/AV129&lt;0,0,HX129*HG129*HL129/AV129*AJ129))</f>
        <v>0</v>
      </c>
      <c r="BK129" s="182">
        <f>IF(Исходн.данные.!AH129=0,0,HY129*HH129*HM129/AW129)</f>
        <v>0</v>
      </c>
      <c r="BL129" s="10">
        <f>IF(OR(Исходн.данные.!$AH129=$BP$1,Исходн.данные.!$AH129=$BP$2),0,IF(BH129&lt;0,0,IF(OR(Исходн.данные.!T129=Расчет!$BP$1,Исходн.данные.!T129=Расчет!$BP$2,Исходн.данные.!T129=Расчет!$BT$5,Исходн.данные.!T129=Расчет!$BT$6),BH129*0.5,IF(OR(Исходн.данные.!T129=Расчет!$BS$9,Исходн.данные.!T129=Расчет!$BS$10,Исходн.данные.!T129=Расчет!$BS$11,Исходн.данные.!T129=Расчет!$BS$12,Исходн.данные.!T129=Расчет!$BP$5),BH129*0.8,BH129))))</f>
        <v>0</v>
      </c>
      <c r="BM129" s="10">
        <f>IF(OR(Исходн.данные.!$AH129=$BP$1,Исходн.данные.!$AH129=$BP$2),0,IF(BJ129&lt;0,0,IF(Исходн.данные.!I129&lt;4.5,BJ129*1.2,IF(Исходн.данные.!I129&gt;5.1,BJ129,BJ129*((5.1-Исходн.данные.!I129)*0.333+1)))))</f>
        <v>0</v>
      </c>
      <c r="BN129" s="10">
        <f>IF(OR(Исходн.данные.!$AH129=$BP$1,Исходн.данные.!$AH129=$BP$2),60-Исходн.данные.!AF129,IF(BK129&lt;0,0,IF(Исходн.данные.!I129&lt;4.5,BK129*1.2,IF(Исходн.данные.!I129&gt;5.1,BK129,BK129*((5.1-Исходн.данные.!I129)*0.333+1)))))</f>
        <v>0</v>
      </c>
      <c r="BO129" s="9">
        <f>IF(BL129&lt;0,0,BL129*Исходн.данные.!$AJ129/1000)</f>
        <v>0</v>
      </c>
      <c r="BP129" s="9">
        <f>IF(BM129&lt;0,0,BM129*Исходн.данные.!$AJ129/1000)</f>
        <v>0</v>
      </c>
      <c r="BQ129" s="9">
        <f>IF(BN129&lt;0,0,BN129*Исходн.данные.!$AJ129/1000)</f>
        <v>0</v>
      </c>
      <c r="BR129" s="9">
        <f t="shared" si="155"/>
        <v>0</v>
      </c>
      <c r="BS129" s="10" t="str">
        <f t="shared" si="156"/>
        <v>Аммофос 12:52:00</v>
      </c>
      <c r="BT129" s="10" t="str">
        <f t="shared" si="157"/>
        <v>Аммофос 12:52:00</v>
      </c>
      <c r="BU129" s="10" t="str">
        <f t="shared" si="158"/>
        <v>Диаммофоска</v>
      </c>
      <c r="BV129" s="10">
        <f t="shared" si="159"/>
        <v>0</v>
      </c>
      <c r="BW129" s="10"/>
      <c r="BX129" s="10"/>
      <c r="BY129" s="9">
        <f>IF(BL129&lt;0,0,IF(OR(Исходн.данные.!AI129=Расчет!$BU$6,Исходн.данные.!AI129=Расчет!$BU$7),Расчет!BV129,IF(Исходн.данные.!$AG129=$BV$11,BL129,IF(OR(Исходн.данные.!$AH129=$BQ$7,Исходн.данные.!$AH129=$BQ$8),CB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0,IF(Исходн.данные.!$AI129=$BU$11,"Нет",IF(BL129&gt;30,30,BL129)))))))</f>
        <v>0</v>
      </c>
      <c r="BZ129" s="9">
        <f>IF(AND(Исходн.данные.!$AG129=$BV$11,BM129&lt;10),10,IF(Исходн.данные.!$AG129=$BV$11,BM129,IF(OR(Исходн.данные.!$AH129=$BQ$7,Исходн.данные.!$AH129=$BQ$8),CC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10,IF(Исходн.данные.!$AI129=$BU$11,"Нет",IF(BM129&gt;60,60,IF(BM129&lt;10,10,BM129)))))))</f>
        <v>10</v>
      </c>
      <c r="CA129" s="39">
        <f>IF(BN129&lt;0,0,IF(Исходн.данные.!$AG129=$BV$11,BN129,IF(OR(Исходн.данные.!$AH129=$BQ$7,Исходн.данные.!$AH129=$BQ$8),CD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0,IF(Исходн.данные.!$AI129=$BU$11,"Нет",IF(BN129&gt;30,30,BN129))))))</f>
        <v>0</v>
      </c>
      <c r="CB129" s="9">
        <f t="shared" si="160"/>
        <v>0</v>
      </c>
      <c r="CC129" s="9">
        <f t="shared" si="161"/>
        <v>0</v>
      </c>
      <c r="CD129" s="9">
        <f t="shared" si="162"/>
        <v>0</v>
      </c>
      <c r="CE129" s="12">
        <f t="shared" si="163"/>
        <v>10</v>
      </c>
      <c r="CF129" s="9">
        <f t="shared" si="164"/>
        <v>0</v>
      </c>
      <c r="CG129" s="9" t="s">
        <v>231</v>
      </c>
      <c r="CH129" s="132" t="str">
        <f>IF(Исходн.данные.!AP129=Расчет!$CI$16,"Нет",IF(Исходн.данные.!AL129&gt;0,Исходн.данные.!AL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BH$4,IF(OR(Исходн.данные.!AI129=Исходн.данные.!$AI$6,Исходн.данные.!AI129=Исходн.данные.!$AI$7),Расчет!BS129,IF(AND($CF129=0,$CE129&gt;0),EV129,ER129)))))</f>
        <v>Аммофос 12:52:00</v>
      </c>
      <c r="CI129" s="274">
        <f>IF(Расчет!$CH129="Нет","Нет",IF(Исходн.данные.!$AL129&gt;0,VLOOKUP(Расчет!$CH129,АшламаДВ_Irekle,2,FALSE),VLOOKUP(Расчет!$CH129,АшламаДВ_Gomumy,2,FALSE)))</f>
        <v>0.12</v>
      </c>
      <c r="CJ129" s="274">
        <f>IF(Расчет!$CH129="Нет","Нет",IF(Исходн.данные.!$AL129&gt;0,VLOOKUP(Расчет!$CH129,АшламаДВ_Irekle,3,FALSE),VLOOKUP(Расчет!$CH129,АшламаДВ_Gomumy,3,FALSE)))</f>
        <v>0.52</v>
      </c>
      <c r="CK129" s="274">
        <f>IF(Расчет!$CH129="Нет","Нет",IF(Исходн.данные.!$AL129&gt;0,VLOOKUP(Расчет!$CH129,АшламаДВ_Irekle,4,FALSE),VLOOKUP(Расчет!$CH129,АшламаДВ_Gomumy,4,FALSE)))</f>
        <v>0</v>
      </c>
      <c r="CL129" s="70"/>
      <c r="CM129" s="70"/>
      <c r="CN129" s="70"/>
      <c r="CO129" s="70"/>
      <c r="CP129" s="70"/>
      <c r="CQ129" s="70"/>
      <c r="CR129" s="10">
        <f t="shared" si="165"/>
        <v>0</v>
      </c>
      <c r="CS129" s="10">
        <f t="shared" si="166"/>
        <v>19.23076923076923</v>
      </c>
      <c r="CT129" s="10">
        <f t="shared" si="167"/>
        <v>0</v>
      </c>
      <c r="CU129" s="39">
        <f>IF($CH129="Нет",0,IF(CI129=0,30/MIN(CJ129:CK129),IF(Исходн.данные.!$AG129=$BV$11,CR129,IF(OR(Исходн.данные.!$AH129=$BQ$7,Исходн.данные.!$AH129=$BQ$8),90/CI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0,IF(Исходн.данные.!$AI129=$BU$11,"Нет",30/CI129))))))</f>
        <v>250</v>
      </c>
      <c r="CV129" s="39">
        <f>IF($CH129="Нет",0,IF(Исходн.данные.!AH129=0,0,IF(CJ129=0,60/MIN(CI129,CK129),IF(Исходн.данные.!$AG129=$BV$11,CS129,IF(OR(Исходн.данные.!$AH129=$BQ$7,Исходн.данные.!$AH129=$BQ$8),90/CJ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10/CJ129,IF(Исходн.данные.!$AI129=$BU$11,"Нет",60/CJ129)))))))</f>
        <v>0</v>
      </c>
      <c r="CW129" s="39">
        <f>IF($CH129="Нет",0,IF(Исходн.данные.!AH129=0,0,IF(CK129=0,30/MIN(CI129:CJ129),IF(Исходн.данные.!$AG129=$BV$11,CT129,IF(OR(Исходн.данные.!$AH129=$BQ$7,Исходн.данные.!$AH129=$BQ$8),90/CK129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0,IF(Исходн.данные.!$AI129=$BU$11,"Нет",30/CK129)))))))</f>
        <v>0</v>
      </c>
      <c r="CX129" s="133">
        <f>IF(Исходн.данные.!$AG129=$BV$11,MAX(CU129:CW129),IF(OR(Исходн.данные.!$AH129=$BS$8,Исходн.данные.!$AH129=$BQ$9,Исходн.данные.!$AH129=$BQ$10,Исходн.данные.!$AH129=$BQ$11,Исходн.данные.!$AH129=$BQ$12,Исходн.данные.!$AH129=$BP$3,Исходн.данные.!$AH129=$BT$8,$FM129="Да"),CV129,MIN(CU129:CW129)))</f>
        <v>0</v>
      </c>
      <c r="CY129" s="133">
        <f>IF(Исходн.данные.!AH129=0,0,IF(CR129&gt;$CX129,$CX129,CR129))</f>
        <v>0</v>
      </c>
      <c r="CZ129" s="133">
        <f>IF(Исходн.данные.!AH129=0,0,IF(CS129&gt;$CX129,$CX129,CS129))</f>
        <v>0</v>
      </c>
      <c r="DA129" s="133">
        <f>IF(Исходн.данные.!AH129=0,0,IF(CT129&gt;$CX129,$CX129,CT129))</f>
        <v>0</v>
      </c>
      <c r="DB129" s="10">
        <f t="shared" si="168"/>
        <v>0</v>
      </c>
      <c r="DC129" s="39">
        <f>DB129*Исходн.данные.!AJ129/1000</f>
        <v>0</v>
      </c>
      <c r="DD129" s="71">
        <f t="shared" si="169"/>
        <v>0</v>
      </c>
      <c r="DE129" s="9">
        <f t="shared" si="170"/>
        <v>0</v>
      </c>
      <c r="DF129" s="9">
        <f t="shared" si="171"/>
        <v>0</v>
      </c>
      <c r="DG129" s="39">
        <f>IF(BL129&lt;0,0,IF($CH129="Нет",BL129,IF(OR(Исходн.данные.!$AH129=$BP$1,Исходн.данные.!$AH129=$BP$2),0,IF(Исходн.данные.!AI129=$BU$11,BL129,IF(BL129-DD129&lt;0,0,BL129-DD129)))))</f>
        <v>0</v>
      </c>
      <c r="DH129" s="39">
        <f>IF(BM129&lt;0,0,IF($CH129="Нет",BM129,IF(OR(Исходн.данные.!$AH129=$BP$1,Исходн.данные.!$AH129=$BP$2),0,IF(Исходн.данные.!AJ129=$BU$11,BM129,IF(BM129-DE129&lt;0,0,BM129-DE129)))))</f>
        <v>0</v>
      </c>
      <c r="DI129" s="39">
        <f>IF(BN129&lt;0,0,IF($CH129="Нет",BN129,IF(OR(Исходн.данные.!$AH129=$BP$1,Исходн.данные.!$AH129=$BP$2),0,IF(Исходн.данные.!AK129=$BU$11,BN129,IF(BN129-DF129&lt;0,0,BN129-DF129)))))</f>
        <v>0</v>
      </c>
      <c r="DJ129" s="12">
        <f t="shared" si="172"/>
        <v>0</v>
      </c>
      <c r="DK129" s="9">
        <f t="shared" si="173"/>
        <v>0</v>
      </c>
      <c r="DL129" s="39">
        <f>IF(Исходн.данные.!AM129&gt;0,Исходн.данные.!AM129,IF(EG129&gt;0,$BH$10,0))</f>
        <v>0</v>
      </c>
      <c r="DM129" s="186">
        <f>IF($DL129=0,0,IF(Исходн.данные.!AM129&gt;0,VLOOKUP($DL129,АшламаДВ_Irekle,2,FALSE),VLOOKUP($DL129,АшламаДВ_Gomumy,2,FALSE)))</f>
        <v>0</v>
      </c>
      <c r="DN129" s="10">
        <f t="shared" si="151"/>
        <v>0</v>
      </c>
      <c r="DO129" s="9" t="str">
        <f>IF(Исходн.данные.!AN129&gt;0,Исходн.данные.!AN129,Удобрения!$B$37 )</f>
        <v>Хлор.калий</v>
      </c>
      <c r="DP129" s="9">
        <f>IF(Исходн.данные.!AN129&gt;0,VLOOKUP(Исходн.данные.!AN129,АшламаДВ_Irekle,4,FALSE),VLOOKUP(DO129,АшламаДВ_Gomumy,4,FALSE))</f>
        <v>0.6</v>
      </c>
      <c r="DQ129" s="10">
        <f t="shared" si="152"/>
        <v>0</v>
      </c>
      <c r="DR129" s="132" t="str">
        <f>IF(Исходн.данные.!AO129&gt;0,Исходн.данные.!AO129,IF(DH129=0,BS$17,IF(AND($DK129=0,$DJ129&gt;0),EJ129,EN129)))</f>
        <v>Нет</v>
      </c>
      <c r="DS129" s="70" t="str">
        <f>IF($DR129="Нет","Нет",IF(Исходн.данные.!$AO129&gt;0,VLOOKUP($DR129,АшламаДВ_Irekle,2,FALSE),VLOOKUP($DR129,АшламаДВ_Gomumy,2,FALSE)))</f>
        <v>Нет</v>
      </c>
      <c r="DT129" s="70" t="str">
        <f>IF($DR129="Нет","Нет",IF(Исходн.данные.!$AO129&gt;0,VLOOKUP($DR129,АшламаДВ_Irekle,3,FALSE),VLOOKUP($DR129,АшламаДВ_Gomumy,3,FALSE)))</f>
        <v>Нет</v>
      </c>
      <c r="DU129" s="70" t="str">
        <f>IF($DR129="Нет","Нет",IF(Исходн.данные.!$AO129&gt;0,VLOOKUP($DR129,АшламаДВ_Irekle,4,FALSE),VLOOKUP($DR129,АшламаДВ_Gomumy,4,FALSE)))</f>
        <v>Нет</v>
      </c>
      <c r="DV129" s="70"/>
      <c r="DW129" s="70"/>
      <c r="DX129" s="70"/>
      <c r="DY129" s="10">
        <f t="shared" si="174"/>
        <v>0</v>
      </c>
      <c r="DZ129" s="10">
        <f t="shared" si="175"/>
        <v>0</v>
      </c>
      <c r="EA129" s="10">
        <f t="shared" si="176"/>
        <v>0</v>
      </c>
      <c r="EB129" s="10">
        <f t="shared" si="177"/>
        <v>0</v>
      </c>
      <c r="EC129" s="10">
        <f t="shared" si="178"/>
        <v>0</v>
      </c>
      <c r="ED129" s="10">
        <f t="shared" si="179"/>
        <v>0</v>
      </c>
      <c r="EE129" s="10">
        <f t="shared" si="180"/>
        <v>0</v>
      </c>
      <c r="EF129" s="39">
        <f>EB129*Исходн.данные.!AJ129/1000</f>
        <v>0</v>
      </c>
      <c r="EG129" s="9">
        <f t="shared" si="181"/>
        <v>0</v>
      </c>
      <c r="EH129" s="9">
        <f t="shared" si="182"/>
        <v>0</v>
      </c>
      <c r="EI129" s="39" t="e">
        <f t="shared" si="132"/>
        <v>#DIV/0!</v>
      </c>
      <c r="EJ129" s="9" t="str">
        <f t="shared" si="153"/>
        <v>Азопреципитат</v>
      </c>
      <c r="EK129" s="12">
        <f t="shared" si="133"/>
        <v>0.26</v>
      </c>
      <c r="EL129" s="12">
        <f t="shared" si="134"/>
        <v>0.13</v>
      </c>
      <c r="EM129" s="12">
        <f t="shared" si="135"/>
        <v>0</v>
      </c>
      <c r="EN129" s="12" t="str">
        <f t="shared" si="154"/>
        <v>Нет</v>
      </c>
      <c r="EO129" s="12">
        <f t="shared" si="136"/>
        <v>0</v>
      </c>
      <c r="EP129" s="12">
        <f t="shared" si="137"/>
        <v>0</v>
      </c>
      <c r="EQ129" s="12">
        <f t="shared" si="138"/>
        <v>0</v>
      </c>
      <c r="ER129" s="12" t="str">
        <f t="shared" si="183"/>
        <v>Диаммофоска</v>
      </c>
      <c r="ES129" s="12">
        <f t="shared" si="139"/>
        <v>0.1</v>
      </c>
      <c r="ET129" s="12">
        <f t="shared" si="140"/>
        <v>0.26</v>
      </c>
      <c r="EU129" s="12">
        <f t="shared" si="141"/>
        <v>0.26</v>
      </c>
      <c r="EV129" s="12" t="str">
        <f t="shared" si="184"/>
        <v>Аммофос 12:52:00</v>
      </c>
      <c r="EW129" s="12" t="str">
        <f t="shared" si="185"/>
        <v>Кемира Свекловичное-6</v>
      </c>
      <c r="EX129" s="12">
        <f t="shared" si="142"/>
        <v>0.16</v>
      </c>
      <c r="EY129" s="12">
        <f t="shared" si="143"/>
        <v>0.12</v>
      </c>
      <c r="EZ129" s="12">
        <f t="shared" si="144"/>
        <v>0.17</v>
      </c>
      <c r="FA129" s="38" t="e">
        <f>IF(AND(OR(FJ129=$FD$1,FM129=$FD$1,FO129=$FD$1,FQ129=$FD$1,FS129=$FD$1),FD129=$FD$1,Исходн.данные.!J129&lt;2,FU129=$FD$1),"Бор,Кобальт",IF(AND(FO129=$FD$1,FH129=$FD$1,Исходн.данные.!J129&lt;2,FU129=$FD$1),"Бор,Кобальт",IF(AND(OR(FJ129=$FD$1,FM129=$FD$1,FQ129=$FD$1),FE129=$FD$1,Исходн.данные.!J129&lt;2,FT129=$FD$1,FU129=$FD$1),"Бор,Медь,Цинк",IF(AND(OR(FJ129=$FD$1,FR129="Да"),FI129="Да",Исходн.данные.!J129&lt;2,FT129="Да",FU129="Да"),"Бор,Цинк,Медь",IF(AND(OR(FM129="Да",FQ129="Да"),FI129="Да",Исходн.данные.!J129&lt;2,FT129="Да",FU129="Да"),"Бор,Цинк",IF(AND(FN129="Да",OR(FD129="Да",FE129="Да")),"Бор",FB129))))))</f>
        <v>#N/A</v>
      </c>
      <c r="FB129" s="134" t="e">
        <f>IF(AND(OR(FD129="Да",FE129="Да",FF129="Да",FG129="Да",FH129="Да"),FO129="Да"),"Бор",IF(AND(FP129="Да",OR(FD129="Да",FE129="Да",FI129="Да")),"Бор",IF(AND(FS129="Да",FE129="Да"),"Бор,Медь",IF(AND(OR(FJ129="Да",FK129="Да",FL129="Да"),FE129="Да",Исходн.данные.!I129&lt;5,FT129="Да",FU129="Да"),"Молибден,Цинк",IF(AND(FM129="Да",OR(FE129="Да",FF129="Да",FG129="Да",FH129="Да",FI129="Да")),"Молибден,Цинк",IF(AND(OR(FJ129="Да",FK129="Да",FL129="Да",FM129="Да",FQ129="Да"),OR(FE129="Да",FF129="Да"),FT129="Да",FU129="Да",Исходн.данные.!I129&gt;5.5),"Медь,Цинк",FC129))))))</f>
        <v>#N/A</v>
      </c>
      <c r="FC129" s="23" t="e">
        <f t="shared" si="186"/>
        <v>#N/A</v>
      </c>
      <c r="FD129" s="38" t="str">
        <f>IF(OR(Исходн.данные.!F129=$CC$1,Исходн.данные.!F129=$CC$2,Исходн.данные.!F129=$CC$3,Исходн.данные.!F129=$CC$4),"Да","Нет")</f>
        <v>Нет</v>
      </c>
      <c r="FE129" s="38" t="str">
        <f>IF(Исходн.данные.!F129=$CC$5,"Да","Нет")</f>
        <v>Нет</v>
      </c>
      <c r="FF129" s="38" t="str">
        <f>IF(OR(Исходн.данные.!F129=$CC$6,Исходн.данные.!F129=$CC$7),"Да","Нет")</f>
        <v>Нет</v>
      </c>
      <c r="FG129" s="38" t="str">
        <f>IF(OR(Исходн.данные.!F129=$CC$8,Исходн.данные.!F129=$CC$9),"Да","Нет")</f>
        <v>Нет</v>
      </c>
      <c r="FH129" s="38" t="str">
        <f>IF(Исходн.данные.!F129=$CC$10,"Да","Нет")</f>
        <v>Нет</v>
      </c>
      <c r="FI129" s="38" t="str">
        <f>IF(OR(Исходн.данные.!F129=$CC$11,Исходн.данные.!F129=$CC$12),"Да","Нет")</f>
        <v>Нет</v>
      </c>
      <c r="FJ129" s="38" t="str">
        <f>IF(OR(Исходн.данные.!AH129=$BS$1,Исходн.данные.!AH129=$BQ$11,Исходн.данные.!AH129=$BQ$12),"Да","Нет")</f>
        <v>Нет</v>
      </c>
      <c r="FK129" s="38" t="str">
        <f>IF(OR(Исходн.данные.!AH129=$BS$2,Исходн.данные.!AH129=$BS$4),"Да","Нет")</f>
        <v>Нет</v>
      </c>
      <c r="FL129" s="38" t="str">
        <f>IF(OR(Исходн.данные.!AH129=$BS$3,Исходн.данные.!AH129=$BS$5),"Да","Нет")</f>
        <v>Нет</v>
      </c>
      <c r="FM129" s="38" t="str">
        <f>IF(OR(Исходн.данные.!AH129=$BS$9,Исходн.данные.!AH129=$BS$10,Исходн.данные.!AH129=$BS$11,Исходн.данные.!AH129=$BS$12),"Да","Нет")</f>
        <v>Нет</v>
      </c>
      <c r="FN129" s="38" t="str">
        <f>IF(OR(Исходн.данные.!AH129=$BS$6,Исходн.данные.!AH129=$BP$3),"Да","Нет")</f>
        <v>Нет</v>
      </c>
      <c r="FO129" s="38" t="str">
        <f>IF(Исходн.данные.!AH129=$BQ$9,"Да","Нет")</f>
        <v>Нет</v>
      </c>
      <c r="FP129" s="38" t="str">
        <f>IF(OR(Исходн.данные.!AH129=$BS$8,Исходн.данные.!AH129=$BT$8),"Да","Нет")</f>
        <v>Нет</v>
      </c>
      <c r="FQ129" s="38" t="str">
        <f>IF(OR(Исходн.данные.!AH129=$BQ$7,Исходн.данные.!AH129=$BQ$8),"Да","Нет")</f>
        <v>Нет</v>
      </c>
      <c r="FR129" s="38" t="str">
        <f>IF(Исходн.данные.!AI129=$BU$9,"Да","Нет")</f>
        <v>Нет</v>
      </c>
      <c r="FS129" s="38" t="str">
        <f>IF(OR(Исходн.данные.!AH129=$BP$1,Исходн.данные.!AH129=$BP$2),"Да","Нет")</f>
        <v>Нет</v>
      </c>
      <c r="FT129" s="38" t="e">
        <f>IF((Исходн.данные.!K129*GO129*GS129*GW129+BL129*0.6+Исходн.данные.!Q129*4.5*0.275)&gt;90,"Да","Нет")</f>
        <v>#N/A</v>
      </c>
      <c r="FU129" s="38" t="e">
        <f>IF((Исходн.данные.!M129*GS129*GZ129+BM129*0.225)&gt;35,"Да","Нет")</f>
        <v>#N/A</v>
      </c>
      <c r="FV129" s="38" t="str">
        <f>IF(Исходн.данные.!O129&gt;175,"Да","Нет")</f>
        <v>Нет</v>
      </c>
      <c r="FW129" s="39" t="str">
        <f>IF(Исходн.данные.!I129&gt;5.5,"Да","Нет")</f>
        <v>Нет</v>
      </c>
      <c r="FX129" s="39" t="str">
        <f>IF(Исходн.данные.!J129&lt;2,"Да","Нет")</f>
        <v>Да</v>
      </c>
      <c r="FY129" s="39" t="e">
        <f>IF(HF129=$FY$16,0,Исходн.данные.!K129*GO129*GS129*GW129/HF129)</f>
        <v>#N/A</v>
      </c>
      <c r="FZ129" s="39" t="e">
        <f>Исходн.данные.!M129*GS129*GZ129/HG129</f>
        <v>#N/A</v>
      </c>
      <c r="GA129" s="39" t="e">
        <f>IF(K_Wyn=$FY$16,0,IF(Исходн.данные.!N129=Исходн.данные.!$L$10,Исходн.данные.!O129/1.1*GS129*HC129/HH129,IF(Исходн.данные.!N129=Исходн.данные.!$L$12,Исходн.данные.!O129/1.5*GS129*HC129/HH129,Исходн.данные.!O129*GS129*HC129/HH129)))</f>
        <v>#N/A</v>
      </c>
      <c r="GB129" s="39" t="e">
        <f>IF(HF129=$FY$16,0,((Исходн.данные.!Q129*N_Org+Исходн.данные.!R129*N_Sider+Исходн.данные.!S129*N_Soloma)*AO129+Расчет!BC129*VLOOKUP(Исходн.данные.!T129,Справ!$A$3:$O$57,15)*AO129+BB129*VLOOKUP(Исходн.данные.!T129,Справ!$A$3:$O$57,15)*AL129+(Исходн.данные.!V129*N_Rizotorf+Исходн.данные.!W129*N_Rizoagr))/HF129)</f>
        <v>#N/A</v>
      </c>
      <c r="GC129" s="39" t="e">
        <f>IF(HG129=$FY$16,0,((Исходн.данные.!Q129*Р_Org+Исходн.данные.!R129*P_Sider+Исходн.данные.!S129*P_Soloma)*AP129+Расчет!BC129*VLOOKUP(Исходн.данные.!T129,Справ!$A$3:$P$57,16)*AP129+BB129*VLOOKUP(Исходн.данные.!T129,Справ!$A$3:$P$57,16)*AM129)/HG129)</f>
        <v>#N/A</v>
      </c>
      <c r="GD129" s="39" t="e">
        <f>IF(HH129=$FY$16,0,((Исходн.данные.!Q129*К_Org+Исходн.данные.!R129*K_Sider+Исходн.данные.!S129*K_Soloma)*AQ129+Расчет!BC129*VLOOKUP(Исходн.данные.!T129,Справ!$A$3:$Q$57,17)*AQ129+BB129*VLOOKUP(Исходн.данные.!T129,Справ!$A$3:$Q$57,17)*AN129)/HH129)</f>
        <v>#N/A</v>
      </c>
      <c r="GE129" s="39" t="e">
        <f>IF(HF129=$FY$16,0,(Исходн.данные.!X129*AR129+Исходн.данные.!AA129*N_Org*AL129+Исходн.данные.!AB129*N_Sider*AL129+Исходн.данные.!AC129*N_Soloma*AL129)/HF129)</f>
        <v>#N/A</v>
      </c>
      <c r="GF129" s="39" t="e">
        <f>IF(HG129=$FY$16,0,(Исходн.данные.!Y129*AS129+Исходн.данные.!AA129*Р_Org*AM129+Исходн.данные.!AB129*P_Sider*AM129+Исходн.данные.!AC129*P_Soloma*AM129)/HG129)</f>
        <v>#N/A</v>
      </c>
      <c r="GG129" s="39" t="e">
        <f>IF(HH129=$FY$16,0,(Исходн.данные.!Z129*AT129+Исходн.данные.!AA129*К_Org*AN129+Исходн.данные.!AB129*K_Sider*AN129+Исходн.данные.!AC129*K_Soloma*AN129)/HH129)</f>
        <v>#N/A</v>
      </c>
      <c r="GH129" s="39" t="e">
        <f>Исходн.данные.!AD129*AU129/HF129</f>
        <v>#N/A</v>
      </c>
      <c r="GI129" s="39" t="e">
        <f>Исходн.данные.!AE129*AV129/HG129</f>
        <v>#N/A</v>
      </c>
      <c r="GJ129" s="39" t="e">
        <f>Исходн.данные.!AF129*AW129/HH129</f>
        <v>#N/A</v>
      </c>
      <c r="GK129" s="55">
        <f>Исходн.данные.!AK129</f>
        <v>0</v>
      </c>
      <c r="GL129" s="11" t="e">
        <f t="shared" si="187"/>
        <v>#N/A</v>
      </c>
      <c r="GM129" s="11" t="e">
        <f t="shared" si="188"/>
        <v>#N/A</v>
      </c>
      <c r="GN129" s="11" t="e">
        <f t="shared" si="189"/>
        <v>#N/A</v>
      </c>
      <c r="GO129" s="57">
        <f t="shared" si="190"/>
        <v>19</v>
      </c>
      <c r="GP129" s="55">
        <f>IF(OR(Исходн.данные.!F129=$CE$1,Исходн.данные.!F129=$CE$2,Исходн.данные.!F129=$CE$3,Исходн.данные.!F129=$CE$4,Исходн.данные.!F129=$CE$5),GQ129,GR129)</f>
        <v>19</v>
      </c>
      <c r="GQ129" s="55">
        <f>IF(Исходн.данные.!F129=$CE$1,28,IF(Исходн.данные.!F129=$CE$2,26,IF(Исходн.данные.!F129=$CE$3,24,IF(Исходн.данные.!F129=$CE$4,22,IF(Исходн.данные.!F129=$CE$5,20,GR129)))))</f>
        <v>19</v>
      </c>
      <c r="GR129" s="55">
        <f>IF(Исходн.данные.!F129=$CE$6,18,IF(Исходн.данные.!F129=$CE$7,16,IF(Исходн.данные.!F129=$CE$8,14,IF(Исходн.данные.!F129=$CE$9,13,IF(Исходн.данные.!F129=$CE$10,12,19)))))</f>
        <v>19</v>
      </c>
      <c r="GS129" s="55">
        <f>IF(Исходн.данные.!G129="Пес",0.035*(40+2*Исходн.данные.!H129),IF(Исходн.данные.!G129="Суп",0.0325*(40+2*Исходн.данные.!H129),0.03*(40+2*Исходн.данные.!H129)))</f>
        <v>1.2</v>
      </c>
      <c r="GT129" s="55">
        <f>IF(Исходн.данные.!H129&lt;23,2.6,IF(AND(Исходн.данные.!H129&gt;22,Исходн.данные.!H129&lt;26),3,IF(AND(Исходн.данные.!H129&gt;25,Исходн.данные.!H129&lt;29),3.4,3.6)))</f>
        <v>2.6</v>
      </c>
      <c r="GU129" s="55">
        <f>IF(Исходн.данные.!H129&lt;23,2.8,IF(AND(Исходн.данные.!H129&gt;22,Исходн.данные.!H129&lt;26),3.2,IF(AND(Исходн.данные.!H129&gt;25,Исходн.данные.!H129&lt;29),3.6,3.9)))</f>
        <v>2.8</v>
      </c>
      <c r="GV129" s="55">
        <f>IF(Исходн.данные.!H129&lt;23,3,IF(AND(Исходн.данные.!H129&gt;22,Исходн.данные.!H129&lt;26),3.5,IF(AND(Исходн.данные.!H129&gt;25,Исходн.данные.!H129&lt;29),3.9,4.2)))</f>
        <v>3</v>
      </c>
      <c r="GW129" s="55" t="e">
        <f>IF(Исходн.данные.!P129="Ум",GX129,GY129)</f>
        <v>#N/A</v>
      </c>
      <c r="GX129" s="55" t="e">
        <f>VLOOKUP(Исходн.данные.!AI129,Коэффициенты!$J$7:$L$13,2,FALSE)</f>
        <v>#N/A</v>
      </c>
      <c r="GY129" s="55" t="e">
        <f>VLOOKUP(Исходн.данные.!AI129,Коэффициенты!$J$7:$L$13,3,FALSE)</f>
        <v>#N/A</v>
      </c>
      <c r="GZ129" s="55" t="e">
        <f>(IF(Исходн.данные.!M129&lt;50,0.11*VLOOKUP(Исходн.данные.!AH129,Культуры.Информация,7,FALSE),IF(Исходн.данные.!M129&gt;250,0.05*VLOOKUP(Исходн.данные.!AH129,Культуры.Информация,7,FALSE),VLOOKUP(Исходн.данные.!AH129,Культуры.Информация,5,FALSE)/100*($GX$6+$GY$6*Исходн.данные.!M129))))*Расчет2!AI129</f>
        <v>#N/A</v>
      </c>
      <c r="HA129" s="211"/>
      <c r="HB129" s="211"/>
      <c r="HC129" s="55" t="e">
        <f>(IF(Исходн.данные.!O129&lt;80,0.2*VLOOKUP(Исходн.данные.!AH129,Культуры.Информация,8,FALSE),IF(Исходн.данные.!O129&gt;240,0.09*VLOOKUP(Исходн.данные.!AH129,Культуры.Информация,8,FALSE),VLOOKUP(Исходн.данные.!AH129,Культуры.Информация,6,FALSE)/100*($HB$6+$HC$6*Исходн.данные.!O129))))*Расчет2!AJ129</f>
        <v>#N/A</v>
      </c>
      <c r="HD129" s="55">
        <f>IF(Исходн.данные.!O129&gt;240,0.09,IF(Исходн.данные.!O129&lt;30,0.3,$HE$10+$HD$10*Исходн.данные.!O129))</f>
        <v>0.3</v>
      </c>
      <c r="HE129" s="55">
        <f>IF(Исходн.данные.!O129&gt;240,0.17,IF(Исходн.данные.!O129&lt;30,0.5,$HF$12+$HE$12*Исходн.данные.!O129))</f>
        <v>0.5</v>
      </c>
      <c r="HF129" s="55" t="e">
        <f>VLOOKUP(Исходн.данные.!AH129,Справ!$A$3:$D$58,2,FALSE)</f>
        <v>#N/A</v>
      </c>
      <c r="HG129" s="55" t="e">
        <f>VLOOKUP(Исходн.данные.!AH129,Справ!$A$3:$D$58,3,FALSE)</f>
        <v>#N/A</v>
      </c>
      <c r="HH129" s="55" t="e">
        <f>VLOOKUP(Исходн.данные.!AH129,Справ!$A$3:$D$58,4,FALSE)</f>
        <v>#N/A</v>
      </c>
      <c r="HI129" s="11" t="e">
        <f t="shared" si="191"/>
        <v>#N/A</v>
      </c>
      <c r="HJ129" s="11" t="e">
        <f t="shared" si="192"/>
        <v>#N/A</v>
      </c>
      <c r="HK129" s="11" t="e">
        <f t="shared" si="193"/>
        <v>#N/A</v>
      </c>
      <c r="HL129" s="55">
        <f>IF(OR(Исходн.данные.!G129="Глин",Исходн.данные.!G129="Т_суг"),1.1,IF(Исходн.данные.!G129="Ср_суг",1,1))</f>
        <v>1</v>
      </c>
      <c r="HM129" s="55">
        <f>IF(OR(Исходн.данные.!G129="Глин",Исходн.данные.!G129="Т_суг"),0.9,IF(Исходн.данные.!G129="Ср_суг",1,1.2))</f>
        <v>1.2</v>
      </c>
      <c r="HN129" s="11" t="e">
        <f t="shared" si="194"/>
        <v>#N/A</v>
      </c>
      <c r="HO129" s="11" t="e">
        <f t="shared" si="195"/>
        <v>#N/A</v>
      </c>
      <c r="HP129" s="11" t="e">
        <f t="shared" si="196"/>
        <v>#N/A</v>
      </c>
      <c r="HQ129" t="e">
        <f t="shared" si="197"/>
        <v>#N/A</v>
      </c>
      <c r="HR129" t="e">
        <f t="shared" si="198"/>
        <v>#N/A</v>
      </c>
      <c r="HS129" t="e">
        <f t="shared" si="199"/>
        <v>#N/A</v>
      </c>
      <c r="HT129" t="e">
        <f t="shared" si="145"/>
        <v>#N/A</v>
      </c>
      <c r="HU129" t="e">
        <f t="shared" si="146"/>
        <v>#N/A</v>
      </c>
      <c r="HV129" t="e">
        <f t="shared" si="147"/>
        <v>#N/A</v>
      </c>
      <c r="HW129" t="e">
        <f t="shared" si="148"/>
        <v>#N/A</v>
      </c>
      <c r="HX129" t="e">
        <f t="shared" si="149"/>
        <v>#N/A</v>
      </c>
      <c r="HY129" t="e">
        <f t="shared" si="150"/>
        <v>#N/A</v>
      </c>
      <c r="HZ129" s="55">
        <f>IF(OR(Исходн.данные.!AI129="Оз_Ч_П",Исходн.данные.!AI129="Оз_З_П",Исходн.данные.!AI129="Яр_зер"),12,30)</f>
        <v>30</v>
      </c>
      <c r="IA129" t="e">
        <f t="shared" si="200"/>
        <v>#N/A</v>
      </c>
      <c r="IB129" t="e">
        <f t="shared" si="201"/>
        <v>#N/A</v>
      </c>
      <c r="IC129" t="e">
        <f t="shared" si="202"/>
        <v>#N/A</v>
      </c>
      <c r="ID129" s="11" t="e">
        <f t="shared" si="203"/>
        <v>#N/A</v>
      </c>
      <c r="IE129" s="11" t="e">
        <f t="shared" si="204"/>
        <v>#N/A</v>
      </c>
      <c r="IF129" s="11" t="e">
        <f t="shared" si="205"/>
        <v>#N/A</v>
      </c>
    </row>
    <row r="130" spans="35:240" x14ac:dyDescent="0.2">
      <c r="AI130">
        <f>IF(Исходн.данные.!I130&gt;6,1,1.85-(0.148*Исходн.данные.!I130))</f>
        <v>1.85</v>
      </c>
      <c r="AJ130">
        <f>IF(Исходн.данные.!I130&gt;6,1,2.434-(0.246*Исходн.данные.!I130))</f>
        <v>2.4340000000000002</v>
      </c>
      <c r="AL130" s="148" t="b">
        <f>IF(Исходн.данные.!$P130="Ум",N_OrgUd_2g_um,IF(Исходн.данные.!$P130="Об",N_OrgUd_2g_ob))</f>
        <v>0</v>
      </c>
      <c r="AM130" s="148" t="b">
        <f>IF(Исходн.данные.!$P130="Ум",P_OrgUd_2g_um,IF(Исходн.данные.!$P130="Об",P_OrgUd_2g_ob))</f>
        <v>0</v>
      </c>
      <c r="AN130" s="148" t="b">
        <f>IF(Исходн.данные.!$P130="Ум",K_OrgUd_2g_um,IF(Исходн.данные.!$P130="Об",K_OrgUd_2g_ob))</f>
        <v>0</v>
      </c>
      <c r="AO130" s="148" t="b">
        <f>IF(Исходн.данные.!$P130="Ум",N_OrgUd_1g_um,IF(Исходн.данные.!$P130="Об",N_OrgUd_1g_ob))</f>
        <v>0</v>
      </c>
      <c r="AP130" s="148" t="b">
        <f>IF(Исходн.данные.!$P130="Ум",P_OrgUd_1g_um,IF(Исходн.данные.!$P130="Об",P_OrgUd_1g_ob))</f>
        <v>0</v>
      </c>
      <c r="AQ130" s="148" t="b">
        <f>IF(Исходн.данные.!$P130="Ум",K_OrgUd_1g_um,IF(Исходн.данные.!$P130="Об",K_OrgUd_1g_ob))</f>
        <v>0</v>
      </c>
      <c r="AR130" t="b">
        <f>IF(Исходн.данные.!$P130="Ум",N_MinUd_2g_um,IF(Исходн.данные.!$P130="Об",N_MinUd_2g_ob))</f>
        <v>0</v>
      </c>
      <c r="AS130" t="b">
        <f>IF(Исходн.данные.!$P130="Ум",P_MinUd_2g_um,IF(Исходн.данные.!$P130="Об",P_MinUd_2g_ob))</f>
        <v>0</v>
      </c>
      <c r="AT130" t="b">
        <f>IF(Исходн.данные.!$P130="Ум",K_MinUd_2g_um,IF(Исходн.данные.!$P130="Об",K_MinUd_2g_ob))</f>
        <v>0</v>
      </c>
      <c r="AU130" t="b">
        <f>IF(Исходн.данные.!$P130="Ум",N_MinUd_1g_um,IF(Исходн.данные.!$P130="Об",N_MinUd_1g_ob))</f>
        <v>0</v>
      </c>
      <c r="AV130" t="b">
        <f>IF(Исходн.данные.!P130="Ум",P_MinUd_1g_um,IF(Исходн.данные.!P130="Об",P_MinUd_1g_ob))</f>
        <v>0</v>
      </c>
      <c r="AW130" t="b">
        <f>IF(Исходн.данные.!P130="Ум",K_MinUd_1g_um,IF(Исходн.данные.!P130="Об",K_MinUd_1g_ob))</f>
        <v>0</v>
      </c>
      <c r="AY130" t="e">
        <f>VLOOKUP(Исходн.данные.!T130,Справ!$A$3:$N$57,12)</f>
        <v>#N/A</v>
      </c>
      <c r="AZ130" t="e">
        <f>VLOOKUP(Исходн.данные.!T130,Справ!$A$3:$N$57,13)</f>
        <v>#N/A</v>
      </c>
      <c r="BA130" t="e">
        <f>VLOOKUP(Исходн.данные.!T130,Справ!$A$3:$N$57,14)</f>
        <v>#N/A</v>
      </c>
      <c r="BB130">
        <f>IF(Исходн.данные.!AH130=0,0,25)</f>
        <v>0</v>
      </c>
      <c r="BC130" s="141">
        <f>IF(Исходн.данные.!AH130=0,0,IF(Исходн.данные.!T130=0,25,BD130))</f>
        <v>0</v>
      </c>
      <c r="BD130" s="168" t="e">
        <f>AY130+AZ130*Исходн.данные.!U130-POWER(BA130,2)*Исходн.данные.!U130</f>
        <v>#N/A</v>
      </c>
      <c r="BE13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0" s="25">
        <f>IF(Исходн.данные.!AH130=0,0,MIN(HN130:HP130))</f>
        <v>0</v>
      </c>
      <c r="BG130" s="9">
        <f>IF(Исходн.данные.!AH130=0,0,IF((HO130+10*0.25/HG130/HL130)&lt;17,17,HO130+10*0.25/HG130/HL130))</f>
        <v>0</v>
      </c>
      <c r="BH130" s="181">
        <f>IF(Исходн.данные.!AH130=0,0,HW130*HF130*HL130/AU130*AI130+Исходн.данные.!S130*10)</f>
        <v>0</v>
      </c>
      <c r="BI130" s="10"/>
      <c r="BJ130" s="182">
        <f>IF(Исходн.данные.!AH130=0,0,IF(HX130*HG130*HL130/AV130&lt;0,0,HX130*HG130*HL130/AV130*AJ130))</f>
        <v>0</v>
      </c>
      <c r="BK130" s="182">
        <f>IF(Исходн.данные.!AH130=0,0,HY130*HH130*HM130/AW130)</f>
        <v>0</v>
      </c>
      <c r="BL130" s="10">
        <f>IF(OR(Исходн.данные.!$AH130=$BP$1,Исходн.данные.!$AH130=$BP$2),0,IF(BH130&lt;0,0,IF(OR(Исходн.данные.!T130=Расчет!$BP$1,Исходн.данные.!T130=Расчет!$BP$2,Исходн.данные.!T130=Расчет!$BT$5,Исходн.данные.!T130=Расчет!$BT$6),BH130*0.5,IF(OR(Исходн.данные.!T130=Расчет!$BS$9,Исходн.данные.!T130=Расчет!$BS$10,Исходн.данные.!T130=Расчет!$BS$11,Исходн.данные.!T130=Расчет!$BS$12,Исходн.данные.!T130=Расчет!$BP$5),BH130*0.8,BH130))))</f>
        <v>0</v>
      </c>
      <c r="BM130" s="10">
        <f>IF(OR(Исходн.данные.!$AH130=$BP$1,Исходн.данные.!$AH130=$BP$2),0,IF(BJ130&lt;0,0,IF(Исходн.данные.!I130&lt;4.5,BJ130*1.2,IF(Исходн.данные.!I130&gt;5.1,BJ130,BJ130*((5.1-Исходн.данные.!I130)*0.333+1)))))</f>
        <v>0</v>
      </c>
      <c r="BN130" s="10">
        <f>IF(OR(Исходн.данные.!$AH130=$BP$1,Исходн.данные.!$AH130=$BP$2),60-Исходн.данные.!AF130,IF(BK130&lt;0,0,IF(Исходн.данные.!I130&lt;4.5,BK130*1.2,IF(Исходн.данные.!I130&gt;5.1,BK130,BK130*((5.1-Исходн.данные.!I130)*0.333+1)))))</f>
        <v>0</v>
      </c>
      <c r="BO130" s="9">
        <f>IF(BL130&lt;0,0,BL130*Исходн.данные.!$AJ130/1000)</f>
        <v>0</v>
      </c>
      <c r="BP130" s="9">
        <f>IF(BM130&lt;0,0,BM130*Исходн.данные.!$AJ130/1000)</f>
        <v>0</v>
      </c>
      <c r="BQ130" s="9">
        <f>IF(BN130&lt;0,0,BN130*Исходн.данные.!$AJ130/1000)</f>
        <v>0</v>
      </c>
      <c r="BR130" s="9">
        <f t="shared" si="155"/>
        <v>0</v>
      </c>
      <c r="BS130" s="10" t="str">
        <f t="shared" si="156"/>
        <v>Аммофос 12:52:00</v>
      </c>
      <c r="BT130" s="10" t="str">
        <f t="shared" si="157"/>
        <v>Аммофос 12:52:00</v>
      </c>
      <c r="BU130" s="10" t="str">
        <f t="shared" si="158"/>
        <v>Диаммофоска</v>
      </c>
      <c r="BV130" s="10">
        <f t="shared" si="159"/>
        <v>0</v>
      </c>
      <c r="BW130" s="10"/>
      <c r="BX130" s="10"/>
      <c r="BY130" s="9">
        <f>IF(BL130&lt;0,0,IF(OR(Исходн.данные.!AI130=Расчет!$BU$6,Исходн.данные.!AI130=Расчет!$BU$7),Расчет!BV130,IF(Исходн.данные.!$AG130=$BV$11,BL130,IF(OR(Исходн.данные.!$AH130=$BQ$7,Исходн.данные.!$AH130=$BQ$8),CB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0,IF(Исходн.данные.!$AI130=$BU$11,"Нет",IF(BL130&gt;30,30,BL130)))))))</f>
        <v>0</v>
      </c>
      <c r="BZ130" s="9">
        <f>IF(AND(Исходн.данные.!$AG130=$BV$11,BM130&lt;10),10,IF(Исходн.данные.!$AG130=$BV$11,BM130,IF(OR(Исходн.данные.!$AH130=$BQ$7,Исходн.данные.!$AH130=$BQ$8),CC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10,IF(Исходн.данные.!$AI130=$BU$11,"Нет",IF(BM130&gt;60,60,IF(BM130&lt;10,10,BM130)))))))</f>
        <v>10</v>
      </c>
      <c r="CA130" s="39">
        <f>IF(BN130&lt;0,0,IF(Исходн.данные.!$AG130=$BV$11,BN130,IF(OR(Исходн.данные.!$AH130=$BQ$7,Исходн.данные.!$AH130=$BQ$8),CD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0,IF(Исходн.данные.!$AI130=$BU$11,"Нет",IF(BN130&gt;30,30,BN130))))))</f>
        <v>0</v>
      </c>
      <c r="CB130" s="9">
        <f t="shared" si="160"/>
        <v>0</v>
      </c>
      <c r="CC130" s="9">
        <f t="shared" si="161"/>
        <v>0</v>
      </c>
      <c r="CD130" s="9">
        <f t="shared" si="162"/>
        <v>0</v>
      </c>
      <c r="CE130" s="12">
        <f t="shared" si="163"/>
        <v>10</v>
      </c>
      <c r="CF130" s="9">
        <f t="shared" si="164"/>
        <v>0</v>
      </c>
      <c r="CG130" s="9" t="s">
        <v>231</v>
      </c>
      <c r="CH130" s="132" t="str">
        <f>IF(Исходн.данные.!AP130=Расчет!$CI$16,"Нет",IF(Исходн.данные.!AL130&gt;0,Исходн.данные.!AL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BH$4,IF(OR(Исходн.данные.!AI130=Исходн.данные.!$AI$6,Исходн.данные.!AI130=Исходн.данные.!$AI$7),Расчет!BS130,IF(AND($CF130=0,$CE130&gt;0),EV130,ER130)))))</f>
        <v>Аммофос 12:52:00</v>
      </c>
      <c r="CI130" s="274">
        <f>IF(Расчет!$CH130="Нет","Нет",IF(Исходн.данные.!$AL130&gt;0,VLOOKUP(Расчет!$CH130,АшламаДВ_Irekle,2,FALSE),VLOOKUP(Расчет!$CH130,АшламаДВ_Gomumy,2,FALSE)))</f>
        <v>0.12</v>
      </c>
      <c r="CJ130" s="274">
        <f>IF(Расчет!$CH130="Нет","Нет",IF(Исходн.данные.!$AL130&gt;0,VLOOKUP(Расчет!$CH130,АшламаДВ_Irekle,3,FALSE),VLOOKUP(Расчет!$CH130,АшламаДВ_Gomumy,3,FALSE)))</f>
        <v>0.52</v>
      </c>
      <c r="CK130" s="274">
        <f>IF(Расчет!$CH130="Нет","Нет",IF(Исходн.данные.!$AL130&gt;0,VLOOKUP(Расчет!$CH130,АшламаДВ_Irekle,4,FALSE),VLOOKUP(Расчет!$CH130,АшламаДВ_Gomumy,4,FALSE)))</f>
        <v>0</v>
      </c>
      <c r="CL130" s="70"/>
      <c r="CM130" s="70"/>
      <c r="CN130" s="70"/>
      <c r="CO130" s="70"/>
      <c r="CP130" s="70"/>
      <c r="CQ130" s="70"/>
      <c r="CR130" s="10">
        <f t="shared" si="165"/>
        <v>0</v>
      </c>
      <c r="CS130" s="10">
        <f t="shared" si="166"/>
        <v>19.23076923076923</v>
      </c>
      <c r="CT130" s="10">
        <f t="shared" si="167"/>
        <v>0</v>
      </c>
      <c r="CU130" s="39">
        <f>IF($CH130="Нет",0,IF(CI130=0,30/MIN(CJ130:CK130),IF(Исходн.данные.!$AG130=$BV$11,CR130,IF(OR(Исходн.данные.!$AH130=$BQ$7,Исходн.данные.!$AH130=$BQ$8),90/CI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0,IF(Исходн.данные.!$AI130=$BU$11,"Нет",30/CI130))))))</f>
        <v>250</v>
      </c>
      <c r="CV130" s="39">
        <f>IF($CH130="Нет",0,IF(Исходн.данные.!AH130=0,0,IF(CJ130=0,60/MIN(CI130,CK130),IF(Исходн.данные.!$AG130=$BV$11,CS130,IF(OR(Исходн.данные.!$AH130=$BQ$7,Исходн.данные.!$AH130=$BQ$8),90/CJ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10/CJ130,IF(Исходн.данные.!$AI130=$BU$11,"Нет",60/CJ130)))))))</f>
        <v>0</v>
      </c>
      <c r="CW130" s="39">
        <f>IF($CH130="Нет",0,IF(Исходн.данные.!AH130=0,0,IF(CK130=0,30/MIN(CI130:CJ130),IF(Исходн.данные.!$AG130=$BV$11,CT130,IF(OR(Исходн.данные.!$AH130=$BQ$7,Исходн.данные.!$AH130=$BQ$8),90/CK130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0,IF(Исходн.данные.!$AI130=$BU$11,"Нет",30/CK130)))))))</f>
        <v>0</v>
      </c>
      <c r="CX130" s="133">
        <f>IF(Исходн.данные.!$AG130=$BV$11,MAX(CU130:CW130),IF(OR(Исходн.данные.!$AH130=$BS$8,Исходн.данные.!$AH130=$BQ$9,Исходн.данные.!$AH130=$BQ$10,Исходн.данные.!$AH130=$BQ$11,Исходн.данные.!$AH130=$BQ$12,Исходн.данные.!$AH130=$BP$3,Исходн.данные.!$AH130=$BT$8,$FM130="Да"),CV130,MIN(CU130:CW130)))</f>
        <v>0</v>
      </c>
      <c r="CY130" s="133">
        <f>IF(Исходн.данные.!AH130=0,0,IF(CR130&gt;$CX130,$CX130,CR130))</f>
        <v>0</v>
      </c>
      <c r="CZ130" s="133">
        <f>IF(Исходн.данные.!AH130=0,0,IF(CS130&gt;$CX130,$CX130,CS130))</f>
        <v>0</v>
      </c>
      <c r="DA130" s="133">
        <f>IF(Исходн.данные.!AH130=0,0,IF(CT130&gt;$CX130,$CX130,CT130))</f>
        <v>0</v>
      </c>
      <c r="DB130" s="10">
        <f t="shared" si="168"/>
        <v>0</v>
      </c>
      <c r="DC130" s="39">
        <f>DB130*Исходн.данные.!AJ130/1000</f>
        <v>0</v>
      </c>
      <c r="DD130" s="71">
        <f t="shared" si="169"/>
        <v>0</v>
      </c>
      <c r="DE130" s="9">
        <f t="shared" si="170"/>
        <v>0</v>
      </c>
      <c r="DF130" s="9">
        <f t="shared" si="171"/>
        <v>0</v>
      </c>
      <c r="DG130" s="39">
        <f>IF(BL130&lt;0,0,IF($CH130="Нет",BL130,IF(OR(Исходн.данные.!$AH130=$BP$1,Исходн.данные.!$AH130=$BP$2),0,IF(Исходн.данные.!AI130=$BU$11,BL130,IF(BL130-DD130&lt;0,0,BL130-DD130)))))</f>
        <v>0</v>
      </c>
      <c r="DH130" s="39">
        <f>IF(BM130&lt;0,0,IF($CH130="Нет",BM130,IF(OR(Исходн.данные.!$AH130=$BP$1,Исходн.данные.!$AH130=$BP$2),0,IF(Исходн.данные.!AJ130=$BU$11,BM130,IF(BM130-DE130&lt;0,0,BM130-DE130)))))</f>
        <v>0</v>
      </c>
      <c r="DI130" s="39">
        <f>IF(BN130&lt;0,0,IF($CH130="Нет",BN130,IF(OR(Исходн.данные.!$AH130=$BP$1,Исходн.данные.!$AH130=$BP$2),0,IF(Исходн.данные.!AK130=$BU$11,BN130,IF(BN130-DF130&lt;0,0,BN130-DF130)))))</f>
        <v>0</v>
      </c>
      <c r="DJ130" s="12">
        <f t="shared" si="172"/>
        <v>0</v>
      </c>
      <c r="DK130" s="9">
        <f t="shared" si="173"/>
        <v>0</v>
      </c>
      <c r="DL130" s="39">
        <f>IF(Исходн.данные.!AM130&gt;0,Исходн.данные.!AM130,IF(EG130&gt;0,$BH$10,0))</f>
        <v>0</v>
      </c>
      <c r="DM130" s="186">
        <f>IF($DL130=0,0,IF(Исходн.данные.!AM130&gt;0,VLOOKUP($DL130,АшламаДВ_Irekle,2,FALSE),VLOOKUP($DL130,АшламаДВ_Gomumy,2,FALSE)))</f>
        <v>0</v>
      </c>
      <c r="DN130" s="10">
        <f t="shared" si="151"/>
        <v>0</v>
      </c>
      <c r="DO130" s="9" t="str">
        <f>IF(Исходн.данные.!AN130&gt;0,Исходн.данные.!AN130,Удобрения!$B$37 )</f>
        <v>Хлор.калий</v>
      </c>
      <c r="DP130" s="9">
        <f>IF(Исходн.данные.!AN130&gt;0,VLOOKUP(Исходн.данные.!AN130,АшламаДВ_Irekle,4,FALSE),VLOOKUP(DO130,АшламаДВ_Gomumy,4,FALSE))</f>
        <v>0.6</v>
      </c>
      <c r="DQ130" s="10">
        <f t="shared" si="152"/>
        <v>0</v>
      </c>
      <c r="DR130" s="132" t="str">
        <f>IF(Исходн.данные.!AO130&gt;0,Исходн.данные.!AO130,IF(DH130=0,BS$17,IF(AND($DK130=0,$DJ130&gt;0),EJ130,EN130)))</f>
        <v>Нет</v>
      </c>
      <c r="DS130" s="70" t="str">
        <f>IF($DR130="Нет","Нет",IF(Исходн.данные.!$AO130&gt;0,VLOOKUP($DR130,АшламаДВ_Irekle,2,FALSE),VLOOKUP($DR130,АшламаДВ_Gomumy,2,FALSE)))</f>
        <v>Нет</v>
      </c>
      <c r="DT130" s="70" t="str">
        <f>IF($DR130="Нет","Нет",IF(Исходн.данные.!$AO130&gt;0,VLOOKUP($DR130,АшламаДВ_Irekle,3,FALSE),VLOOKUP($DR130,АшламаДВ_Gomumy,3,FALSE)))</f>
        <v>Нет</v>
      </c>
      <c r="DU130" s="70" t="str">
        <f>IF($DR130="Нет","Нет",IF(Исходн.данные.!$AO130&gt;0,VLOOKUP($DR130,АшламаДВ_Irekle,4,FALSE),VLOOKUP($DR130,АшламаДВ_Gomumy,4,FALSE)))</f>
        <v>Нет</v>
      </c>
      <c r="DV130" s="70"/>
      <c r="DW130" s="70"/>
      <c r="DX130" s="70"/>
      <c r="DY130" s="10">
        <f t="shared" si="174"/>
        <v>0</v>
      </c>
      <c r="DZ130" s="10">
        <f t="shared" si="175"/>
        <v>0</v>
      </c>
      <c r="EA130" s="10">
        <f t="shared" si="176"/>
        <v>0</v>
      </c>
      <c r="EB130" s="10">
        <f t="shared" si="177"/>
        <v>0</v>
      </c>
      <c r="EC130" s="10">
        <f t="shared" si="178"/>
        <v>0</v>
      </c>
      <c r="ED130" s="10">
        <f t="shared" si="179"/>
        <v>0</v>
      </c>
      <c r="EE130" s="10">
        <f t="shared" si="180"/>
        <v>0</v>
      </c>
      <c r="EF130" s="39">
        <f>EB130*Исходн.данные.!AJ130/1000</f>
        <v>0</v>
      </c>
      <c r="EG130" s="9">
        <f t="shared" si="181"/>
        <v>0</v>
      </c>
      <c r="EH130" s="9">
        <f t="shared" si="182"/>
        <v>0</v>
      </c>
      <c r="EI130" s="39" t="e">
        <f t="shared" si="132"/>
        <v>#DIV/0!</v>
      </c>
      <c r="EJ130" s="9" t="str">
        <f t="shared" si="153"/>
        <v>Азопреципитат</v>
      </c>
      <c r="EK130" s="12">
        <f t="shared" si="133"/>
        <v>0.26</v>
      </c>
      <c r="EL130" s="12">
        <f t="shared" si="134"/>
        <v>0.13</v>
      </c>
      <c r="EM130" s="12">
        <f t="shared" si="135"/>
        <v>0</v>
      </c>
      <c r="EN130" s="12" t="str">
        <f t="shared" si="154"/>
        <v>Нет</v>
      </c>
      <c r="EO130" s="12">
        <f t="shared" si="136"/>
        <v>0</v>
      </c>
      <c r="EP130" s="12">
        <f t="shared" si="137"/>
        <v>0</v>
      </c>
      <c r="EQ130" s="12">
        <f t="shared" si="138"/>
        <v>0</v>
      </c>
      <c r="ER130" s="12" t="str">
        <f t="shared" si="183"/>
        <v>Диаммофоска</v>
      </c>
      <c r="ES130" s="12">
        <f t="shared" si="139"/>
        <v>0.1</v>
      </c>
      <c r="ET130" s="12">
        <f t="shared" si="140"/>
        <v>0.26</v>
      </c>
      <c r="EU130" s="12">
        <f t="shared" si="141"/>
        <v>0.26</v>
      </c>
      <c r="EV130" s="12" t="str">
        <f t="shared" si="184"/>
        <v>Аммофос 12:52:00</v>
      </c>
      <c r="EW130" s="12" t="str">
        <f t="shared" si="185"/>
        <v>Кемира Свекловичное-6</v>
      </c>
      <c r="EX130" s="12">
        <f t="shared" si="142"/>
        <v>0.16</v>
      </c>
      <c r="EY130" s="12">
        <f t="shared" si="143"/>
        <v>0.12</v>
      </c>
      <c r="EZ130" s="12">
        <f t="shared" si="144"/>
        <v>0.17</v>
      </c>
      <c r="FA130" s="38" t="e">
        <f>IF(AND(OR(FJ130=$FD$1,FM130=$FD$1,FO130=$FD$1,FQ130=$FD$1,FS130=$FD$1),FD130=$FD$1,Исходн.данные.!J130&lt;2,FU130=$FD$1),"Бор,Кобальт",IF(AND(FO130=$FD$1,FH130=$FD$1,Исходн.данные.!J130&lt;2,FU130=$FD$1),"Бор,Кобальт",IF(AND(OR(FJ130=$FD$1,FM130=$FD$1,FQ130=$FD$1),FE130=$FD$1,Исходн.данные.!J130&lt;2,FT130=$FD$1,FU130=$FD$1),"Бор,Медь,Цинк",IF(AND(OR(FJ130=$FD$1,FR130="Да"),FI130="Да",Исходн.данные.!J130&lt;2,FT130="Да",FU130="Да"),"Бор,Цинк,Медь",IF(AND(OR(FM130="Да",FQ130="Да"),FI130="Да",Исходн.данные.!J130&lt;2,FT130="Да",FU130="Да"),"Бор,Цинк",IF(AND(FN130="Да",OR(FD130="Да",FE130="Да")),"Бор",FB130))))))</f>
        <v>#N/A</v>
      </c>
      <c r="FB130" s="134" t="e">
        <f>IF(AND(OR(FD130="Да",FE130="Да",FF130="Да",FG130="Да",FH130="Да"),FO130="Да"),"Бор",IF(AND(FP130="Да",OR(FD130="Да",FE130="Да",FI130="Да")),"Бор",IF(AND(FS130="Да",FE130="Да"),"Бор,Медь",IF(AND(OR(FJ130="Да",FK130="Да",FL130="Да"),FE130="Да",Исходн.данные.!I130&lt;5,FT130="Да",FU130="Да"),"Молибден,Цинк",IF(AND(FM130="Да",OR(FE130="Да",FF130="Да",FG130="Да",FH130="Да",FI130="Да")),"Молибден,Цинк",IF(AND(OR(FJ130="Да",FK130="Да",FL130="Да",FM130="Да",FQ130="Да"),OR(FE130="Да",FF130="Да"),FT130="Да",FU130="Да",Исходн.данные.!I130&gt;5.5),"Медь,Цинк",FC130))))))</f>
        <v>#N/A</v>
      </c>
      <c r="FC130" s="23" t="e">
        <f t="shared" si="186"/>
        <v>#N/A</v>
      </c>
      <c r="FD130" s="38" t="str">
        <f>IF(OR(Исходн.данные.!F130=$CC$1,Исходн.данные.!F130=$CC$2,Исходн.данные.!F130=$CC$3,Исходн.данные.!F130=$CC$4),"Да","Нет")</f>
        <v>Нет</v>
      </c>
      <c r="FE130" s="38" t="str">
        <f>IF(Исходн.данные.!F130=$CC$5,"Да","Нет")</f>
        <v>Нет</v>
      </c>
      <c r="FF130" s="38" t="str">
        <f>IF(OR(Исходн.данные.!F130=$CC$6,Исходн.данные.!F130=$CC$7),"Да","Нет")</f>
        <v>Нет</v>
      </c>
      <c r="FG130" s="38" t="str">
        <f>IF(OR(Исходн.данные.!F130=$CC$8,Исходн.данные.!F130=$CC$9),"Да","Нет")</f>
        <v>Нет</v>
      </c>
      <c r="FH130" s="38" t="str">
        <f>IF(Исходн.данные.!F130=$CC$10,"Да","Нет")</f>
        <v>Нет</v>
      </c>
      <c r="FI130" s="38" t="str">
        <f>IF(OR(Исходн.данные.!F130=$CC$11,Исходн.данные.!F130=$CC$12),"Да","Нет")</f>
        <v>Нет</v>
      </c>
      <c r="FJ130" s="38" t="str">
        <f>IF(OR(Исходн.данные.!AH130=$BS$1,Исходн.данные.!AH130=$BQ$11,Исходн.данные.!AH130=$BQ$12),"Да","Нет")</f>
        <v>Нет</v>
      </c>
      <c r="FK130" s="38" t="str">
        <f>IF(OR(Исходн.данные.!AH130=$BS$2,Исходн.данные.!AH130=$BS$4),"Да","Нет")</f>
        <v>Нет</v>
      </c>
      <c r="FL130" s="38" t="str">
        <f>IF(OR(Исходн.данные.!AH130=$BS$3,Исходн.данные.!AH130=$BS$5),"Да","Нет")</f>
        <v>Нет</v>
      </c>
      <c r="FM130" s="38" t="str">
        <f>IF(OR(Исходн.данные.!AH130=$BS$9,Исходн.данные.!AH130=$BS$10,Исходн.данные.!AH130=$BS$11,Исходн.данные.!AH130=$BS$12),"Да","Нет")</f>
        <v>Нет</v>
      </c>
      <c r="FN130" s="38" t="str">
        <f>IF(OR(Исходн.данные.!AH130=$BS$6,Исходн.данные.!AH130=$BP$3),"Да","Нет")</f>
        <v>Нет</v>
      </c>
      <c r="FO130" s="38" t="str">
        <f>IF(Исходн.данные.!AH130=$BQ$9,"Да","Нет")</f>
        <v>Нет</v>
      </c>
      <c r="FP130" s="38" t="str">
        <f>IF(OR(Исходн.данные.!AH130=$BS$8,Исходн.данные.!AH130=$BT$8),"Да","Нет")</f>
        <v>Нет</v>
      </c>
      <c r="FQ130" s="38" t="str">
        <f>IF(OR(Исходн.данные.!AH130=$BQ$7,Исходн.данные.!AH130=$BQ$8),"Да","Нет")</f>
        <v>Нет</v>
      </c>
      <c r="FR130" s="38" t="str">
        <f>IF(Исходн.данные.!AI130=$BU$9,"Да","Нет")</f>
        <v>Нет</v>
      </c>
      <c r="FS130" s="38" t="str">
        <f>IF(OR(Исходн.данные.!AH130=$BP$1,Исходн.данные.!AH130=$BP$2),"Да","Нет")</f>
        <v>Нет</v>
      </c>
      <c r="FT130" s="38" t="e">
        <f>IF((Исходн.данные.!K130*GO130*GS130*GW130+BL130*0.6+Исходн.данные.!Q130*4.5*0.275)&gt;90,"Да","Нет")</f>
        <v>#N/A</v>
      </c>
      <c r="FU130" s="38" t="e">
        <f>IF((Исходн.данные.!M130*GS130*GZ130+BM130*0.225)&gt;35,"Да","Нет")</f>
        <v>#N/A</v>
      </c>
      <c r="FV130" s="38" t="str">
        <f>IF(Исходн.данные.!O130&gt;175,"Да","Нет")</f>
        <v>Нет</v>
      </c>
      <c r="FW130" s="39" t="str">
        <f>IF(Исходн.данные.!I130&gt;5.5,"Да","Нет")</f>
        <v>Нет</v>
      </c>
      <c r="FX130" s="39" t="str">
        <f>IF(Исходн.данные.!J130&lt;2,"Да","Нет")</f>
        <v>Да</v>
      </c>
      <c r="FY130" s="39" t="e">
        <f>IF(HF130=$FY$16,0,Исходн.данные.!K130*GO130*GS130*GW130/HF130)</f>
        <v>#N/A</v>
      </c>
      <c r="FZ130" s="39" t="e">
        <f>Исходн.данные.!M130*GS130*GZ130/HG130</f>
        <v>#N/A</v>
      </c>
      <c r="GA130" s="39" t="e">
        <f>IF(K_Wyn=$FY$16,0,IF(Исходн.данные.!N130=Исходн.данные.!$L$10,Исходн.данные.!O130/1.1*GS130*HC130/HH130,IF(Исходн.данные.!N130=Исходн.данные.!$L$12,Исходн.данные.!O130/1.5*GS130*HC130/HH130,Исходн.данные.!O130*GS130*HC130/HH130)))</f>
        <v>#N/A</v>
      </c>
      <c r="GB130" s="39" t="e">
        <f>IF(HF130=$FY$16,0,((Исходн.данные.!Q130*N_Org+Исходн.данные.!R130*N_Sider+Исходн.данные.!S130*N_Soloma)*AO130+Расчет!BC130*VLOOKUP(Исходн.данные.!T130,Справ!$A$3:$O$57,15)*AO130+BB130*VLOOKUP(Исходн.данные.!T130,Справ!$A$3:$O$57,15)*AL130+(Исходн.данные.!V130*N_Rizotorf+Исходн.данные.!W130*N_Rizoagr))/HF130)</f>
        <v>#N/A</v>
      </c>
      <c r="GC130" s="39" t="e">
        <f>IF(HG130=$FY$16,0,((Исходн.данные.!Q130*Р_Org+Исходн.данные.!R130*P_Sider+Исходн.данные.!S130*P_Soloma)*AP130+Расчет!BC130*VLOOKUP(Исходн.данные.!T130,Справ!$A$3:$P$57,16)*AP130+BB130*VLOOKUP(Исходн.данные.!T130,Справ!$A$3:$P$57,16)*AM130)/HG130)</f>
        <v>#N/A</v>
      </c>
      <c r="GD130" s="39" t="e">
        <f>IF(HH130=$FY$16,0,((Исходн.данные.!Q130*К_Org+Исходн.данные.!R130*K_Sider+Исходн.данные.!S130*K_Soloma)*AQ130+Расчет!BC130*VLOOKUP(Исходн.данные.!T130,Справ!$A$3:$Q$57,17)*AQ130+BB130*VLOOKUP(Исходн.данные.!T130,Справ!$A$3:$Q$57,17)*AN130)/HH130)</f>
        <v>#N/A</v>
      </c>
      <c r="GE130" s="39" t="e">
        <f>IF(HF130=$FY$16,0,(Исходн.данные.!X130*AR130+Исходн.данные.!AA130*N_Org*AL130+Исходн.данные.!AB130*N_Sider*AL130+Исходн.данные.!AC130*N_Soloma*AL130)/HF130)</f>
        <v>#N/A</v>
      </c>
      <c r="GF130" s="39" t="e">
        <f>IF(HG130=$FY$16,0,(Исходн.данные.!Y130*AS130+Исходн.данные.!AA130*Р_Org*AM130+Исходн.данные.!AB130*P_Sider*AM130+Исходн.данные.!AC130*P_Soloma*AM130)/HG130)</f>
        <v>#N/A</v>
      </c>
      <c r="GG130" s="39" t="e">
        <f>IF(HH130=$FY$16,0,(Исходн.данные.!Z130*AT130+Исходн.данные.!AA130*К_Org*AN130+Исходн.данные.!AB130*K_Sider*AN130+Исходн.данные.!AC130*K_Soloma*AN130)/HH130)</f>
        <v>#N/A</v>
      </c>
      <c r="GH130" s="39" t="e">
        <f>Исходн.данные.!AD130*AU130/HF130</f>
        <v>#N/A</v>
      </c>
      <c r="GI130" s="39" t="e">
        <f>Исходн.данные.!AE130*AV130/HG130</f>
        <v>#N/A</v>
      </c>
      <c r="GJ130" s="39" t="e">
        <f>Исходн.данные.!AF130*AW130/HH130</f>
        <v>#N/A</v>
      </c>
      <c r="GK130" s="55">
        <f>Исходн.данные.!AK130</f>
        <v>0</v>
      </c>
      <c r="GL130" s="11" t="e">
        <f t="shared" si="187"/>
        <v>#N/A</v>
      </c>
      <c r="GM130" s="11" t="e">
        <f t="shared" si="188"/>
        <v>#N/A</v>
      </c>
      <c r="GN130" s="11" t="e">
        <f t="shared" si="189"/>
        <v>#N/A</v>
      </c>
      <c r="GO130" s="57">
        <f t="shared" si="190"/>
        <v>19</v>
      </c>
      <c r="GP130" s="55">
        <f>IF(OR(Исходн.данные.!F130=$CE$1,Исходн.данные.!F130=$CE$2,Исходн.данные.!F130=$CE$3,Исходн.данные.!F130=$CE$4,Исходн.данные.!F130=$CE$5),GQ130,GR130)</f>
        <v>19</v>
      </c>
      <c r="GQ130" s="55">
        <f>IF(Исходн.данные.!F130=$CE$1,28,IF(Исходн.данные.!F130=$CE$2,26,IF(Исходн.данные.!F130=$CE$3,24,IF(Исходн.данные.!F130=$CE$4,22,IF(Исходн.данные.!F130=$CE$5,20,GR130)))))</f>
        <v>19</v>
      </c>
      <c r="GR130" s="55">
        <f>IF(Исходн.данные.!F130=$CE$6,18,IF(Исходн.данные.!F130=$CE$7,16,IF(Исходн.данные.!F130=$CE$8,14,IF(Исходн.данные.!F130=$CE$9,13,IF(Исходн.данные.!F130=$CE$10,12,19)))))</f>
        <v>19</v>
      </c>
      <c r="GS130" s="55">
        <f>IF(Исходн.данные.!G130="Пес",0.035*(40+2*Исходн.данные.!H130),IF(Исходн.данные.!G130="Суп",0.0325*(40+2*Исходн.данные.!H130),0.03*(40+2*Исходн.данные.!H130)))</f>
        <v>1.2</v>
      </c>
      <c r="GT130" s="55">
        <f>IF(Исходн.данные.!H130&lt;23,2.6,IF(AND(Исходн.данные.!H130&gt;22,Исходн.данные.!H130&lt;26),3,IF(AND(Исходн.данные.!H130&gt;25,Исходн.данные.!H130&lt;29),3.4,3.6)))</f>
        <v>2.6</v>
      </c>
      <c r="GU130" s="55">
        <f>IF(Исходн.данные.!H130&lt;23,2.8,IF(AND(Исходн.данные.!H130&gt;22,Исходн.данные.!H130&lt;26),3.2,IF(AND(Исходн.данные.!H130&gt;25,Исходн.данные.!H130&lt;29),3.6,3.9)))</f>
        <v>2.8</v>
      </c>
      <c r="GV130" s="55">
        <f>IF(Исходн.данные.!H130&lt;23,3,IF(AND(Исходн.данные.!H130&gt;22,Исходн.данные.!H130&lt;26),3.5,IF(AND(Исходн.данные.!H130&gt;25,Исходн.данные.!H130&lt;29),3.9,4.2)))</f>
        <v>3</v>
      </c>
      <c r="GW130" s="55" t="e">
        <f>IF(Исходн.данные.!P130="Ум",GX130,GY130)</f>
        <v>#N/A</v>
      </c>
      <c r="GX130" s="55" t="e">
        <f>VLOOKUP(Исходн.данные.!AI130,Коэффициенты!$J$7:$L$13,2,FALSE)</f>
        <v>#N/A</v>
      </c>
      <c r="GY130" s="55" t="e">
        <f>VLOOKUP(Исходн.данные.!AI130,Коэффициенты!$J$7:$L$13,3,FALSE)</f>
        <v>#N/A</v>
      </c>
      <c r="GZ130" s="55" t="e">
        <f>(IF(Исходн.данные.!M130&lt;50,0.11*VLOOKUP(Исходн.данные.!AH130,Культуры.Информация,7,FALSE),IF(Исходн.данные.!M130&gt;250,0.05*VLOOKUP(Исходн.данные.!AH130,Культуры.Информация,7,FALSE),VLOOKUP(Исходн.данные.!AH130,Культуры.Информация,5,FALSE)/100*($GX$6+$GY$6*Исходн.данные.!M130))))*Расчет2!AI130</f>
        <v>#N/A</v>
      </c>
      <c r="HA130" s="211"/>
      <c r="HB130" s="211"/>
      <c r="HC130" s="55" t="e">
        <f>(IF(Исходн.данные.!O130&lt;80,0.2*VLOOKUP(Исходн.данные.!AH130,Культуры.Информация,8,FALSE),IF(Исходн.данные.!O130&gt;240,0.09*VLOOKUP(Исходн.данные.!AH130,Культуры.Информация,8,FALSE),VLOOKUP(Исходн.данные.!AH130,Культуры.Информация,6,FALSE)/100*($HB$6+$HC$6*Исходн.данные.!O130))))*Расчет2!AJ130</f>
        <v>#N/A</v>
      </c>
      <c r="HD130" s="55">
        <f>IF(Исходн.данные.!O130&gt;240,0.09,IF(Исходн.данные.!O130&lt;30,0.3,$HE$10+$HD$10*Исходн.данные.!O130))</f>
        <v>0.3</v>
      </c>
      <c r="HE130" s="55">
        <f>IF(Исходн.данные.!O130&gt;240,0.17,IF(Исходн.данные.!O130&lt;30,0.5,$HF$12+$HE$12*Исходн.данные.!O130))</f>
        <v>0.5</v>
      </c>
      <c r="HF130" s="55" t="e">
        <f>VLOOKUP(Исходн.данные.!AH130,Справ!$A$3:$D$58,2,FALSE)</f>
        <v>#N/A</v>
      </c>
      <c r="HG130" s="55" t="e">
        <f>VLOOKUP(Исходн.данные.!AH130,Справ!$A$3:$D$58,3,FALSE)</f>
        <v>#N/A</v>
      </c>
      <c r="HH130" s="55" t="e">
        <f>VLOOKUP(Исходн.данные.!AH130,Справ!$A$3:$D$58,4,FALSE)</f>
        <v>#N/A</v>
      </c>
      <c r="HI130" s="11" t="e">
        <f t="shared" si="191"/>
        <v>#N/A</v>
      </c>
      <c r="HJ130" s="11" t="e">
        <f t="shared" si="192"/>
        <v>#N/A</v>
      </c>
      <c r="HK130" s="11" t="e">
        <f t="shared" si="193"/>
        <v>#N/A</v>
      </c>
      <c r="HL130" s="55">
        <f>IF(OR(Исходн.данные.!G130="Глин",Исходн.данные.!G130="Т_суг"),1.1,IF(Исходн.данные.!G130="Ср_суг",1,1))</f>
        <v>1</v>
      </c>
      <c r="HM130" s="55">
        <f>IF(OR(Исходн.данные.!G130="Глин",Исходн.данные.!G130="Т_суг"),0.9,IF(Исходн.данные.!G130="Ср_суг",1,1.2))</f>
        <v>1.2</v>
      </c>
      <c r="HN130" s="11" t="e">
        <f t="shared" si="194"/>
        <v>#N/A</v>
      </c>
      <c r="HO130" s="11" t="e">
        <f t="shared" si="195"/>
        <v>#N/A</v>
      </c>
      <c r="HP130" s="11" t="e">
        <f t="shared" si="196"/>
        <v>#N/A</v>
      </c>
      <c r="HQ130" t="e">
        <f t="shared" si="197"/>
        <v>#N/A</v>
      </c>
      <c r="HR130" t="e">
        <f t="shared" si="198"/>
        <v>#N/A</v>
      </c>
      <c r="HS130" t="e">
        <f t="shared" si="199"/>
        <v>#N/A</v>
      </c>
      <c r="HT130" t="e">
        <f t="shared" si="145"/>
        <v>#N/A</v>
      </c>
      <c r="HU130" t="e">
        <f t="shared" si="146"/>
        <v>#N/A</v>
      </c>
      <c r="HV130" t="e">
        <f t="shared" si="147"/>
        <v>#N/A</v>
      </c>
      <c r="HW130" t="e">
        <f t="shared" si="148"/>
        <v>#N/A</v>
      </c>
      <c r="HX130" t="e">
        <f t="shared" si="149"/>
        <v>#N/A</v>
      </c>
      <c r="HY130" t="e">
        <f t="shared" si="150"/>
        <v>#N/A</v>
      </c>
      <c r="HZ130" s="55">
        <f>IF(OR(Исходн.данные.!AI130="Оз_Ч_П",Исходн.данные.!AI130="Оз_З_П",Исходн.данные.!AI130="Яр_зер"),12,30)</f>
        <v>30</v>
      </c>
      <c r="IA130" t="e">
        <f t="shared" si="200"/>
        <v>#N/A</v>
      </c>
      <c r="IB130" t="e">
        <f t="shared" si="201"/>
        <v>#N/A</v>
      </c>
      <c r="IC130" t="e">
        <f t="shared" si="202"/>
        <v>#N/A</v>
      </c>
      <c r="ID130" s="11" t="e">
        <f t="shared" si="203"/>
        <v>#N/A</v>
      </c>
      <c r="IE130" s="11" t="e">
        <f t="shared" si="204"/>
        <v>#N/A</v>
      </c>
      <c r="IF130" s="11" t="e">
        <f t="shared" si="205"/>
        <v>#N/A</v>
      </c>
    </row>
    <row r="131" spans="35:240" x14ac:dyDescent="0.2">
      <c r="AI131">
        <f>IF(Исходн.данные.!I131&gt;6,1,1.85-(0.148*Исходн.данные.!I131))</f>
        <v>1.85</v>
      </c>
      <c r="AJ131">
        <f>IF(Исходн.данные.!I131&gt;6,1,2.434-(0.246*Исходн.данные.!I131))</f>
        <v>2.4340000000000002</v>
      </c>
      <c r="AL131" s="148" t="b">
        <f>IF(Исходн.данные.!$P131="Ум",N_OrgUd_2g_um,IF(Исходн.данные.!$P131="Об",N_OrgUd_2g_ob))</f>
        <v>0</v>
      </c>
      <c r="AM131" s="148" t="b">
        <f>IF(Исходн.данные.!$P131="Ум",P_OrgUd_2g_um,IF(Исходн.данные.!$P131="Об",P_OrgUd_2g_ob))</f>
        <v>0</v>
      </c>
      <c r="AN131" s="148" t="b">
        <f>IF(Исходн.данные.!$P131="Ум",K_OrgUd_2g_um,IF(Исходн.данные.!$P131="Об",K_OrgUd_2g_ob))</f>
        <v>0</v>
      </c>
      <c r="AO131" s="148" t="b">
        <f>IF(Исходн.данные.!$P131="Ум",N_OrgUd_1g_um,IF(Исходн.данные.!$P131="Об",N_OrgUd_1g_ob))</f>
        <v>0</v>
      </c>
      <c r="AP131" s="148" t="b">
        <f>IF(Исходн.данные.!$P131="Ум",P_OrgUd_1g_um,IF(Исходн.данные.!$P131="Об",P_OrgUd_1g_ob))</f>
        <v>0</v>
      </c>
      <c r="AQ131" s="148" t="b">
        <f>IF(Исходн.данные.!$P131="Ум",K_OrgUd_1g_um,IF(Исходн.данные.!$P131="Об",K_OrgUd_1g_ob))</f>
        <v>0</v>
      </c>
      <c r="AR131" t="b">
        <f>IF(Исходн.данные.!$P131="Ум",N_MinUd_2g_um,IF(Исходн.данные.!$P131="Об",N_MinUd_2g_ob))</f>
        <v>0</v>
      </c>
      <c r="AS131" t="b">
        <f>IF(Исходн.данные.!$P131="Ум",P_MinUd_2g_um,IF(Исходн.данные.!$P131="Об",P_MinUd_2g_ob))</f>
        <v>0</v>
      </c>
      <c r="AT131" t="b">
        <f>IF(Исходн.данные.!$P131="Ум",K_MinUd_2g_um,IF(Исходн.данные.!$P131="Об",K_MinUd_2g_ob))</f>
        <v>0</v>
      </c>
      <c r="AU131" t="b">
        <f>IF(Исходн.данные.!$P131="Ум",N_MinUd_1g_um,IF(Исходн.данные.!$P131="Об",N_MinUd_1g_ob))</f>
        <v>0</v>
      </c>
      <c r="AV131" t="b">
        <f>IF(Исходн.данные.!P131="Ум",P_MinUd_1g_um,IF(Исходн.данные.!P131="Об",P_MinUd_1g_ob))</f>
        <v>0</v>
      </c>
      <c r="AW131" t="b">
        <f>IF(Исходн.данные.!P131="Ум",K_MinUd_1g_um,IF(Исходн.данные.!P131="Об",K_MinUd_1g_ob))</f>
        <v>0</v>
      </c>
      <c r="AY131" t="e">
        <f>VLOOKUP(Исходн.данные.!T131,Справ!$A$3:$N$57,12)</f>
        <v>#N/A</v>
      </c>
      <c r="AZ131" t="e">
        <f>VLOOKUP(Исходн.данные.!T131,Справ!$A$3:$N$57,13)</f>
        <v>#N/A</v>
      </c>
      <c r="BA131" t="e">
        <f>VLOOKUP(Исходн.данные.!T131,Справ!$A$3:$N$57,14)</f>
        <v>#N/A</v>
      </c>
      <c r="BB131">
        <f>IF(Исходн.данные.!AH131=0,0,25)</f>
        <v>0</v>
      </c>
      <c r="BC131" s="141">
        <f>IF(Исходн.данные.!AH131=0,0,IF(Исходн.данные.!T131=0,25,BD131))</f>
        <v>0</v>
      </c>
      <c r="BD131" s="168" t="e">
        <f>AY131+AZ131*Исходн.данные.!U131-POWER(BA131,2)*Исходн.данные.!U131</f>
        <v>#N/A</v>
      </c>
      <c r="BE13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1" s="25">
        <f>IF(Исходн.данные.!AH131=0,0,MIN(HN131:HP131))</f>
        <v>0</v>
      </c>
      <c r="BG131" s="9">
        <f>IF(Исходн.данные.!AH131=0,0,IF((HO131+10*0.25/HG131/HL131)&lt;17,17,HO131+10*0.25/HG131/HL131))</f>
        <v>0</v>
      </c>
      <c r="BH131" s="181">
        <f>IF(Исходн.данные.!AH131=0,0,HW131*HF131*HL131/AU131*AI131+Исходн.данные.!S131*10)</f>
        <v>0</v>
      </c>
      <c r="BI131" s="10"/>
      <c r="BJ131" s="182">
        <f>IF(Исходн.данные.!AH131=0,0,IF(HX131*HG131*HL131/AV131&lt;0,0,HX131*HG131*HL131/AV131*AJ131))</f>
        <v>0</v>
      </c>
      <c r="BK131" s="182">
        <f>IF(Исходн.данные.!AH131=0,0,HY131*HH131*HM131/AW131)</f>
        <v>0</v>
      </c>
      <c r="BL131" s="10">
        <f>IF(OR(Исходн.данные.!$AH131=$BP$1,Исходн.данные.!$AH131=$BP$2),0,IF(BH131&lt;0,0,IF(OR(Исходн.данные.!T131=Расчет!$BP$1,Исходн.данные.!T131=Расчет!$BP$2,Исходн.данные.!T131=Расчет!$BT$5,Исходн.данные.!T131=Расчет!$BT$6),BH131*0.5,IF(OR(Исходн.данные.!T131=Расчет!$BS$9,Исходн.данные.!T131=Расчет!$BS$10,Исходн.данные.!T131=Расчет!$BS$11,Исходн.данные.!T131=Расчет!$BS$12,Исходн.данные.!T131=Расчет!$BP$5),BH131*0.8,BH131))))</f>
        <v>0</v>
      </c>
      <c r="BM131" s="10">
        <f>IF(OR(Исходн.данные.!$AH131=$BP$1,Исходн.данные.!$AH131=$BP$2),0,IF(BJ131&lt;0,0,IF(Исходн.данные.!I131&lt;4.5,BJ131*1.2,IF(Исходн.данные.!I131&gt;5.1,BJ131,BJ131*((5.1-Исходн.данные.!I131)*0.333+1)))))</f>
        <v>0</v>
      </c>
      <c r="BN131" s="10">
        <f>IF(OR(Исходн.данные.!$AH131=$BP$1,Исходн.данные.!$AH131=$BP$2),60-Исходн.данные.!AF131,IF(BK131&lt;0,0,IF(Исходн.данные.!I131&lt;4.5,BK131*1.2,IF(Исходн.данные.!I131&gt;5.1,BK131,BK131*((5.1-Исходн.данные.!I131)*0.333+1)))))</f>
        <v>0</v>
      </c>
      <c r="BO131" s="9">
        <f>IF(BL131&lt;0,0,BL131*Исходн.данные.!$AJ131/1000)</f>
        <v>0</v>
      </c>
      <c r="BP131" s="9">
        <f>IF(BM131&lt;0,0,BM131*Исходн.данные.!$AJ131/1000)</f>
        <v>0</v>
      </c>
      <c r="BQ131" s="9">
        <f>IF(BN131&lt;0,0,BN131*Исходн.данные.!$AJ131/1000)</f>
        <v>0</v>
      </c>
      <c r="BR131" s="9">
        <f t="shared" si="155"/>
        <v>0</v>
      </c>
      <c r="BS131" s="10" t="str">
        <f t="shared" si="156"/>
        <v>Аммофос 12:52:00</v>
      </c>
      <c r="BT131" s="10" t="str">
        <f t="shared" si="157"/>
        <v>Аммофос 12:52:00</v>
      </c>
      <c r="BU131" s="10" t="str">
        <f t="shared" si="158"/>
        <v>Диаммофоска</v>
      </c>
      <c r="BV131" s="10">
        <f t="shared" si="159"/>
        <v>0</v>
      </c>
      <c r="BW131" s="10"/>
      <c r="BX131" s="10"/>
      <c r="BY131" s="9">
        <f>IF(BL131&lt;0,0,IF(OR(Исходн.данные.!AI131=Расчет!$BU$6,Исходн.данные.!AI131=Расчет!$BU$7),Расчет!BV131,IF(Исходн.данные.!$AG131=$BV$11,BL131,IF(OR(Исходн.данные.!$AH131=$BQ$7,Исходн.данные.!$AH131=$BQ$8),CB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0,IF(Исходн.данные.!$AI131=$BU$11,"Нет",IF(BL131&gt;30,30,BL131)))))))</f>
        <v>0</v>
      </c>
      <c r="BZ131" s="9">
        <f>IF(AND(Исходн.данные.!$AG131=$BV$11,BM131&lt;10),10,IF(Исходн.данные.!$AG131=$BV$11,BM131,IF(OR(Исходн.данные.!$AH131=$BQ$7,Исходн.данные.!$AH131=$BQ$8),CC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10,IF(Исходн.данные.!$AI131=$BU$11,"Нет",IF(BM131&gt;60,60,IF(BM131&lt;10,10,BM131)))))))</f>
        <v>10</v>
      </c>
      <c r="CA131" s="39">
        <f>IF(BN131&lt;0,0,IF(Исходн.данные.!$AG131=$BV$11,BN131,IF(OR(Исходн.данные.!$AH131=$BQ$7,Исходн.данные.!$AH131=$BQ$8),CD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0,IF(Исходн.данные.!$AI131=$BU$11,"Нет",IF(BN131&gt;30,30,BN131))))))</f>
        <v>0</v>
      </c>
      <c r="CB131" s="9">
        <f t="shared" si="160"/>
        <v>0</v>
      </c>
      <c r="CC131" s="9">
        <f t="shared" si="161"/>
        <v>0</v>
      </c>
      <c r="CD131" s="9">
        <f t="shared" si="162"/>
        <v>0</v>
      </c>
      <c r="CE131" s="12">
        <f t="shared" si="163"/>
        <v>10</v>
      </c>
      <c r="CF131" s="9">
        <f t="shared" si="164"/>
        <v>0</v>
      </c>
      <c r="CG131" s="9" t="s">
        <v>231</v>
      </c>
      <c r="CH131" s="132" t="str">
        <f>IF(Исходн.данные.!AP131=Расчет!$CI$16,"Нет",IF(Исходн.данные.!AL131&gt;0,Исходн.данные.!AL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BH$4,IF(OR(Исходн.данные.!AI131=Исходн.данные.!$AI$6,Исходн.данные.!AI131=Исходн.данные.!$AI$7),Расчет!BS131,IF(AND($CF131=0,$CE131&gt;0),EV131,ER131)))))</f>
        <v>Аммофос 12:52:00</v>
      </c>
      <c r="CI131" s="274">
        <f>IF(Расчет!$CH131="Нет","Нет",IF(Исходн.данные.!$AL131&gt;0,VLOOKUP(Расчет!$CH131,АшламаДВ_Irekle,2,FALSE),VLOOKUP(Расчет!$CH131,АшламаДВ_Gomumy,2,FALSE)))</f>
        <v>0.12</v>
      </c>
      <c r="CJ131" s="274">
        <f>IF(Расчет!$CH131="Нет","Нет",IF(Исходн.данные.!$AL131&gt;0,VLOOKUP(Расчет!$CH131,АшламаДВ_Irekle,3,FALSE),VLOOKUP(Расчет!$CH131,АшламаДВ_Gomumy,3,FALSE)))</f>
        <v>0.52</v>
      </c>
      <c r="CK131" s="274">
        <f>IF(Расчет!$CH131="Нет","Нет",IF(Исходн.данные.!$AL131&gt;0,VLOOKUP(Расчет!$CH131,АшламаДВ_Irekle,4,FALSE),VLOOKUP(Расчет!$CH131,АшламаДВ_Gomumy,4,FALSE)))</f>
        <v>0</v>
      </c>
      <c r="CL131" s="70"/>
      <c r="CM131" s="70"/>
      <c r="CN131" s="70"/>
      <c r="CO131" s="70"/>
      <c r="CP131" s="70"/>
      <c r="CQ131" s="70"/>
      <c r="CR131" s="10">
        <f t="shared" si="165"/>
        <v>0</v>
      </c>
      <c r="CS131" s="10">
        <f t="shared" si="166"/>
        <v>19.23076923076923</v>
      </c>
      <c r="CT131" s="10">
        <f t="shared" si="167"/>
        <v>0</v>
      </c>
      <c r="CU131" s="39">
        <f>IF($CH131="Нет",0,IF(CI131=0,30/MIN(CJ131:CK131),IF(Исходн.данные.!$AG131=$BV$11,CR131,IF(OR(Исходн.данные.!$AH131=$BQ$7,Исходн.данные.!$AH131=$BQ$8),90/CI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0,IF(Исходн.данные.!$AI131=$BU$11,"Нет",30/CI131))))))</f>
        <v>250</v>
      </c>
      <c r="CV131" s="39">
        <f>IF($CH131="Нет",0,IF(Исходн.данные.!AH131=0,0,IF(CJ131=0,60/MIN(CI131,CK131),IF(Исходн.данные.!$AG131=$BV$11,CS131,IF(OR(Исходн.данные.!$AH131=$BQ$7,Исходн.данные.!$AH131=$BQ$8),90/CJ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10/CJ131,IF(Исходн.данные.!$AI131=$BU$11,"Нет",60/CJ131)))))))</f>
        <v>0</v>
      </c>
      <c r="CW131" s="39">
        <f>IF($CH131="Нет",0,IF(Исходн.данные.!AH131=0,0,IF(CK131=0,30/MIN(CI131:CJ131),IF(Исходн.данные.!$AG131=$BV$11,CT131,IF(OR(Исходн.данные.!$AH131=$BQ$7,Исходн.данные.!$AH131=$BQ$8),90/CK131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0,IF(Исходн.данные.!$AI131=$BU$11,"Нет",30/CK131)))))))</f>
        <v>0</v>
      </c>
      <c r="CX131" s="133">
        <f>IF(Исходн.данные.!$AG131=$BV$11,MAX(CU131:CW131),IF(OR(Исходн.данные.!$AH131=$BS$8,Исходн.данные.!$AH131=$BQ$9,Исходн.данные.!$AH131=$BQ$10,Исходн.данные.!$AH131=$BQ$11,Исходн.данные.!$AH131=$BQ$12,Исходн.данные.!$AH131=$BP$3,Исходн.данные.!$AH131=$BT$8,$FM131="Да"),CV131,MIN(CU131:CW131)))</f>
        <v>0</v>
      </c>
      <c r="CY131" s="133">
        <f>IF(Исходн.данные.!AH131=0,0,IF(CR131&gt;$CX131,$CX131,CR131))</f>
        <v>0</v>
      </c>
      <c r="CZ131" s="133">
        <f>IF(Исходн.данные.!AH131=0,0,IF(CS131&gt;$CX131,$CX131,CS131))</f>
        <v>0</v>
      </c>
      <c r="DA131" s="133">
        <f>IF(Исходн.данные.!AH131=0,0,IF(CT131&gt;$CX131,$CX131,CT131))</f>
        <v>0</v>
      </c>
      <c r="DB131" s="10">
        <f t="shared" si="168"/>
        <v>0</v>
      </c>
      <c r="DC131" s="39">
        <f>DB131*Исходн.данные.!AJ131/1000</f>
        <v>0</v>
      </c>
      <c r="DD131" s="71">
        <f t="shared" si="169"/>
        <v>0</v>
      </c>
      <c r="DE131" s="9">
        <f t="shared" si="170"/>
        <v>0</v>
      </c>
      <c r="DF131" s="9">
        <f t="shared" si="171"/>
        <v>0</v>
      </c>
      <c r="DG131" s="39">
        <f>IF(BL131&lt;0,0,IF($CH131="Нет",BL131,IF(OR(Исходн.данные.!$AH131=$BP$1,Исходн.данные.!$AH131=$BP$2),0,IF(Исходн.данные.!AI131=$BU$11,BL131,IF(BL131-DD131&lt;0,0,BL131-DD131)))))</f>
        <v>0</v>
      </c>
      <c r="DH131" s="39">
        <f>IF(BM131&lt;0,0,IF($CH131="Нет",BM131,IF(OR(Исходн.данные.!$AH131=$BP$1,Исходн.данные.!$AH131=$BP$2),0,IF(Исходн.данные.!AJ131=$BU$11,BM131,IF(BM131-DE131&lt;0,0,BM131-DE131)))))</f>
        <v>0</v>
      </c>
      <c r="DI131" s="39">
        <f>IF(BN131&lt;0,0,IF($CH131="Нет",BN131,IF(OR(Исходн.данные.!$AH131=$BP$1,Исходн.данные.!$AH131=$BP$2),0,IF(Исходн.данные.!AK131=$BU$11,BN131,IF(BN131-DF131&lt;0,0,BN131-DF131)))))</f>
        <v>0</v>
      </c>
      <c r="DJ131" s="12">
        <f t="shared" si="172"/>
        <v>0</v>
      </c>
      <c r="DK131" s="9">
        <f t="shared" si="173"/>
        <v>0</v>
      </c>
      <c r="DL131" s="39">
        <f>IF(Исходн.данные.!AM131&gt;0,Исходн.данные.!AM131,IF(EG131&gt;0,$BH$10,0))</f>
        <v>0</v>
      </c>
      <c r="DM131" s="186">
        <f>IF($DL131=0,0,IF(Исходн.данные.!AM131&gt;0,VLOOKUP($DL131,АшламаДВ_Irekle,2,FALSE),VLOOKUP($DL131,АшламаДВ_Gomumy,2,FALSE)))</f>
        <v>0</v>
      </c>
      <c r="DN131" s="10">
        <f t="shared" si="151"/>
        <v>0</v>
      </c>
      <c r="DO131" s="9" t="str">
        <f>IF(Исходн.данные.!AN131&gt;0,Исходн.данные.!AN131,Удобрения!$B$37 )</f>
        <v>Хлор.калий</v>
      </c>
      <c r="DP131" s="9">
        <f>IF(Исходн.данные.!AN131&gt;0,VLOOKUP(Исходн.данные.!AN131,АшламаДВ_Irekle,4,FALSE),VLOOKUP(DO131,АшламаДВ_Gomumy,4,FALSE))</f>
        <v>0.6</v>
      </c>
      <c r="DQ131" s="10">
        <f t="shared" si="152"/>
        <v>0</v>
      </c>
      <c r="DR131" s="132" t="str">
        <f>IF(Исходн.данные.!AO131&gt;0,Исходн.данные.!AO131,IF(DH131=0,BS$17,IF(AND($DK131=0,$DJ131&gt;0),EJ131,EN131)))</f>
        <v>Нет</v>
      </c>
      <c r="DS131" s="70" t="str">
        <f>IF($DR131="Нет","Нет",IF(Исходн.данные.!$AO131&gt;0,VLOOKUP($DR131,АшламаДВ_Irekle,2,FALSE),VLOOKUP($DR131,АшламаДВ_Gomumy,2,FALSE)))</f>
        <v>Нет</v>
      </c>
      <c r="DT131" s="70" t="str">
        <f>IF($DR131="Нет","Нет",IF(Исходн.данные.!$AO131&gt;0,VLOOKUP($DR131,АшламаДВ_Irekle,3,FALSE),VLOOKUP($DR131,АшламаДВ_Gomumy,3,FALSE)))</f>
        <v>Нет</v>
      </c>
      <c r="DU131" s="70" t="str">
        <f>IF($DR131="Нет","Нет",IF(Исходн.данные.!$AO131&gt;0,VLOOKUP($DR131,АшламаДВ_Irekle,4,FALSE),VLOOKUP($DR131,АшламаДВ_Gomumy,4,FALSE)))</f>
        <v>Нет</v>
      </c>
      <c r="DV131" s="70"/>
      <c r="DW131" s="70"/>
      <c r="DX131" s="70"/>
      <c r="DY131" s="10">
        <f t="shared" si="174"/>
        <v>0</v>
      </c>
      <c r="DZ131" s="10">
        <f t="shared" si="175"/>
        <v>0</v>
      </c>
      <c r="EA131" s="10">
        <f t="shared" si="176"/>
        <v>0</v>
      </c>
      <c r="EB131" s="10">
        <f t="shared" si="177"/>
        <v>0</v>
      </c>
      <c r="EC131" s="10">
        <f t="shared" si="178"/>
        <v>0</v>
      </c>
      <c r="ED131" s="10">
        <f t="shared" si="179"/>
        <v>0</v>
      </c>
      <c r="EE131" s="10">
        <f t="shared" si="180"/>
        <v>0</v>
      </c>
      <c r="EF131" s="39">
        <f>EB131*Исходн.данные.!AJ131/1000</f>
        <v>0</v>
      </c>
      <c r="EG131" s="9">
        <f t="shared" si="181"/>
        <v>0</v>
      </c>
      <c r="EH131" s="9">
        <f t="shared" si="182"/>
        <v>0</v>
      </c>
      <c r="EI131" s="39" t="e">
        <f t="shared" si="132"/>
        <v>#DIV/0!</v>
      </c>
      <c r="EJ131" s="9" t="str">
        <f t="shared" si="153"/>
        <v>Азопреципитат</v>
      </c>
      <c r="EK131" s="12">
        <f t="shared" si="133"/>
        <v>0.26</v>
      </c>
      <c r="EL131" s="12">
        <f t="shared" si="134"/>
        <v>0.13</v>
      </c>
      <c r="EM131" s="12">
        <f t="shared" si="135"/>
        <v>0</v>
      </c>
      <c r="EN131" s="12" t="str">
        <f t="shared" si="154"/>
        <v>Нет</v>
      </c>
      <c r="EO131" s="12">
        <f t="shared" si="136"/>
        <v>0</v>
      </c>
      <c r="EP131" s="12">
        <f t="shared" si="137"/>
        <v>0</v>
      </c>
      <c r="EQ131" s="12">
        <f t="shared" si="138"/>
        <v>0</v>
      </c>
      <c r="ER131" s="12" t="str">
        <f t="shared" si="183"/>
        <v>Диаммофоска</v>
      </c>
      <c r="ES131" s="12">
        <f t="shared" si="139"/>
        <v>0.1</v>
      </c>
      <c r="ET131" s="12">
        <f t="shared" si="140"/>
        <v>0.26</v>
      </c>
      <c r="EU131" s="12">
        <f t="shared" si="141"/>
        <v>0.26</v>
      </c>
      <c r="EV131" s="12" t="str">
        <f t="shared" si="184"/>
        <v>Аммофос 12:52:00</v>
      </c>
      <c r="EW131" s="12" t="str">
        <f t="shared" si="185"/>
        <v>Кемира Свекловичное-6</v>
      </c>
      <c r="EX131" s="12">
        <f t="shared" si="142"/>
        <v>0.16</v>
      </c>
      <c r="EY131" s="12">
        <f t="shared" si="143"/>
        <v>0.12</v>
      </c>
      <c r="EZ131" s="12">
        <f t="shared" si="144"/>
        <v>0.17</v>
      </c>
      <c r="FA131" s="38" t="e">
        <f>IF(AND(OR(FJ131=$FD$1,FM131=$FD$1,FO131=$FD$1,FQ131=$FD$1,FS131=$FD$1),FD131=$FD$1,Исходн.данные.!J131&lt;2,FU131=$FD$1),"Бор,Кобальт",IF(AND(FO131=$FD$1,FH131=$FD$1,Исходн.данные.!J131&lt;2,FU131=$FD$1),"Бор,Кобальт",IF(AND(OR(FJ131=$FD$1,FM131=$FD$1,FQ131=$FD$1),FE131=$FD$1,Исходн.данные.!J131&lt;2,FT131=$FD$1,FU131=$FD$1),"Бор,Медь,Цинк",IF(AND(OR(FJ131=$FD$1,FR131="Да"),FI131="Да",Исходн.данные.!J131&lt;2,FT131="Да",FU131="Да"),"Бор,Цинк,Медь",IF(AND(OR(FM131="Да",FQ131="Да"),FI131="Да",Исходн.данные.!J131&lt;2,FT131="Да",FU131="Да"),"Бор,Цинк",IF(AND(FN131="Да",OR(FD131="Да",FE131="Да")),"Бор",FB131))))))</f>
        <v>#N/A</v>
      </c>
      <c r="FB131" s="134" t="e">
        <f>IF(AND(OR(FD131="Да",FE131="Да",FF131="Да",FG131="Да",FH131="Да"),FO131="Да"),"Бор",IF(AND(FP131="Да",OR(FD131="Да",FE131="Да",FI131="Да")),"Бор",IF(AND(FS131="Да",FE131="Да"),"Бор,Медь",IF(AND(OR(FJ131="Да",FK131="Да",FL131="Да"),FE131="Да",Исходн.данные.!I131&lt;5,FT131="Да",FU131="Да"),"Молибден,Цинк",IF(AND(FM131="Да",OR(FE131="Да",FF131="Да",FG131="Да",FH131="Да",FI131="Да")),"Молибден,Цинк",IF(AND(OR(FJ131="Да",FK131="Да",FL131="Да",FM131="Да",FQ131="Да"),OR(FE131="Да",FF131="Да"),FT131="Да",FU131="Да",Исходн.данные.!I131&gt;5.5),"Медь,Цинк",FC131))))))</f>
        <v>#N/A</v>
      </c>
      <c r="FC131" s="23" t="e">
        <f t="shared" si="186"/>
        <v>#N/A</v>
      </c>
      <c r="FD131" s="38" t="str">
        <f>IF(OR(Исходн.данные.!F131=$CC$1,Исходн.данные.!F131=$CC$2,Исходн.данные.!F131=$CC$3,Исходн.данные.!F131=$CC$4),"Да","Нет")</f>
        <v>Нет</v>
      </c>
      <c r="FE131" s="38" t="str">
        <f>IF(Исходн.данные.!F131=$CC$5,"Да","Нет")</f>
        <v>Нет</v>
      </c>
      <c r="FF131" s="38" t="str">
        <f>IF(OR(Исходн.данные.!F131=$CC$6,Исходн.данные.!F131=$CC$7),"Да","Нет")</f>
        <v>Нет</v>
      </c>
      <c r="FG131" s="38" t="str">
        <f>IF(OR(Исходн.данные.!F131=$CC$8,Исходн.данные.!F131=$CC$9),"Да","Нет")</f>
        <v>Нет</v>
      </c>
      <c r="FH131" s="38" t="str">
        <f>IF(Исходн.данные.!F131=$CC$10,"Да","Нет")</f>
        <v>Нет</v>
      </c>
      <c r="FI131" s="38" t="str">
        <f>IF(OR(Исходн.данные.!F131=$CC$11,Исходн.данные.!F131=$CC$12),"Да","Нет")</f>
        <v>Нет</v>
      </c>
      <c r="FJ131" s="38" t="str">
        <f>IF(OR(Исходн.данные.!AH131=$BS$1,Исходн.данные.!AH131=$BQ$11,Исходн.данные.!AH131=$BQ$12),"Да","Нет")</f>
        <v>Нет</v>
      </c>
      <c r="FK131" s="38" t="str">
        <f>IF(OR(Исходн.данные.!AH131=$BS$2,Исходн.данные.!AH131=$BS$4),"Да","Нет")</f>
        <v>Нет</v>
      </c>
      <c r="FL131" s="38" t="str">
        <f>IF(OR(Исходн.данные.!AH131=$BS$3,Исходн.данные.!AH131=$BS$5),"Да","Нет")</f>
        <v>Нет</v>
      </c>
      <c r="FM131" s="38" t="str">
        <f>IF(OR(Исходн.данные.!AH131=$BS$9,Исходн.данные.!AH131=$BS$10,Исходн.данные.!AH131=$BS$11,Исходн.данные.!AH131=$BS$12),"Да","Нет")</f>
        <v>Нет</v>
      </c>
      <c r="FN131" s="38" t="str">
        <f>IF(OR(Исходн.данные.!AH131=$BS$6,Исходн.данные.!AH131=$BP$3),"Да","Нет")</f>
        <v>Нет</v>
      </c>
      <c r="FO131" s="38" t="str">
        <f>IF(Исходн.данные.!AH131=$BQ$9,"Да","Нет")</f>
        <v>Нет</v>
      </c>
      <c r="FP131" s="38" t="str">
        <f>IF(OR(Исходн.данные.!AH131=$BS$8,Исходн.данные.!AH131=$BT$8),"Да","Нет")</f>
        <v>Нет</v>
      </c>
      <c r="FQ131" s="38" t="str">
        <f>IF(OR(Исходн.данные.!AH131=$BQ$7,Исходн.данные.!AH131=$BQ$8),"Да","Нет")</f>
        <v>Нет</v>
      </c>
      <c r="FR131" s="38" t="str">
        <f>IF(Исходн.данные.!AI131=$BU$9,"Да","Нет")</f>
        <v>Нет</v>
      </c>
      <c r="FS131" s="38" t="str">
        <f>IF(OR(Исходн.данные.!AH131=$BP$1,Исходн.данные.!AH131=$BP$2),"Да","Нет")</f>
        <v>Нет</v>
      </c>
      <c r="FT131" s="38" t="e">
        <f>IF((Исходн.данные.!K131*GO131*GS131*GW131+BL131*0.6+Исходн.данные.!Q131*4.5*0.275)&gt;90,"Да","Нет")</f>
        <v>#N/A</v>
      </c>
      <c r="FU131" s="38" t="e">
        <f>IF((Исходн.данные.!M131*GS131*GZ131+BM131*0.225)&gt;35,"Да","Нет")</f>
        <v>#N/A</v>
      </c>
      <c r="FV131" s="38" t="str">
        <f>IF(Исходн.данные.!O131&gt;175,"Да","Нет")</f>
        <v>Нет</v>
      </c>
      <c r="FW131" s="39" t="str">
        <f>IF(Исходн.данные.!I131&gt;5.5,"Да","Нет")</f>
        <v>Нет</v>
      </c>
      <c r="FX131" s="39" t="str">
        <f>IF(Исходн.данные.!J131&lt;2,"Да","Нет")</f>
        <v>Да</v>
      </c>
      <c r="FY131" s="39" t="e">
        <f>IF(HF131=$FY$16,0,Исходн.данные.!K131*GO131*GS131*GW131/HF131)</f>
        <v>#N/A</v>
      </c>
      <c r="FZ131" s="39" t="e">
        <f>Исходн.данные.!M131*GS131*GZ131/HG131</f>
        <v>#N/A</v>
      </c>
      <c r="GA131" s="39" t="e">
        <f>IF(K_Wyn=$FY$16,0,IF(Исходн.данные.!N131=Исходн.данные.!$L$10,Исходн.данные.!O131/1.1*GS131*HC131/HH131,IF(Исходн.данные.!N131=Исходн.данные.!$L$12,Исходн.данные.!O131/1.5*GS131*HC131/HH131,Исходн.данные.!O131*GS131*HC131/HH131)))</f>
        <v>#N/A</v>
      </c>
      <c r="GB131" s="39" t="e">
        <f>IF(HF131=$FY$16,0,((Исходн.данные.!Q131*N_Org+Исходн.данные.!R131*N_Sider+Исходн.данные.!S131*N_Soloma)*AO131+Расчет!BC131*VLOOKUP(Исходн.данные.!T131,Справ!$A$3:$O$57,15)*AO131+BB131*VLOOKUP(Исходн.данные.!T131,Справ!$A$3:$O$57,15)*AL131+(Исходн.данные.!V131*N_Rizotorf+Исходн.данные.!W131*N_Rizoagr))/HF131)</f>
        <v>#N/A</v>
      </c>
      <c r="GC131" s="39" t="e">
        <f>IF(HG131=$FY$16,0,((Исходн.данные.!Q131*Р_Org+Исходн.данные.!R131*P_Sider+Исходн.данные.!S131*P_Soloma)*AP131+Расчет!BC131*VLOOKUP(Исходн.данные.!T131,Справ!$A$3:$P$57,16)*AP131+BB131*VLOOKUP(Исходн.данные.!T131,Справ!$A$3:$P$57,16)*AM131)/HG131)</f>
        <v>#N/A</v>
      </c>
      <c r="GD131" s="39" t="e">
        <f>IF(HH131=$FY$16,0,((Исходн.данные.!Q131*К_Org+Исходн.данные.!R131*K_Sider+Исходн.данные.!S131*K_Soloma)*AQ131+Расчет!BC131*VLOOKUP(Исходн.данные.!T131,Справ!$A$3:$Q$57,17)*AQ131+BB131*VLOOKUP(Исходн.данные.!T131,Справ!$A$3:$Q$57,17)*AN131)/HH131)</f>
        <v>#N/A</v>
      </c>
      <c r="GE131" s="39" t="e">
        <f>IF(HF131=$FY$16,0,(Исходн.данные.!X131*AR131+Исходн.данные.!AA131*N_Org*AL131+Исходн.данные.!AB131*N_Sider*AL131+Исходн.данные.!AC131*N_Soloma*AL131)/HF131)</f>
        <v>#N/A</v>
      </c>
      <c r="GF131" s="39" t="e">
        <f>IF(HG131=$FY$16,0,(Исходн.данные.!Y131*AS131+Исходн.данные.!AA131*Р_Org*AM131+Исходн.данные.!AB131*P_Sider*AM131+Исходн.данные.!AC131*P_Soloma*AM131)/HG131)</f>
        <v>#N/A</v>
      </c>
      <c r="GG131" s="39" t="e">
        <f>IF(HH131=$FY$16,0,(Исходн.данные.!Z131*AT131+Исходн.данные.!AA131*К_Org*AN131+Исходн.данные.!AB131*K_Sider*AN131+Исходн.данные.!AC131*K_Soloma*AN131)/HH131)</f>
        <v>#N/A</v>
      </c>
      <c r="GH131" s="39" t="e">
        <f>Исходн.данные.!AD131*AU131/HF131</f>
        <v>#N/A</v>
      </c>
      <c r="GI131" s="39" t="e">
        <f>Исходн.данные.!AE131*AV131/HG131</f>
        <v>#N/A</v>
      </c>
      <c r="GJ131" s="39" t="e">
        <f>Исходн.данные.!AF131*AW131/HH131</f>
        <v>#N/A</v>
      </c>
      <c r="GK131" s="55">
        <f>Исходн.данные.!AK131</f>
        <v>0</v>
      </c>
      <c r="GL131" s="11" t="e">
        <f t="shared" si="187"/>
        <v>#N/A</v>
      </c>
      <c r="GM131" s="11" t="e">
        <f t="shared" si="188"/>
        <v>#N/A</v>
      </c>
      <c r="GN131" s="11" t="e">
        <f t="shared" si="189"/>
        <v>#N/A</v>
      </c>
      <c r="GO131" s="57">
        <f t="shared" si="190"/>
        <v>19</v>
      </c>
      <c r="GP131" s="55">
        <f>IF(OR(Исходн.данные.!F131=$CE$1,Исходн.данные.!F131=$CE$2,Исходн.данные.!F131=$CE$3,Исходн.данные.!F131=$CE$4,Исходн.данные.!F131=$CE$5),GQ131,GR131)</f>
        <v>19</v>
      </c>
      <c r="GQ131" s="55">
        <f>IF(Исходн.данные.!F131=$CE$1,28,IF(Исходн.данные.!F131=$CE$2,26,IF(Исходн.данные.!F131=$CE$3,24,IF(Исходн.данные.!F131=$CE$4,22,IF(Исходн.данные.!F131=$CE$5,20,GR131)))))</f>
        <v>19</v>
      </c>
      <c r="GR131" s="55">
        <f>IF(Исходн.данные.!F131=$CE$6,18,IF(Исходн.данные.!F131=$CE$7,16,IF(Исходн.данные.!F131=$CE$8,14,IF(Исходн.данные.!F131=$CE$9,13,IF(Исходн.данные.!F131=$CE$10,12,19)))))</f>
        <v>19</v>
      </c>
      <c r="GS131" s="55">
        <f>IF(Исходн.данные.!G131="Пес",0.035*(40+2*Исходн.данные.!H131),IF(Исходн.данные.!G131="Суп",0.0325*(40+2*Исходн.данные.!H131),0.03*(40+2*Исходн.данные.!H131)))</f>
        <v>1.2</v>
      </c>
      <c r="GT131" s="55">
        <f>IF(Исходн.данные.!H131&lt;23,2.6,IF(AND(Исходн.данные.!H131&gt;22,Исходн.данные.!H131&lt;26),3,IF(AND(Исходн.данные.!H131&gt;25,Исходн.данные.!H131&lt;29),3.4,3.6)))</f>
        <v>2.6</v>
      </c>
      <c r="GU131" s="55">
        <f>IF(Исходн.данные.!H131&lt;23,2.8,IF(AND(Исходн.данные.!H131&gt;22,Исходн.данные.!H131&lt;26),3.2,IF(AND(Исходн.данные.!H131&gt;25,Исходн.данные.!H131&lt;29),3.6,3.9)))</f>
        <v>2.8</v>
      </c>
      <c r="GV131" s="55">
        <f>IF(Исходн.данные.!H131&lt;23,3,IF(AND(Исходн.данные.!H131&gt;22,Исходн.данные.!H131&lt;26),3.5,IF(AND(Исходн.данные.!H131&gt;25,Исходн.данные.!H131&lt;29),3.9,4.2)))</f>
        <v>3</v>
      </c>
      <c r="GW131" s="55" t="e">
        <f>IF(Исходн.данные.!P131="Ум",GX131,GY131)</f>
        <v>#N/A</v>
      </c>
      <c r="GX131" s="55" t="e">
        <f>VLOOKUP(Исходн.данные.!AI131,Коэффициенты!$J$7:$L$13,2,FALSE)</f>
        <v>#N/A</v>
      </c>
      <c r="GY131" s="55" t="e">
        <f>VLOOKUP(Исходн.данные.!AI131,Коэффициенты!$J$7:$L$13,3,FALSE)</f>
        <v>#N/A</v>
      </c>
      <c r="GZ131" s="55" t="e">
        <f>(IF(Исходн.данные.!M131&lt;50,0.11*VLOOKUP(Исходн.данные.!AH131,Культуры.Информация,7,FALSE),IF(Исходн.данные.!M131&gt;250,0.05*VLOOKUP(Исходн.данные.!AH131,Культуры.Информация,7,FALSE),VLOOKUP(Исходн.данные.!AH131,Культуры.Информация,5,FALSE)/100*($GX$6+$GY$6*Исходн.данные.!M131))))*Расчет2!AI131</f>
        <v>#N/A</v>
      </c>
      <c r="HA131" s="211"/>
      <c r="HB131" s="211"/>
      <c r="HC131" s="55" t="e">
        <f>(IF(Исходн.данные.!O131&lt;80,0.2*VLOOKUP(Исходн.данные.!AH131,Культуры.Информация,8,FALSE),IF(Исходн.данные.!O131&gt;240,0.09*VLOOKUP(Исходн.данные.!AH131,Культуры.Информация,8,FALSE),VLOOKUP(Исходн.данные.!AH131,Культуры.Информация,6,FALSE)/100*($HB$6+$HC$6*Исходн.данные.!O131))))*Расчет2!AJ131</f>
        <v>#N/A</v>
      </c>
      <c r="HD131" s="55">
        <f>IF(Исходн.данные.!O131&gt;240,0.09,IF(Исходн.данные.!O131&lt;30,0.3,$HE$10+$HD$10*Исходн.данные.!O131))</f>
        <v>0.3</v>
      </c>
      <c r="HE131" s="55">
        <f>IF(Исходн.данные.!O131&gt;240,0.17,IF(Исходн.данные.!O131&lt;30,0.5,$HF$12+$HE$12*Исходн.данные.!O131))</f>
        <v>0.5</v>
      </c>
      <c r="HF131" s="55" t="e">
        <f>VLOOKUP(Исходн.данные.!AH131,Справ!$A$3:$D$58,2,FALSE)</f>
        <v>#N/A</v>
      </c>
      <c r="HG131" s="55" t="e">
        <f>VLOOKUP(Исходн.данные.!AH131,Справ!$A$3:$D$58,3,FALSE)</f>
        <v>#N/A</v>
      </c>
      <c r="HH131" s="55" t="e">
        <f>VLOOKUP(Исходн.данные.!AH131,Справ!$A$3:$D$58,4,FALSE)</f>
        <v>#N/A</v>
      </c>
      <c r="HI131" s="11" t="e">
        <f t="shared" si="191"/>
        <v>#N/A</v>
      </c>
      <c r="HJ131" s="11" t="e">
        <f t="shared" si="192"/>
        <v>#N/A</v>
      </c>
      <c r="HK131" s="11" t="e">
        <f t="shared" si="193"/>
        <v>#N/A</v>
      </c>
      <c r="HL131" s="55">
        <f>IF(OR(Исходн.данные.!G131="Глин",Исходн.данные.!G131="Т_суг"),1.1,IF(Исходн.данные.!G131="Ср_суг",1,1))</f>
        <v>1</v>
      </c>
      <c r="HM131" s="55">
        <f>IF(OR(Исходн.данные.!G131="Глин",Исходн.данные.!G131="Т_суг"),0.9,IF(Исходн.данные.!G131="Ср_суг",1,1.2))</f>
        <v>1.2</v>
      </c>
      <c r="HN131" s="11" t="e">
        <f t="shared" si="194"/>
        <v>#N/A</v>
      </c>
      <c r="HO131" s="11" t="e">
        <f t="shared" si="195"/>
        <v>#N/A</v>
      </c>
      <c r="HP131" s="11" t="e">
        <f t="shared" si="196"/>
        <v>#N/A</v>
      </c>
      <c r="HQ131" t="e">
        <f t="shared" si="197"/>
        <v>#N/A</v>
      </c>
      <c r="HR131" t="e">
        <f t="shared" si="198"/>
        <v>#N/A</v>
      </c>
      <c r="HS131" t="e">
        <f t="shared" si="199"/>
        <v>#N/A</v>
      </c>
      <c r="HT131" t="e">
        <f t="shared" si="145"/>
        <v>#N/A</v>
      </c>
      <c r="HU131" t="e">
        <f t="shared" si="146"/>
        <v>#N/A</v>
      </c>
      <c r="HV131" t="e">
        <f t="shared" si="147"/>
        <v>#N/A</v>
      </c>
      <c r="HW131" t="e">
        <f t="shared" si="148"/>
        <v>#N/A</v>
      </c>
      <c r="HX131" t="e">
        <f t="shared" si="149"/>
        <v>#N/A</v>
      </c>
      <c r="HY131" t="e">
        <f t="shared" si="150"/>
        <v>#N/A</v>
      </c>
      <c r="HZ131" s="55">
        <f>IF(OR(Исходн.данные.!AI131="Оз_Ч_П",Исходн.данные.!AI131="Оз_З_П",Исходн.данные.!AI131="Яр_зер"),12,30)</f>
        <v>30</v>
      </c>
      <c r="IA131" t="e">
        <f t="shared" si="200"/>
        <v>#N/A</v>
      </c>
      <c r="IB131" t="e">
        <f t="shared" si="201"/>
        <v>#N/A</v>
      </c>
      <c r="IC131" t="e">
        <f t="shared" si="202"/>
        <v>#N/A</v>
      </c>
      <c r="ID131" s="11" t="e">
        <f t="shared" si="203"/>
        <v>#N/A</v>
      </c>
      <c r="IE131" s="11" t="e">
        <f t="shared" si="204"/>
        <v>#N/A</v>
      </c>
      <c r="IF131" s="11" t="e">
        <f t="shared" si="205"/>
        <v>#N/A</v>
      </c>
    </row>
    <row r="132" spans="35:240" x14ac:dyDescent="0.2">
      <c r="AI132">
        <f>IF(Исходн.данные.!I132&gt;6,1,1.85-(0.148*Исходн.данные.!I132))</f>
        <v>1.85</v>
      </c>
      <c r="AJ132">
        <f>IF(Исходн.данные.!I132&gt;6,1,2.434-(0.246*Исходн.данные.!I132))</f>
        <v>2.4340000000000002</v>
      </c>
      <c r="AL132" s="148" t="b">
        <f>IF(Исходн.данные.!$P132="Ум",N_OrgUd_2g_um,IF(Исходн.данные.!$P132="Об",N_OrgUd_2g_ob))</f>
        <v>0</v>
      </c>
      <c r="AM132" s="148" t="b">
        <f>IF(Исходн.данные.!$P132="Ум",P_OrgUd_2g_um,IF(Исходн.данные.!$P132="Об",P_OrgUd_2g_ob))</f>
        <v>0</v>
      </c>
      <c r="AN132" s="148" t="b">
        <f>IF(Исходн.данные.!$P132="Ум",K_OrgUd_2g_um,IF(Исходн.данные.!$P132="Об",K_OrgUd_2g_ob))</f>
        <v>0</v>
      </c>
      <c r="AO132" s="148" t="b">
        <f>IF(Исходн.данные.!$P132="Ум",N_OrgUd_1g_um,IF(Исходн.данные.!$P132="Об",N_OrgUd_1g_ob))</f>
        <v>0</v>
      </c>
      <c r="AP132" s="148" t="b">
        <f>IF(Исходн.данные.!$P132="Ум",P_OrgUd_1g_um,IF(Исходн.данные.!$P132="Об",P_OrgUd_1g_ob))</f>
        <v>0</v>
      </c>
      <c r="AQ132" s="148" t="b">
        <f>IF(Исходн.данные.!$P132="Ум",K_OrgUd_1g_um,IF(Исходн.данные.!$P132="Об",K_OrgUd_1g_ob))</f>
        <v>0</v>
      </c>
      <c r="AR132" t="b">
        <f>IF(Исходн.данные.!$P132="Ум",N_MinUd_2g_um,IF(Исходн.данные.!$P132="Об",N_MinUd_2g_ob))</f>
        <v>0</v>
      </c>
      <c r="AS132" t="b">
        <f>IF(Исходн.данные.!$P132="Ум",P_MinUd_2g_um,IF(Исходн.данные.!$P132="Об",P_MinUd_2g_ob))</f>
        <v>0</v>
      </c>
      <c r="AT132" t="b">
        <f>IF(Исходн.данные.!$P132="Ум",K_MinUd_2g_um,IF(Исходн.данные.!$P132="Об",K_MinUd_2g_ob))</f>
        <v>0</v>
      </c>
      <c r="AU132" t="b">
        <f>IF(Исходн.данные.!$P132="Ум",N_MinUd_1g_um,IF(Исходн.данные.!$P132="Об",N_MinUd_1g_ob))</f>
        <v>0</v>
      </c>
      <c r="AV132" t="b">
        <f>IF(Исходн.данные.!P132="Ум",P_MinUd_1g_um,IF(Исходн.данные.!P132="Об",P_MinUd_1g_ob))</f>
        <v>0</v>
      </c>
      <c r="AW132" t="b">
        <f>IF(Исходн.данные.!P132="Ум",K_MinUd_1g_um,IF(Исходн.данные.!P132="Об",K_MinUd_1g_ob))</f>
        <v>0</v>
      </c>
      <c r="AY132" t="e">
        <f>VLOOKUP(Исходн.данные.!T132,Справ!$A$3:$N$57,12)</f>
        <v>#N/A</v>
      </c>
      <c r="AZ132" t="e">
        <f>VLOOKUP(Исходн.данные.!T132,Справ!$A$3:$N$57,13)</f>
        <v>#N/A</v>
      </c>
      <c r="BA132" t="e">
        <f>VLOOKUP(Исходн.данные.!T132,Справ!$A$3:$N$57,14)</f>
        <v>#N/A</v>
      </c>
      <c r="BB132">
        <f>IF(Исходн.данные.!AH132=0,0,25)</f>
        <v>0</v>
      </c>
      <c r="BC132" s="141">
        <f>IF(Исходн.данные.!AH132=0,0,IF(Исходн.данные.!T132=0,25,BD132))</f>
        <v>0</v>
      </c>
      <c r="BD132" s="168" t="e">
        <f>AY132+AZ132*Исходн.данные.!U132-POWER(BA132,2)*Исходн.данные.!U132</f>
        <v>#N/A</v>
      </c>
      <c r="BE13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2" s="25">
        <f>IF(Исходн.данные.!AH132=0,0,MIN(HN132:HP132))</f>
        <v>0</v>
      </c>
      <c r="BG132" s="9">
        <f>IF(Исходн.данные.!AH132=0,0,IF((HO132+10*0.25/HG132/HL132)&lt;17,17,HO132+10*0.25/HG132/HL132))</f>
        <v>0</v>
      </c>
      <c r="BH132" s="181">
        <f>IF(Исходн.данные.!AH132=0,0,HW132*HF132*HL132/AU132*AI132+Исходн.данные.!S132*10)</f>
        <v>0</v>
      </c>
      <c r="BI132" s="10"/>
      <c r="BJ132" s="182">
        <f>IF(Исходн.данные.!AH132=0,0,IF(HX132*HG132*HL132/AV132&lt;0,0,HX132*HG132*HL132/AV132*AJ132))</f>
        <v>0</v>
      </c>
      <c r="BK132" s="182">
        <f>IF(Исходн.данные.!AH132=0,0,HY132*HH132*HM132/AW132)</f>
        <v>0</v>
      </c>
      <c r="BL132" s="10">
        <f>IF(OR(Исходн.данные.!$AH132=$BP$1,Исходн.данные.!$AH132=$BP$2),0,IF(BH132&lt;0,0,IF(OR(Исходн.данные.!T132=Расчет!$BP$1,Исходн.данные.!T132=Расчет!$BP$2,Исходн.данные.!T132=Расчет!$BT$5,Исходн.данные.!T132=Расчет!$BT$6),BH132*0.5,IF(OR(Исходн.данные.!T132=Расчет!$BS$9,Исходн.данные.!T132=Расчет!$BS$10,Исходн.данные.!T132=Расчет!$BS$11,Исходн.данные.!T132=Расчет!$BS$12,Исходн.данные.!T132=Расчет!$BP$5),BH132*0.8,BH132))))</f>
        <v>0</v>
      </c>
      <c r="BM132" s="10">
        <f>IF(OR(Исходн.данные.!$AH132=$BP$1,Исходн.данные.!$AH132=$BP$2),0,IF(BJ132&lt;0,0,IF(Исходн.данные.!I132&lt;4.5,BJ132*1.2,IF(Исходн.данные.!I132&gt;5.1,BJ132,BJ132*((5.1-Исходн.данные.!I132)*0.333+1)))))</f>
        <v>0</v>
      </c>
      <c r="BN132" s="10">
        <f>IF(OR(Исходн.данные.!$AH132=$BP$1,Исходн.данные.!$AH132=$BP$2),60-Исходн.данные.!AF132,IF(BK132&lt;0,0,IF(Исходн.данные.!I132&lt;4.5,BK132*1.2,IF(Исходн.данные.!I132&gt;5.1,BK132,BK132*((5.1-Исходн.данные.!I132)*0.333+1)))))</f>
        <v>0</v>
      </c>
      <c r="BO132" s="9">
        <f>IF(BL132&lt;0,0,BL132*Исходн.данные.!$AJ132/1000)</f>
        <v>0</v>
      </c>
      <c r="BP132" s="9">
        <f>IF(BM132&lt;0,0,BM132*Исходн.данные.!$AJ132/1000)</f>
        <v>0</v>
      </c>
      <c r="BQ132" s="9">
        <f>IF(BN132&lt;0,0,BN132*Исходн.данные.!$AJ132/1000)</f>
        <v>0</v>
      </c>
      <c r="BR132" s="9">
        <f t="shared" si="155"/>
        <v>0</v>
      </c>
      <c r="BS132" s="10" t="str">
        <f t="shared" si="156"/>
        <v>Аммофос 12:52:00</v>
      </c>
      <c r="BT132" s="10" t="str">
        <f t="shared" si="157"/>
        <v>Аммофос 12:52:00</v>
      </c>
      <c r="BU132" s="10" t="str">
        <f t="shared" si="158"/>
        <v>Диаммофоска</v>
      </c>
      <c r="BV132" s="10">
        <f t="shared" si="159"/>
        <v>0</v>
      </c>
      <c r="BW132" s="10"/>
      <c r="BX132" s="10"/>
      <c r="BY132" s="9">
        <f>IF(BL132&lt;0,0,IF(OR(Исходн.данные.!AI132=Расчет!$BU$6,Исходн.данные.!AI132=Расчет!$BU$7),Расчет!BV132,IF(Исходн.данные.!$AG132=$BV$11,BL132,IF(OR(Исходн.данные.!$AH132=$BQ$7,Исходн.данные.!$AH132=$BQ$8),CB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0,IF(Исходн.данные.!$AI132=$BU$11,"Нет",IF(BL132&gt;30,30,BL132)))))))</f>
        <v>0</v>
      </c>
      <c r="BZ132" s="9">
        <f>IF(AND(Исходн.данные.!$AG132=$BV$11,BM132&lt;10),10,IF(Исходн.данные.!$AG132=$BV$11,BM132,IF(OR(Исходн.данные.!$AH132=$BQ$7,Исходн.данные.!$AH132=$BQ$8),CC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10,IF(Исходн.данные.!$AI132=$BU$11,"Нет",IF(BM132&gt;60,60,IF(BM132&lt;10,10,BM132)))))))</f>
        <v>10</v>
      </c>
      <c r="CA132" s="39">
        <f>IF(BN132&lt;0,0,IF(Исходн.данные.!$AG132=$BV$11,BN132,IF(OR(Исходн.данные.!$AH132=$BQ$7,Исходн.данные.!$AH132=$BQ$8),CD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0,IF(Исходн.данные.!$AI132=$BU$11,"Нет",IF(BN132&gt;30,30,BN132))))))</f>
        <v>0</v>
      </c>
      <c r="CB132" s="9">
        <f t="shared" si="160"/>
        <v>0</v>
      </c>
      <c r="CC132" s="9">
        <f t="shared" si="161"/>
        <v>0</v>
      </c>
      <c r="CD132" s="9">
        <f t="shared" si="162"/>
        <v>0</v>
      </c>
      <c r="CE132" s="12">
        <f t="shared" si="163"/>
        <v>10</v>
      </c>
      <c r="CF132" s="9">
        <f t="shared" si="164"/>
        <v>0</v>
      </c>
      <c r="CG132" s="9" t="s">
        <v>231</v>
      </c>
      <c r="CH132" s="132" t="str">
        <f>IF(Исходн.данные.!AP132=Расчет!$CI$16,"Нет",IF(Исходн.данные.!AL132&gt;0,Исходн.данные.!AL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BH$4,IF(OR(Исходн.данные.!AI132=Исходн.данные.!$AI$6,Исходн.данные.!AI132=Исходн.данные.!$AI$7),Расчет!BS132,IF(AND($CF132=0,$CE132&gt;0),EV132,ER132)))))</f>
        <v>Аммофос 12:52:00</v>
      </c>
      <c r="CI132" s="274">
        <f>IF(Расчет!$CH132="Нет","Нет",IF(Исходн.данные.!$AL132&gt;0,VLOOKUP(Расчет!$CH132,АшламаДВ_Irekle,2,FALSE),VLOOKUP(Расчет!$CH132,АшламаДВ_Gomumy,2,FALSE)))</f>
        <v>0.12</v>
      </c>
      <c r="CJ132" s="274">
        <f>IF(Расчет!$CH132="Нет","Нет",IF(Исходн.данные.!$AL132&gt;0,VLOOKUP(Расчет!$CH132,АшламаДВ_Irekle,3,FALSE),VLOOKUP(Расчет!$CH132,АшламаДВ_Gomumy,3,FALSE)))</f>
        <v>0.52</v>
      </c>
      <c r="CK132" s="274">
        <f>IF(Расчет!$CH132="Нет","Нет",IF(Исходн.данные.!$AL132&gt;0,VLOOKUP(Расчет!$CH132,АшламаДВ_Irekle,4,FALSE),VLOOKUP(Расчет!$CH132,АшламаДВ_Gomumy,4,FALSE)))</f>
        <v>0</v>
      </c>
      <c r="CL132" s="70"/>
      <c r="CM132" s="70"/>
      <c r="CN132" s="70"/>
      <c r="CO132" s="70"/>
      <c r="CP132" s="70"/>
      <c r="CQ132" s="70"/>
      <c r="CR132" s="10">
        <f t="shared" si="165"/>
        <v>0</v>
      </c>
      <c r="CS132" s="10">
        <f t="shared" si="166"/>
        <v>19.23076923076923</v>
      </c>
      <c r="CT132" s="10">
        <f t="shared" si="167"/>
        <v>0</v>
      </c>
      <c r="CU132" s="39">
        <f>IF($CH132="Нет",0,IF(CI132=0,30/MIN(CJ132:CK132),IF(Исходн.данные.!$AG132=$BV$11,CR132,IF(OR(Исходн.данные.!$AH132=$BQ$7,Исходн.данные.!$AH132=$BQ$8),90/CI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0,IF(Исходн.данные.!$AI132=$BU$11,"Нет",30/CI132))))))</f>
        <v>250</v>
      </c>
      <c r="CV132" s="39">
        <f>IF($CH132="Нет",0,IF(Исходн.данные.!AH132=0,0,IF(CJ132=0,60/MIN(CI132,CK132),IF(Исходн.данные.!$AG132=$BV$11,CS132,IF(OR(Исходн.данные.!$AH132=$BQ$7,Исходн.данные.!$AH132=$BQ$8),90/CJ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10/CJ132,IF(Исходн.данные.!$AI132=$BU$11,"Нет",60/CJ132)))))))</f>
        <v>0</v>
      </c>
      <c r="CW132" s="39">
        <f>IF($CH132="Нет",0,IF(Исходн.данные.!AH132=0,0,IF(CK132=0,30/MIN(CI132:CJ132),IF(Исходн.данные.!$AG132=$BV$11,CT132,IF(OR(Исходн.данные.!$AH132=$BQ$7,Исходн.данные.!$AH132=$BQ$8),90/CK132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0,IF(Исходн.данные.!$AI132=$BU$11,"Нет",30/CK132)))))))</f>
        <v>0</v>
      </c>
      <c r="CX132" s="133">
        <f>IF(Исходн.данные.!$AG132=$BV$11,MAX(CU132:CW132),IF(OR(Исходн.данные.!$AH132=$BS$8,Исходн.данные.!$AH132=$BQ$9,Исходн.данные.!$AH132=$BQ$10,Исходн.данные.!$AH132=$BQ$11,Исходн.данные.!$AH132=$BQ$12,Исходн.данные.!$AH132=$BP$3,Исходн.данные.!$AH132=$BT$8,$FM132="Да"),CV132,MIN(CU132:CW132)))</f>
        <v>0</v>
      </c>
      <c r="CY132" s="133">
        <f>IF(Исходн.данные.!AH132=0,0,IF(CR132&gt;$CX132,$CX132,CR132))</f>
        <v>0</v>
      </c>
      <c r="CZ132" s="133">
        <f>IF(Исходн.данные.!AH132=0,0,IF(CS132&gt;$CX132,$CX132,CS132))</f>
        <v>0</v>
      </c>
      <c r="DA132" s="133">
        <f>IF(Исходн.данные.!AH132=0,0,IF(CT132&gt;$CX132,$CX132,CT132))</f>
        <v>0</v>
      </c>
      <c r="DB132" s="10">
        <f t="shared" si="168"/>
        <v>0</v>
      </c>
      <c r="DC132" s="39">
        <f>DB132*Исходн.данные.!AJ132/1000</f>
        <v>0</v>
      </c>
      <c r="DD132" s="71">
        <f t="shared" si="169"/>
        <v>0</v>
      </c>
      <c r="DE132" s="9">
        <f t="shared" si="170"/>
        <v>0</v>
      </c>
      <c r="DF132" s="9">
        <f t="shared" si="171"/>
        <v>0</v>
      </c>
      <c r="DG132" s="39">
        <f>IF(BL132&lt;0,0,IF($CH132="Нет",BL132,IF(OR(Исходн.данные.!$AH132=$BP$1,Исходн.данные.!$AH132=$BP$2),0,IF(Исходн.данные.!AI132=$BU$11,BL132,IF(BL132-DD132&lt;0,0,BL132-DD132)))))</f>
        <v>0</v>
      </c>
      <c r="DH132" s="39">
        <f>IF(BM132&lt;0,0,IF($CH132="Нет",BM132,IF(OR(Исходн.данные.!$AH132=$BP$1,Исходн.данные.!$AH132=$BP$2),0,IF(Исходн.данные.!AJ132=$BU$11,BM132,IF(BM132-DE132&lt;0,0,BM132-DE132)))))</f>
        <v>0</v>
      </c>
      <c r="DI132" s="39">
        <f>IF(BN132&lt;0,0,IF($CH132="Нет",BN132,IF(OR(Исходн.данные.!$AH132=$BP$1,Исходн.данные.!$AH132=$BP$2),0,IF(Исходн.данные.!AK132=$BU$11,BN132,IF(BN132-DF132&lt;0,0,BN132-DF132)))))</f>
        <v>0</v>
      </c>
      <c r="DJ132" s="12">
        <f t="shared" si="172"/>
        <v>0</v>
      </c>
      <c r="DK132" s="9">
        <f t="shared" si="173"/>
        <v>0</v>
      </c>
      <c r="DL132" s="39">
        <f>IF(Исходн.данные.!AM132&gt;0,Исходн.данные.!AM132,IF(EG132&gt;0,$BH$10,0))</f>
        <v>0</v>
      </c>
      <c r="DM132" s="186">
        <f>IF($DL132=0,0,IF(Исходн.данные.!AM132&gt;0,VLOOKUP($DL132,АшламаДВ_Irekle,2,FALSE),VLOOKUP($DL132,АшламаДВ_Gomumy,2,FALSE)))</f>
        <v>0</v>
      </c>
      <c r="DN132" s="10">
        <f t="shared" si="151"/>
        <v>0</v>
      </c>
      <c r="DO132" s="9" t="str">
        <f>IF(Исходн.данные.!AN132&gt;0,Исходн.данные.!AN132,Удобрения!$B$37 )</f>
        <v>Хлор.калий</v>
      </c>
      <c r="DP132" s="9">
        <f>IF(Исходн.данные.!AN132&gt;0,VLOOKUP(Исходн.данные.!AN132,АшламаДВ_Irekle,4,FALSE),VLOOKUP(DO132,АшламаДВ_Gomumy,4,FALSE))</f>
        <v>0.6</v>
      </c>
      <c r="DQ132" s="10">
        <f t="shared" si="152"/>
        <v>0</v>
      </c>
      <c r="DR132" s="132" t="str">
        <f>IF(Исходн.данные.!AO132&gt;0,Исходн.данные.!AO132,IF(DH132=0,BS$17,IF(AND($DK132=0,$DJ132&gt;0),EJ132,EN132)))</f>
        <v>Нет</v>
      </c>
      <c r="DS132" s="70" t="str">
        <f>IF($DR132="Нет","Нет",IF(Исходн.данные.!$AO132&gt;0,VLOOKUP($DR132,АшламаДВ_Irekle,2,FALSE),VLOOKUP($DR132,АшламаДВ_Gomumy,2,FALSE)))</f>
        <v>Нет</v>
      </c>
      <c r="DT132" s="70" t="str">
        <f>IF($DR132="Нет","Нет",IF(Исходн.данные.!$AO132&gt;0,VLOOKUP($DR132,АшламаДВ_Irekle,3,FALSE),VLOOKUP($DR132,АшламаДВ_Gomumy,3,FALSE)))</f>
        <v>Нет</v>
      </c>
      <c r="DU132" s="70" t="str">
        <f>IF($DR132="Нет","Нет",IF(Исходн.данные.!$AO132&gt;0,VLOOKUP($DR132,АшламаДВ_Irekle,4,FALSE),VLOOKUP($DR132,АшламаДВ_Gomumy,4,FALSE)))</f>
        <v>Нет</v>
      </c>
      <c r="DV132" s="70"/>
      <c r="DW132" s="70"/>
      <c r="DX132" s="70"/>
      <c r="DY132" s="10">
        <f t="shared" si="174"/>
        <v>0</v>
      </c>
      <c r="DZ132" s="10">
        <f t="shared" si="175"/>
        <v>0</v>
      </c>
      <c r="EA132" s="10">
        <f t="shared" si="176"/>
        <v>0</v>
      </c>
      <c r="EB132" s="10">
        <f t="shared" si="177"/>
        <v>0</v>
      </c>
      <c r="EC132" s="10">
        <f t="shared" si="178"/>
        <v>0</v>
      </c>
      <c r="ED132" s="10">
        <f t="shared" si="179"/>
        <v>0</v>
      </c>
      <c r="EE132" s="10">
        <f t="shared" si="180"/>
        <v>0</v>
      </c>
      <c r="EF132" s="39">
        <f>EB132*Исходн.данные.!AJ132/1000</f>
        <v>0</v>
      </c>
      <c r="EG132" s="9">
        <f t="shared" si="181"/>
        <v>0</v>
      </c>
      <c r="EH132" s="9">
        <f t="shared" si="182"/>
        <v>0</v>
      </c>
      <c r="EI132" s="39" t="e">
        <f t="shared" si="132"/>
        <v>#DIV/0!</v>
      </c>
      <c r="EJ132" s="9" t="str">
        <f t="shared" si="153"/>
        <v>Азопреципитат</v>
      </c>
      <c r="EK132" s="12">
        <f t="shared" si="133"/>
        <v>0.26</v>
      </c>
      <c r="EL132" s="12">
        <f t="shared" si="134"/>
        <v>0.13</v>
      </c>
      <c r="EM132" s="12">
        <f t="shared" si="135"/>
        <v>0</v>
      </c>
      <c r="EN132" s="12" t="str">
        <f t="shared" si="154"/>
        <v>Нет</v>
      </c>
      <c r="EO132" s="12">
        <f t="shared" si="136"/>
        <v>0</v>
      </c>
      <c r="EP132" s="12">
        <f t="shared" si="137"/>
        <v>0</v>
      </c>
      <c r="EQ132" s="12">
        <f t="shared" si="138"/>
        <v>0</v>
      </c>
      <c r="ER132" s="12" t="str">
        <f t="shared" si="183"/>
        <v>Диаммофоска</v>
      </c>
      <c r="ES132" s="12">
        <f t="shared" si="139"/>
        <v>0.1</v>
      </c>
      <c r="ET132" s="12">
        <f t="shared" si="140"/>
        <v>0.26</v>
      </c>
      <c r="EU132" s="12">
        <f t="shared" si="141"/>
        <v>0.26</v>
      </c>
      <c r="EV132" s="12" t="str">
        <f t="shared" si="184"/>
        <v>Аммофос 12:52:00</v>
      </c>
      <c r="EW132" s="12" t="str">
        <f t="shared" si="185"/>
        <v>Кемира Свекловичное-6</v>
      </c>
      <c r="EX132" s="12">
        <f t="shared" si="142"/>
        <v>0.16</v>
      </c>
      <c r="EY132" s="12">
        <f t="shared" si="143"/>
        <v>0.12</v>
      </c>
      <c r="EZ132" s="12">
        <f t="shared" si="144"/>
        <v>0.17</v>
      </c>
      <c r="FA132" s="38" t="e">
        <f>IF(AND(OR(FJ132=$FD$1,FM132=$FD$1,FO132=$FD$1,FQ132=$FD$1,FS132=$FD$1),FD132=$FD$1,Исходн.данные.!J132&lt;2,FU132=$FD$1),"Бор,Кобальт",IF(AND(FO132=$FD$1,FH132=$FD$1,Исходн.данные.!J132&lt;2,FU132=$FD$1),"Бор,Кобальт",IF(AND(OR(FJ132=$FD$1,FM132=$FD$1,FQ132=$FD$1),FE132=$FD$1,Исходн.данные.!J132&lt;2,FT132=$FD$1,FU132=$FD$1),"Бор,Медь,Цинк",IF(AND(OR(FJ132=$FD$1,FR132="Да"),FI132="Да",Исходн.данные.!J132&lt;2,FT132="Да",FU132="Да"),"Бор,Цинк,Медь",IF(AND(OR(FM132="Да",FQ132="Да"),FI132="Да",Исходн.данные.!J132&lt;2,FT132="Да",FU132="Да"),"Бор,Цинк",IF(AND(FN132="Да",OR(FD132="Да",FE132="Да")),"Бор",FB132))))))</f>
        <v>#N/A</v>
      </c>
      <c r="FB132" s="134" t="e">
        <f>IF(AND(OR(FD132="Да",FE132="Да",FF132="Да",FG132="Да",FH132="Да"),FO132="Да"),"Бор",IF(AND(FP132="Да",OR(FD132="Да",FE132="Да",FI132="Да")),"Бор",IF(AND(FS132="Да",FE132="Да"),"Бор,Медь",IF(AND(OR(FJ132="Да",FK132="Да",FL132="Да"),FE132="Да",Исходн.данные.!I132&lt;5,FT132="Да",FU132="Да"),"Молибден,Цинк",IF(AND(FM132="Да",OR(FE132="Да",FF132="Да",FG132="Да",FH132="Да",FI132="Да")),"Молибден,Цинк",IF(AND(OR(FJ132="Да",FK132="Да",FL132="Да",FM132="Да",FQ132="Да"),OR(FE132="Да",FF132="Да"),FT132="Да",FU132="Да",Исходн.данные.!I132&gt;5.5),"Медь,Цинк",FC132))))))</f>
        <v>#N/A</v>
      </c>
      <c r="FC132" s="23" t="e">
        <f t="shared" si="186"/>
        <v>#N/A</v>
      </c>
      <c r="FD132" s="38" t="str">
        <f>IF(OR(Исходн.данные.!F132=$CC$1,Исходн.данные.!F132=$CC$2,Исходн.данные.!F132=$CC$3,Исходн.данные.!F132=$CC$4),"Да","Нет")</f>
        <v>Нет</v>
      </c>
      <c r="FE132" s="38" t="str">
        <f>IF(Исходн.данные.!F132=$CC$5,"Да","Нет")</f>
        <v>Нет</v>
      </c>
      <c r="FF132" s="38" t="str">
        <f>IF(OR(Исходн.данные.!F132=$CC$6,Исходн.данные.!F132=$CC$7),"Да","Нет")</f>
        <v>Нет</v>
      </c>
      <c r="FG132" s="38" t="str">
        <f>IF(OR(Исходн.данные.!F132=$CC$8,Исходн.данные.!F132=$CC$9),"Да","Нет")</f>
        <v>Нет</v>
      </c>
      <c r="FH132" s="38" t="str">
        <f>IF(Исходн.данные.!F132=$CC$10,"Да","Нет")</f>
        <v>Нет</v>
      </c>
      <c r="FI132" s="38" t="str">
        <f>IF(OR(Исходн.данные.!F132=$CC$11,Исходн.данные.!F132=$CC$12),"Да","Нет")</f>
        <v>Нет</v>
      </c>
      <c r="FJ132" s="38" t="str">
        <f>IF(OR(Исходн.данные.!AH132=$BS$1,Исходн.данные.!AH132=$BQ$11,Исходн.данные.!AH132=$BQ$12),"Да","Нет")</f>
        <v>Нет</v>
      </c>
      <c r="FK132" s="38" t="str">
        <f>IF(OR(Исходн.данные.!AH132=$BS$2,Исходн.данные.!AH132=$BS$4),"Да","Нет")</f>
        <v>Нет</v>
      </c>
      <c r="FL132" s="38" t="str">
        <f>IF(OR(Исходн.данные.!AH132=$BS$3,Исходн.данные.!AH132=$BS$5),"Да","Нет")</f>
        <v>Нет</v>
      </c>
      <c r="FM132" s="38" t="str">
        <f>IF(OR(Исходн.данные.!AH132=$BS$9,Исходн.данные.!AH132=$BS$10,Исходн.данные.!AH132=$BS$11,Исходн.данные.!AH132=$BS$12),"Да","Нет")</f>
        <v>Нет</v>
      </c>
      <c r="FN132" s="38" t="str">
        <f>IF(OR(Исходн.данные.!AH132=$BS$6,Исходн.данные.!AH132=$BP$3),"Да","Нет")</f>
        <v>Нет</v>
      </c>
      <c r="FO132" s="38" t="str">
        <f>IF(Исходн.данные.!AH132=$BQ$9,"Да","Нет")</f>
        <v>Нет</v>
      </c>
      <c r="FP132" s="38" t="str">
        <f>IF(OR(Исходн.данные.!AH132=$BS$8,Исходн.данные.!AH132=$BT$8),"Да","Нет")</f>
        <v>Нет</v>
      </c>
      <c r="FQ132" s="38" t="str">
        <f>IF(OR(Исходн.данные.!AH132=$BQ$7,Исходн.данные.!AH132=$BQ$8),"Да","Нет")</f>
        <v>Нет</v>
      </c>
      <c r="FR132" s="38" t="str">
        <f>IF(Исходн.данные.!AI132=$BU$9,"Да","Нет")</f>
        <v>Нет</v>
      </c>
      <c r="FS132" s="38" t="str">
        <f>IF(OR(Исходн.данные.!AH132=$BP$1,Исходн.данные.!AH132=$BP$2),"Да","Нет")</f>
        <v>Нет</v>
      </c>
      <c r="FT132" s="38" t="e">
        <f>IF((Исходн.данные.!K132*GO132*GS132*GW132+BL132*0.6+Исходн.данные.!Q132*4.5*0.275)&gt;90,"Да","Нет")</f>
        <v>#N/A</v>
      </c>
      <c r="FU132" s="38" t="e">
        <f>IF((Исходн.данные.!M132*GS132*GZ132+BM132*0.225)&gt;35,"Да","Нет")</f>
        <v>#N/A</v>
      </c>
      <c r="FV132" s="38" t="str">
        <f>IF(Исходн.данные.!O132&gt;175,"Да","Нет")</f>
        <v>Нет</v>
      </c>
      <c r="FW132" s="39" t="str">
        <f>IF(Исходн.данные.!I132&gt;5.5,"Да","Нет")</f>
        <v>Нет</v>
      </c>
      <c r="FX132" s="39" t="str">
        <f>IF(Исходн.данные.!J132&lt;2,"Да","Нет")</f>
        <v>Да</v>
      </c>
      <c r="FY132" s="39" t="e">
        <f>IF(HF132=$FY$16,0,Исходн.данные.!K132*GO132*GS132*GW132/HF132)</f>
        <v>#N/A</v>
      </c>
      <c r="FZ132" s="39" t="e">
        <f>Исходн.данные.!M132*GS132*GZ132/HG132</f>
        <v>#N/A</v>
      </c>
      <c r="GA132" s="39" t="e">
        <f>IF(K_Wyn=$FY$16,0,IF(Исходн.данные.!N132=Исходн.данные.!$L$10,Исходн.данные.!O132/1.1*GS132*HC132/HH132,IF(Исходн.данные.!N132=Исходн.данные.!$L$12,Исходн.данные.!O132/1.5*GS132*HC132/HH132,Исходн.данные.!O132*GS132*HC132/HH132)))</f>
        <v>#N/A</v>
      </c>
      <c r="GB132" s="39" t="e">
        <f>IF(HF132=$FY$16,0,((Исходн.данные.!Q132*N_Org+Исходн.данные.!R132*N_Sider+Исходн.данные.!S132*N_Soloma)*AO132+Расчет!BC132*VLOOKUP(Исходн.данные.!T132,Справ!$A$3:$O$57,15)*AO132+BB132*VLOOKUP(Исходн.данные.!T132,Справ!$A$3:$O$57,15)*AL132+(Исходн.данные.!V132*N_Rizotorf+Исходн.данные.!W132*N_Rizoagr))/HF132)</f>
        <v>#N/A</v>
      </c>
      <c r="GC132" s="39" t="e">
        <f>IF(HG132=$FY$16,0,((Исходн.данные.!Q132*Р_Org+Исходн.данные.!R132*P_Sider+Исходн.данные.!S132*P_Soloma)*AP132+Расчет!BC132*VLOOKUP(Исходн.данные.!T132,Справ!$A$3:$P$57,16)*AP132+BB132*VLOOKUP(Исходн.данные.!T132,Справ!$A$3:$P$57,16)*AM132)/HG132)</f>
        <v>#N/A</v>
      </c>
      <c r="GD132" s="39" t="e">
        <f>IF(HH132=$FY$16,0,((Исходн.данные.!Q132*К_Org+Исходн.данные.!R132*K_Sider+Исходн.данные.!S132*K_Soloma)*AQ132+Расчет!BC132*VLOOKUP(Исходн.данные.!T132,Справ!$A$3:$Q$57,17)*AQ132+BB132*VLOOKUP(Исходн.данные.!T132,Справ!$A$3:$Q$57,17)*AN132)/HH132)</f>
        <v>#N/A</v>
      </c>
      <c r="GE132" s="39" t="e">
        <f>IF(HF132=$FY$16,0,(Исходн.данные.!X132*AR132+Исходн.данные.!AA132*N_Org*AL132+Исходн.данные.!AB132*N_Sider*AL132+Исходн.данные.!AC132*N_Soloma*AL132)/HF132)</f>
        <v>#N/A</v>
      </c>
      <c r="GF132" s="39" t="e">
        <f>IF(HG132=$FY$16,0,(Исходн.данные.!Y132*AS132+Исходн.данные.!AA132*Р_Org*AM132+Исходн.данные.!AB132*P_Sider*AM132+Исходн.данные.!AC132*P_Soloma*AM132)/HG132)</f>
        <v>#N/A</v>
      </c>
      <c r="GG132" s="39" t="e">
        <f>IF(HH132=$FY$16,0,(Исходн.данные.!Z132*AT132+Исходн.данные.!AA132*К_Org*AN132+Исходн.данные.!AB132*K_Sider*AN132+Исходн.данные.!AC132*K_Soloma*AN132)/HH132)</f>
        <v>#N/A</v>
      </c>
      <c r="GH132" s="39" t="e">
        <f>Исходн.данные.!AD132*AU132/HF132</f>
        <v>#N/A</v>
      </c>
      <c r="GI132" s="39" t="e">
        <f>Исходн.данные.!AE132*AV132/HG132</f>
        <v>#N/A</v>
      </c>
      <c r="GJ132" s="39" t="e">
        <f>Исходн.данные.!AF132*AW132/HH132</f>
        <v>#N/A</v>
      </c>
      <c r="GK132" s="55">
        <f>Исходн.данные.!AK132</f>
        <v>0</v>
      </c>
      <c r="GL132" s="11" t="e">
        <f t="shared" si="187"/>
        <v>#N/A</v>
      </c>
      <c r="GM132" s="11" t="e">
        <f t="shared" si="188"/>
        <v>#N/A</v>
      </c>
      <c r="GN132" s="11" t="e">
        <f t="shared" si="189"/>
        <v>#N/A</v>
      </c>
      <c r="GO132" s="57">
        <f t="shared" si="190"/>
        <v>19</v>
      </c>
      <c r="GP132" s="55">
        <f>IF(OR(Исходн.данные.!F132=$CE$1,Исходн.данные.!F132=$CE$2,Исходн.данные.!F132=$CE$3,Исходн.данные.!F132=$CE$4,Исходн.данные.!F132=$CE$5),GQ132,GR132)</f>
        <v>19</v>
      </c>
      <c r="GQ132" s="55">
        <f>IF(Исходн.данные.!F132=$CE$1,28,IF(Исходн.данные.!F132=$CE$2,26,IF(Исходн.данные.!F132=$CE$3,24,IF(Исходн.данные.!F132=$CE$4,22,IF(Исходн.данные.!F132=$CE$5,20,GR132)))))</f>
        <v>19</v>
      </c>
      <c r="GR132" s="55">
        <f>IF(Исходн.данные.!F132=$CE$6,18,IF(Исходн.данные.!F132=$CE$7,16,IF(Исходн.данные.!F132=$CE$8,14,IF(Исходн.данные.!F132=$CE$9,13,IF(Исходн.данные.!F132=$CE$10,12,19)))))</f>
        <v>19</v>
      </c>
      <c r="GS132" s="55">
        <f>IF(Исходн.данные.!G132="Пес",0.035*(40+2*Исходн.данные.!H132),IF(Исходн.данные.!G132="Суп",0.0325*(40+2*Исходн.данные.!H132),0.03*(40+2*Исходн.данные.!H132)))</f>
        <v>1.2</v>
      </c>
      <c r="GT132" s="55">
        <f>IF(Исходн.данные.!H132&lt;23,2.6,IF(AND(Исходн.данные.!H132&gt;22,Исходн.данные.!H132&lt;26),3,IF(AND(Исходн.данные.!H132&gt;25,Исходн.данные.!H132&lt;29),3.4,3.6)))</f>
        <v>2.6</v>
      </c>
      <c r="GU132" s="55">
        <f>IF(Исходн.данные.!H132&lt;23,2.8,IF(AND(Исходн.данные.!H132&gt;22,Исходн.данные.!H132&lt;26),3.2,IF(AND(Исходн.данные.!H132&gt;25,Исходн.данные.!H132&lt;29),3.6,3.9)))</f>
        <v>2.8</v>
      </c>
      <c r="GV132" s="55">
        <f>IF(Исходн.данные.!H132&lt;23,3,IF(AND(Исходн.данные.!H132&gt;22,Исходн.данные.!H132&lt;26),3.5,IF(AND(Исходн.данные.!H132&gt;25,Исходн.данные.!H132&lt;29),3.9,4.2)))</f>
        <v>3</v>
      </c>
      <c r="GW132" s="55" t="e">
        <f>IF(Исходн.данные.!P132="Ум",GX132,GY132)</f>
        <v>#N/A</v>
      </c>
      <c r="GX132" s="55" t="e">
        <f>VLOOKUP(Исходн.данные.!AI132,Коэффициенты!$J$7:$L$13,2,FALSE)</f>
        <v>#N/A</v>
      </c>
      <c r="GY132" s="55" t="e">
        <f>VLOOKUP(Исходн.данные.!AI132,Коэффициенты!$J$7:$L$13,3,FALSE)</f>
        <v>#N/A</v>
      </c>
      <c r="GZ132" s="55" t="e">
        <f>(IF(Исходн.данные.!M132&lt;50,0.11*VLOOKUP(Исходн.данные.!AH132,Культуры.Информация,7,FALSE),IF(Исходн.данные.!M132&gt;250,0.05*VLOOKUP(Исходн.данные.!AH132,Культуры.Информация,7,FALSE),VLOOKUP(Исходн.данные.!AH132,Культуры.Информация,5,FALSE)/100*($GX$6+$GY$6*Исходн.данные.!M132))))*Расчет2!AI132</f>
        <v>#N/A</v>
      </c>
      <c r="HA132" s="211"/>
      <c r="HB132" s="211"/>
      <c r="HC132" s="55" t="e">
        <f>(IF(Исходн.данные.!O132&lt;80,0.2*VLOOKUP(Исходн.данные.!AH132,Культуры.Информация,8,FALSE),IF(Исходн.данные.!O132&gt;240,0.09*VLOOKUP(Исходн.данные.!AH132,Культуры.Информация,8,FALSE),VLOOKUP(Исходн.данные.!AH132,Культуры.Информация,6,FALSE)/100*($HB$6+$HC$6*Исходн.данные.!O132))))*Расчет2!AJ132</f>
        <v>#N/A</v>
      </c>
      <c r="HD132" s="55">
        <f>IF(Исходн.данные.!O132&gt;240,0.09,IF(Исходн.данные.!O132&lt;30,0.3,$HE$10+$HD$10*Исходн.данные.!O132))</f>
        <v>0.3</v>
      </c>
      <c r="HE132" s="55">
        <f>IF(Исходн.данные.!O132&gt;240,0.17,IF(Исходн.данные.!O132&lt;30,0.5,$HF$12+$HE$12*Исходн.данные.!O132))</f>
        <v>0.5</v>
      </c>
      <c r="HF132" s="55" t="e">
        <f>VLOOKUP(Исходн.данные.!AH132,Справ!$A$3:$D$58,2,FALSE)</f>
        <v>#N/A</v>
      </c>
      <c r="HG132" s="55" t="e">
        <f>VLOOKUP(Исходн.данные.!AH132,Справ!$A$3:$D$58,3,FALSE)</f>
        <v>#N/A</v>
      </c>
      <c r="HH132" s="55" t="e">
        <f>VLOOKUP(Исходн.данные.!AH132,Справ!$A$3:$D$58,4,FALSE)</f>
        <v>#N/A</v>
      </c>
      <c r="HI132" s="11" t="e">
        <f t="shared" si="191"/>
        <v>#N/A</v>
      </c>
      <c r="HJ132" s="11" t="e">
        <f t="shared" si="192"/>
        <v>#N/A</v>
      </c>
      <c r="HK132" s="11" t="e">
        <f t="shared" si="193"/>
        <v>#N/A</v>
      </c>
      <c r="HL132" s="55">
        <f>IF(OR(Исходн.данные.!G132="Глин",Исходн.данные.!G132="Т_суг"),1.1,IF(Исходн.данные.!G132="Ср_суг",1,1))</f>
        <v>1</v>
      </c>
      <c r="HM132" s="55">
        <f>IF(OR(Исходн.данные.!G132="Глин",Исходн.данные.!G132="Т_суг"),0.9,IF(Исходн.данные.!G132="Ср_суг",1,1.2))</f>
        <v>1.2</v>
      </c>
      <c r="HN132" s="11" t="e">
        <f t="shared" si="194"/>
        <v>#N/A</v>
      </c>
      <c r="HO132" s="11" t="e">
        <f t="shared" si="195"/>
        <v>#N/A</v>
      </c>
      <c r="HP132" s="11" t="e">
        <f t="shared" si="196"/>
        <v>#N/A</v>
      </c>
      <c r="HQ132" t="e">
        <f t="shared" si="197"/>
        <v>#N/A</v>
      </c>
      <c r="HR132" t="e">
        <f t="shared" si="198"/>
        <v>#N/A</v>
      </c>
      <c r="HS132" t="e">
        <f t="shared" si="199"/>
        <v>#N/A</v>
      </c>
      <c r="HT132" t="e">
        <f t="shared" si="145"/>
        <v>#N/A</v>
      </c>
      <c r="HU132" t="e">
        <f t="shared" si="146"/>
        <v>#N/A</v>
      </c>
      <c r="HV132" t="e">
        <f t="shared" si="147"/>
        <v>#N/A</v>
      </c>
      <c r="HW132" t="e">
        <f t="shared" si="148"/>
        <v>#N/A</v>
      </c>
      <c r="HX132" t="e">
        <f t="shared" si="149"/>
        <v>#N/A</v>
      </c>
      <c r="HY132" t="e">
        <f t="shared" si="150"/>
        <v>#N/A</v>
      </c>
      <c r="HZ132" s="55">
        <f>IF(OR(Исходн.данные.!AI132="Оз_Ч_П",Исходн.данные.!AI132="Оз_З_П",Исходн.данные.!AI132="Яр_зер"),12,30)</f>
        <v>30</v>
      </c>
      <c r="IA132" t="e">
        <f t="shared" si="200"/>
        <v>#N/A</v>
      </c>
      <c r="IB132" t="e">
        <f t="shared" si="201"/>
        <v>#N/A</v>
      </c>
      <c r="IC132" t="e">
        <f t="shared" si="202"/>
        <v>#N/A</v>
      </c>
      <c r="ID132" s="11" t="e">
        <f t="shared" si="203"/>
        <v>#N/A</v>
      </c>
      <c r="IE132" s="11" t="e">
        <f t="shared" si="204"/>
        <v>#N/A</v>
      </c>
      <c r="IF132" s="11" t="e">
        <f t="shared" si="205"/>
        <v>#N/A</v>
      </c>
    </row>
    <row r="133" spans="35:240" x14ac:dyDescent="0.2">
      <c r="AI133">
        <f>IF(Исходн.данные.!I133&gt;6,1,1.85-(0.148*Исходн.данные.!I133))</f>
        <v>1.85</v>
      </c>
      <c r="AJ133">
        <f>IF(Исходн.данные.!I133&gt;6,1,2.434-(0.246*Исходн.данные.!I133))</f>
        <v>2.4340000000000002</v>
      </c>
      <c r="AL133" s="148" t="b">
        <f>IF(Исходн.данные.!$P133="Ум",N_OrgUd_2g_um,IF(Исходн.данные.!$P133="Об",N_OrgUd_2g_ob))</f>
        <v>0</v>
      </c>
      <c r="AM133" s="148" t="b">
        <f>IF(Исходн.данные.!$P133="Ум",P_OrgUd_2g_um,IF(Исходн.данные.!$P133="Об",P_OrgUd_2g_ob))</f>
        <v>0</v>
      </c>
      <c r="AN133" s="148" t="b">
        <f>IF(Исходн.данные.!$P133="Ум",K_OrgUd_2g_um,IF(Исходн.данные.!$P133="Об",K_OrgUd_2g_ob))</f>
        <v>0</v>
      </c>
      <c r="AO133" s="148" t="b">
        <f>IF(Исходн.данные.!$P133="Ум",N_OrgUd_1g_um,IF(Исходн.данные.!$P133="Об",N_OrgUd_1g_ob))</f>
        <v>0</v>
      </c>
      <c r="AP133" s="148" t="b">
        <f>IF(Исходн.данные.!$P133="Ум",P_OrgUd_1g_um,IF(Исходн.данные.!$P133="Об",P_OrgUd_1g_ob))</f>
        <v>0</v>
      </c>
      <c r="AQ133" s="148" t="b">
        <f>IF(Исходн.данные.!$P133="Ум",K_OrgUd_1g_um,IF(Исходн.данные.!$P133="Об",K_OrgUd_1g_ob))</f>
        <v>0</v>
      </c>
      <c r="AR133" t="b">
        <f>IF(Исходн.данные.!$P133="Ум",N_MinUd_2g_um,IF(Исходн.данные.!$P133="Об",N_MinUd_2g_ob))</f>
        <v>0</v>
      </c>
      <c r="AS133" t="b">
        <f>IF(Исходн.данные.!$P133="Ум",P_MinUd_2g_um,IF(Исходн.данные.!$P133="Об",P_MinUd_2g_ob))</f>
        <v>0</v>
      </c>
      <c r="AT133" t="b">
        <f>IF(Исходн.данные.!$P133="Ум",K_MinUd_2g_um,IF(Исходн.данные.!$P133="Об",K_MinUd_2g_ob))</f>
        <v>0</v>
      </c>
      <c r="AU133" t="b">
        <f>IF(Исходн.данные.!$P133="Ум",N_MinUd_1g_um,IF(Исходн.данные.!$P133="Об",N_MinUd_1g_ob))</f>
        <v>0</v>
      </c>
      <c r="AV133" t="b">
        <f>IF(Исходн.данные.!P133="Ум",P_MinUd_1g_um,IF(Исходн.данные.!P133="Об",P_MinUd_1g_ob))</f>
        <v>0</v>
      </c>
      <c r="AW133" t="b">
        <f>IF(Исходн.данные.!P133="Ум",K_MinUd_1g_um,IF(Исходн.данные.!P133="Об",K_MinUd_1g_ob))</f>
        <v>0</v>
      </c>
      <c r="AY133" t="e">
        <f>VLOOKUP(Исходн.данные.!T133,Справ!$A$3:$N$57,12)</f>
        <v>#N/A</v>
      </c>
      <c r="AZ133" t="e">
        <f>VLOOKUP(Исходн.данные.!T133,Справ!$A$3:$N$57,13)</f>
        <v>#N/A</v>
      </c>
      <c r="BA133" t="e">
        <f>VLOOKUP(Исходн.данные.!T133,Справ!$A$3:$N$57,14)</f>
        <v>#N/A</v>
      </c>
      <c r="BB133">
        <f>IF(Исходн.данные.!AH133=0,0,25)</f>
        <v>0</v>
      </c>
      <c r="BC133" s="141">
        <f>IF(Исходн.данные.!AH133=0,0,IF(Исходн.данные.!T133=0,25,BD133))</f>
        <v>0</v>
      </c>
      <c r="BD133" s="168" t="e">
        <f>AY133+AZ133*Исходн.данные.!U133-POWER(BA133,2)*Исходн.данные.!U133</f>
        <v>#N/A</v>
      </c>
      <c r="BE13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3" s="25">
        <f>IF(Исходн.данные.!AH133=0,0,MIN(HN133:HP133))</f>
        <v>0</v>
      </c>
      <c r="BG133" s="9">
        <f>IF(Исходн.данные.!AH133=0,0,IF((HO133+10*0.25/HG133/HL133)&lt;17,17,HO133+10*0.25/HG133/HL133))</f>
        <v>0</v>
      </c>
      <c r="BH133" s="181">
        <f>IF(Исходн.данные.!AH133=0,0,HW133*HF133*HL133/AU133*AI133+Исходн.данные.!S133*10)</f>
        <v>0</v>
      </c>
      <c r="BI133" s="10"/>
      <c r="BJ133" s="182">
        <f>IF(Исходн.данные.!AH133=0,0,IF(HX133*HG133*HL133/AV133&lt;0,0,HX133*HG133*HL133/AV133*AJ133))</f>
        <v>0</v>
      </c>
      <c r="BK133" s="182">
        <f>IF(Исходн.данные.!AH133=0,0,HY133*HH133*HM133/AW133)</f>
        <v>0</v>
      </c>
      <c r="BL133" s="10">
        <f>IF(OR(Исходн.данные.!$AH133=$BP$1,Исходн.данные.!$AH133=$BP$2),0,IF(BH133&lt;0,0,IF(OR(Исходн.данные.!T133=Расчет!$BP$1,Исходн.данные.!T133=Расчет!$BP$2,Исходн.данные.!T133=Расчет!$BT$5,Исходн.данные.!T133=Расчет!$BT$6),BH133*0.5,IF(OR(Исходн.данные.!T133=Расчет!$BS$9,Исходн.данные.!T133=Расчет!$BS$10,Исходн.данные.!T133=Расчет!$BS$11,Исходн.данные.!T133=Расчет!$BS$12,Исходн.данные.!T133=Расчет!$BP$5),BH133*0.8,BH133))))</f>
        <v>0</v>
      </c>
      <c r="BM133" s="10">
        <f>IF(OR(Исходн.данные.!$AH133=$BP$1,Исходн.данные.!$AH133=$BP$2),0,IF(BJ133&lt;0,0,IF(Исходн.данные.!I133&lt;4.5,BJ133*1.2,IF(Исходн.данные.!I133&gt;5.1,BJ133,BJ133*((5.1-Исходн.данные.!I133)*0.333+1)))))</f>
        <v>0</v>
      </c>
      <c r="BN133" s="10">
        <f>IF(OR(Исходн.данные.!$AH133=$BP$1,Исходн.данные.!$AH133=$BP$2),60-Исходн.данные.!AF133,IF(BK133&lt;0,0,IF(Исходн.данные.!I133&lt;4.5,BK133*1.2,IF(Исходн.данные.!I133&gt;5.1,BK133,BK133*((5.1-Исходн.данные.!I133)*0.333+1)))))</f>
        <v>0</v>
      </c>
      <c r="BO133" s="9">
        <f>IF(BL133&lt;0,0,BL133*Исходн.данные.!$AJ133/1000)</f>
        <v>0</v>
      </c>
      <c r="BP133" s="9">
        <f>IF(BM133&lt;0,0,BM133*Исходн.данные.!$AJ133/1000)</f>
        <v>0</v>
      </c>
      <c r="BQ133" s="9">
        <f>IF(BN133&lt;0,0,BN133*Исходн.данные.!$AJ133/1000)</f>
        <v>0</v>
      </c>
      <c r="BR133" s="9">
        <f t="shared" si="155"/>
        <v>0</v>
      </c>
      <c r="BS133" s="10" t="str">
        <f t="shared" si="156"/>
        <v>Аммофос 12:52:00</v>
      </c>
      <c r="BT133" s="10" t="str">
        <f t="shared" si="157"/>
        <v>Аммофос 12:52:00</v>
      </c>
      <c r="BU133" s="10" t="str">
        <f t="shared" si="158"/>
        <v>Диаммофоска</v>
      </c>
      <c r="BV133" s="10">
        <f t="shared" si="159"/>
        <v>0</v>
      </c>
      <c r="BW133" s="10"/>
      <c r="BX133" s="10"/>
      <c r="BY133" s="9">
        <f>IF(BL133&lt;0,0,IF(OR(Исходн.данные.!AI133=Расчет!$BU$6,Исходн.данные.!AI133=Расчет!$BU$7),Расчет!BV133,IF(Исходн.данные.!$AG133=$BV$11,BL133,IF(OR(Исходн.данные.!$AH133=$BQ$7,Исходн.данные.!$AH133=$BQ$8),CB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0,IF(Исходн.данные.!$AI133=$BU$11,"Нет",IF(BL133&gt;30,30,BL133)))))))</f>
        <v>0</v>
      </c>
      <c r="BZ133" s="9">
        <f>IF(AND(Исходн.данные.!$AG133=$BV$11,BM133&lt;10),10,IF(Исходн.данные.!$AG133=$BV$11,BM133,IF(OR(Исходн.данные.!$AH133=$BQ$7,Исходн.данные.!$AH133=$BQ$8),CC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10,IF(Исходн.данные.!$AI133=$BU$11,"Нет",IF(BM133&gt;60,60,IF(BM133&lt;10,10,BM133)))))))</f>
        <v>10</v>
      </c>
      <c r="CA133" s="39">
        <f>IF(BN133&lt;0,0,IF(Исходн.данные.!$AG133=$BV$11,BN133,IF(OR(Исходн.данные.!$AH133=$BQ$7,Исходн.данные.!$AH133=$BQ$8),CD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0,IF(Исходн.данные.!$AI133=$BU$11,"Нет",IF(BN133&gt;30,30,BN133))))))</f>
        <v>0</v>
      </c>
      <c r="CB133" s="9">
        <f t="shared" si="160"/>
        <v>0</v>
      </c>
      <c r="CC133" s="9">
        <f t="shared" si="161"/>
        <v>0</v>
      </c>
      <c r="CD133" s="9">
        <f t="shared" si="162"/>
        <v>0</v>
      </c>
      <c r="CE133" s="12">
        <f t="shared" si="163"/>
        <v>10</v>
      </c>
      <c r="CF133" s="9">
        <f t="shared" si="164"/>
        <v>0</v>
      </c>
      <c r="CG133" s="9" t="s">
        <v>231</v>
      </c>
      <c r="CH133" s="132" t="str">
        <f>IF(Исходн.данные.!AP133=Расчет!$CI$16,"Нет",IF(Исходн.данные.!AL133&gt;0,Исходн.данные.!AL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BH$4,IF(OR(Исходн.данные.!AI133=Исходн.данные.!$AI$6,Исходн.данные.!AI133=Исходн.данные.!$AI$7),Расчет!BS133,IF(AND($CF133=0,$CE133&gt;0),EV133,ER133)))))</f>
        <v>Аммофос 12:52:00</v>
      </c>
      <c r="CI133" s="274">
        <f>IF(Расчет!$CH133="Нет","Нет",IF(Исходн.данные.!$AL133&gt;0,VLOOKUP(Расчет!$CH133,АшламаДВ_Irekle,2,FALSE),VLOOKUP(Расчет!$CH133,АшламаДВ_Gomumy,2,FALSE)))</f>
        <v>0.12</v>
      </c>
      <c r="CJ133" s="274">
        <f>IF(Расчет!$CH133="Нет","Нет",IF(Исходн.данные.!$AL133&gt;0,VLOOKUP(Расчет!$CH133,АшламаДВ_Irekle,3,FALSE),VLOOKUP(Расчет!$CH133,АшламаДВ_Gomumy,3,FALSE)))</f>
        <v>0.52</v>
      </c>
      <c r="CK133" s="274">
        <f>IF(Расчет!$CH133="Нет","Нет",IF(Исходн.данные.!$AL133&gt;0,VLOOKUP(Расчет!$CH133,АшламаДВ_Irekle,4,FALSE),VLOOKUP(Расчет!$CH133,АшламаДВ_Gomumy,4,FALSE)))</f>
        <v>0</v>
      </c>
      <c r="CL133" s="70"/>
      <c r="CM133" s="70"/>
      <c r="CN133" s="70"/>
      <c r="CO133" s="70"/>
      <c r="CP133" s="70"/>
      <c r="CQ133" s="70"/>
      <c r="CR133" s="10">
        <f t="shared" si="165"/>
        <v>0</v>
      </c>
      <c r="CS133" s="10">
        <f t="shared" si="166"/>
        <v>19.23076923076923</v>
      </c>
      <c r="CT133" s="10">
        <f t="shared" si="167"/>
        <v>0</v>
      </c>
      <c r="CU133" s="39">
        <f>IF($CH133="Нет",0,IF(CI133=0,30/MIN(CJ133:CK133),IF(Исходн.данные.!$AG133=$BV$11,CR133,IF(OR(Исходн.данные.!$AH133=$BQ$7,Исходн.данные.!$AH133=$BQ$8),90/CI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0,IF(Исходн.данные.!$AI133=$BU$11,"Нет",30/CI133))))))</f>
        <v>250</v>
      </c>
      <c r="CV133" s="39">
        <f>IF($CH133="Нет",0,IF(Исходн.данные.!AH133=0,0,IF(CJ133=0,60/MIN(CI133,CK133),IF(Исходн.данные.!$AG133=$BV$11,CS133,IF(OR(Исходн.данные.!$AH133=$BQ$7,Исходн.данные.!$AH133=$BQ$8),90/CJ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10/CJ133,IF(Исходн.данные.!$AI133=$BU$11,"Нет",60/CJ133)))))))</f>
        <v>0</v>
      </c>
      <c r="CW133" s="39">
        <f>IF($CH133="Нет",0,IF(Исходн.данные.!AH133=0,0,IF(CK133=0,30/MIN(CI133:CJ133),IF(Исходн.данные.!$AG133=$BV$11,CT133,IF(OR(Исходн.данные.!$AH133=$BQ$7,Исходн.данные.!$AH133=$BQ$8),90/CK133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0,IF(Исходн.данные.!$AI133=$BU$11,"Нет",30/CK133)))))))</f>
        <v>0</v>
      </c>
      <c r="CX133" s="133">
        <f>IF(Исходн.данные.!$AG133=$BV$11,MAX(CU133:CW133),IF(OR(Исходн.данные.!$AH133=$BS$8,Исходн.данные.!$AH133=$BQ$9,Исходн.данные.!$AH133=$BQ$10,Исходн.данные.!$AH133=$BQ$11,Исходн.данные.!$AH133=$BQ$12,Исходн.данные.!$AH133=$BP$3,Исходн.данные.!$AH133=$BT$8,$FM133="Да"),CV133,MIN(CU133:CW133)))</f>
        <v>0</v>
      </c>
      <c r="CY133" s="133">
        <f>IF(Исходн.данные.!AH133=0,0,IF(CR133&gt;$CX133,$CX133,CR133))</f>
        <v>0</v>
      </c>
      <c r="CZ133" s="133">
        <f>IF(Исходн.данные.!AH133=0,0,IF(CS133&gt;$CX133,$CX133,CS133))</f>
        <v>0</v>
      </c>
      <c r="DA133" s="133">
        <f>IF(Исходн.данные.!AH133=0,0,IF(CT133&gt;$CX133,$CX133,CT133))</f>
        <v>0</v>
      </c>
      <c r="DB133" s="10">
        <f t="shared" si="168"/>
        <v>0</v>
      </c>
      <c r="DC133" s="39">
        <f>DB133*Исходн.данные.!AJ133/1000</f>
        <v>0</v>
      </c>
      <c r="DD133" s="71">
        <f t="shared" si="169"/>
        <v>0</v>
      </c>
      <c r="DE133" s="9">
        <f t="shared" si="170"/>
        <v>0</v>
      </c>
      <c r="DF133" s="9">
        <f t="shared" si="171"/>
        <v>0</v>
      </c>
      <c r="DG133" s="39">
        <f>IF(BL133&lt;0,0,IF($CH133="Нет",BL133,IF(OR(Исходн.данные.!$AH133=$BP$1,Исходн.данные.!$AH133=$BP$2),0,IF(Исходн.данные.!AI133=$BU$11,BL133,IF(BL133-DD133&lt;0,0,BL133-DD133)))))</f>
        <v>0</v>
      </c>
      <c r="DH133" s="39">
        <f>IF(BM133&lt;0,0,IF($CH133="Нет",BM133,IF(OR(Исходн.данные.!$AH133=$BP$1,Исходн.данные.!$AH133=$BP$2),0,IF(Исходн.данные.!AJ133=$BU$11,BM133,IF(BM133-DE133&lt;0,0,BM133-DE133)))))</f>
        <v>0</v>
      </c>
      <c r="DI133" s="39">
        <f>IF(BN133&lt;0,0,IF($CH133="Нет",BN133,IF(OR(Исходн.данные.!$AH133=$BP$1,Исходн.данные.!$AH133=$BP$2),0,IF(Исходн.данные.!AK133=$BU$11,BN133,IF(BN133-DF133&lt;0,0,BN133-DF133)))))</f>
        <v>0</v>
      </c>
      <c r="DJ133" s="12">
        <f t="shared" si="172"/>
        <v>0</v>
      </c>
      <c r="DK133" s="9">
        <f t="shared" si="173"/>
        <v>0</v>
      </c>
      <c r="DL133" s="39">
        <f>IF(Исходн.данные.!AM133&gt;0,Исходн.данные.!AM133,IF(EG133&gt;0,$BH$10,0))</f>
        <v>0</v>
      </c>
      <c r="DM133" s="186">
        <f>IF($DL133=0,0,IF(Исходн.данные.!AM133&gt;0,VLOOKUP($DL133,АшламаДВ_Irekle,2,FALSE),VLOOKUP($DL133,АшламаДВ_Gomumy,2,FALSE)))</f>
        <v>0</v>
      </c>
      <c r="DN133" s="10">
        <f t="shared" si="151"/>
        <v>0</v>
      </c>
      <c r="DO133" s="9" t="str">
        <f>IF(Исходн.данные.!AN133&gt;0,Исходн.данные.!AN133,Удобрения!$B$37 )</f>
        <v>Хлор.калий</v>
      </c>
      <c r="DP133" s="9">
        <f>IF(Исходн.данные.!AN133&gt;0,VLOOKUP(Исходн.данные.!AN133,АшламаДВ_Irekle,4,FALSE),VLOOKUP(DO133,АшламаДВ_Gomumy,4,FALSE))</f>
        <v>0.6</v>
      </c>
      <c r="DQ133" s="10">
        <f t="shared" si="152"/>
        <v>0</v>
      </c>
      <c r="DR133" s="132" t="str">
        <f>IF(Исходн.данные.!AO133&gt;0,Исходн.данные.!AO133,IF(DH133=0,BS$17,IF(AND($DK133=0,$DJ133&gt;0),EJ133,EN133)))</f>
        <v>Нет</v>
      </c>
      <c r="DS133" s="70" t="str">
        <f>IF($DR133="Нет","Нет",IF(Исходн.данные.!$AO133&gt;0,VLOOKUP($DR133,АшламаДВ_Irekle,2,FALSE),VLOOKUP($DR133,АшламаДВ_Gomumy,2,FALSE)))</f>
        <v>Нет</v>
      </c>
      <c r="DT133" s="70" t="str">
        <f>IF($DR133="Нет","Нет",IF(Исходн.данные.!$AO133&gt;0,VLOOKUP($DR133,АшламаДВ_Irekle,3,FALSE),VLOOKUP($DR133,АшламаДВ_Gomumy,3,FALSE)))</f>
        <v>Нет</v>
      </c>
      <c r="DU133" s="70" t="str">
        <f>IF($DR133="Нет","Нет",IF(Исходн.данные.!$AO133&gt;0,VLOOKUP($DR133,АшламаДВ_Irekle,4,FALSE),VLOOKUP($DR133,АшламаДВ_Gomumy,4,FALSE)))</f>
        <v>Нет</v>
      </c>
      <c r="DV133" s="70"/>
      <c r="DW133" s="70"/>
      <c r="DX133" s="70"/>
      <c r="DY133" s="10">
        <f t="shared" si="174"/>
        <v>0</v>
      </c>
      <c r="DZ133" s="10">
        <f t="shared" si="175"/>
        <v>0</v>
      </c>
      <c r="EA133" s="10">
        <f t="shared" si="176"/>
        <v>0</v>
      </c>
      <c r="EB133" s="10">
        <f t="shared" si="177"/>
        <v>0</v>
      </c>
      <c r="EC133" s="10">
        <f t="shared" si="178"/>
        <v>0</v>
      </c>
      <c r="ED133" s="10">
        <f t="shared" si="179"/>
        <v>0</v>
      </c>
      <c r="EE133" s="10">
        <f t="shared" si="180"/>
        <v>0</v>
      </c>
      <c r="EF133" s="39">
        <f>EB133*Исходн.данные.!AJ133/1000</f>
        <v>0</v>
      </c>
      <c r="EG133" s="9">
        <f t="shared" si="181"/>
        <v>0</v>
      </c>
      <c r="EH133" s="9">
        <f t="shared" si="182"/>
        <v>0</v>
      </c>
      <c r="EI133" s="39" t="e">
        <f t="shared" si="132"/>
        <v>#DIV/0!</v>
      </c>
      <c r="EJ133" s="9" t="str">
        <f t="shared" si="153"/>
        <v>Азопреципитат</v>
      </c>
      <c r="EK133" s="12">
        <f t="shared" si="133"/>
        <v>0.26</v>
      </c>
      <c r="EL133" s="12">
        <f t="shared" si="134"/>
        <v>0.13</v>
      </c>
      <c r="EM133" s="12">
        <f t="shared" si="135"/>
        <v>0</v>
      </c>
      <c r="EN133" s="12" t="str">
        <f t="shared" si="154"/>
        <v>Нет</v>
      </c>
      <c r="EO133" s="12">
        <f t="shared" si="136"/>
        <v>0</v>
      </c>
      <c r="EP133" s="12">
        <f t="shared" si="137"/>
        <v>0</v>
      </c>
      <c r="EQ133" s="12">
        <f t="shared" si="138"/>
        <v>0</v>
      </c>
      <c r="ER133" s="12" t="str">
        <f t="shared" si="183"/>
        <v>Диаммофоска</v>
      </c>
      <c r="ES133" s="12">
        <f t="shared" si="139"/>
        <v>0.1</v>
      </c>
      <c r="ET133" s="12">
        <f t="shared" si="140"/>
        <v>0.26</v>
      </c>
      <c r="EU133" s="12">
        <f t="shared" si="141"/>
        <v>0.26</v>
      </c>
      <c r="EV133" s="12" t="str">
        <f t="shared" si="184"/>
        <v>Аммофос 12:52:00</v>
      </c>
      <c r="EW133" s="12" t="str">
        <f t="shared" si="185"/>
        <v>Кемира Свекловичное-6</v>
      </c>
      <c r="EX133" s="12">
        <f t="shared" si="142"/>
        <v>0.16</v>
      </c>
      <c r="EY133" s="12">
        <f t="shared" si="143"/>
        <v>0.12</v>
      </c>
      <c r="EZ133" s="12">
        <f t="shared" si="144"/>
        <v>0.17</v>
      </c>
      <c r="FA133" s="38" t="e">
        <f>IF(AND(OR(FJ133=$FD$1,FM133=$FD$1,FO133=$FD$1,FQ133=$FD$1,FS133=$FD$1),FD133=$FD$1,Исходн.данные.!J133&lt;2,FU133=$FD$1),"Бор,Кобальт",IF(AND(FO133=$FD$1,FH133=$FD$1,Исходн.данные.!J133&lt;2,FU133=$FD$1),"Бор,Кобальт",IF(AND(OR(FJ133=$FD$1,FM133=$FD$1,FQ133=$FD$1),FE133=$FD$1,Исходн.данные.!J133&lt;2,FT133=$FD$1,FU133=$FD$1),"Бор,Медь,Цинк",IF(AND(OR(FJ133=$FD$1,FR133="Да"),FI133="Да",Исходн.данные.!J133&lt;2,FT133="Да",FU133="Да"),"Бор,Цинк,Медь",IF(AND(OR(FM133="Да",FQ133="Да"),FI133="Да",Исходн.данные.!J133&lt;2,FT133="Да",FU133="Да"),"Бор,Цинк",IF(AND(FN133="Да",OR(FD133="Да",FE133="Да")),"Бор",FB133))))))</f>
        <v>#N/A</v>
      </c>
      <c r="FB133" s="134" t="e">
        <f>IF(AND(OR(FD133="Да",FE133="Да",FF133="Да",FG133="Да",FH133="Да"),FO133="Да"),"Бор",IF(AND(FP133="Да",OR(FD133="Да",FE133="Да",FI133="Да")),"Бор",IF(AND(FS133="Да",FE133="Да"),"Бор,Медь",IF(AND(OR(FJ133="Да",FK133="Да",FL133="Да"),FE133="Да",Исходн.данные.!I133&lt;5,FT133="Да",FU133="Да"),"Молибден,Цинк",IF(AND(FM133="Да",OR(FE133="Да",FF133="Да",FG133="Да",FH133="Да",FI133="Да")),"Молибден,Цинк",IF(AND(OR(FJ133="Да",FK133="Да",FL133="Да",FM133="Да",FQ133="Да"),OR(FE133="Да",FF133="Да"),FT133="Да",FU133="Да",Исходн.данные.!I133&gt;5.5),"Медь,Цинк",FC133))))))</f>
        <v>#N/A</v>
      </c>
      <c r="FC133" s="23" t="e">
        <f t="shared" si="186"/>
        <v>#N/A</v>
      </c>
      <c r="FD133" s="38" t="str">
        <f>IF(OR(Исходн.данные.!F133=$CC$1,Исходн.данные.!F133=$CC$2,Исходн.данные.!F133=$CC$3,Исходн.данные.!F133=$CC$4),"Да","Нет")</f>
        <v>Нет</v>
      </c>
      <c r="FE133" s="38" t="str">
        <f>IF(Исходн.данные.!F133=$CC$5,"Да","Нет")</f>
        <v>Нет</v>
      </c>
      <c r="FF133" s="38" t="str">
        <f>IF(OR(Исходн.данные.!F133=$CC$6,Исходн.данные.!F133=$CC$7),"Да","Нет")</f>
        <v>Нет</v>
      </c>
      <c r="FG133" s="38" t="str">
        <f>IF(OR(Исходн.данные.!F133=$CC$8,Исходн.данные.!F133=$CC$9),"Да","Нет")</f>
        <v>Нет</v>
      </c>
      <c r="FH133" s="38" t="str">
        <f>IF(Исходн.данные.!F133=$CC$10,"Да","Нет")</f>
        <v>Нет</v>
      </c>
      <c r="FI133" s="38" t="str">
        <f>IF(OR(Исходн.данные.!F133=$CC$11,Исходн.данные.!F133=$CC$12),"Да","Нет")</f>
        <v>Нет</v>
      </c>
      <c r="FJ133" s="38" t="str">
        <f>IF(OR(Исходн.данные.!AH133=$BS$1,Исходн.данные.!AH133=$BQ$11,Исходн.данные.!AH133=$BQ$12),"Да","Нет")</f>
        <v>Нет</v>
      </c>
      <c r="FK133" s="38" t="str">
        <f>IF(OR(Исходн.данные.!AH133=$BS$2,Исходн.данные.!AH133=$BS$4),"Да","Нет")</f>
        <v>Нет</v>
      </c>
      <c r="FL133" s="38" t="str">
        <f>IF(OR(Исходн.данные.!AH133=$BS$3,Исходн.данные.!AH133=$BS$5),"Да","Нет")</f>
        <v>Нет</v>
      </c>
      <c r="FM133" s="38" t="str">
        <f>IF(OR(Исходн.данные.!AH133=$BS$9,Исходн.данные.!AH133=$BS$10,Исходн.данные.!AH133=$BS$11,Исходн.данные.!AH133=$BS$12),"Да","Нет")</f>
        <v>Нет</v>
      </c>
      <c r="FN133" s="38" t="str">
        <f>IF(OR(Исходн.данные.!AH133=$BS$6,Исходн.данные.!AH133=$BP$3),"Да","Нет")</f>
        <v>Нет</v>
      </c>
      <c r="FO133" s="38" t="str">
        <f>IF(Исходн.данные.!AH133=$BQ$9,"Да","Нет")</f>
        <v>Нет</v>
      </c>
      <c r="FP133" s="38" t="str">
        <f>IF(OR(Исходн.данные.!AH133=$BS$8,Исходн.данные.!AH133=$BT$8),"Да","Нет")</f>
        <v>Нет</v>
      </c>
      <c r="FQ133" s="38" t="str">
        <f>IF(OR(Исходн.данные.!AH133=$BQ$7,Исходн.данные.!AH133=$BQ$8),"Да","Нет")</f>
        <v>Нет</v>
      </c>
      <c r="FR133" s="38" t="str">
        <f>IF(Исходн.данные.!AI133=$BU$9,"Да","Нет")</f>
        <v>Нет</v>
      </c>
      <c r="FS133" s="38" t="str">
        <f>IF(OR(Исходн.данные.!AH133=$BP$1,Исходн.данные.!AH133=$BP$2),"Да","Нет")</f>
        <v>Нет</v>
      </c>
      <c r="FT133" s="38" t="e">
        <f>IF((Исходн.данные.!K133*GO133*GS133*GW133+BL133*0.6+Исходн.данные.!Q133*4.5*0.275)&gt;90,"Да","Нет")</f>
        <v>#N/A</v>
      </c>
      <c r="FU133" s="38" t="e">
        <f>IF((Исходн.данные.!M133*GS133*GZ133+BM133*0.225)&gt;35,"Да","Нет")</f>
        <v>#N/A</v>
      </c>
      <c r="FV133" s="38" t="str">
        <f>IF(Исходн.данные.!O133&gt;175,"Да","Нет")</f>
        <v>Нет</v>
      </c>
      <c r="FW133" s="39" t="str">
        <f>IF(Исходн.данные.!I133&gt;5.5,"Да","Нет")</f>
        <v>Нет</v>
      </c>
      <c r="FX133" s="39" t="str">
        <f>IF(Исходн.данные.!J133&lt;2,"Да","Нет")</f>
        <v>Да</v>
      </c>
      <c r="FY133" s="39" t="e">
        <f>IF(HF133=$FY$16,0,Исходн.данные.!K133*GO133*GS133*GW133/HF133)</f>
        <v>#N/A</v>
      </c>
      <c r="FZ133" s="39" t="e">
        <f>Исходн.данные.!M133*GS133*GZ133/HG133</f>
        <v>#N/A</v>
      </c>
      <c r="GA133" s="39" t="e">
        <f>IF(K_Wyn=$FY$16,0,IF(Исходн.данные.!N133=Исходн.данные.!$L$10,Исходн.данные.!O133/1.1*GS133*HC133/HH133,IF(Исходн.данные.!N133=Исходн.данные.!$L$12,Исходн.данные.!O133/1.5*GS133*HC133/HH133,Исходн.данные.!O133*GS133*HC133/HH133)))</f>
        <v>#N/A</v>
      </c>
      <c r="GB133" s="39" t="e">
        <f>IF(HF133=$FY$16,0,((Исходн.данные.!Q133*N_Org+Исходн.данные.!R133*N_Sider+Исходн.данные.!S133*N_Soloma)*AO133+Расчет!BC133*VLOOKUP(Исходн.данные.!T133,Справ!$A$3:$O$57,15)*AO133+BB133*VLOOKUP(Исходн.данные.!T133,Справ!$A$3:$O$57,15)*AL133+(Исходн.данные.!V133*N_Rizotorf+Исходн.данные.!W133*N_Rizoagr))/HF133)</f>
        <v>#N/A</v>
      </c>
      <c r="GC133" s="39" t="e">
        <f>IF(HG133=$FY$16,0,((Исходн.данные.!Q133*Р_Org+Исходн.данные.!R133*P_Sider+Исходн.данные.!S133*P_Soloma)*AP133+Расчет!BC133*VLOOKUP(Исходн.данные.!T133,Справ!$A$3:$P$57,16)*AP133+BB133*VLOOKUP(Исходн.данные.!T133,Справ!$A$3:$P$57,16)*AM133)/HG133)</f>
        <v>#N/A</v>
      </c>
      <c r="GD133" s="39" t="e">
        <f>IF(HH133=$FY$16,0,((Исходн.данные.!Q133*К_Org+Исходн.данные.!R133*K_Sider+Исходн.данные.!S133*K_Soloma)*AQ133+Расчет!BC133*VLOOKUP(Исходн.данные.!T133,Справ!$A$3:$Q$57,17)*AQ133+BB133*VLOOKUP(Исходн.данные.!T133,Справ!$A$3:$Q$57,17)*AN133)/HH133)</f>
        <v>#N/A</v>
      </c>
      <c r="GE133" s="39" t="e">
        <f>IF(HF133=$FY$16,0,(Исходн.данные.!X133*AR133+Исходн.данные.!AA133*N_Org*AL133+Исходн.данные.!AB133*N_Sider*AL133+Исходн.данные.!AC133*N_Soloma*AL133)/HF133)</f>
        <v>#N/A</v>
      </c>
      <c r="GF133" s="39" t="e">
        <f>IF(HG133=$FY$16,0,(Исходн.данные.!Y133*AS133+Исходн.данные.!AA133*Р_Org*AM133+Исходн.данные.!AB133*P_Sider*AM133+Исходн.данные.!AC133*P_Soloma*AM133)/HG133)</f>
        <v>#N/A</v>
      </c>
      <c r="GG133" s="39" t="e">
        <f>IF(HH133=$FY$16,0,(Исходн.данные.!Z133*AT133+Исходн.данные.!AA133*К_Org*AN133+Исходн.данные.!AB133*K_Sider*AN133+Исходн.данные.!AC133*K_Soloma*AN133)/HH133)</f>
        <v>#N/A</v>
      </c>
      <c r="GH133" s="39" t="e">
        <f>Исходн.данные.!AD133*AU133/HF133</f>
        <v>#N/A</v>
      </c>
      <c r="GI133" s="39" t="e">
        <f>Исходн.данные.!AE133*AV133/HG133</f>
        <v>#N/A</v>
      </c>
      <c r="GJ133" s="39" t="e">
        <f>Исходн.данные.!AF133*AW133/HH133</f>
        <v>#N/A</v>
      </c>
      <c r="GK133" s="55">
        <f>Исходн.данные.!AK133</f>
        <v>0</v>
      </c>
      <c r="GL133" s="11" t="e">
        <f t="shared" si="187"/>
        <v>#N/A</v>
      </c>
      <c r="GM133" s="11" t="e">
        <f t="shared" si="188"/>
        <v>#N/A</v>
      </c>
      <c r="GN133" s="11" t="e">
        <f t="shared" si="189"/>
        <v>#N/A</v>
      </c>
      <c r="GO133" s="57">
        <f t="shared" si="190"/>
        <v>19</v>
      </c>
      <c r="GP133" s="55">
        <f>IF(OR(Исходн.данные.!F133=$CE$1,Исходн.данные.!F133=$CE$2,Исходн.данные.!F133=$CE$3,Исходн.данные.!F133=$CE$4,Исходн.данные.!F133=$CE$5),GQ133,GR133)</f>
        <v>19</v>
      </c>
      <c r="GQ133" s="55">
        <f>IF(Исходн.данные.!F133=$CE$1,28,IF(Исходн.данные.!F133=$CE$2,26,IF(Исходн.данные.!F133=$CE$3,24,IF(Исходн.данные.!F133=$CE$4,22,IF(Исходн.данные.!F133=$CE$5,20,GR133)))))</f>
        <v>19</v>
      </c>
      <c r="GR133" s="55">
        <f>IF(Исходн.данные.!F133=$CE$6,18,IF(Исходн.данные.!F133=$CE$7,16,IF(Исходн.данные.!F133=$CE$8,14,IF(Исходн.данные.!F133=$CE$9,13,IF(Исходн.данные.!F133=$CE$10,12,19)))))</f>
        <v>19</v>
      </c>
      <c r="GS133" s="55">
        <f>IF(Исходн.данные.!G133="Пес",0.035*(40+2*Исходн.данные.!H133),IF(Исходн.данные.!G133="Суп",0.0325*(40+2*Исходн.данные.!H133),0.03*(40+2*Исходн.данные.!H133)))</f>
        <v>1.2</v>
      </c>
      <c r="GT133" s="55">
        <f>IF(Исходн.данные.!H133&lt;23,2.6,IF(AND(Исходн.данные.!H133&gt;22,Исходн.данные.!H133&lt;26),3,IF(AND(Исходн.данные.!H133&gt;25,Исходн.данные.!H133&lt;29),3.4,3.6)))</f>
        <v>2.6</v>
      </c>
      <c r="GU133" s="55">
        <f>IF(Исходн.данные.!H133&lt;23,2.8,IF(AND(Исходн.данные.!H133&gt;22,Исходн.данные.!H133&lt;26),3.2,IF(AND(Исходн.данные.!H133&gt;25,Исходн.данные.!H133&lt;29),3.6,3.9)))</f>
        <v>2.8</v>
      </c>
      <c r="GV133" s="55">
        <f>IF(Исходн.данные.!H133&lt;23,3,IF(AND(Исходн.данные.!H133&gt;22,Исходн.данные.!H133&lt;26),3.5,IF(AND(Исходн.данные.!H133&gt;25,Исходн.данные.!H133&lt;29),3.9,4.2)))</f>
        <v>3</v>
      </c>
      <c r="GW133" s="55" t="e">
        <f>IF(Исходн.данные.!P133="Ум",GX133,GY133)</f>
        <v>#N/A</v>
      </c>
      <c r="GX133" s="55" t="e">
        <f>VLOOKUP(Исходн.данные.!AI133,Коэффициенты!$J$7:$L$13,2,FALSE)</f>
        <v>#N/A</v>
      </c>
      <c r="GY133" s="55" t="e">
        <f>VLOOKUP(Исходн.данные.!AI133,Коэффициенты!$J$7:$L$13,3,FALSE)</f>
        <v>#N/A</v>
      </c>
      <c r="GZ133" s="55" t="e">
        <f>(IF(Исходн.данные.!M133&lt;50,0.11*VLOOKUP(Исходн.данные.!AH133,Культуры.Информация,7,FALSE),IF(Исходн.данные.!M133&gt;250,0.05*VLOOKUP(Исходн.данные.!AH133,Культуры.Информация,7,FALSE),VLOOKUP(Исходн.данные.!AH133,Культуры.Информация,5,FALSE)/100*($GX$6+$GY$6*Исходн.данные.!M133))))*Расчет2!AI133</f>
        <v>#N/A</v>
      </c>
      <c r="HA133" s="211"/>
      <c r="HB133" s="211"/>
      <c r="HC133" s="55" t="e">
        <f>(IF(Исходн.данные.!O133&lt;80,0.2*VLOOKUP(Исходн.данные.!AH133,Культуры.Информация,8,FALSE),IF(Исходн.данные.!O133&gt;240,0.09*VLOOKUP(Исходн.данные.!AH133,Культуры.Информация,8,FALSE),VLOOKUP(Исходн.данные.!AH133,Культуры.Информация,6,FALSE)/100*($HB$6+$HC$6*Исходн.данные.!O133))))*Расчет2!AJ133</f>
        <v>#N/A</v>
      </c>
      <c r="HD133" s="55">
        <f>IF(Исходн.данные.!O133&gt;240,0.09,IF(Исходн.данные.!O133&lt;30,0.3,$HE$10+$HD$10*Исходн.данные.!O133))</f>
        <v>0.3</v>
      </c>
      <c r="HE133" s="55">
        <f>IF(Исходн.данные.!O133&gt;240,0.17,IF(Исходн.данные.!O133&lt;30,0.5,$HF$12+$HE$12*Исходн.данные.!O133))</f>
        <v>0.5</v>
      </c>
      <c r="HF133" s="55" t="e">
        <f>VLOOKUP(Исходн.данные.!AH133,Справ!$A$3:$D$58,2,FALSE)</f>
        <v>#N/A</v>
      </c>
      <c r="HG133" s="55" t="e">
        <f>VLOOKUP(Исходн.данные.!AH133,Справ!$A$3:$D$58,3,FALSE)</f>
        <v>#N/A</v>
      </c>
      <c r="HH133" s="55" t="e">
        <f>VLOOKUP(Исходн.данные.!AH133,Справ!$A$3:$D$58,4,FALSE)</f>
        <v>#N/A</v>
      </c>
      <c r="HI133" s="11" t="e">
        <f t="shared" si="191"/>
        <v>#N/A</v>
      </c>
      <c r="HJ133" s="11" t="e">
        <f t="shared" si="192"/>
        <v>#N/A</v>
      </c>
      <c r="HK133" s="11" t="e">
        <f t="shared" si="193"/>
        <v>#N/A</v>
      </c>
      <c r="HL133" s="55">
        <f>IF(OR(Исходн.данные.!G133="Глин",Исходн.данные.!G133="Т_суг"),1.1,IF(Исходн.данные.!G133="Ср_суг",1,1))</f>
        <v>1</v>
      </c>
      <c r="HM133" s="55">
        <f>IF(OR(Исходн.данные.!G133="Глин",Исходн.данные.!G133="Т_суг"),0.9,IF(Исходн.данные.!G133="Ср_суг",1,1.2))</f>
        <v>1.2</v>
      </c>
      <c r="HN133" s="11" t="e">
        <f t="shared" si="194"/>
        <v>#N/A</v>
      </c>
      <c r="HO133" s="11" t="e">
        <f t="shared" si="195"/>
        <v>#N/A</v>
      </c>
      <c r="HP133" s="11" t="e">
        <f t="shared" si="196"/>
        <v>#N/A</v>
      </c>
      <c r="HQ133" t="e">
        <f t="shared" si="197"/>
        <v>#N/A</v>
      </c>
      <c r="HR133" t="e">
        <f t="shared" si="198"/>
        <v>#N/A</v>
      </c>
      <c r="HS133" t="e">
        <f t="shared" si="199"/>
        <v>#N/A</v>
      </c>
      <c r="HT133" t="e">
        <f t="shared" si="145"/>
        <v>#N/A</v>
      </c>
      <c r="HU133" t="e">
        <f t="shared" si="146"/>
        <v>#N/A</v>
      </c>
      <c r="HV133" t="e">
        <f t="shared" si="147"/>
        <v>#N/A</v>
      </c>
      <c r="HW133" t="e">
        <f t="shared" si="148"/>
        <v>#N/A</v>
      </c>
      <c r="HX133" t="e">
        <f t="shared" si="149"/>
        <v>#N/A</v>
      </c>
      <c r="HY133" t="e">
        <f t="shared" si="150"/>
        <v>#N/A</v>
      </c>
      <c r="HZ133" s="55">
        <f>IF(OR(Исходн.данные.!AI133="Оз_Ч_П",Исходн.данные.!AI133="Оз_З_П",Исходн.данные.!AI133="Яр_зер"),12,30)</f>
        <v>30</v>
      </c>
      <c r="IA133" t="e">
        <f t="shared" si="200"/>
        <v>#N/A</v>
      </c>
      <c r="IB133" t="e">
        <f t="shared" si="201"/>
        <v>#N/A</v>
      </c>
      <c r="IC133" t="e">
        <f t="shared" si="202"/>
        <v>#N/A</v>
      </c>
      <c r="ID133" s="11" t="e">
        <f t="shared" si="203"/>
        <v>#N/A</v>
      </c>
      <c r="IE133" s="11" t="e">
        <f t="shared" si="204"/>
        <v>#N/A</v>
      </c>
      <c r="IF133" s="11" t="e">
        <f t="shared" si="205"/>
        <v>#N/A</v>
      </c>
    </row>
    <row r="134" spans="35:240" x14ac:dyDescent="0.2">
      <c r="AI134">
        <f>IF(Исходн.данные.!I134&gt;6,1,1.85-(0.148*Исходн.данные.!I134))</f>
        <v>1.85</v>
      </c>
      <c r="AJ134">
        <f>IF(Исходн.данные.!I134&gt;6,1,2.434-(0.246*Исходн.данные.!I134))</f>
        <v>2.4340000000000002</v>
      </c>
      <c r="AL134" s="148" t="b">
        <f>IF(Исходн.данные.!$P134="Ум",N_OrgUd_2g_um,IF(Исходн.данные.!$P134="Об",N_OrgUd_2g_ob))</f>
        <v>0</v>
      </c>
      <c r="AM134" s="148" t="b">
        <f>IF(Исходн.данные.!$P134="Ум",P_OrgUd_2g_um,IF(Исходн.данные.!$P134="Об",P_OrgUd_2g_ob))</f>
        <v>0</v>
      </c>
      <c r="AN134" s="148" t="b">
        <f>IF(Исходн.данные.!$P134="Ум",K_OrgUd_2g_um,IF(Исходн.данные.!$P134="Об",K_OrgUd_2g_ob))</f>
        <v>0</v>
      </c>
      <c r="AO134" s="148" t="b">
        <f>IF(Исходн.данные.!$P134="Ум",N_OrgUd_1g_um,IF(Исходн.данные.!$P134="Об",N_OrgUd_1g_ob))</f>
        <v>0</v>
      </c>
      <c r="AP134" s="148" t="b">
        <f>IF(Исходн.данные.!$P134="Ум",P_OrgUd_1g_um,IF(Исходн.данные.!$P134="Об",P_OrgUd_1g_ob))</f>
        <v>0</v>
      </c>
      <c r="AQ134" s="148" t="b">
        <f>IF(Исходн.данные.!$P134="Ум",K_OrgUd_1g_um,IF(Исходн.данные.!$P134="Об",K_OrgUd_1g_ob))</f>
        <v>0</v>
      </c>
      <c r="AR134" t="b">
        <f>IF(Исходн.данные.!$P134="Ум",N_MinUd_2g_um,IF(Исходн.данные.!$P134="Об",N_MinUd_2g_ob))</f>
        <v>0</v>
      </c>
      <c r="AS134" t="b">
        <f>IF(Исходн.данные.!$P134="Ум",P_MinUd_2g_um,IF(Исходн.данные.!$P134="Об",P_MinUd_2g_ob))</f>
        <v>0</v>
      </c>
      <c r="AT134" t="b">
        <f>IF(Исходн.данные.!$P134="Ум",K_MinUd_2g_um,IF(Исходн.данные.!$P134="Об",K_MinUd_2g_ob))</f>
        <v>0</v>
      </c>
      <c r="AU134" t="b">
        <f>IF(Исходн.данные.!$P134="Ум",N_MinUd_1g_um,IF(Исходн.данные.!$P134="Об",N_MinUd_1g_ob))</f>
        <v>0</v>
      </c>
      <c r="AV134" t="b">
        <f>IF(Исходн.данные.!P134="Ум",P_MinUd_1g_um,IF(Исходн.данные.!P134="Об",P_MinUd_1g_ob))</f>
        <v>0</v>
      </c>
      <c r="AW134" t="b">
        <f>IF(Исходн.данные.!P134="Ум",K_MinUd_1g_um,IF(Исходн.данные.!P134="Об",K_MinUd_1g_ob))</f>
        <v>0</v>
      </c>
      <c r="AY134" t="e">
        <f>VLOOKUP(Исходн.данные.!T134,Справ!$A$3:$N$57,12)</f>
        <v>#N/A</v>
      </c>
      <c r="AZ134" t="e">
        <f>VLOOKUP(Исходн.данные.!T134,Справ!$A$3:$N$57,13)</f>
        <v>#N/A</v>
      </c>
      <c r="BA134" t="e">
        <f>VLOOKUP(Исходн.данные.!T134,Справ!$A$3:$N$57,14)</f>
        <v>#N/A</v>
      </c>
      <c r="BB134">
        <f>IF(Исходн.данные.!AH134=0,0,25)</f>
        <v>0</v>
      </c>
      <c r="BC134" s="141">
        <f>IF(Исходн.данные.!AH134=0,0,IF(Исходн.данные.!T134=0,25,BD134))</f>
        <v>0</v>
      </c>
      <c r="BD134" s="168" t="e">
        <f>AY134+AZ134*Исходн.данные.!U134-POWER(BA134,2)*Исходн.данные.!U134</f>
        <v>#N/A</v>
      </c>
      <c r="BE13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4" s="25">
        <f>IF(Исходн.данные.!AH134=0,0,MIN(HN134:HP134))</f>
        <v>0</v>
      </c>
      <c r="BG134" s="9">
        <f>IF(Исходн.данные.!AH134=0,0,IF((HO134+10*0.25/HG134/HL134)&lt;17,17,HO134+10*0.25/HG134/HL134))</f>
        <v>0</v>
      </c>
      <c r="BH134" s="181">
        <f>IF(Исходн.данные.!AH134=0,0,HW134*HF134*HL134/AU134*AI134+Исходн.данные.!S134*10)</f>
        <v>0</v>
      </c>
      <c r="BI134" s="10"/>
      <c r="BJ134" s="182">
        <f>IF(Исходн.данные.!AH134=0,0,IF(HX134*HG134*HL134/AV134&lt;0,0,HX134*HG134*HL134/AV134*AJ134))</f>
        <v>0</v>
      </c>
      <c r="BK134" s="182">
        <f>IF(Исходн.данные.!AH134=0,0,HY134*HH134*HM134/AW134)</f>
        <v>0</v>
      </c>
      <c r="BL134" s="10">
        <f>IF(OR(Исходн.данные.!$AH134=$BP$1,Исходн.данные.!$AH134=$BP$2),0,IF(BH134&lt;0,0,IF(OR(Исходн.данные.!T134=Расчет!$BP$1,Исходн.данные.!T134=Расчет!$BP$2,Исходн.данные.!T134=Расчет!$BT$5,Исходн.данные.!T134=Расчет!$BT$6),BH134*0.5,IF(OR(Исходн.данные.!T134=Расчет!$BS$9,Исходн.данные.!T134=Расчет!$BS$10,Исходн.данные.!T134=Расчет!$BS$11,Исходн.данные.!T134=Расчет!$BS$12,Исходн.данные.!T134=Расчет!$BP$5),BH134*0.8,BH134))))</f>
        <v>0</v>
      </c>
      <c r="BM134" s="10">
        <f>IF(OR(Исходн.данные.!$AH134=$BP$1,Исходн.данные.!$AH134=$BP$2),0,IF(BJ134&lt;0,0,IF(Исходн.данные.!I134&lt;4.5,BJ134*1.2,IF(Исходн.данные.!I134&gt;5.1,BJ134,BJ134*((5.1-Исходн.данные.!I134)*0.333+1)))))</f>
        <v>0</v>
      </c>
      <c r="BN134" s="10">
        <f>IF(OR(Исходн.данные.!$AH134=$BP$1,Исходн.данные.!$AH134=$BP$2),60-Исходн.данные.!AF134,IF(BK134&lt;0,0,IF(Исходн.данные.!I134&lt;4.5,BK134*1.2,IF(Исходн.данные.!I134&gt;5.1,BK134,BK134*((5.1-Исходн.данные.!I134)*0.333+1)))))</f>
        <v>0</v>
      </c>
      <c r="BO134" s="9">
        <f>IF(BL134&lt;0,0,BL134*Исходн.данные.!$AJ134/1000)</f>
        <v>0</v>
      </c>
      <c r="BP134" s="9">
        <f>IF(BM134&lt;0,0,BM134*Исходн.данные.!$AJ134/1000)</f>
        <v>0</v>
      </c>
      <c r="BQ134" s="9">
        <f>IF(BN134&lt;0,0,BN134*Исходн.данные.!$AJ134/1000)</f>
        <v>0</v>
      </c>
      <c r="BR134" s="9">
        <f t="shared" si="155"/>
        <v>0</v>
      </c>
      <c r="BS134" s="10" t="str">
        <f t="shared" si="156"/>
        <v>Аммофос 12:52:00</v>
      </c>
      <c r="BT134" s="10" t="str">
        <f t="shared" si="157"/>
        <v>Аммофос 12:52:00</v>
      </c>
      <c r="BU134" s="10" t="str">
        <f t="shared" si="158"/>
        <v>Диаммофоска</v>
      </c>
      <c r="BV134" s="10">
        <f t="shared" si="159"/>
        <v>0</v>
      </c>
      <c r="BW134" s="10"/>
      <c r="BX134" s="10"/>
      <c r="BY134" s="9">
        <f>IF(BL134&lt;0,0,IF(OR(Исходн.данные.!AI134=Расчет!$BU$6,Исходн.данные.!AI134=Расчет!$BU$7),Расчет!BV134,IF(Исходн.данные.!$AG134=$BV$11,BL134,IF(OR(Исходн.данные.!$AH134=$BQ$7,Исходн.данные.!$AH134=$BQ$8),CB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0,IF(Исходн.данные.!$AI134=$BU$11,"Нет",IF(BL134&gt;30,30,BL134)))))))</f>
        <v>0</v>
      </c>
      <c r="BZ134" s="9">
        <f>IF(AND(Исходн.данные.!$AG134=$BV$11,BM134&lt;10),10,IF(Исходн.данные.!$AG134=$BV$11,BM134,IF(OR(Исходн.данные.!$AH134=$BQ$7,Исходн.данные.!$AH134=$BQ$8),CC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10,IF(Исходн.данные.!$AI134=$BU$11,"Нет",IF(BM134&gt;60,60,IF(BM134&lt;10,10,BM134)))))))</f>
        <v>10</v>
      </c>
      <c r="CA134" s="39">
        <f>IF(BN134&lt;0,0,IF(Исходн.данные.!$AG134=$BV$11,BN134,IF(OR(Исходн.данные.!$AH134=$BQ$7,Исходн.данные.!$AH134=$BQ$8),CD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0,IF(Исходн.данные.!$AI134=$BU$11,"Нет",IF(BN134&gt;30,30,BN134))))))</f>
        <v>0</v>
      </c>
      <c r="CB134" s="9">
        <f t="shared" si="160"/>
        <v>0</v>
      </c>
      <c r="CC134" s="9">
        <f t="shared" si="161"/>
        <v>0</v>
      </c>
      <c r="CD134" s="9">
        <f t="shared" si="162"/>
        <v>0</v>
      </c>
      <c r="CE134" s="12">
        <f t="shared" si="163"/>
        <v>10</v>
      </c>
      <c r="CF134" s="9">
        <f t="shared" si="164"/>
        <v>0</v>
      </c>
      <c r="CG134" s="9" t="s">
        <v>231</v>
      </c>
      <c r="CH134" s="132" t="str">
        <f>IF(Исходн.данные.!AP134=Расчет!$CI$16,"Нет",IF(Исходн.данные.!AL134&gt;0,Исходн.данные.!AL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BH$4,IF(OR(Исходн.данные.!AI134=Исходн.данные.!$AI$6,Исходн.данные.!AI134=Исходн.данные.!$AI$7),Расчет!BS134,IF(AND($CF134=0,$CE134&gt;0),EV134,ER134)))))</f>
        <v>Аммофос 12:52:00</v>
      </c>
      <c r="CI134" s="274">
        <f>IF(Расчет!$CH134="Нет","Нет",IF(Исходн.данные.!$AL134&gt;0,VLOOKUP(Расчет!$CH134,АшламаДВ_Irekle,2,FALSE),VLOOKUP(Расчет!$CH134,АшламаДВ_Gomumy,2,FALSE)))</f>
        <v>0.12</v>
      </c>
      <c r="CJ134" s="274">
        <f>IF(Расчет!$CH134="Нет","Нет",IF(Исходн.данные.!$AL134&gt;0,VLOOKUP(Расчет!$CH134,АшламаДВ_Irekle,3,FALSE),VLOOKUP(Расчет!$CH134,АшламаДВ_Gomumy,3,FALSE)))</f>
        <v>0.52</v>
      </c>
      <c r="CK134" s="274">
        <f>IF(Расчет!$CH134="Нет","Нет",IF(Исходн.данные.!$AL134&gt;0,VLOOKUP(Расчет!$CH134,АшламаДВ_Irekle,4,FALSE),VLOOKUP(Расчет!$CH134,АшламаДВ_Gomumy,4,FALSE)))</f>
        <v>0</v>
      </c>
      <c r="CL134" s="70"/>
      <c r="CM134" s="70"/>
      <c r="CN134" s="70"/>
      <c r="CO134" s="70"/>
      <c r="CP134" s="70"/>
      <c r="CQ134" s="70"/>
      <c r="CR134" s="10">
        <f t="shared" si="165"/>
        <v>0</v>
      </c>
      <c r="CS134" s="10">
        <f t="shared" si="166"/>
        <v>19.23076923076923</v>
      </c>
      <c r="CT134" s="10">
        <f t="shared" si="167"/>
        <v>0</v>
      </c>
      <c r="CU134" s="39">
        <f>IF($CH134="Нет",0,IF(CI134=0,30/MIN(CJ134:CK134),IF(Исходн.данные.!$AG134=$BV$11,CR134,IF(OR(Исходн.данные.!$AH134=$BQ$7,Исходн.данные.!$AH134=$BQ$8),90/CI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0,IF(Исходн.данные.!$AI134=$BU$11,"Нет",30/CI134))))))</f>
        <v>250</v>
      </c>
      <c r="CV134" s="39">
        <f>IF($CH134="Нет",0,IF(Исходн.данные.!AH134=0,0,IF(CJ134=0,60/MIN(CI134,CK134),IF(Исходн.данные.!$AG134=$BV$11,CS134,IF(OR(Исходн.данные.!$AH134=$BQ$7,Исходн.данные.!$AH134=$BQ$8),90/CJ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10/CJ134,IF(Исходн.данные.!$AI134=$BU$11,"Нет",60/CJ134)))))))</f>
        <v>0</v>
      </c>
      <c r="CW134" s="39">
        <f>IF($CH134="Нет",0,IF(Исходн.данные.!AH134=0,0,IF(CK134=0,30/MIN(CI134:CJ134),IF(Исходн.данные.!$AG134=$BV$11,CT134,IF(OR(Исходн.данные.!$AH134=$BQ$7,Исходн.данные.!$AH134=$BQ$8),90/CK134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0,IF(Исходн.данные.!$AI134=$BU$11,"Нет",30/CK134)))))))</f>
        <v>0</v>
      </c>
      <c r="CX134" s="133">
        <f>IF(Исходн.данные.!$AG134=$BV$11,MAX(CU134:CW134),IF(OR(Исходн.данные.!$AH134=$BS$8,Исходн.данные.!$AH134=$BQ$9,Исходн.данные.!$AH134=$BQ$10,Исходн.данные.!$AH134=$BQ$11,Исходн.данные.!$AH134=$BQ$12,Исходн.данные.!$AH134=$BP$3,Исходн.данные.!$AH134=$BT$8,$FM134="Да"),CV134,MIN(CU134:CW134)))</f>
        <v>0</v>
      </c>
      <c r="CY134" s="133">
        <f>IF(Исходн.данные.!AH134=0,0,IF(CR134&gt;$CX134,$CX134,CR134))</f>
        <v>0</v>
      </c>
      <c r="CZ134" s="133">
        <f>IF(Исходн.данные.!AH134=0,0,IF(CS134&gt;$CX134,$CX134,CS134))</f>
        <v>0</v>
      </c>
      <c r="DA134" s="133">
        <f>IF(Исходн.данные.!AH134=0,0,IF(CT134&gt;$CX134,$CX134,CT134))</f>
        <v>0</v>
      </c>
      <c r="DB134" s="10">
        <f t="shared" si="168"/>
        <v>0</v>
      </c>
      <c r="DC134" s="39">
        <f>DB134*Исходн.данные.!AJ134/1000</f>
        <v>0</v>
      </c>
      <c r="DD134" s="71">
        <f t="shared" si="169"/>
        <v>0</v>
      </c>
      <c r="DE134" s="9">
        <f t="shared" si="170"/>
        <v>0</v>
      </c>
      <c r="DF134" s="9">
        <f t="shared" si="171"/>
        <v>0</v>
      </c>
      <c r="DG134" s="39">
        <f>IF(BL134&lt;0,0,IF($CH134="Нет",BL134,IF(OR(Исходн.данные.!$AH134=$BP$1,Исходн.данные.!$AH134=$BP$2),0,IF(Исходн.данные.!AI134=$BU$11,BL134,IF(BL134-DD134&lt;0,0,BL134-DD134)))))</f>
        <v>0</v>
      </c>
      <c r="DH134" s="39">
        <f>IF(BM134&lt;0,0,IF($CH134="Нет",BM134,IF(OR(Исходн.данные.!$AH134=$BP$1,Исходн.данные.!$AH134=$BP$2),0,IF(Исходн.данные.!AJ134=$BU$11,BM134,IF(BM134-DE134&lt;0,0,BM134-DE134)))))</f>
        <v>0</v>
      </c>
      <c r="DI134" s="39">
        <f>IF(BN134&lt;0,0,IF($CH134="Нет",BN134,IF(OR(Исходн.данные.!$AH134=$BP$1,Исходн.данные.!$AH134=$BP$2),0,IF(Исходн.данные.!AK134=$BU$11,BN134,IF(BN134-DF134&lt;0,0,BN134-DF134)))))</f>
        <v>0</v>
      </c>
      <c r="DJ134" s="12">
        <f t="shared" si="172"/>
        <v>0</v>
      </c>
      <c r="DK134" s="9">
        <f t="shared" si="173"/>
        <v>0</v>
      </c>
      <c r="DL134" s="39">
        <f>IF(Исходн.данные.!AM134&gt;0,Исходн.данные.!AM134,IF(EG134&gt;0,$BH$10,0))</f>
        <v>0</v>
      </c>
      <c r="DM134" s="186">
        <f>IF($DL134=0,0,IF(Исходн.данные.!AM134&gt;0,VLOOKUP($DL134,АшламаДВ_Irekle,2,FALSE),VLOOKUP($DL134,АшламаДВ_Gomumy,2,FALSE)))</f>
        <v>0</v>
      </c>
      <c r="DN134" s="10">
        <f t="shared" si="151"/>
        <v>0</v>
      </c>
      <c r="DO134" s="9" t="str">
        <f>IF(Исходн.данные.!AN134&gt;0,Исходн.данные.!AN134,Удобрения!$B$37 )</f>
        <v>Хлор.калий</v>
      </c>
      <c r="DP134" s="9">
        <f>IF(Исходн.данные.!AN134&gt;0,VLOOKUP(Исходн.данные.!AN134,АшламаДВ_Irekle,4,FALSE),VLOOKUP(DO134,АшламаДВ_Gomumy,4,FALSE))</f>
        <v>0.6</v>
      </c>
      <c r="DQ134" s="10">
        <f t="shared" si="152"/>
        <v>0</v>
      </c>
      <c r="DR134" s="132" t="str">
        <f>IF(Исходн.данные.!AO134&gt;0,Исходн.данные.!AO134,IF(DH134=0,BS$17,IF(AND($DK134=0,$DJ134&gt;0),EJ134,EN134)))</f>
        <v>Нет</v>
      </c>
      <c r="DS134" s="70" t="str">
        <f>IF($DR134="Нет","Нет",IF(Исходн.данные.!$AO134&gt;0,VLOOKUP($DR134,АшламаДВ_Irekle,2,FALSE),VLOOKUP($DR134,АшламаДВ_Gomumy,2,FALSE)))</f>
        <v>Нет</v>
      </c>
      <c r="DT134" s="70" t="str">
        <f>IF($DR134="Нет","Нет",IF(Исходн.данные.!$AO134&gt;0,VLOOKUP($DR134,АшламаДВ_Irekle,3,FALSE),VLOOKUP($DR134,АшламаДВ_Gomumy,3,FALSE)))</f>
        <v>Нет</v>
      </c>
      <c r="DU134" s="70" t="str">
        <f>IF($DR134="Нет","Нет",IF(Исходн.данные.!$AO134&gt;0,VLOOKUP($DR134,АшламаДВ_Irekle,4,FALSE),VLOOKUP($DR134,АшламаДВ_Gomumy,4,FALSE)))</f>
        <v>Нет</v>
      </c>
      <c r="DV134" s="70"/>
      <c r="DW134" s="70"/>
      <c r="DX134" s="70"/>
      <c r="DY134" s="10">
        <f t="shared" si="174"/>
        <v>0</v>
      </c>
      <c r="DZ134" s="10">
        <f t="shared" si="175"/>
        <v>0</v>
      </c>
      <c r="EA134" s="10">
        <f t="shared" si="176"/>
        <v>0</v>
      </c>
      <c r="EB134" s="10">
        <f t="shared" si="177"/>
        <v>0</v>
      </c>
      <c r="EC134" s="10">
        <f t="shared" si="178"/>
        <v>0</v>
      </c>
      <c r="ED134" s="10">
        <f t="shared" si="179"/>
        <v>0</v>
      </c>
      <c r="EE134" s="10">
        <f t="shared" si="180"/>
        <v>0</v>
      </c>
      <c r="EF134" s="39">
        <f>EB134*Исходн.данные.!AJ134/1000</f>
        <v>0</v>
      </c>
      <c r="EG134" s="9">
        <f t="shared" si="181"/>
        <v>0</v>
      </c>
      <c r="EH134" s="9">
        <f t="shared" si="182"/>
        <v>0</v>
      </c>
      <c r="EI134" s="39" t="e">
        <f t="shared" si="132"/>
        <v>#DIV/0!</v>
      </c>
      <c r="EJ134" s="9" t="str">
        <f t="shared" si="153"/>
        <v>Азопреципитат</v>
      </c>
      <c r="EK134" s="12">
        <f t="shared" si="133"/>
        <v>0.26</v>
      </c>
      <c r="EL134" s="12">
        <f t="shared" si="134"/>
        <v>0.13</v>
      </c>
      <c r="EM134" s="12">
        <f t="shared" si="135"/>
        <v>0</v>
      </c>
      <c r="EN134" s="12" t="str">
        <f t="shared" si="154"/>
        <v>Нет</v>
      </c>
      <c r="EO134" s="12">
        <f t="shared" si="136"/>
        <v>0</v>
      </c>
      <c r="EP134" s="12">
        <f t="shared" si="137"/>
        <v>0</v>
      </c>
      <c r="EQ134" s="12">
        <f t="shared" si="138"/>
        <v>0</v>
      </c>
      <c r="ER134" s="12" t="str">
        <f t="shared" si="183"/>
        <v>Диаммофоска</v>
      </c>
      <c r="ES134" s="12">
        <f t="shared" si="139"/>
        <v>0.1</v>
      </c>
      <c r="ET134" s="12">
        <f t="shared" si="140"/>
        <v>0.26</v>
      </c>
      <c r="EU134" s="12">
        <f t="shared" si="141"/>
        <v>0.26</v>
      </c>
      <c r="EV134" s="12" t="str">
        <f t="shared" si="184"/>
        <v>Аммофос 12:52:00</v>
      </c>
      <c r="EW134" s="12" t="str">
        <f t="shared" si="185"/>
        <v>Кемира Свекловичное-6</v>
      </c>
      <c r="EX134" s="12">
        <f t="shared" si="142"/>
        <v>0.16</v>
      </c>
      <c r="EY134" s="12">
        <f t="shared" si="143"/>
        <v>0.12</v>
      </c>
      <c r="EZ134" s="12">
        <f t="shared" si="144"/>
        <v>0.17</v>
      </c>
      <c r="FA134" s="38" t="e">
        <f>IF(AND(OR(FJ134=$FD$1,FM134=$FD$1,FO134=$FD$1,FQ134=$FD$1,FS134=$FD$1),FD134=$FD$1,Исходн.данные.!J134&lt;2,FU134=$FD$1),"Бор,Кобальт",IF(AND(FO134=$FD$1,FH134=$FD$1,Исходн.данные.!J134&lt;2,FU134=$FD$1),"Бор,Кобальт",IF(AND(OR(FJ134=$FD$1,FM134=$FD$1,FQ134=$FD$1),FE134=$FD$1,Исходн.данные.!J134&lt;2,FT134=$FD$1,FU134=$FD$1),"Бор,Медь,Цинк",IF(AND(OR(FJ134=$FD$1,FR134="Да"),FI134="Да",Исходн.данные.!J134&lt;2,FT134="Да",FU134="Да"),"Бор,Цинк,Медь",IF(AND(OR(FM134="Да",FQ134="Да"),FI134="Да",Исходн.данные.!J134&lt;2,FT134="Да",FU134="Да"),"Бор,Цинк",IF(AND(FN134="Да",OR(FD134="Да",FE134="Да")),"Бор",FB134))))))</f>
        <v>#N/A</v>
      </c>
      <c r="FB134" s="134" t="e">
        <f>IF(AND(OR(FD134="Да",FE134="Да",FF134="Да",FG134="Да",FH134="Да"),FO134="Да"),"Бор",IF(AND(FP134="Да",OR(FD134="Да",FE134="Да",FI134="Да")),"Бор",IF(AND(FS134="Да",FE134="Да"),"Бор,Медь",IF(AND(OR(FJ134="Да",FK134="Да",FL134="Да"),FE134="Да",Исходн.данные.!I134&lt;5,FT134="Да",FU134="Да"),"Молибден,Цинк",IF(AND(FM134="Да",OR(FE134="Да",FF134="Да",FG134="Да",FH134="Да",FI134="Да")),"Молибден,Цинк",IF(AND(OR(FJ134="Да",FK134="Да",FL134="Да",FM134="Да",FQ134="Да"),OR(FE134="Да",FF134="Да"),FT134="Да",FU134="Да",Исходн.данные.!I134&gt;5.5),"Медь,Цинк",FC134))))))</f>
        <v>#N/A</v>
      </c>
      <c r="FC134" s="23" t="e">
        <f t="shared" si="186"/>
        <v>#N/A</v>
      </c>
      <c r="FD134" s="38" t="str">
        <f>IF(OR(Исходн.данные.!F134=$CC$1,Исходн.данные.!F134=$CC$2,Исходн.данные.!F134=$CC$3,Исходн.данные.!F134=$CC$4),"Да","Нет")</f>
        <v>Нет</v>
      </c>
      <c r="FE134" s="38" t="str">
        <f>IF(Исходн.данные.!F134=$CC$5,"Да","Нет")</f>
        <v>Нет</v>
      </c>
      <c r="FF134" s="38" t="str">
        <f>IF(OR(Исходн.данные.!F134=$CC$6,Исходн.данные.!F134=$CC$7),"Да","Нет")</f>
        <v>Нет</v>
      </c>
      <c r="FG134" s="38" t="str">
        <f>IF(OR(Исходн.данные.!F134=$CC$8,Исходн.данные.!F134=$CC$9),"Да","Нет")</f>
        <v>Нет</v>
      </c>
      <c r="FH134" s="38" t="str">
        <f>IF(Исходн.данные.!F134=$CC$10,"Да","Нет")</f>
        <v>Нет</v>
      </c>
      <c r="FI134" s="38" t="str">
        <f>IF(OR(Исходн.данные.!F134=$CC$11,Исходн.данные.!F134=$CC$12),"Да","Нет")</f>
        <v>Нет</v>
      </c>
      <c r="FJ134" s="38" t="str">
        <f>IF(OR(Исходн.данные.!AH134=$BS$1,Исходн.данные.!AH134=$BQ$11,Исходн.данные.!AH134=$BQ$12),"Да","Нет")</f>
        <v>Нет</v>
      </c>
      <c r="FK134" s="38" t="str">
        <f>IF(OR(Исходн.данные.!AH134=$BS$2,Исходн.данные.!AH134=$BS$4),"Да","Нет")</f>
        <v>Нет</v>
      </c>
      <c r="FL134" s="38" t="str">
        <f>IF(OR(Исходн.данные.!AH134=$BS$3,Исходн.данные.!AH134=$BS$5),"Да","Нет")</f>
        <v>Нет</v>
      </c>
      <c r="FM134" s="38" t="str">
        <f>IF(OR(Исходн.данные.!AH134=$BS$9,Исходн.данные.!AH134=$BS$10,Исходн.данные.!AH134=$BS$11,Исходн.данные.!AH134=$BS$12),"Да","Нет")</f>
        <v>Нет</v>
      </c>
      <c r="FN134" s="38" t="str">
        <f>IF(OR(Исходн.данные.!AH134=$BS$6,Исходн.данные.!AH134=$BP$3),"Да","Нет")</f>
        <v>Нет</v>
      </c>
      <c r="FO134" s="38" t="str">
        <f>IF(Исходн.данные.!AH134=$BQ$9,"Да","Нет")</f>
        <v>Нет</v>
      </c>
      <c r="FP134" s="38" t="str">
        <f>IF(OR(Исходн.данные.!AH134=$BS$8,Исходн.данные.!AH134=$BT$8),"Да","Нет")</f>
        <v>Нет</v>
      </c>
      <c r="FQ134" s="38" t="str">
        <f>IF(OR(Исходн.данные.!AH134=$BQ$7,Исходн.данные.!AH134=$BQ$8),"Да","Нет")</f>
        <v>Нет</v>
      </c>
      <c r="FR134" s="38" t="str">
        <f>IF(Исходн.данные.!AI134=$BU$9,"Да","Нет")</f>
        <v>Нет</v>
      </c>
      <c r="FS134" s="38" t="str">
        <f>IF(OR(Исходн.данные.!AH134=$BP$1,Исходн.данные.!AH134=$BP$2),"Да","Нет")</f>
        <v>Нет</v>
      </c>
      <c r="FT134" s="38" t="e">
        <f>IF((Исходн.данные.!K134*GO134*GS134*GW134+BL134*0.6+Исходн.данные.!Q134*4.5*0.275)&gt;90,"Да","Нет")</f>
        <v>#N/A</v>
      </c>
      <c r="FU134" s="38" t="e">
        <f>IF((Исходн.данные.!M134*GS134*GZ134+BM134*0.225)&gt;35,"Да","Нет")</f>
        <v>#N/A</v>
      </c>
      <c r="FV134" s="38" t="str">
        <f>IF(Исходн.данные.!O134&gt;175,"Да","Нет")</f>
        <v>Нет</v>
      </c>
      <c r="FW134" s="39" t="str">
        <f>IF(Исходн.данные.!I134&gt;5.5,"Да","Нет")</f>
        <v>Нет</v>
      </c>
      <c r="FX134" s="39" t="str">
        <f>IF(Исходн.данные.!J134&lt;2,"Да","Нет")</f>
        <v>Да</v>
      </c>
      <c r="FY134" s="39" t="e">
        <f>IF(HF134=$FY$16,0,Исходн.данные.!K134*GO134*GS134*GW134/HF134)</f>
        <v>#N/A</v>
      </c>
      <c r="FZ134" s="39" t="e">
        <f>Исходн.данные.!M134*GS134*GZ134/HG134</f>
        <v>#N/A</v>
      </c>
      <c r="GA134" s="39" t="e">
        <f>IF(K_Wyn=$FY$16,0,IF(Исходн.данные.!N134=Исходн.данные.!$L$10,Исходн.данные.!O134/1.1*GS134*HC134/HH134,IF(Исходн.данные.!N134=Исходн.данные.!$L$12,Исходн.данные.!O134/1.5*GS134*HC134/HH134,Исходн.данные.!O134*GS134*HC134/HH134)))</f>
        <v>#N/A</v>
      </c>
      <c r="GB134" s="39" t="e">
        <f>IF(HF134=$FY$16,0,((Исходн.данные.!Q134*N_Org+Исходн.данные.!R134*N_Sider+Исходн.данные.!S134*N_Soloma)*AO134+Расчет!BC134*VLOOKUP(Исходн.данные.!T134,Справ!$A$3:$O$57,15)*AO134+BB134*VLOOKUP(Исходн.данные.!T134,Справ!$A$3:$O$57,15)*AL134+(Исходн.данные.!V134*N_Rizotorf+Исходн.данные.!W134*N_Rizoagr))/HF134)</f>
        <v>#N/A</v>
      </c>
      <c r="GC134" s="39" t="e">
        <f>IF(HG134=$FY$16,0,((Исходн.данные.!Q134*Р_Org+Исходн.данные.!R134*P_Sider+Исходн.данные.!S134*P_Soloma)*AP134+Расчет!BC134*VLOOKUP(Исходн.данные.!T134,Справ!$A$3:$P$57,16)*AP134+BB134*VLOOKUP(Исходн.данные.!T134,Справ!$A$3:$P$57,16)*AM134)/HG134)</f>
        <v>#N/A</v>
      </c>
      <c r="GD134" s="39" t="e">
        <f>IF(HH134=$FY$16,0,((Исходн.данные.!Q134*К_Org+Исходн.данные.!R134*K_Sider+Исходн.данные.!S134*K_Soloma)*AQ134+Расчет!BC134*VLOOKUP(Исходн.данные.!T134,Справ!$A$3:$Q$57,17)*AQ134+BB134*VLOOKUP(Исходн.данные.!T134,Справ!$A$3:$Q$57,17)*AN134)/HH134)</f>
        <v>#N/A</v>
      </c>
      <c r="GE134" s="39" t="e">
        <f>IF(HF134=$FY$16,0,(Исходн.данные.!X134*AR134+Исходн.данные.!AA134*N_Org*AL134+Исходн.данные.!AB134*N_Sider*AL134+Исходн.данные.!AC134*N_Soloma*AL134)/HF134)</f>
        <v>#N/A</v>
      </c>
      <c r="GF134" s="39" t="e">
        <f>IF(HG134=$FY$16,0,(Исходн.данные.!Y134*AS134+Исходн.данные.!AA134*Р_Org*AM134+Исходн.данные.!AB134*P_Sider*AM134+Исходн.данные.!AC134*P_Soloma*AM134)/HG134)</f>
        <v>#N/A</v>
      </c>
      <c r="GG134" s="39" t="e">
        <f>IF(HH134=$FY$16,0,(Исходн.данные.!Z134*AT134+Исходн.данные.!AA134*К_Org*AN134+Исходн.данные.!AB134*K_Sider*AN134+Исходн.данные.!AC134*K_Soloma*AN134)/HH134)</f>
        <v>#N/A</v>
      </c>
      <c r="GH134" s="39" t="e">
        <f>Исходн.данные.!AD134*AU134/HF134</f>
        <v>#N/A</v>
      </c>
      <c r="GI134" s="39" t="e">
        <f>Исходн.данные.!AE134*AV134/HG134</f>
        <v>#N/A</v>
      </c>
      <c r="GJ134" s="39" t="e">
        <f>Исходн.данные.!AF134*AW134/HH134</f>
        <v>#N/A</v>
      </c>
      <c r="GK134" s="55">
        <f>Исходн.данные.!AK134</f>
        <v>0</v>
      </c>
      <c r="GL134" s="11" t="e">
        <f t="shared" si="187"/>
        <v>#N/A</v>
      </c>
      <c r="GM134" s="11" t="e">
        <f t="shared" si="188"/>
        <v>#N/A</v>
      </c>
      <c r="GN134" s="11" t="e">
        <f t="shared" si="189"/>
        <v>#N/A</v>
      </c>
      <c r="GO134" s="57">
        <f t="shared" si="190"/>
        <v>19</v>
      </c>
      <c r="GP134" s="55">
        <f>IF(OR(Исходн.данные.!F134=$CE$1,Исходн.данные.!F134=$CE$2,Исходн.данные.!F134=$CE$3,Исходн.данные.!F134=$CE$4,Исходн.данные.!F134=$CE$5),GQ134,GR134)</f>
        <v>19</v>
      </c>
      <c r="GQ134" s="55">
        <f>IF(Исходн.данные.!F134=$CE$1,28,IF(Исходн.данные.!F134=$CE$2,26,IF(Исходн.данные.!F134=$CE$3,24,IF(Исходн.данные.!F134=$CE$4,22,IF(Исходн.данные.!F134=$CE$5,20,GR134)))))</f>
        <v>19</v>
      </c>
      <c r="GR134" s="55">
        <f>IF(Исходн.данные.!F134=$CE$6,18,IF(Исходн.данные.!F134=$CE$7,16,IF(Исходн.данные.!F134=$CE$8,14,IF(Исходн.данные.!F134=$CE$9,13,IF(Исходн.данные.!F134=$CE$10,12,19)))))</f>
        <v>19</v>
      </c>
      <c r="GS134" s="55">
        <f>IF(Исходн.данные.!G134="Пес",0.035*(40+2*Исходн.данные.!H134),IF(Исходн.данные.!G134="Суп",0.0325*(40+2*Исходн.данные.!H134),0.03*(40+2*Исходн.данные.!H134)))</f>
        <v>1.2</v>
      </c>
      <c r="GT134" s="55">
        <f>IF(Исходн.данные.!H134&lt;23,2.6,IF(AND(Исходн.данные.!H134&gt;22,Исходн.данные.!H134&lt;26),3,IF(AND(Исходн.данные.!H134&gt;25,Исходн.данные.!H134&lt;29),3.4,3.6)))</f>
        <v>2.6</v>
      </c>
      <c r="GU134" s="55">
        <f>IF(Исходн.данные.!H134&lt;23,2.8,IF(AND(Исходн.данные.!H134&gt;22,Исходн.данные.!H134&lt;26),3.2,IF(AND(Исходн.данные.!H134&gt;25,Исходн.данные.!H134&lt;29),3.6,3.9)))</f>
        <v>2.8</v>
      </c>
      <c r="GV134" s="55">
        <f>IF(Исходн.данные.!H134&lt;23,3,IF(AND(Исходн.данные.!H134&gt;22,Исходн.данные.!H134&lt;26),3.5,IF(AND(Исходн.данные.!H134&gt;25,Исходн.данные.!H134&lt;29),3.9,4.2)))</f>
        <v>3</v>
      </c>
      <c r="GW134" s="55" t="e">
        <f>IF(Исходн.данные.!P134="Ум",GX134,GY134)</f>
        <v>#N/A</v>
      </c>
      <c r="GX134" s="55" t="e">
        <f>VLOOKUP(Исходн.данные.!AI134,Коэффициенты!$J$7:$L$13,2,FALSE)</f>
        <v>#N/A</v>
      </c>
      <c r="GY134" s="55" t="e">
        <f>VLOOKUP(Исходн.данные.!AI134,Коэффициенты!$J$7:$L$13,3,FALSE)</f>
        <v>#N/A</v>
      </c>
      <c r="GZ134" s="55" t="e">
        <f>(IF(Исходн.данные.!M134&lt;50,0.11*VLOOKUP(Исходн.данные.!AH134,Культуры.Информация,7,FALSE),IF(Исходн.данные.!M134&gt;250,0.05*VLOOKUP(Исходн.данные.!AH134,Культуры.Информация,7,FALSE),VLOOKUP(Исходн.данные.!AH134,Культуры.Информация,5,FALSE)/100*($GX$6+$GY$6*Исходн.данные.!M134))))*Расчет2!AI134</f>
        <v>#N/A</v>
      </c>
      <c r="HA134" s="211"/>
      <c r="HB134" s="211"/>
      <c r="HC134" s="55" t="e">
        <f>(IF(Исходн.данные.!O134&lt;80,0.2*VLOOKUP(Исходн.данные.!AH134,Культуры.Информация,8,FALSE),IF(Исходн.данные.!O134&gt;240,0.09*VLOOKUP(Исходн.данные.!AH134,Культуры.Информация,8,FALSE),VLOOKUP(Исходн.данные.!AH134,Культуры.Информация,6,FALSE)/100*($HB$6+$HC$6*Исходн.данные.!O134))))*Расчет2!AJ134</f>
        <v>#N/A</v>
      </c>
      <c r="HD134" s="55">
        <f>IF(Исходн.данные.!O134&gt;240,0.09,IF(Исходн.данные.!O134&lt;30,0.3,$HE$10+$HD$10*Исходн.данные.!O134))</f>
        <v>0.3</v>
      </c>
      <c r="HE134" s="55">
        <f>IF(Исходн.данные.!O134&gt;240,0.17,IF(Исходн.данные.!O134&lt;30,0.5,$HF$12+$HE$12*Исходн.данные.!O134))</f>
        <v>0.5</v>
      </c>
      <c r="HF134" s="55" t="e">
        <f>VLOOKUP(Исходн.данные.!AH134,Справ!$A$3:$D$58,2,FALSE)</f>
        <v>#N/A</v>
      </c>
      <c r="HG134" s="55" t="e">
        <f>VLOOKUP(Исходн.данные.!AH134,Справ!$A$3:$D$58,3,FALSE)</f>
        <v>#N/A</v>
      </c>
      <c r="HH134" s="55" t="e">
        <f>VLOOKUP(Исходн.данные.!AH134,Справ!$A$3:$D$58,4,FALSE)</f>
        <v>#N/A</v>
      </c>
      <c r="HI134" s="11" t="e">
        <f t="shared" si="191"/>
        <v>#N/A</v>
      </c>
      <c r="HJ134" s="11" t="e">
        <f t="shared" si="192"/>
        <v>#N/A</v>
      </c>
      <c r="HK134" s="11" t="e">
        <f t="shared" si="193"/>
        <v>#N/A</v>
      </c>
      <c r="HL134" s="55">
        <f>IF(OR(Исходн.данные.!G134="Глин",Исходн.данные.!G134="Т_суг"),1.1,IF(Исходн.данные.!G134="Ср_суг",1,1))</f>
        <v>1</v>
      </c>
      <c r="HM134" s="55">
        <f>IF(OR(Исходн.данные.!G134="Глин",Исходн.данные.!G134="Т_суг"),0.9,IF(Исходн.данные.!G134="Ср_суг",1,1.2))</f>
        <v>1.2</v>
      </c>
      <c r="HN134" s="11" t="e">
        <f t="shared" si="194"/>
        <v>#N/A</v>
      </c>
      <c r="HO134" s="11" t="e">
        <f t="shared" si="195"/>
        <v>#N/A</v>
      </c>
      <c r="HP134" s="11" t="e">
        <f t="shared" si="196"/>
        <v>#N/A</v>
      </c>
      <c r="HQ134" t="e">
        <f t="shared" si="197"/>
        <v>#N/A</v>
      </c>
      <c r="HR134" t="e">
        <f t="shared" si="198"/>
        <v>#N/A</v>
      </c>
      <c r="HS134" t="e">
        <f t="shared" si="199"/>
        <v>#N/A</v>
      </c>
      <c r="HT134" t="e">
        <f t="shared" si="145"/>
        <v>#N/A</v>
      </c>
      <c r="HU134" t="e">
        <f t="shared" si="146"/>
        <v>#N/A</v>
      </c>
      <c r="HV134" t="e">
        <f t="shared" si="147"/>
        <v>#N/A</v>
      </c>
      <c r="HW134" t="e">
        <f t="shared" si="148"/>
        <v>#N/A</v>
      </c>
      <c r="HX134" t="e">
        <f t="shared" si="149"/>
        <v>#N/A</v>
      </c>
      <c r="HY134" t="e">
        <f t="shared" si="150"/>
        <v>#N/A</v>
      </c>
      <c r="HZ134" s="55">
        <f>IF(OR(Исходн.данные.!AI134="Оз_Ч_П",Исходн.данные.!AI134="Оз_З_П",Исходн.данные.!AI134="Яр_зер"),12,30)</f>
        <v>30</v>
      </c>
      <c r="IA134" t="e">
        <f t="shared" si="200"/>
        <v>#N/A</v>
      </c>
      <c r="IB134" t="e">
        <f t="shared" si="201"/>
        <v>#N/A</v>
      </c>
      <c r="IC134" t="e">
        <f t="shared" si="202"/>
        <v>#N/A</v>
      </c>
      <c r="ID134" s="11" t="e">
        <f t="shared" si="203"/>
        <v>#N/A</v>
      </c>
      <c r="IE134" s="11" t="e">
        <f t="shared" si="204"/>
        <v>#N/A</v>
      </c>
      <c r="IF134" s="11" t="e">
        <f t="shared" si="205"/>
        <v>#N/A</v>
      </c>
    </row>
    <row r="135" spans="35:240" x14ac:dyDescent="0.2">
      <c r="AI135">
        <f>IF(Исходн.данные.!I135&gt;6,1,1.85-(0.148*Исходн.данные.!I135))</f>
        <v>1.85</v>
      </c>
      <c r="AJ135">
        <f>IF(Исходн.данные.!I135&gt;6,1,2.434-(0.246*Исходн.данные.!I135))</f>
        <v>2.4340000000000002</v>
      </c>
      <c r="AL135" s="148" t="b">
        <f>IF(Исходн.данные.!$P135="Ум",N_OrgUd_2g_um,IF(Исходн.данные.!$P135="Об",N_OrgUd_2g_ob))</f>
        <v>0</v>
      </c>
      <c r="AM135" s="148" t="b">
        <f>IF(Исходн.данные.!$P135="Ум",P_OrgUd_2g_um,IF(Исходн.данные.!$P135="Об",P_OrgUd_2g_ob))</f>
        <v>0</v>
      </c>
      <c r="AN135" s="148" t="b">
        <f>IF(Исходн.данные.!$P135="Ум",K_OrgUd_2g_um,IF(Исходн.данные.!$P135="Об",K_OrgUd_2g_ob))</f>
        <v>0</v>
      </c>
      <c r="AO135" s="148" t="b">
        <f>IF(Исходн.данные.!$P135="Ум",N_OrgUd_1g_um,IF(Исходн.данные.!$P135="Об",N_OrgUd_1g_ob))</f>
        <v>0</v>
      </c>
      <c r="AP135" s="148" t="b">
        <f>IF(Исходн.данные.!$P135="Ум",P_OrgUd_1g_um,IF(Исходн.данные.!$P135="Об",P_OrgUd_1g_ob))</f>
        <v>0</v>
      </c>
      <c r="AQ135" s="148" t="b">
        <f>IF(Исходн.данные.!$P135="Ум",K_OrgUd_1g_um,IF(Исходн.данные.!$P135="Об",K_OrgUd_1g_ob))</f>
        <v>0</v>
      </c>
      <c r="AR135" t="b">
        <f>IF(Исходн.данные.!$P135="Ум",N_MinUd_2g_um,IF(Исходн.данные.!$P135="Об",N_MinUd_2g_ob))</f>
        <v>0</v>
      </c>
      <c r="AS135" t="b">
        <f>IF(Исходн.данные.!$P135="Ум",P_MinUd_2g_um,IF(Исходн.данные.!$P135="Об",P_MinUd_2g_ob))</f>
        <v>0</v>
      </c>
      <c r="AT135" t="b">
        <f>IF(Исходн.данные.!$P135="Ум",K_MinUd_2g_um,IF(Исходн.данные.!$P135="Об",K_MinUd_2g_ob))</f>
        <v>0</v>
      </c>
      <c r="AU135" t="b">
        <f>IF(Исходн.данные.!$P135="Ум",N_MinUd_1g_um,IF(Исходн.данные.!$P135="Об",N_MinUd_1g_ob))</f>
        <v>0</v>
      </c>
      <c r="AV135" t="b">
        <f>IF(Исходн.данные.!P135="Ум",P_MinUd_1g_um,IF(Исходн.данные.!P135="Об",P_MinUd_1g_ob))</f>
        <v>0</v>
      </c>
      <c r="AW135" t="b">
        <f>IF(Исходн.данные.!P135="Ум",K_MinUd_1g_um,IF(Исходн.данные.!P135="Об",K_MinUd_1g_ob))</f>
        <v>0</v>
      </c>
      <c r="AY135" t="e">
        <f>VLOOKUP(Исходн.данные.!T135,Справ!$A$3:$N$57,12)</f>
        <v>#N/A</v>
      </c>
      <c r="AZ135" t="e">
        <f>VLOOKUP(Исходн.данные.!T135,Справ!$A$3:$N$57,13)</f>
        <v>#N/A</v>
      </c>
      <c r="BA135" t="e">
        <f>VLOOKUP(Исходн.данные.!T135,Справ!$A$3:$N$57,14)</f>
        <v>#N/A</v>
      </c>
      <c r="BB135">
        <f>IF(Исходн.данные.!AH135=0,0,25)</f>
        <v>0</v>
      </c>
      <c r="BC135" s="141">
        <f>IF(Исходн.данные.!AH135=0,0,IF(Исходн.данные.!T135=0,25,BD135))</f>
        <v>0</v>
      </c>
      <c r="BD135" s="168" t="e">
        <f>AY135+AZ135*Исходн.данные.!U135-POWER(BA135,2)*Исходн.данные.!U135</f>
        <v>#N/A</v>
      </c>
      <c r="BE13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5" s="25">
        <f>IF(Исходн.данные.!AH135=0,0,MIN(HN135:HP135))</f>
        <v>0</v>
      </c>
      <c r="BG135" s="9">
        <f>IF(Исходн.данные.!AH135=0,0,IF((HO135+10*0.25/HG135/HL135)&lt;17,17,HO135+10*0.25/HG135/HL135))</f>
        <v>0</v>
      </c>
      <c r="BH135" s="181">
        <f>IF(Исходн.данные.!AH135=0,0,HW135*HF135*HL135/AU135*AI135+Исходн.данные.!S135*10)</f>
        <v>0</v>
      </c>
      <c r="BI135" s="10"/>
      <c r="BJ135" s="182">
        <f>IF(Исходн.данные.!AH135=0,0,IF(HX135*HG135*HL135/AV135&lt;0,0,HX135*HG135*HL135/AV135*AJ135))</f>
        <v>0</v>
      </c>
      <c r="BK135" s="182">
        <f>IF(Исходн.данные.!AH135=0,0,HY135*HH135*HM135/AW135)</f>
        <v>0</v>
      </c>
      <c r="BL135" s="10">
        <f>IF(OR(Исходн.данные.!$AH135=$BP$1,Исходн.данные.!$AH135=$BP$2),0,IF(BH135&lt;0,0,IF(OR(Исходн.данные.!T135=Расчет!$BP$1,Исходн.данные.!T135=Расчет!$BP$2,Исходн.данные.!T135=Расчет!$BT$5,Исходн.данные.!T135=Расчет!$BT$6),BH135*0.5,IF(OR(Исходн.данные.!T135=Расчет!$BS$9,Исходн.данные.!T135=Расчет!$BS$10,Исходн.данные.!T135=Расчет!$BS$11,Исходн.данные.!T135=Расчет!$BS$12,Исходн.данные.!T135=Расчет!$BP$5),BH135*0.8,BH135))))</f>
        <v>0</v>
      </c>
      <c r="BM135" s="10">
        <f>IF(OR(Исходн.данные.!$AH135=$BP$1,Исходн.данные.!$AH135=$BP$2),0,IF(BJ135&lt;0,0,IF(Исходн.данные.!I135&lt;4.5,BJ135*1.2,IF(Исходн.данные.!I135&gt;5.1,BJ135,BJ135*((5.1-Исходн.данные.!I135)*0.333+1)))))</f>
        <v>0</v>
      </c>
      <c r="BN135" s="10">
        <f>IF(OR(Исходн.данные.!$AH135=$BP$1,Исходн.данные.!$AH135=$BP$2),60-Исходн.данные.!AF135,IF(BK135&lt;0,0,IF(Исходн.данные.!I135&lt;4.5,BK135*1.2,IF(Исходн.данные.!I135&gt;5.1,BK135,BK135*((5.1-Исходн.данные.!I135)*0.333+1)))))</f>
        <v>0</v>
      </c>
      <c r="BO135" s="9">
        <f>IF(BL135&lt;0,0,BL135*Исходн.данные.!$AJ135/1000)</f>
        <v>0</v>
      </c>
      <c r="BP135" s="9">
        <f>IF(BM135&lt;0,0,BM135*Исходн.данные.!$AJ135/1000)</f>
        <v>0</v>
      </c>
      <c r="BQ135" s="9">
        <f>IF(BN135&lt;0,0,BN135*Исходн.данные.!$AJ135/1000)</f>
        <v>0</v>
      </c>
      <c r="BR135" s="9">
        <f t="shared" si="155"/>
        <v>0</v>
      </c>
      <c r="BS135" s="10" t="str">
        <f t="shared" si="156"/>
        <v>Аммофос 12:52:00</v>
      </c>
      <c r="BT135" s="10" t="str">
        <f t="shared" si="157"/>
        <v>Аммофос 12:52:00</v>
      </c>
      <c r="BU135" s="10" t="str">
        <f t="shared" si="158"/>
        <v>Диаммофоска</v>
      </c>
      <c r="BV135" s="10">
        <f t="shared" si="159"/>
        <v>0</v>
      </c>
      <c r="BW135" s="10"/>
      <c r="BX135" s="10"/>
      <c r="BY135" s="9">
        <f>IF(BL135&lt;0,0,IF(OR(Исходн.данные.!AI135=Расчет!$BU$6,Исходн.данные.!AI135=Расчет!$BU$7),Расчет!BV135,IF(Исходн.данные.!$AG135=$BV$11,BL135,IF(OR(Исходн.данные.!$AH135=$BQ$7,Исходн.данные.!$AH135=$BQ$8),CB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0,IF(Исходн.данные.!$AI135=$BU$11,"Нет",IF(BL135&gt;30,30,BL135)))))))</f>
        <v>0</v>
      </c>
      <c r="BZ135" s="9">
        <f>IF(AND(Исходн.данные.!$AG135=$BV$11,BM135&lt;10),10,IF(Исходн.данные.!$AG135=$BV$11,BM135,IF(OR(Исходн.данные.!$AH135=$BQ$7,Исходн.данные.!$AH135=$BQ$8),CC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10,IF(Исходн.данные.!$AI135=$BU$11,"Нет",IF(BM135&gt;60,60,IF(BM135&lt;10,10,BM135)))))))</f>
        <v>10</v>
      </c>
      <c r="CA135" s="39">
        <f>IF(BN135&lt;0,0,IF(Исходн.данные.!$AG135=$BV$11,BN135,IF(OR(Исходн.данные.!$AH135=$BQ$7,Исходн.данные.!$AH135=$BQ$8),CD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0,IF(Исходн.данные.!$AI135=$BU$11,"Нет",IF(BN135&gt;30,30,BN135))))))</f>
        <v>0</v>
      </c>
      <c r="CB135" s="9">
        <f t="shared" si="160"/>
        <v>0</v>
      </c>
      <c r="CC135" s="9">
        <f t="shared" si="161"/>
        <v>0</v>
      </c>
      <c r="CD135" s="9">
        <f t="shared" si="162"/>
        <v>0</v>
      </c>
      <c r="CE135" s="12">
        <f t="shared" si="163"/>
        <v>10</v>
      </c>
      <c r="CF135" s="9">
        <f t="shared" si="164"/>
        <v>0</v>
      </c>
      <c r="CG135" s="9" t="s">
        <v>231</v>
      </c>
      <c r="CH135" s="132" t="str">
        <f>IF(Исходн.данные.!AP135=Расчет!$CI$16,"Нет",IF(Исходн.данные.!AL135&gt;0,Исходн.данные.!AL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BH$4,IF(OR(Исходн.данные.!AI135=Исходн.данные.!$AI$6,Исходн.данные.!AI135=Исходн.данные.!$AI$7),Расчет!BS135,IF(AND($CF135=0,$CE135&gt;0),EV135,ER135)))))</f>
        <v>Аммофос 12:52:00</v>
      </c>
      <c r="CI135" s="274">
        <f>IF(Расчет!$CH135="Нет","Нет",IF(Исходн.данные.!$AL135&gt;0,VLOOKUP(Расчет!$CH135,АшламаДВ_Irekle,2,FALSE),VLOOKUP(Расчет!$CH135,АшламаДВ_Gomumy,2,FALSE)))</f>
        <v>0.12</v>
      </c>
      <c r="CJ135" s="274">
        <f>IF(Расчет!$CH135="Нет","Нет",IF(Исходн.данные.!$AL135&gt;0,VLOOKUP(Расчет!$CH135,АшламаДВ_Irekle,3,FALSE),VLOOKUP(Расчет!$CH135,АшламаДВ_Gomumy,3,FALSE)))</f>
        <v>0.52</v>
      </c>
      <c r="CK135" s="274">
        <f>IF(Расчет!$CH135="Нет","Нет",IF(Исходн.данные.!$AL135&gt;0,VLOOKUP(Расчет!$CH135,АшламаДВ_Irekle,4,FALSE),VLOOKUP(Расчет!$CH135,АшламаДВ_Gomumy,4,FALSE)))</f>
        <v>0</v>
      </c>
      <c r="CL135" s="70"/>
      <c r="CM135" s="70"/>
      <c r="CN135" s="70"/>
      <c r="CO135" s="70"/>
      <c r="CP135" s="70"/>
      <c r="CQ135" s="70"/>
      <c r="CR135" s="10">
        <f t="shared" si="165"/>
        <v>0</v>
      </c>
      <c r="CS135" s="10">
        <f t="shared" si="166"/>
        <v>19.23076923076923</v>
      </c>
      <c r="CT135" s="10">
        <f t="shared" si="167"/>
        <v>0</v>
      </c>
      <c r="CU135" s="39">
        <f>IF($CH135="Нет",0,IF(CI135=0,30/MIN(CJ135:CK135),IF(Исходн.данные.!$AG135=$BV$11,CR135,IF(OR(Исходн.данные.!$AH135=$BQ$7,Исходн.данные.!$AH135=$BQ$8),90/CI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0,IF(Исходн.данные.!$AI135=$BU$11,"Нет",30/CI135))))))</f>
        <v>250</v>
      </c>
      <c r="CV135" s="39">
        <f>IF($CH135="Нет",0,IF(Исходн.данные.!AH135=0,0,IF(CJ135=0,60/MIN(CI135,CK135),IF(Исходн.данные.!$AG135=$BV$11,CS135,IF(OR(Исходн.данные.!$AH135=$BQ$7,Исходн.данные.!$AH135=$BQ$8),90/CJ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10/CJ135,IF(Исходн.данные.!$AI135=$BU$11,"Нет",60/CJ135)))))))</f>
        <v>0</v>
      </c>
      <c r="CW135" s="39">
        <f>IF($CH135="Нет",0,IF(Исходн.данные.!AH135=0,0,IF(CK135=0,30/MIN(CI135:CJ135),IF(Исходн.данные.!$AG135=$BV$11,CT135,IF(OR(Исходн.данные.!$AH135=$BQ$7,Исходн.данные.!$AH135=$BQ$8),90/CK135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0,IF(Исходн.данные.!$AI135=$BU$11,"Нет",30/CK135)))))))</f>
        <v>0</v>
      </c>
      <c r="CX135" s="133">
        <f>IF(Исходн.данные.!$AG135=$BV$11,MAX(CU135:CW135),IF(OR(Исходн.данные.!$AH135=$BS$8,Исходн.данные.!$AH135=$BQ$9,Исходн.данные.!$AH135=$BQ$10,Исходн.данные.!$AH135=$BQ$11,Исходн.данные.!$AH135=$BQ$12,Исходн.данные.!$AH135=$BP$3,Исходн.данные.!$AH135=$BT$8,$FM135="Да"),CV135,MIN(CU135:CW135)))</f>
        <v>0</v>
      </c>
      <c r="CY135" s="133">
        <f>IF(Исходн.данные.!AH135=0,0,IF(CR135&gt;$CX135,$CX135,CR135))</f>
        <v>0</v>
      </c>
      <c r="CZ135" s="133">
        <f>IF(Исходн.данные.!AH135=0,0,IF(CS135&gt;$CX135,$CX135,CS135))</f>
        <v>0</v>
      </c>
      <c r="DA135" s="133">
        <f>IF(Исходн.данные.!AH135=0,0,IF(CT135&gt;$CX135,$CX135,CT135))</f>
        <v>0</v>
      </c>
      <c r="DB135" s="10">
        <f t="shared" si="168"/>
        <v>0</v>
      </c>
      <c r="DC135" s="39">
        <f>DB135*Исходн.данные.!AJ135/1000</f>
        <v>0</v>
      </c>
      <c r="DD135" s="71">
        <f t="shared" si="169"/>
        <v>0</v>
      </c>
      <c r="DE135" s="9">
        <f t="shared" si="170"/>
        <v>0</v>
      </c>
      <c r="DF135" s="9">
        <f t="shared" si="171"/>
        <v>0</v>
      </c>
      <c r="DG135" s="39">
        <f>IF(BL135&lt;0,0,IF($CH135="Нет",BL135,IF(OR(Исходн.данные.!$AH135=$BP$1,Исходн.данные.!$AH135=$BP$2),0,IF(Исходн.данные.!AI135=$BU$11,BL135,IF(BL135-DD135&lt;0,0,BL135-DD135)))))</f>
        <v>0</v>
      </c>
      <c r="DH135" s="39">
        <f>IF(BM135&lt;0,0,IF($CH135="Нет",BM135,IF(OR(Исходн.данные.!$AH135=$BP$1,Исходн.данные.!$AH135=$BP$2),0,IF(Исходн.данные.!AJ135=$BU$11,BM135,IF(BM135-DE135&lt;0,0,BM135-DE135)))))</f>
        <v>0</v>
      </c>
      <c r="DI135" s="39">
        <f>IF(BN135&lt;0,0,IF($CH135="Нет",BN135,IF(OR(Исходн.данные.!$AH135=$BP$1,Исходн.данные.!$AH135=$BP$2),0,IF(Исходн.данные.!AK135=$BU$11,BN135,IF(BN135-DF135&lt;0,0,BN135-DF135)))))</f>
        <v>0</v>
      </c>
      <c r="DJ135" s="12">
        <f t="shared" si="172"/>
        <v>0</v>
      </c>
      <c r="DK135" s="9">
        <f t="shared" si="173"/>
        <v>0</v>
      </c>
      <c r="DL135" s="39">
        <f>IF(Исходн.данные.!AM135&gt;0,Исходн.данные.!AM135,IF(EG135&gt;0,$BH$10,0))</f>
        <v>0</v>
      </c>
      <c r="DM135" s="186">
        <f>IF($DL135=0,0,IF(Исходн.данные.!AM135&gt;0,VLOOKUP($DL135,АшламаДВ_Irekle,2,FALSE),VLOOKUP($DL135,АшламаДВ_Gomumy,2,FALSE)))</f>
        <v>0</v>
      </c>
      <c r="DN135" s="10">
        <f t="shared" si="151"/>
        <v>0</v>
      </c>
      <c r="DO135" s="9" t="str">
        <f>IF(Исходн.данные.!AN135&gt;0,Исходн.данные.!AN135,Удобрения!$B$37 )</f>
        <v>Хлор.калий</v>
      </c>
      <c r="DP135" s="9">
        <f>IF(Исходн.данные.!AN135&gt;0,VLOOKUP(Исходн.данные.!AN135,АшламаДВ_Irekle,4,FALSE),VLOOKUP(DO135,АшламаДВ_Gomumy,4,FALSE))</f>
        <v>0.6</v>
      </c>
      <c r="DQ135" s="10">
        <f t="shared" si="152"/>
        <v>0</v>
      </c>
      <c r="DR135" s="132" t="str">
        <f>IF(Исходн.данные.!AO135&gt;0,Исходн.данные.!AO135,IF(DH135=0,BS$17,IF(AND($DK135=0,$DJ135&gt;0),EJ135,EN135)))</f>
        <v>Нет</v>
      </c>
      <c r="DS135" s="70" t="str">
        <f>IF($DR135="Нет","Нет",IF(Исходн.данные.!$AO135&gt;0,VLOOKUP($DR135,АшламаДВ_Irekle,2,FALSE),VLOOKUP($DR135,АшламаДВ_Gomumy,2,FALSE)))</f>
        <v>Нет</v>
      </c>
      <c r="DT135" s="70" t="str">
        <f>IF($DR135="Нет","Нет",IF(Исходн.данные.!$AO135&gt;0,VLOOKUP($DR135,АшламаДВ_Irekle,3,FALSE),VLOOKUP($DR135,АшламаДВ_Gomumy,3,FALSE)))</f>
        <v>Нет</v>
      </c>
      <c r="DU135" s="70" t="str">
        <f>IF($DR135="Нет","Нет",IF(Исходн.данные.!$AO135&gt;0,VLOOKUP($DR135,АшламаДВ_Irekle,4,FALSE),VLOOKUP($DR135,АшламаДВ_Gomumy,4,FALSE)))</f>
        <v>Нет</v>
      </c>
      <c r="DV135" s="70"/>
      <c r="DW135" s="70"/>
      <c r="DX135" s="70"/>
      <c r="DY135" s="10">
        <f t="shared" si="174"/>
        <v>0</v>
      </c>
      <c r="DZ135" s="10">
        <f t="shared" si="175"/>
        <v>0</v>
      </c>
      <c r="EA135" s="10">
        <f t="shared" si="176"/>
        <v>0</v>
      </c>
      <c r="EB135" s="10">
        <f t="shared" si="177"/>
        <v>0</v>
      </c>
      <c r="EC135" s="10">
        <f t="shared" si="178"/>
        <v>0</v>
      </c>
      <c r="ED135" s="10">
        <f t="shared" si="179"/>
        <v>0</v>
      </c>
      <c r="EE135" s="10">
        <f t="shared" si="180"/>
        <v>0</v>
      </c>
      <c r="EF135" s="39">
        <f>EB135*Исходн.данные.!AJ135/1000</f>
        <v>0</v>
      </c>
      <c r="EG135" s="9">
        <f t="shared" si="181"/>
        <v>0</v>
      </c>
      <c r="EH135" s="9">
        <f t="shared" si="182"/>
        <v>0</v>
      </c>
      <c r="EI135" s="39" t="e">
        <f t="shared" si="132"/>
        <v>#DIV/0!</v>
      </c>
      <c r="EJ135" s="9" t="str">
        <f t="shared" si="153"/>
        <v>Азопреципитат</v>
      </c>
      <c r="EK135" s="12">
        <f t="shared" si="133"/>
        <v>0.26</v>
      </c>
      <c r="EL135" s="12">
        <f t="shared" si="134"/>
        <v>0.13</v>
      </c>
      <c r="EM135" s="12">
        <f t="shared" si="135"/>
        <v>0</v>
      </c>
      <c r="EN135" s="12" t="str">
        <f t="shared" si="154"/>
        <v>Нет</v>
      </c>
      <c r="EO135" s="12">
        <f t="shared" si="136"/>
        <v>0</v>
      </c>
      <c r="EP135" s="12">
        <f t="shared" si="137"/>
        <v>0</v>
      </c>
      <c r="EQ135" s="12">
        <f t="shared" si="138"/>
        <v>0</v>
      </c>
      <c r="ER135" s="12" t="str">
        <f t="shared" si="183"/>
        <v>Диаммофоска</v>
      </c>
      <c r="ES135" s="12">
        <f t="shared" si="139"/>
        <v>0.1</v>
      </c>
      <c r="ET135" s="12">
        <f t="shared" si="140"/>
        <v>0.26</v>
      </c>
      <c r="EU135" s="12">
        <f t="shared" si="141"/>
        <v>0.26</v>
      </c>
      <c r="EV135" s="12" t="str">
        <f t="shared" si="184"/>
        <v>Аммофос 12:52:00</v>
      </c>
      <c r="EW135" s="12" t="str">
        <f t="shared" si="185"/>
        <v>Кемира Свекловичное-6</v>
      </c>
      <c r="EX135" s="12">
        <f t="shared" si="142"/>
        <v>0.16</v>
      </c>
      <c r="EY135" s="12">
        <f t="shared" si="143"/>
        <v>0.12</v>
      </c>
      <c r="EZ135" s="12">
        <f t="shared" si="144"/>
        <v>0.17</v>
      </c>
      <c r="FA135" s="38" t="e">
        <f>IF(AND(OR(FJ135=$FD$1,FM135=$FD$1,FO135=$FD$1,FQ135=$FD$1,FS135=$FD$1),FD135=$FD$1,Исходн.данные.!J135&lt;2,FU135=$FD$1),"Бор,Кобальт",IF(AND(FO135=$FD$1,FH135=$FD$1,Исходн.данные.!J135&lt;2,FU135=$FD$1),"Бор,Кобальт",IF(AND(OR(FJ135=$FD$1,FM135=$FD$1,FQ135=$FD$1),FE135=$FD$1,Исходн.данные.!J135&lt;2,FT135=$FD$1,FU135=$FD$1),"Бор,Медь,Цинк",IF(AND(OR(FJ135=$FD$1,FR135="Да"),FI135="Да",Исходн.данные.!J135&lt;2,FT135="Да",FU135="Да"),"Бор,Цинк,Медь",IF(AND(OR(FM135="Да",FQ135="Да"),FI135="Да",Исходн.данные.!J135&lt;2,FT135="Да",FU135="Да"),"Бор,Цинк",IF(AND(FN135="Да",OR(FD135="Да",FE135="Да")),"Бор",FB135))))))</f>
        <v>#N/A</v>
      </c>
      <c r="FB135" s="134" t="e">
        <f>IF(AND(OR(FD135="Да",FE135="Да",FF135="Да",FG135="Да",FH135="Да"),FO135="Да"),"Бор",IF(AND(FP135="Да",OR(FD135="Да",FE135="Да",FI135="Да")),"Бор",IF(AND(FS135="Да",FE135="Да"),"Бор,Медь",IF(AND(OR(FJ135="Да",FK135="Да",FL135="Да"),FE135="Да",Исходн.данные.!I135&lt;5,FT135="Да",FU135="Да"),"Молибден,Цинк",IF(AND(FM135="Да",OR(FE135="Да",FF135="Да",FG135="Да",FH135="Да",FI135="Да")),"Молибден,Цинк",IF(AND(OR(FJ135="Да",FK135="Да",FL135="Да",FM135="Да",FQ135="Да"),OR(FE135="Да",FF135="Да"),FT135="Да",FU135="Да",Исходн.данные.!I135&gt;5.5),"Медь,Цинк",FC135))))))</f>
        <v>#N/A</v>
      </c>
      <c r="FC135" s="23" t="e">
        <f t="shared" si="186"/>
        <v>#N/A</v>
      </c>
      <c r="FD135" s="38" t="str">
        <f>IF(OR(Исходн.данные.!F135=$CC$1,Исходн.данные.!F135=$CC$2,Исходн.данные.!F135=$CC$3,Исходн.данные.!F135=$CC$4),"Да","Нет")</f>
        <v>Нет</v>
      </c>
      <c r="FE135" s="38" t="str">
        <f>IF(Исходн.данные.!F135=$CC$5,"Да","Нет")</f>
        <v>Нет</v>
      </c>
      <c r="FF135" s="38" t="str">
        <f>IF(OR(Исходн.данные.!F135=$CC$6,Исходн.данные.!F135=$CC$7),"Да","Нет")</f>
        <v>Нет</v>
      </c>
      <c r="FG135" s="38" t="str">
        <f>IF(OR(Исходн.данные.!F135=$CC$8,Исходн.данные.!F135=$CC$9),"Да","Нет")</f>
        <v>Нет</v>
      </c>
      <c r="FH135" s="38" t="str">
        <f>IF(Исходн.данные.!F135=$CC$10,"Да","Нет")</f>
        <v>Нет</v>
      </c>
      <c r="FI135" s="38" t="str">
        <f>IF(OR(Исходн.данные.!F135=$CC$11,Исходн.данные.!F135=$CC$12),"Да","Нет")</f>
        <v>Нет</v>
      </c>
      <c r="FJ135" s="38" t="str">
        <f>IF(OR(Исходн.данные.!AH135=$BS$1,Исходн.данные.!AH135=$BQ$11,Исходн.данные.!AH135=$BQ$12),"Да","Нет")</f>
        <v>Нет</v>
      </c>
      <c r="FK135" s="38" t="str">
        <f>IF(OR(Исходн.данные.!AH135=$BS$2,Исходн.данные.!AH135=$BS$4),"Да","Нет")</f>
        <v>Нет</v>
      </c>
      <c r="FL135" s="38" t="str">
        <f>IF(OR(Исходн.данные.!AH135=$BS$3,Исходн.данные.!AH135=$BS$5),"Да","Нет")</f>
        <v>Нет</v>
      </c>
      <c r="FM135" s="38" t="str">
        <f>IF(OR(Исходн.данные.!AH135=$BS$9,Исходн.данные.!AH135=$BS$10,Исходн.данные.!AH135=$BS$11,Исходн.данные.!AH135=$BS$12),"Да","Нет")</f>
        <v>Нет</v>
      </c>
      <c r="FN135" s="38" t="str">
        <f>IF(OR(Исходн.данные.!AH135=$BS$6,Исходн.данные.!AH135=$BP$3),"Да","Нет")</f>
        <v>Нет</v>
      </c>
      <c r="FO135" s="38" t="str">
        <f>IF(Исходн.данные.!AH135=$BQ$9,"Да","Нет")</f>
        <v>Нет</v>
      </c>
      <c r="FP135" s="38" t="str">
        <f>IF(OR(Исходн.данные.!AH135=$BS$8,Исходн.данные.!AH135=$BT$8),"Да","Нет")</f>
        <v>Нет</v>
      </c>
      <c r="FQ135" s="38" t="str">
        <f>IF(OR(Исходн.данные.!AH135=$BQ$7,Исходн.данные.!AH135=$BQ$8),"Да","Нет")</f>
        <v>Нет</v>
      </c>
      <c r="FR135" s="38" t="str">
        <f>IF(Исходн.данные.!AI135=$BU$9,"Да","Нет")</f>
        <v>Нет</v>
      </c>
      <c r="FS135" s="38" t="str">
        <f>IF(OR(Исходн.данные.!AH135=$BP$1,Исходн.данные.!AH135=$BP$2),"Да","Нет")</f>
        <v>Нет</v>
      </c>
      <c r="FT135" s="38" t="e">
        <f>IF((Исходн.данные.!K135*GO135*GS135*GW135+BL135*0.6+Исходн.данные.!Q135*4.5*0.275)&gt;90,"Да","Нет")</f>
        <v>#N/A</v>
      </c>
      <c r="FU135" s="38" t="e">
        <f>IF((Исходн.данные.!M135*GS135*GZ135+BM135*0.225)&gt;35,"Да","Нет")</f>
        <v>#N/A</v>
      </c>
      <c r="FV135" s="38" t="str">
        <f>IF(Исходн.данные.!O135&gt;175,"Да","Нет")</f>
        <v>Нет</v>
      </c>
      <c r="FW135" s="39" t="str">
        <f>IF(Исходн.данные.!I135&gt;5.5,"Да","Нет")</f>
        <v>Нет</v>
      </c>
      <c r="FX135" s="39" t="str">
        <f>IF(Исходн.данные.!J135&lt;2,"Да","Нет")</f>
        <v>Да</v>
      </c>
      <c r="FY135" s="39" t="e">
        <f>IF(HF135=$FY$16,0,Исходн.данные.!K135*GO135*GS135*GW135/HF135)</f>
        <v>#N/A</v>
      </c>
      <c r="FZ135" s="39" t="e">
        <f>Исходн.данные.!M135*GS135*GZ135/HG135</f>
        <v>#N/A</v>
      </c>
      <c r="GA135" s="39" t="e">
        <f>IF(K_Wyn=$FY$16,0,IF(Исходн.данные.!N135=Исходн.данные.!$L$10,Исходн.данные.!O135/1.1*GS135*HC135/HH135,IF(Исходн.данные.!N135=Исходн.данные.!$L$12,Исходн.данные.!O135/1.5*GS135*HC135/HH135,Исходн.данные.!O135*GS135*HC135/HH135)))</f>
        <v>#N/A</v>
      </c>
      <c r="GB135" s="39" t="e">
        <f>IF(HF135=$FY$16,0,((Исходн.данные.!Q135*N_Org+Исходн.данные.!R135*N_Sider+Исходн.данные.!S135*N_Soloma)*AO135+Расчет!BC135*VLOOKUP(Исходн.данные.!T135,Справ!$A$3:$O$57,15)*AO135+BB135*VLOOKUP(Исходн.данные.!T135,Справ!$A$3:$O$57,15)*AL135+(Исходн.данные.!V135*N_Rizotorf+Исходн.данные.!W135*N_Rizoagr))/HF135)</f>
        <v>#N/A</v>
      </c>
      <c r="GC135" s="39" t="e">
        <f>IF(HG135=$FY$16,0,((Исходн.данные.!Q135*Р_Org+Исходн.данные.!R135*P_Sider+Исходн.данные.!S135*P_Soloma)*AP135+Расчет!BC135*VLOOKUP(Исходн.данные.!T135,Справ!$A$3:$P$57,16)*AP135+BB135*VLOOKUP(Исходн.данные.!T135,Справ!$A$3:$P$57,16)*AM135)/HG135)</f>
        <v>#N/A</v>
      </c>
      <c r="GD135" s="39" t="e">
        <f>IF(HH135=$FY$16,0,((Исходн.данные.!Q135*К_Org+Исходн.данные.!R135*K_Sider+Исходн.данные.!S135*K_Soloma)*AQ135+Расчет!BC135*VLOOKUP(Исходн.данные.!T135,Справ!$A$3:$Q$57,17)*AQ135+BB135*VLOOKUP(Исходн.данные.!T135,Справ!$A$3:$Q$57,17)*AN135)/HH135)</f>
        <v>#N/A</v>
      </c>
      <c r="GE135" s="39" t="e">
        <f>IF(HF135=$FY$16,0,(Исходн.данные.!X135*AR135+Исходн.данные.!AA135*N_Org*AL135+Исходн.данные.!AB135*N_Sider*AL135+Исходн.данные.!AC135*N_Soloma*AL135)/HF135)</f>
        <v>#N/A</v>
      </c>
      <c r="GF135" s="39" t="e">
        <f>IF(HG135=$FY$16,0,(Исходн.данные.!Y135*AS135+Исходн.данные.!AA135*Р_Org*AM135+Исходн.данные.!AB135*P_Sider*AM135+Исходн.данные.!AC135*P_Soloma*AM135)/HG135)</f>
        <v>#N/A</v>
      </c>
      <c r="GG135" s="39" t="e">
        <f>IF(HH135=$FY$16,0,(Исходн.данные.!Z135*AT135+Исходн.данные.!AA135*К_Org*AN135+Исходн.данные.!AB135*K_Sider*AN135+Исходн.данные.!AC135*K_Soloma*AN135)/HH135)</f>
        <v>#N/A</v>
      </c>
      <c r="GH135" s="39" t="e">
        <f>Исходн.данные.!AD135*AU135/HF135</f>
        <v>#N/A</v>
      </c>
      <c r="GI135" s="39" t="e">
        <f>Исходн.данные.!AE135*AV135/HG135</f>
        <v>#N/A</v>
      </c>
      <c r="GJ135" s="39" t="e">
        <f>Исходн.данные.!AF135*AW135/HH135</f>
        <v>#N/A</v>
      </c>
      <c r="GK135" s="55">
        <f>Исходн.данные.!AK135</f>
        <v>0</v>
      </c>
      <c r="GL135" s="11" t="e">
        <f t="shared" si="187"/>
        <v>#N/A</v>
      </c>
      <c r="GM135" s="11" t="e">
        <f t="shared" si="188"/>
        <v>#N/A</v>
      </c>
      <c r="GN135" s="11" t="e">
        <f t="shared" si="189"/>
        <v>#N/A</v>
      </c>
      <c r="GO135" s="57">
        <f t="shared" si="190"/>
        <v>19</v>
      </c>
      <c r="GP135" s="55">
        <f>IF(OR(Исходн.данные.!F135=$CE$1,Исходн.данные.!F135=$CE$2,Исходн.данные.!F135=$CE$3,Исходн.данные.!F135=$CE$4,Исходн.данные.!F135=$CE$5),GQ135,GR135)</f>
        <v>19</v>
      </c>
      <c r="GQ135" s="55">
        <f>IF(Исходн.данные.!F135=$CE$1,28,IF(Исходн.данные.!F135=$CE$2,26,IF(Исходн.данные.!F135=$CE$3,24,IF(Исходн.данные.!F135=$CE$4,22,IF(Исходн.данные.!F135=$CE$5,20,GR135)))))</f>
        <v>19</v>
      </c>
      <c r="GR135" s="55">
        <f>IF(Исходн.данные.!F135=$CE$6,18,IF(Исходн.данные.!F135=$CE$7,16,IF(Исходн.данные.!F135=$CE$8,14,IF(Исходн.данные.!F135=$CE$9,13,IF(Исходн.данные.!F135=$CE$10,12,19)))))</f>
        <v>19</v>
      </c>
      <c r="GS135" s="55">
        <f>IF(Исходн.данные.!G135="Пес",0.035*(40+2*Исходн.данные.!H135),IF(Исходн.данные.!G135="Суп",0.0325*(40+2*Исходн.данные.!H135),0.03*(40+2*Исходн.данные.!H135)))</f>
        <v>1.2</v>
      </c>
      <c r="GT135" s="55">
        <f>IF(Исходн.данные.!H135&lt;23,2.6,IF(AND(Исходн.данные.!H135&gt;22,Исходн.данные.!H135&lt;26),3,IF(AND(Исходн.данные.!H135&gt;25,Исходн.данные.!H135&lt;29),3.4,3.6)))</f>
        <v>2.6</v>
      </c>
      <c r="GU135" s="55">
        <f>IF(Исходн.данные.!H135&lt;23,2.8,IF(AND(Исходн.данные.!H135&gt;22,Исходн.данные.!H135&lt;26),3.2,IF(AND(Исходн.данные.!H135&gt;25,Исходн.данные.!H135&lt;29),3.6,3.9)))</f>
        <v>2.8</v>
      </c>
      <c r="GV135" s="55">
        <f>IF(Исходн.данные.!H135&lt;23,3,IF(AND(Исходн.данные.!H135&gt;22,Исходн.данные.!H135&lt;26),3.5,IF(AND(Исходн.данные.!H135&gt;25,Исходн.данные.!H135&lt;29),3.9,4.2)))</f>
        <v>3</v>
      </c>
      <c r="GW135" s="55" t="e">
        <f>IF(Исходн.данные.!P135="Ум",GX135,GY135)</f>
        <v>#N/A</v>
      </c>
      <c r="GX135" s="55" t="e">
        <f>VLOOKUP(Исходн.данные.!AI135,Коэффициенты!$J$7:$L$13,2,FALSE)</f>
        <v>#N/A</v>
      </c>
      <c r="GY135" s="55" t="e">
        <f>VLOOKUP(Исходн.данные.!AI135,Коэффициенты!$J$7:$L$13,3,FALSE)</f>
        <v>#N/A</v>
      </c>
      <c r="GZ135" s="55" t="e">
        <f>(IF(Исходн.данные.!M135&lt;50,0.11*VLOOKUP(Исходн.данные.!AH135,Культуры.Информация,7,FALSE),IF(Исходн.данные.!M135&gt;250,0.05*VLOOKUP(Исходн.данные.!AH135,Культуры.Информация,7,FALSE),VLOOKUP(Исходн.данные.!AH135,Культуры.Информация,5,FALSE)/100*($GX$6+$GY$6*Исходн.данные.!M135))))*Расчет2!AI135</f>
        <v>#N/A</v>
      </c>
      <c r="HA135" s="211"/>
      <c r="HB135" s="211"/>
      <c r="HC135" s="55" t="e">
        <f>(IF(Исходн.данные.!O135&lt;80,0.2*VLOOKUP(Исходн.данные.!AH135,Культуры.Информация,8,FALSE),IF(Исходн.данные.!O135&gt;240,0.09*VLOOKUP(Исходн.данные.!AH135,Культуры.Информация,8,FALSE),VLOOKUP(Исходн.данные.!AH135,Культуры.Информация,6,FALSE)/100*($HB$6+$HC$6*Исходн.данные.!O135))))*Расчет2!AJ135</f>
        <v>#N/A</v>
      </c>
      <c r="HD135" s="55">
        <f>IF(Исходн.данные.!O135&gt;240,0.09,IF(Исходн.данные.!O135&lt;30,0.3,$HE$10+$HD$10*Исходн.данные.!O135))</f>
        <v>0.3</v>
      </c>
      <c r="HE135" s="55">
        <f>IF(Исходн.данные.!O135&gt;240,0.17,IF(Исходн.данные.!O135&lt;30,0.5,$HF$12+$HE$12*Исходн.данные.!O135))</f>
        <v>0.5</v>
      </c>
      <c r="HF135" s="55" t="e">
        <f>VLOOKUP(Исходн.данные.!AH135,Справ!$A$3:$D$58,2,FALSE)</f>
        <v>#N/A</v>
      </c>
      <c r="HG135" s="55" t="e">
        <f>VLOOKUP(Исходн.данные.!AH135,Справ!$A$3:$D$58,3,FALSE)</f>
        <v>#N/A</v>
      </c>
      <c r="HH135" s="55" t="e">
        <f>VLOOKUP(Исходн.данные.!AH135,Справ!$A$3:$D$58,4,FALSE)</f>
        <v>#N/A</v>
      </c>
      <c r="HI135" s="11" t="e">
        <f t="shared" si="191"/>
        <v>#N/A</v>
      </c>
      <c r="HJ135" s="11" t="e">
        <f t="shared" si="192"/>
        <v>#N/A</v>
      </c>
      <c r="HK135" s="11" t="e">
        <f t="shared" si="193"/>
        <v>#N/A</v>
      </c>
      <c r="HL135" s="55">
        <f>IF(OR(Исходн.данные.!G135="Глин",Исходн.данные.!G135="Т_суг"),1.1,IF(Исходн.данные.!G135="Ср_суг",1,1))</f>
        <v>1</v>
      </c>
      <c r="HM135" s="55">
        <f>IF(OR(Исходн.данные.!G135="Глин",Исходн.данные.!G135="Т_суг"),0.9,IF(Исходн.данные.!G135="Ср_суг",1,1.2))</f>
        <v>1.2</v>
      </c>
      <c r="HN135" s="11" t="e">
        <f t="shared" si="194"/>
        <v>#N/A</v>
      </c>
      <c r="HO135" s="11" t="e">
        <f t="shared" si="195"/>
        <v>#N/A</v>
      </c>
      <c r="HP135" s="11" t="e">
        <f t="shared" si="196"/>
        <v>#N/A</v>
      </c>
      <c r="HQ135" t="e">
        <f t="shared" si="197"/>
        <v>#N/A</v>
      </c>
      <c r="HR135" t="e">
        <f t="shared" si="198"/>
        <v>#N/A</v>
      </c>
      <c r="HS135" t="e">
        <f t="shared" si="199"/>
        <v>#N/A</v>
      </c>
      <c r="HT135" t="e">
        <f t="shared" si="145"/>
        <v>#N/A</v>
      </c>
      <c r="HU135" t="e">
        <f t="shared" si="146"/>
        <v>#N/A</v>
      </c>
      <c r="HV135" t="e">
        <f t="shared" si="147"/>
        <v>#N/A</v>
      </c>
      <c r="HW135" t="e">
        <f t="shared" si="148"/>
        <v>#N/A</v>
      </c>
      <c r="HX135" t="e">
        <f t="shared" si="149"/>
        <v>#N/A</v>
      </c>
      <c r="HY135" t="e">
        <f t="shared" si="150"/>
        <v>#N/A</v>
      </c>
      <c r="HZ135" s="55">
        <f>IF(OR(Исходн.данные.!AI135="Оз_Ч_П",Исходн.данные.!AI135="Оз_З_П",Исходн.данные.!AI135="Яр_зер"),12,30)</f>
        <v>30</v>
      </c>
      <c r="IA135" t="e">
        <f t="shared" si="200"/>
        <v>#N/A</v>
      </c>
      <c r="IB135" t="e">
        <f t="shared" si="201"/>
        <v>#N/A</v>
      </c>
      <c r="IC135" t="e">
        <f t="shared" si="202"/>
        <v>#N/A</v>
      </c>
      <c r="ID135" s="11" t="e">
        <f t="shared" si="203"/>
        <v>#N/A</v>
      </c>
      <c r="IE135" s="11" t="e">
        <f t="shared" si="204"/>
        <v>#N/A</v>
      </c>
      <c r="IF135" s="11" t="e">
        <f t="shared" si="205"/>
        <v>#N/A</v>
      </c>
    </row>
    <row r="136" spans="35:240" x14ac:dyDescent="0.2">
      <c r="AI136">
        <f>IF(Исходн.данные.!I136&gt;6,1,1.85-(0.148*Исходн.данные.!I136))</f>
        <v>1.85</v>
      </c>
      <c r="AJ136">
        <f>IF(Исходн.данные.!I136&gt;6,1,2.434-(0.246*Исходн.данные.!I136))</f>
        <v>2.4340000000000002</v>
      </c>
      <c r="AL136" s="148" t="b">
        <f>IF(Исходн.данные.!$P136="Ум",N_OrgUd_2g_um,IF(Исходн.данные.!$P136="Об",N_OrgUd_2g_ob))</f>
        <v>0</v>
      </c>
      <c r="AM136" s="148" t="b">
        <f>IF(Исходн.данные.!$P136="Ум",P_OrgUd_2g_um,IF(Исходн.данные.!$P136="Об",P_OrgUd_2g_ob))</f>
        <v>0</v>
      </c>
      <c r="AN136" s="148" t="b">
        <f>IF(Исходн.данные.!$P136="Ум",K_OrgUd_2g_um,IF(Исходн.данные.!$P136="Об",K_OrgUd_2g_ob))</f>
        <v>0</v>
      </c>
      <c r="AO136" s="148" t="b">
        <f>IF(Исходн.данные.!$P136="Ум",N_OrgUd_1g_um,IF(Исходн.данные.!$P136="Об",N_OrgUd_1g_ob))</f>
        <v>0</v>
      </c>
      <c r="AP136" s="148" t="b">
        <f>IF(Исходн.данные.!$P136="Ум",P_OrgUd_1g_um,IF(Исходн.данные.!$P136="Об",P_OrgUd_1g_ob))</f>
        <v>0</v>
      </c>
      <c r="AQ136" s="148" t="b">
        <f>IF(Исходн.данные.!$P136="Ум",K_OrgUd_1g_um,IF(Исходн.данные.!$P136="Об",K_OrgUd_1g_ob))</f>
        <v>0</v>
      </c>
      <c r="AR136" t="b">
        <f>IF(Исходн.данные.!$P136="Ум",N_MinUd_2g_um,IF(Исходн.данные.!$P136="Об",N_MinUd_2g_ob))</f>
        <v>0</v>
      </c>
      <c r="AS136" t="b">
        <f>IF(Исходн.данные.!$P136="Ум",P_MinUd_2g_um,IF(Исходн.данные.!$P136="Об",P_MinUd_2g_ob))</f>
        <v>0</v>
      </c>
      <c r="AT136" t="b">
        <f>IF(Исходн.данные.!$P136="Ум",K_MinUd_2g_um,IF(Исходн.данные.!$P136="Об",K_MinUd_2g_ob))</f>
        <v>0</v>
      </c>
      <c r="AU136" t="b">
        <f>IF(Исходн.данные.!$P136="Ум",N_MinUd_1g_um,IF(Исходн.данные.!$P136="Об",N_MinUd_1g_ob))</f>
        <v>0</v>
      </c>
      <c r="AV136" t="b">
        <f>IF(Исходн.данные.!P136="Ум",P_MinUd_1g_um,IF(Исходн.данные.!P136="Об",P_MinUd_1g_ob))</f>
        <v>0</v>
      </c>
      <c r="AW136" t="b">
        <f>IF(Исходн.данные.!P136="Ум",K_MinUd_1g_um,IF(Исходн.данные.!P136="Об",K_MinUd_1g_ob))</f>
        <v>0</v>
      </c>
      <c r="AY136" t="e">
        <f>VLOOKUP(Исходн.данные.!T136,Справ!$A$3:$N$57,12)</f>
        <v>#N/A</v>
      </c>
      <c r="AZ136" t="e">
        <f>VLOOKUP(Исходн.данные.!T136,Справ!$A$3:$N$57,13)</f>
        <v>#N/A</v>
      </c>
      <c r="BA136" t="e">
        <f>VLOOKUP(Исходн.данные.!T136,Справ!$A$3:$N$57,14)</f>
        <v>#N/A</v>
      </c>
      <c r="BB136">
        <f>IF(Исходн.данные.!AH136=0,0,25)</f>
        <v>0</v>
      </c>
      <c r="BC136" s="141">
        <f>IF(Исходн.данные.!AH136=0,0,IF(Исходн.данные.!T136=0,25,BD136))</f>
        <v>0</v>
      </c>
      <c r="BD136" s="168" t="e">
        <f>AY136+AZ136*Исходн.данные.!U136-POWER(BA136,2)*Исходн.данные.!U136</f>
        <v>#N/A</v>
      </c>
      <c r="BE13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6" s="25">
        <f>IF(Исходн.данные.!AH136=0,0,MIN(HN136:HP136))</f>
        <v>0</v>
      </c>
      <c r="BG136" s="9">
        <f>IF(Исходн.данные.!AH136=0,0,IF((HO136+10*0.25/HG136/HL136)&lt;17,17,HO136+10*0.25/HG136/HL136))</f>
        <v>0</v>
      </c>
      <c r="BH136" s="181">
        <f>IF(Исходн.данные.!AH136=0,0,HW136*HF136*HL136/AU136*AI136+Исходн.данные.!S136*10)</f>
        <v>0</v>
      </c>
      <c r="BI136" s="10"/>
      <c r="BJ136" s="182">
        <f>IF(Исходн.данные.!AH136=0,0,IF(HX136*HG136*HL136/AV136&lt;0,0,HX136*HG136*HL136/AV136*AJ136))</f>
        <v>0</v>
      </c>
      <c r="BK136" s="182">
        <f>IF(Исходн.данные.!AH136=0,0,HY136*HH136*HM136/AW136)</f>
        <v>0</v>
      </c>
      <c r="BL136" s="10">
        <f>IF(OR(Исходн.данные.!$AH136=$BP$1,Исходн.данные.!$AH136=$BP$2),0,IF(BH136&lt;0,0,IF(OR(Исходн.данные.!T136=Расчет!$BP$1,Исходн.данные.!T136=Расчет!$BP$2,Исходн.данные.!T136=Расчет!$BT$5,Исходн.данные.!T136=Расчет!$BT$6),BH136*0.5,IF(OR(Исходн.данные.!T136=Расчет!$BS$9,Исходн.данные.!T136=Расчет!$BS$10,Исходн.данные.!T136=Расчет!$BS$11,Исходн.данные.!T136=Расчет!$BS$12,Исходн.данные.!T136=Расчет!$BP$5),BH136*0.8,BH136))))</f>
        <v>0</v>
      </c>
      <c r="BM136" s="10">
        <f>IF(OR(Исходн.данные.!$AH136=$BP$1,Исходн.данные.!$AH136=$BP$2),0,IF(BJ136&lt;0,0,IF(Исходн.данные.!I136&lt;4.5,BJ136*1.2,IF(Исходн.данные.!I136&gt;5.1,BJ136,BJ136*((5.1-Исходн.данные.!I136)*0.333+1)))))</f>
        <v>0</v>
      </c>
      <c r="BN136" s="10">
        <f>IF(OR(Исходн.данные.!$AH136=$BP$1,Исходн.данные.!$AH136=$BP$2),60-Исходн.данные.!AF136,IF(BK136&lt;0,0,IF(Исходн.данные.!I136&lt;4.5,BK136*1.2,IF(Исходн.данные.!I136&gt;5.1,BK136,BK136*((5.1-Исходн.данные.!I136)*0.333+1)))))</f>
        <v>0</v>
      </c>
      <c r="BO136" s="9">
        <f>IF(BL136&lt;0,0,BL136*Исходн.данные.!$AJ136/1000)</f>
        <v>0</v>
      </c>
      <c r="BP136" s="9">
        <f>IF(BM136&lt;0,0,BM136*Исходн.данные.!$AJ136/1000)</f>
        <v>0</v>
      </c>
      <c r="BQ136" s="9">
        <f>IF(BN136&lt;0,0,BN136*Исходн.данные.!$AJ136/1000)</f>
        <v>0</v>
      </c>
      <c r="BR136" s="9">
        <f t="shared" si="155"/>
        <v>0</v>
      </c>
      <c r="BS136" s="10" t="str">
        <f t="shared" si="156"/>
        <v>Аммофос 12:52:00</v>
      </c>
      <c r="BT136" s="10" t="str">
        <f t="shared" si="157"/>
        <v>Аммофос 12:52:00</v>
      </c>
      <c r="BU136" s="10" t="str">
        <f t="shared" si="158"/>
        <v>Диаммофоска</v>
      </c>
      <c r="BV136" s="10">
        <f t="shared" si="159"/>
        <v>0</v>
      </c>
      <c r="BW136" s="10"/>
      <c r="BX136" s="10"/>
      <c r="BY136" s="9">
        <f>IF(BL136&lt;0,0,IF(OR(Исходн.данные.!AI136=Расчет!$BU$6,Исходн.данные.!AI136=Расчет!$BU$7),Расчет!BV136,IF(Исходн.данные.!$AG136=$BV$11,BL136,IF(OR(Исходн.данные.!$AH136=$BQ$7,Исходн.данные.!$AH136=$BQ$8),CB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0,IF(Исходн.данные.!$AI136=$BU$11,"Нет",IF(BL136&gt;30,30,BL136)))))))</f>
        <v>0</v>
      </c>
      <c r="BZ136" s="9">
        <f>IF(AND(Исходн.данные.!$AG136=$BV$11,BM136&lt;10),10,IF(Исходн.данные.!$AG136=$BV$11,BM136,IF(OR(Исходн.данные.!$AH136=$BQ$7,Исходн.данные.!$AH136=$BQ$8),CC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10,IF(Исходн.данные.!$AI136=$BU$11,"Нет",IF(BM136&gt;60,60,IF(BM136&lt;10,10,BM136)))))))</f>
        <v>10</v>
      </c>
      <c r="CA136" s="39">
        <f>IF(BN136&lt;0,0,IF(Исходн.данные.!$AG136=$BV$11,BN136,IF(OR(Исходн.данные.!$AH136=$BQ$7,Исходн.данные.!$AH136=$BQ$8),CD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0,IF(Исходн.данные.!$AI136=$BU$11,"Нет",IF(BN136&gt;30,30,BN136))))))</f>
        <v>0</v>
      </c>
      <c r="CB136" s="9">
        <f t="shared" si="160"/>
        <v>0</v>
      </c>
      <c r="CC136" s="9">
        <f t="shared" si="161"/>
        <v>0</v>
      </c>
      <c r="CD136" s="9">
        <f t="shared" si="162"/>
        <v>0</v>
      </c>
      <c r="CE136" s="12">
        <f t="shared" si="163"/>
        <v>10</v>
      </c>
      <c r="CF136" s="9">
        <f t="shared" si="164"/>
        <v>0</v>
      </c>
      <c r="CG136" s="9" t="s">
        <v>231</v>
      </c>
      <c r="CH136" s="132" t="str">
        <f>IF(Исходн.данные.!AP136=Расчет!$CI$16,"Нет",IF(Исходн.данные.!AL136&gt;0,Исходн.данные.!AL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BH$4,IF(OR(Исходн.данные.!AI136=Исходн.данные.!$AI$6,Исходн.данные.!AI136=Исходн.данные.!$AI$7),Расчет!BS136,IF(AND($CF136=0,$CE136&gt;0),EV136,ER136)))))</f>
        <v>Аммофос 12:52:00</v>
      </c>
      <c r="CI136" s="274">
        <f>IF(Расчет!$CH136="Нет","Нет",IF(Исходн.данные.!$AL136&gt;0,VLOOKUP(Расчет!$CH136,АшламаДВ_Irekle,2,FALSE),VLOOKUP(Расчет!$CH136,АшламаДВ_Gomumy,2,FALSE)))</f>
        <v>0.12</v>
      </c>
      <c r="CJ136" s="274">
        <f>IF(Расчет!$CH136="Нет","Нет",IF(Исходн.данные.!$AL136&gt;0,VLOOKUP(Расчет!$CH136,АшламаДВ_Irekle,3,FALSE),VLOOKUP(Расчет!$CH136,АшламаДВ_Gomumy,3,FALSE)))</f>
        <v>0.52</v>
      </c>
      <c r="CK136" s="274">
        <f>IF(Расчет!$CH136="Нет","Нет",IF(Исходн.данные.!$AL136&gt;0,VLOOKUP(Расчет!$CH136,АшламаДВ_Irekle,4,FALSE),VLOOKUP(Расчет!$CH136,АшламаДВ_Gomumy,4,FALSE)))</f>
        <v>0</v>
      </c>
      <c r="CL136" s="70"/>
      <c r="CM136" s="70"/>
      <c r="CN136" s="70"/>
      <c r="CO136" s="70"/>
      <c r="CP136" s="70"/>
      <c r="CQ136" s="70"/>
      <c r="CR136" s="10">
        <f t="shared" si="165"/>
        <v>0</v>
      </c>
      <c r="CS136" s="10">
        <f t="shared" si="166"/>
        <v>19.23076923076923</v>
      </c>
      <c r="CT136" s="10">
        <f t="shared" si="167"/>
        <v>0</v>
      </c>
      <c r="CU136" s="39">
        <f>IF($CH136="Нет",0,IF(CI136=0,30/MIN(CJ136:CK136),IF(Исходн.данные.!$AG136=$BV$11,CR136,IF(OR(Исходн.данные.!$AH136=$BQ$7,Исходн.данные.!$AH136=$BQ$8),90/CI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0,IF(Исходн.данные.!$AI136=$BU$11,"Нет",30/CI136))))))</f>
        <v>250</v>
      </c>
      <c r="CV136" s="39">
        <f>IF($CH136="Нет",0,IF(Исходн.данные.!AH136=0,0,IF(CJ136=0,60/MIN(CI136,CK136),IF(Исходн.данные.!$AG136=$BV$11,CS136,IF(OR(Исходн.данные.!$AH136=$BQ$7,Исходн.данные.!$AH136=$BQ$8),90/CJ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10/CJ136,IF(Исходн.данные.!$AI136=$BU$11,"Нет",60/CJ136)))))))</f>
        <v>0</v>
      </c>
      <c r="CW136" s="39">
        <f>IF($CH136="Нет",0,IF(Исходн.данные.!AH136=0,0,IF(CK136=0,30/MIN(CI136:CJ136),IF(Исходн.данные.!$AG136=$BV$11,CT136,IF(OR(Исходн.данные.!$AH136=$BQ$7,Исходн.данные.!$AH136=$BQ$8),90/CK136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0,IF(Исходн.данные.!$AI136=$BU$11,"Нет",30/CK136)))))))</f>
        <v>0</v>
      </c>
      <c r="CX136" s="133">
        <f>IF(Исходн.данные.!$AG136=$BV$11,MAX(CU136:CW136),IF(OR(Исходн.данные.!$AH136=$BS$8,Исходн.данные.!$AH136=$BQ$9,Исходн.данные.!$AH136=$BQ$10,Исходн.данные.!$AH136=$BQ$11,Исходн.данные.!$AH136=$BQ$12,Исходн.данные.!$AH136=$BP$3,Исходн.данные.!$AH136=$BT$8,$FM136="Да"),CV136,MIN(CU136:CW136)))</f>
        <v>0</v>
      </c>
      <c r="CY136" s="133">
        <f>IF(Исходн.данные.!AH136=0,0,IF(CR136&gt;$CX136,$CX136,CR136))</f>
        <v>0</v>
      </c>
      <c r="CZ136" s="133">
        <f>IF(Исходн.данные.!AH136=0,0,IF(CS136&gt;$CX136,$CX136,CS136))</f>
        <v>0</v>
      </c>
      <c r="DA136" s="133">
        <f>IF(Исходн.данные.!AH136=0,0,IF(CT136&gt;$CX136,$CX136,CT136))</f>
        <v>0</v>
      </c>
      <c r="DB136" s="10">
        <f t="shared" si="168"/>
        <v>0</v>
      </c>
      <c r="DC136" s="39">
        <f>DB136*Исходн.данные.!AJ136/1000</f>
        <v>0</v>
      </c>
      <c r="DD136" s="71">
        <f t="shared" si="169"/>
        <v>0</v>
      </c>
      <c r="DE136" s="9">
        <f t="shared" si="170"/>
        <v>0</v>
      </c>
      <c r="DF136" s="9">
        <f t="shared" si="171"/>
        <v>0</v>
      </c>
      <c r="DG136" s="39">
        <f>IF(BL136&lt;0,0,IF($CH136="Нет",BL136,IF(OR(Исходн.данные.!$AH136=$BP$1,Исходн.данные.!$AH136=$BP$2),0,IF(Исходн.данные.!AI136=$BU$11,BL136,IF(BL136-DD136&lt;0,0,BL136-DD136)))))</f>
        <v>0</v>
      </c>
      <c r="DH136" s="39">
        <f>IF(BM136&lt;0,0,IF($CH136="Нет",BM136,IF(OR(Исходн.данные.!$AH136=$BP$1,Исходн.данные.!$AH136=$BP$2),0,IF(Исходн.данные.!AJ136=$BU$11,BM136,IF(BM136-DE136&lt;0,0,BM136-DE136)))))</f>
        <v>0</v>
      </c>
      <c r="DI136" s="39">
        <f>IF(BN136&lt;0,0,IF($CH136="Нет",BN136,IF(OR(Исходн.данные.!$AH136=$BP$1,Исходн.данные.!$AH136=$BP$2),0,IF(Исходн.данные.!AK136=$BU$11,BN136,IF(BN136-DF136&lt;0,0,BN136-DF136)))))</f>
        <v>0</v>
      </c>
      <c r="DJ136" s="12">
        <f t="shared" si="172"/>
        <v>0</v>
      </c>
      <c r="DK136" s="9">
        <f t="shared" si="173"/>
        <v>0</v>
      </c>
      <c r="DL136" s="39">
        <f>IF(Исходн.данные.!AM136&gt;0,Исходн.данные.!AM136,IF(EG136&gt;0,$BH$10,0))</f>
        <v>0</v>
      </c>
      <c r="DM136" s="186">
        <f>IF($DL136=0,0,IF(Исходн.данные.!AM136&gt;0,VLOOKUP($DL136,АшламаДВ_Irekle,2,FALSE),VLOOKUP($DL136,АшламаДВ_Gomumy,2,FALSE)))</f>
        <v>0</v>
      </c>
      <c r="DN136" s="10">
        <f t="shared" si="151"/>
        <v>0</v>
      </c>
      <c r="DO136" s="9" t="str">
        <f>IF(Исходн.данные.!AN136&gt;0,Исходн.данные.!AN136,Удобрения!$B$37 )</f>
        <v>Хлор.калий</v>
      </c>
      <c r="DP136" s="9">
        <f>IF(Исходн.данные.!AN136&gt;0,VLOOKUP(Исходн.данные.!AN136,АшламаДВ_Irekle,4,FALSE),VLOOKUP(DO136,АшламаДВ_Gomumy,4,FALSE))</f>
        <v>0.6</v>
      </c>
      <c r="DQ136" s="10">
        <f t="shared" si="152"/>
        <v>0</v>
      </c>
      <c r="DR136" s="132" t="str">
        <f>IF(Исходн.данные.!AO136&gt;0,Исходн.данные.!AO136,IF(DH136=0,BS$17,IF(AND($DK136=0,$DJ136&gt;0),EJ136,EN136)))</f>
        <v>Нет</v>
      </c>
      <c r="DS136" s="70" t="str">
        <f>IF($DR136="Нет","Нет",IF(Исходн.данные.!$AO136&gt;0,VLOOKUP($DR136,АшламаДВ_Irekle,2,FALSE),VLOOKUP($DR136,АшламаДВ_Gomumy,2,FALSE)))</f>
        <v>Нет</v>
      </c>
      <c r="DT136" s="70" t="str">
        <f>IF($DR136="Нет","Нет",IF(Исходн.данные.!$AO136&gt;0,VLOOKUP($DR136,АшламаДВ_Irekle,3,FALSE),VLOOKUP($DR136,АшламаДВ_Gomumy,3,FALSE)))</f>
        <v>Нет</v>
      </c>
      <c r="DU136" s="70" t="str">
        <f>IF($DR136="Нет","Нет",IF(Исходн.данные.!$AO136&gt;0,VLOOKUP($DR136,АшламаДВ_Irekle,4,FALSE),VLOOKUP($DR136,АшламаДВ_Gomumy,4,FALSE)))</f>
        <v>Нет</v>
      </c>
      <c r="DV136" s="70"/>
      <c r="DW136" s="70"/>
      <c r="DX136" s="70"/>
      <c r="DY136" s="10">
        <f t="shared" si="174"/>
        <v>0</v>
      </c>
      <c r="DZ136" s="10">
        <f t="shared" si="175"/>
        <v>0</v>
      </c>
      <c r="EA136" s="10">
        <f t="shared" si="176"/>
        <v>0</v>
      </c>
      <c r="EB136" s="10">
        <f t="shared" si="177"/>
        <v>0</v>
      </c>
      <c r="EC136" s="10">
        <f t="shared" si="178"/>
        <v>0</v>
      </c>
      <c r="ED136" s="10">
        <f t="shared" si="179"/>
        <v>0</v>
      </c>
      <c r="EE136" s="10">
        <f t="shared" si="180"/>
        <v>0</v>
      </c>
      <c r="EF136" s="39">
        <f>EB136*Исходн.данные.!AJ136/1000</f>
        <v>0</v>
      </c>
      <c r="EG136" s="9">
        <f t="shared" si="181"/>
        <v>0</v>
      </c>
      <c r="EH136" s="9">
        <f t="shared" si="182"/>
        <v>0</v>
      </c>
      <c r="EI136" s="39" t="e">
        <f t="shared" si="132"/>
        <v>#DIV/0!</v>
      </c>
      <c r="EJ136" s="9" t="str">
        <f t="shared" si="153"/>
        <v>Азопреципитат</v>
      </c>
      <c r="EK136" s="12">
        <f t="shared" si="133"/>
        <v>0.26</v>
      </c>
      <c r="EL136" s="12">
        <f t="shared" si="134"/>
        <v>0.13</v>
      </c>
      <c r="EM136" s="12">
        <f t="shared" si="135"/>
        <v>0</v>
      </c>
      <c r="EN136" s="12" t="str">
        <f t="shared" si="154"/>
        <v>Нет</v>
      </c>
      <c r="EO136" s="12">
        <f t="shared" si="136"/>
        <v>0</v>
      </c>
      <c r="EP136" s="12">
        <f t="shared" si="137"/>
        <v>0</v>
      </c>
      <c r="EQ136" s="12">
        <f t="shared" si="138"/>
        <v>0</v>
      </c>
      <c r="ER136" s="12" t="str">
        <f t="shared" si="183"/>
        <v>Диаммофоска</v>
      </c>
      <c r="ES136" s="12">
        <f t="shared" si="139"/>
        <v>0.1</v>
      </c>
      <c r="ET136" s="12">
        <f t="shared" si="140"/>
        <v>0.26</v>
      </c>
      <c r="EU136" s="12">
        <f t="shared" si="141"/>
        <v>0.26</v>
      </c>
      <c r="EV136" s="12" t="str">
        <f t="shared" si="184"/>
        <v>Аммофос 12:52:00</v>
      </c>
      <c r="EW136" s="12" t="str">
        <f t="shared" si="185"/>
        <v>Кемира Свекловичное-6</v>
      </c>
      <c r="EX136" s="12">
        <f t="shared" si="142"/>
        <v>0.16</v>
      </c>
      <c r="EY136" s="12">
        <f t="shared" si="143"/>
        <v>0.12</v>
      </c>
      <c r="EZ136" s="12">
        <f t="shared" si="144"/>
        <v>0.17</v>
      </c>
      <c r="FA136" s="38" t="e">
        <f>IF(AND(OR(FJ136=$FD$1,FM136=$FD$1,FO136=$FD$1,FQ136=$FD$1,FS136=$FD$1),FD136=$FD$1,Исходн.данные.!J136&lt;2,FU136=$FD$1),"Бор,Кобальт",IF(AND(FO136=$FD$1,FH136=$FD$1,Исходн.данные.!J136&lt;2,FU136=$FD$1),"Бор,Кобальт",IF(AND(OR(FJ136=$FD$1,FM136=$FD$1,FQ136=$FD$1),FE136=$FD$1,Исходн.данные.!J136&lt;2,FT136=$FD$1,FU136=$FD$1),"Бор,Медь,Цинк",IF(AND(OR(FJ136=$FD$1,FR136="Да"),FI136="Да",Исходн.данные.!J136&lt;2,FT136="Да",FU136="Да"),"Бор,Цинк,Медь",IF(AND(OR(FM136="Да",FQ136="Да"),FI136="Да",Исходн.данные.!J136&lt;2,FT136="Да",FU136="Да"),"Бор,Цинк",IF(AND(FN136="Да",OR(FD136="Да",FE136="Да")),"Бор",FB136))))))</f>
        <v>#N/A</v>
      </c>
      <c r="FB136" s="134" t="e">
        <f>IF(AND(OR(FD136="Да",FE136="Да",FF136="Да",FG136="Да",FH136="Да"),FO136="Да"),"Бор",IF(AND(FP136="Да",OR(FD136="Да",FE136="Да",FI136="Да")),"Бор",IF(AND(FS136="Да",FE136="Да"),"Бор,Медь",IF(AND(OR(FJ136="Да",FK136="Да",FL136="Да"),FE136="Да",Исходн.данные.!I136&lt;5,FT136="Да",FU136="Да"),"Молибден,Цинк",IF(AND(FM136="Да",OR(FE136="Да",FF136="Да",FG136="Да",FH136="Да",FI136="Да")),"Молибден,Цинк",IF(AND(OR(FJ136="Да",FK136="Да",FL136="Да",FM136="Да",FQ136="Да"),OR(FE136="Да",FF136="Да"),FT136="Да",FU136="Да",Исходн.данные.!I136&gt;5.5),"Медь,Цинк",FC136))))))</f>
        <v>#N/A</v>
      </c>
      <c r="FC136" s="23" t="e">
        <f t="shared" si="186"/>
        <v>#N/A</v>
      </c>
      <c r="FD136" s="38" t="str">
        <f>IF(OR(Исходн.данные.!F136=$CC$1,Исходн.данные.!F136=$CC$2,Исходн.данные.!F136=$CC$3,Исходн.данные.!F136=$CC$4),"Да","Нет")</f>
        <v>Нет</v>
      </c>
      <c r="FE136" s="38" t="str">
        <f>IF(Исходн.данные.!F136=$CC$5,"Да","Нет")</f>
        <v>Нет</v>
      </c>
      <c r="FF136" s="38" t="str">
        <f>IF(OR(Исходн.данные.!F136=$CC$6,Исходн.данные.!F136=$CC$7),"Да","Нет")</f>
        <v>Нет</v>
      </c>
      <c r="FG136" s="38" t="str">
        <f>IF(OR(Исходн.данные.!F136=$CC$8,Исходн.данные.!F136=$CC$9),"Да","Нет")</f>
        <v>Нет</v>
      </c>
      <c r="FH136" s="38" t="str">
        <f>IF(Исходн.данные.!F136=$CC$10,"Да","Нет")</f>
        <v>Нет</v>
      </c>
      <c r="FI136" s="38" t="str">
        <f>IF(OR(Исходн.данные.!F136=$CC$11,Исходн.данные.!F136=$CC$12),"Да","Нет")</f>
        <v>Нет</v>
      </c>
      <c r="FJ136" s="38" t="str">
        <f>IF(OR(Исходн.данные.!AH136=$BS$1,Исходн.данные.!AH136=$BQ$11,Исходн.данные.!AH136=$BQ$12),"Да","Нет")</f>
        <v>Нет</v>
      </c>
      <c r="FK136" s="38" t="str">
        <f>IF(OR(Исходн.данные.!AH136=$BS$2,Исходн.данные.!AH136=$BS$4),"Да","Нет")</f>
        <v>Нет</v>
      </c>
      <c r="FL136" s="38" t="str">
        <f>IF(OR(Исходн.данные.!AH136=$BS$3,Исходн.данные.!AH136=$BS$5),"Да","Нет")</f>
        <v>Нет</v>
      </c>
      <c r="FM136" s="38" t="str">
        <f>IF(OR(Исходн.данные.!AH136=$BS$9,Исходн.данные.!AH136=$BS$10,Исходн.данные.!AH136=$BS$11,Исходн.данные.!AH136=$BS$12),"Да","Нет")</f>
        <v>Нет</v>
      </c>
      <c r="FN136" s="38" t="str">
        <f>IF(OR(Исходн.данные.!AH136=$BS$6,Исходн.данные.!AH136=$BP$3),"Да","Нет")</f>
        <v>Нет</v>
      </c>
      <c r="FO136" s="38" t="str">
        <f>IF(Исходн.данные.!AH136=$BQ$9,"Да","Нет")</f>
        <v>Нет</v>
      </c>
      <c r="FP136" s="38" t="str">
        <f>IF(OR(Исходн.данные.!AH136=$BS$8,Исходн.данные.!AH136=$BT$8),"Да","Нет")</f>
        <v>Нет</v>
      </c>
      <c r="FQ136" s="38" t="str">
        <f>IF(OR(Исходн.данные.!AH136=$BQ$7,Исходн.данные.!AH136=$BQ$8),"Да","Нет")</f>
        <v>Нет</v>
      </c>
      <c r="FR136" s="38" t="str">
        <f>IF(Исходн.данные.!AI136=$BU$9,"Да","Нет")</f>
        <v>Нет</v>
      </c>
      <c r="FS136" s="38" t="str">
        <f>IF(OR(Исходн.данные.!AH136=$BP$1,Исходн.данные.!AH136=$BP$2),"Да","Нет")</f>
        <v>Нет</v>
      </c>
      <c r="FT136" s="38" t="e">
        <f>IF((Исходн.данные.!K136*GO136*GS136*GW136+BL136*0.6+Исходн.данные.!Q136*4.5*0.275)&gt;90,"Да","Нет")</f>
        <v>#N/A</v>
      </c>
      <c r="FU136" s="38" t="e">
        <f>IF((Исходн.данные.!M136*GS136*GZ136+BM136*0.225)&gt;35,"Да","Нет")</f>
        <v>#N/A</v>
      </c>
      <c r="FV136" s="38" t="str">
        <f>IF(Исходн.данные.!O136&gt;175,"Да","Нет")</f>
        <v>Нет</v>
      </c>
      <c r="FW136" s="39" t="str">
        <f>IF(Исходн.данные.!I136&gt;5.5,"Да","Нет")</f>
        <v>Нет</v>
      </c>
      <c r="FX136" s="39" t="str">
        <f>IF(Исходн.данные.!J136&lt;2,"Да","Нет")</f>
        <v>Да</v>
      </c>
      <c r="FY136" s="39" t="e">
        <f>IF(HF136=$FY$16,0,Исходн.данные.!K136*GO136*GS136*GW136/HF136)</f>
        <v>#N/A</v>
      </c>
      <c r="FZ136" s="39" t="e">
        <f>Исходн.данные.!M136*GS136*GZ136/HG136</f>
        <v>#N/A</v>
      </c>
      <c r="GA136" s="39" t="e">
        <f>IF(K_Wyn=$FY$16,0,IF(Исходн.данные.!N136=Исходн.данные.!$L$10,Исходн.данные.!O136/1.1*GS136*HC136/HH136,IF(Исходн.данные.!N136=Исходн.данные.!$L$12,Исходн.данные.!O136/1.5*GS136*HC136/HH136,Исходн.данные.!O136*GS136*HC136/HH136)))</f>
        <v>#N/A</v>
      </c>
      <c r="GB136" s="39" t="e">
        <f>IF(HF136=$FY$16,0,((Исходн.данные.!Q136*N_Org+Исходн.данные.!R136*N_Sider+Исходн.данные.!S136*N_Soloma)*AO136+Расчет!BC136*VLOOKUP(Исходн.данные.!T136,Справ!$A$3:$O$57,15)*AO136+BB136*VLOOKUP(Исходн.данные.!T136,Справ!$A$3:$O$57,15)*AL136+(Исходн.данные.!V136*N_Rizotorf+Исходн.данные.!W136*N_Rizoagr))/HF136)</f>
        <v>#N/A</v>
      </c>
      <c r="GC136" s="39" t="e">
        <f>IF(HG136=$FY$16,0,((Исходн.данные.!Q136*Р_Org+Исходн.данные.!R136*P_Sider+Исходн.данные.!S136*P_Soloma)*AP136+Расчет!BC136*VLOOKUP(Исходн.данные.!T136,Справ!$A$3:$P$57,16)*AP136+BB136*VLOOKUP(Исходн.данные.!T136,Справ!$A$3:$P$57,16)*AM136)/HG136)</f>
        <v>#N/A</v>
      </c>
      <c r="GD136" s="39" t="e">
        <f>IF(HH136=$FY$16,0,((Исходн.данные.!Q136*К_Org+Исходн.данные.!R136*K_Sider+Исходн.данные.!S136*K_Soloma)*AQ136+Расчет!BC136*VLOOKUP(Исходн.данные.!T136,Справ!$A$3:$Q$57,17)*AQ136+BB136*VLOOKUP(Исходн.данные.!T136,Справ!$A$3:$Q$57,17)*AN136)/HH136)</f>
        <v>#N/A</v>
      </c>
      <c r="GE136" s="39" t="e">
        <f>IF(HF136=$FY$16,0,(Исходн.данные.!X136*AR136+Исходн.данные.!AA136*N_Org*AL136+Исходн.данные.!AB136*N_Sider*AL136+Исходн.данные.!AC136*N_Soloma*AL136)/HF136)</f>
        <v>#N/A</v>
      </c>
      <c r="GF136" s="39" t="e">
        <f>IF(HG136=$FY$16,0,(Исходн.данные.!Y136*AS136+Исходн.данные.!AA136*Р_Org*AM136+Исходн.данные.!AB136*P_Sider*AM136+Исходн.данные.!AC136*P_Soloma*AM136)/HG136)</f>
        <v>#N/A</v>
      </c>
      <c r="GG136" s="39" t="e">
        <f>IF(HH136=$FY$16,0,(Исходн.данные.!Z136*AT136+Исходн.данные.!AA136*К_Org*AN136+Исходн.данные.!AB136*K_Sider*AN136+Исходн.данные.!AC136*K_Soloma*AN136)/HH136)</f>
        <v>#N/A</v>
      </c>
      <c r="GH136" s="39" t="e">
        <f>Исходн.данные.!AD136*AU136/HF136</f>
        <v>#N/A</v>
      </c>
      <c r="GI136" s="39" t="e">
        <f>Исходн.данные.!AE136*AV136/HG136</f>
        <v>#N/A</v>
      </c>
      <c r="GJ136" s="39" t="e">
        <f>Исходн.данные.!AF136*AW136/HH136</f>
        <v>#N/A</v>
      </c>
      <c r="GK136" s="55">
        <f>Исходн.данные.!AK136</f>
        <v>0</v>
      </c>
      <c r="GL136" s="11" t="e">
        <f t="shared" si="187"/>
        <v>#N/A</v>
      </c>
      <c r="GM136" s="11" t="e">
        <f t="shared" si="188"/>
        <v>#N/A</v>
      </c>
      <c r="GN136" s="11" t="e">
        <f t="shared" si="189"/>
        <v>#N/A</v>
      </c>
      <c r="GO136" s="57">
        <f t="shared" si="190"/>
        <v>19</v>
      </c>
      <c r="GP136" s="55">
        <f>IF(OR(Исходн.данные.!F136=$CE$1,Исходн.данные.!F136=$CE$2,Исходн.данные.!F136=$CE$3,Исходн.данные.!F136=$CE$4,Исходн.данные.!F136=$CE$5),GQ136,GR136)</f>
        <v>19</v>
      </c>
      <c r="GQ136" s="55">
        <f>IF(Исходн.данные.!F136=$CE$1,28,IF(Исходн.данные.!F136=$CE$2,26,IF(Исходн.данные.!F136=$CE$3,24,IF(Исходн.данные.!F136=$CE$4,22,IF(Исходн.данные.!F136=$CE$5,20,GR136)))))</f>
        <v>19</v>
      </c>
      <c r="GR136" s="55">
        <f>IF(Исходн.данные.!F136=$CE$6,18,IF(Исходн.данные.!F136=$CE$7,16,IF(Исходн.данные.!F136=$CE$8,14,IF(Исходн.данные.!F136=$CE$9,13,IF(Исходн.данные.!F136=$CE$10,12,19)))))</f>
        <v>19</v>
      </c>
      <c r="GS136" s="55">
        <f>IF(Исходн.данные.!G136="Пес",0.035*(40+2*Исходн.данные.!H136),IF(Исходн.данные.!G136="Суп",0.0325*(40+2*Исходн.данные.!H136),0.03*(40+2*Исходн.данные.!H136)))</f>
        <v>1.2</v>
      </c>
      <c r="GT136" s="55">
        <f>IF(Исходн.данные.!H136&lt;23,2.6,IF(AND(Исходн.данные.!H136&gt;22,Исходн.данные.!H136&lt;26),3,IF(AND(Исходн.данные.!H136&gt;25,Исходн.данные.!H136&lt;29),3.4,3.6)))</f>
        <v>2.6</v>
      </c>
      <c r="GU136" s="55">
        <f>IF(Исходн.данные.!H136&lt;23,2.8,IF(AND(Исходн.данные.!H136&gt;22,Исходн.данные.!H136&lt;26),3.2,IF(AND(Исходн.данные.!H136&gt;25,Исходн.данные.!H136&lt;29),3.6,3.9)))</f>
        <v>2.8</v>
      </c>
      <c r="GV136" s="55">
        <f>IF(Исходн.данные.!H136&lt;23,3,IF(AND(Исходн.данные.!H136&gt;22,Исходн.данные.!H136&lt;26),3.5,IF(AND(Исходн.данные.!H136&gt;25,Исходн.данные.!H136&lt;29),3.9,4.2)))</f>
        <v>3</v>
      </c>
      <c r="GW136" s="55" t="e">
        <f>IF(Исходн.данные.!P136="Ум",GX136,GY136)</f>
        <v>#N/A</v>
      </c>
      <c r="GX136" s="55" t="e">
        <f>VLOOKUP(Исходн.данные.!AI136,Коэффициенты!$J$7:$L$13,2,FALSE)</f>
        <v>#N/A</v>
      </c>
      <c r="GY136" s="55" t="e">
        <f>VLOOKUP(Исходн.данные.!AI136,Коэффициенты!$J$7:$L$13,3,FALSE)</f>
        <v>#N/A</v>
      </c>
      <c r="GZ136" s="55" t="e">
        <f>(IF(Исходн.данные.!M136&lt;50,0.11*VLOOKUP(Исходн.данные.!AH136,Культуры.Информация,7,FALSE),IF(Исходн.данные.!M136&gt;250,0.05*VLOOKUP(Исходн.данные.!AH136,Культуры.Информация,7,FALSE),VLOOKUP(Исходн.данные.!AH136,Культуры.Информация,5,FALSE)/100*($GX$6+$GY$6*Исходн.данные.!M136))))*Расчет2!AI136</f>
        <v>#N/A</v>
      </c>
      <c r="HA136" s="211"/>
      <c r="HB136" s="211"/>
      <c r="HC136" s="55" t="e">
        <f>(IF(Исходн.данные.!O136&lt;80,0.2*VLOOKUP(Исходн.данные.!AH136,Культуры.Информация,8,FALSE),IF(Исходн.данные.!O136&gt;240,0.09*VLOOKUP(Исходн.данные.!AH136,Культуры.Информация,8,FALSE),VLOOKUP(Исходн.данные.!AH136,Культуры.Информация,6,FALSE)/100*($HB$6+$HC$6*Исходн.данные.!O136))))*Расчет2!AJ136</f>
        <v>#N/A</v>
      </c>
      <c r="HD136" s="55">
        <f>IF(Исходн.данные.!O136&gt;240,0.09,IF(Исходн.данные.!O136&lt;30,0.3,$HE$10+$HD$10*Исходн.данные.!O136))</f>
        <v>0.3</v>
      </c>
      <c r="HE136" s="55">
        <f>IF(Исходн.данные.!O136&gt;240,0.17,IF(Исходн.данные.!O136&lt;30,0.5,$HF$12+$HE$12*Исходн.данные.!O136))</f>
        <v>0.5</v>
      </c>
      <c r="HF136" s="55" t="e">
        <f>VLOOKUP(Исходн.данные.!AH136,Справ!$A$3:$D$58,2,FALSE)</f>
        <v>#N/A</v>
      </c>
      <c r="HG136" s="55" t="e">
        <f>VLOOKUP(Исходн.данные.!AH136,Справ!$A$3:$D$58,3,FALSE)</f>
        <v>#N/A</v>
      </c>
      <c r="HH136" s="55" t="e">
        <f>VLOOKUP(Исходн.данные.!AH136,Справ!$A$3:$D$58,4,FALSE)</f>
        <v>#N/A</v>
      </c>
      <c r="HI136" s="11" t="e">
        <f t="shared" si="191"/>
        <v>#N/A</v>
      </c>
      <c r="HJ136" s="11" t="e">
        <f t="shared" si="192"/>
        <v>#N/A</v>
      </c>
      <c r="HK136" s="11" t="e">
        <f t="shared" si="193"/>
        <v>#N/A</v>
      </c>
      <c r="HL136" s="55">
        <f>IF(OR(Исходн.данные.!G136="Глин",Исходн.данные.!G136="Т_суг"),1.1,IF(Исходн.данные.!G136="Ср_суг",1,1))</f>
        <v>1</v>
      </c>
      <c r="HM136" s="55">
        <f>IF(OR(Исходн.данные.!G136="Глин",Исходн.данные.!G136="Т_суг"),0.9,IF(Исходн.данные.!G136="Ср_суг",1,1.2))</f>
        <v>1.2</v>
      </c>
      <c r="HN136" s="11" t="e">
        <f t="shared" si="194"/>
        <v>#N/A</v>
      </c>
      <c r="HO136" s="11" t="e">
        <f t="shared" si="195"/>
        <v>#N/A</v>
      </c>
      <c r="HP136" s="11" t="e">
        <f t="shared" si="196"/>
        <v>#N/A</v>
      </c>
      <c r="HQ136" t="e">
        <f t="shared" si="197"/>
        <v>#N/A</v>
      </c>
      <c r="HR136" t="e">
        <f t="shared" si="198"/>
        <v>#N/A</v>
      </c>
      <c r="HS136" t="e">
        <f t="shared" si="199"/>
        <v>#N/A</v>
      </c>
      <c r="HT136" t="e">
        <f t="shared" si="145"/>
        <v>#N/A</v>
      </c>
      <c r="HU136" t="e">
        <f t="shared" si="146"/>
        <v>#N/A</v>
      </c>
      <c r="HV136" t="e">
        <f t="shared" si="147"/>
        <v>#N/A</v>
      </c>
      <c r="HW136" t="e">
        <f t="shared" si="148"/>
        <v>#N/A</v>
      </c>
      <c r="HX136" t="e">
        <f t="shared" si="149"/>
        <v>#N/A</v>
      </c>
      <c r="HY136" t="e">
        <f t="shared" si="150"/>
        <v>#N/A</v>
      </c>
      <c r="HZ136" s="55">
        <f>IF(OR(Исходн.данные.!AI136="Оз_Ч_П",Исходн.данные.!AI136="Оз_З_П",Исходн.данные.!AI136="Яр_зер"),12,30)</f>
        <v>30</v>
      </c>
      <c r="IA136" t="e">
        <f t="shared" si="200"/>
        <v>#N/A</v>
      </c>
      <c r="IB136" t="e">
        <f t="shared" si="201"/>
        <v>#N/A</v>
      </c>
      <c r="IC136" t="e">
        <f t="shared" si="202"/>
        <v>#N/A</v>
      </c>
      <c r="ID136" s="11" t="e">
        <f t="shared" si="203"/>
        <v>#N/A</v>
      </c>
      <c r="IE136" s="11" t="e">
        <f t="shared" si="204"/>
        <v>#N/A</v>
      </c>
      <c r="IF136" s="11" t="e">
        <f t="shared" si="205"/>
        <v>#N/A</v>
      </c>
    </row>
    <row r="137" spans="35:240" x14ac:dyDescent="0.2">
      <c r="AI137">
        <f>IF(Исходн.данные.!I137&gt;6,1,1.85-(0.148*Исходн.данные.!I137))</f>
        <v>1.85</v>
      </c>
      <c r="AJ137">
        <f>IF(Исходн.данные.!I137&gt;6,1,2.434-(0.246*Исходн.данные.!I137))</f>
        <v>2.4340000000000002</v>
      </c>
      <c r="AL137" s="148" t="b">
        <f>IF(Исходн.данные.!$P137="Ум",N_OrgUd_2g_um,IF(Исходн.данные.!$P137="Об",N_OrgUd_2g_ob))</f>
        <v>0</v>
      </c>
      <c r="AM137" s="148" t="b">
        <f>IF(Исходн.данные.!$P137="Ум",P_OrgUd_2g_um,IF(Исходн.данные.!$P137="Об",P_OrgUd_2g_ob))</f>
        <v>0</v>
      </c>
      <c r="AN137" s="148" t="b">
        <f>IF(Исходн.данные.!$P137="Ум",K_OrgUd_2g_um,IF(Исходн.данные.!$P137="Об",K_OrgUd_2g_ob))</f>
        <v>0</v>
      </c>
      <c r="AO137" s="148" t="b">
        <f>IF(Исходн.данные.!$P137="Ум",N_OrgUd_1g_um,IF(Исходн.данные.!$P137="Об",N_OrgUd_1g_ob))</f>
        <v>0</v>
      </c>
      <c r="AP137" s="148" t="b">
        <f>IF(Исходн.данные.!$P137="Ум",P_OrgUd_1g_um,IF(Исходн.данные.!$P137="Об",P_OrgUd_1g_ob))</f>
        <v>0</v>
      </c>
      <c r="AQ137" s="148" t="b">
        <f>IF(Исходн.данные.!$P137="Ум",K_OrgUd_1g_um,IF(Исходн.данные.!$P137="Об",K_OrgUd_1g_ob))</f>
        <v>0</v>
      </c>
      <c r="AR137" t="b">
        <f>IF(Исходн.данные.!$P137="Ум",N_MinUd_2g_um,IF(Исходн.данные.!$P137="Об",N_MinUd_2g_ob))</f>
        <v>0</v>
      </c>
      <c r="AS137" t="b">
        <f>IF(Исходн.данные.!$P137="Ум",P_MinUd_2g_um,IF(Исходн.данные.!$P137="Об",P_MinUd_2g_ob))</f>
        <v>0</v>
      </c>
      <c r="AT137" t="b">
        <f>IF(Исходн.данные.!$P137="Ум",K_MinUd_2g_um,IF(Исходн.данные.!$P137="Об",K_MinUd_2g_ob))</f>
        <v>0</v>
      </c>
      <c r="AU137" t="b">
        <f>IF(Исходн.данные.!$P137="Ум",N_MinUd_1g_um,IF(Исходн.данные.!$P137="Об",N_MinUd_1g_ob))</f>
        <v>0</v>
      </c>
      <c r="AV137" t="b">
        <f>IF(Исходн.данные.!P137="Ум",P_MinUd_1g_um,IF(Исходн.данные.!P137="Об",P_MinUd_1g_ob))</f>
        <v>0</v>
      </c>
      <c r="AW137" t="b">
        <f>IF(Исходн.данные.!P137="Ум",K_MinUd_1g_um,IF(Исходн.данные.!P137="Об",K_MinUd_1g_ob))</f>
        <v>0</v>
      </c>
      <c r="AY137" t="e">
        <f>VLOOKUP(Исходн.данные.!T137,Справ!$A$3:$N$57,12)</f>
        <v>#N/A</v>
      </c>
      <c r="AZ137" t="e">
        <f>VLOOKUP(Исходн.данные.!T137,Справ!$A$3:$N$57,13)</f>
        <v>#N/A</v>
      </c>
      <c r="BA137" t="e">
        <f>VLOOKUP(Исходн.данные.!T137,Справ!$A$3:$N$57,14)</f>
        <v>#N/A</v>
      </c>
      <c r="BB137">
        <f>IF(Исходн.данные.!AH137=0,0,25)</f>
        <v>0</v>
      </c>
      <c r="BC137" s="141">
        <f>IF(Исходн.данные.!AH137=0,0,IF(Исходн.данные.!T137=0,25,BD137))</f>
        <v>0</v>
      </c>
      <c r="BD137" s="168" t="e">
        <f>AY137+AZ137*Исходн.данные.!U137-POWER(BA137,2)*Исходн.данные.!U137</f>
        <v>#N/A</v>
      </c>
      <c r="BE13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7" s="25">
        <f>IF(Исходн.данные.!AH137=0,0,MIN(HN137:HP137))</f>
        <v>0</v>
      </c>
      <c r="BG137" s="9">
        <f>IF(Исходн.данные.!AH137=0,0,IF((HO137+10*0.25/HG137/HL137)&lt;17,17,HO137+10*0.25/HG137/HL137))</f>
        <v>0</v>
      </c>
      <c r="BH137" s="181">
        <f>IF(Исходн.данные.!AH137=0,0,HW137*HF137*HL137/AU137*AI137+Исходн.данные.!S137*10)</f>
        <v>0</v>
      </c>
      <c r="BI137" s="10"/>
      <c r="BJ137" s="182">
        <f>IF(Исходн.данные.!AH137=0,0,IF(HX137*HG137*HL137/AV137&lt;0,0,HX137*HG137*HL137/AV137*AJ137))</f>
        <v>0</v>
      </c>
      <c r="BK137" s="182">
        <f>IF(Исходн.данные.!AH137=0,0,HY137*HH137*HM137/AW137)</f>
        <v>0</v>
      </c>
      <c r="BL137" s="10">
        <f>IF(OR(Исходн.данные.!$AH137=$BP$1,Исходн.данные.!$AH137=$BP$2),0,IF(BH137&lt;0,0,IF(OR(Исходн.данные.!T137=Расчет!$BP$1,Исходн.данные.!T137=Расчет!$BP$2,Исходн.данные.!T137=Расчет!$BT$5,Исходн.данные.!T137=Расчет!$BT$6),BH137*0.5,IF(OR(Исходн.данные.!T137=Расчет!$BS$9,Исходн.данные.!T137=Расчет!$BS$10,Исходн.данные.!T137=Расчет!$BS$11,Исходн.данные.!T137=Расчет!$BS$12,Исходн.данные.!T137=Расчет!$BP$5),BH137*0.8,BH137))))</f>
        <v>0</v>
      </c>
      <c r="BM137" s="10">
        <f>IF(OR(Исходн.данные.!$AH137=$BP$1,Исходн.данные.!$AH137=$BP$2),0,IF(BJ137&lt;0,0,IF(Исходн.данные.!I137&lt;4.5,BJ137*1.2,IF(Исходн.данные.!I137&gt;5.1,BJ137,BJ137*((5.1-Исходн.данные.!I137)*0.333+1)))))</f>
        <v>0</v>
      </c>
      <c r="BN137" s="10">
        <f>IF(OR(Исходн.данные.!$AH137=$BP$1,Исходн.данные.!$AH137=$BP$2),60-Исходн.данные.!AF137,IF(BK137&lt;0,0,IF(Исходн.данные.!I137&lt;4.5,BK137*1.2,IF(Исходн.данные.!I137&gt;5.1,BK137,BK137*((5.1-Исходн.данные.!I137)*0.333+1)))))</f>
        <v>0</v>
      </c>
      <c r="BO137" s="9">
        <f>IF(BL137&lt;0,0,BL137*Исходн.данные.!$AJ137/1000)</f>
        <v>0</v>
      </c>
      <c r="BP137" s="9">
        <f>IF(BM137&lt;0,0,BM137*Исходн.данные.!$AJ137/1000)</f>
        <v>0</v>
      </c>
      <c r="BQ137" s="9">
        <f>IF(BN137&lt;0,0,BN137*Исходн.данные.!$AJ137/1000)</f>
        <v>0</v>
      </c>
      <c r="BR137" s="9">
        <f t="shared" si="155"/>
        <v>0</v>
      </c>
      <c r="BS137" s="10" t="str">
        <f t="shared" si="156"/>
        <v>Аммофос 12:52:00</v>
      </c>
      <c r="BT137" s="10" t="str">
        <f t="shared" si="157"/>
        <v>Аммофос 12:52:00</v>
      </c>
      <c r="BU137" s="10" t="str">
        <f t="shared" si="158"/>
        <v>Диаммофоска</v>
      </c>
      <c r="BV137" s="10">
        <f t="shared" si="159"/>
        <v>0</v>
      </c>
      <c r="BW137" s="10"/>
      <c r="BX137" s="10"/>
      <c r="BY137" s="9">
        <f>IF(BL137&lt;0,0,IF(OR(Исходн.данные.!AI137=Расчет!$BU$6,Исходн.данные.!AI137=Расчет!$BU$7),Расчет!BV137,IF(Исходн.данные.!$AG137=$BV$11,BL137,IF(OR(Исходн.данные.!$AH137=$BQ$7,Исходн.данные.!$AH137=$BQ$8),CB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0,IF(Исходн.данные.!$AI137=$BU$11,"Нет",IF(BL137&gt;30,30,BL137)))))))</f>
        <v>0</v>
      </c>
      <c r="BZ137" s="9">
        <f>IF(AND(Исходн.данные.!$AG137=$BV$11,BM137&lt;10),10,IF(Исходн.данные.!$AG137=$BV$11,BM137,IF(OR(Исходн.данные.!$AH137=$BQ$7,Исходн.данные.!$AH137=$BQ$8),CC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10,IF(Исходн.данные.!$AI137=$BU$11,"Нет",IF(BM137&gt;60,60,IF(BM137&lt;10,10,BM137)))))))</f>
        <v>10</v>
      </c>
      <c r="CA137" s="39">
        <f>IF(BN137&lt;0,0,IF(Исходн.данные.!$AG137=$BV$11,BN137,IF(OR(Исходн.данные.!$AH137=$BQ$7,Исходн.данные.!$AH137=$BQ$8),CD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0,IF(Исходн.данные.!$AI137=$BU$11,"Нет",IF(BN137&gt;30,30,BN137))))))</f>
        <v>0</v>
      </c>
      <c r="CB137" s="9">
        <f t="shared" si="160"/>
        <v>0</v>
      </c>
      <c r="CC137" s="9">
        <f t="shared" si="161"/>
        <v>0</v>
      </c>
      <c r="CD137" s="9">
        <f t="shared" si="162"/>
        <v>0</v>
      </c>
      <c r="CE137" s="12">
        <f t="shared" si="163"/>
        <v>10</v>
      </c>
      <c r="CF137" s="9">
        <f t="shared" si="164"/>
        <v>0</v>
      </c>
      <c r="CG137" s="9" t="s">
        <v>231</v>
      </c>
      <c r="CH137" s="132" t="str">
        <f>IF(Исходн.данные.!AP137=Расчет!$CI$16,"Нет",IF(Исходн.данные.!AL137&gt;0,Исходн.данные.!AL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BH$4,IF(OR(Исходн.данные.!AI137=Исходн.данные.!$AI$6,Исходн.данные.!AI137=Исходн.данные.!$AI$7),Расчет!BS137,IF(AND($CF137=0,$CE137&gt;0),EV137,ER137)))))</f>
        <v>Аммофос 12:52:00</v>
      </c>
      <c r="CI137" s="274">
        <f>IF(Расчет!$CH137="Нет","Нет",IF(Исходн.данные.!$AL137&gt;0,VLOOKUP(Расчет!$CH137,АшламаДВ_Irekle,2,FALSE),VLOOKUP(Расчет!$CH137,АшламаДВ_Gomumy,2,FALSE)))</f>
        <v>0.12</v>
      </c>
      <c r="CJ137" s="274">
        <f>IF(Расчет!$CH137="Нет","Нет",IF(Исходн.данные.!$AL137&gt;0,VLOOKUP(Расчет!$CH137,АшламаДВ_Irekle,3,FALSE),VLOOKUP(Расчет!$CH137,АшламаДВ_Gomumy,3,FALSE)))</f>
        <v>0.52</v>
      </c>
      <c r="CK137" s="274">
        <f>IF(Расчет!$CH137="Нет","Нет",IF(Исходн.данные.!$AL137&gt;0,VLOOKUP(Расчет!$CH137,АшламаДВ_Irekle,4,FALSE),VLOOKUP(Расчет!$CH137,АшламаДВ_Gomumy,4,FALSE)))</f>
        <v>0</v>
      </c>
      <c r="CL137" s="70"/>
      <c r="CM137" s="70"/>
      <c r="CN137" s="70"/>
      <c r="CO137" s="70"/>
      <c r="CP137" s="70"/>
      <c r="CQ137" s="70"/>
      <c r="CR137" s="10">
        <f t="shared" si="165"/>
        <v>0</v>
      </c>
      <c r="CS137" s="10">
        <f t="shared" si="166"/>
        <v>19.23076923076923</v>
      </c>
      <c r="CT137" s="10">
        <f t="shared" si="167"/>
        <v>0</v>
      </c>
      <c r="CU137" s="39">
        <f>IF($CH137="Нет",0,IF(CI137=0,30/MIN(CJ137:CK137),IF(Исходн.данные.!$AG137=$BV$11,CR137,IF(OR(Исходн.данные.!$AH137=$BQ$7,Исходн.данные.!$AH137=$BQ$8),90/CI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0,IF(Исходн.данные.!$AI137=$BU$11,"Нет",30/CI137))))))</f>
        <v>250</v>
      </c>
      <c r="CV137" s="39">
        <f>IF($CH137="Нет",0,IF(Исходн.данные.!AH137=0,0,IF(CJ137=0,60/MIN(CI137,CK137),IF(Исходн.данные.!$AG137=$BV$11,CS137,IF(OR(Исходн.данные.!$AH137=$BQ$7,Исходн.данные.!$AH137=$BQ$8),90/CJ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10/CJ137,IF(Исходн.данные.!$AI137=$BU$11,"Нет",60/CJ137)))))))</f>
        <v>0</v>
      </c>
      <c r="CW137" s="39">
        <f>IF($CH137="Нет",0,IF(Исходн.данные.!AH137=0,0,IF(CK137=0,30/MIN(CI137:CJ137),IF(Исходн.данные.!$AG137=$BV$11,CT137,IF(OR(Исходн.данные.!$AH137=$BQ$7,Исходн.данные.!$AH137=$BQ$8),90/CK137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0,IF(Исходн.данные.!$AI137=$BU$11,"Нет",30/CK137)))))))</f>
        <v>0</v>
      </c>
      <c r="CX137" s="133">
        <f>IF(Исходн.данные.!$AG137=$BV$11,MAX(CU137:CW137),IF(OR(Исходн.данные.!$AH137=$BS$8,Исходн.данные.!$AH137=$BQ$9,Исходн.данные.!$AH137=$BQ$10,Исходн.данные.!$AH137=$BQ$11,Исходн.данные.!$AH137=$BQ$12,Исходн.данные.!$AH137=$BP$3,Исходн.данные.!$AH137=$BT$8,$FM137="Да"),CV137,MIN(CU137:CW137)))</f>
        <v>0</v>
      </c>
      <c r="CY137" s="133">
        <f>IF(Исходн.данные.!AH137=0,0,IF(CR137&gt;$CX137,$CX137,CR137))</f>
        <v>0</v>
      </c>
      <c r="CZ137" s="133">
        <f>IF(Исходн.данные.!AH137=0,0,IF(CS137&gt;$CX137,$CX137,CS137))</f>
        <v>0</v>
      </c>
      <c r="DA137" s="133">
        <f>IF(Исходн.данные.!AH137=0,0,IF(CT137&gt;$CX137,$CX137,CT137))</f>
        <v>0</v>
      </c>
      <c r="DB137" s="10">
        <f t="shared" si="168"/>
        <v>0</v>
      </c>
      <c r="DC137" s="39">
        <f>DB137*Исходн.данные.!AJ137/1000</f>
        <v>0</v>
      </c>
      <c r="DD137" s="71">
        <f t="shared" si="169"/>
        <v>0</v>
      </c>
      <c r="DE137" s="9">
        <f t="shared" si="170"/>
        <v>0</v>
      </c>
      <c r="DF137" s="9">
        <f t="shared" si="171"/>
        <v>0</v>
      </c>
      <c r="DG137" s="39">
        <f>IF(BL137&lt;0,0,IF($CH137="Нет",BL137,IF(OR(Исходн.данные.!$AH137=$BP$1,Исходн.данные.!$AH137=$BP$2),0,IF(Исходн.данные.!AI137=$BU$11,BL137,IF(BL137-DD137&lt;0,0,BL137-DD137)))))</f>
        <v>0</v>
      </c>
      <c r="DH137" s="39">
        <f>IF(BM137&lt;0,0,IF($CH137="Нет",BM137,IF(OR(Исходн.данные.!$AH137=$BP$1,Исходн.данные.!$AH137=$BP$2),0,IF(Исходн.данные.!AJ137=$BU$11,BM137,IF(BM137-DE137&lt;0,0,BM137-DE137)))))</f>
        <v>0</v>
      </c>
      <c r="DI137" s="39">
        <f>IF(BN137&lt;0,0,IF($CH137="Нет",BN137,IF(OR(Исходн.данные.!$AH137=$BP$1,Исходн.данные.!$AH137=$BP$2),0,IF(Исходн.данные.!AK137=$BU$11,BN137,IF(BN137-DF137&lt;0,0,BN137-DF137)))))</f>
        <v>0</v>
      </c>
      <c r="DJ137" s="12">
        <f t="shared" si="172"/>
        <v>0</v>
      </c>
      <c r="DK137" s="9">
        <f t="shared" si="173"/>
        <v>0</v>
      </c>
      <c r="DL137" s="39">
        <f>IF(Исходн.данные.!AM137&gt;0,Исходн.данные.!AM137,IF(EG137&gt;0,$BH$10,0))</f>
        <v>0</v>
      </c>
      <c r="DM137" s="186">
        <f>IF($DL137=0,0,IF(Исходн.данные.!AM137&gt;0,VLOOKUP($DL137,АшламаДВ_Irekle,2,FALSE),VLOOKUP($DL137,АшламаДВ_Gomumy,2,FALSE)))</f>
        <v>0</v>
      </c>
      <c r="DN137" s="10">
        <f t="shared" si="151"/>
        <v>0</v>
      </c>
      <c r="DO137" s="9" t="str">
        <f>IF(Исходн.данные.!AN137&gt;0,Исходн.данные.!AN137,Удобрения!$B$37 )</f>
        <v>Хлор.калий</v>
      </c>
      <c r="DP137" s="9">
        <f>IF(Исходн.данные.!AN137&gt;0,VLOOKUP(Исходн.данные.!AN137,АшламаДВ_Irekle,4,FALSE),VLOOKUP(DO137,АшламаДВ_Gomumy,4,FALSE))</f>
        <v>0.6</v>
      </c>
      <c r="DQ137" s="10">
        <f t="shared" si="152"/>
        <v>0</v>
      </c>
      <c r="DR137" s="132" t="str">
        <f>IF(Исходн.данные.!AO137&gt;0,Исходн.данные.!AO137,IF(DH137=0,BS$17,IF(AND($DK137=0,$DJ137&gt;0),EJ137,EN137)))</f>
        <v>Нет</v>
      </c>
      <c r="DS137" s="70" t="str">
        <f>IF($DR137="Нет","Нет",IF(Исходн.данные.!$AO137&gt;0,VLOOKUP($DR137,АшламаДВ_Irekle,2,FALSE),VLOOKUP($DR137,АшламаДВ_Gomumy,2,FALSE)))</f>
        <v>Нет</v>
      </c>
      <c r="DT137" s="70" t="str">
        <f>IF($DR137="Нет","Нет",IF(Исходн.данные.!$AO137&gt;0,VLOOKUP($DR137,АшламаДВ_Irekle,3,FALSE),VLOOKUP($DR137,АшламаДВ_Gomumy,3,FALSE)))</f>
        <v>Нет</v>
      </c>
      <c r="DU137" s="70" t="str">
        <f>IF($DR137="Нет","Нет",IF(Исходн.данные.!$AO137&gt;0,VLOOKUP($DR137,АшламаДВ_Irekle,4,FALSE),VLOOKUP($DR137,АшламаДВ_Gomumy,4,FALSE)))</f>
        <v>Нет</v>
      </c>
      <c r="DV137" s="70"/>
      <c r="DW137" s="70"/>
      <c r="DX137" s="70"/>
      <c r="DY137" s="10">
        <f t="shared" si="174"/>
        <v>0</v>
      </c>
      <c r="DZ137" s="10">
        <f t="shared" si="175"/>
        <v>0</v>
      </c>
      <c r="EA137" s="10">
        <f t="shared" si="176"/>
        <v>0</v>
      </c>
      <c r="EB137" s="10">
        <f t="shared" si="177"/>
        <v>0</v>
      </c>
      <c r="EC137" s="10">
        <f t="shared" si="178"/>
        <v>0</v>
      </c>
      <c r="ED137" s="10">
        <f t="shared" si="179"/>
        <v>0</v>
      </c>
      <c r="EE137" s="10">
        <f t="shared" si="180"/>
        <v>0</v>
      </c>
      <c r="EF137" s="39">
        <f>EB137*Исходн.данные.!AJ137/1000</f>
        <v>0</v>
      </c>
      <c r="EG137" s="9">
        <f t="shared" si="181"/>
        <v>0</v>
      </c>
      <c r="EH137" s="9">
        <f t="shared" si="182"/>
        <v>0</v>
      </c>
      <c r="EI137" s="39" t="e">
        <f t="shared" si="132"/>
        <v>#DIV/0!</v>
      </c>
      <c r="EJ137" s="9" t="str">
        <f t="shared" si="153"/>
        <v>Азопреципитат</v>
      </c>
      <c r="EK137" s="12">
        <f t="shared" si="133"/>
        <v>0.26</v>
      </c>
      <c r="EL137" s="12">
        <f t="shared" si="134"/>
        <v>0.13</v>
      </c>
      <c r="EM137" s="12">
        <f t="shared" si="135"/>
        <v>0</v>
      </c>
      <c r="EN137" s="12" t="str">
        <f t="shared" si="154"/>
        <v>Нет</v>
      </c>
      <c r="EO137" s="12">
        <f t="shared" si="136"/>
        <v>0</v>
      </c>
      <c r="EP137" s="12">
        <f t="shared" si="137"/>
        <v>0</v>
      </c>
      <c r="EQ137" s="12">
        <f t="shared" si="138"/>
        <v>0</v>
      </c>
      <c r="ER137" s="12" t="str">
        <f t="shared" si="183"/>
        <v>Диаммофоска</v>
      </c>
      <c r="ES137" s="12">
        <f t="shared" si="139"/>
        <v>0.1</v>
      </c>
      <c r="ET137" s="12">
        <f t="shared" si="140"/>
        <v>0.26</v>
      </c>
      <c r="EU137" s="12">
        <f t="shared" si="141"/>
        <v>0.26</v>
      </c>
      <c r="EV137" s="12" t="str">
        <f t="shared" si="184"/>
        <v>Аммофос 12:52:00</v>
      </c>
      <c r="EW137" s="12" t="str">
        <f t="shared" si="185"/>
        <v>Кемира Свекловичное-6</v>
      </c>
      <c r="EX137" s="12">
        <f t="shared" si="142"/>
        <v>0.16</v>
      </c>
      <c r="EY137" s="12">
        <f t="shared" si="143"/>
        <v>0.12</v>
      </c>
      <c r="EZ137" s="12">
        <f t="shared" si="144"/>
        <v>0.17</v>
      </c>
      <c r="FA137" s="38" t="e">
        <f>IF(AND(OR(FJ137=$FD$1,FM137=$FD$1,FO137=$FD$1,FQ137=$FD$1,FS137=$FD$1),FD137=$FD$1,Исходн.данные.!J137&lt;2,FU137=$FD$1),"Бор,Кобальт",IF(AND(FO137=$FD$1,FH137=$FD$1,Исходн.данные.!J137&lt;2,FU137=$FD$1),"Бор,Кобальт",IF(AND(OR(FJ137=$FD$1,FM137=$FD$1,FQ137=$FD$1),FE137=$FD$1,Исходн.данные.!J137&lt;2,FT137=$FD$1,FU137=$FD$1),"Бор,Медь,Цинк",IF(AND(OR(FJ137=$FD$1,FR137="Да"),FI137="Да",Исходн.данные.!J137&lt;2,FT137="Да",FU137="Да"),"Бор,Цинк,Медь",IF(AND(OR(FM137="Да",FQ137="Да"),FI137="Да",Исходн.данные.!J137&lt;2,FT137="Да",FU137="Да"),"Бор,Цинк",IF(AND(FN137="Да",OR(FD137="Да",FE137="Да")),"Бор",FB137))))))</f>
        <v>#N/A</v>
      </c>
      <c r="FB137" s="134" t="e">
        <f>IF(AND(OR(FD137="Да",FE137="Да",FF137="Да",FG137="Да",FH137="Да"),FO137="Да"),"Бор",IF(AND(FP137="Да",OR(FD137="Да",FE137="Да",FI137="Да")),"Бор",IF(AND(FS137="Да",FE137="Да"),"Бор,Медь",IF(AND(OR(FJ137="Да",FK137="Да",FL137="Да"),FE137="Да",Исходн.данные.!I137&lt;5,FT137="Да",FU137="Да"),"Молибден,Цинк",IF(AND(FM137="Да",OR(FE137="Да",FF137="Да",FG137="Да",FH137="Да",FI137="Да")),"Молибден,Цинк",IF(AND(OR(FJ137="Да",FK137="Да",FL137="Да",FM137="Да",FQ137="Да"),OR(FE137="Да",FF137="Да"),FT137="Да",FU137="Да",Исходн.данные.!I137&gt;5.5),"Медь,Цинк",FC137))))))</f>
        <v>#N/A</v>
      </c>
      <c r="FC137" s="23" t="e">
        <f t="shared" si="186"/>
        <v>#N/A</v>
      </c>
      <c r="FD137" s="38" t="str">
        <f>IF(OR(Исходн.данные.!F137=$CC$1,Исходн.данные.!F137=$CC$2,Исходн.данные.!F137=$CC$3,Исходн.данные.!F137=$CC$4),"Да","Нет")</f>
        <v>Нет</v>
      </c>
      <c r="FE137" s="38" t="str">
        <f>IF(Исходн.данные.!F137=$CC$5,"Да","Нет")</f>
        <v>Нет</v>
      </c>
      <c r="FF137" s="38" t="str">
        <f>IF(OR(Исходн.данные.!F137=$CC$6,Исходн.данные.!F137=$CC$7),"Да","Нет")</f>
        <v>Нет</v>
      </c>
      <c r="FG137" s="38" t="str">
        <f>IF(OR(Исходн.данные.!F137=$CC$8,Исходн.данные.!F137=$CC$9),"Да","Нет")</f>
        <v>Нет</v>
      </c>
      <c r="FH137" s="38" t="str">
        <f>IF(Исходн.данные.!F137=$CC$10,"Да","Нет")</f>
        <v>Нет</v>
      </c>
      <c r="FI137" s="38" t="str">
        <f>IF(OR(Исходн.данные.!F137=$CC$11,Исходн.данные.!F137=$CC$12),"Да","Нет")</f>
        <v>Нет</v>
      </c>
      <c r="FJ137" s="38" t="str">
        <f>IF(OR(Исходн.данные.!AH137=$BS$1,Исходн.данные.!AH137=$BQ$11,Исходн.данные.!AH137=$BQ$12),"Да","Нет")</f>
        <v>Нет</v>
      </c>
      <c r="FK137" s="38" t="str">
        <f>IF(OR(Исходн.данные.!AH137=$BS$2,Исходн.данные.!AH137=$BS$4),"Да","Нет")</f>
        <v>Нет</v>
      </c>
      <c r="FL137" s="38" t="str">
        <f>IF(OR(Исходн.данные.!AH137=$BS$3,Исходн.данные.!AH137=$BS$5),"Да","Нет")</f>
        <v>Нет</v>
      </c>
      <c r="FM137" s="38" t="str">
        <f>IF(OR(Исходн.данные.!AH137=$BS$9,Исходн.данные.!AH137=$BS$10,Исходн.данные.!AH137=$BS$11,Исходн.данные.!AH137=$BS$12),"Да","Нет")</f>
        <v>Нет</v>
      </c>
      <c r="FN137" s="38" t="str">
        <f>IF(OR(Исходн.данные.!AH137=$BS$6,Исходн.данные.!AH137=$BP$3),"Да","Нет")</f>
        <v>Нет</v>
      </c>
      <c r="FO137" s="38" t="str">
        <f>IF(Исходн.данные.!AH137=$BQ$9,"Да","Нет")</f>
        <v>Нет</v>
      </c>
      <c r="FP137" s="38" t="str">
        <f>IF(OR(Исходн.данные.!AH137=$BS$8,Исходн.данные.!AH137=$BT$8),"Да","Нет")</f>
        <v>Нет</v>
      </c>
      <c r="FQ137" s="38" t="str">
        <f>IF(OR(Исходн.данные.!AH137=$BQ$7,Исходн.данные.!AH137=$BQ$8),"Да","Нет")</f>
        <v>Нет</v>
      </c>
      <c r="FR137" s="38" t="str">
        <f>IF(Исходн.данные.!AI137=$BU$9,"Да","Нет")</f>
        <v>Нет</v>
      </c>
      <c r="FS137" s="38" t="str">
        <f>IF(OR(Исходн.данные.!AH137=$BP$1,Исходн.данные.!AH137=$BP$2),"Да","Нет")</f>
        <v>Нет</v>
      </c>
      <c r="FT137" s="38" t="e">
        <f>IF((Исходн.данные.!K137*GO137*GS137*GW137+BL137*0.6+Исходн.данные.!Q137*4.5*0.275)&gt;90,"Да","Нет")</f>
        <v>#N/A</v>
      </c>
      <c r="FU137" s="38" t="e">
        <f>IF((Исходн.данные.!M137*GS137*GZ137+BM137*0.225)&gt;35,"Да","Нет")</f>
        <v>#N/A</v>
      </c>
      <c r="FV137" s="38" t="str">
        <f>IF(Исходн.данные.!O137&gt;175,"Да","Нет")</f>
        <v>Нет</v>
      </c>
      <c r="FW137" s="39" t="str">
        <f>IF(Исходн.данные.!I137&gt;5.5,"Да","Нет")</f>
        <v>Нет</v>
      </c>
      <c r="FX137" s="39" t="str">
        <f>IF(Исходн.данные.!J137&lt;2,"Да","Нет")</f>
        <v>Да</v>
      </c>
      <c r="FY137" s="39" t="e">
        <f>IF(HF137=$FY$16,0,Исходн.данные.!K137*GO137*GS137*GW137/HF137)</f>
        <v>#N/A</v>
      </c>
      <c r="FZ137" s="39" t="e">
        <f>Исходн.данные.!M137*GS137*GZ137/HG137</f>
        <v>#N/A</v>
      </c>
      <c r="GA137" s="39" t="e">
        <f>IF(K_Wyn=$FY$16,0,IF(Исходн.данные.!N137=Исходн.данные.!$L$10,Исходн.данные.!O137/1.1*GS137*HC137/HH137,IF(Исходн.данные.!N137=Исходн.данные.!$L$12,Исходн.данные.!O137/1.5*GS137*HC137/HH137,Исходн.данные.!O137*GS137*HC137/HH137)))</f>
        <v>#N/A</v>
      </c>
      <c r="GB137" s="39" t="e">
        <f>IF(HF137=$FY$16,0,((Исходн.данные.!Q137*N_Org+Исходн.данные.!R137*N_Sider+Исходн.данные.!S137*N_Soloma)*AO137+Расчет!BC137*VLOOKUP(Исходн.данные.!T137,Справ!$A$3:$O$57,15)*AO137+BB137*VLOOKUP(Исходн.данные.!T137,Справ!$A$3:$O$57,15)*AL137+(Исходн.данные.!V137*N_Rizotorf+Исходн.данные.!W137*N_Rizoagr))/HF137)</f>
        <v>#N/A</v>
      </c>
      <c r="GC137" s="39" t="e">
        <f>IF(HG137=$FY$16,0,((Исходн.данные.!Q137*Р_Org+Исходн.данные.!R137*P_Sider+Исходн.данные.!S137*P_Soloma)*AP137+Расчет!BC137*VLOOKUP(Исходн.данные.!T137,Справ!$A$3:$P$57,16)*AP137+BB137*VLOOKUP(Исходн.данные.!T137,Справ!$A$3:$P$57,16)*AM137)/HG137)</f>
        <v>#N/A</v>
      </c>
      <c r="GD137" s="39" t="e">
        <f>IF(HH137=$FY$16,0,((Исходн.данные.!Q137*К_Org+Исходн.данные.!R137*K_Sider+Исходн.данные.!S137*K_Soloma)*AQ137+Расчет!BC137*VLOOKUP(Исходн.данные.!T137,Справ!$A$3:$Q$57,17)*AQ137+BB137*VLOOKUP(Исходн.данные.!T137,Справ!$A$3:$Q$57,17)*AN137)/HH137)</f>
        <v>#N/A</v>
      </c>
      <c r="GE137" s="39" t="e">
        <f>IF(HF137=$FY$16,0,(Исходн.данные.!X137*AR137+Исходн.данные.!AA137*N_Org*AL137+Исходн.данные.!AB137*N_Sider*AL137+Исходн.данные.!AC137*N_Soloma*AL137)/HF137)</f>
        <v>#N/A</v>
      </c>
      <c r="GF137" s="39" t="e">
        <f>IF(HG137=$FY$16,0,(Исходн.данные.!Y137*AS137+Исходн.данные.!AA137*Р_Org*AM137+Исходн.данные.!AB137*P_Sider*AM137+Исходн.данные.!AC137*P_Soloma*AM137)/HG137)</f>
        <v>#N/A</v>
      </c>
      <c r="GG137" s="39" t="e">
        <f>IF(HH137=$FY$16,0,(Исходн.данные.!Z137*AT137+Исходн.данные.!AA137*К_Org*AN137+Исходн.данные.!AB137*K_Sider*AN137+Исходн.данные.!AC137*K_Soloma*AN137)/HH137)</f>
        <v>#N/A</v>
      </c>
      <c r="GH137" s="39" t="e">
        <f>Исходн.данные.!AD137*AU137/HF137</f>
        <v>#N/A</v>
      </c>
      <c r="GI137" s="39" t="e">
        <f>Исходн.данные.!AE137*AV137/HG137</f>
        <v>#N/A</v>
      </c>
      <c r="GJ137" s="39" t="e">
        <f>Исходн.данные.!AF137*AW137/HH137</f>
        <v>#N/A</v>
      </c>
      <c r="GK137" s="55">
        <f>Исходн.данные.!AK137</f>
        <v>0</v>
      </c>
      <c r="GL137" s="11" t="e">
        <f t="shared" si="187"/>
        <v>#N/A</v>
      </c>
      <c r="GM137" s="11" t="e">
        <f t="shared" si="188"/>
        <v>#N/A</v>
      </c>
      <c r="GN137" s="11" t="e">
        <f t="shared" si="189"/>
        <v>#N/A</v>
      </c>
      <c r="GO137" s="57">
        <f t="shared" si="190"/>
        <v>19</v>
      </c>
      <c r="GP137" s="55">
        <f>IF(OR(Исходн.данные.!F137=$CE$1,Исходн.данные.!F137=$CE$2,Исходн.данные.!F137=$CE$3,Исходн.данные.!F137=$CE$4,Исходн.данные.!F137=$CE$5),GQ137,GR137)</f>
        <v>19</v>
      </c>
      <c r="GQ137" s="55">
        <f>IF(Исходн.данные.!F137=$CE$1,28,IF(Исходн.данные.!F137=$CE$2,26,IF(Исходн.данные.!F137=$CE$3,24,IF(Исходн.данные.!F137=$CE$4,22,IF(Исходн.данные.!F137=$CE$5,20,GR137)))))</f>
        <v>19</v>
      </c>
      <c r="GR137" s="55">
        <f>IF(Исходн.данные.!F137=$CE$6,18,IF(Исходн.данные.!F137=$CE$7,16,IF(Исходн.данные.!F137=$CE$8,14,IF(Исходн.данные.!F137=$CE$9,13,IF(Исходн.данные.!F137=$CE$10,12,19)))))</f>
        <v>19</v>
      </c>
      <c r="GS137" s="55">
        <f>IF(Исходн.данные.!G137="Пес",0.035*(40+2*Исходн.данные.!H137),IF(Исходн.данные.!G137="Суп",0.0325*(40+2*Исходн.данные.!H137),0.03*(40+2*Исходн.данные.!H137)))</f>
        <v>1.2</v>
      </c>
      <c r="GT137" s="55">
        <f>IF(Исходн.данные.!H137&lt;23,2.6,IF(AND(Исходн.данные.!H137&gt;22,Исходн.данные.!H137&lt;26),3,IF(AND(Исходн.данные.!H137&gt;25,Исходн.данные.!H137&lt;29),3.4,3.6)))</f>
        <v>2.6</v>
      </c>
      <c r="GU137" s="55">
        <f>IF(Исходн.данные.!H137&lt;23,2.8,IF(AND(Исходн.данные.!H137&gt;22,Исходн.данные.!H137&lt;26),3.2,IF(AND(Исходн.данные.!H137&gt;25,Исходн.данные.!H137&lt;29),3.6,3.9)))</f>
        <v>2.8</v>
      </c>
      <c r="GV137" s="55">
        <f>IF(Исходн.данные.!H137&lt;23,3,IF(AND(Исходн.данные.!H137&gt;22,Исходн.данные.!H137&lt;26),3.5,IF(AND(Исходн.данные.!H137&gt;25,Исходн.данные.!H137&lt;29),3.9,4.2)))</f>
        <v>3</v>
      </c>
      <c r="GW137" s="55" t="e">
        <f>IF(Исходн.данные.!P137="Ум",GX137,GY137)</f>
        <v>#N/A</v>
      </c>
      <c r="GX137" s="55" t="e">
        <f>VLOOKUP(Исходн.данные.!AI137,Коэффициенты!$J$7:$L$13,2,FALSE)</f>
        <v>#N/A</v>
      </c>
      <c r="GY137" s="55" t="e">
        <f>VLOOKUP(Исходн.данные.!AI137,Коэффициенты!$J$7:$L$13,3,FALSE)</f>
        <v>#N/A</v>
      </c>
      <c r="GZ137" s="55" t="e">
        <f>(IF(Исходн.данные.!M137&lt;50,0.11*VLOOKUP(Исходн.данные.!AH137,Культуры.Информация,7,FALSE),IF(Исходн.данные.!M137&gt;250,0.05*VLOOKUP(Исходн.данные.!AH137,Культуры.Информация,7,FALSE),VLOOKUP(Исходн.данные.!AH137,Культуры.Информация,5,FALSE)/100*($GX$6+$GY$6*Исходн.данные.!M137))))*Расчет2!AI137</f>
        <v>#N/A</v>
      </c>
      <c r="HA137" s="211"/>
      <c r="HB137" s="211"/>
      <c r="HC137" s="55" t="e">
        <f>(IF(Исходн.данные.!O137&lt;80,0.2*VLOOKUP(Исходн.данные.!AH137,Культуры.Информация,8,FALSE),IF(Исходн.данные.!O137&gt;240,0.09*VLOOKUP(Исходн.данные.!AH137,Культуры.Информация,8,FALSE),VLOOKUP(Исходн.данные.!AH137,Культуры.Информация,6,FALSE)/100*($HB$6+$HC$6*Исходн.данные.!O137))))*Расчет2!AJ137</f>
        <v>#N/A</v>
      </c>
      <c r="HD137" s="55">
        <f>IF(Исходн.данные.!O137&gt;240,0.09,IF(Исходн.данные.!O137&lt;30,0.3,$HE$10+$HD$10*Исходн.данные.!O137))</f>
        <v>0.3</v>
      </c>
      <c r="HE137" s="55">
        <f>IF(Исходн.данные.!O137&gt;240,0.17,IF(Исходн.данные.!O137&lt;30,0.5,$HF$12+$HE$12*Исходн.данные.!O137))</f>
        <v>0.5</v>
      </c>
      <c r="HF137" s="55" t="e">
        <f>VLOOKUP(Исходн.данные.!AH137,Справ!$A$3:$D$58,2,FALSE)</f>
        <v>#N/A</v>
      </c>
      <c r="HG137" s="55" t="e">
        <f>VLOOKUP(Исходн.данные.!AH137,Справ!$A$3:$D$58,3,FALSE)</f>
        <v>#N/A</v>
      </c>
      <c r="HH137" s="55" t="e">
        <f>VLOOKUP(Исходн.данные.!AH137,Справ!$A$3:$D$58,4,FALSE)</f>
        <v>#N/A</v>
      </c>
      <c r="HI137" s="11" t="e">
        <f t="shared" si="191"/>
        <v>#N/A</v>
      </c>
      <c r="HJ137" s="11" t="e">
        <f t="shared" si="192"/>
        <v>#N/A</v>
      </c>
      <c r="HK137" s="11" t="e">
        <f t="shared" si="193"/>
        <v>#N/A</v>
      </c>
      <c r="HL137" s="55">
        <f>IF(OR(Исходн.данные.!G137="Глин",Исходн.данные.!G137="Т_суг"),1.1,IF(Исходн.данные.!G137="Ср_суг",1,1))</f>
        <v>1</v>
      </c>
      <c r="HM137" s="55">
        <f>IF(OR(Исходн.данные.!G137="Глин",Исходн.данные.!G137="Т_суг"),0.9,IF(Исходн.данные.!G137="Ср_суг",1,1.2))</f>
        <v>1.2</v>
      </c>
      <c r="HN137" s="11" t="e">
        <f t="shared" si="194"/>
        <v>#N/A</v>
      </c>
      <c r="HO137" s="11" t="e">
        <f t="shared" si="195"/>
        <v>#N/A</v>
      </c>
      <c r="HP137" s="11" t="e">
        <f t="shared" si="196"/>
        <v>#N/A</v>
      </c>
      <c r="HQ137" t="e">
        <f t="shared" si="197"/>
        <v>#N/A</v>
      </c>
      <c r="HR137" t="e">
        <f t="shared" si="198"/>
        <v>#N/A</v>
      </c>
      <c r="HS137" t="e">
        <f t="shared" si="199"/>
        <v>#N/A</v>
      </c>
      <c r="HT137" t="e">
        <f t="shared" si="145"/>
        <v>#N/A</v>
      </c>
      <c r="HU137" t="e">
        <f t="shared" si="146"/>
        <v>#N/A</v>
      </c>
      <c r="HV137" t="e">
        <f t="shared" si="147"/>
        <v>#N/A</v>
      </c>
      <c r="HW137" t="e">
        <f t="shared" si="148"/>
        <v>#N/A</v>
      </c>
      <c r="HX137" t="e">
        <f t="shared" si="149"/>
        <v>#N/A</v>
      </c>
      <c r="HY137" t="e">
        <f t="shared" si="150"/>
        <v>#N/A</v>
      </c>
      <c r="HZ137" s="55">
        <f>IF(OR(Исходн.данные.!AI137="Оз_Ч_П",Исходн.данные.!AI137="Оз_З_П",Исходн.данные.!AI137="Яр_зер"),12,30)</f>
        <v>30</v>
      </c>
      <c r="IA137" t="e">
        <f t="shared" si="200"/>
        <v>#N/A</v>
      </c>
      <c r="IB137" t="e">
        <f t="shared" si="201"/>
        <v>#N/A</v>
      </c>
      <c r="IC137" t="e">
        <f t="shared" si="202"/>
        <v>#N/A</v>
      </c>
      <c r="ID137" s="11" t="e">
        <f t="shared" si="203"/>
        <v>#N/A</v>
      </c>
      <c r="IE137" s="11" t="e">
        <f t="shared" si="204"/>
        <v>#N/A</v>
      </c>
      <c r="IF137" s="11" t="e">
        <f t="shared" si="205"/>
        <v>#N/A</v>
      </c>
    </row>
    <row r="138" spans="35:240" x14ac:dyDescent="0.2">
      <c r="AI138">
        <f>IF(Исходн.данные.!I138&gt;6,1,1.85-(0.148*Исходн.данные.!I138))</f>
        <v>1.85</v>
      </c>
      <c r="AJ138">
        <f>IF(Исходн.данные.!I138&gt;6,1,2.434-(0.246*Исходн.данные.!I138))</f>
        <v>2.4340000000000002</v>
      </c>
      <c r="AL138" s="148" t="b">
        <f>IF(Исходн.данные.!$P138="Ум",N_OrgUd_2g_um,IF(Исходн.данные.!$P138="Об",N_OrgUd_2g_ob))</f>
        <v>0</v>
      </c>
      <c r="AM138" s="148" t="b">
        <f>IF(Исходн.данные.!$P138="Ум",P_OrgUd_2g_um,IF(Исходн.данные.!$P138="Об",P_OrgUd_2g_ob))</f>
        <v>0</v>
      </c>
      <c r="AN138" s="148" t="b">
        <f>IF(Исходн.данные.!$P138="Ум",K_OrgUd_2g_um,IF(Исходн.данные.!$P138="Об",K_OrgUd_2g_ob))</f>
        <v>0</v>
      </c>
      <c r="AO138" s="148" t="b">
        <f>IF(Исходн.данные.!$P138="Ум",N_OrgUd_1g_um,IF(Исходн.данные.!$P138="Об",N_OrgUd_1g_ob))</f>
        <v>0</v>
      </c>
      <c r="AP138" s="148" t="b">
        <f>IF(Исходн.данные.!$P138="Ум",P_OrgUd_1g_um,IF(Исходн.данные.!$P138="Об",P_OrgUd_1g_ob))</f>
        <v>0</v>
      </c>
      <c r="AQ138" s="148" t="b">
        <f>IF(Исходн.данные.!$P138="Ум",K_OrgUd_1g_um,IF(Исходн.данные.!$P138="Об",K_OrgUd_1g_ob))</f>
        <v>0</v>
      </c>
      <c r="AR138" t="b">
        <f>IF(Исходн.данные.!$P138="Ум",N_MinUd_2g_um,IF(Исходн.данные.!$P138="Об",N_MinUd_2g_ob))</f>
        <v>0</v>
      </c>
      <c r="AS138" t="b">
        <f>IF(Исходн.данные.!$P138="Ум",P_MinUd_2g_um,IF(Исходн.данные.!$P138="Об",P_MinUd_2g_ob))</f>
        <v>0</v>
      </c>
      <c r="AT138" t="b">
        <f>IF(Исходн.данные.!$P138="Ум",K_MinUd_2g_um,IF(Исходн.данные.!$P138="Об",K_MinUd_2g_ob))</f>
        <v>0</v>
      </c>
      <c r="AU138" t="b">
        <f>IF(Исходн.данные.!$P138="Ум",N_MinUd_1g_um,IF(Исходн.данные.!$P138="Об",N_MinUd_1g_ob))</f>
        <v>0</v>
      </c>
      <c r="AV138" t="b">
        <f>IF(Исходн.данные.!P138="Ум",P_MinUd_1g_um,IF(Исходн.данные.!P138="Об",P_MinUd_1g_ob))</f>
        <v>0</v>
      </c>
      <c r="AW138" t="b">
        <f>IF(Исходн.данные.!P138="Ум",K_MinUd_1g_um,IF(Исходн.данные.!P138="Об",K_MinUd_1g_ob))</f>
        <v>0</v>
      </c>
      <c r="AY138" t="e">
        <f>VLOOKUP(Исходн.данные.!T138,Справ!$A$3:$N$57,12)</f>
        <v>#N/A</v>
      </c>
      <c r="AZ138" t="e">
        <f>VLOOKUP(Исходн.данные.!T138,Справ!$A$3:$N$57,13)</f>
        <v>#N/A</v>
      </c>
      <c r="BA138" t="e">
        <f>VLOOKUP(Исходн.данные.!T138,Справ!$A$3:$N$57,14)</f>
        <v>#N/A</v>
      </c>
      <c r="BB138">
        <f>IF(Исходн.данные.!AH138=0,0,25)</f>
        <v>0</v>
      </c>
      <c r="BC138" s="141">
        <f>IF(Исходн.данные.!AH138=0,0,IF(Исходн.данные.!T138=0,25,BD138))</f>
        <v>0</v>
      </c>
      <c r="BD138" s="168" t="e">
        <f>AY138+AZ138*Исходн.данные.!U138-POWER(BA138,2)*Исходн.данные.!U138</f>
        <v>#N/A</v>
      </c>
      <c r="BE13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8" s="25">
        <f>IF(Исходн.данные.!AH138=0,0,MIN(HN138:HP138))</f>
        <v>0</v>
      </c>
      <c r="BG138" s="9">
        <f>IF(Исходн.данные.!AH138=0,0,IF((HO138+10*0.25/HG138/HL138)&lt;17,17,HO138+10*0.25/HG138/HL138))</f>
        <v>0</v>
      </c>
      <c r="BH138" s="181">
        <f>IF(Исходн.данные.!AH138=0,0,HW138*HF138*HL138/AU138*AI138+Исходн.данные.!S138*10)</f>
        <v>0</v>
      </c>
      <c r="BI138" s="10"/>
      <c r="BJ138" s="182">
        <f>IF(Исходн.данные.!AH138=0,0,IF(HX138*HG138*HL138/AV138&lt;0,0,HX138*HG138*HL138/AV138*AJ138))</f>
        <v>0</v>
      </c>
      <c r="BK138" s="182">
        <f>IF(Исходн.данные.!AH138=0,0,HY138*HH138*HM138/AW138)</f>
        <v>0</v>
      </c>
      <c r="BL138" s="10">
        <f>IF(OR(Исходн.данные.!$AH138=$BP$1,Исходн.данные.!$AH138=$BP$2),0,IF(BH138&lt;0,0,IF(OR(Исходн.данные.!T138=Расчет!$BP$1,Исходн.данные.!T138=Расчет!$BP$2,Исходн.данные.!T138=Расчет!$BT$5,Исходн.данные.!T138=Расчет!$BT$6),BH138*0.5,IF(OR(Исходн.данные.!T138=Расчет!$BS$9,Исходн.данные.!T138=Расчет!$BS$10,Исходн.данные.!T138=Расчет!$BS$11,Исходн.данные.!T138=Расчет!$BS$12,Исходн.данные.!T138=Расчет!$BP$5),BH138*0.8,BH138))))</f>
        <v>0</v>
      </c>
      <c r="BM138" s="10">
        <f>IF(OR(Исходн.данные.!$AH138=$BP$1,Исходн.данные.!$AH138=$BP$2),0,IF(BJ138&lt;0,0,IF(Исходн.данные.!I138&lt;4.5,BJ138*1.2,IF(Исходн.данные.!I138&gt;5.1,BJ138,BJ138*((5.1-Исходн.данные.!I138)*0.333+1)))))</f>
        <v>0</v>
      </c>
      <c r="BN138" s="10">
        <f>IF(OR(Исходн.данные.!$AH138=$BP$1,Исходн.данные.!$AH138=$BP$2),60-Исходн.данные.!AF138,IF(BK138&lt;0,0,IF(Исходн.данные.!I138&lt;4.5,BK138*1.2,IF(Исходн.данные.!I138&gt;5.1,BK138,BK138*((5.1-Исходн.данные.!I138)*0.333+1)))))</f>
        <v>0</v>
      </c>
      <c r="BO138" s="9">
        <f>IF(BL138&lt;0,0,BL138*Исходн.данные.!$AJ138/1000)</f>
        <v>0</v>
      </c>
      <c r="BP138" s="9">
        <f>IF(BM138&lt;0,0,BM138*Исходн.данные.!$AJ138/1000)</f>
        <v>0</v>
      </c>
      <c r="BQ138" s="9">
        <f>IF(BN138&lt;0,0,BN138*Исходн.данные.!$AJ138/1000)</f>
        <v>0</v>
      </c>
      <c r="BR138" s="9">
        <f t="shared" si="155"/>
        <v>0</v>
      </c>
      <c r="BS138" s="10" t="str">
        <f t="shared" si="156"/>
        <v>Аммофос 12:52:00</v>
      </c>
      <c r="BT138" s="10" t="str">
        <f t="shared" si="157"/>
        <v>Аммофос 12:52:00</v>
      </c>
      <c r="BU138" s="10" t="str">
        <f t="shared" si="158"/>
        <v>Диаммофоска</v>
      </c>
      <c r="BV138" s="10">
        <f t="shared" si="159"/>
        <v>0</v>
      </c>
      <c r="BW138" s="10"/>
      <c r="BX138" s="10"/>
      <c r="BY138" s="9">
        <f>IF(BL138&lt;0,0,IF(OR(Исходн.данные.!AI138=Расчет!$BU$6,Исходн.данные.!AI138=Расчет!$BU$7),Расчет!BV138,IF(Исходн.данные.!$AG138=$BV$11,BL138,IF(OR(Исходн.данные.!$AH138=$BQ$7,Исходн.данные.!$AH138=$BQ$8),CB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0,IF(Исходн.данные.!$AI138=$BU$11,"Нет",IF(BL138&gt;30,30,BL138)))))))</f>
        <v>0</v>
      </c>
      <c r="BZ138" s="9">
        <f>IF(AND(Исходн.данные.!$AG138=$BV$11,BM138&lt;10),10,IF(Исходн.данные.!$AG138=$BV$11,BM138,IF(OR(Исходн.данные.!$AH138=$BQ$7,Исходн.данные.!$AH138=$BQ$8),CC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10,IF(Исходн.данные.!$AI138=$BU$11,"Нет",IF(BM138&gt;60,60,IF(BM138&lt;10,10,BM138)))))))</f>
        <v>10</v>
      </c>
      <c r="CA138" s="39">
        <f>IF(BN138&lt;0,0,IF(Исходн.данные.!$AG138=$BV$11,BN138,IF(OR(Исходн.данные.!$AH138=$BQ$7,Исходн.данные.!$AH138=$BQ$8),CD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0,IF(Исходн.данные.!$AI138=$BU$11,"Нет",IF(BN138&gt;30,30,BN138))))))</f>
        <v>0</v>
      </c>
      <c r="CB138" s="9">
        <f t="shared" si="160"/>
        <v>0</v>
      </c>
      <c r="CC138" s="9">
        <f t="shared" si="161"/>
        <v>0</v>
      </c>
      <c r="CD138" s="9">
        <f t="shared" si="162"/>
        <v>0</v>
      </c>
      <c r="CE138" s="12">
        <f t="shared" si="163"/>
        <v>10</v>
      </c>
      <c r="CF138" s="9">
        <f t="shared" si="164"/>
        <v>0</v>
      </c>
      <c r="CG138" s="9" t="s">
        <v>231</v>
      </c>
      <c r="CH138" s="132" t="str">
        <f>IF(Исходн.данные.!AP138=Расчет!$CI$16,"Нет",IF(Исходн.данные.!AL138&gt;0,Исходн.данные.!AL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BH$4,IF(OR(Исходн.данные.!AI138=Исходн.данные.!$AI$6,Исходн.данные.!AI138=Исходн.данные.!$AI$7),Расчет!BS138,IF(AND($CF138=0,$CE138&gt;0),EV138,ER138)))))</f>
        <v>Аммофос 12:52:00</v>
      </c>
      <c r="CI138" s="274">
        <f>IF(Расчет!$CH138="Нет","Нет",IF(Исходн.данные.!$AL138&gt;0,VLOOKUP(Расчет!$CH138,АшламаДВ_Irekle,2,FALSE),VLOOKUP(Расчет!$CH138,АшламаДВ_Gomumy,2,FALSE)))</f>
        <v>0.12</v>
      </c>
      <c r="CJ138" s="274">
        <f>IF(Расчет!$CH138="Нет","Нет",IF(Исходн.данные.!$AL138&gt;0,VLOOKUP(Расчет!$CH138,АшламаДВ_Irekle,3,FALSE),VLOOKUP(Расчет!$CH138,АшламаДВ_Gomumy,3,FALSE)))</f>
        <v>0.52</v>
      </c>
      <c r="CK138" s="274">
        <f>IF(Расчет!$CH138="Нет","Нет",IF(Исходн.данные.!$AL138&gt;0,VLOOKUP(Расчет!$CH138,АшламаДВ_Irekle,4,FALSE),VLOOKUP(Расчет!$CH138,АшламаДВ_Gomumy,4,FALSE)))</f>
        <v>0</v>
      </c>
      <c r="CL138" s="70"/>
      <c r="CM138" s="70"/>
      <c r="CN138" s="70"/>
      <c r="CO138" s="70"/>
      <c r="CP138" s="70"/>
      <c r="CQ138" s="70"/>
      <c r="CR138" s="10">
        <f t="shared" si="165"/>
        <v>0</v>
      </c>
      <c r="CS138" s="10">
        <f t="shared" si="166"/>
        <v>19.23076923076923</v>
      </c>
      <c r="CT138" s="10">
        <f t="shared" si="167"/>
        <v>0</v>
      </c>
      <c r="CU138" s="39">
        <f>IF($CH138="Нет",0,IF(CI138=0,30/MIN(CJ138:CK138),IF(Исходн.данные.!$AG138=$BV$11,CR138,IF(OR(Исходн.данные.!$AH138=$BQ$7,Исходн.данные.!$AH138=$BQ$8),90/CI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0,IF(Исходн.данные.!$AI138=$BU$11,"Нет",30/CI138))))))</f>
        <v>250</v>
      </c>
      <c r="CV138" s="39">
        <f>IF($CH138="Нет",0,IF(Исходн.данные.!AH138=0,0,IF(CJ138=0,60/MIN(CI138,CK138),IF(Исходн.данные.!$AG138=$BV$11,CS138,IF(OR(Исходн.данные.!$AH138=$BQ$7,Исходн.данные.!$AH138=$BQ$8),90/CJ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10/CJ138,IF(Исходн.данные.!$AI138=$BU$11,"Нет",60/CJ138)))))))</f>
        <v>0</v>
      </c>
      <c r="CW138" s="39">
        <f>IF($CH138="Нет",0,IF(Исходн.данные.!AH138=0,0,IF(CK138=0,30/MIN(CI138:CJ138),IF(Исходн.данные.!$AG138=$BV$11,CT138,IF(OR(Исходн.данные.!$AH138=$BQ$7,Исходн.данные.!$AH138=$BQ$8),90/CK138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0,IF(Исходн.данные.!$AI138=$BU$11,"Нет",30/CK138)))))))</f>
        <v>0</v>
      </c>
      <c r="CX138" s="133">
        <f>IF(Исходн.данные.!$AG138=$BV$11,MAX(CU138:CW138),IF(OR(Исходн.данные.!$AH138=$BS$8,Исходн.данные.!$AH138=$BQ$9,Исходн.данные.!$AH138=$BQ$10,Исходн.данные.!$AH138=$BQ$11,Исходн.данные.!$AH138=$BQ$12,Исходн.данные.!$AH138=$BP$3,Исходн.данные.!$AH138=$BT$8,$FM138="Да"),CV138,MIN(CU138:CW138)))</f>
        <v>0</v>
      </c>
      <c r="CY138" s="133">
        <f>IF(Исходн.данные.!AH138=0,0,IF(CR138&gt;$CX138,$CX138,CR138))</f>
        <v>0</v>
      </c>
      <c r="CZ138" s="133">
        <f>IF(Исходн.данные.!AH138=0,0,IF(CS138&gt;$CX138,$CX138,CS138))</f>
        <v>0</v>
      </c>
      <c r="DA138" s="133">
        <f>IF(Исходн.данные.!AH138=0,0,IF(CT138&gt;$CX138,$CX138,CT138))</f>
        <v>0</v>
      </c>
      <c r="DB138" s="10">
        <f t="shared" si="168"/>
        <v>0</v>
      </c>
      <c r="DC138" s="39">
        <f>DB138*Исходн.данные.!AJ138/1000</f>
        <v>0</v>
      </c>
      <c r="DD138" s="71">
        <f t="shared" si="169"/>
        <v>0</v>
      </c>
      <c r="DE138" s="9">
        <f t="shared" si="170"/>
        <v>0</v>
      </c>
      <c r="DF138" s="9">
        <f t="shared" si="171"/>
        <v>0</v>
      </c>
      <c r="DG138" s="39">
        <f>IF(BL138&lt;0,0,IF($CH138="Нет",BL138,IF(OR(Исходн.данные.!$AH138=$BP$1,Исходн.данные.!$AH138=$BP$2),0,IF(Исходн.данные.!AI138=$BU$11,BL138,IF(BL138-DD138&lt;0,0,BL138-DD138)))))</f>
        <v>0</v>
      </c>
      <c r="DH138" s="39">
        <f>IF(BM138&lt;0,0,IF($CH138="Нет",BM138,IF(OR(Исходн.данные.!$AH138=$BP$1,Исходн.данные.!$AH138=$BP$2),0,IF(Исходн.данные.!AJ138=$BU$11,BM138,IF(BM138-DE138&lt;0,0,BM138-DE138)))))</f>
        <v>0</v>
      </c>
      <c r="DI138" s="39">
        <f>IF(BN138&lt;0,0,IF($CH138="Нет",BN138,IF(OR(Исходн.данные.!$AH138=$BP$1,Исходн.данные.!$AH138=$BP$2),0,IF(Исходн.данные.!AK138=$BU$11,BN138,IF(BN138-DF138&lt;0,0,BN138-DF138)))))</f>
        <v>0</v>
      </c>
      <c r="DJ138" s="12">
        <f t="shared" si="172"/>
        <v>0</v>
      </c>
      <c r="DK138" s="9">
        <f t="shared" si="173"/>
        <v>0</v>
      </c>
      <c r="DL138" s="39">
        <f>IF(Исходн.данные.!AM138&gt;0,Исходн.данные.!AM138,IF(EG138&gt;0,$BH$10,0))</f>
        <v>0</v>
      </c>
      <c r="DM138" s="186">
        <f>IF($DL138=0,0,IF(Исходн.данные.!AM138&gt;0,VLOOKUP($DL138,АшламаДВ_Irekle,2,FALSE),VLOOKUP($DL138,АшламаДВ_Gomumy,2,FALSE)))</f>
        <v>0</v>
      </c>
      <c r="DN138" s="10">
        <f t="shared" si="151"/>
        <v>0</v>
      </c>
      <c r="DO138" s="9" t="str">
        <f>IF(Исходн.данные.!AN138&gt;0,Исходн.данные.!AN138,Удобрения!$B$37 )</f>
        <v>Хлор.калий</v>
      </c>
      <c r="DP138" s="9">
        <f>IF(Исходн.данные.!AN138&gt;0,VLOOKUP(Исходн.данные.!AN138,АшламаДВ_Irekle,4,FALSE),VLOOKUP(DO138,АшламаДВ_Gomumy,4,FALSE))</f>
        <v>0.6</v>
      </c>
      <c r="DQ138" s="10">
        <f t="shared" si="152"/>
        <v>0</v>
      </c>
      <c r="DR138" s="132" t="str">
        <f>IF(Исходн.данные.!AO138&gt;0,Исходн.данные.!AO138,IF(DH138=0,BS$17,IF(AND($DK138=0,$DJ138&gt;0),EJ138,EN138)))</f>
        <v>Нет</v>
      </c>
      <c r="DS138" s="70" t="str">
        <f>IF($DR138="Нет","Нет",IF(Исходн.данные.!$AO138&gt;0,VLOOKUP($DR138,АшламаДВ_Irekle,2,FALSE),VLOOKUP($DR138,АшламаДВ_Gomumy,2,FALSE)))</f>
        <v>Нет</v>
      </c>
      <c r="DT138" s="70" t="str">
        <f>IF($DR138="Нет","Нет",IF(Исходн.данные.!$AO138&gt;0,VLOOKUP($DR138,АшламаДВ_Irekle,3,FALSE),VLOOKUP($DR138,АшламаДВ_Gomumy,3,FALSE)))</f>
        <v>Нет</v>
      </c>
      <c r="DU138" s="70" t="str">
        <f>IF($DR138="Нет","Нет",IF(Исходн.данные.!$AO138&gt;0,VLOOKUP($DR138,АшламаДВ_Irekle,4,FALSE),VLOOKUP($DR138,АшламаДВ_Gomumy,4,FALSE)))</f>
        <v>Нет</v>
      </c>
      <c r="DV138" s="70"/>
      <c r="DW138" s="70"/>
      <c r="DX138" s="70"/>
      <c r="DY138" s="10">
        <f t="shared" si="174"/>
        <v>0</v>
      </c>
      <c r="DZ138" s="10">
        <f t="shared" si="175"/>
        <v>0</v>
      </c>
      <c r="EA138" s="10">
        <f t="shared" si="176"/>
        <v>0</v>
      </c>
      <c r="EB138" s="10">
        <f t="shared" si="177"/>
        <v>0</v>
      </c>
      <c r="EC138" s="10">
        <f t="shared" si="178"/>
        <v>0</v>
      </c>
      <c r="ED138" s="10">
        <f t="shared" si="179"/>
        <v>0</v>
      </c>
      <c r="EE138" s="10">
        <f t="shared" si="180"/>
        <v>0</v>
      </c>
      <c r="EF138" s="39">
        <f>EB138*Исходн.данные.!AJ138/1000</f>
        <v>0</v>
      </c>
      <c r="EG138" s="9">
        <f t="shared" si="181"/>
        <v>0</v>
      </c>
      <c r="EH138" s="9">
        <f t="shared" si="182"/>
        <v>0</v>
      </c>
      <c r="EI138" s="39" t="e">
        <f t="shared" si="132"/>
        <v>#DIV/0!</v>
      </c>
      <c r="EJ138" s="9" t="str">
        <f t="shared" si="153"/>
        <v>Азопреципитат</v>
      </c>
      <c r="EK138" s="12">
        <f t="shared" si="133"/>
        <v>0.26</v>
      </c>
      <c r="EL138" s="12">
        <f t="shared" si="134"/>
        <v>0.13</v>
      </c>
      <c r="EM138" s="12">
        <f t="shared" si="135"/>
        <v>0</v>
      </c>
      <c r="EN138" s="12" t="str">
        <f t="shared" si="154"/>
        <v>Нет</v>
      </c>
      <c r="EO138" s="12">
        <f t="shared" si="136"/>
        <v>0</v>
      </c>
      <c r="EP138" s="12">
        <f t="shared" si="137"/>
        <v>0</v>
      </c>
      <c r="EQ138" s="12">
        <f t="shared" si="138"/>
        <v>0</v>
      </c>
      <c r="ER138" s="12" t="str">
        <f t="shared" si="183"/>
        <v>Диаммофоска</v>
      </c>
      <c r="ES138" s="12">
        <f t="shared" si="139"/>
        <v>0.1</v>
      </c>
      <c r="ET138" s="12">
        <f t="shared" si="140"/>
        <v>0.26</v>
      </c>
      <c r="EU138" s="12">
        <f t="shared" si="141"/>
        <v>0.26</v>
      </c>
      <c r="EV138" s="12" t="str">
        <f t="shared" si="184"/>
        <v>Аммофос 12:52:00</v>
      </c>
      <c r="EW138" s="12" t="str">
        <f t="shared" si="185"/>
        <v>Кемира Свекловичное-6</v>
      </c>
      <c r="EX138" s="12">
        <f t="shared" si="142"/>
        <v>0.16</v>
      </c>
      <c r="EY138" s="12">
        <f t="shared" si="143"/>
        <v>0.12</v>
      </c>
      <c r="EZ138" s="12">
        <f t="shared" si="144"/>
        <v>0.17</v>
      </c>
      <c r="FA138" s="38" t="e">
        <f>IF(AND(OR(FJ138=$FD$1,FM138=$FD$1,FO138=$FD$1,FQ138=$FD$1,FS138=$FD$1),FD138=$FD$1,Исходн.данные.!J138&lt;2,FU138=$FD$1),"Бор,Кобальт",IF(AND(FO138=$FD$1,FH138=$FD$1,Исходн.данные.!J138&lt;2,FU138=$FD$1),"Бор,Кобальт",IF(AND(OR(FJ138=$FD$1,FM138=$FD$1,FQ138=$FD$1),FE138=$FD$1,Исходн.данные.!J138&lt;2,FT138=$FD$1,FU138=$FD$1),"Бор,Медь,Цинк",IF(AND(OR(FJ138=$FD$1,FR138="Да"),FI138="Да",Исходн.данные.!J138&lt;2,FT138="Да",FU138="Да"),"Бор,Цинк,Медь",IF(AND(OR(FM138="Да",FQ138="Да"),FI138="Да",Исходн.данные.!J138&lt;2,FT138="Да",FU138="Да"),"Бор,Цинк",IF(AND(FN138="Да",OR(FD138="Да",FE138="Да")),"Бор",FB138))))))</f>
        <v>#N/A</v>
      </c>
      <c r="FB138" s="134" t="e">
        <f>IF(AND(OR(FD138="Да",FE138="Да",FF138="Да",FG138="Да",FH138="Да"),FO138="Да"),"Бор",IF(AND(FP138="Да",OR(FD138="Да",FE138="Да",FI138="Да")),"Бор",IF(AND(FS138="Да",FE138="Да"),"Бор,Медь",IF(AND(OR(FJ138="Да",FK138="Да",FL138="Да"),FE138="Да",Исходн.данные.!I138&lt;5,FT138="Да",FU138="Да"),"Молибден,Цинк",IF(AND(FM138="Да",OR(FE138="Да",FF138="Да",FG138="Да",FH138="Да",FI138="Да")),"Молибден,Цинк",IF(AND(OR(FJ138="Да",FK138="Да",FL138="Да",FM138="Да",FQ138="Да"),OR(FE138="Да",FF138="Да"),FT138="Да",FU138="Да",Исходн.данные.!I138&gt;5.5),"Медь,Цинк",FC138))))))</f>
        <v>#N/A</v>
      </c>
      <c r="FC138" s="23" t="e">
        <f t="shared" si="186"/>
        <v>#N/A</v>
      </c>
      <c r="FD138" s="38" t="str">
        <f>IF(OR(Исходн.данные.!F138=$CC$1,Исходн.данные.!F138=$CC$2,Исходн.данные.!F138=$CC$3,Исходн.данные.!F138=$CC$4),"Да","Нет")</f>
        <v>Нет</v>
      </c>
      <c r="FE138" s="38" t="str">
        <f>IF(Исходн.данные.!F138=$CC$5,"Да","Нет")</f>
        <v>Нет</v>
      </c>
      <c r="FF138" s="38" t="str">
        <f>IF(OR(Исходн.данные.!F138=$CC$6,Исходн.данные.!F138=$CC$7),"Да","Нет")</f>
        <v>Нет</v>
      </c>
      <c r="FG138" s="38" t="str">
        <f>IF(OR(Исходн.данные.!F138=$CC$8,Исходн.данные.!F138=$CC$9),"Да","Нет")</f>
        <v>Нет</v>
      </c>
      <c r="FH138" s="38" t="str">
        <f>IF(Исходн.данные.!F138=$CC$10,"Да","Нет")</f>
        <v>Нет</v>
      </c>
      <c r="FI138" s="38" t="str">
        <f>IF(OR(Исходн.данные.!F138=$CC$11,Исходн.данные.!F138=$CC$12),"Да","Нет")</f>
        <v>Нет</v>
      </c>
      <c r="FJ138" s="38" t="str">
        <f>IF(OR(Исходн.данные.!AH138=$BS$1,Исходн.данные.!AH138=$BQ$11,Исходн.данные.!AH138=$BQ$12),"Да","Нет")</f>
        <v>Нет</v>
      </c>
      <c r="FK138" s="38" t="str">
        <f>IF(OR(Исходн.данные.!AH138=$BS$2,Исходн.данные.!AH138=$BS$4),"Да","Нет")</f>
        <v>Нет</v>
      </c>
      <c r="FL138" s="38" t="str">
        <f>IF(OR(Исходн.данные.!AH138=$BS$3,Исходн.данные.!AH138=$BS$5),"Да","Нет")</f>
        <v>Нет</v>
      </c>
      <c r="FM138" s="38" t="str">
        <f>IF(OR(Исходн.данные.!AH138=$BS$9,Исходн.данные.!AH138=$BS$10,Исходн.данные.!AH138=$BS$11,Исходн.данные.!AH138=$BS$12),"Да","Нет")</f>
        <v>Нет</v>
      </c>
      <c r="FN138" s="38" t="str">
        <f>IF(OR(Исходн.данные.!AH138=$BS$6,Исходн.данные.!AH138=$BP$3),"Да","Нет")</f>
        <v>Нет</v>
      </c>
      <c r="FO138" s="38" t="str">
        <f>IF(Исходн.данные.!AH138=$BQ$9,"Да","Нет")</f>
        <v>Нет</v>
      </c>
      <c r="FP138" s="38" t="str">
        <f>IF(OR(Исходн.данные.!AH138=$BS$8,Исходн.данные.!AH138=$BT$8),"Да","Нет")</f>
        <v>Нет</v>
      </c>
      <c r="FQ138" s="38" t="str">
        <f>IF(OR(Исходн.данные.!AH138=$BQ$7,Исходн.данные.!AH138=$BQ$8),"Да","Нет")</f>
        <v>Нет</v>
      </c>
      <c r="FR138" s="38" t="str">
        <f>IF(Исходн.данные.!AI138=$BU$9,"Да","Нет")</f>
        <v>Нет</v>
      </c>
      <c r="FS138" s="38" t="str">
        <f>IF(OR(Исходн.данные.!AH138=$BP$1,Исходн.данные.!AH138=$BP$2),"Да","Нет")</f>
        <v>Нет</v>
      </c>
      <c r="FT138" s="38" t="e">
        <f>IF((Исходн.данные.!K138*GO138*GS138*GW138+BL138*0.6+Исходн.данные.!Q138*4.5*0.275)&gt;90,"Да","Нет")</f>
        <v>#N/A</v>
      </c>
      <c r="FU138" s="38" t="e">
        <f>IF((Исходн.данные.!M138*GS138*GZ138+BM138*0.225)&gt;35,"Да","Нет")</f>
        <v>#N/A</v>
      </c>
      <c r="FV138" s="38" t="str">
        <f>IF(Исходн.данные.!O138&gt;175,"Да","Нет")</f>
        <v>Нет</v>
      </c>
      <c r="FW138" s="39" t="str">
        <f>IF(Исходн.данные.!I138&gt;5.5,"Да","Нет")</f>
        <v>Нет</v>
      </c>
      <c r="FX138" s="39" t="str">
        <f>IF(Исходн.данные.!J138&lt;2,"Да","Нет")</f>
        <v>Да</v>
      </c>
      <c r="FY138" s="39" t="e">
        <f>IF(HF138=$FY$16,0,Исходн.данные.!K138*GO138*GS138*GW138/HF138)</f>
        <v>#N/A</v>
      </c>
      <c r="FZ138" s="39" t="e">
        <f>Исходн.данные.!M138*GS138*GZ138/HG138</f>
        <v>#N/A</v>
      </c>
      <c r="GA138" s="39" t="e">
        <f>IF(K_Wyn=$FY$16,0,IF(Исходн.данные.!N138=Исходн.данные.!$L$10,Исходн.данные.!O138/1.1*GS138*HC138/HH138,IF(Исходн.данные.!N138=Исходн.данные.!$L$12,Исходн.данные.!O138/1.5*GS138*HC138/HH138,Исходн.данные.!O138*GS138*HC138/HH138)))</f>
        <v>#N/A</v>
      </c>
      <c r="GB138" s="39" t="e">
        <f>IF(HF138=$FY$16,0,((Исходн.данные.!Q138*N_Org+Исходн.данные.!R138*N_Sider+Исходн.данные.!S138*N_Soloma)*AO138+Расчет!BC138*VLOOKUP(Исходн.данные.!T138,Справ!$A$3:$O$57,15)*AO138+BB138*VLOOKUP(Исходн.данные.!T138,Справ!$A$3:$O$57,15)*AL138+(Исходн.данные.!V138*N_Rizotorf+Исходн.данные.!W138*N_Rizoagr))/HF138)</f>
        <v>#N/A</v>
      </c>
      <c r="GC138" s="39" t="e">
        <f>IF(HG138=$FY$16,0,((Исходн.данные.!Q138*Р_Org+Исходн.данные.!R138*P_Sider+Исходн.данные.!S138*P_Soloma)*AP138+Расчет!BC138*VLOOKUP(Исходн.данные.!T138,Справ!$A$3:$P$57,16)*AP138+BB138*VLOOKUP(Исходн.данные.!T138,Справ!$A$3:$P$57,16)*AM138)/HG138)</f>
        <v>#N/A</v>
      </c>
      <c r="GD138" s="39" t="e">
        <f>IF(HH138=$FY$16,0,((Исходн.данные.!Q138*К_Org+Исходн.данные.!R138*K_Sider+Исходн.данные.!S138*K_Soloma)*AQ138+Расчет!BC138*VLOOKUP(Исходн.данные.!T138,Справ!$A$3:$Q$57,17)*AQ138+BB138*VLOOKUP(Исходн.данные.!T138,Справ!$A$3:$Q$57,17)*AN138)/HH138)</f>
        <v>#N/A</v>
      </c>
      <c r="GE138" s="39" t="e">
        <f>IF(HF138=$FY$16,0,(Исходн.данные.!X138*AR138+Исходн.данные.!AA138*N_Org*AL138+Исходн.данные.!AB138*N_Sider*AL138+Исходн.данные.!AC138*N_Soloma*AL138)/HF138)</f>
        <v>#N/A</v>
      </c>
      <c r="GF138" s="39" t="e">
        <f>IF(HG138=$FY$16,0,(Исходн.данные.!Y138*AS138+Исходн.данные.!AA138*Р_Org*AM138+Исходн.данные.!AB138*P_Sider*AM138+Исходн.данные.!AC138*P_Soloma*AM138)/HG138)</f>
        <v>#N/A</v>
      </c>
      <c r="GG138" s="39" t="e">
        <f>IF(HH138=$FY$16,0,(Исходн.данные.!Z138*AT138+Исходн.данные.!AA138*К_Org*AN138+Исходн.данные.!AB138*K_Sider*AN138+Исходн.данные.!AC138*K_Soloma*AN138)/HH138)</f>
        <v>#N/A</v>
      </c>
      <c r="GH138" s="39" t="e">
        <f>Исходн.данные.!AD138*AU138/HF138</f>
        <v>#N/A</v>
      </c>
      <c r="GI138" s="39" t="e">
        <f>Исходн.данные.!AE138*AV138/HG138</f>
        <v>#N/A</v>
      </c>
      <c r="GJ138" s="39" t="e">
        <f>Исходн.данные.!AF138*AW138/HH138</f>
        <v>#N/A</v>
      </c>
      <c r="GK138" s="55">
        <f>Исходн.данные.!AK138</f>
        <v>0</v>
      </c>
      <c r="GL138" s="11" t="e">
        <f t="shared" si="187"/>
        <v>#N/A</v>
      </c>
      <c r="GM138" s="11" t="e">
        <f t="shared" si="188"/>
        <v>#N/A</v>
      </c>
      <c r="GN138" s="11" t="e">
        <f t="shared" si="189"/>
        <v>#N/A</v>
      </c>
      <c r="GO138" s="57">
        <f t="shared" si="190"/>
        <v>19</v>
      </c>
      <c r="GP138" s="55">
        <f>IF(OR(Исходн.данные.!F138=$CE$1,Исходн.данные.!F138=$CE$2,Исходн.данные.!F138=$CE$3,Исходн.данные.!F138=$CE$4,Исходн.данные.!F138=$CE$5),GQ138,GR138)</f>
        <v>19</v>
      </c>
      <c r="GQ138" s="55">
        <f>IF(Исходн.данные.!F138=$CE$1,28,IF(Исходн.данные.!F138=$CE$2,26,IF(Исходн.данные.!F138=$CE$3,24,IF(Исходн.данные.!F138=$CE$4,22,IF(Исходн.данные.!F138=$CE$5,20,GR138)))))</f>
        <v>19</v>
      </c>
      <c r="GR138" s="55">
        <f>IF(Исходн.данные.!F138=$CE$6,18,IF(Исходн.данные.!F138=$CE$7,16,IF(Исходн.данные.!F138=$CE$8,14,IF(Исходн.данные.!F138=$CE$9,13,IF(Исходн.данные.!F138=$CE$10,12,19)))))</f>
        <v>19</v>
      </c>
      <c r="GS138" s="55">
        <f>IF(Исходн.данные.!G138="Пес",0.035*(40+2*Исходн.данные.!H138),IF(Исходн.данные.!G138="Суп",0.0325*(40+2*Исходн.данные.!H138),0.03*(40+2*Исходн.данные.!H138)))</f>
        <v>1.2</v>
      </c>
      <c r="GT138" s="55">
        <f>IF(Исходн.данные.!H138&lt;23,2.6,IF(AND(Исходн.данные.!H138&gt;22,Исходн.данные.!H138&lt;26),3,IF(AND(Исходн.данные.!H138&gt;25,Исходн.данные.!H138&lt;29),3.4,3.6)))</f>
        <v>2.6</v>
      </c>
      <c r="GU138" s="55">
        <f>IF(Исходн.данные.!H138&lt;23,2.8,IF(AND(Исходн.данные.!H138&gt;22,Исходн.данные.!H138&lt;26),3.2,IF(AND(Исходн.данные.!H138&gt;25,Исходн.данные.!H138&lt;29),3.6,3.9)))</f>
        <v>2.8</v>
      </c>
      <c r="GV138" s="55">
        <f>IF(Исходн.данные.!H138&lt;23,3,IF(AND(Исходн.данные.!H138&gt;22,Исходн.данные.!H138&lt;26),3.5,IF(AND(Исходн.данные.!H138&gt;25,Исходн.данные.!H138&lt;29),3.9,4.2)))</f>
        <v>3</v>
      </c>
      <c r="GW138" s="55" t="e">
        <f>IF(Исходн.данные.!P138="Ум",GX138,GY138)</f>
        <v>#N/A</v>
      </c>
      <c r="GX138" s="55" t="e">
        <f>VLOOKUP(Исходн.данные.!AI138,Коэффициенты!$J$7:$L$13,2,FALSE)</f>
        <v>#N/A</v>
      </c>
      <c r="GY138" s="55" t="e">
        <f>VLOOKUP(Исходн.данные.!AI138,Коэффициенты!$J$7:$L$13,3,FALSE)</f>
        <v>#N/A</v>
      </c>
      <c r="GZ138" s="55" t="e">
        <f>(IF(Исходн.данные.!M138&lt;50,0.11*VLOOKUP(Исходн.данные.!AH138,Культуры.Информация,7,FALSE),IF(Исходн.данные.!M138&gt;250,0.05*VLOOKUP(Исходн.данные.!AH138,Культуры.Информация,7,FALSE),VLOOKUP(Исходн.данные.!AH138,Культуры.Информация,5,FALSE)/100*($GX$6+$GY$6*Исходн.данные.!M138))))*Расчет2!AI138</f>
        <v>#N/A</v>
      </c>
      <c r="HA138" s="211"/>
      <c r="HB138" s="211"/>
      <c r="HC138" s="55" t="e">
        <f>(IF(Исходн.данные.!O138&lt;80,0.2*VLOOKUP(Исходн.данные.!AH138,Культуры.Информация,8,FALSE),IF(Исходн.данные.!O138&gt;240,0.09*VLOOKUP(Исходн.данные.!AH138,Культуры.Информация,8,FALSE),VLOOKUP(Исходн.данные.!AH138,Культуры.Информация,6,FALSE)/100*($HB$6+$HC$6*Исходн.данные.!O138))))*Расчет2!AJ138</f>
        <v>#N/A</v>
      </c>
      <c r="HD138" s="55">
        <f>IF(Исходн.данные.!O138&gt;240,0.09,IF(Исходн.данные.!O138&lt;30,0.3,$HE$10+$HD$10*Исходн.данные.!O138))</f>
        <v>0.3</v>
      </c>
      <c r="HE138" s="55">
        <f>IF(Исходн.данные.!O138&gt;240,0.17,IF(Исходн.данные.!O138&lt;30,0.5,$HF$12+$HE$12*Исходн.данные.!O138))</f>
        <v>0.5</v>
      </c>
      <c r="HF138" s="55" t="e">
        <f>VLOOKUP(Исходн.данные.!AH138,Справ!$A$3:$D$58,2,FALSE)</f>
        <v>#N/A</v>
      </c>
      <c r="HG138" s="55" t="e">
        <f>VLOOKUP(Исходн.данные.!AH138,Справ!$A$3:$D$58,3,FALSE)</f>
        <v>#N/A</v>
      </c>
      <c r="HH138" s="55" t="e">
        <f>VLOOKUP(Исходн.данные.!AH138,Справ!$A$3:$D$58,4,FALSE)</f>
        <v>#N/A</v>
      </c>
      <c r="HI138" s="11" t="e">
        <f t="shared" si="191"/>
        <v>#N/A</v>
      </c>
      <c r="HJ138" s="11" t="e">
        <f t="shared" si="192"/>
        <v>#N/A</v>
      </c>
      <c r="HK138" s="11" t="e">
        <f t="shared" si="193"/>
        <v>#N/A</v>
      </c>
      <c r="HL138" s="55">
        <f>IF(OR(Исходн.данные.!G138="Глин",Исходн.данные.!G138="Т_суг"),1.1,IF(Исходн.данные.!G138="Ср_суг",1,1))</f>
        <v>1</v>
      </c>
      <c r="HM138" s="55">
        <f>IF(OR(Исходн.данные.!G138="Глин",Исходн.данные.!G138="Т_суг"),0.9,IF(Исходн.данные.!G138="Ср_суг",1,1.2))</f>
        <v>1.2</v>
      </c>
      <c r="HN138" s="11" t="e">
        <f t="shared" si="194"/>
        <v>#N/A</v>
      </c>
      <c r="HO138" s="11" t="e">
        <f t="shared" si="195"/>
        <v>#N/A</v>
      </c>
      <c r="HP138" s="11" t="e">
        <f t="shared" si="196"/>
        <v>#N/A</v>
      </c>
      <c r="HQ138" t="e">
        <f t="shared" si="197"/>
        <v>#N/A</v>
      </c>
      <c r="HR138" t="e">
        <f t="shared" si="198"/>
        <v>#N/A</v>
      </c>
      <c r="HS138" t="e">
        <f t="shared" si="199"/>
        <v>#N/A</v>
      </c>
      <c r="HT138" t="e">
        <f t="shared" si="145"/>
        <v>#N/A</v>
      </c>
      <c r="HU138" t="e">
        <f t="shared" si="146"/>
        <v>#N/A</v>
      </c>
      <c r="HV138" t="e">
        <f t="shared" si="147"/>
        <v>#N/A</v>
      </c>
      <c r="HW138" t="e">
        <f t="shared" si="148"/>
        <v>#N/A</v>
      </c>
      <c r="HX138" t="e">
        <f t="shared" si="149"/>
        <v>#N/A</v>
      </c>
      <c r="HY138" t="e">
        <f t="shared" si="150"/>
        <v>#N/A</v>
      </c>
      <c r="HZ138" s="55">
        <f>IF(OR(Исходн.данные.!AI138="Оз_Ч_П",Исходн.данные.!AI138="Оз_З_П",Исходн.данные.!AI138="Яр_зер"),12,30)</f>
        <v>30</v>
      </c>
      <c r="IA138" t="e">
        <f t="shared" si="200"/>
        <v>#N/A</v>
      </c>
      <c r="IB138" t="e">
        <f t="shared" si="201"/>
        <v>#N/A</v>
      </c>
      <c r="IC138" t="e">
        <f t="shared" si="202"/>
        <v>#N/A</v>
      </c>
      <c r="ID138" s="11" t="e">
        <f t="shared" si="203"/>
        <v>#N/A</v>
      </c>
      <c r="IE138" s="11" t="e">
        <f t="shared" si="204"/>
        <v>#N/A</v>
      </c>
      <c r="IF138" s="11" t="e">
        <f t="shared" si="205"/>
        <v>#N/A</v>
      </c>
    </row>
    <row r="139" spans="35:240" x14ac:dyDescent="0.2">
      <c r="AI139">
        <f>IF(Исходн.данные.!I139&gt;6,1,1.85-(0.148*Исходн.данные.!I139))</f>
        <v>1.85</v>
      </c>
      <c r="AJ139">
        <f>IF(Исходн.данные.!I139&gt;6,1,2.434-(0.246*Исходн.данные.!I139))</f>
        <v>2.4340000000000002</v>
      </c>
      <c r="AL139" s="148" t="b">
        <f>IF(Исходн.данные.!$P139="Ум",N_OrgUd_2g_um,IF(Исходн.данные.!$P139="Об",N_OrgUd_2g_ob))</f>
        <v>0</v>
      </c>
      <c r="AM139" s="148" t="b">
        <f>IF(Исходн.данные.!$P139="Ум",P_OrgUd_2g_um,IF(Исходн.данные.!$P139="Об",P_OrgUd_2g_ob))</f>
        <v>0</v>
      </c>
      <c r="AN139" s="148" t="b">
        <f>IF(Исходн.данные.!$P139="Ум",K_OrgUd_2g_um,IF(Исходн.данные.!$P139="Об",K_OrgUd_2g_ob))</f>
        <v>0</v>
      </c>
      <c r="AO139" s="148" t="b">
        <f>IF(Исходн.данные.!$P139="Ум",N_OrgUd_1g_um,IF(Исходн.данные.!$P139="Об",N_OrgUd_1g_ob))</f>
        <v>0</v>
      </c>
      <c r="AP139" s="148" t="b">
        <f>IF(Исходн.данные.!$P139="Ум",P_OrgUd_1g_um,IF(Исходн.данные.!$P139="Об",P_OrgUd_1g_ob))</f>
        <v>0</v>
      </c>
      <c r="AQ139" s="148" t="b">
        <f>IF(Исходн.данные.!$P139="Ум",K_OrgUd_1g_um,IF(Исходн.данные.!$P139="Об",K_OrgUd_1g_ob))</f>
        <v>0</v>
      </c>
      <c r="AR139" t="b">
        <f>IF(Исходн.данные.!$P139="Ум",N_MinUd_2g_um,IF(Исходн.данные.!$P139="Об",N_MinUd_2g_ob))</f>
        <v>0</v>
      </c>
      <c r="AS139" t="b">
        <f>IF(Исходн.данные.!$P139="Ум",P_MinUd_2g_um,IF(Исходн.данные.!$P139="Об",P_MinUd_2g_ob))</f>
        <v>0</v>
      </c>
      <c r="AT139" t="b">
        <f>IF(Исходн.данные.!$P139="Ум",K_MinUd_2g_um,IF(Исходн.данные.!$P139="Об",K_MinUd_2g_ob))</f>
        <v>0</v>
      </c>
      <c r="AU139" t="b">
        <f>IF(Исходн.данные.!$P139="Ум",N_MinUd_1g_um,IF(Исходн.данные.!$P139="Об",N_MinUd_1g_ob))</f>
        <v>0</v>
      </c>
      <c r="AV139" t="b">
        <f>IF(Исходн.данные.!P139="Ум",P_MinUd_1g_um,IF(Исходн.данные.!P139="Об",P_MinUd_1g_ob))</f>
        <v>0</v>
      </c>
      <c r="AW139" t="b">
        <f>IF(Исходн.данные.!P139="Ум",K_MinUd_1g_um,IF(Исходн.данные.!P139="Об",K_MinUd_1g_ob))</f>
        <v>0</v>
      </c>
      <c r="AY139" t="e">
        <f>VLOOKUP(Исходн.данные.!T139,Справ!$A$3:$N$57,12)</f>
        <v>#N/A</v>
      </c>
      <c r="AZ139" t="e">
        <f>VLOOKUP(Исходн.данные.!T139,Справ!$A$3:$N$57,13)</f>
        <v>#N/A</v>
      </c>
      <c r="BA139" t="e">
        <f>VLOOKUP(Исходн.данные.!T139,Справ!$A$3:$N$57,14)</f>
        <v>#N/A</v>
      </c>
      <c r="BB139">
        <f>IF(Исходн.данные.!AH139=0,0,25)</f>
        <v>0</v>
      </c>
      <c r="BC139" s="141">
        <f>IF(Исходн.данные.!AH139=0,0,IF(Исходн.данные.!T139=0,25,BD139))</f>
        <v>0</v>
      </c>
      <c r="BD139" s="168" t="e">
        <f>AY139+AZ139*Исходн.данные.!U139-POWER(BA139,2)*Исходн.данные.!U139</f>
        <v>#N/A</v>
      </c>
      <c r="BE13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39" s="25">
        <f>IF(Исходн.данные.!AH139=0,0,MIN(HN139:HP139))</f>
        <v>0</v>
      </c>
      <c r="BG139" s="9">
        <f>IF(Исходн.данные.!AH139=0,0,IF((HO139+10*0.25/HG139/HL139)&lt;17,17,HO139+10*0.25/HG139/HL139))</f>
        <v>0</v>
      </c>
      <c r="BH139" s="181">
        <f>IF(Исходн.данные.!AH139=0,0,HW139*HF139*HL139/AU139*AI139+Исходн.данные.!S139*10)</f>
        <v>0</v>
      </c>
      <c r="BI139" s="10"/>
      <c r="BJ139" s="182">
        <f>IF(Исходн.данные.!AH139=0,0,IF(HX139*HG139*HL139/AV139&lt;0,0,HX139*HG139*HL139/AV139*AJ139))</f>
        <v>0</v>
      </c>
      <c r="BK139" s="182">
        <f>IF(Исходн.данные.!AH139=0,0,HY139*HH139*HM139/AW139)</f>
        <v>0</v>
      </c>
      <c r="BL139" s="10">
        <f>IF(OR(Исходн.данные.!$AH139=$BP$1,Исходн.данные.!$AH139=$BP$2),0,IF(BH139&lt;0,0,IF(OR(Исходн.данные.!T139=Расчет!$BP$1,Исходн.данные.!T139=Расчет!$BP$2,Исходн.данные.!T139=Расчет!$BT$5,Исходн.данные.!T139=Расчет!$BT$6),BH139*0.5,IF(OR(Исходн.данные.!T139=Расчет!$BS$9,Исходн.данные.!T139=Расчет!$BS$10,Исходн.данные.!T139=Расчет!$BS$11,Исходн.данные.!T139=Расчет!$BS$12,Исходн.данные.!T139=Расчет!$BP$5),BH139*0.8,BH139))))</f>
        <v>0</v>
      </c>
      <c r="BM139" s="10">
        <f>IF(OR(Исходн.данные.!$AH139=$BP$1,Исходн.данные.!$AH139=$BP$2),0,IF(BJ139&lt;0,0,IF(Исходн.данные.!I139&lt;4.5,BJ139*1.2,IF(Исходн.данные.!I139&gt;5.1,BJ139,BJ139*((5.1-Исходн.данные.!I139)*0.333+1)))))</f>
        <v>0</v>
      </c>
      <c r="BN139" s="10">
        <f>IF(OR(Исходн.данные.!$AH139=$BP$1,Исходн.данные.!$AH139=$BP$2),60-Исходн.данные.!AF139,IF(BK139&lt;0,0,IF(Исходн.данные.!I139&lt;4.5,BK139*1.2,IF(Исходн.данные.!I139&gt;5.1,BK139,BK139*((5.1-Исходн.данные.!I139)*0.333+1)))))</f>
        <v>0</v>
      </c>
      <c r="BO139" s="9">
        <f>IF(BL139&lt;0,0,BL139*Исходн.данные.!$AJ139/1000)</f>
        <v>0</v>
      </c>
      <c r="BP139" s="9">
        <f>IF(BM139&lt;0,0,BM139*Исходн.данные.!$AJ139/1000)</f>
        <v>0</v>
      </c>
      <c r="BQ139" s="9">
        <f>IF(BN139&lt;0,0,BN139*Исходн.данные.!$AJ139/1000)</f>
        <v>0</v>
      </c>
      <c r="BR139" s="9">
        <f t="shared" si="155"/>
        <v>0</v>
      </c>
      <c r="BS139" s="10" t="str">
        <f t="shared" si="156"/>
        <v>Аммофос 12:52:00</v>
      </c>
      <c r="BT139" s="10" t="str">
        <f t="shared" si="157"/>
        <v>Аммофос 12:52:00</v>
      </c>
      <c r="BU139" s="10" t="str">
        <f t="shared" si="158"/>
        <v>Диаммофоска</v>
      </c>
      <c r="BV139" s="10">
        <f t="shared" si="159"/>
        <v>0</v>
      </c>
      <c r="BW139" s="10"/>
      <c r="BX139" s="10"/>
      <c r="BY139" s="9">
        <f>IF(BL139&lt;0,0,IF(OR(Исходн.данные.!AI139=Расчет!$BU$6,Исходн.данные.!AI139=Расчет!$BU$7),Расчет!BV139,IF(Исходн.данные.!$AG139=$BV$11,BL139,IF(OR(Исходн.данные.!$AH139=$BQ$7,Исходн.данные.!$AH139=$BQ$8),CB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0,IF(Исходн.данные.!$AI139=$BU$11,"Нет",IF(BL139&gt;30,30,BL139)))))))</f>
        <v>0</v>
      </c>
      <c r="BZ139" s="9">
        <f>IF(AND(Исходн.данные.!$AG139=$BV$11,BM139&lt;10),10,IF(Исходн.данные.!$AG139=$BV$11,BM139,IF(OR(Исходн.данные.!$AH139=$BQ$7,Исходн.данные.!$AH139=$BQ$8),CC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10,IF(Исходн.данные.!$AI139=$BU$11,"Нет",IF(BM139&gt;60,60,IF(BM139&lt;10,10,BM139)))))))</f>
        <v>10</v>
      </c>
      <c r="CA139" s="39">
        <f>IF(BN139&lt;0,0,IF(Исходн.данные.!$AG139=$BV$11,BN139,IF(OR(Исходн.данные.!$AH139=$BQ$7,Исходн.данные.!$AH139=$BQ$8),CD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0,IF(Исходн.данные.!$AI139=$BU$11,"Нет",IF(BN139&gt;30,30,BN139))))))</f>
        <v>0</v>
      </c>
      <c r="CB139" s="9">
        <f t="shared" si="160"/>
        <v>0</v>
      </c>
      <c r="CC139" s="9">
        <f t="shared" si="161"/>
        <v>0</v>
      </c>
      <c r="CD139" s="9">
        <f t="shared" si="162"/>
        <v>0</v>
      </c>
      <c r="CE139" s="12">
        <f t="shared" si="163"/>
        <v>10</v>
      </c>
      <c r="CF139" s="9">
        <f t="shared" si="164"/>
        <v>0</v>
      </c>
      <c r="CG139" s="9" t="s">
        <v>231</v>
      </c>
      <c r="CH139" s="132" t="str">
        <f>IF(Исходн.данные.!AP139=Расчет!$CI$16,"Нет",IF(Исходн.данные.!AL139&gt;0,Исходн.данные.!AL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BH$4,IF(OR(Исходн.данные.!AI139=Исходн.данные.!$AI$6,Исходн.данные.!AI139=Исходн.данные.!$AI$7),Расчет!BS139,IF(AND($CF139=0,$CE139&gt;0),EV139,ER139)))))</f>
        <v>Аммофос 12:52:00</v>
      </c>
      <c r="CI139" s="274">
        <f>IF(Расчет!$CH139="Нет","Нет",IF(Исходн.данные.!$AL139&gt;0,VLOOKUP(Расчет!$CH139,АшламаДВ_Irekle,2,FALSE),VLOOKUP(Расчет!$CH139,АшламаДВ_Gomumy,2,FALSE)))</f>
        <v>0.12</v>
      </c>
      <c r="CJ139" s="274">
        <f>IF(Расчет!$CH139="Нет","Нет",IF(Исходн.данные.!$AL139&gt;0,VLOOKUP(Расчет!$CH139,АшламаДВ_Irekle,3,FALSE),VLOOKUP(Расчет!$CH139,АшламаДВ_Gomumy,3,FALSE)))</f>
        <v>0.52</v>
      </c>
      <c r="CK139" s="274">
        <f>IF(Расчет!$CH139="Нет","Нет",IF(Исходн.данные.!$AL139&gt;0,VLOOKUP(Расчет!$CH139,АшламаДВ_Irekle,4,FALSE),VLOOKUP(Расчет!$CH139,АшламаДВ_Gomumy,4,FALSE)))</f>
        <v>0</v>
      </c>
      <c r="CL139" s="70"/>
      <c r="CM139" s="70"/>
      <c r="CN139" s="70"/>
      <c r="CO139" s="70"/>
      <c r="CP139" s="70"/>
      <c r="CQ139" s="70"/>
      <c r="CR139" s="10">
        <f t="shared" si="165"/>
        <v>0</v>
      </c>
      <c r="CS139" s="10">
        <f t="shared" si="166"/>
        <v>19.23076923076923</v>
      </c>
      <c r="CT139" s="10">
        <f t="shared" si="167"/>
        <v>0</v>
      </c>
      <c r="CU139" s="39">
        <f>IF($CH139="Нет",0,IF(CI139=0,30/MIN(CJ139:CK139),IF(Исходн.данные.!$AG139=$BV$11,CR139,IF(OR(Исходн.данные.!$AH139=$BQ$7,Исходн.данные.!$AH139=$BQ$8),90/CI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0,IF(Исходн.данные.!$AI139=$BU$11,"Нет",30/CI139))))))</f>
        <v>250</v>
      </c>
      <c r="CV139" s="39">
        <f>IF($CH139="Нет",0,IF(Исходн.данные.!AH139=0,0,IF(CJ139=0,60/MIN(CI139,CK139),IF(Исходн.данные.!$AG139=$BV$11,CS139,IF(OR(Исходн.данные.!$AH139=$BQ$7,Исходн.данные.!$AH139=$BQ$8),90/CJ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10/CJ139,IF(Исходн.данные.!$AI139=$BU$11,"Нет",60/CJ139)))))))</f>
        <v>0</v>
      </c>
      <c r="CW139" s="39">
        <f>IF($CH139="Нет",0,IF(Исходн.данные.!AH139=0,0,IF(CK139=0,30/MIN(CI139:CJ139),IF(Исходн.данные.!$AG139=$BV$11,CT139,IF(OR(Исходн.данные.!$AH139=$BQ$7,Исходн.данные.!$AH139=$BQ$8),90/CK139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0,IF(Исходн.данные.!$AI139=$BU$11,"Нет",30/CK139)))))))</f>
        <v>0</v>
      </c>
      <c r="CX139" s="133">
        <f>IF(Исходн.данные.!$AG139=$BV$11,MAX(CU139:CW139),IF(OR(Исходн.данные.!$AH139=$BS$8,Исходн.данные.!$AH139=$BQ$9,Исходн.данные.!$AH139=$BQ$10,Исходн.данные.!$AH139=$BQ$11,Исходн.данные.!$AH139=$BQ$12,Исходн.данные.!$AH139=$BP$3,Исходн.данные.!$AH139=$BT$8,$FM139="Да"),CV139,MIN(CU139:CW139)))</f>
        <v>0</v>
      </c>
      <c r="CY139" s="133">
        <f>IF(Исходн.данные.!AH139=0,0,IF(CR139&gt;$CX139,$CX139,CR139))</f>
        <v>0</v>
      </c>
      <c r="CZ139" s="133">
        <f>IF(Исходн.данные.!AH139=0,0,IF(CS139&gt;$CX139,$CX139,CS139))</f>
        <v>0</v>
      </c>
      <c r="DA139" s="133">
        <f>IF(Исходн.данные.!AH139=0,0,IF(CT139&gt;$CX139,$CX139,CT139))</f>
        <v>0</v>
      </c>
      <c r="DB139" s="10">
        <f t="shared" si="168"/>
        <v>0</v>
      </c>
      <c r="DC139" s="39">
        <f>DB139*Исходн.данные.!AJ139/1000</f>
        <v>0</v>
      </c>
      <c r="DD139" s="71">
        <f t="shared" si="169"/>
        <v>0</v>
      </c>
      <c r="DE139" s="9">
        <f t="shared" si="170"/>
        <v>0</v>
      </c>
      <c r="DF139" s="9">
        <f t="shared" si="171"/>
        <v>0</v>
      </c>
      <c r="DG139" s="39">
        <f>IF(BL139&lt;0,0,IF($CH139="Нет",BL139,IF(OR(Исходн.данные.!$AH139=$BP$1,Исходн.данные.!$AH139=$BP$2),0,IF(Исходн.данные.!AI139=$BU$11,BL139,IF(BL139-DD139&lt;0,0,BL139-DD139)))))</f>
        <v>0</v>
      </c>
      <c r="DH139" s="39">
        <f>IF(BM139&lt;0,0,IF($CH139="Нет",BM139,IF(OR(Исходн.данные.!$AH139=$BP$1,Исходн.данные.!$AH139=$BP$2),0,IF(Исходн.данные.!AJ139=$BU$11,BM139,IF(BM139-DE139&lt;0,0,BM139-DE139)))))</f>
        <v>0</v>
      </c>
      <c r="DI139" s="39">
        <f>IF(BN139&lt;0,0,IF($CH139="Нет",BN139,IF(OR(Исходн.данные.!$AH139=$BP$1,Исходн.данные.!$AH139=$BP$2),0,IF(Исходн.данные.!AK139=$BU$11,BN139,IF(BN139-DF139&lt;0,0,BN139-DF139)))))</f>
        <v>0</v>
      </c>
      <c r="DJ139" s="12">
        <f t="shared" si="172"/>
        <v>0</v>
      </c>
      <c r="DK139" s="9">
        <f t="shared" si="173"/>
        <v>0</v>
      </c>
      <c r="DL139" s="39">
        <f>IF(Исходн.данные.!AM139&gt;0,Исходн.данные.!AM139,IF(EG139&gt;0,$BH$10,0))</f>
        <v>0</v>
      </c>
      <c r="DM139" s="186">
        <f>IF($DL139=0,0,IF(Исходн.данные.!AM139&gt;0,VLOOKUP($DL139,АшламаДВ_Irekle,2,FALSE),VLOOKUP($DL139,АшламаДВ_Gomumy,2,FALSE)))</f>
        <v>0</v>
      </c>
      <c r="DN139" s="10">
        <f t="shared" si="151"/>
        <v>0</v>
      </c>
      <c r="DO139" s="9" t="str">
        <f>IF(Исходн.данные.!AN139&gt;0,Исходн.данные.!AN139,Удобрения!$B$37 )</f>
        <v>Хлор.калий</v>
      </c>
      <c r="DP139" s="9">
        <f>IF(Исходн.данные.!AN139&gt;0,VLOOKUP(Исходн.данные.!AN139,АшламаДВ_Irekle,4,FALSE),VLOOKUP(DO139,АшламаДВ_Gomumy,4,FALSE))</f>
        <v>0.6</v>
      </c>
      <c r="DQ139" s="10">
        <f t="shared" si="152"/>
        <v>0</v>
      </c>
      <c r="DR139" s="132" t="str">
        <f>IF(Исходн.данные.!AO139&gt;0,Исходн.данные.!AO139,IF(DH139=0,BS$17,IF(AND($DK139=0,$DJ139&gt;0),EJ139,EN139)))</f>
        <v>Нет</v>
      </c>
      <c r="DS139" s="70" t="str">
        <f>IF($DR139="Нет","Нет",IF(Исходн.данные.!$AO139&gt;0,VLOOKUP($DR139,АшламаДВ_Irekle,2,FALSE),VLOOKUP($DR139,АшламаДВ_Gomumy,2,FALSE)))</f>
        <v>Нет</v>
      </c>
      <c r="DT139" s="70" t="str">
        <f>IF($DR139="Нет","Нет",IF(Исходн.данные.!$AO139&gt;0,VLOOKUP($DR139,АшламаДВ_Irekle,3,FALSE),VLOOKUP($DR139,АшламаДВ_Gomumy,3,FALSE)))</f>
        <v>Нет</v>
      </c>
      <c r="DU139" s="70" t="str">
        <f>IF($DR139="Нет","Нет",IF(Исходн.данные.!$AO139&gt;0,VLOOKUP($DR139,АшламаДВ_Irekle,4,FALSE),VLOOKUP($DR139,АшламаДВ_Gomumy,4,FALSE)))</f>
        <v>Нет</v>
      </c>
      <c r="DV139" s="70"/>
      <c r="DW139" s="70"/>
      <c r="DX139" s="70"/>
      <c r="DY139" s="10">
        <f t="shared" si="174"/>
        <v>0</v>
      </c>
      <c r="DZ139" s="10">
        <f t="shared" si="175"/>
        <v>0</v>
      </c>
      <c r="EA139" s="10">
        <f t="shared" si="176"/>
        <v>0</v>
      </c>
      <c r="EB139" s="10">
        <f t="shared" si="177"/>
        <v>0</v>
      </c>
      <c r="EC139" s="10">
        <f t="shared" si="178"/>
        <v>0</v>
      </c>
      <c r="ED139" s="10">
        <f t="shared" si="179"/>
        <v>0</v>
      </c>
      <c r="EE139" s="10">
        <f t="shared" si="180"/>
        <v>0</v>
      </c>
      <c r="EF139" s="39">
        <f>EB139*Исходн.данные.!AJ139/1000</f>
        <v>0</v>
      </c>
      <c r="EG139" s="9">
        <f t="shared" si="181"/>
        <v>0</v>
      </c>
      <c r="EH139" s="9">
        <f t="shared" si="182"/>
        <v>0</v>
      </c>
      <c r="EI139" s="39" t="e">
        <f t="shared" si="132"/>
        <v>#DIV/0!</v>
      </c>
      <c r="EJ139" s="9" t="str">
        <f t="shared" si="153"/>
        <v>Азопреципитат</v>
      </c>
      <c r="EK139" s="12">
        <f t="shared" si="133"/>
        <v>0.26</v>
      </c>
      <c r="EL139" s="12">
        <f t="shared" si="134"/>
        <v>0.13</v>
      </c>
      <c r="EM139" s="12">
        <f t="shared" si="135"/>
        <v>0</v>
      </c>
      <c r="EN139" s="12" t="str">
        <f t="shared" si="154"/>
        <v>Нет</v>
      </c>
      <c r="EO139" s="12">
        <f t="shared" si="136"/>
        <v>0</v>
      </c>
      <c r="EP139" s="12">
        <f t="shared" si="137"/>
        <v>0</v>
      </c>
      <c r="EQ139" s="12">
        <f t="shared" si="138"/>
        <v>0</v>
      </c>
      <c r="ER139" s="12" t="str">
        <f t="shared" si="183"/>
        <v>Диаммофоска</v>
      </c>
      <c r="ES139" s="12">
        <f t="shared" si="139"/>
        <v>0.1</v>
      </c>
      <c r="ET139" s="12">
        <f t="shared" si="140"/>
        <v>0.26</v>
      </c>
      <c r="EU139" s="12">
        <f t="shared" si="141"/>
        <v>0.26</v>
      </c>
      <c r="EV139" s="12" t="str">
        <f t="shared" si="184"/>
        <v>Аммофос 12:52:00</v>
      </c>
      <c r="EW139" s="12" t="str">
        <f t="shared" si="185"/>
        <v>Кемира Свекловичное-6</v>
      </c>
      <c r="EX139" s="12">
        <f t="shared" si="142"/>
        <v>0.16</v>
      </c>
      <c r="EY139" s="12">
        <f t="shared" si="143"/>
        <v>0.12</v>
      </c>
      <c r="EZ139" s="12">
        <f t="shared" si="144"/>
        <v>0.17</v>
      </c>
      <c r="FA139" s="38" t="e">
        <f>IF(AND(OR(FJ139=$FD$1,FM139=$FD$1,FO139=$FD$1,FQ139=$FD$1,FS139=$FD$1),FD139=$FD$1,Исходн.данные.!J139&lt;2,FU139=$FD$1),"Бор,Кобальт",IF(AND(FO139=$FD$1,FH139=$FD$1,Исходн.данные.!J139&lt;2,FU139=$FD$1),"Бор,Кобальт",IF(AND(OR(FJ139=$FD$1,FM139=$FD$1,FQ139=$FD$1),FE139=$FD$1,Исходн.данные.!J139&lt;2,FT139=$FD$1,FU139=$FD$1),"Бор,Медь,Цинк",IF(AND(OR(FJ139=$FD$1,FR139="Да"),FI139="Да",Исходн.данные.!J139&lt;2,FT139="Да",FU139="Да"),"Бор,Цинк,Медь",IF(AND(OR(FM139="Да",FQ139="Да"),FI139="Да",Исходн.данные.!J139&lt;2,FT139="Да",FU139="Да"),"Бор,Цинк",IF(AND(FN139="Да",OR(FD139="Да",FE139="Да")),"Бор",FB139))))))</f>
        <v>#N/A</v>
      </c>
      <c r="FB139" s="134" t="e">
        <f>IF(AND(OR(FD139="Да",FE139="Да",FF139="Да",FG139="Да",FH139="Да"),FO139="Да"),"Бор",IF(AND(FP139="Да",OR(FD139="Да",FE139="Да",FI139="Да")),"Бор",IF(AND(FS139="Да",FE139="Да"),"Бор,Медь",IF(AND(OR(FJ139="Да",FK139="Да",FL139="Да"),FE139="Да",Исходн.данные.!I139&lt;5,FT139="Да",FU139="Да"),"Молибден,Цинк",IF(AND(FM139="Да",OR(FE139="Да",FF139="Да",FG139="Да",FH139="Да",FI139="Да")),"Молибден,Цинк",IF(AND(OR(FJ139="Да",FK139="Да",FL139="Да",FM139="Да",FQ139="Да"),OR(FE139="Да",FF139="Да"),FT139="Да",FU139="Да",Исходн.данные.!I139&gt;5.5),"Медь,Цинк",FC139))))))</f>
        <v>#N/A</v>
      </c>
      <c r="FC139" s="23" t="e">
        <f t="shared" si="186"/>
        <v>#N/A</v>
      </c>
      <c r="FD139" s="38" t="str">
        <f>IF(OR(Исходн.данные.!F139=$CC$1,Исходн.данные.!F139=$CC$2,Исходн.данные.!F139=$CC$3,Исходн.данные.!F139=$CC$4),"Да","Нет")</f>
        <v>Нет</v>
      </c>
      <c r="FE139" s="38" t="str">
        <f>IF(Исходн.данные.!F139=$CC$5,"Да","Нет")</f>
        <v>Нет</v>
      </c>
      <c r="FF139" s="38" t="str">
        <f>IF(OR(Исходн.данные.!F139=$CC$6,Исходн.данные.!F139=$CC$7),"Да","Нет")</f>
        <v>Нет</v>
      </c>
      <c r="FG139" s="38" t="str">
        <f>IF(OR(Исходн.данные.!F139=$CC$8,Исходн.данные.!F139=$CC$9),"Да","Нет")</f>
        <v>Нет</v>
      </c>
      <c r="FH139" s="38" t="str">
        <f>IF(Исходн.данные.!F139=$CC$10,"Да","Нет")</f>
        <v>Нет</v>
      </c>
      <c r="FI139" s="38" t="str">
        <f>IF(OR(Исходн.данные.!F139=$CC$11,Исходн.данные.!F139=$CC$12),"Да","Нет")</f>
        <v>Нет</v>
      </c>
      <c r="FJ139" s="38" t="str">
        <f>IF(OR(Исходн.данные.!AH139=$BS$1,Исходн.данные.!AH139=$BQ$11,Исходн.данные.!AH139=$BQ$12),"Да","Нет")</f>
        <v>Нет</v>
      </c>
      <c r="FK139" s="38" t="str">
        <f>IF(OR(Исходн.данные.!AH139=$BS$2,Исходн.данные.!AH139=$BS$4),"Да","Нет")</f>
        <v>Нет</v>
      </c>
      <c r="FL139" s="38" t="str">
        <f>IF(OR(Исходн.данные.!AH139=$BS$3,Исходн.данные.!AH139=$BS$5),"Да","Нет")</f>
        <v>Нет</v>
      </c>
      <c r="FM139" s="38" t="str">
        <f>IF(OR(Исходн.данные.!AH139=$BS$9,Исходн.данные.!AH139=$BS$10,Исходн.данные.!AH139=$BS$11,Исходн.данные.!AH139=$BS$12),"Да","Нет")</f>
        <v>Нет</v>
      </c>
      <c r="FN139" s="38" t="str">
        <f>IF(OR(Исходн.данные.!AH139=$BS$6,Исходн.данные.!AH139=$BP$3),"Да","Нет")</f>
        <v>Нет</v>
      </c>
      <c r="FO139" s="38" t="str">
        <f>IF(Исходн.данные.!AH139=$BQ$9,"Да","Нет")</f>
        <v>Нет</v>
      </c>
      <c r="FP139" s="38" t="str">
        <f>IF(OR(Исходн.данные.!AH139=$BS$8,Исходн.данные.!AH139=$BT$8),"Да","Нет")</f>
        <v>Нет</v>
      </c>
      <c r="FQ139" s="38" t="str">
        <f>IF(OR(Исходн.данные.!AH139=$BQ$7,Исходн.данные.!AH139=$BQ$8),"Да","Нет")</f>
        <v>Нет</v>
      </c>
      <c r="FR139" s="38" t="str">
        <f>IF(Исходн.данные.!AI139=$BU$9,"Да","Нет")</f>
        <v>Нет</v>
      </c>
      <c r="FS139" s="38" t="str">
        <f>IF(OR(Исходн.данные.!AH139=$BP$1,Исходн.данные.!AH139=$BP$2),"Да","Нет")</f>
        <v>Нет</v>
      </c>
      <c r="FT139" s="38" t="e">
        <f>IF((Исходн.данные.!K139*GO139*GS139*GW139+BL139*0.6+Исходн.данные.!Q139*4.5*0.275)&gt;90,"Да","Нет")</f>
        <v>#N/A</v>
      </c>
      <c r="FU139" s="38" t="e">
        <f>IF((Исходн.данные.!M139*GS139*GZ139+BM139*0.225)&gt;35,"Да","Нет")</f>
        <v>#N/A</v>
      </c>
      <c r="FV139" s="38" t="str">
        <f>IF(Исходн.данные.!O139&gt;175,"Да","Нет")</f>
        <v>Нет</v>
      </c>
      <c r="FW139" s="39" t="str">
        <f>IF(Исходн.данные.!I139&gt;5.5,"Да","Нет")</f>
        <v>Нет</v>
      </c>
      <c r="FX139" s="39" t="str">
        <f>IF(Исходн.данные.!J139&lt;2,"Да","Нет")</f>
        <v>Да</v>
      </c>
      <c r="FY139" s="39" t="e">
        <f>IF(HF139=$FY$16,0,Исходн.данные.!K139*GO139*GS139*GW139/HF139)</f>
        <v>#N/A</v>
      </c>
      <c r="FZ139" s="39" t="e">
        <f>Исходн.данные.!M139*GS139*GZ139/HG139</f>
        <v>#N/A</v>
      </c>
      <c r="GA139" s="39" t="e">
        <f>IF(K_Wyn=$FY$16,0,IF(Исходн.данные.!N139=Исходн.данные.!$L$10,Исходн.данные.!O139/1.1*GS139*HC139/HH139,IF(Исходн.данные.!N139=Исходн.данные.!$L$12,Исходн.данные.!O139/1.5*GS139*HC139/HH139,Исходн.данные.!O139*GS139*HC139/HH139)))</f>
        <v>#N/A</v>
      </c>
      <c r="GB139" s="39" t="e">
        <f>IF(HF139=$FY$16,0,((Исходн.данные.!Q139*N_Org+Исходн.данные.!R139*N_Sider+Исходн.данные.!S139*N_Soloma)*AO139+Расчет!BC139*VLOOKUP(Исходн.данные.!T139,Справ!$A$3:$O$57,15)*AO139+BB139*VLOOKUP(Исходн.данные.!T139,Справ!$A$3:$O$57,15)*AL139+(Исходн.данные.!V139*N_Rizotorf+Исходн.данные.!W139*N_Rizoagr))/HF139)</f>
        <v>#N/A</v>
      </c>
      <c r="GC139" s="39" t="e">
        <f>IF(HG139=$FY$16,0,((Исходн.данные.!Q139*Р_Org+Исходн.данные.!R139*P_Sider+Исходн.данные.!S139*P_Soloma)*AP139+Расчет!BC139*VLOOKUP(Исходн.данные.!T139,Справ!$A$3:$P$57,16)*AP139+BB139*VLOOKUP(Исходн.данные.!T139,Справ!$A$3:$P$57,16)*AM139)/HG139)</f>
        <v>#N/A</v>
      </c>
      <c r="GD139" s="39" t="e">
        <f>IF(HH139=$FY$16,0,((Исходн.данные.!Q139*К_Org+Исходн.данные.!R139*K_Sider+Исходн.данные.!S139*K_Soloma)*AQ139+Расчет!BC139*VLOOKUP(Исходн.данные.!T139,Справ!$A$3:$Q$57,17)*AQ139+BB139*VLOOKUP(Исходн.данные.!T139,Справ!$A$3:$Q$57,17)*AN139)/HH139)</f>
        <v>#N/A</v>
      </c>
      <c r="GE139" s="39" t="e">
        <f>IF(HF139=$FY$16,0,(Исходн.данные.!X139*AR139+Исходн.данные.!AA139*N_Org*AL139+Исходн.данные.!AB139*N_Sider*AL139+Исходн.данные.!AC139*N_Soloma*AL139)/HF139)</f>
        <v>#N/A</v>
      </c>
      <c r="GF139" s="39" t="e">
        <f>IF(HG139=$FY$16,0,(Исходн.данные.!Y139*AS139+Исходн.данные.!AA139*Р_Org*AM139+Исходн.данные.!AB139*P_Sider*AM139+Исходн.данные.!AC139*P_Soloma*AM139)/HG139)</f>
        <v>#N/A</v>
      </c>
      <c r="GG139" s="39" t="e">
        <f>IF(HH139=$FY$16,0,(Исходн.данные.!Z139*AT139+Исходн.данные.!AA139*К_Org*AN139+Исходн.данные.!AB139*K_Sider*AN139+Исходн.данные.!AC139*K_Soloma*AN139)/HH139)</f>
        <v>#N/A</v>
      </c>
      <c r="GH139" s="39" t="e">
        <f>Исходн.данные.!AD139*AU139/HF139</f>
        <v>#N/A</v>
      </c>
      <c r="GI139" s="39" t="e">
        <f>Исходн.данные.!AE139*AV139/HG139</f>
        <v>#N/A</v>
      </c>
      <c r="GJ139" s="39" t="e">
        <f>Исходн.данные.!AF139*AW139/HH139</f>
        <v>#N/A</v>
      </c>
      <c r="GK139" s="55">
        <f>Исходн.данные.!AK139</f>
        <v>0</v>
      </c>
      <c r="GL139" s="11" t="e">
        <f t="shared" si="187"/>
        <v>#N/A</v>
      </c>
      <c r="GM139" s="11" t="e">
        <f t="shared" si="188"/>
        <v>#N/A</v>
      </c>
      <c r="GN139" s="11" t="e">
        <f t="shared" si="189"/>
        <v>#N/A</v>
      </c>
      <c r="GO139" s="57">
        <f t="shared" si="190"/>
        <v>19</v>
      </c>
      <c r="GP139" s="55">
        <f>IF(OR(Исходн.данные.!F139=$CE$1,Исходн.данные.!F139=$CE$2,Исходн.данные.!F139=$CE$3,Исходн.данные.!F139=$CE$4,Исходн.данные.!F139=$CE$5),GQ139,GR139)</f>
        <v>19</v>
      </c>
      <c r="GQ139" s="55">
        <f>IF(Исходн.данные.!F139=$CE$1,28,IF(Исходн.данные.!F139=$CE$2,26,IF(Исходн.данные.!F139=$CE$3,24,IF(Исходн.данные.!F139=$CE$4,22,IF(Исходн.данные.!F139=$CE$5,20,GR139)))))</f>
        <v>19</v>
      </c>
      <c r="GR139" s="55">
        <f>IF(Исходн.данные.!F139=$CE$6,18,IF(Исходн.данные.!F139=$CE$7,16,IF(Исходн.данные.!F139=$CE$8,14,IF(Исходн.данные.!F139=$CE$9,13,IF(Исходн.данные.!F139=$CE$10,12,19)))))</f>
        <v>19</v>
      </c>
      <c r="GS139" s="55">
        <f>IF(Исходн.данные.!G139="Пес",0.035*(40+2*Исходн.данные.!H139),IF(Исходн.данные.!G139="Суп",0.0325*(40+2*Исходн.данные.!H139),0.03*(40+2*Исходн.данные.!H139)))</f>
        <v>1.2</v>
      </c>
      <c r="GT139" s="55">
        <f>IF(Исходн.данные.!H139&lt;23,2.6,IF(AND(Исходн.данные.!H139&gt;22,Исходн.данные.!H139&lt;26),3,IF(AND(Исходн.данные.!H139&gt;25,Исходн.данные.!H139&lt;29),3.4,3.6)))</f>
        <v>2.6</v>
      </c>
      <c r="GU139" s="55">
        <f>IF(Исходн.данные.!H139&lt;23,2.8,IF(AND(Исходн.данные.!H139&gt;22,Исходн.данные.!H139&lt;26),3.2,IF(AND(Исходн.данные.!H139&gt;25,Исходн.данные.!H139&lt;29),3.6,3.9)))</f>
        <v>2.8</v>
      </c>
      <c r="GV139" s="55">
        <f>IF(Исходн.данные.!H139&lt;23,3,IF(AND(Исходн.данные.!H139&gt;22,Исходн.данные.!H139&lt;26),3.5,IF(AND(Исходн.данные.!H139&gt;25,Исходн.данные.!H139&lt;29),3.9,4.2)))</f>
        <v>3</v>
      </c>
      <c r="GW139" s="55" t="e">
        <f>IF(Исходн.данные.!P139="Ум",GX139,GY139)</f>
        <v>#N/A</v>
      </c>
      <c r="GX139" s="55" t="e">
        <f>VLOOKUP(Исходн.данные.!AI139,Коэффициенты!$J$7:$L$13,2,FALSE)</f>
        <v>#N/A</v>
      </c>
      <c r="GY139" s="55" t="e">
        <f>VLOOKUP(Исходн.данные.!AI139,Коэффициенты!$J$7:$L$13,3,FALSE)</f>
        <v>#N/A</v>
      </c>
      <c r="GZ139" s="55" t="e">
        <f>(IF(Исходн.данные.!M139&lt;50,0.11*VLOOKUP(Исходн.данные.!AH139,Культуры.Информация,7,FALSE),IF(Исходн.данные.!M139&gt;250,0.05*VLOOKUP(Исходн.данные.!AH139,Культуры.Информация,7,FALSE),VLOOKUP(Исходн.данные.!AH139,Культуры.Информация,5,FALSE)/100*($GX$6+$GY$6*Исходн.данные.!M139))))*Расчет2!AI139</f>
        <v>#N/A</v>
      </c>
      <c r="HA139" s="211"/>
      <c r="HB139" s="211"/>
      <c r="HC139" s="55" t="e">
        <f>(IF(Исходн.данные.!O139&lt;80,0.2*VLOOKUP(Исходн.данные.!AH139,Культуры.Информация,8,FALSE),IF(Исходн.данные.!O139&gt;240,0.09*VLOOKUP(Исходн.данные.!AH139,Культуры.Информация,8,FALSE),VLOOKUP(Исходн.данные.!AH139,Культуры.Информация,6,FALSE)/100*($HB$6+$HC$6*Исходн.данные.!O139))))*Расчет2!AJ139</f>
        <v>#N/A</v>
      </c>
      <c r="HD139" s="55">
        <f>IF(Исходн.данные.!O139&gt;240,0.09,IF(Исходн.данные.!O139&lt;30,0.3,$HE$10+$HD$10*Исходн.данные.!O139))</f>
        <v>0.3</v>
      </c>
      <c r="HE139" s="55">
        <f>IF(Исходн.данные.!O139&gt;240,0.17,IF(Исходн.данные.!O139&lt;30,0.5,$HF$12+$HE$12*Исходн.данные.!O139))</f>
        <v>0.5</v>
      </c>
      <c r="HF139" s="55" t="e">
        <f>VLOOKUP(Исходн.данные.!AH139,Справ!$A$3:$D$58,2,FALSE)</f>
        <v>#N/A</v>
      </c>
      <c r="HG139" s="55" t="e">
        <f>VLOOKUP(Исходн.данные.!AH139,Справ!$A$3:$D$58,3,FALSE)</f>
        <v>#N/A</v>
      </c>
      <c r="HH139" s="55" t="e">
        <f>VLOOKUP(Исходн.данные.!AH139,Справ!$A$3:$D$58,4,FALSE)</f>
        <v>#N/A</v>
      </c>
      <c r="HI139" s="11" t="e">
        <f t="shared" si="191"/>
        <v>#N/A</v>
      </c>
      <c r="HJ139" s="11" t="e">
        <f t="shared" si="192"/>
        <v>#N/A</v>
      </c>
      <c r="HK139" s="11" t="e">
        <f t="shared" si="193"/>
        <v>#N/A</v>
      </c>
      <c r="HL139" s="55">
        <f>IF(OR(Исходн.данные.!G139="Глин",Исходн.данные.!G139="Т_суг"),1.1,IF(Исходн.данные.!G139="Ср_суг",1,1))</f>
        <v>1</v>
      </c>
      <c r="HM139" s="55">
        <f>IF(OR(Исходн.данные.!G139="Глин",Исходн.данные.!G139="Т_суг"),0.9,IF(Исходн.данные.!G139="Ср_суг",1,1.2))</f>
        <v>1.2</v>
      </c>
      <c r="HN139" s="11" t="e">
        <f t="shared" si="194"/>
        <v>#N/A</v>
      </c>
      <c r="HO139" s="11" t="e">
        <f t="shared" si="195"/>
        <v>#N/A</v>
      </c>
      <c r="HP139" s="11" t="e">
        <f t="shared" si="196"/>
        <v>#N/A</v>
      </c>
      <c r="HQ139" t="e">
        <f t="shared" si="197"/>
        <v>#N/A</v>
      </c>
      <c r="HR139" t="e">
        <f t="shared" si="198"/>
        <v>#N/A</v>
      </c>
      <c r="HS139" t="e">
        <f t="shared" si="199"/>
        <v>#N/A</v>
      </c>
      <c r="HT139" t="e">
        <f t="shared" si="145"/>
        <v>#N/A</v>
      </c>
      <c r="HU139" t="e">
        <f t="shared" si="146"/>
        <v>#N/A</v>
      </c>
      <c r="HV139" t="e">
        <f t="shared" si="147"/>
        <v>#N/A</v>
      </c>
      <c r="HW139" t="e">
        <f t="shared" si="148"/>
        <v>#N/A</v>
      </c>
      <c r="HX139" t="e">
        <f t="shared" si="149"/>
        <v>#N/A</v>
      </c>
      <c r="HY139" t="e">
        <f t="shared" si="150"/>
        <v>#N/A</v>
      </c>
      <c r="HZ139" s="55">
        <f>IF(OR(Исходн.данные.!AI139="Оз_Ч_П",Исходн.данные.!AI139="Оз_З_П",Исходн.данные.!AI139="Яр_зер"),12,30)</f>
        <v>30</v>
      </c>
      <c r="IA139" t="e">
        <f t="shared" si="200"/>
        <v>#N/A</v>
      </c>
      <c r="IB139" t="e">
        <f t="shared" si="201"/>
        <v>#N/A</v>
      </c>
      <c r="IC139" t="e">
        <f t="shared" si="202"/>
        <v>#N/A</v>
      </c>
      <c r="ID139" s="11" t="e">
        <f t="shared" si="203"/>
        <v>#N/A</v>
      </c>
      <c r="IE139" s="11" t="e">
        <f t="shared" si="204"/>
        <v>#N/A</v>
      </c>
      <c r="IF139" s="11" t="e">
        <f t="shared" si="205"/>
        <v>#N/A</v>
      </c>
    </row>
    <row r="140" spans="35:240" x14ac:dyDescent="0.2">
      <c r="AI140">
        <f>IF(Исходн.данные.!I140&gt;6,1,1.85-(0.148*Исходн.данные.!I140))</f>
        <v>1.85</v>
      </c>
      <c r="AJ140">
        <f>IF(Исходн.данные.!I140&gt;6,1,2.434-(0.246*Исходн.данные.!I140))</f>
        <v>2.4340000000000002</v>
      </c>
      <c r="AL140" s="148" t="b">
        <f>IF(Исходн.данные.!$P140="Ум",N_OrgUd_2g_um,IF(Исходн.данные.!$P140="Об",N_OrgUd_2g_ob))</f>
        <v>0</v>
      </c>
      <c r="AM140" s="148" t="b">
        <f>IF(Исходн.данные.!$P140="Ум",P_OrgUd_2g_um,IF(Исходн.данные.!$P140="Об",P_OrgUd_2g_ob))</f>
        <v>0</v>
      </c>
      <c r="AN140" s="148" t="b">
        <f>IF(Исходн.данные.!$P140="Ум",K_OrgUd_2g_um,IF(Исходн.данные.!$P140="Об",K_OrgUd_2g_ob))</f>
        <v>0</v>
      </c>
      <c r="AO140" s="148" t="b">
        <f>IF(Исходн.данные.!$P140="Ум",N_OrgUd_1g_um,IF(Исходн.данные.!$P140="Об",N_OrgUd_1g_ob))</f>
        <v>0</v>
      </c>
      <c r="AP140" s="148" t="b">
        <f>IF(Исходн.данные.!$P140="Ум",P_OrgUd_1g_um,IF(Исходн.данные.!$P140="Об",P_OrgUd_1g_ob))</f>
        <v>0</v>
      </c>
      <c r="AQ140" s="148" t="b">
        <f>IF(Исходн.данные.!$P140="Ум",K_OrgUd_1g_um,IF(Исходн.данные.!$P140="Об",K_OrgUd_1g_ob))</f>
        <v>0</v>
      </c>
      <c r="AR140" t="b">
        <f>IF(Исходн.данные.!$P140="Ум",N_MinUd_2g_um,IF(Исходн.данные.!$P140="Об",N_MinUd_2g_ob))</f>
        <v>0</v>
      </c>
      <c r="AS140" t="b">
        <f>IF(Исходн.данные.!$P140="Ум",P_MinUd_2g_um,IF(Исходн.данные.!$P140="Об",P_MinUd_2g_ob))</f>
        <v>0</v>
      </c>
      <c r="AT140" t="b">
        <f>IF(Исходн.данные.!$P140="Ум",K_MinUd_2g_um,IF(Исходн.данные.!$P140="Об",K_MinUd_2g_ob))</f>
        <v>0</v>
      </c>
      <c r="AU140" t="b">
        <f>IF(Исходн.данные.!$P140="Ум",N_MinUd_1g_um,IF(Исходн.данные.!$P140="Об",N_MinUd_1g_ob))</f>
        <v>0</v>
      </c>
      <c r="AV140" t="b">
        <f>IF(Исходн.данные.!P140="Ум",P_MinUd_1g_um,IF(Исходн.данные.!P140="Об",P_MinUd_1g_ob))</f>
        <v>0</v>
      </c>
      <c r="AW140" t="b">
        <f>IF(Исходн.данные.!P140="Ум",K_MinUd_1g_um,IF(Исходн.данные.!P140="Об",K_MinUd_1g_ob))</f>
        <v>0</v>
      </c>
      <c r="AY140" t="e">
        <f>VLOOKUP(Исходн.данные.!T140,Справ!$A$3:$N$57,12)</f>
        <v>#N/A</v>
      </c>
      <c r="AZ140" t="e">
        <f>VLOOKUP(Исходн.данные.!T140,Справ!$A$3:$N$57,13)</f>
        <v>#N/A</v>
      </c>
      <c r="BA140" t="e">
        <f>VLOOKUP(Исходн.данные.!T140,Справ!$A$3:$N$57,14)</f>
        <v>#N/A</v>
      </c>
      <c r="BB140">
        <f>IF(Исходн.данные.!AH140=0,0,25)</f>
        <v>0</v>
      </c>
      <c r="BC140" s="141">
        <f>IF(Исходн.данные.!AH140=0,0,IF(Исходн.данные.!T140=0,25,BD140))</f>
        <v>0</v>
      </c>
      <c r="BD140" s="168" t="e">
        <f>AY140+AZ140*Исходн.данные.!U140-POWER(BA140,2)*Исходн.данные.!U140</f>
        <v>#N/A</v>
      </c>
      <c r="BE14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0" s="25">
        <f>IF(Исходн.данные.!AH140=0,0,MIN(HN140:HP140))</f>
        <v>0</v>
      </c>
      <c r="BG140" s="9">
        <f>IF(Исходн.данные.!AH140=0,0,IF((HO140+10*0.25/HG140/HL140)&lt;17,17,HO140+10*0.25/HG140/HL140))</f>
        <v>0</v>
      </c>
      <c r="BH140" s="181">
        <f>IF(Исходн.данные.!AH140=0,0,HW140*HF140*HL140/AU140*AI140+Исходн.данные.!S140*10)</f>
        <v>0</v>
      </c>
      <c r="BI140" s="10"/>
      <c r="BJ140" s="182">
        <f>IF(Исходн.данные.!AH140=0,0,IF(HX140*HG140*HL140/AV140&lt;0,0,HX140*HG140*HL140/AV140*AJ140))</f>
        <v>0</v>
      </c>
      <c r="BK140" s="182">
        <f>IF(Исходн.данные.!AH140=0,0,HY140*HH140*HM140/AW140)</f>
        <v>0</v>
      </c>
      <c r="BL140" s="10">
        <f>IF(OR(Исходн.данные.!$AH140=$BP$1,Исходн.данные.!$AH140=$BP$2),0,IF(BH140&lt;0,0,IF(OR(Исходн.данные.!T140=Расчет!$BP$1,Исходн.данные.!T140=Расчет!$BP$2,Исходн.данные.!T140=Расчет!$BT$5,Исходн.данные.!T140=Расчет!$BT$6),BH140*0.5,IF(OR(Исходн.данные.!T140=Расчет!$BS$9,Исходн.данные.!T140=Расчет!$BS$10,Исходн.данные.!T140=Расчет!$BS$11,Исходн.данные.!T140=Расчет!$BS$12,Исходн.данные.!T140=Расчет!$BP$5),BH140*0.8,BH140))))</f>
        <v>0</v>
      </c>
      <c r="BM140" s="10">
        <f>IF(OR(Исходн.данные.!$AH140=$BP$1,Исходн.данные.!$AH140=$BP$2),0,IF(BJ140&lt;0,0,IF(Исходн.данные.!I140&lt;4.5,BJ140*1.2,IF(Исходн.данные.!I140&gt;5.1,BJ140,BJ140*((5.1-Исходн.данные.!I140)*0.333+1)))))</f>
        <v>0</v>
      </c>
      <c r="BN140" s="10">
        <f>IF(OR(Исходн.данные.!$AH140=$BP$1,Исходн.данные.!$AH140=$BP$2),60-Исходн.данные.!AF140,IF(BK140&lt;0,0,IF(Исходн.данные.!I140&lt;4.5,BK140*1.2,IF(Исходн.данные.!I140&gt;5.1,BK140,BK140*((5.1-Исходн.данные.!I140)*0.333+1)))))</f>
        <v>0</v>
      </c>
      <c r="BO140" s="9">
        <f>IF(BL140&lt;0,0,BL140*Исходн.данные.!$AJ140/1000)</f>
        <v>0</v>
      </c>
      <c r="BP140" s="9">
        <f>IF(BM140&lt;0,0,BM140*Исходн.данные.!$AJ140/1000)</f>
        <v>0</v>
      </c>
      <c r="BQ140" s="9">
        <f>IF(BN140&lt;0,0,BN140*Исходн.данные.!$AJ140/1000)</f>
        <v>0</v>
      </c>
      <c r="BR140" s="9">
        <f t="shared" si="155"/>
        <v>0</v>
      </c>
      <c r="BS140" s="10" t="str">
        <f t="shared" si="156"/>
        <v>Аммофос 12:52:00</v>
      </c>
      <c r="BT140" s="10" t="str">
        <f t="shared" si="157"/>
        <v>Аммофос 12:52:00</v>
      </c>
      <c r="BU140" s="10" t="str">
        <f t="shared" si="158"/>
        <v>Диаммофоска</v>
      </c>
      <c r="BV140" s="10">
        <f t="shared" si="159"/>
        <v>0</v>
      </c>
      <c r="BW140" s="10"/>
      <c r="BX140" s="10"/>
      <c r="BY140" s="9">
        <f>IF(BL140&lt;0,0,IF(OR(Исходн.данные.!AI140=Расчет!$BU$6,Исходн.данные.!AI140=Расчет!$BU$7),Расчет!BV140,IF(Исходн.данные.!$AG140=$BV$11,BL140,IF(OR(Исходн.данные.!$AH140=$BQ$7,Исходн.данные.!$AH140=$BQ$8),CB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0,IF(Исходн.данные.!$AI140=$BU$11,"Нет",IF(BL140&gt;30,30,BL140)))))))</f>
        <v>0</v>
      </c>
      <c r="BZ140" s="9">
        <f>IF(AND(Исходн.данные.!$AG140=$BV$11,BM140&lt;10),10,IF(Исходн.данные.!$AG140=$BV$11,BM140,IF(OR(Исходн.данные.!$AH140=$BQ$7,Исходн.данные.!$AH140=$BQ$8),CC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10,IF(Исходн.данные.!$AI140=$BU$11,"Нет",IF(BM140&gt;60,60,IF(BM140&lt;10,10,BM140)))))))</f>
        <v>10</v>
      </c>
      <c r="CA140" s="39">
        <f>IF(BN140&lt;0,0,IF(Исходн.данные.!$AG140=$BV$11,BN140,IF(OR(Исходн.данные.!$AH140=$BQ$7,Исходн.данные.!$AH140=$BQ$8),CD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0,IF(Исходн.данные.!$AI140=$BU$11,"Нет",IF(BN140&gt;30,30,BN140))))))</f>
        <v>0</v>
      </c>
      <c r="CB140" s="9">
        <f t="shared" si="160"/>
        <v>0</v>
      </c>
      <c r="CC140" s="9">
        <f t="shared" si="161"/>
        <v>0</v>
      </c>
      <c r="CD140" s="9">
        <f t="shared" si="162"/>
        <v>0</v>
      </c>
      <c r="CE140" s="12">
        <f t="shared" si="163"/>
        <v>10</v>
      </c>
      <c r="CF140" s="9">
        <f t="shared" si="164"/>
        <v>0</v>
      </c>
      <c r="CG140" s="9" t="s">
        <v>231</v>
      </c>
      <c r="CH140" s="132" t="str">
        <f>IF(Исходн.данные.!AP140=Расчет!$CI$16,"Нет",IF(Исходн.данные.!AL140&gt;0,Исходн.данные.!AL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BH$4,IF(OR(Исходн.данные.!AI140=Исходн.данные.!$AI$6,Исходн.данные.!AI140=Исходн.данные.!$AI$7),Расчет!BS140,IF(AND($CF140=0,$CE140&gt;0),EV140,ER140)))))</f>
        <v>Аммофос 12:52:00</v>
      </c>
      <c r="CI140" s="274">
        <f>IF(Расчет!$CH140="Нет","Нет",IF(Исходн.данные.!$AL140&gt;0,VLOOKUP(Расчет!$CH140,АшламаДВ_Irekle,2,FALSE),VLOOKUP(Расчет!$CH140,АшламаДВ_Gomumy,2,FALSE)))</f>
        <v>0.12</v>
      </c>
      <c r="CJ140" s="274">
        <f>IF(Расчет!$CH140="Нет","Нет",IF(Исходн.данные.!$AL140&gt;0,VLOOKUP(Расчет!$CH140,АшламаДВ_Irekle,3,FALSE),VLOOKUP(Расчет!$CH140,АшламаДВ_Gomumy,3,FALSE)))</f>
        <v>0.52</v>
      </c>
      <c r="CK140" s="274">
        <f>IF(Расчет!$CH140="Нет","Нет",IF(Исходн.данные.!$AL140&gt;0,VLOOKUP(Расчет!$CH140,АшламаДВ_Irekle,4,FALSE),VLOOKUP(Расчет!$CH140,АшламаДВ_Gomumy,4,FALSE)))</f>
        <v>0</v>
      </c>
      <c r="CL140" s="70"/>
      <c r="CM140" s="70"/>
      <c r="CN140" s="70"/>
      <c r="CO140" s="70"/>
      <c r="CP140" s="70"/>
      <c r="CQ140" s="70"/>
      <c r="CR140" s="10">
        <f t="shared" si="165"/>
        <v>0</v>
      </c>
      <c r="CS140" s="10">
        <f t="shared" si="166"/>
        <v>19.23076923076923</v>
      </c>
      <c r="CT140" s="10">
        <f t="shared" si="167"/>
        <v>0</v>
      </c>
      <c r="CU140" s="39">
        <f>IF($CH140="Нет",0,IF(CI140=0,30/MIN(CJ140:CK140),IF(Исходн.данные.!$AG140=$BV$11,CR140,IF(OR(Исходн.данные.!$AH140=$BQ$7,Исходн.данные.!$AH140=$BQ$8),90/CI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0,IF(Исходн.данные.!$AI140=$BU$11,"Нет",30/CI140))))))</f>
        <v>250</v>
      </c>
      <c r="CV140" s="39">
        <f>IF($CH140="Нет",0,IF(Исходн.данные.!AH140=0,0,IF(CJ140=0,60/MIN(CI140,CK140),IF(Исходн.данные.!$AG140=$BV$11,CS140,IF(OR(Исходн.данные.!$AH140=$BQ$7,Исходн.данные.!$AH140=$BQ$8),90/CJ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10/CJ140,IF(Исходн.данные.!$AI140=$BU$11,"Нет",60/CJ140)))))))</f>
        <v>0</v>
      </c>
      <c r="CW140" s="39">
        <f>IF($CH140="Нет",0,IF(Исходн.данные.!AH140=0,0,IF(CK140=0,30/MIN(CI140:CJ140),IF(Исходн.данные.!$AG140=$BV$11,CT140,IF(OR(Исходн.данные.!$AH140=$BQ$7,Исходн.данные.!$AH140=$BQ$8),90/CK140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0,IF(Исходн.данные.!$AI140=$BU$11,"Нет",30/CK140)))))))</f>
        <v>0</v>
      </c>
      <c r="CX140" s="133">
        <f>IF(Исходн.данные.!$AG140=$BV$11,MAX(CU140:CW140),IF(OR(Исходн.данные.!$AH140=$BS$8,Исходн.данные.!$AH140=$BQ$9,Исходн.данные.!$AH140=$BQ$10,Исходн.данные.!$AH140=$BQ$11,Исходн.данные.!$AH140=$BQ$12,Исходн.данные.!$AH140=$BP$3,Исходн.данные.!$AH140=$BT$8,$FM140="Да"),CV140,MIN(CU140:CW140)))</f>
        <v>0</v>
      </c>
      <c r="CY140" s="133">
        <f>IF(Исходн.данные.!AH140=0,0,IF(CR140&gt;$CX140,$CX140,CR140))</f>
        <v>0</v>
      </c>
      <c r="CZ140" s="133">
        <f>IF(Исходн.данные.!AH140=0,0,IF(CS140&gt;$CX140,$CX140,CS140))</f>
        <v>0</v>
      </c>
      <c r="DA140" s="133">
        <f>IF(Исходн.данные.!AH140=0,0,IF(CT140&gt;$CX140,$CX140,CT140))</f>
        <v>0</v>
      </c>
      <c r="DB140" s="10">
        <f t="shared" si="168"/>
        <v>0</v>
      </c>
      <c r="DC140" s="39">
        <f>DB140*Исходн.данные.!AJ140/1000</f>
        <v>0</v>
      </c>
      <c r="DD140" s="71">
        <f t="shared" si="169"/>
        <v>0</v>
      </c>
      <c r="DE140" s="9">
        <f t="shared" si="170"/>
        <v>0</v>
      </c>
      <c r="DF140" s="9">
        <f t="shared" si="171"/>
        <v>0</v>
      </c>
      <c r="DG140" s="39">
        <f>IF(BL140&lt;0,0,IF($CH140="Нет",BL140,IF(OR(Исходн.данные.!$AH140=$BP$1,Исходн.данные.!$AH140=$BP$2),0,IF(Исходн.данные.!AI140=$BU$11,BL140,IF(BL140-DD140&lt;0,0,BL140-DD140)))))</f>
        <v>0</v>
      </c>
      <c r="DH140" s="39">
        <f>IF(BM140&lt;0,0,IF($CH140="Нет",BM140,IF(OR(Исходн.данные.!$AH140=$BP$1,Исходн.данные.!$AH140=$BP$2),0,IF(Исходн.данные.!AJ140=$BU$11,BM140,IF(BM140-DE140&lt;0,0,BM140-DE140)))))</f>
        <v>0</v>
      </c>
      <c r="DI140" s="39">
        <f>IF(BN140&lt;0,0,IF($CH140="Нет",BN140,IF(OR(Исходн.данные.!$AH140=$BP$1,Исходн.данные.!$AH140=$BP$2),0,IF(Исходн.данные.!AK140=$BU$11,BN140,IF(BN140-DF140&lt;0,0,BN140-DF140)))))</f>
        <v>0</v>
      </c>
      <c r="DJ140" s="12">
        <f t="shared" si="172"/>
        <v>0</v>
      </c>
      <c r="DK140" s="9">
        <f t="shared" si="173"/>
        <v>0</v>
      </c>
      <c r="DL140" s="39">
        <f>IF(Исходн.данные.!AM140&gt;0,Исходн.данные.!AM140,IF(EG140&gt;0,$BH$10,0))</f>
        <v>0</v>
      </c>
      <c r="DM140" s="186">
        <f>IF($DL140=0,0,IF(Исходн.данные.!AM140&gt;0,VLOOKUP($DL140,АшламаДВ_Irekle,2,FALSE),VLOOKUP($DL140,АшламаДВ_Gomumy,2,FALSE)))</f>
        <v>0</v>
      </c>
      <c r="DN140" s="10">
        <f t="shared" si="151"/>
        <v>0</v>
      </c>
      <c r="DO140" s="9" t="str">
        <f>IF(Исходн.данные.!AN140&gt;0,Исходн.данные.!AN140,Удобрения!$B$37 )</f>
        <v>Хлор.калий</v>
      </c>
      <c r="DP140" s="9">
        <f>IF(Исходн.данные.!AN140&gt;0,VLOOKUP(Исходн.данные.!AN140,АшламаДВ_Irekle,4,FALSE),VLOOKUP(DO140,АшламаДВ_Gomumy,4,FALSE))</f>
        <v>0.6</v>
      </c>
      <c r="DQ140" s="10">
        <f t="shared" si="152"/>
        <v>0</v>
      </c>
      <c r="DR140" s="132" t="str">
        <f>IF(Исходн.данные.!AO140&gt;0,Исходн.данные.!AO140,IF(DH140=0,BS$17,IF(AND($DK140=0,$DJ140&gt;0),EJ140,EN140)))</f>
        <v>Нет</v>
      </c>
      <c r="DS140" s="70" t="str">
        <f>IF($DR140="Нет","Нет",IF(Исходн.данные.!$AO140&gt;0,VLOOKUP($DR140,АшламаДВ_Irekle,2,FALSE),VLOOKUP($DR140,АшламаДВ_Gomumy,2,FALSE)))</f>
        <v>Нет</v>
      </c>
      <c r="DT140" s="70" t="str">
        <f>IF($DR140="Нет","Нет",IF(Исходн.данные.!$AO140&gt;0,VLOOKUP($DR140,АшламаДВ_Irekle,3,FALSE),VLOOKUP($DR140,АшламаДВ_Gomumy,3,FALSE)))</f>
        <v>Нет</v>
      </c>
      <c r="DU140" s="70" t="str">
        <f>IF($DR140="Нет","Нет",IF(Исходн.данные.!$AO140&gt;0,VLOOKUP($DR140,АшламаДВ_Irekle,4,FALSE),VLOOKUP($DR140,АшламаДВ_Gomumy,4,FALSE)))</f>
        <v>Нет</v>
      </c>
      <c r="DV140" s="70"/>
      <c r="DW140" s="70"/>
      <c r="DX140" s="70"/>
      <c r="DY140" s="10">
        <f t="shared" si="174"/>
        <v>0</v>
      </c>
      <c r="DZ140" s="10">
        <f t="shared" si="175"/>
        <v>0</v>
      </c>
      <c r="EA140" s="10">
        <f t="shared" si="176"/>
        <v>0</v>
      </c>
      <c r="EB140" s="10">
        <f t="shared" si="177"/>
        <v>0</v>
      </c>
      <c r="EC140" s="10">
        <f t="shared" si="178"/>
        <v>0</v>
      </c>
      <c r="ED140" s="10">
        <f t="shared" si="179"/>
        <v>0</v>
      </c>
      <c r="EE140" s="10">
        <f t="shared" si="180"/>
        <v>0</v>
      </c>
      <c r="EF140" s="39">
        <f>EB140*Исходн.данные.!AJ140/1000</f>
        <v>0</v>
      </c>
      <c r="EG140" s="9">
        <f t="shared" si="181"/>
        <v>0</v>
      </c>
      <c r="EH140" s="9">
        <f t="shared" si="182"/>
        <v>0</v>
      </c>
      <c r="EI140" s="39" t="e">
        <f t="shared" si="132"/>
        <v>#DIV/0!</v>
      </c>
      <c r="EJ140" s="9" t="str">
        <f t="shared" si="153"/>
        <v>Азопреципитат</v>
      </c>
      <c r="EK140" s="12">
        <f t="shared" si="133"/>
        <v>0.26</v>
      </c>
      <c r="EL140" s="12">
        <f t="shared" si="134"/>
        <v>0.13</v>
      </c>
      <c r="EM140" s="12">
        <f t="shared" si="135"/>
        <v>0</v>
      </c>
      <c r="EN140" s="12" t="str">
        <f t="shared" si="154"/>
        <v>Нет</v>
      </c>
      <c r="EO140" s="12">
        <f t="shared" si="136"/>
        <v>0</v>
      </c>
      <c r="EP140" s="12">
        <f t="shared" si="137"/>
        <v>0</v>
      </c>
      <c r="EQ140" s="12">
        <f t="shared" si="138"/>
        <v>0</v>
      </c>
      <c r="ER140" s="12" t="str">
        <f t="shared" si="183"/>
        <v>Диаммофоска</v>
      </c>
      <c r="ES140" s="12">
        <f t="shared" si="139"/>
        <v>0.1</v>
      </c>
      <c r="ET140" s="12">
        <f t="shared" si="140"/>
        <v>0.26</v>
      </c>
      <c r="EU140" s="12">
        <f t="shared" si="141"/>
        <v>0.26</v>
      </c>
      <c r="EV140" s="12" t="str">
        <f t="shared" si="184"/>
        <v>Аммофос 12:52:00</v>
      </c>
      <c r="EW140" s="12" t="str">
        <f t="shared" si="185"/>
        <v>Кемира Свекловичное-6</v>
      </c>
      <c r="EX140" s="12">
        <f t="shared" si="142"/>
        <v>0.16</v>
      </c>
      <c r="EY140" s="12">
        <f t="shared" si="143"/>
        <v>0.12</v>
      </c>
      <c r="EZ140" s="12">
        <f t="shared" si="144"/>
        <v>0.17</v>
      </c>
      <c r="FA140" s="38" t="e">
        <f>IF(AND(OR(FJ140=$FD$1,FM140=$FD$1,FO140=$FD$1,FQ140=$FD$1,FS140=$FD$1),FD140=$FD$1,Исходн.данные.!J140&lt;2,FU140=$FD$1),"Бор,Кобальт",IF(AND(FO140=$FD$1,FH140=$FD$1,Исходн.данные.!J140&lt;2,FU140=$FD$1),"Бор,Кобальт",IF(AND(OR(FJ140=$FD$1,FM140=$FD$1,FQ140=$FD$1),FE140=$FD$1,Исходн.данные.!J140&lt;2,FT140=$FD$1,FU140=$FD$1),"Бор,Медь,Цинк",IF(AND(OR(FJ140=$FD$1,FR140="Да"),FI140="Да",Исходн.данные.!J140&lt;2,FT140="Да",FU140="Да"),"Бор,Цинк,Медь",IF(AND(OR(FM140="Да",FQ140="Да"),FI140="Да",Исходн.данные.!J140&lt;2,FT140="Да",FU140="Да"),"Бор,Цинк",IF(AND(FN140="Да",OR(FD140="Да",FE140="Да")),"Бор",FB140))))))</f>
        <v>#N/A</v>
      </c>
      <c r="FB140" s="134" t="e">
        <f>IF(AND(OR(FD140="Да",FE140="Да",FF140="Да",FG140="Да",FH140="Да"),FO140="Да"),"Бор",IF(AND(FP140="Да",OR(FD140="Да",FE140="Да",FI140="Да")),"Бор",IF(AND(FS140="Да",FE140="Да"),"Бор,Медь",IF(AND(OR(FJ140="Да",FK140="Да",FL140="Да"),FE140="Да",Исходн.данные.!I140&lt;5,FT140="Да",FU140="Да"),"Молибден,Цинк",IF(AND(FM140="Да",OR(FE140="Да",FF140="Да",FG140="Да",FH140="Да",FI140="Да")),"Молибден,Цинк",IF(AND(OR(FJ140="Да",FK140="Да",FL140="Да",FM140="Да",FQ140="Да"),OR(FE140="Да",FF140="Да"),FT140="Да",FU140="Да",Исходн.данные.!I140&gt;5.5),"Медь,Цинк",FC140))))))</f>
        <v>#N/A</v>
      </c>
      <c r="FC140" s="23" t="e">
        <f t="shared" si="186"/>
        <v>#N/A</v>
      </c>
      <c r="FD140" s="38" t="str">
        <f>IF(OR(Исходн.данные.!F140=$CC$1,Исходн.данные.!F140=$CC$2,Исходн.данные.!F140=$CC$3,Исходн.данные.!F140=$CC$4),"Да","Нет")</f>
        <v>Нет</v>
      </c>
      <c r="FE140" s="38" t="str">
        <f>IF(Исходн.данные.!F140=$CC$5,"Да","Нет")</f>
        <v>Нет</v>
      </c>
      <c r="FF140" s="38" t="str">
        <f>IF(OR(Исходн.данные.!F140=$CC$6,Исходн.данные.!F140=$CC$7),"Да","Нет")</f>
        <v>Нет</v>
      </c>
      <c r="FG140" s="38" t="str">
        <f>IF(OR(Исходн.данные.!F140=$CC$8,Исходн.данные.!F140=$CC$9),"Да","Нет")</f>
        <v>Нет</v>
      </c>
      <c r="FH140" s="38" t="str">
        <f>IF(Исходн.данные.!F140=$CC$10,"Да","Нет")</f>
        <v>Нет</v>
      </c>
      <c r="FI140" s="38" t="str">
        <f>IF(OR(Исходн.данные.!F140=$CC$11,Исходн.данные.!F140=$CC$12),"Да","Нет")</f>
        <v>Нет</v>
      </c>
      <c r="FJ140" s="38" t="str">
        <f>IF(OR(Исходн.данные.!AH140=$BS$1,Исходн.данные.!AH140=$BQ$11,Исходн.данные.!AH140=$BQ$12),"Да","Нет")</f>
        <v>Нет</v>
      </c>
      <c r="FK140" s="38" t="str">
        <f>IF(OR(Исходн.данные.!AH140=$BS$2,Исходн.данные.!AH140=$BS$4),"Да","Нет")</f>
        <v>Нет</v>
      </c>
      <c r="FL140" s="38" t="str">
        <f>IF(OR(Исходн.данные.!AH140=$BS$3,Исходн.данные.!AH140=$BS$5),"Да","Нет")</f>
        <v>Нет</v>
      </c>
      <c r="FM140" s="38" t="str">
        <f>IF(OR(Исходн.данные.!AH140=$BS$9,Исходн.данные.!AH140=$BS$10,Исходн.данные.!AH140=$BS$11,Исходн.данные.!AH140=$BS$12),"Да","Нет")</f>
        <v>Нет</v>
      </c>
      <c r="FN140" s="38" t="str">
        <f>IF(OR(Исходн.данные.!AH140=$BS$6,Исходн.данные.!AH140=$BP$3),"Да","Нет")</f>
        <v>Нет</v>
      </c>
      <c r="FO140" s="38" t="str">
        <f>IF(Исходн.данные.!AH140=$BQ$9,"Да","Нет")</f>
        <v>Нет</v>
      </c>
      <c r="FP140" s="38" t="str">
        <f>IF(OR(Исходн.данные.!AH140=$BS$8,Исходн.данные.!AH140=$BT$8),"Да","Нет")</f>
        <v>Нет</v>
      </c>
      <c r="FQ140" s="38" t="str">
        <f>IF(OR(Исходн.данные.!AH140=$BQ$7,Исходн.данные.!AH140=$BQ$8),"Да","Нет")</f>
        <v>Нет</v>
      </c>
      <c r="FR140" s="38" t="str">
        <f>IF(Исходн.данные.!AI140=$BU$9,"Да","Нет")</f>
        <v>Нет</v>
      </c>
      <c r="FS140" s="38" t="str">
        <f>IF(OR(Исходн.данные.!AH140=$BP$1,Исходн.данные.!AH140=$BP$2),"Да","Нет")</f>
        <v>Нет</v>
      </c>
      <c r="FT140" s="38" t="e">
        <f>IF((Исходн.данные.!K140*GO140*GS140*GW140+BL140*0.6+Исходн.данные.!Q140*4.5*0.275)&gt;90,"Да","Нет")</f>
        <v>#N/A</v>
      </c>
      <c r="FU140" s="38" t="e">
        <f>IF((Исходн.данные.!M140*GS140*GZ140+BM140*0.225)&gt;35,"Да","Нет")</f>
        <v>#N/A</v>
      </c>
      <c r="FV140" s="38" t="str">
        <f>IF(Исходн.данные.!O140&gt;175,"Да","Нет")</f>
        <v>Нет</v>
      </c>
      <c r="FW140" s="39" t="str">
        <f>IF(Исходн.данные.!I140&gt;5.5,"Да","Нет")</f>
        <v>Нет</v>
      </c>
      <c r="FX140" s="39" t="str">
        <f>IF(Исходн.данные.!J140&lt;2,"Да","Нет")</f>
        <v>Да</v>
      </c>
      <c r="FY140" s="39" t="e">
        <f>IF(HF140=$FY$16,0,Исходн.данные.!K140*GO140*GS140*GW140/HF140)</f>
        <v>#N/A</v>
      </c>
      <c r="FZ140" s="39" t="e">
        <f>Исходн.данные.!M140*GS140*GZ140/HG140</f>
        <v>#N/A</v>
      </c>
      <c r="GA140" s="39" t="e">
        <f>IF(K_Wyn=$FY$16,0,IF(Исходн.данные.!N140=Исходн.данные.!$L$10,Исходн.данные.!O140/1.1*GS140*HC140/HH140,IF(Исходн.данные.!N140=Исходн.данные.!$L$12,Исходн.данные.!O140/1.5*GS140*HC140/HH140,Исходн.данные.!O140*GS140*HC140/HH140)))</f>
        <v>#N/A</v>
      </c>
      <c r="GB140" s="39" t="e">
        <f>IF(HF140=$FY$16,0,((Исходн.данные.!Q140*N_Org+Исходн.данные.!R140*N_Sider+Исходн.данные.!S140*N_Soloma)*AO140+Расчет!BC140*VLOOKUP(Исходн.данные.!T140,Справ!$A$3:$O$57,15)*AO140+BB140*VLOOKUP(Исходн.данные.!T140,Справ!$A$3:$O$57,15)*AL140+(Исходн.данные.!V140*N_Rizotorf+Исходн.данные.!W140*N_Rizoagr))/HF140)</f>
        <v>#N/A</v>
      </c>
      <c r="GC140" s="39" t="e">
        <f>IF(HG140=$FY$16,0,((Исходн.данные.!Q140*Р_Org+Исходн.данные.!R140*P_Sider+Исходн.данные.!S140*P_Soloma)*AP140+Расчет!BC140*VLOOKUP(Исходн.данные.!T140,Справ!$A$3:$P$57,16)*AP140+BB140*VLOOKUP(Исходн.данные.!T140,Справ!$A$3:$P$57,16)*AM140)/HG140)</f>
        <v>#N/A</v>
      </c>
      <c r="GD140" s="39" t="e">
        <f>IF(HH140=$FY$16,0,((Исходн.данные.!Q140*К_Org+Исходн.данные.!R140*K_Sider+Исходн.данные.!S140*K_Soloma)*AQ140+Расчет!BC140*VLOOKUP(Исходн.данные.!T140,Справ!$A$3:$Q$57,17)*AQ140+BB140*VLOOKUP(Исходн.данные.!T140,Справ!$A$3:$Q$57,17)*AN140)/HH140)</f>
        <v>#N/A</v>
      </c>
      <c r="GE140" s="39" t="e">
        <f>IF(HF140=$FY$16,0,(Исходн.данные.!X140*AR140+Исходн.данные.!AA140*N_Org*AL140+Исходн.данные.!AB140*N_Sider*AL140+Исходн.данные.!AC140*N_Soloma*AL140)/HF140)</f>
        <v>#N/A</v>
      </c>
      <c r="GF140" s="39" t="e">
        <f>IF(HG140=$FY$16,0,(Исходн.данные.!Y140*AS140+Исходн.данные.!AA140*Р_Org*AM140+Исходн.данные.!AB140*P_Sider*AM140+Исходн.данные.!AC140*P_Soloma*AM140)/HG140)</f>
        <v>#N/A</v>
      </c>
      <c r="GG140" s="39" t="e">
        <f>IF(HH140=$FY$16,0,(Исходн.данные.!Z140*AT140+Исходн.данные.!AA140*К_Org*AN140+Исходн.данные.!AB140*K_Sider*AN140+Исходн.данные.!AC140*K_Soloma*AN140)/HH140)</f>
        <v>#N/A</v>
      </c>
      <c r="GH140" s="39" t="e">
        <f>Исходн.данные.!AD140*AU140/HF140</f>
        <v>#N/A</v>
      </c>
      <c r="GI140" s="39" t="e">
        <f>Исходн.данные.!AE140*AV140/HG140</f>
        <v>#N/A</v>
      </c>
      <c r="GJ140" s="39" t="e">
        <f>Исходн.данные.!AF140*AW140/HH140</f>
        <v>#N/A</v>
      </c>
      <c r="GK140" s="55">
        <f>Исходн.данные.!AK140</f>
        <v>0</v>
      </c>
      <c r="GL140" s="11" t="e">
        <f t="shared" si="187"/>
        <v>#N/A</v>
      </c>
      <c r="GM140" s="11" t="e">
        <f t="shared" si="188"/>
        <v>#N/A</v>
      </c>
      <c r="GN140" s="11" t="e">
        <f t="shared" si="189"/>
        <v>#N/A</v>
      </c>
      <c r="GO140" s="57">
        <f t="shared" si="190"/>
        <v>19</v>
      </c>
      <c r="GP140" s="55">
        <f>IF(OR(Исходн.данные.!F140=$CE$1,Исходн.данные.!F140=$CE$2,Исходн.данные.!F140=$CE$3,Исходн.данные.!F140=$CE$4,Исходн.данные.!F140=$CE$5),GQ140,GR140)</f>
        <v>19</v>
      </c>
      <c r="GQ140" s="55">
        <f>IF(Исходн.данные.!F140=$CE$1,28,IF(Исходн.данные.!F140=$CE$2,26,IF(Исходн.данные.!F140=$CE$3,24,IF(Исходн.данные.!F140=$CE$4,22,IF(Исходн.данные.!F140=$CE$5,20,GR140)))))</f>
        <v>19</v>
      </c>
      <c r="GR140" s="55">
        <f>IF(Исходн.данные.!F140=$CE$6,18,IF(Исходн.данные.!F140=$CE$7,16,IF(Исходн.данные.!F140=$CE$8,14,IF(Исходн.данные.!F140=$CE$9,13,IF(Исходн.данные.!F140=$CE$10,12,19)))))</f>
        <v>19</v>
      </c>
      <c r="GS140" s="55">
        <f>IF(Исходн.данные.!G140="Пес",0.035*(40+2*Исходн.данные.!H140),IF(Исходн.данные.!G140="Суп",0.0325*(40+2*Исходн.данные.!H140),0.03*(40+2*Исходн.данные.!H140)))</f>
        <v>1.2</v>
      </c>
      <c r="GT140" s="55">
        <f>IF(Исходн.данные.!H140&lt;23,2.6,IF(AND(Исходн.данные.!H140&gt;22,Исходн.данные.!H140&lt;26),3,IF(AND(Исходн.данные.!H140&gt;25,Исходн.данные.!H140&lt;29),3.4,3.6)))</f>
        <v>2.6</v>
      </c>
      <c r="GU140" s="55">
        <f>IF(Исходн.данные.!H140&lt;23,2.8,IF(AND(Исходн.данные.!H140&gt;22,Исходн.данные.!H140&lt;26),3.2,IF(AND(Исходн.данные.!H140&gt;25,Исходн.данные.!H140&lt;29),3.6,3.9)))</f>
        <v>2.8</v>
      </c>
      <c r="GV140" s="55">
        <f>IF(Исходн.данные.!H140&lt;23,3,IF(AND(Исходн.данные.!H140&gt;22,Исходн.данные.!H140&lt;26),3.5,IF(AND(Исходн.данные.!H140&gt;25,Исходн.данные.!H140&lt;29),3.9,4.2)))</f>
        <v>3</v>
      </c>
      <c r="GW140" s="55" t="e">
        <f>IF(Исходн.данные.!P140="Ум",GX140,GY140)</f>
        <v>#N/A</v>
      </c>
      <c r="GX140" s="55" t="e">
        <f>VLOOKUP(Исходн.данные.!AI140,Коэффициенты!$J$7:$L$13,2,FALSE)</f>
        <v>#N/A</v>
      </c>
      <c r="GY140" s="55" t="e">
        <f>VLOOKUP(Исходн.данные.!AI140,Коэффициенты!$J$7:$L$13,3,FALSE)</f>
        <v>#N/A</v>
      </c>
      <c r="GZ140" s="55" t="e">
        <f>(IF(Исходн.данные.!M140&lt;50,0.11*VLOOKUP(Исходн.данные.!AH140,Культуры.Информация,7,FALSE),IF(Исходн.данные.!M140&gt;250,0.05*VLOOKUP(Исходн.данные.!AH140,Культуры.Информация,7,FALSE),VLOOKUP(Исходн.данные.!AH140,Культуры.Информация,5,FALSE)/100*($GX$6+$GY$6*Исходн.данные.!M140))))*Расчет2!AI140</f>
        <v>#N/A</v>
      </c>
      <c r="HA140" s="211"/>
      <c r="HB140" s="211"/>
      <c r="HC140" s="55" t="e">
        <f>(IF(Исходн.данные.!O140&lt;80,0.2*VLOOKUP(Исходн.данные.!AH140,Культуры.Информация,8,FALSE),IF(Исходн.данные.!O140&gt;240,0.09*VLOOKUP(Исходн.данные.!AH140,Культуры.Информация,8,FALSE),VLOOKUP(Исходн.данные.!AH140,Культуры.Информация,6,FALSE)/100*($HB$6+$HC$6*Исходн.данные.!O140))))*Расчет2!AJ140</f>
        <v>#N/A</v>
      </c>
      <c r="HD140" s="55">
        <f>IF(Исходн.данные.!O140&gt;240,0.09,IF(Исходн.данные.!O140&lt;30,0.3,$HE$10+$HD$10*Исходн.данные.!O140))</f>
        <v>0.3</v>
      </c>
      <c r="HE140" s="55">
        <f>IF(Исходн.данные.!O140&gt;240,0.17,IF(Исходн.данные.!O140&lt;30,0.5,$HF$12+$HE$12*Исходн.данные.!O140))</f>
        <v>0.5</v>
      </c>
      <c r="HF140" s="55" t="e">
        <f>VLOOKUP(Исходн.данные.!AH140,Справ!$A$3:$D$58,2,FALSE)</f>
        <v>#N/A</v>
      </c>
      <c r="HG140" s="55" t="e">
        <f>VLOOKUP(Исходн.данные.!AH140,Справ!$A$3:$D$58,3,FALSE)</f>
        <v>#N/A</v>
      </c>
      <c r="HH140" s="55" t="e">
        <f>VLOOKUP(Исходн.данные.!AH140,Справ!$A$3:$D$58,4,FALSE)</f>
        <v>#N/A</v>
      </c>
      <c r="HI140" s="11" t="e">
        <f t="shared" si="191"/>
        <v>#N/A</v>
      </c>
      <c r="HJ140" s="11" t="e">
        <f t="shared" si="192"/>
        <v>#N/A</v>
      </c>
      <c r="HK140" s="11" t="e">
        <f t="shared" si="193"/>
        <v>#N/A</v>
      </c>
      <c r="HL140" s="55">
        <f>IF(OR(Исходн.данные.!G140="Глин",Исходн.данные.!G140="Т_суг"),1.1,IF(Исходн.данные.!G140="Ср_суг",1,1))</f>
        <v>1</v>
      </c>
      <c r="HM140" s="55">
        <f>IF(OR(Исходн.данные.!G140="Глин",Исходн.данные.!G140="Т_суг"),0.9,IF(Исходн.данные.!G140="Ср_суг",1,1.2))</f>
        <v>1.2</v>
      </c>
      <c r="HN140" s="11" t="e">
        <f t="shared" si="194"/>
        <v>#N/A</v>
      </c>
      <c r="HO140" s="11" t="e">
        <f t="shared" si="195"/>
        <v>#N/A</v>
      </c>
      <c r="HP140" s="11" t="e">
        <f t="shared" si="196"/>
        <v>#N/A</v>
      </c>
      <c r="HQ140" t="e">
        <f t="shared" si="197"/>
        <v>#N/A</v>
      </c>
      <c r="HR140" t="e">
        <f t="shared" si="198"/>
        <v>#N/A</v>
      </c>
      <c r="HS140" t="e">
        <f t="shared" si="199"/>
        <v>#N/A</v>
      </c>
      <c r="HT140" t="e">
        <f t="shared" si="145"/>
        <v>#N/A</v>
      </c>
      <c r="HU140" t="e">
        <f t="shared" si="146"/>
        <v>#N/A</v>
      </c>
      <c r="HV140" t="e">
        <f t="shared" si="147"/>
        <v>#N/A</v>
      </c>
      <c r="HW140" t="e">
        <f t="shared" si="148"/>
        <v>#N/A</v>
      </c>
      <c r="HX140" t="e">
        <f t="shared" si="149"/>
        <v>#N/A</v>
      </c>
      <c r="HY140" t="e">
        <f t="shared" si="150"/>
        <v>#N/A</v>
      </c>
      <c r="HZ140" s="55">
        <f>IF(OR(Исходн.данные.!AI140="Оз_Ч_П",Исходн.данные.!AI140="Оз_З_П",Исходн.данные.!AI140="Яр_зер"),12,30)</f>
        <v>30</v>
      </c>
      <c r="IA140" t="e">
        <f t="shared" si="200"/>
        <v>#N/A</v>
      </c>
      <c r="IB140" t="e">
        <f t="shared" si="201"/>
        <v>#N/A</v>
      </c>
      <c r="IC140" t="e">
        <f t="shared" si="202"/>
        <v>#N/A</v>
      </c>
      <c r="ID140" s="11" t="e">
        <f t="shared" si="203"/>
        <v>#N/A</v>
      </c>
      <c r="IE140" s="11" t="e">
        <f t="shared" si="204"/>
        <v>#N/A</v>
      </c>
      <c r="IF140" s="11" t="e">
        <f t="shared" si="205"/>
        <v>#N/A</v>
      </c>
    </row>
    <row r="141" spans="35:240" x14ac:dyDescent="0.2">
      <c r="AI141">
        <f>IF(Исходн.данные.!I141&gt;6,1,1.85-(0.148*Исходн.данные.!I141))</f>
        <v>1.85</v>
      </c>
      <c r="AJ141">
        <f>IF(Исходн.данные.!I141&gt;6,1,2.434-(0.246*Исходн.данные.!I141))</f>
        <v>2.4340000000000002</v>
      </c>
      <c r="AL141" s="148" t="b">
        <f>IF(Исходн.данные.!$P141="Ум",N_OrgUd_2g_um,IF(Исходн.данные.!$P141="Об",N_OrgUd_2g_ob))</f>
        <v>0</v>
      </c>
      <c r="AM141" s="148" t="b">
        <f>IF(Исходн.данные.!$P141="Ум",P_OrgUd_2g_um,IF(Исходн.данные.!$P141="Об",P_OrgUd_2g_ob))</f>
        <v>0</v>
      </c>
      <c r="AN141" s="148" t="b">
        <f>IF(Исходн.данные.!$P141="Ум",K_OrgUd_2g_um,IF(Исходн.данные.!$P141="Об",K_OrgUd_2g_ob))</f>
        <v>0</v>
      </c>
      <c r="AO141" s="148" t="b">
        <f>IF(Исходн.данные.!$P141="Ум",N_OrgUd_1g_um,IF(Исходн.данные.!$P141="Об",N_OrgUd_1g_ob))</f>
        <v>0</v>
      </c>
      <c r="AP141" s="148" t="b">
        <f>IF(Исходн.данные.!$P141="Ум",P_OrgUd_1g_um,IF(Исходн.данные.!$P141="Об",P_OrgUd_1g_ob))</f>
        <v>0</v>
      </c>
      <c r="AQ141" s="148" t="b">
        <f>IF(Исходн.данные.!$P141="Ум",K_OrgUd_1g_um,IF(Исходн.данные.!$P141="Об",K_OrgUd_1g_ob))</f>
        <v>0</v>
      </c>
      <c r="AR141" t="b">
        <f>IF(Исходн.данные.!$P141="Ум",N_MinUd_2g_um,IF(Исходн.данные.!$P141="Об",N_MinUd_2g_ob))</f>
        <v>0</v>
      </c>
      <c r="AS141" t="b">
        <f>IF(Исходн.данные.!$P141="Ум",P_MinUd_2g_um,IF(Исходн.данные.!$P141="Об",P_MinUd_2g_ob))</f>
        <v>0</v>
      </c>
      <c r="AT141" t="b">
        <f>IF(Исходн.данные.!$P141="Ум",K_MinUd_2g_um,IF(Исходн.данные.!$P141="Об",K_MinUd_2g_ob))</f>
        <v>0</v>
      </c>
      <c r="AU141" t="b">
        <f>IF(Исходн.данные.!$P141="Ум",N_MinUd_1g_um,IF(Исходн.данные.!$P141="Об",N_MinUd_1g_ob))</f>
        <v>0</v>
      </c>
      <c r="AV141" t="b">
        <f>IF(Исходн.данные.!P141="Ум",P_MinUd_1g_um,IF(Исходн.данные.!P141="Об",P_MinUd_1g_ob))</f>
        <v>0</v>
      </c>
      <c r="AW141" t="b">
        <f>IF(Исходн.данные.!P141="Ум",K_MinUd_1g_um,IF(Исходн.данные.!P141="Об",K_MinUd_1g_ob))</f>
        <v>0</v>
      </c>
      <c r="AY141" t="e">
        <f>VLOOKUP(Исходн.данные.!T141,Справ!$A$3:$N$57,12)</f>
        <v>#N/A</v>
      </c>
      <c r="AZ141" t="e">
        <f>VLOOKUP(Исходн.данные.!T141,Справ!$A$3:$N$57,13)</f>
        <v>#N/A</v>
      </c>
      <c r="BA141" t="e">
        <f>VLOOKUP(Исходн.данные.!T141,Справ!$A$3:$N$57,14)</f>
        <v>#N/A</v>
      </c>
      <c r="BB141">
        <f>IF(Исходн.данные.!AH141=0,0,25)</f>
        <v>0</v>
      </c>
      <c r="BC141" s="141">
        <f>IF(Исходн.данные.!AH141=0,0,IF(Исходн.данные.!T141=0,25,BD141))</f>
        <v>0</v>
      </c>
      <c r="BD141" s="168" t="e">
        <f>AY141+AZ141*Исходн.данные.!U141-POWER(BA141,2)*Исходн.данные.!U141</f>
        <v>#N/A</v>
      </c>
      <c r="BE14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1" s="25">
        <f>IF(Исходн.данные.!AH141=0,0,MIN(HN141:HP141))</f>
        <v>0</v>
      </c>
      <c r="BG141" s="9">
        <f>IF(Исходн.данные.!AH141=0,0,IF((HO141+10*0.25/HG141/HL141)&lt;17,17,HO141+10*0.25/HG141/HL141))</f>
        <v>0</v>
      </c>
      <c r="BH141" s="181">
        <f>IF(Исходн.данные.!AH141=0,0,HW141*HF141*HL141/AU141*AI141+Исходн.данные.!S141*10)</f>
        <v>0</v>
      </c>
      <c r="BI141" s="10"/>
      <c r="BJ141" s="182">
        <f>IF(Исходн.данные.!AH141=0,0,IF(HX141*HG141*HL141/AV141&lt;0,0,HX141*HG141*HL141/AV141*AJ141))</f>
        <v>0</v>
      </c>
      <c r="BK141" s="182">
        <f>IF(Исходн.данные.!AH141=0,0,HY141*HH141*HM141/AW141)</f>
        <v>0</v>
      </c>
      <c r="BL141" s="10">
        <f>IF(OR(Исходн.данные.!$AH141=$BP$1,Исходн.данные.!$AH141=$BP$2),0,IF(BH141&lt;0,0,IF(OR(Исходн.данные.!T141=Расчет!$BP$1,Исходн.данные.!T141=Расчет!$BP$2,Исходн.данные.!T141=Расчет!$BT$5,Исходн.данные.!T141=Расчет!$BT$6),BH141*0.5,IF(OR(Исходн.данные.!T141=Расчет!$BS$9,Исходн.данные.!T141=Расчет!$BS$10,Исходн.данные.!T141=Расчет!$BS$11,Исходн.данные.!T141=Расчет!$BS$12,Исходн.данные.!T141=Расчет!$BP$5),BH141*0.8,BH141))))</f>
        <v>0</v>
      </c>
      <c r="BM141" s="10">
        <f>IF(OR(Исходн.данные.!$AH141=$BP$1,Исходн.данные.!$AH141=$BP$2),0,IF(BJ141&lt;0,0,IF(Исходн.данные.!I141&lt;4.5,BJ141*1.2,IF(Исходн.данные.!I141&gt;5.1,BJ141,BJ141*((5.1-Исходн.данные.!I141)*0.333+1)))))</f>
        <v>0</v>
      </c>
      <c r="BN141" s="10">
        <f>IF(OR(Исходн.данные.!$AH141=$BP$1,Исходн.данные.!$AH141=$BP$2),60-Исходн.данные.!AF141,IF(BK141&lt;0,0,IF(Исходн.данные.!I141&lt;4.5,BK141*1.2,IF(Исходн.данные.!I141&gt;5.1,BK141,BK141*((5.1-Исходн.данные.!I141)*0.333+1)))))</f>
        <v>0</v>
      </c>
      <c r="BO141" s="9">
        <f>IF(BL141&lt;0,0,BL141*Исходн.данные.!$AJ141/1000)</f>
        <v>0</v>
      </c>
      <c r="BP141" s="9">
        <f>IF(BM141&lt;0,0,BM141*Исходн.данные.!$AJ141/1000)</f>
        <v>0</v>
      </c>
      <c r="BQ141" s="9">
        <f>IF(BN141&lt;0,0,BN141*Исходн.данные.!$AJ141/1000)</f>
        <v>0</v>
      </c>
      <c r="BR141" s="9">
        <f t="shared" si="155"/>
        <v>0</v>
      </c>
      <c r="BS141" s="10" t="str">
        <f t="shared" si="156"/>
        <v>Аммофос 12:52:00</v>
      </c>
      <c r="BT141" s="10" t="str">
        <f t="shared" si="157"/>
        <v>Аммофос 12:52:00</v>
      </c>
      <c r="BU141" s="10" t="str">
        <f t="shared" si="158"/>
        <v>Диаммофоска</v>
      </c>
      <c r="BV141" s="10">
        <f t="shared" si="159"/>
        <v>0</v>
      </c>
      <c r="BW141" s="10"/>
      <c r="BX141" s="10"/>
      <c r="BY141" s="9">
        <f>IF(BL141&lt;0,0,IF(OR(Исходн.данные.!AI141=Расчет!$BU$6,Исходн.данные.!AI141=Расчет!$BU$7),Расчет!BV141,IF(Исходн.данные.!$AG141=$BV$11,BL141,IF(OR(Исходн.данные.!$AH141=$BQ$7,Исходн.данные.!$AH141=$BQ$8),CB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0,IF(Исходн.данные.!$AI141=$BU$11,"Нет",IF(BL141&gt;30,30,BL141)))))))</f>
        <v>0</v>
      </c>
      <c r="BZ141" s="9">
        <f>IF(AND(Исходн.данные.!$AG141=$BV$11,BM141&lt;10),10,IF(Исходн.данные.!$AG141=$BV$11,BM141,IF(OR(Исходн.данные.!$AH141=$BQ$7,Исходн.данные.!$AH141=$BQ$8),CC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10,IF(Исходн.данные.!$AI141=$BU$11,"Нет",IF(BM141&gt;60,60,IF(BM141&lt;10,10,BM141)))))))</f>
        <v>10</v>
      </c>
      <c r="CA141" s="39">
        <f>IF(BN141&lt;0,0,IF(Исходн.данные.!$AG141=$BV$11,BN141,IF(OR(Исходн.данные.!$AH141=$BQ$7,Исходн.данные.!$AH141=$BQ$8),CD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0,IF(Исходн.данные.!$AI141=$BU$11,"Нет",IF(BN141&gt;30,30,BN141))))))</f>
        <v>0</v>
      </c>
      <c r="CB141" s="9">
        <f t="shared" si="160"/>
        <v>0</v>
      </c>
      <c r="CC141" s="9">
        <f t="shared" si="161"/>
        <v>0</v>
      </c>
      <c r="CD141" s="9">
        <f t="shared" si="162"/>
        <v>0</v>
      </c>
      <c r="CE141" s="12">
        <f t="shared" si="163"/>
        <v>10</v>
      </c>
      <c r="CF141" s="9">
        <f t="shared" si="164"/>
        <v>0</v>
      </c>
      <c r="CG141" s="9" t="s">
        <v>231</v>
      </c>
      <c r="CH141" s="132" t="str">
        <f>IF(Исходн.данные.!AP141=Расчет!$CI$16,"Нет",IF(Исходн.данные.!AL141&gt;0,Исходн.данные.!AL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BH$4,IF(OR(Исходн.данные.!AI141=Исходн.данные.!$AI$6,Исходн.данные.!AI141=Исходн.данные.!$AI$7),Расчет!BS141,IF(AND($CF141=0,$CE141&gt;0),EV141,ER141)))))</f>
        <v>Аммофос 12:52:00</v>
      </c>
      <c r="CI141" s="274">
        <f>IF(Расчет!$CH141="Нет","Нет",IF(Исходн.данные.!$AL141&gt;0,VLOOKUP(Расчет!$CH141,АшламаДВ_Irekle,2,FALSE),VLOOKUP(Расчет!$CH141,АшламаДВ_Gomumy,2,FALSE)))</f>
        <v>0.12</v>
      </c>
      <c r="CJ141" s="274">
        <f>IF(Расчет!$CH141="Нет","Нет",IF(Исходн.данные.!$AL141&gt;0,VLOOKUP(Расчет!$CH141,АшламаДВ_Irekle,3,FALSE),VLOOKUP(Расчет!$CH141,АшламаДВ_Gomumy,3,FALSE)))</f>
        <v>0.52</v>
      </c>
      <c r="CK141" s="274">
        <f>IF(Расчет!$CH141="Нет","Нет",IF(Исходн.данные.!$AL141&gt;0,VLOOKUP(Расчет!$CH141,АшламаДВ_Irekle,4,FALSE),VLOOKUP(Расчет!$CH141,АшламаДВ_Gomumy,4,FALSE)))</f>
        <v>0</v>
      </c>
      <c r="CL141" s="70"/>
      <c r="CM141" s="70"/>
      <c r="CN141" s="70"/>
      <c r="CO141" s="70"/>
      <c r="CP141" s="70"/>
      <c r="CQ141" s="70"/>
      <c r="CR141" s="10">
        <f t="shared" si="165"/>
        <v>0</v>
      </c>
      <c r="CS141" s="10">
        <f t="shared" si="166"/>
        <v>19.23076923076923</v>
      </c>
      <c r="CT141" s="10">
        <f t="shared" si="167"/>
        <v>0</v>
      </c>
      <c r="CU141" s="39">
        <f>IF($CH141="Нет",0,IF(CI141=0,30/MIN(CJ141:CK141),IF(Исходн.данные.!$AG141=$BV$11,CR141,IF(OR(Исходн.данные.!$AH141=$BQ$7,Исходн.данные.!$AH141=$BQ$8),90/CI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0,IF(Исходн.данные.!$AI141=$BU$11,"Нет",30/CI141))))))</f>
        <v>250</v>
      </c>
      <c r="CV141" s="39">
        <f>IF($CH141="Нет",0,IF(Исходн.данные.!AH141=0,0,IF(CJ141=0,60/MIN(CI141,CK141),IF(Исходн.данные.!$AG141=$BV$11,CS141,IF(OR(Исходн.данные.!$AH141=$BQ$7,Исходн.данные.!$AH141=$BQ$8),90/CJ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10/CJ141,IF(Исходн.данные.!$AI141=$BU$11,"Нет",60/CJ141)))))))</f>
        <v>0</v>
      </c>
      <c r="CW141" s="39">
        <f>IF($CH141="Нет",0,IF(Исходн.данные.!AH141=0,0,IF(CK141=0,30/MIN(CI141:CJ141),IF(Исходн.данные.!$AG141=$BV$11,CT141,IF(OR(Исходн.данные.!$AH141=$BQ$7,Исходн.данные.!$AH141=$BQ$8),90/CK141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0,IF(Исходн.данные.!$AI141=$BU$11,"Нет",30/CK141)))))))</f>
        <v>0</v>
      </c>
      <c r="CX141" s="133">
        <f>IF(Исходн.данные.!$AG141=$BV$11,MAX(CU141:CW141),IF(OR(Исходн.данные.!$AH141=$BS$8,Исходн.данные.!$AH141=$BQ$9,Исходн.данные.!$AH141=$BQ$10,Исходн.данные.!$AH141=$BQ$11,Исходн.данные.!$AH141=$BQ$12,Исходн.данные.!$AH141=$BP$3,Исходн.данные.!$AH141=$BT$8,$FM141="Да"),CV141,MIN(CU141:CW141)))</f>
        <v>0</v>
      </c>
      <c r="CY141" s="133">
        <f>IF(Исходн.данные.!AH141=0,0,IF(CR141&gt;$CX141,$CX141,CR141))</f>
        <v>0</v>
      </c>
      <c r="CZ141" s="133">
        <f>IF(Исходн.данные.!AH141=0,0,IF(CS141&gt;$CX141,$CX141,CS141))</f>
        <v>0</v>
      </c>
      <c r="DA141" s="133">
        <f>IF(Исходн.данные.!AH141=0,0,IF(CT141&gt;$CX141,$CX141,CT141))</f>
        <v>0</v>
      </c>
      <c r="DB141" s="10">
        <f t="shared" si="168"/>
        <v>0</v>
      </c>
      <c r="DC141" s="39">
        <f>DB141*Исходн.данные.!AJ141/1000</f>
        <v>0</v>
      </c>
      <c r="DD141" s="71">
        <f t="shared" si="169"/>
        <v>0</v>
      </c>
      <c r="DE141" s="9">
        <f t="shared" si="170"/>
        <v>0</v>
      </c>
      <c r="DF141" s="9">
        <f t="shared" si="171"/>
        <v>0</v>
      </c>
      <c r="DG141" s="39">
        <f>IF(BL141&lt;0,0,IF($CH141="Нет",BL141,IF(OR(Исходн.данные.!$AH141=$BP$1,Исходн.данные.!$AH141=$BP$2),0,IF(Исходн.данные.!AI141=$BU$11,BL141,IF(BL141-DD141&lt;0,0,BL141-DD141)))))</f>
        <v>0</v>
      </c>
      <c r="DH141" s="39">
        <f>IF(BM141&lt;0,0,IF($CH141="Нет",BM141,IF(OR(Исходн.данные.!$AH141=$BP$1,Исходн.данные.!$AH141=$BP$2),0,IF(Исходн.данные.!AJ141=$BU$11,BM141,IF(BM141-DE141&lt;0,0,BM141-DE141)))))</f>
        <v>0</v>
      </c>
      <c r="DI141" s="39">
        <f>IF(BN141&lt;0,0,IF($CH141="Нет",BN141,IF(OR(Исходн.данные.!$AH141=$BP$1,Исходн.данные.!$AH141=$BP$2),0,IF(Исходн.данные.!AK141=$BU$11,BN141,IF(BN141-DF141&lt;0,0,BN141-DF141)))))</f>
        <v>0</v>
      </c>
      <c r="DJ141" s="12">
        <f t="shared" si="172"/>
        <v>0</v>
      </c>
      <c r="DK141" s="9">
        <f t="shared" si="173"/>
        <v>0</v>
      </c>
      <c r="DL141" s="39">
        <f>IF(Исходн.данные.!AM141&gt;0,Исходн.данные.!AM141,IF(EG141&gt;0,$BH$10,0))</f>
        <v>0</v>
      </c>
      <c r="DM141" s="186">
        <f>IF($DL141=0,0,IF(Исходн.данные.!AM141&gt;0,VLOOKUP($DL141,АшламаДВ_Irekle,2,FALSE),VLOOKUP($DL141,АшламаДВ_Gomumy,2,FALSE)))</f>
        <v>0</v>
      </c>
      <c r="DN141" s="10">
        <f t="shared" si="151"/>
        <v>0</v>
      </c>
      <c r="DO141" s="9" t="str">
        <f>IF(Исходн.данные.!AN141&gt;0,Исходн.данные.!AN141,Удобрения!$B$37 )</f>
        <v>Хлор.калий</v>
      </c>
      <c r="DP141" s="9">
        <f>IF(Исходн.данные.!AN141&gt;0,VLOOKUP(Исходн.данные.!AN141,АшламаДВ_Irekle,4,FALSE),VLOOKUP(DO141,АшламаДВ_Gomumy,4,FALSE))</f>
        <v>0.6</v>
      </c>
      <c r="DQ141" s="10">
        <f t="shared" si="152"/>
        <v>0</v>
      </c>
      <c r="DR141" s="132" t="str">
        <f>IF(Исходн.данные.!AO141&gt;0,Исходн.данные.!AO141,IF(DH141=0,BS$17,IF(AND($DK141=0,$DJ141&gt;0),EJ141,EN141)))</f>
        <v>Нет</v>
      </c>
      <c r="DS141" s="70" t="str">
        <f>IF($DR141="Нет","Нет",IF(Исходн.данные.!$AO141&gt;0,VLOOKUP($DR141,АшламаДВ_Irekle,2,FALSE),VLOOKUP($DR141,АшламаДВ_Gomumy,2,FALSE)))</f>
        <v>Нет</v>
      </c>
      <c r="DT141" s="70" t="str">
        <f>IF($DR141="Нет","Нет",IF(Исходн.данные.!$AO141&gt;0,VLOOKUP($DR141,АшламаДВ_Irekle,3,FALSE),VLOOKUP($DR141,АшламаДВ_Gomumy,3,FALSE)))</f>
        <v>Нет</v>
      </c>
      <c r="DU141" s="70" t="str">
        <f>IF($DR141="Нет","Нет",IF(Исходн.данные.!$AO141&gt;0,VLOOKUP($DR141,АшламаДВ_Irekle,4,FALSE),VLOOKUP($DR141,АшламаДВ_Gomumy,4,FALSE)))</f>
        <v>Нет</v>
      </c>
      <c r="DV141" s="70"/>
      <c r="DW141" s="70"/>
      <c r="DX141" s="70"/>
      <c r="DY141" s="10">
        <f t="shared" si="174"/>
        <v>0</v>
      </c>
      <c r="DZ141" s="10">
        <f t="shared" si="175"/>
        <v>0</v>
      </c>
      <c r="EA141" s="10">
        <f t="shared" si="176"/>
        <v>0</v>
      </c>
      <c r="EB141" s="10">
        <f t="shared" si="177"/>
        <v>0</v>
      </c>
      <c r="EC141" s="10">
        <f t="shared" si="178"/>
        <v>0</v>
      </c>
      <c r="ED141" s="10">
        <f t="shared" si="179"/>
        <v>0</v>
      </c>
      <c r="EE141" s="10">
        <f t="shared" si="180"/>
        <v>0</v>
      </c>
      <c r="EF141" s="39">
        <f>EB141*Исходн.данные.!AJ141/1000</f>
        <v>0</v>
      </c>
      <c r="EG141" s="9">
        <f t="shared" si="181"/>
        <v>0</v>
      </c>
      <c r="EH141" s="9">
        <f t="shared" si="182"/>
        <v>0</v>
      </c>
      <c r="EI141" s="39" t="e">
        <f t="shared" si="132"/>
        <v>#DIV/0!</v>
      </c>
      <c r="EJ141" s="9" t="str">
        <f t="shared" si="153"/>
        <v>Азопреципитат</v>
      </c>
      <c r="EK141" s="12">
        <f t="shared" si="133"/>
        <v>0.26</v>
      </c>
      <c r="EL141" s="12">
        <f t="shared" si="134"/>
        <v>0.13</v>
      </c>
      <c r="EM141" s="12">
        <f t="shared" si="135"/>
        <v>0</v>
      </c>
      <c r="EN141" s="12" t="str">
        <f t="shared" si="154"/>
        <v>Нет</v>
      </c>
      <c r="EO141" s="12">
        <f t="shared" si="136"/>
        <v>0</v>
      </c>
      <c r="EP141" s="12">
        <f t="shared" si="137"/>
        <v>0</v>
      </c>
      <c r="EQ141" s="12">
        <f t="shared" si="138"/>
        <v>0</v>
      </c>
      <c r="ER141" s="12" t="str">
        <f t="shared" si="183"/>
        <v>Диаммофоска</v>
      </c>
      <c r="ES141" s="12">
        <f t="shared" si="139"/>
        <v>0.1</v>
      </c>
      <c r="ET141" s="12">
        <f t="shared" si="140"/>
        <v>0.26</v>
      </c>
      <c r="EU141" s="12">
        <f t="shared" si="141"/>
        <v>0.26</v>
      </c>
      <c r="EV141" s="12" t="str">
        <f t="shared" si="184"/>
        <v>Аммофос 12:52:00</v>
      </c>
      <c r="EW141" s="12" t="str">
        <f t="shared" si="185"/>
        <v>Кемира Свекловичное-6</v>
      </c>
      <c r="EX141" s="12">
        <f t="shared" si="142"/>
        <v>0.16</v>
      </c>
      <c r="EY141" s="12">
        <f t="shared" si="143"/>
        <v>0.12</v>
      </c>
      <c r="EZ141" s="12">
        <f t="shared" si="144"/>
        <v>0.17</v>
      </c>
      <c r="FA141" s="38" t="e">
        <f>IF(AND(OR(FJ141=$FD$1,FM141=$FD$1,FO141=$FD$1,FQ141=$FD$1,FS141=$FD$1),FD141=$FD$1,Исходн.данные.!J141&lt;2,FU141=$FD$1),"Бор,Кобальт",IF(AND(FO141=$FD$1,FH141=$FD$1,Исходн.данные.!J141&lt;2,FU141=$FD$1),"Бор,Кобальт",IF(AND(OR(FJ141=$FD$1,FM141=$FD$1,FQ141=$FD$1),FE141=$FD$1,Исходн.данные.!J141&lt;2,FT141=$FD$1,FU141=$FD$1),"Бор,Медь,Цинк",IF(AND(OR(FJ141=$FD$1,FR141="Да"),FI141="Да",Исходн.данные.!J141&lt;2,FT141="Да",FU141="Да"),"Бор,Цинк,Медь",IF(AND(OR(FM141="Да",FQ141="Да"),FI141="Да",Исходн.данные.!J141&lt;2,FT141="Да",FU141="Да"),"Бор,Цинк",IF(AND(FN141="Да",OR(FD141="Да",FE141="Да")),"Бор",FB141))))))</f>
        <v>#N/A</v>
      </c>
      <c r="FB141" s="134" t="e">
        <f>IF(AND(OR(FD141="Да",FE141="Да",FF141="Да",FG141="Да",FH141="Да"),FO141="Да"),"Бор",IF(AND(FP141="Да",OR(FD141="Да",FE141="Да",FI141="Да")),"Бор",IF(AND(FS141="Да",FE141="Да"),"Бор,Медь",IF(AND(OR(FJ141="Да",FK141="Да",FL141="Да"),FE141="Да",Исходн.данные.!I141&lt;5,FT141="Да",FU141="Да"),"Молибден,Цинк",IF(AND(FM141="Да",OR(FE141="Да",FF141="Да",FG141="Да",FH141="Да",FI141="Да")),"Молибден,Цинк",IF(AND(OR(FJ141="Да",FK141="Да",FL141="Да",FM141="Да",FQ141="Да"),OR(FE141="Да",FF141="Да"),FT141="Да",FU141="Да",Исходн.данные.!I141&gt;5.5),"Медь,Цинк",FC141))))))</f>
        <v>#N/A</v>
      </c>
      <c r="FC141" s="23" t="e">
        <f t="shared" si="186"/>
        <v>#N/A</v>
      </c>
      <c r="FD141" s="38" t="str">
        <f>IF(OR(Исходн.данные.!F141=$CC$1,Исходн.данные.!F141=$CC$2,Исходн.данные.!F141=$CC$3,Исходн.данные.!F141=$CC$4),"Да","Нет")</f>
        <v>Нет</v>
      </c>
      <c r="FE141" s="38" t="str">
        <f>IF(Исходн.данные.!F141=$CC$5,"Да","Нет")</f>
        <v>Нет</v>
      </c>
      <c r="FF141" s="38" t="str">
        <f>IF(OR(Исходн.данные.!F141=$CC$6,Исходн.данные.!F141=$CC$7),"Да","Нет")</f>
        <v>Нет</v>
      </c>
      <c r="FG141" s="38" t="str">
        <f>IF(OR(Исходн.данные.!F141=$CC$8,Исходн.данные.!F141=$CC$9),"Да","Нет")</f>
        <v>Нет</v>
      </c>
      <c r="FH141" s="38" t="str">
        <f>IF(Исходн.данные.!F141=$CC$10,"Да","Нет")</f>
        <v>Нет</v>
      </c>
      <c r="FI141" s="38" t="str">
        <f>IF(OR(Исходн.данные.!F141=$CC$11,Исходн.данные.!F141=$CC$12),"Да","Нет")</f>
        <v>Нет</v>
      </c>
      <c r="FJ141" s="38" t="str">
        <f>IF(OR(Исходн.данные.!AH141=$BS$1,Исходн.данные.!AH141=$BQ$11,Исходн.данные.!AH141=$BQ$12),"Да","Нет")</f>
        <v>Нет</v>
      </c>
      <c r="FK141" s="38" t="str">
        <f>IF(OR(Исходн.данные.!AH141=$BS$2,Исходн.данные.!AH141=$BS$4),"Да","Нет")</f>
        <v>Нет</v>
      </c>
      <c r="FL141" s="38" t="str">
        <f>IF(OR(Исходн.данные.!AH141=$BS$3,Исходн.данные.!AH141=$BS$5),"Да","Нет")</f>
        <v>Нет</v>
      </c>
      <c r="FM141" s="38" t="str">
        <f>IF(OR(Исходн.данные.!AH141=$BS$9,Исходн.данные.!AH141=$BS$10,Исходн.данные.!AH141=$BS$11,Исходн.данные.!AH141=$BS$12),"Да","Нет")</f>
        <v>Нет</v>
      </c>
      <c r="FN141" s="38" t="str">
        <f>IF(OR(Исходн.данные.!AH141=$BS$6,Исходн.данные.!AH141=$BP$3),"Да","Нет")</f>
        <v>Нет</v>
      </c>
      <c r="FO141" s="38" t="str">
        <f>IF(Исходн.данные.!AH141=$BQ$9,"Да","Нет")</f>
        <v>Нет</v>
      </c>
      <c r="FP141" s="38" t="str">
        <f>IF(OR(Исходн.данные.!AH141=$BS$8,Исходн.данные.!AH141=$BT$8),"Да","Нет")</f>
        <v>Нет</v>
      </c>
      <c r="FQ141" s="38" t="str">
        <f>IF(OR(Исходн.данные.!AH141=$BQ$7,Исходн.данные.!AH141=$BQ$8),"Да","Нет")</f>
        <v>Нет</v>
      </c>
      <c r="FR141" s="38" t="str">
        <f>IF(Исходн.данные.!AI141=$BU$9,"Да","Нет")</f>
        <v>Нет</v>
      </c>
      <c r="FS141" s="38" t="str">
        <f>IF(OR(Исходн.данные.!AH141=$BP$1,Исходн.данные.!AH141=$BP$2),"Да","Нет")</f>
        <v>Нет</v>
      </c>
      <c r="FT141" s="38" t="e">
        <f>IF((Исходн.данные.!K141*GO141*GS141*GW141+BL141*0.6+Исходн.данные.!Q141*4.5*0.275)&gt;90,"Да","Нет")</f>
        <v>#N/A</v>
      </c>
      <c r="FU141" s="38" t="e">
        <f>IF((Исходн.данные.!M141*GS141*GZ141+BM141*0.225)&gt;35,"Да","Нет")</f>
        <v>#N/A</v>
      </c>
      <c r="FV141" s="38" t="str">
        <f>IF(Исходн.данные.!O141&gt;175,"Да","Нет")</f>
        <v>Нет</v>
      </c>
      <c r="FW141" s="39" t="str">
        <f>IF(Исходн.данные.!I141&gt;5.5,"Да","Нет")</f>
        <v>Нет</v>
      </c>
      <c r="FX141" s="39" t="str">
        <f>IF(Исходн.данные.!J141&lt;2,"Да","Нет")</f>
        <v>Да</v>
      </c>
      <c r="FY141" s="39" t="e">
        <f>IF(HF141=$FY$16,0,Исходн.данные.!K141*GO141*GS141*GW141/HF141)</f>
        <v>#N/A</v>
      </c>
      <c r="FZ141" s="39" t="e">
        <f>Исходн.данные.!M141*GS141*GZ141/HG141</f>
        <v>#N/A</v>
      </c>
      <c r="GA141" s="39" t="e">
        <f>IF(K_Wyn=$FY$16,0,IF(Исходн.данные.!N141=Исходн.данные.!$L$10,Исходн.данные.!O141/1.1*GS141*HC141/HH141,IF(Исходн.данные.!N141=Исходн.данные.!$L$12,Исходн.данные.!O141/1.5*GS141*HC141/HH141,Исходн.данные.!O141*GS141*HC141/HH141)))</f>
        <v>#N/A</v>
      </c>
      <c r="GB141" s="39" t="e">
        <f>IF(HF141=$FY$16,0,((Исходн.данные.!Q141*N_Org+Исходн.данные.!R141*N_Sider+Исходн.данные.!S141*N_Soloma)*AO141+Расчет!BC141*VLOOKUP(Исходн.данные.!T141,Справ!$A$3:$O$57,15)*AO141+BB141*VLOOKUP(Исходн.данные.!T141,Справ!$A$3:$O$57,15)*AL141+(Исходн.данные.!V141*N_Rizotorf+Исходн.данные.!W141*N_Rizoagr))/HF141)</f>
        <v>#N/A</v>
      </c>
      <c r="GC141" s="39" t="e">
        <f>IF(HG141=$FY$16,0,((Исходн.данные.!Q141*Р_Org+Исходн.данные.!R141*P_Sider+Исходн.данные.!S141*P_Soloma)*AP141+Расчет!BC141*VLOOKUP(Исходн.данные.!T141,Справ!$A$3:$P$57,16)*AP141+BB141*VLOOKUP(Исходн.данные.!T141,Справ!$A$3:$P$57,16)*AM141)/HG141)</f>
        <v>#N/A</v>
      </c>
      <c r="GD141" s="39" t="e">
        <f>IF(HH141=$FY$16,0,((Исходн.данные.!Q141*К_Org+Исходн.данные.!R141*K_Sider+Исходн.данные.!S141*K_Soloma)*AQ141+Расчет!BC141*VLOOKUP(Исходн.данные.!T141,Справ!$A$3:$Q$57,17)*AQ141+BB141*VLOOKUP(Исходн.данные.!T141,Справ!$A$3:$Q$57,17)*AN141)/HH141)</f>
        <v>#N/A</v>
      </c>
      <c r="GE141" s="39" t="e">
        <f>IF(HF141=$FY$16,0,(Исходн.данные.!X141*AR141+Исходн.данные.!AA141*N_Org*AL141+Исходн.данные.!AB141*N_Sider*AL141+Исходн.данные.!AC141*N_Soloma*AL141)/HF141)</f>
        <v>#N/A</v>
      </c>
      <c r="GF141" s="39" t="e">
        <f>IF(HG141=$FY$16,0,(Исходн.данные.!Y141*AS141+Исходн.данные.!AA141*Р_Org*AM141+Исходн.данные.!AB141*P_Sider*AM141+Исходн.данные.!AC141*P_Soloma*AM141)/HG141)</f>
        <v>#N/A</v>
      </c>
      <c r="GG141" s="39" t="e">
        <f>IF(HH141=$FY$16,0,(Исходн.данные.!Z141*AT141+Исходн.данные.!AA141*К_Org*AN141+Исходн.данные.!AB141*K_Sider*AN141+Исходн.данные.!AC141*K_Soloma*AN141)/HH141)</f>
        <v>#N/A</v>
      </c>
      <c r="GH141" s="39" t="e">
        <f>Исходн.данные.!AD141*AU141/HF141</f>
        <v>#N/A</v>
      </c>
      <c r="GI141" s="39" t="e">
        <f>Исходн.данные.!AE141*AV141/HG141</f>
        <v>#N/A</v>
      </c>
      <c r="GJ141" s="39" t="e">
        <f>Исходн.данные.!AF141*AW141/HH141</f>
        <v>#N/A</v>
      </c>
      <c r="GK141" s="55">
        <f>Исходн.данные.!AK141</f>
        <v>0</v>
      </c>
      <c r="GL141" s="11" t="e">
        <f t="shared" si="187"/>
        <v>#N/A</v>
      </c>
      <c r="GM141" s="11" t="e">
        <f t="shared" si="188"/>
        <v>#N/A</v>
      </c>
      <c r="GN141" s="11" t="e">
        <f t="shared" si="189"/>
        <v>#N/A</v>
      </c>
      <c r="GO141" s="57">
        <f t="shared" si="190"/>
        <v>19</v>
      </c>
      <c r="GP141" s="55">
        <f>IF(OR(Исходн.данные.!F141=$CE$1,Исходн.данные.!F141=$CE$2,Исходн.данные.!F141=$CE$3,Исходн.данные.!F141=$CE$4,Исходн.данные.!F141=$CE$5),GQ141,GR141)</f>
        <v>19</v>
      </c>
      <c r="GQ141" s="55">
        <f>IF(Исходн.данные.!F141=$CE$1,28,IF(Исходн.данные.!F141=$CE$2,26,IF(Исходн.данные.!F141=$CE$3,24,IF(Исходн.данные.!F141=$CE$4,22,IF(Исходн.данные.!F141=$CE$5,20,GR141)))))</f>
        <v>19</v>
      </c>
      <c r="GR141" s="55">
        <f>IF(Исходн.данные.!F141=$CE$6,18,IF(Исходн.данные.!F141=$CE$7,16,IF(Исходн.данные.!F141=$CE$8,14,IF(Исходн.данные.!F141=$CE$9,13,IF(Исходн.данные.!F141=$CE$10,12,19)))))</f>
        <v>19</v>
      </c>
      <c r="GS141" s="55">
        <f>IF(Исходн.данные.!G141="Пес",0.035*(40+2*Исходн.данные.!H141),IF(Исходн.данные.!G141="Суп",0.0325*(40+2*Исходн.данные.!H141),0.03*(40+2*Исходн.данные.!H141)))</f>
        <v>1.2</v>
      </c>
      <c r="GT141" s="55">
        <f>IF(Исходн.данные.!H141&lt;23,2.6,IF(AND(Исходн.данные.!H141&gt;22,Исходн.данные.!H141&lt;26),3,IF(AND(Исходн.данные.!H141&gt;25,Исходн.данные.!H141&lt;29),3.4,3.6)))</f>
        <v>2.6</v>
      </c>
      <c r="GU141" s="55">
        <f>IF(Исходн.данные.!H141&lt;23,2.8,IF(AND(Исходн.данные.!H141&gt;22,Исходн.данные.!H141&lt;26),3.2,IF(AND(Исходн.данные.!H141&gt;25,Исходн.данные.!H141&lt;29),3.6,3.9)))</f>
        <v>2.8</v>
      </c>
      <c r="GV141" s="55">
        <f>IF(Исходн.данные.!H141&lt;23,3,IF(AND(Исходн.данные.!H141&gt;22,Исходн.данные.!H141&lt;26),3.5,IF(AND(Исходн.данные.!H141&gt;25,Исходн.данные.!H141&lt;29),3.9,4.2)))</f>
        <v>3</v>
      </c>
      <c r="GW141" s="55" t="e">
        <f>IF(Исходн.данные.!P141="Ум",GX141,GY141)</f>
        <v>#N/A</v>
      </c>
      <c r="GX141" s="55" t="e">
        <f>VLOOKUP(Исходн.данные.!AI141,Коэффициенты!$J$7:$L$13,2,FALSE)</f>
        <v>#N/A</v>
      </c>
      <c r="GY141" s="55" t="e">
        <f>VLOOKUP(Исходн.данные.!AI141,Коэффициенты!$J$7:$L$13,3,FALSE)</f>
        <v>#N/A</v>
      </c>
      <c r="GZ141" s="55" t="e">
        <f>(IF(Исходн.данные.!M141&lt;50,0.11*VLOOKUP(Исходн.данные.!AH141,Культуры.Информация,7,FALSE),IF(Исходн.данные.!M141&gt;250,0.05*VLOOKUP(Исходн.данные.!AH141,Культуры.Информация,7,FALSE),VLOOKUP(Исходн.данные.!AH141,Культуры.Информация,5,FALSE)/100*($GX$6+$GY$6*Исходн.данные.!M141))))*Расчет2!AI141</f>
        <v>#N/A</v>
      </c>
      <c r="HA141" s="211"/>
      <c r="HB141" s="211"/>
      <c r="HC141" s="55" t="e">
        <f>(IF(Исходн.данные.!O141&lt;80,0.2*VLOOKUP(Исходн.данные.!AH141,Культуры.Информация,8,FALSE),IF(Исходн.данные.!O141&gt;240,0.09*VLOOKUP(Исходн.данные.!AH141,Культуры.Информация,8,FALSE),VLOOKUP(Исходн.данные.!AH141,Культуры.Информация,6,FALSE)/100*($HB$6+$HC$6*Исходн.данные.!O141))))*Расчет2!AJ141</f>
        <v>#N/A</v>
      </c>
      <c r="HD141" s="55">
        <f>IF(Исходн.данные.!O141&gt;240,0.09,IF(Исходн.данные.!O141&lt;30,0.3,$HE$10+$HD$10*Исходн.данные.!O141))</f>
        <v>0.3</v>
      </c>
      <c r="HE141" s="55">
        <f>IF(Исходн.данные.!O141&gt;240,0.17,IF(Исходн.данные.!O141&lt;30,0.5,$HF$12+$HE$12*Исходн.данные.!O141))</f>
        <v>0.5</v>
      </c>
      <c r="HF141" s="55" t="e">
        <f>VLOOKUP(Исходн.данные.!AH141,Справ!$A$3:$D$58,2,FALSE)</f>
        <v>#N/A</v>
      </c>
      <c r="HG141" s="55" t="e">
        <f>VLOOKUP(Исходн.данные.!AH141,Справ!$A$3:$D$58,3,FALSE)</f>
        <v>#N/A</v>
      </c>
      <c r="HH141" s="55" t="e">
        <f>VLOOKUP(Исходн.данные.!AH141,Справ!$A$3:$D$58,4,FALSE)</f>
        <v>#N/A</v>
      </c>
      <c r="HI141" s="11" t="e">
        <f t="shared" si="191"/>
        <v>#N/A</v>
      </c>
      <c r="HJ141" s="11" t="e">
        <f t="shared" si="192"/>
        <v>#N/A</v>
      </c>
      <c r="HK141" s="11" t="e">
        <f t="shared" si="193"/>
        <v>#N/A</v>
      </c>
      <c r="HL141" s="55">
        <f>IF(OR(Исходн.данные.!G141="Глин",Исходн.данные.!G141="Т_суг"),1.1,IF(Исходн.данные.!G141="Ср_суг",1,1))</f>
        <v>1</v>
      </c>
      <c r="HM141" s="55">
        <f>IF(OR(Исходн.данные.!G141="Глин",Исходн.данные.!G141="Т_суг"),0.9,IF(Исходн.данные.!G141="Ср_суг",1,1.2))</f>
        <v>1.2</v>
      </c>
      <c r="HN141" s="11" t="e">
        <f t="shared" si="194"/>
        <v>#N/A</v>
      </c>
      <c r="HO141" s="11" t="e">
        <f t="shared" si="195"/>
        <v>#N/A</v>
      </c>
      <c r="HP141" s="11" t="e">
        <f t="shared" si="196"/>
        <v>#N/A</v>
      </c>
      <c r="HQ141" t="e">
        <f t="shared" si="197"/>
        <v>#N/A</v>
      </c>
      <c r="HR141" t="e">
        <f t="shared" si="198"/>
        <v>#N/A</v>
      </c>
      <c r="HS141" t="e">
        <f t="shared" si="199"/>
        <v>#N/A</v>
      </c>
      <c r="HT141" t="e">
        <f t="shared" si="145"/>
        <v>#N/A</v>
      </c>
      <c r="HU141" t="e">
        <f t="shared" si="146"/>
        <v>#N/A</v>
      </c>
      <c r="HV141" t="e">
        <f t="shared" si="147"/>
        <v>#N/A</v>
      </c>
      <c r="HW141" t="e">
        <f t="shared" si="148"/>
        <v>#N/A</v>
      </c>
      <c r="HX141" t="e">
        <f t="shared" si="149"/>
        <v>#N/A</v>
      </c>
      <c r="HY141" t="e">
        <f t="shared" si="150"/>
        <v>#N/A</v>
      </c>
      <c r="HZ141" s="55">
        <f>IF(OR(Исходн.данные.!AI141="Оз_Ч_П",Исходн.данные.!AI141="Оз_З_П",Исходн.данные.!AI141="Яр_зер"),12,30)</f>
        <v>30</v>
      </c>
      <c r="IA141" t="e">
        <f t="shared" si="200"/>
        <v>#N/A</v>
      </c>
      <c r="IB141" t="e">
        <f t="shared" si="201"/>
        <v>#N/A</v>
      </c>
      <c r="IC141" t="e">
        <f t="shared" si="202"/>
        <v>#N/A</v>
      </c>
      <c r="ID141" s="11" t="e">
        <f t="shared" si="203"/>
        <v>#N/A</v>
      </c>
      <c r="IE141" s="11" t="e">
        <f t="shared" si="204"/>
        <v>#N/A</v>
      </c>
      <c r="IF141" s="11" t="e">
        <f t="shared" si="205"/>
        <v>#N/A</v>
      </c>
    </row>
    <row r="142" spans="35:240" x14ac:dyDescent="0.2">
      <c r="AI142">
        <f>IF(Исходн.данные.!I142&gt;6,1,1.85-(0.148*Исходн.данные.!I142))</f>
        <v>1.85</v>
      </c>
      <c r="AJ142">
        <f>IF(Исходн.данные.!I142&gt;6,1,2.434-(0.246*Исходн.данные.!I142))</f>
        <v>2.4340000000000002</v>
      </c>
      <c r="AL142" s="148" t="b">
        <f>IF(Исходн.данные.!$P142="Ум",N_OrgUd_2g_um,IF(Исходн.данные.!$P142="Об",N_OrgUd_2g_ob))</f>
        <v>0</v>
      </c>
      <c r="AM142" s="148" t="b">
        <f>IF(Исходн.данные.!$P142="Ум",P_OrgUd_2g_um,IF(Исходн.данные.!$P142="Об",P_OrgUd_2g_ob))</f>
        <v>0</v>
      </c>
      <c r="AN142" s="148" t="b">
        <f>IF(Исходн.данные.!$P142="Ум",K_OrgUd_2g_um,IF(Исходн.данные.!$P142="Об",K_OrgUd_2g_ob))</f>
        <v>0</v>
      </c>
      <c r="AO142" s="148" t="b">
        <f>IF(Исходн.данные.!$P142="Ум",N_OrgUd_1g_um,IF(Исходн.данные.!$P142="Об",N_OrgUd_1g_ob))</f>
        <v>0</v>
      </c>
      <c r="AP142" s="148" t="b">
        <f>IF(Исходн.данные.!$P142="Ум",P_OrgUd_1g_um,IF(Исходн.данные.!$P142="Об",P_OrgUd_1g_ob))</f>
        <v>0</v>
      </c>
      <c r="AQ142" s="148" t="b">
        <f>IF(Исходн.данные.!$P142="Ум",K_OrgUd_1g_um,IF(Исходн.данные.!$P142="Об",K_OrgUd_1g_ob))</f>
        <v>0</v>
      </c>
      <c r="AR142" t="b">
        <f>IF(Исходн.данные.!$P142="Ум",N_MinUd_2g_um,IF(Исходн.данные.!$P142="Об",N_MinUd_2g_ob))</f>
        <v>0</v>
      </c>
      <c r="AS142" t="b">
        <f>IF(Исходн.данные.!$P142="Ум",P_MinUd_2g_um,IF(Исходн.данные.!$P142="Об",P_MinUd_2g_ob))</f>
        <v>0</v>
      </c>
      <c r="AT142" t="b">
        <f>IF(Исходн.данные.!$P142="Ум",K_MinUd_2g_um,IF(Исходн.данные.!$P142="Об",K_MinUd_2g_ob))</f>
        <v>0</v>
      </c>
      <c r="AU142" t="b">
        <f>IF(Исходн.данные.!$P142="Ум",N_MinUd_1g_um,IF(Исходн.данные.!$P142="Об",N_MinUd_1g_ob))</f>
        <v>0</v>
      </c>
      <c r="AV142" t="b">
        <f>IF(Исходн.данные.!P142="Ум",P_MinUd_1g_um,IF(Исходн.данные.!P142="Об",P_MinUd_1g_ob))</f>
        <v>0</v>
      </c>
      <c r="AW142" t="b">
        <f>IF(Исходн.данные.!P142="Ум",K_MinUd_1g_um,IF(Исходн.данные.!P142="Об",K_MinUd_1g_ob))</f>
        <v>0</v>
      </c>
      <c r="AY142" t="e">
        <f>VLOOKUP(Исходн.данные.!T142,Справ!$A$3:$N$57,12)</f>
        <v>#N/A</v>
      </c>
      <c r="AZ142" t="e">
        <f>VLOOKUP(Исходн.данные.!T142,Справ!$A$3:$N$57,13)</f>
        <v>#N/A</v>
      </c>
      <c r="BA142" t="e">
        <f>VLOOKUP(Исходн.данные.!T142,Справ!$A$3:$N$57,14)</f>
        <v>#N/A</v>
      </c>
      <c r="BB142">
        <f>IF(Исходн.данные.!AH142=0,0,25)</f>
        <v>0</v>
      </c>
      <c r="BC142" s="141">
        <f>IF(Исходн.данные.!AH142=0,0,IF(Исходн.данные.!T142=0,25,BD142))</f>
        <v>0</v>
      </c>
      <c r="BD142" s="168" t="e">
        <f>AY142+AZ142*Исходн.данные.!U142-POWER(BA142,2)*Исходн.данные.!U142</f>
        <v>#N/A</v>
      </c>
      <c r="BE14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2" s="25">
        <f>IF(Исходн.данные.!AH142=0,0,MIN(HN142:HP142))</f>
        <v>0</v>
      </c>
      <c r="BG142" s="9">
        <f>IF(Исходн.данные.!AH142=0,0,IF((HO142+10*0.25/HG142/HL142)&lt;17,17,HO142+10*0.25/HG142/HL142))</f>
        <v>0</v>
      </c>
      <c r="BH142" s="181">
        <f>IF(Исходн.данные.!AH142=0,0,HW142*HF142*HL142/AU142*AI142+Исходн.данные.!S142*10)</f>
        <v>0</v>
      </c>
      <c r="BI142" s="10"/>
      <c r="BJ142" s="182">
        <f>IF(Исходн.данные.!AH142=0,0,IF(HX142*HG142*HL142/AV142&lt;0,0,HX142*HG142*HL142/AV142*AJ142))</f>
        <v>0</v>
      </c>
      <c r="BK142" s="182">
        <f>IF(Исходн.данные.!AH142=0,0,HY142*HH142*HM142/AW142)</f>
        <v>0</v>
      </c>
      <c r="BL142" s="10">
        <f>IF(OR(Исходн.данные.!$AH142=$BP$1,Исходн.данные.!$AH142=$BP$2),0,IF(BH142&lt;0,0,IF(OR(Исходн.данные.!T142=Расчет!$BP$1,Исходн.данные.!T142=Расчет!$BP$2,Исходн.данные.!T142=Расчет!$BT$5,Исходн.данные.!T142=Расчет!$BT$6),BH142*0.5,IF(OR(Исходн.данные.!T142=Расчет!$BS$9,Исходн.данные.!T142=Расчет!$BS$10,Исходн.данные.!T142=Расчет!$BS$11,Исходн.данные.!T142=Расчет!$BS$12,Исходн.данные.!T142=Расчет!$BP$5),BH142*0.8,BH142))))</f>
        <v>0</v>
      </c>
      <c r="BM142" s="10">
        <f>IF(OR(Исходн.данные.!$AH142=$BP$1,Исходн.данные.!$AH142=$BP$2),0,IF(BJ142&lt;0,0,IF(Исходн.данные.!I142&lt;4.5,BJ142*1.2,IF(Исходн.данные.!I142&gt;5.1,BJ142,BJ142*((5.1-Исходн.данные.!I142)*0.333+1)))))</f>
        <v>0</v>
      </c>
      <c r="BN142" s="10">
        <f>IF(OR(Исходн.данные.!$AH142=$BP$1,Исходн.данные.!$AH142=$BP$2),60-Исходн.данные.!AF142,IF(BK142&lt;0,0,IF(Исходн.данные.!I142&lt;4.5,BK142*1.2,IF(Исходн.данные.!I142&gt;5.1,BK142,BK142*((5.1-Исходн.данные.!I142)*0.333+1)))))</f>
        <v>0</v>
      </c>
      <c r="BO142" s="9">
        <f>IF(BL142&lt;0,0,BL142*Исходн.данные.!$AJ142/1000)</f>
        <v>0</v>
      </c>
      <c r="BP142" s="9">
        <f>IF(BM142&lt;0,0,BM142*Исходн.данные.!$AJ142/1000)</f>
        <v>0</v>
      </c>
      <c r="BQ142" s="9">
        <f>IF(BN142&lt;0,0,BN142*Исходн.данные.!$AJ142/1000)</f>
        <v>0</v>
      </c>
      <c r="BR142" s="9">
        <f t="shared" si="155"/>
        <v>0</v>
      </c>
      <c r="BS142" s="10" t="str">
        <f t="shared" si="156"/>
        <v>Аммофос 12:52:00</v>
      </c>
      <c r="BT142" s="10" t="str">
        <f t="shared" si="157"/>
        <v>Аммофос 12:52:00</v>
      </c>
      <c r="BU142" s="10" t="str">
        <f t="shared" si="158"/>
        <v>Диаммофоска</v>
      </c>
      <c r="BV142" s="10">
        <f t="shared" si="159"/>
        <v>0</v>
      </c>
      <c r="BW142" s="10"/>
      <c r="BX142" s="10"/>
      <c r="BY142" s="9">
        <f>IF(BL142&lt;0,0,IF(OR(Исходн.данные.!AI142=Расчет!$BU$6,Исходн.данные.!AI142=Расчет!$BU$7),Расчет!BV142,IF(Исходн.данные.!$AG142=$BV$11,BL142,IF(OR(Исходн.данные.!$AH142=$BQ$7,Исходн.данные.!$AH142=$BQ$8),CB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0,IF(Исходн.данные.!$AI142=$BU$11,"Нет",IF(BL142&gt;30,30,BL142)))))))</f>
        <v>0</v>
      </c>
      <c r="BZ142" s="9">
        <f>IF(AND(Исходн.данные.!$AG142=$BV$11,BM142&lt;10),10,IF(Исходн.данные.!$AG142=$BV$11,BM142,IF(OR(Исходн.данные.!$AH142=$BQ$7,Исходн.данные.!$AH142=$BQ$8),CC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10,IF(Исходн.данные.!$AI142=$BU$11,"Нет",IF(BM142&gt;60,60,IF(BM142&lt;10,10,BM142)))))))</f>
        <v>10</v>
      </c>
      <c r="CA142" s="39">
        <f>IF(BN142&lt;0,0,IF(Исходн.данные.!$AG142=$BV$11,BN142,IF(OR(Исходн.данные.!$AH142=$BQ$7,Исходн.данные.!$AH142=$BQ$8),CD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0,IF(Исходн.данные.!$AI142=$BU$11,"Нет",IF(BN142&gt;30,30,BN142))))))</f>
        <v>0</v>
      </c>
      <c r="CB142" s="9">
        <f t="shared" si="160"/>
        <v>0</v>
      </c>
      <c r="CC142" s="9">
        <f t="shared" si="161"/>
        <v>0</v>
      </c>
      <c r="CD142" s="9">
        <f t="shared" si="162"/>
        <v>0</v>
      </c>
      <c r="CE142" s="12">
        <f t="shared" si="163"/>
        <v>10</v>
      </c>
      <c r="CF142" s="9">
        <f t="shared" si="164"/>
        <v>0</v>
      </c>
      <c r="CG142" s="9" t="s">
        <v>231</v>
      </c>
      <c r="CH142" s="132" t="str">
        <f>IF(Исходн.данные.!AP142=Расчет!$CI$16,"Нет",IF(Исходн.данные.!AL142&gt;0,Исходн.данные.!AL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BH$4,IF(OR(Исходн.данные.!AI142=Исходн.данные.!$AI$6,Исходн.данные.!AI142=Исходн.данные.!$AI$7),Расчет!BS142,IF(AND($CF142=0,$CE142&gt;0),EV142,ER142)))))</f>
        <v>Аммофос 12:52:00</v>
      </c>
      <c r="CI142" s="274">
        <f>IF(Расчет!$CH142="Нет","Нет",IF(Исходн.данные.!$AL142&gt;0,VLOOKUP(Расчет!$CH142,АшламаДВ_Irekle,2,FALSE),VLOOKUP(Расчет!$CH142,АшламаДВ_Gomumy,2,FALSE)))</f>
        <v>0.12</v>
      </c>
      <c r="CJ142" s="274">
        <f>IF(Расчет!$CH142="Нет","Нет",IF(Исходн.данные.!$AL142&gt;0,VLOOKUP(Расчет!$CH142,АшламаДВ_Irekle,3,FALSE),VLOOKUP(Расчет!$CH142,АшламаДВ_Gomumy,3,FALSE)))</f>
        <v>0.52</v>
      </c>
      <c r="CK142" s="274">
        <f>IF(Расчет!$CH142="Нет","Нет",IF(Исходн.данные.!$AL142&gt;0,VLOOKUP(Расчет!$CH142,АшламаДВ_Irekle,4,FALSE),VLOOKUP(Расчет!$CH142,АшламаДВ_Gomumy,4,FALSE)))</f>
        <v>0</v>
      </c>
      <c r="CL142" s="70"/>
      <c r="CM142" s="70"/>
      <c r="CN142" s="70"/>
      <c r="CO142" s="70"/>
      <c r="CP142" s="70"/>
      <c r="CQ142" s="70"/>
      <c r="CR142" s="10">
        <f t="shared" si="165"/>
        <v>0</v>
      </c>
      <c r="CS142" s="10">
        <f t="shared" si="166"/>
        <v>19.23076923076923</v>
      </c>
      <c r="CT142" s="10">
        <f t="shared" si="167"/>
        <v>0</v>
      </c>
      <c r="CU142" s="39">
        <f>IF($CH142="Нет",0,IF(CI142=0,30/MIN(CJ142:CK142),IF(Исходн.данные.!$AG142=$BV$11,CR142,IF(OR(Исходн.данные.!$AH142=$BQ$7,Исходн.данные.!$AH142=$BQ$8),90/CI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0,IF(Исходн.данные.!$AI142=$BU$11,"Нет",30/CI142))))))</f>
        <v>250</v>
      </c>
      <c r="CV142" s="39">
        <f>IF($CH142="Нет",0,IF(Исходн.данные.!AH142=0,0,IF(CJ142=0,60/MIN(CI142,CK142),IF(Исходн.данные.!$AG142=$BV$11,CS142,IF(OR(Исходн.данные.!$AH142=$BQ$7,Исходн.данные.!$AH142=$BQ$8),90/CJ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10/CJ142,IF(Исходн.данные.!$AI142=$BU$11,"Нет",60/CJ142)))))))</f>
        <v>0</v>
      </c>
      <c r="CW142" s="39">
        <f>IF($CH142="Нет",0,IF(Исходн.данные.!AH142=0,0,IF(CK142=0,30/MIN(CI142:CJ142),IF(Исходн.данные.!$AG142=$BV$11,CT142,IF(OR(Исходн.данные.!$AH142=$BQ$7,Исходн.данные.!$AH142=$BQ$8),90/CK142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0,IF(Исходн.данные.!$AI142=$BU$11,"Нет",30/CK142)))))))</f>
        <v>0</v>
      </c>
      <c r="CX142" s="133">
        <f>IF(Исходн.данные.!$AG142=$BV$11,MAX(CU142:CW142),IF(OR(Исходн.данные.!$AH142=$BS$8,Исходн.данные.!$AH142=$BQ$9,Исходн.данные.!$AH142=$BQ$10,Исходн.данные.!$AH142=$BQ$11,Исходн.данные.!$AH142=$BQ$12,Исходн.данные.!$AH142=$BP$3,Исходн.данные.!$AH142=$BT$8,$FM142="Да"),CV142,MIN(CU142:CW142)))</f>
        <v>0</v>
      </c>
      <c r="CY142" s="133">
        <f>IF(Исходн.данные.!AH142=0,0,IF(CR142&gt;$CX142,$CX142,CR142))</f>
        <v>0</v>
      </c>
      <c r="CZ142" s="133">
        <f>IF(Исходн.данные.!AH142=0,0,IF(CS142&gt;$CX142,$CX142,CS142))</f>
        <v>0</v>
      </c>
      <c r="DA142" s="133">
        <f>IF(Исходн.данные.!AH142=0,0,IF(CT142&gt;$CX142,$CX142,CT142))</f>
        <v>0</v>
      </c>
      <c r="DB142" s="10">
        <f t="shared" si="168"/>
        <v>0</v>
      </c>
      <c r="DC142" s="39">
        <f>DB142*Исходн.данные.!AJ142/1000</f>
        <v>0</v>
      </c>
      <c r="DD142" s="71">
        <f t="shared" si="169"/>
        <v>0</v>
      </c>
      <c r="DE142" s="9">
        <f t="shared" si="170"/>
        <v>0</v>
      </c>
      <c r="DF142" s="9">
        <f t="shared" si="171"/>
        <v>0</v>
      </c>
      <c r="DG142" s="39">
        <f>IF(BL142&lt;0,0,IF($CH142="Нет",BL142,IF(OR(Исходн.данные.!$AH142=$BP$1,Исходн.данные.!$AH142=$BP$2),0,IF(Исходн.данные.!AI142=$BU$11,BL142,IF(BL142-DD142&lt;0,0,BL142-DD142)))))</f>
        <v>0</v>
      </c>
      <c r="DH142" s="39">
        <f>IF(BM142&lt;0,0,IF($CH142="Нет",BM142,IF(OR(Исходн.данные.!$AH142=$BP$1,Исходн.данные.!$AH142=$BP$2),0,IF(Исходн.данные.!AJ142=$BU$11,BM142,IF(BM142-DE142&lt;0,0,BM142-DE142)))))</f>
        <v>0</v>
      </c>
      <c r="DI142" s="39">
        <f>IF(BN142&lt;0,0,IF($CH142="Нет",BN142,IF(OR(Исходн.данные.!$AH142=$BP$1,Исходн.данные.!$AH142=$BP$2),0,IF(Исходн.данные.!AK142=$BU$11,BN142,IF(BN142-DF142&lt;0,0,BN142-DF142)))))</f>
        <v>0</v>
      </c>
      <c r="DJ142" s="12">
        <f t="shared" si="172"/>
        <v>0</v>
      </c>
      <c r="DK142" s="9">
        <f t="shared" si="173"/>
        <v>0</v>
      </c>
      <c r="DL142" s="39">
        <f>IF(Исходн.данные.!AM142&gt;0,Исходн.данные.!AM142,IF(EG142&gt;0,$BH$10,0))</f>
        <v>0</v>
      </c>
      <c r="DM142" s="186">
        <f>IF($DL142=0,0,IF(Исходн.данные.!AM142&gt;0,VLOOKUP($DL142,АшламаДВ_Irekle,2,FALSE),VLOOKUP($DL142,АшламаДВ_Gomumy,2,FALSE)))</f>
        <v>0</v>
      </c>
      <c r="DN142" s="10">
        <f t="shared" si="151"/>
        <v>0</v>
      </c>
      <c r="DO142" s="9" t="str">
        <f>IF(Исходн.данные.!AN142&gt;0,Исходн.данные.!AN142,Удобрения!$B$37 )</f>
        <v>Хлор.калий</v>
      </c>
      <c r="DP142" s="9">
        <f>IF(Исходн.данные.!AN142&gt;0,VLOOKUP(Исходн.данные.!AN142,АшламаДВ_Irekle,4,FALSE),VLOOKUP(DO142,АшламаДВ_Gomumy,4,FALSE))</f>
        <v>0.6</v>
      </c>
      <c r="DQ142" s="10">
        <f t="shared" si="152"/>
        <v>0</v>
      </c>
      <c r="DR142" s="132" t="str">
        <f>IF(Исходн.данные.!AO142&gt;0,Исходн.данные.!AO142,IF(DH142=0,BS$17,IF(AND($DK142=0,$DJ142&gt;0),EJ142,EN142)))</f>
        <v>Нет</v>
      </c>
      <c r="DS142" s="70" t="str">
        <f>IF($DR142="Нет","Нет",IF(Исходн.данные.!$AO142&gt;0,VLOOKUP($DR142,АшламаДВ_Irekle,2,FALSE),VLOOKUP($DR142,АшламаДВ_Gomumy,2,FALSE)))</f>
        <v>Нет</v>
      </c>
      <c r="DT142" s="70" t="str">
        <f>IF($DR142="Нет","Нет",IF(Исходн.данные.!$AO142&gt;0,VLOOKUP($DR142,АшламаДВ_Irekle,3,FALSE),VLOOKUP($DR142,АшламаДВ_Gomumy,3,FALSE)))</f>
        <v>Нет</v>
      </c>
      <c r="DU142" s="70" t="str">
        <f>IF($DR142="Нет","Нет",IF(Исходн.данные.!$AO142&gt;0,VLOOKUP($DR142,АшламаДВ_Irekle,4,FALSE),VLOOKUP($DR142,АшламаДВ_Gomumy,4,FALSE)))</f>
        <v>Нет</v>
      </c>
      <c r="DV142" s="70"/>
      <c r="DW142" s="70"/>
      <c r="DX142" s="70"/>
      <c r="DY142" s="10">
        <f t="shared" si="174"/>
        <v>0</v>
      </c>
      <c r="DZ142" s="10">
        <f t="shared" si="175"/>
        <v>0</v>
      </c>
      <c r="EA142" s="10">
        <f t="shared" si="176"/>
        <v>0</v>
      </c>
      <c r="EB142" s="10">
        <f t="shared" si="177"/>
        <v>0</v>
      </c>
      <c r="EC142" s="10">
        <f t="shared" si="178"/>
        <v>0</v>
      </c>
      <c r="ED142" s="10">
        <f t="shared" si="179"/>
        <v>0</v>
      </c>
      <c r="EE142" s="10">
        <f t="shared" si="180"/>
        <v>0</v>
      </c>
      <c r="EF142" s="39">
        <f>EB142*Исходн.данные.!AJ142/1000</f>
        <v>0</v>
      </c>
      <c r="EG142" s="9">
        <f t="shared" si="181"/>
        <v>0</v>
      </c>
      <c r="EH142" s="9">
        <f t="shared" si="182"/>
        <v>0</v>
      </c>
      <c r="EI142" s="39" t="e">
        <f t="shared" si="132"/>
        <v>#DIV/0!</v>
      </c>
      <c r="EJ142" s="9" t="str">
        <f t="shared" si="153"/>
        <v>Азопреципитат</v>
      </c>
      <c r="EK142" s="12">
        <f t="shared" si="133"/>
        <v>0.26</v>
      </c>
      <c r="EL142" s="12">
        <f t="shared" si="134"/>
        <v>0.13</v>
      </c>
      <c r="EM142" s="12">
        <f t="shared" si="135"/>
        <v>0</v>
      </c>
      <c r="EN142" s="12" t="str">
        <f t="shared" si="154"/>
        <v>Нет</v>
      </c>
      <c r="EO142" s="12">
        <f t="shared" si="136"/>
        <v>0</v>
      </c>
      <c r="EP142" s="12">
        <f t="shared" si="137"/>
        <v>0</v>
      </c>
      <c r="EQ142" s="12">
        <f t="shared" si="138"/>
        <v>0</v>
      </c>
      <c r="ER142" s="12" t="str">
        <f t="shared" si="183"/>
        <v>Диаммофоска</v>
      </c>
      <c r="ES142" s="12">
        <f t="shared" si="139"/>
        <v>0.1</v>
      </c>
      <c r="ET142" s="12">
        <f t="shared" si="140"/>
        <v>0.26</v>
      </c>
      <c r="EU142" s="12">
        <f t="shared" si="141"/>
        <v>0.26</v>
      </c>
      <c r="EV142" s="12" t="str">
        <f t="shared" si="184"/>
        <v>Аммофос 12:52:00</v>
      </c>
      <c r="EW142" s="12" t="str">
        <f t="shared" si="185"/>
        <v>Кемира Свекловичное-6</v>
      </c>
      <c r="EX142" s="12">
        <f t="shared" si="142"/>
        <v>0.16</v>
      </c>
      <c r="EY142" s="12">
        <f t="shared" si="143"/>
        <v>0.12</v>
      </c>
      <c r="EZ142" s="12">
        <f t="shared" si="144"/>
        <v>0.17</v>
      </c>
      <c r="FA142" s="38" t="e">
        <f>IF(AND(OR(FJ142=$FD$1,FM142=$FD$1,FO142=$FD$1,FQ142=$FD$1,FS142=$FD$1),FD142=$FD$1,Исходн.данные.!J142&lt;2,FU142=$FD$1),"Бор,Кобальт",IF(AND(FO142=$FD$1,FH142=$FD$1,Исходн.данные.!J142&lt;2,FU142=$FD$1),"Бор,Кобальт",IF(AND(OR(FJ142=$FD$1,FM142=$FD$1,FQ142=$FD$1),FE142=$FD$1,Исходн.данные.!J142&lt;2,FT142=$FD$1,FU142=$FD$1),"Бор,Медь,Цинк",IF(AND(OR(FJ142=$FD$1,FR142="Да"),FI142="Да",Исходн.данные.!J142&lt;2,FT142="Да",FU142="Да"),"Бор,Цинк,Медь",IF(AND(OR(FM142="Да",FQ142="Да"),FI142="Да",Исходн.данные.!J142&lt;2,FT142="Да",FU142="Да"),"Бор,Цинк",IF(AND(FN142="Да",OR(FD142="Да",FE142="Да")),"Бор",FB142))))))</f>
        <v>#N/A</v>
      </c>
      <c r="FB142" s="134" t="e">
        <f>IF(AND(OR(FD142="Да",FE142="Да",FF142="Да",FG142="Да",FH142="Да"),FO142="Да"),"Бор",IF(AND(FP142="Да",OR(FD142="Да",FE142="Да",FI142="Да")),"Бор",IF(AND(FS142="Да",FE142="Да"),"Бор,Медь",IF(AND(OR(FJ142="Да",FK142="Да",FL142="Да"),FE142="Да",Исходн.данные.!I142&lt;5,FT142="Да",FU142="Да"),"Молибден,Цинк",IF(AND(FM142="Да",OR(FE142="Да",FF142="Да",FG142="Да",FH142="Да",FI142="Да")),"Молибден,Цинк",IF(AND(OR(FJ142="Да",FK142="Да",FL142="Да",FM142="Да",FQ142="Да"),OR(FE142="Да",FF142="Да"),FT142="Да",FU142="Да",Исходн.данные.!I142&gt;5.5),"Медь,Цинк",FC142))))))</f>
        <v>#N/A</v>
      </c>
      <c r="FC142" s="23" t="e">
        <f t="shared" si="186"/>
        <v>#N/A</v>
      </c>
      <c r="FD142" s="38" t="str">
        <f>IF(OR(Исходн.данные.!F142=$CC$1,Исходн.данные.!F142=$CC$2,Исходн.данные.!F142=$CC$3,Исходн.данные.!F142=$CC$4),"Да","Нет")</f>
        <v>Нет</v>
      </c>
      <c r="FE142" s="38" t="str">
        <f>IF(Исходн.данные.!F142=$CC$5,"Да","Нет")</f>
        <v>Нет</v>
      </c>
      <c r="FF142" s="38" t="str">
        <f>IF(OR(Исходн.данные.!F142=$CC$6,Исходн.данные.!F142=$CC$7),"Да","Нет")</f>
        <v>Нет</v>
      </c>
      <c r="FG142" s="38" t="str">
        <f>IF(OR(Исходн.данные.!F142=$CC$8,Исходн.данные.!F142=$CC$9),"Да","Нет")</f>
        <v>Нет</v>
      </c>
      <c r="FH142" s="38" t="str">
        <f>IF(Исходн.данные.!F142=$CC$10,"Да","Нет")</f>
        <v>Нет</v>
      </c>
      <c r="FI142" s="38" t="str">
        <f>IF(OR(Исходн.данные.!F142=$CC$11,Исходн.данные.!F142=$CC$12),"Да","Нет")</f>
        <v>Нет</v>
      </c>
      <c r="FJ142" s="38" t="str">
        <f>IF(OR(Исходн.данные.!AH142=$BS$1,Исходн.данные.!AH142=$BQ$11,Исходн.данные.!AH142=$BQ$12),"Да","Нет")</f>
        <v>Нет</v>
      </c>
      <c r="FK142" s="38" t="str">
        <f>IF(OR(Исходн.данные.!AH142=$BS$2,Исходн.данные.!AH142=$BS$4),"Да","Нет")</f>
        <v>Нет</v>
      </c>
      <c r="FL142" s="38" t="str">
        <f>IF(OR(Исходн.данные.!AH142=$BS$3,Исходн.данные.!AH142=$BS$5),"Да","Нет")</f>
        <v>Нет</v>
      </c>
      <c r="FM142" s="38" t="str">
        <f>IF(OR(Исходн.данные.!AH142=$BS$9,Исходн.данные.!AH142=$BS$10,Исходн.данные.!AH142=$BS$11,Исходн.данные.!AH142=$BS$12),"Да","Нет")</f>
        <v>Нет</v>
      </c>
      <c r="FN142" s="38" t="str">
        <f>IF(OR(Исходн.данные.!AH142=$BS$6,Исходн.данные.!AH142=$BP$3),"Да","Нет")</f>
        <v>Нет</v>
      </c>
      <c r="FO142" s="38" t="str">
        <f>IF(Исходн.данные.!AH142=$BQ$9,"Да","Нет")</f>
        <v>Нет</v>
      </c>
      <c r="FP142" s="38" t="str">
        <f>IF(OR(Исходн.данные.!AH142=$BS$8,Исходн.данные.!AH142=$BT$8),"Да","Нет")</f>
        <v>Нет</v>
      </c>
      <c r="FQ142" s="38" t="str">
        <f>IF(OR(Исходн.данные.!AH142=$BQ$7,Исходн.данные.!AH142=$BQ$8),"Да","Нет")</f>
        <v>Нет</v>
      </c>
      <c r="FR142" s="38" t="str">
        <f>IF(Исходн.данные.!AI142=$BU$9,"Да","Нет")</f>
        <v>Нет</v>
      </c>
      <c r="FS142" s="38" t="str">
        <f>IF(OR(Исходн.данные.!AH142=$BP$1,Исходн.данные.!AH142=$BP$2),"Да","Нет")</f>
        <v>Нет</v>
      </c>
      <c r="FT142" s="38" t="e">
        <f>IF((Исходн.данные.!K142*GO142*GS142*GW142+BL142*0.6+Исходн.данные.!Q142*4.5*0.275)&gt;90,"Да","Нет")</f>
        <v>#N/A</v>
      </c>
      <c r="FU142" s="38" t="e">
        <f>IF((Исходн.данные.!M142*GS142*GZ142+BM142*0.225)&gt;35,"Да","Нет")</f>
        <v>#N/A</v>
      </c>
      <c r="FV142" s="38" t="str">
        <f>IF(Исходн.данные.!O142&gt;175,"Да","Нет")</f>
        <v>Нет</v>
      </c>
      <c r="FW142" s="39" t="str">
        <f>IF(Исходн.данные.!I142&gt;5.5,"Да","Нет")</f>
        <v>Нет</v>
      </c>
      <c r="FX142" s="39" t="str">
        <f>IF(Исходн.данные.!J142&lt;2,"Да","Нет")</f>
        <v>Да</v>
      </c>
      <c r="FY142" s="39" t="e">
        <f>IF(HF142=$FY$16,0,Исходн.данные.!K142*GO142*GS142*GW142/HF142)</f>
        <v>#N/A</v>
      </c>
      <c r="FZ142" s="39" t="e">
        <f>Исходн.данные.!M142*GS142*GZ142/HG142</f>
        <v>#N/A</v>
      </c>
      <c r="GA142" s="39" t="e">
        <f>IF(K_Wyn=$FY$16,0,IF(Исходн.данные.!N142=Исходн.данные.!$L$10,Исходн.данные.!O142/1.1*GS142*HC142/HH142,IF(Исходн.данные.!N142=Исходн.данные.!$L$12,Исходн.данные.!O142/1.5*GS142*HC142/HH142,Исходн.данные.!O142*GS142*HC142/HH142)))</f>
        <v>#N/A</v>
      </c>
      <c r="GB142" s="39" t="e">
        <f>IF(HF142=$FY$16,0,((Исходн.данные.!Q142*N_Org+Исходн.данные.!R142*N_Sider+Исходн.данные.!S142*N_Soloma)*AO142+Расчет!BC142*VLOOKUP(Исходн.данные.!T142,Справ!$A$3:$O$57,15)*AO142+BB142*VLOOKUP(Исходн.данные.!T142,Справ!$A$3:$O$57,15)*AL142+(Исходн.данные.!V142*N_Rizotorf+Исходн.данные.!W142*N_Rizoagr))/HF142)</f>
        <v>#N/A</v>
      </c>
      <c r="GC142" s="39" t="e">
        <f>IF(HG142=$FY$16,0,((Исходн.данные.!Q142*Р_Org+Исходн.данные.!R142*P_Sider+Исходн.данные.!S142*P_Soloma)*AP142+Расчет!BC142*VLOOKUP(Исходн.данные.!T142,Справ!$A$3:$P$57,16)*AP142+BB142*VLOOKUP(Исходн.данные.!T142,Справ!$A$3:$P$57,16)*AM142)/HG142)</f>
        <v>#N/A</v>
      </c>
      <c r="GD142" s="39" t="e">
        <f>IF(HH142=$FY$16,0,((Исходн.данные.!Q142*К_Org+Исходн.данные.!R142*K_Sider+Исходн.данные.!S142*K_Soloma)*AQ142+Расчет!BC142*VLOOKUP(Исходн.данные.!T142,Справ!$A$3:$Q$57,17)*AQ142+BB142*VLOOKUP(Исходн.данные.!T142,Справ!$A$3:$Q$57,17)*AN142)/HH142)</f>
        <v>#N/A</v>
      </c>
      <c r="GE142" s="39" t="e">
        <f>IF(HF142=$FY$16,0,(Исходн.данные.!X142*AR142+Исходн.данные.!AA142*N_Org*AL142+Исходн.данные.!AB142*N_Sider*AL142+Исходн.данные.!AC142*N_Soloma*AL142)/HF142)</f>
        <v>#N/A</v>
      </c>
      <c r="GF142" s="39" t="e">
        <f>IF(HG142=$FY$16,0,(Исходн.данные.!Y142*AS142+Исходн.данные.!AA142*Р_Org*AM142+Исходн.данные.!AB142*P_Sider*AM142+Исходн.данные.!AC142*P_Soloma*AM142)/HG142)</f>
        <v>#N/A</v>
      </c>
      <c r="GG142" s="39" t="e">
        <f>IF(HH142=$FY$16,0,(Исходн.данные.!Z142*AT142+Исходн.данные.!AA142*К_Org*AN142+Исходн.данные.!AB142*K_Sider*AN142+Исходн.данные.!AC142*K_Soloma*AN142)/HH142)</f>
        <v>#N/A</v>
      </c>
      <c r="GH142" s="39" t="e">
        <f>Исходн.данные.!AD142*AU142/HF142</f>
        <v>#N/A</v>
      </c>
      <c r="GI142" s="39" t="e">
        <f>Исходн.данные.!AE142*AV142/HG142</f>
        <v>#N/A</v>
      </c>
      <c r="GJ142" s="39" t="e">
        <f>Исходн.данные.!AF142*AW142/HH142</f>
        <v>#N/A</v>
      </c>
      <c r="GK142" s="55">
        <f>Исходн.данные.!AK142</f>
        <v>0</v>
      </c>
      <c r="GL142" s="11" t="e">
        <f t="shared" si="187"/>
        <v>#N/A</v>
      </c>
      <c r="GM142" s="11" t="e">
        <f t="shared" si="188"/>
        <v>#N/A</v>
      </c>
      <c r="GN142" s="11" t="e">
        <f t="shared" si="189"/>
        <v>#N/A</v>
      </c>
      <c r="GO142" s="57">
        <f t="shared" si="190"/>
        <v>19</v>
      </c>
      <c r="GP142" s="55">
        <f>IF(OR(Исходн.данные.!F142=$CE$1,Исходн.данные.!F142=$CE$2,Исходн.данные.!F142=$CE$3,Исходн.данные.!F142=$CE$4,Исходн.данные.!F142=$CE$5),GQ142,GR142)</f>
        <v>19</v>
      </c>
      <c r="GQ142" s="55">
        <f>IF(Исходн.данные.!F142=$CE$1,28,IF(Исходн.данные.!F142=$CE$2,26,IF(Исходн.данные.!F142=$CE$3,24,IF(Исходн.данные.!F142=$CE$4,22,IF(Исходн.данные.!F142=$CE$5,20,GR142)))))</f>
        <v>19</v>
      </c>
      <c r="GR142" s="55">
        <f>IF(Исходн.данные.!F142=$CE$6,18,IF(Исходн.данные.!F142=$CE$7,16,IF(Исходн.данные.!F142=$CE$8,14,IF(Исходн.данные.!F142=$CE$9,13,IF(Исходн.данные.!F142=$CE$10,12,19)))))</f>
        <v>19</v>
      </c>
      <c r="GS142" s="55">
        <f>IF(Исходн.данные.!G142="Пес",0.035*(40+2*Исходн.данные.!H142),IF(Исходн.данные.!G142="Суп",0.0325*(40+2*Исходн.данные.!H142),0.03*(40+2*Исходн.данные.!H142)))</f>
        <v>1.2</v>
      </c>
      <c r="GT142" s="55">
        <f>IF(Исходн.данные.!H142&lt;23,2.6,IF(AND(Исходн.данные.!H142&gt;22,Исходн.данные.!H142&lt;26),3,IF(AND(Исходн.данные.!H142&gt;25,Исходн.данные.!H142&lt;29),3.4,3.6)))</f>
        <v>2.6</v>
      </c>
      <c r="GU142" s="55">
        <f>IF(Исходн.данные.!H142&lt;23,2.8,IF(AND(Исходн.данные.!H142&gt;22,Исходн.данные.!H142&lt;26),3.2,IF(AND(Исходн.данные.!H142&gt;25,Исходн.данные.!H142&lt;29),3.6,3.9)))</f>
        <v>2.8</v>
      </c>
      <c r="GV142" s="55">
        <f>IF(Исходн.данные.!H142&lt;23,3,IF(AND(Исходн.данные.!H142&gt;22,Исходн.данные.!H142&lt;26),3.5,IF(AND(Исходн.данные.!H142&gt;25,Исходн.данные.!H142&lt;29),3.9,4.2)))</f>
        <v>3</v>
      </c>
      <c r="GW142" s="55" t="e">
        <f>IF(Исходн.данные.!P142="Ум",GX142,GY142)</f>
        <v>#N/A</v>
      </c>
      <c r="GX142" s="55" t="e">
        <f>VLOOKUP(Исходн.данные.!AI142,Коэффициенты!$J$7:$L$13,2,FALSE)</f>
        <v>#N/A</v>
      </c>
      <c r="GY142" s="55" t="e">
        <f>VLOOKUP(Исходн.данные.!AI142,Коэффициенты!$J$7:$L$13,3,FALSE)</f>
        <v>#N/A</v>
      </c>
      <c r="GZ142" s="55" t="e">
        <f>(IF(Исходн.данные.!M142&lt;50,0.11*VLOOKUP(Исходн.данные.!AH142,Культуры.Информация,7,FALSE),IF(Исходн.данные.!M142&gt;250,0.05*VLOOKUP(Исходн.данные.!AH142,Культуры.Информация,7,FALSE),VLOOKUP(Исходн.данные.!AH142,Культуры.Информация,5,FALSE)/100*($GX$6+$GY$6*Исходн.данные.!M142))))*Расчет2!AI142</f>
        <v>#N/A</v>
      </c>
      <c r="HA142" s="211"/>
      <c r="HB142" s="211"/>
      <c r="HC142" s="55" t="e">
        <f>(IF(Исходн.данные.!O142&lt;80,0.2*VLOOKUP(Исходн.данные.!AH142,Культуры.Информация,8,FALSE),IF(Исходн.данные.!O142&gt;240,0.09*VLOOKUP(Исходн.данные.!AH142,Культуры.Информация,8,FALSE),VLOOKUP(Исходн.данные.!AH142,Культуры.Информация,6,FALSE)/100*($HB$6+$HC$6*Исходн.данные.!O142))))*Расчет2!AJ142</f>
        <v>#N/A</v>
      </c>
      <c r="HD142" s="55">
        <f>IF(Исходн.данные.!O142&gt;240,0.09,IF(Исходн.данные.!O142&lt;30,0.3,$HE$10+$HD$10*Исходн.данные.!O142))</f>
        <v>0.3</v>
      </c>
      <c r="HE142" s="55">
        <f>IF(Исходн.данные.!O142&gt;240,0.17,IF(Исходн.данные.!O142&lt;30,0.5,$HF$12+$HE$12*Исходн.данные.!O142))</f>
        <v>0.5</v>
      </c>
      <c r="HF142" s="55" t="e">
        <f>VLOOKUP(Исходн.данные.!AH142,Справ!$A$3:$D$58,2,FALSE)</f>
        <v>#N/A</v>
      </c>
      <c r="HG142" s="55" t="e">
        <f>VLOOKUP(Исходн.данные.!AH142,Справ!$A$3:$D$58,3,FALSE)</f>
        <v>#N/A</v>
      </c>
      <c r="HH142" s="55" t="e">
        <f>VLOOKUP(Исходн.данные.!AH142,Справ!$A$3:$D$58,4,FALSE)</f>
        <v>#N/A</v>
      </c>
      <c r="HI142" s="11" t="e">
        <f t="shared" si="191"/>
        <v>#N/A</v>
      </c>
      <c r="HJ142" s="11" t="e">
        <f t="shared" si="192"/>
        <v>#N/A</v>
      </c>
      <c r="HK142" s="11" t="e">
        <f t="shared" si="193"/>
        <v>#N/A</v>
      </c>
      <c r="HL142" s="55">
        <f>IF(OR(Исходн.данные.!G142="Глин",Исходн.данные.!G142="Т_суг"),1.1,IF(Исходн.данные.!G142="Ср_суг",1,1))</f>
        <v>1</v>
      </c>
      <c r="HM142" s="55">
        <f>IF(OR(Исходн.данные.!G142="Глин",Исходн.данные.!G142="Т_суг"),0.9,IF(Исходн.данные.!G142="Ср_суг",1,1.2))</f>
        <v>1.2</v>
      </c>
      <c r="HN142" s="11" t="e">
        <f t="shared" si="194"/>
        <v>#N/A</v>
      </c>
      <c r="HO142" s="11" t="e">
        <f t="shared" si="195"/>
        <v>#N/A</v>
      </c>
      <c r="HP142" s="11" t="e">
        <f t="shared" si="196"/>
        <v>#N/A</v>
      </c>
      <c r="HQ142" t="e">
        <f t="shared" si="197"/>
        <v>#N/A</v>
      </c>
      <c r="HR142" t="e">
        <f t="shared" si="198"/>
        <v>#N/A</v>
      </c>
      <c r="HS142" t="e">
        <f t="shared" si="199"/>
        <v>#N/A</v>
      </c>
      <c r="HT142" t="e">
        <f t="shared" si="145"/>
        <v>#N/A</v>
      </c>
      <c r="HU142" t="e">
        <f t="shared" si="146"/>
        <v>#N/A</v>
      </c>
      <c r="HV142" t="e">
        <f t="shared" si="147"/>
        <v>#N/A</v>
      </c>
      <c r="HW142" t="e">
        <f t="shared" si="148"/>
        <v>#N/A</v>
      </c>
      <c r="HX142" t="e">
        <f t="shared" si="149"/>
        <v>#N/A</v>
      </c>
      <c r="HY142" t="e">
        <f t="shared" si="150"/>
        <v>#N/A</v>
      </c>
      <c r="HZ142" s="55">
        <f>IF(OR(Исходн.данные.!AI142="Оз_Ч_П",Исходн.данные.!AI142="Оз_З_П",Исходн.данные.!AI142="Яр_зер"),12,30)</f>
        <v>30</v>
      </c>
      <c r="IA142" t="e">
        <f t="shared" si="200"/>
        <v>#N/A</v>
      </c>
      <c r="IB142" t="e">
        <f t="shared" si="201"/>
        <v>#N/A</v>
      </c>
      <c r="IC142" t="e">
        <f t="shared" si="202"/>
        <v>#N/A</v>
      </c>
      <c r="ID142" s="11" t="e">
        <f t="shared" si="203"/>
        <v>#N/A</v>
      </c>
      <c r="IE142" s="11" t="e">
        <f t="shared" si="204"/>
        <v>#N/A</v>
      </c>
      <c r="IF142" s="11" t="e">
        <f t="shared" si="205"/>
        <v>#N/A</v>
      </c>
    </row>
    <row r="143" spans="35:240" x14ac:dyDescent="0.2">
      <c r="AI143">
        <f>IF(Исходн.данные.!I143&gt;6,1,1.85-(0.148*Исходн.данные.!I143))</f>
        <v>1.85</v>
      </c>
      <c r="AJ143">
        <f>IF(Исходн.данные.!I143&gt;6,1,2.434-(0.246*Исходн.данные.!I143))</f>
        <v>2.4340000000000002</v>
      </c>
      <c r="AL143" s="148" t="b">
        <f>IF(Исходн.данные.!$P143="Ум",N_OrgUd_2g_um,IF(Исходн.данные.!$P143="Об",N_OrgUd_2g_ob))</f>
        <v>0</v>
      </c>
      <c r="AM143" s="148" t="b">
        <f>IF(Исходн.данные.!$P143="Ум",P_OrgUd_2g_um,IF(Исходн.данные.!$P143="Об",P_OrgUd_2g_ob))</f>
        <v>0</v>
      </c>
      <c r="AN143" s="148" t="b">
        <f>IF(Исходн.данные.!$P143="Ум",K_OrgUd_2g_um,IF(Исходн.данные.!$P143="Об",K_OrgUd_2g_ob))</f>
        <v>0</v>
      </c>
      <c r="AO143" s="148" t="b">
        <f>IF(Исходн.данные.!$P143="Ум",N_OrgUd_1g_um,IF(Исходн.данные.!$P143="Об",N_OrgUd_1g_ob))</f>
        <v>0</v>
      </c>
      <c r="AP143" s="148" t="b">
        <f>IF(Исходн.данные.!$P143="Ум",P_OrgUd_1g_um,IF(Исходн.данные.!$P143="Об",P_OrgUd_1g_ob))</f>
        <v>0</v>
      </c>
      <c r="AQ143" s="148" t="b">
        <f>IF(Исходн.данные.!$P143="Ум",K_OrgUd_1g_um,IF(Исходн.данные.!$P143="Об",K_OrgUd_1g_ob))</f>
        <v>0</v>
      </c>
      <c r="AR143" t="b">
        <f>IF(Исходн.данные.!$P143="Ум",N_MinUd_2g_um,IF(Исходн.данные.!$P143="Об",N_MinUd_2g_ob))</f>
        <v>0</v>
      </c>
      <c r="AS143" t="b">
        <f>IF(Исходн.данные.!$P143="Ум",P_MinUd_2g_um,IF(Исходн.данные.!$P143="Об",P_MinUd_2g_ob))</f>
        <v>0</v>
      </c>
      <c r="AT143" t="b">
        <f>IF(Исходн.данные.!$P143="Ум",K_MinUd_2g_um,IF(Исходн.данные.!$P143="Об",K_MinUd_2g_ob))</f>
        <v>0</v>
      </c>
      <c r="AU143" t="b">
        <f>IF(Исходн.данные.!$P143="Ум",N_MinUd_1g_um,IF(Исходн.данные.!$P143="Об",N_MinUd_1g_ob))</f>
        <v>0</v>
      </c>
      <c r="AV143" t="b">
        <f>IF(Исходн.данные.!P143="Ум",P_MinUd_1g_um,IF(Исходн.данные.!P143="Об",P_MinUd_1g_ob))</f>
        <v>0</v>
      </c>
      <c r="AW143" t="b">
        <f>IF(Исходн.данные.!P143="Ум",K_MinUd_1g_um,IF(Исходн.данные.!P143="Об",K_MinUd_1g_ob))</f>
        <v>0</v>
      </c>
      <c r="AY143" t="e">
        <f>VLOOKUP(Исходн.данные.!T143,Справ!$A$3:$N$57,12)</f>
        <v>#N/A</v>
      </c>
      <c r="AZ143" t="e">
        <f>VLOOKUP(Исходн.данные.!T143,Справ!$A$3:$N$57,13)</f>
        <v>#N/A</v>
      </c>
      <c r="BA143" t="e">
        <f>VLOOKUP(Исходн.данные.!T143,Справ!$A$3:$N$57,14)</f>
        <v>#N/A</v>
      </c>
      <c r="BB143">
        <f>IF(Исходн.данные.!AH143=0,0,25)</f>
        <v>0</v>
      </c>
      <c r="BC143" s="141">
        <f>IF(Исходн.данные.!AH143=0,0,IF(Исходн.данные.!T143=0,25,BD143))</f>
        <v>0</v>
      </c>
      <c r="BD143" s="168" t="e">
        <f>AY143+AZ143*Исходн.данные.!U143-POWER(BA143,2)*Исходн.данные.!U143</f>
        <v>#N/A</v>
      </c>
      <c r="BE14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3" s="25">
        <f>IF(Исходн.данные.!AH143=0,0,MIN(HN143:HP143))</f>
        <v>0</v>
      </c>
      <c r="BG143" s="9">
        <f>IF(Исходн.данные.!AH143=0,0,IF((HO143+10*0.25/HG143/HL143)&lt;17,17,HO143+10*0.25/HG143/HL143))</f>
        <v>0</v>
      </c>
      <c r="BH143" s="181">
        <f>IF(Исходн.данные.!AH143=0,0,HW143*HF143*HL143/AU143*AI143+Исходн.данные.!S143*10)</f>
        <v>0</v>
      </c>
      <c r="BI143" s="10"/>
      <c r="BJ143" s="182">
        <f>IF(Исходн.данные.!AH143=0,0,IF(HX143*HG143*HL143/AV143&lt;0,0,HX143*HG143*HL143/AV143*AJ143))</f>
        <v>0</v>
      </c>
      <c r="BK143" s="182">
        <f>IF(Исходн.данные.!AH143=0,0,HY143*HH143*HM143/AW143)</f>
        <v>0</v>
      </c>
      <c r="BL143" s="10">
        <f>IF(OR(Исходн.данные.!$AH143=$BP$1,Исходн.данные.!$AH143=$BP$2),0,IF(BH143&lt;0,0,IF(OR(Исходн.данные.!T143=Расчет!$BP$1,Исходн.данные.!T143=Расчет!$BP$2,Исходн.данные.!T143=Расчет!$BT$5,Исходн.данные.!T143=Расчет!$BT$6),BH143*0.5,IF(OR(Исходн.данные.!T143=Расчет!$BS$9,Исходн.данные.!T143=Расчет!$BS$10,Исходн.данные.!T143=Расчет!$BS$11,Исходн.данные.!T143=Расчет!$BS$12,Исходн.данные.!T143=Расчет!$BP$5),BH143*0.8,BH143))))</f>
        <v>0</v>
      </c>
      <c r="BM143" s="10">
        <f>IF(OR(Исходн.данные.!$AH143=$BP$1,Исходн.данные.!$AH143=$BP$2),0,IF(BJ143&lt;0,0,IF(Исходн.данные.!I143&lt;4.5,BJ143*1.2,IF(Исходн.данные.!I143&gt;5.1,BJ143,BJ143*((5.1-Исходн.данные.!I143)*0.333+1)))))</f>
        <v>0</v>
      </c>
      <c r="BN143" s="10">
        <f>IF(OR(Исходн.данные.!$AH143=$BP$1,Исходн.данные.!$AH143=$BP$2),60-Исходн.данные.!AF143,IF(BK143&lt;0,0,IF(Исходн.данные.!I143&lt;4.5,BK143*1.2,IF(Исходн.данные.!I143&gt;5.1,BK143,BK143*((5.1-Исходн.данные.!I143)*0.333+1)))))</f>
        <v>0</v>
      </c>
      <c r="BO143" s="9">
        <f>IF(BL143&lt;0,0,BL143*Исходн.данные.!$AJ143/1000)</f>
        <v>0</v>
      </c>
      <c r="BP143" s="9">
        <f>IF(BM143&lt;0,0,BM143*Исходн.данные.!$AJ143/1000)</f>
        <v>0</v>
      </c>
      <c r="BQ143" s="9">
        <f>IF(BN143&lt;0,0,BN143*Исходн.данные.!$AJ143/1000)</f>
        <v>0</v>
      </c>
      <c r="BR143" s="9">
        <f t="shared" si="155"/>
        <v>0</v>
      </c>
      <c r="BS143" s="10" t="str">
        <f t="shared" si="156"/>
        <v>Аммофос 12:52:00</v>
      </c>
      <c r="BT143" s="10" t="str">
        <f t="shared" si="157"/>
        <v>Аммофос 12:52:00</v>
      </c>
      <c r="BU143" s="10" t="str">
        <f t="shared" si="158"/>
        <v>Диаммофоска</v>
      </c>
      <c r="BV143" s="10">
        <f t="shared" si="159"/>
        <v>0</v>
      </c>
      <c r="BW143" s="10"/>
      <c r="BX143" s="10"/>
      <c r="BY143" s="9">
        <f>IF(BL143&lt;0,0,IF(OR(Исходн.данные.!AI143=Расчет!$BU$6,Исходн.данные.!AI143=Расчет!$BU$7),Расчет!BV143,IF(Исходн.данные.!$AG143=$BV$11,BL143,IF(OR(Исходн.данные.!$AH143=$BQ$7,Исходн.данные.!$AH143=$BQ$8),CB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0,IF(Исходн.данные.!$AI143=$BU$11,"Нет",IF(BL143&gt;30,30,BL143)))))))</f>
        <v>0</v>
      </c>
      <c r="BZ143" s="9">
        <f>IF(AND(Исходн.данные.!$AG143=$BV$11,BM143&lt;10),10,IF(Исходн.данные.!$AG143=$BV$11,BM143,IF(OR(Исходн.данные.!$AH143=$BQ$7,Исходн.данные.!$AH143=$BQ$8),CC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10,IF(Исходн.данные.!$AI143=$BU$11,"Нет",IF(BM143&gt;60,60,IF(BM143&lt;10,10,BM143)))))))</f>
        <v>10</v>
      </c>
      <c r="CA143" s="39">
        <f>IF(BN143&lt;0,0,IF(Исходн.данные.!$AG143=$BV$11,BN143,IF(OR(Исходн.данные.!$AH143=$BQ$7,Исходн.данные.!$AH143=$BQ$8),CD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0,IF(Исходн.данные.!$AI143=$BU$11,"Нет",IF(BN143&gt;30,30,BN143))))))</f>
        <v>0</v>
      </c>
      <c r="CB143" s="9">
        <f t="shared" si="160"/>
        <v>0</v>
      </c>
      <c r="CC143" s="9">
        <f t="shared" si="161"/>
        <v>0</v>
      </c>
      <c r="CD143" s="9">
        <f t="shared" si="162"/>
        <v>0</v>
      </c>
      <c r="CE143" s="12">
        <f t="shared" si="163"/>
        <v>10</v>
      </c>
      <c r="CF143" s="9">
        <f t="shared" si="164"/>
        <v>0</v>
      </c>
      <c r="CG143" s="9" t="s">
        <v>231</v>
      </c>
      <c r="CH143" s="132" t="str">
        <f>IF(Исходн.данные.!AP143=Расчет!$CI$16,"Нет",IF(Исходн.данные.!AL143&gt;0,Исходн.данные.!AL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BH$4,IF(OR(Исходн.данные.!AI143=Исходн.данные.!$AI$6,Исходн.данные.!AI143=Исходн.данные.!$AI$7),Расчет!BS143,IF(AND($CF143=0,$CE143&gt;0),EV143,ER143)))))</f>
        <v>Аммофос 12:52:00</v>
      </c>
      <c r="CI143" s="274">
        <f>IF(Расчет!$CH143="Нет","Нет",IF(Исходн.данные.!$AL143&gt;0,VLOOKUP(Расчет!$CH143,АшламаДВ_Irekle,2,FALSE),VLOOKUP(Расчет!$CH143,АшламаДВ_Gomumy,2,FALSE)))</f>
        <v>0.12</v>
      </c>
      <c r="CJ143" s="274">
        <f>IF(Расчет!$CH143="Нет","Нет",IF(Исходн.данные.!$AL143&gt;0,VLOOKUP(Расчет!$CH143,АшламаДВ_Irekle,3,FALSE),VLOOKUP(Расчет!$CH143,АшламаДВ_Gomumy,3,FALSE)))</f>
        <v>0.52</v>
      </c>
      <c r="CK143" s="274">
        <f>IF(Расчет!$CH143="Нет","Нет",IF(Исходн.данные.!$AL143&gt;0,VLOOKUP(Расчет!$CH143,АшламаДВ_Irekle,4,FALSE),VLOOKUP(Расчет!$CH143,АшламаДВ_Gomumy,4,FALSE)))</f>
        <v>0</v>
      </c>
      <c r="CL143" s="70"/>
      <c r="CM143" s="70"/>
      <c r="CN143" s="70"/>
      <c r="CO143" s="70"/>
      <c r="CP143" s="70"/>
      <c r="CQ143" s="70"/>
      <c r="CR143" s="10">
        <f t="shared" si="165"/>
        <v>0</v>
      </c>
      <c r="CS143" s="10">
        <f t="shared" si="166"/>
        <v>19.23076923076923</v>
      </c>
      <c r="CT143" s="10">
        <f t="shared" si="167"/>
        <v>0</v>
      </c>
      <c r="CU143" s="39">
        <f>IF($CH143="Нет",0,IF(CI143=0,30/MIN(CJ143:CK143),IF(Исходн.данные.!$AG143=$BV$11,CR143,IF(OR(Исходн.данные.!$AH143=$BQ$7,Исходн.данные.!$AH143=$BQ$8),90/CI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0,IF(Исходн.данные.!$AI143=$BU$11,"Нет",30/CI143))))))</f>
        <v>250</v>
      </c>
      <c r="CV143" s="39">
        <f>IF($CH143="Нет",0,IF(Исходн.данные.!AH143=0,0,IF(CJ143=0,60/MIN(CI143,CK143),IF(Исходн.данные.!$AG143=$BV$11,CS143,IF(OR(Исходн.данные.!$AH143=$BQ$7,Исходн.данные.!$AH143=$BQ$8),90/CJ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10/CJ143,IF(Исходн.данные.!$AI143=$BU$11,"Нет",60/CJ143)))))))</f>
        <v>0</v>
      </c>
      <c r="CW143" s="39">
        <f>IF($CH143="Нет",0,IF(Исходн.данные.!AH143=0,0,IF(CK143=0,30/MIN(CI143:CJ143),IF(Исходн.данные.!$AG143=$BV$11,CT143,IF(OR(Исходн.данные.!$AH143=$BQ$7,Исходн.данные.!$AH143=$BQ$8),90/CK143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0,IF(Исходн.данные.!$AI143=$BU$11,"Нет",30/CK143)))))))</f>
        <v>0</v>
      </c>
      <c r="CX143" s="133">
        <f>IF(Исходн.данные.!$AG143=$BV$11,MAX(CU143:CW143),IF(OR(Исходн.данные.!$AH143=$BS$8,Исходн.данные.!$AH143=$BQ$9,Исходн.данные.!$AH143=$BQ$10,Исходн.данные.!$AH143=$BQ$11,Исходн.данные.!$AH143=$BQ$12,Исходн.данные.!$AH143=$BP$3,Исходн.данные.!$AH143=$BT$8,$FM143="Да"),CV143,MIN(CU143:CW143)))</f>
        <v>0</v>
      </c>
      <c r="CY143" s="133">
        <f>IF(Исходн.данные.!AH143=0,0,IF(CR143&gt;$CX143,$CX143,CR143))</f>
        <v>0</v>
      </c>
      <c r="CZ143" s="133">
        <f>IF(Исходн.данные.!AH143=0,0,IF(CS143&gt;$CX143,$CX143,CS143))</f>
        <v>0</v>
      </c>
      <c r="DA143" s="133">
        <f>IF(Исходн.данные.!AH143=0,0,IF(CT143&gt;$CX143,$CX143,CT143))</f>
        <v>0</v>
      </c>
      <c r="DB143" s="10">
        <f t="shared" si="168"/>
        <v>0</v>
      </c>
      <c r="DC143" s="39">
        <f>DB143*Исходн.данные.!AJ143/1000</f>
        <v>0</v>
      </c>
      <c r="DD143" s="71">
        <f t="shared" si="169"/>
        <v>0</v>
      </c>
      <c r="DE143" s="9">
        <f t="shared" si="170"/>
        <v>0</v>
      </c>
      <c r="DF143" s="9">
        <f t="shared" si="171"/>
        <v>0</v>
      </c>
      <c r="DG143" s="39">
        <f>IF(BL143&lt;0,0,IF($CH143="Нет",BL143,IF(OR(Исходн.данные.!$AH143=$BP$1,Исходн.данные.!$AH143=$BP$2),0,IF(Исходн.данные.!AI143=$BU$11,BL143,IF(BL143-DD143&lt;0,0,BL143-DD143)))))</f>
        <v>0</v>
      </c>
      <c r="DH143" s="39">
        <f>IF(BM143&lt;0,0,IF($CH143="Нет",BM143,IF(OR(Исходн.данные.!$AH143=$BP$1,Исходн.данные.!$AH143=$BP$2),0,IF(Исходн.данные.!AJ143=$BU$11,BM143,IF(BM143-DE143&lt;0,0,BM143-DE143)))))</f>
        <v>0</v>
      </c>
      <c r="DI143" s="39">
        <f>IF(BN143&lt;0,0,IF($CH143="Нет",BN143,IF(OR(Исходн.данные.!$AH143=$BP$1,Исходн.данные.!$AH143=$BP$2),0,IF(Исходн.данные.!AK143=$BU$11,BN143,IF(BN143-DF143&lt;0,0,BN143-DF143)))))</f>
        <v>0</v>
      </c>
      <c r="DJ143" s="12">
        <f t="shared" si="172"/>
        <v>0</v>
      </c>
      <c r="DK143" s="9">
        <f t="shared" si="173"/>
        <v>0</v>
      </c>
      <c r="DL143" s="39">
        <f>IF(Исходн.данные.!AM143&gt;0,Исходн.данные.!AM143,IF(EG143&gt;0,$BH$10,0))</f>
        <v>0</v>
      </c>
      <c r="DM143" s="186">
        <f>IF($DL143=0,0,IF(Исходн.данные.!AM143&gt;0,VLOOKUP($DL143,АшламаДВ_Irekle,2,FALSE),VLOOKUP($DL143,АшламаДВ_Gomumy,2,FALSE)))</f>
        <v>0</v>
      </c>
      <c r="DN143" s="10">
        <f t="shared" si="151"/>
        <v>0</v>
      </c>
      <c r="DO143" s="9" t="str">
        <f>IF(Исходн.данные.!AN143&gt;0,Исходн.данные.!AN143,Удобрения!$B$37 )</f>
        <v>Хлор.калий</v>
      </c>
      <c r="DP143" s="9">
        <f>IF(Исходн.данные.!AN143&gt;0,VLOOKUP(Исходн.данные.!AN143,АшламаДВ_Irekle,4,FALSE),VLOOKUP(DO143,АшламаДВ_Gomumy,4,FALSE))</f>
        <v>0.6</v>
      </c>
      <c r="DQ143" s="10">
        <f t="shared" si="152"/>
        <v>0</v>
      </c>
      <c r="DR143" s="132" t="str">
        <f>IF(Исходн.данные.!AO143&gt;0,Исходн.данные.!AO143,IF(DH143=0,BS$17,IF(AND($DK143=0,$DJ143&gt;0),EJ143,EN143)))</f>
        <v>Нет</v>
      </c>
      <c r="DS143" s="70" t="str">
        <f>IF($DR143="Нет","Нет",IF(Исходн.данные.!$AO143&gt;0,VLOOKUP($DR143,АшламаДВ_Irekle,2,FALSE),VLOOKUP($DR143,АшламаДВ_Gomumy,2,FALSE)))</f>
        <v>Нет</v>
      </c>
      <c r="DT143" s="70" t="str">
        <f>IF($DR143="Нет","Нет",IF(Исходн.данные.!$AO143&gt;0,VLOOKUP($DR143,АшламаДВ_Irekle,3,FALSE),VLOOKUP($DR143,АшламаДВ_Gomumy,3,FALSE)))</f>
        <v>Нет</v>
      </c>
      <c r="DU143" s="70" t="str">
        <f>IF($DR143="Нет","Нет",IF(Исходн.данные.!$AO143&gt;0,VLOOKUP($DR143,АшламаДВ_Irekle,4,FALSE),VLOOKUP($DR143,АшламаДВ_Gomumy,4,FALSE)))</f>
        <v>Нет</v>
      </c>
      <c r="DV143" s="70"/>
      <c r="DW143" s="70"/>
      <c r="DX143" s="70"/>
      <c r="DY143" s="10">
        <f t="shared" si="174"/>
        <v>0</v>
      </c>
      <c r="DZ143" s="10">
        <f t="shared" si="175"/>
        <v>0</v>
      </c>
      <c r="EA143" s="10">
        <f t="shared" si="176"/>
        <v>0</v>
      </c>
      <c r="EB143" s="10">
        <f t="shared" si="177"/>
        <v>0</v>
      </c>
      <c r="EC143" s="10">
        <f t="shared" si="178"/>
        <v>0</v>
      </c>
      <c r="ED143" s="10">
        <f t="shared" si="179"/>
        <v>0</v>
      </c>
      <c r="EE143" s="10">
        <f t="shared" si="180"/>
        <v>0</v>
      </c>
      <c r="EF143" s="39">
        <f>EB143*Исходн.данные.!AJ143/1000</f>
        <v>0</v>
      </c>
      <c r="EG143" s="9">
        <f t="shared" si="181"/>
        <v>0</v>
      </c>
      <c r="EH143" s="9">
        <f t="shared" si="182"/>
        <v>0</v>
      </c>
      <c r="EI143" s="39" t="e">
        <f t="shared" si="132"/>
        <v>#DIV/0!</v>
      </c>
      <c r="EJ143" s="9" t="str">
        <f t="shared" si="153"/>
        <v>Азопреципитат</v>
      </c>
      <c r="EK143" s="12">
        <f t="shared" si="133"/>
        <v>0.26</v>
      </c>
      <c r="EL143" s="12">
        <f t="shared" si="134"/>
        <v>0.13</v>
      </c>
      <c r="EM143" s="12">
        <f t="shared" si="135"/>
        <v>0</v>
      </c>
      <c r="EN143" s="12" t="str">
        <f t="shared" si="154"/>
        <v>Нет</v>
      </c>
      <c r="EO143" s="12">
        <f t="shared" si="136"/>
        <v>0</v>
      </c>
      <c r="EP143" s="12">
        <f t="shared" si="137"/>
        <v>0</v>
      </c>
      <c r="EQ143" s="12">
        <f t="shared" si="138"/>
        <v>0</v>
      </c>
      <c r="ER143" s="12" t="str">
        <f t="shared" si="183"/>
        <v>Диаммофоска</v>
      </c>
      <c r="ES143" s="12">
        <f t="shared" si="139"/>
        <v>0.1</v>
      </c>
      <c r="ET143" s="12">
        <f t="shared" si="140"/>
        <v>0.26</v>
      </c>
      <c r="EU143" s="12">
        <f t="shared" si="141"/>
        <v>0.26</v>
      </c>
      <c r="EV143" s="12" t="str">
        <f t="shared" si="184"/>
        <v>Аммофос 12:52:00</v>
      </c>
      <c r="EW143" s="12" t="str">
        <f t="shared" si="185"/>
        <v>Кемира Свекловичное-6</v>
      </c>
      <c r="EX143" s="12">
        <f t="shared" si="142"/>
        <v>0.16</v>
      </c>
      <c r="EY143" s="12">
        <f t="shared" si="143"/>
        <v>0.12</v>
      </c>
      <c r="EZ143" s="12">
        <f t="shared" si="144"/>
        <v>0.17</v>
      </c>
      <c r="FA143" s="38" t="e">
        <f>IF(AND(OR(FJ143=$FD$1,FM143=$FD$1,FO143=$FD$1,FQ143=$FD$1,FS143=$FD$1),FD143=$FD$1,Исходн.данные.!J143&lt;2,FU143=$FD$1),"Бор,Кобальт",IF(AND(FO143=$FD$1,FH143=$FD$1,Исходн.данные.!J143&lt;2,FU143=$FD$1),"Бор,Кобальт",IF(AND(OR(FJ143=$FD$1,FM143=$FD$1,FQ143=$FD$1),FE143=$FD$1,Исходн.данные.!J143&lt;2,FT143=$FD$1,FU143=$FD$1),"Бор,Медь,Цинк",IF(AND(OR(FJ143=$FD$1,FR143="Да"),FI143="Да",Исходн.данные.!J143&lt;2,FT143="Да",FU143="Да"),"Бор,Цинк,Медь",IF(AND(OR(FM143="Да",FQ143="Да"),FI143="Да",Исходн.данные.!J143&lt;2,FT143="Да",FU143="Да"),"Бор,Цинк",IF(AND(FN143="Да",OR(FD143="Да",FE143="Да")),"Бор",FB143))))))</f>
        <v>#N/A</v>
      </c>
      <c r="FB143" s="134" t="e">
        <f>IF(AND(OR(FD143="Да",FE143="Да",FF143="Да",FG143="Да",FH143="Да"),FO143="Да"),"Бор",IF(AND(FP143="Да",OR(FD143="Да",FE143="Да",FI143="Да")),"Бор",IF(AND(FS143="Да",FE143="Да"),"Бор,Медь",IF(AND(OR(FJ143="Да",FK143="Да",FL143="Да"),FE143="Да",Исходн.данные.!I143&lt;5,FT143="Да",FU143="Да"),"Молибден,Цинк",IF(AND(FM143="Да",OR(FE143="Да",FF143="Да",FG143="Да",FH143="Да",FI143="Да")),"Молибден,Цинк",IF(AND(OR(FJ143="Да",FK143="Да",FL143="Да",FM143="Да",FQ143="Да"),OR(FE143="Да",FF143="Да"),FT143="Да",FU143="Да",Исходн.данные.!I143&gt;5.5),"Медь,Цинк",FC143))))))</f>
        <v>#N/A</v>
      </c>
      <c r="FC143" s="23" t="e">
        <f t="shared" si="186"/>
        <v>#N/A</v>
      </c>
      <c r="FD143" s="38" t="str">
        <f>IF(OR(Исходн.данные.!F143=$CC$1,Исходн.данные.!F143=$CC$2,Исходн.данные.!F143=$CC$3,Исходн.данные.!F143=$CC$4),"Да","Нет")</f>
        <v>Нет</v>
      </c>
      <c r="FE143" s="38" t="str">
        <f>IF(Исходн.данные.!F143=$CC$5,"Да","Нет")</f>
        <v>Нет</v>
      </c>
      <c r="FF143" s="38" t="str">
        <f>IF(OR(Исходн.данные.!F143=$CC$6,Исходн.данные.!F143=$CC$7),"Да","Нет")</f>
        <v>Нет</v>
      </c>
      <c r="FG143" s="38" t="str">
        <f>IF(OR(Исходн.данные.!F143=$CC$8,Исходн.данные.!F143=$CC$9),"Да","Нет")</f>
        <v>Нет</v>
      </c>
      <c r="FH143" s="38" t="str">
        <f>IF(Исходн.данные.!F143=$CC$10,"Да","Нет")</f>
        <v>Нет</v>
      </c>
      <c r="FI143" s="38" t="str">
        <f>IF(OR(Исходн.данные.!F143=$CC$11,Исходн.данные.!F143=$CC$12),"Да","Нет")</f>
        <v>Нет</v>
      </c>
      <c r="FJ143" s="38" t="str">
        <f>IF(OR(Исходн.данные.!AH143=$BS$1,Исходн.данные.!AH143=$BQ$11,Исходн.данные.!AH143=$BQ$12),"Да","Нет")</f>
        <v>Нет</v>
      </c>
      <c r="FK143" s="38" t="str">
        <f>IF(OR(Исходн.данные.!AH143=$BS$2,Исходн.данные.!AH143=$BS$4),"Да","Нет")</f>
        <v>Нет</v>
      </c>
      <c r="FL143" s="38" t="str">
        <f>IF(OR(Исходн.данные.!AH143=$BS$3,Исходн.данные.!AH143=$BS$5),"Да","Нет")</f>
        <v>Нет</v>
      </c>
      <c r="FM143" s="38" t="str">
        <f>IF(OR(Исходн.данные.!AH143=$BS$9,Исходн.данные.!AH143=$BS$10,Исходн.данные.!AH143=$BS$11,Исходн.данные.!AH143=$BS$12),"Да","Нет")</f>
        <v>Нет</v>
      </c>
      <c r="FN143" s="38" t="str">
        <f>IF(OR(Исходн.данные.!AH143=$BS$6,Исходн.данные.!AH143=$BP$3),"Да","Нет")</f>
        <v>Нет</v>
      </c>
      <c r="FO143" s="38" t="str">
        <f>IF(Исходн.данные.!AH143=$BQ$9,"Да","Нет")</f>
        <v>Нет</v>
      </c>
      <c r="FP143" s="38" t="str">
        <f>IF(OR(Исходн.данные.!AH143=$BS$8,Исходн.данные.!AH143=$BT$8),"Да","Нет")</f>
        <v>Нет</v>
      </c>
      <c r="FQ143" s="38" t="str">
        <f>IF(OR(Исходн.данные.!AH143=$BQ$7,Исходн.данные.!AH143=$BQ$8),"Да","Нет")</f>
        <v>Нет</v>
      </c>
      <c r="FR143" s="38" t="str">
        <f>IF(Исходн.данные.!AI143=$BU$9,"Да","Нет")</f>
        <v>Нет</v>
      </c>
      <c r="FS143" s="38" t="str">
        <f>IF(OR(Исходн.данные.!AH143=$BP$1,Исходн.данные.!AH143=$BP$2),"Да","Нет")</f>
        <v>Нет</v>
      </c>
      <c r="FT143" s="38" t="e">
        <f>IF((Исходн.данные.!K143*GO143*GS143*GW143+BL143*0.6+Исходн.данные.!Q143*4.5*0.275)&gt;90,"Да","Нет")</f>
        <v>#N/A</v>
      </c>
      <c r="FU143" s="38" t="e">
        <f>IF((Исходн.данные.!M143*GS143*GZ143+BM143*0.225)&gt;35,"Да","Нет")</f>
        <v>#N/A</v>
      </c>
      <c r="FV143" s="38" t="str">
        <f>IF(Исходн.данные.!O143&gt;175,"Да","Нет")</f>
        <v>Нет</v>
      </c>
      <c r="FW143" s="39" t="str">
        <f>IF(Исходн.данные.!I143&gt;5.5,"Да","Нет")</f>
        <v>Нет</v>
      </c>
      <c r="FX143" s="39" t="str">
        <f>IF(Исходн.данные.!J143&lt;2,"Да","Нет")</f>
        <v>Да</v>
      </c>
      <c r="FY143" s="39" t="e">
        <f>IF(HF143=$FY$16,0,Исходн.данные.!K143*GO143*GS143*GW143/HF143)</f>
        <v>#N/A</v>
      </c>
      <c r="FZ143" s="39" t="e">
        <f>Исходн.данные.!M143*GS143*GZ143/HG143</f>
        <v>#N/A</v>
      </c>
      <c r="GA143" s="39" t="e">
        <f>IF(K_Wyn=$FY$16,0,IF(Исходн.данные.!N143=Исходн.данные.!$L$10,Исходн.данные.!O143/1.1*GS143*HC143/HH143,IF(Исходн.данные.!N143=Исходн.данные.!$L$12,Исходн.данные.!O143/1.5*GS143*HC143/HH143,Исходн.данные.!O143*GS143*HC143/HH143)))</f>
        <v>#N/A</v>
      </c>
      <c r="GB143" s="39" t="e">
        <f>IF(HF143=$FY$16,0,((Исходн.данные.!Q143*N_Org+Исходн.данные.!R143*N_Sider+Исходн.данные.!S143*N_Soloma)*AO143+Расчет!BC143*VLOOKUP(Исходн.данные.!T143,Справ!$A$3:$O$57,15)*AO143+BB143*VLOOKUP(Исходн.данные.!T143,Справ!$A$3:$O$57,15)*AL143+(Исходн.данные.!V143*N_Rizotorf+Исходн.данные.!W143*N_Rizoagr))/HF143)</f>
        <v>#N/A</v>
      </c>
      <c r="GC143" s="39" t="e">
        <f>IF(HG143=$FY$16,0,((Исходн.данные.!Q143*Р_Org+Исходн.данные.!R143*P_Sider+Исходн.данные.!S143*P_Soloma)*AP143+Расчет!BC143*VLOOKUP(Исходн.данные.!T143,Справ!$A$3:$P$57,16)*AP143+BB143*VLOOKUP(Исходн.данные.!T143,Справ!$A$3:$P$57,16)*AM143)/HG143)</f>
        <v>#N/A</v>
      </c>
      <c r="GD143" s="39" t="e">
        <f>IF(HH143=$FY$16,0,((Исходн.данные.!Q143*К_Org+Исходн.данные.!R143*K_Sider+Исходн.данные.!S143*K_Soloma)*AQ143+Расчет!BC143*VLOOKUP(Исходн.данные.!T143,Справ!$A$3:$Q$57,17)*AQ143+BB143*VLOOKUP(Исходн.данные.!T143,Справ!$A$3:$Q$57,17)*AN143)/HH143)</f>
        <v>#N/A</v>
      </c>
      <c r="GE143" s="39" t="e">
        <f>IF(HF143=$FY$16,0,(Исходн.данные.!X143*AR143+Исходн.данные.!AA143*N_Org*AL143+Исходн.данные.!AB143*N_Sider*AL143+Исходн.данные.!AC143*N_Soloma*AL143)/HF143)</f>
        <v>#N/A</v>
      </c>
      <c r="GF143" s="39" t="e">
        <f>IF(HG143=$FY$16,0,(Исходн.данные.!Y143*AS143+Исходн.данные.!AA143*Р_Org*AM143+Исходн.данные.!AB143*P_Sider*AM143+Исходн.данные.!AC143*P_Soloma*AM143)/HG143)</f>
        <v>#N/A</v>
      </c>
      <c r="GG143" s="39" t="e">
        <f>IF(HH143=$FY$16,0,(Исходн.данные.!Z143*AT143+Исходн.данные.!AA143*К_Org*AN143+Исходн.данные.!AB143*K_Sider*AN143+Исходн.данные.!AC143*K_Soloma*AN143)/HH143)</f>
        <v>#N/A</v>
      </c>
      <c r="GH143" s="39" t="e">
        <f>Исходн.данные.!AD143*AU143/HF143</f>
        <v>#N/A</v>
      </c>
      <c r="GI143" s="39" t="e">
        <f>Исходн.данные.!AE143*AV143/HG143</f>
        <v>#N/A</v>
      </c>
      <c r="GJ143" s="39" t="e">
        <f>Исходн.данные.!AF143*AW143/HH143</f>
        <v>#N/A</v>
      </c>
      <c r="GK143" s="55">
        <f>Исходн.данные.!AK143</f>
        <v>0</v>
      </c>
      <c r="GL143" s="11" t="e">
        <f t="shared" si="187"/>
        <v>#N/A</v>
      </c>
      <c r="GM143" s="11" t="e">
        <f t="shared" si="188"/>
        <v>#N/A</v>
      </c>
      <c r="GN143" s="11" t="e">
        <f t="shared" si="189"/>
        <v>#N/A</v>
      </c>
      <c r="GO143" s="57">
        <f t="shared" si="190"/>
        <v>19</v>
      </c>
      <c r="GP143" s="55">
        <f>IF(OR(Исходн.данные.!F143=$CE$1,Исходн.данные.!F143=$CE$2,Исходн.данные.!F143=$CE$3,Исходн.данные.!F143=$CE$4,Исходн.данные.!F143=$CE$5),GQ143,GR143)</f>
        <v>19</v>
      </c>
      <c r="GQ143" s="55">
        <f>IF(Исходн.данные.!F143=$CE$1,28,IF(Исходн.данные.!F143=$CE$2,26,IF(Исходн.данные.!F143=$CE$3,24,IF(Исходн.данные.!F143=$CE$4,22,IF(Исходн.данные.!F143=$CE$5,20,GR143)))))</f>
        <v>19</v>
      </c>
      <c r="GR143" s="55">
        <f>IF(Исходн.данные.!F143=$CE$6,18,IF(Исходн.данные.!F143=$CE$7,16,IF(Исходн.данные.!F143=$CE$8,14,IF(Исходн.данные.!F143=$CE$9,13,IF(Исходн.данные.!F143=$CE$10,12,19)))))</f>
        <v>19</v>
      </c>
      <c r="GS143" s="55">
        <f>IF(Исходн.данные.!G143="Пес",0.035*(40+2*Исходн.данные.!H143),IF(Исходн.данные.!G143="Суп",0.0325*(40+2*Исходн.данные.!H143),0.03*(40+2*Исходн.данные.!H143)))</f>
        <v>1.2</v>
      </c>
      <c r="GT143" s="55">
        <f>IF(Исходн.данные.!H143&lt;23,2.6,IF(AND(Исходн.данные.!H143&gt;22,Исходн.данные.!H143&lt;26),3,IF(AND(Исходн.данные.!H143&gt;25,Исходн.данные.!H143&lt;29),3.4,3.6)))</f>
        <v>2.6</v>
      </c>
      <c r="GU143" s="55">
        <f>IF(Исходн.данные.!H143&lt;23,2.8,IF(AND(Исходн.данные.!H143&gt;22,Исходн.данные.!H143&lt;26),3.2,IF(AND(Исходн.данные.!H143&gt;25,Исходн.данные.!H143&lt;29),3.6,3.9)))</f>
        <v>2.8</v>
      </c>
      <c r="GV143" s="55">
        <f>IF(Исходн.данные.!H143&lt;23,3,IF(AND(Исходн.данные.!H143&gt;22,Исходн.данные.!H143&lt;26),3.5,IF(AND(Исходн.данные.!H143&gt;25,Исходн.данные.!H143&lt;29),3.9,4.2)))</f>
        <v>3</v>
      </c>
      <c r="GW143" s="55" t="e">
        <f>IF(Исходн.данные.!P143="Ум",GX143,GY143)</f>
        <v>#N/A</v>
      </c>
      <c r="GX143" s="55" t="e">
        <f>VLOOKUP(Исходн.данные.!AI143,Коэффициенты!$J$7:$L$13,2,FALSE)</f>
        <v>#N/A</v>
      </c>
      <c r="GY143" s="55" t="e">
        <f>VLOOKUP(Исходн.данные.!AI143,Коэффициенты!$J$7:$L$13,3,FALSE)</f>
        <v>#N/A</v>
      </c>
      <c r="GZ143" s="55" t="e">
        <f>(IF(Исходн.данные.!M143&lt;50,0.11*VLOOKUP(Исходн.данные.!AH143,Культуры.Информация,7,FALSE),IF(Исходн.данные.!M143&gt;250,0.05*VLOOKUP(Исходн.данные.!AH143,Культуры.Информация,7,FALSE),VLOOKUP(Исходн.данные.!AH143,Культуры.Информация,5,FALSE)/100*($GX$6+$GY$6*Исходн.данные.!M143))))*Расчет2!AI143</f>
        <v>#N/A</v>
      </c>
      <c r="HA143" s="211"/>
      <c r="HB143" s="211"/>
      <c r="HC143" s="55" t="e">
        <f>(IF(Исходн.данные.!O143&lt;80,0.2*VLOOKUP(Исходн.данные.!AH143,Культуры.Информация,8,FALSE),IF(Исходн.данные.!O143&gt;240,0.09*VLOOKUP(Исходн.данные.!AH143,Культуры.Информация,8,FALSE),VLOOKUP(Исходн.данные.!AH143,Культуры.Информация,6,FALSE)/100*($HB$6+$HC$6*Исходн.данные.!O143))))*Расчет2!AJ143</f>
        <v>#N/A</v>
      </c>
      <c r="HD143" s="55">
        <f>IF(Исходн.данные.!O143&gt;240,0.09,IF(Исходн.данные.!O143&lt;30,0.3,$HE$10+$HD$10*Исходн.данные.!O143))</f>
        <v>0.3</v>
      </c>
      <c r="HE143" s="55">
        <f>IF(Исходн.данные.!O143&gt;240,0.17,IF(Исходн.данные.!O143&lt;30,0.5,$HF$12+$HE$12*Исходн.данные.!O143))</f>
        <v>0.5</v>
      </c>
      <c r="HF143" s="55" t="e">
        <f>VLOOKUP(Исходн.данные.!AH143,Справ!$A$3:$D$58,2,FALSE)</f>
        <v>#N/A</v>
      </c>
      <c r="HG143" s="55" t="e">
        <f>VLOOKUP(Исходн.данные.!AH143,Справ!$A$3:$D$58,3,FALSE)</f>
        <v>#N/A</v>
      </c>
      <c r="HH143" s="55" t="e">
        <f>VLOOKUP(Исходн.данные.!AH143,Справ!$A$3:$D$58,4,FALSE)</f>
        <v>#N/A</v>
      </c>
      <c r="HI143" s="11" t="e">
        <f t="shared" si="191"/>
        <v>#N/A</v>
      </c>
      <c r="HJ143" s="11" t="e">
        <f t="shared" si="192"/>
        <v>#N/A</v>
      </c>
      <c r="HK143" s="11" t="e">
        <f t="shared" si="193"/>
        <v>#N/A</v>
      </c>
      <c r="HL143" s="55">
        <f>IF(OR(Исходн.данные.!G143="Глин",Исходн.данные.!G143="Т_суг"),1.1,IF(Исходн.данные.!G143="Ср_суг",1,1))</f>
        <v>1</v>
      </c>
      <c r="HM143" s="55">
        <f>IF(OR(Исходн.данные.!G143="Глин",Исходн.данные.!G143="Т_суг"),0.9,IF(Исходн.данные.!G143="Ср_суг",1,1.2))</f>
        <v>1.2</v>
      </c>
      <c r="HN143" s="11" t="e">
        <f t="shared" si="194"/>
        <v>#N/A</v>
      </c>
      <c r="HO143" s="11" t="e">
        <f t="shared" si="195"/>
        <v>#N/A</v>
      </c>
      <c r="HP143" s="11" t="e">
        <f t="shared" si="196"/>
        <v>#N/A</v>
      </c>
      <c r="HQ143" t="e">
        <f t="shared" si="197"/>
        <v>#N/A</v>
      </c>
      <c r="HR143" t="e">
        <f t="shared" si="198"/>
        <v>#N/A</v>
      </c>
      <c r="HS143" t="e">
        <f t="shared" si="199"/>
        <v>#N/A</v>
      </c>
      <c r="HT143" t="e">
        <f t="shared" si="145"/>
        <v>#N/A</v>
      </c>
      <c r="HU143" t="e">
        <f t="shared" si="146"/>
        <v>#N/A</v>
      </c>
      <c r="HV143" t="e">
        <f t="shared" si="147"/>
        <v>#N/A</v>
      </c>
      <c r="HW143" t="e">
        <f t="shared" si="148"/>
        <v>#N/A</v>
      </c>
      <c r="HX143" t="e">
        <f t="shared" si="149"/>
        <v>#N/A</v>
      </c>
      <c r="HY143" t="e">
        <f t="shared" si="150"/>
        <v>#N/A</v>
      </c>
      <c r="HZ143" s="55">
        <f>IF(OR(Исходн.данные.!AI143="Оз_Ч_П",Исходн.данные.!AI143="Оз_З_П",Исходн.данные.!AI143="Яр_зер"),12,30)</f>
        <v>30</v>
      </c>
      <c r="IA143" t="e">
        <f t="shared" si="200"/>
        <v>#N/A</v>
      </c>
      <c r="IB143" t="e">
        <f t="shared" si="201"/>
        <v>#N/A</v>
      </c>
      <c r="IC143" t="e">
        <f t="shared" si="202"/>
        <v>#N/A</v>
      </c>
      <c r="ID143" s="11" t="e">
        <f t="shared" si="203"/>
        <v>#N/A</v>
      </c>
      <c r="IE143" s="11" t="e">
        <f t="shared" si="204"/>
        <v>#N/A</v>
      </c>
      <c r="IF143" s="11" t="e">
        <f t="shared" si="205"/>
        <v>#N/A</v>
      </c>
    </row>
    <row r="144" spans="35:240" x14ac:dyDescent="0.2">
      <c r="AI144">
        <f>IF(Исходн.данные.!I144&gt;6,1,1.85-(0.148*Исходн.данные.!I144))</f>
        <v>1.85</v>
      </c>
      <c r="AJ144">
        <f>IF(Исходн.данные.!I144&gt;6,1,2.434-(0.246*Исходн.данные.!I144))</f>
        <v>2.4340000000000002</v>
      </c>
      <c r="AL144" s="148" t="b">
        <f>IF(Исходн.данные.!$P144="Ум",N_OrgUd_2g_um,IF(Исходн.данные.!$P144="Об",N_OrgUd_2g_ob))</f>
        <v>0</v>
      </c>
      <c r="AM144" s="148" t="b">
        <f>IF(Исходн.данные.!$P144="Ум",P_OrgUd_2g_um,IF(Исходн.данные.!$P144="Об",P_OrgUd_2g_ob))</f>
        <v>0</v>
      </c>
      <c r="AN144" s="148" t="b">
        <f>IF(Исходн.данные.!$P144="Ум",K_OrgUd_2g_um,IF(Исходн.данные.!$P144="Об",K_OrgUd_2g_ob))</f>
        <v>0</v>
      </c>
      <c r="AO144" s="148" t="b">
        <f>IF(Исходн.данные.!$P144="Ум",N_OrgUd_1g_um,IF(Исходн.данные.!$P144="Об",N_OrgUd_1g_ob))</f>
        <v>0</v>
      </c>
      <c r="AP144" s="148" t="b">
        <f>IF(Исходн.данные.!$P144="Ум",P_OrgUd_1g_um,IF(Исходн.данные.!$P144="Об",P_OrgUd_1g_ob))</f>
        <v>0</v>
      </c>
      <c r="AQ144" s="148" t="b">
        <f>IF(Исходн.данные.!$P144="Ум",K_OrgUd_1g_um,IF(Исходн.данные.!$P144="Об",K_OrgUd_1g_ob))</f>
        <v>0</v>
      </c>
      <c r="AR144" t="b">
        <f>IF(Исходн.данные.!$P144="Ум",N_MinUd_2g_um,IF(Исходн.данные.!$P144="Об",N_MinUd_2g_ob))</f>
        <v>0</v>
      </c>
      <c r="AS144" t="b">
        <f>IF(Исходн.данные.!$P144="Ум",P_MinUd_2g_um,IF(Исходн.данные.!$P144="Об",P_MinUd_2g_ob))</f>
        <v>0</v>
      </c>
      <c r="AT144" t="b">
        <f>IF(Исходн.данные.!$P144="Ум",K_MinUd_2g_um,IF(Исходн.данные.!$P144="Об",K_MinUd_2g_ob))</f>
        <v>0</v>
      </c>
      <c r="AU144" t="b">
        <f>IF(Исходн.данные.!$P144="Ум",N_MinUd_1g_um,IF(Исходн.данные.!$P144="Об",N_MinUd_1g_ob))</f>
        <v>0</v>
      </c>
      <c r="AV144" t="b">
        <f>IF(Исходн.данные.!P144="Ум",P_MinUd_1g_um,IF(Исходн.данные.!P144="Об",P_MinUd_1g_ob))</f>
        <v>0</v>
      </c>
      <c r="AW144" t="b">
        <f>IF(Исходн.данные.!P144="Ум",K_MinUd_1g_um,IF(Исходн.данные.!P144="Об",K_MinUd_1g_ob))</f>
        <v>0</v>
      </c>
      <c r="AY144" t="e">
        <f>VLOOKUP(Исходн.данные.!T144,Справ!$A$3:$N$57,12)</f>
        <v>#N/A</v>
      </c>
      <c r="AZ144" t="e">
        <f>VLOOKUP(Исходн.данные.!T144,Справ!$A$3:$N$57,13)</f>
        <v>#N/A</v>
      </c>
      <c r="BA144" t="e">
        <f>VLOOKUP(Исходн.данные.!T144,Справ!$A$3:$N$57,14)</f>
        <v>#N/A</v>
      </c>
      <c r="BB144">
        <f>IF(Исходн.данные.!AH144=0,0,25)</f>
        <v>0</v>
      </c>
      <c r="BC144" s="141">
        <f>IF(Исходн.данные.!AH144=0,0,IF(Исходн.данные.!T144=0,25,BD144))</f>
        <v>0</v>
      </c>
      <c r="BD144" s="168" t="e">
        <f>AY144+AZ144*Исходн.данные.!U144-POWER(BA144,2)*Исходн.данные.!U144</f>
        <v>#N/A</v>
      </c>
      <c r="BE14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4" s="25">
        <f>IF(Исходн.данные.!AH144=0,0,MIN(HN144:HP144))</f>
        <v>0</v>
      </c>
      <c r="BG144" s="9">
        <f>IF(Исходн.данные.!AH144=0,0,IF((HO144+10*0.25/HG144/HL144)&lt;17,17,HO144+10*0.25/HG144/HL144))</f>
        <v>0</v>
      </c>
      <c r="BH144" s="181">
        <f>IF(Исходн.данные.!AH144=0,0,HW144*HF144*HL144/AU144*AI144+Исходн.данные.!S144*10)</f>
        <v>0</v>
      </c>
      <c r="BI144" s="10"/>
      <c r="BJ144" s="182">
        <f>IF(Исходн.данные.!AH144=0,0,IF(HX144*HG144*HL144/AV144&lt;0,0,HX144*HG144*HL144/AV144*AJ144))</f>
        <v>0</v>
      </c>
      <c r="BK144" s="182">
        <f>IF(Исходн.данные.!AH144=0,0,HY144*HH144*HM144/AW144)</f>
        <v>0</v>
      </c>
      <c r="BL144" s="10">
        <f>IF(OR(Исходн.данные.!$AH144=$BP$1,Исходн.данные.!$AH144=$BP$2),0,IF(BH144&lt;0,0,IF(OR(Исходн.данные.!T144=Расчет!$BP$1,Исходн.данные.!T144=Расчет!$BP$2,Исходн.данные.!T144=Расчет!$BT$5,Исходн.данные.!T144=Расчет!$BT$6),BH144*0.5,IF(OR(Исходн.данные.!T144=Расчет!$BS$9,Исходн.данные.!T144=Расчет!$BS$10,Исходн.данные.!T144=Расчет!$BS$11,Исходн.данные.!T144=Расчет!$BS$12,Исходн.данные.!T144=Расчет!$BP$5),BH144*0.8,BH144))))</f>
        <v>0</v>
      </c>
      <c r="BM144" s="10">
        <f>IF(OR(Исходн.данные.!$AH144=$BP$1,Исходн.данные.!$AH144=$BP$2),0,IF(BJ144&lt;0,0,IF(Исходн.данные.!I144&lt;4.5,BJ144*1.2,IF(Исходн.данные.!I144&gt;5.1,BJ144,BJ144*((5.1-Исходн.данные.!I144)*0.333+1)))))</f>
        <v>0</v>
      </c>
      <c r="BN144" s="10">
        <f>IF(OR(Исходн.данные.!$AH144=$BP$1,Исходн.данные.!$AH144=$BP$2),60-Исходн.данные.!AF144,IF(BK144&lt;0,0,IF(Исходн.данные.!I144&lt;4.5,BK144*1.2,IF(Исходн.данные.!I144&gt;5.1,BK144,BK144*((5.1-Исходн.данные.!I144)*0.333+1)))))</f>
        <v>0</v>
      </c>
      <c r="BO144" s="9">
        <f>IF(BL144&lt;0,0,BL144*Исходн.данные.!$AJ144/1000)</f>
        <v>0</v>
      </c>
      <c r="BP144" s="9">
        <f>IF(BM144&lt;0,0,BM144*Исходн.данные.!$AJ144/1000)</f>
        <v>0</v>
      </c>
      <c r="BQ144" s="9">
        <f>IF(BN144&lt;0,0,BN144*Исходн.данные.!$AJ144/1000)</f>
        <v>0</v>
      </c>
      <c r="BR144" s="9">
        <f t="shared" si="155"/>
        <v>0</v>
      </c>
      <c r="BS144" s="10" t="str">
        <f t="shared" si="156"/>
        <v>Аммофос 12:52:00</v>
      </c>
      <c r="BT144" s="10" t="str">
        <f t="shared" si="157"/>
        <v>Аммофос 12:52:00</v>
      </c>
      <c r="BU144" s="10" t="str">
        <f t="shared" si="158"/>
        <v>Диаммофоска</v>
      </c>
      <c r="BV144" s="10">
        <f t="shared" si="159"/>
        <v>0</v>
      </c>
      <c r="BW144" s="10"/>
      <c r="BX144" s="10"/>
      <c r="BY144" s="9">
        <f>IF(BL144&lt;0,0,IF(OR(Исходн.данные.!AI144=Расчет!$BU$6,Исходн.данные.!AI144=Расчет!$BU$7),Расчет!BV144,IF(Исходн.данные.!$AG144=$BV$11,BL144,IF(OR(Исходн.данные.!$AH144=$BQ$7,Исходн.данные.!$AH144=$BQ$8),CB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0,IF(Исходн.данные.!$AI144=$BU$11,"Нет",IF(BL144&gt;30,30,BL144)))))))</f>
        <v>0</v>
      </c>
      <c r="BZ144" s="9">
        <f>IF(AND(Исходн.данные.!$AG144=$BV$11,BM144&lt;10),10,IF(Исходн.данные.!$AG144=$BV$11,BM144,IF(OR(Исходн.данные.!$AH144=$BQ$7,Исходн.данные.!$AH144=$BQ$8),CC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10,IF(Исходн.данные.!$AI144=$BU$11,"Нет",IF(BM144&gt;60,60,IF(BM144&lt;10,10,BM144)))))))</f>
        <v>10</v>
      </c>
      <c r="CA144" s="39">
        <f>IF(BN144&lt;0,0,IF(Исходн.данные.!$AG144=$BV$11,BN144,IF(OR(Исходн.данные.!$AH144=$BQ$7,Исходн.данные.!$AH144=$BQ$8),CD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0,IF(Исходн.данные.!$AI144=$BU$11,"Нет",IF(BN144&gt;30,30,BN144))))))</f>
        <v>0</v>
      </c>
      <c r="CB144" s="9">
        <f t="shared" si="160"/>
        <v>0</v>
      </c>
      <c r="CC144" s="9">
        <f t="shared" si="161"/>
        <v>0</v>
      </c>
      <c r="CD144" s="9">
        <f t="shared" si="162"/>
        <v>0</v>
      </c>
      <c r="CE144" s="12">
        <f t="shared" si="163"/>
        <v>10</v>
      </c>
      <c r="CF144" s="9">
        <f t="shared" si="164"/>
        <v>0</v>
      </c>
      <c r="CG144" s="9" t="s">
        <v>231</v>
      </c>
      <c r="CH144" s="132" t="str">
        <f>IF(Исходн.данные.!AP144=Расчет!$CI$16,"Нет",IF(Исходн.данные.!AL144&gt;0,Исходн.данные.!AL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BH$4,IF(OR(Исходн.данные.!AI144=Исходн.данные.!$AI$6,Исходн.данные.!AI144=Исходн.данные.!$AI$7),Расчет!BS144,IF(AND($CF144=0,$CE144&gt;0),EV144,ER144)))))</f>
        <v>Аммофос 12:52:00</v>
      </c>
      <c r="CI144" s="274">
        <f>IF(Расчет!$CH144="Нет","Нет",IF(Исходн.данные.!$AL144&gt;0,VLOOKUP(Расчет!$CH144,АшламаДВ_Irekle,2,FALSE),VLOOKUP(Расчет!$CH144,АшламаДВ_Gomumy,2,FALSE)))</f>
        <v>0.12</v>
      </c>
      <c r="CJ144" s="274">
        <f>IF(Расчет!$CH144="Нет","Нет",IF(Исходн.данные.!$AL144&gt;0,VLOOKUP(Расчет!$CH144,АшламаДВ_Irekle,3,FALSE),VLOOKUP(Расчет!$CH144,АшламаДВ_Gomumy,3,FALSE)))</f>
        <v>0.52</v>
      </c>
      <c r="CK144" s="274">
        <f>IF(Расчет!$CH144="Нет","Нет",IF(Исходн.данные.!$AL144&gt;0,VLOOKUP(Расчет!$CH144,АшламаДВ_Irekle,4,FALSE),VLOOKUP(Расчет!$CH144,АшламаДВ_Gomumy,4,FALSE)))</f>
        <v>0</v>
      </c>
      <c r="CL144" s="70"/>
      <c r="CM144" s="70"/>
      <c r="CN144" s="70"/>
      <c r="CO144" s="70"/>
      <c r="CP144" s="70"/>
      <c r="CQ144" s="70"/>
      <c r="CR144" s="10">
        <f t="shared" si="165"/>
        <v>0</v>
      </c>
      <c r="CS144" s="10">
        <f t="shared" si="166"/>
        <v>19.23076923076923</v>
      </c>
      <c r="CT144" s="10">
        <f t="shared" si="167"/>
        <v>0</v>
      </c>
      <c r="CU144" s="39">
        <f>IF($CH144="Нет",0,IF(CI144=0,30/MIN(CJ144:CK144),IF(Исходн.данные.!$AG144=$BV$11,CR144,IF(OR(Исходн.данные.!$AH144=$BQ$7,Исходн.данные.!$AH144=$BQ$8),90/CI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0,IF(Исходн.данные.!$AI144=$BU$11,"Нет",30/CI144))))))</f>
        <v>250</v>
      </c>
      <c r="CV144" s="39">
        <f>IF($CH144="Нет",0,IF(Исходн.данные.!AH144=0,0,IF(CJ144=0,60/MIN(CI144,CK144),IF(Исходн.данные.!$AG144=$BV$11,CS144,IF(OR(Исходн.данные.!$AH144=$BQ$7,Исходн.данные.!$AH144=$BQ$8),90/CJ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10/CJ144,IF(Исходн.данные.!$AI144=$BU$11,"Нет",60/CJ144)))))))</f>
        <v>0</v>
      </c>
      <c r="CW144" s="39">
        <f>IF($CH144="Нет",0,IF(Исходн.данные.!AH144=0,0,IF(CK144=0,30/MIN(CI144:CJ144),IF(Исходн.данные.!$AG144=$BV$11,CT144,IF(OR(Исходн.данные.!$AH144=$BQ$7,Исходн.данные.!$AH144=$BQ$8),90/CK144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0,IF(Исходн.данные.!$AI144=$BU$11,"Нет",30/CK144)))))))</f>
        <v>0</v>
      </c>
      <c r="CX144" s="133">
        <f>IF(Исходн.данные.!$AG144=$BV$11,MAX(CU144:CW144),IF(OR(Исходн.данные.!$AH144=$BS$8,Исходн.данные.!$AH144=$BQ$9,Исходн.данные.!$AH144=$BQ$10,Исходн.данные.!$AH144=$BQ$11,Исходн.данные.!$AH144=$BQ$12,Исходн.данные.!$AH144=$BP$3,Исходн.данные.!$AH144=$BT$8,$FM144="Да"),CV144,MIN(CU144:CW144)))</f>
        <v>0</v>
      </c>
      <c r="CY144" s="133">
        <f>IF(Исходн.данные.!AH144=0,0,IF(CR144&gt;$CX144,$CX144,CR144))</f>
        <v>0</v>
      </c>
      <c r="CZ144" s="133">
        <f>IF(Исходн.данные.!AH144=0,0,IF(CS144&gt;$CX144,$CX144,CS144))</f>
        <v>0</v>
      </c>
      <c r="DA144" s="133">
        <f>IF(Исходн.данные.!AH144=0,0,IF(CT144&gt;$CX144,$CX144,CT144))</f>
        <v>0</v>
      </c>
      <c r="DB144" s="10">
        <f t="shared" si="168"/>
        <v>0</v>
      </c>
      <c r="DC144" s="39">
        <f>DB144*Исходн.данные.!AJ144/1000</f>
        <v>0</v>
      </c>
      <c r="DD144" s="71">
        <f t="shared" si="169"/>
        <v>0</v>
      </c>
      <c r="DE144" s="9">
        <f t="shared" si="170"/>
        <v>0</v>
      </c>
      <c r="DF144" s="9">
        <f t="shared" si="171"/>
        <v>0</v>
      </c>
      <c r="DG144" s="39">
        <f>IF(BL144&lt;0,0,IF($CH144="Нет",BL144,IF(OR(Исходн.данные.!$AH144=$BP$1,Исходн.данные.!$AH144=$BP$2),0,IF(Исходн.данные.!AI144=$BU$11,BL144,IF(BL144-DD144&lt;0,0,BL144-DD144)))))</f>
        <v>0</v>
      </c>
      <c r="DH144" s="39">
        <f>IF(BM144&lt;0,0,IF($CH144="Нет",BM144,IF(OR(Исходн.данные.!$AH144=$BP$1,Исходн.данные.!$AH144=$BP$2),0,IF(Исходн.данные.!AJ144=$BU$11,BM144,IF(BM144-DE144&lt;0,0,BM144-DE144)))))</f>
        <v>0</v>
      </c>
      <c r="DI144" s="39">
        <f>IF(BN144&lt;0,0,IF($CH144="Нет",BN144,IF(OR(Исходн.данные.!$AH144=$BP$1,Исходн.данные.!$AH144=$BP$2),0,IF(Исходн.данные.!AK144=$BU$11,BN144,IF(BN144-DF144&lt;0,0,BN144-DF144)))))</f>
        <v>0</v>
      </c>
      <c r="DJ144" s="12">
        <f t="shared" si="172"/>
        <v>0</v>
      </c>
      <c r="DK144" s="9">
        <f t="shared" si="173"/>
        <v>0</v>
      </c>
      <c r="DL144" s="39">
        <f>IF(Исходн.данные.!AM144&gt;0,Исходн.данные.!AM144,IF(EG144&gt;0,$BH$10,0))</f>
        <v>0</v>
      </c>
      <c r="DM144" s="186">
        <f>IF($DL144=0,0,IF(Исходн.данные.!AM144&gt;0,VLOOKUP($DL144,АшламаДВ_Irekle,2,FALSE),VLOOKUP($DL144,АшламаДВ_Gomumy,2,FALSE)))</f>
        <v>0</v>
      </c>
      <c r="DN144" s="10">
        <f t="shared" si="151"/>
        <v>0</v>
      </c>
      <c r="DO144" s="9" t="str">
        <f>IF(Исходн.данные.!AN144&gt;0,Исходн.данные.!AN144,Удобрения!$B$37 )</f>
        <v>Хлор.калий</v>
      </c>
      <c r="DP144" s="9">
        <f>IF(Исходн.данные.!AN144&gt;0,VLOOKUP(Исходн.данные.!AN144,АшламаДВ_Irekle,4,FALSE),VLOOKUP(DO144,АшламаДВ_Gomumy,4,FALSE))</f>
        <v>0.6</v>
      </c>
      <c r="DQ144" s="10">
        <f t="shared" si="152"/>
        <v>0</v>
      </c>
      <c r="DR144" s="132" t="str">
        <f>IF(Исходн.данные.!AO144&gt;0,Исходн.данные.!AO144,IF(DH144=0,BS$17,IF(AND($DK144=0,$DJ144&gt;0),EJ144,EN144)))</f>
        <v>Нет</v>
      </c>
      <c r="DS144" s="70" t="str">
        <f>IF($DR144="Нет","Нет",IF(Исходн.данные.!$AO144&gt;0,VLOOKUP($DR144,АшламаДВ_Irekle,2,FALSE),VLOOKUP($DR144,АшламаДВ_Gomumy,2,FALSE)))</f>
        <v>Нет</v>
      </c>
      <c r="DT144" s="70" t="str">
        <f>IF($DR144="Нет","Нет",IF(Исходн.данные.!$AO144&gt;0,VLOOKUP($DR144,АшламаДВ_Irekle,3,FALSE),VLOOKUP($DR144,АшламаДВ_Gomumy,3,FALSE)))</f>
        <v>Нет</v>
      </c>
      <c r="DU144" s="70" t="str">
        <f>IF($DR144="Нет","Нет",IF(Исходн.данные.!$AO144&gt;0,VLOOKUP($DR144,АшламаДВ_Irekle,4,FALSE),VLOOKUP($DR144,АшламаДВ_Gomumy,4,FALSE)))</f>
        <v>Нет</v>
      </c>
      <c r="DV144" s="70"/>
      <c r="DW144" s="70"/>
      <c r="DX144" s="70"/>
      <c r="DY144" s="10">
        <f t="shared" si="174"/>
        <v>0</v>
      </c>
      <c r="DZ144" s="10">
        <f t="shared" si="175"/>
        <v>0</v>
      </c>
      <c r="EA144" s="10">
        <f t="shared" si="176"/>
        <v>0</v>
      </c>
      <c r="EB144" s="10">
        <f t="shared" si="177"/>
        <v>0</v>
      </c>
      <c r="EC144" s="10">
        <f t="shared" si="178"/>
        <v>0</v>
      </c>
      <c r="ED144" s="10">
        <f t="shared" si="179"/>
        <v>0</v>
      </c>
      <c r="EE144" s="10">
        <f t="shared" si="180"/>
        <v>0</v>
      </c>
      <c r="EF144" s="39">
        <f>EB144*Исходн.данные.!AJ144/1000</f>
        <v>0</v>
      </c>
      <c r="EG144" s="9">
        <f t="shared" si="181"/>
        <v>0</v>
      </c>
      <c r="EH144" s="9">
        <f t="shared" si="182"/>
        <v>0</v>
      </c>
      <c r="EI144" s="39" t="e">
        <f t="shared" si="132"/>
        <v>#DIV/0!</v>
      </c>
      <c r="EJ144" s="9" t="str">
        <f t="shared" si="153"/>
        <v>Азопреципитат</v>
      </c>
      <c r="EK144" s="12">
        <f t="shared" si="133"/>
        <v>0.26</v>
      </c>
      <c r="EL144" s="12">
        <f t="shared" si="134"/>
        <v>0.13</v>
      </c>
      <c r="EM144" s="12">
        <f t="shared" si="135"/>
        <v>0</v>
      </c>
      <c r="EN144" s="12" t="str">
        <f t="shared" si="154"/>
        <v>Нет</v>
      </c>
      <c r="EO144" s="12">
        <f t="shared" si="136"/>
        <v>0</v>
      </c>
      <c r="EP144" s="12">
        <f t="shared" si="137"/>
        <v>0</v>
      </c>
      <c r="EQ144" s="12">
        <f t="shared" si="138"/>
        <v>0</v>
      </c>
      <c r="ER144" s="12" t="str">
        <f t="shared" si="183"/>
        <v>Диаммофоска</v>
      </c>
      <c r="ES144" s="12">
        <f t="shared" si="139"/>
        <v>0.1</v>
      </c>
      <c r="ET144" s="12">
        <f t="shared" si="140"/>
        <v>0.26</v>
      </c>
      <c r="EU144" s="12">
        <f t="shared" si="141"/>
        <v>0.26</v>
      </c>
      <c r="EV144" s="12" t="str">
        <f t="shared" si="184"/>
        <v>Аммофос 12:52:00</v>
      </c>
      <c r="EW144" s="12" t="str">
        <f t="shared" si="185"/>
        <v>Кемира Свекловичное-6</v>
      </c>
      <c r="EX144" s="12">
        <f t="shared" si="142"/>
        <v>0.16</v>
      </c>
      <c r="EY144" s="12">
        <f t="shared" si="143"/>
        <v>0.12</v>
      </c>
      <c r="EZ144" s="12">
        <f t="shared" si="144"/>
        <v>0.17</v>
      </c>
      <c r="FA144" s="38" t="e">
        <f>IF(AND(OR(FJ144=$FD$1,FM144=$FD$1,FO144=$FD$1,FQ144=$FD$1,FS144=$FD$1),FD144=$FD$1,Исходн.данные.!J144&lt;2,FU144=$FD$1),"Бор,Кобальт",IF(AND(FO144=$FD$1,FH144=$FD$1,Исходн.данные.!J144&lt;2,FU144=$FD$1),"Бор,Кобальт",IF(AND(OR(FJ144=$FD$1,FM144=$FD$1,FQ144=$FD$1),FE144=$FD$1,Исходн.данные.!J144&lt;2,FT144=$FD$1,FU144=$FD$1),"Бор,Медь,Цинк",IF(AND(OR(FJ144=$FD$1,FR144="Да"),FI144="Да",Исходн.данные.!J144&lt;2,FT144="Да",FU144="Да"),"Бор,Цинк,Медь",IF(AND(OR(FM144="Да",FQ144="Да"),FI144="Да",Исходн.данные.!J144&lt;2,FT144="Да",FU144="Да"),"Бор,Цинк",IF(AND(FN144="Да",OR(FD144="Да",FE144="Да")),"Бор",FB144))))))</f>
        <v>#N/A</v>
      </c>
      <c r="FB144" s="134" t="e">
        <f>IF(AND(OR(FD144="Да",FE144="Да",FF144="Да",FG144="Да",FH144="Да"),FO144="Да"),"Бор",IF(AND(FP144="Да",OR(FD144="Да",FE144="Да",FI144="Да")),"Бор",IF(AND(FS144="Да",FE144="Да"),"Бор,Медь",IF(AND(OR(FJ144="Да",FK144="Да",FL144="Да"),FE144="Да",Исходн.данные.!I144&lt;5,FT144="Да",FU144="Да"),"Молибден,Цинк",IF(AND(FM144="Да",OR(FE144="Да",FF144="Да",FG144="Да",FH144="Да",FI144="Да")),"Молибден,Цинк",IF(AND(OR(FJ144="Да",FK144="Да",FL144="Да",FM144="Да",FQ144="Да"),OR(FE144="Да",FF144="Да"),FT144="Да",FU144="Да",Исходн.данные.!I144&gt;5.5),"Медь,Цинк",FC144))))))</f>
        <v>#N/A</v>
      </c>
      <c r="FC144" s="23" t="e">
        <f t="shared" si="186"/>
        <v>#N/A</v>
      </c>
      <c r="FD144" s="38" t="str">
        <f>IF(OR(Исходн.данные.!F144=$CC$1,Исходн.данные.!F144=$CC$2,Исходн.данные.!F144=$CC$3,Исходн.данные.!F144=$CC$4),"Да","Нет")</f>
        <v>Нет</v>
      </c>
      <c r="FE144" s="38" t="str">
        <f>IF(Исходн.данные.!F144=$CC$5,"Да","Нет")</f>
        <v>Нет</v>
      </c>
      <c r="FF144" s="38" t="str">
        <f>IF(OR(Исходн.данные.!F144=$CC$6,Исходн.данные.!F144=$CC$7),"Да","Нет")</f>
        <v>Нет</v>
      </c>
      <c r="FG144" s="38" t="str">
        <f>IF(OR(Исходн.данные.!F144=$CC$8,Исходн.данные.!F144=$CC$9),"Да","Нет")</f>
        <v>Нет</v>
      </c>
      <c r="FH144" s="38" t="str">
        <f>IF(Исходн.данные.!F144=$CC$10,"Да","Нет")</f>
        <v>Нет</v>
      </c>
      <c r="FI144" s="38" t="str">
        <f>IF(OR(Исходн.данные.!F144=$CC$11,Исходн.данные.!F144=$CC$12),"Да","Нет")</f>
        <v>Нет</v>
      </c>
      <c r="FJ144" s="38" t="str">
        <f>IF(OR(Исходн.данные.!AH144=$BS$1,Исходн.данные.!AH144=$BQ$11,Исходн.данные.!AH144=$BQ$12),"Да","Нет")</f>
        <v>Нет</v>
      </c>
      <c r="FK144" s="38" t="str">
        <f>IF(OR(Исходн.данные.!AH144=$BS$2,Исходн.данные.!AH144=$BS$4),"Да","Нет")</f>
        <v>Нет</v>
      </c>
      <c r="FL144" s="38" t="str">
        <f>IF(OR(Исходн.данные.!AH144=$BS$3,Исходн.данные.!AH144=$BS$5),"Да","Нет")</f>
        <v>Нет</v>
      </c>
      <c r="FM144" s="38" t="str">
        <f>IF(OR(Исходн.данные.!AH144=$BS$9,Исходн.данные.!AH144=$BS$10,Исходн.данные.!AH144=$BS$11,Исходн.данные.!AH144=$BS$12),"Да","Нет")</f>
        <v>Нет</v>
      </c>
      <c r="FN144" s="38" t="str">
        <f>IF(OR(Исходн.данные.!AH144=$BS$6,Исходн.данные.!AH144=$BP$3),"Да","Нет")</f>
        <v>Нет</v>
      </c>
      <c r="FO144" s="38" t="str">
        <f>IF(Исходн.данные.!AH144=$BQ$9,"Да","Нет")</f>
        <v>Нет</v>
      </c>
      <c r="FP144" s="38" t="str">
        <f>IF(OR(Исходн.данные.!AH144=$BS$8,Исходн.данные.!AH144=$BT$8),"Да","Нет")</f>
        <v>Нет</v>
      </c>
      <c r="FQ144" s="38" t="str">
        <f>IF(OR(Исходн.данные.!AH144=$BQ$7,Исходн.данные.!AH144=$BQ$8),"Да","Нет")</f>
        <v>Нет</v>
      </c>
      <c r="FR144" s="38" t="str">
        <f>IF(Исходн.данные.!AI144=$BU$9,"Да","Нет")</f>
        <v>Нет</v>
      </c>
      <c r="FS144" s="38" t="str">
        <f>IF(OR(Исходн.данные.!AH144=$BP$1,Исходн.данные.!AH144=$BP$2),"Да","Нет")</f>
        <v>Нет</v>
      </c>
      <c r="FT144" s="38" t="e">
        <f>IF((Исходн.данные.!K144*GO144*GS144*GW144+BL144*0.6+Исходн.данные.!Q144*4.5*0.275)&gt;90,"Да","Нет")</f>
        <v>#N/A</v>
      </c>
      <c r="FU144" s="38" t="e">
        <f>IF((Исходн.данные.!M144*GS144*GZ144+BM144*0.225)&gt;35,"Да","Нет")</f>
        <v>#N/A</v>
      </c>
      <c r="FV144" s="38" t="str">
        <f>IF(Исходн.данные.!O144&gt;175,"Да","Нет")</f>
        <v>Нет</v>
      </c>
      <c r="FW144" s="39" t="str">
        <f>IF(Исходн.данные.!I144&gt;5.5,"Да","Нет")</f>
        <v>Нет</v>
      </c>
      <c r="FX144" s="39" t="str">
        <f>IF(Исходн.данные.!J144&lt;2,"Да","Нет")</f>
        <v>Да</v>
      </c>
      <c r="FY144" s="39" t="e">
        <f>IF(HF144=$FY$16,0,Исходн.данные.!K144*GO144*GS144*GW144/HF144)</f>
        <v>#N/A</v>
      </c>
      <c r="FZ144" s="39" t="e">
        <f>Исходн.данные.!M144*GS144*GZ144/HG144</f>
        <v>#N/A</v>
      </c>
      <c r="GA144" s="39" t="e">
        <f>IF(K_Wyn=$FY$16,0,IF(Исходн.данные.!N144=Исходн.данные.!$L$10,Исходн.данные.!O144/1.1*GS144*HC144/HH144,IF(Исходн.данные.!N144=Исходн.данные.!$L$12,Исходн.данные.!O144/1.5*GS144*HC144/HH144,Исходн.данные.!O144*GS144*HC144/HH144)))</f>
        <v>#N/A</v>
      </c>
      <c r="GB144" s="39" t="e">
        <f>IF(HF144=$FY$16,0,((Исходн.данные.!Q144*N_Org+Исходн.данные.!R144*N_Sider+Исходн.данные.!S144*N_Soloma)*AO144+Расчет!BC144*VLOOKUP(Исходн.данные.!T144,Справ!$A$3:$O$57,15)*AO144+BB144*VLOOKUP(Исходн.данные.!T144,Справ!$A$3:$O$57,15)*AL144+(Исходн.данные.!V144*N_Rizotorf+Исходн.данные.!W144*N_Rizoagr))/HF144)</f>
        <v>#N/A</v>
      </c>
      <c r="GC144" s="39" t="e">
        <f>IF(HG144=$FY$16,0,((Исходн.данные.!Q144*Р_Org+Исходн.данные.!R144*P_Sider+Исходн.данные.!S144*P_Soloma)*AP144+Расчет!BC144*VLOOKUP(Исходн.данные.!T144,Справ!$A$3:$P$57,16)*AP144+BB144*VLOOKUP(Исходн.данные.!T144,Справ!$A$3:$P$57,16)*AM144)/HG144)</f>
        <v>#N/A</v>
      </c>
      <c r="GD144" s="39" t="e">
        <f>IF(HH144=$FY$16,0,((Исходн.данные.!Q144*К_Org+Исходн.данные.!R144*K_Sider+Исходн.данные.!S144*K_Soloma)*AQ144+Расчет!BC144*VLOOKUP(Исходн.данные.!T144,Справ!$A$3:$Q$57,17)*AQ144+BB144*VLOOKUP(Исходн.данные.!T144,Справ!$A$3:$Q$57,17)*AN144)/HH144)</f>
        <v>#N/A</v>
      </c>
      <c r="GE144" s="39" t="e">
        <f>IF(HF144=$FY$16,0,(Исходн.данные.!X144*AR144+Исходн.данные.!AA144*N_Org*AL144+Исходн.данные.!AB144*N_Sider*AL144+Исходн.данные.!AC144*N_Soloma*AL144)/HF144)</f>
        <v>#N/A</v>
      </c>
      <c r="GF144" s="39" t="e">
        <f>IF(HG144=$FY$16,0,(Исходн.данные.!Y144*AS144+Исходн.данные.!AA144*Р_Org*AM144+Исходн.данные.!AB144*P_Sider*AM144+Исходн.данные.!AC144*P_Soloma*AM144)/HG144)</f>
        <v>#N/A</v>
      </c>
      <c r="GG144" s="39" t="e">
        <f>IF(HH144=$FY$16,0,(Исходн.данные.!Z144*AT144+Исходн.данные.!AA144*К_Org*AN144+Исходн.данные.!AB144*K_Sider*AN144+Исходн.данные.!AC144*K_Soloma*AN144)/HH144)</f>
        <v>#N/A</v>
      </c>
      <c r="GH144" s="39" t="e">
        <f>Исходн.данные.!AD144*AU144/HF144</f>
        <v>#N/A</v>
      </c>
      <c r="GI144" s="39" t="e">
        <f>Исходн.данные.!AE144*AV144/HG144</f>
        <v>#N/A</v>
      </c>
      <c r="GJ144" s="39" t="e">
        <f>Исходн.данные.!AF144*AW144/HH144</f>
        <v>#N/A</v>
      </c>
      <c r="GK144" s="55">
        <f>Исходн.данные.!AK144</f>
        <v>0</v>
      </c>
      <c r="GL144" s="11" t="e">
        <f t="shared" si="187"/>
        <v>#N/A</v>
      </c>
      <c r="GM144" s="11" t="e">
        <f t="shared" si="188"/>
        <v>#N/A</v>
      </c>
      <c r="GN144" s="11" t="e">
        <f t="shared" si="189"/>
        <v>#N/A</v>
      </c>
      <c r="GO144" s="57">
        <f t="shared" si="190"/>
        <v>19</v>
      </c>
      <c r="GP144" s="55">
        <f>IF(OR(Исходн.данные.!F144=$CE$1,Исходн.данные.!F144=$CE$2,Исходн.данные.!F144=$CE$3,Исходн.данные.!F144=$CE$4,Исходн.данные.!F144=$CE$5),GQ144,GR144)</f>
        <v>19</v>
      </c>
      <c r="GQ144" s="55">
        <f>IF(Исходн.данные.!F144=$CE$1,28,IF(Исходн.данные.!F144=$CE$2,26,IF(Исходн.данные.!F144=$CE$3,24,IF(Исходн.данные.!F144=$CE$4,22,IF(Исходн.данные.!F144=$CE$5,20,GR144)))))</f>
        <v>19</v>
      </c>
      <c r="GR144" s="55">
        <f>IF(Исходн.данные.!F144=$CE$6,18,IF(Исходн.данные.!F144=$CE$7,16,IF(Исходн.данные.!F144=$CE$8,14,IF(Исходн.данные.!F144=$CE$9,13,IF(Исходн.данные.!F144=$CE$10,12,19)))))</f>
        <v>19</v>
      </c>
      <c r="GS144" s="55">
        <f>IF(Исходн.данные.!G144="Пес",0.035*(40+2*Исходн.данные.!H144),IF(Исходн.данные.!G144="Суп",0.0325*(40+2*Исходн.данные.!H144),0.03*(40+2*Исходн.данные.!H144)))</f>
        <v>1.2</v>
      </c>
      <c r="GT144" s="55">
        <f>IF(Исходн.данные.!H144&lt;23,2.6,IF(AND(Исходн.данные.!H144&gt;22,Исходн.данные.!H144&lt;26),3,IF(AND(Исходн.данные.!H144&gt;25,Исходн.данные.!H144&lt;29),3.4,3.6)))</f>
        <v>2.6</v>
      </c>
      <c r="GU144" s="55">
        <f>IF(Исходн.данные.!H144&lt;23,2.8,IF(AND(Исходн.данные.!H144&gt;22,Исходн.данные.!H144&lt;26),3.2,IF(AND(Исходн.данные.!H144&gt;25,Исходн.данные.!H144&lt;29),3.6,3.9)))</f>
        <v>2.8</v>
      </c>
      <c r="GV144" s="55">
        <f>IF(Исходн.данные.!H144&lt;23,3,IF(AND(Исходн.данные.!H144&gt;22,Исходн.данные.!H144&lt;26),3.5,IF(AND(Исходн.данные.!H144&gt;25,Исходн.данные.!H144&lt;29),3.9,4.2)))</f>
        <v>3</v>
      </c>
      <c r="GW144" s="55" t="e">
        <f>IF(Исходн.данные.!P144="Ум",GX144,GY144)</f>
        <v>#N/A</v>
      </c>
      <c r="GX144" s="55" t="e">
        <f>VLOOKUP(Исходн.данные.!AI144,Коэффициенты!$J$7:$L$13,2,FALSE)</f>
        <v>#N/A</v>
      </c>
      <c r="GY144" s="55" t="e">
        <f>VLOOKUP(Исходн.данные.!AI144,Коэффициенты!$J$7:$L$13,3,FALSE)</f>
        <v>#N/A</v>
      </c>
      <c r="GZ144" s="55" t="e">
        <f>(IF(Исходн.данные.!M144&lt;50,0.11*VLOOKUP(Исходн.данные.!AH144,Культуры.Информация,7,FALSE),IF(Исходн.данные.!M144&gt;250,0.05*VLOOKUP(Исходн.данные.!AH144,Культуры.Информация,7,FALSE),VLOOKUP(Исходн.данные.!AH144,Культуры.Информация,5,FALSE)/100*($GX$6+$GY$6*Исходн.данные.!M144))))*Расчет2!AI144</f>
        <v>#N/A</v>
      </c>
      <c r="HA144" s="211"/>
      <c r="HB144" s="211"/>
      <c r="HC144" s="55" t="e">
        <f>(IF(Исходн.данные.!O144&lt;80,0.2*VLOOKUP(Исходн.данные.!AH144,Культуры.Информация,8,FALSE),IF(Исходн.данные.!O144&gt;240,0.09*VLOOKUP(Исходн.данные.!AH144,Культуры.Информация,8,FALSE),VLOOKUP(Исходн.данные.!AH144,Культуры.Информация,6,FALSE)/100*($HB$6+$HC$6*Исходн.данные.!O144))))*Расчет2!AJ144</f>
        <v>#N/A</v>
      </c>
      <c r="HD144" s="55">
        <f>IF(Исходн.данные.!O144&gt;240,0.09,IF(Исходн.данные.!O144&lt;30,0.3,$HE$10+$HD$10*Исходн.данные.!O144))</f>
        <v>0.3</v>
      </c>
      <c r="HE144" s="55">
        <f>IF(Исходн.данные.!O144&gt;240,0.17,IF(Исходн.данные.!O144&lt;30,0.5,$HF$12+$HE$12*Исходн.данные.!O144))</f>
        <v>0.5</v>
      </c>
      <c r="HF144" s="55" t="e">
        <f>VLOOKUP(Исходн.данные.!AH144,Справ!$A$3:$D$58,2,FALSE)</f>
        <v>#N/A</v>
      </c>
      <c r="HG144" s="55" t="e">
        <f>VLOOKUP(Исходн.данные.!AH144,Справ!$A$3:$D$58,3,FALSE)</f>
        <v>#N/A</v>
      </c>
      <c r="HH144" s="55" t="e">
        <f>VLOOKUP(Исходн.данные.!AH144,Справ!$A$3:$D$58,4,FALSE)</f>
        <v>#N/A</v>
      </c>
      <c r="HI144" s="11" t="e">
        <f t="shared" si="191"/>
        <v>#N/A</v>
      </c>
      <c r="HJ144" s="11" t="e">
        <f t="shared" si="192"/>
        <v>#N/A</v>
      </c>
      <c r="HK144" s="11" t="e">
        <f t="shared" si="193"/>
        <v>#N/A</v>
      </c>
      <c r="HL144" s="55">
        <f>IF(OR(Исходн.данные.!G144="Глин",Исходн.данные.!G144="Т_суг"),1.1,IF(Исходн.данные.!G144="Ср_суг",1,1))</f>
        <v>1</v>
      </c>
      <c r="HM144" s="55">
        <f>IF(OR(Исходн.данные.!G144="Глин",Исходн.данные.!G144="Т_суг"),0.9,IF(Исходн.данные.!G144="Ср_суг",1,1.2))</f>
        <v>1.2</v>
      </c>
      <c r="HN144" s="11" t="e">
        <f t="shared" si="194"/>
        <v>#N/A</v>
      </c>
      <c r="HO144" s="11" t="e">
        <f t="shared" si="195"/>
        <v>#N/A</v>
      </c>
      <c r="HP144" s="11" t="e">
        <f t="shared" si="196"/>
        <v>#N/A</v>
      </c>
      <c r="HQ144" t="e">
        <f t="shared" si="197"/>
        <v>#N/A</v>
      </c>
      <c r="HR144" t="e">
        <f t="shared" si="198"/>
        <v>#N/A</v>
      </c>
      <c r="HS144" t="e">
        <f t="shared" si="199"/>
        <v>#N/A</v>
      </c>
      <c r="HT144" t="e">
        <f t="shared" si="145"/>
        <v>#N/A</v>
      </c>
      <c r="HU144" t="e">
        <f t="shared" si="146"/>
        <v>#N/A</v>
      </c>
      <c r="HV144" t="e">
        <f t="shared" si="147"/>
        <v>#N/A</v>
      </c>
      <c r="HW144" t="e">
        <f t="shared" si="148"/>
        <v>#N/A</v>
      </c>
      <c r="HX144" t="e">
        <f t="shared" si="149"/>
        <v>#N/A</v>
      </c>
      <c r="HY144" t="e">
        <f t="shared" si="150"/>
        <v>#N/A</v>
      </c>
      <c r="HZ144" s="55">
        <f>IF(OR(Исходн.данные.!AI144="Оз_Ч_П",Исходн.данные.!AI144="Оз_З_П",Исходн.данные.!AI144="Яр_зер"),12,30)</f>
        <v>30</v>
      </c>
      <c r="IA144" t="e">
        <f t="shared" si="200"/>
        <v>#N/A</v>
      </c>
      <c r="IB144" t="e">
        <f t="shared" si="201"/>
        <v>#N/A</v>
      </c>
      <c r="IC144" t="e">
        <f t="shared" si="202"/>
        <v>#N/A</v>
      </c>
      <c r="ID144" s="11" t="e">
        <f t="shared" si="203"/>
        <v>#N/A</v>
      </c>
      <c r="IE144" s="11" t="e">
        <f t="shared" si="204"/>
        <v>#N/A</v>
      </c>
      <c r="IF144" s="11" t="e">
        <f t="shared" si="205"/>
        <v>#N/A</v>
      </c>
    </row>
    <row r="145" spans="35:240" x14ac:dyDescent="0.2">
      <c r="AI145">
        <f>IF(Исходн.данные.!I145&gt;6,1,1.85-(0.148*Исходн.данные.!I145))</f>
        <v>1.85</v>
      </c>
      <c r="AJ145">
        <f>IF(Исходн.данные.!I145&gt;6,1,2.434-(0.246*Исходн.данные.!I145))</f>
        <v>2.4340000000000002</v>
      </c>
      <c r="AL145" s="148" t="b">
        <f>IF(Исходн.данные.!$P145="Ум",N_OrgUd_2g_um,IF(Исходн.данные.!$P145="Об",N_OrgUd_2g_ob))</f>
        <v>0</v>
      </c>
      <c r="AM145" s="148" t="b">
        <f>IF(Исходн.данные.!$P145="Ум",P_OrgUd_2g_um,IF(Исходн.данные.!$P145="Об",P_OrgUd_2g_ob))</f>
        <v>0</v>
      </c>
      <c r="AN145" s="148" t="b">
        <f>IF(Исходн.данные.!$P145="Ум",K_OrgUd_2g_um,IF(Исходн.данные.!$P145="Об",K_OrgUd_2g_ob))</f>
        <v>0</v>
      </c>
      <c r="AO145" s="148" t="b">
        <f>IF(Исходн.данные.!$P145="Ум",N_OrgUd_1g_um,IF(Исходн.данные.!$P145="Об",N_OrgUd_1g_ob))</f>
        <v>0</v>
      </c>
      <c r="AP145" s="148" t="b">
        <f>IF(Исходн.данные.!$P145="Ум",P_OrgUd_1g_um,IF(Исходн.данные.!$P145="Об",P_OrgUd_1g_ob))</f>
        <v>0</v>
      </c>
      <c r="AQ145" s="148" t="b">
        <f>IF(Исходн.данные.!$P145="Ум",K_OrgUd_1g_um,IF(Исходн.данные.!$P145="Об",K_OrgUd_1g_ob))</f>
        <v>0</v>
      </c>
      <c r="AR145" t="b">
        <f>IF(Исходн.данные.!$P145="Ум",N_MinUd_2g_um,IF(Исходн.данные.!$P145="Об",N_MinUd_2g_ob))</f>
        <v>0</v>
      </c>
      <c r="AS145" t="b">
        <f>IF(Исходн.данные.!$P145="Ум",P_MinUd_2g_um,IF(Исходн.данные.!$P145="Об",P_MinUd_2g_ob))</f>
        <v>0</v>
      </c>
      <c r="AT145" t="b">
        <f>IF(Исходн.данные.!$P145="Ум",K_MinUd_2g_um,IF(Исходн.данные.!$P145="Об",K_MinUd_2g_ob))</f>
        <v>0</v>
      </c>
      <c r="AU145" t="b">
        <f>IF(Исходн.данные.!$P145="Ум",N_MinUd_1g_um,IF(Исходн.данные.!$P145="Об",N_MinUd_1g_ob))</f>
        <v>0</v>
      </c>
      <c r="AV145" t="b">
        <f>IF(Исходн.данные.!P145="Ум",P_MinUd_1g_um,IF(Исходн.данные.!P145="Об",P_MinUd_1g_ob))</f>
        <v>0</v>
      </c>
      <c r="AW145" t="b">
        <f>IF(Исходн.данные.!P145="Ум",K_MinUd_1g_um,IF(Исходн.данные.!P145="Об",K_MinUd_1g_ob))</f>
        <v>0</v>
      </c>
      <c r="AY145" t="e">
        <f>VLOOKUP(Исходн.данные.!T145,Справ!$A$3:$N$57,12)</f>
        <v>#N/A</v>
      </c>
      <c r="AZ145" t="e">
        <f>VLOOKUP(Исходн.данные.!T145,Справ!$A$3:$N$57,13)</f>
        <v>#N/A</v>
      </c>
      <c r="BA145" t="e">
        <f>VLOOKUP(Исходн.данные.!T145,Справ!$A$3:$N$57,14)</f>
        <v>#N/A</v>
      </c>
      <c r="BB145">
        <f>IF(Исходн.данные.!AH145=0,0,25)</f>
        <v>0</v>
      </c>
      <c r="BC145" s="141">
        <f>IF(Исходн.данные.!AH145=0,0,IF(Исходн.данные.!T145=0,25,BD145))</f>
        <v>0</v>
      </c>
      <c r="BD145" s="168" t="e">
        <f>AY145+AZ145*Исходн.данные.!U145-POWER(BA145,2)*Исходн.данные.!U145</f>
        <v>#N/A</v>
      </c>
      <c r="BE14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5" s="25">
        <f>IF(Исходн.данные.!AH145=0,0,MIN(HN145:HP145))</f>
        <v>0</v>
      </c>
      <c r="BG145" s="9">
        <f>IF(Исходн.данные.!AH145=0,0,IF((HO145+10*0.25/HG145/HL145)&lt;17,17,HO145+10*0.25/HG145/HL145))</f>
        <v>0</v>
      </c>
      <c r="BH145" s="181">
        <f>IF(Исходн.данные.!AH145=0,0,HW145*HF145*HL145/AU145*AI145+Исходн.данные.!S145*10)</f>
        <v>0</v>
      </c>
      <c r="BI145" s="10"/>
      <c r="BJ145" s="182">
        <f>IF(Исходн.данные.!AH145=0,0,IF(HX145*HG145*HL145/AV145&lt;0,0,HX145*HG145*HL145/AV145*AJ145))</f>
        <v>0</v>
      </c>
      <c r="BK145" s="182">
        <f>IF(Исходн.данные.!AH145=0,0,HY145*HH145*HM145/AW145)</f>
        <v>0</v>
      </c>
      <c r="BL145" s="10">
        <f>IF(OR(Исходн.данные.!$AH145=$BP$1,Исходн.данные.!$AH145=$BP$2),0,IF(BH145&lt;0,0,IF(OR(Исходн.данные.!T145=Расчет!$BP$1,Исходн.данные.!T145=Расчет!$BP$2,Исходн.данные.!T145=Расчет!$BT$5,Исходн.данные.!T145=Расчет!$BT$6),BH145*0.5,IF(OR(Исходн.данные.!T145=Расчет!$BS$9,Исходн.данные.!T145=Расчет!$BS$10,Исходн.данные.!T145=Расчет!$BS$11,Исходн.данные.!T145=Расчет!$BS$12,Исходн.данные.!T145=Расчет!$BP$5),BH145*0.8,BH145))))</f>
        <v>0</v>
      </c>
      <c r="BM145" s="10">
        <f>IF(OR(Исходн.данные.!$AH145=$BP$1,Исходн.данные.!$AH145=$BP$2),0,IF(BJ145&lt;0,0,IF(Исходн.данные.!I145&lt;4.5,BJ145*1.2,IF(Исходн.данные.!I145&gt;5.1,BJ145,BJ145*((5.1-Исходн.данные.!I145)*0.333+1)))))</f>
        <v>0</v>
      </c>
      <c r="BN145" s="10">
        <f>IF(OR(Исходн.данные.!$AH145=$BP$1,Исходн.данные.!$AH145=$BP$2),60-Исходн.данные.!AF145,IF(BK145&lt;0,0,IF(Исходн.данные.!I145&lt;4.5,BK145*1.2,IF(Исходн.данные.!I145&gt;5.1,BK145,BK145*((5.1-Исходн.данные.!I145)*0.333+1)))))</f>
        <v>0</v>
      </c>
      <c r="BO145" s="9">
        <f>IF(BL145&lt;0,0,BL145*Исходн.данные.!$AJ145/1000)</f>
        <v>0</v>
      </c>
      <c r="BP145" s="9">
        <f>IF(BM145&lt;0,0,BM145*Исходн.данные.!$AJ145/1000)</f>
        <v>0</v>
      </c>
      <c r="BQ145" s="9">
        <f>IF(BN145&lt;0,0,BN145*Исходн.данные.!$AJ145/1000)</f>
        <v>0</v>
      </c>
      <c r="BR145" s="9">
        <f t="shared" si="155"/>
        <v>0</v>
      </c>
      <c r="BS145" s="10" t="str">
        <f t="shared" si="156"/>
        <v>Аммофос 12:52:00</v>
      </c>
      <c r="BT145" s="10" t="str">
        <f t="shared" si="157"/>
        <v>Аммофос 12:52:00</v>
      </c>
      <c r="BU145" s="10" t="str">
        <f t="shared" si="158"/>
        <v>Диаммофоска</v>
      </c>
      <c r="BV145" s="10">
        <f t="shared" si="159"/>
        <v>0</v>
      </c>
      <c r="BW145" s="10"/>
      <c r="BX145" s="10"/>
      <c r="BY145" s="9">
        <f>IF(BL145&lt;0,0,IF(OR(Исходн.данные.!AI145=Расчет!$BU$6,Исходн.данные.!AI145=Расчет!$BU$7),Расчет!BV145,IF(Исходн.данные.!$AG145=$BV$11,BL145,IF(OR(Исходн.данные.!$AH145=$BQ$7,Исходн.данные.!$AH145=$BQ$8),CB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0,IF(Исходн.данные.!$AI145=$BU$11,"Нет",IF(BL145&gt;30,30,BL145)))))))</f>
        <v>0</v>
      </c>
      <c r="BZ145" s="9">
        <f>IF(AND(Исходн.данные.!$AG145=$BV$11,BM145&lt;10),10,IF(Исходн.данные.!$AG145=$BV$11,BM145,IF(OR(Исходн.данные.!$AH145=$BQ$7,Исходн.данные.!$AH145=$BQ$8),CC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10,IF(Исходн.данные.!$AI145=$BU$11,"Нет",IF(BM145&gt;60,60,IF(BM145&lt;10,10,BM145)))))))</f>
        <v>10</v>
      </c>
      <c r="CA145" s="39">
        <f>IF(BN145&lt;0,0,IF(Исходн.данные.!$AG145=$BV$11,BN145,IF(OR(Исходн.данные.!$AH145=$BQ$7,Исходн.данные.!$AH145=$BQ$8),CD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0,IF(Исходн.данные.!$AI145=$BU$11,"Нет",IF(BN145&gt;30,30,BN145))))))</f>
        <v>0</v>
      </c>
      <c r="CB145" s="9">
        <f t="shared" si="160"/>
        <v>0</v>
      </c>
      <c r="CC145" s="9">
        <f t="shared" si="161"/>
        <v>0</v>
      </c>
      <c r="CD145" s="9">
        <f t="shared" si="162"/>
        <v>0</v>
      </c>
      <c r="CE145" s="12">
        <f t="shared" si="163"/>
        <v>10</v>
      </c>
      <c r="CF145" s="9">
        <f t="shared" si="164"/>
        <v>0</v>
      </c>
      <c r="CG145" s="9" t="s">
        <v>231</v>
      </c>
      <c r="CH145" s="132" t="str">
        <f>IF(Исходн.данные.!AP145=Расчет!$CI$16,"Нет",IF(Исходн.данные.!AL145&gt;0,Исходн.данные.!AL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BH$4,IF(OR(Исходн.данные.!AI145=Исходн.данные.!$AI$6,Исходн.данные.!AI145=Исходн.данные.!$AI$7),Расчет!BS145,IF(AND($CF145=0,$CE145&gt;0),EV145,ER145)))))</f>
        <v>Аммофос 12:52:00</v>
      </c>
      <c r="CI145" s="274">
        <f>IF(Расчет!$CH145="Нет","Нет",IF(Исходн.данные.!$AL145&gt;0,VLOOKUP(Расчет!$CH145,АшламаДВ_Irekle,2,FALSE),VLOOKUP(Расчет!$CH145,АшламаДВ_Gomumy,2,FALSE)))</f>
        <v>0.12</v>
      </c>
      <c r="CJ145" s="274">
        <f>IF(Расчет!$CH145="Нет","Нет",IF(Исходн.данные.!$AL145&gt;0,VLOOKUP(Расчет!$CH145,АшламаДВ_Irekle,3,FALSE),VLOOKUP(Расчет!$CH145,АшламаДВ_Gomumy,3,FALSE)))</f>
        <v>0.52</v>
      </c>
      <c r="CK145" s="274">
        <f>IF(Расчет!$CH145="Нет","Нет",IF(Исходн.данные.!$AL145&gt;0,VLOOKUP(Расчет!$CH145,АшламаДВ_Irekle,4,FALSE),VLOOKUP(Расчет!$CH145,АшламаДВ_Gomumy,4,FALSE)))</f>
        <v>0</v>
      </c>
      <c r="CL145" s="70"/>
      <c r="CM145" s="70"/>
      <c r="CN145" s="70"/>
      <c r="CO145" s="70"/>
      <c r="CP145" s="70"/>
      <c r="CQ145" s="70"/>
      <c r="CR145" s="10">
        <f t="shared" si="165"/>
        <v>0</v>
      </c>
      <c r="CS145" s="10">
        <f t="shared" si="166"/>
        <v>19.23076923076923</v>
      </c>
      <c r="CT145" s="10">
        <f t="shared" si="167"/>
        <v>0</v>
      </c>
      <c r="CU145" s="39">
        <f>IF($CH145="Нет",0,IF(CI145=0,30/MIN(CJ145:CK145),IF(Исходн.данные.!$AG145=$BV$11,CR145,IF(OR(Исходн.данные.!$AH145=$BQ$7,Исходн.данные.!$AH145=$BQ$8),90/CI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0,IF(Исходн.данные.!$AI145=$BU$11,"Нет",30/CI145))))))</f>
        <v>250</v>
      </c>
      <c r="CV145" s="39">
        <f>IF($CH145="Нет",0,IF(Исходн.данные.!AH145=0,0,IF(CJ145=0,60/MIN(CI145,CK145),IF(Исходн.данные.!$AG145=$BV$11,CS145,IF(OR(Исходн.данные.!$AH145=$BQ$7,Исходн.данные.!$AH145=$BQ$8),90/CJ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10/CJ145,IF(Исходн.данные.!$AI145=$BU$11,"Нет",60/CJ145)))))))</f>
        <v>0</v>
      </c>
      <c r="CW145" s="39">
        <f>IF($CH145="Нет",0,IF(Исходн.данные.!AH145=0,0,IF(CK145=0,30/MIN(CI145:CJ145),IF(Исходн.данные.!$AG145=$BV$11,CT145,IF(OR(Исходн.данные.!$AH145=$BQ$7,Исходн.данные.!$AH145=$BQ$8),90/CK145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0,IF(Исходн.данные.!$AI145=$BU$11,"Нет",30/CK145)))))))</f>
        <v>0</v>
      </c>
      <c r="CX145" s="133">
        <f>IF(Исходн.данные.!$AG145=$BV$11,MAX(CU145:CW145),IF(OR(Исходн.данные.!$AH145=$BS$8,Исходн.данные.!$AH145=$BQ$9,Исходн.данные.!$AH145=$BQ$10,Исходн.данные.!$AH145=$BQ$11,Исходн.данные.!$AH145=$BQ$12,Исходн.данные.!$AH145=$BP$3,Исходн.данные.!$AH145=$BT$8,$FM145="Да"),CV145,MIN(CU145:CW145)))</f>
        <v>0</v>
      </c>
      <c r="CY145" s="133">
        <f>IF(Исходн.данные.!AH145=0,0,IF(CR145&gt;$CX145,$CX145,CR145))</f>
        <v>0</v>
      </c>
      <c r="CZ145" s="133">
        <f>IF(Исходн.данные.!AH145=0,0,IF(CS145&gt;$CX145,$CX145,CS145))</f>
        <v>0</v>
      </c>
      <c r="DA145" s="133">
        <f>IF(Исходн.данные.!AH145=0,0,IF(CT145&gt;$CX145,$CX145,CT145))</f>
        <v>0</v>
      </c>
      <c r="DB145" s="10">
        <f t="shared" si="168"/>
        <v>0</v>
      </c>
      <c r="DC145" s="39">
        <f>DB145*Исходн.данные.!AJ145/1000</f>
        <v>0</v>
      </c>
      <c r="DD145" s="71">
        <f t="shared" si="169"/>
        <v>0</v>
      </c>
      <c r="DE145" s="9">
        <f t="shared" si="170"/>
        <v>0</v>
      </c>
      <c r="DF145" s="9">
        <f t="shared" si="171"/>
        <v>0</v>
      </c>
      <c r="DG145" s="39">
        <f>IF(BL145&lt;0,0,IF($CH145="Нет",BL145,IF(OR(Исходн.данные.!$AH145=$BP$1,Исходн.данные.!$AH145=$BP$2),0,IF(Исходн.данные.!AI145=$BU$11,BL145,IF(BL145-DD145&lt;0,0,BL145-DD145)))))</f>
        <v>0</v>
      </c>
      <c r="DH145" s="39">
        <f>IF(BM145&lt;0,0,IF($CH145="Нет",BM145,IF(OR(Исходн.данные.!$AH145=$BP$1,Исходн.данные.!$AH145=$BP$2),0,IF(Исходн.данные.!AJ145=$BU$11,BM145,IF(BM145-DE145&lt;0,0,BM145-DE145)))))</f>
        <v>0</v>
      </c>
      <c r="DI145" s="39">
        <f>IF(BN145&lt;0,0,IF($CH145="Нет",BN145,IF(OR(Исходн.данные.!$AH145=$BP$1,Исходн.данные.!$AH145=$BP$2),0,IF(Исходн.данные.!AK145=$BU$11,BN145,IF(BN145-DF145&lt;0,0,BN145-DF145)))))</f>
        <v>0</v>
      </c>
      <c r="DJ145" s="12">
        <f t="shared" si="172"/>
        <v>0</v>
      </c>
      <c r="DK145" s="9">
        <f t="shared" si="173"/>
        <v>0</v>
      </c>
      <c r="DL145" s="39">
        <f>IF(Исходн.данные.!AM145&gt;0,Исходн.данные.!AM145,IF(EG145&gt;0,$BH$10,0))</f>
        <v>0</v>
      </c>
      <c r="DM145" s="186">
        <f>IF($DL145=0,0,IF(Исходн.данные.!AM145&gt;0,VLOOKUP($DL145,АшламаДВ_Irekle,2,FALSE),VLOOKUP($DL145,АшламаДВ_Gomumy,2,FALSE)))</f>
        <v>0</v>
      </c>
      <c r="DN145" s="10">
        <f t="shared" si="151"/>
        <v>0</v>
      </c>
      <c r="DO145" s="9" t="str">
        <f>IF(Исходн.данные.!AN145&gt;0,Исходн.данные.!AN145,Удобрения!$B$37 )</f>
        <v>Хлор.калий</v>
      </c>
      <c r="DP145" s="9">
        <f>IF(Исходн.данные.!AN145&gt;0,VLOOKUP(Исходн.данные.!AN145,АшламаДВ_Irekle,4,FALSE),VLOOKUP(DO145,АшламаДВ_Gomumy,4,FALSE))</f>
        <v>0.6</v>
      </c>
      <c r="DQ145" s="10">
        <f t="shared" si="152"/>
        <v>0</v>
      </c>
      <c r="DR145" s="132" t="str">
        <f>IF(Исходн.данные.!AO145&gt;0,Исходн.данные.!AO145,IF(DH145=0,BS$17,IF(AND($DK145=0,$DJ145&gt;0),EJ145,EN145)))</f>
        <v>Нет</v>
      </c>
      <c r="DS145" s="70" t="str">
        <f>IF($DR145="Нет","Нет",IF(Исходн.данные.!$AO145&gt;0,VLOOKUP($DR145,АшламаДВ_Irekle,2,FALSE),VLOOKUP($DR145,АшламаДВ_Gomumy,2,FALSE)))</f>
        <v>Нет</v>
      </c>
      <c r="DT145" s="70" t="str">
        <f>IF($DR145="Нет","Нет",IF(Исходн.данные.!$AO145&gt;0,VLOOKUP($DR145,АшламаДВ_Irekle,3,FALSE),VLOOKUP($DR145,АшламаДВ_Gomumy,3,FALSE)))</f>
        <v>Нет</v>
      </c>
      <c r="DU145" s="70" t="str">
        <f>IF($DR145="Нет","Нет",IF(Исходн.данные.!$AO145&gt;0,VLOOKUP($DR145,АшламаДВ_Irekle,4,FALSE),VLOOKUP($DR145,АшламаДВ_Gomumy,4,FALSE)))</f>
        <v>Нет</v>
      </c>
      <c r="DV145" s="70"/>
      <c r="DW145" s="70"/>
      <c r="DX145" s="70"/>
      <c r="DY145" s="10">
        <f t="shared" si="174"/>
        <v>0</v>
      </c>
      <c r="DZ145" s="10">
        <f t="shared" si="175"/>
        <v>0</v>
      </c>
      <c r="EA145" s="10">
        <f t="shared" si="176"/>
        <v>0</v>
      </c>
      <c r="EB145" s="10">
        <f t="shared" si="177"/>
        <v>0</v>
      </c>
      <c r="EC145" s="10">
        <f t="shared" si="178"/>
        <v>0</v>
      </c>
      <c r="ED145" s="10">
        <f t="shared" si="179"/>
        <v>0</v>
      </c>
      <c r="EE145" s="10">
        <f t="shared" si="180"/>
        <v>0</v>
      </c>
      <c r="EF145" s="39">
        <f>EB145*Исходн.данные.!AJ145/1000</f>
        <v>0</v>
      </c>
      <c r="EG145" s="9">
        <f t="shared" si="181"/>
        <v>0</v>
      </c>
      <c r="EH145" s="9">
        <f t="shared" si="182"/>
        <v>0</v>
      </c>
      <c r="EI145" s="39" t="e">
        <f t="shared" si="132"/>
        <v>#DIV/0!</v>
      </c>
      <c r="EJ145" s="9" t="str">
        <f t="shared" si="153"/>
        <v>Азопреципитат</v>
      </c>
      <c r="EK145" s="12">
        <f t="shared" si="133"/>
        <v>0.26</v>
      </c>
      <c r="EL145" s="12">
        <f t="shared" si="134"/>
        <v>0.13</v>
      </c>
      <c r="EM145" s="12">
        <f t="shared" si="135"/>
        <v>0</v>
      </c>
      <c r="EN145" s="12" t="str">
        <f t="shared" si="154"/>
        <v>Нет</v>
      </c>
      <c r="EO145" s="12">
        <f t="shared" si="136"/>
        <v>0</v>
      </c>
      <c r="EP145" s="12">
        <f t="shared" si="137"/>
        <v>0</v>
      </c>
      <c r="EQ145" s="12">
        <f t="shared" si="138"/>
        <v>0</v>
      </c>
      <c r="ER145" s="12" t="str">
        <f t="shared" si="183"/>
        <v>Диаммофоска</v>
      </c>
      <c r="ES145" s="12">
        <f t="shared" si="139"/>
        <v>0.1</v>
      </c>
      <c r="ET145" s="12">
        <f t="shared" si="140"/>
        <v>0.26</v>
      </c>
      <c r="EU145" s="12">
        <f t="shared" si="141"/>
        <v>0.26</v>
      </c>
      <c r="EV145" s="12" t="str">
        <f t="shared" si="184"/>
        <v>Аммофос 12:52:00</v>
      </c>
      <c r="EW145" s="12" t="str">
        <f t="shared" si="185"/>
        <v>Кемира Свекловичное-6</v>
      </c>
      <c r="EX145" s="12">
        <f t="shared" si="142"/>
        <v>0.16</v>
      </c>
      <c r="EY145" s="12">
        <f t="shared" si="143"/>
        <v>0.12</v>
      </c>
      <c r="EZ145" s="12">
        <f t="shared" si="144"/>
        <v>0.17</v>
      </c>
      <c r="FA145" s="38" t="e">
        <f>IF(AND(OR(FJ145=$FD$1,FM145=$FD$1,FO145=$FD$1,FQ145=$FD$1,FS145=$FD$1),FD145=$FD$1,Исходн.данные.!J145&lt;2,FU145=$FD$1),"Бор,Кобальт",IF(AND(FO145=$FD$1,FH145=$FD$1,Исходн.данные.!J145&lt;2,FU145=$FD$1),"Бор,Кобальт",IF(AND(OR(FJ145=$FD$1,FM145=$FD$1,FQ145=$FD$1),FE145=$FD$1,Исходн.данные.!J145&lt;2,FT145=$FD$1,FU145=$FD$1),"Бор,Медь,Цинк",IF(AND(OR(FJ145=$FD$1,FR145="Да"),FI145="Да",Исходн.данные.!J145&lt;2,FT145="Да",FU145="Да"),"Бор,Цинк,Медь",IF(AND(OR(FM145="Да",FQ145="Да"),FI145="Да",Исходн.данные.!J145&lt;2,FT145="Да",FU145="Да"),"Бор,Цинк",IF(AND(FN145="Да",OR(FD145="Да",FE145="Да")),"Бор",FB145))))))</f>
        <v>#N/A</v>
      </c>
      <c r="FB145" s="134" t="e">
        <f>IF(AND(OR(FD145="Да",FE145="Да",FF145="Да",FG145="Да",FH145="Да"),FO145="Да"),"Бор",IF(AND(FP145="Да",OR(FD145="Да",FE145="Да",FI145="Да")),"Бор",IF(AND(FS145="Да",FE145="Да"),"Бор,Медь",IF(AND(OR(FJ145="Да",FK145="Да",FL145="Да"),FE145="Да",Исходн.данные.!I145&lt;5,FT145="Да",FU145="Да"),"Молибден,Цинк",IF(AND(FM145="Да",OR(FE145="Да",FF145="Да",FG145="Да",FH145="Да",FI145="Да")),"Молибден,Цинк",IF(AND(OR(FJ145="Да",FK145="Да",FL145="Да",FM145="Да",FQ145="Да"),OR(FE145="Да",FF145="Да"),FT145="Да",FU145="Да",Исходн.данные.!I145&gt;5.5),"Медь,Цинк",FC145))))))</f>
        <v>#N/A</v>
      </c>
      <c r="FC145" s="23" t="e">
        <f t="shared" si="186"/>
        <v>#N/A</v>
      </c>
      <c r="FD145" s="38" t="str">
        <f>IF(OR(Исходн.данные.!F145=$CC$1,Исходн.данные.!F145=$CC$2,Исходн.данные.!F145=$CC$3,Исходн.данные.!F145=$CC$4),"Да","Нет")</f>
        <v>Нет</v>
      </c>
      <c r="FE145" s="38" t="str">
        <f>IF(Исходн.данные.!F145=$CC$5,"Да","Нет")</f>
        <v>Нет</v>
      </c>
      <c r="FF145" s="38" t="str">
        <f>IF(OR(Исходн.данные.!F145=$CC$6,Исходн.данные.!F145=$CC$7),"Да","Нет")</f>
        <v>Нет</v>
      </c>
      <c r="FG145" s="38" t="str">
        <f>IF(OR(Исходн.данные.!F145=$CC$8,Исходн.данные.!F145=$CC$9),"Да","Нет")</f>
        <v>Нет</v>
      </c>
      <c r="FH145" s="38" t="str">
        <f>IF(Исходн.данные.!F145=$CC$10,"Да","Нет")</f>
        <v>Нет</v>
      </c>
      <c r="FI145" s="38" t="str">
        <f>IF(OR(Исходн.данные.!F145=$CC$11,Исходн.данные.!F145=$CC$12),"Да","Нет")</f>
        <v>Нет</v>
      </c>
      <c r="FJ145" s="38" t="str">
        <f>IF(OR(Исходн.данные.!AH145=$BS$1,Исходн.данные.!AH145=$BQ$11,Исходн.данные.!AH145=$BQ$12),"Да","Нет")</f>
        <v>Нет</v>
      </c>
      <c r="FK145" s="38" t="str">
        <f>IF(OR(Исходн.данные.!AH145=$BS$2,Исходн.данные.!AH145=$BS$4),"Да","Нет")</f>
        <v>Нет</v>
      </c>
      <c r="FL145" s="38" t="str">
        <f>IF(OR(Исходн.данные.!AH145=$BS$3,Исходн.данные.!AH145=$BS$5),"Да","Нет")</f>
        <v>Нет</v>
      </c>
      <c r="FM145" s="38" t="str">
        <f>IF(OR(Исходн.данные.!AH145=$BS$9,Исходн.данные.!AH145=$BS$10,Исходн.данные.!AH145=$BS$11,Исходн.данные.!AH145=$BS$12),"Да","Нет")</f>
        <v>Нет</v>
      </c>
      <c r="FN145" s="38" t="str">
        <f>IF(OR(Исходн.данные.!AH145=$BS$6,Исходн.данные.!AH145=$BP$3),"Да","Нет")</f>
        <v>Нет</v>
      </c>
      <c r="FO145" s="38" t="str">
        <f>IF(Исходн.данные.!AH145=$BQ$9,"Да","Нет")</f>
        <v>Нет</v>
      </c>
      <c r="FP145" s="38" t="str">
        <f>IF(OR(Исходн.данные.!AH145=$BS$8,Исходн.данные.!AH145=$BT$8),"Да","Нет")</f>
        <v>Нет</v>
      </c>
      <c r="FQ145" s="38" t="str">
        <f>IF(OR(Исходн.данные.!AH145=$BQ$7,Исходн.данные.!AH145=$BQ$8),"Да","Нет")</f>
        <v>Нет</v>
      </c>
      <c r="FR145" s="38" t="str">
        <f>IF(Исходн.данные.!AI145=$BU$9,"Да","Нет")</f>
        <v>Нет</v>
      </c>
      <c r="FS145" s="38" t="str">
        <f>IF(OR(Исходн.данные.!AH145=$BP$1,Исходн.данные.!AH145=$BP$2),"Да","Нет")</f>
        <v>Нет</v>
      </c>
      <c r="FT145" s="38" t="e">
        <f>IF((Исходн.данные.!K145*GO145*GS145*GW145+BL145*0.6+Исходн.данные.!Q145*4.5*0.275)&gt;90,"Да","Нет")</f>
        <v>#N/A</v>
      </c>
      <c r="FU145" s="38" t="e">
        <f>IF((Исходн.данные.!M145*GS145*GZ145+BM145*0.225)&gt;35,"Да","Нет")</f>
        <v>#N/A</v>
      </c>
      <c r="FV145" s="38" t="str">
        <f>IF(Исходн.данные.!O145&gt;175,"Да","Нет")</f>
        <v>Нет</v>
      </c>
      <c r="FW145" s="39" t="str">
        <f>IF(Исходн.данные.!I145&gt;5.5,"Да","Нет")</f>
        <v>Нет</v>
      </c>
      <c r="FX145" s="39" t="str">
        <f>IF(Исходн.данные.!J145&lt;2,"Да","Нет")</f>
        <v>Да</v>
      </c>
      <c r="FY145" s="39" t="e">
        <f>IF(HF145=$FY$16,0,Исходн.данные.!K145*GO145*GS145*GW145/HF145)</f>
        <v>#N/A</v>
      </c>
      <c r="FZ145" s="39" t="e">
        <f>Исходн.данные.!M145*GS145*GZ145/HG145</f>
        <v>#N/A</v>
      </c>
      <c r="GA145" s="39" t="e">
        <f>IF(K_Wyn=$FY$16,0,IF(Исходн.данные.!N145=Исходн.данные.!$L$10,Исходн.данные.!O145/1.1*GS145*HC145/HH145,IF(Исходн.данные.!N145=Исходн.данные.!$L$12,Исходн.данные.!O145/1.5*GS145*HC145/HH145,Исходн.данные.!O145*GS145*HC145/HH145)))</f>
        <v>#N/A</v>
      </c>
      <c r="GB145" s="39" t="e">
        <f>IF(HF145=$FY$16,0,((Исходн.данные.!Q145*N_Org+Исходн.данные.!R145*N_Sider+Исходн.данные.!S145*N_Soloma)*AO145+Расчет!BC145*VLOOKUP(Исходн.данные.!T145,Справ!$A$3:$O$57,15)*AO145+BB145*VLOOKUP(Исходн.данные.!T145,Справ!$A$3:$O$57,15)*AL145+(Исходн.данные.!V145*N_Rizotorf+Исходн.данные.!W145*N_Rizoagr))/HF145)</f>
        <v>#N/A</v>
      </c>
      <c r="GC145" s="39" t="e">
        <f>IF(HG145=$FY$16,0,((Исходн.данные.!Q145*Р_Org+Исходн.данные.!R145*P_Sider+Исходн.данные.!S145*P_Soloma)*AP145+Расчет!BC145*VLOOKUP(Исходн.данные.!T145,Справ!$A$3:$P$57,16)*AP145+BB145*VLOOKUP(Исходн.данные.!T145,Справ!$A$3:$P$57,16)*AM145)/HG145)</f>
        <v>#N/A</v>
      </c>
      <c r="GD145" s="39" t="e">
        <f>IF(HH145=$FY$16,0,((Исходн.данные.!Q145*К_Org+Исходн.данные.!R145*K_Sider+Исходн.данные.!S145*K_Soloma)*AQ145+Расчет!BC145*VLOOKUP(Исходн.данные.!T145,Справ!$A$3:$Q$57,17)*AQ145+BB145*VLOOKUP(Исходн.данные.!T145,Справ!$A$3:$Q$57,17)*AN145)/HH145)</f>
        <v>#N/A</v>
      </c>
      <c r="GE145" s="39" t="e">
        <f>IF(HF145=$FY$16,0,(Исходн.данные.!X145*AR145+Исходн.данные.!AA145*N_Org*AL145+Исходн.данные.!AB145*N_Sider*AL145+Исходн.данные.!AC145*N_Soloma*AL145)/HF145)</f>
        <v>#N/A</v>
      </c>
      <c r="GF145" s="39" t="e">
        <f>IF(HG145=$FY$16,0,(Исходн.данные.!Y145*AS145+Исходн.данные.!AA145*Р_Org*AM145+Исходн.данные.!AB145*P_Sider*AM145+Исходн.данные.!AC145*P_Soloma*AM145)/HG145)</f>
        <v>#N/A</v>
      </c>
      <c r="GG145" s="39" t="e">
        <f>IF(HH145=$FY$16,0,(Исходн.данные.!Z145*AT145+Исходн.данные.!AA145*К_Org*AN145+Исходн.данные.!AB145*K_Sider*AN145+Исходн.данные.!AC145*K_Soloma*AN145)/HH145)</f>
        <v>#N/A</v>
      </c>
      <c r="GH145" s="39" t="e">
        <f>Исходн.данные.!AD145*AU145/HF145</f>
        <v>#N/A</v>
      </c>
      <c r="GI145" s="39" t="e">
        <f>Исходн.данные.!AE145*AV145/HG145</f>
        <v>#N/A</v>
      </c>
      <c r="GJ145" s="39" t="e">
        <f>Исходн.данные.!AF145*AW145/HH145</f>
        <v>#N/A</v>
      </c>
      <c r="GK145" s="55">
        <f>Исходн.данные.!AK145</f>
        <v>0</v>
      </c>
      <c r="GL145" s="11" t="e">
        <f t="shared" si="187"/>
        <v>#N/A</v>
      </c>
      <c r="GM145" s="11" t="e">
        <f t="shared" si="188"/>
        <v>#N/A</v>
      </c>
      <c r="GN145" s="11" t="e">
        <f t="shared" si="189"/>
        <v>#N/A</v>
      </c>
      <c r="GO145" s="57">
        <f t="shared" si="190"/>
        <v>19</v>
      </c>
      <c r="GP145" s="55">
        <f>IF(OR(Исходн.данные.!F145=$CE$1,Исходн.данные.!F145=$CE$2,Исходн.данные.!F145=$CE$3,Исходн.данные.!F145=$CE$4,Исходн.данные.!F145=$CE$5),GQ145,GR145)</f>
        <v>19</v>
      </c>
      <c r="GQ145" s="55">
        <f>IF(Исходн.данные.!F145=$CE$1,28,IF(Исходн.данные.!F145=$CE$2,26,IF(Исходн.данные.!F145=$CE$3,24,IF(Исходн.данные.!F145=$CE$4,22,IF(Исходн.данные.!F145=$CE$5,20,GR145)))))</f>
        <v>19</v>
      </c>
      <c r="GR145" s="55">
        <f>IF(Исходн.данные.!F145=$CE$6,18,IF(Исходн.данные.!F145=$CE$7,16,IF(Исходн.данные.!F145=$CE$8,14,IF(Исходн.данные.!F145=$CE$9,13,IF(Исходн.данные.!F145=$CE$10,12,19)))))</f>
        <v>19</v>
      </c>
      <c r="GS145" s="55">
        <f>IF(Исходн.данные.!G145="Пес",0.035*(40+2*Исходн.данные.!H145),IF(Исходн.данные.!G145="Суп",0.0325*(40+2*Исходн.данные.!H145),0.03*(40+2*Исходн.данные.!H145)))</f>
        <v>1.2</v>
      </c>
      <c r="GT145" s="55">
        <f>IF(Исходн.данные.!H145&lt;23,2.6,IF(AND(Исходн.данные.!H145&gt;22,Исходн.данные.!H145&lt;26),3,IF(AND(Исходн.данные.!H145&gt;25,Исходн.данные.!H145&lt;29),3.4,3.6)))</f>
        <v>2.6</v>
      </c>
      <c r="GU145" s="55">
        <f>IF(Исходн.данные.!H145&lt;23,2.8,IF(AND(Исходн.данные.!H145&gt;22,Исходн.данные.!H145&lt;26),3.2,IF(AND(Исходн.данные.!H145&gt;25,Исходн.данные.!H145&lt;29),3.6,3.9)))</f>
        <v>2.8</v>
      </c>
      <c r="GV145" s="55">
        <f>IF(Исходн.данные.!H145&lt;23,3,IF(AND(Исходн.данные.!H145&gt;22,Исходн.данные.!H145&lt;26),3.5,IF(AND(Исходн.данные.!H145&gt;25,Исходн.данные.!H145&lt;29),3.9,4.2)))</f>
        <v>3</v>
      </c>
      <c r="GW145" s="55" t="e">
        <f>IF(Исходн.данные.!P145="Ум",GX145,GY145)</f>
        <v>#N/A</v>
      </c>
      <c r="GX145" s="55" t="e">
        <f>VLOOKUP(Исходн.данные.!AI145,Коэффициенты!$J$7:$L$13,2,FALSE)</f>
        <v>#N/A</v>
      </c>
      <c r="GY145" s="55" t="e">
        <f>VLOOKUP(Исходн.данные.!AI145,Коэффициенты!$J$7:$L$13,3,FALSE)</f>
        <v>#N/A</v>
      </c>
      <c r="GZ145" s="55" t="e">
        <f>(IF(Исходн.данные.!M145&lt;50,0.11*VLOOKUP(Исходн.данные.!AH145,Культуры.Информация,7,FALSE),IF(Исходн.данные.!M145&gt;250,0.05*VLOOKUP(Исходн.данные.!AH145,Культуры.Информация,7,FALSE),VLOOKUP(Исходн.данные.!AH145,Культуры.Информация,5,FALSE)/100*($GX$6+$GY$6*Исходн.данные.!M145))))*Расчет2!AI145</f>
        <v>#N/A</v>
      </c>
      <c r="HA145" s="211"/>
      <c r="HB145" s="211"/>
      <c r="HC145" s="55" t="e">
        <f>(IF(Исходн.данные.!O145&lt;80,0.2*VLOOKUP(Исходн.данные.!AH145,Культуры.Информация,8,FALSE),IF(Исходн.данные.!O145&gt;240,0.09*VLOOKUP(Исходн.данные.!AH145,Культуры.Информация,8,FALSE),VLOOKUP(Исходн.данные.!AH145,Культуры.Информация,6,FALSE)/100*($HB$6+$HC$6*Исходн.данные.!O145))))*Расчет2!AJ145</f>
        <v>#N/A</v>
      </c>
      <c r="HD145" s="55">
        <f>IF(Исходн.данные.!O145&gt;240,0.09,IF(Исходн.данные.!O145&lt;30,0.3,$HE$10+$HD$10*Исходн.данные.!O145))</f>
        <v>0.3</v>
      </c>
      <c r="HE145" s="55">
        <f>IF(Исходн.данные.!O145&gt;240,0.17,IF(Исходн.данные.!O145&lt;30,0.5,$HF$12+$HE$12*Исходн.данные.!O145))</f>
        <v>0.5</v>
      </c>
      <c r="HF145" s="55" t="e">
        <f>VLOOKUP(Исходн.данные.!AH145,Справ!$A$3:$D$58,2,FALSE)</f>
        <v>#N/A</v>
      </c>
      <c r="HG145" s="55" t="e">
        <f>VLOOKUP(Исходн.данные.!AH145,Справ!$A$3:$D$58,3,FALSE)</f>
        <v>#N/A</v>
      </c>
      <c r="HH145" s="55" t="e">
        <f>VLOOKUP(Исходн.данные.!AH145,Справ!$A$3:$D$58,4,FALSE)</f>
        <v>#N/A</v>
      </c>
      <c r="HI145" s="11" t="e">
        <f t="shared" si="191"/>
        <v>#N/A</v>
      </c>
      <c r="HJ145" s="11" t="e">
        <f t="shared" si="192"/>
        <v>#N/A</v>
      </c>
      <c r="HK145" s="11" t="e">
        <f t="shared" si="193"/>
        <v>#N/A</v>
      </c>
      <c r="HL145" s="55">
        <f>IF(OR(Исходн.данные.!G145="Глин",Исходн.данные.!G145="Т_суг"),1.1,IF(Исходн.данные.!G145="Ср_суг",1,1))</f>
        <v>1</v>
      </c>
      <c r="HM145" s="55">
        <f>IF(OR(Исходн.данные.!G145="Глин",Исходн.данные.!G145="Т_суг"),0.9,IF(Исходн.данные.!G145="Ср_суг",1,1.2))</f>
        <v>1.2</v>
      </c>
      <c r="HN145" s="11" t="e">
        <f t="shared" si="194"/>
        <v>#N/A</v>
      </c>
      <c r="HO145" s="11" t="e">
        <f t="shared" si="195"/>
        <v>#N/A</v>
      </c>
      <c r="HP145" s="11" t="e">
        <f t="shared" si="196"/>
        <v>#N/A</v>
      </c>
      <c r="HQ145" t="e">
        <f t="shared" si="197"/>
        <v>#N/A</v>
      </c>
      <c r="HR145" t="e">
        <f t="shared" si="198"/>
        <v>#N/A</v>
      </c>
      <c r="HS145" t="e">
        <f t="shared" si="199"/>
        <v>#N/A</v>
      </c>
      <c r="HT145" t="e">
        <f t="shared" si="145"/>
        <v>#N/A</v>
      </c>
      <c r="HU145" t="e">
        <f t="shared" si="146"/>
        <v>#N/A</v>
      </c>
      <c r="HV145" t="e">
        <f t="shared" si="147"/>
        <v>#N/A</v>
      </c>
      <c r="HW145" t="e">
        <f t="shared" si="148"/>
        <v>#N/A</v>
      </c>
      <c r="HX145" t="e">
        <f t="shared" si="149"/>
        <v>#N/A</v>
      </c>
      <c r="HY145" t="e">
        <f t="shared" si="150"/>
        <v>#N/A</v>
      </c>
      <c r="HZ145" s="55">
        <f>IF(OR(Исходн.данные.!AI145="Оз_Ч_П",Исходн.данные.!AI145="Оз_З_П",Исходн.данные.!AI145="Яр_зер"),12,30)</f>
        <v>30</v>
      </c>
      <c r="IA145" t="e">
        <f t="shared" si="200"/>
        <v>#N/A</v>
      </c>
      <c r="IB145" t="e">
        <f t="shared" si="201"/>
        <v>#N/A</v>
      </c>
      <c r="IC145" t="e">
        <f t="shared" si="202"/>
        <v>#N/A</v>
      </c>
      <c r="ID145" s="11" t="e">
        <f t="shared" si="203"/>
        <v>#N/A</v>
      </c>
      <c r="IE145" s="11" t="e">
        <f t="shared" si="204"/>
        <v>#N/A</v>
      </c>
      <c r="IF145" s="11" t="e">
        <f t="shared" si="205"/>
        <v>#N/A</v>
      </c>
    </row>
    <row r="146" spans="35:240" x14ac:dyDescent="0.2">
      <c r="AI146">
        <f>IF(Исходн.данные.!I146&gt;6,1,1.85-(0.148*Исходн.данные.!I146))</f>
        <v>1.85</v>
      </c>
      <c r="AJ146">
        <f>IF(Исходн.данные.!I146&gt;6,1,2.434-(0.246*Исходн.данные.!I146))</f>
        <v>2.4340000000000002</v>
      </c>
      <c r="AL146" s="148" t="b">
        <f>IF(Исходн.данные.!$P146="Ум",N_OrgUd_2g_um,IF(Исходн.данные.!$P146="Об",N_OrgUd_2g_ob))</f>
        <v>0</v>
      </c>
      <c r="AM146" s="148" t="b">
        <f>IF(Исходн.данные.!$P146="Ум",P_OrgUd_2g_um,IF(Исходн.данные.!$P146="Об",P_OrgUd_2g_ob))</f>
        <v>0</v>
      </c>
      <c r="AN146" s="148" t="b">
        <f>IF(Исходн.данные.!$P146="Ум",K_OrgUd_2g_um,IF(Исходн.данные.!$P146="Об",K_OrgUd_2g_ob))</f>
        <v>0</v>
      </c>
      <c r="AO146" s="148" t="b">
        <f>IF(Исходн.данные.!$P146="Ум",N_OrgUd_1g_um,IF(Исходн.данные.!$P146="Об",N_OrgUd_1g_ob))</f>
        <v>0</v>
      </c>
      <c r="AP146" s="148" t="b">
        <f>IF(Исходн.данные.!$P146="Ум",P_OrgUd_1g_um,IF(Исходн.данные.!$P146="Об",P_OrgUd_1g_ob))</f>
        <v>0</v>
      </c>
      <c r="AQ146" s="148" t="b">
        <f>IF(Исходн.данные.!$P146="Ум",K_OrgUd_1g_um,IF(Исходн.данные.!$P146="Об",K_OrgUd_1g_ob))</f>
        <v>0</v>
      </c>
      <c r="AR146" t="b">
        <f>IF(Исходн.данные.!$P146="Ум",N_MinUd_2g_um,IF(Исходн.данные.!$P146="Об",N_MinUd_2g_ob))</f>
        <v>0</v>
      </c>
      <c r="AS146" t="b">
        <f>IF(Исходн.данные.!$P146="Ум",P_MinUd_2g_um,IF(Исходн.данные.!$P146="Об",P_MinUd_2g_ob))</f>
        <v>0</v>
      </c>
      <c r="AT146" t="b">
        <f>IF(Исходн.данные.!$P146="Ум",K_MinUd_2g_um,IF(Исходн.данные.!$P146="Об",K_MinUd_2g_ob))</f>
        <v>0</v>
      </c>
      <c r="AU146" t="b">
        <f>IF(Исходн.данные.!$P146="Ум",N_MinUd_1g_um,IF(Исходн.данные.!$P146="Об",N_MinUd_1g_ob))</f>
        <v>0</v>
      </c>
      <c r="AV146" t="b">
        <f>IF(Исходн.данные.!P146="Ум",P_MinUd_1g_um,IF(Исходн.данные.!P146="Об",P_MinUd_1g_ob))</f>
        <v>0</v>
      </c>
      <c r="AW146" t="b">
        <f>IF(Исходн.данные.!P146="Ум",K_MinUd_1g_um,IF(Исходн.данные.!P146="Об",K_MinUd_1g_ob))</f>
        <v>0</v>
      </c>
      <c r="AY146" t="e">
        <f>VLOOKUP(Исходн.данные.!T146,Справ!$A$3:$N$57,12)</f>
        <v>#N/A</v>
      </c>
      <c r="AZ146" t="e">
        <f>VLOOKUP(Исходн.данные.!T146,Справ!$A$3:$N$57,13)</f>
        <v>#N/A</v>
      </c>
      <c r="BA146" t="e">
        <f>VLOOKUP(Исходн.данные.!T146,Справ!$A$3:$N$57,14)</f>
        <v>#N/A</v>
      </c>
      <c r="BB146">
        <f>IF(Исходн.данные.!AH146=0,0,25)</f>
        <v>0</v>
      </c>
      <c r="BC146" s="141">
        <f>IF(Исходн.данные.!AH146=0,0,IF(Исходн.данные.!T146=0,25,BD146))</f>
        <v>0</v>
      </c>
      <c r="BD146" s="168" t="e">
        <f>AY146+AZ146*Исходн.данные.!U146-POWER(BA146,2)*Исходн.данные.!U146</f>
        <v>#N/A</v>
      </c>
      <c r="BE14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6" s="25">
        <f>IF(Исходн.данные.!AH146=0,0,MIN(HN146:HP146))</f>
        <v>0</v>
      </c>
      <c r="BG146" s="9">
        <f>IF(Исходн.данные.!AH146=0,0,IF((HO146+10*0.25/HG146/HL146)&lt;17,17,HO146+10*0.25/HG146/HL146))</f>
        <v>0</v>
      </c>
      <c r="BH146" s="181">
        <f>IF(Исходн.данные.!AH146=0,0,HW146*HF146*HL146/AU146*AI146+Исходн.данные.!S146*10)</f>
        <v>0</v>
      </c>
      <c r="BI146" s="10"/>
      <c r="BJ146" s="182">
        <f>IF(Исходн.данные.!AH146=0,0,IF(HX146*HG146*HL146/AV146&lt;0,0,HX146*HG146*HL146/AV146*AJ146))</f>
        <v>0</v>
      </c>
      <c r="BK146" s="182">
        <f>IF(Исходн.данные.!AH146=0,0,HY146*HH146*HM146/AW146)</f>
        <v>0</v>
      </c>
      <c r="BL146" s="10">
        <f>IF(OR(Исходн.данные.!$AH146=$BP$1,Исходн.данные.!$AH146=$BP$2),0,IF(BH146&lt;0,0,IF(OR(Исходн.данные.!T146=Расчет!$BP$1,Исходн.данные.!T146=Расчет!$BP$2,Исходн.данные.!T146=Расчет!$BT$5,Исходн.данные.!T146=Расчет!$BT$6),BH146*0.5,IF(OR(Исходн.данные.!T146=Расчет!$BS$9,Исходн.данные.!T146=Расчет!$BS$10,Исходн.данные.!T146=Расчет!$BS$11,Исходн.данные.!T146=Расчет!$BS$12,Исходн.данные.!T146=Расчет!$BP$5),BH146*0.8,BH146))))</f>
        <v>0</v>
      </c>
      <c r="BM146" s="10">
        <f>IF(OR(Исходн.данные.!$AH146=$BP$1,Исходн.данные.!$AH146=$BP$2),0,IF(BJ146&lt;0,0,IF(Исходн.данные.!I146&lt;4.5,BJ146*1.2,IF(Исходн.данные.!I146&gt;5.1,BJ146,BJ146*((5.1-Исходн.данные.!I146)*0.333+1)))))</f>
        <v>0</v>
      </c>
      <c r="BN146" s="10">
        <f>IF(OR(Исходн.данные.!$AH146=$BP$1,Исходн.данные.!$AH146=$BP$2),60-Исходн.данные.!AF146,IF(BK146&lt;0,0,IF(Исходн.данные.!I146&lt;4.5,BK146*1.2,IF(Исходн.данные.!I146&gt;5.1,BK146,BK146*((5.1-Исходн.данные.!I146)*0.333+1)))))</f>
        <v>0</v>
      </c>
      <c r="BO146" s="9">
        <f>IF(BL146&lt;0,0,BL146*Исходн.данные.!$AJ146/1000)</f>
        <v>0</v>
      </c>
      <c r="BP146" s="9">
        <f>IF(BM146&lt;0,0,BM146*Исходн.данные.!$AJ146/1000)</f>
        <v>0</v>
      </c>
      <c r="BQ146" s="9">
        <f>IF(BN146&lt;0,0,BN146*Исходн.данные.!$AJ146/1000)</f>
        <v>0</v>
      </c>
      <c r="BR146" s="9">
        <f t="shared" si="155"/>
        <v>0</v>
      </c>
      <c r="BS146" s="10" t="str">
        <f t="shared" si="156"/>
        <v>Аммофос 12:52:00</v>
      </c>
      <c r="BT146" s="10" t="str">
        <f t="shared" si="157"/>
        <v>Аммофос 12:52:00</v>
      </c>
      <c r="BU146" s="10" t="str">
        <f t="shared" si="158"/>
        <v>Диаммофоска</v>
      </c>
      <c r="BV146" s="10">
        <f t="shared" si="159"/>
        <v>0</v>
      </c>
      <c r="BW146" s="10"/>
      <c r="BX146" s="10"/>
      <c r="BY146" s="9">
        <f>IF(BL146&lt;0,0,IF(OR(Исходн.данные.!AI146=Расчет!$BU$6,Исходн.данные.!AI146=Расчет!$BU$7),Расчет!BV146,IF(Исходн.данные.!$AG146=$BV$11,BL146,IF(OR(Исходн.данные.!$AH146=$BQ$7,Исходн.данные.!$AH146=$BQ$8),CB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0,IF(Исходн.данные.!$AI146=$BU$11,"Нет",IF(BL146&gt;30,30,BL146)))))))</f>
        <v>0</v>
      </c>
      <c r="BZ146" s="9">
        <f>IF(AND(Исходн.данные.!$AG146=$BV$11,BM146&lt;10),10,IF(Исходн.данные.!$AG146=$BV$11,BM146,IF(OR(Исходн.данные.!$AH146=$BQ$7,Исходн.данные.!$AH146=$BQ$8),CC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10,IF(Исходн.данные.!$AI146=$BU$11,"Нет",IF(BM146&gt;60,60,IF(BM146&lt;10,10,BM146)))))))</f>
        <v>10</v>
      </c>
      <c r="CA146" s="39">
        <f>IF(BN146&lt;0,0,IF(Исходн.данные.!$AG146=$BV$11,BN146,IF(OR(Исходн.данные.!$AH146=$BQ$7,Исходн.данные.!$AH146=$BQ$8),CD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0,IF(Исходн.данные.!$AI146=$BU$11,"Нет",IF(BN146&gt;30,30,BN146))))))</f>
        <v>0</v>
      </c>
      <c r="CB146" s="9">
        <f t="shared" si="160"/>
        <v>0</v>
      </c>
      <c r="CC146" s="9">
        <f t="shared" si="161"/>
        <v>0</v>
      </c>
      <c r="CD146" s="9">
        <f t="shared" si="162"/>
        <v>0</v>
      </c>
      <c r="CE146" s="12">
        <f t="shared" si="163"/>
        <v>10</v>
      </c>
      <c r="CF146" s="9">
        <f t="shared" si="164"/>
        <v>0</v>
      </c>
      <c r="CG146" s="9" t="s">
        <v>231</v>
      </c>
      <c r="CH146" s="132" t="str">
        <f>IF(Исходн.данные.!AP146=Расчет!$CI$16,"Нет",IF(Исходн.данные.!AL146&gt;0,Исходн.данные.!AL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BH$4,IF(OR(Исходн.данные.!AI146=Исходн.данные.!$AI$6,Исходн.данные.!AI146=Исходн.данные.!$AI$7),Расчет!BS146,IF(AND($CF146=0,$CE146&gt;0),EV146,ER146)))))</f>
        <v>Аммофос 12:52:00</v>
      </c>
      <c r="CI146" s="274">
        <f>IF(Расчет!$CH146="Нет","Нет",IF(Исходн.данные.!$AL146&gt;0,VLOOKUP(Расчет!$CH146,АшламаДВ_Irekle,2,FALSE),VLOOKUP(Расчет!$CH146,АшламаДВ_Gomumy,2,FALSE)))</f>
        <v>0.12</v>
      </c>
      <c r="CJ146" s="274">
        <f>IF(Расчет!$CH146="Нет","Нет",IF(Исходн.данные.!$AL146&gt;0,VLOOKUP(Расчет!$CH146,АшламаДВ_Irekle,3,FALSE),VLOOKUP(Расчет!$CH146,АшламаДВ_Gomumy,3,FALSE)))</f>
        <v>0.52</v>
      </c>
      <c r="CK146" s="274">
        <f>IF(Расчет!$CH146="Нет","Нет",IF(Исходн.данные.!$AL146&gt;0,VLOOKUP(Расчет!$CH146,АшламаДВ_Irekle,4,FALSE),VLOOKUP(Расчет!$CH146,АшламаДВ_Gomumy,4,FALSE)))</f>
        <v>0</v>
      </c>
      <c r="CL146" s="70"/>
      <c r="CM146" s="70"/>
      <c r="CN146" s="70"/>
      <c r="CO146" s="70"/>
      <c r="CP146" s="70"/>
      <c r="CQ146" s="70"/>
      <c r="CR146" s="10">
        <f t="shared" si="165"/>
        <v>0</v>
      </c>
      <c r="CS146" s="10">
        <f t="shared" si="166"/>
        <v>19.23076923076923</v>
      </c>
      <c r="CT146" s="10">
        <f t="shared" si="167"/>
        <v>0</v>
      </c>
      <c r="CU146" s="39">
        <f>IF($CH146="Нет",0,IF(CI146=0,30/MIN(CJ146:CK146),IF(Исходн.данные.!$AG146=$BV$11,CR146,IF(OR(Исходн.данные.!$AH146=$BQ$7,Исходн.данные.!$AH146=$BQ$8),90/CI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0,IF(Исходн.данные.!$AI146=$BU$11,"Нет",30/CI146))))))</f>
        <v>250</v>
      </c>
      <c r="CV146" s="39">
        <f>IF($CH146="Нет",0,IF(Исходн.данные.!AH146=0,0,IF(CJ146=0,60/MIN(CI146,CK146),IF(Исходн.данные.!$AG146=$BV$11,CS146,IF(OR(Исходн.данные.!$AH146=$BQ$7,Исходн.данные.!$AH146=$BQ$8),90/CJ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10/CJ146,IF(Исходн.данные.!$AI146=$BU$11,"Нет",60/CJ146)))))))</f>
        <v>0</v>
      </c>
      <c r="CW146" s="39">
        <f>IF($CH146="Нет",0,IF(Исходн.данные.!AH146=0,0,IF(CK146=0,30/MIN(CI146:CJ146),IF(Исходн.данные.!$AG146=$BV$11,CT146,IF(OR(Исходн.данные.!$AH146=$BQ$7,Исходн.данные.!$AH146=$BQ$8),90/CK146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0,IF(Исходн.данные.!$AI146=$BU$11,"Нет",30/CK146)))))))</f>
        <v>0</v>
      </c>
      <c r="CX146" s="133">
        <f>IF(Исходн.данные.!$AG146=$BV$11,MAX(CU146:CW146),IF(OR(Исходн.данные.!$AH146=$BS$8,Исходн.данные.!$AH146=$BQ$9,Исходн.данные.!$AH146=$BQ$10,Исходн.данные.!$AH146=$BQ$11,Исходн.данные.!$AH146=$BQ$12,Исходн.данные.!$AH146=$BP$3,Исходн.данные.!$AH146=$BT$8,$FM146="Да"),CV146,MIN(CU146:CW146)))</f>
        <v>0</v>
      </c>
      <c r="CY146" s="133">
        <f>IF(Исходн.данные.!AH146=0,0,IF(CR146&gt;$CX146,$CX146,CR146))</f>
        <v>0</v>
      </c>
      <c r="CZ146" s="133">
        <f>IF(Исходн.данные.!AH146=0,0,IF(CS146&gt;$CX146,$CX146,CS146))</f>
        <v>0</v>
      </c>
      <c r="DA146" s="133">
        <f>IF(Исходн.данные.!AH146=0,0,IF(CT146&gt;$CX146,$CX146,CT146))</f>
        <v>0</v>
      </c>
      <c r="DB146" s="10">
        <f t="shared" si="168"/>
        <v>0</v>
      </c>
      <c r="DC146" s="39">
        <f>DB146*Исходн.данные.!AJ146/1000</f>
        <v>0</v>
      </c>
      <c r="DD146" s="71">
        <f t="shared" si="169"/>
        <v>0</v>
      </c>
      <c r="DE146" s="9">
        <f t="shared" si="170"/>
        <v>0</v>
      </c>
      <c r="DF146" s="9">
        <f t="shared" si="171"/>
        <v>0</v>
      </c>
      <c r="DG146" s="39">
        <f>IF(BL146&lt;0,0,IF($CH146="Нет",BL146,IF(OR(Исходн.данные.!$AH146=$BP$1,Исходн.данные.!$AH146=$BP$2),0,IF(Исходн.данные.!AI146=$BU$11,BL146,IF(BL146-DD146&lt;0,0,BL146-DD146)))))</f>
        <v>0</v>
      </c>
      <c r="DH146" s="39">
        <f>IF(BM146&lt;0,0,IF($CH146="Нет",BM146,IF(OR(Исходн.данные.!$AH146=$BP$1,Исходн.данные.!$AH146=$BP$2),0,IF(Исходн.данные.!AJ146=$BU$11,BM146,IF(BM146-DE146&lt;0,0,BM146-DE146)))))</f>
        <v>0</v>
      </c>
      <c r="DI146" s="39">
        <f>IF(BN146&lt;0,0,IF($CH146="Нет",BN146,IF(OR(Исходн.данные.!$AH146=$BP$1,Исходн.данные.!$AH146=$BP$2),0,IF(Исходн.данные.!AK146=$BU$11,BN146,IF(BN146-DF146&lt;0,0,BN146-DF146)))))</f>
        <v>0</v>
      </c>
      <c r="DJ146" s="12">
        <f t="shared" si="172"/>
        <v>0</v>
      </c>
      <c r="DK146" s="9">
        <f t="shared" si="173"/>
        <v>0</v>
      </c>
      <c r="DL146" s="39">
        <f>IF(Исходн.данные.!AM146&gt;0,Исходн.данные.!AM146,IF(EG146&gt;0,$BH$10,0))</f>
        <v>0</v>
      </c>
      <c r="DM146" s="186">
        <f>IF($DL146=0,0,IF(Исходн.данные.!AM146&gt;0,VLOOKUP($DL146,АшламаДВ_Irekle,2,FALSE),VLOOKUP($DL146,АшламаДВ_Gomumy,2,FALSE)))</f>
        <v>0</v>
      </c>
      <c r="DN146" s="10">
        <f t="shared" si="151"/>
        <v>0</v>
      </c>
      <c r="DO146" s="9" t="str">
        <f>IF(Исходн.данные.!AN146&gt;0,Исходн.данные.!AN146,Удобрения!$B$37 )</f>
        <v>Хлор.калий</v>
      </c>
      <c r="DP146" s="9">
        <f>IF(Исходн.данные.!AN146&gt;0,VLOOKUP(Исходн.данные.!AN146,АшламаДВ_Irekle,4,FALSE),VLOOKUP(DO146,АшламаДВ_Gomumy,4,FALSE))</f>
        <v>0.6</v>
      </c>
      <c r="DQ146" s="10">
        <f t="shared" si="152"/>
        <v>0</v>
      </c>
      <c r="DR146" s="132" t="str">
        <f>IF(Исходн.данные.!AO146&gt;0,Исходн.данные.!AO146,IF(DH146=0,BS$17,IF(AND($DK146=0,$DJ146&gt;0),EJ146,EN146)))</f>
        <v>Нет</v>
      </c>
      <c r="DS146" s="70" t="str">
        <f>IF($DR146="Нет","Нет",IF(Исходн.данные.!$AO146&gt;0,VLOOKUP($DR146,АшламаДВ_Irekle,2,FALSE),VLOOKUP($DR146,АшламаДВ_Gomumy,2,FALSE)))</f>
        <v>Нет</v>
      </c>
      <c r="DT146" s="70" t="str">
        <f>IF($DR146="Нет","Нет",IF(Исходн.данные.!$AO146&gt;0,VLOOKUP($DR146,АшламаДВ_Irekle,3,FALSE),VLOOKUP($DR146,АшламаДВ_Gomumy,3,FALSE)))</f>
        <v>Нет</v>
      </c>
      <c r="DU146" s="70" t="str">
        <f>IF($DR146="Нет","Нет",IF(Исходн.данные.!$AO146&gt;0,VLOOKUP($DR146,АшламаДВ_Irekle,4,FALSE),VLOOKUP($DR146,АшламаДВ_Gomumy,4,FALSE)))</f>
        <v>Нет</v>
      </c>
      <c r="DV146" s="70"/>
      <c r="DW146" s="70"/>
      <c r="DX146" s="70"/>
      <c r="DY146" s="10">
        <f t="shared" si="174"/>
        <v>0</v>
      </c>
      <c r="DZ146" s="10">
        <f t="shared" si="175"/>
        <v>0</v>
      </c>
      <c r="EA146" s="10">
        <f t="shared" si="176"/>
        <v>0</v>
      </c>
      <c r="EB146" s="10">
        <f t="shared" si="177"/>
        <v>0</v>
      </c>
      <c r="EC146" s="10">
        <f t="shared" si="178"/>
        <v>0</v>
      </c>
      <c r="ED146" s="10">
        <f t="shared" si="179"/>
        <v>0</v>
      </c>
      <c r="EE146" s="10">
        <f t="shared" si="180"/>
        <v>0</v>
      </c>
      <c r="EF146" s="39">
        <f>EB146*Исходн.данные.!AJ146/1000</f>
        <v>0</v>
      </c>
      <c r="EG146" s="9">
        <f t="shared" si="181"/>
        <v>0</v>
      </c>
      <c r="EH146" s="9">
        <f t="shared" si="182"/>
        <v>0</v>
      </c>
      <c r="EI146" s="39" t="e">
        <f t="shared" si="132"/>
        <v>#DIV/0!</v>
      </c>
      <c r="EJ146" s="9" t="str">
        <f t="shared" si="153"/>
        <v>Азопреципитат</v>
      </c>
      <c r="EK146" s="12">
        <f t="shared" si="133"/>
        <v>0.26</v>
      </c>
      <c r="EL146" s="12">
        <f t="shared" si="134"/>
        <v>0.13</v>
      </c>
      <c r="EM146" s="12">
        <f t="shared" si="135"/>
        <v>0</v>
      </c>
      <c r="EN146" s="12" t="str">
        <f t="shared" si="154"/>
        <v>Нет</v>
      </c>
      <c r="EO146" s="12">
        <f t="shared" si="136"/>
        <v>0</v>
      </c>
      <c r="EP146" s="12">
        <f t="shared" si="137"/>
        <v>0</v>
      </c>
      <c r="EQ146" s="12">
        <f t="shared" si="138"/>
        <v>0</v>
      </c>
      <c r="ER146" s="12" t="str">
        <f t="shared" si="183"/>
        <v>Диаммофоска</v>
      </c>
      <c r="ES146" s="12">
        <f t="shared" si="139"/>
        <v>0.1</v>
      </c>
      <c r="ET146" s="12">
        <f t="shared" si="140"/>
        <v>0.26</v>
      </c>
      <c r="EU146" s="12">
        <f t="shared" si="141"/>
        <v>0.26</v>
      </c>
      <c r="EV146" s="12" t="str">
        <f t="shared" si="184"/>
        <v>Аммофос 12:52:00</v>
      </c>
      <c r="EW146" s="12" t="str">
        <f t="shared" si="185"/>
        <v>Кемира Свекловичное-6</v>
      </c>
      <c r="EX146" s="12">
        <f t="shared" si="142"/>
        <v>0.16</v>
      </c>
      <c r="EY146" s="12">
        <f t="shared" si="143"/>
        <v>0.12</v>
      </c>
      <c r="EZ146" s="12">
        <f t="shared" si="144"/>
        <v>0.17</v>
      </c>
      <c r="FA146" s="38" t="e">
        <f>IF(AND(OR(FJ146=$FD$1,FM146=$FD$1,FO146=$FD$1,FQ146=$FD$1,FS146=$FD$1),FD146=$FD$1,Исходн.данные.!J146&lt;2,FU146=$FD$1),"Бор,Кобальт",IF(AND(FO146=$FD$1,FH146=$FD$1,Исходн.данные.!J146&lt;2,FU146=$FD$1),"Бор,Кобальт",IF(AND(OR(FJ146=$FD$1,FM146=$FD$1,FQ146=$FD$1),FE146=$FD$1,Исходн.данные.!J146&lt;2,FT146=$FD$1,FU146=$FD$1),"Бор,Медь,Цинк",IF(AND(OR(FJ146=$FD$1,FR146="Да"),FI146="Да",Исходн.данные.!J146&lt;2,FT146="Да",FU146="Да"),"Бор,Цинк,Медь",IF(AND(OR(FM146="Да",FQ146="Да"),FI146="Да",Исходн.данные.!J146&lt;2,FT146="Да",FU146="Да"),"Бор,Цинк",IF(AND(FN146="Да",OR(FD146="Да",FE146="Да")),"Бор",FB146))))))</f>
        <v>#N/A</v>
      </c>
      <c r="FB146" s="134" t="e">
        <f>IF(AND(OR(FD146="Да",FE146="Да",FF146="Да",FG146="Да",FH146="Да"),FO146="Да"),"Бор",IF(AND(FP146="Да",OR(FD146="Да",FE146="Да",FI146="Да")),"Бор",IF(AND(FS146="Да",FE146="Да"),"Бор,Медь",IF(AND(OR(FJ146="Да",FK146="Да",FL146="Да"),FE146="Да",Исходн.данные.!I146&lt;5,FT146="Да",FU146="Да"),"Молибден,Цинк",IF(AND(FM146="Да",OR(FE146="Да",FF146="Да",FG146="Да",FH146="Да",FI146="Да")),"Молибден,Цинк",IF(AND(OR(FJ146="Да",FK146="Да",FL146="Да",FM146="Да",FQ146="Да"),OR(FE146="Да",FF146="Да"),FT146="Да",FU146="Да",Исходн.данные.!I146&gt;5.5),"Медь,Цинк",FC146))))))</f>
        <v>#N/A</v>
      </c>
      <c r="FC146" s="23" t="e">
        <f t="shared" si="186"/>
        <v>#N/A</v>
      </c>
      <c r="FD146" s="38" t="str">
        <f>IF(OR(Исходн.данные.!F146=$CC$1,Исходн.данные.!F146=$CC$2,Исходн.данные.!F146=$CC$3,Исходн.данные.!F146=$CC$4),"Да","Нет")</f>
        <v>Нет</v>
      </c>
      <c r="FE146" s="38" t="str">
        <f>IF(Исходн.данные.!F146=$CC$5,"Да","Нет")</f>
        <v>Нет</v>
      </c>
      <c r="FF146" s="38" t="str">
        <f>IF(OR(Исходн.данные.!F146=$CC$6,Исходн.данные.!F146=$CC$7),"Да","Нет")</f>
        <v>Нет</v>
      </c>
      <c r="FG146" s="38" t="str">
        <f>IF(OR(Исходн.данные.!F146=$CC$8,Исходн.данные.!F146=$CC$9),"Да","Нет")</f>
        <v>Нет</v>
      </c>
      <c r="FH146" s="38" t="str">
        <f>IF(Исходн.данные.!F146=$CC$10,"Да","Нет")</f>
        <v>Нет</v>
      </c>
      <c r="FI146" s="38" t="str">
        <f>IF(OR(Исходн.данные.!F146=$CC$11,Исходн.данные.!F146=$CC$12),"Да","Нет")</f>
        <v>Нет</v>
      </c>
      <c r="FJ146" s="38" t="str">
        <f>IF(OR(Исходн.данные.!AH146=$BS$1,Исходн.данные.!AH146=$BQ$11,Исходн.данные.!AH146=$BQ$12),"Да","Нет")</f>
        <v>Нет</v>
      </c>
      <c r="FK146" s="38" t="str">
        <f>IF(OR(Исходн.данные.!AH146=$BS$2,Исходн.данные.!AH146=$BS$4),"Да","Нет")</f>
        <v>Нет</v>
      </c>
      <c r="FL146" s="38" t="str">
        <f>IF(OR(Исходн.данные.!AH146=$BS$3,Исходн.данные.!AH146=$BS$5),"Да","Нет")</f>
        <v>Нет</v>
      </c>
      <c r="FM146" s="38" t="str">
        <f>IF(OR(Исходн.данные.!AH146=$BS$9,Исходн.данные.!AH146=$BS$10,Исходн.данные.!AH146=$BS$11,Исходн.данные.!AH146=$BS$12),"Да","Нет")</f>
        <v>Нет</v>
      </c>
      <c r="FN146" s="38" t="str">
        <f>IF(OR(Исходн.данные.!AH146=$BS$6,Исходн.данные.!AH146=$BP$3),"Да","Нет")</f>
        <v>Нет</v>
      </c>
      <c r="FO146" s="38" t="str">
        <f>IF(Исходн.данные.!AH146=$BQ$9,"Да","Нет")</f>
        <v>Нет</v>
      </c>
      <c r="FP146" s="38" t="str">
        <f>IF(OR(Исходн.данные.!AH146=$BS$8,Исходн.данные.!AH146=$BT$8),"Да","Нет")</f>
        <v>Нет</v>
      </c>
      <c r="FQ146" s="38" t="str">
        <f>IF(OR(Исходн.данные.!AH146=$BQ$7,Исходн.данные.!AH146=$BQ$8),"Да","Нет")</f>
        <v>Нет</v>
      </c>
      <c r="FR146" s="38" t="str">
        <f>IF(Исходн.данные.!AI146=$BU$9,"Да","Нет")</f>
        <v>Нет</v>
      </c>
      <c r="FS146" s="38" t="str">
        <f>IF(OR(Исходн.данные.!AH146=$BP$1,Исходн.данные.!AH146=$BP$2),"Да","Нет")</f>
        <v>Нет</v>
      </c>
      <c r="FT146" s="38" t="e">
        <f>IF((Исходн.данные.!K146*GO146*GS146*GW146+BL146*0.6+Исходн.данные.!Q146*4.5*0.275)&gt;90,"Да","Нет")</f>
        <v>#N/A</v>
      </c>
      <c r="FU146" s="38" t="e">
        <f>IF((Исходн.данные.!M146*GS146*GZ146+BM146*0.225)&gt;35,"Да","Нет")</f>
        <v>#N/A</v>
      </c>
      <c r="FV146" s="38" t="str">
        <f>IF(Исходн.данные.!O146&gt;175,"Да","Нет")</f>
        <v>Нет</v>
      </c>
      <c r="FW146" s="39" t="str">
        <f>IF(Исходн.данные.!I146&gt;5.5,"Да","Нет")</f>
        <v>Нет</v>
      </c>
      <c r="FX146" s="39" t="str">
        <f>IF(Исходн.данные.!J146&lt;2,"Да","Нет")</f>
        <v>Да</v>
      </c>
      <c r="FY146" s="39" t="e">
        <f>IF(HF146=$FY$16,0,Исходн.данные.!K146*GO146*GS146*GW146/HF146)</f>
        <v>#N/A</v>
      </c>
      <c r="FZ146" s="39" t="e">
        <f>Исходн.данные.!M146*GS146*GZ146/HG146</f>
        <v>#N/A</v>
      </c>
      <c r="GA146" s="39" t="e">
        <f>IF(K_Wyn=$FY$16,0,IF(Исходн.данные.!N146=Исходн.данные.!$L$10,Исходн.данные.!O146/1.1*GS146*HC146/HH146,IF(Исходн.данные.!N146=Исходн.данные.!$L$12,Исходн.данные.!O146/1.5*GS146*HC146/HH146,Исходн.данные.!O146*GS146*HC146/HH146)))</f>
        <v>#N/A</v>
      </c>
      <c r="GB146" s="39" t="e">
        <f>IF(HF146=$FY$16,0,((Исходн.данные.!Q146*N_Org+Исходн.данные.!R146*N_Sider+Исходн.данные.!S146*N_Soloma)*AO146+Расчет!BC146*VLOOKUP(Исходн.данные.!T146,Справ!$A$3:$O$57,15)*AO146+BB146*VLOOKUP(Исходн.данные.!T146,Справ!$A$3:$O$57,15)*AL146+(Исходн.данные.!V146*N_Rizotorf+Исходн.данные.!W146*N_Rizoagr))/HF146)</f>
        <v>#N/A</v>
      </c>
      <c r="GC146" s="39" t="e">
        <f>IF(HG146=$FY$16,0,((Исходн.данные.!Q146*Р_Org+Исходн.данные.!R146*P_Sider+Исходн.данные.!S146*P_Soloma)*AP146+Расчет!BC146*VLOOKUP(Исходн.данные.!T146,Справ!$A$3:$P$57,16)*AP146+BB146*VLOOKUP(Исходн.данные.!T146,Справ!$A$3:$P$57,16)*AM146)/HG146)</f>
        <v>#N/A</v>
      </c>
      <c r="GD146" s="39" t="e">
        <f>IF(HH146=$FY$16,0,((Исходн.данные.!Q146*К_Org+Исходн.данные.!R146*K_Sider+Исходн.данные.!S146*K_Soloma)*AQ146+Расчет!BC146*VLOOKUP(Исходн.данные.!T146,Справ!$A$3:$Q$57,17)*AQ146+BB146*VLOOKUP(Исходн.данные.!T146,Справ!$A$3:$Q$57,17)*AN146)/HH146)</f>
        <v>#N/A</v>
      </c>
      <c r="GE146" s="39" t="e">
        <f>IF(HF146=$FY$16,0,(Исходн.данные.!X146*AR146+Исходн.данные.!AA146*N_Org*AL146+Исходн.данные.!AB146*N_Sider*AL146+Исходн.данные.!AC146*N_Soloma*AL146)/HF146)</f>
        <v>#N/A</v>
      </c>
      <c r="GF146" s="39" t="e">
        <f>IF(HG146=$FY$16,0,(Исходн.данные.!Y146*AS146+Исходн.данные.!AA146*Р_Org*AM146+Исходн.данные.!AB146*P_Sider*AM146+Исходн.данные.!AC146*P_Soloma*AM146)/HG146)</f>
        <v>#N/A</v>
      </c>
      <c r="GG146" s="39" t="e">
        <f>IF(HH146=$FY$16,0,(Исходн.данные.!Z146*AT146+Исходн.данные.!AA146*К_Org*AN146+Исходн.данные.!AB146*K_Sider*AN146+Исходн.данные.!AC146*K_Soloma*AN146)/HH146)</f>
        <v>#N/A</v>
      </c>
      <c r="GH146" s="39" t="e">
        <f>Исходн.данные.!AD146*AU146/HF146</f>
        <v>#N/A</v>
      </c>
      <c r="GI146" s="39" t="e">
        <f>Исходн.данные.!AE146*AV146/HG146</f>
        <v>#N/A</v>
      </c>
      <c r="GJ146" s="39" t="e">
        <f>Исходн.данные.!AF146*AW146/HH146</f>
        <v>#N/A</v>
      </c>
      <c r="GK146" s="55">
        <f>Исходн.данные.!AK146</f>
        <v>0</v>
      </c>
      <c r="GL146" s="11" t="e">
        <f t="shared" si="187"/>
        <v>#N/A</v>
      </c>
      <c r="GM146" s="11" t="e">
        <f t="shared" si="188"/>
        <v>#N/A</v>
      </c>
      <c r="GN146" s="11" t="e">
        <f t="shared" si="189"/>
        <v>#N/A</v>
      </c>
      <c r="GO146" s="57">
        <f t="shared" si="190"/>
        <v>19</v>
      </c>
      <c r="GP146" s="55">
        <f>IF(OR(Исходн.данные.!F146=$CE$1,Исходн.данные.!F146=$CE$2,Исходн.данные.!F146=$CE$3,Исходн.данные.!F146=$CE$4,Исходн.данные.!F146=$CE$5),GQ146,GR146)</f>
        <v>19</v>
      </c>
      <c r="GQ146" s="55">
        <f>IF(Исходн.данные.!F146=$CE$1,28,IF(Исходн.данные.!F146=$CE$2,26,IF(Исходн.данные.!F146=$CE$3,24,IF(Исходн.данные.!F146=$CE$4,22,IF(Исходн.данные.!F146=$CE$5,20,GR146)))))</f>
        <v>19</v>
      </c>
      <c r="GR146" s="55">
        <f>IF(Исходн.данные.!F146=$CE$6,18,IF(Исходн.данные.!F146=$CE$7,16,IF(Исходн.данные.!F146=$CE$8,14,IF(Исходн.данные.!F146=$CE$9,13,IF(Исходн.данные.!F146=$CE$10,12,19)))))</f>
        <v>19</v>
      </c>
      <c r="GS146" s="55">
        <f>IF(Исходн.данные.!G146="Пес",0.035*(40+2*Исходн.данные.!H146),IF(Исходн.данные.!G146="Суп",0.0325*(40+2*Исходн.данные.!H146),0.03*(40+2*Исходн.данные.!H146)))</f>
        <v>1.2</v>
      </c>
      <c r="GT146" s="55">
        <f>IF(Исходн.данные.!H146&lt;23,2.6,IF(AND(Исходн.данные.!H146&gt;22,Исходн.данные.!H146&lt;26),3,IF(AND(Исходн.данные.!H146&gt;25,Исходн.данные.!H146&lt;29),3.4,3.6)))</f>
        <v>2.6</v>
      </c>
      <c r="GU146" s="55">
        <f>IF(Исходн.данные.!H146&lt;23,2.8,IF(AND(Исходн.данные.!H146&gt;22,Исходн.данные.!H146&lt;26),3.2,IF(AND(Исходн.данные.!H146&gt;25,Исходн.данные.!H146&lt;29),3.6,3.9)))</f>
        <v>2.8</v>
      </c>
      <c r="GV146" s="55">
        <f>IF(Исходн.данные.!H146&lt;23,3,IF(AND(Исходн.данные.!H146&gt;22,Исходн.данные.!H146&lt;26),3.5,IF(AND(Исходн.данные.!H146&gt;25,Исходн.данные.!H146&lt;29),3.9,4.2)))</f>
        <v>3</v>
      </c>
      <c r="GW146" s="55" t="e">
        <f>IF(Исходн.данные.!P146="Ум",GX146,GY146)</f>
        <v>#N/A</v>
      </c>
      <c r="GX146" s="55" t="e">
        <f>VLOOKUP(Исходн.данные.!AI146,Коэффициенты!$J$7:$L$13,2,FALSE)</f>
        <v>#N/A</v>
      </c>
      <c r="GY146" s="55" t="e">
        <f>VLOOKUP(Исходн.данные.!AI146,Коэффициенты!$J$7:$L$13,3,FALSE)</f>
        <v>#N/A</v>
      </c>
      <c r="GZ146" s="55" t="e">
        <f>(IF(Исходн.данные.!M146&lt;50,0.11*VLOOKUP(Исходн.данные.!AH146,Культуры.Информация,7,FALSE),IF(Исходн.данные.!M146&gt;250,0.05*VLOOKUP(Исходн.данные.!AH146,Культуры.Информация,7,FALSE),VLOOKUP(Исходн.данные.!AH146,Культуры.Информация,5,FALSE)/100*($GX$6+$GY$6*Исходн.данные.!M146))))*Расчет2!AI146</f>
        <v>#N/A</v>
      </c>
      <c r="HA146" s="211"/>
      <c r="HB146" s="211"/>
      <c r="HC146" s="55" t="e">
        <f>(IF(Исходн.данные.!O146&lt;80,0.2*VLOOKUP(Исходн.данные.!AH146,Культуры.Информация,8,FALSE),IF(Исходн.данные.!O146&gt;240,0.09*VLOOKUP(Исходн.данные.!AH146,Культуры.Информация,8,FALSE),VLOOKUP(Исходн.данные.!AH146,Культуры.Информация,6,FALSE)/100*($HB$6+$HC$6*Исходн.данные.!O146))))*Расчет2!AJ146</f>
        <v>#N/A</v>
      </c>
      <c r="HD146" s="55">
        <f>IF(Исходн.данные.!O146&gt;240,0.09,IF(Исходн.данные.!O146&lt;30,0.3,$HE$10+$HD$10*Исходн.данные.!O146))</f>
        <v>0.3</v>
      </c>
      <c r="HE146" s="55">
        <f>IF(Исходн.данные.!O146&gt;240,0.17,IF(Исходн.данные.!O146&lt;30,0.5,$HF$12+$HE$12*Исходн.данные.!O146))</f>
        <v>0.5</v>
      </c>
      <c r="HF146" s="55" t="e">
        <f>VLOOKUP(Исходн.данные.!AH146,Справ!$A$3:$D$58,2,FALSE)</f>
        <v>#N/A</v>
      </c>
      <c r="HG146" s="55" t="e">
        <f>VLOOKUP(Исходн.данные.!AH146,Справ!$A$3:$D$58,3,FALSE)</f>
        <v>#N/A</v>
      </c>
      <c r="HH146" s="55" t="e">
        <f>VLOOKUP(Исходн.данные.!AH146,Справ!$A$3:$D$58,4,FALSE)</f>
        <v>#N/A</v>
      </c>
      <c r="HI146" s="11" t="e">
        <f t="shared" si="191"/>
        <v>#N/A</v>
      </c>
      <c r="HJ146" s="11" t="e">
        <f t="shared" si="192"/>
        <v>#N/A</v>
      </c>
      <c r="HK146" s="11" t="e">
        <f t="shared" si="193"/>
        <v>#N/A</v>
      </c>
      <c r="HL146" s="55">
        <f>IF(OR(Исходн.данные.!G146="Глин",Исходн.данные.!G146="Т_суг"),1.1,IF(Исходн.данные.!G146="Ср_суг",1,1))</f>
        <v>1</v>
      </c>
      <c r="HM146" s="55">
        <f>IF(OR(Исходн.данные.!G146="Глин",Исходн.данные.!G146="Т_суг"),0.9,IF(Исходн.данные.!G146="Ср_суг",1,1.2))</f>
        <v>1.2</v>
      </c>
      <c r="HN146" s="11" t="e">
        <f t="shared" si="194"/>
        <v>#N/A</v>
      </c>
      <c r="HO146" s="11" t="e">
        <f t="shared" si="195"/>
        <v>#N/A</v>
      </c>
      <c r="HP146" s="11" t="e">
        <f t="shared" si="196"/>
        <v>#N/A</v>
      </c>
      <c r="HQ146" t="e">
        <f t="shared" si="197"/>
        <v>#N/A</v>
      </c>
      <c r="HR146" t="e">
        <f t="shared" si="198"/>
        <v>#N/A</v>
      </c>
      <c r="HS146" t="e">
        <f t="shared" si="199"/>
        <v>#N/A</v>
      </c>
      <c r="HT146" t="e">
        <f t="shared" si="145"/>
        <v>#N/A</v>
      </c>
      <c r="HU146" t="e">
        <f t="shared" si="146"/>
        <v>#N/A</v>
      </c>
      <c r="HV146" t="e">
        <f t="shared" si="147"/>
        <v>#N/A</v>
      </c>
      <c r="HW146" t="e">
        <f t="shared" si="148"/>
        <v>#N/A</v>
      </c>
      <c r="HX146" t="e">
        <f t="shared" si="149"/>
        <v>#N/A</v>
      </c>
      <c r="HY146" t="e">
        <f t="shared" si="150"/>
        <v>#N/A</v>
      </c>
      <c r="HZ146" s="55">
        <f>IF(OR(Исходн.данные.!AI146="Оз_Ч_П",Исходн.данные.!AI146="Оз_З_П",Исходн.данные.!AI146="Яр_зер"),12,30)</f>
        <v>30</v>
      </c>
      <c r="IA146" t="e">
        <f t="shared" si="200"/>
        <v>#N/A</v>
      </c>
      <c r="IB146" t="e">
        <f t="shared" si="201"/>
        <v>#N/A</v>
      </c>
      <c r="IC146" t="e">
        <f t="shared" si="202"/>
        <v>#N/A</v>
      </c>
      <c r="ID146" s="11" t="e">
        <f t="shared" si="203"/>
        <v>#N/A</v>
      </c>
      <c r="IE146" s="11" t="e">
        <f t="shared" si="204"/>
        <v>#N/A</v>
      </c>
      <c r="IF146" s="11" t="e">
        <f t="shared" si="205"/>
        <v>#N/A</v>
      </c>
    </row>
    <row r="147" spans="35:240" x14ac:dyDescent="0.2">
      <c r="AI147">
        <f>IF(Исходн.данные.!I147&gt;6,1,1.85-(0.148*Исходн.данные.!I147))</f>
        <v>1.85</v>
      </c>
      <c r="AJ147">
        <f>IF(Исходн.данные.!I147&gt;6,1,2.434-(0.246*Исходн.данные.!I147))</f>
        <v>2.4340000000000002</v>
      </c>
      <c r="AL147" s="148" t="b">
        <f>IF(Исходн.данные.!$P147="Ум",N_OrgUd_2g_um,IF(Исходн.данные.!$P147="Об",N_OrgUd_2g_ob))</f>
        <v>0</v>
      </c>
      <c r="AM147" s="148" t="b">
        <f>IF(Исходн.данные.!$P147="Ум",P_OrgUd_2g_um,IF(Исходн.данные.!$P147="Об",P_OrgUd_2g_ob))</f>
        <v>0</v>
      </c>
      <c r="AN147" s="148" t="b">
        <f>IF(Исходн.данные.!$P147="Ум",K_OrgUd_2g_um,IF(Исходн.данные.!$P147="Об",K_OrgUd_2g_ob))</f>
        <v>0</v>
      </c>
      <c r="AO147" s="148" t="b">
        <f>IF(Исходн.данные.!$P147="Ум",N_OrgUd_1g_um,IF(Исходн.данные.!$P147="Об",N_OrgUd_1g_ob))</f>
        <v>0</v>
      </c>
      <c r="AP147" s="148" t="b">
        <f>IF(Исходн.данные.!$P147="Ум",P_OrgUd_1g_um,IF(Исходн.данные.!$P147="Об",P_OrgUd_1g_ob))</f>
        <v>0</v>
      </c>
      <c r="AQ147" s="148" t="b">
        <f>IF(Исходн.данные.!$P147="Ум",K_OrgUd_1g_um,IF(Исходн.данные.!$P147="Об",K_OrgUd_1g_ob))</f>
        <v>0</v>
      </c>
      <c r="AR147" t="b">
        <f>IF(Исходн.данные.!$P147="Ум",N_MinUd_2g_um,IF(Исходн.данные.!$P147="Об",N_MinUd_2g_ob))</f>
        <v>0</v>
      </c>
      <c r="AS147" t="b">
        <f>IF(Исходн.данные.!$P147="Ум",P_MinUd_2g_um,IF(Исходн.данные.!$P147="Об",P_MinUd_2g_ob))</f>
        <v>0</v>
      </c>
      <c r="AT147" t="b">
        <f>IF(Исходн.данные.!$P147="Ум",K_MinUd_2g_um,IF(Исходн.данные.!$P147="Об",K_MinUd_2g_ob))</f>
        <v>0</v>
      </c>
      <c r="AU147" t="b">
        <f>IF(Исходн.данные.!$P147="Ум",N_MinUd_1g_um,IF(Исходн.данные.!$P147="Об",N_MinUd_1g_ob))</f>
        <v>0</v>
      </c>
      <c r="AV147" t="b">
        <f>IF(Исходн.данные.!P147="Ум",P_MinUd_1g_um,IF(Исходн.данные.!P147="Об",P_MinUd_1g_ob))</f>
        <v>0</v>
      </c>
      <c r="AW147" t="b">
        <f>IF(Исходн.данные.!P147="Ум",K_MinUd_1g_um,IF(Исходн.данные.!P147="Об",K_MinUd_1g_ob))</f>
        <v>0</v>
      </c>
      <c r="AY147" t="e">
        <f>VLOOKUP(Исходн.данные.!T147,Справ!$A$3:$N$57,12)</f>
        <v>#N/A</v>
      </c>
      <c r="AZ147" t="e">
        <f>VLOOKUP(Исходн.данные.!T147,Справ!$A$3:$N$57,13)</f>
        <v>#N/A</v>
      </c>
      <c r="BA147" t="e">
        <f>VLOOKUP(Исходн.данные.!T147,Справ!$A$3:$N$57,14)</f>
        <v>#N/A</v>
      </c>
      <c r="BB147">
        <f>IF(Исходн.данные.!AH147=0,0,25)</f>
        <v>0</v>
      </c>
      <c r="BC147" s="141">
        <f>IF(Исходн.данные.!AH147=0,0,IF(Исходн.данные.!T147=0,25,BD147))</f>
        <v>0</v>
      </c>
      <c r="BD147" s="168" t="e">
        <f>AY147+AZ147*Исходн.данные.!U147-POWER(BA147,2)*Исходн.данные.!U147</f>
        <v>#N/A</v>
      </c>
      <c r="BE14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7" s="25">
        <f>IF(Исходн.данные.!AH147=0,0,MIN(HN147:HP147))</f>
        <v>0</v>
      </c>
      <c r="BG147" s="9">
        <f>IF(Исходн.данные.!AH147=0,0,IF((HO147+10*0.25/HG147/HL147)&lt;17,17,HO147+10*0.25/HG147/HL147))</f>
        <v>0</v>
      </c>
      <c r="BH147" s="181">
        <f>IF(Исходн.данные.!AH147=0,0,HW147*HF147*HL147/AU147*AI147+Исходн.данные.!S147*10)</f>
        <v>0</v>
      </c>
      <c r="BI147" s="10"/>
      <c r="BJ147" s="182">
        <f>IF(Исходн.данные.!AH147=0,0,IF(HX147*HG147*HL147/AV147&lt;0,0,HX147*HG147*HL147/AV147*AJ147))</f>
        <v>0</v>
      </c>
      <c r="BK147" s="182">
        <f>IF(Исходн.данные.!AH147=0,0,HY147*HH147*HM147/AW147)</f>
        <v>0</v>
      </c>
      <c r="BL147" s="10">
        <f>IF(OR(Исходн.данные.!$AH147=$BP$1,Исходн.данные.!$AH147=$BP$2),0,IF(BH147&lt;0,0,IF(OR(Исходн.данные.!T147=Расчет!$BP$1,Исходн.данные.!T147=Расчет!$BP$2,Исходн.данные.!T147=Расчет!$BT$5,Исходн.данные.!T147=Расчет!$BT$6),BH147*0.5,IF(OR(Исходн.данные.!T147=Расчет!$BS$9,Исходн.данные.!T147=Расчет!$BS$10,Исходн.данные.!T147=Расчет!$BS$11,Исходн.данные.!T147=Расчет!$BS$12,Исходн.данные.!T147=Расчет!$BP$5),BH147*0.8,BH147))))</f>
        <v>0</v>
      </c>
      <c r="BM147" s="10">
        <f>IF(OR(Исходн.данные.!$AH147=$BP$1,Исходн.данные.!$AH147=$BP$2),0,IF(BJ147&lt;0,0,IF(Исходн.данные.!I147&lt;4.5,BJ147*1.2,IF(Исходн.данные.!I147&gt;5.1,BJ147,BJ147*((5.1-Исходн.данные.!I147)*0.333+1)))))</f>
        <v>0</v>
      </c>
      <c r="BN147" s="10">
        <f>IF(OR(Исходн.данные.!$AH147=$BP$1,Исходн.данные.!$AH147=$BP$2),60-Исходн.данные.!AF147,IF(BK147&lt;0,0,IF(Исходн.данные.!I147&lt;4.5,BK147*1.2,IF(Исходн.данные.!I147&gt;5.1,BK147,BK147*((5.1-Исходн.данные.!I147)*0.333+1)))))</f>
        <v>0</v>
      </c>
      <c r="BO147" s="9">
        <f>IF(BL147&lt;0,0,BL147*Исходн.данные.!$AJ147/1000)</f>
        <v>0</v>
      </c>
      <c r="BP147" s="9">
        <f>IF(BM147&lt;0,0,BM147*Исходн.данные.!$AJ147/1000)</f>
        <v>0</v>
      </c>
      <c r="BQ147" s="9">
        <f>IF(BN147&lt;0,0,BN147*Исходн.данные.!$AJ147/1000)</f>
        <v>0</v>
      </c>
      <c r="BR147" s="9">
        <f t="shared" si="155"/>
        <v>0</v>
      </c>
      <c r="BS147" s="10" t="str">
        <f t="shared" si="156"/>
        <v>Аммофос 12:52:00</v>
      </c>
      <c r="BT147" s="10" t="str">
        <f t="shared" si="157"/>
        <v>Аммофос 12:52:00</v>
      </c>
      <c r="BU147" s="10" t="str">
        <f t="shared" si="158"/>
        <v>Диаммофоска</v>
      </c>
      <c r="BV147" s="10">
        <f t="shared" si="159"/>
        <v>0</v>
      </c>
      <c r="BW147" s="10"/>
      <c r="BX147" s="10"/>
      <c r="BY147" s="9">
        <f>IF(BL147&lt;0,0,IF(OR(Исходн.данные.!AI147=Расчет!$BU$6,Исходн.данные.!AI147=Расчет!$BU$7),Расчет!BV147,IF(Исходн.данные.!$AG147=$BV$11,BL147,IF(OR(Исходн.данные.!$AH147=$BQ$7,Исходн.данные.!$AH147=$BQ$8),CB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0,IF(Исходн.данные.!$AI147=$BU$11,"Нет",IF(BL147&gt;30,30,BL147)))))))</f>
        <v>0</v>
      </c>
      <c r="BZ147" s="9">
        <f>IF(AND(Исходн.данные.!$AG147=$BV$11,BM147&lt;10),10,IF(Исходн.данные.!$AG147=$BV$11,BM147,IF(OR(Исходн.данные.!$AH147=$BQ$7,Исходн.данные.!$AH147=$BQ$8),CC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10,IF(Исходн.данные.!$AI147=$BU$11,"Нет",IF(BM147&gt;60,60,IF(BM147&lt;10,10,BM147)))))))</f>
        <v>10</v>
      </c>
      <c r="CA147" s="39">
        <f>IF(BN147&lt;0,0,IF(Исходн.данные.!$AG147=$BV$11,BN147,IF(OR(Исходн.данные.!$AH147=$BQ$7,Исходн.данные.!$AH147=$BQ$8),CD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0,IF(Исходн.данные.!$AI147=$BU$11,"Нет",IF(BN147&gt;30,30,BN147))))))</f>
        <v>0</v>
      </c>
      <c r="CB147" s="9">
        <f t="shared" si="160"/>
        <v>0</v>
      </c>
      <c r="CC147" s="9">
        <f t="shared" si="161"/>
        <v>0</v>
      </c>
      <c r="CD147" s="9">
        <f t="shared" si="162"/>
        <v>0</v>
      </c>
      <c r="CE147" s="12">
        <f t="shared" si="163"/>
        <v>10</v>
      </c>
      <c r="CF147" s="9">
        <f t="shared" si="164"/>
        <v>0</v>
      </c>
      <c r="CG147" s="9" t="s">
        <v>231</v>
      </c>
      <c r="CH147" s="132" t="str">
        <f>IF(Исходн.данные.!AP147=Расчет!$CI$16,"Нет",IF(Исходн.данные.!AL147&gt;0,Исходн.данные.!AL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BH$4,IF(OR(Исходн.данные.!AI147=Исходн.данные.!$AI$6,Исходн.данные.!AI147=Исходн.данные.!$AI$7),Расчет!BS147,IF(AND($CF147=0,$CE147&gt;0),EV147,ER147)))))</f>
        <v>Аммофос 12:52:00</v>
      </c>
      <c r="CI147" s="274">
        <f>IF(Расчет!$CH147="Нет","Нет",IF(Исходн.данные.!$AL147&gt;0,VLOOKUP(Расчет!$CH147,АшламаДВ_Irekle,2,FALSE),VLOOKUP(Расчет!$CH147,АшламаДВ_Gomumy,2,FALSE)))</f>
        <v>0.12</v>
      </c>
      <c r="CJ147" s="274">
        <f>IF(Расчет!$CH147="Нет","Нет",IF(Исходн.данные.!$AL147&gt;0,VLOOKUP(Расчет!$CH147,АшламаДВ_Irekle,3,FALSE),VLOOKUP(Расчет!$CH147,АшламаДВ_Gomumy,3,FALSE)))</f>
        <v>0.52</v>
      </c>
      <c r="CK147" s="274">
        <f>IF(Расчет!$CH147="Нет","Нет",IF(Исходн.данные.!$AL147&gt;0,VLOOKUP(Расчет!$CH147,АшламаДВ_Irekle,4,FALSE),VLOOKUP(Расчет!$CH147,АшламаДВ_Gomumy,4,FALSE)))</f>
        <v>0</v>
      </c>
      <c r="CL147" s="70"/>
      <c r="CM147" s="70"/>
      <c r="CN147" s="70"/>
      <c r="CO147" s="70"/>
      <c r="CP147" s="70"/>
      <c r="CQ147" s="70"/>
      <c r="CR147" s="10">
        <f t="shared" si="165"/>
        <v>0</v>
      </c>
      <c r="CS147" s="10">
        <f t="shared" si="166"/>
        <v>19.23076923076923</v>
      </c>
      <c r="CT147" s="10">
        <f t="shared" si="167"/>
        <v>0</v>
      </c>
      <c r="CU147" s="39">
        <f>IF($CH147="Нет",0,IF(CI147=0,30/MIN(CJ147:CK147),IF(Исходн.данные.!$AG147=$BV$11,CR147,IF(OR(Исходн.данные.!$AH147=$BQ$7,Исходн.данные.!$AH147=$BQ$8),90/CI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0,IF(Исходн.данные.!$AI147=$BU$11,"Нет",30/CI147))))))</f>
        <v>250</v>
      </c>
      <c r="CV147" s="39">
        <f>IF($CH147="Нет",0,IF(Исходн.данные.!AH147=0,0,IF(CJ147=0,60/MIN(CI147,CK147),IF(Исходн.данные.!$AG147=$BV$11,CS147,IF(OR(Исходн.данные.!$AH147=$BQ$7,Исходн.данные.!$AH147=$BQ$8),90/CJ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10/CJ147,IF(Исходн.данные.!$AI147=$BU$11,"Нет",60/CJ147)))))))</f>
        <v>0</v>
      </c>
      <c r="CW147" s="39">
        <f>IF($CH147="Нет",0,IF(Исходн.данные.!AH147=0,0,IF(CK147=0,30/MIN(CI147:CJ147),IF(Исходн.данные.!$AG147=$BV$11,CT147,IF(OR(Исходн.данные.!$AH147=$BQ$7,Исходн.данные.!$AH147=$BQ$8),90/CK147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0,IF(Исходн.данные.!$AI147=$BU$11,"Нет",30/CK147)))))))</f>
        <v>0</v>
      </c>
      <c r="CX147" s="133">
        <f>IF(Исходн.данные.!$AG147=$BV$11,MAX(CU147:CW147),IF(OR(Исходн.данные.!$AH147=$BS$8,Исходн.данные.!$AH147=$BQ$9,Исходн.данные.!$AH147=$BQ$10,Исходн.данные.!$AH147=$BQ$11,Исходн.данные.!$AH147=$BQ$12,Исходн.данные.!$AH147=$BP$3,Исходн.данные.!$AH147=$BT$8,$FM147="Да"),CV147,MIN(CU147:CW147)))</f>
        <v>0</v>
      </c>
      <c r="CY147" s="133">
        <f>IF(Исходн.данные.!AH147=0,0,IF(CR147&gt;$CX147,$CX147,CR147))</f>
        <v>0</v>
      </c>
      <c r="CZ147" s="133">
        <f>IF(Исходн.данные.!AH147=0,0,IF(CS147&gt;$CX147,$CX147,CS147))</f>
        <v>0</v>
      </c>
      <c r="DA147" s="133">
        <f>IF(Исходн.данные.!AH147=0,0,IF(CT147&gt;$CX147,$CX147,CT147))</f>
        <v>0</v>
      </c>
      <c r="DB147" s="10">
        <f t="shared" si="168"/>
        <v>0</v>
      </c>
      <c r="DC147" s="39">
        <f>DB147*Исходн.данные.!AJ147/1000</f>
        <v>0</v>
      </c>
      <c r="DD147" s="71">
        <f t="shared" si="169"/>
        <v>0</v>
      </c>
      <c r="DE147" s="9">
        <f t="shared" si="170"/>
        <v>0</v>
      </c>
      <c r="DF147" s="9">
        <f t="shared" si="171"/>
        <v>0</v>
      </c>
      <c r="DG147" s="39">
        <f>IF(BL147&lt;0,0,IF($CH147="Нет",BL147,IF(OR(Исходн.данные.!$AH147=$BP$1,Исходн.данные.!$AH147=$BP$2),0,IF(Исходн.данные.!AI147=$BU$11,BL147,IF(BL147-DD147&lt;0,0,BL147-DD147)))))</f>
        <v>0</v>
      </c>
      <c r="DH147" s="39">
        <f>IF(BM147&lt;0,0,IF($CH147="Нет",BM147,IF(OR(Исходн.данные.!$AH147=$BP$1,Исходн.данные.!$AH147=$BP$2),0,IF(Исходн.данные.!AJ147=$BU$11,BM147,IF(BM147-DE147&lt;0,0,BM147-DE147)))))</f>
        <v>0</v>
      </c>
      <c r="DI147" s="39">
        <f>IF(BN147&lt;0,0,IF($CH147="Нет",BN147,IF(OR(Исходн.данные.!$AH147=$BP$1,Исходн.данные.!$AH147=$BP$2),0,IF(Исходн.данные.!AK147=$BU$11,BN147,IF(BN147-DF147&lt;0,0,BN147-DF147)))))</f>
        <v>0</v>
      </c>
      <c r="DJ147" s="12">
        <f t="shared" si="172"/>
        <v>0</v>
      </c>
      <c r="DK147" s="9">
        <f t="shared" si="173"/>
        <v>0</v>
      </c>
      <c r="DL147" s="39">
        <f>IF(Исходн.данные.!AM147&gt;0,Исходн.данные.!AM147,IF(EG147&gt;0,$BH$10,0))</f>
        <v>0</v>
      </c>
      <c r="DM147" s="186">
        <f>IF($DL147=0,0,IF(Исходн.данные.!AM147&gt;0,VLOOKUP($DL147,АшламаДВ_Irekle,2,FALSE),VLOOKUP($DL147,АшламаДВ_Gomumy,2,FALSE)))</f>
        <v>0</v>
      </c>
      <c r="DN147" s="10">
        <f t="shared" si="151"/>
        <v>0</v>
      </c>
      <c r="DO147" s="9" t="str">
        <f>IF(Исходн.данные.!AN147&gt;0,Исходн.данные.!AN147,Удобрения!$B$37 )</f>
        <v>Хлор.калий</v>
      </c>
      <c r="DP147" s="9">
        <f>IF(Исходн.данные.!AN147&gt;0,VLOOKUP(Исходн.данные.!AN147,АшламаДВ_Irekle,4,FALSE),VLOOKUP(DO147,АшламаДВ_Gomumy,4,FALSE))</f>
        <v>0.6</v>
      </c>
      <c r="DQ147" s="10">
        <f t="shared" si="152"/>
        <v>0</v>
      </c>
      <c r="DR147" s="132" t="str">
        <f>IF(Исходн.данные.!AO147&gt;0,Исходн.данные.!AO147,IF(DH147=0,BS$17,IF(AND($DK147=0,$DJ147&gt;0),EJ147,EN147)))</f>
        <v>Нет</v>
      </c>
      <c r="DS147" s="70" t="str">
        <f>IF($DR147="Нет","Нет",IF(Исходн.данные.!$AO147&gt;0,VLOOKUP($DR147,АшламаДВ_Irekle,2,FALSE),VLOOKUP($DR147,АшламаДВ_Gomumy,2,FALSE)))</f>
        <v>Нет</v>
      </c>
      <c r="DT147" s="70" t="str">
        <f>IF($DR147="Нет","Нет",IF(Исходн.данные.!$AO147&gt;0,VLOOKUP($DR147,АшламаДВ_Irekle,3,FALSE),VLOOKUP($DR147,АшламаДВ_Gomumy,3,FALSE)))</f>
        <v>Нет</v>
      </c>
      <c r="DU147" s="70" t="str">
        <f>IF($DR147="Нет","Нет",IF(Исходн.данные.!$AO147&gt;0,VLOOKUP($DR147,АшламаДВ_Irekle,4,FALSE),VLOOKUP($DR147,АшламаДВ_Gomumy,4,FALSE)))</f>
        <v>Нет</v>
      </c>
      <c r="DV147" s="70"/>
      <c r="DW147" s="70"/>
      <c r="DX147" s="70"/>
      <c r="DY147" s="10">
        <f t="shared" si="174"/>
        <v>0</v>
      </c>
      <c r="DZ147" s="10">
        <f t="shared" si="175"/>
        <v>0</v>
      </c>
      <c r="EA147" s="10">
        <f t="shared" si="176"/>
        <v>0</v>
      </c>
      <c r="EB147" s="10">
        <f t="shared" si="177"/>
        <v>0</v>
      </c>
      <c r="EC147" s="10">
        <f t="shared" si="178"/>
        <v>0</v>
      </c>
      <c r="ED147" s="10">
        <f t="shared" si="179"/>
        <v>0</v>
      </c>
      <c r="EE147" s="10">
        <f t="shared" si="180"/>
        <v>0</v>
      </c>
      <c r="EF147" s="39">
        <f>EB147*Исходн.данные.!AJ147/1000</f>
        <v>0</v>
      </c>
      <c r="EG147" s="9">
        <f t="shared" si="181"/>
        <v>0</v>
      </c>
      <c r="EH147" s="9">
        <f t="shared" si="182"/>
        <v>0</v>
      </c>
      <c r="EI147" s="39" t="e">
        <f t="shared" si="132"/>
        <v>#DIV/0!</v>
      </c>
      <c r="EJ147" s="9" t="str">
        <f t="shared" si="153"/>
        <v>Азопреципитат</v>
      </c>
      <c r="EK147" s="12">
        <f t="shared" si="133"/>
        <v>0.26</v>
      </c>
      <c r="EL147" s="12">
        <f t="shared" si="134"/>
        <v>0.13</v>
      </c>
      <c r="EM147" s="12">
        <f t="shared" si="135"/>
        <v>0</v>
      </c>
      <c r="EN147" s="12" t="str">
        <f t="shared" si="154"/>
        <v>Нет</v>
      </c>
      <c r="EO147" s="12">
        <f t="shared" si="136"/>
        <v>0</v>
      </c>
      <c r="EP147" s="12">
        <f t="shared" si="137"/>
        <v>0</v>
      </c>
      <c r="EQ147" s="12">
        <f t="shared" si="138"/>
        <v>0</v>
      </c>
      <c r="ER147" s="12" t="str">
        <f t="shared" si="183"/>
        <v>Диаммофоска</v>
      </c>
      <c r="ES147" s="12">
        <f t="shared" si="139"/>
        <v>0.1</v>
      </c>
      <c r="ET147" s="12">
        <f t="shared" si="140"/>
        <v>0.26</v>
      </c>
      <c r="EU147" s="12">
        <f t="shared" si="141"/>
        <v>0.26</v>
      </c>
      <c r="EV147" s="12" t="str">
        <f t="shared" si="184"/>
        <v>Аммофос 12:52:00</v>
      </c>
      <c r="EW147" s="12" t="str">
        <f t="shared" si="185"/>
        <v>Кемира Свекловичное-6</v>
      </c>
      <c r="EX147" s="12">
        <f t="shared" si="142"/>
        <v>0.16</v>
      </c>
      <c r="EY147" s="12">
        <f t="shared" si="143"/>
        <v>0.12</v>
      </c>
      <c r="EZ147" s="12">
        <f t="shared" si="144"/>
        <v>0.17</v>
      </c>
      <c r="FA147" s="38" t="e">
        <f>IF(AND(OR(FJ147=$FD$1,FM147=$FD$1,FO147=$FD$1,FQ147=$FD$1,FS147=$FD$1),FD147=$FD$1,Исходн.данные.!J147&lt;2,FU147=$FD$1),"Бор,Кобальт",IF(AND(FO147=$FD$1,FH147=$FD$1,Исходн.данные.!J147&lt;2,FU147=$FD$1),"Бор,Кобальт",IF(AND(OR(FJ147=$FD$1,FM147=$FD$1,FQ147=$FD$1),FE147=$FD$1,Исходн.данные.!J147&lt;2,FT147=$FD$1,FU147=$FD$1),"Бор,Медь,Цинк",IF(AND(OR(FJ147=$FD$1,FR147="Да"),FI147="Да",Исходн.данные.!J147&lt;2,FT147="Да",FU147="Да"),"Бор,Цинк,Медь",IF(AND(OR(FM147="Да",FQ147="Да"),FI147="Да",Исходн.данные.!J147&lt;2,FT147="Да",FU147="Да"),"Бор,Цинк",IF(AND(FN147="Да",OR(FD147="Да",FE147="Да")),"Бор",FB147))))))</f>
        <v>#N/A</v>
      </c>
      <c r="FB147" s="134" t="e">
        <f>IF(AND(OR(FD147="Да",FE147="Да",FF147="Да",FG147="Да",FH147="Да"),FO147="Да"),"Бор",IF(AND(FP147="Да",OR(FD147="Да",FE147="Да",FI147="Да")),"Бор",IF(AND(FS147="Да",FE147="Да"),"Бор,Медь",IF(AND(OR(FJ147="Да",FK147="Да",FL147="Да"),FE147="Да",Исходн.данные.!I147&lt;5,FT147="Да",FU147="Да"),"Молибден,Цинк",IF(AND(FM147="Да",OR(FE147="Да",FF147="Да",FG147="Да",FH147="Да",FI147="Да")),"Молибден,Цинк",IF(AND(OR(FJ147="Да",FK147="Да",FL147="Да",FM147="Да",FQ147="Да"),OR(FE147="Да",FF147="Да"),FT147="Да",FU147="Да",Исходн.данные.!I147&gt;5.5),"Медь,Цинк",FC147))))))</f>
        <v>#N/A</v>
      </c>
      <c r="FC147" s="23" t="e">
        <f t="shared" si="186"/>
        <v>#N/A</v>
      </c>
      <c r="FD147" s="38" t="str">
        <f>IF(OR(Исходн.данные.!F147=$CC$1,Исходн.данные.!F147=$CC$2,Исходн.данные.!F147=$CC$3,Исходн.данные.!F147=$CC$4),"Да","Нет")</f>
        <v>Нет</v>
      </c>
      <c r="FE147" s="38" t="str">
        <f>IF(Исходн.данные.!F147=$CC$5,"Да","Нет")</f>
        <v>Нет</v>
      </c>
      <c r="FF147" s="38" t="str">
        <f>IF(OR(Исходн.данные.!F147=$CC$6,Исходн.данные.!F147=$CC$7),"Да","Нет")</f>
        <v>Нет</v>
      </c>
      <c r="FG147" s="38" t="str">
        <f>IF(OR(Исходн.данные.!F147=$CC$8,Исходн.данные.!F147=$CC$9),"Да","Нет")</f>
        <v>Нет</v>
      </c>
      <c r="FH147" s="38" t="str">
        <f>IF(Исходн.данные.!F147=$CC$10,"Да","Нет")</f>
        <v>Нет</v>
      </c>
      <c r="FI147" s="38" t="str">
        <f>IF(OR(Исходн.данные.!F147=$CC$11,Исходн.данные.!F147=$CC$12),"Да","Нет")</f>
        <v>Нет</v>
      </c>
      <c r="FJ147" s="38" t="str">
        <f>IF(OR(Исходн.данные.!AH147=$BS$1,Исходн.данные.!AH147=$BQ$11,Исходн.данные.!AH147=$BQ$12),"Да","Нет")</f>
        <v>Нет</v>
      </c>
      <c r="FK147" s="38" t="str">
        <f>IF(OR(Исходн.данные.!AH147=$BS$2,Исходн.данные.!AH147=$BS$4),"Да","Нет")</f>
        <v>Нет</v>
      </c>
      <c r="FL147" s="38" t="str">
        <f>IF(OR(Исходн.данные.!AH147=$BS$3,Исходн.данные.!AH147=$BS$5),"Да","Нет")</f>
        <v>Нет</v>
      </c>
      <c r="FM147" s="38" t="str">
        <f>IF(OR(Исходн.данные.!AH147=$BS$9,Исходн.данные.!AH147=$BS$10,Исходн.данные.!AH147=$BS$11,Исходн.данные.!AH147=$BS$12),"Да","Нет")</f>
        <v>Нет</v>
      </c>
      <c r="FN147" s="38" t="str">
        <f>IF(OR(Исходн.данные.!AH147=$BS$6,Исходн.данные.!AH147=$BP$3),"Да","Нет")</f>
        <v>Нет</v>
      </c>
      <c r="FO147" s="38" t="str">
        <f>IF(Исходн.данные.!AH147=$BQ$9,"Да","Нет")</f>
        <v>Нет</v>
      </c>
      <c r="FP147" s="38" t="str">
        <f>IF(OR(Исходн.данные.!AH147=$BS$8,Исходн.данные.!AH147=$BT$8),"Да","Нет")</f>
        <v>Нет</v>
      </c>
      <c r="FQ147" s="38" t="str">
        <f>IF(OR(Исходн.данные.!AH147=$BQ$7,Исходн.данные.!AH147=$BQ$8),"Да","Нет")</f>
        <v>Нет</v>
      </c>
      <c r="FR147" s="38" t="str">
        <f>IF(Исходн.данные.!AI147=$BU$9,"Да","Нет")</f>
        <v>Нет</v>
      </c>
      <c r="FS147" s="38" t="str">
        <f>IF(OR(Исходн.данные.!AH147=$BP$1,Исходн.данные.!AH147=$BP$2),"Да","Нет")</f>
        <v>Нет</v>
      </c>
      <c r="FT147" s="38" t="e">
        <f>IF((Исходн.данные.!K147*GO147*GS147*GW147+BL147*0.6+Исходн.данные.!Q147*4.5*0.275)&gt;90,"Да","Нет")</f>
        <v>#N/A</v>
      </c>
      <c r="FU147" s="38" t="e">
        <f>IF((Исходн.данные.!M147*GS147*GZ147+BM147*0.225)&gt;35,"Да","Нет")</f>
        <v>#N/A</v>
      </c>
      <c r="FV147" s="38" t="str">
        <f>IF(Исходн.данные.!O147&gt;175,"Да","Нет")</f>
        <v>Нет</v>
      </c>
      <c r="FW147" s="39" t="str">
        <f>IF(Исходн.данные.!I147&gt;5.5,"Да","Нет")</f>
        <v>Нет</v>
      </c>
      <c r="FX147" s="39" t="str">
        <f>IF(Исходн.данные.!J147&lt;2,"Да","Нет")</f>
        <v>Да</v>
      </c>
      <c r="FY147" s="39" t="e">
        <f>IF(HF147=$FY$16,0,Исходн.данные.!K147*GO147*GS147*GW147/HF147)</f>
        <v>#N/A</v>
      </c>
      <c r="FZ147" s="39" t="e">
        <f>Исходн.данные.!M147*GS147*GZ147/HG147</f>
        <v>#N/A</v>
      </c>
      <c r="GA147" s="39" t="e">
        <f>IF(K_Wyn=$FY$16,0,IF(Исходн.данные.!N147=Исходн.данные.!$L$10,Исходн.данные.!O147/1.1*GS147*HC147/HH147,IF(Исходн.данные.!N147=Исходн.данные.!$L$12,Исходн.данные.!O147/1.5*GS147*HC147/HH147,Исходн.данные.!O147*GS147*HC147/HH147)))</f>
        <v>#N/A</v>
      </c>
      <c r="GB147" s="39" t="e">
        <f>IF(HF147=$FY$16,0,((Исходн.данные.!Q147*N_Org+Исходн.данные.!R147*N_Sider+Исходн.данные.!S147*N_Soloma)*AO147+Расчет!BC147*VLOOKUP(Исходн.данные.!T147,Справ!$A$3:$O$57,15)*AO147+BB147*VLOOKUP(Исходн.данные.!T147,Справ!$A$3:$O$57,15)*AL147+(Исходн.данные.!V147*N_Rizotorf+Исходн.данные.!W147*N_Rizoagr))/HF147)</f>
        <v>#N/A</v>
      </c>
      <c r="GC147" s="39" t="e">
        <f>IF(HG147=$FY$16,0,((Исходн.данные.!Q147*Р_Org+Исходн.данные.!R147*P_Sider+Исходн.данные.!S147*P_Soloma)*AP147+Расчет!BC147*VLOOKUP(Исходн.данные.!T147,Справ!$A$3:$P$57,16)*AP147+BB147*VLOOKUP(Исходн.данные.!T147,Справ!$A$3:$P$57,16)*AM147)/HG147)</f>
        <v>#N/A</v>
      </c>
      <c r="GD147" s="39" t="e">
        <f>IF(HH147=$FY$16,0,((Исходн.данные.!Q147*К_Org+Исходн.данные.!R147*K_Sider+Исходн.данные.!S147*K_Soloma)*AQ147+Расчет!BC147*VLOOKUP(Исходн.данные.!T147,Справ!$A$3:$Q$57,17)*AQ147+BB147*VLOOKUP(Исходн.данные.!T147,Справ!$A$3:$Q$57,17)*AN147)/HH147)</f>
        <v>#N/A</v>
      </c>
      <c r="GE147" s="39" t="e">
        <f>IF(HF147=$FY$16,0,(Исходн.данные.!X147*AR147+Исходн.данные.!AA147*N_Org*AL147+Исходн.данные.!AB147*N_Sider*AL147+Исходн.данные.!AC147*N_Soloma*AL147)/HF147)</f>
        <v>#N/A</v>
      </c>
      <c r="GF147" s="39" t="e">
        <f>IF(HG147=$FY$16,0,(Исходн.данные.!Y147*AS147+Исходн.данные.!AA147*Р_Org*AM147+Исходн.данные.!AB147*P_Sider*AM147+Исходн.данные.!AC147*P_Soloma*AM147)/HG147)</f>
        <v>#N/A</v>
      </c>
      <c r="GG147" s="39" t="e">
        <f>IF(HH147=$FY$16,0,(Исходн.данные.!Z147*AT147+Исходн.данные.!AA147*К_Org*AN147+Исходн.данные.!AB147*K_Sider*AN147+Исходн.данные.!AC147*K_Soloma*AN147)/HH147)</f>
        <v>#N/A</v>
      </c>
      <c r="GH147" s="39" t="e">
        <f>Исходн.данные.!AD147*AU147/HF147</f>
        <v>#N/A</v>
      </c>
      <c r="GI147" s="39" t="e">
        <f>Исходн.данные.!AE147*AV147/HG147</f>
        <v>#N/A</v>
      </c>
      <c r="GJ147" s="39" t="e">
        <f>Исходн.данные.!AF147*AW147/HH147</f>
        <v>#N/A</v>
      </c>
      <c r="GK147" s="55">
        <f>Исходн.данные.!AK147</f>
        <v>0</v>
      </c>
      <c r="GL147" s="11" t="e">
        <f t="shared" si="187"/>
        <v>#N/A</v>
      </c>
      <c r="GM147" s="11" t="e">
        <f t="shared" si="188"/>
        <v>#N/A</v>
      </c>
      <c r="GN147" s="11" t="e">
        <f t="shared" si="189"/>
        <v>#N/A</v>
      </c>
      <c r="GO147" s="57">
        <f t="shared" si="190"/>
        <v>19</v>
      </c>
      <c r="GP147" s="55">
        <f>IF(OR(Исходн.данные.!F147=$CE$1,Исходн.данные.!F147=$CE$2,Исходн.данные.!F147=$CE$3,Исходн.данные.!F147=$CE$4,Исходн.данные.!F147=$CE$5),GQ147,GR147)</f>
        <v>19</v>
      </c>
      <c r="GQ147" s="55">
        <f>IF(Исходн.данные.!F147=$CE$1,28,IF(Исходн.данные.!F147=$CE$2,26,IF(Исходн.данные.!F147=$CE$3,24,IF(Исходн.данные.!F147=$CE$4,22,IF(Исходн.данные.!F147=$CE$5,20,GR147)))))</f>
        <v>19</v>
      </c>
      <c r="GR147" s="55">
        <f>IF(Исходн.данные.!F147=$CE$6,18,IF(Исходн.данные.!F147=$CE$7,16,IF(Исходн.данные.!F147=$CE$8,14,IF(Исходн.данные.!F147=$CE$9,13,IF(Исходн.данные.!F147=$CE$10,12,19)))))</f>
        <v>19</v>
      </c>
      <c r="GS147" s="55">
        <f>IF(Исходн.данные.!G147="Пес",0.035*(40+2*Исходн.данные.!H147),IF(Исходн.данные.!G147="Суп",0.0325*(40+2*Исходн.данные.!H147),0.03*(40+2*Исходн.данные.!H147)))</f>
        <v>1.2</v>
      </c>
      <c r="GT147" s="55">
        <f>IF(Исходн.данные.!H147&lt;23,2.6,IF(AND(Исходн.данные.!H147&gt;22,Исходн.данные.!H147&lt;26),3,IF(AND(Исходн.данные.!H147&gt;25,Исходн.данные.!H147&lt;29),3.4,3.6)))</f>
        <v>2.6</v>
      </c>
      <c r="GU147" s="55">
        <f>IF(Исходн.данные.!H147&lt;23,2.8,IF(AND(Исходн.данные.!H147&gt;22,Исходн.данные.!H147&lt;26),3.2,IF(AND(Исходн.данные.!H147&gt;25,Исходн.данные.!H147&lt;29),3.6,3.9)))</f>
        <v>2.8</v>
      </c>
      <c r="GV147" s="55">
        <f>IF(Исходн.данные.!H147&lt;23,3,IF(AND(Исходн.данные.!H147&gt;22,Исходн.данные.!H147&lt;26),3.5,IF(AND(Исходн.данные.!H147&gt;25,Исходн.данные.!H147&lt;29),3.9,4.2)))</f>
        <v>3</v>
      </c>
      <c r="GW147" s="55" t="e">
        <f>IF(Исходн.данные.!P147="Ум",GX147,GY147)</f>
        <v>#N/A</v>
      </c>
      <c r="GX147" s="55" t="e">
        <f>VLOOKUP(Исходн.данные.!AI147,Коэффициенты!$J$7:$L$13,2,FALSE)</f>
        <v>#N/A</v>
      </c>
      <c r="GY147" s="55" t="e">
        <f>VLOOKUP(Исходн.данные.!AI147,Коэффициенты!$J$7:$L$13,3,FALSE)</f>
        <v>#N/A</v>
      </c>
      <c r="GZ147" s="55" t="e">
        <f>(IF(Исходн.данные.!M147&lt;50,0.11*VLOOKUP(Исходн.данные.!AH147,Культуры.Информация,7,FALSE),IF(Исходн.данные.!M147&gt;250,0.05*VLOOKUP(Исходн.данные.!AH147,Культуры.Информация,7,FALSE),VLOOKUP(Исходн.данные.!AH147,Культуры.Информация,5,FALSE)/100*($GX$6+$GY$6*Исходн.данные.!M147))))*Расчет2!AI147</f>
        <v>#N/A</v>
      </c>
      <c r="HA147" s="211"/>
      <c r="HB147" s="211"/>
      <c r="HC147" s="55" t="e">
        <f>(IF(Исходн.данные.!O147&lt;80,0.2*VLOOKUP(Исходн.данные.!AH147,Культуры.Информация,8,FALSE),IF(Исходн.данные.!O147&gt;240,0.09*VLOOKUP(Исходн.данные.!AH147,Культуры.Информация,8,FALSE),VLOOKUP(Исходн.данные.!AH147,Культуры.Информация,6,FALSE)/100*($HB$6+$HC$6*Исходн.данные.!O147))))*Расчет2!AJ147</f>
        <v>#N/A</v>
      </c>
      <c r="HD147" s="55">
        <f>IF(Исходн.данные.!O147&gt;240,0.09,IF(Исходн.данные.!O147&lt;30,0.3,$HE$10+$HD$10*Исходн.данные.!O147))</f>
        <v>0.3</v>
      </c>
      <c r="HE147" s="55">
        <f>IF(Исходн.данные.!O147&gt;240,0.17,IF(Исходн.данные.!O147&lt;30,0.5,$HF$12+$HE$12*Исходн.данные.!O147))</f>
        <v>0.5</v>
      </c>
      <c r="HF147" s="55" t="e">
        <f>VLOOKUP(Исходн.данные.!AH147,Справ!$A$3:$D$58,2,FALSE)</f>
        <v>#N/A</v>
      </c>
      <c r="HG147" s="55" t="e">
        <f>VLOOKUP(Исходн.данные.!AH147,Справ!$A$3:$D$58,3,FALSE)</f>
        <v>#N/A</v>
      </c>
      <c r="HH147" s="55" t="e">
        <f>VLOOKUP(Исходн.данные.!AH147,Справ!$A$3:$D$58,4,FALSE)</f>
        <v>#N/A</v>
      </c>
      <c r="HI147" s="11" t="e">
        <f t="shared" si="191"/>
        <v>#N/A</v>
      </c>
      <c r="HJ147" s="11" t="e">
        <f t="shared" si="192"/>
        <v>#N/A</v>
      </c>
      <c r="HK147" s="11" t="e">
        <f t="shared" si="193"/>
        <v>#N/A</v>
      </c>
      <c r="HL147" s="55">
        <f>IF(OR(Исходн.данные.!G147="Глин",Исходн.данные.!G147="Т_суг"),1.1,IF(Исходн.данные.!G147="Ср_суг",1,1))</f>
        <v>1</v>
      </c>
      <c r="HM147" s="55">
        <f>IF(OR(Исходн.данные.!G147="Глин",Исходн.данные.!G147="Т_суг"),0.9,IF(Исходн.данные.!G147="Ср_суг",1,1.2))</f>
        <v>1.2</v>
      </c>
      <c r="HN147" s="11" t="e">
        <f t="shared" si="194"/>
        <v>#N/A</v>
      </c>
      <c r="HO147" s="11" t="e">
        <f t="shared" si="195"/>
        <v>#N/A</v>
      </c>
      <c r="HP147" s="11" t="e">
        <f t="shared" si="196"/>
        <v>#N/A</v>
      </c>
      <c r="HQ147" t="e">
        <f t="shared" si="197"/>
        <v>#N/A</v>
      </c>
      <c r="HR147" t="e">
        <f t="shared" si="198"/>
        <v>#N/A</v>
      </c>
      <c r="HS147" t="e">
        <f t="shared" si="199"/>
        <v>#N/A</v>
      </c>
      <c r="HT147" t="e">
        <f t="shared" si="145"/>
        <v>#N/A</v>
      </c>
      <c r="HU147" t="e">
        <f t="shared" si="146"/>
        <v>#N/A</v>
      </c>
      <c r="HV147" t="e">
        <f t="shared" si="147"/>
        <v>#N/A</v>
      </c>
      <c r="HW147" t="e">
        <f t="shared" si="148"/>
        <v>#N/A</v>
      </c>
      <c r="HX147" t="e">
        <f t="shared" si="149"/>
        <v>#N/A</v>
      </c>
      <c r="HY147" t="e">
        <f t="shared" si="150"/>
        <v>#N/A</v>
      </c>
      <c r="HZ147" s="55">
        <f>IF(OR(Исходн.данные.!AI147="Оз_Ч_П",Исходн.данные.!AI147="Оз_З_П",Исходн.данные.!AI147="Яр_зер"),12,30)</f>
        <v>30</v>
      </c>
      <c r="IA147" t="e">
        <f t="shared" si="200"/>
        <v>#N/A</v>
      </c>
      <c r="IB147" t="e">
        <f t="shared" si="201"/>
        <v>#N/A</v>
      </c>
      <c r="IC147" t="e">
        <f t="shared" si="202"/>
        <v>#N/A</v>
      </c>
      <c r="ID147" s="11" t="e">
        <f t="shared" si="203"/>
        <v>#N/A</v>
      </c>
      <c r="IE147" s="11" t="e">
        <f t="shared" si="204"/>
        <v>#N/A</v>
      </c>
      <c r="IF147" s="11" t="e">
        <f t="shared" si="205"/>
        <v>#N/A</v>
      </c>
    </row>
    <row r="148" spans="35:240" x14ac:dyDescent="0.2">
      <c r="AI148">
        <f>IF(Исходн.данные.!I148&gt;6,1,1.85-(0.148*Исходн.данные.!I148))</f>
        <v>1.85</v>
      </c>
      <c r="AJ148">
        <f>IF(Исходн.данные.!I148&gt;6,1,2.434-(0.246*Исходн.данные.!I148))</f>
        <v>2.4340000000000002</v>
      </c>
      <c r="AL148" s="148" t="b">
        <f>IF(Исходн.данные.!$P148="Ум",N_OrgUd_2g_um,IF(Исходн.данные.!$P148="Об",N_OrgUd_2g_ob))</f>
        <v>0</v>
      </c>
      <c r="AM148" s="148" t="b">
        <f>IF(Исходн.данные.!$P148="Ум",P_OrgUd_2g_um,IF(Исходн.данные.!$P148="Об",P_OrgUd_2g_ob))</f>
        <v>0</v>
      </c>
      <c r="AN148" s="148" t="b">
        <f>IF(Исходн.данные.!$P148="Ум",K_OrgUd_2g_um,IF(Исходн.данные.!$P148="Об",K_OrgUd_2g_ob))</f>
        <v>0</v>
      </c>
      <c r="AO148" s="148" t="b">
        <f>IF(Исходн.данные.!$P148="Ум",N_OrgUd_1g_um,IF(Исходн.данные.!$P148="Об",N_OrgUd_1g_ob))</f>
        <v>0</v>
      </c>
      <c r="AP148" s="148" t="b">
        <f>IF(Исходн.данные.!$P148="Ум",P_OrgUd_1g_um,IF(Исходн.данные.!$P148="Об",P_OrgUd_1g_ob))</f>
        <v>0</v>
      </c>
      <c r="AQ148" s="148" t="b">
        <f>IF(Исходн.данные.!$P148="Ум",K_OrgUd_1g_um,IF(Исходн.данные.!$P148="Об",K_OrgUd_1g_ob))</f>
        <v>0</v>
      </c>
      <c r="AR148" t="b">
        <f>IF(Исходн.данные.!$P148="Ум",N_MinUd_2g_um,IF(Исходн.данные.!$P148="Об",N_MinUd_2g_ob))</f>
        <v>0</v>
      </c>
      <c r="AS148" t="b">
        <f>IF(Исходн.данные.!$P148="Ум",P_MinUd_2g_um,IF(Исходн.данные.!$P148="Об",P_MinUd_2g_ob))</f>
        <v>0</v>
      </c>
      <c r="AT148" t="b">
        <f>IF(Исходн.данные.!$P148="Ум",K_MinUd_2g_um,IF(Исходн.данные.!$P148="Об",K_MinUd_2g_ob))</f>
        <v>0</v>
      </c>
      <c r="AU148" t="b">
        <f>IF(Исходн.данные.!$P148="Ум",N_MinUd_1g_um,IF(Исходн.данные.!$P148="Об",N_MinUd_1g_ob))</f>
        <v>0</v>
      </c>
      <c r="AV148" t="b">
        <f>IF(Исходн.данные.!P148="Ум",P_MinUd_1g_um,IF(Исходн.данные.!P148="Об",P_MinUd_1g_ob))</f>
        <v>0</v>
      </c>
      <c r="AW148" t="b">
        <f>IF(Исходн.данные.!P148="Ум",K_MinUd_1g_um,IF(Исходн.данные.!P148="Об",K_MinUd_1g_ob))</f>
        <v>0</v>
      </c>
      <c r="AY148" t="e">
        <f>VLOOKUP(Исходн.данные.!T148,Справ!$A$3:$N$57,12)</f>
        <v>#N/A</v>
      </c>
      <c r="AZ148" t="e">
        <f>VLOOKUP(Исходн.данные.!T148,Справ!$A$3:$N$57,13)</f>
        <v>#N/A</v>
      </c>
      <c r="BA148" t="e">
        <f>VLOOKUP(Исходн.данные.!T148,Справ!$A$3:$N$57,14)</f>
        <v>#N/A</v>
      </c>
      <c r="BB148">
        <f>IF(Исходн.данные.!AH148=0,0,25)</f>
        <v>0</v>
      </c>
      <c r="BC148" s="141">
        <f>IF(Исходн.данные.!AH148=0,0,IF(Исходн.данные.!T148=0,25,BD148))</f>
        <v>0</v>
      </c>
      <c r="BD148" s="168" t="e">
        <f>AY148+AZ148*Исходн.данные.!U148-POWER(BA148,2)*Исходн.данные.!U148</f>
        <v>#N/A</v>
      </c>
      <c r="BE14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8" s="25">
        <f>IF(Исходн.данные.!AH148=0,0,MIN(HN148:HP148))</f>
        <v>0</v>
      </c>
      <c r="BG148" s="9">
        <f>IF(Исходн.данные.!AH148=0,0,IF((HO148+10*0.25/HG148/HL148)&lt;17,17,HO148+10*0.25/HG148/HL148))</f>
        <v>0</v>
      </c>
      <c r="BH148" s="181">
        <f>IF(Исходн.данные.!AH148=0,0,HW148*HF148*HL148/AU148*AI148+Исходн.данные.!S148*10)</f>
        <v>0</v>
      </c>
      <c r="BI148" s="10"/>
      <c r="BJ148" s="182">
        <f>IF(Исходн.данные.!AH148=0,0,IF(HX148*HG148*HL148/AV148&lt;0,0,HX148*HG148*HL148/AV148*AJ148))</f>
        <v>0</v>
      </c>
      <c r="BK148" s="182">
        <f>IF(Исходн.данные.!AH148=0,0,HY148*HH148*HM148/AW148)</f>
        <v>0</v>
      </c>
      <c r="BL148" s="10">
        <f>IF(OR(Исходн.данные.!$AH148=$BP$1,Исходн.данные.!$AH148=$BP$2),0,IF(BH148&lt;0,0,IF(OR(Исходн.данные.!T148=Расчет!$BP$1,Исходн.данные.!T148=Расчет!$BP$2,Исходн.данные.!T148=Расчет!$BT$5,Исходн.данные.!T148=Расчет!$BT$6),BH148*0.5,IF(OR(Исходн.данные.!T148=Расчет!$BS$9,Исходн.данные.!T148=Расчет!$BS$10,Исходн.данные.!T148=Расчет!$BS$11,Исходн.данные.!T148=Расчет!$BS$12,Исходн.данные.!T148=Расчет!$BP$5),BH148*0.8,BH148))))</f>
        <v>0</v>
      </c>
      <c r="BM148" s="10">
        <f>IF(OR(Исходн.данные.!$AH148=$BP$1,Исходн.данные.!$AH148=$BP$2),0,IF(BJ148&lt;0,0,IF(Исходн.данные.!I148&lt;4.5,BJ148*1.2,IF(Исходн.данные.!I148&gt;5.1,BJ148,BJ148*((5.1-Исходн.данные.!I148)*0.333+1)))))</f>
        <v>0</v>
      </c>
      <c r="BN148" s="10">
        <f>IF(OR(Исходн.данные.!$AH148=$BP$1,Исходн.данные.!$AH148=$BP$2),60-Исходн.данные.!AF148,IF(BK148&lt;0,0,IF(Исходн.данные.!I148&lt;4.5,BK148*1.2,IF(Исходн.данные.!I148&gt;5.1,BK148,BK148*((5.1-Исходн.данные.!I148)*0.333+1)))))</f>
        <v>0</v>
      </c>
      <c r="BO148" s="9">
        <f>IF(BL148&lt;0,0,BL148*Исходн.данные.!$AJ148/1000)</f>
        <v>0</v>
      </c>
      <c r="BP148" s="9">
        <f>IF(BM148&lt;0,0,BM148*Исходн.данные.!$AJ148/1000)</f>
        <v>0</v>
      </c>
      <c r="BQ148" s="9">
        <f>IF(BN148&lt;0,0,BN148*Исходн.данные.!$AJ148/1000)</f>
        <v>0</v>
      </c>
      <c r="BR148" s="9">
        <f t="shared" si="155"/>
        <v>0</v>
      </c>
      <c r="BS148" s="10" t="str">
        <f t="shared" si="156"/>
        <v>Аммофос 12:52:00</v>
      </c>
      <c r="BT148" s="10" t="str">
        <f t="shared" si="157"/>
        <v>Аммофос 12:52:00</v>
      </c>
      <c r="BU148" s="10" t="str">
        <f t="shared" si="158"/>
        <v>Диаммофоска</v>
      </c>
      <c r="BV148" s="10">
        <f t="shared" si="159"/>
        <v>0</v>
      </c>
      <c r="BW148" s="10"/>
      <c r="BX148" s="10"/>
      <c r="BY148" s="9">
        <f>IF(BL148&lt;0,0,IF(OR(Исходн.данные.!AI148=Расчет!$BU$6,Исходн.данные.!AI148=Расчет!$BU$7),Расчет!BV148,IF(Исходн.данные.!$AG148=$BV$11,BL148,IF(OR(Исходн.данные.!$AH148=$BQ$7,Исходн.данные.!$AH148=$BQ$8),CB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0,IF(Исходн.данные.!$AI148=$BU$11,"Нет",IF(BL148&gt;30,30,BL148)))))))</f>
        <v>0</v>
      </c>
      <c r="BZ148" s="9">
        <f>IF(AND(Исходн.данные.!$AG148=$BV$11,BM148&lt;10),10,IF(Исходн.данные.!$AG148=$BV$11,BM148,IF(OR(Исходн.данные.!$AH148=$BQ$7,Исходн.данные.!$AH148=$BQ$8),CC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10,IF(Исходн.данные.!$AI148=$BU$11,"Нет",IF(BM148&gt;60,60,IF(BM148&lt;10,10,BM148)))))))</f>
        <v>10</v>
      </c>
      <c r="CA148" s="39">
        <f>IF(BN148&lt;0,0,IF(Исходн.данные.!$AG148=$BV$11,BN148,IF(OR(Исходн.данные.!$AH148=$BQ$7,Исходн.данные.!$AH148=$BQ$8),CD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0,IF(Исходн.данные.!$AI148=$BU$11,"Нет",IF(BN148&gt;30,30,BN148))))))</f>
        <v>0</v>
      </c>
      <c r="CB148" s="9">
        <f t="shared" si="160"/>
        <v>0</v>
      </c>
      <c r="CC148" s="9">
        <f t="shared" si="161"/>
        <v>0</v>
      </c>
      <c r="CD148" s="9">
        <f t="shared" si="162"/>
        <v>0</v>
      </c>
      <c r="CE148" s="12">
        <f t="shared" si="163"/>
        <v>10</v>
      </c>
      <c r="CF148" s="9">
        <f t="shared" si="164"/>
        <v>0</v>
      </c>
      <c r="CG148" s="9" t="s">
        <v>231</v>
      </c>
      <c r="CH148" s="132" t="str">
        <f>IF(Исходн.данные.!AP148=Расчет!$CI$16,"Нет",IF(Исходн.данные.!AL148&gt;0,Исходн.данные.!AL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BH$4,IF(OR(Исходн.данные.!AI148=Исходн.данные.!$AI$6,Исходн.данные.!AI148=Исходн.данные.!$AI$7),Расчет!BS148,IF(AND($CF148=0,$CE148&gt;0),EV148,ER148)))))</f>
        <v>Аммофос 12:52:00</v>
      </c>
      <c r="CI148" s="274">
        <f>IF(Расчет!$CH148="Нет","Нет",IF(Исходн.данные.!$AL148&gt;0,VLOOKUP(Расчет!$CH148,АшламаДВ_Irekle,2,FALSE),VLOOKUP(Расчет!$CH148,АшламаДВ_Gomumy,2,FALSE)))</f>
        <v>0.12</v>
      </c>
      <c r="CJ148" s="274">
        <f>IF(Расчет!$CH148="Нет","Нет",IF(Исходн.данные.!$AL148&gt;0,VLOOKUP(Расчет!$CH148,АшламаДВ_Irekle,3,FALSE),VLOOKUP(Расчет!$CH148,АшламаДВ_Gomumy,3,FALSE)))</f>
        <v>0.52</v>
      </c>
      <c r="CK148" s="274">
        <f>IF(Расчет!$CH148="Нет","Нет",IF(Исходн.данные.!$AL148&gt;0,VLOOKUP(Расчет!$CH148,АшламаДВ_Irekle,4,FALSE),VLOOKUP(Расчет!$CH148,АшламаДВ_Gomumy,4,FALSE)))</f>
        <v>0</v>
      </c>
      <c r="CL148" s="70"/>
      <c r="CM148" s="70"/>
      <c r="CN148" s="70"/>
      <c r="CO148" s="70"/>
      <c r="CP148" s="70"/>
      <c r="CQ148" s="70"/>
      <c r="CR148" s="10">
        <f t="shared" si="165"/>
        <v>0</v>
      </c>
      <c r="CS148" s="10">
        <f t="shared" si="166"/>
        <v>19.23076923076923</v>
      </c>
      <c r="CT148" s="10">
        <f t="shared" si="167"/>
        <v>0</v>
      </c>
      <c r="CU148" s="39">
        <f>IF($CH148="Нет",0,IF(CI148=0,30/MIN(CJ148:CK148),IF(Исходн.данные.!$AG148=$BV$11,CR148,IF(OR(Исходн.данные.!$AH148=$BQ$7,Исходн.данные.!$AH148=$BQ$8),90/CI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0,IF(Исходн.данные.!$AI148=$BU$11,"Нет",30/CI148))))))</f>
        <v>250</v>
      </c>
      <c r="CV148" s="39">
        <f>IF($CH148="Нет",0,IF(Исходн.данные.!AH148=0,0,IF(CJ148=0,60/MIN(CI148,CK148),IF(Исходн.данные.!$AG148=$BV$11,CS148,IF(OR(Исходн.данные.!$AH148=$BQ$7,Исходн.данные.!$AH148=$BQ$8),90/CJ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10/CJ148,IF(Исходн.данные.!$AI148=$BU$11,"Нет",60/CJ148)))))))</f>
        <v>0</v>
      </c>
      <c r="CW148" s="39">
        <f>IF($CH148="Нет",0,IF(Исходн.данные.!AH148=0,0,IF(CK148=0,30/MIN(CI148:CJ148),IF(Исходн.данные.!$AG148=$BV$11,CT148,IF(OR(Исходн.данные.!$AH148=$BQ$7,Исходн.данные.!$AH148=$BQ$8),90/CK148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0,IF(Исходн.данные.!$AI148=$BU$11,"Нет",30/CK148)))))))</f>
        <v>0</v>
      </c>
      <c r="CX148" s="133">
        <f>IF(Исходн.данные.!$AG148=$BV$11,MAX(CU148:CW148),IF(OR(Исходн.данные.!$AH148=$BS$8,Исходн.данные.!$AH148=$BQ$9,Исходн.данные.!$AH148=$BQ$10,Исходн.данные.!$AH148=$BQ$11,Исходн.данные.!$AH148=$BQ$12,Исходн.данные.!$AH148=$BP$3,Исходн.данные.!$AH148=$BT$8,$FM148="Да"),CV148,MIN(CU148:CW148)))</f>
        <v>0</v>
      </c>
      <c r="CY148" s="133">
        <f>IF(Исходн.данные.!AH148=0,0,IF(CR148&gt;$CX148,$CX148,CR148))</f>
        <v>0</v>
      </c>
      <c r="CZ148" s="133">
        <f>IF(Исходн.данные.!AH148=0,0,IF(CS148&gt;$CX148,$CX148,CS148))</f>
        <v>0</v>
      </c>
      <c r="DA148" s="133">
        <f>IF(Исходн.данные.!AH148=0,0,IF(CT148&gt;$CX148,$CX148,CT148))</f>
        <v>0</v>
      </c>
      <c r="DB148" s="10">
        <f t="shared" si="168"/>
        <v>0</v>
      </c>
      <c r="DC148" s="39">
        <f>DB148*Исходн.данные.!AJ148/1000</f>
        <v>0</v>
      </c>
      <c r="DD148" s="71">
        <f t="shared" si="169"/>
        <v>0</v>
      </c>
      <c r="DE148" s="9">
        <f t="shared" si="170"/>
        <v>0</v>
      </c>
      <c r="DF148" s="9">
        <f t="shared" si="171"/>
        <v>0</v>
      </c>
      <c r="DG148" s="39">
        <f>IF(BL148&lt;0,0,IF($CH148="Нет",BL148,IF(OR(Исходн.данные.!$AH148=$BP$1,Исходн.данные.!$AH148=$BP$2),0,IF(Исходн.данные.!AI148=$BU$11,BL148,IF(BL148-DD148&lt;0,0,BL148-DD148)))))</f>
        <v>0</v>
      </c>
      <c r="DH148" s="39">
        <f>IF(BM148&lt;0,0,IF($CH148="Нет",BM148,IF(OR(Исходн.данные.!$AH148=$BP$1,Исходн.данные.!$AH148=$BP$2),0,IF(Исходн.данные.!AJ148=$BU$11,BM148,IF(BM148-DE148&lt;0,0,BM148-DE148)))))</f>
        <v>0</v>
      </c>
      <c r="DI148" s="39">
        <f>IF(BN148&lt;0,0,IF($CH148="Нет",BN148,IF(OR(Исходн.данные.!$AH148=$BP$1,Исходн.данные.!$AH148=$BP$2),0,IF(Исходн.данные.!AK148=$BU$11,BN148,IF(BN148-DF148&lt;0,0,BN148-DF148)))))</f>
        <v>0</v>
      </c>
      <c r="DJ148" s="12">
        <f t="shared" si="172"/>
        <v>0</v>
      </c>
      <c r="DK148" s="9">
        <f t="shared" si="173"/>
        <v>0</v>
      </c>
      <c r="DL148" s="39">
        <f>IF(Исходн.данные.!AM148&gt;0,Исходн.данные.!AM148,IF(EG148&gt;0,$BH$10,0))</f>
        <v>0</v>
      </c>
      <c r="DM148" s="186">
        <f>IF($DL148=0,0,IF(Исходн.данные.!AM148&gt;0,VLOOKUP($DL148,АшламаДВ_Irekle,2,FALSE),VLOOKUP($DL148,АшламаДВ_Gomumy,2,FALSE)))</f>
        <v>0</v>
      </c>
      <c r="DN148" s="10">
        <f t="shared" si="151"/>
        <v>0</v>
      </c>
      <c r="DO148" s="9" t="str">
        <f>IF(Исходн.данные.!AN148&gt;0,Исходн.данные.!AN148,Удобрения!$B$37 )</f>
        <v>Хлор.калий</v>
      </c>
      <c r="DP148" s="9">
        <f>IF(Исходн.данные.!AN148&gt;0,VLOOKUP(Исходн.данные.!AN148,АшламаДВ_Irekle,4,FALSE),VLOOKUP(DO148,АшламаДВ_Gomumy,4,FALSE))</f>
        <v>0.6</v>
      </c>
      <c r="DQ148" s="10">
        <f t="shared" si="152"/>
        <v>0</v>
      </c>
      <c r="DR148" s="132" t="str">
        <f>IF(Исходн.данные.!AO148&gt;0,Исходн.данные.!AO148,IF(DH148=0,BS$17,IF(AND($DK148=0,$DJ148&gt;0),EJ148,EN148)))</f>
        <v>Нет</v>
      </c>
      <c r="DS148" s="70" t="str">
        <f>IF($DR148="Нет","Нет",IF(Исходн.данные.!$AO148&gt;0,VLOOKUP($DR148,АшламаДВ_Irekle,2,FALSE),VLOOKUP($DR148,АшламаДВ_Gomumy,2,FALSE)))</f>
        <v>Нет</v>
      </c>
      <c r="DT148" s="70" t="str">
        <f>IF($DR148="Нет","Нет",IF(Исходн.данные.!$AO148&gt;0,VLOOKUP($DR148,АшламаДВ_Irekle,3,FALSE),VLOOKUP($DR148,АшламаДВ_Gomumy,3,FALSE)))</f>
        <v>Нет</v>
      </c>
      <c r="DU148" s="70" t="str">
        <f>IF($DR148="Нет","Нет",IF(Исходн.данные.!$AO148&gt;0,VLOOKUP($DR148,АшламаДВ_Irekle,4,FALSE),VLOOKUP($DR148,АшламаДВ_Gomumy,4,FALSE)))</f>
        <v>Нет</v>
      </c>
      <c r="DV148" s="70"/>
      <c r="DW148" s="70"/>
      <c r="DX148" s="70"/>
      <c r="DY148" s="10">
        <f t="shared" si="174"/>
        <v>0</v>
      </c>
      <c r="DZ148" s="10">
        <f t="shared" si="175"/>
        <v>0</v>
      </c>
      <c r="EA148" s="10">
        <f t="shared" si="176"/>
        <v>0</v>
      </c>
      <c r="EB148" s="10">
        <f t="shared" si="177"/>
        <v>0</v>
      </c>
      <c r="EC148" s="10">
        <f t="shared" si="178"/>
        <v>0</v>
      </c>
      <c r="ED148" s="10">
        <f t="shared" si="179"/>
        <v>0</v>
      </c>
      <c r="EE148" s="10">
        <f t="shared" si="180"/>
        <v>0</v>
      </c>
      <c r="EF148" s="39">
        <f>EB148*Исходн.данные.!AJ148/1000</f>
        <v>0</v>
      </c>
      <c r="EG148" s="9">
        <f t="shared" si="181"/>
        <v>0</v>
      </c>
      <c r="EH148" s="9">
        <f t="shared" si="182"/>
        <v>0</v>
      </c>
      <c r="EI148" s="39" t="e">
        <f t="shared" si="132"/>
        <v>#DIV/0!</v>
      </c>
      <c r="EJ148" s="9" t="str">
        <f t="shared" si="153"/>
        <v>Азопреципитат</v>
      </c>
      <c r="EK148" s="12">
        <f t="shared" si="133"/>
        <v>0.26</v>
      </c>
      <c r="EL148" s="12">
        <f t="shared" si="134"/>
        <v>0.13</v>
      </c>
      <c r="EM148" s="12">
        <f t="shared" si="135"/>
        <v>0</v>
      </c>
      <c r="EN148" s="12" t="str">
        <f t="shared" si="154"/>
        <v>Нет</v>
      </c>
      <c r="EO148" s="12">
        <f t="shared" si="136"/>
        <v>0</v>
      </c>
      <c r="EP148" s="12">
        <f t="shared" si="137"/>
        <v>0</v>
      </c>
      <c r="EQ148" s="12">
        <f t="shared" si="138"/>
        <v>0</v>
      </c>
      <c r="ER148" s="12" t="str">
        <f t="shared" si="183"/>
        <v>Диаммофоска</v>
      </c>
      <c r="ES148" s="12">
        <f t="shared" si="139"/>
        <v>0.1</v>
      </c>
      <c r="ET148" s="12">
        <f t="shared" si="140"/>
        <v>0.26</v>
      </c>
      <c r="EU148" s="12">
        <f t="shared" si="141"/>
        <v>0.26</v>
      </c>
      <c r="EV148" s="12" t="str">
        <f t="shared" si="184"/>
        <v>Аммофос 12:52:00</v>
      </c>
      <c r="EW148" s="12" t="str">
        <f t="shared" si="185"/>
        <v>Кемира Свекловичное-6</v>
      </c>
      <c r="EX148" s="12">
        <f t="shared" si="142"/>
        <v>0.16</v>
      </c>
      <c r="EY148" s="12">
        <f t="shared" si="143"/>
        <v>0.12</v>
      </c>
      <c r="EZ148" s="12">
        <f t="shared" si="144"/>
        <v>0.17</v>
      </c>
      <c r="FA148" s="38" t="e">
        <f>IF(AND(OR(FJ148=$FD$1,FM148=$FD$1,FO148=$FD$1,FQ148=$FD$1,FS148=$FD$1),FD148=$FD$1,Исходн.данные.!J148&lt;2,FU148=$FD$1),"Бор,Кобальт",IF(AND(FO148=$FD$1,FH148=$FD$1,Исходн.данные.!J148&lt;2,FU148=$FD$1),"Бор,Кобальт",IF(AND(OR(FJ148=$FD$1,FM148=$FD$1,FQ148=$FD$1),FE148=$FD$1,Исходн.данные.!J148&lt;2,FT148=$FD$1,FU148=$FD$1),"Бор,Медь,Цинк",IF(AND(OR(FJ148=$FD$1,FR148="Да"),FI148="Да",Исходн.данные.!J148&lt;2,FT148="Да",FU148="Да"),"Бор,Цинк,Медь",IF(AND(OR(FM148="Да",FQ148="Да"),FI148="Да",Исходн.данные.!J148&lt;2,FT148="Да",FU148="Да"),"Бор,Цинк",IF(AND(FN148="Да",OR(FD148="Да",FE148="Да")),"Бор",FB148))))))</f>
        <v>#N/A</v>
      </c>
      <c r="FB148" s="134" t="e">
        <f>IF(AND(OR(FD148="Да",FE148="Да",FF148="Да",FG148="Да",FH148="Да"),FO148="Да"),"Бор",IF(AND(FP148="Да",OR(FD148="Да",FE148="Да",FI148="Да")),"Бор",IF(AND(FS148="Да",FE148="Да"),"Бор,Медь",IF(AND(OR(FJ148="Да",FK148="Да",FL148="Да"),FE148="Да",Исходн.данные.!I148&lt;5,FT148="Да",FU148="Да"),"Молибден,Цинк",IF(AND(FM148="Да",OR(FE148="Да",FF148="Да",FG148="Да",FH148="Да",FI148="Да")),"Молибден,Цинк",IF(AND(OR(FJ148="Да",FK148="Да",FL148="Да",FM148="Да",FQ148="Да"),OR(FE148="Да",FF148="Да"),FT148="Да",FU148="Да",Исходн.данные.!I148&gt;5.5),"Медь,Цинк",FC148))))))</f>
        <v>#N/A</v>
      </c>
      <c r="FC148" s="23" t="e">
        <f t="shared" si="186"/>
        <v>#N/A</v>
      </c>
      <c r="FD148" s="38" t="str">
        <f>IF(OR(Исходн.данные.!F148=$CC$1,Исходн.данные.!F148=$CC$2,Исходн.данные.!F148=$CC$3,Исходн.данные.!F148=$CC$4),"Да","Нет")</f>
        <v>Нет</v>
      </c>
      <c r="FE148" s="38" t="str">
        <f>IF(Исходн.данные.!F148=$CC$5,"Да","Нет")</f>
        <v>Нет</v>
      </c>
      <c r="FF148" s="38" t="str">
        <f>IF(OR(Исходн.данные.!F148=$CC$6,Исходн.данные.!F148=$CC$7),"Да","Нет")</f>
        <v>Нет</v>
      </c>
      <c r="FG148" s="38" t="str">
        <f>IF(OR(Исходн.данные.!F148=$CC$8,Исходн.данные.!F148=$CC$9),"Да","Нет")</f>
        <v>Нет</v>
      </c>
      <c r="FH148" s="38" t="str">
        <f>IF(Исходн.данные.!F148=$CC$10,"Да","Нет")</f>
        <v>Нет</v>
      </c>
      <c r="FI148" s="38" t="str">
        <f>IF(OR(Исходн.данные.!F148=$CC$11,Исходн.данные.!F148=$CC$12),"Да","Нет")</f>
        <v>Нет</v>
      </c>
      <c r="FJ148" s="38" t="str">
        <f>IF(OR(Исходн.данные.!AH148=$BS$1,Исходн.данные.!AH148=$BQ$11,Исходн.данные.!AH148=$BQ$12),"Да","Нет")</f>
        <v>Нет</v>
      </c>
      <c r="FK148" s="38" t="str">
        <f>IF(OR(Исходн.данные.!AH148=$BS$2,Исходн.данные.!AH148=$BS$4),"Да","Нет")</f>
        <v>Нет</v>
      </c>
      <c r="FL148" s="38" t="str">
        <f>IF(OR(Исходн.данные.!AH148=$BS$3,Исходн.данные.!AH148=$BS$5),"Да","Нет")</f>
        <v>Нет</v>
      </c>
      <c r="FM148" s="38" t="str">
        <f>IF(OR(Исходн.данные.!AH148=$BS$9,Исходн.данные.!AH148=$BS$10,Исходн.данные.!AH148=$BS$11,Исходн.данные.!AH148=$BS$12),"Да","Нет")</f>
        <v>Нет</v>
      </c>
      <c r="FN148" s="38" t="str">
        <f>IF(OR(Исходн.данные.!AH148=$BS$6,Исходн.данные.!AH148=$BP$3),"Да","Нет")</f>
        <v>Нет</v>
      </c>
      <c r="FO148" s="38" t="str">
        <f>IF(Исходн.данные.!AH148=$BQ$9,"Да","Нет")</f>
        <v>Нет</v>
      </c>
      <c r="FP148" s="38" t="str">
        <f>IF(OR(Исходн.данные.!AH148=$BS$8,Исходн.данные.!AH148=$BT$8),"Да","Нет")</f>
        <v>Нет</v>
      </c>
      <c r="FQ148" s="38" t="str">
        <f>IF(OR(Исходн.данные.!AH148=$BQ$7,Исходн.данные.!AH148=$BQ$8),"Да","Нет")</f>
        <v>Нет</v>
      </c>
      <c r="FR148" s="38" t="str">
        <f>IF(Исходн.данные.!AI148=$BU$9,"Да","Нет")</f>
        <v>Нет</v>
      </c>
      <c r="FS148" s="38" t="str">
        <f>IF(OR(Исходн.данные.!AH148=$BP$1,Исходн.данные.!AH148=$BP$2),"Да","Нет")</f>
        <v>Нет</v>
      </c>
      <c r="FT148" s="38" t="e">
        <f>IF((Исходн.данные.!K148*GO148*GS148*GW148+BL148*0.6+Исходн.данные.!Q148*4.5*0.275)&gt;90,"Да","Нет")</f>
        <v>#N/A</v>
      </c>
      <c r="FU148" s="38" t="e">
        <f>IF((Исходн.данные.!M148*GS148*GZ148+BM148*0.225)&gt;35,"Да","Нет")</f>
        <v>#N/A</v>
      </c>
      <c r="FV148" s="38" t="str">
        <f>IF(Исходн.данные.!O148&gt;175,"Да","Нет")</f>
        <v>Нет</v>
      </c>
      <c r="FW148" s="39" t="str">
        <f>IF(Исходн.данные.!I148&gt;5.5,"Да","Нет")</f>
        <v>Нет</v>
      </c>
      <c r="FX148" s="39" t="str">
        <f>IF(Исходн.данные.!J148&lt;2,"Да","Нет")</f>
        <v>Да</v>
      </c>
      <c r="FY148" s="39" t="e">
        <f>IF(HF148=$FY$16,0,Исходн.данные.!K148*GO148*GS148*GW148/HF148)</f>
        <v>#N/A</v>
      </c>
      <c r="FZ148" s="39" t="e">
        <f>Исходн.данные.!M148*GS148*GZ148/HG148</f>
        <v>#N/A</v>
      </c>
      <c r="GA148" s="39" t="e">
        <f>IF(K_Wyn=$FY$16,0,IF(Исходн.данные.!N148=Исходн.данные.!$L$10,Исходн.данные.!O148/1.1*GS148*HC148/HH148,IF(Исходн.данные.!N148=Исходн.данные.!$L$12,Исходн.данные.!O148/1.5*GS148*HC148/HH148,Исходн.данные.!O148*GS148*HC148/HH148)))</f>
        <v>#N/A</v>
      </c>
      <c r="GB148" s="39" t="e">
        <f>IF(HF148=$FY$16,0,((Исходн.данные.!Q148*N_Org+Исходн.данные.!R148*N_Sider+Исходн.данные.!S148*N_Soloma)*AO148+Расчет!BC148*VLOOKUP(Исходн.данные.!T148,Справ!$A$3:$O$57,15)*AO148+BB148*VLOOKUP(Исходн.данные.!T148,Справ!$A$3:$O$57,15)*AL148+(Исходн.данные.!V148*N_Rizotorf+Исходн.данные.!W148*N_Rizoagr))/HF148)</f>
        <v>#N/A</v>
      </c>
      <c r="GC148" s="39" t="e">
        <f>IF(HG148=$FY$16,0,((Исходн.данные.!Q148*Р_Org+Исходн.данные.!R148*P_Sider+Исходн.данные.!S148*P_Soloma)*AP148+Расчет!BC148*VLOOKUP(Исходн.данные.!T148,Справ!$A$3:$P$57,16)*AP148+BB148*VLOOKUP(Исходн.данные.!T148,Справ!$A$3:$P$57,16)*AM148)/HG148)</f>
        <v>#N/A</v>
      </c>
      <c r="GD148" s="39" t="e">
        <f>IF(HH148=$FY$16,0,((Исходн.данные.!Q148*К_Org+Исходн.данные.!R148*K_Sider+Исходн.данные.!S148*K_Soloma)*AQ148+Расчет!BC148*VLOOKUP(Исходн.данные.!T148,Справ!$A$3:$Q$57,17)*AQ148+BB148*VLOOKUP(Исходн.данные.!T148,Справ!$A$3:$Q$57,17)*AN148)/HH148)</f>
        <v>#N/A</v>
      </c>
      <c r="GE148" s="39" t="e">
        <f>IF(HF148=$FY$16,0,(Исходн.данные.!X148*AR148+Исходн.данные.!AA148*N_Org*AL148+Исходн.данные.!AB148*N_Sider*AL148+Исходн.данные.!AC148*N_Soloma*AL148)/HF148)</f>
        <v>#N/A</v>
      </c>
      <c r="GF148" s="39" t="e">
        <f>IF(HG148=$FY$16,0,(Исходн.данные.!Y148*AS148+Исходн.данные.!AA148*Р_Org*AM148+Исходн.данные.!AB148*P_Sider*AM148+Исходн.данные.!AC148*P_Soloma*AM148)/HG148)</f>
        <v>#N/A</v>
      </c>
      <c r="GG148" s="39" t="e">
        <f>IF(HH148=$FY$16,0,(Исходн.данные.!Z148*AT148+Исходн.данные.!AA148*К_Org*AN148+Исходн.данные.!AB148*K_Sider*AN148+Исходн.данные.!AC148*K_Soloma*AN148)/HH148)</f>
        <v>#N/A</v>
      </c>
      <c r="GH148" s="39" t="e">
        <f>Исходн.данные.!AD148*AU148/HF148</f>
        <v>#N/A</v>
      </c>
      <c r="GI148" s="39" t="e">
        <f>Исходн.данные.!AE148*AV148/HG148</f>
        <v>#N/A</v>
      </c>
      <c r="GJ148" s="39" t="e">
        <f>Исходн.данные.!AF148*AW148/HH148</f>
        <v>#N/A</v>
      </c>
      <c r="GK148" s="55">
        <f>Исходн.данные.!AK148</f>
        <v>0</v>
      </c>
      <c r="GL148" s="11" t="e">
        <f t="shared" si="187"/>
        <v>#N/A</v>
      </c>
      <c r="GM148" s="11" t="e">
        <f t="shared" si="188"/>
        <v>#N/A</v>
      </c>
      <c r="GN148" s="11" t="e">
        <f t="shared" si="189"/>
        <v>#N/A</v>
      </c>
      <c r="GO148" s="57">
        <f t="shared" si="190"/>
        <v>19</v>
      </c>
      <c r="GP148" s="55">
        <f>IF(OR(Исходн.данные.!F148=$CE$1,Исходн.данные.!F148=$CE$2,Исходн.данные.!F148=$CE$3,Исходн.данные.!F148=$CE$4,Исходн.данные.!F148=$CE$5),GQ148,GR148)</f>
        <v>19</v>
      </c>
      <c r="GQ148" s="55">
        <f>IF(Исходн.данные.!F148=$CE$1,28,IF(Исходн.данные.!F148=$CE$2,26,IF(Исходн.данные.!F148=$CE$3,24,IF(Исходн.данные.!F148=$CE$4,22,IF(Исходн.данные.!F148=$CE$5,20,GR148)))))</f>
        <v>19</v>
      </c>
      <c r="GR148" s="55">
        <f>IF(Исходн.данные.!F148=$CE$6,18,IF(Исходн.данные.!F148=$CE$7,16,IF(Исходн.данные.!F148=$CE$8,14,IF(Исходн.данные.!F148=$CE$9,13,IF(Исходн.данные.!F148=$CE$10,12,19)))))</f>
        <v>19</v>
      </c>
      <c r="GS148" s="55">
        <f>IF(Исходн.данные.!G148="Пес",0.035*(40+2*Исходн.данные.!H148),IF(Исходн.данные.!G148="Суп",0.0325*(40+2*Исходн.данные.!H148),0.03*(40+2*Исходн.данные.!H148)))</f>
        <v>1.2</v>
      </c>
      <c r="GT148" s="55">
        <f>IF(Исходн.данные.!H148&lt;23,2.6,IF(AND(Исходн.данные.!H148&gt;22,Исходн.данные.!H148&lt;26),3,IF(AND(Исходн.данные.!H148&gt;25,Исходн.данные.!H148&lt;29),3.4,3.6)))</f>
        <v>2.6</v>
      </c>
      <c r="GU148" s="55">
        <f>IF(Исходн.данные.!H148&lt;23,2.8,IF(AND(Исходн.данные.!H148&gt;22,Исходн.данные.!H148&lt;26),3.2,IF(AND(Исходн.данные.!H148&gt;25,Исходн.данные.!H148&lt;29),3.6,3.9)))</f>
        <v>2.8</v>
      </c>
      <c r="GV148" s="55">
        <f>IF(Исходн.данные.!H148&lt;23,3,IF(AND(Исходн.данные.!H148&gt;22,Исходн.данные.!H148&lt;26),3.5,IF(AND(Исходн.данные.!H148&gt;25,Исходн.данные.!H148&lt;29),3.9,4.2)))</f>
        <v>3</v>
      </c>
      <c r="GW148" s="55" t="e">
        <f>IF(Исходн.данные.!P148="Ум",GX148,GY148)</f>
        <v>#N/A</v>
      </c>
      <c r="GX148" s="55" t="e">
        <f>VLOOKUP(Исходн.данные.!AI148,Коэффициенты!$J$7:$L$13,2,FALSE)</f>
        <v>#N/A</v>
      </c>
      <c r="GY148" s="55" t="e">
        <f>VLOOKUP(Исходн.данные.!AI148,Коэффициенты!$J$7:$L$13,3,FALSE)</f>
        <v>#N/A</v>
      </c>
      <c r="GZ148" s="55" t="e">
        <f>(IF(Исходн.данные.!M148&lt;50,0.11*VLOOKUP(Исходн.данные.!AH148,Культуры.Информация,7,FALSE),IF(Исходн.данные.!M148&gt;250,0.05*VLOOKUP(Исходн.данные.!AH148,Культуры.Информация,7,FALSE),VLOOKUP(Исходн.данные.!AH148,Культуры.Информация,5,FALSE)/100*($GX$6+$GY$6*Исходн.данные.!M148))))*Расчет2!AI148</f>
        <v>#N/A</v>
      </c>
      <c r="HA148" s="211"/>
      <c r="HB148" s="211"/>
      <c r="HC148" s="55" t="e">
        <f>(IF(Исходн.данные.!O148&lt;80,0.2*VLOOKUP(Исходн.данные.!AH148,Культуры.Информация,8,FALSE),IF(Исходн.данные.!O148&gt;240,0.09*VLOOKUP(Исходн.данные.!AH148,Культуры.Информация,8,FALSE),VLOOKUP(Исходн.данные.!AH148,Культуры.Информация,6,FALSE)/100*($HB$6+$HC$6*Исходн.данные.!O148))))*Расчет2!AJ148</f>
        <v>#N/A</v>
      </c>
      <c r="HD148" s="55">
        <f>IF(Исходн.данные.!O148&gt;240,0.09,IF(Исходн.данные.!O148&lt;30,0.3,$HE$10+$HD$10*Исходн.данные.!O148))</f>
        <v>0.3</v>
      </c>
      <c r="HE148" s="55">
        <f>IF(Исходн.данные.!O148&gt;240,0.17,IF(Исходн.данные.!O148&lt;30,0.5,$HF$12+$HE$12*Исходн.данные.!O148))</f>
        <v>0.5</v>
      </c>
      <c r="HF148" s="55" t="e">
        <f>VLOOKUP(Исходн.данные.!AH148,Справ!$A$3:$D$58,2,FALSE)</f>
        <v>#N/A</v>
      </c>
      <c r="HG148" s="55" t="e">
        <f>VLOOKUP(Исходн.данные.!AH148,Справ!$A$3:$D$58,3,FALSE)</f>
        <v>#N/A</v>
      </c>
      <c r="HH148" s="55" t="e">
        <f>VLOOKUP(Исходн.данные.!AH148,Справ!$A$3:$D$58,4,FALSE)</f>
        <v>#N/A</v>
      </c>
      <c r="HI148" s="11" t="e">
        <f t="shared" si="191"/>
        <v>#N/A</v>
      </c>
      <c r="HJ148" s="11" t="e">
        <f t="shared" si="192"/>
        <v>#N/A</v>
      </c>
      <c r="HK148" s="11" t="e">
        <f t="shared" si="193"/>
        <v>#N/A</v>
      </c>
      <c r="HL148" s="55">
        <f>IF(OR(Исходн.данные.!G148="Глин",Исходн.данные.!G148="Т_суг"),1.1,IF(Исходн.данные.!G148="Ср_суг",1,1))</f>
        <v>1</v>
      </c>
      <c r="HM148" s="55">
        <f>IF(OR(Исходн.данные.!G148="Глин",Исходн.данные.!G148="Т_суг"),0.9,IF(Исходн.данные.!G148="Ср_суг",1,1.2))</f>
        <v>1.2</v>
      </c>
      <c r="HN148" s="11" t="e">
        <f t="shared" si="194"/>
        <v>#N/A</v>
      </c>
      <c r="HO148" s="11" t="e">
        <f t="shared" si="195"/>
        <v>#N/A</v>
      </c>
      <c r="HP148" s="11" t="e">
        <f t="shared" si="196"/>
        <v>#N/A</v>
      </c>
      <c r="HQ148" t="e">
        <f t="shared" si="197"/>
        <v>#N/A</v>
      </c>
      <c r="HR148" t="e">
        <f t="shared" si="198"/>
        <v>#N/A</v>
      </c>
      <c r="HS148" t="e">
        <f t="shared" si="199"/>
        <v>#N/A</v>
      </c>
      <c r="HT148" t="e">
        <f t="shared" si="145"/>
        <v>#N/A</v>
      </c>
      <c r="HU148" t="e">
        <f t="shared" si="146"/>
        <v>#N/A</v>
      </c>
      <c r="HV148" t="e">
        <f t="shared" si="147"/>
        <v>#N/A</v>
      </c>
      <c r="HW148" t="e">
        <f t="shared" si="148"/>
        <v>#N/A</v>
      </c>
      <c r="HX148" t="e">
        <f t="shared" si="149"/>
        <v>#N/A</v>
      </c>
      <c r="HY148" t="e">
        <f t="shared" si="150"/>
        <v>#N/A</v>
      </c>
      <c r="HZ148" s="55">
        <f>IF(OR(Исходн.данные.!AI148="Оз_Ч_П",Исходн.данные.!AI148="Оз_З_П",Исходн.данные.!AI148="Яр_зер"),12,30)</f>
        <v>30</v>
      </c>
      <c r="IA148" t="e">
        <f t="shared" si="200"/>
        <v>#N/A</v>
      </c>
      <c r="IB148" t="e">
        <f t="shared" si="201"/>
        <v>#N/A</v>
      </c>
      <c r="IC148" t="e">
        <f t="shared" si="202"/>
        <v>#N/A</v>
      </c>
      <c r="ID148" s="11" t="e">
        <f t="shared" si="203"/>
        <v>#N/A</v>
      </c>
      <c r="IE148" s="11" t="e">
        <f t="shared" si="204"/>
        <v>#N/A</v>
      </c>
      <c r="IF148" s="11" t="e">
        <f t="shared" si="205"/>
        <v>#N/A</v>
      </c>
    </row>
    <row r="149" spans="35:240" x14ac:dyDescent="0.2">
      <c r="AI149">
        <f>IF(Исходн.данные.!I149&gt;6,1,1.85-(0.148*Исходн.данные.!I149))</f>
        <v>1.85</v>
      </c>
      <c r="AJ149">
        <f>IF(Исходн.данные.!I149&gt;6,1,2.434-(0.246*Исходн.данные.!I149))</f>
        <v>2.4340000000000002</v>
      </c>
      <c r="AL149" s="148" t="b">
        <f>IF(Исходн.данные.!$P149="Ум",N_OrgUd_2g_um,IF(Исходн.данные.!$P149="Об",N_OrgUd_2g_ob))</f>
        <v>0</v>
      </c>
      <c r="AM149" s="148" t="b">
        <f>IF(Исходн.данные.!$P149="Ум",P_OrgUd_2g_um,IF(Исходн.данные.!$P149="Об",P_OrgUd_2g_ob))</f>
        <v>0</v>
      </c>
      <c r="AN149" s="148" t="b">
        <f>IF(Исходн.данные.!$P149="Ум",K_OrgUd_2g_um,IF(Исходн.данные.!$P149="Об",K_OrgUd_2g_ob))</f>
        <v>0</v>
      </c>
      <c r="AO149" s="148" t="b">
        <f>IF(Исходн.данные.!$P149="Ум",N_OrgUd_1g_um,IF(Исходн.данные.!$P149="Об",N_OrgUd_1g_ob))</f>
        <v>0</v>
      </c>
      <c r="AP149" s="148" t="b">
        <f>IF(Исходн.данные.!$P149="Ум",P_OrgUd_1g_um,IF(Исходн.данные.!$P149="Об",P_OrgUd_1g_ob))</f>
        <v>0</v>
      </c>
      <c r="AQ149" s="148" t="b">
        <f>IF(Исходн.данные.!$P149="Ум",K_OrgUd_1g_um,IF(Исходн.данные.!$P149="Об",K_OrgUd_1g_ob))</f>
        <v>0</v>
      </c>
      <c r="AR149" t="b">
        <f>IF(Исходн.данные.!$P149="Ум",N_MinUd_2g_um,IF(Исходн.данные.!$P149="Об",N_MinUd_2g_ob))</f>
        <v>0</v>
      </c>
      <c r="AS149" t="b">
        <f>IF(Исходн.данные.!$P149="Ум",P_MinUd_2g_um,IF(Исходн.данные.!$P149="Об",P_MinUd_2g_ob))</f>
        <v>0</v>
      </c>
      <c r="AT149" t="b">
        <f>IF(Исходн.данные.!$P149="Ум",K_MinUd_2g_um,IF(Исходн.данные.!$P149="Об",K_MinUd_2g_ob))</f>
        <v>0</v>
      </c>
      <c r="AU149" t="b">
        <f>IF(Исходн.данные.!$P149="Ум",N_MinUd_1g_um,IF(Исходн.данные.!$P149="Об",N_MinUd_1g_ob))</f>
        <v>0</v>
      </c>
      <c r="AV149" t="b">
        <f>IF(Исходн.данные.!P149="Ум",P_MinUd_1g_um,IF(Исходн.данные.!P149="Об",P_MinUd_1g_ob))</f>
        <v>0</v>
      </c>
      <c r="AW149" t="b">
        <f>IF(Исходн.данные.!P149="Ум",K_MinUd_1g_um,IF(Исходн.данные.!P149="Об",K_MinUd_1g_ob))</f>
        <v>0</v>
      </c>
      <c r="AY149" t="e">
        <f>VLOOKUP(Исходн.данные.!T149,Справ!$A$3:$N$57,12)</f>
        <v>#N/A</v>
      </c>
      <c r="AZ149" t="e">
        <f>VLOOKUP(Исходн.данные.!T149,Справ!$A$3:$N$57,13)</f>
        <v>#N/A</v>
      </c>
      <c r="BA149" t="e">
        <f>VLOOKUP(Исходн.данные.!T149,Справ!$A$3:$N$57,14)</f>
        <v>#N/A</v>
      </c>
      <c r="BB149">
        <f>IF(Исходн.данные.!AH149=0,0,25)</f>
        <v>0</v>
      </c>
      <c r="BC149" s="141">
        <f>IF(Исходн.данные.!AH149=0,0,IF(Исходн.данные.!T149=0,25,BD149))</f>
        <v>0</v>
      </c>
      <c r="BD149" s="168" t="e">
        <f>AY149+AZ149*Исходн.данные.!U149-POWER(BA149,2)*Исходн.данные.!U149</f>
        <v>#N/A</v>
      </c>
      <c r="BE14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49" s="25">
        <f>IF(Исходн.данные.!AH149=0,0,MIN(HN149:HP149))</f>
        <v>0</v>
      </c>
      <c r="BG149" s="9">
        <f>IF(Исходн.данные.!AH149=0,0,IF((HO149+10*0.25/HG149/HL149)&lt;17,17,HO149+10*0.25/HG149/HL149))</f>
        <v>0</v>
      </c>
      <c r="BH149" s="181">
        <f>IF(Исходн.данные.!AH149=0,0,HW149*HF149*HL149/AU149*AI149+Исходн.данные.!S149*10)</f>
        <v>0</v>
      </c>
      <c r="BI149" s="10"/>
      <c r="BJ149" s="182">
        <f>IF(Исходн.данные.!AH149=0,0,IF(HX149*HG149*HL149/AV149&lt;0,0,HX149*HG149*HL149/AV149*AJ149))</f>
        <v>0</v>
      </c>
      <c r="BK149" s="182">
        <f>IF(Исходн.данные.!AH149=0,0,HY149*HH149*HM149/AW149)</f>
        <v>0</v>
      </c>
      <c r="BL149" s="10">
        <f>IF(OR(Исходн.данные.!$AH149=$BP$1,Исходн.данные.!$AH149=$BP$2),0,IF(BH149&lt;0,0,IF(OR(Исходн.данные.!T149=Расчет!$BP$1,Исходн.данные.!T149=Расчет!$BP$2,Исходн.данные.!T149=Расчет!$BT$5,Исходн.данные.!T149=Расчет!$BT$6),BH149*0.5,IF(OR(Исходн.данные.!T149=Расчет!$BS$9,Исходн.данные.!T149=Расчет!$BS$10,Исходн.данные.!T149=Расчет!$BS$11,Исходн.данные.!T149=Расчет!$BS$12,Исходн.данные.!T149=Расчет!$BP$5),BH149*0.8,BH149))))</f>
        <v>0</v>
      </c>
      <c r="BM149" s="10">
        <f>IF(OR(Исходн.данные.!$AH149=$BP$1,Исходн.данные.!$AH149=$BP$2),0,IF(BJ149&lt;0,0,IF(Исходн.данные.!I149&lt;4.5,BJ149*1.2,IF(Исходн.данные.!I149&gt;5.1,BJ149,BJ149*((5.1-Исходн.данные.!I149)*0.333+1)))))</f>
        <v>0</v>
      </c>
      <c r="BN149" s="10">
        <f>IF(OR(Исходн.данные.!$AH149=$BP$1,Исходн.данные.!$AH149=$BP$2),60-Исходн.данные.!AF149,IF(BK149&lt;0,0,IF(Исходн.данные.!I149&lt;4.5,BK149*1.2,IF(Исходн.данные.!I149&gt;5.1,BK149,BK149*((5.1-Исходн.данные.!I149)*0.333+1)))))</f>
        <v>0</v>
      </c>
      <c r="BO149" s="9">
        <f>IF(BL149&lt;0,0,BL149*Исходн.данные.!$AJ149/1000)</f>
        <v>0</v>
      </c>
      <c r="BP149" s="9">
        <f>IF(BM149&lt;0,0,BM149*Исходн.данные.!$AJ149/1000)</f>
        <v>0</v>
      </c>
      <c r="BQ149" s="9">
        <f>IF(BN149&lt;0,0,BN149*Исходн.данные.!$AJ149/1000)</f>
        <v>0</v>
      </c>
      <c r="BR149" s="9">
        <f t="shared" si="155"/>
        <v>0</v>
      </c>
      <c r="BS149" s="10" t="str">
        <f t="shared" si="156"/>
        <v>Аммофос 12:52:00</v>
      </c>
      <c r="BT149" s="10" t="str">
        <f t="shared" si="157"/>
        <v>Аммофос 12:52:00</v>
      </c>
      <c r="BU149" s="10" t="str">
        <f t="shared" si="158"/>
        <v>Диаммофоска</v>
      </c>
      <c r="BV149" s="10">
        <f t="shared" si="159"/>
        <v>0</v>
      </c>
      <c r="BW149" s="10"/>
      <c r="BX149" s="10"/>
      <c r="BY149" s="9">
        <f>IF(BL149&lt;0,0,IF(OR(Исходн.данные.!AI149=Расчет!$BU$6,Исходн.данные.!AI149=Расчет!$BU$7),Расчет!BV149,IF(Исходн.данные.!$AG149=$BV$11,BL149,IF(OR(Исходн.данные.!$AH149=$BQ$7,Исходн.данные.!$AH149=$BQ$8),CB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0,IF(Исходн.данные.!$AI149=$BU$11,"Нет",IF(BL149&gt;30,30,BL149)))))))</f>
        <v>0</v>
      </c>
      <c r="BZ149" s="9">
        <f>IF(AND(Исходн.данные.!$AG149=$BV$11,BM149&lt;10),10,IF(Исходн.данные.!$AG149=$BV$11,BM149,IF(OR(Исходн.данные.!$AH149=$BQ$7,Исходн.данные.!$AH149=$BQ$8),CC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10,IF(Исходн.данные.!$AI149=$BU$11,"Нет",IF(BM149&gt;60,60,IF(BM149&lt;10,10,BM149)))))))</f>
        <v>10</v>
      </c>
      <c r="CA149" s="39">
        <f>IF(BN149&lt;0,0,IF(Исходн.данные.!$AG149=$BV$11,BN149,IF(OR(Исходн.данные.!$AH149=$BQ$7,Исходн.данные.!$AH149=$BQ$8),CD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0,IF(Исходн.данные.!$AI149=$BU$11,"Нет",IF(BN149&gt;30,30,BN149))))))</f>
        <v>0</v>
      </c>
      <c r="CB149" s="9">
        <f t="shared" si="160"/>
        <v>0</v>
      </c>
      <c r="CC149" s="9">
        <f t="shared" si="161"/>
        <v>0</v>
      </c>
      <c r="CD149" s="9">
        <f t="shared" si="162"/>
        <v>0</v>
      </c>
      <c r="CE149" s="12">
        <f t="shared" si="163"/>
        <v>10</v>
      </c>
      <c r="CF149" s="9">
        <f t="shared" si="164"/>
        <v>0</v>
      </c>
      <c r="CG149" s="9" t="s">
        <v>231</v>
      </c>
      <c r="CH149" s="132" t="str">
        <f>IF(Исходн.данные.!AP149=Расчет!$CI$16,"Нет",IF(Исходн.данные.!AL149&gt;0,Исходн.данные.!AL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BH$4,IF(OR(Исходн.данные.!AI149=Исходн.данные.!$AI$6,Исходн.данные.!AI149=Исходн.данные.!$AI$7),Расчет!BS149,IF(AND($CF149=0,$CE149&gt;0),EV149,ER149)))))</f>
        <v>Аммофос 12:52:00</v>
      </c>
      <c r="CI149" s="274">
        <f>IF(Расчет!$CH149="Нет","Нет",IF(Исходн.данные.!$AL149&gt;0,VLOOKUP(Расчет!$CH149,АшламаДВ_Irekle,2,FALSE),VLOOKUP(Расчет!$CH149,АшламаДВ_Gomumy,2,FALSE)))</f>
        <v>0.12</v>
      </c>
      <c r="CJ149" s="274">
        <f>IF(Расчет!$CH149="Нет","Нет",IF(Исходн.данные.!$AL149&gt;0,VLOOKUP(Расчет!$CH149,АшламаДВ_Irekle,3,FALSE),VLOOKUP(Расчет!$CH149,АшламаДВ_Gomumy,3,FALSE)))</f>
        <v>0.52</v>
      </c>
      <c r="CK149" s="274">
        <f>IF(Расчет!$CH149="Нет","Нет",IF(Исходн.данные.!$AL149&gt;0,VLOOKUP(Расчет!$CH149,АшламаДВ_Irekle,4,FALSE),VLOOKUP(Расчет!$CH149,АшламаДВ_Gomumy,4,FALSE)))</f>
        <v>0</v>
      </c>
      <c r="CL149" s="70"/>
      <c r="CM149" s="70"/>
      <c r="CN149" s="70"/>
      <c r="CO149" s="70"/>
      <c r="CP149" s="70"/>
      <c r="CQ149" s="70"/>
      <c r="CR149" s="10">
        <f t="shared" si="165"/>
        <v>0</v>
      </c>
      <c r="CS149" s="10">
        <f t="shared" si="166"/>
        <v>19.23076923076923</v>
      </c>
      <c r="CT149" s="10">
        <f t="shared" si="167"/>
        <v>0</v>
      </c>
      <c r="CU149" s="39">
        <f>IF($CH149="Нет",0,IF(CI149=0,30/MIN(CJ149:CK149),IF(Исходн.данные.!$AG149=$BV$11,CR149,IF(OR(Исходн.данные.!$AH149=$BQ$7,Исходн.данные.!$AH149=$BQ$8),90/CI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0,IF(Исходн.данные.!$AI149=$BU$11,"Нет",30/CI149))))))</f>
        <v>250</v>
      </c>
      <c r="CV149" s="39">
        <f>IF($CH149="Нет",0,IF(Исходн.данные.!AH149=0,0,IF(CJ149=0,60/MIN(CI149,CK149),IF(Исходн.данные.!$AG149=$BV$11,CS149,IF(OR(Исходн.данные.!$AH149=$BQ$7,Исходн.данные.!$AH149=$BQ$8),90/CJ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10/CJ149,IF(Исходн.данные.!$AI149=$BU$11,"Нет",60/CJ149)))))))</f>
        <v>0</v>
      </c>
      <c r="CW149" s="39">
        <f>IF($CH149="Нет",0,IF(Исходн.данные.!AH149=0,0,IF(CK149=0,30/MIN(CI149:CJ149),IF(Исходн.данные.!$AG149=$BV$11,CT149,IF(OR(Исходн.данные.!$AH149=$BQ$7,Исходн.данные.!$AH149=$BQ$8),90/CK149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0,IF(Исходн.данные.!$AI149=$BU$11,"Нет",30/CK149)))))))</f>
        <v>0</v>
      </c>
      <c r="CX149" s="133">
        <f>IF(Исходн.данные.!$AG149=$BV$11,MAX(CU149:CW149),IF(OR(Исходн.данные.!$AH149=$BS$8,Исходн.данные.!$AH149=$BQ$9,Исходн.данные.!$AH149=$BQ$10,Исходн.данные.!$AH149=$BQ$11,Исходн.данные.!$AH149=$BQ$12,Исходн.данные.!$AH149=$BP$3,Исходн.данные.!$AH149=$BT$8,$FM149="Да"),CV149,MIN(CU149:CW149)))</f>
        <v>0</v>
      </c>
      <c r="CY149" s="133">
        <f>IF(Исходн.данные.!AH149=0,0,IF(CR149&gt;$CX149,$CX149,CR149))</f>
        <v>0</v>
      </c>
      <c r="CZ149" s="133">
        <f>IF(Исходн.данные.!AH149=0,0,IF(CS149&gt;$CX149,$CX149,CS149))</f>
        <v>0</v>
      </c>
      <c r="DA149" s="133">
        <f>IF(Исходн.данные.!AH149=0,0,IF(CT149&gt;$CX149,$CX149,CT149))</f>
        <v>0</v>
      </c>
      <c r="DB149" s="10">
        <f t="shared" si="168"/>
        <v>0</v>
      </c>
      <c r="DC149" s="39">
        <f>DB149*Исходн.данные.!AJ149/1000</f>
        <v>0</v>
      </c>
      <c r="DD149" s="71">
        <f t="shared" si="169"/>
        <v>0</v>
      </c>
      <c r="DE149" s="9">
        <f t="shared" si="170"/>
        <v>0</v>
      </c>
      <c r="DF149" s="9">
        <f t="shared" si="171"/>
        <v>0</v>
      </c>
      <c r="DG149" s="39">
        <f>IF(BL149&lt;0,0,IF($CH149="Нет",BL149,IF(OR(Исходн.данные.!$AH149=$BP$1,Исходн.данные.!$AH149=$BP$2),0,IF(Исходн.данные.!AI149=$BU$11,BL149,IF(BL149-DD149&lt;0,0,BL149-DD149)))))</f>
        <v>0</v>
      </c>
      <c r="DH149" s="39">
        <f>IF(BM149&lt;0,0,IF($CH149="Нет",BM149,IF(OR(Исходн.данные.!$AH149=$BP$1,Исходн.данные.!$AH149=$BP$2),0,IF(Исходн.данные.!AJ149=$BU$11,BM149,IF(BM149-DE149&lt;0,0,BM149-DE149)))))</f>
        <v>0</v>
      </c>
      <c r="DI149" s="39">
        <f>IF(BN149&lt;0,0,IF($CH149="Нет",BN149,IF(OR(Исходн.данные.!$AH149=$BP$1,Исходн.данные.!$AH149=$BP$2),0,IF(Исходн.данные.!AK149=$BU$11,BN149,IF(BN149-DF149&lt;0,0,BN149-DF149)))))</f>
        <v>0</v>
      </c>
      <c r="DJ149" s="12">
        <f t="shared" si="172"/>
        <v>0</v>
      </c>
      <c r="DK149" s="9">
        <f t="shared" si="173"/>
        <v>0</v>
      </c>
      <c r="DL149" s="39">
        <f>IF(Исходн.данные.!AM149&gt;0,Исходн.данные.!AM149,IF(EG149&gt;0,$BH$10,0))</f>
        <v>0</v>
      </c>
      <c r="DM149" s="186">
        <f>IF($DL149=0,0,IF(Исходн.данные.!AM149&gt;0,VLOOKUP($DL149,АшламаДВ_Irekle,2,FALSE),VLOOKUP($DL149,АшламаДВ_Gomumy,2,FALSE)))</f>
        <v>0</v>
      </c>
      <c r="DN149" s="10">
        <f t="shared" si="151"/>
        <v>0</v>
      </c>
      <c r="DO149" s="9" t="str">
        <f>IF(Исходн.данные.!AN149&gt;0,Исходн.данные.!AN149,Удобрения!$B$37 )</f>
        <v>Хлор.калий</v>
      </c>
      <c r="DP149" s="9">
        <f>IF(Исходн.данные.!AN149&gt;0,VLOOKUP(Исходн.данные.!AN149,АшламаДВ_Irekle,4,FALSE),VLOOKUP(DO149,АшламаДВ_Gomumy,4,FALSE))</f>
        <v>0.6</v>
      </c>
      <c r="DQ149" s="10">
        <f t="shared" si="152"/>
        <v>0</v>
      </c>
      <c r="DR149" s="132" t="str">
        <f>IF(Исходн.данные.!AO149&gt;0,Исходн.данные.!AO149,IF(DH149=0,BS$17,IF(AND($DK149=0,$DJ149&gt;0),EJ149,EN149)))</f>
        <v>Нет</v>
      </c>
      <c r="DS149" s="70" t="str">
        <f>IF($DR149="Нет","Нет",IF(Исходн.данные.!$AO149&gt;0,VLOOKUP($DR149,АшламаДВ_Irekle,2,FALSE),VLOOKUP($DR149,АшламаДВ_Gomumy,2,FALSE)))</f>
        <v>Нет</v>
      </c>
      <c r="DT149" s="70" t="str">
        <f>IF($DR149="Нет","Нет",IF(Исходн.данные.!$AO149&gt;0,VLOOKUP($DR149,АшламаДВ_Irekle,3,FALSE),VLOOKUP($DR149,АшламаДВ_Gomumy,3,FALSE)))</f>
        <v>Нет</v>
      </c>
      <c r="DU149" s="70" t="str">
        <f>IF($DR149="Нет","Нет",IF(Исходн.данные.!$AO149&gt;0,VLOOKUP($DR149,АшламаДВ_Irekle,4,FALSE),VLOOKUP($DR149,АшламаДВ_Gomumy,4,FALSE)))</f>
        <v>Нет</v>
      </c>
      <c r="DV149" s="70"/>
      <c r="DW149" s="70"/>
      <c r="DX149" s="70"/>
      <c r="DY149" s="10">
        <f t="shared" si="174"/>
        <v>0</v>
      </c>
      <c r="DZ149" s="10">
        <f t="shared" si="175"/>
        <v>0</v>
      </c>
      <c r="EA149" s="10">
        <f t="shared" si="176"/>
        <v>0</v>
      </c>
      <c r="EB149" s="10">
        <f t="shared" si="177"/>
        <v>0</v>
      </c>
      <c r="EC149" s="10">
        <f t="shared" si="178"/>
        <v>0</v>
      </c>
      <c r="ED149" s="10">
        <f t="shared" si="179"/>
        <v>0</v>
      </c>
      <c r="EE149" s="10">
        <f t="shared" si="180"/>
        <v>0</v>
      </c>
      <c r="EF149" s="39">
        <f>EB149*Исходн.данные.!AJ149/1000</f>
        <v>0</v>
      </c>
      <c r="EG149" s="9">
        <f t="shared" si="181"/>
        <v>0</v>
      </c>
      <c r="EH149" s="9">
        <f t="shared" si="182"/>
        <v>0</v>
      </c>
      <c r="EI149" s="39" t="e">
        <f t="shared" si="132"/>
        <v>#DIV/0!</v>
      </c>
      <c r="EJ149" s="9" t="str">
        <f t="shared" si="153"/>
        <v>Азопреципитат</v>
      </c>
      <c r="EK149" s="12">
        <f t="shared" si="133"/>
        <v>0.26</v>
      </c>
      <c r="EL149" s="12">
        <f t="shared" si="134"/>
        <v>0.13</v>
      </c>
      <c r="EM149" s="12">
        <f t="shared" si="135"/>
        <v>0</v>
      </c>
      <c r="EN149" s="12" t="str">
        <f t="shared" si="154"/>
        <v>Нет</v>
      </c>
      <c r="EO149" s="12">
        <f t="shared" si="136"/>
        <v>0</v>
      </c>
      <c r="EP149" s="12">
        <f t="shared" si="137"/>
        <v>0</v>
      </c>
      <c r="EQ149" s="12">
        <f t="shared" si="138"/>
        <v>0</v>
      </c>
      <c r="ER149" s="12" t="str">
        <f t="shared" si="183"/>
        <v>Диаммофоска</v>
      </c>
      <c r="ES149" s="12">
        <f t="shared" si="139"/>
        <v>0.1</v>
      </c>
      <c r="ET149" s="12">
        <f t="shared" si="140"/>
        <v>0.26</v>
      </c>
      <c r="EU149" s="12">
        <f t="shared" si="141"/>
        <v>0.26</v>
      </c>
      <c r="EV149" s="12" t="str">
        <f t="shared" si="184"/>
        <v>Аммофос 12:52:00</v>
      </c>
      <c r="EW149" s="12" t="str">
        <f t="shared" si="185"/>
        <v>Кемира Свекловичное-6</v>
      </c>
      <c r="EX149" s="12">
        <f t="shared" si="142"/>
        <v>0.16</v>
      </c>
      <c r="EY149" s="12">
        <f t="shared" si="143"/>
        <v>0.12</v>
      </c>
      <c r="EZ149" s="12">
        <f t="shared" si="144"/>
        <v>0.17</v>
      </c>
      <c r="FA149" s="38" t="e">
        <f>IF(AND(OR(FJ149=$FD$1,FM149=$FD$1,FO149=$FD$1,FQ149=$FD$1,FS149=$FD$1),FD149=$FD$1,Исходн.данные.!J149&lt;2,FU149=$FD$1),"Бор,Кобальт",IF(AND(FO149=$FD$1,FH149=$FD$1,Исходн.данные.!J149&lt;2,FU149=$FD$1),"Бор,Кобальт",IF(AND(OR(FJ149=$FD$1,FM149=$FD$1,FQ149=$FD$1),FE149=$FD$1,Исходн.данные.!J149&lt;2,FT149=$FD$1,FU149=$FD$1),"Бор,Медь,Цинк",IF(AND(OR(FJ149=$FD$1,FR149="Да"),FI149="Да",Исходн.данные.!J149&lt;2,FT149="Да",FU149="Да"),"Бор,Цинк,Медь",IF(AND(OR(FM149="Да",FQ149="Да"),FI149="Да",Исходн.данные.!J149&lt;2,FT149="Да",FU149="Да"),"Бор,Цинк",IF(AND(FN149="Да",OR(FD149="Да",FE149="Да")),"Бор",FB149))))))</f>
        <v>#N/A</v>
      </c>
      <c r="FB149" s="134" t="e">
        <f>IF(AND(OR(FD149="Да",FE149="Да",FF149="Да",FG149="Да",FH149="Да"),FO149="Да"),"Бор",IF(AND(FP149="Да",OR(FD149="Да",FE149="Да",FI149="Да")),"Бор",IF(AND(FS149="Да",FE149="Да"),"Бор,Медь",IF(AND(OR(FJ149="Да",FK149="Да",FL149="Да"),FE149="Да",Исходн.данные.!I149&lt;5,FT149="Да",FU149="Да"),"Молибден,Цинк",IF(AND(FM149="Да",OR(FE149="Да",FF149="Да",FG149="Да",FH149="Да",FI149="Да")),"Молибден,Цинк",IF(AND(OR(FJ149="Да",FK149="Да",FL149="Да",FM149="Да",FQ149="Да"),OR(FE149="Да",FF149="Да"),FT149="Да",FU149="Да",Исходн.данные.!I149&gt;5.5),"Медь,Цинк",FC149))))))</f>
        <v>#N/A</v>
      </c>
      <c r="FC149" s="23" t="e">
        <f t="shared" si="186"/>
        <v>#N/A</v>
      </c>
      <c r="FD149" s="38" t="str">
        <f>IF(OR(Исходн.данные.!F149=$CC$1,Исходн.данные.!F149=$CC$2,Исходн.данные.!F149=$CC$3,Исходн.данные.!F149=$CC$4),"Да","Нет")</f>
        <v>Нет</v>
      </c>
      <c r="FE149" s="38" t="str">
        <f>IF(Исходн.данные.!F149=$CC$5,"Да","Нет")</f>
        <v>Нет</v>
      </c>
      <c r="FF149" s="38" t="str">
        <f>IF(OR(Исходн.данные.!F149=$CC$6,Исходн.данные.!F149=$CC$7),"Да","Нет")</f>
        <v>Нет</v>
      </c>
      <c r="FG149" s="38" t="str">
        <f>IF(OR(Исходн.данные.!F149=$CC$8,Исходн.данные.!F149=$CC$9),"Да","Нет")</f>
        <v>Нет</v>
      </c>
      <c r="FH149" s="38" t="str">
        <f>IF(Исходн.данные.!F149=$CC$10,"Да","Нет")</f>
        <v>Нет</v>
      </c>
      <c r="FI149" s="38" t="str">
        <f>IF(OR(Исходн.данные.!F149=$CC$11,Исходн.данные.!F149=$CC$12),"Да","Нет")</f>
        <v>Нет</v>
      </c>
      <c r="FJ149" s="38" t="str">
        <f>IF(OR(Исходн.данные.!AH149=$BS$1,Исходн.данные.!AH149=$BQ$11,Исходн.данные.!AH149=$BQ$12),"Да","Нет")</f>
        <v>Нет</v>
      </c>
      <c r="FK149" s="38" t="str">
        <f>IF(OR(Исходн.данные.!AH149=$BS$2,Исходн.данные.!AH149=$BS$4),"Да","Нет")</f>
        <v>Нет</v>
      </c>
      <c r="FL149" s="38" t="str">
        <f>IF(OR(Исходн.данные.!AH149=$BS$3,Исходн.данные.!AH149=$BS$5),"Да","Нет")</f>
        <v>Нет</v>
      </c>
      <c r="FM149" s="38" t="str">
        <f>IF(OR(Исходн.данные.!AH149=$BS$9,Исходн.данные.!AH149=$BS$10,Исходн.данные.!AH149=$BS$11,Исходн.данные.!AH149=$BS$12),"Да","Нет")</f>
        <v>Нет</v>
      </c>
      <c r="FN149" s="38" t="str">
        <f>IF(OR(Исходн.данные.!AH149=$BS$6,Исходн.данные.!AH149=$BP$3),"Да","Нет")</f>
        <v>Нет</v>
      </c>
      <c r="FO149" s="38" t="str">
        <f>IF(Исходн.данные.!AH149=$BQ$9,"Да","Нет")</f>
        <v>Нет</v>
      </c>
      <c r="FP149" s="38" t="str">
        <f>IF(OR(Исходн.данные.!AH149=$BS$8,Исходн.данные.!AH149=$BT$8),"Да","Нет")</f>
        <v>Нет</v>
      </c>
      <c r="FQ149" s="38" t="str">
        <f>IF(OR(Исходн.данные.!AH149=$BQ$7,Исходн.данные.!AH149=$BQ$8),"Да","Нет")</f>
        <v>Нет</v>
      </c>
      <c r="FR149" s="38" t="str">
        <f>IF(Исходн.данные.!AI149=$BU$9,"Да","Нет")</f>
        <v>Нет</v>
      </c>
      <c r="FS149" s="38" t="str">
        <f>IF(OR(Исходн.данные.!AH149=$BP$1,Исходн.данные.!AH149=$BP$2),"Да","Нет")</f>
        <v>Нет</v>
      </c>
      <c r="FT149" s="38" t="e">
        <f>IF((Исходн.данные.!K149*GO149*GS149*GW149+BL149*0.6+Исходн.данные.!Q149*4.5*0.275)&gt;90,"Да","Нет")</f>
        <v>#N/A</v>
      </c>
      <c r="FU149" s="38" t="e">
        <f>IF((Исходн.данные.!M149*GS149*GZ149+BM149*0.225)&gt;35,"Да","Нет")</f>
        <v>#N/A</v>
      </c>
      <c r="FV149" s="38" t="str">
        <f>IF(Исходн.данные.!O149&gt;175,"Да","Нет")</f>
        <v>Нет</v>
      </c>
      <c r="FW149" s="39" t="str">
        <f>IF(Исходн.данные.!I149&gt;5.5,"Да","Нет")</f>
        <v>Нет</v>
      </c>
      <c r="FX149" s="39" t="str">
        <f>IF(Исходн.данные.!J149&lt;2,"Да","Нет")</f>
        <v>Да</v>
      </c>
      <c r="FY149" s="39" t="e">
        <f>IF(HF149=$FY$16,0,Исходн.данные.!K149*GO149*GS149*GW149/HF149)</f>
        <v>#N/A</v>
      </c>
      <c r="FZ149" s="39" t="e">
        <f>Исходн.данные.!M149*GS149*GZ149/HG149</f>
        <v>#N/A</v>
      </c>
      <c r="GA149" s="39" t="e">
        <f>IF(K_Wyn=$FY$16,0,IF(Исходн.данные.!N149=Исходн.данные.!$L$10,Исходн.данные.!O149/1.1*GS149*HC149/HH149,IF(Исходн.данные.!N149=Исходн.данные.!$L$12,Исходн.данные.!O149/1.5*GS149*HC149/HH149,Исходн.данные.!O149*GS149*HC149/HH149)))</f>
        <v>#N/A</v>
      </c>
      <c r="GB149" s="39" t="e">
        <f>IF(HF149=$FY$16,0,((Исходн.данные.!Q149*N_Org+Исходн.данные.!R149*N_Sider+Исходн.данные.!S149*N_Soloma)*AO149+Расчет!BC149*VLOOKUP(Исходн.данные.!T149,Справ!$A$3:$O$57,15)*AO149+BB149*VLOOKUP(Исходн.данные.!T149,Справ!$A$3:$O$57,15)*AL149+(Исходн.данные.!V149*N_Rizotorf+Исходн.данные.!W149*N_Rizoagr))/HF149)</f>
        <v>#N/A</v>
      </c>
      <c r="GC149" s="39" t="e">
        <f>IF(HG149=$FY$16,0,((Исходн.данные.!Q149*Р_Org+Исходн.данные.!R149*P_Sider+Исходн.данные.!S149*P_Soloma)*AP149+Расчет!BC149*VLOOKUP(Исходн.данные.!T149,Справ!$A$3:$P$57,16)*AP149+BB149*VLOOKUP(Исходн.данные.!T149,Справ!$A$3:$P$57,16)*AM149)/HG149)</f>
        <v>#N/A</v>
      </c>
      <c r="GD149" s="39" t="e">
        <f>IF(HH149=$FY$16,0,((Исходн.данные.!Q149*К_Org+Исходн.данные.!R149*K_Sider+Исходн.данные.!S149*K_Soloma)*AQ149+Расчет!BC149*VLOOKUP(Исходн.данные.!T149,Справ!$A$3:$Q$57,17)*AQ149+BB149*VLOOKUP(Исходн.данные.!T149,Справ!$A$3:$Q$57,17)*AN149)/HH149)</f>
        <v>#N/A</v>
      </c>
      <c r="GE149" s="39" t="e">
        <f>IF(HF149=$FY$16,0,(Исходн.данные.!X149*AR149+Исходн.данные.!AA149*N_Org*AL149+Исходн.данные.!AB149*N_Sider*AL149+Исходн.данные.!AC149*N_Soloma*AL149)/HF149)</f>
        <v>#N/A</v>
      </c>
      <c r="GF149" s="39" t="e">
        <f>IF(HG149=$FY$16,0,(Исходн.данные.!Y149*AS149+Исходн.данные.!AA149*Р_Org*AM149+Исходн.данные.!AB149*P_Sider*AM149+Исходн.данные.!AC149*P_Soloma*AM149)/HG149)</f>
        <v>#N/A</v>
      </c>
      <c r="GG149" s="39" t="e">
        <f>IF(HH149=$FY$16,0,(Исходн.данные.!Z149*AT149+Исходн.данные.!AA149*К_Org*AN149+Исходн.данные.!AB149*K_Sider*AN149+Исходн.данные.!AC149*K_Soloma*AN149)/HH149)</f>
        <v>#N/A</v>
      </c>
      <c r="GH149" s="39" t="e">
        <f>Исходн.данные.!AD149*AU149/HF149</f>
        <v>#N/A</v>
      </c>
      <c r="GI149" s="39" t="e">
        <f>Исходн.данные.!AE149*AV149/HG149</f>
        <v>#N/A</v>
      </c>
      <c r="GJ149" s="39" t="e">
        <f>Исходн.данные.!AF149*AW149/HH149</f>
        <v>#N/A</v>
      </c>
      <c r="GK149" s="55">
        <f>Исходн.данные.!AK149</f>
        <v>0</v>
      </c>
      <c r="GL149" s="11" t="e">
        <f t="shared" si="187"/>
        <v>#N/A</v>
      </c>
      <c r="GM149" s="11" t="e">
        <f t="shared" si="188"/>
        <v>#N/A</v>
      </c>
      <c r="GN149" s="11" t="e">
        <f t="shared" si="189"/>
        <v>#N/A</v>
      </c>
      <c r="GO149" s="57">
        <f t="shared" si="190"/>
        <v>19</v>
      </c>
      <c r="GP149" s="55">
        <f>IF(OR(Исходн.данные.!F149=$CE$1,Исходн.данные.!F149=$CE$2,Исходн.данные.!F149=$CE$3,Исходн.данные.!F149=$CE$4,Исходн.данные.!F149=$CE$5),GQ149,GR149)</f>
        <v>19</v>
      </c>
      <c r="GQ149" s="55">
        <f>IF(Исходн.данные.!F149=$CE$1,28,IF(Исходн.данные.!F149=$CE$2,26,IF(Исходн.данные.!F149=$CE$3,24,IF(Исходн.данные.!F149=$CE$4,22,IF(Исходн.данные.!F149=$CE$5,20,GR149)))))</f>
        <v>19</v>
      </c>
      <c r="GR149" s="55">
        <f>IF(Исходн.данные.!F149=$CE$6,18,IF(Исходн.данные.!F149=$CE$7,16,IF(Исходн.данные.!F149=$CE$8,14,IF(Исходн.данные.!F149=$CE$9,13,IF(Исходн.данные.!F149=$CE$10,12,19)))))</f>
        <v>19</v>
      </c>
      <c r="GS149" s="55">
        <f>IF(Исходн.данные.!G149="Пес",0.035*(40+2*Исходн.данные.!H149),IF(Исходн.данные.!G149="Суп",0.0325*(40+2*Исходн.данные.!H149),0.03*(40+2*Исходн.данные.!H149)))</f>
        <v>1.2</v>
      </c>
      <c r="GT149" s="55">
        <f>IF(Исходн.данные.!H149&lt;23,2.6,IF(AND(Исходн.данные.!H149&gt;22,Исходн.данные.!H149&lt;26),3,IF(AND(Исходн.данные.!H149&gt;25,Исходн.данные.!H149&lt;29),3.4,3.6)))</f>
        <v>2.6</v>
      </c>
      <c r="GU149" s="55">
        <f>IF(Исходн.данные.!H149&lt;23,2.8,IF(AND(Исходн.данные.!H149&gt;22,Исходн.данные.!H149&lt;26),3.2,IF(AND(Исходн.данные.!H149&gt;25,Исходн.данные.!H149&lt;29),3.6,3.9)))</f>
        <v>2.8</v>
      </c>
      <c r="GV149" s="55">
        <f>IF(Исходн.данные.!H149&lt;23,3,IF(AND(Исходн.данные.!H149&gt;22,Исходн.данные.!H149&lt;26),3.5,IF(AND(Исходн.данные.!H149&gt;25,Исходн.данные.!H149&lt;29),3.9,4.2)))</f>
        <v>3</v>
      </c>
      <c r="GW149" s="55" t="e">
        <f>IF(Исходн.данные.!P149="Ум",GX149,GY149)</f>
        <v>#N/A</v>
      </c>
      <c r="GX149" s="55" t="e">
        <f>VLOOKUP(Исходн.данные.!AI149,Коэффициенты!$J$7:$L$13,2,FALSE)</f>
        <v>#N/A</v>
      </c>
      <c r="GY149" s="55" t="e">
        <f>VLOOKUP(Исходн.данные.!AI149,Коэффициенты!$J$7:$L$13,3,FALSE)</f>
        <v>#N/A</v>
      </c>
      <c r="GZ149" s="55" t="e">
        <f>(IF(Исходн.данные.!M149&lt;50,0.11*VLOOKUP(Исходн.данные.!AH149,Культуры.Информация,7,FALSE),IF(Исходн.данные.!M149&gt;250,0.05*VLOOKUP(Исходн.данные.!AH149,Культуры.Информация,7,FALSE),VLOOKUP(Исходн.данные.!AH149,Культуры.Информация,5,FALSE)/100*($GX$6+$GY$6*Исходн.данные.!M149))))*Расчет2!AI149</f>
        <v>#N/A</v>
      </c>
      <c r="HA149" s="211"/>
      <c r="HB149" s="211"/>
      <c r="HC149" s="55" t="e">
        <f>(IF(Исходн.данные.!O149&lt;80,0.2*VLOOKUP(Исходн.данные.!AH149,Культуры.Информация,8,FALSE),IF(Исходн.данные.!O149&gt;240,0.09*VLOOKUP(Исходн.данные.!AH149,Культуры.Информация,8,FALSE),VLOOKUP(Исходн.данные.!AH149,Культуры.Информация,6,FALSE)/100*($HB$6+$HC$6*Исходн.данные.!O149))))*Расчет2!AJ149</f>
        <v>#N/A</v>
      </c>
      <c r="HD149" s="55">
        <f>IF(Исходн.данные.!O149&gt;240,0.09,IF(Исходн.данные.!O149&lt;30,0.3,$HE$10+$HD$10*Исходн.данные.!O149))</f>
        <v>0.3</v>
      </c>
      <c r="HE149" s="55">
        <f>IF(Исходн.данные.!O149&gt;240,0.17,IF(Исходн.данные.!O149&lt;30,0.5,$HF$12+$HE$12*Исходн.данные.!O149))</f>
        <v>0.5</v>
      </c>
      <c r="HF149" s="55" t="e">
        <f>VLOOKUP(Исходн.данные.!AH149,Справ!$A$3:$D$58,2,FALSE)</f>
        <v>#N/A</v>
      </c>
      <c r="HG149" s="55" t="e">
        <f>VLOOKUP(Исходн.данные.!AH149,Справ!$A$3:$D$58,3,FALSE)</f>
        <v>#N/A</v>
      </c>
      <c r="HH149" s="55" t="e">
        <f>VLOOKUP(Исходн.данные.!AH149,Справ!$A$3:$D$58,4,FALSE)</f>
        <v>#N/A</v>
      </c>
      <c r="HI149" s="11" t="e">
        <f t="shared" si="191"/>
        <v>#N/A</v>
      </c>
      <c r="HJ149" s="11" t="e">
        <f t="shared" si="192"/>
        <v>#N/A</v>
      </c>
      <c r="HK149" s="11" t="e">
        <f t="shared" si="193"/>
        <v>#N/A</v>
      </c>
      <c r="HL149" s="55">
        <f>IF(OR(Исходн.данные.!G149="Глин",Исходн.данные.!G149="Т_суг"),1.1,IF(Исходн.данные.!G149="Ср_суг",1,1))</f>
        <v>1</v>
      </c>
      <c r="HM149" s="55">
        <f>IF(OR(Исходн.данные.!G149="Глин",Исходн.данные.!G149="Т_суг"),0.9,IF(Исходн.данные.!G149="Ср_суг",1,1.2))</f>
        <v>1.2</v>
      </c>
      <c r="HN149" s="11" t="e">
        <f t="shared" si="194"/>
        <v>#N/A</v>
      </c>
      <c r="HO149" s="11" t="e">
        <f t="shared" si="195"/>
        <v>#N/A</v>
      </c>
      <c r="HP149" s="11" t="e">
        <f t="shared" si="196"/>
        <v>#N/A</v>
      </c>
      <c r="HQ149" t="e">
        <f t="shared" si="197"/>
        <v>#N/A</v>
      </c>
      <c r="HR149" t="e">
        <f t="shared" si="198"/>
        <v>#N/A</v>
      </c>
      <c r="HS149" t="e">
        <f t="shared" si="199"/>
        <v>#N/A</v>
      </c>
      <c r="HT149" t="e">
        <f t="shared" si="145"/>
        <v>#N/A</v>
      </c>
      <c r="HU149" t="e">
        <f t="shared" si="146"/>
        <v>#N/A</v>
      </c>
      <c r="HV149" t="e">
        <f t="shared" si="147"/>
        <v>#N/A</v>
      </c>
      <c r="HW149" t="e">
        <f t="shared" si="148"/>
        <v>#N/A</v>
      </c>
      <c r="HX149" t="e">
        <f t="shared" si="149"/>
        <v>#N/A</v>
      </c>
      <c r="HY149" t="e">
        <f t="shared" si="150"/>
        <v>#N/A</v>
      </c>
      <c r="HZ149" s="55">
        <f>IF(OR(Исходн.данные.!AI149="Оз_Ч_П",Исходн.данные.!AI149="Оз_З_П",Исходн.данные.!AI149="Яр_зер"),12,30)</f>
        <v>30</v>
      </c>
      <c r="IA149" t="e">
        <f t="shared" si="200"/>
        <v>#N/A</v>
      </c>
      <c r="IB149" t="e">
        <f t="shared" si="201"/>
        <v>#N/A</v>
      </c>
      <c r="IC149" t="e">
        <f t="shared" si="202"/>
        <v>#N/A</v>
      </c>
      <c r="ID149" s="11" t="e">
        <f t="shared" si="203"/>
        <v>#N/A</v>
      </c>
      <c r="IE149" s="11" t="e">
        <f t="shared" si="204"/>
        <v>#N/A</v>
      </c>
      <c r="IF149" s="11" t="e">
        <f t="shared" si="205"/>
        <v>#N/A</v>
      </c>
    </row>
    <row r="150" spans="35:240" x14ac:dyDescent="0.2">
      <c r="AI150">
        <f>IF(Исходн.данные.!I150&gt;6,1,1.85-(0.148*Исходн.данные.!I150))</f>
        <v>1.85</v>
      </c>
      <c r="AJ150">
        <f>IF(Исходн.данные.!I150&gt;6,1,2.434-(0.246*Исходн.данные.!I150))</f>
        <v>2.4340000000000002</v>
      </c>
      <c r="AL150" s="148" t="b">
        <f>IF(Исходн.данные.!$P150="Ум",N_OrgUd_2g_um,IF(Исходн.данные.!$P150="Об",N_OrgUd_2g_ob))</f>
        <v>0</v>
      </c>
      <c r="AM150" s="148" t="b">
        <f>IF(Исходн.данные.!$P150="Ум",P_OrgUd_2g_um,IF(Исходн.данные.!$P150="Об",P_OrgUd_2g_ob))</f>
        <v>0</v>
      </c>
      <c r="AN150" s="148" t="b">
        <f>IF(Исходн.данные.!$P150="Ум",K_OrgUd_2g_um,IF(Исходн.данные.!$P150="Об",K_OrgUd_2g_ob))</f>
        <v>0</v>
      </c>
      <c r="AO150" s="148" t="b">
        <f>IF(Исходн.данные.!$P150="Ум",N_OrgUd_1g_um,IF(Исходн.данные.!$P150="Об",N_OrgUd_1g_ob))</f>
        <v>0</v>
      </c>
      <c r="AP150" s="148" t="b">
        <f>IF(Исходн.данные.!$P150="Ум",P_OrgUd_1g_um,IF(Исходн.данные.!$P150="Об",P_OrgUd_1g_ob))</f>
        <v>0</v>
      </c>
      <c r="AQ150" s="148" t="b">
        <f>IF(Исходн.данные.!$P150="Ум",K_OrgUd_1g_um,IF(Исходн.данные.!$P150="Об",K_OrgUd_1g_ob))</f>
        <v>0</v>
      </c>
      <c r="AR150" t="b">
        <f>IF(Исходн.данные.!$P150="Ум",N_MinUd_2g_um,IF(Исходн.данные.!$P150="Об",N_MinUd_2g_ob))</f>
        <v>0</v>
      </c>
      <c r="AS150" t="b">
        <f>IF(Исходн.данные.!$P150="Ум",P_MinUd_2g_um,IF(Исходн.данные.!$P150="Об",P_MinUd_2g_ob))</f>
        <v>0</v>
      </c>
      <c r="AT150" t="b">
        <f>IF(Исходн.данные.!$P150="Ум",K_MinUd_2g_um,IF(Исходн.данные.!$P150="Об",K_MinUd_2g_ob))</f>
        <v>0</v>
      </c>
      <c r="AU150" t="b">
        <f>IF(Исходн.данные.!$P150="Ум",N_MinUd_1g_um,IF(Исходн.данные.!$P150="Об",N_MinUd_1g_ob))</f>
        <v>0</v>
      </c>
      <c r="AV150" t="b">
        <f>IF(Исходн.данные.!P150="Ум",P_MinUd_1g_um,IF(Исходн.данные.!P150="Об",P_MinUd_1g_ob))</f>
        <v>0</v>
      </c>
      <c r="AW150" t="b">
        <f>IF(Исходн.данные.!P150="Ум",K_MinUd_1g_um,IF(Исходн.данные.!P150="Об",K_MinUd_1g_ob))</f>
        <v>0</v>
      </c>
      <c r="AY150" t="e">
        <f>VLOOKUP(Исходн.данные.!T150,Справ!$A$3:$N$57,12)</f>
        <v>#N/A</v>
      </c>
      <c r="AZ150" t="e">
        <f>VLOOKUP(Исходн.данные.!T150,Справ!$A$3:$N$57,13)</f>
        <v>#N/A</v>
      </c>
      <c r="BA150" t="e">
        <f>VLOOKUP(Исходн.данные.!T150,Справ!$A$3:$N$57,14)</f>
        <v>#N/A</v>
      </c>
      <c r="BB150">
        <f>IF(Исходн.данные.!AH150=0,0,25)</f>
        <v>0</v>
      </c>
      <c r="BC150" s="141">
        <f>IF(Исходн.данные.!AH150=0,0,IF(Исходн.данные.!T150=0,25,BD150))</f>
        <v>0</v>
      </c>
      <c r="BD150" s="168" t="e">
        <f>AY150+AZ150*Исходн.данные.!U150-POWER(BA150,2)*Исходн.данные.!U150</f>
        <v>#N/A</v>
      </c>
      <c r="BE15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0" s="25">
        <f>IF(Исходн.данные.!AH150=0,0,MIN(HN150:HP150))</f>
        <v>0</v>
      </c>
      <c r="BG150" s="9">
        <f>IF(Исходн.данные.!AH150=0,0,IF((HO150+10*0.25/HG150/HL150)&lt;17,17,HO150+10*0.25/HG150/HL150))</f>
        <v>0</v>
      </c>
      <c r="BH150" s="181">
        <f>IF(Исходн.данные.!AH150=0,0,HW150*HF150*HL150/AU150*AI150+Исходн.данные.!S150*10)</f>
        <v>0</v>
      </c>
      <c r="BI150" s="10"/>
      <c r="BJ150" s="182">
        <f>IF(Исходн.данные.!AH150=0,0,IF(HX150*HG150*HL150/AV150&lt;0,0,HX150*HG150*HL150/AV150*AJ150))</f>
        <v>0</v>
      </c>
      <c r="BK150" s="182">
        <f>IF(Исходн.данные.!AH150=0,0,HY150*HH150*HM150/AW150)</f>
        <v>0</v>
      </c>
      <c r="BL150" s="10">
        <f>IF(OR(Исходн.данные.!$AH150=$BP$1,Исходн.данные.!$AH150=$BP$2),0,IF(BH150&lt;0,0,IF(OR(Исходн.данные.!T150=Расчет!$BP$1,Исходн.данные.!T150=Расчет!$BP$2,Исходн.данные.!T150=Расчет!$BT$5,Исходн.данные.!T150=Расчет!$BT$6),BH150*0.5,IF(OR(Исходн.данные.!T150=Расчет!$BS$9,Исходн.данные.!T150=Расчет!$BS$10,Исходн.данные.!T150=Расчет!$BS$11,Исходн.данные.!T150=Расчет!$BS$12,Исходн.данные.!T150=Расчет!$BP$5),BH150*0.8,BH150))))</f>
        <v>0</v>
      </c>
      <c r="BM150" s="10">
        <f>IF(OR(Исходн.данные.!$AH150=$BP$1,Исходн.данные.!$AH150=$BP$2),0,IF(BJ150&lt;0,0,IF(Исходн.данные.!I150&lt;4.5,BJ150*1.2,IF(Исходн.данные.!I150&gt;5.1,BJ150,BJ150*((5.1-Исходн.данные.!I150)*0.333+1)))))</f>
        <v>0</v>
      </c>
      <c r="BN150" s="10">
        <f>IF(OR(Исходн.данные.!$AH150=$BP$1,Исходн.данные.!$AH150=$BP$2),60-Исходн.данные.!AF150,IF(BK150&lt;0,0,IF(Исходн.данные.!I150&lt;4.5,BK150*1.2,IF(Исходн.данные.!I150&gt;5.1,BK150,BK150*((5.1-Исходн.данные.!I150)*0.333+1)))))</f>
        <v>0</v>
      </c>
      <c r="BO150" s="9">
        <f>IF(BL150&lt;0,0,BL150*Исходн.данные.!$AJ150/1000)</f>
        <v>0</v>
      </c>
      <c r="BP150" s="9">
        <f>IF(BM150&lt;0,0,BM150*Исходн.данные.!$AJ150/1000)</f>
        <v>0</v>
      </c>
      <c r="BQ150" s="9">
        <f>IF(BN150&lt;0,0,BN150*Исходн.данные.!$AJ150/1000)</f>
        <v>0</v>
      </c>
      <c r="BR150" s="9">
        <f t="shared" si="155"/>
        <v>0</v>
      </c>
      <c r="BS150" s="10" t="str">
        <f t="shared" si="156"/>
        <v>Аммофос 12:52:00</v>
      </c>
      <c r="BT150" s="10" t="str">
        <f t="shared" si="157"/>
        <v>Аммофос 12:52:00</v>
      </c>
      <c r="BU150" s="10" t="str">
        <f t="shared" si="158"/>
        <v>Диаммофоска</v>
      </c>
      <c r="BV150" s="10">
        <f t="shared" si="159"/>
        <v>0</v>
      </c>
      <c r="BW150" s="10"/>
      <c r="BX150" s="10"/>
      <c r="BY150" s="9">
        <f>IF(BL150&lt;0,0,IF(OR(Исходн.данные.!AI150=Расчет!$BU$6,Исходн.данные.!AI150=Расчет!$BU$7),Расчет!BV150,IF(Исходн.данные.!$AG150=$BV$11,BL150,IF(OR(Исходн.данные.!$AH150=$BQ$7,Исходн.данные.!$AH150=$BQ$8),CB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0,IF(Исходн.данные.!$AI150=$BU$11,"Нет",IF(BL150&gt;30,30,BL150)))))))</f>
        <v>0</v>
      </c>
      <c r="BZ150" s="9">
        <f>IF(AND(Исходн.данные.!$AG150=$BV$11,BM150&lt;10),10,IF(Исходн.данные.!$AG150=$BV$11,BM150,IF(OR(Исходн.данные.!$AH150=$BQ$7,Исходн.данные.!$AH150=$BQ$8),CC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10,IF(Исходн.данные.!$AI150=$BU$11,"Нет",IF(BM150&gt;60,60,IF(BM150&lt;10,10,BM150)))))))</f>
        <v>10</v>
      </c>
      <c r="CA150" s="39">
        <f>IF(BN150&lt;0,0,IF(Исходн.данные.!$AG150=$BV$11,BN150,IF(OR(Исходн.данные.!$AH150=$BQ$7,Исходн.данные.!$AH150=$BQ$8),CD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0,IF(Исходн.данные.!$AI150=$BU$11,"Нет",IF(BN150&gt;30,30,BN150))))))</f>
        <v>0</v>
      </c>
      <c r="CB150" s="9">
        <f t="shared" si="160"/>
        <v>0</v>
      </c>
      <c r="CC150" s="9">
        <f t="shared" si="161"/>
        <v>0</v>
      </c>
      <c r="CD150" s="9">
        <f t="shared" si="162"/>
        <v>0</v>
      </c>
      <c r="CE150" s="12">
        <f t="shared" si="163"/>
        <v>10</v>
      </c>
      <c r="CF150" s="9">
        <f t="shared" si="164"/>
        <v>0</v>
      </c>
      <c r="CG150" s="9" t="s">
        <v>231</v>
      </c>
      <c r="CH150" s="132" t="str">
        <f>IF(Исходн.данные.!AP150=Расчет!$CI$16,"Нет",IF(Исходн.данные.!AL150&gt;0,Исходн.данные.!AL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BH$4,IF(OR(Исходн.данные.!AI150=Исходн.данные.!$AI$6,Исходн.данные.!AI150=Исходн.данные.!$AI$7),Расчет!BS150,IF(AND($CF150=0,$CE150&gt;0),EV150,ER150)))))</f>
        <v>Аммофос 12:52:00</v>
      </c>
      <c r="CI150" s="274">
        <f>IF(Расчет!$CH150="Нет","Нет",IF(Исходн.данные.!$AL150&gt;0,VLOOKUP(Расчет!$CH150,АшламаДВ_Irekle,2,FALSE),VLOOKUP(Расчет!$CH150,АшламаДВ_Gomumy,2,FALSE)))</f>
        <v>0.12</v>
      </c>
      <c r="CJ150" s="274">
        <f>IF(Расчет!$CH150="Нет","Нет",IF(Исходн.данные.!$AL150&gt;0,VLOOKUP(Расчет!$CH150,АшламаДВ_Irekle,3,FALSE),VLOOKUP(Расчет!$CH150,АшламаДВ_Gomumy,3,FALSE)))</f>
        <v>0.52</v>
      </c>
      <c r="CK150" s="274">
        <f>IF(Расчет!$CH150="Нет","Нет",IF(Исходн.данные.!$AL150&gt;0,VLOOKUP(Расчет!$CH150,АшламаДВ_Irekle,4,FALSE),VLOOKUP(Расчет!$CH150,АшламаДВ_Gomumy,4,FALSE)))</f>
        <v>0</v>
      </c>
      <c r="CL150" s="70"/>
      <c r="CM150" s="70"/>
      <c r="CN150" s="70"/>
      <c r="CO150" s="70"/>
      <c r="CP150" s="70"/>
      <c r="CQ150" s="70"/>
      <c r="CR150" s="10">
        <f t="shared" si="165"/>
        <v>0</v>
      </c>
      <c r="CS150" s="10">
        <f t="shared" si="166"/>
        <v>19.23076923076923</v>
      </c>
      <c r="CT150" s="10">
        <f t="shared" si="167"/>
        <v>0</v>
      </c>
      <c r="CU150" s="39">
        <f>IF($CH150="Нет",0,IF(CI150=0,30/MIN(CJ150:CK150),IF(Исходн.данные.!$AG150=$BV$11,CR150,IF(OR(Исходн.данные.!$AH150=$BQ$7,Исходн.данные.!$AH150=$BQ$8),90/CI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0,IF(Исходн.данные.!$AI150=$BU$11,"Нет",30/CI150))))))</f>
        <v>250</v>
      </c>
      <c r="CV150" s="39">
        <f>IF($CH150="Нет",0,IF(Исходн.данные.!AH150=0,0,IF(CJ150=0,60/MIN(CI150,CK150),IF(Исходн.данные.!$AG150=$BV$11,CS150,IF(OR(Исходн.данные.!$AH150=$BQ$7,Исходн.данные.!$AH150=$BQ$8),90/CJ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10/CJ150,IF(Исходн.данные.!$AI150=$BU$11,"Нет",60/CJ150)))))))</f>
        <v>0</v>
      </c>
      <c r="CW150" s="39">
        <f>IF($CH150="Нет",0,IF(Исходн.данные.!AH150=0,0,IF(CK150=0,30/MIN(CI150:CJ150),IF(Исходн.данные.!$AG150=$BV$11,CT150,IF(OR(Исходн.данные.!$AH150=$BQ$7,Исходн.данные.!$AH150=$BQ$8),90/CK150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0,IF(Исходн.данные.!$AI150=$BU$11,"Нет",30/CK150)))))))</f>
        <v>0</v>
      </c>
      <c r="CX150" s="133">
        <f>IF(Исходн.данные.!$AG150=$BV$11,MAX(CU150:CW150),IF(OR(Исходн.данные.!$AH150=$BS$8,Исходн.данные.!$AH150=$BQ$9,Исходн.данные.!$AH150=$BQ$10,Исходн.данные.!$AH150=$BQ$11,Исходн.данные.!$AH150=$BQ$12,Исходн.данные.!$AH150=$BP$3,Исходн.данные.!$AH150=$BT$8,$FM150="Да"),CV150,MIN(CU150:CW150)))</f>
        <v>0</v>
      </c>
      <c r="CY150" s="133">
        <f>IF(Исходн.данные.!AH150=0,0,IF(CR150&gt;$CX150,$CX150,CR150))</f>
        <v>0</v>
      </c>
      <c r="CZ150" s="133">
        <f>IF(Исходн.данные.!AH150=0,0,IF(CS150&gt;$CX150,$CX150,CS150))</f>
        <v>0</v>
      </c>
      <c r="DA150" s="133">
        <f>IF(Исходн.данные.!AH150=0,0,IF(CT150&gt;$CX150,$CX150,CT150))</f>
        <v>0</v>
      </c>
      <c r="DB150" s="10">
        <f t="shared" si="168"/>
        <v>0</v>
      </c>
      <c r="DC150" s="39">
        <f>DB150*Исходн.данные.!AJ150/1000</f>
        <v>0</v>
      </c>
      <c r="DD150" s="71">
        <f t="shared" si="169"/>
        <v>0</v>
      </c>
      <c r="DE150" s="9">
        <f t="shared" si="170"/>
        <v>0</v>
      </c>
      <c r="DF150" s="9">
        <f t="shared" si="171"/>
        <v>0</v>
      </c>
      <c r="DG150" s="39">
        <f>IF(BL150&lt;0,0,IF($CH150="Нет",BL150,IF(OR(Исходн.данные.!$AH150=$BP$1,Исходн.данные.!$AH150=$BP$2),0,IF(Исходн.данные.!AI150=$BU$11,BL150,IF(BL150-DD150&lt;0,0,BL150-DD150)))))</f>
        <v>0</v>
      </c>
      <c r="DH150" s="39">
        <f>IF(BM150&lt;0,0,IF($CH150="Нет",BM150,IF(OR(Исходн.данные.!$AH150=$BP$1,Исходн.данные.!$AH150=$BP$2),0,IF(Исходн.данные.!AJ150=$BU$11,BM150,IF(BM150-DE150&lt;0,0,BM150-DE150)))))</f>
        <v>0</v>
      </c>
      <c r="DI150" s="39">
        <f>IF(BN150&lt;0,0,IF($CH150="Нет",BN150,IF(OR(Исходн.данные.!$AH150=$BP$1,Исходн.данные.!$AH150=$BP$2),0,IF(Исходн.данные.!AK150=$BU$11,BN150,IF(BN150-DF150&lt;0,0,BN150-DF150)))))</f>
        <v>0</v>
      </c>
      <c r="DJ150" s="12">
        <f t="shared" si="172"/>
        <v>0</v>
      </c>
      <c r="DK150" s="9">
        <f t="shared" si="173"/>
        <v>0</v>
      </c>
      <c r="DL150" s="39">
        <f>IF(Исходн.данные.!AM150&gt;0,Исходн.данные.!AM150,IF(EG150&gt;0,$BH$10,0))</f>
        <v>0</v>
      </c>
      <c r="DM150" s="186">
        <f>IF($DL150=0,0,IF(Исходн.данные.!AM150&gt;0,VLOOKUP($DL150,АшламаДВ_Irekle,2,FALSE),VLOOKUP($DL150,АшламаДВ_Gomumy,2,FALSE)))</f>
        <v>0</v>
      </c>
      <c r="DN150" s="10">
        <f t="shared" si="151"/>
        <v>0</v>
      </c>
      <c r="DO150" s="9" t="str">
        <f>IF(Исходн.данные.!AN150&gt;0,Исходн.данные.!AN150,Удобрения!$B$37 )</f>
        <v>Хлор.калий</v>
      </c>
      <c r="DP150" s="9">
        <f>IF(Исходн.данные.!AN150&gt;0,VLOOKUP(Исходн.данные.!AN150,АшламаДВ_Irekle,4,FALSE),VLOOKUP(DO150,АшламаДВ_Gomumy,4,FALSE))</f>
        <v>0.6</v>
      </c>
      <c r="DQ150" s="10">
        <f t="shared" si="152"/>
        <v>0</v>
      </c>
      <c r="DR150" s="132" t="str">
        <f>IF(Исходн.данные.!AO150&gt;0,Исходн.данные.!AO150,IF(DH150=0,BS$17,IF(AND($DK150=0,$DJ150&gt;0),EJ150,EN150)))</f>
        <v>Нет</v>
      </c>
      <c r="DS150" s="70" t="str">
        <f>IF($DR150="Нет","Нет",IF(Исходн.данные.!$AO150&gt;0,VLOOKUP($DR150,АшламаДВ_Irekle,2,FALSE),VLOOKUP($DR150,АшламаДВ_Gomumy,2,FALSE)))</f>
        <v>Нет</v>
      </c>
      <c r="DT150" s="70" t="str">
        <f>IF($DR150="Нет","Нет",IF(Исходн.данные.!$AO150&gt;0,VLOOKUP($DR150,АшламаДВ_Irekle,3,FALSE),VLOOKUP($DR150,АшламаДВ_Gomumy,3,FALSE)))</f>
        <v>Нет</v>
      </c>
      <c r="DU150" s="70" t="str">
        <f>IF($DR150="Нет","Нет",IF(Исходн.данные.!$AO150&gt;0,VLOOKUP($DR150,АшламаДВ_Irekle,4,FALSE),VLOOKUP($DR150,АшламаДВ_Gomumy,4,FALSE)))</f>
        <v>Нет</v>
      </c>
      <c r="DV150" s="70"/>
      <c r="DW150" s="70"/>
      <c r="DX150" s="70"/>
      <c r="DY150" s="10">
        <f t="shared" si="174"/>
        <v>0</v>
      </c>
      <c r="DZ150" s="10">
        <f t="shared" si="175"/>
        <v>0</v>
      </c>
      <c r="EA150" s="10">
        <f t="shared" si="176"/>
        <v>0</v>
      </c>
      <c r="EB150" s="10">
        <f t="shared" si="177"/>
        <v>0</v>
      </c>
      <c r="EC150" s="10">
        <f t="shared" si="178"/>
        <v>0</v>
      </c>
      <c r="ED150" s="10">
        <f t="shared" si="179"/>
        <v>0</v>
      </c>
      <c r="EE150" s="10">
        <f t="shared" si="180"/>
        <v>0</v>
      </c>
      <c r="EF150" s="39">
        <f>EB150*Исходн.данные.!AJ150/1000</f>
        <v>0</v>
      </c>
      <c r="EG150" s="9">
        <f t="shared" si="181"/>
        <v>0</v>
      </c>
      <c r="EH150" s="9">
        <f t="shared" si="182"/>
        <v>0</v>
      </c>
      <c r="EI150" s="39" t="e">
        <f t="shared" ref="EI150:EI213" si="206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#DIV/0!</v>
      </c>
      <c r="EJ150" s="9" t="str">
        <f t="shared" si="153"/>
        <v>Азопреципитат</v>
      </c>
      <c r="EK150" s="12">
        <f t="shared" ref="EK150:EK213" si="207">VLOOKUP($EJ150,АшламаДВ_Gomumy,2,FALSE)</f>
        <v>0.26</v>
      </c>
      <c r="EL150" s="12">
        <f t="shared" ref="EL150:EL213" si="208">VLOOKUP($EJ150,АшламаДВ_Gomumy,3,FALSE)</f>
        <v>0.13</v>
      </c>
      <c r="EM150" s="12">
        <f t="shared" ref="EM150:EM213" si="209">VLOOKUP($EJ150,АшламаДВ_Gomumy,4,FALSE)</f>
        <v>0</v>
      </c>
      <c r="EN150" s="12" t="str">
        <f t="shared" si="154"/>
        <v>Нет</v>
      </c>
      <c r="EO150" s="12">
        <f t="shared" ref="EO150:EO213" si="210">IF($EN150="Нет",0,VLOOKUP($EN150,АшламаДВ_Gomumy,2,FALSE))</f>
        <v>0</v>
      </c>
      <c r="EP150" s="12">
        <f t="shared" ref="EP150:EP213" si="211">IF($EN150="Нет",0,VLOOKUP($EN150,АшламаДВ_Gomumy,3,FALSE))</f>
        <v>0</v>
      </c>
      <c r="EQ150" s="12">
        <f t="shared" ref="EQ150:EQ213" si="212">IF($EN150="Нет",0,VLOOKUP($EN150,АшламаДВ_Gomumy,4,FALSE))</f>
        <v>0</v>
      </c>
      <c r="ER150" s="12" t="str">
        <f t="shared" si="183"/>
        <v>Диаммофоска</v>
      </c>
      <c r="ES150" s="12">
        <f t="shared" ref="ES150:ES213" si="213">VLOOKUP(ER150,АшламаДВ_Gomumy,2,FALSE)</f>
        <v>0.1</v>
      </c>
      <c r="ET150" s="12">
        <f t="shared" ref="ET150:ET213" si="214">VLOOKUP(ER150,АшламаДВ_Gomumy,3,FALSE)</f>
        <v>0.26</v>
      </c>
      <c r="EU150" s="12">
        <f t="shared" ref="EU150:EU213" si="215">VLOOKUP(ER150,АшламаДВ_Gomumy,4,FALSE)</f>
        <v>0.26</v>
      </c>
      <c r="EV150" s="12" t="str">
        <f t="shared" si="184"/>
        <v>Аммофос 12:52:00</v>
      </c>
      <c r="EW150" s="12" t="str">
        <f t="shared" si="185"/>
        <v>Кемира Свекловичное-6</v>
      </c>
      <c r="EX150" s="12">
        <f t="shared" ref="EX150:EX213" si="216">VLOOKUP($EW150,АшламаДВ_Gomumy,2,FALSE)</f>
        <v>0.16</v>
      </c>
      <c r="EY150" s="12">
        <f t="shared" ref="EY150:EY213" si="217">VLOOKUP($EW150,АшламаДВ_Gomumy,3,FALSE)</f>
        <v>0.12</v>
      </c>
      <c r="EZ150" s="12">
        <f t="shared" ref="EZ150:EZ213" si="218">VLOOKUP($EW150,АшламаДВ_Gomumy,4,FALSE)</f>
        <v>0.17</v>
      </c>
      <c r="FA150" s="38" t="e">
        <f>IF(AND(OR(FJ150=$FD$1,FM150=$FD$1,FO150=$FD$1,FQ150=$FD$1,FS150=$FD$1),FD150=$FD$1,Исходн.данные.!J150&lt;2,FU150=$FD$1),"Бор,Кобальт",IF(AND(FO150=$FD$1,FH150=$FD$1,Исходн.данные.!J150&lt;2,FU150=$FD$1),"Бор,Кобальт",IF(AND(OR(FJ150=$FD$1,FM150=$FD$1,FQ150=$FD$1),FE150=$FD$1,Исходн.данные.!J150&lt;2,FT150=$FD$1,FU150=$FD$1),"Бор,Медь,Цинк",IF(AND(OR(FJ150=$FD$1,FR150="Да"),FI150="Да",Исходн.данные.!J150&lt;2,FT150="Да",FU150="Да"),"Бор,Цинк,Медь",IF(AND(OR(FM150="Да",FQ150="Да"),FI150="Да",Исходн.данные.!J150&lt;2,FT150="Да",FU150="Да"),"Бор,Цинк",IF(AND(FN150="Да",OR(FD150="Да",FE150="Да")),"Бор",FB150))))))</f>
        <v>#N/A</v>
      </c>
      <c r="FB150" s="134" t="e">
        <f>IF(AND(OR(FD150="Да",FE150="Да",FF150="Да",FG150="Да",FH150="Да"),FO150="Да"),"Бор",IF(AND(FP150="Да",OR(FD150="Да",FE150="Да",FI150="Да")),"Бор",IF(AND(FS150="Да",FE150="Да"),"Бор,Медь",IF(AND(OR(FJ150="Да",FK150="Да",FL150="Да"),FE150="Да",Исходн.данные.!I150&lt;5,FT150="Да",FU150="Да"),"Молибден,Цинк",IF(AND(FM150="Да",OR(FE150="Да",FF150="Да",FG150="Да",FH150="Да",FI150="Да")),"Молибден,Цинк",IF(AND(OR(FJ150="Да",FK150="Да",FL150="Да",FM150="Да",FQ150="Да"),OR(FE150="Да",FF150="Да"),FT150="Да",FU150="Да",Исходн.данные.!I150&gt;5.5),"Медь,Цинк",FC150))))))</f>
        <v>#N/A</v>
      </c>
      <c r="FC150" s="23" t="e">
        <f t="shared" si="186"/>
        <v>#N/A</v>
      </c>
      <c r="FD150" s="38" t="str">
        <f>IF(OR(Исходн.данные.!F150=$CC$1,Исходн.данные.!F150=$CC$2,Исходн.данные.!F150=$CC$3,Исходн.данные.!F150=$CC$4),"Да","Нет")</f>
        <v>Нет</v>
      </c>
      <c r="FE150" s="38" t="str">
        <f>IF(Исходн.данные.!F150=$CC$5,"Да","Нет")</f>
        <v>Нет</v>
      </c>
      <c r="FF150" s="38" t="str">
        <f>IF(OR(Исходн.данные.!F150=$CC$6,Исходн.данные.!F150=$CC$7),"Да","Нет")</f>
        <v>Нет</v>
      </c>
      <c r="FG150" s="38" t="str">
        <f>IF(OR(Исходн.данные.!F150=$CC$8,Исходн.данные.!F150=$CC$9),"Да","Нет")</f>
        <v>Нет</v>
      </c>
      <c r="FH150" s="38" t="str">
        <f>IF(Исходн.данные.!F150=$CC$10,"Да","Нет")</f>
        <v>Нет</v>
      </c>
      <c r="FI150" s="38" t="str">
        <f>IF(OR(Исходн.данные.!F150=$CC$11,Исходн.данные.!F150=$CC$12),"Да","Нет")</f>
        <v>Нет</v>
      </c>
      <c r="FJ150" s="38" t="str">
        <f>IF(OR(Исходн.данные.!AH150=$BS$1,Исходн.данные.!AH150=$BQ$11,Исходн.данные.!AH150=$BQ$12),"Да","Нет")</f>
        <v>Нет</v>
      </c>
      <c r="FK150" s="38" t="str">
        <f>IF(OR(Исходн.данные.!AH150=$BS$2,Исходн.данные.!AH150=$BS$4),"Да","Нет")</f>
        <v>Нет</v>
      </c>
      <c r="FL150" s="38" t="str">
        <f>IF(OR(Исходн.данные.!AH150=$BS$3,Исходн.данные.!AH150=$BS$5),"Да","Нет")</f>
        <v>Нет</v>
      </c>
      <c r="FM150" s="38" t="str">
        <f>IF(OR(Исходн.данные.!AH150=$BS$9,Исходн.данные.!AH150=$BS$10,Исходн.данные.!AH150=$BS$11,Исходн.данные.!AH150=$BS$12),"Да","Нет")</f>
        <v>Нет</v>
      </c>
      <c r="FN150" s="38" t="str">
        <f>IF(OR(Исходн.данные.!AH150=$BS$6,Исходн.данные.!AH150=$BP$3),"Да","Нет")</f>
        <v>Нет</v>
      </c>
      <c r="FO150" s="38" t="str">
        <f>IF(Исходн.данные.!AH150=$BQ$9,"Да","Нет")</f>
        <v>Нет</v>
      </c>
      <c r="FP150" s="38" t="str">
        <f>IF(OR(Исходн.данные.!AH150=$BS$8,Исходн.данные.!AH150=$BT$8),"Да","Нет")</f>
        <v>Нет</v>
      </c>
      <c r="FQ150" s="38" t="str">
        <f>IF(OR(Исходн.данные.!AH150=$BQ$7,Исходн.данные.!AH150=$BQ$8),"Да","Нет")</f>
        <v>Нет</v>
      </c>
      <c r="FR150" s="38" t="str">
        <f>IF(Исходн.данные.!AI150=$BU$9,"Да","Нет")</f>
        <v>Нет</v>
      </c>
      <c r="FS150" s="38" t="str">
        <f>IF(OR(Исходн.данные.!AH150=$BP$1,Исходн.данные.!AH150=$BP$2),"Да","Нет")</f>
        <v>Нет</v>
      </c>
      <c r="FT150" s="38" t="e">
        <f>IF((Исходн.данные.!K150*GO150*GS150*GW150+BL150*0.6+Исходн.данные.!Q150*4.5*0.275)&gt;90,"Да","Нет")</f>
        <v>#N/A</v>
      </c>
      <c r="FU150" s="38" t="e">
        <f>IF((Исходн.данные.!M150*GS150*GZ150+BM150*0.225)&gt;35,"Да","Нет")</f>
        <v>#N/A</v>
      </c>
      <c r="FV150" s="38" t="str">
        <f>IF(Исходн.данные.!O150&gt;175,"Да","Нет")</f>
        <v>Нет</v>
      </c>
      <c r="FW150" s="39" t="str">
        <f>IF(Исходн.данные.!I150&gt;5.5,"Да","Нет")</f>
        <v>Нет</v>
      </c>
      <c r="FX150" s="39" t="str">
        <f>IF(Исходн.данные.!J150&lt;2,"Да","Нет")</f>
        <v>Да</v>
      </c>
      <c r="FY150" s="39" t="e">
        <f>IF(HF150=$FY$16,0,Исходн.данные.!K150*GO150*GS150*GW150/HF150)</f>
        <v>#N/A</v>
      </c>
      <c r="FZ150" s="39" t="e">
        <f>Исходн.данные.!M150*GS150*GZ150/HG150</f>
        <v>#N/A</v>
      </c>
      <c r="GA150" s="39" t="e">
        <f>IF(K_Wyn=$FY$16,0,IF(Исходн.данные.!N150=Исходн.данные.!$L$10,Исходн.данные.!O150/1.1*GS150*HC150/HH150,IF(Исходн.данные.!N150=Исходн.данные.!$L$12,Исходн.данные.!O150/1.5*GS150*HC150/HH150,Исходн.данные.!O150*GS150*HC150/HH150)))</f>
        <v>#N/A</v>
      </c>
      <c r="GB150" s="39" t="e">
        <f>IF(HF150=$FY$16,0,((Исходн.данные.!Q150*N_Org+Исходн.данные.!R150*N_Sider+Исходн.данные.!S150*N_Soloma)*AO150+Расчет!BC150*VLOOKUP(Исходн.данные.!T150,Справ!$A$3:$O$57,15)*AO150+BB150*VLOOKUP(Исходн.данные.!T150,Справ!$A$3:$O$57,15)*AL150+(Исходн.данные.!V150*N_Rizotorf+Исходн.данные.!W150*N_Rizoagr))/HF150)</f>
        <v>#N/A</v>
      </c>
      <c r="GC150" s="39" t="e">
        <f>IF(HG150=$FY$16,0,((Исходн.данные.!Q150*Р_Org+Исходн.данные.!R150*P_Sider+Исходн.данные.!S150*P_Soloma)*AP150+Расчет!BC150*VLOOKUP(Исходн.данные.!T150,Справ!$A$3:$P$57,16)*AP150+BB150*VLOOKUP(Исходн.данные.!T150,Справ!$A$3:$P$57,16)*AM150)/HG150)</f>
        <v>#N/A</v>
      </c>
      <c r="GD150" s="39" t="e">
        <f>IF(HH150=$FY$16,0,((Исходн.данные.!Q150*К_Org+Исходн.данные.!R150*K_Sider+Исходн.данные.!S150*K_Soloma)*AQ150+Расчет!BC150*VLOOKUP(Исходн.данные.!T150,Справ!$A$3:$Q$57,17)*AQ150+BB150*VLOOKUP(Исходн.данные.!T150,Справ!$A$3:$Q$57,17)*AN150)/HH150)</f>
        <v>#N/A</v>
      </c>
      <c r="GE150" s="39" t="e">
        <f>IF(HF150=$FY$16,0,(Исходн.данные.!X150*AR150+Исходн.данные.!AA150*N_Org*AL150+Исходн.данные.!AB150*N_Sider*AL150+Исходн.данные.!AC150*N_Soloma*AL150)/HF150)</f>
        <v>#N/A</v>
      </c>
      <c r="GF150" s="39" t="e">
        <f>IF(HG150=$FY$16,0,(Исходн.данные.!Y150*AS150+Исходн.данные.!AA150*Р_Org*AM150+Исходн.данные.!AB150*P_Sider*AM150+Исходн.данные.!AC150*P_Soloma*AM150)/HG150)</f>
        <v>#N/A</v>
      </c>
      <c r="GG150" s="39" t="e">
        <f>IF(HH150=$FY$16,0,(Исходн.данные.!Z150*AT150+Исходн.данные.!AA150*К_Org*AN150+Исходн.данные.!AB150*K_Sider*AN150+Исходн.данные.!AC150*K_Soloma*AN150)/HH150)</f>
        <v>#N/A</v>
      </c>
      <c r="GH150" s="39" t="e">
        <f>Исходн.данные.!AD150*AU150/HF150</f>
        <v>#N/A</v>
      </c>
      <c r="GI150" s="39" t="e">
        <f>Исходн.данные.!AE150*AV150/HG150</f>
        <v>#N/A</v>
      </c>
      <c r="GJ150" s="39" t="e">
        <f>Исходн.данные.!AF150*AW150/HH150</f>
        <v>#N/A</v>
      </c>
      <c r="GK150" s="55">
        <f>Исходн.данные.!AK150</f>
        <v>0</v>
      </c>
      <c r="GL150" s="11" t="e">
        <f t="shared" si="187"/>
        <v>#N/A</v>
      </c>
      <c r="GM150" s="11" t="e">
        <f t="shared" si="188"/>
        <v>#N/A</v>
      </c>
      <c r="GN150" s="11" t="e">
        <f t="shared" si="189"/>
        <v>#N/A</v>
      </c>
      <c r="GO150" s="57">
        <f t="shared" si="190"/>
        <v>19</v>
      </c>
      <c r="GP150" s="55">
        <f>IF(OR(Исходн.данные.!F150=$CE$1,Исходн.данные.!F150=$CE$2,Исходн.данные.!F150=$CE$3,Исходн.данные.!F150=$CE$4,Исходн.данные.!F150=$CE$5),GQ150,GR150)</f>
        <v>19</v>
      </c>
      <c r="GQ150" s="55">
        <f>IF(Исходн.данные.!F150=$CE$1,28,IF(Исходн.данные.!F150=$CE$2,26,IF(Исходн.данные.!F150=$CE$3,24,IF(Исходн.данные.!F150=$CE$4,22,IF(Исходн.данные.!F150=$CE$5,20,GR150)))))</f>
        <v>19</v>
      </c>
      <c r="GR150" s="55">
        <f>IF(Исходн.данные.!F150=$CE$6,18,IF(Исходн.данные.!F150=$CE$7,16,IF(Исходн.данные.!F150=$CE$8,14,IF(Исходн.данные.!F150=$CE$9,13,IF(Исходн.данные.!F150=$CE$10,12,19)))))</f>
        <v>19</v>
      </c>
      <c r="GS150" s="55">
        <f>IF(Исходн.данные.!G150="Пес",0.035*(40+2*Исходн.данные.!H150),IF(Исходн.данные.!G150="Суп",0.0325*(40+2*Исходн.данные.!H150),0.03*(40+2*Исходн.данные.!H150)))</f>
        <v>1.2</v>
      </c>
      <c r="GT150" s="55">
        <f>IF(Исходн.данные.!H150&lt;23,2.6,IF(AND(Исходн.данные.!H150&gt;22,Исходн.данные.!H150&lt;26),3,IF(AND(Исходн.данные.!H150&gt;25,Исходн.данные.!H150&lt;29),3.4,3.6)))</f>
        <v>2.6</v>
      </c>
      <c r="GU150" s="55">
        <f>IF(Исходн.данные.!H150&lt;23,2.8,IF(AND(Исходн.данные.!H150&gt;22,Исходн.данные.!H150&lt;26),3.2,IF(AND(Исходн.данные.!H150&gt;25,Исходн.данные.!H150&lt;29),3.6,3.9)))</f>
        <v>2.8</v>
      </c>
      <c r="GV150" s="55">
        <f>IF(Исходн.данные.!H150&lt;23,3,IF(AND(Исходн.данные.!H150&gt;22,Исходн.данные.!H150&lt;26),3.5,IF(AND(Исходн.данные.!H150&gt;25,Исходн.данные.!H150&lt;29),3.9,4.2)))</f>
        <v>3</v>
      </c>
      <c r="GW150" s="55" t="e">
        <f>IF(Исходн.данные.!P150="Ум",GX150,GY150)</f>
        <v>#N/A</v>
      </c>
      <c r="GX150" s="55" t="e">
        <f>VLOOKUP(Исходн.данные.!AI150,Коэффициенты!$J$7:$L$13,2,FALSE)</f>
        <v>#N/A</v>
      </c>
      <c r="GY150" s="55" t="e">
        <f>VLOOKUP(Исходн.данные.!AI150,Коэффициенты!$J$7:$L$13,3,FALSE)</f>
        <v>#N/A</v>
      </c>
      <c r="GZ150" s="55" t="e">
        <f>(IF(Исходн.данные.!M150&lt;50,0.11*VLOOKUP(Исходн.данные.!AH150,Культуры.Информация,7,FALSE),IF(Исходн.данные.!M150&gt;250,0.05*VLOOKUP(Исходн.данные.!AH150,Культуры.Информация,7,FALSE),VLOOKUP(Исходн.данные.!AH150,Культуры.Информация,5,FALSE)/100*($GX$6+$GY$6*Исходн.данные.!M150))))*Расчет2!AI150</f>
        <v>#N/A</v>
      </c>
      <c r="HA150" s="211"/>
      <c r="HB150" s="211"/>
      <c r="HC150" s="55" t="e">
        <f>(IF(Исходн.данные.!O150&lt;80,0.2*VLOOKUP(Исходн.данные.!AH150,Культуры.Информация,8,FALSE),IF(Исходн.данные.!O150&gt;240,0.09*VLOOKUP(Исходн.данные.!AH150,Культуры.Информация,8,FALSE),VLOOKUP(Исходн.данные.!AH150,Культуры.Информация,6,FALSE)/100*($HB$6+$HC$6*Исходн.данные.!O150))))*Расчет2!AJ150</f>
        <v>#N/A</v>
      </c>
      <c r="HD150" s="55">
        <f>IF(Исходн.данные.!O150&gt;240,0.09,IF(Исходн.данные.!O150&lt;30,0.3,$HE$10+$HD$10*Исходн.данные.!O150))</f>
        <v>0.3</v>
      </c>
      <c r="HE150" s="55">
        <f>IF(Исходн.данные.!O150&gt;240,0.17,IF(Исходн.данные.!O150&lt;30,0.5,$HF$12+$HE$12*Исходн.данные.!O150))</f>
        <v>0.5</v>
      </c>
      <c r="HF150" s="55" t="e">
        <f>VLOOKUP(Исходн.данные.!AH150,Справ!$A$3:$D$58,2,FALSE)</f>
        <v>#N/A</v>
      </c>
      <c r="HG150" s="55" t="e">
        <f>VLOOKUP(Исходн.данные.!AH150,Справ!$A$3:$D$58,3,FALSE)</f>
        <v>#N/A</v>
      </c>
      <c r="HH150" s="55" t="e">
        <f>VLOOKUP(Исходн.данные.!AH150,Справ!$A$3:$D$58,4,FALSE)</f>
        <v>#N/A</v>
      </c>
      <c r="HI150" s="11" t="e">
        <f t="shared" si="191"/>
        <v>#N/A</v>
      </c>
      <c r="HJ150" s="11" t="e">
        <f t="shared" si="192"/>
        <v>#N/A</v>
      </c>
      <c r="HK150" s="11" t="e">
        <f t="shared" si="193"/>
        <v>#N/A</v>
      </c>
      <c r="HL150" s="55">
        <f>IF(OR(Исходн.данные.!G150="Глин",Исходн.данные.!G150="Т_суг"),1.1,IF(Исходн.данные.!G150="Ср_суг",1,1))</f>
        <v>1</v>
      </c>
      <c r="HM150" s="55">
        <f>IF(OR(Исходн.данные.!G150="Глин",Исходн.данные.!G150="Т_суг"),0.9,IF(Исходн.данные.!G150="Ср_суг",1,1.2))</f>
        <v>1.2</v>
      </c>
      <c r="HN150" s="11" t="e">
        <f t="shared" si="194"/>
        <v>#N/A</v>
      </c>
      <c r="HO150" s="11" t="e">
        <f t="shared" si="195"/>
        <v>#N/A</v>
      </c>
      <c r="HP150" s="11" t="e">
        <f t="shared" si="196"/>
        <v>#N/A</v>
      </c>
      <c r="HQ150" t="e">
        <f t="shared" si="197"/>
        <v>#N/A</v>
      </c>
      <c r="HR150" t="e">
        <f t="shared" si="198"/>
        <v>#N/A</v>
      </c>
      <c r="HS150" t="e">
        <f t="shared" si="199"/>
        <v>#N/A</v>
      </c>
      <c r="HT150" t="e">
        <f t="shared" ref="HT150:HT213" si="219">GK150-HN150</f>
        <v>#N/A</v>
      </c>
      <c r="HU150" t="e">
        <f t="shared" ref="HU150:HU213" si="220">GK150-HO150</f>
        <v>#N/A</v>
      </c>
      <c r="HV150" t="e">
        <f t="shared" ref="HV150:HV213" si="221">GK150-HP150</f>
        <v>#N/A</v>
      </c>
      <c r="HW150" t="e">
        <f t="shared" ref="HW150:HW213" si="222">IF(GK150=0,HI150,HT150)</f>
        <v>#N/A</v>
      </c>
      <c r="HX150" t="e">
        <f t="shared" ref="HX150:HX213" si="223">IF(GK150=0,HJ150,HU150)</f>
        <v>#N/A</v>
      </c>
      <c r="HY150" t="e">
        <f t="shared" ref="HY150:HY213" si="224">IF(GK150=0,HK150,HV150)</f>
        <v>#N/A</v>
      </c>
      <c r="HZ150" s="55">
        <f>IF(OR(Исходн.данные.!AI150="Оз_Ч_П",Исходн.данные.!AI150="Оз_З_П",Исходн.данные.!AI150="Яр_зер"),12,30)</f>
        <v>30</v>
      </c>
      <c r="IA150" t="e">
        <f t="shared" si="200"/>
        <v>#N/A</v>
      </c>
      <c r="IB150" t="e">
        <f t="shared" si="201"/>
        <v>#N/A</v>
      </c>
      <c r="IC150" t="e">
        <f t="shared" si="202"/>
        <v>#N/A</v>
      </c>
      <c r="ID150" s="11" t="e">
        <f t="shared" si="203"/>
        <v>#N/A</v>
      </c>
      <c r="IE150" s="11" t="e">
        <f t="shared" si="204"/>
        <v>#N/A</v>
      </c>
      <c r="IF150" s="11" t="e">
        <f t="shared" si="205"/>
        <v>#N/A</v>
      </c>
    </row>
    <row r="151" spans="35:240" x14ac:dyDescent="0.2">
      <c r="AI151">
        <f>IF(Исходн.данные.!I151&gt;6,1,1.85-(0.148*Исходн.данные.!I151))</f>
        <v>1.85</v>
      </c>
      <c r="AJ151">
        <f>IF(Исходн.данные.!I151&gt;6,1,2.434-(0.246*Исходн.данные.!I151))</f>
        <v>2.4340000000000002</v>
      </c>
      <c r="AL151" s="148" t="b">
        <f>IF(Исходн.данные.!$P151="Ум",N_OrgUd_2g_um,IF(Исходн.данные.!$P151="Об",N_OrgUd_2g_ob))</f>
        <v>0</v>
      </c>
      <c r="AM151" s="148" t="b">
        <f>IF(Исходн.данные.!$P151="Ум",P_OrgUd_2g_um,IF(Исходн.данные.!$P151="Об",P_OrgUd_2g_ob))</f>
        <v>0</v>
      </c>
      <c r="AN151" s="148" t="b">
        <f>IF(Исходн.данные.!$P151="Ум",K_OrgUd_2g_um,IF(Исходн.данные.!$P151="Об",K_OrgUd_2g_ob))</f>
        <v>0</v>
      </c>
      <c r="AO151" s="148" t="b">
        <f>IF(Исходн.данные.!$P151="Ум",N_OrgUd_1g_um,IF(Исходн.данные.!$P151="Об",N_OrgUd_1g_ob))</f>
        <v>0</v>
      </c>
      <c r="AP151" s="148" t="b">
        <f>IF(Исходн.данные.!$P151="Ум",P_OrgUd_1g_um,IF(Исходн.данные.!$P151="Об",P_OrgUd_1g_ob))</f>
        <v>0</v>
      </c>
      <c r="AQ151" s="148" t="b">
        <f>IF(Исходн.данные.!$P151="Ум",K_OrgUd_1g_um,IF(Исходн.данные.!$P151="Об",K_OrgUd_1g_ob))</f>
        <v>0</v>
      </c>
      <c r="AR151" t="b">
        <f>IF(Исходн.данные.!$P151="Ум",N_MinUd_2g_um,IF(Исходн.данные.!$P151="Об",N_MinUd_2g_ob))</f>
        <v>0</v>
      </c>
      <c r="AS151" t="b">
        <f>IF(Исходн.данные.!$P151="Ум",P_MinUd_2g_um,IF(Исходн.данные.!$P151="Об",P_MinUd_2g_ob))</f>
        <v>0</v>
      </c>
      <c r="AT151" t="b">
        <f>IF(Исходн.данные.!$P151="Ум",K_MinUd_2g_um,IF(Исходн.данные.!$P151="Об",K_MinUd_2g_ob))</f>
        <v>0</v>
      </c>
      <c r="AU151" t="b">
        <f>IF(Исходн.данные.!$P151="Ум",N_MinUd_1g_um,IF(Исходн.данные.!$P151="Об",N_MinUd_1g_ob))</f>
        <v>0</v>
      </c>
      <c r="AV151" t="b">
        <f>IF(Исходн.данные.!P151="Ум",P_MinUd_1g_um,IF(Исходн.данные.!P151="Об",P_MinUd_1g_ob))</f>
        <v>0</v>
      </c>
      <c r="AW151" t="b">
        <f>IF(Исходн.данные.!P151="Ум",K_MinUd_1g_um,IF(Исходн.данные.!P151="Об",K_MinUd_1g_ob))</f>
        <v>0</v>
      </c>
      <c r="AY151" t="e">
        <f>VLOOKUP(Исходн.данные.!T151,Справ!$A$3:$N$57,12)</f>
        <v>#N/A</v>
      </c>
      <c r="AZ151" t="e">
        <f>VLOOKUP(Исходн.данные.!T151,Справ!$A$3:$N$57,13)</f>
        <v>#N/A</v>
      </c>
      <c r="BA151" t="e">
        <f>VLOOKUP(Исходн.данные.!T151,Справ!$A$3:$N$57,14)</f>
        <v>#N/A</v>
      </c>
      <c r="BB151">
        <f>IF(Исходн.данные.!AH151=0,0,25)</f>
        <v>0</v>
      </c>
      <c r="BC151" s="141">
        <f>IF(Исходн.данные.!AH151=0,0,IF(Исходн.данные.!T151=0,25,BD151))</f>
        <v>0</v>
      </c>
      <c r="BD151" s="168" t="e">
        <f>AY151+AZ151*Исходн.данные.!U151-POWER(BA151,2)*Исходн.данные.!U151</f>
        <v>#N/A</v>
      </c>
      <c r="BE15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1" s="25">
        <f>IF(Исходн.данные.!AH151=0,0,MIN(HN151:HP151))</f>
        <v>0</v>
      </c>
      <c r="BG151" s="9">
        <f>IF(Исходн.данные.!AH151=0,0,IF((HO151+10*0.25/HG151/HL151)&lt;17,17,HO151+10*0.25/HG151/HL151))</f>
        <v>0</v>
      </c>
      <c r="BH151" s="181">
        <f>IF(Исходн.данные.!AH151=0,0,HW151*HF151*HL151/AU151*AI151+Исходн.данные.!S151*10)</f>
        <v>0</v>
      </c>
      <c r="BI151" s="10"/>
      <c r="BJ151" s="182">
        <f>IF(Исходн.данные.!AH151=0,0,IF(HX151*HG151*HL151/AV151&lt;0,0,HX151*HG151*HL151/AV151*AJ151))</f>
        <v>0</v>
      </c>
      <c r="BK151" s="182">
        <f>IF(Исходн.данные.!AH151=0,0,HY151*HH151*HM151/AW151)</f>
        <v>0</v>
      </c>
      <c r="BL151" s="10">
        <f>IF(OR(Исходн.данные.!$AH151=$BP$1,Исходн.данные.!$AH151=$BP$2),0,IF(BH151&lt;0,0,IF(OR(Исходн.данные.!T151=Расчет!$BP$1,Исходн.данные.!T151=Расчет!$BP$2,Исходн.данные.!T151=Расчет!$BT$5,Исходн.данные.!T151=Расчет!$BT$6),BH151*0.5,IF(OR(Исходн.данные.!T151=Расчет!$BS$9,Исходн.данные.!T151=Расчет!$BS$10,Исходн.данные.!T151=Расчет!$BS$11,Исходн.данные.!T151=Расчет!$BS$12,Исходн.данные.!T151=Расчет!$BP$5),BH151*0.8,BH151))))</f>
        <v>0</v>
      </c>
      <c r="BM151" s="10">
        <f>IF(OR(Исходн.данные.!$AH151=$BP$1,Исходн.данные.!$AH151=$BP$2),0,IF(BJ151&lt;0,0,IF(Исходн.данные.!I151&lt;4.5,BJ151*1.2,IF(Исходн.данные.!I151&gt;5.1,BJ151,BJ151*((5.1-Исходн.данные.!I151)*0.333+1)))))</f>
        <v>0</v>
      </c>
      <c r="BN151" s="10">
        <f>IF(OR(Исходн.данные.!$AH151=$BP$1,Исходн.данные.!$AH151=$BP$2),60-Исходн.данные.!AF151,IF(BK151&lt;0,0,IF(Исходн.данные.!I151&lt;4.5,BK151*1.2,IF(Исходн.данные.!I151&gt;5.1,BK151,BK151*((5.1-Исходн.данные.!I151)*0.333+1)))))</f>
        <v>0</v>
      </c>
      <c r="BO151" s="9">
        <f>IF(BL151&lt;0,0,BL151*Исходн.данные.!$AJ151/1000)</f>
        <v>0</v>
      </c>
      <c r="BP151" s="9">
        <f>IF(BM151&lt;0,0,BM151*Исходн.данные.!$AJ151/1000)</f>
        <v>0</v>
      </c>
      <c r="BQ151" s="9">
        <f>IF(BN151&lt;0,0,BN151*Исходн.данные.!$AJ151/1000)</f>
        <v>0</v>
      </c>
      <c r="BR151" s="9">
        <f t="shared" si="155"/>
        <v>0</v>
      </c>
      <c r="BS151" s="10" t="str">
        <f t="shared" si="156"/>
        <v>Аммофос 12:52:00</v>
      </c>
      <c r="BT151" s="10" t="str">
        <f t="shared" si="157"/>
        <v>Аммофос 12:52:00</v>
      </c>
      <c r="BU151" s="10" t="str">
        <f t="shared" si="158"/>
        <v>Диаммофоска</v>
      </c>
      <c r="BV151" s="10">
        <f t="shared" si="159"/>
        <v>0</v>
      </c>
      <c r="BW151" s="10"/>
      <c r="BX151" s="10"/>
      <c r="BY151" s="9">
        <f>IF(BL151&lt;0,0,IF(OR(Исходн.данные.!AI151=Расчет!$BU$6,Исходн.данные.!AI151=Расчет!$BU$7),Расчет!BV151,IF(Исходн.данные.!$AG151=$BV$11,BL151,IF(OR(Исходн.данные.!$AH151=$BQ$7,Исходн.данные.!$AH151=$BQ$8),CB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0,IF(Исходн.данные.!$AI151=$BU$11,"Нет",IF(BL151&gt;30,30,BL151)))))))</f>
        <v>0</v>
      </c>
      <c r="BZ151" s="9">
        <f>IF(AND(Исходн.данные.!$AG151=$BV$11,BM151&lt;10),10,IF(Исходн.данные.!$AG151=$BV$11,BM151,IF(OR(Исходн.данные.!$AH151=$BQ$7,Исходн.данные.!$AH151=$BQ$8),CC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10,IF(Исходн.данные.!$AI151=$BU$11,"Нет",IF(BM151&gt;60,60,IF(BM151&lt;10,10,BM151)))))))</f>
        <v>10</v>
      </c>
      <c r="CA151" s="39">
        <f>IF(BN151&lt;0,0,IF(Исходн.данные.!$AG151=$BV$11,BN151,IF(OR(Исходн.данные.!$AH151=$BQ$7,Исходн.данные.!$AH151=$BQ$8),CD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0,IF(Исходн.данные.!$AI151=$BU$11,"Нет",IF(BN151&gt;30,30,BN151))))))</f>
        <v>0</v>
      </c>
      <c r="CB151" s="9">
        <f t="shared" si="160"/>
        <v>0</v>
      </c>
      <c r="CC151" s="9">
        <f t="shared" si="161"/>
        <v>0</v>
      </c>
      <c r="CD151" s="9">
        <f t="shared" si="162"/>
        <v>0</v>
      </c>
      <c r="CE151" s="12">
        <f t="shared" si="163"/>
        <v>10</v>
      </c>
      <c r="CF151" s="9">
        <f t="shared" si="164"/>
        <v>0</v>
      </c>
      <c r="CG151" s="9" t="s">
        <v>231</v>
      </c>
      <c r="CH151" s="132" t="str">
        <f>IF(Исходн.данные.!AP151=Расчет!$CI$16,"Нет",IF(Исходн.данные.!AL151&gt;0,Исходн.данные.!AL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BH$4,IF(OR(Исходн.данные.!AI151=Исходн.данные.!$AI$6,Исходн.данные.!AI151=Исходн.данные.!$AI$7),Расчет!BS151,IF(AND($CF151=0,$CE151&gt;0),EV151,ER151)))))</f>
        <v>Аммофос 12:52:00</v>
      </c>
      <c r="CI151" s="274">
        <f>IF(Расчет!$CH151="Нет","Нет",IF(Исходн.данные.!$AL151&gt;0,VLOOKUP(Расчет!$CH151,АшламаДВ_Irekle,2,FALSE),VLOOKUP(Расчет!$CH151,АшламаДВ_Gomumy,2,FALSE)))</f>
        <v>0.12</v>
      </c>
      <c r="CJ151" s="274">
        <f>IF(Расчет!$CH151="Нет","Нет",IF(Исходн.данные.!$AL151&gt;0,VLOOKUP(Расчет!$CH151,АшламаДВ_Irekle,3,FALSE),VLOOKUP(Расчет!$CH151,АшламаДВ_Gomumy,3,FALSE)))</f>
        <v>0.52</v>
      </c>
      <c r="CK151" s="274">
        <f>IF(Расчет!$CH151="Нет","Нет",IF(Исходн.данные.!$AL151&gt;0,VLOOKUP(Расчет!$CH151,АшламаДВ_Irekle,4,FALSE),VLOOKUP(Расчет!$CH151,АшламаДВ_Gomumy,4,FALSE)))</f>
        <v>0</v>
      </c>
      <c r="CL151" s="70"/>
      <c r="CM151" s="70"/>
      <c r="CN151" s="70"/>
      <c r="CO151" s="70"/>
      <c r="CP151" s="70"/>
      <c r="CQ151" s="70"/>
      <c r="CR151" s="10">
        <f t="shared" si="165"/>
        <v>0</v>
      </c>
      <c r="CS151" s="10">
        <f t="shared" si="166"/>
        <v>19.23076923076923</v>
      </c>
      <c r="CT151" s="10">
        <f t="shared" si="167"/>
        <v>0</v>
      </c>
      <c r="CU151" s="39">
        <f>IF($CH151="Нет",0,IF(CI151=0,30/MIN(CJ151:CK151),IF(Исходн.данные.!$AG151=$BV$11,CR151,IF(OR(Исходн.данные.!$AH151=$BQ$7,Исходн.данные.!$AH151=$BQ$8),90/CI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0,IF(Исходн.данные.!$AI151=$BU$11,"Нет",30/CI151))))))</f>
        <v>250</v>
      </c>
      <c r="CV151" s="39">
        <f>IF($CH151="Нет",0,IF(Исходн.данные.!AH151=0,0,IF(CJ151=0,60/MIN(CI151,CK151),IF(Исходн.данные.!$AG151=$BV$11,CS151,IF(OR(Исходн.данные.!$AH151=$BQ$7,Исходн.данные.!$AH151=$BQ$8),90/CJ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10/CJ151,IF(Исходн.данные.!$AI151=$BU$11,"Нет",60/CJ151)))))))</f>
        <v>0</v>
      </c>
      <c r="CW151" s="39">
        <f>IF($CH151="Нет",0,IF(Исходн.данные.!AH151=0,0,IF(CK151=0,30/MIN(CI151:CJ151),IF(Исходн.данные.!$AG151=$BV$11,CT151,IF(OR(Исходн.данные.!$AH151=$BQ$7,Исходн.данные.!$AH151=$BQ$8),90/CK151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0,IF(Исходн.данные.!$AI151=$BU$11,"Нет",30/CK151)))))))</f>
        <v>0</v>
      </c>
      <c r="CX151" s="133">
        <f>IF(Исходн.данные.!$AG151=$BV$11,MAX(CU151:CW151),IF(OR(Исходн.данные.!$AH151=$BS$8,Исходн.данные.!$AH151=$BQ$9,Исходн.данные.!$AH151=$BQ$10,Исходн.данные.!$AH151=$BQ$11,Исходн.данные.!$AH151=$BQ$12,Исходн.данные.!$AH151=$BP$3,Исходн.данные.!$AH151=$BT$8,$FM151="Да"),CV151,MIN(CU151:CW151)))</f>
        <v>0</v>
      </c>
      <c r="CY151" s="133">
        <f>IF(Исходн.данные.!AH151=0,0,IF(CR151&gt;$CX151,$CX151,CR151))</f>
        <v>0</v>
      </c>
      <c r="CZ151" s="133">
        <f>IF(Исходн.данные.!AH151=0,0,IF(CS151&gt;$CX151,$CX151,CS151))</f>
        <v>0</v>
      </c>
      <c r="DA151" s="133">
        <f>IF(Исходн.данные.!AH151=0,0,IF(CT151&gt;$CX151,$CX151,CT151))</f>
        <v>0</v>
      </c>
      <c r="DB151" s="10">
        <f t="shared" si="168"/>
        <v>0</v>
      </c>
      <c r="DC151" s="39">
        <f>DB151*Исходн.данные.!AJ151/1000</f>
        <v>0</v>
      </c>
      <c r="DD151" s="71">
        <f t="shared" si="169"/>
        <v>0</v>
      </c>
      <c r="DE151" s="9">
        <f t="shared" si="170"/>
        <v>0</v>
      </c>
      <c r="DF151" s="9">
        <f t="shared" si="171"/>
        <v>0</v>
      </c>
      <c r="DG151" s="39">
        <f>IF(BL151&lt;0,0,IF($CH151="Нет",BL151,IF(OR(Исходн.данные.!$AH151=$BP$1,Исходн.данные.!$AH151=$BP$2),0,IF(Исходн.данные.!AI151=$BU$11,BL151,IF(BL151-DD151&lt;0,0,BL151-DD151)))))</f>
        <v>0</v>
      </c>
      <c r="DH151" s="39">
        <f>IF(BM151&lt;0,0,IF($CH151="Нет",BM151,IF(OR(Исходн.данные.!$AH151=$BP$1,Исходн.данные.!$AH151=$BP$2),0,IF(Исходн.данные.!AJ151=$BU$11,BM151,IF(BM151-DE151&lt;0,0,BM151-DE151)))))</f>
        <v>0</v>
      </c>
      <c r="DI151" s="39">
        <f>IF(BN151&lt;0,0,IF($CH151="Нет",BN151,IF(OR(Исходн.данные.!$AH151=$BP$1,Исходн.данные.!$AH151=$BP$2),0,IF(Исходн.данные.!AK151=$BU$11,BN151,IF(BN151-DF151&lt;0,0,BN151-DF151)))))</f>
        <v>0</v>
      </c>
      <c r="DJ151" s="12">
        <f t="shared" si="172"/>
        <v>0</v>
      </c>
      <c r="DK151" s="9">
        <f t="shared" si="173"/>
        <v>0</v>
      </c>
      <c r="DL151" s="39">
        <f>IF(Исходн.данные.!AM151&gt;0,Исходн.данные.!AM151,IF(EG151&gt;0,$BH$10,0))</f>
        <v>0</v>
      </c>
      <c r="DM151" s="186">
        <f>IF($DL151=0,0,IF(Исходн.данные.!AM151&gt;0,VLOOKUP($DL151,АшламаДВ_Irekle,2,FALSE),VLOOKUP($DL151,АшламаДВ_Gomumy,2,FALSE)))</f>
        <v>0</v>
      </c>
      <c r="DN151" s="10">
        <f t="shared" ref="DN151:DN214" si="225">IF(DL151=0,0,EG151/DM151)</f>
        <v>0</v>
      </c>
      <c r="DO151" s="9" t="str">
        <f>IF(Исходн.данные.!AN151&gt;0,Исходн.данные.!AN151,Удобрения!$B$37 )</f>
        <v>Хлор.калий</v>
      </c>
      <c r="DP151" s="9">
        <f>IF(Исходн.данные.!AN151&gt;0,VLOOKUP(Исходн.данные.!AN151,АшламаДВ_Irekle,4,FALSE),VLOOKUP(DO151,АшламаДВ_Gomumy,4,FALSE))</f>
        <v>0.6</v>
      </c>
      <c r="DQ151" s="10">
        <f t="shared" ref="DQ151:DQ214" si="226">IF(OR(EH151=0,EH151&lt;0),0,EH151/DP151)</f>
        <v>0</v>
      </c>
      <c r="DR151" s="132" t="str">
        <f>IF(Исходн.данные.!AO151&gt;0,Исходн.данные.!AO151,IF(DH151=0,BS$17,IF(AND($DK151=0,$DJ151&gt;0),EJ151,EN151)))</f>
        <v>Нет</v>
      </c>
      <c r="DS151" s="70" t="str">
        <f>IF($DR151="Нет","Нет",IF(Исходн.данные.!$AO151&gt;0,VLOOKUP($DR151,АшламаДВ_Irekle,2,FALSE),VLOOKUP($DR151,АшламаДВ_Gomumy,2,FALSE)))</f>
        <v>Нет</v>
      </c>
      <c r="DT151" s="70" t="str">
        <f>IF($DR151="Нет","Нет",IF(Исходн.данные.!$AO151&gt;0,VLOOKUP($DR151,АшламаДВ_Irekle,3,FALSE),VLOOKUP($DR151,АшламаДВ_Gomumy,3,FALSE)))</f>
        <v>Нет</v>
      </c>
      <c r="DU151" s="70" t="str">
        <f>IF($DR151="Нет","Нет",IF(Исходн.данные.!$AO151&gt;0,VLOOKUP($DR151,АшламаДВ_Irekle,4,FALSE),VLOOKUP($DR151,АшламаДВ_Gomumy,4,FALSE)))</f>
        <v>Нет</v>
      </c>
      <c r="DV151" s="70"/>
      <c r="DW151" s="70"/>
      <c r="DX151" s="70"/>
      <c r="DY151" s="10">
        <f t="shared" si="174"/>
        <v>0</v>
      </c>
      <c r="DZ151" s="10">
        <f t="shared" si="175"/>
        <v>0</v>
      </c>
      <c r="EA151" s="10">
        <f t="shared" si="176"/>
        <v>0</v>
      </c>
      <c r="EB151" s="10">
        <f t="shared" si="177"/>
        <v>0</v>
      </c>
      <c r="EC151" s="10">
        <f t="shared" si="178"/>
        <v>0</v>
      </c>
      <c r="ED151" s="10">
        <f t="shared" si="179"/>
        <v>0</v>
      </c>
      <c r="EE151" s="10">
        <f t="shared" si="180"/>
        <v>0</v>
      </c>
      <c r="EF151" s="39">
        <f>EB151*Исходн.данные.!AJ151/1000</f>
        <v>0</v>
      </c>
      <c r="EG151" s="9">
        <f t="shared" si="181"/>
        <v>0</v>
      </c>
      <c r="EH151" s="9">
        <f t="shared" si="182"/>
        <v>0</v>
      </c>
      <c r="EI151" s="39" t="e">
        <f t="shared" si="206"/>
        <v>#DIV/0!</v>
      </c>
      <c r="EJ151" s="9" t="str">
        <f t="shared" ref="EJ151:EJ214" si="227">IF($DJ151&gt;2.6,BH$4,IF($DJ151&gt;0.9,BH$3,IF($DJ151&gt;0.5,BH$2,BH$1)))</f>
        <v>Азопреципитат</v>
      </c>
      <c r="EK151" s="12">
        <f t="shared" si="207"/>
        <v>0.26</v>
      </c>
      <c r="EL151" s="12">
        <f t="shared" si="208"/>
        <v>0.13</v>
      </c>
      <c r="EM151" s="12">
        <f t="shared" si="209"/>
        <v>0</v>
      </c>
      <c r="EN151" s="12" t="str">
        <f t="shared" ref="EN151:EN214" si="228">IF(DH151=0,"Нет",IF($DK151&gt;1.4,BS$14,IF($DJ151&gt;2.2,BH$9,IF($DJ151&gt;1.5,BH$8,IF($DJ151&gt;1,BH$7,IF($DJ151&gt;0.5,BH$6,BH$5))))))</f>
        <v>Нет</v>
      </c>
      <c r="EO151" s="12">
        <f t="shared" si="210"/>
        <v>0</v>
      </c>
      <c r="EP151" s="12">
        <f t="shared" si="211"/>
        <v>0</v>
      </c>
      <c r="EQ151" s="12">
        <f t="shared" si="212"/>
        <v>0</v>
      </c>
      <c r="ER151" s="12" t="str">
        <f t="shared" si="183"/>
        <v>Диаммофоска</v>
      </c>
      <c r="ES151" s="12">
        <f t="shared" si="213"/>
        <v>0.1</v>
      </c>
      <c r="ET151" s="12">
        <f t="shared" si="214"/>
        <v>0.26</v>
      </c>
      <c r="EU151" s="12">
        <f t="shared" si="215"/>
        <v>0.26</v>
      </c>
      <c r="EV151" s="12" t="str">
        <f t="shared" si="184"/>
        <v>Аммофос 12:52:00</v>
      </c>
      <c r="EW151" s="12" t="str">
        <f t="shared" si="185"/>
        <v>Кемира Свекловичное-6</v>
      </c>
      <c r="EX151" s="12">
        <f t="shared" si="216"/>
        <v>0.16</v>
      </c>
      <c r="EY151" s="12">
        <f t="shared" si="217"/>
        <v>0.12</v>
      </c>
      <c r="EZ151" s="12">
        <f t="shared" si="218"/>
        <v>0.17</v>
      </c>
      <c r="FA151" s="38" t="e">
        <f>IF(AND(OR(FJ151=$FD$1,FM151=$FD$1,FO151=$FD$1,FQ151=$FD$1,FS151=$FD$1),FD151=$FD$1,Исходн.данные.!J151&lt;2,FU151=$FD$1),"Бор,Кобальт",IF(AND(FO151=$FD$1,FH151=$FD$1,Исходн.данные.!J151&lt;2,FU151=$FD$1),"Бор,Кобальт",IF(AND(OR(FJ151=$FD$1,FM151=$FD$1,FQ151=$FD$1),FE151=$FD$1,Исходн.данные.!J151&lt;2,FT151=$FD$1,FU151=$FD$1),"Бор,Медь,Цинк",IF(AND(OR(FJ151=$FD$1,FR151="Да"),FI151="Да",Исходн.данные.!J151&lt;2,FT151="Да",FU151="Да"),"Бор,Цинк,Медь",IF(AND(OR(FM151="Да",FQ151="Да"),FI151="Да",Исходн.данные.!J151&lt;2,FT151="Да",FU151="Да"),"Бор,Цинк",IF(AND(FN151="Да",OR(FD151="Да",FE151="Да")),"Бор",FB151))))))</f>
        <v>#N/A</v>
      </c>
      <c r="FB151" s="134" t="e">
        <f>IF(AND(OR(FD151="Да",FE151="Да",FF151="Да",FG151="Да",FH151="Да"),FO151="Да"),"Бор",IF(AND(FP151="Да",OR(FD151="Да",FE151="Да",FI151="Да")),"Бор",IF(AND(FS151="Да",FE151="Да"),"Бор,Медь",IF(AND(OR(FJ151="Да",FK151="Да",FL151="Да"),FE151="Да",Исходн.данные.!I151&lt;5,FT151="Да",FU151="Да"),"Молибден,Цинк",IF(AND(FM151="Да",OR(FE151="Да",FF151="Да",FG151="Да",FH151="Да",FI151="Да")),"Молибден,Цинк",IF(AND(OR(FJ151="Да",FK151="Да",FL151="Да",FM151="Да",FQ151="Да"),OR(FE151="Да",FF151="Да"),FT151="Да",FU151="Да",Исходн.данные.!I151&gt;5.5),"Медь,Цинк",FC151))))))</f>
        <v>#N/A</v>
      </c>
      <c r="FC151" s="23" t="e">
        <f t="shared" si="186"/>
        <v>#N/A</v>
      </c>
      <c r="FD151" s="38" t="str">
        <f>IF(OR(Исходн.данные.!F151=$CC$1,Исходн.данные.!F151=$CC$2,Исходн.данные.!F151=$CC$3,Исходн.данные.!F151=$CC$4),"Да","Нет")</f>
        <v>Нет</v>
      </c>
      <c r="FE151" s="38" t="str">
        <f>IF(Исходн.данные.!F151=$CC$5,"Да","Нет")</f>
        <v>Нет</v>
      </c>
      <c r="FF151" s="38" t="str">
        <f>IF(OR(Исходн.данные.!F151=$CC$6,Исходн.данные.!F151=$CC$7),"Да","Нет")</f>
        <v>Нет</v>
      </c>
      <c r="FG151" s="38" t="str">
        <f>IF(OR(Исходн.данные.!F151=$CC$8,Исходн.данные.!F151=$CC$9),"Да","Нет")</f>
        <v>Нет</v>
      </c>
      <c r="FH151" s="38" t="str">
        <f>IF(Исходн.данные.!F151=$CC$10,"Да","Нет")</f>
        <v>Нет</v>
      </c>
      <c r="FI151" s="38" t="str">
        <f>IF(OR(Исходн.данные.!F151=$CC$11,Исходн.данные.!F151=$CC$12),"Да","Нет")</f>
        <v>Нет</v>
      </c>
      <c r="FJ151" s="38" t="str">
        <f>IF(OR(Исходн.данные.!AH151=$BS$1,Исходн.данные.!AH151=$BQ$11,Исходн.данные.!AH151=$BQ$12),"Да","Нет")</f>
        <v>Нет</v>
      </c>
      <c r="FK151" s="38" t="str">
        <f>IF(OR(Исходн.данные.!AH151=$BS$2,Исходн.данные.!AH151=$BS$4),"Да","Нет")</f>
        <v>Нет</v>
      </c>
      <c r="FL151" s="38" t="str">
        <f>IF(OR(Исходн.данные.!AH151=$BS$3,Исходн.данные.!AH151=$BS$5),"Да","Нет")</f>
        <v>Нет</v>
      </c>
      <c r="FM151" s="38" t="str">
        <f>IF(OR(Исходн.данные.!AH151=$BS$9,Исходн.данные.!AH151=$BS$10,Исходн.данные.!AH151=$BS$11,Исходн.данные.!AH151=$BS$12),"Да","Нет")</f>
        <v>Нет</v>
      </c>
      <c r="FN151" s="38" t="str">
        <f>IF(OR(Исходн.данные.!AH151=$BS$6,Исходн.данные.!AH151=$BP$3),"Да","Нет")</f>
        <v>Нет</v>
      </c>
      <c r="FO151" s="38" t="str">
        <f>IF(Исходн.данные.!AH151=$BQ$9,"Да","Нет")</f>
        <v>Нет</v>
      </c>
      <c r="FP151" s="38" t="str">
        <f>IF(OR(Исходн.данные.!AH151=$BS$8,Исходн.данные.!AH151=$BT$8),"Да","Нет")</f>
        <v>Нет</v>
      </c>
      <c r="FQ151" s="38" t="str">
        <f>IF(OR(Исходн.данные.!AH151=$BQ$7,Исходн.данные.!AH151=$BQ$8),"Да","Нет")</f>
        <v>Нет</v>
      </c>
      <c r="FR151" s="38" t="str">
        <f>IF(Исходн.данные.!AI151=$BU$9,"Да","Нет")</f>
        <v>Нет</v>
      </c>
      <c r="FS151" s="38" t="str">
        <f>IF(OR(Исходн.данные.!AH151=$BP$1,Исходн.данные.!AH151=$BP$2),"Да","Нет")</f>
        <v>Нет</v>
      </c>
      <c r="FT151" s="38" t="e">
        <f>IF((Исходн.данные.!K151*GO151*GS151*GW151+BL151*0.6+Исходн.данные.!Q151*4.5*0.275)&gt;90,"Да","Нет")</f>
        <v>#N/A</v>
      </c>
      <c r="FU151" s="38" t="e">
        <f>IF((Исходн.данные.!M151*GS151*GZ151+BM151*0.225)&gt;35,"Да","Нет")</f>
        <v>#N/A</v>
      </c>
      <c r="FV151" s="38" t="str">
        <f>IF(Исходн.данные.!O151&gt;175,"Да","Нет")</f>
        <v>Нет</v>
      </c>
      <c r="FW151" s="39" t="str">
        <f>IF(Исходн.данные.!I151&gt;5.5,"Да","Нет")</f>
        <v>Нет</v>
      </c>
      <c r="FX151" s="39" t="str">
        <f>IF(Исходн.данные.!J151&lt;2,"Да","Нет")</f>
        <v>Да</v>
      </c>
      <c r="FY151" s="39" t="e">
        <f>IF(HF151=$FY$16,0,Исходн.данные.!K151*GO151*GS151*GW151/HF151)</f>
        <v>#N/A</v>
      </c>
      <c r="FZ151" s="39" t="e">
        <f>Исходн.данные.!M151*GS151*GZ151/HG151</f>
        <v>#N/A</v>
      </c>
      <c r="GA151" s="39" t="e">
        <f>IF(K_Wyn=$FY$16,0,IF(Исходн.данные.!N151=Исходн.данные.!$L$10,Исходн.данные.!O151/1.1*GS151*HC151/HH151,IF(Исходн.данные.!N151=Исходн.данные.!$L$12,Исходн.данные.!O151/1.5*GS151*HC151/HH151,Исходн.данные.!O151*GS151*HC151/HH151)))</f>
        <v>#N/A</v>
      </c>
      <c r="GB151" s="39" t="e">
        <f>IF(HF151=$FY$16,0,((Исходн.данные.!Q151*N_Org+Исходн.данные.!R151*N_Sider+Исходн.данные.!S151*N_Soloma)*AO151+Расчет!BC151*VLOOKUP(Исходн.данные.!T151,Справ!$A$3:$O$57,15)*AO151+BB151*VLOOKUP(Исходн.данные.!T151,Справ!$A$3:$O$57,15)*AL151+(Исходн.данные.!V151*N_Rizotorf+Исходн.данные.!W151*N_Rizoagr))/HF151)</f>
        <v>#N/A</v>
      </c>
      <c r="GC151" s="39" t="e">
        <f>IF(HG151=$FY$16,0,((Исходн.данные.!Q151*Р_Org+Исходн.данные.!R151*P_Sider+Исходн.данные.!S151*P_Soloma)*AP151+Расчет!BC151*VLOOKUP(Исходн.данные.!T151,Справ!$A$3:$P$57,16)*AP151+BB151*VLOOKUP(Исходн.данные.!T151,Справ!$A$3:$P$57,16)*AM151)/HG151)</f>
        <v>#N/A</v>
      </c>
      <c r="GD151" s="39" t="e">
        <f>IF(HH151=$FY$16,0,((Исходн.данные.!Q151*К_Org+Исходн.данные.!R151*K_Sider+Исходн.данные.!S151*K_Soloma)*AQ151+Расчет!BC151*VLOOKUP(Исходн.данные.!T151,Справ!$A$3:$Q$57,17)*AQ151+BB151*VLOOKUP(Исходн.данные.!T151,Справ!$A$3:$Q$57,17)*AN151)/HH151)</f>
        <v>#N/A</v>
      </c>
      <c r="GE151" s="39" t="e">
        <f>IF(HF151=$FY$16,0,(Исходн.данные.!X151*AR151+Исходн.данные.!AA151*N_Org*AL151+Исходн.данные.!AB151*N_Sider*AL151+Исходн.данные.!AC151*N_Soloma*AL151)/HF151)</f>
        <v>#N/A</v>
      </c>
      <c r="GF151" s="39" t="e">
        <f>IF(HG151=$FY$16,0,(Исходн.данные.!Y151*AS151+Исходн.данные.!AA151*Р_Org*AM151+Исходн.данные.!AB151*P_Sider*AM151+Исходн.данные.!AC151*P_Soloma*AM151)/HG151)</f>
        <v>#N/A</v>
      </c>
      <c r="GG151" s="39" t="e">
        <f>IF(HH151=$FY$16,0,(Исходн.данные.!Z151*AT151+Исходн.данные.!AA151*К_Org*AN151+Исходн.данные.!AB151*K_Sider*AN151+Исходн.данные.!AC151*K_Soloma*AN151)/HH151)</f>
        <v>#N/A</v>
      </c>
      <c r="GH151" s="39" t="e">
        <f>Исходн.данные.!AD151*AU151/HF151</f>
        <v>#N/A</v>
      </c>
      <c r="GI151" s="39" t="e">
        <f>Исходн.данные.!AE151*AV151/HG151</f>
        <v>#N/A</v>
      </c>
      <c r="GJ151" s="39" t="e">
        <f>Исходн.данные.!AF151*AW151/HH151</f>
        <v>#N/A</v>
      </c>
      <c r="GK151" s="55">
        <f>Исходн.данные.!AK151</f>
        <v>0</v>
      </c>
      <c r="GL151" s="11" t="e">
        <f t="shared" si="187"/>
        <v>#N/A</v>
      </c>
      <c r="GM151" s="11" t="e">
        <f t="shared" si="188"/>
        <v>#N/A</v>
      </c>
      <c r="GN151" s="11" t="e">
        <f t="shared" si="189"/>
        <v>#N/A</v>
      </c>
      <c r="GO151" s="57">
        <f t="shared" si="190"/>
        <v>19</v>
      </c>
      <c r="GP151" s="55">
        <f>IF(OR(Исходн.данные.!F151=$CE$1,Исходн.данные.!F151=$CE$2,Исходн.данные.!F151=$CE$3,Исходн.данные.!F151=$CE$4,Исходн.данные.!F151=$CE$5),GQ151,GR151)</f>
        <v>19</v>
      </c>
      <c r="GQ151" s="55">
        <f>IF(Исходн.данные.!F151=$CE$1,28,IF(Исходн.данные.!F151=$CE$2,26,IF(Исходн.данные.!F151=$CE$3,24,IF(Исходн.данные.!F151=$CE$4,22,IF(Исходн.данные.!F151=$CE$5,20,GR151)))))</f>
        <v>19</v>
      </c>
      <c r="GR151" s="55">
        <f>IF(Исходн.данные.!F151=$CE$6,18,IF(Исходн.данные.!F151=$CE$7,16,IF(Исходн.данные.!F151=$CE$8,14,IF(Исходн.данные.!F151=$CE$9,13,IF(Исходн.данные.!F151=$CE$10,12,19)))))</f>
        <v>19</v>
      </c>
      <c r="GS151" s="55">
        <f>IF(Исходн.данные.!G151="Пес",0.035*(40+2*Исходн.данные.!H151),IF(Исходн.данные.!G151="Суп",0.0325*(40+2*Исходн.данные.!H151),0.03*(40+2*Исходн.данные.!H151)))</f>
        <v>1.2</v>
      </c>
      <c r="GT151" s="55">
        <f>IF(Исходн.данные.!H151&lt;23,2.6,IF(AND(Исходн.данные.!H151&gt;22,Исходн.данные.!H151&lt;26),3,IF(AND(Исходн.данные.!H151&gt;25,Исходн.данные.!H151&lt;29),3.4,3.6)))</f>
        <v>2.6</v>
      </c>
      <c r="GU151" s="55">
        <f>IF(Исходн.данные.!H151&lt;23,2.8,IF(AND(Исходн.данные.!H151&gt;22,Исходн.данные.!H151&lt;26),3.2,IF(AND(Исходн.данные.!H151&gt;25,Исходн.данные.!H151&lt;29),3.6,3.9)))</f>
        <v>2.8</v>
      </c>
      <c r="GV151" s="55">
        <f>IF(Исходн.данные.!H151&lt;23,3,IF(AND(Исходн.данные.!H151&gt;22,Исходн.данные.!H151&lt;26),3.5,IF(AND(Исходн.данные.!H151&gt;25,Исходн.данные.!H151&lt;29),3.9,4.2)))</f>
        <v>3</v>
      </c>
      <c r="GW151" s="55" t="e">
        <f>IF(Исходн.данные.!P151="Ум",GX151,GY151)</f>
        <v>#N/A</v>
      </c>
      <c r="GX151" s="55" t="e">
        <f>VLOOKUP(Исходн.данные.!AI151,Коэффициенты!$J$7:$L$13,2,FALSE)</f>
        <v>#N/A</v>
      </c>
      <c r="GY151" s="55" t="e">
        <f>VLOOKUP(Исходн.данные.!AI151,Коэффициенты!$J$7:$L$13,3,FALSE)</f>
        <v>#N/A</v>
      </c>
      <c r="GZ151" s="55" t="e">
        <f>(IF(Исходн.данные.!M151&lt;50,0.11*VLOOKUP(Исходн.данные.!AH151,Культуры.Информация,7,FALSE),IF(Исходн.данные.!M151&gt;250,0.05*VLOOKUP(Исходн.данные.!AH151,Культуры.Информация,7,FALSE),VLOOKUP(Исходн.данные.!AH151,Культуры.Информация,5,FALSE)/100*($GX$6+$GY$6*Исходн.данные.!M151))))*Расчет2!AI151</f>
        <v>#N/A</v>
      </c>
      <c r="HA151" s="211"/>
      <c r="HB151" s="211"/>
      <c r="HC151" s="55" t="e">
        <f>(IF(Исходн.данные.!O151&lt;80,0.2*VLOOKUP(Исходн.данные.!AH151,Культуры.Информация,8,FALSE),IF(Исходн.данные.!O151&gt;240,0.09*VLOOKUP(Исходн.данные.!AH151,Культуры.Информация,8,FALSE),VLOOKUP(Исходн.данные.!AH151,Культуры.Информация,6,FALSE)/100*($HB$6+$HC$6*Исходн.данные.!O151))))*Расчет2!AJ151</f>
        <v>#N/A</v>
      </c>
      <c r="HD151" s="55">
        <f>IF(Исходн.данные.!O151&gt;240,0.09,IF(Исходн.данные.!O151&lt;30,0.3,$HE$10+$HD$10*Исходн.данные.!O151))</f>
        <v>0.3</v>
      </c>
      <c r="HE151" s="55">
        <f>IF(Исходн.данные.!O151&gt;240,0.17,IF(Исходн.данные.!O151&lt;30,0.5,$HF$12+$HE$12*Исходн.данные.!O151))</f>
        <v>0.5</v>
      </c>
      <c r="HF151" s="55" t="e">
        <f>VLOOKUP(Исходн.данные.!AH151,Справ!$A$3:$D$58,2,FALSE)</f>
        <v>#N/A</v>
      </c>
      <c r="HG151" s="55" t="e">
        <f>VLOOKUP(Исходн.данные.!AH151,Справ!$A$3:$D$58,3,FALSE)</f>
        <v>#N/A</v>
      </c>
      <c r="HH151" s="55" t="e">
        <f>VLOOKUP(Исходн.данные.!AH151,Справ!$A$3:$D$58,4,FALSE)</f>
        <v>#N/A</v>
      </c>
      <c r="HI151" s="11" t="e">
        <f t="shared" si="191"/>
        <v>#N/A</v>
      </c>
      <c r="HJ151" s="11" t="e">
        <f t="shared" si="192"/>
        <v>#N/A</v>
      </c>
      <c r="HK151" s="11" t="e">
        <f t="shared" si="193"/>
        <v>#N/A</v>
      </c>
      <c r="HL151" s="55">
        <f>IF(OR(Исходн.данные.!G151="Глин",Исходн.данные.!G151="Т_суг"),1.1,IF(Исходн.данные.!G151="Ср_суг",1,1))</f>
        <v>1</v>
      </c>
      <c r="HM151" s="55">
        <f>IF(OR(Исходн.данные.!G151="Глин",Исходн.данные.!G151="Т_суг"),0.9,IF(Исходн.данные.!G151="Ср_суг",1,1.2))</f>
        <v>1.2</v>
      </c>
      <c r="HN151" s="11" t="e">
        <f t="shared" si="194"/>
        <v>#N/A</v>
      </c>
      <c r="HO151" s="11" t="e">
        <f t="shared" si="195"/>
        <v>#N/A</v>
      </c>
      <c r="HP151" s="11" t="e">
        <f t="shared" si="196"/>
        <v>#N/A</v>
      </c>
      <c r="HQ151" t="e">
        <f t="shared" si="197"/>
        <v>#N/A</v>
      </c>
      <c r="HR151" t="e">
        <f t="shared" si="198"/>
        <v>#N/A</v>
      </c>
      <c r="HS151" t="e">
        <f t="shared" si="199"/>
        <v>#N/A</v>
      </c>
      <c r="HT151" t="e">
        <f t="shared" si="219"/>
        <v>#N/A</v>
      </c>
      <c r="HU151" t="e">
        <f t="shared" si="220"/>
        <v>#N/A</v>
      </c>
      <c r="HV151" t="e">
        <f t="shared" si="221"/>
        <v>#N/A</v>
      </c>
      <c r="HW151" t="e">
        <f t="shared" si="222"/>
        <v>#N/A</v>
      </c>
      <c r="HX151" t="e">
        <f t="shared" si="223"/>
        <v>#N/A</v>
      </c>
      <c r="HY151" t="e">
        <f t="shared" si="224"/>
        <v>#N/A</v>
      </c>
      <c r="HZ151" s="55">
        <f>IF(OR(Исходн.данные.!AI151="Оз_Ч_П",Исходн.данные.!AI151="Оз_З_П",Исходн.данные.!AI151="Яр_зер"),12,30)</f>
        <v>30</v>
      </c>
      <c r="IA151" t="e">
        <f t="shared" si="200"/>
        <v>#N/A</v>
      </c>
      <c r="IB151" t="e">
        <f t="shared" si="201"/>
        <v>#N/A</v>
      </c>
      <c r="IC151" t="e">
        <f t="shared" si="202"/>
        <v>#N/A</v>
      </c>
      <c r="ID151" s="11" t="e">
        <f t="shared" si="203"/>
        <v>#N/A</v>
      </c>
      <c r="IE151" s="11" t="e">
        <f t="shared" si="204"/>
        <v>#N/A</v>
      </c>
      <c r="IF151" s="11" t="e">
        <f t="shared" si="205"/>
        <v>#N/A</v>
      </c>
    </row>
    <row r="152" spans="35:240" x14ac:dyDescent="0.2">
      <c r="AI152">
        <f>IF(Исходн.данные.!I152&gt;6,1,1.85-(0.148*Исходн.данные.!I152))</f>
        <v>1.85</v>
      </c>
      <c r="AJ152">
        <f>IF(Исходн.данные.!I152&gt;6,1,2.434-(0.246*Исходн.данные.!I152))</f>
        <v>2.4340000000000002</v>
      </c>
      <c r="AL152" s="148" t="b">
        <f>IF(Исходн.данные.!$P152="Ум",N_OrgUd_2g_um,IF(Исходн.данные.!$P152="Об",N_OrgUd_2g_ob))</f>
        <v>0</v>
      </c>
      <c r="AM152" s="148" t="b">
        <f>IF(Исходн.данные.!$P152="Ум",P_OrgUd_2g_um,IF(Исходн.данные.!$P152="Об",P_OrgUd_2g_ob))</f>
        <v>0</v>
      </c>
      <c r="AN152" s="148" t="b">
        <f>IF(Исходн.данные.!$P152="Ум",K_OrgUd_2g_um,IF(Исходн.данные.!$P152="Об",K_OrgUd_2g_ob))</f>
        <v>0</v>
      </c>
      <c r="AO152" s="148" t="b">
        <f>IF(Исходн.данные.!$P152="Ум",N_OrgUd_1g_um,IF(Исходн.данные.!$P152="Об",N_OrgUd_1g_ob))</f>
        <v>0</v>
      </c>
      <c r="AP152" s="148" t="b">
        <f>IF(Исходн.данные.!$P152="Ум",P_OrgUd_1g_um,IF(Исходн.данные.!$P152="Об",P_OrgUd_1g_ob))</f>
        <v>0</v>
      </c>
      <c r="AQ152" s="148" t="b">
        <f>IF(Исходн.данные.!$P152="Ум",K_OrgUd_1g_um,IF(Исходн.данные.!$P152="Об",K_OrgUd_1g_ob))</f>
        <v>0</v>
      </c>
      <c r="AR152" t="b">
        <f>IF(Исходн.данные.!$P152="Ум",N_MinUd_2g_um,IF(Исходн.данные.!$P152="Об",N_MinUd_2g_ob))</f>
        <v>0</v>
      </c>
      <c r="AS152" t="b">
        <f>IF(Исходн.данные.!$P152="Ум",P_MinUd_2g_um,IF(Исходн.данные.!$P152="Об",P_MinUd_2g_ob))</f>
        <v>0</v>
      </c>
      <c r="AT152" t="b">
        <f>IF(Исходн.данные.!$P152="Ум",K_MinUd_2g_um,IF(Исходн.данные.!$P152="Об",K_MinUd_2g_ob))</f>
        <v>0</v>
      </c>
      <c r="AU152" t="b">
        <f>IF(Исходн.данные.!$P152="Ум",N_MinUd_1g_um,IF(Исходн.данные.!$P152="Об",N_MinUd_1g_ob))</f>
        <v>0</v>
      </c>
      <c r="AV152" t="b">
        <f>IF(Исходн.данные.!P152="Ум",P_MinUd_1g_um,IF(Исходн.данные.!P152="Об",P_MinUd_1g_ob))</f>
        <v>0</v>
      </c>
      <c r="AW152" t="b">
        <f>IF(Исходн.данные.!P152="Ум",K_MinUd_1g_um,IF(Исходн.данные.!P152="Об",K_MinUd_1g_ob))</f>
        <v>0</v>
      </c>
      <c r="AY152" t="e">
        <f>VLOOKUP(Исходн.данные.!T152,Справ!$A$3:$N$57,12)</f>
        <v>#N/A</v>
      </c>
      <c r="AZ152" t="e">
        <f>VLOOKUP(Исходн.данные.!T152,Справ!$A$3:$N$57,13)</f>
        <v>#N/A</v>
      </c>
      <c r="BA152" t="e">
        <f>VLOOKUP(Исходн.данные.!T152,Справ!$A$3:$N$57,14)</f>
        <v>#N/A</v>
      </c>
      <c r="BB152">
        <f>IF(Исходн.данные.!AH152=0,0,25)</f>
        <v>0</v>
      </c>
      <c r="BC152" s="141">
        <f>IF(Исходн.данные.!AH152=0,0,IF(Исходн.данные.!T152=0,25,BD152))</f>
        <v>0</v>
      </c>
      <c r="BD152" s="168" t="e">
        <f>AY152+AZ152*Исходн.данные.!U152-POWER(BA152,2)*Исходн.данные.!U152</f>
        <v>#N/A</v>
      </c>
      <c r="BE15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2" s="25">
        <f>IF(Исходн.данные.!AH152=0,0,MIN(HN152:HP152))</f>
        <v>0</v>
      </c>
      <c r="BG152" s="9">
        <f>IF(Исходн.данные.!AH152=0,0,IF((HO152+10*0.25/HG152/HL152)&lt;17,17,HO152+10*0.25/HG152/HL152))</f>
        <v>0</v>
      </c>
      <c r="BH152" s="181">
        <f>IF(Исходн.данные.!AH152=0,0,HW152*HF152*HL152/AU152*AI152+Исходн.данные.!S152*10)</f>
        <v>0</v>
      </c>
      <c r="BI152" s="10"/>
      <c r="BJ152" s="182">
        <f>IF(Исходн.данные.!AH152=0,0,IF(HX152*HG152*HL152/AV152&lt;0,0,HX152*HG152*HL152/AV152*AJ152))</f>
        <v>0</v>
      </c>
      <c r="BK152" s="182">
        <f>IF(Исходн.данные.!AH152=0,0,HY152*HH152*HM152/AW152)</f>
        <v>0</v>
      </c>
      <c r="BL152" s="10">
        <f>IF(OR(Исходн.данные.!$AH152=$BP$1,Исходн.данные.!$AH152=$BP$2),0,IF(BH152&lt;0,0,IF(OR(Исходн.данные.!T152=Расчет!$BP$1,Исходн.данные.!T152=Расчет!$BP$2,Исходн.данные.!T152=Расчет!$BT$5,Исходн.данные.!T152=Расчет!$BT$6),BH152*0.5,IF(OR(Исходн.данные.!T152=Расчет!$BS$9,Исходн.данные.!T152=Расчет!$BS$10,Исходн.данные.!T152=Расчет!$BS$11,Исходн.данные.!T152=Расчет!$BS$12,Исходн.данные.!T152=Расчет!$BP$5),BH152*0.8,BH152))))</f>
        <v>0</v>
      </c>
      <c r="BM152" s="10">
        <f>IF(OR(Исходн.данные.!$AH152=$BP$1,Исходн.данные.!$AH152=$BP$2),0,IF(BJ152&lt;0,0,IF(Исходн.данные.!I152&lt;4.5,BJ152*1.2,IF(Исходн.данные.!I152&gt;5.1,BJ152,BJ152*((5.1-Исходн.данные.!I152)*0.333+1)))))</f>
        <v>0</v>
      </c>
      <c r="BN152" s="10">
        <f>IF(OR(Исходн.данные.!$AH152=$BP$1,Исходн.данные.!$AH152=$BP$2),60-Исходн.данные.!AF152,IF(BK152&lt;0,0,IF(Исходн.данные.!I152&lt;4.5,BK152*1.2,IF(Исходн.данные.!I152&gt;5.1,BK152,BK152*((5.1-Исходн.данные.!I152)*0.333+1)))))</f>
        <v>0</v>
      </c>
      <c r="BO152" s="9">
        <f>IF(BL152&lt;0,0,BL152*Исходн.данные.!$AJ152/1000)</f>
        <v>0</v>
      </c>
      <c r="BP152" s="9">
        <f>IF(BM152&lt;0,0,BM152*Исходн.данные.!$AJ152/1000)</f>
        <v>0</v>
      </c>
      <c r="BQ152" s="9">
        <f>IF(BN152&lt;0,0,BN152*Исходн.данные.!$AJ152/1000)</f>
        <v>0</v>
      </c>
      <c r="BR152" s="9">
        <f t="shared" si="155"/>
        <v>0</v>
      </c>
      <c r="BS152" s="10" t="str">
        <f t="shared" si="156"/>
        <v>Аммофос 12:52:00</v>
      </c>
      <c r="BT152" s="10" t="str">
        <f t="shared" si="157"/>
        <v>Аммофос 12:52:00</v>
      </c>
      <c r="BU152" s="10" t="str">
        <f t="shared" si="158"/>
        <v>Диаммофоска</v>
      </c>
      <c r="BV152" s="10">
        <f t="shared" si="159"/>
        <v>0</v>
      </c>
      <c r="BW152" s="10"/>
      <c r="BX152" s="10"/>
      <c r="BY152" s="9">
        <f>IF(BL152&lt;0,0,IF(OR(Исходн.данные.!AI152=Расчет!$BU$6,Исходн.данные.!AI152=Расчет!$BU$7),Расчет!BV152,IF(Исходн.данные.!$AG152=$BV$11,BL152,IF(OR(Исходн.данные.!$AH152=$BQ$7,Исходн.данные.!$AH152=$BQ$8),CB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0,IF(Исходн.данные.!$AI152=$BU$11,"Нет",IF(BL152&gt;30,30,BL152)))))))</f>
        <v>0</v>
      </c>
      <c r="BZ152" s="9">
        <f>IF(AND(Исходн.данные.!$AG152=$BV$11,BM152&lt;10),10,IF(Исходн.данные.!$AG152=$BV$11,BM152,IF(OR(Исходн.данные.!$AH152=$BQ$7,Исходн.данные.!$AH152=$BQ$8),CC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10,IF(Исходн.данные.!$AI152=$BU$11,"Нет",IF(BM152&gt;60,60,IF(BM152&lt;10,10,BM152)))))))</f>
        <v>10</v>
      </c>
      <c r="CA152" s="39">
        <f>IF(BN152&lt;0,0,IF(Исходн.данные.!$AG152=$BV$11,BN152,IF(OR(Исходн.данные.!$AH152=$BQ$7,Исходн.данные.!$AH152=$BQ$8),CD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0,IF(Исходн.данные.!$AI152=$BU$11,"Нет",IF(BN152&gt;30,30,BN152))))))</f>
        <v>0</v>
      </c>
      <c r="CB152" s="9">
        <f t="shared" si="160"/>
        <v>0</v>
      </c>
      <c r="CC152" s="9">
        <f t="shared" si="161"/>
        <v>0</v>
      </c>
      <c r="CD152" s="9">
        <f t="shared" si="162"/>
        <v>0</v>
      </c>
      <c r="CE152" s="12">
        <f t="shared" si="163"/>
        <v>10</v>
      </c>
      <c r="CF152" s="9">
        <f t="shared" si="164"/>
        <v>0</v>
      </c>
      <c r="CG152" s="9" t="s">
        <v>231</v>
      </c>
      <c r="CH152" s="132" t="str">
        <f>IF(Исходн.данные.!AP152=Расчет!$CI$16,"Нет",IF(Исходн.данные.!AL152&gt;0,Исходн.данные.!AL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BH$4,IF(OR(Исходн.данные.!AI152=Исходн.данные.!$AI$6,Исходн.данные.!AI152=Исходн.данные.!$AI$7),Расчет!BS152,IF(AND($CF152=0,$CE152&gt;0),EV152,ER152)))))</f>
        <v>Аммофос 12:52:00</v>
      </c>
      <c r="CI152" s="274">
        <f>IF(Расчет!$CH152="Нет","Нет",IF(Исходн.данные.!$AL152&gt;0,VLOOKUP(Расчет!$CH152,АшламаДВ_Irekle,2,FALSE),VLOOKUP(Расчет!$CH152,АшламаДВ_Gomumy,2,FALSE)))</f>
        <v>0.12</v>
      </c>
      <c r="CJ152" s="274">
        <f>IF(Расчет!$CH152="Нет","Нет",IF(Исходн.данные.!$AL152&gt;0,VLOOKUP(Расчет!$CH152,АшламаДВ_Irekle,3,FALSE),VLOOKUP(Расчет!$CH152,АшламаДВ_Gomumy,3,FALSE)))</f>
        <v>0.52</v>
      </c>
      <c r="CK152" s="274">
        <f>IF(Расчет!$CH152="Нет","Нет",IF(Исходн.данные.!$AL152&gt;0,VLOOKUP(Расчет!$CH152,АшламаДВ_Irekle,4,FALSE),VLOOKUP(Расчет!$CH152,АшламаДВ_Gomumy,4,FALSE)))</f>
        <v>0</v>
      </c>
      <c r="CL152" s="70"/>
      <c r="CM152" s="70"/>
      <c r="CN152" s="70"/>
      <c r="CO152" s="70"/>
      <c r="CP152" s="70"/>
      <c r="CQ152" s="70"/>
      <c r="CR152" s="10">
        <f t="shared" si="165"/>
        <v>0</v>
      </c>
      <c r="CS152" s="10">
        <f t="shared" si="166"/>
        <v>19.23076923076923</v>
      </c>
      <c r="CT152" s="10">
        <f t="shared" si="167"/>
        <v>0</v>
      </c>
      <c r="CU152" s="39">
        <f>IF($CH152="Нет",0,IF(CI152=0,30/MIN(CJ152:CK152),IF(Исходн.данные.!$AG152=$BV$11,CR152,IF(OR(Исходн.данные.!$AH152=$BQ$7,Исходн.данные.!$AH152=$BQ$8),90/CI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0,IF(Исходн.данные.!$AI152=$BU$11,"Нет",30/CI152))))))</f>
        <v>250</v>
      </c>
      <c r="CV152" s="39">
        <f>IF($CH152="Нет",0,IF(Исходн.данные.!AH152=0,0,IF(CJ152=0,60/MIN(CI152,CK152),IF(Исходн.данные.!$AG152=$BV$11,CS152,IF(OR(Исходн.данные.!$AH152=$BQ$7,Исходн.данные.!$AH152=$BQ$8),90/CJ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10/CJ152,IF(Исходн.данные.!$AI152=$BU$11,"Нет",60/CJ152)))))))</f>
        <v>0</v>
      </c>
      <c r="CW152" s="39">
        <f>IF($CH152="Нет",0,IF(Исходн.данные.!AH152=0,0,IF(CK152=0,30/MIN(CI152:CJ152),IF(Исходн.данные.!$AG152=$BV$11,CT152,IF(OR(Исходн.данные.!$AH152=$BQ$7,Исходн.данные.!$AH152=$BQ$8),90/CK152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0,IF(Исходн.данные.!$AI152=$BU$11,"Нет",30/CK152)))))))</f>
        <v>0</v>
      </c>
      <c r="CX152" s="133">
        <f>IF(Исходн.данные.!$AG152=$BV$11,MAX(CU152:CW152),IF(OR(Исходн.данные.!$AH152=$BS$8,Исходн.данные.!$AH152=$BQ$9,Исходн.данные.!$AH152=$BQ$10,Исходн.данные.!$AH152=$BQ$11,Исходн.данные.!$AH152=$BQ$12,Исходн.данные.!$AH152=$BP$3,Исходн.данные.!$AH152=$BT$8,$FM152="Да"),CV152,MIN(CU152:CW152)))</f>
        <v>0</v>
      </c>
      <c r="CY152" s="133">
        <f>IF(Исходн.данные.!AH152=0,0,IF(CR152&gt;$CX152,$CX152,CR152))</f>
        <v>0</v>
      </c>
      <c r="CZ152" s="133">
        <f>IF(Исходн.данные.!AH152=0,0,IF(CS152&gt;$CX152,$CX152,CS152))</f>
        <v>0</v>
      </c>
      <c r="DA152" s="133">
        <f>IF(Исходн.данные.!AH152=0,0,IF(CT152&gt;$CX152,$CX152,CT152))</f>
        <v>0</v>
      </c>
      <c r="DB152" s="10">
        <f t="shared" si="168"/>
        <v>0</v>
      </c>
      <c r="DC152" s="39">
        <f>DB152*Исходн.данные.!AJ152/1000</f>
        <v>0</v>
      </c>
      <c r="DD152" s="71">
        <f t="shared" si="169"/>
        <v>0</v>
      </c>
      <c r="DE152" s="9">
        <f t="shared" si="170"/>
        <v>0</v>
      </c>
      <c r="DF152" s="9">
        <f t="shared" si="171"/>
        <v>0</v>
      </c>
      <c r="DG152" s="39">
        <f>IF(BL152&lt;0,0,IF($CH152="Нет",BL152,IF(OR(Исходн.данные.!$AH152=$BP$1,Исходн.данные.!$AH152=$BP$2),0,IF(Исходн.данные.!AI152=$BU$11,BL152,IF(BL152-DD152&lt;0,0,BL152-DD152)))))</f>
        <v>0</v>
      </c>
      <c r="DH152" s="39">
        <f>IF(BM152&lt;0,0,IF($CH152="Нет",BM152,IF(OR(Исходн.данные.!$AH152=$BP$1,Исходн.данные.!$AH152=$BP$2),0,IF(Исходн.данные.!AJ152=$BU$11,BM152,IF(BM152-DE152&lt;0,0,BM152-DE152)))))</f>
        <v>0</v>
      </c>
      <c r="DI152" s="39">
        <f>IF(BN152&lt;0,0,IF($CH152="Нет",BN152,IF(OR(Исходн.данные.!$AH152=$BP$1,Исходн.данные.!$AH152=$BP$2),0,IF(Исходн.данные.!AK152=$BU$11,BN152,IF(BN152-DF152&lt;0,0,BN152-DF152)))))</f>
        <v>0</v>
      </c>
      <c r="DJ152" s="12">
        <f t="shared" si="172"/>
        <v>0</v>
      </c>
      <c r="DK152" s="9">
        <f t="shared" si="173"/>
        <v>0</v>
      </c>
      <c r="DL152" s="39">
        <f>IF(Исходн.данные.!AM152&gt;0,Исходн.данные.!AM152,IF(EG152&gt;0,$BH$10,0))</f>
        <v>0</v>
      </c>
      <c r="DM152" s="186">
        <f>IF($DL152=0,0,IF(Исходн.данные.!AM152&gt;0,VLOOKUP($DL152,АшламаДВ_Irekle,2,FALSE),VLOOKUP($DL152,АшламаДВ_Gomumy,2,FALSE)))</f>
        <v>0</v>
      </c>
      <c r="DN152" s="10">
        <f t="shared" si="225"/>
        <v>0</v>
      </c>
      <c r="DO152" s="9" t="str">
        <f>IF(Исходн.данные.!AN152&gt;0,Исходн.данные.!AN152,Удобрения!$B$37 )</f>
        <v>Хлор.калий</v>
      </c>
      <c r="DP152" s="9">
        <f>IF(Исходн.данные.!AN152&gt;0,VLOOKUP(Исходн.данные.!AN152,АшламаДВ_Irekle,4,FALSE),VLOOKUP(DO152,АшламаДВ_Gomumy,4,FALSE))</f>
        <v>0.6</v>
      </c>
      <c r="DQ152" s="10">
        <f t="shared" si="226"/>
        <v>0</v>
      </c>
      <c r="DR152" s="132" t="str">
        <f>IF(Исходн.данные.!AO152&gt;0,Исходн.данные.!AO152,IF(DH152=0,BS$17,IF(AND($DK152=0,$DJ152&gt;0),EJ152,EN152)))</f>
        <v>Нет</v>
      </c>
      <c r="DS152" s="70" t="str">
        <f>IF($DR152="Нет","Нет",IF(Исходн.данные.!$AO152&gt;0,VLOOKUP($DR152,АшламаДВ_Irekle,2,FALSE),VLOOKUP($DR152,АшламаДВ_Gomumy,2,FALSE)))</f>
        <v>Нет</v>
      </c>
      <c r="DT152" s="70" t="str">
        <f>IF($DR152="Нет","Нет",IF(Исходн.данные.!$AO152&gt;0,VLOOKUP($DR152,АшламаДВ_Irekle,3,FALSE),VLOOKUP($DR152,АшламаДВ_Gomumy,3,FALSE)))</f>
        <v>Нет</v>
      </c>
      <c r="DU152" s="70" t="str">
        <f>IF($DR152="Нет","Нет",IF(Исходн.данные.!$AO152&gt;0,VLOOKUP($DR152,АшламаДВ_Irekle,4,FALSE),VLOOKUP($DR152,АшламаДВ_Gomumy,4,FALSE)))</f>
        <v>Нет</v>
      </c>
      <c r="DV152" s="70"/>
      <c r="DW152" s="70"/>
      <c r="DX152" s="70"/>
      <c r="DY152" s="10">
        <f t="shared" si="174"/>
        <v>0</v>
      </c>
      <c r="DZ152" s="10">
        <f t="shared" si="175"/>
        <v>0</v>
      </c>
      <c r="EA152" s="10">
        <f t="shared" si="176"/>
        <v>0</v>
      </c>
      <c r="EB152" s="10">
        <f t="shared" si="177"/>
        <v>0</v>
      </c>
      <c r="EC152" s="10">
        <f t="shared" si="178"/>
        <v>0</v>
      </c>
      <c r="ED152" s="10">
        <f t="shared" si="179"/>
        <v>0</v>
      </c>
      <c r="EE152" s="10">
        <f t="shared" si="180"/>
        <v>0</v>
      </c>
      <c r="EF152" s="39">
        <f>EB152*Исходн.данные.!AJ152/1000</f>
        <v>0</v>
      </c>
      <c r="EG152" s="9">
        <f t="shared" si="181"/>
        <v>0</v>
      </c>
      <c r="EH152" s="9">
        <f t="shared" si="182"/>
        <v>0</v>
      </c>
      <c r="EI152" s="39" t="e">
        <f t="shared" si="206"/>
        <v>#DIV/0!</v>
      </c>
      <c r="EJ152" s="9" t="str">
        <f t="shared" si="227"/>
        <v>Азопреципитат</v>
      </c>
      <c r="EK152" s="12">
        <f t="shared" si="207"/>
        <v>0.26</v>
      </c>
      <c r="EL152" s="12">
        <f t="shared" si="208"/>
        <v>0.13</v>
      </c>
      <c r="EM152" s="12">
        <f t="shared" si="209"/>
        <v>0</v>
      </c>
      <c r="EN152" s="12" t="str">
        <f t="shared" si="228"/>
        <v>Нет</v>
      </c>
      <c r="EO152" s="12">
        <f t="shared" si="210"/>
        <v>0</v>
      </c>
      <c r="EP152" s="12">
        <f t="shared" si="211"/>
        <v>0</v>
      </c>
      <c r="EQ152" s="12">
        <f t="shared" si="212"/>
        <v>0</v>
      </c>
      <c r="ER152" s="12" t="str">
        <f t="shared" si="183"/>
        <v>Диаммофоска</v>
      </c>
      <c r="ES152" s="12">
        <f t="shared" si="213"/>
        <v>0.1</v>
      </c>
      <c r="ET152" s="12">
        <f t="shared" si="214"/>
        <v>0.26</v>
      </c>
      <c r="EU152" s="12">
        <f t="shared" si="215"/>
        <v>0.26</v>
      </c>
      <c r="EV152" s="12" t="str">
        <f t="shared" si="184"/>
        <v>Аммофос 12:52:00</v>
      </c>
      <c r="EW152" s="12" t="str">
        <f t="shared" si="185"/>
        <v>Кемира Свекловичное-6</v>
      </c>
      <c r="EX152" s="12">
        <f t="shared" si="216"/>
        <v>0.16</v>
      </c>
      <c r="EY152" s="12">
        <f t="shared" si="217"/>
        <v>0.12</v>
      </c>
      <c r="EZ152" s="12">
        <f t="shared" si="218"/>
        <v>0.17</v>
      </c>
      <c r="FA152" s="38" t="e">
        <f>IF(AND(OR(FJ152=$FD$1,FM152=$FD$1,FO152=$FD$1,FQ152=$FD$1,FS152=$FD$1),FD152=$FD$1,Исходн.данные.!J152&lt;2,FU152=$FD$1),"Бор,Кобальт",IF(AND(FO152=$FD$1,FH152=$FD$1,Исходн.данные.!J152&lt;2,FU152=$FD$1),"Бор,Кобальт",IF(AND(OR(FJ152=$FD$1,FM152=$FD$1,FQ152=$FD$1),FE152=$FD$1,Исходн.данные.!J152&lt;2,FT152=$FD$1,FU152=$FD$1),"Бор,Медь,Цинк",IF(AND(OR(FJ152=$FD$1,FR152="Да"),FI152="Да",Исходн.данные.!J152&lt;2,FT152="Да",FU152="Да"),"Бор,Цинк,Медь",IF(AND(OR(FM152="Да",FQ152="Да"),FI152="Да",Исходн.данные.!J152&lt;2,FT152="Да",FU152="Да"),"Бор,Цинк",IF(AND(FN152="Да",OR(FD152="Да",FE152="Да")),"Бор",FB152))))))</f>
        <v>#N/A</v>
      </c>
      <c r="FB152" s="134" t="e">
        <f>IF(AND(OR(FD152="Да",FE152="Да",FF152="Да",FG152="Да",FH152="Да"),FO152="Да"),"Бор",IF(AND(FP152="Да",OR(FD152="Да",FE152="Да",FI152="Да")),"Бор",IF(AND(FS152="Да",FE152="Да"),"Бор,Медь",IF(AND(OR(FJ152="Да",FK152="Да",FL152="Да"),FE152="Да",Исходн.данные.!I152&lt;5,FT152="Да",FU152="Да"),"Молибден,Цинк",IF(AND(FM152="Да",OR(FE152="Да",FF152="Да",FG152="Да",FH152="Да",FI152="Да")),"Молибден,Цинк",IF(AND(OR(FJ152="Да",FK152="Да",FL152="Да",FM152="Да",FQ152="Да"),OR(FE152="Да",FF152="Да"),FT152="Да",FU152="Да",Исходн.данные.!I152&gt;5.5),"Медь,Цинк",FC152))))))</f>
        <v>#N/A</v>
      </c>
      <c r="FC152" s="23" t="e">
        <f t="shared" si="186"/>
        <v>#N/A</v>
      </c>
      <c r="FD152" s="38" t="str">
        <f>IF(OR(Исходн.данные.!F152=$CC$1,Исходн.данные.!F152=$CC$2,Исходн.данные.!F152=$CC$3,Исходн.данные.!F152=$CC$4),"Да","Нет")</f>
        <v>Нет</v>
      </c>
      <c r="FE152" s="38" t="str">
        <f>IF(Исходн.данные.!F152=$CC$5,"Да","Нет")</f>
        <v>Нет</v>
      </c>
      <c r="FF152" s="38" t="str">
        <f>IF(OR(Исходн.данные.!F152=$CC$6,Исходн.данные.!F152=$CC$7),"Да","Нет")</f>
        <v>Нет</v>
      </c>
      <c r="FG152" s="38" t="str">
        <f>IF(OR(Исходн.данные.!F152=$CC$8,Исходн.данные.!F152=$CC$9),"Да","Нет")</f>
        <v>Нет</v>
      </c>
      <c r="FH152" s="38" t="str">
        <f>IF(Исходн.данные.!F152=$CC$10,"Да","Нет")</f>
        <v>Нет</v>
      </c>
      <c r="FI152" s="38" t="str">
        <f>IF(OR(Исходн.данные.!F152=$CC$11,Исходн.данные.!F152=$CC$12),"Да","Нет")</f>
        <v>Нет</v>
      </c>
      <c r="FJ152" s="38" t="str">
        <f>IF(OR(Исходн.данные.!AH152=$BS$1,Исходн.данные.!AH152=$BQ$11,Исходн.данные.!AH152=$BQ$12),"Да","Нет")</f>
        <v>Нет</v>
      </c>
      <c r="FK152" s="38" t="str">
        <f>IF(OR(Исходн.данные.!AH152=$BS$2,Исходн.данные.!AH152=$BS$4),"Да","Нет")</f>
        <v>Нет</v>
      </c>
      <c r="FL152" s="38" t="str">
        <f>IF(OR(Исходн.данные.!AH152=$BS$3,Исходн.данные.!AH152=$BS$5),"Да","Нет")</f>
        <v>Нет</v>
      </c>
      <c r="FM152" s="38" t="str">
        <f>IF(OR(Исходн.данные.!AH152=$BS$9,Исходн.данные.!AH152=$BS$10,Исходн.данные.!AH152=$BS$11,Исходн.данные.!AH152=$BS$12),"Да","Нет")</f>
        <v>Нет</v>
      </c>
      <c r="FN152" s="38" t="str">
        <f>IF(OR(Исходн.данные.!AH152=$BS$6,Исходн.данные.!AH152=$BP$3),"Да","Нет")</f>
        <v>Нет</v>
      </c>
      <c r="FO152" s="38" t="str">
        <f>IF(Исходн.данные.!AH152=$BQ$9,"Да","Нет")</f>
        <v>Нет</v>
      </c>
      <c r="FP152" s="38" t="str">
        <f>IF(OR(Исходн.данные.!AH152=$BS$8,Исходн.данные.!AH152=$BT$8),"Да","Нет")</f>
        <v>Нет</v>
      </c>
      <c r="FQ152" s="38" t="str">
        <f>IF(OR(Исходн.данные.!AH152=$BQ$7,Исходн.данные.!AH152=$BQ$8),"Да","Нет")</f>
        <v>Нет</v>
      </c>
      <c r="FR152" s="38" t="str">
        <f>IF(Исходн.данные.!AI152=$BU$9,"Да","Нет")</f>
        <v>Нет</v>
      </c>
      <c r="FS152" s="38" t="str">
        <f>IF(OR(Исходн.данные.!AH152=$BP$1,Исходн.данные.!AH152=$BP$2),"Да","Нет")</f>
        <v>Нет</v>
      </c>
      <c r="FT152" s="38" t="e">
        <f>IF((Исходн.данные.!K152*GO152*GS152*GW152+BL152*0.6+Исходн.данные.!Q152*4.5*0.275)&gt;90,"Да","Нет")</f>
        <v>#N/A</v>
      </c>
      <c r="FU152" s="38" t="e">
        <f>IF((Исходн.данные.!M152*GS152*GZ152+BM152*0.225)&gt;35,"Да","Нет")</f>
        <v>#N/A</v>
      </c>
      <c r="FV152" s="38" t="str">
        <f>IF(Исходн.данные.!O152&gt;175,"Да","Нет")</f>
        <v>Нет</v>
      </c>
      <c r="FW152" s="39" t="str">
        <f>IF(Исходн.данные.!I152&gt;5.5,"Да","Нет")</f>
        <v>Нет</v>
      </c>
      <c r="FX152" s="39" t="str">
        <f>IF(Исходн.данные.!J152&lt;2,"Да","Нет")</f>
        <v>Да</v>
      </c>
      <c r="FY152" s="39" t="e">
        <f>IF(HF152=$FY$16,0,Исходн.данные.!K152*GO152*GS152*GW152/HF152)</f>
        <v>#N/A</v>
      </c>
      <c r="FZ152" s="39" t="e">
        <f>Исходн.данные.!M152*GS152*GZ152/HG152</f>
        <v>#N/A</v>
      </c>
      <c r="GA152" s="39" t="e">
        <f>IF(K_Wyn=$FY$16,0,IF(Исходн.данные.!N152=Исходн.данные.!$L$10,Исходн.данные.!O152/1.1*GS152*HC152/HH152,IF(Исходн.данные.!N152=Исходн.данные.!$L$12,Исходн.данные.!O152/1.5*GS152*HC152/HH152,Исходн.данные.!O152*GS152*HC152/HH152)))</f>
        <v>#N/A</v>
      </c>
      <c r="GB152" s="39" t="e">
        <f>IF(HF152=$FY$16,0,((Исходн.данные.!Q152*N_Org+Исходн.данные.!R152*N_Sider+Исходн.данные.!S152*N_Soloma)*AO152+Расчет!BC152*VLOOKUP(Исходн.данные.!T152,Справ!$A$3:$O$57,15)*AO152+BB152*VLOOKUP(Исходн.данные.!T152,Справ!$A$3:$O$57,15)*AL152+(Исходн.данные.!V152*N_Rizotorf+Исходн.данные.!W152*N_Rizoagr))/HF152)</f>
        <v>#N/A</v>
      </c>
      <c r="GC152" s="39" t="e">
        <f>IF(HG152=$FY$16,0,((Исходн.данные.!Q152*Р_Org+Исходн.данные.!R152*P_Sider+Исходн.данные.!S152*P_Soloma)*AP152+Расчет!BC152*VLOOKUP(Исходн.данные.!T152,Справ!$A$3:$P$57,16)*AP152+BB152*VLOOKUP(Исходн.данные.!T152,Справ!$A$3:$P$57,16)*AM152)/HG152)</f>
        <v>#N/A</v>
      </c>
      <c r="GD152" s="39" t="e">
        <f>IF(HH152=$FY$16,0,((Исходн.данные.!Q152*К_Org+Исходн.данные.!R152*K_Sider+Исходн.данные.!S152*K_Soloma)*AQ152+Расчет!BC152*VLOOKUP(Исходн.данные.!T152,Справ!$A$3:$Q$57,17)*AQ152+BB152*VLOOKUP(Исходн.данные.!T152,Справ!$A$3:$Q$57,17)*AN152)/HH152)</f>
        <v>#N/A</v>
      </c>
      <c r="GE152" s="39" t="e">
        <f>IF(HF152=$FY$16,0,(Исходн.данные.!X152*AR152+Исходн.данные.!AA152*N_Org*AL152+Исходн.данные.!AB152*N_Sider*AL152+Исходн.данные.!AC152*N_Soloma*AL152)/HF152)</f>
        <v>#N/A</v>
      </c>
      <c r="GF152" s="39" t="e">
        <f>IF(HG152=$FY$16,0,(Исходн.данные.!Y152*AS152+Исходн.данные.!AA152*Р_Org*AM152+Исходн.данные.!AB152*P_Sider*AM152+Исходн.данные.!AC152*P_Soloma*AM152)/HG152)</f>
        <v>#N/A</v>
      </c>
      <c r="GG152" s="39" t="e">
        <f>IF(HH152=$FY$16,0,(Исходн.данные.!Z152*AT152+Исходн.данные.!AA152*К_Org*AN152+Исходн.данные.!AB152*K_Sider*AN152+Исходн.данные.!AC152*K_Soloma*AN152)/HH152)</f>
        <v>#N/A</v>
      </c>
      <c r="GH152" s="39" t="e">
        <f>Исходн.данные.!AD152*AU152/HF152</f>
        <v>#N/A</v>
      </c>
      <c r="GI152" s="39" t="e">
        <f>Исходн.данные.!AE152*AV152/HG152</f>
        <v>#N/A</v>
      </c>
      <c r="GJ152" s="39" t="e">
        <f>Исходн.данные.!AF152*AW152/HH152</f>
        <v>#N/A</v>
      </c>
      <c r="GK152" s="55">
        <f>Исходн.данные.!AK152</f>
        <v>0</v>
      </c>
      <c r="GL152" s="11" t="e">
        <f t="shared" si="187"/>
        <v>#N/A</v>
      </c>
      <c r="GM152" s="11" t="e">
        <f t="shared" si="188"/>
        <v>#N/A</v>
      </c>
      <c r="GN152" s="11" t="e">
        <f t="shared" si="189"/>
        <v>#N/A</v>
      </c>
      <c r="GO152" s="57">
        <f t="shared" si="190"/>
        <v>19</v>
      </c>
      <c r="GP152" s="55">
        <f>IF(OR(Исходн.данные.!F152=$CE$1,Исходн.данные.!F152=$CE$2,Исходн.данные.!F152=$CE$3,Исходн.данные.!F152=$CE$4,Исходн.данные.!F152=$CE$5),GQ152,GR152)</f>
        <v>19</v>
      </c>
      <c r="GQ152" s="55">
        <f>IF(Исходн.данные.!F152=$CE$1,28,IF(Исходн.данные.!F152=$CE$2,26,IF(Исходн.данные.!F152=$CE$3,24,IF(Исходн.данные.!F152=$CE$4,22,IF(Исходн.данные.!F152=$CE$5,20,GR152)))))</f>
        <v>19</v>
      </c>
      <c r="GR152" s="55">
        <f>IF(Исходн.данные.!F152=$CE$6,18,IF(Исходн.данные.!F152=$CE$7,16,IF(Исходн.данные.!F152=$CE$8,14,IF(Исходн.данные.!F152=$CE$9,13,IF(Исходн.данные.!F152=$CE$10,12,19)))))</f>
        <v>19</v>
      </c>
      <c r="GS152" s="55">
        <f>IF(Исходн.данные.!G152="Пес",0.035*(40+2*Исходн.данные.!H152),IF(Исходн.данные.!G152="Суп",0.0325*(40+2*Исходн.данные.!H152),0.03*(40+2*Исходн.данные.!H152)))</f>
        <v>1.2</v>
      </c>
      <c r="GT152" s="55">
        <f>IF(Исходн.данные.!H152&lt;23,2.6,IF(AND(Исходн.данные.!H152&gt;22,Исходн.данные.!H152&lt;26),3,IF(AND(Исходн.данные.!H152&gt;25,Исходн.данные.!H152&lt;29),3.4,3.6)))</f>
        <v>2.6</v>
      </c>
      <c r="GU152" s="55">
        <f>IF(Исходн.данные.!H152&lt;23,2.8,IF(AND(Исходн.данные.!H152&gt;22,Исходн.данные.!H152&lt;26),3.2,IF(AND(Исходн.данные.!H152&gt;25,Исходн.данные.!H152&lt;29),3.6,3.9)))</f>
        <v>2.8</v>
      </c>
      <c r="GV152" s="55">
        <f>IF(Исходн.данные.!H152&lt;23,3,IF(AND(Исходн.данные.!H152&gt;22,Исходн.данные.!H152&lt;26),3.5,IF(AND(Исходн.данные.!H152&gt;25,Исходн.данные.!H152&lt;29),3.9,4.2)))</f>
        <v>3</v>
      </c>
      <c r="GW152" s="55" t="e">
        <f>IF(Исходн.данные.!P152="Ум",GX152,GY152)</f>
        <v>#N/A</v>
      </c>
      <c r="GX152" s="55" t="e">
        <f>VLOOKUP(Исходн.данные.!AI152,Коэффициенты!$J$7:$L$13,2,FALSE)</f>
        <v>#N/A</v>
      </c>
      <c r="GY152" s="55" t="e">
        <f>VLOOKUP(Исходн.данные.!AI152,Коэффициенты!$J$7:$L$13,3,FALSE)</f>
        <v>#N/A</v>
      </c>
      <c r="GZ152" s="55" t="e">
        <f>(IF(Исходн.данные.!M152&lt;50,0.11*VLOOKUP(Исходн.данные.!AH152,Культуры.Информация,7,FALSE),IF(Исходн.данные.!M152&gt;250,0.05*VLOOKUP(Исходн.данные.!AH152,Культуры.Информация,7,FALSE),VLOOKUP(Исходн.данные.!AH152,Культуры.Информация,5,FALSE)/100*($GX$6+$GY$6*Исходн.данные.!M152))))*Расчет2!AI152</f>
        <v>#N/A</v>
      </c>
      <c r="HA152" s="211"/>
      <c r="HB152" s="211"/>
      <c r="HC152" s="55" t="e">
        <f>(IF(Исходн.данные.!O152&lt;80,0.2*VLOOKUP(Исходн.данные.!AH152,Культуры.Информация,8,FALSE),IF(Исходн.данные.!O152&gt;240,0.09*VLOOKUP(Исходн.данные.!AH152,Культуры.Информация,8,FALSE),VLOOKUP(Исходн.данные.!AH152,Культуры.Информация,6,FALSE)/100*($HB$6+$HC$6*Исходн.данные.!O152))))*Расчет2!AJ152</f>
        <v>#N/A</v>
      </c>
      <c r="HD152" s="55">
        <f>IF(Исходн.данные.!O152&gt;240,0.09,IF(Исходн.данные.!O152&lt;30,0.3,$HE$10+$HD$10*Исходн.данные.!O152))</f>
        <v>0.3</v>
      </c>
      <c r="HE152" s="55">
        <f>IF(Исходн.данные.!O152&gt;240,0.17,IF(Исходн.данные.!O152&lt;30,0.5,$HF$12+$HE$12*Исходн.данные.!O152))</f>
        <v>0.5</v>
      </c>
      <c r="HF152" s="55" t="e">
        <f>VLOOKUP(Исходн.данные.!AH152,Справ!$A$3:$D$58,2,FALSE)</f>
        <v>#N/A</v>
      </c>
      <c r="HG152" s="55" t="e">
        <f>VLOOKUP(Исходн.данные.!AH152,Справ!$A$3:$D$58,3,FALSE)</f>
        <v>#N/A</v>
      </c>
      <c r="HH152" s="55" t="e">
        <f>VLOOKUP(Исходн.данные.!AH152,Справ!$A$3:$D$58,4,FALSE)</f>
        <v>#N/A</v>
      </c>
      <c r="HI152" s="11" t="e">
        <f t="shared" si="191"/>
        <v>#N/A</v>
      </c>
      <c r="HJ152" s="11" t="e">
        <f t="shared" si="192"/>
        <v>#N/A</v>
      </c>
      <c r="HK152" s="11" t="e">
        <f t="shared" si="193"/>
        <v>#N/A</v>
      </c>
      <c r="HL152" s="55">
        <f>IF(OR(Исходн.данные.!G152="Глин",Исходн.данные.!G152="Т_суг"),1.1,IF(Исходн.данные.!G152="Ср_суг",1,1))</f>
        <v>1</v>
      </c>
      <c r="HM152" s="55">
        <f>IF(OR(Исходн.данные.!G152="Глин",Исходн.данные.!G152="Т_суг"),0.9,IF(Исходн.данные.!G152="Ср_суг",1,1.2))</f>
        <v>1.2</v>
      </c>
      <c r="HN152" s="11" t="e">
        <f t="shared" si="194"/>
        <v>#N/A</v>
      </c>
      <c r="HO152" s="11" t="e">
        <f t="shared" si="195"/>
        <v>#N/A</v>
      </c>
      <c r="HP152" s="11" t="e">
        <f t="shared" si="196"/>
        <v>#N/A</v>
      </c>
      <c r="HQ152" t="e">
        <f t="shared" si="197"/>
        <v>#N/A</v>
      </c>
      <c r="HR152" t="e">
        <f t="shared" si="198"/>
        <v>#N/A</v>
      </c>
      <c r="HS152" t="e">
        <f t="shared" si="199"/>
        <v>#N/A</v>
      </c>
      <c r="HT152" t="e">
        <f t="shared" si="219"/>
        <v>#N/A</v>
      </c>
      <c r="HU152" t="e">
        <f t="shared" si="220"/>
        <v>#N/A</v>
      </c>
      <c r="HV152" t="e">
        <f t="shared" si="221"/>
        <v>#N/A</v>
      </c>
      <c r="HW152" t="e">
        <f t="shared" si="222"/>
        <v>#N/A</v>
      </c>
      <c r="HX152" t="e">
        <f t="shared" si="223"/>
        <v>#N/A</v>
      </c>
      <c r="HY152" t="e">
        <f t="shared" si="224"/>
        <v>#N/A</v>
      </c>
      <c r="HZ152" s="55">
        <f>IF(OR(Исходн.данные.!AI152="Оз_Ч_П",Исходн.данные.!AI152="Оз_З_П",Исходн.данные.!AI152="Яр_зер"),12,30)</f>
        <v>30</v>
      </c>
      <c r="IA152" t="e">
        <f t="shared" si="200"/>
        <v>#N/A</v>
      </c>
      <c r="IB152" t="e">
        <f t="shared" si="201"/>
        <v>#N/A</v>
      </c>
      <c r="IC152" t="e">
        <f t="shared" si="202"/>
        <v>#N/A</v>
      </c>
      <c r="ID152" s="11" t="e">
        <f t="shared" si="203"/>
        <v>#N/A</v>
      </c>
      <c r="IE152" s="11" t="e">
        <f t="shared" si="204"/>
        <v>#N/A</v>
      </c>
      <c r="IF152" s="11" t="e">
        <f t="shared" si="205"/>
        <v>#N/A</v>
      </c>
    </row>
    <row r="153" spans="35:240" x14ac:dyDescent="0.2">
      <c r="AI153">
        <f>IF(Исходн.данные.!I153&gt;6,1,1.85-(0.148*Исходн.данные.!I153))</f>
        <v>1.85</v>
      </c>
      <c r="AJ153">
        <f>IF(Исходн.данные.!I153&gt;6,1,2.434-(0.246*Исходн.данные.!I153))</f>
        <v>2.4340000000000002</v>
      </c>
      <c r="AL153" s="148" t="b">
        <f>IF(Исходн.данные.!$P153="Ум",N_OrgUd_2g_um,IF(Исходн.данные.!$P153="Об",N_OrgUd_2g_ob))</f>
        <v>0</v>
      </c>
      <c r="AM153" s="148" t="b">
        <f>IF(Исходн.данные.!$P153="Ум",P_OrgUd_2g_um,IF(Исходн.данные.!$P153="Об",P_OrgUd_2g_ob))</f>
        <v>0</v>
      </c>
      <c r="AN153" s="148" t="b">
        <f>IF(Исходн.данные.!$P153="Ум",K_OrgUd_2g_um,IF(Исходн.данные.!$P153="Об",K_OrgUd_2g_ob))</f>
        <v>0</v>
      </c>
      <c r="AO153" s="148" t="b">
        <f>IF(Исходн.данные.!$P153="Ум",N_OrgUd_1g_um,IF(Исходн.данные.!$P153="Об",N_OrgUd_1g_ob))</f>
        <v>0</v>
      </c>
      <c r="AP153" s="148" t="b">
        <f>IF(Исходн.данные.!$P153="Ум",P_OrgUd_1g_um,IF(Исходн.данные.!$P153="Об",P_OrgUd_1g_ob))</f>
        <v>0</v>
      </c>
      <c r="AQ153" s="148" t="b">
        <f>IF(Исходн.данные.!$P153="Ум",K_OrgUd_1g_um,IF(Исходн.данные.!$P153="Об",K_OrgUd_1g_ob))</f>
        <v>0</v>
      </c>
      <c r="AR153" t="b">
        <f>IF(Исходн.данные.!$P153="Ум",N_MinUd_2g_um,IF(Исходн.данные.!$P153="Об",N_MinUd_2g_ob))</f>
        <v>0</v>
      </c>
      <c r="AS153" t="b">
        <f>IF(Исходн.данные.!$P153="Ум",P_MinUd_2g_um,IF(Исходн.данные.!$P153="Об",P_MinUd_2g_ob))</f>
        <v>0</v>
      </c>
      <c r="AT153" t="b">
        <f>IF(Исходн.данные.!$P153="Ум",K_MinUd_2g_um,IF(Исходн.данные.!$P153="Об",K_MinUd_2g_ob))</f>
        <v>0</v>
      </c>
      <c r="AU153" t="b">
        <f>IF(Исходн.данные.!$P153="Ум",N_MinUd_1g_um,IF(Исходн.данные.!$P153="Об",N_MinUd_1g_ob))</f>
        <v>0</v>
      </c>
      <c r="AV153" t="b">
        <f>IF(Исходн.данные.!P153="Ум",P_MinUd_1g_um,IF(Исходн.данные.!P153="Об",P_MinUd_1g_ob))</f>
        <v>0</v>
      </c>
      <c r="AW153" t="b">
        <f>IF(Исходн.данные.!P153="Ум",K_MinUd_1g_um,IF(Исходн.данные.!P153="Об",K_MinUd_1g_ob))</f>
        <v>0</v>
      </c>
      <c r="AY153" t="e">
        <f>VLOOKUP(Исходн.данные.!T153,Справ!$A$3:$N$57,12)</f>
        <v>#N/A</v>
      </c>
      <c r="AZ153" t="e">
        <f>VLOOKUP(Исходн.данные.!T153,Справ!$A$3:$N$57,13)</f>
        <v>#N/A</v>
      </c>
      <c r="BA153" t="e">
        <f>VLOOKUP(Исходн.данные.!T153,Справ!$A$3:$N$57,14)</f>
        <v>#N/A</v>
      </c>
      <c r="BB153">
        <f>IF(Исходн.данные.!AH153=0,0,25)</f>
        <v>0</v>
      </c>
      <c r="BC153" s="141">
        <f>IF(Исходн.данные.!AH153=0,0,IF(Исходн.данные.!T153=0,25,BD153))</f>
        <v>0</v>
      </c>
      <c r="BD153" s="168" t="e">
        <f>AY153+AZ153*Исходн.данные.!U153-POWER(BA153,2)*Исходн.данные.!U153</f>
        <v>#N/A</v>
      </c>
      <c r="BE15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3" s="25">
        <f>IF(Исходн.данные.!AH153=0,0,MIN(HN153:HP153))</f>
        <v>0</v>
      </c>
      <c r="BG153" s="9">
        <f>IF(Исходн.данные.!AH153=0,0,IF((HO153+10*0.25/HG153/HL153)&lt;17,17,HO153+10*0.25/HG153/HL153))</f>
        <v>0</v>
      </c>
      <c r="BH153" s="181">
        <f>IF(Исходн.данные.!AH153=0,0,HW153*HF153*HL153/AU153*AI153+Исходн.данные.!S153*10)</f>
        <v>0</v>
      </c>
      <c r="BI153" s="10"/>
      <c r="BJ153" s="182">
        <f>IF(Исходн.данные.!AH153=0,0,IF(HX153*HG153*HL153/AV153&lt;0,0,HX153*HG153*HL153/AV153*AJ153))</f>
        <v>0</v>
      </c>
      <c r="BK153" s="182">
        <f>IF(Исходн.данные.!AH153=0,0,HY153*HH153*HM153/AW153)</f>
        <v>0</v>
      </c>
      <c r="BL153" s="10">
        <f>IF(OR(Исходн.данные.!$AH153=$BP$1,Исходн.данные.!$AH153=$BP$2),0,IF(BH153&lt;0,0,IF(OR(Исходн.данные.!T153=Расчет!$BP$1,Исходн.данные.!T153=Расчет!$BP$2,Исходн.данные.!T153=Расчет!$BT$5,Исходн.данные.!T153=Расчет!$BT$6),BH153*0.5,IF(OR(Исходн.данные.!T153=Расчет!$BS$9,Исходн.данные.!T153=Расчет!$BS$10,Исходн.данные.!T153=Расчет!$BS$11,Исходн.данные.!T153=Расчет!$BS$12,Исходн.данные.!T153=Расчет!$BP$5),BH153*0.8,BH153))))</f>
        <v>0</v>
      </c>
      <c r="BM153" s="10">
        <f>IF(OR(Исходн.данные.!$AH153=$BP$1,Исходн.данные.!$AH153=$BP$2),0,IF(BJ153&lt;0,0,IF(Исходн.данные.!I153&lt;4.5,BJ153*1.2,IF(Исходн.данные.!I153&gt;5.1,BJ153,BJ153*((5.1-Исходн.данные.!I153)*0.333+1)))))</f>
        <v>0</v>
      </c>
      <c r="BN153" s="10">
        <f>IF(OR(Исходн.данные.!$AH153=$BP$1,Исходн.данные.!$AH153=$BP$2),60-Исходн.данные.!AF153,IF(BK153&lt;0,0,IF(Исходн.данные.!I153&lt;4.5,BK153*1.2,IF(Исходн.данные.!I153&gt;5.1,BK153,BK153*((5.1-Исходн.данные.!I153)*0.333+1)))))</f>
        <v>0</v>
      </c>
      <c r="BO153" s="9">
        <f>IF(BL153&lt;0,0,BL153*Исходн.данные.!$AJ153/1000)</f>
        <v>0</v>
      </c>
      <c r="BP153" s="9">
        <f>IF(BM153&lt;0,0,BM153*Исходн.данные.!$AJ153/1000)</f>
        <v>0</v>
      </c>
      <c r="BQ153" s="9">
        <f>IF(BN153&lt;0,0,BN153*Исходн.данные.!$AJ153/1000)</f>
        <v>0</v>
      </c>
      <c r="BR153" s="9">
        <f t="shared" si="155"/>
        <v>0</v>
      </c>
      <c r="BS153" s="10" t="str">
        <f t="shared" si="156"/>
        <v>Аммофос 12:52:00</v>
      </c>
      <c r="BT153" s="10" t="str">
        <f t="shared" si="157"/>
        <v>Аммофос 12:52:00</v>
      </c>
      <c r="BU153" s="10" t="str">
        <f t="shared" si="158"/>
        <v>Диаммофоска</v>
      </c>
      <c r="BV153" s="10">
        <f t="shared" si="159"/>
        <v>0</v>
      </c>
      <c r="BW153" s="10"/>
      <c r="BX153" s="10"/>
      <c r="BY153" s="9">
        <f>IF(BL153&lt;0,0,IF(OR(Исходн.данные.!AI153=Расчет!$BU$6,Исходн.данные.!AI153=Расчет!$BU$7),Расчет!BV153,IF(Исходн.данные.!$AG153=$BV$11,BL153,IF(OR(Исходн.данные.!$AH153=$BQ$7,Исходн.данные.!$AH153=$BQ$8),CB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0,IF(Исходн.данные.!$AI153=$BU$11,"Нет",IF(BL153&gt;30,30,BL153)))))))</f>
        <v>0</v>
      </c>
      <c r="BZ153" s="9">
        <f>IF(AND(Исходн.данные.!$AG153=$BV$11,BM153&lt;10),10,IF(Исходн.данные.!$AG153=$BV$11,BM153,IF(OR(Исходн.данные.!$AH153=$BQ$7,Исходн.данные.!$AH153=$BQ$8),CC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10,IF(Исходн.данные.!$AI153=$BU$11,"Нет",IF(BM153&gt;60,60,IF(BM153&lt;10,10,BM153)))))))</f>
        <v>10</v>
      </c>
      <c r="CA153" s="39">
        <f>IF(BN153&lt;0,0,IF(Исходн.данные.!$AG153=$BV$11,BN153,IF(OR(Исходн.данные.!$AH153=$BQ$7,Исходн.данные.!$AH153=$BQ$8),CD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0,IF(Исходн.данные.!$AI153=$BU$11,"Нет",IF(BN153&gt;30,30,BN153))))))</f>
        <v>0</v>
      </c>
      <c r="CB153" s="9">
        <f t="shared" si="160"/>
        <v>0</v>
      </c>
      <c r="CC153" s="9">
        <f t="shared" si="161"/>
        <v>0</v>
      </c>
      <c r="CD153" s="9">
        <f t="shared" si="162"/>
        <v>0</v>
      </c>
      <c r="CE153" s="12">
        <f t="shared" si="163"/>
        <v>10</v>
      </c>
      <c r="CF153" s="9">
        <f t="shared" si="164"/>
        <v>0</v>
      </c>
      <c r="CG153" s="9" t="s">
        <v>231</v>
      </c>
      <c r="CH153" s="132" t="str">
        <f>IF(Исходн.данные.!AP153=Расчет!$CI$16,"Нет",IF(Исходн.данные.!AL153&gt;0,Исходн.данные.!AL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BH$4,IF(OR(Исходн.данные.!AI153=Исходн.данные.!$AI$6,Исходн.данные.!AI153=Исходн.данные.!$AI$7),Расчет!BS153,IF(AND($CF153=0,$CE153&gt;0),EV153,ER153)))))</f>
        <v>Аммофос 12:52:00</v>
      </c>
      <c r="CI153" s="274">
        <f>IF(Расчет!$CH153="Нет","Нет",IF(Исходн.данные.!$AL153&gt;0,VLOOKUP(Расчет!$CH153,АшламаДВ_Irekle,2,FALSE),VLOOKUP(Расчет!$CH153,АшламаДВ_Gomumy,2,FALSE)))</f>
        <v>0.12</v>
      </c>
      <c r="CJ153" s="274">
        <f>IF(Расчет!$CH153="Нет","Нет",IF(Исходн.данные.!$AL153&gt;0,VLOOKUP(Расчет!$CH153,АшламаДВ_Irekle,3,FALSE),VLOOKUP(Расчет!$CH153,АшламаДВ_Gomumy,3,FALSE)))</f>
        <v>0.52</v>
      </c>
      <c r="CK153" s="274">
        <f>IF(Расчет!$CH153="Нет","Нет",IF(Исходн.данные.!$AL153&gt;0,VLOOKUP(Расчет!$CH153,АшламаДВ_Irekle,4,FALSE),VLOOKUP(Расчет!$CH153,АшламаДВ_Gomumy,4,FALSE)))</f>
        <v>0</v>
      </c>
      <c r="CL153" s="70"/>
      <c r="CM153" s="70"/>
      <c r="CN153" s="70"/>
      <c r="CO153" s="70"/>
      <c r="CP153" s="70"/>
      <c r="CQ153" s="70"/>
      <c r="CR153" s="10">
        <f t="shared" si="165"/>
        <v>0</v>
      </c>
      <c r="CS153" s="10">
        <f t="shared" si="166"/>
        <v>19.23076923076923</v>
      </c>
      <c r="CT153" s="10">
        <f t="shared" si="167"/>
        <v>0</v>
      </c>
      <c r="CU153" s="39">
        <f>IF($CH153="Нет",0,IF(CI153=0,30/MIN(CJ153:CK153),IF(Исходн.данные.!$AG153=$BV$11,CR153,IF(OR(Исходн.данные.!$AH153=$BQ$7,Исходн.данные.!$AH153=$BQ$8),90/CI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0,IF(Исходн.данные.!$AI153=$BU$11,"Нет",30/CI153))))))</f>
        <v>250</v>
      </c>
      <c r="CV153" s="39">
        <f>IF($CH153="Нет",0,IF(Исходн.данные.!AH153=0,0,IF(CJ153=0,60/MIN(CI153,CK153),IF(Исходн.данные.!$AG153=$BV$11,CS153,IF(OR(Исходн.данные.!$AH153=$BQ$7,Исходн.данные.!$AH153=$BQ$8),90/CJ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10/CJ153,IF(Исходн.данные.!$AI153=$BU$11,"Нет",60/CJ153)))))))</f>
        <v>0</v>
      </c>
      <c r="CW153" s="39">
        <f>IF($CH153="Нет",0,IF(Исходн.данные.!AH153=0,0,IF(CK153=0,30/MIN(CI153:CJ153),IF(Исходн.данные.!$AG153=$BV$11,CT153,IF(OR(Исходн.данные.!$AH153=$BQ$7,Исходн.данные.!$AH153=$BQ$8),90/CK153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0,IF(Исходн.данные.!$AI153=$BU$11,"Нет",30/CK153)))))))</f>
        <v>0</v>
      </c>
      <c r="CX153" s="133">
        <f>IF(Исходн.данные.!$AG153=$BV$11,MAX(CU153:CW153),IF(OR(Исходн.данные.!$AH153=$BS$8,Исходн.данные.!$AH153=$BQ$9,Исходн.данные.!$AH153=$BQ$10,Исходн.данные.!$AH153=$BQ$11,Исходн.данные.!$AH153=$BQ$12,Исходн.данные.!$AH153=$BP$3,Исходн.данные.!$AH153=$BT$8,$FM153="Да"),CV153,MIN(CU153:CW153)))</f>
        <v>0</v>
      </c>
      <c r="CY153" s="133">
        <f>IF(Исходн.данные.!AH153=0,0,IF(CR153&gt;$CX153,$CX153,CR153))</f>
        <v>0</v>
      </c>
      <c r="CZ153" s="133">
        <f>IF(Исходн.данные.!AH153=0,0,IF(CS153&gt;$CX153,$CX153,CS153))</f>
        <v>0</v>
      </c>
      <c r="DA153" s="133">
        <f>IF(Исходн.данные.!AH153=0,0,IF(CT153&gt;$CX153,$CX153,CT153))</f>
        <v>0</v>
      </c>
      <c r="DB153" s="10">
        <f t="shared" si="168"/>
        <v>0</v>
      </c>
      <c r="DC153" s="39">
        <f>DB153*Исходн.данные.!AJ153/1000</f>
        <v>0</v>
      </c>
      <c r="DD153" s="71">
        <f t="shared" si="169"/>
        <v>0</v>
      </c>
      <c r="DE153" s="9">
        <f t="shared" si="170"/>
        <v>0</v>
      </c>
      <c r="DF153" s="9">
        <f t="shared" si="171"/>
        <v>0</v>
      </c>
      <c r="DG153" s="39">
        <f>IF(BL153&lt;0,0,IF($CH153="Нет",BL153,IF(OR(Исходн.данные.!$AH153=$BP$1,Исходн.данные.!$AH153=$BP$2),0,IF(Исходн.данные.!AI153=$BU$11,BL153,IF(BL153-DD153&lt;0,0,BL153-DD153)))))</f>
        <v>0</v>
      </c>
      <c r="DH153" s="39">
        <f>IF(BM153&lt;0,0,IF($CH153="Нет",BM153,IF(OR(Исходн.данные.!$AH153=$BP$1,Исходн.данные.!$AH153=$BP$2),0,IF(Исходн.данные.!AJ153=$BU$11,BM153,IF(BM153-DE153&lt;0,0,BM153-DE153)))))</f>
        <v>0</v>
      </c>
      <c r="DI153" s="39">
        <f>IF(BN153&lt;0,0,IF($CH153="Нет",BN153,IF(OR(Исходн.данные.!$AH153=$BP$1,Исходн.данные.!$AH153=$BP$2),0,IF(Исходн.данные.!AK153=$BU$11,BN153,IF(BN153-DF153&lt;0,0,BN153-DF153)))))</f>
        <v>0</v>
      </c>
      <c r="DJ153" s="12">
        <f t="shared" si="172"/>
        <v>0</v>
      </c>
      <c r="DK153" s="9">
        <f t="shared" si="173"/>
        <v>0</v>
      </c>
      <c r="DL153" s="39">
        <f>IF(Исходн.данные.!AM153&gt;0,Исходн.данные.!AM153,IF(EG153&gt;0,$BH$10,0))</f>
        <v>0</v>
      </c>
      <c r="DM153" s="186">
        <f>IF($DL153=0,0,IF(Исходн.данные.!AM153&gt;0,VLOOKUP($DL153,АшламаДВ_Irekle,2,FALSE),VLOOKUP($DL153,АшламаДВ_Gomumy,2,FALSE)))</f>
        <v>0</v>
      </c>
      <c r="DN153" s="10">
        <f t="shared" si="225"/>
        <v>0</v>
      </c>
      <c r="DO153" s="9" t="str">
        <f>IF(Исходн.данные.!AN153&gt;0,Исходн.данные.!AN153,Удобрения!$B$37 )</f>
        <v>Хлор.калий</v>
      </c>
      <c r="DP153" s="9">
        <f>IF(Исходн.данные.!AN153&gt;0,VLOOKUP(Исходн.данные.!AN153,АшламаДВ_Irekle,4,FALSE),VLOOKUP(DO153,АшламаДВ_Gomumy,4,FALSE))</f>
        <v>0.6</v>
      </c>
      <c r="DQ153" s="10">
        <f t="shared" si="226"/>
        <v>0</v>
      </c>
      <c r="DR153" s="132" t="str">
        <f>IF(Исходн.данные.!AO153&gt;0,Исходн.данные.!AO153,IF(DH153=0,BS$17,IF(AND($DK153=0,$DJ153&gt;0),EJ153,EN153)))</f>
        <v>Нет</v>
      </c>
      <c r="DS153" s="70" t="str">
        <f>IF($DR153="Нет","Нет",IF(Исходн.данные.!$AO153&gt;0,VLOOKUP($DR153,АшламаДВ_Irekle,2,FALSE),VLOOKUP($DR153,АшламаДВ_Gomumy,2,FALSE)))</f>
        <v>Нет</v>
      </c>
      <c r="DT153" s="70" t="str">
        <f>IF($DR153="Нет","Нет",IF(Исходн.данные.!$AO153&gt;0,VLOOKUP($DR153,АшламаДВ_Irekle,3,FALSE),VLOOKUP($DR153,АшламаДВ_Gomumy,3,FALSE)))</f>
        <v>Нет</v>
      </c>
      <c r="DU153" s="70" t="str">
        <f>IF($DR153="Нет","Нет",IF(Исходн.данные.!$AO153&gt;0,VLOOKUP($DR153,АшламаДВ_Irekle,4,FALSE),VLOOKUP($DR153,АшламаДВ_Gomumy,4,FALSE)))</f>
        <v>Нет</v>
      </c>
      <c r="DV153" s="70"/>
      <c r="DW153" s="70"/>
      <c r="DX153" s="70"/>
      <c r="DY153" s="10">
        <f t="shared" si="174"/>
        <v>0</v>
      </c>
      <c r="DZ153" s="10">
        <f t="shared" si="175"/>
        <v>0</v>
      </c>
      <c r="EA153" s="10">
        <f t="shared" si="176"/>
        <v>0</v>
      </c>
      <c r="EB153" s="10">
        <f t="shared" si="177"/>
        <v>0</v>
      </c>
      <c r="EC153" s="10">
        <f t="shared" si="178"/>
        <v>0</v>
      </c>
      <c r="ED153" s="10">
        <f t="shared" si="179"/>
        <v>0</v>
      </c>
      <c r="EE153" s="10">
        <f t="shared" si="180"/>
        <v>0</v>
      </c>
      <c r="EF153" s="39">
        <f>EB153*Исходн.данные.!AJ153/1000</f>
        <v>0</v>
      </c>
      <c r="EG153" s="9">
        <f t="shared" si="181"/>
        <v>0</v>
      </c>
      <c r="EH153" s="9">
        <f t="shared" si="182"/>
        <v>0</v>
      </c>
      <c r="EI153" s="39" t="e">
        <f t="shared" si="206"/>
        <v>#DIV/0!</v>
      </c>
      <c r="EJ153" s="9" t="str">
        <f t="shared" si="227"/>
        <v>Азопреципитат</v>
      </c>
      <c r="EK153" s="12">
        <f t="shared" si="207"/>
        <v>0.26</v>
      </c>
      <c r="EL153" s="12">
        <f t="shared" si="208"/>
        <v>0.13</v>
      </c>
      <c r="EM153" s="12">
        <f t="shared" si="209"/>
        <v>0</v>
      </c>
      <c r="EN153" s="12" t="str">
        <f t="shared" si="228"/>
        <v>Нет</v>
      </c>
      <c r="EO153" s="12">
        <f t="shared" si="210"/>
        <v>0</v>
      </c>
      <c r="EP153" s="12">
        <f t="shared" si="211"/>
        <v>0</v>
      </c>
      <c r="EQ153" s="12">
        <f t="shared" si="212"/>
        <v>0</v>
      </c>
      <c r="ER153" s="12" t="str">
        <f t="shared" si="183"/>
        <v>Диаммофоска</v>
      </c>
      <c r="ES153" s="12">
        <f t="shared" si="213"/>
        <v>0.1</v>
      </c>
      <c r="ET153" s="12">
        <f t="shared" si="214"/>
        <v>0.26</v>
      </c>
      <c r="EU153" s="12">
        <f t="shared" si="215"/>
        <v>0.26</v>
      </c>
      <c r="EV153" s="12" t="str">
        <f t="shared" si="184"/>
        <v>Аммофос 12:52:00</v>
      </c>
      <c r="EW153" s="12" t="str">
        <f t="shared" si="185"/>
        <v>Кемира Свекловичное-6</v>
      </c>
      <c r="EX153" s="12">
        <f t="shared" si="216"/>
        <v>0.16</v>
      </c>
      <c r="EY153" s="12">
        <f t="shared" si="217"/>
        <v>0.12</v>
      </c>
      <c r="EZ153" s="12">
        <f t="shared" si="218"/>
        <v>0.17</v>
      </c>
      <c r="FA153" s="38" t="e">
        <f>IF(AND(OR(FJ153=$FD$1,FM153=$FD$1,FO153=$FD$1,FQ153=$FD$1,FS153=$FD$1),FD153=$FD$1,Исходн.данные.!J153&lt;2,FU153=$FD$1),"Бор,Кобальт",IF(AND(FO153=$FD$1,FH153=$FD$1,Исходн.данные.!J153&lt;2,FU153=$FD$1),"Бор,Кобальт",IF(AND(OR(FJ153=$FD$1,FM153=$FD$1,FQ153=$FD$1),FE153=$FD$1,Исходн.данные.!J153&lt;2,FT153=$FD$1,FU153=$FD$1),"Бор,Медь,Цинк",IF(AND(OR(FJ153=$FD$1,FR153="Да"),FI153="Да",Исходн.данные.!J153&lt;2,FT153="Да",FU153="Да"),"Бор,Цинк,Медь",IF(AND(OR(FM153="Да",FQ153="Да"),FI153="Да",Исходн.данные.!J153&lt;2,FT153="Да",FU153="Да"),"Бор,Цинк",IF(AND(FN153="Да",OR(FD153="Да",FE153="Да")),"Бор",FB153))))))</f>
        <v>#N/A</v>
      </c>
      <c r="FB153" s="134" t="e">
        <f>IF(AND(OR(FD153="Да",FE153="Да",FF153="Да",FG153="Да",FH153="Да"),FO153="Да"),"Бор",IF(AND(FP153="Да",OR(FD153="Да",FE153="Да",FI153="Да")),"Бор",IF(AND(FS153="Да",FE153="Да"),"Бор,Медь",IF(AND(OR(FJ153="Да",FK153="Да",FL153="Да"),FE153="Да",Исходн.данные.!I153&lt;5,FT153="Да",FU153="Да"),"Молибден,Цинк",IF(AND(FM153="Да",OR(FE153="Да",FF153="Да",FG153="Да",FH153="Да",FI153="Да")),"Молибден,Цинк",IF(AND(OR(FJ153="Да",FK153="Да",FL153="Да",FM153="Да",FQ153="Да"),OR(FE153="Да",FF153="Да"),FT153="Да",FU153="Да",Исходн.данные.!I153&gt;5.5),"Медь,Цинк",FC153))))))</f>
        <v>#N/A</v>
      </c>
      <c r="FC153" s="23" t="e">
        <f t="shared" si="186"/>
        <v>#N/A</v>
      </c>
      <c r="FD153" s="38" t="str">
        <f>IF(OR(Исходн.данные.!F153=$CC$1,Исходн.данные.!F153=$CC$2,Исходн.данные.!F153=$CC$3,Исходн.данные.!F153=$CC$4),"Да","Нет")</f>
        <v>Нет</v>
      </c>
      <c r="FE153" s="38" t="str">
        <f>IF(Исходн.данные.!F153=$CC$5,"Да","Нет")</f>
        <v>Нет</v>
      </c>
      <c r="FF153" s="38" t="str">
        <f>IF(OR(Исходн.данные.!F153=$CC$6,Исходн.данные.!F153=$CC$7),"Да","Нет")</f>
        <v>Нет</v>
      </c>
      <c r="FG153" s="38" t="str">
        <f>IF(OR(Исходн.данные.!F153=$CC$8,Исходн.данные.!F153=$CC$9),"Да","Нет")</f>
        <v>Нет</v>
      </c>
      <c r="FH153" s="38" t="str">
        <f>IF(Исходн.данные.!F153=$CC$10,"Да","Нет")</f>
        <v>Нет</v>
      </c>
      <c r="FI153" s="38" t="str">
        <f>IF(OR(Исходн.данные.!F153=$CC$11,Исходн.данные.!F153=$CC$12),"Да","Нет")</f>
        <v>Нет</v>
      </c>
      <c r="FJ153" s="38" t="str">
        <f>IF(OR(Исходн.данные.!AH153=$BS$1,Исходн.данные.!AH153=$BQ$11,Исходн.данные.!AH153=$BQ$12),"Да","Нет")</f>
        <v>Нет</v>
      </c>
      <c r="FK153" s="38" t="str">
        <f>IF(OR(Исходн.данные.!AH153=$BS$2,Исходн.данные.!AH153=$BS$4),"Да","Нет")</f>
        <v>Нет</v>
      </c>
      <c r="FL153" s="38" t="str">
        <f>IF(OR(Исходн.данные.!AH153=$BS$3,Исходн.данные.!AH153=$BS$5),"Да","Нет")</f>
        <v>Нет</v>
      </c>
      <c r="FM153" s="38" t="str">
        <f>IF(OR(Исходн.данные.!AH153=$BS$9,Исходн.данные.!AH153=$BS$10,Исходн.данные.!AH153=$BS$11,Исходн.данные.!AH153=$BS$12),"Да","Нет")</f>
        <v>Нет</v>
      </c>
      <c r="FN153" s="38" t="str">
        <f>IF(OR(Исходн.данные.!AH153=$BS$6,Исходн.данные.!AH153=$BP$3),"Да","Нет")</f>
        <v>Нет</v>
      </c>
      <c r="FO153" s="38" t="str">
        <f>IF(Исходн.данные.!AH153=$BQ$9,"Да","Нет")</f>
        <v>Нет</v>
      </c>
      <c r="FP153" s="38" t="str">
        <f>IF(OR(Исходн.данные.!AH153=$BS$8,Исходн.данные.!AH153=$BT$8),"Да","Нет")</f>
        <v>Нет</v>
      </c>
      <c r="FQ153" s="38" t="str">
        <f>IF(OR(Исходн.данные.!AH153=$BQ$7,Исходн.данные.!AH153=$BQ$8),"Да","Нет")</f>
        <v>Нет</v>
      </c>
      <c r="FR153" s="38" t="str">
        <f>IF(Исходн.данные.!AI153=$BU$9,"Да","Нет")</f>
        <v>Нет</v>
      </c>
      <c r="FS153" s="38" t="str">
        <f>IF(OR(Исходн.данные.!AH153=$BP$1,Исходн.данные.!AH153=$BP$2),"Да","Нет")</f>
        <v>Нет</v>
      </c>
      <c r="FT153" s="38" t="e">
        <f>IF((Исходн.данные.!K153*GO153*GS153*GW153+BL153*0.6+Исходн.данные.!Q153*4.5*0.275)&gt;90,"Да","Нет")</f>
        <v>#N/A</v>
      </c>
      <c r="FU153" s="38" t="e">
        <f>IF((Исходн.данные.!M153*GS153*GZ153+BM153*0.225)&gt;35,"Да","Нет")</f>
        <v>#N/A</v>
      </c>
      <c r="FV153" s="38" t="str">
        <f>IF(Исходн.данные.!O153&gt;175,"Да","Нет")</f>
        <v>Нет</v>
      </c>
      <c r="FW153" s="39" t="str">
        <f>IF(Исходн.данные.!I153&gt;5.5,"Да","Нет")</f>
        <v>Нет</v>
      </c>
      <c r="FX153" s="39" t="str">
        <f>IF(Исходн.данные.!J153&lt;2,"Да","Нет")</f>
        <v>Да</v>
      </c>
      <c r="FY153" s="39" t="e">
        <f>IF(HF153=$FY$16,0,Исходн.данные.!K153*GO153*GS153*GW153/HF153)</f>
        <v>#N/A</v>
      </c>
      <c r="FZ153" s="39" t="e">
        <f>Исходн.данные.!M153*GS153*GZ153/HG153</f>
        <v>#N/A</v>
      </c>
      <c r="GA153" s="39" t="e">
        <f>IF(K_Wyn=$FY$16,0,IF(Исходн.данные.!N153=Исходн.данные.!$L$10,Исходн.данные.!O153/1.1*GS153*HC153/HH153,IF(Исходн.данные.!N153=Исходн.данные.!$L$12,Исходн.данные.!O153/1.5*GS153*HC153/HH153,Исходн.данные.!O153*GS153*HC153/HH153)))</f>
        <v>#N/A</v>
      </c>
      <c r="GB153" s="39" t="e">
        <f>IF(HF153=$FY$16,0,((Исходн.данные.!Q153*N_Org+Исходн.данные.!R153*N_Sider+Исходн.данные.!S153*N_Soloma)*AO153+Расчет!BC153*VLOOKUP(Исходн.данные.!T153,Справ!$A$3:$O$57,15)*AO153+BB153*VLOOKUP(Исходн.данные.!T153,Справ!$A$3:$O$57,15)*AL153+(Исходн.данные.!V153*N_Rizotorf+Исходн.данные.!W153*N_Rizoagr))/HF153)</f>
        <v>#N/A</v>
      </c>
      <c r="GC153" s="39" t="e">
        <f>IF(HG153=$FY$16,0,((Исходн.данные.!Q153*Р_Org+Исходн.данные.!R153*P_Sider+Исходн.данные.!S153*P_Soloma)*AP153+Расчет!BC153*VLOOKUP(Исходн.данные.!T153,Справ!$A$3:$P$57,16)*AP153+BB153*VLOOKUP(Исходн.данные.!T153,Справ!$A$3:$P$57,16)*AM153)/HG153)</f>
        <v>#N/A</v>
      </c>
      <c r="GD153" s="39" t="e">
        <f>IF(HH153=$FY$16,0,((Исходн.данные.!Q153*К_Org+Исходн.данные.!R153*K_Sider+Исходн.данные.!S153*K_Soloma)*AQ153+Расчет!BC153*VLOOKUP(Исходн.данные.!T153,Справ!$A$3:$Q$57,17)*AQ153+BB153*VLOOKUP(Исходн.данные.!T153,Справ!$A$3:$Q$57,17)*AN153)/HH153)</f>
        <v>#N/A</v>
      </c>
      <c r="GE153" s="39" t="e">
        <f>IF(HF153=$FY$16,0,(Исходн.данные.!X153*AR153+Исходн.данные.!AA153*N_Org*AL153+Исходн.данные.!AB153*N_Sider*AL153+Исходн.данные.!AC153*N_Soloma*AL153)/HF153)</f>
        <v>#N/A</v>
      </c>
      <c r="GF153" s="39" t="e">
        <f>IF(HG153=$FY$16,0,(Исходн.данные.!Y153*AS153+Исходн.данные.!AA153*Р_Org*AM153+Исходн.данные.!AB153*P_Sider*AM153+Исходн.данные.!AC153*P_Soloma*AM153)/HG153)</f>
        <v>#N/A</v>
      </c>
      <c r="GG153" s="39" t="e">
        <f>IF(HH153=$FY$16,0,(Исходн.данные.!Z153*AT153+Исходн.данные.!AA153*К_Org*AN153+Исходн.данные.!AB153*K_Sider*AN153+Исходн.данные.!AC153*K_Soloma*AN153)/HH153)</f>
        <v>#N/A</v>
      </c>
      <c r="GH153" s="39" t="e">
        <f>Исходн.данные.!AD153*AU153/HF153</f>
        <v>#N/A</v>
      </c>
      <c r="GI153" s="39" t="e">
        <f>Исходн.данные.!AE153*AV153/HG153</f>
        <v>#N/A</v>
      </c>
      <c r="GJ153" s="39" t="e">
        <f>Исходн.данные.!AF153*AW153/HH153</f>
        <v>#N/A</v>
      </c>
      <c r="GK153" s="55">
        <f>Исходн.данные.!AK153</f>
        <v>0</v>
      </c>
      <c r="GL153" s="11" t="e">
        <f t="shared" si="187"/>
        <v>#N/A</v>
      </c>
      <c r="GM153" s="11" t="e">
        <f t="shared" si="188"/>
        <v>#N/A</v>
      </c>
      <c r="GN153" s="11" t="e">
        <f t="shared" si="189"/>
        <v>#N/A</v>
      </c>
      <c r="GO153" s="57">
        <f t="shared" si="190"/>
        <v>19</v>
      </c>
      <c r="GP153" s="55">
        <f>IF(OR(Исходн.данные.!F153=$CE$1,Исходн.данные.!F153=$CE$2,Исходн.данные.!F153=$CE$3,Исходн.данные.!F153=$CE$4,Исходн.данные.!F153=$CE$5),GQ153,GR153)</f>
        <v>19</v>
      </c>
      <c r="GQ153" s="55">
        <f>IF(Исходн.данные.!F153=$CE$1,28,IF(Исходн.данные.!F153=$CE$2,26,IF(Исходн.данные.!F153=$CE$3,24,IF(Исходн.данные.!F153=$CE$4,22,IF(Исходн.данные.!F153=$CE$5,20,GR153)))))</f>
        <v>19</v>
      </c>
      <c r="GR153" s="55">
        <f>IF(Исходн.данные.!F153=$CE$6,18,IF(Исходн.данные.!F153=$CE$7,16,IF(Исходн.данные.!F153=$CE$8,14,IF(Исходн.данные.!F153=$CE$9,13,IF(Исходн.данные.!F153=$CE$10,12,19)))))</f>
        <v>19</v>
      </c>
      <c r="GS153" s="55">
        <f>IF(Исходн.данные.!G153="Пес",0.035*(40+2*Исходн.данные.!H153),IF(Исходн.данные.!G153="Суп",0.0325*(40+2*Исходн.данные.!H153),0.03*(40+2*Исходн.данные.!H153)))</f>
        <v>1.2</v>
      </c>
      <c r="GT153" s="55">
        <f>IF(Исходн.данные.!H153&lt;23,2.6,IF(AND(Исходн.данные.!H153&gt;22,Исходн.данные.!H153&lt;26),3,IF(AND(Исходн.данные.!H153&gt;25,Исходн.данные.!H153&lt;29),3.4,3.6)))</f>
        <v>2.6</v>
      </c>
      <c r="GU153" s="55">
        <f>IF(Исходн.данные.!H153&lt;23,2.8,IF(AND(Исходн.данные.!H153&gt;22,Исходн.данные.!H153&lt;26),3.2,IF(AND(Исходн.данные.!H153&gt;25,Исходн.данные.!H153&lt;29),3.6,3.9)))</f>
        <v>2.8</v>
      </c>
      <c r="GV153" s="55">
        <f>IF(Исходн.данные.!H153&lt;23,3,IF(AND(Исходн.данные.!H153&gt;22,Исходн.данные.!H153&lt;26),3.5,IF(AND(Исходн.данные.!H153&gt;25,Исходн.данные.!H153&lt;29),3.9,4.2)))</f>
        <v>3</v>
      </c>
      <c r="GW153" s="55" t="e">
        <f>IF(Исходн.данные.!P153="Ум",GX153,GY153)</f>
        <v>#N/A</v>
      </c>
      <c r="GX153" s="55" t="e">
        <f>VLOOKUP(Исходн.данные.!AI153,Коэффициенты!$J$7:$L$13,2,FALSE)</f>
        <v>#N/A</v>
      </c>
      <c r="GY153" s="55" t="e">
        <f>VLOOKUP(Исходн.данные.!AI153,Коэффициенты!$J$7:$L$13,3,FALSE)</f>
        <v>#N/A</v>
      </c>
      <c r="GZ153" s="55" t="e">
        <f>(IF(Исходн.данные.!M153&lt;50,0.11*VLOOKUP(Исходн.данные.!AH153,Культуры.Информация,7,FALSE),IF(Исходн.данные.!M153&gt;250,0.05*VLOOKUP(Исходн.данные.!AH153,Культуры.Информация,7,FALSE),VLOOKUP(Исходн.данные.!AH153,Культуры.Информация,5,FALSE)/100*($GX$6+$GY$6*Исходн.данные.!M153))))*Расчет2!AI153</f>
        <v>#N/A</v>
      </c>
      <c r="HA153" s="211"/>
      <c r="HB153" s="211"/>
      <c r="HC153" s="55" t="e">
        <f>(IF(Исходн.данные.!O153&lt;80,0.2*VLOOKUP(Исходн.данные.!AH153,Культуры.Информация,8,FALSE),IF(Исходн.данные.!O153&gt;240,0.09*VLOOKUP(Исходн.данные.!AH153,Культуры.Информация,8,FALSE),VLOOKUP(Исходн.данные.!AH153,Культуры.Информация,6,FALSE)/100*($HB$6+$HC$6*Исходн.данные.!O153))))*Расчет2!AJ153</f>
        <v>#N/A</v>
      </c>
      <c r="HD153" s="55">
        <f>IF(Исходн.данные.!O153&gt;240,0.09,IF(Исходн.данные.!O153&lt;30,0.3,$HE$10+$HD$10*Исходн.данные.!O153))</f>
        <v>0.3</v>
      </c>
      <c r="HE153" s="55">
        <f>IF(Исходн.данные.!O153&gt;240,0.17,IF(Исходн.данные.!O153&lt;30,0.5,$HF$12+$HE$12*Исходн.данные.!O153))</f>
        <v>0.5</v>
      </c>
      <c r="HF153" s="55" t="e">
        <f>VLOOKUP(Исходн.данные.!AH153,Справ!$A$3:$D$58,2,FALSE)</f>
        <v>#N/A</v>
      </c>
      <c r="HG153" s="55" t="e">
        <f>VLOOKUP(Исходн.данные.!AH153,Справ!$A$3:$D$58,3,FALSE)</f>
        <v>#N/A</v>
      </c>
      <c r="HH153" s="55" t="e">
        <f>VLOOKUP(Исходн.данные.!AH153,Справ!$A$3:$D$58,4,FALSE)</f>
        <v>#N/A</v>
      </c>
      <c r="HI153" s="11" t="e">
        <f t="shared" si="191"/>
        <v>#N/A</v>
      </c>
      <c r="HJ153" s="11" t="e">
        <f t="shared" si="192"/>
        <v>#N/A</v>
      </c>
      <c r="HK153" s="11" t="e">
        <f t="shared" si="193"/>
        <v>#N/A</v>
      </c>
      <c r="HL153" s="55">
        <f>IF(OR(Исходн.данные.!G153="Глин",Исходн.данные.!G153="Т_суг"),1.1,IF(Исходн.данные.!G153="Ср_суг",1,1))</f>
        <v>1</v>
      </c>
      <c r="HM153" s="55">
        <f>IF(OR(Исходн.данные.!G153="Глин",Исходн.данные.!G153="Т_суг"),0.9,IF(Исходн.данные.!G153="Ср_суг",1,1.2))</f>
        <v>1.2</v>
      </c>
      <c r="HN153" s="11" t="e">
        <f t="shared" si="194"/>
        <v>#N/A</v>
      </c>
      <c r="HO153" s="11" t="e">
        <f t="shared" si="195"/>
        <v>#N/A</v>
      </c>
      <c r="HP153" s="11" t="e">
        <f t="shared" si="196"/>
        <v>#N/A</v>
      </c>
      <c r="HQ153" t="e">
        <f t="shared" si="197"/>
        <v>#N/A</v>
      </c>
      <c r="HR153" t="e">
        <f t="shared" si="198"/>
        <v>#N/A</v>
      </c>
      <c r="HS153" t="e">
        <f t="shared" si="199"/>
        <v>#N/A</v>
      </c>
      <c r="HT153" t="e">
        <f t="shared" si="219"/>
        <v>#N/A</v>
      </c>
      <c r="HU153" t="e">
        <f t="shared" si="220"/>
        <v>#N/A</v>
      </c>
      <c r="HV153" t="e">
        <f t="shared" si="221"/>
        <v>#N/A</v>
      </c>
      <c r="HW153" t="e">
        <f t="shared" si="222"/>
        <v>#N/A</v>
      </c>
      <c r="HX153" t="e">
        <f t="shared" si="223"/>
        <v>#N/A</v>
      </c>
      <c r="HY153" t="e">
        <f t="shared" si="224"/>
        <v>#N/A</v>
      </c>
      <c r="HZ153" s="55">
        <f>IF(OR(Исходн.данные.!AI153="Оз_Ч_П",Исходн.данные.!AI153="Оз_З_П",Исходн.данные.!AI153="Яр_зер"),12,30)</f>
        <v>30</v>
      </c>
      <c r="IA153" t="e">
        <f t="shared" si="200"/>
        <v>#N/A</v>
      </c>
      <c r="IB153" t="e">
        <f t="shared" si="201"/>
        <v>#N/A</v>
      </c>
      <c r="IC153" t="e">
        <f t="shared" si="202"/>
        <v>#N/A</v>
      </c>
      <c r="ID153" s="11" t="e">
        <f t="shared" si="203"/>
        <v>#N/A</v>
      </c>
      <c r="IE153" s="11" t="e">
        <f t="shared" si="204"/>
        <v>#N/A</v>
      </c>
      <c r="IF153" s="11" t="e">
        <f t="shared" si="205"/>
        <v>#N/A</v>
      </c>
    </row>
    <row r="154" spans="35:240" x14ac:dyDescent="0.2">
      <c r="AI154">
        <f>IF(Исходн.данные.!I154&gt;6,1,1.85-(0.148*Исходн.данные.!I154))</f>
        <v>1.85</v>
      </c>
      <c r="AJ154">
        <f>IF(Исходн.данные.!I154&gt;6,1,2.434-(0.246*Исходн.данные.!I154))</f>
        <v>2.4340000000000002</v>
      </c>
      <c r="AL154" s="148" t="b">
        <f>IF(Исходн.данные.!$P154="Ум",N_OrgUd_2g_um,IF(Исходн.данные.!$P154="Об",N_OrgUd_2g_ob))</f>
        <v>0</v>
      </c>
      <c r="AM154" s="148" t="b">
        <f>IF(Исходн.данные.!$P154="Ум",P_OrgUd_2g_um,IF(Исходн.данные.!$P154="Об",P_OrgUd_2g_ob))</f>
        <v>0</v>
      </c>
      <c r="AN154" s="148" t="b">
        <f>IF(Исходн.данные.!$P154="Ум",K_OrgUd_2g_um,IF(Исходн.данные.!$P154="Об",K_OrgUd_2g_ob))</f>
        <v>0</v>
      </c>
      <c r="AO154" s="148" t="b">
        <f>IF(Исходн.данные.!$P154="Ум",N_OrgUd_1g_um,IF(Исходн.данные.!$P154="Об",N_OrgUd_1g_ob))</f>
        <v>0</v>
      </c>
      <c r="AP154" s="148" t="b">
        <f>IF(Исходн.данные.!$P154="Ум",P_OrgUd_1g_um,IF(Исходн.данные.!$P154="Об",P_OrgUd_1g_ob))</f>
        <v>0</v>
      </c>
      <c r="AQ154" s="148" t="b">
        <f>IF(Исходн.данные.!$P154="Ум",K_OrgUd_1g_um,IF(Исходн.данные.!$P154="Об",K_OrgUd_1g_ob))</f>
        <v>0</v>
      </c>
      <c r="AR154" t="b">
        <f>IF(Исходн.данные.!$P154="Ум",N_MinUd_2g_um,IF(Исходн.данные.!$P154="Об",N_MinUd_2g_ob))</f>
        <v>0</v>
      </c>
      <c r="AS154" t="b">
        <f>IF(Исходн.данные.!$P154="Ум",P_MinUd_2g_um,IF(Исходн.данные.!$P154="Об",P_MinUd_2g_ob))</f>
        <v>0</v>
      </c>
      <c r="AT154" t="b">
        <f>IF(Исходн.данные.!$P154="Ум",K_MinUd_2g_um,IF(Исходн.данные.!$P154="Об",K_MinUd_2g_ob))</f>
        <v>0</v>
      </c>
      <c r="AU154" t="b">
        <f>IF(Исходн.данные.!$P154="Ум",N_MinUd_1g_um,IF(Исходн.данные.!$P154="Об",N_MinUd_1g_ob))</f>
        <v>0</v>
      </c>
      <c r="AV154" t="b">
        <f>IF(Исходн.данные.!P154="Ум",P_MinUd_1g_um,IF(Исходн.данные.!P154="Об",P_MinUd_1g_ob))</f>
        <v>0</v>
      </c>
      <c r="AW154" t="b">
        <f>IF(Исходн.данные.!P154="Ум",K_MinUd_1g_um,IF(Исходн.данные.!P154="Об",K_MinUd_1g_ob))</f>
        <v>0</v>
      </c>
      <c r="AY154" t="e">
        <f>VLOOKUP(Исходн.данные.!T154,Справ!$A$3:$N$57,12)</f>
        <v>#N/A</v>
      </c>
      <c r="AZ154" t="e">
        <f>VLOOKUP(Исходн.данные.!T154,Справ!$A$3:$N$57,13)</f>
        <v>#N/A</v>
      </c>
      <c r="BA154" t="e">
        <f>VLOOKUP(Исходн.данные.!T154,Справ!$A$3:$N$57,14)</f>
        <v>#N/A</v>
      </c>
      <c r="BB154">
        <f>IF(Исходн.данные.!AH154=0,0,25)</f>
        <v>0</v>
      </c>
      <c r="BC154" s="141">
        <f>IF(Исходн.данные.!AH154=0,0,IF(Исходн.данные.!T154=0,25,BD154))</f>
        <v>0</v>
      </c>
      <c r="BD154" s="168" t="e">
        <f>AY154+AZ154*Исходн.данные.!U154-POWER(BA154,2)*Исходн.данные.!U154</f>
        <v>#N/A</v>
      </c>
      <c r="BE15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4" s="25">
        <f>IF(Исходн.данные.!AH154=0,0,MIN(HN154:HP154))</f>
        <v>0</v>
      </c>
      <c r="BG154" s="9">
        <f>IF(Исходн.данные.!AH154=0,0,IF((HO154+10*0.25/HG154/HL154)&lt;17,17,HO154+10*0.25/HG154/HL154))</f>
        <v>0</v>
      </c>
      <c r="BH154" s="181">
        <f>IF(Исходн.данные.!AH154=0,0,HW154*HF154*HL154/AU154*AI154+Исходн.данные.!S154*10)</f>
        <v>0</v>
      </c>
      <c r="BI154" s="10"/>
      <c r="BJ154" s="182">
        <f>IF(Исходн.данные.!AH154=0,0,IF(HX154*HG154*HL154/AV154&lt;0,0,HX154*HG154*HL154/AV154*AJ154))</f>
        <v>0</v>
      </c>
      <c r="BK154" s="182">
        <f>IF(Исходн.данные.!AH154=0,0,HY154*HH154*HM154/AW154)</f>
        <v>0</v>
      </c>
      <c r="BL154" s="10">
        <f>IF(OR(Исходн.данные.!$AH154=$BP$1,Исходн.данные.!$AH154=$BP$2),0,IF(BH154&lt;0,0,IF(OR(Исходн.данные.!T154=Расчет!$BP$1,Исходн.данные.!T154=Расчет!$BP$2,Исходн.данные.!T154=Расчет!$BT$5,Исходн.данные.!T154=Расчет!$BT$6),BH154*0.5,IF(OR(Исходн.данные.!T154=Расчет!$BS$9,Исходн.данные.!T154=Расчет!$BS$10,Исходн.данные.!T154=Расчет!$BS$11,Исходн.данные.!T154=Расчет!$BS$12,Исходн.данные.!T154=Расчет!$BP$5),BH154*0.8,BH154))))</f>
        <v>0</v>
      </c>
      <c r="BM154" s="10">
        <f>IF(OR(Исходн.данные.!$AH154=$BP$1,Исходн.данные.!$AH154=$BP$2),0,IF(BJ154&lt;0,0,IF(Исходн.данные.!I154&lt;4.5,BJ154*1.2,IF(Исходн.данные.!I154&gt;5.1,BJ154,BJ154*((5.1-Исходн.данные.!I154)*0.333+1)))))</f>
        <v>0</v>
      </c>
      <c r="BN154" s="10">
        <f>IF(OR(Исходн.данные.!$AH154=$BP$1,Исходн.данные.!$AH154=$BP$2),60-Исходн.данные.!AF154,IF(BK154&lt;0,0,IF(Исходн.данные.!I154&lt;4.5,BK154*1.2,IF(Исходн.данные.!I154&gt;5.1,BK154,BK154*((5.1-Исходн.данные.!I154)*0.333+1)))))</f>
        <v>0</v>
      </c>
      <c r="BO154" s="9">
        <f>IF(BL154&lt;0,0,BL154*Исходн.данные.!$AJ154/1000)</f>
        <v>0</v>
      </c>
      <c r="BP154" s="9">
        <f>IF(BM154&lt;0,0,BM154*Исходн.данные.!$AJ154/1000)</f>
        <v>0</v>
      </c>
      <c r="BQ154" s="9">
        <f>IF(BN154&lt;0,0,BN154*Исходн.данные.!$AJ154/1000)</f>
        <v>0</v>
      </c>
      <c r="BR154" s="9">
        <f t="shared" si="155"/>
        <v>0</v>
      </c>
      <c r="BS154" s="10" t="str">
        <f t="shared" si="156"/>
        <v>Аммофос 12:52:00</v>
      </c>
      <c r="BT154" s="10" t="str">
        <f t="shared" si="157"/>
        <v>Аммофос 12:52:00</v>
      </c>
      <c r="BU154" s="10" t="str">
        <f t="shared" si="158"/>
        <v>Диаммофоска</v>
      </c>
      <c r="BV154" s="10">
        <f t="shared" si="159"/>
        <v>0</v>
      </c>
      <c r="BW154" s="10"/>
      <c r="BX154" s="10"/>
      <c r="BY154" s="9">
        <f>IF(BL154&lt;0,0,IF(OR(Исходн.данные.!AI154=Расчет!$BU$6,Исходн.данные.!AI154=Расчет!$BU$7),Расчет!BV154,IF(Исходн.данные.!$AG154=$BV$11,BL154,IF(OR(Исходн.данные.!$AH154=$BQ$7,Исходн.данные.!$AH154=$BQ$8),CB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0,IF(Исходн.данные.!$AI154=$BU$11,"Нет",IF(BL154&gt;30,30,BL154)))))))</f>
        <v>0</v>
      </c>
      <c r="BZ154" s="9">
        <f>IF(AND(Исходн.данные.!$AG154=$BV$11,BM154&lt;10),10,IF(Исходн.данные.!$AG154=$BV$11,BM154,IF(OR(Исходн.данные.!$AH154=$BQ$7,Исходн.данные.!$AH154=$BQ$8),CC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10,IF(Исходн.данные.!$AI154=$BU$11,"Нет",IF(BM154&gt;60,60,IF(BM154&lt;10,10,BM154)))))))</f>
        <v>10</v>
      </c>
      <c r="CA154" s="39">
        <f>IF(BN154&lt;0,0,IF(Исходн.данные.!$AG154=$BV$11,BN154,IF(OR(Исходн.данные.!$AH154=$BQ$7,Исходн.данные.!$AH154=$BQ$8),CD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0,IF(Исходн.данные.!$AI154=$BU$11,"Нет",IF(BN154&gt;30,30,BN154))))))</f>
        <v>0</v>
      </c>
      <c r="CB154" s="9">
        <f t="shared" si="160"/>
        <v>0</v>
      </c>
      <c r="CC154" s="9">
        <f t="shared" si="161"/>
        <v>0</v>
      </c>
      <c r="CD154" s="9">
        <f t="shared" si="162"/>
        <v>0</v>
      </c>
      <c r="CE154" s="12">
        <f t="shared" si="163"/>
        <v>10</v>
      </c>
      <c r="CF154" s="9">
        <f t="shared" si="164"/>
        <v>0</v>
      </c>
      <c r="CG154" s="9" t="s">
        <v>231</v>
      </c>
      <c r="CH154" s="132" t="str">
        <f>IF(Исходн.данные.!AP154=Расчет!$CI$16,"Нет",IF(Исходн.данные.!AL154&gt;0,Исходн.данные.!AL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BH$4,IF(OR(Исходн.данные.!AI154=Исходн.данные.!$AI$6,Исходн.данные.!AI154=Исходн.данные.!$AI$7),Расчет!BS154,IF(AND($CF154=0,$CE154&gt;0),EV154,ER154)))))</f>
        <v>Аммофос 12:52:00</v>
      </c>
      <c r="CI154" s="274">
        <f>IF(Расчет!$CH154="Нет","Нет",IF(Исходн.данные.!$AL154&gt;0,VLOOKUP(Расчет!$CH154,АшламаДВ_Irekle,2,FALSE),VLOOKUP(Расчет!$CH154,АшламаДВ_Gomumy,2,FALSE)))</f>
        <v>0.12</v>
      </c>
      <c r="CJ154" s="274">
        <f>IF(Расчет!$CH154="Нет","Нет",IF(Исходн.данные.!$AL154&gt;0,VLOOKUP(Расчет!$CH154,АшламаДВ_Irekle,3,FALSE),VLOOKUP(Расчет!$CH154,АшламаДВ_Gomumy,3,FALSE)))</f>
        <v>0.52</v>
      </c>
      <c r="CK154" s="274">
        <f>IF(Расчет!$CH154="Нет","Нет",IF(Исходн.данные.!$AL154&gt;0,VLOOKUP(Расчет!$CH154,АшламаДВ_Irekle,4,FALSE),VLOOKUP(Расчет!$CH154,АшламаДВ_Gomumy,4,FALSE)))</f>
        <v>0</v>
      </c>
      <c r="CL154" s="70"/>
      <c r="CM154" s="70"/>
      <c r="CN154" s="70"/>
      <c r="CO154" s="70"/>
      <c r="CP154" s="70"/>
      <c r="CQ154" s="70"/>
      <c r="CR154" s="10">
        <f t="shared" si="165"/>
        <v>0</v>
      </c>
      <c r="CS154" s="10">
        <f t="shared" si="166"/>
        <v>19.23076923076923</v>
      </c>
      <c r="CT154" s="10">
        <f t="shared" si="167"/>
        <v>0</v>
      </c>
      <c r="CU154" s="39">
        <f>IF($CH154="Нет",0,IF(CI154=0,30/MIN(CJ154:CK154),IF(Исходн.данные.!$AG154=$BV$11,CR154,IF(OR(Исходн.данные.!$AH154=$BQ$7,Исходн.данные.!$AH154=$BQ$8),90/CI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0,IF(Исходн.данные.!$AI154=$BU$11,"Нет",30/CI154))))))</f>
        <v>250</v>
      </c>
      <c r="CV154" s="39">
        <f>IF($CH154="Нет",0,IF(Исходн.данные.!AH154=0,0,IF(CJ154=0,60/MIN(CI154,CK154),IF(Исходн.данные.!$AG154=$BV$11,CS154,IF(OR(Исходн.данные.!$AH154=$BQ$7,Исходн.данные.!$AH154=$BQ$8),90/CJ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10/CJ154,IF(Исходн.данные.!$AI154=$BU$11,"Нет",60/CJ154)))))))</f>
        <v>0</v>
      </c>
      <c r="CW154" s="39">
        <f>IF($CH154="Нет",0,IF(Исходн.данные.!AH154=0,0,IF(CK154=0,30/MIN(CI154:CJ154),IF(Исходн.данные.!$AG154=$BV$11,CT154,IF(OR(Исходн.данные.!$AH154=$BQ$7,Исходн.данные.!$AH154=$BQ$8),90/CK154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0,IF(Исходн.данные.!$AI154=$BU$11,"Нет",30/CK154)))))))</f>
        <v>0</v>
      </c>
      <c r="CX154" s="133">
        <f>IF(Исходн.данные.!$AG154=$BV$11,MAX(CU154:CW154),IF(OR(Исходн.данные.!$AH154=$BS$8,Исходн.данные.!$AH154=$BQ$9,Исходн.данные.!$AH154=$BQ$10,Исходн.данные.!$AH154=$BQ$11,Исходн.данные.!$AH154=$BQ$12,Исходн.данные.!$AH154=$BP$3,Исходн.данные.!$AH154=$BT$8,$FM154="Да"),CV154,MIN(CU154:CW154)))</f>
        <v>0</v>
      </c>
      <c r="CY154" s="133">
        <f>IF(Исходн.данные.!AH154=0,0,IF(CR154&gt;$CX154,$CX154,CR154))</f>
        <v>0</v>
      </c>
      <c r="CZ154" s="133">
        <f>IF(Исходн.данные.!AH154=0,0,IF(CS154&gt;$CX154,$CX154,CS154))</f>
        <v>0</v>
      </c>
      <c r="DA154" s="133">
        <f>IF(Исходн.данные.!AH154=0,0,IF(CT154&gt;$CX154,$CX154,CT154))</f>
        <v>0</v>
      </c>
      <c r="DB154" s="10">
        <f t="shared" si="168"/>
        <v>0</v>
      </c>
      <c r="DC154" s="39">
        <f>DB154*Исходн.данные.!AJ154/1000</f>
        <v>0</v>
      </c>
      <c r="DD154" s="71">
        <f t="shared" si="169"/>
        <v>0</v>
      </c>
      <c r="DE154" s="9">
        <f t="shared" si="170"/>
        <v>0</v>
      </c>
      <c r="DF154" s="9">
        <f t="shared" si="171"/>
        <v>0</v>
      </c>
      <c r="DG154" s="39">
        <f>IF(BL154&lt;0,0,IF($CH154="Нет",BL154,IF(OR(Исходн.данные.!$AH154=$BP$1,Исходн.данные.!$AH154=$BP$2),0,IF(Исходн.данные.!AI154=$BU$11,BL154,IF(BL154-DD154&lt;0,0,BL154-DD154)))))</f>
        <v>0</v>
      </c>
      <c r="DH154" s="39">
        <f>IF(BM154&lt;0,0,IF($CH154="Нет",BM154,IF(OR(Исходн.данные.!$AH154=$BP$1,Исходн.данные.!$AH154=$BP$2),0,IF(Исходн.данные.!AJ154=$BU$11,BM154,IF(BM154-DE154&lt;0,0,BM154-DE154)))))</f>
        <v>0</v>
      </c>
      <c r="DI154" s="39">
        <f>IF(BN154&lt;0,0,IF($CH154="Нет",BN154,IF(OR(Исходн.данные.!$AH154=$BP$1,Исходн.данные.!$AH154=$BP$2),0,IF(Исходн.данные.!AK154=$BU$11,BN154,IF(BN154-DF154&lt;0,0,BN154-DF154)))))</f>
        <v>0</v>
      </c>
      <c r="DJ154" s="12">
        <f t="shared" si="172"/>
        <v>0</v>
      </c>
      <c r="DK154" s="9">
        <f t="shared" si="173"/>
        <v>0</v>
      </c>
      <c r="DL154" s="39">
        <f>IF(Исходн.данные.!AM154&gt;0,Исходн.данные.!AM154,IF(EG154&gt;0,$BH$10,0))</f>
        <v>0</v>
      </c>
      <c r="DM154" s="186">
        <f>IF($DL154=0,0,IF(Исходн.данные.!AM154&gt;0,VLOOKUP($DL154,АшламаДВ_Irekle,2,FALSE),VLOOKUP($DL154,АшламаДВ_Gomumy,2,FALSE)))</f>
        <v>0</v>
      </c>
      <c r="DN154" s="10">
        <f t="shared" si="225"/>
        <v>0</v>
      </c>
      <c r="DO154" s="9" t="str">
        <f>IF(Исходн.данные.!AN154&gt;0,Исходн.данные.!AN154,Удобрения!$B$37 )</f>
        <v>Хлор.калий</v>
      </c>
      <c r="DP154" s="9">
        <f>IF(Исходн.данные.!AN154&gt;0,VLOOKUP(Исходн.данные.!AN154,АшламаДВ_Irekle,4,FALSE),VLOOKUP(DO154,АшламаДВ_Gomumy,4,FALSE))</f>
        <v>0.6</v>
      </c>
      <c r="DQ154" s="10">
        <f t="shared" si="226"/>
        <v>0</v>
      </c>
      <c r="DR154" s="132" t="str">
        <f>IF(Исходн.данные.!AO154&gt;0,Исходн.данные.!AO154,IF(DH154=0,BS$17,IF(AND($DK154=0,$DJ154&gt;0),EJ154,EN154)))</f>
        <v>Нет</v>
      </c>
      <c r="DS154" s="70" t="str">
        <f>IF($DR154="Нет","Нет",IF(Исходн.данные.!$AO154&gt;0,VLOOKUP($DR154,АшламаДВ_Irekle,2,FALSE),VLOOKUP($DR154,АшламаДВ_Gomumy,2,FALSE)))</f>
        <v>Нет</v>
      </c>
      <c r="DT154" s="70" t="str">
        <f>IF($DR154="Нет","Нет",IF(Исходн.данные.!$AO154&gt;0,VLOOKUP($DR154,АшламаДВ_Irekle,3,FALSE),VLOOKUP($DR154,АшламаДВ_Gomumy,3,FALSE)))</f>
        <v>Нет</v>
      </c>
      <c r="DU154" s="70" t="str">
        <f>IF($DR154="Нет","Нет",IF(Исходн.данные.!$AO154&gt;0,VLOOKUP($DR154,АшламаДВ_Irekle,4,FALSE),VLOOKUP($DR154,АшламаДВ_Gomumy,4,FALSE)))</f>
        <v>Нет</v>
      </c>
      <c r="DV154" s="70"/>
      <c r="DW154" s="70"/>
      <c r="DX154" s="70"/>
      <c r="DY154" s="10">
        <f t="shared" si="174"/>
        <v>0</v>
      </c>
      <c r="DZ154" s="10">
        <f t="shared" si="175"/>
        <v>0</v>
      </c>
      <c r="EA154" s="10">
        <f t="shared" si="176"/>
        <v>0</v>
      </c>
      <c r="EB154" s="10">
        <f t="shared" si="177"/>
        <v>0</v>
      </c>
      <c r="EC154" s="10">
        <f t="shared" si="178"/>
        <v>0</v>
      </c>
      <c r="ED154" s="10">
        <f t="shared" si="179"/>
        <v>0</v>
      </c>
      <c r="EE154" s="10">
        <f t="shared" si="180"/>
        <v>0</v>
      </c>
      <c r="EF154" s="39">
        <f>EB154*Исходн.данные.!AJ154/1000</f>
        <v>0</v>
      </c>
      <c r="EG154" s="9">
        <f t="shared" si="181"/>
        <v>0</v>
      </c>
      <c r="EH154" s="9">
        <f t="shared" si="182"/>
        <v>0</v>
      </c>
      <c r="EI154" s="39" t="e">
        <f t="shared" si="206"/>
        <v>#DIV/0!</v>
      </c>
      <c r="EJ154" s="9" t="str">
        <f t="shared" si="227"/>
        <v>Азопреципитат</v>
      </c>
      <c r="EK154" s="12">
        <f t="shared" si="207"/>
        <v>0.26</v>
      </c>
      <c r="EL154" s="12">
        <f t="shared" si="208"/>
        <v>0.13</v>
      </c>
      <c r="EM154" s="12">
        <f t="shared" si="209"/>
        <v>0</v>
      </c>
      <c r="EN154" s="12" t="str">
        <f t="shared" si="228"/>
        <v>Нет</v>
      </c>
      <c r="EO154" s="12">
        <f t="shared" si="210"/>
        <v>0</v>
      </c>
      <c r="EP154" s="12">
        <f t="shared" si="211"/>
        <v>0</v>
      </c>
      <c r="EQ154" s="12">
        <f t="shared" si="212"/>
        <v>0</v>
      </c>
      <c r="ER154" s="12" t="str">
        <f t="shared" si="183"/>
        <v>Диаммофоска</v>
      </c>
      <c r="ES154" s="12">
        <f t="shared" si="213"/>
        <v>0.1</v>
      </c>
      <c r="ET154" s="12">
        <f t="shared" si="214"/>
        <v>0.26</v>
      </c>
      <c r="EU154" s="12">
        <f t="shared" si="215"/>
        <v>0.26</v>
      </c>
      <c r="EV154" s="12" t="str">
        <f t="shared" si="184"/>
        <v>Аммофос 12:52:00</v>
      </c>
      <c r="EW154" s="12" t="str">
        <f t="shared" si="185"/>
        <v>Кемира Свекловичное-6</v>
      </c>
      <c r="EX154" s="12">
        <f t="shared" si="216"/>
        <v>0.16</v>
      </c>
      <c r="EY154" s="12">
        <f t="shared" si="217"/>
        <v>0.12</v>
      </c>
      <c r="EZ154" s="12">
        <f t="shared" si="218"/>
        <v>0.17</v>
      </c>
      <c r="FA154" s="38" t="e">
        <f>IF(AND(OR(FJ154=$FD$1,FM154=$FD$1,FO154=$FD$1,FQ154=$FD$1,FS154=$FD$1),FD154=$FD$1,Исходн.данные.!J154&lt;2,FU154=$FD$1),"Бор,Кобальт",IF(AND(FO154=$FD$1,FH154=$FD$1,Исходн.данные.!J154&lt;2,FU154=$FD$1),"Бор,Кобальт",IF(AND(OR(FJ154=$FD$1,FM154=$FD$1,FQ154=$FD$1),FE154=$FD$1,Исходн.данные.!J154&lt;2,FT154=$FD$1,FU154=$FD$1),"Бор,Медь,Цинк",IF(AND(OR(FJ154=$FD$1,FR154="Да"),FI154="Да",Исходн.данные.!J154&lt;2,FT154="Да",FU154="Да"),"Бор,Цинк,Медь",IF(AND(OR(FM154="Да",FQ154="Да"),FI154="Да",Исходн.данные.!J154&lt;2,FT154="Да",FU154="Да"),"Бор,Цинк",IF(AND(FN154="Да",OR(FD154="Да",FE154="Да")),"Бор",FB154))))))</f>
        <v>#N/A</v>
      </c>
      <c r="FB154" s="134" t="e">
        <f>IF(AND(OR(FD154="Да",FE154="Да",FF154="Да",FG154="Да",FH154="Да"),FO154="Да"),"Бор",IF(AND(FP154="Да",OR(FD154="Да",FE154="Да",FI154="Да")),"Бор",IF(AND(FS154="Да",FE154="Да"),"Бор,Медь",IF(AND(OR(FJ154="Да",FK154="Да",FL154="Да"),FE154="Да",Исходн.данные.!I154&lt;5,FT154="Да",FU154="Да"),"Молибден,Цинк",IF(AND(FM154="Да",OR(FE154="Да",FF154="Да",FG154="Да",FH154="Да",FI154="Да")),"Молибден,Цинк",IF(AND(OR(FJ154="Да",FK154="Да",FL154="Да",FM154="Да",FQ154="Да"),OR(FE154="Да",FF154="Да"),FT154="Да",FU154="Да",Исходн.данные.!I154&gt;5.5),"Медь,Цинк",FC154))))))</f>
        <v>#N/A</v>
      </c>
      <c r="FC154" s="23" t="e">
        <f t="shared" si="186"/>
        <v>#N/A</v>
      </c>
      <c r="FD154" s="38" t="str">
        <f>IF(OR(Исходн.данные.!F154=$CC$1,Исходн.данные.!F154=$CC$2,Исходн.данные.!F154=$CC$3,Исходн.данные.!F154=$CC$4),"Да","Нет")</f>
        <v>Нет</v>
      </c>
      <c r="FE154" s="38" t="str">
        <f>IF(Исходн.данные.!F154=$CC$5,"Да","Нет")</f>
        <v>Нет</v>
      </c>
      <c r="FF154" s="38" t="str">
        <f>IF(OR(Исходн.данные.!F154=$CC$6,Исходн.данные.!F154=$CC$7),"Да","Нет")</f>
        <v>Нет</v>
      </c>
      <c r="FG154" s="38" t="str">
        <f>IF(OR(Исходн.данные.!F154=$CC$8,Исходн.данные.!F154=$CC$9),"Да","Нет")</f>
        <v>Нет</v>
      </c>
      <c r="FH154" s="38" t="str">
        <f>IF(Исходн.данные.!F154=$CC$10,"Да","Нет")</f>
        <v>Нет</v>
      </c>
      <c r="FI154" s="38" t="str">
        <f>IF(OR(Исходн.данные.!F154=$CC$11,Исходн.данные.!F154=$CC$12),"Да","Нет")</f>
        <v>Нет</v>
      </c>
      <c r="FJ154" s="38" t="str">
        <f>IF(OR(Исходн.данные.!AH154=$BS$1,Исходн.данные.!AH154=$BQ$11,Исходн.данные.!AH154=$BQ$12),"Да","Нет")</f>
        <v>Нет</v>
      </c>
      <c r="FK154" s="38" t="str">
        <f>IF(OR(Исходн.данные.!AH154=$BS$2,Исходн.данные.!AH154=$BS$4),"Да","Нет")</f>
        <v>Нет</v>
      </c>
      <c r="FL154" s="38" t="str">
        <f>IF(OR(Исходн.данные.!AH154=$BS$3,Исходн.данные.!AH154=$BS$5),"Да","Нет")</f>
        <v>Нет</v>
      </c>
      <c r="FM154" s="38" t="str">
        <f>IF(OR(Исходн.данные.!AH154=$BS$9,Исходн.данные.!AH154=$BS$10,Исходн.данные.!AH154=$BS$11,Исходн.данные.!AH154=$BS$12),"Да","Нет")</f>
        <v>Нет</v>
      </c>
      <c r="FN154" s="38" t="str">
        <f>IF(OR(Исходн.данные.!AH154=$BS$6,Исходн.данные.!AH154=$BP$3),"Да","Нет")</f>
        <v>Нет</v>
      </c>
      <c r="FO154" s="38" t="str">
        <f>IF(Исходн.данные.!AH154=$BQ$9,"Да","Нет")</f>
        <v>Нет</v>
      </c>
      <c r="FP154" s="38" t="str">
        <f>IF(OR(Исходн.данные.!AH154=$BS$8,Исходн.данные.!AH154=$BT$8),"Да","Нет")</f>
        <v>Нет</v>
      </c>
      <c r="FQ154" s="38" t="str">
        <f>IF(OR(Исходн.данные.!AH154=$BQ$7,Исходн.данные.!AH154=$BQ$8),"Да","Нет")</f>
        <v>Нет</v>
      </c>
      <c r="FR154" s="38" t="str">
        <f>IF(Исходн.данные.!AI154=$BU$9,"Да","Нет")</f>
        <v>Нет</v>
      </c>
      <c r="FS154" s="38" t="str">
        <f>IF(OR(Исходн.данные.!AH154=$BP$1,Исходн.данные.!AH154=$BP$2),"Да","Нет")</f>
        <v>Нет</v>
      </c>
      <c r="FT154" s="38" t="e">
        <f>IF((Исходн.данные.!K154*GO154*GS154*GW154+BL154*0.6+Исходн.данные.!Q154*4.5*0.275)&gt;90,"Да","Нет")</f>
        <v>#N/A</v>
      </c>
      <c r="FU154" s="38" t="e">
        <f>IF((Исходн.данные.!M154*GS154*GZ154+BM154*0.225)&gt;35,"Да","Нет")</f>
        <v>#N/A</v>
      </c>
      <c r="FV154" s="38" t="str">
        <f>IF(Исходн.данные.!O154&gt;175,"Да","Нет")</f>
        <v>Нет</v>
      </c>
      <c r="FW154" s="39" t="str">
        <f>IF(Исходн.данные.!I154&gt;5.5,"Да","Нет")</f>
        <v>Нет</v>
      </c>
      <c r="FX154" s="39" t="str">
        <f>IF(Исходн.данные.!J154&lt;2,"Да","Нет")</f>
        <v>Да</v>
      </c>
      <c r="FY154" s="39" t="e">
        <f>IF(HF154=$FY$16,0,Исходн.данные.!K154*GO154*GS154*GW154/HF154)</f>
        <v>#N/A</v>
      </c>
      <c r="FZ154" s="39" t="e">
        <f>Исходн.данные.!M154*GS154*GZ154/HG154</f>
        <v>#N/A</v>
      </c>
      <c r="GA154" s="39" t="e">
        <f>IF(K_Wyn=$FY$16,0,IF(Исходн.данные.!N154=Исходн.данные.!$L$10,Исходн.данные.!O154/1.1*GS154*HC154/HH154,IF(Исходн.данные.!N154=Исходн.данные.!$L$12,Исходн.данные.!O154/1.5*GS154*HC154/HH154,Исходн.данные.!O154*GS154*HC154/HH154)))</f>
        <v>#N/A</v>
      </c>
      <c r="GB154" s="39" t="e">
        <f>IF(HF154=$FY$16,0,((Исходн.данные.!Q154*N_Org+Исходн.данные.!R154*N_Sider+Исходн.данные.!S154*N_Soloma)*AO154+Расчет!BC154*VLOOKUP(Исходн.данные.!T154,Справ!$A$3:$O$57,15)*AO154+BB154*VLOOKUP(Исходн.данные.!T154,Справ!$A$3:$O$57,15)*AL154+(Исходн.данные.!V154*N_Rizotorf+Исходн.данные.!W154*N_Rizoagr))/HF154)</f>
        <v>#N/A</v>
      </c>
      <c r="GC154" s="39" t="e">
        <f>IF(HG154=$FY$16,0,((Исходн.данные.!Q154*Р_Org+Исходн.данные.!R154*P_Sider+Исходн.данные.!S154*P_Soloma)*AP154+Расчет!BC154*VLOOKUP(Исходн.данные.!T154,Справ!$A$3:$P$57,16)*AP154+BB154*VLOOKUP(Исходн.данные.!T154,Справ!$A$3:$P$57,16)*AM154)/HG154)</f>
        <v>#N/A</v>
      </c>
      <c r="GD154" s="39" t="e">
        <f>IF(HH154=$FY$16,0,((Исходн.данные.!Q154*К_Org+Исходн.данные.!R154*K_Sider+Исходн.данные.!S154*K_Soloma)*AQ154+Расчет!BC154*VLOOKUP(Исходн.данные.!T154,Справ!$A$3:$Q$57,17)*AQ154+BB154*VLOOKUP(Исходн.данные.!T154,Справ!$A$3:$Q$57,17)*AN154)/HH154)</f>
        <v>#N/A</v>
      </c>
      <c r="GE154" s="39" t="e">
        <f>IF(HF154=$FY$16,0,(Исходн.данные.!X154*AR154+Исходн.данные.!AA154*N_Org*AL154+Исходн.данные.!AB154*N_Sider*AL154+Исходн.данные.!AC154*N_Soloma*AL154)/HF154)</f>
        <v>#N/A</v>
      </c>
      <c r="GF154" s="39" t="e">
        <f>IF(HG154=$FY$16,0,(Исходн.данные.!Y154*AS154+Исходн.данные.!AA154*Р_Org*AM154+Исходн.данные.!AB154*P_Sider*AM154+Исходн.данные.!AC154*P_Soloma*AM154)/HG154)</f>
        <v>#N/A</v>
      </c>
      <c r="GG154" s="39" t="e">
        <f>IF(HH154=$FY$16,0,(Исходн.данные.!Z154*AT154+Исходн.данные.!AA154*К_Org*AN154+Исходн.данные.!AB154*K_Sider*AN154+Исходн.данные.!AC154*K_Soloma*AN154)/HH154)</f>
        <v>#N/A</v>
      </c>
      <c r="GH154" s="39" t="e">
        <f>Исходн.данные.!AD154*AU154/HF154</f>
        <v>#N/A</v>
      </c>
      <c r="GI154" s="39" t="e">
        <f>Исходн.данные.!AE154*AV154/HG154</f>
        <v>#N/A</v>
      </c>
      <c r="GJ154" s="39" t="e">
        <f>Исходн.данные.!AF154*AW154/HH154</f>
        <v>#N/A</v>
      </c>
      <c r="GK154" s="55">
        <f>Исходн.данные.!AK154</f>
        <v>0</v>
      </c>
      <c r="GL154" s="11" t="e">
        <f t="shared" si="187"/>
        <v>#N/A</v>
      </c>
      <c r="GM154" s="11" t="e">
        <f t="shared" si="188"/>
        <v>#N/A</v>
      </c>
      <c r="GN154" s="11" t="e">
        <f t="shared" si="189"/>
        <v>#N/A</v>
      </c>
      <c r="GO154" s="57">
        <f t="shared" si="190"/>
        <v>19</v>
      </c>
      <c r="GP154" s="55">
        <f>IF(OR(Исходн.данные.!F154=$CE$1,Исходн.данные.!F154=$CE$2,Исходн.данные.!F154=$CE$3,Исходн.данные.!F154=$CE$4,Исходн.данные.!F154=$CE$5),GQ154,GR154)</f>
        <v>19</v>
      </c>
      <c r="GQ154" s="55">
        <f>IF(Исходн.данные.!F154=$CE$1,28,IF(Исходн.данные.!F154=$CE$2,26,IF(Исходн.данные.!F154=$CE$3,24,IF(Исходн.данные.!F154=$CE$4,22,IF(Исходн.данные.!F154=$CE$5,20,GR154)))))</f>
        <v>19</v>
      </c>
      <c r="GR154" s="55">
        <f>IF(Исходн.данные.!F154=$CE$6,18,IF(Исходн.данные.!F154=$CE$7,16,IF(Исходн.данные.!F154=$CE$8,14,IF(Исходн.данные.!F154=$CE$9,13,IF(Исходн.данные.!F154=$CE$10,12,19)))))</f>
        <v>19</v>
      </c>
      <c r="GS154" s="55">
        <f>IF(Исходн.данные.!G154="Пес",0.035*(40+2*Исходн.данные.!H154),IF(Исходн.данные.!G154="Суп",0.0325*(40+2*Исходн.данные.!H154),0.03*(40+2*Исходн.данные.!H154)))</f>
        <v>1.2</v>
      </c>
      <c r="GT154" s="55">
        <f>IF(Исходн.данные.!H154&lt;23,2.6,IF(AND(Исходн.данные.!H154&gt;22,Исходн.данные.!H154&lt;26),3,IF(AND(Исходн.данные.!H154&gt;25,Исходн.данные.!H154&lt;29),3.4,3.6)))</f>
        <v>2.6</v>
      </c>
      <c r="GU154" s="55">
        <f>IF(Исходн.данные.!H154&lt;23,2.8,IF(AND(Исходн.данные.!H154&gt;22,Исходн.данные.!H154&lt;26),3.2,IF(AND(Исходн.данные.!H154&gt;25,Исходн.данные.!H154&lt;29),3.6,3.9)))</f>
        <v>2.8</v>
      </c>
      <c r="GV154" s="55">
        <f>IF(Исходн.данные.!H154&lt;23,3,IF(AND(Исходн.данные.!H154&gt;22,Исходн.данные.!H154&lt;26),3.5,IF(AND(Исходн.данные.!H154&gt;25,Исходн.данные.!H154&lt;29),3.9,4.2)))</f>
        <v>3</v>
      </c>
      <c r="GW154" s="55" t="e">
        <f>IF(Исходн.данные.!P154="Ум",GX154,GY154)</f>
        <v>#N/A</v>
      </c>
      <c r="GX154" s="55" t="e">
        <f>VLOOKUP(Исходн.данные.!AI154,Коэффициенты!$J$7:$L$13,2,FALSE)</f>
        <v>#N/A</v>
      </c>
      <c r="GY154" s="55" t="e">
        <f>VLOOKUP(Исходн.данные.!AI154,Коэффициенты!$J$7:$L$13,3,FALSE)</f>
        <v>#N/A</v>
      </c>
      <c r="GZ154" s="55" t="e">
        <f>(IF(Исходн.данные.!M154&lt;50,0.11*VLOOKUP(Исходн.данные.!AH154,Культуры.Информация,7,FALSE),IF(Исходн.данные.!M154&gt;250,0.05*VLOOKUP(Исходн.данные.!AH154,Культуры.Информация,7,FALSE),VLOOKUP(Исходн.данные.!AH154,Культуры.Информация,5,FALSE)/100*($GX$6+$GY$6*Исходн.данные.!M154))))*Расчет2!AI154</f>
        <v>#N/A</v>
      </c>
      <c r="HA154" s="211"/>
      <c r="HB154" s="211"/>
      <c r="HC154" s="55" t="e">
        <f>(IF(Исходн.данные.!O154&lt;80,0.2*VLOOKUP(Исходн.данные.!AH154,Культуры.Информация,8,FALSE),IF(Исходн.данные.!O154&gt;240,0.09*VLOOKUP(Исходн.данные.!AH154,Культуры.Информация,8,FALSE),VLOOKUP(Исходн.данные.!AH154,Культуры.Информация,6,FALSE)/100*($HB$6+$HC$6*Исходн.данные.!O154))))*Расчет2!AJ154</f>
        <v>#N/A</v>
      </c>
      <c r="HD154" s="55">
        <f>IF(Исходн.данные.!O154&gt;240,0.09,IF(Исходн.данные.!O154&lt;30,0.3,$HE$10+$HD$10*Исходн.данные.!O154))</f>
        <v>0.3</v>
      </c>
      <c r="HE154" s="55">
        <f>IF(Исходн.данные.!O154&gt;240,0.17,IF(Исходн.данные.!O154&lt;30,0.5,$HF$12+$HE$12*Исходн.данные.!O154))</f>
        <v>0.5</v>
      </c>
      <c r="HF154" s="55" t="e">
        <f>VLOOKUP(Исходн.данные.!AH154,Справ!$A$3:$D$58,2,FALSE)</f>
        <v>#N/A</v>
      </c>
      <c r="HG154" s="55" t="e">
        <f>VLOOKUP(Исходн.данные.!AH154,Справ!$A$3:$D$58,3,FALSE)</f>
        <v>#N/A</v>
      </c>
      <c r="HH154" s="55" t="e">
        <f>VLOOKUP(Исходн.данные.!AH154,Справ!$A$3:$D$58,4,FALSE)</f>
        <v>#N/A</v>
      </c>
      <c r="HI154" s="11" t="e">
        <f t="shared" si="191"/>
        <v>#N/A</v>
      </c>
      <c r="HJ154" s="11" t="e">
        <f t="shared" si="192"/>
        <v>#N/A</v>
      </c>
      <c r="HK154" s="11" t="e">
        <f t="shared" si="193"/>
        <v>#N/A</v>
      </c>
      <c r="HL154" s="55">
        <f>IF(OR(Исходн.данные.!G154="Глин",Исходн.данные.!G154="Т_суг"),1.1,IF(Исходн.данные.!G154="Ср_суг",1,1))</f>
        <v>1</v>
      </c>
      <c r="HM154" s="55">
        <f>IF(OR(Исходн.данные.!G154="Глин",Исходн.данные.!G154="Т_суг"),0.9,IF(Исходн.данные.!G154="Ср_суг",1,1.2))</f>
        <v>1.2</v>
      </c>
      <c r="HN154" s="11" t="e">
        <f t="shared" si="194"/>
        <v>#N/A</v>
      </c>
      <c r="HO154" s="11" t="e">
        <f t="shared" si="195"/>
        <v>#N/A</v>
      </c>
      <c r="HP154" s="11" t="e">
        <f t="shared" si="196"/>
        <v>#N/A</v>
      </c>
      <c r="HQ154" t="e">
        <f t="shared" si="197"/>
        <v>#N/A</v>
      </c>
      <c r="HR154" t="e">
        <f t="shared" si="198"/>
        <v>#N/A</v>
      </c>
      <c r="HS154" t="e">
        <f t="shared" si="199"/>
        <v>#N/A</v>
      </c>
      <c r="HT154" t="e">
        <f t="shared" si="219"/>
        <v>#N/A</v>
      </c>
      <c r="HU154" t="e">
        <f t="shared" si="220"/>
        <v>#N/A</v>
      </c>
      <c r="HV154" t="e">
        <f t="shared" si="221"/>
        <v>#N/A</v>
      </c>
      <c r="HW154" t="e">
        <f t="shared" si="222"/>
        <v>#N/A</v>
      </c>
      <c r="HX154" t="e">
        <f t="shared" si="223"/>
        <v>#N/A</v>
      </c>
      <c r="HY154" t="e">
        <f t="shared" si="224"/>
        <v>#N/A</v>
      </c>
      <c r="HZ154" s="55">
        <f>IF(OR(Исходн.данные.!AI154="Оз_Ч_П",Исходн.данные.!AI154="Оз_З_П",Исходн.данные.!AI154="Яр_зер"),12,30)</f>
        <v>30</v>
      </c>
      <c r="IA154" t="e">
        <f t="shared" si="200"/>
        <v>#N/A</v>
      </c>
      <c r="IB154" t="e">
        <f t="shared" si="201"/>
        <v>#N/A</v>
      </c>
      <c r="IC154" t="e">
        <f t="shared" si="202"/>
        <v>#N/A</v>
      </c>
      <c r="ID154" s="11" t="e">
        <f t="shared" si="203"/>
        <v>#N/A</v>
      </c>
      <c r="IE154" s="11" t="e">
        <f t="shared" si="204"/>
        <v>#N/A</v>
      </c>
      <c r="IF154" s="11" t="e">
        <f t="shared" si="205"/>
        <v>#N/A</v>
      </c>
    </row>
    <row r="155" spans="35:240" x14ac:dyDescent="0.2">
      <c r="AI155">
        <f>IF(Исходн.данные.!I155&gt;6,1,1.85-(0.148*Исходн.данные.!I155))</f>
        <v>1.85</v>
      </c>
      <c r="AJ155">
        <f>IF(Исходн.данные.!I155&gt;6,1,2.434-(0.246*Исходн.данные.!I155))</f>
        <v>2.4340000000000002</v>
      </c>
      <c r="AL155" s="148" t="b">
        <f>IF(Исходн.данные.!$P155="Ум",N_OrgUd_2g_um,IF(Исходн.данные.!$P155="Об",N_OrgUd_2g_ob))</f>
        <v>0</v>
      </c>
      <c r="AM155" s="148" t="b">
        <f>IF(Исходн.данные.!$P155="Ум",P_OrgUd_2g_um,IF(Исходн.данные.!$P155="Об",P_OrgUd_2g_ob))</f>
        <v>0</v>
      </c>
      <c r="AN155" s="148" t="b">
        <f>IF(Исходн.данные.!$P155="Ум",K_OrgUd_2g_um,IF(Исходн.данные.!$P155="Об",K_OrgUd_2g_ob))</f>
        <v>0</v>
      </c>
      <c r="AO155" s="148" t="b">
        <f>IF(Исходн.данные.!$P155="Ум",N_OrgUd_1g_um,IF(Исходн.данные.!$P155="Об",N_OrgUd_1g_ob))</f>
        <v>0</v>
      </c>
      <c r="AP155" s="148" t="b">
        <f>IF(Исходн.данные.!$P155="Ум",P_OrgUd_1g_um,IF(Исходн.данные.!$P155="Об",P_OrgUd_1g_ob))</f>
        <v>0</v>
      </c>
      <c r="AQ155" s="148" t="b">
        <f>IF(Исходн.данные.!$P155="Ум",K_OrgUd_1g_um,IF(Исходн.данные.!$P155="Об",K_OrgUd_1g_ob))</f>
        <v>0</v>
      </c>
      <c r="AR155" t="b">
        <f>IF(Исходн.данные.!$P155="Ум",N_MinUd_2g_um,IF(Исходн.данные.!$P155="Об",N_MinUd_2g_ob))</f>
        <v>0</v>
      </c>
      <c r="AS155" t="b">
        <f>IF(Исходн.данные.!$P155="Ум",P_MinUd_2g_um,IF(Исходн.данные.!$P155="Об",P_MinUd_2g_ob))</f>
        <v>0</v>
      </c>
      <c r="AT155" t="b">
        <f>IF(Исходн.данные.!$P155="Ум",K_MinUd_2g_um,IF(Исходн.данные.!$P155="Об",K_MinUd_2g_ob))</f>
        <v>0</v>
      </c>
      <c r="AU155" t="b">
        <f>IF(Исходн.данные.!$P155="Ум",N_MinUd_1g_um,IF(Исходн.данные.!$P155="Об",N_MinUd_1g_ob))</f>
        <v>0</v>
      </c>
      <c r="AV155" t="b">
        <f>IF(Исходн.данные.!P155="Ум",P_MinUd_1g_um,IF(Исходн.данные.!P155="Об",P_MinUd_1g_ob))</f>
        <v>0</v>
      </c>
      <c r="AW155" t="b">
        <f>IF(Исходн.данные.!P155="Ум",K_MinUd_1g_um,IF(Исходн.данные.!P155="Об",K_MinUd_1g_ob))</f>
        <v>0</v>
      </c>
      <c r="AY155" t="e">
        <f>VLOOKUP(Исходн.данные.!T155,Справ!$A$3:$N$57,12)</f>
        <v>#N/A</v>
      </c>
      <c r="AZ155" t="e">
        <f>VLOOKUP(Исходн.данные.!T155,Справ!$A$3:$N$57,13)</f>
        <v>#N/A</v>
      </c>
      <c r="BA155" t="e">
        <f>VLOOKUP(Исходн.данные.!T155,Справ!$A$3:$N$57,14)</f>
        <v>#N/A</v>
      </c>
      <c r="BB155">
        <f>IF(Исходн.данные.!AH155=0,0,25)</f>
        <v>0</v>
      </c>
      <c r="BC155" s="141">
        <f>IF(Исходн.данные.!AH155=0,0,IF(Исходн.данные.!T155=0,25,BD155))</f>
        <v>0</v>
      </c>
      <c r="BD155" s="168" t="e">
        <f>AY155+AZ155*Исходн.данные.!U155-POWER(BA155,2)*Исходн.данные.!U155</f>
        <v>#N/A</v>
      </c>
      <c r="BE15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5" s="25">
        <f>IF(Исходн.данные.!AH155=0,0,MIN(HN155:HP155))</f>
        <v>0</v>
      </c>
      <c r="BG155" s="9">
        <f>IF(Исходн.данные.!AH155=0,0,IF((HO155+10*0.25/HG155/HL155)&lt;17,17,HO155+10*0.25/HG155/HL155))</f>
        <v>0</v>
      </c>
      <c r="BH155" s="181">
        <f>IF(Исходн.данные.!AH155=0,0,HW155*HF155*HL155/AU155*AI155+Исходн.данные.!S155*10)</f>
        <v>0</v>
      </c>
      <c r="BI155" s="10"/>
      <c r="BJ155" s="182">
        <f>IF(Исходн.данные.!AH155=0,0,IF(HX155*HG155*HL155/AV155&lt;0,0,HX155*HG155*HL155/AV155*AJ155))</f>
        <v>0</v>
      </c>
      <c r="BK155" s="182">
        <f>IF(Исходн.данные.!AH155=0,0,HY155*HH155*HM155/AW155)</f>
        <v>0</v>
      </c>
      <c r="BL155" s="10">
        <f>IF(OR(Исходн.данные.!$AH155=$BP$1,Исходн.данные.!$AH155=$BP$2),0,IF(BH155&lt;0,0,IF(OR(Исходн.данные.!T155=Расчет!$BP$1,Исходн.данные.!T155=Расчет!$BP$2,Исходн.данные.!T155=Расчет!$BT$5,Исходн.данные.!T155=Расчет!$BT$6),BH155*0.5,IF(OR(Исходн.данные.!T155=Расчет!$BS$9,Исходн.данные.!T155=Расчет!$BS$10,Исходн.данные.!T155=Расчет!$BS$11,Исходн.данные.!T155=Расчет!$BS$12,Исходн.данные.!T155=Расчет!$BP$5),BH155*0.8,BH155))))</f>
        <v>0</v>
      </c>
      <c r="BM155" s="10">
        <f>IF(OR(Исходн.данные.!$AH155=$BP$1,Исходн.данные.!$AH155=$BP$2),0,IF(BJ155&lt;0,0,IF(Исходн.данные.!I155&lt;4.5,BJ155*1.2,IF(Исходн.данные.!I155&gt;5.1,BJ155,BJ155*((5.1-Исходн.данные.!I155)*0.333+1)))))</f>
        <v>0</v>
      </c>
      <c r="BN155" s="10">
        <f>IF(OR(Исходн.данные.!$AH155=$BP$1,Исходн.данные.!$AH155=$BP$2),60-Исходн.данные.!AF155,IF(BK155&lt;0,0,IF(Исходн.данные.!I155&lt;4.5,BK155*1.2,IF(Исходн.данные.!I155&gt;5.1,BK155,BK155*((5.1-Исходн.данные.!I155)*0.333+1)))))</f>
        <v>0</v>
      </c>
      <c r="BO155" s="9">
        <f>IF(BL155&lt;0,0,BL155*Исходн.данные.!$AJ155/1000)</f>
        <v>0</v>
      </c>
      <c r="BP155" s="9">
        <f>IF(BM155&lt;0,0,BM155*Исходн.данные.!$AJ155/1000)</f>
        <v>0</v>
      </c>
      <c r="BQ155" s="9">
        <f>IF(BN155&lt;0,0,BN155*Исходн.данные.!$AJ155/1000)</f>
        <v>0</v>
      </c>
      <c r="BR155" s="9">
        <f t="shared" si="155"/>
        <v>0</v>
      </c>
      <c r="BS155" s="10" t="str">
        <f t="shared" si="156"/>
        <v>Аммофос 12:52:00</v>
      </c>
      <c r="BT155" s="10" t="str">
        <f t="shared" si="157"/>
        <v>Аммофос 12:52:00</v>
      </c>
      <c r="BU155" s="10" t="str">
        <f t="shared" si="158"/>
        <v>Диаммофоска</v>
      </c>
      <c r="BV155" s="10">
        <f t="shared" si="159"/>
        <v>0</v>
      </c>
      <c r="BW155" s="10"/>
      <c r="BX155" s="10"/>
      <c r="BY155" s="9">
        <f>IF(BL155&lt;0,0,IF(OR(Исходн.данные.!AI155=Расчет!$BU$6,Исходн.данные.!AI155=Расчет!$BU$7),Расчет!BV155,IF(Исходн.данные.!$AG155=$BV$11,BL155,IF(OR(Исходн.данные.!$AH155=$BQ$7,Исходн.данные.!$AH155=$BQ$8),CB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0,IF(Исходн.данные.!$AI155=$BU$11,"Нет",IF(BL155&gt;30,30,BL155)))))))</f>
        <v>0</v>
      </c>
      <c r="BZ155" s="9">
        <f>IF(AND(Исходн.данные.!$AG155=$BV$11,BM155&lt;10),10,IF(Исходн.данные.!$AG155=$BV$11,BM155,IF(OR(Исходн.данные.!$AH155=$BQ$7,Исходн.данные.!$AH155=$BQ$8),CC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10,IF(Исходн.данные.!$AI155=$BU$11,"Нет",IF(BM155&gt;60,60,IF(BM155&lt;10,10,BM155)))))))</f>
        <v>10</v>
      </c>
      <c r="CA155" s="39">
        <f>IF(BN155&lt;0,0,IF(Исходн.данные.!$AG155=$BV$11,BN155,IF(OR(Исходн.данные.!$AH155=$BQ$7,Исходн.данные.!$AH155=$BQ$8),CD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0,IF(Исходн.данные.!$AI155=$BU$11,"Нет",IF(BN155&gt;30,30,BN155))))))</f>
        <v>0</v>
      </c>
      <c r="CB155" s="9">
        <f t="shared" si="160"/>
        <v>0</v>
      </c>
      <c r="CC155" s="9">
        <f t="shared" si="161"/>
        <v>0</v>
      </c>
      <c r="CD155" s="9">
        <f t="shared" si="162"/>
        <v>0</v>
      </c>
      <c r="CE155" s="12">
        <f t="shared" si="163"/>
        <v>10</v>
      </c>
      <c r="CF155" s="9">
        <f t="shared" si="164"/>
        <v>0</v>
      </c>
      <c r="CG155" s="9" t="s">
        <v>231</v>
      </c>
      <c r="CH155" s="132" t="str">
        <f>IF(Исходн.данные.!AP155=Расчет!$CI$16,"Нет",IF(Исходн.данные.!AL155&gt;0,Исходн.данные.!AL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BH$4,IF(OR(Исходн.данные.!AI155=Исходн.данные.!$AI$6,Исходн.данные.!AI155=Исходн.данные.!$AI$7),Расчет!BS155,IF(AND($CF155=0,$CE155&gt;0),EV155,ER155)))))</f>
        <v>Аммофос 12:52:00</v>
      </c>
      <c r="CI155" s="274">
        <f>IF(Расчет!$CH155="Нет","Нет",IF(Исходн.данные.!$AL155&gt;0,VLOOKUP(Расчет!$CH155,АшламаДВ_Irekle,2,FALSE),VLOOKUP(Расчет!$CH155,АшламаДВ_Gomumy,2,FALSE)))</f>
        <v>0.12</v>
      </c>
      <c r="CJ155" s="274">
        <f>IF(Расчет!$CH155="Нет","Нет",IF(Исходн.данные.!$AL155&gt;0,VLOOKUP(Расчет!$CH155,АшламаДВ_Irekle,3,FALSE),VLOOKUP(Расчет!$CH155,АшламаДВ_Gomumy,3,FALSE)))</f>
        <v>0.52</v>
      </c>
      <c r="CK155" s="274">
        <f>IF(Расчет!$CH155="Нет","Нет",IF(Исходн.данные.!$AL155&gt;0,VLOOKUP(Расчет!$CH155,АшламаДВ_Irekle,4,FALSE),VLOOKUP(Расчет!$CH155,АшламаДВ_Gomumy,4,FALSE)))</f>
        <v>0</v>
      </c>
      <c r="CL155" s="70"/>
      <c r="CM155" s="70"/>
      <c r="CN155" s="70"/>
      <c r="CO155" s="70"/>
      <c r="CP155" s="70"/>
      <c r="CQ155" s="70"/>
      <c r="CR155" s="10">
        <f t="shared" si="165"/>
        <v>0</v>
      </c>
      <c r="CS155" s="10">
        <f t="shared" si="166"/>
        <v>19.23076923076923</v>
      </c>
      <c r="CT155" s="10">
        <f t="shared" si="167"/>
        <v>0</v>
      </c>
      <c r="CU155" s="39">
        <f>IF($CH155="Нет",0,IF(CI155=0,30/MIN(CJ155:CK155),IF(Исходн.данные.!$AG155=$BV$11,CR155,IF(OR(Исходн.данные.!$AH155=$BQ$7,Исходн.данные.!$AH155=$BQ$8),90/CI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0,IF(Исходн.данные.!$AI155=$BU$11,"Нет",30/CI155))))))</f>
        <v>250</v>
      </c>
      <c r="CV155" s="39">
        <f>IF($CH155="Нет",0,IF(Исходн.данные.!AH155=0,0,IF(CJ155=0,60/MIN(CI155,CK155),IF(Исходн.данные.!$AG155=$BV$11,CS155,IF(OR(Исходн.данные.!$AH155=$BQ$7,Исходн.данные.!$AH155=$BQ$8),90/CJ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10/CJ155,IF(Исходн.данные.!$AI155=$BU$11,"Нет",60/CJ155)))))))</f>
        <v>0</v>
      </c>
      <c r="CW155" s="39">
        <f>IF($CH155="Нет",0,IF(Исходн.данные.!AH155=0,0,IF(CK155=0,30/MIN(CI155:CJ155),IF(Исходн.данные.!$AG155=$BV$11,CT155,IF(OR(Исходн.данные.!$AH155=$BQ$7,Исходн.данные.!$AH155=$BQ$8),90/CK155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0,IF(Исходн.данные.!$AI155=$BU$11,"Нет",30/CK155)))))))</f>
        <v>0</v>
      </c>
      <c r="CX155" s="133">
        <f>IF(Исходн.данные.!$AG155=$BV$11,MAX(CU155:CW155),IF(OR(Исходн.данные.!$AH155=$BS$8,Исходн.данные.!$AH155=$BQ$9,Исходн.данные.!$AH155=$BQ$10,Исходн.данные.!$AH155=$BQ$11,Исходн.данные.!$AH155=$BQ$12,Исходн.данные.!$AH155=$BP$3,Исходн.данные.!$AH155=$BT$8,$FM155="Да"),CV155,MIN(CU155:CW155)))</f>
        <v>0</v>
      </c>
      <c r="CY155" s="133">
        <f>IF(Исходн.данные.!AH155=0,0,IF(CR155&gt;$CX155,$CX155,CR155))</f>
        <v>0</v>
      </c>
      <c r="CZ155" s="133">
        <f>IF(Исходн.данные.!AH155=0,0,IF(CS155&gt;$CX155,$CX155,CS155))</f>
        <v>0</v>
      </c>
      <c r="DA155" s="133">
        <f>IF(Исходн.данные.!AH155=0,0,IF(CT155&gt;$CX155,$CX155,CT155))</f>
        <v>0</v>
      </c>
      <c r="DB155" s="10">
        <f t="shared" si="168"/>
        <v>0</v>
      </c>
      <c r="DC155" s="39">
        <f>DB155*Исходн.данные.!AJ155/1000</f>
        <v>0</v>
      </c>
      <c r="DD155" s="71">
        <f t="shared" si="169"/>
        <v>0</v>
      </c>
      <c r="DE155" s="9">
        <f t="shared" si="170"/>
        <v>0</v>
      </c>
      <c r="DF155" s="9">
        <f t="shared" si="171"/>
        <v>0</v>
      </c>
      <c r="DG155" s="39">
        <f>IF(BL155&lt;0,0,IF($CH155="Нет",BL155,IF(OR(Исходн.данные.!$AH155=$BP$1,Исходн.данные.!$AH155=$BP$2),0,IF(Исходн.данные.!AI155=$BU$11,BL155,IF(BL155-DD155&lt;0,0,BL155-DD155)))))</f>
        <v>0</v>
      </c>
      <c r="DH155" s="39">
        <f>IF(BM155&lt;0,0,IF($CH155="Нет",BM155,IF(OR(Исходн.данные.!$AH155=$BP$1,Исходн.данные.!$AH155=$BP$2),0,IF(Исходн.данные.!AJ155=$BU$11,BM155,IF(BM155-DE155&lt;0,0,BM155-DE155)))))</f>
        <v>0</v>
      </c>
      <c r="DI155" s="39">
        <f>IF(BN155&lt;0,0,IF($CH155="Нет",BN155,IF(OR(Исходн.данные.!$AH155=$BP$1,Исходн.данные.!$AH155=$BP$2),0,IF(Исходн.данные.!AK155=$BU$11,BN155,IF(BN155-DF155&lt;0,0,BN155-DF155)))))</f>
        <v>0</v>
      </c>
      <c r="DJ155" s="12">
        <f t="shared" si="172"/>
        <v>0</v>
      </c>
      <c r="DK155" s="9">
        <f t="shared" si="173"/>
        <v>0</v>
      </c>
      <c r="DL155" s="39">
        <f>IF(Исходн.данные.!AM155&gt;0,Исходн.данные.!AM155,IF(EG155&gt;0,$BH$10,0))</f>
        <v>0</v>
      </c>
      <c r="DM155" s="186">
        <f>IF($DL155=0,0,IF(Исходн.данные.!AM155&gt;0,VLOOKUP($DL155,АшламаДВ_Irekle,2,FALSE),VLOOKUP($DL155,АшламаДВ_Gomumy,2,FALSE)))</f>
        <v>0</v>
      </c>
      <c r="DN155" s="10">
        <f t="shared" si="225"/>
        <v>0</v>
      </c>
      <c r="DO155" s="9" t="str">
        <f>IF(Исходн.данные.!AN155&gt;0,Исходн.данные.!AN155,Удобрения!$B$37 )</f>
        <v>Хлор.калий</v>
      </c>
      <c r="DP155" s="9">
        <f>IF(Исходн.данные.!AN155&gt;0,VLOOKUP(Исходн.данные.!AN155,АшламаДВ_Irekle,4,FALSE),VLOOKUP(DO155,АшламаДВ_Gomumy,4,FALSE))</f>
        <v>0.6</v>
      </c>
      <c r="DQ155" s="10">
        <f t="shared" si="226"/>
        <v>0</v>
      </c>
      <c r="DR155" s="132" t="str">
        <f>IF(Исходн.данные.!AO155&gt;0,Исходн.данные.!AO155,IF(DH155=0,BS$17,IF(AND($DK155=0,$DJ155&gt;0),EJ155,EN155)))</f>
        <v>Нет</v>
      </c>
      <c r="DS155" s="70" t="str">
        <f>IF($DR155="Нет","Нет",IF(Исходн.данные.!$AO155&gt;0,VLOOKUP($DR155,АшламаДВ_Irekle,2,FALSE),VLOOKUP($DR155,АшламаДВ_Gomumy,2,FALSE)))</f>
        <v>Нет</v>
      </c>
      <c r="DT155" s="70" t="str">
        <f>IF($DR155="Нет","Нет",IF(Исходн.данные.!$AO155&gt;0,VLOOKUP($DR155,АшламаДВ_Irekle,3,FALSE),VLOOKUP($DR155,АшламаДВ_Gomumy,3,FALSE)))</f>
        <v>Нет</v>
      </c>
      <c r="DU155" s="70" t="str">
        <f>IF($DR155="Нет","Нет",IF(Исходн.данные.!$AO155&gt;0,VLOOKUP($DR155,АшламаДВ_Irekle,4,FALSE),VLOOKUP($DR155,АшламаДВ_Gomumy,4,FALSE)))</f>
        <v>Нет</v>
      </c>
      <c r="DV155" s="70"/>
      <c r="DW155" s="70"/>
      <c r="DX155" s="70"/>
      <c r="DY155" s="10">
        <f t="shared" si="174"/>
        <v>0</v>
      </c>
      <c r="DZ155" s="10">
        <f t="shared" si="175"/>
        <v>0</v>
      </c>
      <c r="EA155" s="10">
        <f t="shared" si="176"/>
        <v>0</v>
      </c>
      <c r="EB155" s="10">
        <f t="shared" si="177"/>
        <v>0</v>
      </c>
      <c r="EC155" s="10">
        <f t="shared" si="178"/>
        <v>0</v>
      </c>
      <c r="ED155" s="10">
        <f t="shared" si="179"/>
        <v>0</v>
      </c>
      <c r="EE155" s="10">
        <f t="shared" si="180"/>
        <v>0</v>
      </c>
      <c r="EF155" s="39">
        <f>EB155*Исходн.данные.!AJ155/1000</f>
        <v>0</v>
      </c>
      <c r="EG155" s="9">
        <f t="shared" si="181"/>
        <v>0</v>
      </c>
      <c r="EH155" s="9">
        <f t="shared" si="182"/>
        <v>0</v>
      </c>
      <c r="EI155" s="39" t="e">
        <f t="shared" si="206"/>
        <v>#DIV/0!</v>
      </c>
      <c r="EJ155" s="9" t="str">
        <f t="shared" si="227"/>
        <v>Азопреципитат</v>
      </c>
      <c r="EK155" s="12">
        <f t="shared" si="207"/>
        <v>0.26</v>
      </c>
      <c r="EL155" s="12">
        <f t="shared" si="208"/>
        <v>0.13</v>
      </c>
      <c r="EM155" s="12">
        <f t="shared" si="209"/>
        <v>0</v>
      </c>
      <c r="EN155" s="12" t="str">
        <f t="shared" si="228"/>
        <v>Нет</v>
      </c>
      <c r="EO155" s="12">
        <f t="shared" si="210"/>
        <v>0</v>
      </c>
      <c r="EP155" s="12">
        <f t="shared" si="211"/>
        <v>0</v>
      </c>
      <c r="EQ155" s="12">
        <f t="shared" si="212"/>
        <v>0</v>
      </c>
      <c r="ER155" s="12" t="str">
        <f t="shared" si="183"/>
        <v>Диаммофоска</v>
      </c>
      <c r="ES155" s="12">
        <f t="shared" si="213"/>
        <v>0.1</v>
      </c>
      <c r="ET155" s="12">
        <f t="shared" si="214"/>
        <v>0.26</v>
      </c>
      <c r="EU155" s="12">
        <f t="shared" si="215"/>
        <v>0.26</v>
      </c>
      <c r="EV155" s="12" t="str">
        <f t="shared" si="184"/>
        <v>Аммофос 12:52:00</v>
      </c>
      <c r="EW155" s="12" t="str">
        <f t="shared" si="185"/>
        <v>Кемира Свекловичное-6</v>
      </c>
      <c r="EX155" s="12">
        <f t="shared" si="216"/>
        <v>0.16</v>
      </c>
      <c r="EY155" s="12">
        <f t="shared" si="217"/>
        <v>0.12</v>
      </c>
      <c r="EZ155" s="12">
        <f t="shared" si="218"/>
        <v>0.17</v>
      </c>
      <c r="FA155" s="38" t="e">
        <f>IF(AND(OR(FJ155=$FD$1,FM155=$FD$1,FO155=$FD$1,FQ155=$FD$1,FS155=$FD$1),FD155=$FD$1,Исходн.данные.!J155&lt;2,FU155=$FD$1),"Бор,Кобальт",IF(AND(FO155=$FD$1,FH155=$FD$1,Исходн.данные.!J155&lt;2,FU155=$FD$1),"Бор,Кобальт",IF(AND(OR(FJ155=$FD$1,FM155=$FD$1,FQ155=$FD$1),FE155=$FD$1,Исходн.данные.!J155&lt;2,FT155=$FD$1,FU155=$FD$1),"Бор,Медь,Цинк",IF(AND(OR(FJ155=$FD$1,FR155="Да"),FI155="Да",Исходн.данные.!J155&lt;2,FT155="Да",FU155="Да"),"Бор,Цинк,Медь",IF(AND(OR(FM155="Да",FQ155="Да"),FI155="Да",Исходн.данные.!J155&lt;2,FT155="Да",FU155="Да"),"Бор,Цинк",IF(AND(FN155="Да",OR(FD155="Да",FE155="Да")),"Бор",FB155))))))</f>
        <v>#N/A</v>
      </c>
      <c r="FB155" s="134" t="e">
        <f>IF(AND(OR(FD155="Да",FE155="Да",FF155="Да",FG155="Да",FH155="Да"),FO155="Да"),"Бор",IF(AND(FP155="Да",OR(FD155="Да",FE155="Да",FI155="Да")),"Бор",IF(AND(FS155="Да",FE155="Да"),"Бор,Медь",IF(AND(OR(FJ155="Да",FK155="Да",FL155="Да"),FE155="Да",Исходн.данные.!I155&lt;5,FT155="Да",FU155="Да"),"Молибден,Цинк",IF(AND(FM155="Да",OR(FE155="Да",FF155="Да",FG155="Да",FH155="Да",FI155="Да")),"Молибден,Цинк",IF(AND(OR(FJ155="Да",FK155="Да",FL155="Да",FM155="Да",FQ155="Да"),OR(FE155="Да",FF155="Да"),FT155="Да",FU155="Да",Исходн.данные.!I155&gt;5.5),"Медь,Цинк",FC155))))))</f>
        <v>#N/A</v>
      </c>
      <c r="FC155" s="23" t="e">
        <f t="shared" si="186"/>
        <v>#N/A</v>
      </c>
      <c r="FD155" s="38" t="str">
        <f>IF(OR(Исходн.данные.!F155=$CC$1,Исходн.данные.!F155=$CC$2,Исходн.данные.!F155=$CC$3,Исходн.данные.!F155=$CC$4),"Да","Нет")</f>
        <v>Нет</v>
      </c>
      <c r="FE155" s="38" t="str">
        <f>IF(Исходн.данные.!F155=$CC$5,"Да","Нет")</f>
        <v>Нет</v>
      </c>
      <c r="FF155" s="38" t="str">
        <f>IF(OR(Исходн.данные.!F155=$CC$6,Исходн.данные.!F155=$CC$7),"Да","Нет")</f>
        <v>Нет</v>
      </c>
      <c r="FG155" s="38" t="str">
        <f>IF(OR(Исходн.данные.!F155=$CC$8,Исходн.данные.!F155=$CC$9),"Да","Нет")</f>
        <v>Нет</v>
      </c>
      <c r="FH155" s="38" t="str">
        <f>IF(Исходн.данные.!F155=$CC$10,"Да","Нет")</f>
        <v>Нет</v>
      </c>
      <c r="FI155" s="38" t="str">
        <f>IF(OR(Исходн.данные.!F155=$CC$11,Исходн.данные.!F155=$CC$12),"Да","Нет")</f>
        <v>Нет</v>
      </c>
      <c r="FJ155" s="38" t="str">
        <f>IF(OR(Исходн.данные.!AH155=$BS$1,Исходн.данные.!AH155=$BQ$11,Исходн.данные.!AH155=$BQ$12),"Да","Нет")</f>
        <v>Нет</v>
      </c>
      <c r="FK155" s="38" t="str">
        <f>IF(OR(Исходн.данные.!AH155=$BS$2,Исходн.данные.!AH155=$BS$4),"Да","Нет")</f>
        <v>Нет</v>
      </c>
      <c r="FL155" s="38" t="str">
        <f>IF(OR(Исходн.данные.!AH155=$BS$3,Исходн.данные.!AH155=$BS$5),"Да","Нет")</f>
        <v>Нет</v>
      </c>
      <c r="FM155" s="38" t="str">
        <f>IF(OR(Исходн.данные.!AH155=$BS$9,Исходн.данные.!AH155=$BS$10,Исходн.данные.!AH155=$BS$11,Исходн.данные.!AH155=$BS$12),"Да","Нет")</f>
        <v>Нет</v>
      </c>
      <c r="FN155" s="38" t="str">
        <f>IF(OR(Исходн.данные.!AH155=$BS$6,Исходн.данные.!AH155=$BP$3),"Да","Нет")</f>
        <v>Нет</v>
      </c>
      <c r="FO155" s="38" t="str">
        <f>IF(Исходн.данные.!AH155=$BQ$9,"Да","Нет")</f>
        <v>Нет</v>
      </c>
      <c r="FP155" s="38" t="str">
        <f>IF(OR(Исходн.данные.!AH155=$BS$8,Исходн.данные.!AH155=$BT$8),"Да","Нет")</f>
        <v>Нет</v>
      </c>
      <c r="FQ155" s="38" t="str">
        <f>IF(OR(Исходн.данные.!AH155=$BQ$7,Исходн.данные.!AH155=$BQ$8),"Да","Нет")</f>
        <v>Нет</v>
      </c>
      <c r="FR155" s="38" t="str">
        <f>IF(Исходн.данные.!AI155=$BU$9,"Да","Нет")</f>
        <v>Нет</v>
      </c>
      <c r="FS155" s="38" t="str">
        <f>IF(OR(Исходн.данные.!AH155=$BP$1,Исходн.данные.!AH155=$BP$2),"Да","Нет")</f>
        <v>Нет</v>
      </c>
      <c r="FT155" s="38" t="e">
        <f>IF((Исходн.данные.!K155*GO155*GS155*GW155+BL155*0.6+Исходн.данные.!Q155*4.5*0.275)&gt;90,"Да","Нет")</f>
        <v>#N/A</v>
      </c>
      <c r="FU155" s="38" t="e">
        <f>IF((Исходн.данные.!M155*GS155*GZ155+BM155*0.225)&gt;35,"Да","Нет")</f>
        <v>#N/A</v>
      </c>
      <c r="FV155" s="38" t="str">
        <f>IF(Исходн.данные.!O155&gt;175,"Да","Нет")</f>
        <v>Нет</v>
      </c>
      <c r="FW155" s="39" t="str">
        <f>IF(Исходн.данные.!I155&gt;5.5,"Да","Нет")</f>
        <v>Нет</v>
      </c>
      <c r="FX155" s="39" t="str">
        <f>IF(Исходн.данные.!J155&lt;2,"Да","Нет")</f>
        <v>Да</v>
      </c>
      <c r="FY155" s="39" t="e">
        <f>IF(HF155=$FY$16,0,Исходн.данные.!K155*GO155*GS155*GW155/HF155)</f>
        <v>#N/A</v>
      </c>
      <c r="FZ155" s="39" t="e">
        <f>Исходн.данные.!M155*GS155*GZ155/HG155</f>
        <v>#N/A</v>
      </c>
      <c r="GA155" s="39" t="e">
        <f>IF(K_Wyn=$FY$16,0,IF(Исходн.данные.!N155=Исходн.данные.!$L$10,Исходн.данные.!O155/1.1*GS155*HC155/HH155,IF(Исходн.данные.!N155=Исходн.данные.!$L$12,Исходн.данные.!O155/1.5*GS155*HC155/HH155,Исходн.данные.!O155*GS155*HC155/HH155)))</f>
        <v>#N/A</v>
      </c>
      <c r="GB155" s="39" t="e">
        <f>IF(HF155=$FY$16,0,((Исходн.данные.!Q155*N_Org+Исходн.данные.!R155*N_Sider+Исходн.данные.!S155*N_Soloma)*AO155+Расчет!BC155*VLOOKUP(Исходн.данные.!T155,Справ!$A$3:$O$57,15)*AO155+BB155*VLOOKUP(Исходн.данные.!T155,Справ!$A$3:$O$57,15)*AL155+(Исходн.данные.!V155*N_Rizotorf+Исходн.данные.!W155*N_Rizoagr))/HF155)</f>
        <v>#N/A</v>
      </c>
      <c r="GC155" s="39" t="e">
        <f>IF(HG155=$FY$16,0,((Исходн.данные.!Q155*Р_Org+Исходн.данные.!R155*P_Sider+Исходн.данные.!S155*P_Soloma)*AP155+Расчет!BC155*VLOOKUP(Исходн.данные.!T155,Справ!$A$3:$P$57,16)*AP155+BB155*VLOOKUP(Исходн.данные.!T155,Справ!$A$3:$P$57,16)*AM155)/HG155)</f>
        <v>#N/A</v>
      </c>
      <c r="GD155" s="39" t="e">
        <f>IF(HH155=$FY$16,0,((Исходн.данные.!Q155*К_Org+Исходн.данные.!R155*K_Sider+Исходн.данные.!S155*K_Soloma)*AQ155+Расчет!BC155*VLOOKUP(Исходн.данные.!T155,Справ!$A$3:$Q$57,17)*AQ155+BB155*VLOOKUP(Исходн.данные.!T155,Справ!$A$3:$Q$57,17)*AN155)/HH155)</f>
        <v>#N/A</v>
      </c>
      <c r="GE155" s="39" t="e">
        <f>IF(HF155=$FY$16,0,(Исходн.данные.!X155*AR155+Исходн.данные.!AA155*N_Org*AL155+Исходн.данные.!AB155*N_Sider*AL155+Исходн.данные.!AC155*N_Soloma*AL155)/HF155)</f>
        <v>#N/A</v>
      </c>
      <c r="GF155" s="39" t="e">
        <f>IF(HG155=$FY$16,0,(Исходн.данные.!Y155*AS155+Исходн.данные.!AA155*Р_Org*AM155+Исходн.данные.!AB155*P_Sider*AM155+Исходн.данные.!AC155*P_Soloma*AM155)/HG155)</f>
        <v>#N/A</v>
      </c>
      <c r="GG155" s="39" t="e">
        <f>IF(HH155=$FY$16,0,(Исходн.данные.!Z155*AT155+Исходн.данные.!AA155*К_Org*AN155+Исходн.данные.!AB155*K_Sider*AN155+Исходн.данные.!AC155*K_Soloma*AN155)/HH155)</f>
        <v>#N/A</v>
      </c>
      <c r="GH155" s="39" t="e">
        <f>Исходн.данные.!AD155*AU155/HF155</f>
        <v>#N/A</v>
      </c>
      <c r="GI155" s="39" t="e">
        <f>Исходн.данные.!AE155*AV155/HG155</f>
        <v>#N/A</v>
      </c>
      <c r="GJ155" s="39" t="e">
        <f>Исходн.данные.!AF155*AW155/HH155</f>
        <v>#N/A</v>
      </c>
      <c r="GK155" s="55">
        <f>Исходн.данные.!AK155</f>
        <v>0</v>
      </c>
      <c r="GL155" s="11" t="e">
        <f t="shared" si="187"/>
        <v>#N/A</v>
      </c>
      <c r="GM155" s="11" t="e">
        <f t="shared" si="188"/>
        <v>#N/A</v>
      </c>
      <c r="GN155" s="11" t="e">
        <f t="shared" si="189"/>
        <v>#N/A</v>
      </c>
      <c r="GO155" s="57">
        <f t="shared" si="190"/>
        <v>19</v>
      </c>
      <c r="GP155" s="55">
        <f>IF(OR(Исходн.данные.!F155=$CE$1,Исходн.данные.!F155=$CE$2,Исходн.данные.!F155=$CE$3,Исходн.данные.!F155=$CE$4,Исходн.данные.!F155=$CE$5),GQ155,GR155)</f>
        <v>19</v>
      </c>
      <c r="GQ155" s="55">
        <f>IF(Исходн.данные.!F155=$CE$1,28,IF(Исходн.данные.!F155=$CE$2,26,IF(Исходн.данные.!F155=$CE$3,24,IF(Исходн.данные.!F155=$CE$4,22,IF(Исходн.данные.!F155=$CE$5,20,GR155)))))</f>
        <v>19</v>
      </c>
      <c r="GR155" s="55">
        <f>IF(Исходн.данные.!F155=$CE$6,18,IF(Исходн.данные.!F155=$CE$7,16,IF(Исходн.данные.!F155=$CE$8,14,IF(Исходн.данные.!F155=$CE$9,13,IF(Исходн.данные.!F155=$CE$10,12,19)))))</f>
        <v>19</v>
      </c>
      <c r="GS155" s="55">
        <f>IF(Исходн.данные.!G155="Пес",0.035*(40+2*Исходн.данные.!H155),IF(Исходн.данные.!G155="Суп",0.0325*(40+2*Исходн.данные.!H155),0.03*(40+2*Исходн.данные.!H155)))</f>
        <v>1.2</v>
      </c>
      <c r="GT155" s="55">
        <f>IF(Исходн.данные.!H155&lt;23,2.6,IF(AND(Исходн.данные.!H155&gt;22,Исходн.данные.!H155&lt;26),3,IF(AND(Исходн.данные.!H155&gt;25,Исходн.данные.!H155&lt;29),3.4,3.6)))</f>
        <v>2.6</v>
      </c>
      <c r="GU155" s="55">
        <f>IF(Исходн.данные.!H155&lt;23,2.8,IF(AND(Исходн.данные.!H155&gt;22,Исходн.данные.!H155&lt;26),3.2,IF(AND(Исходн.данные.!H155&gt;25,Исходн.данные.!H155&lt;29),3.6,3.9)))</f>
        <v>2.8</v>
      </c>
      <c r="GV155" s="55">
        <f>IF(Исходн.данные.!H155&lt;23,3,IF(AND(Исходн.данные.!H155&gt;22,Исходн.данные.!H155&lt;26),3.5,IF(AND(Исходн.данные.!H155&gt;25,Исходн.данные.!H155&lt;29),3.9,4.2)))</f>
        <v>3</v>
      </c>
      <c r="GW155" s="55" t="e">
        <f>IF(Исходн.данные.!P155="Ум",GX155,GY155)</f>
        <v>#N/A</v>
      </c>
      <c r="GX155" s="55" t="e">
        <f>VLOOKUP(Исходн.данные.!AI155,Коэффициенты!$J$7:$L$13,2,FALSE)</f>
        <v>#N/A</v>
      </c>
      <c r="GY155" s="55" t="e">
        <f>VLOOKUP(Исходн.данные.!AI155,Коэффициенты!$J$7:$L$13,3,FALSE)</f>
        <v>#N/A</v>
      </c>
      <c r="GZ155" s="55" t="e">
        <f>(IF(Исходн.данные.!M155&lt;50,0.11*VLOOKUP(Исходн.данные.!AH155,Культуры.Информация,7,FALSE),IF(Исходн.данные.!M155&gt;250,0.05*VLOOKUP(Исходн.данные.!AH155,Культуры.Информация,7,FALSE),VLOOKUP(Исходн.данные.!AH155,Культуры.Информация,5,FALSE)/100*($GX$6+$GY$6*Исходн.данные.!M155))))*Расчет2!AI155</f>
        <v>#N/A</v>
      </c>
      <c r="HA155" s="211"/>
      <c r="HB155" s="211"/>
      <c r="HC155" s="55" t="e">
        <f>(IF(Исходн.данные.!O155&lt;80,0.2*VLOOKUP(Исходн.данные.!AH155,Культуры.Информация,8,FALSE),IF(Исходн.данные.!O155&gt;240,0.09*VLOOKUP(Исходн.данные.!AH155,Культуры.Информация,8,FALSE),VLOOKUP(Исходн.данные.!AH155,Культуры.Информация,6,FALSE)/100*($HB$6+$HC$6*Исходн.данные.!O155))))*Расчет2!AJ155</f>
        <v>#N/A</v>
      </c>
      <c r="HD155" s="55">
        <f>IF(Исходн.данные.!O155&gt;240,0.09,IF(Исходн.данные.!O155&lt;30,0.3,$HE$10+$HD$10*Исходн.данные.!O155))</f>
        <v>0.3</v>
      </c>
      <c r="HE155" s="55">
        <f>IF(Исходн.данные.!O155&gt;240,0.17,IF(Исходн.данные.!O155&lt;30,0.5,$HF$12+$HE$12*Исходн.данные.!O155))</f>
        <v>0.5</v>
      </c>
      <c r="HF155" s="55" t="e">
        <f>VLOOKUP(Исходн.данные.!AH155,Справ!$A$3:$D$58,2,FALSE)</f>
        <v>#N/A</v>
      </c>
      <c r="HG155" s="55" t="e">
        <f>VLOOKUP(Исходн.данные.!AH155,Справ!$A$3:$D$58,3,FALSE)</f>
        <v>#N/A</v>
      </c>
      <c r="HH155" s="55" t="e">
        <f>VLOOKUP(Исходн.данные.!AH155,Справ!$A$3:$D$58,4,FALSE)</f>
        <v>#N/A</v>
      </c>
      <c r="HI155" s="11" t="e">
        <f t="shared" si="191"/>
        <v>#N/A</v>
      </c>
      <c r="HJ155" s="11" t="e">
        <f t="shared" si="192"/>
        <v>#N/A</v>
      </c>
      <c r="HK155" s="11" t="e">
        <f t="shared" si="193"/>
        <v>#N/A</v>
      </c>
      <c r="HL155" s="55">
        <f>IF(OR(Исходн.данные.!G155="Глин",Исходн.данные.!G155="Т_суг"),1.1,IF(Исходн.данные.!G155="Ср_суг",1,1))</f>
        <v>1</v>
      </c>
      <c r="HM155" s="55">
        <f>IF(OR(Исходн.данные.!G155="Глин",Исходн.данные.!G155="Т_суг"),0.9,IF(Исходн.данные.!G155="Ср_суг",1,1.2))</f>
        <v>1.2</v>
      </c>
      <c r="HN155" s="11" t="e">
        <f t="shared" si="194"/>
        <v>#N/A</v>
      </c>
      <c r="HO155" s="11" t="e">
        <f t="shared" si="195"/>
        <v>#N/A</v>
      </c>
      <c r="HP155" s="11" t="e">
        <f t="shared" si="196"/>
        <v>#N/A</v>
      </c>
      <c r="HQ155" t="e">
        <f t="shared" si="197"/>
        <v>#N/A</v>
      </c>
      <c r="HR155" t="e">
        <f t="shared" si="198"/>
        <v>#N/A</v>
      </c>
      <c r="HS155" t="e">
        <f t="shared" si="199"/>
        <v>#N/A</v>
      </c>
      <c r="HT155" t="e">
        <f t="shared" si="219"/>
        <v>#N/A</v>
      </c>
      <c r="HU155" t="e">
        <f t="shared" si="220"/>
        <v>#N/A</v>
      </c>
      <c r="HV155" t="e">
        <f t="shared" si="221"/>
        <v>#N/A</v>
      </c>
      <c r="HW155" t="e">
        <f t="shared" si="222"/>
        <v>#N/A</v>
      </c>
      <c r="HX155" t="e">
        <f t="shared" si="223"/>
        <v>#N/A</v>
      </c>
      <c r="HY155" t="e">
        <f t="shared" si="224"/>
        <v>#N/A</v>
      </c>
      <c r="HZ155" s="55">
        <f>IF(OR(Исходн.данные.!AI155="Оз_Ч_П",Исходн.данные.!AI155="Оз_З_П",Исходн.данные.!AI155="Яр_зер"),12,30)</f>
        <v>30</v>
      </c>
      <c r="IA155" t="e">
        <f t="shared" si="200"/>
        <v>#N/A</v>
      </c>
      <c r="IB155" t="e">
        <f t="shared" si="201"/>
        <v>#N/A</v>
      </c>
      <c r="IC155" t="e">
        <f t="shared" si="202"/>
        <v>#N/A</v>
      </c>
      <c r="ID155" s="11" t="e">
        <f t="shared" si="203"/>
        <v>#N/A</v>
      </c>
      <c r="IE155" s="11" t="e">
        <f t="shared" si="204"/>
        <v>#N/A</v>
      </c>
      <c r="IF155" s="11" t="e">
        <f t="shared" si="205"/>
        <v>#N/A</v>
      </c>
    </row>
    <row r="156" spans="35:240" x14ac:dyDescent="0.2">
      <c r="AI156">
        <f>IF(Исходн.данные.!I156&gt;6,1,1.85-(0.148*Исходн.данные.!I156))</f>
        <v>1.85</v>
      </c>
      <c r="AJ156">
        <f>IF(Исходн.данные.!I156&gt;6,1,2.434-(0.246*Исходн.данные.!I156))</f>
        <v>2.4340000000000002</v>
      </c>
      <c r="AL156" s="148" t="b">
        <f>IF(Исходн.данные.!$P156="Ум",N_OrgUd_2g_um,IF(Исходн.данные.!$P156="Об",N_OrgUd_2g_ob))</f>
        <v>0</v>
      </c>
      <c r="AM156" s="148" t="b">
        <f>IF(Исходн.данные.!$P156="Ум",P_OrgUd_2g_um,IF(Исходн.данные.!$P156="Об",P_OrgUd_2g_ob))</f>
        <v>0</v>
      </c>
      <c r="AN156" s="148" t="b">
        <f>IF(Исходн.данные.!$P156="Ум",K_OrgUd_2g_um,IF(Исходн.данные.!$P156="Об",K_OrgUd_2g_ob))</f>
        <v>0</v>
      </c>
      <c r="AO156" s="148" t="b">
        <f>IF(Исходн.данные.!$P156="Ум",N_OrgUd_1g_um,IF(Исходн.данные.!$P156="Об",N_OrgUd_1g_ob))</f>
        <v>0</v>
      </c>
      <c r="AP156" s="148" t="b">
        <f>IF(Исходн.данные.!$P156="Ум",P_OrgUd_1g_um,IF(Исходн.данные.!$P156="Об",P_OrgUd_1g_ob))</f>
        <v>0</v>
      </c>
      <c r="AQ156" s="148" t="b">
        <f>IF(Исходн.данные.!$P156="Ум",K_OrgUd_1g_um,IF(Исходн.данные.!$P156="Об",K_OrgUd_1g_ob))</f>
        <v>0</v>
      </c>
      <c r="AR156" t="b">
        <f>IF(Исходн.данные.!$P156="Ум",N_MinUd_2g_um,IF(Исходн.данные.!$P156="Об",N_MinUd_2g_ob))</f>
        <v>0</v>
      </c>
      <c r="AS156" t="b">
        <f>IF(Исходн.данные.!$P156="Ум",P_MinUd_2g_um,IF(Исходн.данные.!$P156="Об",P_MinUd_2g_ob))</f>
        <v>0</v>
      </c>
      <c r="AT156" t="b">
        <f>IF(Исходн.данные.!$P156="Ум",K_MinUd_2g_um,IF(Исходн.данные.!$P156="Об",K_MinUd_2g_ob))</f>
        <v>0</v>
      </c>
      <c r="AU156" t="b">
        <f>IF(Исходн.данные.!$P156="Ум",N_MinUd_1g_um,IF(Исходн.данные.!$P156="Об",N_MinUd_1g_ob))</f>
        <v>0</v>
      </c>
      <c r="AV156" t="b">
        <f>IF(Исходн.данные.!P156="Ум",P_MinUd_1g_um,IF(Исходн.данные.!P156="Об",P_MinUd_1g_ob))</f>
        <v>0</v>
      </c>
      <c r="AW156" t="b">
        <f>IF(Исходн.данные.!P156="Ум",K_MinUd_1g_um,IF(Исходн.данные.!P156="Об",K_MinUd_1g_ob))</f>
        <v>0</v>
      </c>
      <c r="AY156" t="e">
        <f>VLOOKUP(Исходн.данные.!T156,Справ!$A$3:$N$57,12)</f>
        <v>#N/A</v>
      </c>
      <c r="AZ156" t="e">
        <f>VLOOKUP(Исходн.данные.!T156,Справ!$A$3:$N$57,13)</f>
        <v>#N/A</v>
      </c>
      <c r="BA156" t="e">
        <f>VLOOKUP(Исходн.данные.!T156,Справ!$A$3:$N$57,14)</f>
        <v>#N/A</v>
      </c>
      <c r="BB156">
        <f>IF(Исходн.данные.!AH156=0,0,25)</f>
        <v>0</v>
      </c>
      <c r="BC156" s="141">
        <f>IF(Исходн.данные.!AH156=0,0,IF(Исходн.данные.!T156=0,25,BD156))</f>
        <v>0</v>
      </c>
      <c r="BD156" s="168" t="e">
        <f>AY156+AZ156*Исходн.данные.!U156-POWER(BA156,2)*Исходн.данные.!U156</f>
        <v>#N/A</v>
      </c>
      <c r="BE15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6" s="25">
        <f>IF(Исходн.данные.!AH156=0,0,MIN(HN156:HP156))</f>
        <v>0</v>
      </c>
      <c r="BG156" s="9">
        <f>IF(Исходн.данные.!AH156=0,0,IF((HO156+10*0.25/HG156/HL156)&lt;17,17,HO156+10*0.25/HG156/HL156))</f>
        <v>0</v>
      </c>
      <c r="BH156" s="181">
        <f>IF(Исходн.данные.!AH156=0,0,HW156*HF156*HL156/AU156*AI156+Исходн.данные.!S156*10)</f>
        <v>0</v>
      </c>
      <c r="BI156" s="10"/>
      <c r="BJ156" s="182">
        <f>IF(Исходн.данные.!AH156=0,0,IF(HX156*HG156*HL156/AV156&lt;0,0,HX156*HG156*HL156/AV156*AJ156))</f>
        <v>0</v>
      </c>
      <c r="BK156" s="182">
        <f>IF(Исходн.данные.!AH156=0,0,HY156*HH156*HM156/AW156)</f>
        <v>0</v>
      </c>
      <c r="BL156" s="10">
        <f>IF(OR(Исходн.данные.!$AH156=$BP$1,Исходн.данные.!$AH156=$BP$2),0,IF(BH156&lt;0,0,IF(OR(Исходн.данные.!T156=Расчет!$BP$1,Исходн.данные.!T156=Расчет!$BP$2,Исходн.данные.!T156=Расчет!$BT$5,Исходн.данные.!T156=Расчет!$BT$6),BH156*0.5,IF(OR(Исходн.данные.!T156=Расчет!$BS$9,Исходн.данные.!T156=Расчет!$BS$10,Исходн.данные.!T156=Расчет!$BS$11,Исходн.данные.!T156=Расчет!$BS$12,Исходн.данные.!T156=Расчет!$BP$5),BH156*0.8,BH156))))</f>
        <v>0</v>
      </c>
      <c r="BM156" s="10">
        <f>IF(OR(Исходн.данные.!$AH156=$BP$1,Исходн.данные.!$AH156=$BP$2),0,IF(BJ156&lt;0,0,IF(Исходн.данные.!I156&lt;4.5,BJ156*1.2,IF(Исходн.данные.!I156&gt;5.1,BJ156,BJ156*((5.1-Исходн.данные.!I156)*0.333+1)))))</f>
        <v>0</v>
      </c>
      <c r="BN156" s="10">
        <f>IF(OR(Исходн.данные.!$AH156=$BP$1,Исходн.данные.!$AH156=$BP$2),60-Исходн.данные.!AF156,IF(BK156&lt;0,0,IF(Исходн.данные.!I156&lt;4.5,BK156*1.2,IF(Исходн.данные.!I156&gt;5.1,BK156,BK156*((5.1-Исходн.данные.!I156)*0.333+1)))))</f>
        <v>0</v>
      </c>
      <c r="BO156" s="9">
        <f>IF(BL156&lt;0,0,BL156*Исходн.данные.!$AJ156/1000)</f>
        <v>0</v>
      </c>
      <c r="BP156" s="9">
        <f>IF(BM156&lt;0,0,BM156*Исходн.данные.!$AJ156/1000)</f>
        <v>0</v>
      </c>
      <c r="BQ156" s="9">
        <f>IF(BN156&lt;0,0,BN156*Исходн.данные.!$AJ156/1000)</f>
        <v>0</v>
      </c>
      <c r="BR156" s="9">
        <f t="shared" si="155"/>
        <v>0</v>
      </c>
      <c r="BS156" s="10" t="str">
        <f t="shared" si="156"/>
        <v>Аммофос 12:52:00</v>
      </c>
      <c r="BT156" s="10" t="str">
        <f t="shared" si="157"/>
        <v>Аммофос 12:52:00</v>
      </c>
      <c r="BU156" s="10" t="str">
        <f t="shared" si="158"/>
        <v>Диаммофоска</v>
      </c>
      <c r="BV156" s="10">
        <f t="shared" si="159"/>
        <v>0</v>
      </c>
      <c r="BW156" s="10"/>
      <c r="BX156" s="10"/>
      <c r="BY156" s="9">
        <f>IF(BL156&lt;0,0,IF(OR(Исходн.данные.!AI156=Расчет!$BU$6,Исходн.данные.!AI156=Расчет!$BU$7),Расчет!BV156,IF(Исходн.данные.!$AG156=$BV$11,BL156,IF(OR(Исходн.данные.!$AH156=$BQ$7,Исходн.данные.!$AH156=$BQ$8),CB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0,IF(Исходн.данные.!$AI156=$BU$11,"Нет",IF(BL156&gt;30,30,BL156)))))))</f>
        <v>0</v>
      </c>
      <c r="BZ156" s="9">
        <f>IF(AND(Исходн.данные.!$AG156=$BV$11,BM156&lt;10),10,IF(Исходн.данные.!$AG156=$BV$11,BM156,IF(OR(Исходн.данные.!$AH156=$BQ$7,Исходн.данные.!$AH156=$BQ$8),CC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10,IF(Исходн.данные.!$AI156=$BU$11,"Нет",IF(BM156&gt;60,60,IF(BM156&lt;10,10,BM156)))))))</f>
        <v>10</v>
      </c>
      <c r="CA156" s="39">
        <f>IF(BN156&lt;0,0,IF(Исходн.данные.!$AG156=$BV$11,BN156,IF(OR(Исходн.данные.!$AH156=$BQ$7,Исходн.данные.!$AH156=$BQ$8),CD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0,IF(Исходн.данные.!$AI156=$BU$11,"Нет",IF(BN156&gt;30,30,BN156))))))</f>
        <v>0</v>
      </c>
      <c r="CB156" s="9">
        <f t="shared" si="160"/>
        <v>0</v>
      </c>
      <c r="CC156" s="9">
        <f t="shared" si="161"/>
        <v>0</v>
      </c>
      <c r="CD156" s="9">
        <f t="shared" si="162"/>
        <v>0</v>
      </c>
      <c r="CE156" s="12">
        <f t="shared" si="163"/>
        <v>10</v>
      </c>
      <c r="CF156" s="9">
        <f t="shared" si="164"/>
        <v>0</v>
      </c>
      <c r="CG156" s="9" t="s">
        <v>231</v>
      </c>
      <c r="CH156" s="132" t="str">
        <f>IF(Исходн.данные.!AP156=Расчет!$CI$16,"Нет",IF(Исходн.данные.!AL156&gt;0,Исходн.данные.!AL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BH$4,IF(OR(Исходн.данные.!AI156=Исходн.данные.!$AI$6,Исходн.данные.!AI156=Исходн.данные.!$AI$7),Расчет!BS156,IF(AND($CF156=0,$CE156&gt;0),EV156,ER156)))))</f>
        <v>Аммофос 12:52:00</v>
      </c>
      <c r="CI156" s="274">
        <f>IF(Расчет!$CH156="Нет","Нет",IF(Исходн.данные.!$AL156&gt;0,VLOOKUP(Расчет!$CH156,АшламаДВ_Irekle,2,FALSE),VLOOKUP(Расчет!$CH156,АшламаДВ_Gomumy,2,FALSE)))</f>
        <v>0.12</v>
      </c>
      <c r="CJ156" s="274">
        <f>IF(Расчет!$CH156="Нет","Нет",IF(Исходн.данные.!$AL156&gt;0,VLOOKUP(Расчет!$CH156,АшламаДВ_Irekle,3,FALSE),VLOOKUP(Расчет!$CH156,АшламаДВ_Gomumy,3,FALSE)))</f>
        <v>0.52</v>
      </c>
      <c r="CK156" s="274">
        <f>IF(Расчет!$CH156="Нет","Нет",IF(Исходн.данные.!$AL156&gt;0,VLOOKUP(Расчет!$CH156,АшламаДВ_Irekle,4,FALSE),VLOOKUP(Расчет!$CH156,АшламаДВ_Gomumy,4,FALSE)))</f>
        <v>0</v>
      </c>
      <c r="CL156" s="70"/>
      <c r="CM156" s="70"/>
      <c r="CN156" s="70"/>
      <c r="CO156" s="70"/>
      <c r="CP156" s="70"/>
      <c r="CQ156" s="70"/>
      <c r="CR156" s="10">
        <f t="shared" si="165"/>
        <v>0</v>
      </c>
      <c r="CS156" s="10">
        <f t="shared" si="166"/>
        <v>19.23076923076923</v>
      </c>
      <c r="CT156" s="10">
        <f t="shared" si="167"/>
        <v>0</v>
      </c>
      <c r="CU156" s="39">
        <f>IF($CH156="Нет",0,IF(CI156=0,30/MIN(CJ156:CK156),IF(Исходн.данные.!$AG156=$BV$11,CR156,IF(OR(Исходн.данные.!$AH156=$BQ$7,Исходн.данные.!$AH156=$BQ$8),90/CI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0,IF(Исходн.данные.!$AI156=$BU$11,"Нет",30/CI156))))))</f>
        <v>250</v>
      </c>
      <c r="CV156" s="39">
        <f>IF($CH156="Нет",0,IF(Исходн.данные.!AH156=0,0,IF(CJ156=0,60/MIN(CI156,CK156),IF(Исходн.данные.!$AG156=$BV$11,CS156,IF(OR(Исходн.данные.!$AH156=$BQ$7,Исходн.данные.!$AH156=$BQ$8),90/CJ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10/CJ156,IF(Исходн.данные.!$AI156=$BU$11,"Нет",60/CJ156)))))))</f>
        <v>0</v>
      </c>
      <c r="CW156" s="39">
        <f>IF($CH156="Нет",0,IF(Исходн.данные.!AH156=0,0,IF(CK156=0,30/MIN(CI156:CJ156),IF(Исходн.данные.!$AG156=$BV$11,CT156,IF(OR(Исходн.данные.!$AH156=$BQ$7,Исходн.данные.!$AH156=$BQ$8),90/CK156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0,IF(Исходн.данные.!$AI156=$BU$11,"Нет",30/CK156)))))))</f>
        <v>0</v>
      </c>
      <c r="CX156" s="133">
        <f>IF(Исходн.данные.!$AG156=$BV$11,MAX(CU156:CW156),IF(OR(Исходн.данные.!$AH156=$BS$8,Исходн.данные.!$AH156=$BQ$9,Исходн.данные.!$AH156=$BQ$10,Исходн.данные.!$AH156=$BQ$11,Исходн.данные.!$AH156=$BQ$12,Исходн.данные.!$AH156=$BP$3,Исходн.данные.!$AH156=$BT$8,$FM156="Да"),CV156,MIN(CU156:CW156)))</f>
        <v>0</v>
      </c>
      <c r="CY156" s="133">
        <f>IF(Исходн.данные.!AH156=0,0,IF(CR156&gt;$CX156,$CX156,CR156))</f>
        <v>0</v>
      </c>
      <c r="CZ156" s="133">
        <f>IF(Исходн.данные.!AH156=0,0,IF(CS156&gt;$CX156,$CX156,CS156))</f>
        <v>0</v>
      </c>
      <c r="DA156" s="133">
        <f>IF(Исходн.данные.!AH156=0,0,IF(CT156&gt;$CX156,$CX156,CT156))</f>
        <v>0</v>
      </c>
      <c r="DB156" s="10">
        <f t="shared" si="168"/>
        <v>0</v>
      </c>
      <c r="DC156" s="39">
        <f>DB156*Исходн.данные.!AJ156/1000</f>
        <v>0</v>
      </c>
      <c r="DD156" s="71">
        <f t="shared" si="169"/>
        <v>0</v>
      </c>
      <c r="DE156" s="9">
        <f t="shared" si="170"/>
        <v>0</v>
      </c>
      <c r="DF156" s="9">
        <f t="shared" si="171"/>
        <v>0</v>
      </c>
      <c r="DG156" s="39">
        <f>IF(BL156&lt;0,0,IF($CH156="Нет",BL156,IF(OR(Исходн.данные.!$AH156=$BP$1,Исходн.данные.!$AH156=$BP$2),0,IF(Исходн.данные.!AI156=$BU$11,BL156,IF(BL156-DD156&lt;0,0,BL156-DD156)))))</f>
        <v>0</v>
      </c>
      <c r="DH156" s="39">
        <f>IF(BM156&lt;0,0,IF($CH156="Нет",BM156,IF(OR(Исходн.данные.!$AH156=$BP$1,Исходн.данные.!$AH156=$BP$2),0,IF(Исходн.данные.!AJ156=$BU$11,BM156,IF(BM156-DE156&lt;0,0,BM156-DE156)))))</f>
        <v>0</v>
      </c>
      <c r="DI156" s="39">
        <f>IF(BN156&lt;0,0,IF($CH156="Нет",BN156,IF(OR(Исходн.данные.!$AH156=$BP$1,Исходн.данные.!$AH156=$BP$2),0,IF(Исходн.данные.!AK156=$BU$11,BN156,IF(BN156-DF156&lt;0,0,BN156-DF156)))))</f>
        <v>0</v>
      </c>
      <c r="DJ156" s="12">
        <f t="shared" si="172"/>
        <v>0</v>
      </c>
      <c r="DK156" s="9">
        <f t="shared" si="173"/>
        <v>0</v>
      </c>
      <c r="DL156" s="39">
        <f>IF(Исходн.данные.!AM156&gt;0,Исходн.данные.!AM156,IF(EG156&gt;0,$BH$10,0))</f>
        <v>0</v>
      </c>
      <c r="DM156" s="186">
        <f>IF($DL156=0,0,IF(Исходн.данные.!AM156&gt;0,VLOOKUP($DL156,АшламаДВ_Irekle,2,FALSE),VLOOKUP($DL156,АшламаДВ_Gomumy,2,FALSE)))</f>
        <v>0</v>
      </c>
      <c r="DN156" s="10">
        <f t="shared" si="225"/>
        <v>0</v>
      </c>
      <c r="DO156" s="9" t="str">
        <f>IF(Исходн.данные.!AN156&gt;0,Исходн.данные.!AN156,Удобрения!$B$37 )</f>
        <v>Хлор.калий</v>
      </c>
      <c r="DP156" s="9">
        <f>IF(Исходн.данные.!AN156&gt;0,VLOOKUP(Исходн.данные.!AN156,АшламаДВ_Irekle,4,FALSE),VLOOKUP(DO156,АшламаДВ_Gomumy,4,FALSE))</f>
        <v>0.6</v>
      </c>
      <c r="DQ156" s="10">
        <f t="shared" si="226"/>
        <v>0</v>
      </c>
      <c r="DR156" s="132" t="str">
        <f>IF(Исходн.данные.!AO156&gt;0,Исходн.данные.!AO156,IF(DH156=0,BS$17,IF(AND($DK156=0,$DJ156&gt;0),EJ156,EN156)))</f>
        <v>Нет</v>
      </c>
      <c r="DS156" s="70" t="str">
        <f>IF($DR156="Нет","Нет",IF(Исходн.данные.!$AO156&gt;0,VLOOKUP($DR156,АшламаДВ_Irekle,2,FALSE),VLOOKUP($DR156,АшламаДВ_Gomumy,2,FALSE)))</f>
        <v>Нет</v>
      </c>
      <c r="DT156" s="70" t="str">
        <f>IF($DR156="Нет","Нет",IF(Исходн.данные.!$AO156&gt;0,VLOOKUP($DR156,АшламаДВ_Irekle,3,FALSE),VLOOKUP($DR156,АшламаДВ_Gomumy,3,FALSE)))</f>
        <v>Нет</v>
      </c>
      <c r="DU156" s="70" t="str">
        <f>IF($DR156="Нет","Нет",IF(Исходн.данные.!$AO156&gt;0,VLOOKUP($DR156,АшламаДВ_Irekle,4,FALSE),VLOOKUP($DR156,АшламаДВ_Gomumy,4,FALSE)))</f>
        <v>Нет</v>
      </c>
      <c r="DV156" s="70"/>
      <c r="DW156" s="70"/>
      <c r="DX156" s="70"/>
      <c r="DY156" s="10">
        <f t="shared" si="174"/>
        <v>0</v>
      </c>
      <c r="DZ156" s="10">
        <f t="shared" si="175"/>
        <v>0</v>
      </c>
      <c r="EA156" s="10">
        <f t="shared" si="176"/>
        <v>0</v>
      </c>
      <c r="EB156" s="10">
        <f t="shared" si="177"/>
        <v>0</v>
      </c>
      <c r="EC156" s="10">
        <f t="shared" si="178"/>
        <v>0</v>
      </c>
      <c r="ED156" s="10">
        <f t="shared" si="179"/>
        <v>0</v>
      </c>
      <c r="EE156" s="10">
        <f t="shared" si="180"/>
        <v>0</v>
      </c>
      <c r="EF156" s="39">
        <f>EB156*Исходн.данные.!AJ156/1000</f>
        <v>0</v>
      </c>
      <c r="EG156" s="9">
        <f t="shared" si="181"/>
        <v>0</v>
      </c>
      <c r="EH156" s="9">
        <f t="shared" si="182"/>
        <v>0</v>
      </c>
      <c r="EI156" s="39" t="e">
        <f t="shared" si="206"/>
        <v>#DIV/0!</v>
      </c>
      <c r="EJ156" s="9" t="str">
        <f t="shared" si="227"/>
        <v>Азопреципитат</v>
      </c>
      <c r="EK156" s="12">
        <f t="shared" si="207"/>
        <v>0.26</v>
      </c>
      <c r="EL156" s="12">
        <f t="shared" si="208"/>
        <v>0.13</v>
      </c>
      <c r="EM156" s="12">
        <f t="shared" si="209"/>
        <v>0</v>
      </c>
      <c r="EN156" s="12" t="str">
        <f t="shared" si="228"/>
        <v>Нет</v>
      </c>
      <c r="EO156" s="12">
        <f t="shared" si="210"/>
        <v>0</v>
      </c>
      <c r="EP156" s="12">
        <f t="shared" si="211"/>
        <v>0</v>
      </c>
      <c r="EQ156" s="12">
        <f t="shared" si="212"/>
        <v>0</v>
      </c>
      <c r="ER156" s="12" t="str">
        <f t="shared" si="183"/>
        <v>Диаммофоска</v>
      </c>
      <c r="ES156" s="12">
        <f t="shared" si="213"/>
        <v>0.1</v>
      </c>
      <c r="ET156" s="12">
        <f t="shared" si="214"/>
        <v>0.26</v>
      </c>
      <c r="EU156" s="12">
        <f t="shared" si="215"/>
        <v>0.26</v>
      </c>
      <c r="EV156" s="12" t="str">
        <f t="shared" si="184"/>
        <v>Аммофос 12:52:00</v>
      </c>
      <c r="EW156" s="12" t="str">
        <f t="shared" si="185"/>
        <v>Кемира Свекловичное-6</v>
      </c>
      <c r="EX156" s="12">
        <f t="shared" si="216"/>
        <v>0.16</v>
      </c>
      <c r="EY156" s="12">
        <f t="shared" si="217"/>
        <v>0.12</v>
      </c>
      <c r="EZ156" s="12">
        <f t="shared" si="218"/>
        <v>0.17</v>
      </c>
      <c r="FA156" s="38" t="e">
        <f>IF(AND(OR(FJ156=$FD$1,FM156=$FD$1,FO156=$FD$1,FQ156=$FD$1,FS156=$FD$1),FD156=$FD$1,Исходн.данные.!J156&lt;2,FU156=$FD$1),"Бор,Кобальт",IF(AND(FO156=$FD$1,FH156=$FD$1,Исходн.данные.!J156&lt;2,FU156=$FD$1),"Бор,Кобальт",IF(AND(OR(FJ156=$FD$1,FM156=$FD$1,FQ156=$FD$1),FE156=$FD$1,Исходн.данные.!J156&lt;2,FT156=$FD$1,FU156=$FD$1),"Бор,Медь,Цинк",IF(AND(OR(FJ156=$FD$1,FR156="Да"),FI156="Да",Исходн.данные.!J156&lt;2,FT156="Да",FU156="Да"),"Бор,Цинк,Медь",IF(AND(OR(FM156="Да",FQ156="Да"),FI156="Да",Исходн.данные.!J156&lt;2,FT156="Да",FU156="Да"),"Бор,Цинк",IF(AND(FN156="Да",OR(FD156="Да",FE156="Да")),"Бор",FB156))))))</f>
        <v>#N/A</v>
      </c>
      <c r="FB156" s="134" t="e">
        <f>IF(AND(OR(FD156="Да",FE156="Да",FF156="Да",FG156="Да",FH156="Да"),FO156="Да"),"Бор",IF(AND(FP156="Да",OR(FD156="Да",FE156="Да",FI156="Да")),"Бор",IF(AND(FS156="Да",FE156="Да"),"Бор,Медь",IF(AND(OR(FJ156="Да",FK156="Да",FL156="Да"),FE156="Да",Исходн.данные.!I156&lt;5,FT156="Да",FU156="Да"),"Молибден,Цинк",IF(AND(FM156="Да",OR(FE156="Да",FF156="Да",FG156="Да",FH156="Да",FI156="Да")),"Молибден,Цинк",IF(AND(OR(FJ156="Да",FK156="Да",FL156="Да",FM156="Да",FQ156="Да"),OR(FE156="Да",FF156="Да"),FT156="Да",FU156="Да",Исходн.данные.!I156&gt;5.5),"Медь,Цинк",FC156))))))</f>
        <v>#N/A</v>
      </c>
      <c r="FC156" s="23" t="e">
        <f t="shared" si="186"/>
        <v>#N/A</v>
      </c>
      <c r="FD156" s="38" t="str">
        <f>IF(OR(Исходн.данные.!F156=$CC$1,Исходн.данные.!F156=$CC$2,Исходн.данные.!F156=$CC$3,Исходн.данные.!F156=$CC$4),"Да","Нет")</f>
        <v>Нет</v>
      </c>
      <c r="FE156" s="38" t="str">
        <f>IF(Исходн.данные.!F156=$CC$5,"Да","Нет")</f>
        <v>Нет</v>
      </c>
      <c r="FF156" s="38" t="str">
        <f>IF(OR(Исходн.данные.!F156=$CC$6,Исходн.данные.!F156=$CC$7),"Да","Нет")</f>
        <v>Нет</v>
      </c>
      <c r="FG156" s="38" t="str">
        <f>IF(OR(Исходн.данные.!F156=$CC$8,Исходн.данные.!F156=$CC$9),"Да","Нет")</f>
        <v>Нет</v>
      </c>
      <c r="FH156" s="38" t="str">
        <f>IF(Исходн.данные.!F156=$CC$10,"Да","Нет")</f>
        <v>Нет</v>
      </c>
      <c r="FI156" s="38" t="str">
        <f>IF(OR(Исходн.данные.!F156=$CC$11,Исходн.данные.!F156=$CC$12),"Да","Нет")</f>
        <v>Нет</v>
      </c>
      <c r="FJ156" s="38" t="str">
        <f>IF(OR(Исходн.данные.!AH156=$BS$1,Исходн.данные.!AH156=$BQ$11,Исходн.данные.!AH156=$BQ$12),"Да","Нет")</f>
        <v>Нет</v>
      </c>
      <c r="FK156" s="38" t="str">
        <f>IF(OR(Исходн.данные.!AH156=$BS$2,Исходн.данные.!AH156=$BS$4),"Да","Нет")</f>
        <v>Нет</v>
      </c>
      <c r="FL156" s="38" t="str">
        <f>IF(OR(Исходн.данные.!AH156=$BS$3,Исходн.данные.!AH156=$BS$5),"Да","Нет")</f>
        <v>Нет</v>
      </c>
      <c r="FM156" s="38" t="str">
        <f>IF(OR(Исходн.данные.!AH156=$BS$9,Исходн.данные.!AH156=$BS$10,Исходн.данные.!AH156=$BS$11,Исходн.данные.!AH156=$BS$12),"Да","Нет")</f>
        <v>Нет</v>
      </c>
      <c r="FN156" s="38" t="str">
        <f>IF(OR(Исходн.данные.!AH156=$BS$6,Исходн.данные.!AH156=$BP$3),"Да","Нет")</f>
        <v>Нет</v>
      </c>
      <c r="FO156" s="38" t="str">
        <f>IF(Исходн.данные.!AH156=$BQ$9,"Да","Нет")</f>
        <v>Нет</v>
      </c>
      <c r="FP156" s="38" t="str">
        <f>IF(OR(Исходн.данные.!AH156=$BS$8,Исходн.данные.!AH156=$BT$8),"Да","Нет")</f>
        <v>Нет</v>
      </c>
      <c r="FQ156" s="38" t="str">
        <f>IF(OR(Исходн.данные.!AH156=$BQ$7,Исходн.данные.!AH156=$BQ$8),"Да","Нет")</f>
        <v>Нет</v>
      </c>
      <c r="FR156" s="38" t="str">
        <f>IF(Исходн.данные.!AI156=$BU$9,"Да","Нет")</f>
        <v>Нет</v>
      </c>
      <c r="FS156" s="38" t="str">
        <f>IF(OR(Исходн.данные.!AH156=$BP$1,Исходн.данные.!AH156=$BP$2),"Да","Нет")</f>
        <v>Нет</v>
      </c>
      <c r="FT156" s="38" t="e">
        <f>IF((Исходн.данные.!K156*GO156*GS156*GW156+BL156*0.6+Исходн.данные.!Q156*4.5*0.275)&gt;90,"Да","Нет")</f>
        <v>#N/A</v>
      </c>
      <c r="FU156" s="38" t="e">
        <f>IF((Исходн.данные.!M156*GS156*GZ156+BM156*0.225)&gt;35,"Да","Нет")</f>
        <v>#N/A</v>
      </c>
      <c r="FV156" s="38" t="str">
        <f>IF(Исходн.данные.!O156&gt;175,"Да","Нет")</f>
        <v>Нет</v>
      </c>
      <c r="FW156" s="39" t="str">
        <f>IF(Исходн.данные.!I156&gt;5.5,"Да","Нет")</f>
        <v>Нет</v>
      </c>
      <c r="FX156" s="39" t="str">
        <f>IF(Исходн.данные.!J156&lt;2,"Да","Нет")</f>
        <v>Да</v>
      </c>
      <c r="FY156" s="39" t="e">
        <f>IF(HF156=$FY$16,0,Исходн.данные.!K156*GO156*GS156*GW156/HF156)</f>
        <v>#N/A</v>
      </c>
      <c r="FZ156" s="39" t="e">
        <f>Исходн.данные.!M156*GS156*GZ156/HG156</f>
        <v>#N/A</v>
      </c>
      <c r="GA156" s="39" t="e">
        <f>IF(K_Wyn=$FY$16,0,IF(Исходн.данные.!N156=Исходн.данные.!$L$10,Исходн.данные.!O156/1.1*GS156*HC156/HH156,IF(Исходн.данные.!N156=Исходн.данные.!$L$12,Исходн.данные.!O156/1.5*GS156*HC156/HH156,Исходн.данные.!O156*GS156*HC156/HH156)))</f>
        <v>#N/A</v>
      </c>
      <c r="GB156" s="39" t="e">
        <f>IF(HF156=$FY$16,0,((Исходн.данные.!Q156*N_Org+Исходн.данные.!R156*N_Sider+Исходн.данные.!S156*N_Soloma)*AO156+Расчет!BC156*VLOOKUP(Исходн.данные.!T156,Справ!$A$3:$O$57,15)*AO156+BB156*VLOOKUP(Исходн.данные.!T156,Справ!$A$3:$O$57,15)*AL156+(Исходн.данные.!V156*N_Rizotorf+Исходн.данные.!W156*N_Rizoagr))/HF156)</f>
        <v>#N/A</v>
      </c>
      <c r="GC156" s="39" t="e">
        <f>IF(HG156=$FY$16,0,((Исходн.данные.!Q156*Р_Org+Исходн.данные.!R156*P_Sider+Исходн.данные.!S156*P_Soloma)*AP156+Расчет!BC156*VLOOKUP(Исходн.данные.!T156,Справ!$A$3:$P$57,16)*AP156+BB156*VLOOKUP(Исходн.данные.!T156,Справ!$A$3:$P$57,16)*AM156)/HG156)</f>
        <v>#N/A</v>
      </c>
      <c r="GD156" s="39" t="e">
        <f>IF(HH156=$FY$16,0,((Исходн.данные.!Q156*К_Org+Исходн.данные.!R156*K_Sider+Исходн.данные.!S156*K_Soloma)*AQ156+Расчет!BC156*VLOOKUP(Исходн.данные.!T156,Справ!$A$3:$Q$57,17)*AQ156+BB156*VLOOKUP(Исходн.данные.!T156,Справ!$A$3:$Q$57,17)*AN156)/HH156)</f>
        <v>#N/A</v>
      </c>
      <c r="GE156" s="39" t="e">
        <f>IF(HF156=$FY$16,0,(Исходн.данные.!X156*AR156+Исходн.данные.!AA156*N_Org*AL156+Исходн.данные.!AB156*N_Sider*AL156+Исходн.данные.!AC156*N_Soloma*AL156)/HF156)</f>
        <v>#N/A</v>
      </c>
      <c r="GF156" s="39" t="e">
        <f>IF(HG156=$FY$16,0,(Исходн.данные.!Y156*AS156+Исходн.данные.!AA156*Р_Org*AM156+Исходн.данные.!AB156*P_Sider*AM156+Исходн.данные.!AC156*P_Soloma*AM156)/HG156)</f>
        <v>#N/A</v>
      </c>
      <c r="GG156" s="39" t="e">
        <f>IF(HH156=$FY$16,0,(Исходн.данные.!Z156*AT156+Исходн.данные.!AA156*К_Org*AN156+Исходн.данные.!AB156*K_Sider*AN156+Исходн.данные.!AC156*K_Soloma*AN156)/HH156)</f>
        <v>#N/A</v>
      </c>
      <c r="GH156" s="39" t="e">
        <f>Исходн.данные.!AD156*AU156/HF156</f>
        <v>#N/A</v>
      </c>
      <c r="GI156" s="39" t="e">
        <f>Исходн.данные.!AE156*AV156/HG156</f>
        <v>#N/A</v>
      </c>
      <c r="GJ156" s="39" t="e">
        <f>Исходн.данные.!AF156*AW156/HH156</f>
        <v>#N/A</v>
      </c>
      <c r="GK156" s="55">
        <f>Исходн.данные.!AK156</f>
        <v>0</v>
      </c>
      <c r="GL156" s="11" t="e">
        <f t="shared" si="187"/>
        <v>#N/A</v>
      </c>
      <c r="GM156" s="11" t="e">
        <f t="shared" si="188"/>
        <v>#N/A</v>
      </c>
      <c r="GN156" s="11" t="e">
        <f t="shared" si="189"/>
        <v>#N/A</v>
      </c>
      <c r="GO156" s="57">
        <f t="shared" si="190"/>
        <v>19</v>
      </c>
      <c r="GP156" s="55">
        <f>IF(OR(Исходн.данные.!F156=$CE$1,Исходн.данные.!F156=$CE$2,Исходн.данные.!F156=$CE$3,Исходн.данные.!F156=$CE$4,Исходн.данные.!F156=$CE$5),GQ156,GR156)</f>
        <v>19</v>
      </c>
      <c r="GQ156" s="55">
        <f>IF(Исходн.данные.!F156=$CE$1,28,IF(Исходн.данные.!F156=$CE$2,26,IF(Исходн.данные.!F156=$CE$3,24,IF(Исходн.данные.!F156=$CE$4,22,IF(Исходн.данные.!F156=$CE$5,20,GR156)))))</f>
        <v>19</v>
      </c>
      <c r="GR156" s="55">
        <f>IF(Исходн.данные.!F156=$CE$6,18,IF(Исходн.данные.!F156=$CE$7,16,IF(Исходн.данные.!F156=$CE$8,14,IF(Исходн.данные.!F156=$CE$9,13,IF(Исходн.данные.!F156=$CE$10,12,19)))))</f>
        <v>19</v>
      </c>
      <c r="GS156" s="55">
        <f>IF(Исходн.данные.!G156="Пес",0.035*(40+2*Исходн.данные.!H156),IF(Исходн.данные.!G156="Суп",0.0325*(40+2*Исходн.данные.!H156),0.03*(40+2*Исходн.данные.!H156)))</f>
        <v>1.2</v>
      </c>
      <c r="GT156" s="55">
        <f>IF(Исходн.данные.!H156&lt;23,2.6,IF(AND(Исходн.данные.!H156&gt;22,Исходн.данные.!H156&lt;26),3,IF(AND(Исходн.данные.!H156&gt;25,Исходн.данные.!H156&lt;29),3.4,3.6)))</f>
        <v>2.6</v>
      </c>
      <c r="GU156" s="55">
        <f>IF(Исходн.данные.!H156&lt;23,2.8,IF(AND(Исходн.данные.!H156&gt;22,Исходн.данные.!H156&lt;26),3.2,IF(AND(Исходн.данные.!H156&gt;25,Исходн.данные.!H156&lt;29),3.6,3.9)))</f>
        <v>2.8</v>
      </c>
      <c r="GV156" s="55">
        <f>IF(Исходн.данные.!H156&lt;23,3,IF(AND(Исходн.данные.!H156&gt;22,Исходн.данные.!H156&lt;26),3.5,IF(AND(Исходн.данные.!H156&gt;25,Исходн.данные.!H156&lt;29),3.9,4.2)))</f>
        <v>3</v>
      </c>
      <c r="GW156" s="55" t="e">
        <f>IF(Исходн.данные.!P156="Ум",GX156,GY156)</f>
        <v>#N/A</v>
      </c>
      <c r="GX156" s="55" t="e">
        <f>VLOOKUP(Исходн.данные.!AI156,Коэффициенты!$J$7:$L$13,2,FALSE)</f>
        <v>#N/A</v>
      </c>
      <c r="GY156" s="55" t="e">
        <f>VLOOKUP(Исходн.данные.!AI156,Коэффициенты!$J$7:$L$13,3,FALSE)</f>
        <v>#N/A</v>
      </c>
      <c r="GZ156" s="55" t="e">
        <f>(IF(Исходн.данные.!M156&lt;50,0.11*VLOOKUP(Исходн.данные.!AH156,Культуры.Информация,7,FALSE),IF(Исходн.данные.!M156&gt;250,0.05*VLOOKUP(Исходн.данные.!AH156,Культуры.Информация,7,FALSE),VLOOKUP(Исходн.данные.!AH156,Культуры.Информация,5,FALSE)/100*($GX$6+$GY$6*Исходн.данные.!M156))))*Расчет2!AI156</f>
        <v>#N/A</v>
      </c>
      <c r="HA156" s="211"/>
      <c r="HB156" s="211"/>
      <c r="HC156" s="55" t="e">
        <f>(IF(Исходн.данные.!O156&lt;80,0.2*VLOOKUP(Исходн.данные.!AH156,Культуры.Информация,8,FALSE),IF(Исходн.данные.!O156&gt;240,0.09*VLOOKUP(Исходн.данные.!AH156,Культуры.Информация,8,FALSE),VLOOKUP(Исходн.данные.!AH156,Культуры.Информация,6,FALSE)/100*($HB$6+$HC$6*Исходн.данные.!O156))))*Расчет2!AJ156</f>
        <v>#N/A</v>
      </c>
      <c r="HD156" s="55">
        <f>IF(Исходн.данные.!O156&gt;240,0.09,IF(Исходн.данные.!O156&lt;30,0.3,$HE$10+$HD$10*Исходн.данные.!O156))</f>
        <v>0.3</v>
      </c>
      <c r="HE156" s="55">
        <f>IF(Исходн.данные.!O156&gt;240,0.17,IF(Исходн.данные.!O156&lt;30,0.5,$HF$12+$HE$12*Исходн.данные.!O156))</f>
        <v>0.5</v>
      </c>
      <c r="HF156" s="55" t="e">
        <f>VLOOKUP(Исходн.данные.!AH156,Справ!$A$3:$D$58,2,FALSE)</f>
        <v>#N/A</v>
      </c>
      <c r="HG156" s="55" t="e">
        <f>VLOOKUP(Исходн.данные.!AH156,Справ!$A$3:$D$58,3,FALSE)</f>
        <v>#N/A</v>
      </c>
      <c r="HH156" s="55" t="e">
        <f>VLOOKUP(Исходн.данные.!AH156,Справ!$A$3:$D$58,4,FALSE)</f>
        <v>#N/A</v>
      </c>
      <c r="HI156" s="11" t="e">
        <f t="shared" si="191"/>
        <v>#N/A</v>
      </c>
      <c r="HJ156" s="11" t="e">
        <f t="shared" si="192"/>
        <v>#N/A</v>
      </c>
      <c r="HK156" s="11" t="e">
        <f t="shared" si="193"/>
        <v>#N/A</v>
      </c>
      <c r="HL156" s="55">
        <f>IF(OR(Исходн.данные.!G156="Глин",Исходн.данные.!G156="Т_суг"),1.1,IF(Исходн.данные.!G156="Ср_суг",1,1))</f>
        <v>1</v>
      </c>
      <c r="HM156" s="55">
        <f>IF(OR(Исходн.данные.!G156="Глин",Исходн.данные.!G156="Т_суг"),0.9,IF(Исходн.данные.!G156="Ср_суг",1,1.2))</f>
        <v>1.2</v>
      </c>
      <c r="HN156" s="11" t="e">
        <f t="shared" si="194"/>
        <v>#N/A</v>
      </c>
      <c r="HO156" s="11" t="e">
        <f t="shared" si="195"/>
        <v>#N/A</v>
      </c>
      <c r="HP156" s="11" t="e">
        <f t="shared" si="196"/>
        <v>#N/A</v>
      </c>
      <c r="HQ156" t="e">
        <f t="shared" si="197"/>
        <v>#N/A</v>
      </c>
      <c r="HR156" t="e">
        <f t="shared" si="198"/>
        <v>#N/A</v>
      </c>
      <c r="HS156" t="e">
        <f t="shared" si="199"/>
        <v>#N/A</v>
      </c>
      <c r="HT156" t="e">
        <f t="shared" si="219"/>
        <v>#N/A</v>
      </c>
      <c r="HU156" t="e">
        <f t="shared" si="220"/>
        <v>#N/A</v>
      </c>
      <c r="HV156" t="e">
        <f t="shared" si="221"/>
        <v>#N/A</v>
      </c>
      <c r="HW156" t="e">
        <f t="shared" si="222"/>
        <v>#N/A</v>
      </c>
      <c r="HX156" t="e">
        <f t="shared" si="223"/>
        <v>#N/A</v>
      </c>
      <c r="HY156" t="e">
        <f t="shared" si="224"/>
        <v>#N/A</v>
      </c>
      <c r="HZ156" s="55">
        <f>IF(OR(Исходн.данные.!AI156="Оз_Ч_П",Исходн.данные.!AI156="Оз_З_П",Исходн.данные.!AI156="Яр_зер"),12,30)</f>
        <v>30</v>
      </c>
      <c r="IA156" t="e">
        <f t="shared" si="200"/>
        <v>#N/A</v>
      </c>
      <c r="IB156" t="e">
        <f t="shared" si="201"/>
        <v>#N/A</v>
      </c>
      <c r="IC156" t="e">
        <f t="shared" si="202"/>
        <v>#N/A</v>
      </c>
      <c r="ID156" s="11" t="e">
        <f t="shared" si="203"/>
        <v>#N/A</v>
      </c>
      <c r="IE156" s="11" t="e">
        <f t="shared" si="204"/>
        <v>#N/A</v>
      </c>
      <c r="IF156" s="11" t="e">
        <f t="shared" si="205"/>
        <v>#N/A</v>
      </c>
    </row>
    <row r="157" spans="35:240" x14ac:dyDescent="0.2">
      <c r="AI157">
        <f>IF(Исходн.данные.!I157&gt;6,1,1.85-(0.148*Исходн.данные.!I157))</f>
        <v>1.85</v>
      </c>
      <c r="AJ157">
        <f>IF(Исходн.данные.!I157&gt;6,1,2.434-(0.246*Исходн.данные.!I157))</f>
        <v>2.4340000000000002</v>
      </c>
      <c r="AL157" s="148" t="b">
        <f>IF(Исходн.данные.!$P157="Ум",N_OrgUd_2g_um,IF(Исходн.данные.!$P157="Об",N_OrgUd_2g_ob))</f>
        <v>0</v>
      </c>
      <c r="AM157" s="148" t="b">
        <f>IF(Исходн.данные.!$P157="Ум",P_OrgUd_2g_um,IF(Исходн.данные.!$P157="Об",P_OrgUd_2g_ob))</f>
        <v>0</v>
      </c>
      <c r="AN157" s="148" t="b">
        <f>IF(Исходн.данные.!$P157="Ум",K_OrgUd_2g_um,IF(Исходн.данные.!$P157="Об",K_OrgUd_2g_ob))</f>
        <v>0</v>
      </c>
      <c r="AO157" s="148" t="b">
        <f>IF(Исходн.данные.!$P157="Ум",N_OrgUd_1g_um,IF(Исходн.данные.!$P157="Об",N_OrgUd_1g_ob))</f>
        <v>0</v>
      </c>
      <c r="AP157" s="148" t="b">
        <f>IF(Исходн.данные.!$P157="Ум",P_OrgUd_1g_um,IF(Исходн.данные.!$P157="Об",P_OrgUd_1g_ob))</f>
        <v>0</v>
      </c>
      <c r="AQ157" s="148" t="b">
        <f>IF(Исходн.данные.!$P157="Ум",K_OrgUd_1g_um,IF(Исходн.данные.!$P157="Об",K_OrgUd_1g_ob))</f>
        <v>0</v>
      </c>
      <c r="AR157" t="b">
        <f>IF(Исходн.данные.!$P157="Ум",N_MinUd_2g_um,IF(Исходн.данные.!$P157="Об",N_MinUd_2g_ob))</f>
        <v>0</v>
      </c>
      <c r="AS157" t="b">
        <f>IF(Исходн.данные.!$P157="Ум",P_MinUd_2g_um,IF(Исходн.данные.!$P157="Об",P_MinUd_2g_ob))</f>
        <v>0</v>
      </c>
      <c r="AT157" t="b">
        <f>IF(Исходн.данные.!$P157="Ум",K_MinUd_2g_um,IF(Исходн.данные.!$P157="Об",K_MinUd_2g_ob))</f>
        <v>0</v>
      </c>
      <c r="AU157" t="b">
        <f>IF(Исходн.данные.!$P157="Ум",N_MinUd_1g_um,IF(Исходн.данные.!$P157="Об",N_MinUd_1g_ob))</f>
        <v>0</v>
      </c>
      <c r="AV157" t="b">
        <f>IF(Исходн.данные.!P157="Ум",P_MinUd_1g_um,IF(Исходн.данные.!P157="Об",P_MinUd_1g_ob))</f>
        <v>0</v>
      </c>
      <c r="AW157" t="b">
        <f>IF(Исходн.данные.!P157="Ум",K_MinUd_1g_um,IF(Исходн.данные.!P157="Об",K_MinUd_1g_ob))</f>
        <v>0</v>
      </c>
      <c r="AY157" t="e">
        <f>VLOOKUP(Исходн.данные.!T157,Справ!$A$3:$N$57,12)</f>
        <v>#N/A</v>
      </c>
      <c r="AZ157" t="e">
        <f>VLOOKUP(Исходн.данные.!T157,Справ!$A$3:$N$57,13)</f>
        <v>#N/A</v>
      </c>
      <c r="BA157" t="e">
        <f>VLOOKUP(Исходн.данные.!T157,Справ!$A$3:$N$57,14)</f>
        <v>#N/A</v>
      </c>
      <c r="BB157">
        <f>IF(Исходн.данные.!AH157=0,0,25)</f>
        <v>0</v>
      </c>
      <c r="BC157" s="141">
        <f>IF(Исходн.данные.!AH157=0,0,IF(Исходн.данные.!T157=0,25,BD157))</f>
        <v>0</v>
      </c>
      <c r="BD157" s="168" t="e">
        <f>AY157+AZ157*Исходн.данные.!U157-POWER(BA157,2)*Исходн.данные.!U157</f>
        <v>#N/A</v>
      </c>
      <c r="BE15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7" s="25">
        <f>IF(Исходн.данные.!AH157=0,0,MIN(HN157:HP157))</f>
        <v>0</v>
      </c>
      <c r="BG157" s="9">
        <f>IF(Исходн.данные.!AH157=0,0,IF((HO157+10*0.25/HG157/HL157)&lt;17,17,HO157+10*0.25/HG157/HL157))</f>
        <v>0</v>
      </c>
      <c r="BH157" s="181">
        <f>IF(Исходн.данные.!AH157=0,0,HW157*HF157*HL157/AU157*AI157+Исходн.данные.!S157*10)</f>
        <v>0</v>
      </c>
      <c r="BI157" s="10"/>
      <c r="BJ157" s="182">
        <f>IF(Исходн.данные.!AH157=0,0,IF(HX157*HG157*HL157/AV157&lt;0,0,HX157*HG157*HL157/AV157*AJ157))</f>
        <v>0</v>
      </c>
      <c r="BK157" s="182">
        <f>IF(Исходн.данные.!AH157=0,0,HY157*HH157*HM157/AW157)</f>
        <v>0</v>
      </c>
      <c r="BL157" s="10">
        <f>IF(OR(Исходн.данные.!$AH157=$BP$1,Исходн.данные.!$AH157=$BP$2),0,IF(BH157&lt;0,0,IF(OR(Исходн.данные.!T157=Расчет!$BP$1,Исходн.данные.!T157=Расчет!$BP$2,Исходн.данные.!T157=Расчет!$BT$5,Исходн.данные.!T157=Расчет!$BT$6),BH157*0.5,IF(OR(Исходн.данные.!T157=Расчет!$BS$9,Исходн.данные.!T157=Расчет!$BS$10,Исходн.данные.!T157=Расчет!$BS$11,Исходн.данные.!T157=Расчет!$BS$12,Исходн.данные.!T157=Расчет!$BP$5),BH157*0.8,BH157))))</f>
        <v>0</v>
      </c>
      <c r="BM157" s="10">
        <f>IF(OR(Исходн.данные.!$AH157=$BP$1,Исходн.данные.!$AH157=$BP$2),0,IF(BJ157&lt;0,0,IF(Исходн.данные.!I157&lt;4.5,BJ157*1.2,IF(Исходн.данные.!I157&gt;5.1,BJ157,BJ157*((5.1-Исходн.данные.!I157)*0.333+1)))))</f>
        <v>0</v>
      </c>
      <c r="BN157" s="10">
        <f>IF(OR(Исходн.данные.!$AH157=$BP$1,Исходн.данные.!$AH157=$BP$2),60-Исходн.данные.!AF157,IF(BK157&lt;0,0,IF(Исходн.данные.!I157&lt;4.5,BK157*1.2,IF(Исходн.данные.!I157&gt;5.1,BK157,BK157*((5.1-Исходн.данные.!I157)*0.333+1)))))</f>
        <v>0</v>
      </c>
      <c r="BO157" s="9">
        <f>IF(BL157&lt;0,0,BL157*Исходн.данные.!$AJ157/1000)</f>
        <v>0</v>
      </c>
      <c r="BP157" s="9">
        <f>IF(BM157&lt;0,0,BM157*Исходн.данные.!$AJ157/1000)</f>
        <v>0</v>
      </c>
      <c r="BQ157" s="9">
        <f>IF(BN157&lt;0,0,BN157*Исходн.данные.!$AJ157/1000)</f>
        <v>0</v>
      </c>
      <c r="BR157" s="9">
        <f t="shared" si="155"/>
        <v>0</v>
      </c>
      <c r="BS157" s="10" t="str">
        <f t="shared" si="156"/>
        <v>Аммофос 12:52:00</v>
      </c>
      <c r="BT157" s="10" t="str">
        <f t="shared" si="157"/>
        <v>Аммофос 12:52:00</v>
      </c>
      <c r="BU157" s="10" t="str">
        <f t="shared" si="158"/>
        <v>Диаммофоска</v>
      </c>
      <c r="BV157" s="10">
        <f t="shared" si="159"/>
        <v>0</v>
      </c>
      <c r="BW157" s="10"/>
      <c r="BX157" s="10"/>
      <c r="BY157" s="9">
        <f>IF(BL157&lt;0,0,IF(OR(Исходн.данные.!AI157=Расчет!$BU$6,Исходн.данные.!AI157=Расчет!$BU$7),Расчет!BV157,IF(Исходн.данные.!$AG157=$BV$11,BL157,IF(OR(Исходн.данные.!$AH157=$BQ$7,Исходн.данные.!$AH157=$BQ$8),CB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0,IF(Исходн.данные.!$AI157=$BU$11,"Нет",IF(BL157&gt;30,30,BL157)))))))</f>
        <v>0</v>
      </c>
      <c r="BZ157" s="9">
        <f>IF(AND(Исходн.данные.!$AG157=$BV$11,BM157&lt;10),10,IF(Исходн.данные.!$AG157=$BV$11,BM157,IF(OR(Исходн.данные.!$AH157=$BQ$7,Исходн.данные.!$AH157=$BQ$8),CC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10,IF(Исходн.данные.!$AI157=$BU$11,"Нет",IF(BM157&gt;60,60,IF(BM157&lt;10,10,BM157)))))))</f>
        <v>10</v>
      </c>
      <c r="CA157" s="39">
        <f>IF(BN157&lt;0,0,IF(Исходн.данные.!$AG157=$BV$11,BN157,IF(OR(Исходн.данные.!$AH157=$BQ$7,Исходн.данные.!$AH157=$BQ$8),CD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0,IF(Исходн.данные.!$AI157=$BU$11,"Нет",IF(BN157&gt;30,30,BN157))))))</f>
        <v>0</v>
      </c>
      <c r="CB157" s="9">
        <f t="shared" si="160"/>
        <v>0</v>
      </c>
      <c r="CC157" s="9">
        <f t="shared" si="161"/>
        <v>0</v>
      </c>
      <c r="CD157" s="9">
        <f t="shared" si="162"/>
        <v>0</v>
      </c>
      <c r="CE157" s="12">
        <f t="shared" si="163"/>
        <v>10</v>
      </c>
      <c r="CF157" s="9">
        <f t="shared" si="164"/>
        <v>0</v>
      </c>
      <c r="CG157" s="9" t="s">
        <v>231</v>
      </c>
      <c r="CH157" s="132" t="str">
        <f>IF(Исходн.данные.!AP157=Расчет!$CI$16,"Нет",IF(Исходн.данные.!AL157&gt;0,Исходн.данные.!AL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BH$4,IF(OR(Исходн.данные.!AI157=Исходн.данные.!$AI$6,Исходн.данные.!AI157=Исходн.данные.!$AI$7),Расчет!BS157,IF(AND($CF157=0,$CE157&gt;0),EV157,ER157)))))</f>
        <v>Аммофос 12:52:00</v>
      </c>
      <c r="CI157" s="274">
        <f>IF(Расчет!$CH157="Нет","Нет",IF(Исходн.данные.!$AL157&gt;0,VLOOKUP(Расчет!$CH157,АшламаДВ_Irekle,2,FALSE),VLOOKUP(Расчет!$CH157,АшламаДВ_Gomumy,2,FALSE)))</f>
        <v>0.12</v>
      </c>
      <c r="CJ157" s="274">
        <f>IF(Расчет!$CH157="Нет","Нет",IF(Исходн.данные.!$AL157&gt;0,VLOOKUP(Расчет!$CH157,АшламаДВ_Irekle,3,FALSE),VLOOKUP(Расчет!$CH157,АшламаДВ_Gomumy,3,FALSE)))</f>
        <v>0.52</v>
      </c>
      <c r="CK157" s="274">
        <f>IF(Расчет!$CH157="Нет","Нет",IF(Исходн.данные.!$AL157&gt;0,VLOOKUP(Расчет!$CH157,АшламаДВ_Irekle,4,FALSE),VLOOKUP(Расчет!$CH157,АшламаДВ_Gomumy,4,FALSE)))</f>
        <v>0</v>
      </c>
      <c r="CL157" s="70"/>
      <c r="CM157" s="70"/>
      <c r="CN157" s="70"/>
      <c r="CO157" s="70"/>
      <c r="CP157" s="70"/>
      <c r="CQ157" s="70"/>
      <c r="CR157" s="10">
        <f t="shared" si="165"/>
        <v>0</v>
      </c>
      <c r="CS157" s="10">
        <f t="shared" si="166"/>
        <v>19.23076923076923</v>
      </c>
      <c r="CT157" s="10">
        <f t="shared" si="167"/>
        <v>0</v>
      </c>
      <c r="CU157" s="39">
        <f>IF($CH157="Нет",0,IF(CI157=0,30/MIN(CJ157:CK157),IF(Исходн.данные.!$AG157=$BV$11,CR157,IF(OR(Исходн.данные.!$AH157=$BQ$7,Исходн.данные.!$AH157=$BQ$8),90/CI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0,IF(Исходн.данные.!$AI157=$BU$11,"Нет",30/CI157))))))</f>
        <v>250</v>
      </c>
      <c r="CV157" s="39">
        <f>IF($CH157="Нет",0,IF(Исходн.данные.!AH157=0,0,IF(CJ157=0,60/MIN(CI157,CK157),IF(Исходн.данные.!$AG157=$BV$11,CS157,IF(OR(Исходн.данные.!$AH157=$BQ$7,Исходн.данные.!$AH157=$BQ$8),90/CJ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10/CJ157,IF(Исходн.данные.!$AI157=$BU$11,"Нет",60/CJ157)))))))</f>
        <v>0</v>
      </c>
      <c r="CW157" s="39">
        <f>IF($CH157="Нет",0,IF(Исходн.данные.!AH157=0,0,IF(CK157=0,30/MIN(CI157:CJ157),IF(Исходн.данные.!$AG157=$BV$11,CT157,IF(OR(Исходн.данные.!$AH157=$BQ$7,Исходн.данные.!$AH157=$BQ$8),90/CK157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0,IF(Исходн.данные.!$AI157=$BU$11,"Нет",30/CK157)))))))</f>
        <v>0</v>
      </c>
      <c r="CX157" s="133">
        <f>IF(Исходн.данные.!$AG157=$BV$11,MAX(CU157:CW157),IF(OR(Исходн.данные.!$AH157=$BS$8,Исходн.данные.!$AH157=$BQ$9,Исходн.данные.!$AH157=$BQ$10,Исходн.данные.!$AH157=$BQ$11,Исходн.данные.!$AH157=$BQ$12,Исходн.данные.!$AH157=$BP$3,Исходн.данные.!$AH157=$BT$8,$FM157="Да"),CV157,MIN(CU157:CW157)))</f>
        <v>0</v>
      </c>
      <c r="CY157" s="133">
        <f>IF(Исходн.данные.!AH157=0,0,IF(CR157&gt;$CX157,$CX157,CR157))</f>
        <v>0</v>
      </c>
      <c r="CZ157" s="133">
        <f>IF(Исходн.данные.!AH157=0,0,IF(CS157&gt;$CX157,$CX157,CS157))</f>
        <v>0</v>
      </c>
      <c r="DA157" s="133">
        <f>IF(Исходн.данные.!AH157=0,0,IF(CT157&gt;$CX157,$CX157,CT157))</f>
        <v>0</v>
      </c>
      <c r="DB157" s="10">
        <f t="shared" si="168"/>
        <v>0</v>
      </c>
      <c r="DC157" s="39">
        <f>DB157*Исходн.данные.!AJ157/1000</f>
        <v>0</v>
      </c>
      <c r="DD157" s="71">
        <f t="shared" si="169"/>
        <v>0</v>
      </c>
      <c r="DE157" s="9">
        <f t="shared" si="170"/>
        <v>0</v>
      </c>
      <c r="DF157" s="9">
        <f t="shared" si="171"/>
        <v>0</v>
      </c>
      <c r="DG157" s="39">
        <f>IF(BL157&lt;0,0,IF($CH157="Нет",BL157,IF(OR(Исходн.данные.!$AH157=$BP$1,Исходн.данные.!$AH157=$BP$2),0,IF(Исходн.данные.!AI157=$BU$11,BL157,IF(BL157-DD157&lt;0,0,BL157-DD157)))))</f>
        <v>0</v>
      </c>
      <c r="DH157" s="39">
        <f>IF(BM157&lt;0,0,IF($CH157="Нет",BM157,IF(OR(Исходн.данные.!$AH157=$BP$1,Исходн.данные.!$AH157=$BP$2),0,IF(Исходн.данные.!AJ157=$BU$11,BM157,IF(BM157-DE157&lt;0,0,BM157-DE157)))))</f>
        <v>0</v>
      </c>
      <c r="DI157" s="39">
        <f>IF(BN157&lt;0,0,IF($CH157="Нет",BN157,IF(OR(Исходн.данные.!$AH157=$BP$1,Исходн.данные.!$AH157=$BP$2),0,IF(Исходн.данные.!AK157=$BU$11,BN157,IF(BN157-DF157&lt;0,0,BN157-DF157)))))</f>
        <v>0</v>
      </c>
      <c r="DJ157" s="12">
        <f t="shared" si="172"/>
        <v>0</v>
      </c>
      <c r="DK157" s="9">
        <f t="shared" si="173"/>
        <v>0</v>
      </c>
      <c r="DL157" s="39">
        <f>IF(Исходн.данные.!AM157&gt;0,Исходн.данные.!AM157,IF(EG157&gt;0,$BH$10,0))</f>
        <v>0</v>
      </c>
      <c r="DM157" s="186">
        <f>IF($DL157=0,0,IF(Исходн.данные.!AM157&gt;0,VLOOKUP($DL157,АшламаДВ_Irekle,2,FALSE),VLOOKUP($DL157,АшламаДВ_Gomumy,2,FALSE)))</f>
        <v>0</v>
      </c>
      <c r="DN157" s="10">
        <f t="shared" si="225"/>
        <v>0</v>
      </c>
      <c r="DO157" s="9" t="str">
        <f>IF(Исходн.данные.!AN157&gt;0,Исходн.данные.!AN157,Удобрения!$B$37 )</f>
        <v>Хлор.калий</v>
      </c>
      <c r="DP157" s="9">
        <f>IF(Исходн.данные.!AN157&gt;0,VLOOKUP(Исходн.данные.!AN157,АшламаДВ_Irekle,4,FALSE),VLOOKUP(DO157,АшламаДВ_Gomumy,4,FALSE))</f>
        <v>0.6</v>
      </c>
      <c r="DQ157" s="10">
        <f t="shared" si="226"/>
        <v>0</v>
      </c>
      <c r="DR157" s="132" t="str">
        <f>IF(Исходн.данные.!AO157&gt;0,Исходн.данные.!AO157,IF(DH157=0,BS$17,IF(AND($DK157=0,$DJ157&gt;0),EJ157,EN157)))</f>
        <v>Нет</v>
      </c>
      <c r="DS157" s="70" t="str">
        <f>IF($DR157="Нет","Нет",IF(Исходн.данные.!$AO157&gt;0,VLOOKUP($DR157,АшламаДВ_Irekle,2,FALSE),VLOOKUP($DR157,АшламаДВ_Gomumy,2,FALSE)))</f>
        <v>Нет</v>
      </c>
      <c r="DT157" s="70" t="str">
        <f>IF($DR157="Нет","Нет",IF(Исходн.данные.!$AO157&gt;0,VLOOKUP($DR157,АшламаДВ_Irekle,3,FALSE),VLOOKUP($DR157,АшламаДВ_Gomumy,3,FALSE)))</f>
        <v>Нет</v>
      </c>
      <c r="DU157" s="70" t="str">
        <f>IF($DR157="Нет","Нет",IF(Исходн.данные.!$AO157&gt;0,VLOOKUP($DR157,АшламаДВ_Irekle,4,FALSE),VLOOKUP($DR157,АшламаДВ_Gomumy,4,FALSE)))</f>
        <v>Нет</v>
      </c>
      <c r="DV157" s="70"/>
      <c r="DW157" s="70"/>
      <c r="DX157" s="70"/>
      <c r="DY157" s="10">
        <f t="shared" si="174"/>
        <v>0</v>
      </c>
      <c r="DZ157" s="10">
        <f t="shared" si="175"/>
        <v>0</v>
      </c>
      <c r="EA157" s="10">
        <f t="shared" si="176"/>
        <v>0</v>
      </c>
      <c r="EB157" s="10">
        <f t="shared" si="177"/>
        <v>0</v>
      </c>
      <c r="EC157" s="10">
        <f t="shared" si="178"/>
        <v>0</v>
      </c>
      <c r="ED157" s="10">
        <f t="shared" si="179"/>
        <v>0</v>
      </c>
      <c r="EE157" s="10">
        <f t="shared" si="180"/>
        <v>0</v>
      </c>
      <c r="EF157" s="39">
        <f>EB157*Исходн.данные.!AJ157/1000</f>
        <v>0</v>
      </c>
      <c r="EG157" s="9">
        <f t="shared" si="181"/>
        <v>0</v>
      </c>
      <c r="EH157" s="9">
        <f t="shared" si="182"/>
        <v>0</v>
      </c>
      <c r="EI157" s="39" t="e">
        <f t="shared" si="206"/>
        <v>#DIV/0!</v>
      </c>
      <c r="EJ157" s="9" t="str">
        <f t="shared" si="227"/>
        <v>Азопреципитат</v>
      </c>
      <c r="EK157" s="12">
        <f t="shared" si="207"/>
        <v>0.26</v>
      </c>
      <c r="EL157" s="12">
        <f t="shared" si="208"/>
        <v>0.13</v>
      </c>
      <c r="EM157" s="12">
        <f t="shared" si="209"/>
        <v>0</v>
      </c>
      <c r="EN157" s="12" t="str">
        <f t="shared" si="228"/>
        <v>Нет</v>
      </c>
      <c r="EO157" s="12">
        <f t="shared" si="210"/>
        <v>0</v>
      </c>
      <c r="EP157" s="12">
        <f t="shared" si="211"/>
        <v>0</v>
      </c>
      <c r="EQ157" s="12">
        <f t="shared" si="212"/>
        <v>0</v>
      </c>
      <c r="ER157" s="12" t="str">
        <f t="shared" si="183"/>
        <v>Диаммофоска</v>
      </c>
      <c r="ES157" s="12">
        <f t="shared" si="213"/>
        <v>0.1</v>
      </c>
      <c r="ET157" s="12">
        <f t="shared" si="214"/>
        <v>0.26</v>
      </c>
      <c r="EU157" s="12">
        <f t="shared" si="215"/>
        <v>0.26</v>
      </c>
      <c r="EV157" s="12" t="str">
        <f t="shared" si="184"/>
        <v>Аммофос 12:52:00</v>
      </c>
      <c r="EW157" s="12" t="str">
        <f t="shared" si="185"/>
        <v>Кемира Свекловичное-6</v>
      </c>
      <c r="EX157" s="12">
        <f t="shared" si="216"/>
        <v>0.16</v>
      </c>
      <c r="EY157" s="12">
        <f t="shared" si="217"/>
        <v>0.12</v>
      </c>
      <c r="EZ157" s="12">
        <f t="shared" si="218"/>
        <v>0.17</v>
      </c>
      <c r="FA157" s="38" t="e">
        <f>IF(AND(OR(FJ157=$FD$1,FM157=$FD$1,FO157=$FD$1,FQ157=$FD$1,FS157=$FD$1),FD157=$FD$1,Исходн.данные.!J157&lt;2,FU157=$FD$1),"Бор,Кобальт",IF(AND(FO157=$FD$1,FH157=$FD$1,Исходн.данные.!J157&lt;2,FU157=$FD$1),"Бор,Кобальт",IF(AND(OR(FJ157=$FD$1,FM157=$FD$1,FQ157=$FD$1),FE157=$FD$1,Исходн.данные.!J157&lt;2,FT157=$FD$1,FU157=$FD$1),"Бор,Медь,Цинк",IF(AND(OR(FJ157=$FD$1,FR157="Да"),FI157="Да",Исходн.данные.!J157&lt;2,FT157="Да",FU157="Да"),"Бор,Цинк,Медь",IF(AND(OR(FM157="Да",FQ157="Да"),FI157="Да",Исходн.данные.!J157&lt;2,FT157="Да",FU157="Да"),"Бор,Цинк",IF(AND(FN157="Да",OR(FD157="Да",FE157="Да")),"Бор",FB157))))))</f>
        <v>#N/A</v>
      </c>
      <c r="FB157" s="134" t="e">
        <f>IF(AND(OR(FD157="Да",FE157="Да",FF157="Да",FG157="Да",FH157="Да"),FO157="Да"),"Бор",IF(AND(FP157="Да",OR(FD157="Да",FE157="Да",FI157="Да")),"Бор",IF(AND(FS157="Да",FE157="Да"),"Бор,Медь",IF(AND(OR(FJ157="Да",FK157="Да",FL157="Да"),FE157="Да",Исходн.данные.!I157&lt;5,FT157="Да",FU157="Да"),"Молибден,Цинк",IF(AND(FM157="Да",OR(FE157="Да",FF157="Да",FG157="Да",FH157="Да",FI157="Да")),"Молибден,Цинк",IF(AND(OR(FJ157="Да",FK157="Да",FL157="Да",FM157="Да",FQ157="Да"),OR(FE157="Да",FF157="Да"),FT157="Да",FU157="Да",Исходн.данные.!I157&gt;5.5),"Медь,Цинк",FC157))))))</f>
        <v>#N/A</v>
      </c>
      <c r="FC157" s="23" t="e">
        <f t="shared" si="186"/>
        <v>#N/A</v>
      </c>
      <c r="FD157" s="38" t="str">
        <f>IF(OR(Исходн.данные.!F157=$CC$1,Исходн.данные.!F157=$CC$2,Исходн.данные.!F157=$CC$3,Исходн.данные.!F157=$CC$4),"Да","Нет")</f>
        <v>Нет</v>
      </c>
      <c r="FE157" s="38" t="str">
        <f>IF(Исходн.данные.!F157=$CC$5,"Да","Нет")</f>
        <v>Нет</v>
      </c>
      <c r="FF157" s="38" t="str">
        <f>IF(OR(Исходн.данные.!F157=$CC$6,Исходн.данные.!F157=$CC$7),"Да","Нет")</f>
        <v>Нет</v>
      </c>
      <c r="FG157" s="38" t="str">
        <f>IF(OR(Исходн.данные.!F157=$CC$8,Исходн.данные.!F157=$CC$9),"Да","Нет")</f>
        <v>Нет</v>
      </c>
      <c r="FH157" s="38" t="str">
        <f>IF(Исходн.данные.!F157=$CC$10,"Да","Нет")</f>
        <v>Нет</v>
      </c>
      <c r="FI157" s="38" t="str">
        <f>IF(OR(Исходн.данные.!F157=$CC$11,Исходн.данные.!F157=$CC$12),"Да","Нет")</f>
        <v>Нет</v>
      </c>
      <c r="FJ157" s="38" t="str">
        <f>IF(OR(Исходн.данные.!AH157=$BS$1,Исходн.данные.!AH157=$BQ$11,Исходн.данные.!AH157=$BQ$12),"Да","Нет")</f>
        <v>Нет</v>
      </c>
      <c r="FK157" s="38" t="str">
        <f>IF(OR(Исходн.данные.!AH157=$BS$2,Исходн.данные.!AH157=$BS$4),"Да","Нет")</f>
        <v>Нет</v>
      </c>
      <c r="FL157" s="38" t="str">
        <f>IF(OR(Исходн.данные.!AH157=$BS$3,Исходн.данные.!AH157=$BS$5),"Да","Нет")</f>
        <v>Нет</v>
      </c>
      <c r="FM157" s="38" t="str">
        <f>IF(OR(Исходн.данные.!AH157=$BS$9,Исходн.данные.!AH157=$BS$10,Исходн.данные.!AH157=$BS$11,Исходн.данные.!AH157=$BS$12),"Да","Нет")</f>
        <v>Нет</v>
      </c>
      <c r="FN157" s="38" t="str">
        <f>IF(OR(Исходн.данные.!AH157=$BS$6,Исходн.данные.!AH157=$BP$3),"Да","Нет")</f>
        <v>Нет</v>
      </c>
      <c r="FO157" s="38" t="str">
        <f>IF(Исходн.данные.!AH157=$BQ$9,"Да","Нет")</f>
        <v>Нет</v>
      </c>
      <c r="FP157" s="38" t="str">
        <f>IF(OR(Исходн.данные.!AH157=$BS$8,Исходн.данные.!AH157=$BT$8),"Да","Нет")</f>
        <v>Нет</v>
      </c>
      <c r="FQ157" s="38" t="str">
        <f>IF(OR(Исходн.данные.!AH157=$BQ$7,Исходн.данные.!AH157=$BQ$8),"Да","Нет")</f>
        <v>Нет</v>
      </c>
      <c r="FR157" s="38" t="str">
        <f>IF(Исходн.данные.!AI157=$BU$9,"Да","Нет")</f>
        <v>Нет</v>
      </c>
      <c r="FS157" s="38" t="str">
        <f>IF(OR(Исходн.данные.!AH157=$BP$1,Исходн.данные.!AH157=$BP$2),"Да","Нет")</f>
        <v>Нет</v>
      </c>
      <c r="FT157" s="38" t="e">
        <f>IF((Исходн.данные.!K157*GO157*GS157*GW157+BL157*0.6+Исходн.данные.!Q157*4.5*0.275)&gt;90,"Да","Нет")</f>
        <v>#N/A</v>
      </c>
      <c r="FU157" s="38" t="e">
        <f>IF((Исходн.данные.!M157*GS157*GZ157+BM157*0.225)&gt;35,"Да","Нет")</f>
        <v>#N/A</v>
      </c>
      <c r="FV157" s="38" t="str">
        <f>IF(Исходн.данные.!O157&gt;175,"Да","Нет")</f>
        <v>Нет</v>
      </c>
      <c r="FW157" s="39" t="str">
        <f>IF(Исходн.данные.!I157&gt;5.5,"Да","Нет")</f>
        <v>Нет</v>
      </c>
      <c r="FX157" s="39" t="str">
        <f>IF(Исходн.данные.!J157&lt;2,"Да","Нет")</f>
        <v>Да</v>
      </c>
      <c r="FY157" s="39" t="e">
        <f>IF(HF157=$FY$16,0,Исходн.данные.!K157*GO157*GS157*GW157/HF157)</f>
        <v>#N/A</v>
      </c>
      <c r="FZ157" s="39" t="e">
        <f>Исходн.данные.!M157*GS157*GZ157/HG157</f>
        <v>#N/A</v>
      </c>
      <c r="GA157" s="39" t="e">
        <f>IF(K_Wyn=$FY$16,0,IF(Исходн.данные.!N157=Исходн.данные.!$L$10,Исходн.данные.!O157/1.1*GS157*HC157/HH157,IF(Исходн.данные.!N157=Исходн.данные.!$L$12,Исходн.данные.!O157/1.5*GS157*HC157/HH157,Исходн.данные.!O157*GS157*HC157/HH157)))</f>
        <v>#N/A</v>
      </c>
      <c r="GB157" s="39" t="e">
        <f>IF(HF157=$FY$16,0,((Исходн.данные.!Q157*N_Org+Исходн.данные.!R157*N_Sider+Исходн.данные.!S157*N_Soloma)*AO157+Расчет!BC157*VLOOKUP(Исходн.данные.!T157,Справ!$A$3:$O$57,15)*AO157+BB157*VLOOKUP(Исходн.данные.!T157,Справ!$A$3:$O$57,15)*AL157+(Исходн.данные.!V157*N_Rizotorf+Исходн.данные.!W157*N_Rizoagr))/HF157)</f>
        <v>#N/A</v>
      </c>
      <c r="GC157" s="39" t="e">
        <f>IF(HG157=$FY$16,0,((Исходн.данные.!Q157*Р_Org+Исходн.данные.!R157*P_Sider+Исходн.данные.!S157*P_Soloma)*AP157+Расчет!BC157*VLOOKUP(Исходн.данные.!T157,Справ!$A$3:$P$57,16)*AP157+BB157*VLOOKUP(Исходн.данные.!T157,Справ!$A$3:$P$57,16)*AM157)/HG157)</f>
        <v>#N/A</v>
      </c>
      <c r="GD157" s="39" t="e">
        <f>IF(HH157=$FY$16,0,((Исходн.данные.!Q157*К_Org+Исходн.данные.!R157*K_Sider+Исходн.данные.!S157*K_Soloma)*AQ157+Расчет!BC157*VLOOKUP(Исходн.данные.!T157,Справ!$A$3:$Q$57,17)*AQ157+BB157*VLOOKUP(Исходн.данные.!T157,Справ!$A$3:$Q$57,17)*AN157)/HH157)</f>
        <v>#N/A</v>
      </c>
      <c r="GE157" s="39" t="e">
        <f>IF(HF157=$FY$16,0,(Исходн.данные.!X157*AR157+Исходн.данные.!AA157*N_Org*AL157+Исходн.данные.!AB157*N_Sider*AL157+Исходн.данные.!AC157*N_Soloma*AL157)/HF157)</f>
        <v>#N/A</v>
      </c>
      <c r="GF157" s="39" t="e">
        <f>IF(HG157=$FY$16,0,(Исходн.данные.!Y157*AS157+Исходн.данные.!AA157*Р_Org*AM157+Исходн.данные.!AB157*P_Sider*AM157+Исходн.данные.!AC157*P_Soloma*AM157)/HG157)</f>
        <v>#N/A</v>
      </c>
      <c r="GG157" s="39" t="e">
        <f>IF(HH157=$FY$16,0,(Исходн.данные.!Z157*AT157+Исходн.данные.!AA157*К_Org*AN157+Исходн.данные.!AB157*K_Sider*AN157+Исходн.данные.!AC157*K_Soloma*AN157)/HH157)</f>
        <v>#N/A</v>
      </c>
      <c r="GH157" s="39" t="e">
        <f>Исходн.данные.!AD157*AU157/HF157</f>
        <v>#N/A</v>
      </c>
      <c r="GI157" s="39" t="e">
        <f>Исходн.данные.!AE157*AV157/HG157</f>
        <v>#N/A</v>
      </c>
      <c r="GJ157" s="39" t="e">
        <f>Исходн.данные.!AF157*AW157/HH157</f>
        <v>#N/A</v>
      </c>
      <c r="GK157" s="55">
        <f>Исходн.данные.!AK157</f>
        <v>0</v>
      </c>
      <c r="GL157" s="11" t="e">
        <f t="shared" si="187"/>
        <v>#N/A</v>
      </c>
      <c r="GM157" s="11" t="e">
        <f t="shared" si="188"/>
        <v>#N/A</v>
      </c>
      <c r="GN157" s="11" t="e">
        <f t="shared" si="189"/>
        <v>#N/A</v>
      </c>
      <c r="GO157" s="57">
        <f t="shared" si="190"/>
        <v>19</v>
      </c>
      <c r="GP157" s="55">
        <f>IF(OR(Исходн.данные.!F157=$CE$1,Исходн.данные.!F157=$CE$2,Исходн.данные.!F157=$CE$3,Исходн.данные.!F157=$CE$4,Исходн.данные.!F157=$CE$5),GQ157,GR157)</f>
        <v>19</v>
      </c>
      <c r="GQ157" s="55">
        <f>IF(Исходн.данные.!F157=$CE$1,28,IF(Исходн.данные.!F157=$CE$2,26,IF(Исходн.данные.!F157=$CE$3,24,IF(Исходн.данные.!F157=$CE$4,22,IF(Исходн.данные.!F157=$CE$5,20,GR157)))))</f>
        <v>19</v>
      </c>
      <c r="GR157" s="55">
        <f>IF(Исходн.данные.!F157=$CE$6,18,IF(Исходн.данные.!F157=$CE$7,16,IF(Исходн.данные.!F157=$CE$8,14,IF(Исходн.данные.!F157=$CE$9,13,IF(Исходн.данные.!F157=$CE$10,12,19)))))</f>
        <v>19</v>
      </c>
      <c r="GS157" s="55">
        <f>IF(Исходн.данные.!G157="Пес",0.035*(40+2*Исходн.данные.!H157),IF(Исходн.данные.!G157="Суп",0.0325*(40+2*Исходн.данные.!H157),0.03*(40+2*Исходн.данные.!H157)))</f>
        <v>1.2</v>
      </c>
      <c r="GT157" s="55">
        <f>IF(Исходн.данные.!H157&lt;23,2.6,IF(AND(Исходн.данные.!H157&gt;22,Исходн.данные.!H157&lt;26),3,IF(AND(Исходн.данные.!H157&gt;25,Исходн.данные.!H157&lt;29),3.4,3.6)))</f>
        <v>2.6</v>
      </c>
      <c r="GU157" s="55">
        <f>IF(Исходн.данные.!H157&lt;23,2.8,IF(AND(Исходн.данные.!H157&gt;22,Исходн.данные.!H157&lt;26),3.2,IF(AND(Исходн.данные.!H157&gt;25,Исходн.данные.!H157&lt;29),3.6,3.9)))</f>
        <v>2.8</v>
      </c>
      <c r="GV157" s="55">
        <f>IF(Исходн.данные.!H157&lt;23,3,IF(AND(Исходн.данные.!H157&gt;22,Исходн.данные.!H157&lt;26),3.5,IF(AND(Исходн.данные.!H157&gt;25,Исходн.данные.!H157&lt;29),3.9,4.2)))</f>
        <v>3</v>
      </c>
      <c r="GW157" s="55" t="e">
        <f>IF(Исходн.данные.!P157="Ум",GX157,GY157)</f>
        <v>#N/A</v>
      </c>
      <c r="GX157" s="55" t="e">
        <f>VLOOKUP(Исходн.данные.!AI157,Коэффициенты!$J$7:$L$13,2,FALSE)</f>
        <v>#N/A</v>
      </c>
      <c r="GY157" s="55" t="e">
        <f>VLOOKUP(Исходн.данные.!AI157,Коэффициенты!$J$7:$L$13,3,FALSE)</f>
        <v>#N/A</v>
      </c>
      <c r="GZ157" s="55" t="e">
        <f>(IF(Исходн.данные.!M157&lt;50,0.11*VLOOKUP(Исходн.данные.!AH157,Культуры.Информация,7,FALSE),IF(Исходн.данные.!M157&gt;250,0.05*VLOOKUP(Исходн.данные.!AH157,Культуры.Информация,7,FALSE),VLOOKUP(Исходн.данные.!AH157,Культуры.Информация,5,FALSE)/100*($GX$6+$GY$6*Исходн.данные.!M157))))*Расчет2!AI157</f>
        <v>#N/A</v>
      </c>
      <c r="HA157" s="211"/>
      <c r="HB157" s="211"/>
      <c r="HC157" s="55" t="e">
        <f>(IF(Исходн.данные.!O157&lt;80,0.2*VLOOKUP(Исходн.данные.!AH157,Культуры.Информация,8,FALSE),IF(Исходн.данные.!O157&gt;240,0.09*VLOOKUP(Исходн.данные.!AH157,Культуры.Информация,8,FALSE),VLOOKUP(Исходн.данные.!AH157,Культуры.Информация,6,FALSE)/100*($HB$6+$HC$6*Исходн.данные.!O157))))*Расчет2!AJ157</f>
        <v>#N/A</v>
      </c>
      <c r="HD157" s="55">
        <f>IF(Исходн.данные.!O157&gt;240,0.09,IF(Исходн.данные.!O157&lt;30,0.3,$HE$10+$HD$10*Исходн.данные.!O157))</f>
        <v>0.3</v>
      </c>
      <c r="HE157" s="55">
        <f>IF(Исходн.данные.!O157&gt;240,0.17,IF(Исходн.данные.!O157&lt;30,0.5,$HF$12+$HE$12*Исходн.данные.!O157))</f>
        <v>0.5</v>
      </c>
      <c r="HF157" s="55" t="e">
        <f>VLOOKUP(Исходн.данные.!AH157,Справ!$A$3:$D$58,2,FALSE)</f>
        <v>#N/A</v>
      </c>
      <c r="HG157" s="55" t="e">
        <f>VLOOKUP(Исходн.данные.!AH157,Справ!$A$3:$D$58,3,FALSE)</f>
        <v>#N/A</v>
      </c>
      <c r="HH157" s="55" t="e">
        <f>VLOOKUP(Исходн.данные.!AH157,Справ!$A$3:$D$58,4,FALSE)</f>
        <v>#N/A</v>
      </c>
      <c r="HI157" s="11" t="e">
        <f t="shared" si="191"/>
        <v>#N/A</v>
      </c>
      <c r="HJ157" s="11" t="e">
        <f t="shared" si="192"/>
        <v>#N/A</v>
      </c>
      <c r="HK157" s="11" t="e">
        <f t="shared" si="193"/>
        <v>#N/A</v>
      </c>
      <c r="HL157" s="55">
        <f>IF(OR(Исходн.данные.!G157="Глин",Исходн.данные.!G157="Т_суг"),1.1,IF(Исходн.данные.!G157="Ср_суг",1,1))</f>
        <v>1</v>
      </c>
      <c r="HM157" s="55">
        <f>IF(OR(Исходн.данные.!G157="Глин",Исходн.данные.!G157="Т_суг"),0.9,IF(Исходн.данные.!G157="Ср_суг",1,1.2))</f>
        <v>1.2</v>
      </c>
      <c r="HN157" s="11" t="e">
        <f t="shared" si="194"/>
        <v>#N/A</v>
      </c>
      <c r="HO157" s="11" t="e">
        <f t="shared" si="195"/>
        <v>#N/A</v>
      </c>
      <c r="HP157" s="11" t="e">
        <f t="shared" si="196"/>
        <v>#N/A</v>
      </c>
      <c r="HQ157" t="e">
        <f t="shared" si="197"/>
        <v>#N/A</v>
      </c>
      <c r="HR157" t="e">
        <f t="shared" si="198"/>
        <v>#N/A</v>
      </c>
      <c r="HS157" t="e">
        <f t="shared" si="199"/>
        <v>#N/A</v>
      </c>
      <c r="HT157" t="e">
        <f t="shared" si="219"/>
        <v>#N/A</v>
      </c>
      <c r="HU157" t="e">
        <f t="shared" si="220"/>
        <v>#N/A</v>
      </c>
      <c r="HV157" t="e">
        <f t="shared" si="221"/>
        <v>#N/A</v>
      </c>
      <c r="HW157" t="e">
        <f t="shared" si="222"/>
        <v>#N/A</v>
      </c>
      <c r="HX157" t="e">
        <f t="shared" si="223"/>
        <v>#N/A</v>
      </c>
      <c r="HY157" t="e">
        <f t="shared" si="224"/>
        <v>#N/A</v>
      </c>
      <c r="HZ157" s="55">
        <f>IF(OR(Исходн.данные.!AI157="Оз_Ч_П",Исходн.данные.!AI157="Оз_З_П",Исходн.данные.!AI157="Яр_зер"),12,30)</f>
        <v>30</v>
      </c>
      <c r="IA157" t="e">
        <f t="shared" si="200"/>
        <v>#N/A</v>
      </c>
      <c r="IB157" t="e">
        <f t="shared" si="201"/>
        <v>#N/A</v>
      </c>
      <c r="IC157" t="e">
        <f t="shared" si="202"/>
        <v>#N/A</v>
      </c>
      <c r="ID157" s="11" t="e">
        <f t="shared" si="203"/>
        <v>#N/A</v>
      </c>
      <c r="IE157" s="11" t="e">
        <f t="shared" si="204"/>
        <v>#N/A</v>
      </c>
      <c r="IF157" s="11" t="e">
        <f t="shared" si="205"/>
        <v>#N/A</v>
      </c>
    </row>
    <row r="158" spans="35:240" x14ac:dyDescent="0.2">
      <c r="AI158">
        <f>IF(Исходн.данные.!I158&gt;6,1,1.85-(0.148*Исходн.данные.!I158))</f>
        <v>1.85</v>
      </c>
      <c r="AJ158">
        <f>IF(Исходн.данные.!I158&gt;6,1,2.434-(0.246*Исходн.данные.!I158))</f>
        <v>2.4340000000000002</v>
      </c>
      <c r="AL158" s="148" t="b">
        <f>IF(Исходн.данные.!$P158="Ум",N_OrgUd_2g_um,IF(Исходн.данные.!$P158="Об",N_OrgUd_2g_ob))</f>
        <v>0</v>
      </c>
      <c r="AM158" s="148" t="b">
        <f>IF(Исходн.данные.!$P158="Ум",P_OrgUd_2g_um,IF(Исходн.данные.!$P158="Об",P_OrgUd_2g_ob))</f>
        <v>0</v>
      </c>
      <c r="AN158" s="148" t="b">
        <f>IF(Исходн.данные.!$P158="Ум",K_OrgUd_2g_um,IF(Исходн.данные.!$P158="Об",K_OrgUd_2g_ob))</f>
        <v>0</v>
      </c>
      <c r="AO158" s="148" t="b">
        <f>IF(Исходн.данные.!$P158="Ум",N_OrgUd_1g_um,IF(Исходн.данные.!$P158="Об",N_OrgUd_1g_ob))</f>
        <v>0</v>
      </c>
      <c r="AP158" s="148" t="b">
        <f>IF(Исходн.данные.!$P158="Ум",P_OrgUd_1g_um,IF(Исходн.данные.!$P158="Об",P_OrgUd_1g_ob))</f>
        <v>0</v>
      </c>
      <c r="AQ158" s="148" t="b">
        <f>IF(Исходн.данные.!$P158="Ум",K_OrgUd_1g_um,IF(Исходн.данные.!$P158="Об",K_OrgUd_1g_ob))</f>
        <v>0</v>
      </c>
      <c r="AR158" t="b">
        <f>IF(Исходн.данные.!$P158="Ум",N_MinUd_2g_um,IF(Исходн.данные.!$P158="Об",N_MinUd_2g_ob))</f>
        <v>0</v>
      </c>
      <c r="AS158" t="b">
        <f>IF(Исходн.данные.!$P158="Ум",P_MinUd_2g_um,IF(Исходн.данные.!$P158="Об",P_MinUd_2g_ob))</f>
        <v>0</v>
      </c>
      <c r="AT158" t="b">
        <f>IF(Исходн.данные.!$P158="Ум",K_MinUd_2g_um,IF(Исходн.данные.!$P158="Об",K_MinUd_2g_ob))</f>
        <v>0</v>
      </c>
      <c r="AU158" t="b">
        <f>IF(Исходн.данные.!$P158="Ум",N_MinUd_1g_um,IF(Исходн.данные.!$P158="Об",N_MinUd_1g_ob))</f>
        <v>0</v>
      </c>
      <c r="AV158" t="b">
        <f>IF(Исходн.данные.!P158="Ум",P_MinUd_1g_um,IF(Исходн.данные.!P158="Об",P_MinUd_1g_ob))</f>
        <v>0</v>
      </c>
      <c r="AW158" t="b">
        <f>IF(Исходн.данные.!P158="Ум",K_MinUd_1g_um,IF(Исходн.данные.!P158="Об",K_MinUd_1g_ob))</f>
        <v>0</v>
      </c>
      <c r="AY158" t="e">
        <f>VLOOKUP(Исходн.данные.!T158,Справ!$A$3:$N$57,12)</f>
        <v>#N/A</v>
      </c>
      <c r="AZ158" t="e">
        <f>VLOOKUP(Исходн.данные.!T158,Справ!$A$3:$N$57,13)</f>
        <v>#N/A</v>
      </c>
      <c r="BA158" t="e">
        <f>VLOOKUP(Исходн.данные.!T158,Справ!$A$3:$N$57,14)</f>
        <v>#N/A</v>
      </c>
      <c r="BB158">
        <f>IF(Исходн.данные.!AH158=0,0,25)</f>
        <v>0</v>
      </c>
      <c r="BC158" s="141">
        <f>IF(Исходн.данные.!AH158=0,0,IF(Исходн.данные.!T158=0,25,BD158))</f>
        <v>0</v>
      </c>
      <c r="BD158" s="168" t="e">
        <f>AY158+AZ158*Исходн.данные.!U158-POWER(BA158,2)*Исходн.данные.!U158</f>
        <v>#N/A</v>
      </c>
      <c r="BE15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8" s="25">
        <f>IF(Исходн.данные.!AH158=0,0,MIN(HN158:HP158))</f>
        <v>0</v>
      </c>
      <c r="BG158" s="9">
        <f>IF(Исходн.данные.!AH158=0,0,IF((HO158+10*0.25/HG158/HL158)&lt;17,17,HO158+10*0.25/HG158/HL158))</f>
        <v>0</v>
      </c>
      <c r="BH158" s="181">
        <f>IF(Исходн.данные.!AH158=0,0,HW158*HF158*HL158/AU158*AI158+Исходн.данные.!S158*10)</f>
        <v>0</v>
      </c>
      <c r="BI158" s="10"/>
      <c r="BJ158" s="182">
        <f>IF(Исходн.данные.!AH158=0,0,IF(HX158*HG158*HL158/AV158&lt;0,0,HX158*HG158*HL158/AV158*AJ158))</f>
        <v>0</v>
      </c>
      <c r="BK158" s="182">
        <f>IF(Исходн.данные.!AH158=0,0,HY158*HH158*HM158/AW158)</f>
        <v>0</v>
      </c>
      <c r="BL158" s="10">
        <f>IF(OR(Исходн.данные.!$AH158=$BP$1,Исходн.данные.!$AH158=$BP$2),0,IF(BH158&lt;0,0,IF(OR(Исходн.данные.!T158=Расчет!$BP$1,Исходн.данные.!T158=Расчет!$BP$2,Исходн.данные.!T158=Расчет!$BT$5,Исходн.данные.!T158=Расчет!$BT$6),BH158*0.5,IF(OR(Исходн.данные.!T158=Расчет!$BS$9,Исходн.данные.!T158=Расчет!$BS$10,Исходн.данные.!T158=Расчет!$BS$11,Исходн.данные.!T158=Расчет!$BS$12,Исходн.данные.!T158=Расчет!$BP$5),BH158*0.8,BH158))))</f>
        <v>0</v>
      </c>
      <c r="BM158" s="10">
        <f>IF(OR(Исходн.данные.!$AH158=$BP$1,Исходн.данные.!$AH158=$BP$2),0,IF(BJ158&lt;0,0,IF(Исходн.данные.!I158&lt;4.5,BJ158*1.2,IF(Исходн.данные.!I158&gt;5.1,BJ158,BJ158*((5.1-Исходн.данные.!I158)*0.333+1)))))</f>
        <v>0</v>
      </c>
      <c r="BN158" s="10">
        <f>IF(OR(Исходн.данные.!$AH158=$BP$1,Исходн.данные.!$AH158=$BP$2),60-Исходн.данные.!AF158,IF(BK158&lt;0,0,IF(Исходн.данные.!I158&lt;4.5,BK158*1.2,IF(Исходн.данные.!I158&gt;5.1,BK158,BK158*((5.1-Исходн.данные.!I158)*0.333+1)))))</f>
        <v>0</v>
      </c>
      <c r="BO158" s="9">
        <f>IF(BL158&lt;0,0,BL158*Исходн.данные.!$AJ158/1000)</f>
        <v>0</v>
      </c>
      <c r="BP158" s="9">
        <f>IF(BM158&lt;0,0,BM158*Исходн.данные.!$AJ158/1000)</f>
        <v>0</v>
      </c>
      <c r="BQ158" s="9">
        <f>IF(BN158&lt;0,0,BN158*Исходн.данные.!$AJ158/1000)</f>
        <v>0</v>
      </c>
      <c r="BR158" s="9">
        <f t="shared" ref="BR158:BR221" si="229">SUMIF(BO158:BQ158,"&gt;0")</f>
        <v>0</v>
      </c>
      <c r="BS158" s="10" t="str">
        <f t="shared" ref="BS158:BS221" si="230">IF(AND($CF158=0,$CE158&gt;0),BT158,BU158)</f>
        <v>Аммофос 12:52:00</v>
      </c>
      <c r="BT158" s="10" t="str">
        <f t="shared" ref="BT158:BT221" si="231">IF(CE158&gt;3.3,$BH$4,IF(CE158&gt;1.5,$BH$3,IF(CE158&gt;0.75,$BH$2,$BH$1)))</f>
        <v>Аммофос 12:52:00</v>
      </c>
      <c r="BU158" s="10" t="str">
        <f t="shared" ref="BU158:BU221" si="232">IF(CE158&gt;2.4,$BH$9,IF(CE158&gt;1.8,$BH$8,IF(CE158&gt;1.1,$BH$7,IF(CE158&gt;0.65,$BH$6,$BH$5))))</f>
        <v>Диаммофоска</v>
      </c>
      <c r="BV158" s="10">
        <f t="shared" ref="BV158:BV221" si="233">IF(BL158&lt;0,0,IF(BL158*0.3&gt;30,30,BL158*0.3))</f>
        <v>0</v>
      </c>
      <c r="BW158" s="10"/>
      <c r="BX158" s="10"/>
      <c r="BY158" s="9">
        <f>IF(BL158&lt;0,0,IF(OR(Исходн.данные.!AI158=Расчет!$BU$6,Исходн.данные.!AI158=Расчет!$BU$7),Расчет!BV158,IF(Исходн.данные.!$AG158=$BV$11,BL158,IF(OR(Исходн.данные.!$AH158=$BQ$7,Исходн.данные.!$AH158=$BQ$8),CB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0,IF(Исходн.данные.!$AI158=$BU$11,"Нет",IF(BL158&gt;30,30,BL158)))))))</f>
        <v>0</v>
      </c>
      <c r="BZ158" s="9">
        <f>IF(AND(Исходн.данные.!$AG158=$BV$11,BM158&lt;10),10,IF(Исходн.данные.!$AG158=$BV$11,BM158,IF(OR(Исходн.данные.!$AH158=$BQ$7,Исходн.данные.!$AH158=$BQ$8),CC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10,IF(Исходн.данные.!$AI158=$BU$11,"Нет",IF(BM158&gt;60,60,IF(BM158&lt;10,10,BM158)))))))</f>
        <v>10</v>
      </c>
      <c r="CA158" s="39">
        <f>IF(BN158&lt;0,0,IF(Исходн.данные.!$AG158=$BV$11,BN158,IF(OR(Исходн.данные.!$AH158=$BQ$7,Исходн.данные.!$AH158=$BQ$8),CD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0,IF(Исходн.данные.!$AI158=$BU$11,"Нет",IF(BN158&gt;30,30,BN158))))))</f>
        <v>0</v>
      </c>
      <c r="CB158" s="9">
        <f t="shared" ref="CB158:CB221" si="234">IF(BL158&lt;0,0,IF(BL158&gt;90,90,BL158))</f>
        <v>0</v>
      </c>
      <c r="CC158" s="9">
        <f t="shared" ref="CC158:CC221" si="235">IF(BM158&lt;0,0,IF(BM158&gt;90,90,BM158))</f>
        <v>0</v>
      </c>
      <c r="CD158" s="9">
        <f t="shared" ref="CD158:CD221" si="236">IF(BN158&lt;0,0,IF(BN158&gt;90,90,BN158))</f>
        <v>0</v>
      </c>
      <c r="CE158" s="12">
        <f t="shared" ref="CE158:CE221" si="237">IF(BZ158="Нет",0,IF($BY158&gt;0,BZ158/$BY158,BZ158/1))</f>
        <v>10</v>
      </c>
      <c r="CF158" s="9">
        <f t="shared" ref="CF158:CF221" si="238">IF(BZ158="Нет",0,IF($BZ158&gt;0,CA158/$BZ158,CA158/1))</f>
        <v>0</v>
      </c>
      <c r="CG158" s="9" t="s">
        <v>231</v>
      </c>
      <c r="CH158" s="132" t="str">
        <f>IF(Исходн.данные.!AP158=Расчет!$CI$16,"Нет",IF(Исходн.данные.!AL158&gt;0,Исходн.данные.!AL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BH$4,IF(OR(Исходн.данные.!AI158=Исходн.данные.!$AI$6,Исходн.данные.!AI158=Исходн.данные.!$AI$7),Расчет!BS158,IF(AND($CF158=0,$CE158&gt;0),EV158,ER158)))))</f>
        <v>Аммофос 12:52:00</v>
      </c>
      <c r="CI158" s="274">
        <f>IF(Расчет!$CH158="Нет","Нет",IF(Исходн.данные.!$AL158&gt;0,VLOOKUP(Расчет!$CH158,АшламаДВ_Irekle,2,FALSE),VLOOKUP(Расчет!$CH158,АшламаДВ_Gomumy,2,FALSE)))</f>
        <v>0.12</v>
      </c>
      <c r="CJ158" s="274">
        <f>IF(Расчет!$CH158="Нет","Нет",IF(Исходн.данные.!$AL158&gt;0,VLOOKUP(Расчет!$CH158,АшламаДВ_Irekle,3,FALSE),VLOOKUP(Расчет!$CH158,АшламаДВ_Gomumy,3,FALSE)))</f>
        <v>0.52</v>
      </c>
      <c r="CK158" s="274">
        <f>IF(Расчет!$CH158="Нет","Нет",IF(Исходн.данные.!$AL158&gt;0,VLOOKUP(Расчет!$CH158,АшламаДВ_Irekle,4,FALSE),VLOOKUP(Расчет!$CH158,АшламаДВ_Gomumy,4,FALSE)))</f>
        <v>0</v>
      </c>
      <c r="CL158" s="70"/>
      <c r="CM158" s="70"/>
      <c r="CN158" s="70"/>
      <c r="CO158" s="70"/>
      <c r="CP158" s="70"/>
      <c r="CQ158" s="70"/>
      <c r="CR158" s="10">
        <f t="shared" ref="CR158:CR221" si="239">IF($CH158="Нет",0,IF(BY158&gt;0,BY158/CI158,0))</f>
        <v>0</v>
      </c>
      <c r="CS158" s="10">
        <f t="shared" ref="CS158:CS221" si="240">IF($CH158="Нет",0,IF(BZ158&gt;0,BZ158/CJ158,0))</f>
        <v>19.23076923076923</v>
      </c>
      <c r="CT158" s="10">
        <f t="shared" ref="CT158:CT221" si="241">IF($CH158="Нет",0,IF(CA158&gt;0,CA158/CK158,0))</f>
        <v>0</v>
      </c>
      <c r="CU158" s="39">
        <f>IF($CH158="Нет",0,IF(CI158=0,30/MIN(CJ158:CK158),IF(Исходн.данные.!$AG158=$BV$11,CR158,IF(OR(Исходн.данные.!$AH158=$BQ$7,Исходн.данные.!$AH158=$BQ$8),90/CI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0,IF(Исходн.данные.!$AI158=$BU$11,"Нет",30/CI158))))))</f>
        <v>250</v>
      </c>
      <c r="CV158" s="39">
        <f>IF($CH158="Нет",0,IF(Исходн.данные.!AH158=0,0,IF(CJ158=0,60/MIN(CI158,CK158),IF(Исходн.данные.!$AG158=$BV$11,CS158,IF(OR(Исходн.данные.!$AH158=$BQ$7,Исходн.данные.!$AH158=$BQ$8),90/CJ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10/CJ158,IF(Исходн.данные.!$AI158=$BU$11,"Нет",60/CJ158)))))))</f>
        <v>0</v>
      </c>
      <c r="CW158" s="39">
        <f>IF($CH158="Нет",0,IF(Исходн.данные.!AH158=0,0,IF(CK158=0,30/MIN(CI158:CJ158),IF(Исходн.данные.!$AG158=$BV$11,CT158,IF(OR(Исходн.данные.!$AH158=$BQ$7,Исходн.данные.!$AH158=$BQ$8),90/CK158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0,IF(Исходн.данные.!$AI158=$BU$11,"Нет",30/CK158)))))))</f>
        <v>0</v>
      </c>
      <c r="CX158" s="133">
        <f>IF(Исходн.данные.!$AG158=$BV$11,MAX(CU158:CW158),IF(OR(Исходн.данные.!$AH158=$BS$8,Исходн.данные.!$AH158=$BQ$9,Исходн.данные.!$AH158=$BQ$10,Исходн.данные.!$AH158=$BQ$11,Исходн.данные.!$AH158=$BQ$12,Исходн.данные.!$AH158=$BP$3,Исходн.данные.!$AH158=$BT$8,$FM158="Да"),CV158,MIN(CU158:CW158)))</f>
        <v>0</v>
      </c>
      <c r="CY158" s="133">
        <f>IF(Исходн.данные.!AH158=0,0,IF(CR158&gt;$CX158,$CX158,CR158))</f>
        <v>0</v>
      </c>
      <c r="CZ158" s="133">
        <f>IF(Исходн.данные.!AH158=0,0,IF(CS158&gt;$CX158,$CX158,CS158))</f>
        <v>0</v>
      </c>
      <c r="DA158" s="133">
        <f>IF(Исходн.данные.!AH158=0,0,IF(CT158&gt;$CX158,$CX158,CT158))</f>
        <v>0</v>
      </c>
      <c r="DB158" s="10">
        <f t="shared" ref="DB158:DB221" si="242">IF(BY158="Нет",0,CZ158)</f>
        <v>0</v>
      </c>
      <c r="DC158" s="39">
        <f>DB158*Исходн.данные.!AJ158/1000</f>
        <v>0</v>
      </c>
      <c r="DD158" s="71">
        <f t="shared" ref="DD158:DD221" si="243">$DB158*CI158</f>
        <v>0</v>
      </c>
      <c r="DE158" s="9">
        <f t="shared" ref="DE158:DE221" si="244">$DB158*CJ158</f>
        <v>0</v>
      </c>
      <c r="DF158" s="9">
        <f t="shared" ref="DF158:DF221" si="245">$DB158*CK158</f>
        <v>0</v>
      </c>
      <c r="DG158" s="39">
        <f>IF(BL158&lt;0,0,IF($CH158="Нет",BL158,IF(OR(Исходн.данные.!$AH158=$BP$1,Исходн.данные.!$AH158=$BP$2),0,IF(Исходн.данные.!AI158=$BU$11,BL158,IF(BL158-DD158&lt;0,0,BL158-DD158)))))</f>
        <v>0</v>
      </c>
      <c r="DH158" s="39">
        <f>IF(BM158&lt;0,0,IF($CH158="Нет",BM158,IF(OR(Исходн.данные.!$AH158=$BP$1,Исходн.данные.!$AH158=$BP$2),0,IF(Исходн.данные.!AJ158=$BU$11,BM158,IF(BM158-DE158&lt;0,0,BM158-DE158)))))</f>
        <v>0</v>
      </c>
      <c r="DI158" s="39">
        <f>IF(BN158&lt;0,0,IF($CH158="Нет",BN158,IF(OR(Исходн.данные.!$AH158=$BP$1,Исходн.данные.!$AH158=$BP$2),0,IF(Исходн.данные.!AK158=$BU$11,BN158,IF(BN158-DF158&lt;0,0,BN158-DF158)))))</f>
        <v>0</v>
      </c>
      <c r="DJ158" s="12">
        <f t="shared" ref="DJ158:DJ221" si="246">IF(DG158&gt;0,DH158/DG158,DH158)</f>
        <v>0</v>
      </c>
      <c r="DK158" s="9">
        <f t="shared" ref="DK158:DK221" si="247">IF(DH158&gt;0,DI158/DH158,DI158)</f>
        <v>0</v>
      </c>
      <c r="DL158" s="39">
        <f>IF(Исходн.данные.!AM158&gt;0,Исходн.данные.!AM158,IF(EG158&gt;0,$BH$10,0))</f>
        <v>0</v>
      </c>
      <c r="DM158" s="186">
        <f>IF($DL158=0,0,IF(Исходн.данные.!AM158&gt;0,VLOOKUP($DL158,АшламаДВ_Irekle,2,FALSE),VLOOKUP($DL158,АшламаДВ_Gomumy,2,FALSE)))</f>
        <v>0</v>
      </c>
      <c r="DN158" s="10">
        <f t="shared" si="225"/>
        <v>0</v>
      </c>
      <c r="DO158" s="9" t="str">
        <f>IF(Исходн.данные.!AN158&gt;0,Исходн.данные.!AN158,Удобрения!$B$37 )</f>
        <v>Хлор.калий</v>
      </c>
      <c r="DP158" s="9">
        <f>IF(Исходн.данные.!AN158&gt;0,VLOOKUP(Исходн.данные.!AN158,АшламаДВ_Irekle,4,FALSE),VLOOKUP(DO158,АшламаДВ_Gomumy,4,FALSE))</f>
        <v>0.6</v>
      </c>
      <c r="DQ158" s="10">
        <f t="shared" si="226"/>
        <v>0</v>
      </c>
      <c r="DR158" s="132" t="str">
        <f>IF(Исходн.данные.!AO158&gt;0,Исходн.данные.!AO158,IF(DH158=0,BS$17,IF(AND($DK158=0,$DJ158&gt;0),EJ158,EN158)))</f>
        <v>Нет</v>
      </c>
      <c r="DS158" s="70" t="str">
        <f>IF($DR158="Нет","Нет",IF(Исходн.данные.!$AO158&gt;0,VLOOKUP($DR158,АшламаДВ_Irekle,2,FALSE),VLOOKUP($DR158,АшламаДВ_Gomumy,2,FALSE)))</f>
        <v>Нет</v>
      </c>
      <c r="DT158" s="70" t="str">
        <f>IF($DR158="Нет","Нет",IF(Исходн.данные.!$AO158&gt;0,VLOOKUP($DR158,АшламаДВ_Irekle,3,FALSE),VLOOKUP($DR158,АшламаДВ_Gomumy,3,FALSE)))</f>
        <v>Нет</v>
      </c>
      <c r="DU158" s="70" t="str">
        <f>IF($DR158="Нет","Нет",IF(Исходн.данные.!$AO158&gt;0,VLOOKUP($DR158,АшламаДВ_Irekle,4,FALSE),VLOOKUP($DR158,АшламаДВ_Gomumy,4,FALSE)))</f>
        <v>Нет</v>
      </c>
      <c r="DV158" s="70"/>
      <c r="DW158" s="70"/>
      <c r="DX158" s="70"/>
      <c r="DY158" s="10">
        <f t="shared" ref="DY158:DY221" si="248">IF(DS158="Нет",0,IF(DS158=0,0,IF(DG158&gt;0,DG158/DS158,0)))</f>
        <v>0</v>
      </c>
      <c r="DZ158" s="10">
        <f t="shared" ref="DZ158:DZ221" si="249">IF(DT158="Нет",0,IF(DT158=0,0,IF(DH158&gt;0,DH158/DT158,0)))</f>
        <v>0</v>
      </c>
      <c r="EA158" s="10">
        <f t="shared" ref="EA158:EA221" si="250">IF(DU158="Нет",0,IF(DU158=0,0,IF(DI158&gt;0,DI158/DU158,0)))</f>
        <v>0</v>
      </c>
      <c r="EB158" s="10">
        <f t="shared" ref="EB158:EB221" si="251">DZ158</f>
        <v>0</v>
      </c>
      <c r="EC158" s="10">
        <f t="shared" ref="EC158:EC221" si="252">IF(DS158="Нет",0,$EB158*DS158)</f>
        <v>0</v>
      </c>
      <c r="ED158" s="10">
        <f t="shared" ref="ED158:ED221" si="253">IF(DT158="Нет",0,$EB158*DT158)</f>
        <v>0</v>
      </c>
      <c r="EE158" s="10">
        <f t="shared" ref="EE158:EE221" si="254">IF(DU158="Нет",0,$EB158*DU158)</f>
        <v>0</v>
      </c>
      <c r="EF158" s="39">
        <f>EB158*Исходн.данные.!AJ158/1000</f>
        <v>0</v>
      </c>
      <c r="EG158" s="9">
        <f t="shared" ref="EG158:EG221" si="255">DG158-EC158</f>
        <v>0</v>
      </c>
      <c r="EH158" s="9">
        <f t="shared" ref="EH158:EH221" si="256">DI158-EE158</f>
        <v>0</v>
      </c>
      <c r="EI158" s="39" t="e">
        <f t="shared" si="206"/>
        <v>#DIV/0!</v>
      </c>
      <c r="EJ158" s="9" t="str">
        <f t="shared" si="227"/>
        <v>Азопреципитат</v>
      </c>
      <c r="EK158" s="12">
        <f t="shared" si="207"/>
        <v>0.26</v>
      </c>
      <c r="EL158" s="12">
        <f t="shared" si="208"/>
        <v>0.13</v>
      </c>
      <c r="EM158" s="12">
        <f t="shared" si="209"/>
        <v>0</v>
      </c>
      <c r="EN158" s="12" t="str">
        <f t="shared" si="228"/>
        <v>Нет</v>
      </c>
      <c r="EO158" s="12">
        <f t="shared" si="210"/>
        <v>0</v>
      </c>
      <c r="EP158" s="12">
        <f t="shared" si="211"/>
        <v>0</v>
      </c>
      <c r="EQ158" s="12">
        <f t="shared" si="212"/>
        <v>0</v>
      </c>
      <c r="ER158" s="12" t="str">
        <f t="shared" ref="ER158:ER221" si="257">IF($BZ158=0,"Нет",IF($CA158/$BZ158&gt;1.4,BS$14,IF($CE158&gt;2.2,BH$9,IF($CE158&gt;1.5,BH$8,IF($CE158&gt;1,BH$7,IF($CE158&gt;0.5,BH$6,BH$5))))))</f>
        <v>Диаммофоска</v>
      </c>
      <c r="ES158" s="12">
        <f t="shared" si="213"/>
        <v>0.1</v>
      </c>
      <c r="ET158" s="12">
        <f t="shared" si="214"/>
        <v>0.26</v>
      </c>
      <c r="EU158" s="12">
        <f t="shared" si="215"/>
        <v>0.26</v>
      </c>
      <c r="EV158" s="12" t="str">
        <f t="shared" ref="EV158:EV221" si="258">IF(CE158&gt;2.6,$BH$4,IF(CE158&gt;0.9,$BH$3,IF(CE158&gt;0.5,$BH$2,$BH$1)))</f>
        <v>Аммофос 12:52:00</v>
      </c>
      <c r="EW158" s="12" t="str">
        <f t="shared" ref="EW158:EW221" si="259">IF($CF158&lt;0.14,BH$17,IF($CF158&lt;0.25,BH$16,IF($CF158&lt;0.51,BH$15,IF($CF158&lt;0.7,BH$14,IF($CF158&lt;1,BH$13,BH$12)))))</f>
        <v>Кемира Свекловичное-6</v>
      </c>
      <c r="EX158" s="12">
        <f t="shared" si="216"/>
        <v>0.16</v>
      </c>
      <c r="EY158" s="12">
        <f t="shared" si="217"/>
        <v>0.12</v>
      </c>
      <c r="EZ158" s="12">
        <f t="shared" si="218"/>
        <v>0.17</v>
      </c>
      <c r="FA158" s="38" t="e">
        <f>IF(AND(OR(FJ158=$FD$1,FM158=$FD$1,FO158=$FD$1,FQ158=$FD$1,FS158=$FD$1),FD158=$FD$1,Исходн.данные.!J158&lt;2,FU158=$FD$1),"Бор,Кобальт",IF(AND(FO158=$FD$1,FH158=$FD$1,Исходн.данные.!J158&lt;2,FU158=$FD$1),"Бор,Кобальт",IF(AND(OR(FJ158=$FD$1,FM158=$FD$1,FQ158=$FD$1),FE158=$FD$1,Исходн.данные.!J158&lt;2,FT158=$FD$1,FU158=$FD$1),"Бор,Медь,Цинк",IF(AND(OR(FJ158=$FD$1,FR158="Да"),FI158="Да",Исходн.данные.!J158&lt;2,FT158="Да",FU158="Да"),"Бор,Цинк,Медь",IF(AND(OR(FM158="Да",FQ158="Да"),FI158="Да",Исходн.данные.!J158&lt;2,FT158="Да",FU158="Да"),"Бор,Цинк",IF(AND(FN158="Да",OR(FD158="Да",FE158="Да")),"Бор",FB158))))))</f>
        <v>#N/A</v>
      </c>
      <c r="FB158" s="134" t="e">
        <f>IF(AND(OR(FD158="Да",FE158="Да",FF158="Да",FG158="Да",FH158="Да"),FO158="Да"),"Бор",IF(AND(FP158="Да",OR(FD158="Да",FE158="Да",FI158="Да")),"Бор",IF(AND(FS158="Да",FE158="Да"),"Бор,Медь",IF(AND(OR(FJ158="Да",FK158="Да",FL158="Да"),FE158="Да",Исходн.данные.!I158&lt;5,FT158="Да",FU158="Да"),"Молибден,Цинк",IF(AND(FM158="Да",OR(FE158="Да",FF158="Да",FG158="Да",FH158="Да",FI158="Да")),"Молибден,Цинк",IF(AND(OR(FJ158="Да",FK158="Да",FL158="Да",FM158="Да",FQ158="Да"),OR(FE158="Да",FF158="Да"),FT158="Да",FU158="Да",Исходн.данные.!I158&gt;5.5),"Медь,Цинк",FC158))))))</f>
        <v>#N/A</v>
      </c>
      <c r="FC158" s="23" t="e">
        <f t="shared" ref="FC158:FC221" si="260">IF(AND(OR(FJ158="Да",FL158="Да"),OR(FG158=$DF$12,FH158=$DF$12),FT158=$DF$12,FU158=$DF$12,FW158=$DF$12),"Медь,Цинк,Марганец",IF(AND(OR(FK158=$DF$12,FM158=$DF$12,FQ158=$DF$12),OR(FG158=$DF$12,FH158=$DF$12),FT158=$DF$12,FU158=$DF$12,FW158=$DF$12),"Медь,Цинк",IF(AND(FS158=$DF$12,OR(FE158=$DF$12,FF158=$DF$12,FG158=$DF$12,FH158=$DF$12),FT158=$DF$12,FW158=$DF$12),"Медь",IF(AND(OR(FJ158=$DF$12,FL158=$DF$12,FR158=$DF$12),FI158=$DF$12,FT158=$DF$12,FU157=$DF$12,FV158=$DF$12,FW158=$DF$12),"Цинк,Марганец","Не требуется"))))</f>
        <v>#N/A</v>
      </c>
      <c r="FD158" s="38" t="str">
        <f>IF(OR(Исходн.данные.!F158=$CC$1,Исходн.данные.!F158=$CC$2,Исходн.данные.!F158=$CC$3,Исходн.данные.!F158=$CC$4),"Да","Нет")</f>
        <v>Нет</v>
      </c>
      <c r="FE158" s="38" t="str">
        <f>IF(Исходн.данные.!F158=$CC$5,"Да","Нет")</f>
        <v>Нет</v>
      </c>
      <c r="FF158" s="38" t="str">
        <f>IF(OR(Исходн.данные.!F158=$CC$6,Исходн.данные.!F158=$CC$7),"Да","Нет")</f>
        <v>Нет</v>
      </c>
      <c r="FG158" s="38" t="str">
        <f>IF(OR(Исходн.данные.!F158=$CC$8,Исходн.данные.!F158=$CC$9),"Да","Нет")</f>
        <v>Нет</v>
      </c>
      <c r="FH158" s="38" t="str">
        <f>IF(Исходн.данные.!F158=$CC$10,"Да","Нет")</f>
        <v>Нет</v>
      </c>
      <c r="FI158" s="38" t="str">
        <f>IF(OR(Исходн.данные.!F158=$CC$11,Исходн.данные.!F158=$CC$12),"Да","Нет")</f>
        <v>Нет</v>
      </c>
      <c r="FJ158" s="38" t="str">
        <f>IF(OR(Исходн.данные.!AH158=$BS$1,Исходн.данные.!AH158=$BQ$11,Исходн.данные.!AH158=$BQ$12),"Да","Нет")</f>
        <v>Нет</v>
      </c>
      <c r="FK158" s="38" t="str">
        <f>IF(OR(Исходн.данные.!AH158=$BS$2,Исходн.данные.!AH158=$BS$4),"Да","Нет")</f>
        <v>Нет</v>
      </c>
      <c r="FL158" s="38" t="str">
        <f>IF(OR(Исходн.данные.!AH158=$BS$3,Исходн.данные.!AH158=$BS$5),"Да","Нет")</f>
        <v>Нет</v>
      </c>
      <c r="FM158" s="38" t="str">
        <f>IF(OR(Исходн.данные.!AH158=$BS$9,Исходн.данные.!AH158=$BS$10,Исходн.данные.!AH158=$BS$11,Исходн.данные.!AH158=$BS$12),"Да","Нет")</f>
        <v>Нет</v>
      </c>
      <c r="FN158" s="38" t="str">
        <f>IF(OR(Исходн.данные.!AH158=$BS$6,Исходн.данные.!AH158=$BP$3),"Да","Нет")</f>
        <v>Нет</v>
      </c>
      <c r="FO158" s="38" t="str">
        <f>IF(Исходн.данные.!AH158=$BQ$9,"Да","Нет")</f>
        <v>Нет</v>
      </c>
      <c r="FP158" s="38" t="str">
        <f>IF(OR(Исходн.данные.!AH158=$BS$8,Исходн.данные.!AH158=$BT$8),"Да","Нет")</f>
        <v>Нет</v>
      </c>
      <c r="FQ158" s="38" t="str">
        <f>IF(OR(Исходн.данные.!AH158=$BQ$7,Исходн.данные.!AH158=$BQ$8),"Да","Нет")</f>
        <v>Нет</v>
      </c>
      <c r="FR158" s="38" t="str">
        <f>IF(Исходн.данные.!AI158=$BU$9,"Да","Нет")</f>
        <v>Нет</v>
      </c>
      <c r="FS158" s="38" t="str">
        <f>IF(OR(Исходн.данные.!AH158=$BP$1,Исходн.данные.!AH158=$BP$2),"Да","Нет")</f>
        <v>Нет</v>
      </c>
      <c r="FT158" s="38" t="e">
        <f>IF((Исходн.данные.!K158*GO158*GS158*GW158+BL158*0.6+Исходн.данные.!Q158*4.5*0.275)&gt;90,"Да","Нет")</f>
        <v>#N/A</v>
      </c>
      <c r="FU158" s="38" t="e">
        <f>IF((Исходн.данные.!M158*GS158*GZ158+BM158*0.225)&gt;35,"Да","Нет")</f>
        <v>#N/A</v>
      </c>
      <c r="FV158" s="38" t="str">
        <f>IF(Исходн.данные.!O158&gt;175,"Да","Нет")</f>
        <v>Нет</v>
      </c>
      <c r="FW158" s="39" t="str">
        <f>IF(Исходн.данные.!I158&gt;5.5,"Да","Нет")</f>
        <v>Нет</v>
      </c>
      <c r="FX158" s="39" t="str">
        <f>IF(Исходн.данные.!J158&lt;2,"Да","Нет")</f>
        <v>Да</v>
      </c>
      <c r="FY158" s="39" t="e">
        <f>IF(HF158=$FY$16,0,Исходн.данные.!K158*GO158*GS158*GW158/HF158)</f>
        <v>#N/A</v>
      </c>
      <c r="FZ158" s="39" t="e">
        <f>Исходн.данные.!M158*GS158*GZ158/HG158</f>
        <v>#N/A</v>
      </c>
      <c r="GA158" s="39" t="e">
        <f>IF(K_Wyn=$FY$16,0,IF(Исходн.данные.!N158=Исходн.данные.!$L$10,Исходн.данные.!O158/1.1*GS158*HC158/HH158,IF(Исходн.данные.!N158=Исходн.данные.!$L$12,Исходн.данные.!O158/1.5*GS158*HC158/HH158,Исходн.данные.!O158*GS158*HC158/HH158)))</f>
        <v>#N/A</v>
      </c>
      <c r="GB158" s="39" t="e">
        <f>IF(HF158=$FY$16,0,((Исходн.данные.!Q158*N_Org+Исходн.данные.!R158*N_Sider+Исходн.данные.!S158*N_Soloma)*AO158+Расчет!BC158*VLOOKUP(Исходн.данные.!T158,Справ!$A$3:$O$57,15)*AO158+BB158*VLOOKUP(Исходн.данные.!T158,Справ!$A$3:$O$57,15)*AL158+(Исходн.данные.!V158*N_Rizotorf+Исходн.данные.!W158*N_Rizoagr))/HF158)</f>
        <v>#N/A</v>
      </c>
      <c r="GC158" s="39" t="e">
        <f>IF(HG158=$FY$16,0,((Исходн.данные.!Q158*Р_Org+Исходн.данные.!R158*P_Sider+Исходн.данные.!S158*P_Soloma)*AP158+Расчет!BC158*VLOOKUP(Исходн.данные.!T158,Справ!$A$3:$P$57,16)*AP158+BB158*VLOOKUP(Исходн.данные.!T158,Справ!$A$3:$P$57,16)*AM158)/HG158)</f>
        <v>#N/A</v>
      </c>
      <c r="GD158" s="39" t="e">
        <f>IF(HH158=$FY$16,0,((Исходн.данные.!Q158*К_Org+Исходн.данные.!R158*K_Sider+Исходн.данные.!S158*K_Soloma)*AQ158+Расчет!BC158*VLOOKUP(Исходн.данные.!T158,Справ!$A$3:$Q$57,17)*AQ158+BB158*VLOOKUP(Исходн.данные.!T158,Справ!$A$3:$Q$57,17)*AN158)/HH158)</f>
        <v>#N/A</v>
      </c>
      <c r="GE158" s="39" t="e">
        <f>IF(HF158=$FY$16,0,(Исходн.данные.!X158*AR158+Исходн.данные.!AA158*N_Org*AL158+Исходн.данные.!AB158*N_Sider*AL158+Исходн.данные.!AC158*N_Soloma*AL158)/HF158)</f>
        <v>#N/A</v>
      </c>
      <c r="GF158" s="39" t="e">
        <f>IF(HG158=$FY$16,0,(Исходн.данные.!Y158*AS158+Исходн.данные.!AA158*Р_Org*AM158+Исходн.данные.!AB158*P_Sider*AM158+Исходн.данные.!AC158*P_Soloma*AM158)/HG158)</f>
        <v>#N/A</v>
      </c>
      <c r="GG158" s="39" t="e">
        <f>IF(HH158=$FY$16,0,(Исходн.данные.!Z158*AT158+Исходн.данные.!AA158*К_Org*AN158+Исходн.данные.!AB158*K_Sider*AN158+Исходн.данные.!AC158*K_Soloma*AN158)/HH158)</f>
        <v>#N/A</v>
      </c>
      <c r="GH158" s="39" t="e">
        <f>Исходн.данные.!AD158*AU158/HF158</f>
        <v>#N/A</v>
      </c>
      <c r="GI158" s="39" t="e">
        <f>Исходн.данные.!AE158*AV158/HG158</f>
        <v>#N/A</v>
      </c>
      <c r="GJ158" s="39" t="e">
        <f>Исходн.данные.!AF158*AW158/HH158</f>
        <v>#N/A</v>
      </c>
      <c r="GK158" s="55">
        <f>Исходн.данные.!AK158</f>
        <v>0</v>
      </c>
      <c r="GL158" s="11" t="e">
        <f t="shared" ref="GL158:GL221" si="261">FY158</f>
        <v>#N/A</v>
      </c>
      <c r="GM158" s="11" t="e">
        <f t="shared" ref="GM158:GM221" si="262">FZ158</f>
        <v>#N/A</v>
      </c>
      <c r="GN158" s="11" t="e">
        <f t="shared" ref="GN158:GN221" si="263">GA158</f>
        <v>#N/A</v>
      </c>
      <c r="GO158" s="57">
        <f t="shared" ref="GO158:GO221" si="264">GP158</f>
        <v>19</v>
      </c>
      <c r="GP158" s="55">
        <f>IF(OR(Исходн.данные.!F158=$CE$1,Исходн.данные.!F158=$CE$2,Исходн.данные.!F158=$CE$3,Исходн.данные.!F158=$CE$4,Исходн.данные.!F158=$CE$5),GQ158,GR158)</f>
        <v>19</v>
      </c>
      <c r="GQ158" s="55">
        <f>IF(Исходн.данные.!F158=$CE$1,28,IF(Исходн.данные.!F158=$CE$2,26,IF(Исходн.данные.!F158=$CE$3,24,IF(Исходн.данные.!F158=$CE$4,22,IF(Исходн.данные.!F158=$CE$5,20,GR158)))))</f>
        <v>19</v>
      </c>
      <c r="GR158" s="55">
        <f>IF(Исходн.данные.!F158=$CE$6,18,IF(Исходн.данные.!F158=$CE$7,16,IF(Исходн.данные.!F158=$CE$8,14,IF(Исходн.данные.!F158=$CE$9,13,IF(Исходн.данные.!F158=$CE$10,12,19)))))</f>
        <v>19</v>
      </c>
      <c r="GS158" s="55">
        <f>IF(Исходн.данные.!G158="Пес",0.035*(40+2*Исходн.данные.!H158),IF(Исходн.данные.!G158="Суп",0.0325*(40+2*Исходн.данные.!H158),0.03*(40+2*Исходн.данные.!H158)))</f>
        <v>1.2</v>
      </c>
      <c r="GT158" s="55">
        <f>IF(Исходн.данные.!H158&lt;23,2.6,IF(AND(Исходн.данные.!H158&gt;22,Исходн.данные.!H158&lt;26),3,IF(AND(Исходн.данные.!H158&gt;25,Исходн.данные.!H158&lt;29),3.4,3.6)))</f>
        <v>2.6</v>
      </c>
      <c r="GU158" s="55">
        <f>IF(Исходн.данные.!H158&lt;23,2.8,IF(AND(Исходн.данные.!H158&gt;22,Исходн.данные.!H158&lt;26),3.2,IF(AND(Исходн.данные.!H158&gt;25,Исходн.данные.!H158&lt;29),3.6,3.9)))</f>
        <v>2.8</v>
      </c>
      <c r="GV158" s="55">
        <f>IF(Исходн.данные.!H158&lt;23,3,IF(AND(Исходн.данные.!H158&gt;22,Исходн.данные.!H158&lt;26),3.5,IF(AND(Исходн.данные.!H158&gt;25,Исходн.данные.!H158&lt;29),3.9,4.2)))</f>
        <v>3</v>
      </c>
      <c r="GW158" s="55" t="e">
        <f>IF(Исходн.данные.!P158="Ум",GX158,GY158)</f>
        <v>#N/A</v>
      </c>
      <c r="GX158" s="55" t="e">
        <f>VLOOKUP(Исходн.данные.!AI158,Коэффициенты!$J$7:$L$13,2,FALSE)</f>
        <v>#N/A</v>
      </c>
      <c r="GY158" s="55" t="e">
        <f>VLOOKUP(Исходн.данные.!AI158,Коэффициенты!$J$7:$L$13,3,FALSE)</f>
        <v>#N/A</v>
      </c>
      <c r="GZ158" s="55" t="e">
        <f>(IF(Исходн.данные.!M158&lt;50,0.11*VLOOKUP(Исходн.данные.!AH158,Культуры.Информация,7,FALSE),IF(Исходн.данные.!M158&gt;250,0.05*VLOOKUP(Исходн.данные.!AH158,Культуры.Информация,7,FALSE),VLOOKUP(Исходн.данные.!AH158,Культуры.Информация,5,FALSE)/100*($GX$6+$GY$6*Исходн.данные.!M158))))*Расчет2!AI158</f>
        <v>#N/A</v>
      </c>
      <c r="HA158" s="211"/>
      <c r="HB158" s="211"/>
      <c r="HC158" s="55" t="e">
        <f>(IF(Исходн.данные.!O158&lt;80,0.2*VLOOKUP(Исходн.данные.!AH158,Культуры.Информация,8,FALSE),IF(Исходн.данные.!O158&gt;240,0.09*VLOOKUP(Исходн.данные.!AH158,Культуры.Информация,8,FALSE),VLOOKUP(Исходн.данные.!AH158,Культуры.Информация,6,FALSE)/100*($HB$6+$HC$6*Исходн.данные.!O158))))*Расчет2!AJ158</f>
        <v>#N/A</v>
      </c>
      <c r="HD158" s="55">
        <f>IF(Исходн.данные.!O158&gt;240,0.09,IF(Исходн.данные.!O158&lt;30,0.3,$HE$10+$HD$10*Исходн.данные.!O158))</f>
        <v>0.3</v>
      </c>
      <c r="HE158" s="55">
        <f>IF(Исходн.данные.!O158&gt;240,0.17,IF(Исходн.данные.!O158&lt;30,0.5,$HF$12+$HE$12*Исходн.данные.!O158))</f>
        <v>0.5</v>
      </c>
      <c r="HF158" s="55" t="e">
        <f>VLOOKUP(Исходн.данные.!AH158,Справ!$A$3:$D$58,2,FALSE)</f>
        <v>#N/A</v>
      </c>
      <c r="HG158" s="55" t="e">
        <f>VLOOKUP(Исходн.данные.!AH158,Справ!$A$3:$D$58,3,FALSE)</f>
        <v>#N/A</v>
      </c>
      <c r="HH158" s="55" t="e">
        <f>VLOOKUP(Исходн.данные.!AH158,Справ!$A$3:$D$58,4,FALSE)</f>
        <v>#N/A</v>
      </c>
      <c r="HI158" s="11" t="e">
        <f t="shared" ref="HI158:HI221" si="265">$BG158-HQ158</f>
        <v>#N/A</v>
      </c>
      <c r="HJ158" s="11" t="e">
        <f t="shared" ref="HJ158:HJ221" si="266">$BG158-HR158</f>
        <v>#N/A</v>
      </c>
      <c r="HK158" s="11" t="e">
        <f t="shared" ref="HK158:HK221" si="267">$BG158-HS158</f>
        <v>#N/A</v>
      </c>
      <c r="HL158" s="55">
        <f>IF(OR(Исходн.данные.!G158="Глин",Исходн.данные.!G158="Т_суг"),1.1,IF(Исходн.данные.!G158="Ср_суг",1,1))</f>
        <v>1</v>
      </c>
      <c r="HM158" s="55">
        <f>IF(OR(Исходн.данные.!G158="Глин",Исходн.данные.!G158="Т_суг"),0.9,IF(Исходн.данные.!G158="Ср_суг",1,1.2))</f>
        <v>1.2</v>
      </c>
      <c r="HN158" s="11" t="e">
        <f t="shared" ref="HN158:HN221" si="268">FY158+GB158+GE158+GH158</f>
        <v>#N/A</v>
      </c>
      <c r="HO158" s="11" t="e">
        <f t="shared" ref="HO158:HO221" si="269">FZ158+GC158+GF158+GI158</f>
        <v>#N/A</v>
      </c>
      <c r="HP158" s="11" t="e">
        <f t="shared" ref="HP158:HP221" si="270">GA158+GD158+GG158+GJ158</f>
        <v>#N/A</v>
      </c>
      <c r="HQ158" t="e">
        <f t="shared" ref="HQ158:HQ221" si="271">HN158</f>
        <v>#N/A</v>
      </c>
      <c r="HR158" t="e">
        <f t="shared" ref="HR158:HR221" si="272">HO158</f>
        <v>#N/A</v>
      </c>
      <c r="HS158" t="e">
        <f t="shared" ref="HS158:HS221" si="273">HP158</f>
        <v>#N/A</v>
      </c>
      <c r="HT158" t="e">
        <f t="shared" si="219"/>
        <v>#N/A</v>
      </c>
      <c r="HU158" t="e">
        <f t="shared" si="220"/>
        <v>#N/A</v>
      </c>
      <c r="HV158" t="e">
        <f t="shared" si="221"/>
        <v>#N/A</v>
      </c>
      <c r="HW158" t="e">
        <f t="shared" si="222"/>
        <v>#N/A</v>
      </c>
      <c r="HX158" t="e">
        <f t="shared" si="223"/>
        <v>#N/A</v>
      </c>
      <c r="HY158" t="e">
        <f t="shared" si="224"/>
        <v>#N/A</v>
      </c>
      <c r="HZ158" s="55">
        <f>IF(OR(Исходн.данные.!AI158="Оз_Ч_П",Исходн.данные.!AI158="Оз_З_П",Исходн.данные.!AI158="Яр_зер"),12,30)</f>
        <v>30</v>
      </c>
      <c r="IA158" t="e">
        <f t="shared" ref="IA158:IA221" si="274">ABS(AVERAGE(HN158:HP158)-HN158)</f>
        <v>#N/A</v>
      </c>
      <c r="IB158" t="e">
        <f t="shared" ref="IB158:IB221" si="275">ABS(AVERAGE(HN158:HP158)-HO158)</f>
        <v>#N/A</v>
      </c>
      <c r="IC158" t="e">
        <f t="shared" ref="IC158:IC221" si="276">ABS(AVERAGE(HN158:HP158)-HP158)</f>
        <v>#N/A</v>
      </c>
      <c r="ID158" s="11" t="e">
        <f t="shared" ref="ID158:ID221" si="277">MAX(HN158:HP158)</f>
        <v>#N/A</v>
      </c>
      <c r="IE158" s="11" t="e">
        <f t="shared" ref="IE158:IE221" si="278">AVERAGE(HN158:HP158)</f>
        <v>#N/A</v>
      </c>
      <c r="IF158" s="11" t="e">
        <f t="shared" ref="IF158:IF221" si="279">MIN(HN158:HP158)</f>
        <v>#N/A</v>
      </c>
    </row>
    <row r="159" spans="35:240" x14ac:dyDescent="0.2">
      <c r="AI159">
        <f>IF(Исходн.данные.!I159&gt;6,1,1.85-(0.148*Исходн.данные.!I159))</f>
        <v>1.85</v>
      </c>
      <c r="AJ159">
        <f>IF(Исходн.данные.!I159&gt;6,1,2.434-(0.246*Исходн.данные.!I159))</f>
        <v>2.4340000000000002</v>
      </c>
      <c r="AL159" s="148" t="b">
        <f>IF(Исходн.данные.!$P159="Ум",N_OrgUd_2g_um,IF(Исходн.данные.!$P159="Об",N_OrgUd_2g_ob))</f>
        <v>0</v>
      </c>
      <c r="AM159" s="148" t="b">
        <f>IF(Исходн.данные.!$P159="Ум",P_OrgUd_2g_um,IF(Исходн.данные.!$P159="Об",P_OrgUd_2g_ob))</f>
        <v>0</v>
      </c>
      <c r="AN159" s="148" t="b">
        <f>IF(Исходн.данные.!$P159="Ум",K_OrgUd_2g_um,IF(Исходн.данные.!$P159="Об",K_OrgUd_2g_ob))</f>
        <v>0</v>
      </c>
      <c r="AO159" s="148" t="b">
        <f>IF(Исходн.данные.!$P159="Ум",N_OrgUd_1g_um,IF(Исходн.данные.!$P159="Об",N_OrgUd_1g_ob))</f>
        <v>0</v>
      </c>
      <c r="AP159" s="148" t="b">
        <f>IF(Исходн.данные.!$P159="Ум",P_OrgUd_1g_um,IF(Исходн.данные.!$P159="Об",P_OrgUd_1g_ob))</f>
        <v>0</v>
      </c>
      <c r="AQ159" s="148" t="b">
        <f>IF(Исходн.данные.!$P159="Ум",K_OrgUd_1g_um,IF(Исходн.данные.!$P159="Об",K_OrgUd_1g_ob))</f>
        <v>0</v>
      </c>
      <c r="AR159" t="b">
        <f>IF(Исходн.данные.!$P159="Ум",N_MinUd_2g_um,IF(Исходн.данные.!$P159="Об",N_MinUd_2g_ob))</f>
        <v>0</v>
      </c>
      <c r="AS159" t="b">
        <f>IF(Исходн.данные.!$P159="Ум",P_MinUd_2g_um,IF(Исходн.данные.!$P159="Об",P_MinUd_2g_ob))</f>
        <v>0</v>
      </c>
      <c r="AT159" t="b">
        <f>IF(Исходн.данные.!$P159="Ум",K_MinUd_2g_um,IF(Исходн.данные.!$P159="Об",K_MinUd_2g_ob))</f>
        <v>0</v>
      </c>
      <c r="AU159" t="b">
        <f>IF(Исходн.данные.!$P159="Ум",N_MinUd_1g_um,IF(Исходн.данные.!$P159="Об",N_MinUd_1g_ob))</f>
        <v>0</v>
      </c>
      <c r="AV159" t="b">
        <f>IF(Исходн.данные.!P159="Ум",P_MinUd_1g_um,IF(Исходн.данные.!P159="Об",P_MinUd_1g_ob))</f>
        <v>0</v>
      </c>
      <c r="AW159" t="b">
        <f>IF(Исходн.данные.!P159="Ум",K_MinUd_1g_um,IF(Исходн.данные.!P159="Об",K_MinUd_1g_ob))</f>
        <v>0</v>
      </c>
      <c r="AY159" t="e">
        <f>VLOOKUP(Исходн.данные.!T159,Справ!$A$3:$N$57,12)</f>
        <v>#N/A</v>
      </c>
      <c r="AZ159" t="e">
        <f>VLOOKUP(Исходн.данные.!T159,Справ!$A$3:$N$57,13)</f>
        <v>#N/A</v>
      </c>
      <c r="BA159" t="e">
        <f>VLOOKUP(Исходн.данные.!T159,Справ!$A$3:$N$57,14)</f>
        <v>#N/A</v>
      </c>
      <c r="BB159">
        <f>IF(Исходн.данные.!AH159=0,0,25)</f>
        <v>0</v>
      </c>
      <c r="BC159" s="141">
        <f>IF(Исходн.данные.!AH159=0,0,IF(Исходн.данные.!T159=0,25,BD159))</f>
        <v>0</v>
      </c>
      <c r="BD159" s="168" t="e">
        <f>AY159+AZ159*Исходн.данные.!U159-POWER(BA159,2)*Исходн.данные.!U159</f>
        <v>#N/A</v>
      </c>
      <c r="BE15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59" s="25">
        <f>IF(Исходн.данные.!AH159=0,0,MIN(HN159:HP159))</f>
        <v>0</v>
      </c>
      <c r="BG159" s="9">
        <f>IF(Исходн.данные.!AH159=0,0,IF((HO159+10*0.25/HG159/HL159)&lt;17,17,HO159+10*0.25/HG159/HL159))</f>
        <v>0</v>
      </c>
      <c r="BH159" s="181">
        <f>IF(Исходн.данные.!AH159=0,0,HW159*HF159*HL159/AU159*AI159+Исходн.данные.!S159*10)</f>
        <v>0</v>
      </c>
      <c r="BI159" s="10"/>
      <c r="BJ159" s="182">
        <f>IF(Исходн.данные.!AH159=0,0,IF(HX159*HG159*HL159/AV159&lt;0,0,HX159*HG159*HL159/AV159*AJ159))</f>
        <v>0</v>
      </c>
      <c r="BK159" s="182">
        <f>IF(Исходн.данные.!AH159=0,0,HY159*HH159*HM159/AW159)</f>
        <v>0</v>
      </c>
      <c r="BL159" s="10">
        <f>IF(OR(Исходн.данные.!$AH159=$BP$1,Исходн.данные.!$AH159=$BP$2),0,IF(BH159&lt;0,0,IF(OR(Исходн.данные.!T159=Расчет!$BP$1,Исходн.данные.!T159=Расчет!$BP$2,Исходн.данные.!T159=Расчет!$BT$5,Исходн.данные.!T159=Расчет!$BT$6),BH159*0.5,IF(OR(Исходн.данные.!T159=Расчет!$BS$9,Исходн.данные.!T159=Расчет!$BS$10,Исходн.данные.!T159=Расчет!$BS$11,Исходн.данные.!T159=Расчет!$BS$12,Исходн.данные.!T159=Расчет!$BP$5),BH159*0.8,BH159))))</f>
        <v>0</v>
      </c>
      <c r="BM159" s="10">
        <f>IF(OR(Исходн.данные.!$AH159=$BP$1,Исходн.данные.!$AH159=$BP$2),0,IF(BJ159&lt;0,0,IF(Исходн.данные.!I159&lt;4.5,BJ159*1.2,IF(Исходн.данные.!I159&gt;5.1,BJ159,BJ159*((5.1-Исходн.данные.!I159)*0.333+1)))))</f>
        <v>0</v>
      </c>
      <c r="BN159" s="10">
        <f>IF(OR(Исходн.данные.!$AH159=$BP$1,Исходн.данные.!$AH159=$BP$2),60-Исходн.данные.!AF159,IF(BK159&lt;0,0,IF(Исходн.данные.!I159&lt;4.5,BK159*1.2,IF(Исходн.данные.!I159&gt;5.1,BK159,BK159*((5.1-Исходн.данные.!I159)*0.333+1)))))</f>
        <v>0</v>
      </c>
      <c r="BO159" s="9">
        <f>IF(BL159&lt;0,0,BL159*Исходн.данные.!$AJ159/1000)</f>
        <v>0</v>
      </c>
      <c r="BP159" s="9">
        <f>IF(BM159&lt;0,0,BM159*Исходн.данные.!$AJ159/1000)</f>
        <v>0</v>
      </c>
      <c r="BQ159" s="9">
        <f>IF(BN159&lt;0,0,BN159*Исходн.данные.!$AJ159/1000)</f>
        <v>0</v>
      </c>
      <c r="BR159" s="9">
        <f t="shared" si="229"/>
        <v>0</v>
      </c>
      <c r="BS159" s="10" t="str">
        <f t="shared" si="230"/>
        <v>Аммофос 12:52:00</v>
      </c>
      <c r="BT159" s="10" t="str">
        <f t="shared" si="231"/>
        <v>Аммофос 12:52:00</v>
      </c>
      <c r="BU159" s="10" t="str">
        <f t="shared" si="232"/>
        <v>Диаммофоска</v>
      </c>
      <c r="BV159" s="10">
        <f t="shared" si="233"/>
        <v>0</v>
      </c>
      <c r="BW159" s="10"/>
      <c r="BX159" s="10"/>
      <c r="BY159" s="9">
        <f>IF(BL159&lt;0,0,IF(OR(Исходн.данные.!AI159=Расчет!$BU$6,Исходн.данные.!AI159=Расчет!$BU$7),Расчет!BV159,IF(Исходн.данные.!$AG159=$BV$11,BL159,IF(OR(Исходн.данные.!$AH159=$BQ$7,Исходн.данные.!$AH159=$BQ$8),CB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0,IF(Исходн.данные.!$AI159=$BU$11,"Нет",IF(BL159&gt;30,30,BL159)))))))</f>
        <v>0</v>
      </c>
      <c r="BZ159" s="9">
        <f>IF(AND(Исходн.данные.!$AG159=$BV$11,BM159&lt;10),10,IF(Исходн.данные.!$AG159=$BV$11,BM159,IF(OR(Исходн.данные.!$AH159=$BQ$7,Исходн.данные.!$AH159=$BQ$8),CC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10,IF(Исходн.данные.!$AI159=$BU$11,"Нет",IF(BM159&gt;60,60,IF(BM159&lt;10,10,BM159)))))))</f>
        <v>10</v>
      </c>
      <c r="CA159" s="39">
        <f>IF(BN159&lt;0,0,IF(Исходн.данные.!$AG159=$BV$11,BN159,IF(OR(Исходн.данные.!$AH159=$BQ$7,Исходн.данные.!$AH159=$BQ$8),CD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0,IF(Исходн.данные.!$AI159=$BU$11,"Нет",IF(BN159&gt;30,30,BN159))))))</f>
        <v>0</v>
      </c>
      <c r="CB159" s="9">
        <f t="shared" si="234"/>
        <v>0</v>
      </c>
      <c r="CC159" s="9">
        <f t="shared" si="235"/>
        <v>0</v>
      </c>
      <c r="CD159" s="9">
        <f t="shared" si="236"/>
        <v>0</v>
      </c>
      <c r="CE159" s="12">
        <f t="shared" si="237"/>
        <v>10</v>
      </c>
      <c r="CF159" s="9">
        <f t="shared" si="238"/>
        <v>0</v>
      </c>
      <c r="CG159" s="9" t="s">
        <v>231</v>
      </c>
      <c r="CH159" s="132" t="str">
        <f>IF(Исходн.данные.!AP159=Расчет!$CI$16,"Нет",IF(Исходн.данные.!AL159&gt;0,Исходн.данные.!AL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BH$4,IF(OR(Исходн.данные.!AI159=Исходн.данные.!$AI$6,Исходн.данные.!AI159=Исходн.данные.!$AI$7),Расчет!BS159,IF(AND($CF159=0,$CE159&gt;0),EV159,ER159)))))</f>
        <v>Аммофос 12:52:00</v>
      </c>
      <c r="CI159" s="274">
        <f>IF(Расчет!$CH159="Нет","Нет",IF(Исходн.данные.!$AL159&gt;0,VLOOKUP(Расчет!$CH159,АшламаДВ_Irekle,2,FALSE),VLOOKUP(Расчет!$CH159,АшламаДВ_Gomumy,2,FALSE)))</f>
        <v>0.12</v>
      </c>
      <c r="CJ159" s="274">
        <f>IF(Расчет!$CH159="Нет","Нет",IF(Исходн.данные.!$AL159&gt;0,VLOOKUP(Расчет!$CH159,АшламаДВ_Irekle,3,FALSE),VLOOKUP(Расчет!$CH159,АшламаДВ_Gomumy,3,FALSE)))</f>
        <v>0.52</v>
      </c>
      <c r="CK159" s="274">
        <f>IF(Расчет!$CH159="Нет","Нет",IF(Исходн.данные.!$AL159&gt;0,VLOOKUP(Расчет!$CH159,АшламаДВ_Irekle,4,FALSE),VLOOKUP(Расчет!$CH159,АшламаДВ_Gomumy,4,FALSE)))</f>
        <v>0</v>
      </c>
      <c r="CL159" s="70"/>
      <c r="CM159" s="70"/>
      <c r="CN159" s="70"/>
      <c r="CO159" s="70"/>
      <c r="CP159" s="70"/>
      <c r="CQ159" s="70"/>
      <c r="CR159" s="10">
        <f t="shared" si="239"/>
        <v>0</v>
      </c>
      <c r="CS159" s="10">
        <f t="shared" si="240"/>
        <v>19.23076923076923</v>
      </c>
      <c r="CT159" s="10">
        <f t="shared" si="241"/>
        <v>0</v>
      </c>
      <c r="CU159" s="39">
        <f>IF($CH159="Нет",0,IF(CI159=0,30/MIN(CJ159:CK159),IF(Исходн.данные.!$AG159=$BV$11,CR159,IF(OR(Исходн.данные.!$AH159=$BQ$7,Исходн.данные.!$AH159=$BQ$8),90/CI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0,IF(Исходн.данные.!$AI159=$BU$11,"Нет",30/CI159))))))</f>
        <v>250</v>
      </c>
      <c r="CV159" s="39">
        <f>IF($CH159="Нет",0,IF(Исходн.данные.!AH159=0,0,IF(CJ159=0,60/MIN(CI159,CK159),IF(Исходн.данные.!$AG159=$BV$11,CS159,IF(OR(Исходн.данные.!$AH159=$BQ$7,Исходн.данные.!$AH159=$BQ$8),90/CJ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10/CJ159,IF(Исходн.данные.!$AI159=$BU$11,"Нет",60/CJ159)))))))</f>
        <v>0</v>
      </c>
      <c r="CW159" s="39">
        <f>IF($CH159="Нет",0,IF(Исходн.данные.!AH159=0,0,IF(CK159=0,30/MIN(CI159:CJ159),IF(Исходн.данные.!$AG159=$BV$11,CT159,IF(OR(Исходн.данные.!$AH159=$BQ$7,Исходн.данные.!$AH159=$BQ$8),90/CK159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0,IF(Исходн.данные.!$AI159=$BU$11,"Нет",30/CK159)))))))</f>
        <v>0</v>
      </c>
      <c r="CX159" s="133">
        <f>IF(Исходн.данные.!$AG159=$BV$11,MAX(CU159:CW159),IF(OR(Исходн.данные.!$AH159=$BS$8,Исходн.данные.!$AH159=$BQ$9,Исходн.данные.!$AH159=$BQ$10,Исходн.данные.!$AH159=$BQ$11,Исходн.данные.!$AH159=$BQ$12,Исходн.данные.!$AH159=$BP$3,Исходн.данные.!$AH159=$BT$8,$FM159="Да"),CV159,MIN(CU159:CW159)))</f>
        <v>0</v>
      </c>
      <c r="CY159" s="133">
        <f>IF(Исходн.данные.!AH159=0,0,IF(CR159&gt;$CX159,$CX159,CR159))</f>
        <v>0</v>
      </c>
      <c r="CZ159" s="133">
        <f>IF(Исходн.данные.!AH159=0,0,IF(CS159&gt;$CX159,$CX159,CS159))</f>
        <v>0</v>
      </c>
      <c r="DA159" s="133">
        <f>IF(Исходн.данные.!AH159=0,0,IF(CT159&gt;$CX159,$CX159,CT159))</f>
        <v>0</v>
      </c>
      <c r="DB159" s="10">
        <f t="shared" si="242"/>
        <v>0</v>
      </c>
      <c r="DC159" s="39">
        <f>DB159*Исходн.данные.!AJ159/1000</f>
        <v>0</v>
      </c>
      <c r="DD159" s="71">
        <f t="shared" si="243"/>
        <v>0</v>
      </c>
      <c r="DE159" s="9">
        <f t="shared" si="244"/>
        <v>0</v>
      </c>
      <c r="DF159" s="9">
        <f t="shared" si="245"/>
        <v>0</v>
      </c>
      <c r="DG159" s="39">
        <f>IF(BL159&lt;0,0,IF($CH159="Нет",BL159,IF(OR(Исходн.данные.!$AH159=$BP$1,Исходн.данные.!$AH159=$BP$2),0,IF(Исходн.данные.!AI159=$BU$11,BL159,IF(BL159-DD159&lt;0,0,BL159-DD159)))))</f>
        <v>0</v>
      </c>
      <c r="DH159" s="39">
        <f>IF(BM159&lt;0,0,IF($CH159="Нет",BM159,IF(OR(Исходн.данные.!$AH159=$BP$1,Исходн.данные.!$AH159=$BP$2),0,IF(Исходн.данные.!AJ159=$BU$11,BM159,IF(BM159-DE159&lt;0,0,BM159-DE159)))))</f>
        <v>0</v>
      </c>
      <c r="DI159" s="39">
        <f>IF(BN159&lt;0,0,IF($CH159="Нет",BN159,IF(OR(Исходн.данные.!$AH159=$BP$1,Исходн.данные.!$AH159=$BP$2),0,IF(Исходн.данные.!AK159=$BU$11,BN159,IF(BN159-DF159&lt;0,0,BN159-DF159)))))</f>
        <v>0</v>
      </c>
      <c r="DJ159" s="12">
        <f t="shared" si="246"/>
        <v>0</v>
      </c>
      <c r="DK159" s="9">
        <f t="shared" si="247"/>
        <v>0</v>
      </c>
      <c r="DL159" s="39">
        <f>IF(Исходн.данные.!AM159&gt;0,Исходн.данные.!AM159,IF(EG159&gt;0,$BH$10,0))</f>
        <v>0</v>
      </c>
      <c r="DM159" s="186">
        <f>IF($DL159=0,0,IF(Исходн.данные.!AM159&gt;0,VLOOKUP($DL159,АшламаДВ_Irekle,2,FALSE),VLOOKUP($DL159,АшламаДВ_Gomumy,2,FALSE)))</f>
        <v>0</v>
      </c>
      <c r="DN159" s="10">
        <f t="shared" si="225"/>
        <v>0</v>
      </c>
      <c r="DO159" s="9" t="str">
        <f>IF(Исходн.данные.!AN159&gt;0,Исходн.данные.!AN159,Удобрения!$B$37 )</f>
        <v>Хлор.калий</v>
      </c>
      <c r="DP159" s="9">
        <f>IF(Исходн.данные.!AN159&gt;0,VLOOKUP(Исходн.данные.!AN159,АшламаДВ_Irekle,4,FALSE),VLOOKUP(DO159,АшламаДВ_Gomumy,4,FALSE))</f>
        <v>0.6</v>
      </c>
      <c r="DQ159" s="10">
        <f t="shared" si="226"/>
        <v>0</v>
      </c>
      <c r="DR159" s="132" t="str">
        <f>IF(Исходн.данные.!AO159&gt;0,Исходн.данные.!AO159,IF(DH159=0,BS$17,IF(AND($DK159=0,$DJ159&gt;0),EJ159,EN159)))</f>
        <v>Нет</v>
      </c>
      <c r="DS159" s="70" t="str">
        <f>IF($DR159="Нет","Нет",IF(Исходн.данные.!$AO159&gt;0,VLOOKUP($DR159,АшламаДВ_Irekle,2,FALSE),VLOOKUP($DR159,АшламаДВ_Gomumy,2,FALSE)))</f>
        <v>Нет</v>
      </c>
      <c r="DT159" s="70" t="str">
        <f>IF($DR159="Нет","Нет",IF(Исходн.данные.!$AO159&gt;0,VLOOKUP($DR159,АшламаДВ_Irekle,3,FALSE),VLOOKUP($DR159,АшламаДВ_Gomumy,3,FALSE)))</f>
        <v>Нет</v>
      </c>
      <c r="DU159" s="70" t="str">
        <f>IF($DR159="Нет","Нет",IF(Исходн.данные.!$AO159&gt;0,VLOOKUP($DR159,АшламаДВ_Irekle,4,FALSE),VLOOKUP($DR159,АшламаДВ_Gomumy,4,FALSE)))</f>
        <v>Нет</v>
      </c>
      <c r="DV159" s="70"/>
      <c r="DW159" s="70"/>
      <c r="DX159" s="70"/>
      <c r="DY159" s="10">
        <f t="shared" si="248"/>
        <v>0</v>
      </c>
      <c r="DZ159" s="10">
        <f t="shared" si="249"/>
        <v>0</v>
      </c>
      <c r="EA159" s="10">
        <f t="shared" si="250"/>
        <v>0</v>
      </c>
      <c r="EB159" s="10">
        <f t="shared" si="251"/>
        <v>0</v>
      </c>
      <c r="EC159" s="10">
        <f t="shared" si="252"/>
        <v>0</v>
      </c>
      <c r="ED159" s="10">
        <f t="shared" si="253"/>
        <v>0</v>
      </c>
      <c r="EE159" s="10">
        <f t="shared" si="254"/>
        <v>0</v>
      </c>
      <c r="EF159" s="39">
        <f>EB159*Исходн.данные.!AJ159/1000</f>
        <v>0</v>
      </c>
      <c r="EG159" s="9">
        <f t="shared" si="255"/>
        <v>0</v>
      </c>
      <c r="EH159" s="9">
        <f t="shared" si="256"/>
        <v>0</v>
      </c>
      <c r="EI159" s="39" t="e">
        <f t="shared" si="206"/>
        <v>#DIV/0!</v>
      </c>
      <c r="EJ159" s="9" t="str">
        <f t="shared" si="227"/>
        <v>Азопреципитат</v>
      </c>
      <c r="EK159" s="12">
        <f t="shared" si="207"/>
        <v>0.26</v>
      </c>
      <c r="EL159" s="12">
        <f t="shared" si="208"/>
        <v>0.13</v>
      </c>
      <c r="EM159" s="12">
        <f t="shared" si="209"/>
        <v>0</v>
      </c>
      <c r="EN159" s="12" t="str">
        <f t="shared" si="228"/>
        <v>Нет</v>
      </c>
      <c r="EO159" s="12">
        <f t="shared" si="210"/>
        <v>0</v>
      </c>
      <c r="EP159" s="12">
        <f t="shared" si="211"/>
        <v>0</v>
      </c>
      <c r="EQ159" s="12">
        <f t="shared" si="212"/>
        <v>0</v>
      </c>
      <c r="ER159" s="12" t="str">
        <f t="shared" si="257"/>
        <v>Диаммофоска</v>
      </c>
      <c r="ES159" s="12">
        <f t="shared" si="213"/>
        <v>0.1</v>
      </c>
      <c r="ET159" s="12">
        <f t="shared" si="214"/>
        <v>0.26</v>
      </c>
      <c r="EU159" s="12">
        <f t="shared" si="215"/>
        <v>0.26</v>
      </c>
      <c r="EV159" s="12" t="str">
        <f t="shared" si="258"/>
        <v>Аммофос 12:52:00</v>
      </c>
      <c r="EW159" s="12" t="str">
        <f t="shared" si="259"/>
        <v>Кемира Свекловичное-6</v>
      </c>
      <c r="EX159" s="12">
        <f t="shared" si="216"/>
        <v>0.16</v>
      </c>
      <c r="EY159" s="12">
        <f t="shared" si="217"/>
        <v>0.12</v>
      </c>
      <c r="EZ159" s="12">
        <f t="shared" si="218"/>
        <v>0.17</v>
      </c>
      <c r="FA159" s="38" t="e">
        <f>IF(AND(OR(FJ159=$FD$1,FM159=$FD$1,FO159=$FD$1,FQ159=$FD$1,FS159=$FD$1),FD159=$FD$1,Исходн.данные.!J159&lt;2,FU159=$FD$1),"Бор,Кобальт",IF(AND(FO159=$FD$1,FH159=$FD$1,Исходн.данные.!J159&lt;2,FU159=$FD$1),"Бор,Кобальт",IF(AND(OR(FJ159=$FD$1,FM159=$FD$1,FQ159=$FD$1),FE159=$FD$1,Исходн.данные.!J159&lt;2,FT159=$FD$1,FU159=$FD$1),"Бор,Медь,Цинк",IF(AND(OR(FJ159=$FD$1,FR159="Да"),FI159="Да",Исходн.данные.!J159&lt;2,FT159="Да",FU159="Да"),"Бор,Цинк,Медь",IF(AND(OR(FM159="Да",FQ159="Да"),FI159="Да",Исходн.данные.!J159&lt;2,FT159="Да",FU159="Да"),"Бор,Цинк",IF(AND(FN159="Да",OR(FD159="Да",FE159="Да")),"Бор",FB159))))))</f>
        <v>#N/A</v>
      </c>
      <c r="FB159" s="134" t="e">
        <f>IF(AND(OR(FD159="Да",FE159="Да",FF159="Да",FG159="Да",FH159="Да"),FO159="Да"),"Бор",IF(AND(FP159="Да",OR(FD159="Да",FE159="Да",FI159="Да")),"Бор",IF(AND(FS159="Да",FE159="Да"),"Бор,Медь",IF(AND(OR(FJ159="Да",FK159="Да",FL159="Да"),FE159="Да",Исходн.данные.!I159&lt;5,FT159="Да",FU159="Да"),"Молибден,Цинк",IF(AND(FM159="Да",OR(FE159="Да",FF159="Да",FG159="Да",FH159="Да",FI159="Да")),"Молибден,Цинк",IF(AND(OR(FJ159="Да",FK159="Да",FL159="Да",FM159="Да",FQ159="Да"),OR(FE159="Да",FF159="Да"),FT159="Да",FU159="Да",Исходн.данные.!I159&gt;5.5),"Медь,Цинк",FC159))))))</f>
        <v>#N/A</v>
      </c>
      <c r="FC159" s="23" t="e">
        <f t="shared" si="260"/>
        <v>#N/A</v>
      </c>
      <c r="FD159" s="38" t="str">
        <f>IF(OR(Исходн.данные.!F159=$CC$1,Исходн.данные.!F159=$CC$2,Исходн.данные.!F159=$CC$3,Исходн.данные.!F159=$CC$4),"Да","Нет")</f>
        <v>Нет</v>
      </c>
      <c r="FE159" s="38" t="str">
        <f>IF(Исходн.данные.!F159=$CC$5,"Да","Нет")</f>
        <v>Нет</v>
      </c>
      <c r="FF159" s="38" t="str">
        <f>IF(OR(Исходн.данные.!F159=$CC$6,Исходн.данные.!F159=$CC$7),"Да","Нет")</f>
        <v>Нет</v>
      </c>
      <c r="FG159" s="38" t="str">
        <f>IF(OR(Исходн.данные.!F159=$CC$8,Исходн.данные.!F159=$CC$9),"Да","Нет")</f>
        <v>Нет</v>
      </c>
      <c r="FH159" s="38" t="str">
        <f>IF(Исходн.данные.!F159=$CC$10,"Да","Нет")</f>
        <v>Нет</v>
      </c>
      <c r="FI159" s="38" t="str">
        <f>IF(OR(Исходн.данные.!F159=$CC$11,Исходн.данные.!F159=$CC$12),"Да","Нет")</f>
        <v>Нет</v>
      </c>
      <c r="FJ159" s="38" t="str">
        <f>IF(OR(Исходн.данные.!AH159=$BS$1,Исходн.данные.!AH159=$BQ$11,Исходн.данные.!AH159=$BQ$12),"Да","Нет")</f>
        <v>Нет</v>
      </c>
      <c r="FK159" s="38" t="str">
        <f>IF(OR(Исходн.данные.!AH159=$BS$2,Исходн.данные.!AH159=$BS$4),"Да","Нет")</f>
        <v>Нет</v>
      </c>
      <c r="FL159" s="38" t="str">
        <f>IF(OR(Исходн.данные.!AH159=$BS$3,Исходн.данные.!AH159=$BS$5),"Да","Нет")</f>
        <v>Нет</v>
      </c>
      <c r="FM159" s="38" t="str">
        <f>IF(OR(Исходн.данные.!AH159=$BS$9,Исходн.данные.!AH159=$BS$10,Исходн.данные.!AH159=$BS$11,Исходн.данные.!AH159=$BS$12),"Да","Нет")</f>
        <v>Нет</v>
      </c>
      <c r="FN159" s="38" t="str">
        <f>IF(OR(Исходн.данные.!AH159=$BS$6,Исходн.данные.!AH159=$BP$3),"Да","Нет")</f>
        <v>Нет</v>
      </c>
      <c r="FO159" s="38" t="str">
        <f>IF(Исходн.данные.!AH159=$BQ$9,"Да","Нет")</f>
        <v>Нет</v>
      </c>
      <c r="FP159" s="38" t="str">
        <f>IF(OR(Исходн.данные.!AH159=$BS$8,Исходн.данные.!AH159=$BT$8),"Да","Нет")</f>
        <v>Нет</v>
      </c>
      <c r="FQ159" s="38" t="str">
        <f>IF(OR(Исходн.данные.!AH159=$BQ$7,Исходн.данные.!AH159=$BQ$8),"Да","Нет")</f>
        <v>Нет</v>
      </c>
      <c r="FR159" s="38" t="str">
        <f>IF(Исходн.данные.!AI159=$BU$9,"Да","Нет")</f>
        <v>Нет</v>
      </c>
      <c r="FS159" s="38" t="str">
        <f>IF(OR(Исходн.данные.!AH159=$BP$1,Исходн.данные.!AH159=$BP$2),"Да","Нет")</f>
        <v>Нет</v>
      </c>
      <c r="FT159" s="38" t="e">
        <f>IF((Исходн.данные.!K159*GO159*GS159*GW159+BL159*0.6+Исходн.данные.!Q159*4.5*0.275)&gt;90,"Да","Нет")</f>
        <v>#N/A</v>
      </c>
      <c r="FU159" s="38" t="e">
        <f>IF((Исходн.данные.!M159*GS159*GZ159+BM159*0.225)&gt;35,"Да","Нет")</f>
        <v>#N/A</v>
      </c>
      <c r="FV159" s="38" t="str">
        <f>IF(Исходн.данные.!O159&gt;175,"Да","Нет")</f>
        <v>Нет</v>
      </c>
      <c r="FW159" s="39" t="str">
        <f>IF(Исходн.данные.!I159&gt;5.5,"Да","Нет")</f>
        <v>Нет</v>
      </c>
      <c r="FX159" s="39" t="str">
        <f>IF(Исходн.данные.!J159&lt;2,"Да","Нет")</f>
        <v>Да</v>
      </c>
      <c r="FY159" s="39" t="e">
        <f>IF(HF159=$FY$16,0,Исходн.данные.!K159*GO159*GS159*GW159/HF159)</f>
        <v>#N/A</v>
      </c>
      <c r="FZ159" s="39" t="e">
        <f>Исходн.данные.!M159*GS159*GZ159/HG159</f>
        <v>#N/A</v>
      </c>
      <c r="GA159" s="39" t="e">
        <f>IF(K_Wyn=$FY$16,0,IF(Исходн.данные.!N159=Исходн.данные.!$L$10,Исходн.данные.!O159/1.1*GS159*HC159/HH159,IF(Исходн.данные.!N159=Исходн.данные.!$L$12,Исходн.данные.!O159/1.5*GS159*HC159/HH159,Исходн.данные.!O159*GS159*HC159/HH159)))</f>
        <v>#N/A</v>
      </c>
      <c r="GB159" s="39" t="e">
        <f>IF(HF159=$FY$16,0,((Исходн.данные.!Q159*N_Org+Исходн.данные.!R159*N_Sider+Исходн.данные.!S159*N_Soloma)*AO159+Расчет!BC159*VLOOKUP(Исходн.данные.!T159,Справ!$A$3:$O$57,15)*AO159+BB159*VLOOKUP(Исходн.данные.!T159,Справ!$A$3:$O$57,15)*AL159+(Исходн.данные.!V159*N_Rizotorf+Исходн.данные.!W159*N_Rizoagr))/HF159)</f>
        <v>#N/A</v>
      </c>
      <c r="GC159" s="39" t="e">
        <f>IF(HG159=$FY$16,0,((Исходн.данные.!Q159*Р_Org+Исходн.данные.!R159*P_Sider+Исходн.данные.!S159*P_Soloma)*AP159+Расчет!BC159*VLOOKUP(Исходн.данные.!T159,Справ!$A$3:$P$57,16)*AP159+BB159*VLOOKUP(Исходн.данные.!T159,Справ!$A$3:$P$57,16)*AM159)/HG159)</f>
        <v>#N/A</v>
      </c>
      <c r="GD159" s="39" t="e">
        <f>IF(HH159=$FY$16,0,((Исходн.данные.!Q159*К_Org+Исходн.данные.!R159*K_Sider+Исходн.данные.!S159*K_Soloma)*AQ159+Расчет!BC159*VLOOKUP(Исходн.данные.!T159,Справ!$A$3:$Q$57,17)*AQ159+BB159*VLOOKUP(Исходн.данные.!T159,Справ!$A$3:$Q$57,17)*AN159)/HH159)</f>
        <v>#N/A</v>
      </c>
      <c r="GE159" s="39" t="e">
        <f>IF(HF159=$FY$16,0,(Исходн.данные.!X159*AR159+Исходн.данные.!AA159*N_Org*AL159+Исходн.данные.!AB159*N_Sider*AL159+Исходн.данные.!AC159*N_Soloma*AL159)/HF159)</f>
        <v>#N/A</v>
      </c>
      <c r="GF159" s="39" t="e">
        <f>IF(HG159=$FY$16,0,(Исходн.данные.!Y159*AS159+Исходн.данные.!AA159*Р_Org*AM159+Исходн.данные.!AB159*P_Sider*AM159+Исходн.данные.!AC159*P_Soloma*AM159)/HG159)</f>
        <v>#N/A</v>
      </c>
      <c r="GG159" s="39" t="e">
        <f>IF(HH159=$FY$16,0,(Исходн.данные.!Z159*AT159+Исходн.данные.!AA159*К_Org*AN159+Исходн.данные.!AB159*K_Sider*AN159+Исходн.данные.!AC159*K_Soloma*AN159)/HH159)</f>
        <v>#N/A</v>
      </c>
      <c r="GH159" s="39" t="e">
        <f>Исходн.данные.!AD159*AU159/HF159</f>
        <v>#N/A</v>
      </c>
      <c r="GI159" s="39" t="e">
        <f>Исходн.данные.!AE159*AV159/HG159</f>
        <v>#N/A</v>
      </c>
      <c r="GJ159" s="39" t="e">
        <f>Исходн.данные.!AF159*AW159/HH159</f>
        <v>#N/A</v>
      </c>
      <c r="GK159" s="55">
        <f>Исходн.данные.!AK159</f>
        <v>0</v>
      </c>
      <c r="GL159" s="11" t="e">
        <f t="shared" si="261"/>
        <v>#N/A</v>
      </c>
      <c r="GM159" s="11" t="e">
        <f t="shared" si="262"/>
        <v>#N/A</v>
      </c>
      <c r="GN159" s="11" t="e">
        <f t="shared" si="263"/>
        <v>#N/A</v>
      </c>
      <c r="GO159" s="57">
        <f t="shared" si="264"/>
        <v>19</v>
      </c>
      <c r="GP159" s="55">
        <f>IF(OR(Исходн.данные.!F159=$CE$1,Исходн.данные.!F159=$CE$2,Исходн.данные.!F159=$CE$3,Исходн.данные.!F159=$CE$4,Исходн.данные.!F159=$CE$5),GQ159,GR159)</f>
        <v>19</v>
      </c>
      <c r="GQ159" s="55">
        <f>IF(Исходн.данные.!F159=$CE$1,28,IF(Исходн.данные.!F159=$CE$2,26,IF(Исходн.данные.!F159=$CE$3,24,IF(Исходн.данные.!F159=$CE$4,22,IF(Исходн.данные.!F159=$CE$5,20,GR159)))))</f>
        <v>19</v>
      </c>
      <c r="GR159" s="55">
        <f>IF(Исходн.данные.!F159=$CE$6,18,IF(Исходн.данные.!F159=$CE$7,16,IF(Исходн.данные.!F159=$CE$8,14,IF(Исходн.данные.!F159=$CE$9,13,IF(Исходн.данные.!F159=$CE$10,12,19)))))</f>
        <v>19</v>
      </c>
      <c r="GS159" s="55">
        <f>IF(Исходн.данные.!G159="Пес",0.035*(40+2*Исходн.данные.!H159),IF(Исходн.данные.!G159="Суп",0.0325*(40+2*Исходн.данные.!H159),0.03*(40+2*Исходн.данные.!H159)))</f>
        <v>1.2</v>
      </c>
      <c r="GT159" s="55">
        <f>IF(Исходн.данные.!H159&lt;23,2.6,IF(AND(Исходн.данные.!H159&gt;22,Исходн.данные.!H159&lt;26),3,IF(AND(Исходн.данные.!H159&gt;25,Исходн.данные.!H159&lt;29),3.4,3.6)))</f>
        <v>2.6</v>
      </c>
      <c r="GU159" s="55">
        <f>IF(Исходн.данные.!H159&lt;23,2.8,IF(AND(Исходн.данные.!H159&gt;22,Исходн.данные.!H159&lt;26),3.2,IF(AND(Исходн.данные.!H159&gt;25,Исходн.данные.!H159&lt;29),3.6,3.9)))</f>
        <v>2.8</v>
      </c>
      <c r="GV159" s="55">
        <f>IF(Исходн.данные.!H159&lt;23,3,IF(AND(Исходн.данные.!H159&gt;22,Исходн.данные.!H159&lt;26),3.5,IF(AND(Исходн.данные.!H159&gt;25,Исходн.данные.!H159&lt;29),3.9,4.2)))</f>
        <v>3</v>
      </c>
      <c r="GW159" s="55" t="e">
        <f>IF(Исходн.данные.!P159="Ум",GX159,GY159)</f>
        <v>#N/A</v>
      </c>
      <c r="GX159" s="55" t="e">
        <f>VLOOKUP(Исходн.данные.!AI159,Коэффициенты!$J$7:$L$13,2,FALSE)</f>
        <v>#N/A</v>
      </c>
      <c r="GY159" s="55" t="e">
        <f>VLOOKUP(Исходн.данные.!AI159,Коэффициенты!$J$7:$L$13,3,FALSE)</f>
        <v>#N/A</v>
      </c>
      <c r="GZ159" s="55" t="e">
        <f>(IF(Исходн.данные.!M159&lt;50,0.11*VLOOKUP(Исходн.данные.!AH159,Культуры.Информация,7,FALSE),IF(Исходн.данные.!M159&gt;250,0.05*VLOOKUP(Исходн.данные.!AH159,Культуры.Информация,7,FALSE),VLOOKUP(Исходн.данные.!AH159,Культуры.Информация,5,FALSE)/100*($GX$6+$GY$6*Исходн.данные.!M159))))*Расчет2!AI159</f>
        <v>#N/A</v>
      </c>
      <c r="HA159" s="211"/>
      <c r="HB159" s="211"/>
      <c r="HC159" s="55" t="e">
        <f>(IF(Исходн.данные.!O159&lt;80,0.2*VLOOKUP(Исходн.данные.!AH159,Культуры.Информация,8,FALSE),IF(Исходн.данные.!O159&gt;240,0.09*VLOOKUP(Исходн.данные.!AH159,Культуры.Информация,8,FALSE),VLOOKUP(Исходн.данные.!AH159,Культуры.Информация,6,FALSE)/100*($HB$6+$HC$6*Исходн.данные.!O159))))*Расчет2!AJ159</f>
        <v>#N/A</v>
      </c>
      <c r="HD159" s="55">
        <f>IF(Исходн.данные.!O159&gt;240,0.09,IF(Исходн.данные.!O159&lt;30,0.3,$HE$10+$HD$10*Исходн.данные.!O159))</f>
        <v>0.3</v>
      </c>
      <c r="HE159" s="55">
        <f>IF(Исходн.данные.!O159&gt;240,0.17,IF(Исходн.данные.!O159&lt;30,0.5,$HF$12+$HE$12*Исходн.данные.!O159))</f>
        <v>0.5</v>
      </c>
      <c r="HF159" s="55" t="e">
        <f>VLOOKUP(Исходн.данные.!AH159,Справ!$A$3:$D$58,2,FALSE)</f>
        <v>#N/A</v>
      </c>
      <c r="HG159" s="55" t="e">
        <f>VLOOKUP(Исходн.данные.!AH159,Справ!$A$3:$D$58,3,FALSE)</f>
        <v>#N/A</v>
      </c>
      <c r="HH159" s="55" t="e">
        <f>VLOOKUP(Исходн.данные.!AH159,Справ!$A$3:$D$58,4,FALSE)</f>
        <v>#N/A</v>
      </c>
      <c r="HI159" s="11" t="e">
        <f t="shared" si="265"/>
        <v>#N/A</v>
      </c>
      <c r="HJ159" s="11" t="e">
        <f t="shared" si="266"/>
        <v>#N/A</v>
      </c>
      <c r="HK159" s="11" t="e">
        <f t="shared" si="267"/>
        <v>#N/A</v>
      </c>
      <c r="HL159" s="55">
        <f>IF(OR(Исходн.данные.!G159="Глин",Исходн.данные.!G159="Т_суг"),1.1,IF(Исходн.данные.!G159="Ср_суг",1,1))</f>
        <v>1</v>
      </c>
      <c r="HM159" s="55">
        <f>IF(OR(Исходн.данные.!G159="Глин",Исходн.данные.!G159="Т_суг"),0.9,IF(Исходн.данные.!G159="Ср_суг",1,1.2))</f>
        <v>1.2</v>
      </c>
      <c r="HN159" s="11" t="e">
        <f t="shared" si="268"/>
        <v>#N/A</v>
      </c>
      <c r="HO159" s="11" t="e">
        <f t="shared" si="269"/>
        <v>#N/A</v>
      </c>
      <c r="HP159" s="11" t="e">
        <f t="shared" si="270"/>
        <v>#N/A</v>
      </c>
      <c r="HQ159" t="e">
        <f t="shared" si="271"/>
        <v>#N/A</v>
      </c>
      <c r="HR159" t="e">
        <f t="shared" si="272"/>
        <v>#N/A</v>
      </c>
      <c r="HS159" t="e">
        <f t="shared" si="273"/>
        <v>#N/A</v>
      </c>
      <c r="HT159" t="e">
        <f t="shared" si="219"/>
        <v>#N/A</v>
      </c>
      <c r="HU159" t="e">
        <f t="shared" si="220"/>
        <v>#N/A</v>
      </c>
      <c r="HV159" t="e">
        <f t="shared" si="221"/>
        <v>#N/A</v>
      </c>
      <c r="HW159" t="e">
        <f t="shared" si="222"/>
        <v>#N/A</v>
      </c>
      <c r="HX159" t="e">
        <f t="shared" si="223"/>
        <v>#N/A</v>
      </c>
      <c r="HY159" t="e">
        <f t="shared" si="224"/>
        <v>#N/A</v>
      </c>
      <c r="HZ159" s="55">
        <f>IF(OR(Исходн.данные.!AI159="Оз_Ч_П",Исходн.данные.!AI159="Оз_З_П",Исходн.данные.!AI159="Яр_зер"),12,30)</f>
        <v>30</v>
      </c>
      <c r="IA159" t="e">
        <f t="shared" si="274"/>
        <v>#N/A</v>
      </c>
      <c r="IB159" t="e">
        <f t="shared" si="275"/>
        <v>#N/A</v>
      </c>
      <c r="IC159" t="e">
        <f t="shared" si="276"/>
        <v>#N/A</v>
      </c>
      <c r="ID159" s="11" t="e">
        <f t="shared" si="277"/>
        <v>#N/A</v>
      </c>
      <c r="IE159" s="11" t="e">
        <f t="shared" si="278"/>
        <v>#N/A</v>
      </c>
      <c r="IF159" s="11" t="e">
        <f t="shared" si="279"/>
        <v>#N/A</v>
      </c>
    </row>
    <row r="160" spans="35:240" x14ac:dyDescent="0.2">
      <c r="AI160">
        <f>IF(Исходн.данные.!I160&gt;6,1,1.85-(0.148*Исходн.данные.!I160))</f>
        <v>1.85</v>
      </c>
      <c r="AJ160">
        <f>IF(Исходн.данные.!I160&gt;6,1,2.434-(0.246*Исходн.данные.!I160))</f>
        <v>2.4340000000000002</v>
      </c>
      <c r="AL160" s="148" t="b">
        <f>IF(Исходн.данные.!$P160="Ум",N_OrgUd_2g_um,IF(Исходн.данные.!$P160="Об",N_OrgUd_2g_ob))</f>
        <v>0</v>
      </c>
      <c r="AM160" s="148" t="b">
        <f>IF(Исходн.данные.!$P160="Ум",P_OrgUd_2g_um,IF(Исходн.данные.!$P160="Об",P_OrgUd_2g_ob))</f>
        <v>0</v>
      </c>
      <c r="AN160" s="148" t="b">
        <f>IF(Исходн.данные.!$P160="Ум",K_OrgUd_2g_um,IF(Исходн.данные.!$P160="Об",K_OrgUd_2g_ob))</f>
        <v>0</v>
      </c>
      <c r="AO160" s="148" t="b">
        <f>IF(Исходн.данные.!$P160="Ум",N_OrgUd_1g_um,IF(Исходн.данные.!$P160="Об",N_OrgUd_1g_ob))</f>
        <v>0</v>
      </c>
      <c r="AP160" s="148" t="b">
        <f>IF(Исходн.данные.!$P160="Ум",P_OrgUd_1g_um,IF(Исходн.данные.!$P160="Об",P_OrgUd_1g_ob))</f>
        <v>0</v>
      </c>
      <c r="AQ160" s="148" t="b">
        <f>IF(Исходн.данные.!$P160="Ум",K_OrgUd_1g_um,IF(Исходн.данные.!$P160="Об",K_OrgUd_1g_ob))</f>
        <v>0</v>
      </c>
      <c r="AR160" t="b">
        <f>IF(Исходн.данные.!$P160="Ум",N_MinUd_2g_um,IF(Исходн.данные.!$P160="Об",N_MinUd_2g_ob))</f>
        <v>0</v>
      </c>
      <c r="AS160" t="b">
        <f>IF(Исходн.данные.!$P160="Ум",P_MinUd_2g_um,IF(Исходн.данные.!$P160="Об",P_MinUd_2g_ob))</f>
        <v>0</v>
      </c>
      <c r="AT160" t="b">
        <f>IF(Исходн.данные.!$P160="Ум",K_MinUd_2g_um,IF(Исходн.данные.!$P160="Об",K_MinUd_2g_ob))</f>
        <v>0</v>
      </c>
      <c r="AU160" t="b">
        <f>IF(Исходн.данные.!$P160="Ум",N_MinUd_1g_um,IF(Исходн.данные.!$P160="Об",N_MinUd_1g_ob))</f>
        <v>0</v>
      </c>
      <c r="AV160" t="b">
        <f>IF(Исходн.данные.!P160="Ум",P_MinUd_1g_um,IF(Исходн.данные.!P160="Об",P_MinUd_1g_ob))</f>
        <v>0</v>
      </c>
      <c r="AW160" t="b">
        <f>IF(Исходн.данные.!P160="Ум",K_MinUd_1g_um,IF(Исходн.данные.!P160="Об",K_MinUd_1g_ob))</f>
        <v>0</v>
      </c>
      <c r="AY160" t="e">
        <f>VLOOKUP(Исходн.данные.!T160,Справ!$A$3:$N$57,12)</f>
        <v>#N/A</v>
      </c>
      <c r="AZ160" t="e">
        <f>VLOOKUP(Исходн.данные.!T160,Справ!$A$3:$N$57,13)</f>
        <v>#N/A</v>
      </c>
      <c r="BA160" t="e">
        <f>VLOOKUP(Исходн.данные.!T160,Справ!$A$3:$N$57,14)</f>
        <v>#N/A</v>
      </c>
      <c r="BB160">
        <f>IF(Исходн.данные.!AH160=0,0,25)</f>
        <v>0</v>
      </c>
      <c r="BC160" s="141">
        <f>IF(Исходн.данные.!AH160=0,0,IF(Исходн.данные.!T160=0,25,BD160))</f>
        <v>0</v>
      </c>
      <c r="BD160" s="168" t="e">
        <f>AY160+AZ160*Исходн.данные.!U160-POWER(BA160,2)*Исходн.данные.!U160</f>
        <v>#N/A</v>
      </c>
      <c r="BE16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0" s="25">
        <f>IF(Исходн.данные.!AH160=0,0,MIN(HN160:HP160))</f>
        <v>0</v>
      </c>
      <c r="BG160" s="9">
        <f>IF(Исходн.данные.!AH160=0,0,IF((HO160+10*0.25/HG160/HL160)&lt;17,17,HO160+10*0.25/HG160/HL160))</f>
        <v>0</v>
      </c>
      <c r="BH160" s="181">
        <f>IF(Исходн.данные.!AH160=0,0,HW160*HF160*HL160/AU160*AI160+Исходн.данные.!S160*10)</f>
        <v>0</v>
      </c>
      <c r="BI160" s="10"/>
      <c r="BJ160" s="182">
        <f>IF(Исходн.данные.!AH160=0,0,IF(HX160*HG160*HL160/AV160&lt;0,0,HX160*HG160*HL160/AV160*AJ160))</f>
        <v>0</v>
      </c>
      <c r="BK160" s="182">
        <f>IF(Исходн.данные.!AH160=0,0,HY160*HH160*HM160/AW160)</f>
        <v>0</v>
      </c>
      <c r="BL160" s="10">
        <f>IF(OR(Исходн.данные.!$AH160=$BP$1,Исходн.данные.!$AH160=$BP$2),0,IF(BH160&lt;0,0,IF(OR(Исходн.данные.!T160=Расчет!$BP$1,Исходн.данные.!T160=Расчет!$BP$2,Исходн.данные.!T160=Расчет!$BT$5,Исходн.данные.!T160=Расчет!$BT$6),BH160*0.5,IF(OR(Исходн.данные.!T160=Расчет!$BS$9,Исходн.данные.!T160=Расчет!$BS$10,Исходн.данные.!T160=Расчет!$BS$11,Исходн.данные.!T160=Расчет!$BS$12,Исходн.данные.!T160=Расчет!$BP$5),BH160*0.8,BH160))))</f>
        <v>0</v>
      </c>
      <c r="BM160" s="10">
        <f>IF(OR(Исходн.данные.!$AH160=$BP$1,Исходн.данные.!$AH160=$BP$2),0,IF(BJ160&lt;0,0,IF(Исходн.данные.!I160&lt;4.5,BJ160*1.2,IF(Исходн.данные.!I160&gt;5.1,BJ160,BJ160*((5.1-Исходн.данные.!I160)*0.333+1)))))</f>
        <v>0</v>
      </c>
      <c r="BN160" s="10">
        <f>IF(OR(Исходн.данные.!$AH160=$BP$1,Исходн.данные.!$AH160=$BP$2),60-Исходн.данные.!AF160,IF(BK160&lt;0,0,IF(Исходн.данные.!I160&lt;4.5,BK160*1.2,IF(Исходн.данные.!I160&gt;5.1,BK160,BK160*((5.1-Исходн.данные.!I160)*0.333+1)))))</f>
        <v>0</v>
      </c>
      <c r="BO160" s="9">
        <f>IF(BL160&lt;0,0,BL160*Исходн.данные.!$AJ160/1000)</f>
        <v>0</v>
      </c>
      <c r="BP160" s="9">
        <f>IF(BM160&lt;0,0,BM160*Исходн.данные.!$AJ160/1000)</f>
        <v>0</v>
      </c>
      <c r="BQ160" s="9">
        <f>IF(BN160&lt;0,0,BN160*Исходн.данные.!$AJ160/1000)</f>
        <v>0</v>
      </c>
      <c r="BR160" s="9">
        <f t="shared" si="229"/>
        <v>0</v>
      </c>
      <c r="BS160" s="10" t="str">
        <f t="shared" si="230"/>
        <v>Аммофос 12:52:00</v>
      </c>
      <c r="BT160" s="10" t="str">
        <f t="shared" si="231"/>
        <v>Аммофос 12:52:00</v>
      </c>
      <c r="BU160" s="10" t="str">
        <f t="shared" si="232"/>
        <v>Диаммофоска</v>
      </c>
      <c r="BV160" s="10">
        <f t="shared" si="233"/>
        <v>0</v>
      </c>
      <c r="BW160" s="10"/>
      <c r="BX160" s="10"/>
      <c r="BY160" s="9">
        <f>IF(BL160&lt;0,0,IF(OR(Исходн.данные.!AI160=Расчет!$BU$6,Исходн.данные.!AI160=Расчет!$BU$7),Расчет!BV160,IF(Исходн.данные.!$AG160=$BV$11,BL160,IF(OR(Исходн.данные.!$AH160=$BQ$7,Исходн.данные.!$AH160=$BQ$8),CB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0,IF(Исходн.данные.!$AI160=$BU$11,"Нет",IF(BL160&gt;30,30,BL160)))))))</f>
        <v>0</v>
      </c>
      <c r="BZ160" s="9">
        <f>IF(AND(Исходн.данные.!$AG160=$BV$11,BM160&lt;10),10,IF(Исходн.данные.!$AG160=$BV$11,BM160,IF(OR(Исходн.данные.!$AH160=$BQ$7,Исходн.данные.!$AH160=$BQ$8),CC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10,IF(Исходн.данные.!$AI160=$BU$11,"Нет",IF(BM160&gt;60,60,IF(BM160&lt;10,10,BM160)))))))</f>
        <v>10</v>
      </c>
      <c r="CA160" s="39">
        <f>IF(BN160&lt;0,0,IF(Исходн.данные.!$AG160=$BV$11,BN160,IF(OR(Исходн.данные.!$AH160=$BQ$7,Исходн.данные.!$AH160=$BQ$8),CD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0,IF(Исходн.данные.!$AI160=$BU$11,"Нет",IF(BN160&gt;30,30,BN160))))))</f>
        <v>0</v>
      </c>
      <c r="CB160" s="9">
        <f t="shared" si="234"/>
        <v>0</v>
      </c>
      <c r="CC160" s="9">
        <f t="shared" si="235"/>
        <v>0</v>
      </c>
      <c r="CD160" s="9">
        <f t="shared" si="236"/>
        <v>0</v>
      </c>
      <c r="CE160" s="12">
        <f t="shared" si="237"/>
        <v>10</v>
      </c>
      <c r="CF160" s="9">
        <f t="shared" si="238"/>
        <v>0</v>
      </c>
      <c r="CG160" s="9" t="s">
        <v>231</v>
      </c>
      <c r="CH160" s="132" t="str">
        <f>IF(Исходн.данные.!AP160=Расчет!$CI$16,"Нет",IF(Исходн.данные.!AL160&gt;0,Исходн.данные.!AL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BH$4,IF(OR(Исходн.данные.!AI160=Исходн.данные.!$AI$6,Исходн.данные.!AI160=Исходн.данные.!$AI$7),Расчет!BS160,IF(AND($CF160=0,$CE160&gt;0),EV160,ER160)))))</f>
        <v>Аммофос 12:52:00</v>
      </c>
      <c r="CI160" s="274">
        <f>IF(Расчет!$CH160="Нет","Нет",IF(Исходн.данные.!$AL160&gt;0,VLOOKUP(Расчет!$CH160,АшламаДВ_Irekle,2,FALSE),VLOOKUP(Расчет!$CH160,АшламаДВ_Gomumy,2,FALSE)))</f>
        <v>0.12</v>
      </c>
      <c r="CJ160" s="274">
        <f>IF(Расчет!$CH160="Нет","Нет",IF(Исходн.данные.!$AL160&gt;0,VLOOKUP(Расчет!$CH160,АшламаДВ_Irekle,3,FALSE),VLOOKUP(Расчет!$CH160,АшламаДВ_Gomumy,3,FALSE)))</f>
        <v>0.52</v>
      </c>
      <c r="CK160" s="274">
        <f>IF(Расчет!$CH160="Нет","Нет",IF(Исходн.данные.!$AL160&gt;0,VLOOKUP(Расчет!$CH160,АшламаДВ_Irekle,4,FALSE),VLOOKUP(Расчет!$CH160,АшламаДВ_Gomumy,4,FALSE)))</f>
        <v>0</v>
      </c>
      <c r="CL160" s="70"/>
      <c r="CM160" s="70"/>
      <c r="CN160" s="70"/>
      <c r="CO160" s="70"/>
      <c r="CP160" s="70"/>
      <c r="CQ160" s="70"/>
      <c r="CR160" s="10">
        <f t="shared" si="239"/>
        <v>0</v>
      </c>
      <c r="CS160" s="10">
        <f t="shared" si="240"/>
        <v>19.23076923076923</v>
      </c>
      <c r="CT160" s="10">
        <f t="shared" si="241"/>
        <v>0</v>
      </c>
      <c r="CU160" s="39">
        <f>IF($CH160="Нет",0,IF(CI160=0,30/MIN(CJ160:CK160),IF(Исходн.данные.!$AG160=$BV$11,CR160,IF(OR(Исходн.данные.!$AH160=$BQ$7,Исходн.данные.!$AH160=$BQ$8),90/CI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0,IF(Исходн.данные.!$AI160=$BU$11,"Нет",30/CI160))))))</f>
        <v>250</v>
      </c>
      <c r="CV160" s="39">
        <f>IF($CH160="Нет",0,IF(Исходн.данные.!AH160=0,0,IF(CJ160=0,60/MIN(CI160,CK160),IF(Исходн.данные.!$AG160=$BV$11,CS160,IF(OR(Исходн.данные.!$AH160=$BQ$7,Исходн.данные.!$AH160=$BQ$8),90/CJ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10/CJ160,IF(Исходн.данные.!$AI160=$BU$11,"Нет",60/CJ160)))))))</f>
        <v>0</v>
      </c>
      <c r="CW160" s="39">
        <f>IF($CH160="Нет",0,IF(Исходн.данные.!AH160=0,0,IF(CK160=0,30/MIN(CI160:CJ160),IF(Исходн.данные.!$AG160=$BV$11,CT160,IF(OR(Исходн.данные.!$AH160=$BQ$7,Исходн.данные.!$AH160=$BQ$8),90/CK160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0,IF(Исходн.данные.!$AI160=$BU$11,"Нет",30/CK160)))))))</f>
        <v>0</v>
      </c>
      <c r="CX160" s="133">
        <f>IF(Исходн.данные.!$AG160=$BV$11,MAX(CU160:CW160),IF(OR(Исходн.данные.!$AH160=$BS$8,Исходн.данные.!$AH160=$BQ$9,Исходн.данные.!$AH160=$BQ$10,Исходн.данные.!$AH160=$BQ$11,Исходн.данные.!$AH160=$BQ$12,Исходн.данные.!$AH160=$BP$3,Исходн.данные.!$AH160=$BT$8,$FM160="Да"),CV160,MIN(CU160:CW160)))</f>
        <v>0</v>
      </c>
      <c r="CY160" s="133">
        <f>IF(Исходн.данные.!AH160=0,0,IF(CR160&gt;$CX160,$CX160,CR160))</f>
        <v>0</v>
      </c>
      <c r="CZ160" s="133">
        <f>IF(Исходн.данные.!AH160=0,0,IF(CS160&gt;$CX160,$CX160,CS160))</f>
        <v>0</v>
      </c>
      <c r="DA160" s="133">
        <f>IF(Исходн.данные.!AH160=0,0,IF(CT160&gt;$CX160,$CX160,CT160))</f>
        <v>0</v>
      </c>
      <c r="DB160" s="10">
        <f t="shared" si="242"/>
        <v>0</v>
      </c>
      <c r="DC160" s="39">
        <f>DB160*Исходн.данные.!AJ160/1000</f>
        <v>0</v>
      </c>
      <c r="DD160" s="71">
        <f t="shared" si="243"/>
        <v>0</v>
      </c>
      <c r="DE160" s="9">
        <f t="shared" si="244"/>
        <v>0</v>
      </c>
      <c r="DF160" s="9">
        <f t="shared" si="245"/>
        <v>0</v>
      </c>
      <c r="DG160" s="39">
        <f>IF(BL160&lt;0,0,IF($CH160="Нет",BL160,IF(OR(Исходн.данные.!$AH160=$BP$1,Исходн.данные.!$AH160=$BP$2),0,IF(Исходн.данные.!AI160=$BU$11,BL160,IF(BL160-DD160&lt;0,0,BL160-DD160)))))</f>
        <v>0</v>
      </c>
      <c r="DH160" s="39">
        <f>IF(BM160&lt;0,0,IF($CH160="Нет",BM160,IF(OR(Исходн.данные.!$AH160=$BP$1,Исходн.данные.!$AH160=$BP$2),0,IF(Исходн.данные.!AJ160=$BU$11,BM160,IF(BM160-DE160&lt;0,0,BM160-DE160)))))</f>
        <v>0</v>
      </c>
      <c r="DI160" s="39">
        <f>IF(BN160&lt;0,0,IF($CH160="Нет",BN160,IF(OR(Исходн.данные.!$AH160=$BP$1,Исходн.данные.!$AH160=$BP$2),0,IF(Исходн.данные.!AK160=$BU$11,BN160,IF(BN160-DF160&lt;0,0,BN160-DF160)))))</f>
        <v>0</v>
      </c>
      <c r="DJ160" s="12">
        <f t="shared" si="246"/>
        <v>0</v>
      </c>
      <c r="DK160" s="9">
        <f t="shared" si="247"/>
        <v>0</v>
      </c>
      <c r="DL160" s="39">
        <f>IF(Исходн.данные.!AM160&gt;0,Исходн.данные.!AM160,IF(EG160&gt;0,$BH$10,0))</f>
        <v>0</v>
      </c>
      <c r="DM160" s="186">
        <f>IF($DL160=0,0,IF(Исходн.данные.!AM160&gt;0,VLOOKUP($DL160,АшламаДВ_Irekle,2,FALSE),VLOOKUP($DL160,АшламаДВ_Gomumy,2,FALSE)))</f>
        <v>0</v>
      </c>
      <c r="DN160" s="10">
        <f t="shared" si="225"/>
        <v>0</v>
      </c>
      <c r="DO160" s="9" t="str">
        <f>IF(Исходн.данные.!AN160&gt;0,Исходн.данные.!AN160,Удобрения!$B$37 )</f>
        <v>Хлор.калий</v>
      </c>
      <c r="DP160" s="9">
        <f>IF(Исходн.данные.!AN160&gt;0,VLOOKUP(Исходн.данные.!AN160,АшламаДВ_Irekle,4,FALSE),VLOOKUP(DO160,АшламаДВ_Gomumy,4,FALSE))</f>
        <v>0.6</v>
      </c>
      <c r="DQ160" s="10">
        <f t="shared" si="226"/>
        <v>0</v>
      </c>
      <c r="DR160" s="132" t="str">
        <f>IF(Исходн.данные.!AO160&gt;0,Исходн.данные.!AO160,IF(DH160=0,BS$17,IF(AND($DK160=0,$DJ160&gt;0),EJ160,EN160)))</f>
        <v>Нет</v>
      </c>
      <c r="DS160" s="70" t="str">
        <f>IF($DR160="Нет","Нет",IF(Исходн.данные.!$AO160&gt;0,VLOOKUP($DR160,АшламаДВ_Irekle,2,FALSE),VLOOKUP($DR160,АшламаДВ_Gomumy,2,FALSE)))</f>
        <v>Нет</v>
      </c>
      <c r="DT160" s="70" t="str">
        <f>IF($DR160="Нет","Нет",IF(Исходн.данные.!$AO160&gt;0,VLOOKUP($DR160,АшламаДВ_Irekle,3,FALSE),VLOOKUP($DR160,АшламаДВ_Gomumy,3,FALSE)))</f>
        <v>Нет</v>
      </c>
      <c r="DU160" s="70" t="str">
        <f>IF($DR160="Нет","Нет",IF(Исходн.данные.!$AO160&gt;0,VLOOKUP($DR160,АшламаДВ_Irekle,4,FALSE),VLOOKUP($DR160,АшламаДВ_Gomumy,4,FALSE)))</f>
        <v>Нет</v>
      </c>
      <c r="DV160" s="70"/>
      <c r="DW160" s="70"/>
      <c r="DX160" s="70"/>
      <c r="DY160" s="10">
        <f t="shared" si="248"/>
        <v>0</v>
      </c>
      <c r="DZ160" s="10">
        <f t="shared" si="249"/>
        <v>0</v>
      </c>
      <c r="EA160" s="10">
        <f t="shared" si="250"/>
        <v>0</v>
      </c>
      <c r="EB160" s="10">
        <f t="shared" si="251"/>
        <v>0</v>
      </c>
      <c r="EC160" s="10">
        <f t="shared" si="252"/>
        <v>0</v>
      </c>
      <c r="ED160" s="10">
        <f t="shared" si="253"/>
        <v>0</v>
      </c>
      <c r="EE160" s="10">
        <f t="shared" si="254"/>
        <v>0</v>
      </c>
      <c r="EF160" s="39">
        <f>EB160*Исходн.данные.!AJ160/1000</f>
        <v>0</v>
      </c>
      <c r="EG160" s="9">
        <f t="shared" si="255"/>
        <v>0</v>
      </c>
      <c r="EH160" s="9">
        <f t="shared" si="256"/>
        <v>0</v>
      </c>
      <c r="EI160" s="39" t="e">
        <f t="shared" si="206"/>
        <v>#DIV/0!</v>
      </c>
      <c r="EJ160" s="9" t="str">
        <f t="shared" si="227"/>
        <v>Азопреципитат</v>
      </c>
      <c r="EK160" s="12">
        <f t="shared" si="207"/>
        <v>0.26</v>
      </c>
      <c r="EL160" s="12">
        <f t="shared" si="208"/>
        <v>0.13</v>
      </c>
      <c r="EM160" s="12">
        <f t="shared" si="209"/>
        <v>0</v>
      </c>
      <c r="EN160" s="12" t="str">
        <f t="shared" si="228"/>
        <v>Нет</v>
      </c>
      <c r="EO160" s="12">
        <f t="shared" si="210"/>
        <v>0</v>
      </c>
      <c r="EP160" s="12">
        <f t="shared" si="211"/>
        <v>0</v>
      </c>
      <c r="EQ160" s="12">
        <f t="shared" si="212"/>
        <v>0</v>
      </c>
      <c r="ER160" s="12" t="str">
        <f t="shared" si="257"/>
        <v>Диаммофоска</v>
      </c>
      <c r="ES160" s="12">
        <f t="shared" si="213"/>
        <v>0.1</v>
      </c>
      <c r="ET160" s="12">
        <f t="shared" si="214"/>
        <v>0.26</v>
      </c>
      <c r="EU160" s="12">
        <f t="shared" si="215"/>
        <v>0.26</v>
      </c>
      <c r="EV160" s="12" t="str">
        <f t="shared" si="258"/>
        <v>Аммофос 12:52:00</v>
      </c>
      <c r="EW160" s="12" t="str">
        <f t="shared" si="259"/>
        <v>Кемира Свекловичное-6</v>
      </c>
      <c r="EX160" s="12">
        <f t="shared" si="216"/>
        <v>0.16</v>
      </c>
      <c r="EY160" s="12">
        <f t="shared" si="217"/>
        <v>0.12</v>
      </c>
      <c r="EZ160" s="12">
        <f t="shared" si="218"/>
        <v>0.17</v>
      </c>
      <c r="FA160" s="38" t="e">
        <f>IF(AND(OR(FJ160=$FD$1,FM160=$FD$1,FO160=$FD$1,FQ160=$FD$1,FS160=$FD$1),FD160=$FD$1,Исходн.данные.!J160&lt;2,FU160=$FD$1),"Бор,Кобальт",IF(AND(FO160=$FD$1,FH160=$FD$1,Исходн.данные.!J160&lt;2,FU160=$FD$1),"Бор,Кобальт",IF(AND(OR(FJ160=$FD$1,FM160=$FD$1,FQ160=$FD$1),FE160=$FD$1,Исходн.данные.!J160&lt;2,FT160=$FD$1,FU160=$FD$1),"Бор,Медь,Цинк",IF(AND(OR(FJ160=$FD$1,FR160="Да"),FI160="Да",Исходн.данные.!J160&lt;2,FT160="Да",FU160="Да"),"Бор,Цинк,Медь",IF(AND(OR(FM160="Да",FQ160="Да"),FI160="Да",Исходн.данные.!J160&lt;2,FT160="Да",FU160="Да"),"Бор,Цинк",IF(AND(FN160="Да",OR(FD160="Да",FE160="Да")),"Бор",FB160))))))</f>
        <v>#N/A</v>
      </c>
      <c r="FB160" s="134" t="e">
        <f>IF(AND(OR(FD160="Да",FE160="Да",FF160="Да",FG160="Да",FH160="Да"),FO160="Да"),"Бор",IF(AND(FP160="Да",OR(FD160="Да",FE160="Да",FI160="Да")),"Бор",IF(AND(FS160="Да",FE160="Да"),"Бор,Медь",IF(AND(OR(FJ160="Да",FK160="Да",FL160="Да"),FE160="Да",Исходн.данные.!I160&lt;5,FT160="Да",FU160="Да"),"Молибден,Цинк",IF(AND(FM160="Да",OR(FE160="Да",FF160="Да",FG160="Да",FH160="Да",FI160="Да")),"Молибден,Цинк",IF(AND(OR(FJ160="Да",FK160="Да",FL160="Да",FM160="Да",FQ160="Да"),OR(FE160="Да",FF160="Да"),FT160="Да",FU160="Да",Исходн.данные.!I160&gt;5.5),"Медь,Цинк",FC160))))))</f>
        <v>#N/A</v>
      </c>
      <c r="FC160" s="23" t="e">
        <f t="shared" si="260"/>
        <v>#N/A</v>
      </c>
      <c r="FD160" s="38" t="str">
        <f>IF(OR(Исходн.данные.!F160=$CC$1,Исходн.данные.!F160=$CC$2,Исходн.данные.!F160=$CC$3,Исходн.данные.!F160=$CC$4),"Да","Нет")</f>
        <v>Нет</v>
      </c>
      <c r="FE160" s="38" t="str">
        <f>IF(Исходн.данные.!F160=$CC$5,"Да","Нет")</f>
        <v>Нет</v>
      </c>
      <c r="FF160" s="38" t="str">
        <f>IF(OR(Исходн.данные.!F160=$CC$6,Исходн.данные.!F160=$CC$7),"Да","Нет")</f>
        <v>Нет</v>
      </c>
      <c r="FG160" s="38" t="str">
        <f>IF(OR(Исходн.данные.!F160=$CC$8,Исходн.данные.!F160=$CC$9),"Да","Нет")</f>
        <v>Нет</v>
      </c>
      <c r="FH160" s="38" t="str">
        <f>IF(Исходн.данные.!F160=$CC$10,"Да","Нет")</f>
        <v>Нет</v>
      </c>
      <c r="FI160" s="38" t="str">
        <f>IF(OR(Исходн.данные.!F160=$CC$11,Исходн.данные.!F160=$CC$12),"Да","Нет")</f>
        <v>Нет</v>
      </c>
      <c r="FJ160" s="38" t="str">
        <f>IF(OR(Исходн.данные.!AH160=$BS$1,Исходн.данные.!AH160=$BQ$11,Исходн.данные.!AH160=$BQ$12),"Да","Нет")</f>
        <v>Нет</v>
      </c>
      <c r="FK160" s="38" t="str">
        <f>IF(OR(Исходн.данные.!AH160=$BS$2,Исходн.данные.!AH160=$BS$4),"Да","Нет")</f>
        <v>Нет</v>
      </c>
      <c r="FL160" s="38" t="str">
        <f>IF(OR(Исходн.данные.!AH160=$BS$3,Исходн.данные.!AH160=$BS$5),"Да","Нет")</f>
        <v>Нет</v>
      </c>
      <c r="FM160" s="38" t="str">
        <f>IF(OR(Исходн.данные.!AH160=$BS$9,Исходн.данные.!AH160=$BS$10,Исходн.данные.!AH160=$BS$11,Исходн.данные.!AH160=$BS$12),"Да","Нет")</f>
        <v>Нет</v>
      </c>
      <c r="FN160" s="38" t="str">
        <f>IF(OR(Исходн.данные.!AH160=$BS$6,Исходн.данные.!AH160=$BP$3),"Да","Нет")</f>
        <v>Нет</v>
      </c>
      <c r="FO160" s="38" t="str">
        <f>IF(Исходн.данные.!AH160=$BQ$9,"Да","Нет")</f>
        <v>Нет</v>
      </c>
      <c r="FP160" s="38" t="str">
        <f>IF(OR(Исходн.данные.!AH160=$BS$8,Исходн.данные.!AH160=$BT$8),"Да","Нет")</f>
        <v>Нет</v>
      </c>
      <c r="FQ160" s="38" t="str">
        <f>IF(OR(Исходн.данные.!AH160=$BQ$7,Исходн.данные.!AH160=$BQ$8),"Да","Нет")</f>
        <v>Нет</v>
      </c>
      <c r="FR160" s="38" t="str">
        <f>IF(Исходн.данные.!AI160=$BU$9,"Да","Нет")</f>
        <v>Нет</v>
      </c>
      <c r="FS160" s="38" t="str">
        <f>IF(OR(Исходн.данные.!AH160=$BP$1,Исходн.данные.!AH160=$BP$2),"Да","Нет")</f>
        <v>Нет</v>
      </c>
      <c r="FT160" s="38" t="e">
        <f>IF((Исходн.данные.!K160*GO160*GS160*GW160+BL160*0.6+Исходн.данные.!Q160*4.5*0.275)&gt;90,"Да","Нет")</f>
        <v>#N/A</v>
      </c>
      <c r="FU160" s="38" t="e">
        <f>IF((Исходн.данные.!M160*GS160*GZ160+BM160*0.225)&gt;35,"Да","Нет")</f>
        <v>#N/A</v>
      </c>
      <c r="FV160" s="38" t="str">
        <f>IF(Исходн.данные.!O160&gt;175,"Да","Нет")</f>
        <v>Нет</v>
      </c>
      <c r="FW160" s="39" t="str">
        <f>IF(Исходн.данные.!I160&gt;5.5,"Да","Нет")</f>
        <v>Нет</v>
      </c>
      <c r="FX160" s="39" t="str">
        <f>IF(Исходн.данные.!J160&lt;2,"Да","Нет")</f>
        <v>Да</v>
      </c>
      <c r="FY160" s="39" t="e">
        <f>IF(HF160=$FY$16,0,Исходн.данные.!K160*GO160*GS160*GW160/HF160)</f>
        <v>#N/A</v>
      </c>
      <c r="FZ160" s="39" t="e">
        <f>Исходн.данные.!M160*GS160*GZ160/HG160</f>
        <v>#N/A</v>
      </c>
      <c r="GA160" s="39" t="e">
        <f>IF(K_Wyn=$FY$16,0,IF(Исходн.данные.!N160=Исходн.данные.!$L$10,Исходн.данные.!O160/1.1*GS160*HC160/HH160,IF(Исходн.данные.!N160=Исходн.данные.!$L$12,Исходн.данные.!O160/1.5*GS160*HC160/HH160,Исходн.данные.!O160*GS160*HC160/HH160)))</f>
        <v>#N/A</v>
      </c>
      <c r="GB160" s="39" t="e">
        <f>IF(HF160=$FY$16,0,((Исходн.данные.!Q160*N_Org+Исходн.данные.!R160*N_Sider+Исходн.данные.!S160*N_Soloma)*AO160+Расчет!BC160*VLOOKUP(Исходн.данные.!T160,Справ!$A$3:$O$57,15)*AO160+BB160*VLOOKUP(Исходн.данные.!T160,Справ!$A$3:$O$57,15)*AL160+(Исходн.данные.!V160*N_Rizotorf+Исходн.данные.!W160*N_Rizoagr))/HF160)</f>
        <v>#N/A</v>
      </c>
      <c r="GC160" s="39" t="e">
        <f>IF(HG160=$FY$16,0,((Исходн.данные.!Q160*Р_Org+Исходн.данные.!R160*P_Sider+Исходн.данные.!S160*P_Soloma)*AP160+Расчет!BC160*VLOOKUP(Исходн.данные.!T160,Справ!$A$3:$P$57,16)*AP160+BB160*VLOOKUP(Исходн.данные.!T160,Справ!$A$3:$P$57,16)*AM160)/HG160)</f>
        <v>#N/A</v>
      </c>
      <c r="GD160" s="39" t="e">
        <f>IF(HH160=$FY$16,0,((Исходн.данные.!Q160*К_Org+Исходн.данные.!R160*K_Sider+Исходн.данные.!S160*K_Soloma)*AQ160+Расчет!BC160*VLOOKUP(Исходн.данные.!T160,Справ!$A$3:$Q$57,17)*AQ160+BB160*VLOOKUP(Исходн.данные.!T160,Справ!$A$3:$Q$57,17)*AN160)/HH160)</f>
        <v>#N/A</v>
      </c>
      <c r="GE160" s="39" t="e">
        <f>IF(HF160=$FY$16,0,(Исходн.данные.!X160*AR160+Исходн.данные.!AA160*N_Org*AL160+Исходн.данные.!AB160*N_Sider*AL160+Исходн.данные.!AC160*N_Soloma*AL160)/HF160)</f>
        <v>#N/A</v>
      </c>
      <c r="GF160" s="39" t="e">
        <f>IF(HG160=$FY$16,0,(Исходн.данные.!Y160*AS160+Исходн.данные.!AA160*Р_Org*AM160+Исходн.данные.!AB160*P_Sider*AM160+Исходн.данные.!AC160*P_Soloma*AM160)/HG160)</f>
        <v>#N/A</v>
      </c>
      <c r="GG160" s="39" t="e">
        <f>IF(HH160=$FY$16,0,(Исходн.данные.!Z160*AT160+Исходн.данные.!AA160*К_Org*AN160+Исходн.данные.!AB160*K_Sider*AN160+Исходн.данные.!AC160*K_Soloma*AN160)/HH160)</f>
        <v>#N/A</v>
      </c>
      <c r="GH160" s="39" t="e">
        <f>Исходн.данные.!AD160*AU160/HF160</f>
        <v>#N/A</v>
      </c>
      <c r="GI160" s="39" t="e">
        <f>Исходн.данные.!AE160*AV160/HG160</f>
        <v>#N/A</v>
      </c>
      <c r="GJ160" s="39" t="e">
        <f>Исходн.данные.!AF160*AW160/HH160</f>
        <v>#N/A</v>
      </c>
      <c r="GK160" s="55">
        <f>Исходн.данные.!AK160</f>
        <v>0</v>
      </c>
      <c r="GL160" s="11" t="e">
        <f t="shared" si="261"/>
        <v>#N/A</v>
      </c>
      <c r="GM160" s="11" t="e">
        <f t="shared" si="262"/>
        <v>#N/A</v>
      </c>
      <c r="GN160" s="11" t="e">
        <f t="shared" si="263"/>
        <v>#N/A</v>
      </c>
      <c r="GO160" s="57">
        <f t="shared" si="264"/>
        <v>19</v>
      </c>
      <c r="GP160" s="55">
        <f>IF(OR(Исходн.данные.!F160=$CE$1,Исходн.данные.!F160=$CE$2,Исходн.данные.!F160=$CE$3,Исходн.данные.!F160=$CE$4,Исходн.данные.!F160=$CE$5),GQ160,GR160)</f>
        <v>19</v>
      </c>
      <c r="GQ160" s="55">
        <f>IF(Исходн.данные.!F160=$CE$1,28,IF(Исходн.данные.!F160=$CE$2,26,IF(Исходн.данные.!F160=$CE$3,24,IF(Исходн.данные.!F160=$CE$4,22,IF(Исходн.данные.!F160=$CE$5,20,GR160)))))</f>
        <v>19</v>
      </c>
      <c r="GR160" s="55">
        <f>IF(Исходн.данные.!F160=$CE$6,18,IF(Исходн.данные.!F160=$CE$7,16,IF(Исходн.данные.!F160=$CE$8,14,IF(Исходн.данные.!F160=$CE$9,13,IF(Исходн.данные.!F160=$CE$10,12,19)))))</f>
        <v>19</v>
      </c>
      <c r="GS160" s="55">
        <f>IF(Исходн.данные.!G160="Пес",0.035*(40+2*Исходн.данные.!H160),IF(Исходн.данные.!G160="Суп",0.0325*(40+2*Исходн.данные.!H160),0.03*(40+2*Исходн.данные.!H160)))</f>
        <v>1.2</v>
      </c>
      <c r="GT160" s="55">
        <f>IF(Исходн.данные.!H160&lt;23,2.6,IF(AND(Исходн.данные.!H160&gt;22,Исходн.данные.!H160&lt;26),3,IF(AND(Исходн.данные.!H160&gt;25,Исходн.данные.!H160&lt;29),3.4,3.6)))</f>
        <v>2.6</v>
      </c>
      <c r="GU160" s="55">
        <f>IF(Исходн.данные.!H160&lt;23,2.8,IF(AND(Исходн.данные.!H160&gt;22,Исходн.данные.!H160&lt;26),3.2,IF(AND(Исходн.данные.!H160&gt;25,Исходн.данные.!H160&lt;29),3.6,3.9)))</f>
        <v>2.8</v>
      </c>
      <c r="GV160" s="55">
        <f>IF(Исходн.данные.!H160&lt;23,3,IF(AND(Исходн.данные.!H160&gt;22,Исходн.данные.!H160&lt;26),3.5,IF(AND(Исходн.данные.!H160&gt;25,Исходн.данные.!H160&lt;29),3.9,4.2)))</f>
        <v>3</v>
      </c>
      <c r="GW160" s="55" t="e">
        <f>IF(Исходн.данные.!P160="Ум",GX160,GY160)</f>
        <v>#N/A</v>
      </c>
      <c r="GX160" s="55" t="e">
        <f>VLOOKUP(Исходн.данные.!AI160,Коэффициенты!$J$7:$L$13,2,FALSE)</f>
        <v>#N/A</v>
      </c>
      <c r="GY160" s="55" t="e">
        <f>VLOOKUP(Исходн.данные.!AI160,Коэффициенты!$J$7:$L$13,3,FALSE)</f>
        <v>#N/A</v>
      </c>
      <c r="GZ160" s="55" t="e">
        <f>(IF(Исходн.данные.!M160&lt;50,0.11*VLOOKUP(Исходн.данные.!AH160,Культуры.Информация,7,FALSE),IF(Исходн.данные.!M160&gt;250,0.05*VLOOKUP(Исходн.данные.!AH160,Культуры.Информация,7,FALSE),VLOOKUP(Исходн.данные.!AH160,Культуры.Информация,5,FALSE)/100*($GX$6+$GY$6*Исходн.данные.!M160))))*Расчет2!AI160</f>
        <v>#N/A</v>
      </c>
      <c r="HA160" s="211"/>
      <c r="HB160" s="211"/>
      <c r="HC160" s="55" t="e">
        <f>(IF(Исходн.данные.!O160&lt;80,0.2*VLOOKUP(Исходн.данные.!AH160,Культуры.Информация,8,FALSE),IF(Исходн.данные.!O160&gt;240,0.09*VLOOKUP(Исходн.данные.!AH160,Культуры.Информация,8,FALSE),VLOOKUP(Исходн.данные.!AH160,Культуры.Информация,6,FALSE)/100*($HB$6+$HC$6*Исходн.данные.!O160))))*Расчет2!AJ160</f>
        <v>#N/A</v>
      </c>
      <c r="HD160" s="55">
        <f>IF(Исходн.данные.!O160&gt;240,0.09,IF(Исходн.данные.!O160&lt;30,0.3,$HE$10+$HD$10*Исходн.данные.!O160))</f>
        <v>0.3</v>
      </c>
      <c r="HE160" s="55">
        <f>IF(Исходн.данные.!O160&gt;240,0.17,IF(Исходн.данные.!O160&lt;30,0.5,$HF$12+$HE$12*Исходн.данные.!O160))</f>
        <v>0.5</v>
      </c>
      <c r="HF160" s="55" t="e">
        <f>VLOOKUP(Исходн.данные.!AH160,Справ!$A$3:$D$58,2,FALSE)</f>
        <v>#N/A</v>
      </c>
      <c r="HG160" s="55" t="e">
        <f>VLOOKUP(Исходн.данные.!AH160,Справ!$A$3:$D$58,3,FALSE)</f>
        <v>#N/A</v>
      </c>
      <c r="HH160" s="55" t="e">
        <f>VLOOKUP(Исходн.данные.!AH160,Справ!$A$3:$D$58,4,FALSE)</f>
        <v>#N/A</v>
      </c>
      <c r="HI160" s="11" t="e">
        <f t="shared" si="265"/>
        <v>#N/A</v>
      </c>
      <c r="HJ160" s="11" t="e">
        <f t="shared" si="266"/>
        <v>#N/A</v>
      </c>
      <c r="HK160" s="11" t="e">
        <f t="shared" si="267"/>
        <v>#N/A</v>
      </c>
      <c r="HL160" s="55">
        <f>IF(OR(Исходн.данные.!G160="Глин",Исходн.данные.!G160="Т_суг"),1.1,IF(Исходн.данные.!G160="Ср_суг",1,1))</f>
        <v>1</v>
      </c>
      <c r="HM160" s="55">
        <f>IF(OR(Исходн.данные.!G160="Глин",Исходн.данные.!G160="Т_суг"),0.9,IF(Исходн.данные.!G160="Ср_суг",1,1.2))</f>
        <v>1.2</v>
      </c>
      <c r="HN160" s="11" t="e">
        <f t="shared" si="268"/>
        <v>#N/A</v>
      </c>
      <c r="HO160" s="11" t="e">
        <f t="shared" si="269"/>
        <v>#N/A</v>
      </c>
      <c r="HP160" s="11" t="e">
        <f t="shared" si="270"/>
        <v>#N/A</v>
      </c>
      <c r="HQ160" t="e">
        <f t="shared" si="271"/>
        <v>#N/A</v>
      </c>
      <c r="HR160" t="e">
        <f t="shared" si="272"/>
        <v>#N/A</v>
      </c>
      <c r="HS160" t="e">
        <f t="shared" si="273"/>
        <v>#N/A</v>
      </c>
      <c r="HT160" t="e">
        <f t="shared" si="219"/>
        <v>#N/A</v>
      </c>
      <c r="HU160" t="e">
        <f t="shared" si="220"/>
        <v>#N/A</v>
      </c>
      <c r="HV160" t="e">
        <f t="shared" si="221"/>
        <v>#N/A</v>
      </c>
      <c r="HW160" t="e">
        <f t="shared" si="222"/>
        <v>#N/A</v>
      </c>
      <c r="HX160" t="e">
        <f t="shared" si="223"/>
        <v>#N/A</v>
      </c>
      <c r="HY160" t="e">
        <f t="shared" si="224"/>
        <v>#N/A</v>
      </c>
      <c r="HZ160" s="55">
        <f>IF(OR(Исходн.данные.!AI160="Оз_Ч_П",Исходн.данные.!AI160="Оз_З_П",Исходн.данные.!AI160="Яр_зер"),12,30)</f>
        <v>30</v>
      </c>
      <c r="IA160" t="e">
        <f t="shared" si="274"/>
        <v>#N/A</v>
      </c>
      <c r="IB160" t="e">
        <f t="shared" si="275"/>
        <v>#N/A</v>
      </c>
      <c r="IC160" t="e">
        <f t="shared" si="276"/>
        <v>#N/A</v>
      </c>
      <c r="ID160" s="11" t="e">
        <f t="shared" si="277"/>
        <v>#N/A</v>
      </c>
      <c r="IE160" s="11" t="e">
        <f t="shared" si="278"/>
        <v>#N/A</v>
      </c>
      <c r="IF160" s="11" t="e">
        <f t="shared" si="279"/>
        <v>#N/A</v>
      </c>
    </row>
    <row r="161" spans="35:240" x14ac:dyDescent="0.2">
      <c r="AI161">
        <f>IF(Исходн.данные.!I161&gt;6,1,1.85-(0.148*Исходн.данные.!I161))</f>
        <v>1.85</v>
      </c>
      <c r="AJ161">
        <f>IF(Исходн.данные.!I161&gt;6,1,2.434-(0.246*Исходн.данные.!I161))</f>
        <v>2.4340000000000002</v>
      </c>
      <c r="AL161" s="148" t="b">
        <f>IF(Исходн.данные.!$P161="Ум",N_OrgUd_2g_um,IF(Исходн.данные.!$P161="Об",N_OrgUd_2g_ob))</f>
        <v>0</v>
      </c>
      <c r="AM161" s="148" t="b">
        <f>IF(Исходн.данные.!$P161="Ум",P_OrgUd_2g_um,IF(Исходн.данные.!$P161="Об",P_OrgUd_2g_ob))</f>
        <v>0</v>
      </c>
      <c r="AN161" s="148" t="b">
        <f>IF(Исходн.данные.!$P161="Ум",K_OrgUd_2g_um,IF(Исходн.данные.!$P161="Об",K_OrgUd_2g_ob))</f>
        <v>0</v>
      </c>
      <c r="AO161" s="148" t="b">
        <f>IF(Исходн.данные.!$P161="Ум",N_OrgUd_1g_um,IF(Исходн.данные.!$P161="Об",N_OrgUd_1g_ob))</f>
        <v>0</v>
      </c>
      <c r="AP161" s="148" t="b">
        <f>IF(Исходн.данные.!$P161="Ум",P_OrgUd_1g_um,IF(Исходн.данные.!$P161="Об",P_OrgUd_1g_ob))</f>
        <v>0</v>
      </c>
      <c r="AQ161" s="148" t="b">
        <f>IF(Исходн.данные.!$P161="Ум",K_OrgUd_1g_um,IF(Исходн.данные.!$P161="Об",K_OrgUd_1g_ob))</f>
        <v>0</v>
      </c>
      <c r="AR161" t="b">
        <f>IF(Исходн.данные.!$P161="Ум",N_MinUd_2g_um,IF(Исходн.данные.!$P161="Об",N_MinUd_2g_ob))</f>
        <v>0</v>
      </c>
      <c r="AS161" t="b">
        <f>IF(Исходн.данные.!$P161="Ум",P_MinUd_2g_um,IF(Исходн.данные.!$P161="Об",P_MinUd_2g_ob))</f>
        <v>0</v>
      </c>
      <c r="AT161" t="b">
        <f>IF(Исходн.данные.!$P161="Ум",K_MinUd_2g_um,IF(Исходн.данные.!$P161="Об",K_MinUd_2g_ob))</f>
        <v>0</v>
      </c>
      <c r="AU161" t="b">
        <f>IF(Исходн.данные.!$P161="Ум",N_MinUd_1g_um,IF(Исходн.данные.!$P161="Об",N_MinUd_1g_ob))</f>
        <v>0</v>
      </c>
      <c r="AV161" t="b">
        <f>IF(Исходн.данные.!P161="Ум",P_MinUd_1g_um,IF(Исходн.данные.!P161="Об",P_MinUd_1g_ob))</f>
        <v>0</v>
      </c>
      <c r="AW161" t="b">
        <f>IF(Исходн.данные.!P161="Ум",K_MinUd_1g_um,IF(Исходн.данные.!P161="Об",K_MinUd_1g_ob))</f>
        <v>0</v>
      </c>
      <c r="AY161" t="e">
        <f>VLOOKUP(Исходн.данные.!T161,Справ!$A$3:$N$57,12)</f>
        <v>#N/A</v>
      </c>
      <c r="AZ161" t="e">
        <f>VLOOKUP(Исходн.данные.!T161,Справ!$A$3:$N$57,13)</f>
        <v>#N/A</v>
      </c>
      <c r="BA161" t="e">
        <f>VLOOKUP(Исходн.данные.!T161,Справ!$A$3:$N$57,14)</f>
        <v>#N/A</v>
      </c>
      <c r="BB161">
        <f>IF(Исходн.данные.!AH161=0,0,25)</f>
        <v>0</v>
      </c>
      <c r="BC161" s="141">
        <f>IF(Исходн.данные.!AH161=0,0,IF(Исходн.данные.!T161=0,25,BD161))</f>
        <v>0</v>
      </c>
      <c r="BD161" s="168" t="e">
        <f>AY161+AZ161*Исходн.данные.!U161-POWER(BA161,2)*Исходн.данные.!U161</f>
        <v>#N/A</v>
      </c>
      <c r="BE16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1" s="25">
        <f>IF(Исходн.данные.!AH161=0,0,MIN(HN161:HP161))</f>
        <v>0</v>
      </c>
      <c r="BG161" s="9">
        <f>IF(Исходн.данные.!AH161=0,0,IF((HO161+10*0.25/HG161/HL161)&lt;17,17,HO161+10*0.25/HG161/HL161))</f>
        <v>0</v>
      </c>
      <c r="BH161" s="181">
        <f>IF(Исходн.данные.!AH161=0,0,HW161*HF161*HL161/AU161*AI161+Исходн.данные.!S161*10)</f>
        <v>0</v>
      </c>
      <c r="BI161" s="10"/>
      <c r="BJ161" s="182">
        <f>IF(Исходн.данные.!AH161=0,0,IF(HX161*HG161*HL161/AV161&lt;0,0,HX161*HG161*HL161/AV161*AJ161))</f>
        <v>0</v>
      </c>
      <c r="BK161" s="182">
        <f>IF(Исходн.данные.!AH161=0,0,HY161*HH161*HM161/AW161)</f>
        <v>0</v>
      </c>
      <c r="BL161" s="10">
        <f>IF(OR(Исходн.данные.!$AH161=$BP$1,Исходн.данные.!$AH161=$BP$2),0,IF(BH161&lt;0,0,IF(OR(Исходн.данные.!T161=Расчет!$BP$1,Исходн.данные.!T161=Расчет!$BP$2,Исходн.данные.!T161=Расчет!$BT$5,Исходн.данные.!T161=Расчет!$BT$6),BH161*0.5,IF(OR(Исходн.данные.!T161=Расчет!$BS$9,Исходн.данные.!T161=Расчет!$BS$10,Исходн.данные.!T161=Расчет!$BS$11,Исходн.данные.!T161=Расчет!$BS$12,Исходн.данные.!T161=Расчет!$BP$5),BH161*0.8,BH161))))</f>
        <v>0</v>
      </c>
      <c r="BM161" s="10">
        <f>IF(OR(Исходн.данные.!$AH161=$BP$1,Исходн.данные.!$AH161=$BP$2),0,IF(BJ161&lt;0,0,IF(Исходн.данные.!I161&lt;4.5,BJ161*1.2,IF(Исходн.данные.!I161&gt;5.1,BJ161,BJ161*((5.1-Исходн.данные.!I161)*0.333+1)))))</f>
        <v>0</v>
      </c>
      <c r="BN161" s="10">
        <f>IF(OR(Исходн.данные.!$AH161=$BP$1,Исходн.данные.!$AH161=$BP$2),60-Исходн.данные.!AF161,IF(BK161&lt;0,0,IF(Исходн.данные.!I161&lt;4.5,BK161*1.2,IF(Исходн.данные.!I161&gt;5.1,BK161,BK161*((5.1-Исходн.данные.!I161)*0.333+1)))))</f>
        <v>0</v>
      </c>
      <c r="BO161" s="9">
        <f>IF(BL161&lt;0,0,BL161*Исходн.данные.!$AJ161/1000)</f>
        <v>0</v>
      </c>
      <c r="BP161" s="9">
        <f>IF(BM161&lt;0,0,BM161*Исходн.данные.!$AJ161/1000)</f>
        <v>0</v>
      </c>
      <c r="BQ161" s="9">
        <f>IF(BN161&lt;0,0,BN161*Исходн.данные.!$AJ161/1000)</f>
        <v>0</v>
      </c>
      <c r="BR161" s="9">
        <f t="shared" si="229"/>
        <v>0</v>
      </c>
      <c r="BS161" s="10" t="str">
        <f t="shared" si="230"/>
        <v>Аммофос 12:52:00</v>
      </c>
      <c r="BT161" s="10" t="str">
        <f t="shared" si="231"/>
        <v>Аммофос 12:52:00</v>
      </c>
      <c r="BU161" s="10" t="str">
        <f t="shared" si="232"/>
        <v>Диаммофоска</v>
      </c>
      <c r="BV161" s="10">
        <f t="shared" si="233"/>
        <v>0</v>
      </c>
      <c r="BW161" s="10"/>
      <c r="BX161" s="10"/>
      <c r="BY161" s="9">
        <f>IF(BL161&lt;0,0,IF(OR(Исходн.данные.!AI161=Расчет!$BU$6,Исходн.данные.!AI161=Расчет!$BU$7),Расчет!BV161,IF(Исходн.данные.!$AG161=$BV$11,BL161,IF(OR(Исходн.данные.!$AH161=$BQ$7,Исходн.данные.!$AH161=$BQ$8),CB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0,IF(Исходн.данные.!$AI161=$BU$11,"Нет",IF(BL161&gt;30,30,BL161)))))))</f>
        <v>0</v>
      </c>
      <c r="BZ161" s="9">
        <f>IF(AND(Исходн.данные.!$AG161=$BV$11,BM161&lt;10),10,IF(Исходн.данные.!$AG161=$BV$11,BM161,IF(OR(Исходн.данные.!$AH161=$BQ$7,Исходн.данные.!$AH161=$BQ$8),CC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10,IF(Исходн.данные.!$AI161=$BU$11,"Нет",IF(BM161&gt;60,60,IF(BM161&lt;10,10,BM161)))))))</f>
        <v>10</v>
      </c>
      <c r="CA161" s="39">
        <f>IF(BN161&lt;0,0,IF(Исходн.данные.!$AG161=$BV$11,BN161,IF(OR(Исходн.данные.!$AH161=$BQ$7,Исходн.данные.!$AH161=$BQ$8),CD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0,IF(Исходн.данные.!$AI161=$BU$11,"Нет",IF(BN161&gt;30,30,BN161))))))</f>
        <v>0</v>
      </c>
      <c r="CB161" s="9">
        <f t="shared" si="234"/>
        <v>0</v>
      </c>
      <c r="CC161" s="9">
        <f t="shared" si="235"/>
        <v>0</v>
      </c>
      <c r="CD161" s="9">
        <f t="shared" si="236"/>
        <v>0</v>
      </c>
      <c r="CE161" s="12">
        <f t="shared" si="237"/>
        <v>10</v>
      </c>
      <c r="CF161" s="9">
        <f t="shared" si="238"/>
        <v>0</v>
      </c>
      <c r="CG161" s="9" t="s">
        <v>231</v>
      </c>
      <c r="CH161" s="132" t="str">
        <f>IF(Исходн.данные.!AP161=Расчет!$CI$16,"Нет",IF(Исходн.данные.!AL161&gt;0,Исходн.данные.!AL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BH$4,IF(OR(Исходн.данные.!AI161=Исходн.данные.!$AI$6,Исходн.данные.!AI161=Исходн.данные.!$AI$7),Расчет!BS161,IF(AND($CF161=0,$CE161&gt;0),EV161,ER161)))))</f>
        <v>Аммофос 12:52:00</v>
      </c>
      <c r="CI161" s="274">
        <f>IF(Расчет!$CH161="Нет","Нет",IF(Исходн.данные.!$AL161&gt;0,VLOOKUP(Расчет!$CH161,АшламаДВ_Irekle,2,FALSE),VLOOKUP(Расчет!$CH161,АшламаДВ_Gomumy,2,FALSE)))</f>
        <v>0.12</v>
      </c>
      <c r="CJ161" s="274">
        <f>IF(Расчет!$CH161="Нет","Нет",IF(Исходн.данные.!$AL161&gt;0,VLOOKUP(Расчет!$CH161,АшламаДВ_Irekle,3,FALSE),VLOOKUP(Расчет!$CH161,АшламаДВ_Gomumy,3,FALSE)))</f>
        <v>0.52</v>
      </c>
      <c r="CK161" s="274">
        <f>IF(Расчет!$CH161="Нет","Нет",IF(Исходн.данные.!$AL161&gt;0,VLOOKUP(Расчет!$CH161,АшламаДВ_Irekle,4,FALSE),VLOOKUP(Расчет!$CH161,АшламаДВ_Gomumy,4,FALSE)))</f>
        <v>0</v>
      </c>
      <c r="CL161" s="70"/>
      <c r="CM161" s="70"/>
      <c r="CN161" s="70"/>
      <c r="CO161" s="70"/>
      <c r="CP161" s="70"/>
      <c r="CQ161" s="70"/>
      <c r="CR161" s="10">
        <f t="shared" si="239"/>
        <v>0</v>
      </c>
      <c r="CS161" s="10">
        <f t="shared" si="240"/>
        <v>19.23076923076923</v>
      </c>
      <c r="CT161" s="10">
        <f t="shared" si="241"/>
        <v>0</v>
      </c>
      <c r="CU161" s="39">
        <f>IF($CH161="Нет",0,IF(CI161=0,30/MIN(CJ161:CK161),IF(Исходн.данные.!$AG161=$BV$11,CR161,IF(OR(Исходн.данные.!$AH161=$BQ$7,Исходн.данные.!$AH161=$BQ$8),90/CI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0,IF(Исходн.данные.!$AI161=$BU$11,"Нет",30/CI161))))))</f>
        <v>250</v>
      </c>
      <c r="CV161" s="39">
        <f>IF($CH161="Нет",0,IF(Исходн.данные.!AH161=0,0,IF(CJ161=0,60/MIN(CI161,CK161),IF(Исходн.данные.!$AG161=$BV$11,CS161,IF(OR(Исходн.данные.!$AH161=$BQ$7,Исходн.данные.!$AH161=$BQ$8),90/CJ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10/CJ161,IF(Исходн.данные.!$AI161=$BU$11,"Нет",60/CJ161)))))))</f>
        <v>0</v>
      </c>
      <c r="CW161" s="39">
        <f>IF($CH161="Нет",0,IF(Исходн.данные.!AH161=0,0,IF(CK161=0,30/MIN(CI161:CJ161),IF(Исходн.данные.!$AG161=$BV$11,CT161,IF(OR(Исходн.данные.!$AH161=$BQ$7,Исходн.данные.!$AH161=$BQ$8),90/CK161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0,IF(Исходн.данные.!$AI161=$BU$11,"Нет",30/CK161)))))))</f>
        <v>0</v>
      </c>
      <c r="CX161" s="133">
        <f>IF(Исходн.данные.!$AG161=$BV$11,MAX(CU161:CW161),IF(OR(Исходн.данные.!$AH161=$BS$8,Исходн.данные.!$AH161=$BQ$9,Исходн.данные.!$AH161=$BQ$10,Исходн.данные.!$AH161=$BQ$11,Исходн.данные.!$AH161=$BQ$12,Исходн.данные.!$AH161=$BP$3,Исходн.данные.!$AH161=$BT$8,$FM161="Да"),CV161,MIN(CU161:CW161)))</f>
        <v>0</v>
      </c>
      <c r="CY161" s="133">
        <f>IF(Исходн.данные.!AH161=0,0,IF(CR161&gt;$CX161,$CX161,CR161))</f>
        <v>0</v>
      </c>
      <c r="CZ161" s="133">
        <f>IF(Исходн.данные.!AH161=0,0,IF(CS161&gt;$CX161,$CX161,CS161))</f>
        <v>0</v>
      </c>
      <c r="DA161" s="133">
        <f>IF(Исходн.данные.!AH161=0,0,IF(CT161&gt;$CX161,$CX161,CT161))</f>
        <v>0</v>
      </c>
      <c r="DB161" s="10">
        <f t="shared" si="242"/>
        <v>0</v>
      </c>
      <c r="DC161" s="39">
        <f>DB161*Исходн.данные.!AJ161/1000</f>
        <v>0</v>
      </c>
      <c r="DD161" s="71">
        <f t="shared" si="243"/>
        <v>0</v>
      </c>
      <c r="DE161" s="9">
        <f t="shared" si="244"/>
        <v>0</v>
      </c>
      <c r="DF161" s="9">
        <f t="shared" si="245"/>
        <v>0</v>
      </c>
      <c r="DG161" s="39">
        <f>IF(BL161&lt;0,0,IF($CH161="Нет",BL161,IF(OR(Исходн.данные.!$AH161=$BP$1,Исходн.данные.!$AH161=$BP$2),0,IF(Исходн.данные.!AI161=$BU$11,BL161,IF(BL161-DD161&lt;0,0,BL161-DD161)))))</f>
        <v>0</v>
      </c>
      <c r="DH161" s="39">
        <f>IF(BM161&lt;0,0,IF($CH161="Нет",BM161,IF(OR(Исходн.данные.!$AH161=$BP$1,Исходн.данные.!$AH161=$BP$2),0,IF(Исходн.данные.!AJ161=$BU$11,BM161,IF(BM161-DE161&lt;0,0,BM161-DE161)))))</f>
        <v>0</v>
      </c>
      <c r="DI161" s="39">
        <f>IF(BN161&lt;0,0,IF($CH161="Нет",BN161,IF(OR(Исходн.данные.!$AH161=$BP$1,Исходн.данные.!$AH161=$BP$2),0,IF(Исходн.данные.!AK161=$BU$11,BN161,IF(BN161-DF161&lt;0,0,BN161-DF161)))))</f>
        <v>0</v>
      </c>
      <c r="DJ161" s="12">
        <f t="shared" si="246"/>
        <v>0</v>
      </c>
      <c r="DK161" s="9">
        <f t="shared" si="247"/>
        <v>0</v>
      </c>
      <c r="DL161" s="39">
        <f>IF(Исходн.данные.!AM161&gt;0,Исходн.данные.!AM161,IF(EG161&gt;0,$BH$10,0))</f>
        <v>0</v>
      </c>
      <c r="DM161" s="186">
        <f>IF($DL161=0,0,IF(Исходн.данные.!AM161&gt;0,VLOOKUP($DL161,АшламаДВ_Irekle,2,FALSE),VLOOKUP($DL161,АшламаДВ_Gomumy,2,FALSE)))</f>
        <v>0</v>
      </c>
      <c r="DN161" s="10">
        <f t="shared" si="225"/>
        <v>0</v>
      </c>
      <c r="DO161" s="9" t="str">
        <f>IF(Исходн.данные.!AN161&gt;0,Исходн.данные.!AN161,Удобрения!$B$37 )</f>
        <v>Хлор.калий</v>
      </c>
      <c r="DP161" s="9">
        <f>IF(Исходн.данные.!AN161&gt;0,VLOOKUP(Исходн.данные.!AN161,АшламаДВ_Irekle,4,FALSE),VLOOKUP(DO161,АшламаДВ_Gomumy,4,FALSE))</f>
        <v>0.6</v>
      </c>
      <c r="DQ161" s="10">
        <f t="shared" si="226"/>
        <v>0</v>
      </c>
      <c r="DR161" s="132" t="str">
        <f>IF(Исходн.данные.!AO161&gt;0,Исходн.данные.!AO161,IF(DH161=0,BS$17,IF(AND($DK161=0,$DJ161&gt;0),EJ161,EN161)))</f>
        <v>Нет</v>
      </c>
      <c r="DS161" s="70" t="str">
        <f>IF($DR161="Нет","Нет",IF(Исходн.данные.!$AO161&gt;0,VLOOKUP($DR161,АшламаДВ_Irekle,2,FALSE),VLOOKUP($DR161,АшламаДВ_Gomumy,2,FALSE)))</f>
        <v>Нет</v>
      </c>
      <c r="DT161" s="70" t="str">
        <f>IF($DR161="Нет","Нет",IF(Исходн.данные.!$AO161&gt;0,VLOOKUP($DR161,АшламаДВ_Irekle,3,FALSE),VLOOKUP($DR161,АшламаДВ_Gomumy,3,FALSE)))</f>
        <v>Нет</v>
      </c>
      <c r="DU161" s="70" t="str">
        <f>IF($DR161="Нет","Нет",IF(Исходн.данные.!$AO161&gt;0,VLOOKUP($DR161,АшламаДВ_Irekle,4,FALSE),VLOOKUP($DR161,АшламаДВ_Gomumy,4,FALSE)))</f>
        <v>Нет</v>
      </c>
      <c r="DV161" s="70"/>
      <c r="DW161" s="70"/>
      <c r="DX161" s="70"/>
      <c r="DY161" s="10">
        <f t="shared" si="248"/>
        <v>0</v>
      </c>
      <c r="DZ161" s="10">
        <f t="shared" si="249"/>
        <v>0</v>
      </c>
      <c r="EA161" s="10">
        <f t="shared" si="250"/>
        <v>0</v>
      </c>
      <c r="EB161" s="10">
        <f t="shared" si="251"/>
        <v>0</v>
      </c>
      <c r="EC161" s="10">
        <f t="shared" si="252"/>
        <v>0</v>
      </c>
      <c r="ED161" s="10">
        <f t="shared" si="253"/>
        <v>0</v>
      </c>
      <c r="EE161" s="10">
        <f t="shared" si="254"/>
        <v>0</v>
      </c>
      <c r="EF161" s="39">
        <f>EB161*Исходн.данные.!AJ161/1000</f>
        <v>0</v>
      </c>
      <c r="EG161" s="9">
        <f t="shared" si="255"/>
        <v>0</v>
      </c>
      <c r="EH161" s="9">
        <f t="shared" si="256"/>
        <v>0</v>
      </c>
      <c r="EI161" s="39" t="e">
        <f t="shared" si="206"/>
        <v>#DIV/0!</v>
      </c>
      <c r="EJ161" s="9" t="str">
        <f t="shared" si="227"/>
        <v>Азопреципитат</v>
      </c>
      <c r="EK161" s="12">
        <f t="shared" si="207"/>
        <v>0.26</v>
      </c>
      <c r="EL161" s="12">
        <f t="shared" si="208"/>
        <v>0.13</v>
      </c>
      <c r="EM161" s="12">
        <f t="shared" si="209"/>
        <v>0</v>
      </c>
      <c r="EN161" s="12" t="str">
        <f t="shared" si="228"/>
        <v>Нет</v>
      </c>
      <c r="EO161" s="12">
        <f t="shared" si="210"/>
        <v>0</v>
      </c>
      <c r="EP161" s="12">
        <f t="shared" si="211"/>
        <v>0</v>
      </c>
      <c r="EQ161" s="12">
        <f t="shared" si="212"/>
        <v>0</v>
      </c>
      <c r="ER161" s="12" t="str">
        <f t="shared" si="257"/>
        <v>Диаммофоска</v>
      </c>
      <c r="ES161" s="12">
        <f t="shared" si="213"/>
        <v>0.1</v>
      </c>
      <c r="ET161" s="12">
        <f t="shared" si="214"/>
        <v>0.26</v>
      </c>
      <c r="EU161" s="12">
        <f t="shared" si="215"/>
        <v>0.26</v>
      </c>
      <c r="EV161" s="12" t="str">
        <f t="shared" si="258"/>
        <v>Аммофос 12:52:00</v>
      </c>
      <c r="EW161" s="12" t="str">
        <f t="shared" si="259"/>
        <v>Кемира Свекловичное-6</v>
      </c>
      <c r="EX161" s="12">
        <f t="shared" si="216"/>
        <v>0.16</v>
      </c>
      <c r="EY161" s="12">
        <f t="shared" si="217"/>
        <v>0.12</v>
      </c>
      <c r="EZ161" s="12">
        <f t="shared" si="218"/>
        <v>0.17</v>
      </c>
      <c r="FA161" s="38" t="e">
        <f>IF(AND(OR(FJ161=$FD$1,FM161=$FD$1,FO161=$FD$1,FQ161=$FD$1,FS161=$FD$1),FD161=$FD$1,Исходн.данные.!J161&lt;2,FU161=$FD$1),"Бор,Кобальт",IF(AND(FO161=$FD$1,FH161=$FD$1,Исходн.данные.!J161&lt;2,FU161=$FD$1),"Бор,Кобальт",IF(AND(OR(FJ161=$FD$1,FM161=$FD$1,FQ161=$FD$1),FE161=$FD$1,Исходн.данные.!J161&lt;2,FT161=$FD$1,FU161=$FD$1),"Бор,Медь,Цинк",IF(AND(OR(FJ161=$FD$1,FR161="Да"),FI161="Да",Исходн.данные.!J161&lt;2,FT161="Да",FU161="Да"),"Бор,Цинк,Медь",IF(AND(OR(FM161="Да",FQ161="Да"),FI161="Да",Исходн.данные.!J161&lt;2,FT161="Да",FU161="Да"),"Бор,Цинк",IF(AND(FN161="Да",OR(FD161="Да",FE161="Да")),"Бор",FB161))))))</f>
        <v>#N/A</v>
      </c>
      <c r="FB161" s="134" t="e">
        <f>IF(AND(OR(FD161="Да",FE161="Да",FF161="Да",FG161="Да",FH161="Да"),FO161="Да"),"Бор",IF(AND(FP161="Да",OR(FD161="Да",FE161="Да",FI161="Да")),"Бор",IF(AND(FS161="Да",FE161="Да"),"Бор,Медь",IF(AND(OR(FJ161="Да",FK161="Да",FL161="Да"),FE161="Да",Исходн.данные.!I161&lt;5,FT161="Да",FU161="Да"),"Молибден,Цинк",IF(AND(FM161="Да",OR(FE161="Да",FF161="Да",FG161="Да",FH161="Да",FI161="Да")),"Молибден,Цинк",IF(AND(OR(FJ161="Да",FK161="Да",FL161="Да",FM161="Да",FQ161="Да"),OR(FE161="Да",FF161="Да"),FT161="Да",FU161="Да",Исходн.данные.!I161&gt;5.5),"Медь,Цинк",FC161))))))</f>
        <v>#N/A</v>
      </c>
      <c r="FC161" s="23" t="e">
        <f t="shared" si="260"/>
        <v>#N/A</v>
      </c>
      <c r="FD161" s="38" t="str">
        <f>IF(OR(Исходн.данные.!F161=$CC$1,Исходн.данные.!F161=$CC$2,Исходн.данные.!F161=$CC$3,Исходн.данные.!F161=$CC$4),"Да","Нет")</f>
        <v>Нет</v>
      </c>
      <c r="FE161" s="38" t="str">
        <f>IF(Исходн.данные.!F161=$CC$5,"Да","Нет")</f>
        <v>Нет</v>
      </c>
      <c r="FF161" s="38" t="str">
        <f>IF(OR(Исходн.данные.!F161=$CC$6,Исходн.данные.!F161=$CC$7),"Да","Нет")</f>
        <v>Нет</v>
      </c>
      <c r="FG161" s="38" t="str">
        <f>IF(OR(Исходн.данные.!F161=$CC$8,Исходн.данные.!F161=$CC$9),"Да","Нет")</f>
        <v>Нет</v>
      </c>
      <c r="FH161" s="38" t="str">
        <f>IF(Исходн.данные.!F161=$CC$10,"Да","Нет")</f>
        <v>Нет</v>
      </c>
      <c r="FI161" s="38" t="str">
        <f>IF(OR(Исходн.данные.!F161=$CC$11,Исходн.данные.!F161=$CC$12),"Да","Нет")</f>
        <v>Нет</v>
      </c>
      <c r="FJ161" s="38" t="str">
        <f>IF(OR(Исходн.данные.!AH161=$BS$1,Исходн.данные.!AH161=$BQ$11,Исходн.данные.!AH161=$BQ$12),"Да","Нет")</f>
        <v>Нет</v>
      </c>
      <c r="FK161" s="38" t="str">
        <f>IF(OR(Исходн.данные.!AH161=$BS$2,Исходн.данные.!AH161=$BS$4),"Да","Нет")</f>
        <v>Нет</v>
      </c>
      <c r="FL161" s="38" t="str">
        <f>IF(OR(Исходн.данные.!AH161=$BS$3,Исходн.данные.!AH161=$BS$5),"Да","Нет")</f>
        <v>Нет</v>
      </c>
      <c r="FM161" s="38" t="str">
        <f>IF(OR(Исходн.данные.!AH161=$BS$9,Исходн.данные.!AH161=$BS$10,Исходн.данные.!AH161=$BS$11,Исходн.данные.!AH161=$BS$12),"Да","Нет")</f>
        <v>Нет</v>
      </c>
      <c r="FN161" s="38" t="str">
        <f>IF(OR(Исходн.данные.!AH161=$BS$6,Исходн.данные.!AH161=$BP$3),"Да","Нет")</f>
        <v>Нет</v>
      </c>
      <c r="FO161" s="38" t="str">
        <f>IF(Исходн.данные.!AH161=$BQ$9,"Да","Нет")</f>
        <v>Нет</v>
      </c>
      <c r="FP161" s="38" t="str">
        <f>IF(OR(Исходн.данные.!AH161=$BS$8,Исходн.данные.!AH161=$BT$8),"Да","Нет")</f>
        <v>Нет</v>
      </c>
      <c r="FQ161" s="38" t="str">
        <f>IF(OR(Исходн.данные.!AH161=$BQ$7,Исходн.данные.!AH161=$BQ$8),"Да","Нет")</f>
        <v>Нет</v>
      </c>
      <c r="FR161" s="38" t="str">
        <f>IF(Исходн.данные.!AI161=$BU$9,"Да","Нет")</f>
        <v>Нет</v>
      </c>
      <c r="FS161" s="38" t="str">
        <f>IF(OR(Исходн.данные.!AH161=$BP$1,Исходн.данные.!AH161=$BP$2),"Да","Нет")</f>
        <v>Нет</v>
      </c>
      <c r="FT161" s="38" t="e">
        <f>IF((Исходн.данные.!K161*GO161*GS161*GW161+BL161*0.6+Исходн.данные.!Q161*4.5*0.275)&gt;90,"Да","Нет")</f>
        <v>#N/A</v>
      </c>
      <c r="FU161" s="38" t="e">
        <f>IF((Исходн.данные.!M161*GS161*GZ161+BM161*0.225)&gt;35,"Да","Нет")</f>
        <v>#N/A</v>
      </c>
      <c r="FV161" s="38" t="str">
        <f>IF(Исходн.данные.!O161&gt;175,"Да","Нет")</f>
        <v>Нет</v>
      </c>
      <c r="FW161" s="39" t="str">
        <f>IF(Исходн.данные.!I161&gt;5.5,"Да","Нет")</f>
        <v>Нет</v>
      </c>
      <c r="FX161" s="39" t="str">
        <f>IF(Исходн.данные.!J161&lt;2,"Да","Нет")</f>
        <v>Да</v>
      </c>
      <c r="FY161" s="39" t="e">
        <f>IF(HF161=$FY$16,0,Исходн.данные.!K161*GO161*GS161*GW161/HF161)</f>
        <v>#N/A</v>
      </c>
      <c r="FZ161" s="39" t="e">
        <f>Исходн.данные.!M161*GS161*GZ161/HG161</f>
        <v>#N/A</v>
      </c>
      <c r="GA161" s="39" t="e">
        <f>IF(K_Wyn=$FY$16,0,IF(Исходн.данные.!N161=Исходн.данные.!$L$10,Исходн.данные.!O161/1.1*GS161*HC161/HH161,IF(Исходн.данные.!N161=Исходн.данные.!$L$12,Исходн.данные.!O161/1.5*GS161*HC161/HH161,Исходн.данные.!O161*GS161*HC161/HH161)))</f>
        <v>#N/A</v>
      </c>
      <c r="GB161" s="39" t="e">
        <f>IF(HF161=$FY$16,0,((Исходн.данные.!Q161*N_Org+Исходн.данные.!R161*N_Sider+Исходн.данные.!S161*N_Soloma)*AO161+Расчет!BC161*VLOOKUP(Исходн.данные.!T161,Справ!$A$3:$O$57,15)*AO161+BB161*VLOOKUP(Исходн.данные.!T161,Справ!$A$3:$O$57,15)*AL161+(Исходн.данные.!V161*N_Rizotorf+Исходн.данные.!W161*N_Rizoagr))/HF161)</f>
        <v>#N/A</v>
      </c>
      <c r="GC161" s="39" t="e">
        <f>IF(HG161=$FY$16,0,((Исходн.данные.!Q161*Р_Org+Исходн.данные.!R161*P_Sider+Исходн.данные.!S161*P_Soloma)*AP161+Расчет!BC161*VLOOKUP(Исходн.данные.!T161,Справ!$A$3:$P$57,16)*AP161+BB161*VLOOKUP(Исходн.данные.!T161,Справ!$A$3:$P$57,16)*AM161)/HG161)</f>
        <v>#N/A</v>
      </c>
      <c r="GD161" s="39" t="e">
        <f>IF(HH161=$FY$16,0,((Исходн.данные.!Q161*К_Org+Исходн.данные.!R161*K_Sider+Исходн.данные.!S161*K_Soloma)*AQ161+Расчет!BC161*VLOOKUP(Исходн.данные.!T161,Справ!$A$3:$Q$57,17)*AQ161+BB161*VLOOKUP(Исходн.данные.!T161,Справ!$A$3:$Q$57,17)*AN161)/HH161)</f>
        <v>#N/A</v>
      </c>
      <c r="GE161" s="39" t="e">
        <f>IF(HF161=$FY$16,0,(Исходн.данные.!X161*AR161+Исходн.данные.!AA161*N_Org*AL161+Исходн.данные.!AB161*N_Sider*AL161+Исходн.данные.!AC161*N_Soloma*AL161)/HF161)</f>
        <v>#N/A</v>
      </c>
      <c r="GF161" s="39" t="e">
        <f>IF(HG161=$FY$16,0,(Исходн.данные.!Y161*AS161+Исходн.данные.!AA161*Р_Org*AM161+Исходн.данные.!AB161*P_Sider*AM161+Исходн.данные.!AC161*P_Soloma*AM161)/HG161)</f>
        <v>#N/A</v>
      </c>
      <c r="GG161" s="39" t="e">
        <f>IF(HH161=$FY$16,0,(Исходн.данные.!Z161*AT161+Исходн.данные.!AA161*К_Org*AN161+Исходн.данные.!AB161*K_Sider*AN161+Исходн.данные.!AC161*K_Soloma*AN161)/HH161)</f>
        <v>#N/A</v>
      </c>
      <c r="GH161" s="39" t="e">
        <f>Исходн.данные.!AD161*AU161/HF161</f>
        <v>#N/A</v>
      </c>
      <c r="GI161" s="39" t="e">
        <f>Исходн.данные.!AE161*AV161/HG161</f>
        <v>#N/A</v>
      </c>
      <c r="GJ161" s="39" t="e">
        <f>Исходн.данные.!AF161*AW161/HH161</f>
        <v>#N/A</v>
      </c>
      <c r="GK161" s="55">
        <f>Исходн.данные.!AK161</f>
        <v>0</v>
      </c>
      <c r="GL161" s="11" t="e">
        <f t="shared" si="261"/>
        <v>#N/A</v>
      </c>
      <c r="GM161" s="11" t="e">
        <f t="shared" si="262"/>
        <v>#N/A</v>
      </c>
      <c r="GN161" s="11" t="e">
        <f t="shared" si="263"/>
        <v>#N/A</v>
      </c>
      <c r="GO161" s="57">
        <f t="shared" si="264"/>
        <v>19</v>
      </c>
      <c r="GP161" s="55">
        <f>IF(OR(Исходн.данные.!F161=$CE$1,Исходн.данные.!F161=$CE$2,Исходн.данные.!F161=$CE$3,Исходн.данные.!F161=$CE$4,Исходн.данные.!F161=$CE$5),GQ161,GR161)</f>
        <v>19</v>
      </c>
      <c r="GQ161" s="55">
        <f>IF(Исходн.данные.!F161=$CE$1,28,IF(Исходн.данные.!F161=$CE$2,26,IF(Исходн.данные.!F161=$CE$3,24,IF(Исходн.данные.!F161=$CE$4,22,IF(Исходн.данные.!F161=$CE$5,20,GR161)))))</f>
        <v>19</v>
      </c>
      <c r="GR161" s="55">
        <f>IF(Исходн.данные.!F161=$CE$6,18,IF(Исходн.данные.!F161=$CE$7,16,IF(Исходн.данные.!F161=$CE$8,14,IF(Исходн.данные.!F161=$CE$9,13,IF(Исходн.данные.!F161=$CE$10,12,19)))))</f>
        <v>19</v>
      </c>
      <c r="GS161" s="55">
        <f>IF(Исходн.данные.!G161="Пес",0.035*(40+2*Исходн.данные.!H161),IF(Исходн.данные.!G161="Суп",0.0325*(40+2*Исходн.данные.!H161),0.03*(40+2*Исходн.данные.!H161)))</f>
        <v>1.2</v>
      </c>
      <c r="GT161" s="55">
        <f>IF(Исходн.данные.!H161&lt;23,2.6,IF(AND(Исходн.данные.!H161&gt;22,Исходн.данные.!H161&lt;26),3,IF(AND(Исходн.данные.!H161&gt;25,Исходн.данные.!H161&lt;29),3.4,3.6)))</f>
        <v>2.6</v>
      </c>
      <c r="GU161" s="55">
        <f>IF(Исходн.данные.!H161&lt;23,2.8,IF(AND(Исходн.данные.!H161&gt;22,Исходн.данные.!H161&lt;26),3.2,IF(AND(Исходн.данные.!H161&gt;25,Исходн.данные.!H161&lt;29),3.6,3.9)))</f>
        <v>2.8</v>
      </c>
      <c r="GV161" s="55">
        <f>IF(Исходн.данные.!H161&lt;23,3,IF(AND(Исходн.данные.!H161&gt;22,Исходн.данные.!H161&lt;26),3.5,IF(AND(Исходн.данные.!H161&gt;25,Исходн.данные.!H161&lt;29),3.9,4.2)))</f>
        <v>3</v>
      </c>
      <c r="GW161" s="55" t="e">
        <f>IF(Исходн.данные.!P161="Ум",GX161,GY161)</f>
        <v>#N/A</v>
      </c>
      <c r="GX161" s="55" t="e">
        <f>VLOOKUP(Исходн.данные.!AI161,Коэффициенты!$J$7:$L$13,2,FALSE)</f>
        <v>#N/A</v>
      </c>
      <c r="GY161" s="55" t="e">
        <f>VLOOKUP(Исходн.данные.!AI161,Коэффициенты!$J$7:$L$13,3,FALSE)</f>
        <v>#N/A</v>
      </c>
      <c r="GZ161" s="55" t="e">
        <f>(IF(Исходн.данные.!M161&lt;50,0.11*VLOOKUP(Исходн.данные.!AH161,Культуры.Информация,7,FALSE),IF(Исходн.данные.!M161&gt;250,0.05*VLOOKUP(Исходн.данные.!AH161,Культуры.Информация,7,FALSE),VLOOKUP(Исходн.данные.!AH161,Культуры.Информация,5,FALSE)/100*($GX$6+$GY$6*Исходн.данные.!M161))))*Расчет2!AI161</f>
        <v>#N/A</v>
      </c>
      <c r="HA161" s="211"/>
      <c r="HB161" s="211"/>
      <c r="HC161" s="55" t="e">
        <f>(IF(Исходн.данные.!O161&lt;80,0.2*VLOOKUP(Исходн.данные.!AH161,Культуры.Информация,8,FALSE),IF(Исходн.данные.!O161&gt;240,0.09*VLOOKUP(Исходн.данные.!AH161,Культуры.Информация,8,FALSE),VLOOKUP(Исходн.данные.!AH161,Культуры.Информация,6,FALSE)/100*($HB$6+$HC$6*Исходн.данные.!O161))))*Расчет2!AJ161</f>
        <v>#N/A</v>
      </c>
      <c r="HD161" s="55">
        <f>IF(Исходн.данные.!O161&gt;240,0.09,IF(Исходн.данные.!O161&lt;30,0.3,$HE$10+$HD$10*Исходн.данные.!O161))</f>
        <v>0.3</v>
      </c>
      <c r="HE161" s="55">
        <f>IF(Исходн.данные.!O161&gt;240,0.17,IF(Исходн.данные.!O161&lt;30,0.5,$HF$12+$HE$12*Исходн.данные.!O161))</f>
        <v>0.5</v>
      </c>
      <c r="HF161" s="55" t="e">
        <f>VLOOKUP(Исходн.данные.!AH161,Справ!$A$3:$D$58,2,FALSE)</f>
        <v>#N/A</v>
      </c>
      <c r="HG161" s="55" t="e">
        <f>VLOOKUP(Исходн.данные.!AH161,Справ!$A$3:$D$58,3,FALSE)</f>
        <v>#N/A</v>
      </c>
      <c r="HH161" s="55" t="e">
        <f>VLOOKUP(Исходн.данные.!AH161,Справ!$A$3:$D$58,4,FALSE)</f>
        <v>#N/A</v>
      </c>
      <c r="HI161" s="11" t="e">
        <f t="shared" si="265"/>
        <v>#N/A</v>
      </c>
      <c r="HJ161" s="11" t="e">
        <f t="shared" si="266"/>
        <v>#N/A</v>
      </c>
      <c r="HK161" s="11" t="e">
        <f t="shared" si="267"/>
        <v>#N/A</v>
      </c>
      <c r="HL161" s="55">
        <f>IF(OR(Исходн.данные.!G161="Глин",Исходн.данные.!G161="Т_суг"),1.1,IF(Исходн.данные.!G161="Ср_суг",1,1))</f>
        <v>1</v>
      </c>
      <c r="HM161" s="55">
        <f>IF(OR(Исходн.данные.!G161="Глин",Исходн.данные.!G161="Т_суг"),0.9,IF(Исходн.данные.!G161="Ср_суг",1,1.2))</f>
        <v>1.2</v>
      </c>
      <c r="HN161" s="11" t="e">
        <f t="shared" si="268"/>
        <v>#N/A</v>
      </c>
      <c r="HO161" s="11" t="e">
        <f t="shared" si="269"/>
        <v>#N/A</v>
      </c>
      <c r="HP161" s="11" t="e">
        <f t="shared" si="270"/>
        <v>#N/A</v>
      </c>
      <c r="HQ161" t="e">
        <f t="shared" si="271"/>
        <v>#N/A</v>
      </c>
      <c r="HR161" t="e">
        <f t="shared" si="272"/>
        <v>#N/A</v>
      </c>
      <c r="HS161" t="e">
        <f t="shared" si="273"/>
        <v>#N/A</v>
      </c>
      <c r="HT161" t="e">
        <f t="shared" si="219"/>
        <v>#N/A</v>
      </c>
      <c r="HU161" t="e">
        <f t="shared" si="220"/>
        <v>#N/A</v>
      </c>
      <c r="HV161" t="e">
        <f t="shared" si="221"/>
        <v>#N/A</v>
      </c>
      <c r="HW161" t="e">
        <f t="shared" si="222"/>
        <v>#N/A</v>
      </c>
      <c r="HX161" t="e">
        <f t="shared" si="223"/>
        <v>#N/A</v>
      </c>
      <c r="HY161" t="e">
        <f t="shared" si="224"/>
        <v>#N/A</v>
      </c>
      <c r="HZ161" s="55">
        <f>IF(OR(Исходн.данные.!AI161="Оз_Ч_П",Исходн.данные.!AI161="Оз_З_П",Исходн.данные.!AI161="Яр_зер"),12,30)</f>
        <v>30</v>
      </c>
      <c r="IA161" t="e">
        <f t="shared" si="274"/>
        <v>#N/A</v>
      </c>
      <c r="IB161" t="e">
        <f t="shared" si="275"/>
        <v>#N/A</v>
      </c>
      <c r="IC161" t="e">
        <f t="shared" si="276"/>
        <v>#N/A</v>
      </c>
      <c r="ID161" s="11" t="e">
        <f t="shared" si="277"/>
        <v>#N/A</v>
      </c>
      <c r="IE161" s="11" t="e">
        <f t="shared" si="278"/>
        <v>#N/A</v>
      </c>
      <c r="IF161" s="11" t="e">
        <f t="shared" si="279"/>
        <v>#N/A</v>
      </c>
    </row>
    <row r="162" spans="35:240" x14ac:dyDescent="0.2">
      <c r="AI162">
        <f>IF(Исходн.данные.!I162&gt;6,1,1.85-(0.148*Исходн.данные.!I162))</f>
        <v>1.85</v>
      </c>
      <c r="AJ162">
        <f>IF(Исходн.данные.!I162&gt;6,1,2.434-(0.246*Исходн.данные.!I162))</f>
        <v>2.4340000000000002</v>
      </c>
      <c r="AL162" s="148" t="b">
        <f>IF(Исходн.данные.!$P162="Ум",N_OrgUd_2g_um,IF(Исходн.данные.!$P162="Об",N_OrgUd_2g_ob))</f>
        <v>0</v>
      </c>
      <c r="AM162" s="148" t="b">
        <f>IF(Исходн.данные.!$P162="Ум",P_OrgUd_2g_um,IF(Исходн.данные.!$P162="Об",P_OrgUd_2g_ob))</f>
        <v>0</v>
      </c>
      <c r="AN162" s="148" t="b">
        <f>IF(Исходн.данные.!$P162="Ум",K_OrgUd_2g_um,IF(Исходн.данные.!$P162="Об",K_OrgUd_2g_ob))</f>
        <v>0</v>
      </c>
      <c r="AO162" s="148" t="b">
        <f>IF(Исходн.данные.!$P162="Ум",N_OrgUd_1g_um,IF(Исходн.данные.!$P162="Об",N_OrgUd_1g_ob))</f>
        <v>0</v>
      </c>
      <c r="AP162" s="148" t="b">
        <f>IF(Исходн.данные.!$P162="Ум",P_OrgUd_1g_um,IF(Исходн.данные.!$P162="Об",P_OrgUd_1g_ob))</f>
        <v>0</v>
      </c>
      <c r="AQ162" s="148" t="b">
        <f>IF(Исходн.данные.!$P162="Ум",K_OrgUd_1g_um,IF(Исходн.данные.!$P162="Об",K_OrgUd_1g_ob))</f>
        <v>0</v>
      </c>
      <c r="AR162" t="b">
        <f>IF(Исходн.данные.!$P162="Ум",N_MinUd_2g_um,IF(Исходн.данные.!$P162="Об",N_MinUd_2g_ob))</f>
        <v>0</v>
      </c>
      <c r="AS162" t="b">
        <f>IF(Исходн.данные.!$P162="Ум",P_MinUd_2g_um,IF(Исходн.данные.!$P162="Об",P_MinUd_2g_ob))</f>
        <v>0</v>
      </c>
      <c r="AT162" t="b">
        <f>IF(Исходн.данные.!$P162="Ум",K_MinUd_2g_um,IF(Исходн.данные.!$P162="Об",K_MinUd_2g_ob))</f>
        <v>0</v>
      </c>
      <c r="AU162" t="b">
        <f>IF(Исходн.данные.!$P162="Ум",N_MinUd_1g_um,IF(Исходн.данные.!$P162="Об",N_MinUd_1g_ob))</f>
        <v>0</v>
      </c>
      <c r="AV162" t="b">
        <f>IF(Исходн.данные.!P162="Ум",P_MinUd_1g_um,IF(Исходн.данные.!P162="Об",P_MinUd_1g_ob))</f>
        <v>0</v>
      </c>
      <c r="AW162" t="b">
        <f>IF(Исходн.данные.!P162="Ум",K_MinUd_1g_um,IF(Исходн.данные.!P162="Об",K_MinUd_1g_ob))</f>
        <v>0</v>
      </c>
      <c r="AY162" t="e">
        <f>VLOOKUP(Исходн.данные.!T162,Справ!$A$3:$N$57,12)</f>
        <v>#N/A</v>
      </c>
      <c r="AZ162" t="e">
        <f>VLOOKUP(Исходн.данные.!T162,Справ!$A$3:$N$57,13)</f>
        <v>#N/A</v>
      </c>
      <c r="BA162" t="e">
        <f>VLOOKUP(Исходн.данные.!T162,Справ!$A$3:$N$57,14)</f>
        <v>#N/A</v>
      </c>
      <c r="BB162">
        <f>IF(Исходн.данные.!AH162=0,0,25)</f>
        <v>0</v>
      </c>
      <c r="BC162" s="141">
        <f>IF(Исходн.данные.!AH162=0,0,IF(Исходн.данные.!T162=0,25,BD162))</f>
        <v>0</v>
      </c>
      <c r="BD162" s="168" t="e">
        <f>AY162+AZ162*Исходн.данные.!U162-POWER(BA162,2)*Исходн.данные.!U162</f>
        <v>#N/A</v>
      </c>
      <c r="BE16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2" s="25">
        <f>IF(Исходн.данные.!AH162=0,0,MIN(HN162:HP162))</f>
        <v>0</v>
      </c>
      <c r="BG162" s="9">
        <f>IF(Исходн.данные.!AH162=0,0,IF((HO162+10*0.25/HG162/HL162)&lt;17,17,HO162+10*0.25/HG162/HL162))</f>
        <v>0</v>
      </c>
      <c r="BH162" s="181">
        <f>IF(Исходн.данные.!AH162=0,0,HW162*HF162*HL162/AU162*AI162+Исходн.данные.!S162*10)</f>
        <v>0</v>
      </c>
      <c r="BI162" s="10"/>
      <c r="BJ162" s="182">
        <f>IF(Исходн.данные.!AH162=0,0,IF(HX162*HG162*HL162/AV162&lt;0,0,HX162*HG162*HL162/AV162*AJ162))</f>
        <v>0</v>
      </c>
      <c r="BK162" s="182">
        <f>IF(Исходн.данные.!AH162=0,0,HY162*HH162*HM162/AW162)</f>
        <v>0</v>
      </c>
      <c r="BL162" s="10">
        <f>IF(OR(Исходн.данные.!$AH162=$BP$1,Исходн.данные.!$AH162=$BP$2),0,IF(BH162&lt;0,0,IF(OR(Исходн.данные.!T162=Расчет!$BP$1,Исходн.данные.!T162=Расчет!$BP$2,Исходн.данные.!T162=Расчет!$BT$5,Исходн.данные.!T162=Расчет!$BT$6),BH162*0.5,IF(OR(Исходн.данные.!T162=Расчет!$BS$9,Исходн.данные.!T162=Расчет!$BS$10,Исходн.данные.!T162=Расчет!$BS$11,Исходн.данные.!T162=Расчет!$BS$12,Исходн.данные.!T162=Расчет!$BP$5),BH162*0.8,BH162))))</f>
        <v>0</v>
      </c>
      <c r="BM162" s="10">
        <f>IF(OR(Исходн.данные.!$AH162=$BP$1,Исходн.данные.!$AH162=$BP$2),0,IF(BJ162&lt;0,0,IF(Исходн.данные.!I162&lt;4.5,BJ162*1.2,IF(Исходн.данные.!I162&gt;5.1,BJ162,BJ162*((5.1-Исходн.данные.!I162)*0.333+1)))))</f>
        <v>0</v>
      </c>
      <c r="BN162" s="10">
        <f>IF(OR(Исходн.данные.!$AH162=$BP$1,Исходн.данные.!$AH162=$BP$2),60-Исходн.данные.!AF162,IF(BK162&lt;0,0,IF(Исходн.данные.!I162&lt;4.5,BK162*1.2,IF(Исходн.данные.!I162&gt;5.1,BK162,BK162*((5.1-Исходн.данные.!I162)*0.333+1)))))</f>
        <v>0</v>
      </c>
      <c r="BO162" s="9">
        <f>IF(BL162&lt;0,0,BL162*Исходн.данные.!$AJ162/1000)</f>
        <v>0</v>
      </c>
      <c r="BP162" s="9">
        <f>IF(BM162&lt;0,0,BM162*Исходн.данные.!$AJ162/1000)</f>
        <v>0</v>
      </c>
      <c r="BQ162" s="9">
        <f>IF(BN162&lt;0,0,BN162*Исходн.данные.!$AJ162/1000)</f>
        <v>0</v>
      </c>
      <c r="BR162" s="9">
        <f t="shared" si="229"/>
        <v>0</v>
      </c>
      <c r="BS162" s="10" t="str">
        <f t="shared" si="230"/>
        <v>Аммофос 12:52:00</v>
      </c>
      <c r="BT162" s="10" t="str">
        <f t="shared" si="231"/>
        <v>Аммофос 12:52:00</v>
      </c>
      <c r="BU162" s="10" t="str">
        <f t="shared" si="232"/>
        <v>Диаммофоска</v>
      </c>
      <c r="BV162" s="10">
        <f t="shared" si="233"/>
        <v>0</v>
      </c>
      <c r="BW162" s="10"/>
      <c r="BX162" s="10"/>
      <c r="BY162" s="9">
        <f>IF(BL162&lt;0,0,IF(OR(Исходн.данные.!AI162=Расчет!$BU$6,Исходн.данные.!AI162=Расчет!$BU$7),Расчет!BV162,IF(Исходн.данные.!$AG162=$BV$11,BL162,IF(OR(Исходн.данные.!$AH162=$BQ$7,Исходн.данные.!$AH162=$BQ$8),CB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0,IF(Исходн.данные.!$AI162=$BU$11,"Нет",IF(BL162&gt;30,30,BL162)))))))</f>
        <v>0</v>
      </c>
      <c r="BZ162" s="9">
        <f>IF(AND(Исходн.данные.!$AG162=$BV$11,BM162&lt;10),10,IF(Исходн.данные.!$AG162=$BV$11,BM162,IF(OR(Исходн.данные.!$AH162=$BQ$7,Исходн.данные.!$AH162=$BQ$8),CC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10,IF(Исходн.данные.!$AI162=$BU$11,"Нет",IF(BM162&gt;60,60,IF(BM162&lt;10,10,BM162)))))))</f>
        <v>10</v>
      </c>
      <c r="CA162" s="39">
        <f>IF(BN162&lt;0,0,IF(Исходн.данные.!$AG162=$BV$11,BN162,IF(OR(Исходн.данные.!$AH162=$BQ$7,Исходн.данные.!$AH162=$BQ$8),CD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0,IF(Исходн.данные.!$AI162=$BU$11,"Нет",IF(BN162&gt;30,30,BN162))))))</f>
        <v>0</v>
      </c>
      <c r="CB162" s="9">
        <f t="shared" si="234"/>
        <v>0</v>
      </c>
      <c r="CC162" s="9">
        <f t="shared" si="235"/>
        <v>0</v>
      </c>
      <c r="CD162" s="9">
        <f t="shared" si="236"/>
        <v>0</v>
      </c>
      <c r="CE162" s="12">
        <f t="shared" si="237"/>
        <v>10</v>
      </c>
      <c r="CF162" s="9">
        <f t="shared" si="238"/>
        <v>0</v>
      </c>
      <c r="CG162" s="9" t="s">
        <v>231</v>
      </c>
      <c r="CH162" s="132" t="str">
        <f>IF(Исходн.данные.!AP162=Расчет!$CI$16,"Нет",IF(Исходн.данные.!AL162&gt;0,Исходн.данные.!AL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BH$4,IF(OR(Исходн.данные.!AI162=Исходн.данные.!$AI$6,Исходн.данные.!AI162=Исходн.данные.!$AI$7),Расчет!BS162,IF(AND($CF162=0,$CE162&gt;0),EV162,ER162)))))</f>
        <v>Аммофос 12:52:00</v>
      </c>
      <c r="CI162" s="274">
        <f>IF(Расчет!$CH162="Нет","Нет",IF(Исходн.данные.!$AL162&gt;0,VLOOKUP(Расчет!$CH162,АшламаДВ_Irekle,2,FALSE),VLOOKUP(Расчет!$CH162,АшламаДВ_Gomumy,2,FALSE)))</f>
        <v>0.12</v>
      </c>
      <c r="CJ162" s="274">
        <f>IF(Расчет!$CH162="Нет","Нет",IF(Исходн.данные.!$AL162&gt;0,VLOOKUP(Расчет!$CH162,АшламаДВ_Irekle,3,FALSE),VLOOKUP(Расчет!$CH162,АшламаДВ_Gomumy,3,FALSE)))</f>
        <v>0.52</v>
      </c>
      <c r="CK162" s="274">
        <f>IF(Расчет!$CH162="Нет","Нет",IF(Исходн.данные.!$AL162&gt;0,VLOOKUP(Расчет!$CH162,АшламаДВ_Irekle,4,FALSE),VLOOKUP(Расчет!$CH162,АшламаДВ_Gomumy,4,FALSE)))</f>
        <v>0</v>
      </c>
      <c r="CL162" s="70"/>
      <c r="CM162" s="70"/>
      <c r="CN162" s="70"/>
      <c r="CO162" s="70"/>
      <c r="CP162" s="70"/>
      <c r="CQ162" s="70"/>
      <c r="CR162" s="10">
        <f t="shared" si="239"/>
        <v>0</v>
      </c>
      <c r="CS162" s="10">
        <f t="shared" si="240"/>
        <v>19.23076923076923</v>
      </c>
      <c r="CT162" s="10">
        <f t="shared" si="241"/>
        <v>0</v>
      </c>
      <c r="CU162" s="39">
        <f>IF($CH162="Нет",0,IF(CI162=0,30/MIN(CJ162:CK162),IF(Исходн.данные.!$AG162=$BV$11,CR162,IF(OR(Исходн.данные.!$AH162=$BQ$7,Исходн.данные.!$AH162=$BQ$8),90/CI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0,IF(Исходн.данные.!$AI162=$BU$11,"Нет",30/CI162))))))</f>
        <v>250</v>
      </c>
      <c r="CV162" s="39">
        <f>IF($CH162="Нет",0,IF(Исходн.данные.!AH162=0,0,IF(CJ162=0,60/MIN(CI162,CK162),IF(Исходн.данные.!$AG162=$BV$11,CS162,IF(OR(Исходн.данные.!$AH162=$BQ$7,Исходн.данные.!$AH162=$BQ$8),90/CJ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10/CJ162,IF(Исходн.данные.!$AI162=$BU$11,"Нет",60/CJ162)))))))</f>
        <v>0</v>
      </c>
      <c r="CW162" s="39">
        <f>IF($CH162="Нет",0,IF(Исходн.данные.!AH162=0,0,IF(CK162=0,30/MIN(CI162:CJ162),IF(Исходн.данные.!$AG162=$BV$11,CT162,IF(OR(Исходн.данные.!$AH162=$BQ$7,Исходн.данные.!$AH162=$BQ$8),90/CK162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0,IF(Исходн.данные.!$AI162=$BU$11,"Нет",30/CK162)))))))</f>
        <v>0</v>
      </c>
      <c r="CX162" s="133">
        <f>IF(Исходн.данные.!$AG162=$BV$11,MAX(CU162:CW162),IF(OR(Исходн.данные.!$AH162=$BS$8,Исходн.данные.!$AH162=$BQ$9,Исходн.данные.!$AH162=$BQ$10,Исходн.данные.!$AH162=$BQ$11,Исходн.данные.!$AH162=$BQ$12,Исходн.данные.!$AH162=$BP$3,Исходн.данные.!$AH162=$BT$8,$FM162="Да"),CV162,MIN(CU162:CW162)))</f>
        <v>0</v>
      </c>
      <c r="CY162" s="133">
        <f>IF(Исходн.данные.!AH162=0,0,IF(CR162&gt;$CX162,$CX162,CR162))</f>
        <v>0</v>
      </c>
      <c r="CZ162" s="133">
        <f>IF(Исходн.данные.!AH162=0,0,IF(CS162&gt;$CX162,$CX162,CS162))</f>
        <v>0</v>
      </c>
      <c r="DA162" s="133">
        <f>IF(Исходн.данные.!AH162=0,0,IF(CT162&gt;$CX162,$CX162,CT162))</f>
        <v>0</v>
      </c>
      <c r="DB162" s="10">
        <f t="shared" si="242"/>
        <v>0</v>
      </c>
      <c r="DC162" s="39">
        <f>DB162*Исходн.данные.!AJ162/1000</f>
        <v>0</v>
      </c>
      <c r="DD162" s="71">
        <f t="shared" si="243"/>
        <v>0</v>
      </c>
      <c r="DE162" s="9">
        <f t="shared" si="244"/>
        <v>0</v>
      </c>
      <c r="DF162" s="9">
        <f t="shared" si="245"/>
        <v>0</v>
      </c>
      <c r="DG162" s="39">
        <f>IF(BL162&lt;0,0,IF($CH162="Нет",BL162,IF(OR(Исходн.данные.!$AH162=$BP$1,Исходн.данные.!$AH162=$BP$2),0,IF(Исходн.данные.!AI162=$BU$11,BL162,IF(BL162-DD162&lt;0,0,BL162-DD162)))))</f>
        <v>0</v>
      </c>
      <c r="DH162" s="39">
        <f>IF(BM162&lt;0,0,IF($CH162="Нет",BM162,IF(OR(Исходн.данные.!$AH162=$BP$1,Исходн.данные.!$AH162=$BP$2),0,IF(Исходн.данные.!AJ162=$BU$11,BM162,IF(BM162-DE162&lt;0,0,BM162-DE162)))))</f>
        <v>0</v>
      </c>
      <c r="DI162" s="39">
        <f>IF(BN162&lt;0,0,IF($CH162="Нет",BN162,IF(OR(Исходн.данные.!$AH162=$BP$1,Исходн.данные.!$AH162=$BP$2),0,IF(Исходн.данные.!AK162=$BU$11,BN162,IF(BN162-DF162&lt;0,0,BN162-DF162)))))</f>
        <v>0</v>
      </c>
      <c r="DJ162" s="12">
        <f t="shared" si="246"/>
        <v>0</v>
      </c>
      <c r="DK162" s="9">
        <f t="shared" si="247"/>
        <v>0</v>
      </c>
      <c r="DL162" s="39">
        <f>IF(Исходн.данные.!AM162&gt;0,Исходн.данные.!AM162,IF(EG162&gt;0,$BH$10,0))</f>
        <v>0</v>
      </c>
      <c r="DM162" s="186">
        <f>IF($DL162=0,0,IF(Исходн.данные.!AM162&gt;0,VLOOKUP($DL162,АшламаДВ_Irekle,2,FALSE),VLOOKUP($DL162,АшламаДВ_Gomumy,2,FALSE)))</f>
        <v>0</v>
      </c>
      <c r="DN162" s="10">
        <f t="shared" si="225"/>
        <v>0</v>
      </c>
      <c r="DO162" s="9" t="str">
        <f>IF(Исходн.данные.!AN162&gt;0,Исходн.данные.!AN162,Удобрения!$B$37 )</f>
        <v>Хлор.калий</v>
      </c>
      <c r="DP162" s="9">
        <f>IF(Исходн.данные.!AN162&gt;0,VLOOKUP(Исходн.данные.!AN162,АшламаДВ_Irekle,4,FALSE),VLOOKUP(DO162,АшламаДВ_Gomumy,4,FALSE))</f>
        <v>0.6</v>
      </c>
      <c r="DQ162" s="10">
        <f t="shared" si="226"/>
        <v>0</v>
      </c>
      <c r="DR162" s="132" t="str">
        <f>IF(Исходн.данные.!AO162&gt;0,Исходн.данные.!AO162,IF(DH162=0,BS$17,IF(AND($DK162=0,$DJ162&gt;0),EJ162,EN162)))</f>
        <v>Нет</v>
      </c>
      <c r="DS162" s="70" t="str">
        <f>IF($DR162="Нет","Нет",IF(Исходн.данные.!$AO162&gt;0,VLOOKUP($DR162,АшламаДВ_Irekle,2,FALSE),VLOOKUP($DR162,АшламаДВ_Gomumy,2,FALSE)))</f>
        <v>Нет</v>
      </c>
      <c r="DT162" s="70" t="str">
        <f>IF($DR162="Нет","Нет",IF(Исходн.данные.!$AO162&gt;0,VLOOKUP($DR162,АшламаДВ_Irekle,3,FALSE),VLOOKUP($DR162,АшламаДВ_Gomumy,3,FALSE)))</f>
        <v>Нет</v>
      </c>
      <c r="DU162" s="70" t="str">
        <f>IF($DR162="Нет","Нет",IF(Исходн.данные.!$AO162&gt;0,VLOOKUP($DR162,АшламаДВ_Irekle,4,FALSE),VLOOKUP($DR162,АшламаДВ_Gomumy,4,FALSE)))</f>
        <v>Нет</v>
      </c>
      <c r="DV162" s="70"/>
      <c r="DW162" s="70"/>
      <c r="DX162" s="70"/>
      <c r="DY162" s="10">
        <f t="shared" si="248"/>
        <v>0</v>
      </c>
      <c r="DZ162" s="10">
        <f t="shared" si="249"/>
        <v>0</v>
      </c>
      <c r="EA162" s="10">
        <f t="shared" si="250"/>
        <v>0</v>
      </c>
      <c r="EB162" s="10">
        <f t="shared" si="251"/>
        <v>0</v>
      </c>
      <c r="EC162" s="10">
        <f t="shared" si="252"/>
        <v>0</v>
      </c>
      <c r="ED162" s="10">
        <f t="shared" si="253"/>
        <v>0</v>
      </c>
      <c r="EE162" s="10">
        <f t="shared" si="254"/>
        <v>0</v>
      </c>
      <c r="EF162" s="39">
        <f>EB162*Исходн.данные.!AJ162/1000</f>
        <v>0</v>
      </c>
      <c r="EG162" s="9">
        <f t="shared" si="255"/>
        <v>0</v>
      </c>
      <c r="EH162" s="9">
        <f t="shared" si="256"/>
        <v>0</v>
      </c>
      <c r="EI162" s="39" t="e">
        <f t="shared" si="206"/>
        <v>#DIV/0!</v>
      </c>
      <c r="EJ162" s="9" t="str">
        <f t="shared" si="227"/>
        <v>Азопреципитат</v>
      </c>
      <c r="EK162" s="12">
        <f t="shared" si="207"/>
        <v>0.26</v>
      </c>
      <c r="EL162" s="12">
        <f t="shared" si="208"/>
        <v>0.13</v>
      </c>
      <c r="EM162" s="12">
        <f t="shared" si="209"/>
        <v>0</v>
      </c>
      <c r="EN162" s="12" t="str">
        <f t="shared" si="228"/>
        <v>Нет</v>
      </c>
      <c r="EO162" s="12">
        <f t="shared" si="210"/>
        <v>0</v>
      </c>
      <c r="EP162" s="12">
        <f t="shared" si="211"/>
        <v>0</v>
      </c>
      <c r="EQ162" s="12">
        <f t="shared" si="212"/>
        <v>0</v>
      </c>
      <c r="ER162" s="12" t="str">
        <f t="shared" si="257"/>
        <v>Диаммофоска</v>
      </c>
      <c r="ES162" s="12">
        <f t="shared" si="213"/>
        <v>0.1</v>
      </c>
      <c r="ET162" s="12">
        <f t="shared" si="214"/>
        <v>0.26</v>
      </c>
      <c r="EU162" s="12">
        <f t="shared" si="215"/>
        <v>0.26</v>
      </c>
      <c r="EV162" s="12" t="str">
        <f t="shared" si="258"/>
        <v>Аммофос 12:52:00</v>
      </c>
      <c r="EW162" s="12" t="str">
        <f t="shared" si="259"/>
        <v>Кемира Свекловичное-6</v>
      </c>
      <c r="EX162" s="12">
        <f t="shared" si="216"/>
        <v>0.16</v>
      </c>
      <c r="EY162" s="12">
        <f t="shared" si="217"/>
        <v>0.12</v>
      </c>
      <c r="EZ162" s="12">
        <f t="shared" si="218"/>
        <v>0.17</v>
      </c>
      <c r="FA162" s="38" t="e">
        <f>IF(AND(OR(FJ162=$FD$1,FM162=$FD$1,FO162=$FD$1,FQ162=$FD$1,FS162=$FD$1),FD162=$FD$1,Исходн.данные.!J162&lt;2,FU162=$FD$1),"Бор,Кобальт",IF(AND(FO162=$FD$1,FH162=$FD$1,Исходн.данные.!J162&lt;2,FU162=$FD$1),"Бор,Кобальт",IF(AND(OR(FJ162=$FD$1,FM162=$FD$1,FQ162=$FD$1),FE162=$FD$1,Исходн.данные.!J162&lt;2,FT162=$FD$1,FU162=$FD$1),"Бор,Медь,Цинк",IF(AND(OR(FJ162=$FD$1,FR162="Да"),FI162="Да",Исходн.данные.!J162&lt;2,FT162="Да",FU162="Да"),"Бор,Цинк,Медь",IF(AND(OR(FM162="Да",FQ162="Да"),FI162="Да",Исходн.данные.!J162&lt;2,FT162="Да",FU162="Да"),"Бор,Цинк",IF(AND(FN162="Да",OR(FD162="Да",FE162="Да")),"Бор",FB162))))))</f>
        <v>#N/A</v>
      </c>
      <c r="FB162" s="134" t="e">
        <f>IF(AND(OR(FD162="Да",FE162="Да",FF162="Да",FG162="Да",FH162="Да"),FO162="Да"),"Бор",IF(AND(FP162="Да",OR(FD162="Да",FE162="Да",FI162="Да")),"Бор",IF(AND(FS162="Да",FE162="Да"),"Бор,Медь",IF(AND(OR(FJ162="Да",FK162="Да",FL162="Да"),FE162="Да",Исходн.данные.!I162&lt;5,FT162="Да",FU162="Да"),"Молибден,Цинк",IF(AND(FM162="Да",OR(FE162="Да",FF162="Да",FG162="Да",FH162="Да",FI162="Да")),"Молибден,Цинк",IF(AND(OR(FJ162="Да",FK162="Да",FL162="Да",FM162="Да",FQ162="Да"),OR(FE162="Да",FF162="Да"),FT162="Да",FU162="Да",Исходн.данные.!I162&gt;5.5),"Медь,Цинк",FC162))))))</f>
        <v>#N/A</v>
      </c>
      <c r="FC162" s="23" t="e">
        <f t="shared" si="260"/>
        <v>#N/A</v>
      </c>
      <c r="FD162" s="38" t="str">
        <f>IF(OR(Исходн.данные.!F162=$CC$1,Исходн.данные.!F162=$CC$2,Исходн.данные.!F162=$CC$3,Исходн.данные.!F162=$CC$4),"Да","Нет")</f>
        <v>Нет</v>
      </c>
      <c r="FE162" s="38" t="str">
        <f>IF(Исходн.данные.!F162=$CC$5,"Да","Нет")</f>
        <v>Нет</v>
      </c>
      <c r="FF162" s="38" t="str">
        <f>IF(OR(Исходн.данные.!F162=$CC$6,Исходн.данные.!F162=$CC$7),"Да","Нет")</f>
        <v>Нет</v>
      </c>
      <c r="FG162" s="38" t="str">
        <f>IF(OR(Исходн.данные.!F162=$CC$8,Исходн.данные.!F162=$CC$9),"Да","Нет")</f>
        <v>Нет</v>
      </c>
      <c r="FH162" s="38" t="str">
        <f>IF(Исходн.данные.!F162=$CC$10,"Да","Нет")</f>
        <v>Нет</v>
      </c>
      <c r="FI162" s="38" t="str">
        <f>IF(OR(Исходн.данные.!F162=$CC$11,Исходн.данные.!F162=$CC$12),"Да","Нет")</f>
        <v>Нет</v>
      </c>
      <c r="FJ162" s="38" t="str">
        <f>IF(OR(Исходн.данные.!AH162=$BS$1,Исходн.данные.!AH162=$BQ$11,Исходн.данные.!AH162=$BQ$12),"Да","Нет")</f>
        <v>Нет</v>
      </c>
      <c r="FK162" s="38" t="str">
        <f>IF(OR(Исходн.данные.!AH162=$BS$2,Исходн.данные.!AH162=$BS$4),"Да","Нет")</f>
        <v>Нет</v>
      </c>
      <c r="FL162" s="38" t="str">
        <f>IF(OR(Исходн.данные.!AH162=$BS$3,Исходн.данные.!AH162=$BS$5),"Да","Нет")</f>
        <v>Нет</v>
      </c>
      <c r="FM162" s="38" t="str">
        <f>IF(OR(Исходн.данные.!AH162=$BS$9,Исходн.данные.!AH162=$BS$10,Исходн.данные.!AH162=$BS$11,Исходн.данные.!AH162=$BS$12),"Да","Нет")</f>
        <v>Нет</v>
      </c>
      <c r="FN162" s="38" t="str">
        <f>IF(OR(Исходн.данные.!AH162=$BS$6,Исходн.данные.!AH162=$BP$3),"Да","Нет")</f>
        <v>Нет</v>
      </c>
      <c r="FO162" s="38" t="str">
        <f>IF(Исходн.данные.!AH162=$BQ$9,"Да","Нет")</f>
        <v>Нет</v>
      </c>
      <c r="FP162" s="38" t="str">
        <f>IF(OR(Исходн.данные.!AH162=$BS$8,Исходн.данные.!AH162=$BT$8),"Да","Нет")</f>
        <v>Нет</v>
      </c>
      <c r="FQ162" s="38" t="str">
        <f>IF(OR(Исходн.данные.!AH162=$BQ$7,Исходн.данные.!AH162=$BQ$8),"Да","Нет")</f>
        <v>Нет</v>
      </c>
      <c r="FR162" s="38" t="str">
        <f>IF(Исходн.данные.!AI162=$BU$9,"Да","Нет")</f>
        <v>Нет</v>
      </c>
      <c r="FS162" s="38" t="str">
        <f>IF(OR(Исходн.данные.!AH162=$BP$1,Исходн.данные.!AH162=$BP$2),"Да","Нет")</f>
        <v>Нет</v>
      </c>
      <c r="FT162" s="38" t="e">
        <f>IF((Исходн.данные.!K162*GO162*GS162*GW162+BL162*0.6+Исходн.данные.!Q162*4.5*0.275)&gt;90,"Да","Нет")</f>
        <v>#N/A</v>
      </c>
      <c r="FU162" s="38" t="e">
        <f>IF((Исходн.данные.!M162*GS162*GZ162+BM162*0.225)&gt;35,"Да","Нет")</f>
        <v>#N/A</v>
      </c>
      <c r="FV162" s="38" t="str">
        <f>IF(Исходн.данные.!O162&gt;175,"Да","Нет")</f>
        <v>Нет</v>
      </c>
      <c r="FW162" s="39" t="str">
        <f>IF(Исходн.данные.!I162&gt;5.5,"Да","Нет")</f>
        <v>Нет</v>
      </c>
      <c r="FX162" s="39" t="str">
        <f>IF(Исходн.данные.!J162&lt;2,"Да","Нет")</f>
        <v>Да</v>
      </c>
      <c r="FY162" s="39" t="e">
        <f>IF(HF162=$FY$16,0,Исходн.данные.!K162*GO162*GS162*GW162/HF162)</f>
        <v>#N/A</v>
      </c>
      <c r="FZ162" s="39" t="e">
        <f>Исходн.данные.!M162*GS162*GZ162/HG162</f>
        <v>#N/A</v>
      </c>
      <c r="GA162" s="39" t="e">
        <f>IF(K_Wyn=$FY$16,0,IF(Исходн.данные.!N162=Исходн.данные.!$L$10,Исходн.данные.!O162/1.1*GS162*HC162/HH162,IF(Исходн.данные.!N162=Исходн.данные.!$L$12,Исходн.данные.!O162/1.5*GS162*HC162/HH162,Исходн.данные.!O162*GS162*HC162/HH162)))</f>
        <v>#N/A</v>
      </c>
      <c r="GB162" s="39" t="e">
        <f>IF(HF162=$FY$16,0,((Исходн.данные.!Q162*N_Org+Исходн.данные.!R162*N_Sider+Исходн.данные.!S162*N_Soloma)*AO162+Расчет!BC162*VLOOKUP(Исходн.данные.!T162,Справ!$A$3:$O$57,15)*AO162+BB162*VLOOKUP(Исходн.данные.!T162,Справ!$A$3:$O$57,15)*AL162+(Исходн.данные.!V162*N_Rizotorf+Исходн.данные.!W162*N_Rizoagr))/HF162)</f>
        <v>#N/A</v>
      </c>
      <c r="GC162" s="39" t="e">
        <f>IF(HG162=$FY$16,0,((Исходн.данные.!Q162*Р_Org+Исходн.данные.!R162*P_Sider+Исходн.данные.!S162*P_Soloma)*AP162+Расчет!BC162*VLOOKUP(Исходн.данные.!T162,Справ!$A$3:$P$57,16)*AP162+BB162*VLOOKUP(Исходн.данные.!T162,Справ!$A$3:$P$57,16)*AM162)/HG162)</f>
        <v>#N/A</v>
      </c>
      <c r="GD162" s="39" t="e">
        <f>IF(HH162=$FY$16,0,((Исходн.данные.!Q162*К_Org+Исходн.данные.!R162*K_Sider+Исходн.данные.!S162*K_Soloma)*AQ162+Расчет!BC162*VLOOKUP(Исходн.данные.!T162,Справ!$A$3:$Q$57,17)*AQ162+BB162*VLOOKUP(Исходн.данные.!T162,Справ!$A$3:$Q$57,17)*AN162)/HH162)</f>
        <v>#N/A</v>
      </c>
      <c r="GE162" s="39" t="e">
        <f>IF(HF162=$FY$16,0,(Исходн.данные.!X162*AR162+Исходн.данные.!AA162*N_Org*AL162+Исходн.данные.!AB162*N_Sider*AL162+Исходн.данные.!AC162*N_Soloma*AL162)/HF162)</f>
        <v>#N/A</v>
      </c>
      <c r="GF162" s="39" t="e">
        <f>IF(HG162=$FY$16,0,(Исходн.данные.!Y162*AS162+Исходн.данные.!AA162*Р_Org*AM162+Исходн.данные.!AB162*P_Sider*AM162+Исходн.данные.!AC162*P_Soloma*AM162)/HG162)</f>
        <v>#N/A</v>
      </c>
      <c r="GG162" s="39" t="e">
        <f>IF(HH162=$FY$16,0,(Исходн.данные.!Z162*AT162+Исходн.данные.!AA162*К_Org*AN162+Исходн.данные.!AB162*K_Sider*AN162+Исходн.данные.!AC162*K_Soloma*AN162)/HH162)</f>
        <v>#N/A</v>
      </c>
      <c r="GH162" s="39" t="e">
        <f>Исходн.данные.!AD162*AU162/HF162</f>
        <v>#N/A</v>
      </c>
      <c r="GI162" s="39" t="e">
        <f>Исходн.данные.!AE162*AV162/HG162</f>
        <v>#N/A</v>
      </c>
      <c r="GJ162" s="39" t="e">
        <f>Исходн.данные.!AF162*AW162/HH162</f>
        <v>#N/A</v>
      </c>
      <c r="GK162" s="55">
        <f>Исходн.данные.!AK162</f>
        <v>0</v>
      </c>
      <c r="GL162" s="11" t="e">
        <f t="shared" si="261"/>
        <v>#N/A</v>
      </c>
      <c r="GM162" s="11" t="e">
        <f t="shared" si="262"/>
        <v>#N/A</v>
      </c>
      <c r="GN162" s="11" t="e">
        <f t="shared" si="263"/>
        <v>#N/A</v>
      </c>
      <c r="GO162" s="57">
        <f t="shared" si="264"/>
        <v>19</v>
      </c>
      <c r="GP162" s="55">
        <f>IF(OR(Исходн.данные.!F162=$CE$1,Исходн.данные.!F162=$CE$2,Исходн.данные.!F162=$CE$3,Исходн.данные.!F162=$CE$4,Исходн.данные.!F162=$CE$5),GQ162,GR162)</f>
        <v>19</v>
      </c>
      <c r="GQ162" s="55">
        <f>IF(Исходн.данные.!F162=$CE$1,28,IF(Исходн.данные.!F162=$CE$2,26,IF(Исходн.данные.!F162=$CE$3,24,IF(Исходн.данные.!F162=$CE$4,22,IF(Исходн.данные.!F162=$CE$5,20,GR162)))))</f>
        <v>19</v>
      </c>
      <c r="GR162" s="55">
        <f>IF(Исходн.данные.!F162=$CE$6,18,IF(Исходн.данные.!F162=$CE$7,16,IF(Исходн.данные.!F162=$CE$8,14,IF(Исходн.данные.!F162=$CE$9,13,IF(Исходн.данные.!F162=$CE$10,12,19)))))</f>
        <v>19</v>
      </c>
      <c r="GS162" s="55">
        <f>IF(Исходн.данные.!G162="Пес",0.035*(40+2*Исходн.данные.!H162),IF(Исходн.данные.!G162="Суп",0.0325*(40+2*Исходн.данные.!H162),0.03*(40+2*Исходн.данные.!H162)))</f>
        <v>1.2</v>
      </c>
      <c r="GT162" s="55">
        <f>IF(Исходн.данные.!H162&lt;23,2.6,IF(AND(Исходн.данные.!H162&gt;22,Исходн.данные.!H162&lt;26),3,IF(AND(Исходн.данные.!H162&gt;25,Исходн.данные.!H162&lt;29),3.4,3.6)))</f>
        <v>2.6</v>
      </c>
      <c r="GU162" s="55">
        <f>IF(Исходн.данные.!H162&lt;23,2.8,IF(AND(Исходн.данные.!H162&gt;22,Исходн.данные.!H162&lt;26),3.2,IF(AND(Исходн.данные.!H162&gt;25,Исходн.данные.!H162&lt;29),3.6,3.9)))</f>
        <v>2.8</v>
      </c>
      <c r="GV162" s="55">
        <f>IF(Исходн.данные.!H162&lt;23,3,IF(AND(Исходн.данные.!H162&gt;22,Исходн.данные.!H162&lt;26),3.5,IF(AND(Исходн.данные.!H162&gt;25,Исходн.данные.!H162&lt;29),3.9,4.2)))</f>
        <v>3</v>
      </c>
      <c r="GW162" s="55" t="e">
        <f>IF(Исходн.данные.!P162="Ум",GX162,GY162)</f>
        <v>#N/A</v>
      </c>
      <c r="GX162" s="55" t="e">
        <f>VLOOKUP(Исходн.данные.!AI162,Коэффициенты!$J$7:$L$13,2,FALSE)</f>
        <v>#N/A</v>
      </c>
      <c r="GY162" s="55" t="e">
        <f>VLOOKUP(Исходн.данные.!AI162,Коэффициенты!$J$7:$L$13,3,FALSE)</f>
        <v>#N/A</v>
      </c>
      <c r="GZ162" s="55" t="e">
        <f>(IF(Исходн.данные.!M162&lt;50,0.11*VLOOKUP(Исходн.данные.!AH162,Культуры.Информация,7,FALSE),IF(Исходн.данные.!M162&gt;250,0.05*VLOOKUP(Исходн.данные.!AH162,Культуры.Информация,7,FALSE),VLOOKUP(Исходн.данные.!AH162,Культуры.Информация,5,FALSE)/100*($GX$6+$GY$6*Исходн.данные.!M162))))*Расчет2!AI162</f>
        <v>#N/A</v>
      </c>
      <c r="HA162" s="211"/>
      <c r="HB162" s="211"/>
      <c r="HC162" s="55" t="e">
        <f>(IF(Исходн.данные.!O162&lt;80,0.2*VLOOKUP(Исходн.данные.!AH162,Культуры.Информация,8,FALSE),IF(Исходн.данные.!O162&gt;240,0.09*VLOOKUP(Исходн.данные.!AH162,Культуры.Информация,8,FALSE),VLOOKUP(Исходн.данные.!AH162,Культуры.Информация,6,FALSE)/100*($HB$6+$HC$6*Исходн.данные.!O162))))*Расчет2!AJ162</f>
        <v>#N/A</v>
      </c>
      <c r="HD162" s="55">
        <f>IF(Исходн.данные.!O162&gt;240,0.09,IF(Исходн.данные.!O162&lt;30,0.3,$HE$10+$HD$10*Исходн.данные.!O162))</f>
        <v>0.3</v>
      </c>
      <c r="HE162" s="55">
        <f>IF(Исходн.данные.!O162&gt;240,0.17,IF(Исходн.данные.!O162&lt;30,0.5,$HF$12+$HE$12*Исходн.данные.!O162))</f>
        <v>0.5</v>
      </c>
      <c r="HF162" s="55" t="e">
        <f>VLOOKUP(Исходн.данные.!AH162,Справ!$A$3:$D$58,2,FALSE)</f>
        <v>#N/A</v>
      </c>
      <c r="HG162" s="55" t="e">
        <f>VLOOKUP(Исходн.данные.!AH162,Справ!$A$3:$D$58,3,FALSE)</f>
        <v>#N/A</v>
      </c>
      <c r="HH162" s="55" t="e">
        <f>VLOOKUP(Исходн.данные.!AH162,Справ!$A$3:$D$58,4,FALSE)</f>
        <v>#N/A</v>
      </c>
      <c r="HI162" s="11" t="e">
        <f t="shared" si="265"/>
        <v>#N/A</v>
      </c>
      <c r="HJ162" s="11" t="e">
        <f t="shared" si="266"/>
        <v>#N/A</v>
      </c>
      <c r="HK162" s="11" t="e">
        <f t="shared" si="267"/>
        <v>#N/A</v>
      </c>
      <c r="HL162" s="55">
        <f>IF(OR(Исходн.данные.!G162="Глин",Исходн.данные.!G162="Т_суг"),1.1,IF(Исходн.данные.!G162="Ср_суг",1,1))</f>
        <v>1</v>
      </c>
      <c r="HM162" s="55">
        <f>IF(OR(Исходн.данные.!G162="Глин",Исходн.данные.!G162="Т_суг"),0.9,IF(Исходн.данные.!G162="Ср_суг",1,1.2))</f>
        <v>1.2</v>
      </c>
      <c r="HN162" s="11" t="e">
        <f t="shared" si="268"/>
        <v>#N/A</v>
      </c>
      <c r="HO162" s="11" t="e">
        <f t="shared" si="269"/>
        <v>#N/A</v>
      </c>
      <c r="HP162" s="11" t="e">
        <f t="shared" si="270"/>
        <v>#N/A</v>
      </c>
      <c r="HQ162" t="e">
        <f t="shared" si="271"/>
        <v>#N/A</v>
      </c>
      <c r="HR162" t="e">
        <f t="shared" si="272"/>
        <v>#N/A</v>
      </c>
      <c r="HS162" t="e">
        <f t="shared" si="273"/>
        <v>#N/A</v>
      </c>
      <c r="HT162" t="e">
        <f t="shared" si="219"/>
        <v>#N/A</v>
      </c>
      <c r="HU162" t="e">
        <f t="shared" si="220"/>
        <v>#N/A</v>
      </c>
      <c r="HV162" t="e">
        <f t="shared" si="221"/>
        <v>#N/A</v>
      </c>
      <c r="HW162" t="e">
        <f t="shared" si="222"/>
        <v>#N/A</v>
      </c>
      <c r="HX162" t="e">
        <f t="shared" si="223"/>
        <v>#N/A</v>
      </c>
      <c r="HY162" t="e">
        <f t="shared" si="224"/>
        <v>#N/A</v>
      </c>
      <c r="HZ162" s="55">
        <f>IF(OR(Исходн.данные.!AI162="Оз_Ч_П",Исходн.данные.!AI162="Оз_З_П",Исходн.данные.!AI162="Яр_зер"),12,30)</f>
        <v>30</v>
      </c>
      <c r="IA162" t="e">
        <f t="shared" si="274"/>
        <v>#N/A</v>
      </c>
      <c r="IB162" t="e">
        <f t="shared" si="275"/>
        <v>#N/A</v>
      </c>
      <c r="IC162" t="e">
        <f t="shared" si="276"/>
        <v>#N/A</v>
      </c>
      <c r="ID162" s="11" t="e">
        <f t="shared" si="277"/>
        <v>#N/A</v>
      </c>
      <c r="IE162" s="11" t="e">
        <f t="shared" si="278"/>
        <v>#N/A</v>
      </c>
      <c r="IF162" s="11" t="e">
        <f t="shared" si="279"/>
        <v>#N/A</v>
      </c>
    </row>
    <row r="163" spans="35:240" x14ac:dyDescent="0.2">
      <c r="AI163">
        <f>IF(Исходн.данные.!I163&gt;6,1,1.85-(0.148*Исходн.данные.!I163))</f>
        <v>1.85</v>
      </c>
      <c r="AJ163">
        <f>IF(Исходн.данные.!I163&gt;6,1,2.434-(0.246*Исходн.данные.!I163))</f>
        <v>2.4340000000000002</v>
      </c>
      <c r="AL163" s="148" t="b">
        <f>IF(Исходн.данные.!$P163="Ум",N_OrgUd_2g_um,IF(Исходн.данные.!$P163="Об",N_OrgUd_2g_ob))</f>
        <v>0</v>
      </c>
      <c r="AM163" s="148" t="b">
        <f>IF(Исходн.данные.!$P163="Ум",P_OrgUd_2g_um,IF(Исходн.данные.!$P163="Об",P_OrgUd_2g_ob))</f>
        <v>0</v>
      </c>
      <c r="AN163" s="148" t="b">
        <f>IF(Исходн.данные.!$P163="Ум",K_OrgUd_2g_um,IF(Исходн.данные.!$P163="Об",K_OrgUd_2g_ob))</f>
        <v>0</v>
      </c>
      <c r="AO163" s="148" t="b">
        <f>IF(Исходн.данные.!$P163="Ум",N_OrgUd_1g_um,IF(Исходн.данные.!$P163="Об",N_OrgUd_1g_ob))</f>
        <v>0</v>
      </c>
      <c r="AP163" s="148" t="b">
        <f>IF(Исходн.данные.!$P163="Ум",P_OrgUd_1g_um,IF(Исходн.данные.!$P163="Об",P_OrgUd_1g_ob))</f>
        <v>0</v>
      </c>
      <c r="AQ163" s="148" t="b">
        <f>IF(Исходн.данные.!$P163="Ум",K_OrgUd_1g_um,IF(Исходн.данные.!$P163="Об",K_OrgUd_1g_ob))</f>
        <v>0</v>
      </c>
      <c r="AR163" t="b">
        <f>IF(Исходн.данные.!$P163="Ум",N_MinUd_2g_um,IF(Исходн.данные.!$P163="Об",N_MinUd_2g_ob))</f>
        <v>0</v>
      </c>
      <c r="AS163" t="b">
        <f>IF(Исходн.данные.!$P163="Ум",P_MinUd_2g_um,IF(Исходн.данные.!$P163="Об",P_MinUd_2g_ob))</f>
        <v>0</v>
      </c>
      <c r="AT163" t="b">
        <f>IF(Исходн.данные.!$P163="Ум",K_MinUd_2g_um,IF(Исходн.данные.!$P163="Об",K_MinUd_2g_ob))</f>
        <v>0</v>
      </c>
      <c r="AU163" t="b">
        <f>IF(Исходн.данные.!$P163="Ум",N_MinUd_1g_um,IF(Исходн.данные.!$P163="Об",N_MinUd_1g_ob))</f>
        <v>0</v>
      </c>
      <c r="AV163" t="b">
        <f>IF(Исходн.данные.!P163="Ум",P_MinUd_1g_um,IF(Исходн.данные.!P163="Об",P_MinUd_1g_ob))</f>
        <v>0</v>
      </c>
      <c r="AW163" t="b">
        <f>IF(Исходн.данные.!P163="Ум",K_MinUd_1g_um,IF(Исходн.данные.!P163="Об",K_MinUd_1g_ob))</f>
        <v>0</v>
      </c>
      <c r="AY163" t="e">
        <f>VLOOKUP(Исходн.данные.!T163,Справ!$A$3:$N$57,12)</f>
        <v>#N/A</v>
      </c>
      <c r="AZ163" t="e">
        <f>VLOOKUP(Исходн.данные.!T163,Справ!$A$3:$N$57,13)</f>
        <v>#N/A</v>
      </c>
      <c r="BA163" t="e">
        <f>VLOOKUP(Исходн.данные.!T163,Справ!$A$3:$N$57,14)</f>
        <v>#N/A</v>
      </c>
      <c r="BB163">
        <f>IF(Исходн.данные.!AH163=0,0,25)</f>
        <v>0</v>
      </c>
      <c r="BC163" s="141">
        <f>IF(Исходн.данные.!AH163=0,0,IF(Исходн.данные.!T163=0,25,BD163))</f>
        <v>0</v>
      </c>
      <c r="BD163" s="168" t="e">
        <f>AY163+AZ163*Исходн.данные.!U163-POWER(BA163,2)*Исходн.данные.!U163</f>
        <v>#N/A</v>
      </c>
      <c r="BE16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3" s="25">
        <f>IF(Исходн.данные.!AH163=0,0,MIN(HN163:HP163))</f>
        <v>0</v>
      </c>
      <c r="BG163" s="9">
        <f>IF(Исходн.данные.!AH163=0,0,IF((HO163+10*0.25/HG163/HL163)&lt;17,17,HO163+10*0.25/HG163/HL163))</f>
        <v>0</v>
      </c>
      <c r="BH163" s="181">
        <f>IF(Исходн.данные.!AH163=0,0,HW163*HF163*HL163/AU163*AI163+Исходн.данные.!S163*10)</f>
        <v>0</v>
      </c>
      <c r="BI163" s="10"/>
      <c r="BJ163" s="182">
        <f>IF(Исходн.данные.!AH163=0,0,IF(HX163*HG163*HL163/AV163&lt;0,0,HX163*HG163*HL163/AV163*AJ163))</f>
        <v>0</v>
      </c>
      <c r="BK163" s="182">
        <f>IF(Исходн.данные.!AH163=0,0,HY163*HH163*HM163/AW163)</f>
        <v>0</v>
      </c>
      <c r="BL163" s="10">
        <f>IF(OR(Исходн.данные.!$AH163=$BP$1,Исходн.данные.!$AH163=$BP$2),0,IF(BH163&lt;0,0,IF(OR(Исходн.данные.!T163=Расчет!$BP$1,Исходн.данные.!T163=Расчет!$BP$2,Исходн.данные.!T163=Расчет!$BT$5,Исходн.данные.!T163=Расчет!$BT$6),BH163*0.5,IF(OR(Исходн.данные.!T163=Расчет!$BS$9,Исходн.данные.!T163=Расчет!$BS$10,Исходн.данные.!T163=Расчет!$BS$11,Исходн.данные.!T163=Расчет!$BS$12,Исходн.данные.!T163=Расчет!$BP$5),BH163*0.8,BH163))))</f>
        <v>0</v>
      </c>
      <c r="BM163" s="10">
        <f>IF(OR(Исходн.данные.!$AH163=$BP$1,Исходн.данные.!$AH163=$BP$2),0,IF(BJ163&lt;0,0,IF(Исходн.данные.!I163&lt;4.5,BJ163*1.2,IF(Исходн.данные.!I163&gt;5.1,BJ163,BJ163*((5.1-Исходн.данные.!I163)*0.333+1)))))</f>
        <v>0</v>
      </c>
      <c r="BN163" s="10">
        <f>IF(OR(Исходн.данные.!$AH163=$BP$1,Исходн.данные.!$AH163=$BP$2),60-Исходн.данные.!AF163,IF(BK163&lt;0,0,IF(Исходн.данные.!I163&lt;4.5,BK163*1.2,IF(Исходн.данные.!I163&gt;5.1,BK163,BK163*((5.1-Исходн.данные.!I163)*0.333+1)))))</f>
        <v>0</v>
      </c>
      <c r="BO163" s="9">
        <f>IF(BL163&lt;0,0,BL163*Исходн.данные.!$AJ163/1000)</f>
        <v>0</v>
      </c>
      <c r="BP163" s="9">
        <f>IF(BM163&lt;0,0,BM163*Исходн.данные.!$AJ163/1000)</f>
        <v>0</v>
      </c>
      <c r="BQ163" s="9">
        <f>IF(BN163&lt;0,0,BN163*Исходн.данные.!$AJ163/1000)</f>
        <v>0</v>
      </c>
      <c r="BR163" s="9">
        <f t="shared" si="229"/>
        <v>0</v>
      </c>
      <c r="BS163" s="10" t="str">
        <f t="shared" si="230"/>
        <v>Аммофос 12:52:00</v>
      </c>
      <c r="BT163" s="10" t="str">
        <f t="shared" si="231"/>
        <v>Аммофос 12:52:00</v>
      </c>
      <c r="BU163" s="10" t="str">
        <f t="shared" si="232"/>
        <v>Диаммофоска</v>
      </c>
      <c r="BV163" s="10">
        <f t="shared" si="233"/>
        <v>0</v>
      </c>
      <c r="BW163" s="10"/>
      <c r="BX163" s="10"/>
      <c r="BY163" s="9">
        <f>IF(BL163&lt;0,0,IF(OR(Исходн.данные.!AI163=Расчет!$BU$6,Исходн.данные.!AI163=Расчет!$BU$7),Расчет!BV163,IF(Исходн.данные.!$AG163=$BV$11,BL163,IF(OR(Исходн.данные.!$AH163=$BQ$7,Исходн.данные.!$AH163=$BQ$8),CB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0,IF(Исходн.данные.!$AI163=$BU$11,"Нет",IF(BL163&gt;30,30,BL163)))))))</f>
        <v>0</v>
      </c>
      <c r="BZ163" s="9">
        <f>IF(AND(Исходн.данные.!$AG163=$BV$11,BM163&lt;10),10,IF(Исходн.данные.!$AG163=$BV$11,BM163,IF(OR(Исходн.данные.!$AH163=$BQ$7,Исходн.данные.!$AH163=$BQ$8),CC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10,IF(Исходн.данные.!$AI163=$BU$11,"Нет",IF(BM163&gt;60,60,IF(BM163&lt;10,10,BM163)))))))</f>
        <v>10</v>
      </c>
      <c r="CA163" s="39">
        <f>IF(BN163&lt;0,0,IF(Исходн.данные.!$AG163=$BV$11,BN163,IF(OR(Исходн.данные.!$AH163=$BQ$7,Исходн.данные.!$AH163=$BQ$8),CD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0,IF(Исходн.данные.!$AI163=$BU$11,"Нет",IF(BN163&gt;30,30,BN163))))))</f>
        <v>0</v>
      </c>
      <c r="CB163" s="9">
        <f t="shared" si="234"/>
        <v>0</v>
      </c>
      <c r="CC163" s="9">
        <f t="shared" si="235"/>
        <v>0</v>
      </c>
      <c r="CD163" s="9">
        <f t="shared" si="236"/>
        <v>0</v>
      </c>
      <c r="CE163" s="12">
        <f t="shared" si="237"/>
        <v>10</v>
      </c>
      <c r="CF163" s="9">
        <f t="shared" si="238"/>
        <v>0</v>
      </c>
      <c r="CG163" s="9" t="s">
        <v>231</v>
      </c>
      <c r="CH163" s="132" t="str">
        <f>IF(Исходн.данные.!AP163=Расчет!$CI$16,"Нет",IF(Исходн.данные.!AL163&gt;0,Исходн.данные.!AL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BH$4,IF(OR(Исходн.данные.!AI163=Исходн.данные.!$AI$6,Исходн.данные.!AI163=Исходн.данные.!$AI$7),Расчет!BS163,IF(AND($CF163=0,$CE163&gt;0),EV163,ER163)))))</f>
        <v>Аммофос 12:52:00</v>
      </c>
      <c r="CI163" s="274">
        <f>IF(Расчет!$CH163="Нет","Нет",IF(Исходн.данные.!$AL163&gt;0,VLOOKUP(Расчет!$CH163,АшламаДВ_Irekle,2,FALSE),VLOOKUP(Расчет!$CH163,АшламаДВ_Gomumy,2,FALSE)))</f>
        <v>0.12</v>
      </c>
      <c r="CJ163" s="274">
        <f>IF(Расчет!$CH163="Нет","Нет",IF(Исходн.данные.!$AL163&gt;0,VLOOKUP(Расчет!$CH163,АшламаДВ_Irekle,3,FALSE),VLOOKUP(Расчет!$CH163,АшламаДВ_Gomumy,3,FALSE)))</f>
        <v>0.52</v>
      </c>
      <c r="CK163" s="274">
        <f>IF(Расчет!$CH163="Нет","Нет",IF(Исходн.данные.!$AL163&gt;0,VLOOKUP(Расчет!$CH163,АшламаДВ_Irekle,4,FALSE),VLOOKUP(Расчет!$CH163,АшламаДВ_Gomumy,4,FALSE)))</f>
        <v>0</v>
      </c>
      <c r="CL163" s="70"/>
      <c r="CM163" s="70"/>
      <c r="CN163" s="70"/>
      <c r="CO163" s="70"/>
      <c r="CP163" s="70"/>
      <c r="CQ163" s="70"/>
      <c r="CR163" s="10">
        <f t="shared" si="239"/>
        <v>0</v>
      </c>
      <c r="CS163" s="10">
        <f t="shared" si="240"/>
        <v>19.23076923076923</v>
      </c>
      <c r="CT163" s="10">
        <f t="shared" si="241"/>
        <v>0</v>
      </c>
      <c r="CU163" s="39">
        <f>IF($CH163="Нет",0,IF(CI163=0,30/MIN(CJ163:CK163),IF(Исходн.данные.!$AG163=$BV$11,CR163,IF(OR(Исходн.данные.!$AH163=$BQ$7,Исходн.данные.!$AH163=$BQ$8),90/CI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0,IF(Исходн.данные.!$AI163=$BU$11,"Нет",30/CI163))))))</f>
        <v>250</v>
      </c>
      <c r="CV163" s="39">
        <f>IF($CH163="Нет",0,IF(Исходн.данные.!AH163=0,0,IF(CJ163=0,60/MIN(CI163,CK163),IF(Исходн.данные.!$AG163=$BV$11,CS163,IF(OR(Исходн.данные.!$AH163=$BQ$7,Исходн.данные.!$AH163=$BQ$8),90/CJ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10/CJ163,IF(Исходн.данные.!$AI163=$BU$11,"Нет",60/CJ163)))))))</f>
        <v>0</v>
      </c>
      <c r="CW163" s="39">
        <f>IF($CH163="Нет",0,IF(Исходн.данные.!AH163=0,0,IF(CK163=0,30/MIN(CI163:CJ163),IF(Исходн.данные.!$AG163=$BV$11,CT163,IF(OR(Исходн.данные.!$AH163=$BQ$7,Исходн.данные.!$AH163=$BQ$8),90/CK163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0,IF(Исходн.данные.!$AI163=$BU$11,"Нет",30/CK163)))))))</f>
        <v>0</v>
      </c>
      <c r="CX163" s="133">
        <f>IF(Исходн.данные.!$AG163=$BV$11,MAX(CU163:CW163),IF(OR(Исходн.данные.!$AH163=$BS$8,Исходн.данные.!$AH163=$BQ$9,Исходн.данные.!$AH163=$BQ$10,Исходн.данные.!$AH163=$BQ$11,Исходн.данные.!$AH163=$BQ$12,Исходн.данные.!$AH163=$BP$3,Исходн.данные.!$AH163=$BT$8,$FM163="Да"),CV163,MIN(CU163:CW163)))</f>
        <v>0</v>
      </c>
      <c r="CY163" s="133">
        <f>IF(Исходн.данные.!AH163=0,0,IF(CR163&gt;$CX163,$CX163,CR163))</f>
        <v>0</v>
      </c>
      <c r="CZ163" s="133">
        <f>IF(Исходн.данные.!AH163=0,0,IF(CS163&gt;$CX163,$CX163,CS163))</f>
        <v>0</v>
      </c>
      <c r="DA163" s="133">
        <f>IF(Исходн.данные.!AH163=0,0,IF(CT163&gt;$CX163,$CX163,CT163))</f>
        <v>0</v>
      </c>
      <c r="DB163" s="10">
        <f t="shared" si="242"/>
        <v>0</v>
      </c>
      <c r="DC163" s="39">
        <f>DB163*Исходн.данные.!AJ163/1000</f>
        <v>0</v>
      </c>
      <c r="DD163" s="71">
        <f t="shared" si="243"/>
        <v>0</v>
      </c>
      <c r="DE163" s="9">
        <f t="shared" si="244"/>
        <v>0</v>
      </c>
      <c r="DF163" s="9">
        <f t="shared" si="245"/>
        <v>0</v>
      </c>
      <c r="DG163" s="39">
        <f>IF(BL163&lt;0,0,IF($CH163="Нет",BL163,IF(OR(Исходн.данные.!$AH163=$BP$1,Исходн.данные.!$AH163=$BP$2),0,IF(Исходн.данные.!AI163=$BU$11,BL163,IF(BL163-DD163&lt;0,0,BL163-DD163)))))</f>
        <v>0</v>
      </c>
      <c r="DH163" s="39">
        <f>IF(BM163&lt;0,0,IF($CH163="Нет",BM163,IF(OR(Исходн.данные.!$AH163=$BP$1,Исходн.данные.!$AH163=$BP$2),0,IF(Исходн.данные.!AJ163=$BU$11,BM163,IF(BM163-DE163&lt;0,0,BM163-DE163)))))</f>
        <v>0</v>
      </c>
      <c r="DI163" s="39">
        <f>IF(BN163&lt;0,0,IF($CH163="Нет",BN163,IF(OR(Исходн.данные.!$AH163=$BP$1,Исходн.данные.!$AH163=$BP$2),0,IF(Исходн.данные.!AK163=$BU$11,BN163,IF(BN163-DF163&lt;0,0,BN163-DF163)))))</f>
        <v>0</v>
      </c>
      <c r="DJ163" s="12">
        <f t="shared" si="246"/>
        <v>0</v>
      </c>
      <c r="DK163" s="9">
        <f t="shared" si="247"/>
        <v>0</v>
      </c>
      <c r="DL163" s="39">
        <f>IF(Исходн.данные.!AM163&gt;0,Исходн.данные.!AM163,IF(EG163&gt;0,$BH$10,0))</f>
        <v>0</v>
      </c>
      <c r="DM163" s="186">
        <f>IF($DL163=0,0,IF(Исходн.данные.!AM163&gt;0,VLOOKUP($DL163,АшламаДВ_Irekle,2,FALSE),VLOOKUP($DL163,АшламаДВ_Gomumy,2,FALSE)))</f>
        <v>0</v>
      </c>
      <c r="DN163" s="10">
        <f t="shared" si="225"/>
        <v>0</v>
      </c>
      <c r="DO163" s="9" t="str">
        <f>IF(Исходн.данные.!AN163&gt;0,Исходн.данные.!AN163,Удобрения!$B$37 )</f>
        <v>Хлор.калий</v>
      </c>
      <c r="DP163" s="9">
        <f>IF(Исходн.данные.!AN163&gt;0,VLOOKUP(Исходн.данные.!AN163,АшламаДВ_Irekle,4,FALSE),VLOOKUP(DO163,АшламаДВ_Gomumy,4,FALSE))</f>
        <v>0.6</v>
      </c>
      <c r="DQ163" s="10">
        <f t="shared" si="226"/>
        <v>0</v>
      </c>
      <c r="DR163" s="132" t="str">
        <f>IF(Исходн.данные.!AO163&gt;0,Исходн.данные.!AO163,IF(DH163=0,BS$17,IF(AND($DK163=0,$DJ163&gt;0),EJ163,EN163)))</f>
        <v>Нет</v>
      </c>
      <c r="DS163" s="70" t="str">
        <f>IF($DR163="Нет","Нет",IF(Исходн.данные.!$AO163&gt;0,VLOOKUP($DR163,АшламаДВ_Irekle,2,FALSE),VLOOKUP($DR163,АшламаДВ_Gomumy,2,FALSE)))</f>
        <v>Нет</v>
      </c>
      <c r="DT163" s="70" t="str">
        <f>IF($DR163="Нет","Нет",IF(Исходн.данные.!$AO163&gt;0,VLOOKUP($DR163,АшламаДВ_Irekle,3,FALSE),VLOOKUP($DR163,АшламаДВ_Gomumy,3,FALSE)))</f>
        <v>Нет</v>
      </c>
      <c r="DU163" s="70" t="str">
        <f>IF($DR163="Нет","Нет",IF(Исходн.данные.!$AO163&gt;0,VLOOKUP($DR163,АшламаДВ_Irekle,4,FALSE),VLOOKUP($DR163,АшламаДВ_Gomumy,4,FALSE)))</f>
        <v>Нет</v>
      </c>
      <c r="DV163" s="70"/>
      <c r="DW163" s="70"/>
      <c r="DX163" s="70"/>
      <c r="DY163" s="10">
        <f t="shared" si="248"/>
        <v>0</v>
      </c>
      <c r="DZ163" s="10">
        <f t="shared" si="249"/>
        <v>0</v>
      </c>
      <c r="EA163" s="10">
        <f t="shared" si="250"/>
        <v>0</v>
      </c>
      <c r="EB163" s="10">
        <f t="shared" si="251"/>
        <v>0</v>
      </c>
      <c r="EC163" s="10">
        <f t="shared" si="252"/>
        <v>0</v>
      </c>
      <c r="ED163" s="10">
        <f t="shared" si="253"/>
        <v>0</v>
      </c>
      <c r="EE163" s="10">
        <f t="shared" si="254"/>
        <v>0</v>
      </c>
      <c r="EF163" s="39">
        <f>EB163*Исходн.данные.!AJ163/1000</f>
        <v>0</v>
      </c>
      <c r="EG163" s="9">
        <f t="shared" si="255"/>
        <v>0</v>
      </c>
      <c r="EH163" s="9">
        <f t="shared" si="256"/>
        <v>0</v>
      </c>
      <c r="EI163" s="39" t="e">
        <f t="shared" si="206"/>
        <v>#DIV/0!</v>
      </c>
      <c r="EJ163" s="9" t="str">
        <f t="shared" si="227"/>
        <v>Азопреципитат</v>
      </c>
      <c r="EK163" s="12">
        <f t="shared" si="207"/>
        <v>0.26</v>
      </c>
      <c r="EL163" s="12">
        <f t="shared" si="208"/>
        <v>0.13</v>
      </c>
      <c r="EM163" s="12">
        <f t="shared" si="209"/>
        <v>0</v>
      </c>
      <c r="EN163" s="12" t="str">
        <f t="shared" si="228"/>
        <v>Нет</v>
      </c>
      <c r="EO163" s="12">
        <f t="shared" si="210"/>
        <v>0</v>
      </c>
      <c r="EP163" s="12">
        <f t="shared" si="211"/>
        <v>0</v>
      </c>
      <c r="EQ163" s="12">
        <f t="shared" si="212"/>
        <v>0</v>
      </c>
      <c r="ER163" s="12" t="str">
        <f t="shared" si="257"/>
        <v>Диаммофоска</v>
      </c>
      <c r="ES163" s="12">
        <f t="shared" si="213"/>
        <v>0.1</v>
      </c>
      <c r="ET163" s="12">
        <f t="shared" si="214"/>
        <v>0.26</v>
      </c>
      <c r="EU163" s="12">
        <f t="shared" si="215"/>
        <v>0.26</v>
      </c>
      <c r="EV163" s="12" t="str">
        <f t="shared" si="258"/>
        <v>Аммофос 12:52:00</v>
      </c>
      <c r="EW163" s="12" t="str">
        <f t="shared" si="259"/>
        <v>Кемира Свекловичное-6</v>
      </c>
      <c r="EX163" s="12">
        <f t="shared" si="216"/>
        <v>0.16</v>
      </c>
      <c r="EY163" s="12">
        <f t="shared" si="217"/>
        <v>0.12</v>
      </c>
      <c r="EZ163" s="12">
        <f t="shared" si="218"/>
        <v>0.17</v>
      </c>
      <c r="FA163" s="38" t="e">
        <f>IF(AND(OR(FJ163=$FD$1,FM163=$FD$1,FO163=$FD$1,FQ163=$FD$1,FS163=$FD$1),FD163=$FD$1,Исходн.данные.!J163&lt;2,FU163=$FD$1),"Бор,Кобальт",IF(AND(FO163=$FD$1,FH163=$FD$1,Исходн.данные.!J163&lt;2,FU163=$FD$1),"Бор,Кобальт",IF(AND(OR(FJ163=$FD$1,FM163=$FD$1,FQ163=$FD$1),FE163=$FD$1,Исходн.данные.!J163&lt;2,FT163=$FD$1,FU163=$FD$1),"Бор,Медь,Цинк",IF(AND(OR(FJ163=$FD$1,FR163="Да"),FI163="Да",Исходн.данные.!J163&lt;2,FT163="Да",FU163="Да"),"Бор,Цинк,Медь",IF(AND(OR(FM163="Да",FQ163="Да"),FI163="Да",Исходн.данные.!J163&lt;2,FT163="Да",FU163="Да"),"Бор,Цинк",IF(AND(FN163="Да",OR(FD163="Да",FE163="Да")),"Бор",FB163))))))</f>
        <v>#N/A</v>
      </c>
      <c r="FB163" s="134" t="e">
        <f>IF(AND(OR(FD163="Да",FE163="Да",FF163="Да",FG163="Да",FH163="Да"),FO163="Да"),"Бор",IF(AND(FP163="Да",OR(FD163="Да",FE163="Да",FI163="Да")),"Бор",IF(AND(FS163="Да",FE163="Да"),"Бор,Медь",IF(AND(OR(FJ163="Да",FK163="Да",FL163="Да"),FE163="Да",Исходн.данные.!I163&lt;5,FT163="Да",FU163="Да"),"Молибден,Цинк",IF(AND(FM163="Да",OR(FE163="Да",FF163="Да",FG163="Да",FH163="Да",FI163="Да")),"Молибден,Цинк",IF(AND(OR(FJ163="Да",FK163="Да",FL163="Да",FM163="Да",FQ163="Да"),OR(FE163="Да",FF163="Да"),FT163="Да",FU163="Да",Исходн.данные.!I163&gt;5.5),"Медь,Цинк",FC163))))))</f>
        <v>#N/A</v>
      </c>
      <c r="FC163" s="23" t="e">
        <f t="shared" si="260"/>
        <v>#N/A</v>
      </c>
      <c r="FD163" s="38" t="str">
        <f>IF(OR(Исходн.данные.!F163=$CC$1,Исходн.данные.!F163=$CC$2,Исходн.данные.!F163=$CC$3,Исходн.данные.!F163=$CC$4),"Да","Нет")</f>
        <v>Нет</v>
      </c>
      <c r="FE163" s="38" t="str">
        <f>IF(Исходн.данные.!F163=$CC$5,"Да","Нет")</f>
        <v>Нет</v>
      </c>
      <c r="FF163" s="38" t="str">
        <f>IF(OR(Исходн.данные.!F163=$CC$6,Исходн.данные.!F163=$CC$7),"Да","Нет")</f>
        <v>Нет</v>
      </c>
      <c r="FG163" s="38" t="str">
        <f>IF(OR(Исходн.данные.!F163=$CC$8,Исходн.данные.!F163=$CC$9),"Да","Нет")</f>
        <v>Нет</v>
      </c>
      <c r="FH163" s="38" t="str">
        <f>IF(Исходн.данные.!F163=$CC$10,"Да","Нет")</f>
        <v>Нет</v>
      </c>
      <c r="FI163" s="38" t="str">
        <f>IF(OR(Исходн.данные.!F163=$CC$11,Исходн.данные.!F163=$CC$12),"Да","Нет")</f>
        <v>Нет</v>
      </c>
      <c r="FJ163" s="38" t="str">
        <f>IF(OR(Исходн.данные.!AH163=$BS$1,Исходн.данные.!AH163=$BQ$11,Исходн.данные.!AH163=$BQ$12),"Да","Нет")</f>
        <v>Нет</v>
      </c>
      <c r="FK163" s="38" t="str">
        <f>IF(OR(Исходн.данные.!AH163=$BS$2,Исходн.данные.!AH163=$BS$4),"Да","Нет")</f>
        <v>Нет</v>
      </c>
      <c r="FL163" s="38" t="str">
        <f>IF(OR(Исходн.данные.!AH163=$BS$3,Исходн.данные.!AH163=$BS$5),"Да","Нет")</f>
        <v>Нет</v>
      </c>
      <c r="FM163" s="38" t="str">
        <f>IF(OR(Исходн.данные.!AH163=$BS$9,Исходн.данные.!AH163=$BS$10,Исходн.данные.!AH163=$BS$11,Исходн.данные.!AH163=$BS$12),"Да","Нет")</f>
        <v>Нет</v>
      </c>
      <c r="FN163" s="38" t="str">
        <f>IF(OR(Исходн.данные.!AH163=$BS$6,Исходн.данные.!AH163=$BP$3),"Да","Нет")</f>
        <v>Нет</v>
      </c>
      <c r="FO163" s="38" t="str">
        <f>IF(Исходн.данные.!AH163=$BQ$9,"Да","Нет")</f>
        <v>Нет</v>
      </c>
      <c r="FP163" s="38" t="str">
        <f>IF(OR(Исходн.данные.!AH163=$BS$8,Исходн.данные.!AH163=$BT$8),"Да","Нет")</f>
        <v>Нет</v>
      </c>
      <c r="FQ163" s="38" t="str">
        <f>IF(OR(Исходн.данные.!AH163=$BQ$7,Исходн.данные.!AH163=$BQ$8),"Да","Нет")</f>
        <v>Нет</v>
      </c>
      <c r="FR163" s="38" t="str">
        <f>IF(Исходн.данные.!AI163=$BU$9,"Да","Нет")</f>
        <v>Нет</v>
      </c>
      <c r="FS163" s="38" t="str">
        <f>IF(OR(Исходн.данные.!AH163=$BP$1,Исходн.данные.!AH163=$BP$2),"Да","Нет")</f>
        <v>Нет</v>
      </c>
      <c r="FT163" s="38" t="e">
        <f>IF((Исходн.данные.!K163*GO163*GS163*GW163+BL163*0.6+Исходн.данные.!Q163*4.5*0.275)&gt;90,"Да","Нет")</f>
        <v>#N/A</v>
      </c>
      <c r="FU163" s="38" t="e">
        <f>IF((Исходн.данные.!M163*GS163*GZ163+BM163*0.225)&gt;35,"Да","Нет")</f>
        <v>#N/A</v>
      </c>
      <c r="FV163" s="38" t="str">
        <f>IF(Исходн.данные.!O163&gt;175,"Да","Нет")</f>
        <v>Нет</v>
      </c>
      <c r="FW163" s="39" t="str">
        <f>IF(Исходн.данные.!I163&gt;5.5,"Да","Нет")</f>
        <v>Нет</v>
      </c>
      <c r="FX163" s="39" t="str">
        <f>IF(Исходн.данные.!J163&lt;2,"Да","Нет")</f>
        <v>Да</v>
      </c>
      <c r="FY163" s="39" t="e">
        <f>IF(HF163=$FY$16,0,Исходн.данные.!K163*GO163*GS163*GW163/HF163)</f>
        <v>#N/A</v>
      </c>
      <c r="FZ163" s="39" t="e">
        <f>Исходн.данные.!M163*GS163*GZ163/HG163</f>
        <v>#N/A</v>
      </c>
      <c r="GA163" s="39" t="e">
        <f>IF(K_Wyn=$FY$16,0,IF(Исходн.данные.!N163=Исходн.данные.!$L$10,Исходн.данные.!O163/1.1*GS163*HC163/HH163,IF(Исходн.данные.!N163=Исходн.данные.!$L$12,Исходн.данные.!O163/1.5*GS163*HC163/HH163,Исходн.данные.!O163*GS163*HC163/HH163)))</f>
        <v>#N/A</v>
      </c>
      <c r="GB163" s="39" t="e">
        <f>IF(HF163=$FY$16,0,((Исходн.данные.!Q163*N_Org+Исходн.данные.!R163*N_Sider+Исходн.данные.!S163*N_Soloma)*AO163+Расчет!BC163*VLOOKUP(Исходн.данные.!T163,Справ!$A$3:$O$57,15)*AO163+BB163*VLOOKUP(Исходн.данные.!T163,Справ!$A$3:$O$57,15)*AL163+(Исходн.данные.!V163*N_Rizotorf+Исходн.данные.!W163*N_Rizoagr))/HF163)</f>
        <v>#N/A</v>
      </c>
      <c r="GC163" s="39" t="e">
        <f>IF(HG163=$FY$16,0,((Исходн.данные.!Q163*Р_Org+Исходн.данные.!R163*P_Sider+Исходн.данные.!S163*P_Soloma)*AP163+Расчет!BC163*VLOOKUP(Исходн.данные.!T163,Справ!$A$3:$P$57,16)*AP163+BB163*VLOOKUP(Исходн.данные.!T163,Справ!$A$3:$P$57,16)*AM163)/HG163)</f>
        <v>#N/A</v>
      </c>
      <c r="GD163" s="39" t="e">
        <f>IF(HH163=$FY$16,0,((Исходн.данные.!Q163*К_Org+Исходн.данные.!R163*K_Sider+Исходн.данные.!S163*K_Soloma)*AQ163+Расчет!BC163*VLOOKUP(Исходн.данные.!T163,Справ!$A$3:$Q$57,17)*AQ163+BB163*VLOOKUP(Исходн.данные.!T163,Справ!$A$3:$Q$57,17)*AN163)/HH163)</f>
        <v>#N/A</v>
      </c>
      <c r="GE163" s="39" t="e">
        <f>IF(HF163=$FY$16,0,(Исходн.данные.!X163*AR163+Исходн.данные.!AA163*N_Org*AL163+Исходн.данные.!AB163*N_Sider*AL163+Исходн.данные.!AC163*N_Soloma*AL163)/HF163)</f>
        <v>#N/A</v>
      </c>
      <c r="GF163" s="39" t="e">
        <f>IF(HG163=$FY$16,0,(Исходн.данные.!Y163*AS163+Исходн.данные.!AA163*Р_Org*AM163+Исходн.данные.!AB163*P_Sider*AM163+Исходн.данные.!AC163*P_Soloma*AM163)/HG163)</f>
        <v>#N/A</v>
      </c>
      <c r="GG163" s="39" t="e">
        <f>IF(HH163=$FY$16,0,(Исходн.данные.!Z163*AT163+Исходн.данные.!AA163*К_Org*AN163+Исходн.данные.!AB163*K_Sider*AN163+Исходн.данные.!AC163*K_Soloma*AN163)/HH163)</f>
        <v>#N/A</v>
      </c>
      <c r="GH163" s="39" t="e">
        <f>Исходн.данные.!AD163*AU163/HF163</f>
        <v>#N/A</v>
      </c>
      <c r="GI163" s="39" t="e">
        <f>Исходн.данные.!AE163*AV163/HG163</f>
        <v>#N/A</v>
      </c>
      <c r="GJ163" s="39" t="e">
        <f>Исходн.данные.!AF163*AW163/HH163</f>
        <v>#N/A</v>
      </c>
      <c r="GK163" s="55">
        <f>Исходн.данные.!AK163</f>
        <v>0</v>
      </c>
      <c r="GL163" s="11" t="e">
        <f t="shared" si="261"/>
        <v>#N/A</v>
      </c>
      <c r="GM163" s="11" t="e">
        <f t="shared" si="262"/>
        <v>#N/A</v>
      </c>
      <c r="GN163" s="11" t="e">
        <f t="shared" si="263"/>
        <v>#N/A</v>
      </c>
      <c r="GO163" s="57">
        <f t="shared" si="264"/>
        <v>19</v>
      </c>
      <c r="GP163" s="55">
        <f>IF(OR(Исходн.данные.!F163=$CE$1,Исходн.данные.!F163=$CE$2,Исходн.данные.!F163=$CE$3,Исходн.данные.!F163=$CE$4,Исходн.данные.!F163=$CE$5),GQ163,GR163)</f>
        <v>19</v>
      </c>
      <c r="GQ163" s="55">
        <f>IF(Исходн.данные.!F163=$CE$1,28,IF(Исходн.данные.!F163=$CE$2,26,IF(Исходн.данные.!F163=$CE$3,24,IF(Исходн.данные.!F163=$CE$4,22,IF(Исходн.данные.!F163=$CE$5,20,GR163)))))</f>
        <v>19</v>
      </c>
      <c r="GR163" s="55">
        <f>IF(Исходн.данные.!F163=$CE$6,18,IF(Исходн.данные.!F163=$CE$7,16,IF(Исходн.данные.!F163=$CE$8,14,IF(Исходн.данные.!F163=$CE$9,13,IF(Исходн.данные.!F163=$CE$10,12,19)))))</f>
        <v>19</v>
      </c>
      <c r="GS163" s="55">
        <f>IF(Исходн.данные.!G163="Пес",0.035*(40+2*Исходн.данные.!H163),IF(Исходн.данные.!G163="Суп",0.0325*(40+2*Исходн.данные.!H163),0.03*(40+2*Исходн.данные.!H163)))</f>
        <v>1.2</v>
      </c>
      <c r="GT163" s="55">
        <f>IF(Исходн.данные.!H163&lt;23,2.6,IF(AND(Исходн.данные.!H163&gt;22,Исходн.данные.!H163&lt;26),3,IF(AND(Исходн.данные.!H163&gt;25,Исходн.данные.!H163&lt;29),3.4,3.6)))</f>
        <v>2.6</v>
      </c>
      <c r="GU163" s="55">
        <f>IF(Исходн.данные.!H163&lt;23,2.8,IF(AND(Исходн.данные.!H163&gt;22,Исходн.данные.!H163&lt;26),3.2,IF(AND(Исходн.данные.!H163&gt;25,Исходн.данные.!H163&lt;29),3.6,3.9)))</f>
        <v>2.8</v>
      </c>
      <c r="GV163" s="55">
        <f>IF(Исходн.данные.!H163&lt;23,3,IF(AND(Исходн.данные.!H163&gt;22,Исходн.данные.!H163&lt;26),3.5,IF(AND(Исходн.данные.!H163&gt;25,Исходн.данные.!H163&lt;29),3.9,4.2)))</f>
        <v>3</v>
      </c>
      <c r="GW163" s="55" t="e">
        <f>IF(Исходн.данные.!P163="Ум",GX163,GY163)</f>
        <v>#N/A</v>
      </c>
      <c r="GX163" s="55" t="e">
        <f>VLOOKUP(Исходн.данные.!AI163,Коэффициенты!$J$7:$L$13,2,FALSE)</f>
        <v>#N/A</v>
      </c>
      <c r="GY163" s="55" t="e">
        <f>VLOOKUP(Исходн.данные.!AI163,Коэффициенты!$J$7:$L$13,3,FALSE)</f>
        <v>#N/A</v>
      </c>
      <c r="GZ163" s="55" t="e">
        <f>(IF(Исходн.данные.!M163&lt;50,0.11*VLOOKUP(Исходн.данные.!AH163,Культуры.Информация,7,FALSE),IF(Исходн.данные.!M163&gt;250,0.05*VLOOKUP(Исходн.данные.!AH163,Культуры.Информация,7,FALSE),VLOOKUP(Исходн.данные.!AH163,Культуры.Информация,5,FALSE)/100*($GX$6+$GY$6*Исходн.данные.!M163))))*Расчет2!AI163</f>
        <v>#N/A</v>
      </c>
      <c r="HA163" s="211"/>
      <c r="HB163" s="211"/>
      <c r="HC163" s="55" t="e">
        <f>(IF(Исходн.данные.!O163&lt;80,0.2*VLOOKUP(Исходн.данные.!AH163,Культуры.Информация,8,FALSE),IF(Исходн.данные.!O163&gt;240,0.09*VLOOKUP(Исходн.данные.!AH163,Культуры.Информация,8,FALSE),VLOOKUP(Исходн.данные.!AH163,Культуры.Информация,6,FALSE)/100*($HB$6+$HC$6*Исходн.данные.!O163))))*Расчет2!AJ163</f>
        <v>#N/A</v>
      </c>
      <c r="HD163" s="55">
        <f>IF(Исходн.данные.!O163&gt;240,0.09,IF(Исходн.данные.!O163&lt;30,0.3,$HE$10+$HD$10*Исходн.данные.!O163))</f>
        <v>0.3</v>
      </c>
      <c r="HE163" s="55">
        <f>IF(Исходн.данные.!O163&gt;240,0.17,IF(Исходн.данные.!O163&lt;30,0.5,$HF$12+$HE$12*Исходн.данные.!O163))</f>
        <v>0.5</v>
      </c>
      <c r="HF163" s="55" t="e">
        <f>VLOOKUP(Исходн.данные.!AH163,Справ!$A$3:$D$58,2,FALSE)</f>
        <v>#N/A</v>
      </c>
      <c r="HG163" s="55" t="e">
        <f>VLOOKUP(Исходн.данные.!AH163,Справ!$A$3:$D$58,3,FALSE)</f>
        <v>#N/A</v>
      </c>
      <c r="HH163" s="55" t="e">
        <f>VLOOKUP(Исходн.данные.!AH163,Справ!$A$3:$D$58,4,FALSE)</f>
        <v>#N/A</v>
      </c>
      <c r="HI163" s="11" t="e">
        <f t="shared" si="265"/>
        <v>#N/A</v>
      </c>
      <c r="HJ163" s="11" t="e">
        <f t="shared" si="266"/>
        <v>#N/A</v>
      </c>
      <c r="HK163" s="11" t="e">
        <f t="shared" si="267"/>
        <v>#N/A</v>
      </c>
      <c r="HL163" s="55">
        <f>IF(OR(Исходн.данные.!G163="Глин",Исходн.данные.!G163="Т_суг"),1.1,IF(Исходн.данные.!G163="Ср_суг",1,1))</f>
        <v>1</v>
      </c>
      <c r="HM163" s="55">
        <f>IF(OR(Исходн.данные.!G163="Глин",Исходн.данные.!G163="Т_суг"),0.9,IF(Исходн.данные.!G163="Ср_суг",1,1.2))</f>
        <v>1.2</v>
      </c>
      <c r="HN163" s="11" t="e">
        <f t="shared" si="268"/>
        <v>#N/A</v>
      </c>
      <c r="HO163" s="11" t="e">
        <f t="shared" si="269"/>
        <v>#N/A</v>
      </c>
      <c r="HP163" s="11" t="e">
        <f t="shared" si="270"/>
        <v>#N/A</v>
      </c>
      <c r="HQ163" t="e">
        <f t="shared" si="271"/>
        <v>#N/A</v>
      </c>
      <c r="HR163" t="e">
        <f t="shared" si="272"/>
        <v>#N/A</v>
      </c>
      <c r="HS163" t="e">
        <f t="shared" si="273"/>
        <v>#N/A</v>
      </c>
      <c r="HT163" t="e">
        <f t="shared" si="219"/>
        <v>#N/A</v>
      </c>
      <c r="HU163" t="e">
        <f t="shared" si="220"/>
        <v>#N/A</v>
      </c>
      <c r="HV163" t="e">
        <f t="shared" si="221"/>
        <v>#N/A</v>
      </c>
      <c r="HW163" t="e">
        <f t="shared" si="222"/>
        <v>#N/A</v>
      </c>
      <c r="HX163" t="e">
        <f t="shared" si="223"/>
        <v>#N/A</v>
      </c>
      <c r="HY163" t="e">
        <f t="shared" si="224"/>
        <v>#N/A</v>
      </c>
      <c r="HZ163" s="55">
        <f>IF(OR(Исходн.данные.!AI163="Оз_Ч_П",Исходн.данные.!AI163="Оз_З_П",Исходн.данные.!AI163="Яр_зер"),12,30)</f>
        <v>30</v>
      </c>
      <c r="IA163" t="e">
        <f t="shared" si="274"/>
        <v>#N/A</v>
      </c>
      <c r="IB163" t="e">
        <f t="shared" si="275"/>
        <v>#N/A</v>
      </c>
      <c r="IC163" t="e">
        <f t="shared" si="276"/>
        <v>#N/A</v>
      </c>
      <c r="ID163" s="11" t="e">
        <f t="shared" si="277"/>
        <v>#N/A</v>
      </c>
      <c r="IE163" s="11" t="e">
        <f t="shared" si="278"/>
        <v>#N/A</v>
      </c>
      <c r="IF163" s="11" t="e">
        <f t="shared" si="279"/>
        <v>#N/A</v>
      </c>
    </row>
    <row r="164" spans="35:240" x14ac:dyDescent="0.2">
      <c r="AI164">
        <f>IF(Исходн.данные.!I164&gt;6,1,1.85-(0.148*Исходн.данные.!I164))</f>
        <v>1.85</v>
      </c>
      <c r="AJ164">
        <f>IF(Исходн.данные.!I164&gt;6,1,2.434-(0.246*Исходн.данные.!I164))</f>
        <v>2.4340000000000002</v>
      </c>
      <c r="AL164" s="148" t="b">
        <f>IF(Исходн.данные.!$P164="Ум",N_OrgUd_2g_um,IF(Исходн.данные.!$P164="Об",N_OrgUd_2g_ob))</f>
        <v>0</v>
      </c>
      <c r="AM164" s="148" t="b">
        <f>IF(Исходн.данные.!$P164="Ум",P_OrgUd_2g_um,IF(Исходн.данные.!$P164="Об",P_OrgUd_2g_ob))</f>
        <v>0</v>
      </c>
      <c r="AN164" s="148" t="b">
        <f>IF(Исходн.данные.!$P164="Ум",K_OrgUd_2g_um,IF(Исходн.данные.!$P164="Об",K_OrgUd_2g_ob))</f>
        <v>0</v>
      </c>
      <c r="AO164" s="148" t="b">
        <f>IF(Исходн.данные.!$P164="Ум",N_OrgUd_1g_um,IF(Исходн.данные.!$P164="Об",N_OrgUd_1g_ob))</f>
        <v>0</v>
      </c>
      <c r="AP164" s="148" t="b">
        <f>IF(Исходн.данные.!$P164="Ум",P_OrgUd_1g_um,IF(Исходн.данные.!$P164="Об",P_OrgUd_1g_ob))</f>
        <v>0</v>
      </c>
      <c r="AQ164" s="148" t="b">
        <f>IF(Исходн.данные.!$P164="Ум",K_OrgUd_1g_um,IF(Исходн.данные.!$P164="Об",K_OrgUd_1g_ob))</f>
        <v>0</v>
      </c>
      <c r="AR164" t="b">
        <f>IF(Исходн.данные.!$P164="Ум",N_MinUd_2g_um,IF(Исходн.данные.!$P164="Об",N_MinUd_2g_ob))</f>
        <v>0</v>
      </c>
      <c r="AS164" t="b">
        <f>IF(Исходн.данные.!$P164="Ум",P_MinUd_2g_um,IF(Исходн.данные.!$P164="Об",P_MinUd_2g_ob))</f>
        <v>0</v>
      </c>
      <c r="AT164" t="b">
        <f>IF(Исходн.данные.!$P164="Ум",K_MinUd_2g_um,IF(Исходн.данные.!$P164="Об",K_MinUd_2g_ob))</f>
        <v>0</v>
      </c>
      <c r="AU164" t="b">
        <f>IF(Исходн.данные.!$P164="Ум",N_MinUd_1g_um,IF(Исходн.данные.!$P164="Об",N_MinUd_1g_ob))</f>
        <v>0</v>
      </c>
      <c r="AV164" t="b">
        <f>IF(Исходн.данные.!P164="Ум",P_MinUd_1g_um,IF(Исходн.данные.!P164="Об",P_MinUd_1g_ob))</f>
        <v>0</v>
      </c>
      <c r="AW164" t="b">
        <f>IF(Исходн.данные.!P164="Ум",K_MinUd_1g_um,IF(Исходн.данные.!P164="Об",K_MinUd_1g_ob))</f>
        <v>0</v>
      </c>
      <c r="AY164" t="e">
        <f>VLOOKUP(Исходн.данные.!T164,Справ!$A$3:$N$57,12)</f>
        <v>#N/A</v>
      </c>
      <c r="AZ164" t="e">
        <f>VLOOKUP(Исходн.данные.!T164,Справ!$A$3:$N$57,13)</f>
        <v>#N/A</v>
      </c>
      <c r="BA164" t="e">
        <f>VLOOKUP(Исходн.данные.!T164,Справ!$A$3:$N$57,14)</f>
        <v>#N/A</v>
      </c>
      <c r="BB164">
        <f>IF(Исходн.данные.!AH164=0,0,25)</f>
        <v>0</v>
      </c>
      <c r="BC164" s="141">
        <f>IF(Исходн.данные.!AH164=0,0,IF(Исходн.данные.!T164=0,25,BD164))</f>
        <v>0</v>
      </c>
      <c r="BD164" s="168" t="e">
        <f>AY164+AZ164*Исходн.данные.!U164-POWER(BA164,2)*Исходн.данные.!U164</f>
        <v>#N/A</v>
      </c>
      <c r="BE16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4" s="25">
        <f>IF(Исходн.данные.!AH164=0,0,MIN(HN164:HP164))</f>
        <v>0</v>
      </c>
      <c r="BG164" s="9">
        <f>IF(Исходн.данные.!AH164=0,0,IF((HO164+10*0.25/HG164/HL164)&lt;17,17,HO164+10*0.25/HG164/HL164))</f>
        <v>0</v>
      </c>
      <c r="BH164" s="181">
        <f>IF(Исходн.данные.!AH164=0,0,HW164*HF164*HL164/AU164*AI164+Исходн.данные.!S164*10)</f>
        <v>0</v>
      </c>
      <c r="BI164" s="10"/>
      <c r="BJ164" s="182">
        <f>IF(Исходн.данные.!AH164=0,0,IF(HX164*HG164*HL164/AV164&lt;0,0,HX164*HG164*HL164/AV164*AJ164))</f>
        <v>0</v>
      </c>
      <c r="BK164" s="182">
        <f>IF(Исходн.данные.!AH164=0,0,HY164*HH164*HM164/AW164)</f>
        <v>0</v>
      </c>
      <c r="BL164" s="10">
        <f>IF(OR(Исходн.данные.!$AH164=$BP$1,Исходн.данные.!$AH164=$BP$2),0,IF(BH164&lt;0,0,IF(OR(Исходн.данные.!T164=Расчет!$BP$1,Исходн.данные.!T164=Расчет!$BP$2,Исходн.данные.!T164=Расчет!$BT$5,Исходн.данные.!T164=Расчет!$BT$6),BH164*0.5,IF(OR(Исходн.данные.!T164=Расчет!$BS$9,Исходн.данные.!T164=Расчет!$BS$10,Исходн.данные.!T164=Расчет!$BS$11,Исходн.данные.!T164=Расчет!$BS$12,Исходн.данные.!T164=Расчет!$BP$5),BH164*0.8,BH164))))</f>
        <v>0</v>
      </c>
      <c r="BM164" s="10">
        <f>IF(OR(Исходн.данные.!$AH164=$BP$1,Исходн.данные.!$AH164=$BP$2),0,IF(BJ164&lt;0,0,IF(Исходн.данные.!I164&lt;4.5,BJ164*1.2,IF(Исходн.данные.!I164&gt;5.1,BJ164,BJ164*((5.1-Исходн.данные.!I164)*0.333+1)))))</f>
        <v>0</v>
      </c>
      <c r="BN164" s="10">
        <f>IF(OR(Исходн.данные.!$AH164=$BP$1,Исходн.данные.!$AH164=$BP$2),60-Исходн.данные.!AF164,IF(BK164&lt;0,0,IF(Исходн.данные.!I164&lt;4.5,BK164*1.2,IF(Исходн.данные.!I164&gt;5.1,BK164,BK164*((5.1-Исходн.данные.!I164)*0.333+1)))))</f>
        <v>0</v>
      </c>
      <c r="BO164" s="9">
        <f>IF(BL164&lt;0,0,BL164*Исходн.данные.!$AJ164/1000)</f>
        <v>0</v>
      </c>
      <c r="BP164" s="9">
        <f>IF(BM164&lt;0,0,BM164*Исходн.данные.!$AJ164/1000)</f>
        <v>0</v>
      </c>
      <c r="BQ164" s="9">
        <f>IF(BN164&lt;0,0,BN164*Исходн.данные.!$AJ164/1000)</f>
        <v>0</v>
      </c>
      <c r="BR164" s="9">
        <f t="shared" si="229"/>
        <v>0</v>
      </c>
      <c r="BS164" s="10" t="str">
        <f t="shared" si="230"/>
        <v>Аммофос 12:52:00</v>
      </c>
      <c r="BT164" s="10" t="str">
        <f t="shared" si="231"/>
        <v>Аммофос 12:52:00</v>
      </c>
      <c r="BU164" s="10" t="str">
        <f t="shared" si="232"/>
        <v>Диаммофоска</v>
      </c>
      <c r="BV164" s="10">
        <f t="shared" si="233"/>
        <v>0</v>
      </c>
      <c r="BW164" s="10"/>
      <c r="BX164" s="10"/>
      <c r="BY164" s="9">
        <f>IF(BL164&lt;0,0,IF(OR(Исходн.данные.!AI164=Расчет!$BU$6,Исходн.данные.!AI164=Расчет!$BU$7),Расчет!BV164,IF(Исходн.данные.!$AG164=$BV$11,BL164,IF(OR(Исходн.данные.!$AH164=$BQ$7,Исходн.данные.!$AH164=$BQ$8),CB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0,IF(Исходн.данные.!$AI164=$BU$11,"Нет",IF(BL164&gt;30,30,BL164)))))))</f>
        <v>0</v>
      </c>
      <c r="BZ164" s="9">
        <f>IF(AND(Исходн.данные.!$AG164=$BV$11,BM164&lt;10),10,IF(Исходн.данные.!$AG164=$BV$11,BM164,IF(OR(Исходн.данные.!$AH164=$BQ$7,Исходн.данные.!$AH164=$BQ$8),CC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10,IF(Исходн.данные.!$AI164=$BU$11,"Нет",IF(BM164&gt;60,60,IF(BM164&lt;10,10,BM164)))))))</f>
        <v>10</v>
      </c>
      <c r="CA164" s="39">
        <f>IF(BN164&lt;0,0,IF(Исходн.данные.!$AG164=$BV$11,BN164,IF(OR(Исходн.данные.!$AH164=$BQ$7,Исходн.данные.!$AH164=$BQ$8),CD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0,IF(Исходн.данные.!$AI164=$BU$11,"Нет",IF(BN164&gt;30,30,BN164))))))</f>
        <v>0</v>
      </c>
      <c r="CB164" s="9">
        <f t="shared" si="234"/>
        <v>0</v>
      </c>
      <c r="CC164" s="9">
        <f t="shared" si="235"/>
        <v>0</v>
      </c>
      <c r="CD164" s="9">
        <f t="shared" si="236"/>
        <v>0</v>
      </c>
      <c r="CE164" s="12">
        <f t="shared" si="237"/>
        <v>10</v>
      </c>
      <c r="CF164" s="9">
        <f t="shared" si="238"/>
        <v>0</v>
      </c>
      <c r="CG164" s="9" t="s">
        <v>231</v>
      </c>
      <c r="CH164" s="132" t="str">
        <f>IF(Исходн.данные.!AP164=Расчет!$CI$16,"Нет",IF(Исходн.данные.!AL164&gt;0,Исходн.данные.!AL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BH$4,IF(OR(Исходн.данные.!AI164=Исходн.данные.!$AI$6,Исходн.данные.!AI164=Исходн.данные.!$AI$7),Расчет!BS164,IF(AND($CF164=0,$CE164&gt;0),EV164,ER164)))))</f>
        <v>Аммофос 12:52:00</v>
      </c>
      <c r="CI164" s="274">
        <f>IF(Расчет!$CH164="Нет","Нет",IF(Исходн.данные.!$AL164&gt;0,VLOOKUP(Расчет!$CH164,АшламаДВ_Irekle,2,FALSE),VLOOKUP(Расчет!$CH164,АшламаДВ_Gomumy,2,FALSE)))</f>
        <v>0.12</v>
      </c>
      <c r="CJ164" s="274">
        <f>IF(Расчет!$CH164="Нет","Нет",IF(Исходн.данные.!$AL164&gt;0,VLOOKUP(Расчет!$CH164,АшламаДВ_Irekle,3,FALSE),VLOOKUP(Расчет!$CH164,АшламаДВ_Gomumy,3,FALSE)))</f>
        <v>0.52</v>
      </c>
      <c r="CK164" s="274">
        <f>IF(Расчет!$CH164="Нет","Нет",IF(Исходн.данные.!$AL164&gt;0,VLOOKUP(Расчет!$CH164,АшламаДВ_Irekle,4,FALSE),VLOOKUP(Расчет!$CH164,АшламаДВ_Gomumy,4,FALSE)))</f>
        <v>0</v>
      </c>
      <c r="CL164" s="70"/>
      <c r="CM164" s="70"/>
      <c r="CN164" s="70"/>
      <c r="CO164" s="70"/>
      <c r="CP164" s="70"/>
      <c r="CQ164" s="70"/>
      <c r="CR164" s="10">
        <f t="shared" si="239"/>
        <v>0</v>
      </c>
      <c r="CS164" s="10">
        <f t="shared" si="240"/>
        <v>19.23076923076923</v>
      </c>
      <c r="CT164" s="10">
        <f t="shared" si="241"/>
        <v>0</v>
      </c>
      <c r="CU164" s="39">
        <f>IF($CH164="Нет",0,IF(CI164=0,30/MIN(CJ164:CK164),IF(Исходн.данные.!$AG164=$BV$11,CR164,IF(OR(Исходн.данные.!$AH164=$BQ$7,Исходн.данные.!$AH164=$BQ$8),90/CI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0,IF(Исходн.данные.!$AI164=$BU$11,"Нет",30/CI164))))))</f>
        <v>250</v>
      </c>
      <c r="CV164" s="39">
        <f>IF($CH164="Нет",0,IF(Исходн.данные.!AH164=0,0,IF(CJ164=0,60/MIN(CI164,CK164),IF(Исходн.данные.!$AG164=$BV$11,CS164,IF(OR(Исходн.данные.!$AH164=$BQ$7,Исходн.данные.!$AH164=$BQ$8),90/CJ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10/CJ164,IF(Исходн.данные.!$AI164=$BU$11,"Нет",60/CJ164)))))))</f>
        <v>0</v>
      </c>
      <c r="CW164" s="39">
        <f>IF($CH164="Нет",0,IF(Исходн.данные.!AH164=0,0,IF(CK164=0,30/MIN(CI164:CJ164),IF(Исходн.данные.!$AG164=$BV$11,CT164,IF(OR(Исходн.данные.!$AH164=$BQ$7,Исходн.данные.!$AH164=$BQ$8),90/CK164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0,IF(Исходн.данные.!$AI164=$BU$11,"Нет",30/CK164)))))))</f>
        <v>0</v>
      </c>
      <c r="CX164" s="133">
        <f>IF(Исходн.данные.!$AG164=$BV$11,MAX(CU164:CW164),IF(OR(Исходн.данные.!$AH164=$BS$8,Исходн.данные.!$AH164=$BQ$9,Исходн.данные.!$AH164=$BQ$10,Исходн.данные.!$AH164=$BQ$11,Исходн.данные.!$AH164=$BQ$12,Исходн.данные.!$AH164=$BP$3,Исходн.данные.!$AH164=$BT$8,$FM164="Да"),CV164,MIN(CU164:CW164)))</f>
        <v>0</v>
      </c>
      <c r="CY164" s="133">
        <f>IF(Исходн.данные.!AH164=0,0,IF(CR164&gt;$CX164,$CX164,CR164))</f>
        <v>0</v>
      </c>
      <c r="CZ164" s="133">
        <f>IF(Исходн.данные.!AH164=0,0,IF(CS164&gt;$CX164,$CX164,CS164))</f>
        <v>0</v>
      </c>
      <c r="DA164" s="133">
        <f>IF(Исходн.данные.!AH164=0,0,IF(CT164&gt;$CX164,$CX164,CT164))</f>
        <v>0</v>
      </c>
      <c r="DB164" s="10">
        <f t="shared" si="242"/>
        <v>0</v>
      </c>
      <c r="DC164" s="39">
        <f>DB164*Исходн.данные.!AJ164/1000</f>
        <v>0</v>
      </c>
      <c r="DD164" s="71">
        <f t="shared" si="243"/>
        <v>0</v>
      </c>
      <c r="DE164" s="9">
        <f t="shared" si="244"/>
        <v>0</v>
      </c>
      <c r="DF164" s="9">
        <f t="shared" si="245"/>
        <v>0</v>
      </c>
      <c r="DG164" s="39">
        <f>IF(BL164&lt;0,0,IF($CH164="Нет",BL164,IF(OR(Исходн.данные.!$AH164=$BP$1,Исходн.данные.!$AH164=$BP$2),0,IF(Исходн.данные.!AI164=$BU$11,BL164,IF(BL164-DD164&lt;0,0,BL164-DD164)))))</f>
        <v>0</v>
      </c>
      <c r="DH164" s="39">
        <f>IF(BM164&lt;0,0,IF($CH164="Нет",BM164,IF(OR(Исходн.данные.!$AH164=$BP$1,Исходн.данные.!$AH164=$BP$2),0,IF(Исходн.данные.!AJ164=$BU$11,BM164,IF(BM164-DE164&lt;0,0,BM164-DE164)))))</f>
        <v>0</v>
      </c>
      <c r="DI164" s="39">
        <f>IF(BN164&lt;0,0,IF($CH164="Нет",BN164,IF(OR(Исходн.данные.!$AH164=$BP$1,Исходн.данные.!$AH164=$BP$2),0,IF(Исходн.данные.!AK164=$BU$11,BN164,IF(BN164-DF164&lt;0,0,BN164-DF164)))))</f>
        <v>0</v>
      </c>
      <c r="DJ164" s="12">
        <f t="shared" si="246"/>
        <v>0</v>
      </c>
      <c r="DK164" s="9">
        <f t="shared" si="247"/>
        <v>0</v>
      </c>
      <c r="DL164" s="39">
        <f>IF(Исходн.данные.!AM164&gt;0,Исходн.данные.!AM164,IF(EG164&gt;0,$BH$10,0))</f>
        <v>0</v>
      </c>
      <c r="DM164" s="186">
        <f>IF($DL164=0,0,IF(Исходн.данные.!AM164&gt;0,VLOOKUP($DL164,АшламаДВ_Irekle,2,FALSE),VLOOKUP($DL164,АшламаДВ_Gomumy,2,FALSE)))</f>
        <v>0</v>
      </c>
      <c r="DN164" s="10">
        <f t="shared" si="225"/>
        <v>0</v>
      </c>
      <c r="DO164" s="9" t="str">
        <f>IF(Исходн.данные.!AN164&gt;0,Исходн.данные.!AN164,Удобрения!$B$37 )</f>
        <v>Хлор.калий</v>
      </c>
      <c r="DP164" s="9">
        <f>IF(Исходн.данные.!AN164&gt;0,VLOOKUP(Исходн.данные.!AN164,АшламаДВ_Irekle,4,FALSE),VLOOKUP(DO164,АшламаДВ_Gomumy,4,FALSE))</f>
        <v>0.6</v>
      </c>
      <c r="DQ164" s="10">
        <f t="shared" si="226"/>
        <v>0</v>
      </c>
      <c r="DR164" s="132" t="str">
        <f>IF(Исходн.данные.!AO164&gt;0,Исходн.данные.!AO164,IF(DH164=0,BS$17,IF(AND($DK164=0,$DJ164&gt;0),EJ164,EN164)))</f>
        <v>Нет</v>
      </c>
      <c r="DS164" s="70" t="str">
        <f>IF($DR164="Нет","Нет",IF(Исходн.данные.!$AO164&gt;0,VLOOKUP($DR164,АшламаДВ_Irekle,2,FALSE),VLOOKUP($DR164,АшламаДВ_Gomumy,2,FALSE)))</f>
        <v>Нет</v>
      </c>
      <c r="DT164" s="70" t="str">
        <f>IF($DR164="Нет","Нет",IF(Исходн.данные.!$AO164&gt;0,VLOOKUP($DR164,АшламаДВ_Irekle,3,FALSE),VLOOKUP($DR164,АшламаДВ_Gomumy,3,FALSE)))</f>
        <v>Нет</v>
      </c>
      <c r="DU164" s="70" t="str">
        <f>IF($DR164="Нет","Нет",IF(Исходн.данные.!$AO164&gt;0,VLOOKUP($DR164,АшламаДВ_Irekle,4,FALSE),VLOOKUP($DR164,АшламаДВ_Gomumy,4,FALSE)))</f>
        <v>Нет</v>
      </c>
      <c r="DV164" s="70"/>
      <c r="DW164" s="70"/>
      <c r="DX164" s="70"/>
      <c r="DY164" s="10">
        <f t="shared" si="248"/>
        <v>0</v>
      </c>
      <c r="DZ164" s="10">
        <f t="shared" si="249"/>
        <v>0</v>
      </c>
      <c r="EA164" s="10">
        <f t="shared" si="250"/>
        <v>0</v>
      </c>
      <c r="EB164" s="10">
        <f t="shared" si="251"/>
        <v>0</v>
      </c>
      <c r="EC164" s="10">
        <f t="shared" si="252"/>
        <v>0</v>
      </c>
      <c r="ED164" s="10">
        <f t="shared" si="253"/>
        <v>0</v>
      </c>
      <c r="EE164" s="10">
        <f t="shared" si="254"/>
        <v>0</v>
      </c>
      <c r="EF164" s="39">
        <f>EB164*Исходн.данные.!AJ164/1000</f>
        <v>0</v>
      </c>
      <c r="EG164" s="9">
        <f t="shared" si="255"/>
        <v>0</v>
      </c>
      <c r="EH164" s="9">
        <f t="shared" si="256"/>
        <v>0</v>
      </c>
      <c r="EI164" s="39" t="e">
        <f t="shared" si="206"/>
        <v>#DIV/0!</v>
      </c>
      <c r="EJ164" s="9" t="str">
        <f t="shared" si="227"/>
        <v>Азопреципитат</v>
      </c>
      <c r="EK164" s="12">
        <f t="shared" si="207"/>
        <v>0.26</v>
      </c>
      <c r="EL164" s="12">
        <f t="shared" si="208"/>
        <v>0.13</v>
      </c>
      <c r="EM164" s="12">
        <f t="shared" si="209"/>
        <v>0</v>
      </c>
      <c r="EN164" s="12" t="str">
        <f t="shared" si="228"/>
        <v>Нет</v>
      </c>
      <c r="EO164" s="12">
        <f t="shared" si="210"/>
        <v>0</v>
      </c>
      <c r="EP164" s="12">
        <f t="shared" si="211"/>
        <v>0</v>
      </c>
      <c r="EQ164" s="12">
        <f t="shared" si="212"/>
        <v>0</v>
      </c>
      <c r="ER164" s="12" t="str">
        <f t="shared" si="257"/>
        <v>Диаммофоска</v>
      </c>
      <c r="ES164" s="12">
        <f t="shared" si="213"/>
        <v>0.1</v>
      </c>
      <c r="ET164" s="12">
        <f t="shared" si="214"/>
        <v>0.26</v>
      </c>
      <c r="EU164" s="12">
        <f t="shared" si="215"/>
        <v>0.26</v>
      </c>
      <c r="EV164" s="12" t="str">
        <f t="shared" si="258"/>
        <v>Аммофос 12:52:00</v>
      </c>
      <c r="EW164" s="12" t="str">
        <f t="shared" si="259"/>
        <v>Кемира Свекловичное-6</v>
      </c>
      <c r="EX164" s="12">
        <f t="shared" si="216"/>
        <v>0.16</v>
      </c>
      <c r="EY164" s="12">
        <f t="shared" si="217"/>
        <v>0.12</v>
      </c>
      <c r="EZ164" s="12">
        <f t="shared" si="218"/>
        <v>0.17</v>
      </c>
      <c r="FA164" s="38" t="e">
        <f>IF(AND(OR(FJ164=$FD$1,FM164=$FD$1,FO164=$FD$1,FQ164=$FD$1,FS164=$FD$1),FD164=$FD$1,Исходн.данные.!J164&lt;2,FU164=$FD$1),"Бор,Кобальт",IF(AND(FO164=$FD$1,FH164=$FD$1,Исходн.данные.!J164&lt;2,FU164=$FD$1),"Бор,Кобальт",IF(AND(OR(FJ164=$FD$1,FM164=$FD$1,FQ164=$FD$1),FE164=$FD$1,Исходн.данные.!J164&lt;2,FT164=$FD$1,FU164=$FD$1),"Бор,Медь,Цинк",IF(AND(OR(FJ164=$FD$1,FR164="Да"),FI164="Да",Исходн.данные.!J164&lt;2,FT164="Да",FU164="Да"),"Бор,Цинк,Медь",IF(AND(OR(FM164="Да",FQ164="Да"),FI164="Да",Исходн.данные.!J164&lt;2,FT164="Да",FU164="Да"),"Бор,Цинк",IF(AND(FN164="Да",OR(FD164="Да",FE164="Да")),"Бор",FB164))))))</f>
        <v>#N/A</v>
      </c>
      <c r="FB164" s="134" t="e">
        <f>IF(AND(OR(FD164="Да",FE164="Да",FF164="Да",FG164="Да",FH164="Да"),FO164="Да"),"Бор",IF(AND(FP164="Да",OR(FD164="Да",FE164="Да",FI164="Да")),"Бор",IF(AND(FS164="Да",FE164="Да"),"Бор,Медь",IF(AND(OR(FJ164="Да",FK164="Да",FL164="Да"),FE164="Да",Исходн.данные.!I164&lt;5,FT164="Да",FU164="Да"),"Молибден,Цинк",IF(AND(FM164="Да",OR(FE164="Да",FF164="Да",FG164="Да",FH164="Да",FI164="Да")),"Молибден,Цинк",IF(AND(OR(FJ164="Да",FK164="Да",FL164="Да",FM164="Да",FQ164="Да"),OR(FE164="Да",FF164="Да"),FT164="Да",FU164="Да",Исходн.данные.!I164&gt;5.5),"Медь,Цинк",FC164))))))</f>
        <v>#N/A</v>
      </c>
      <c r="FC164" s="23" t="e">
        <f t="shared" si="260"/>
        <v>#N/A</v>
      </c>
      <c r="FD164" s="38" t="str">
        <f>IF(OR(Исходн.данные.!F164=$CC$1,Исходн.данные.!F164=$CC$2,Исходн.данные.!F164=$CC$3,Исходн.данные.!F164=$CC$4),"Да","Нет")</f>
        <v>Нет</v>
      </c>
      <c r="FE164" s="38" t="str">
        <f>IF(Исходн.данные.!F164=$CC$5,"Да","Нет")</f>
        <v>Нет</v>
      </c>
      <c r="FF164" s="38" t="str">
        <f>IF(OR(Исходн.данные.!F164=$CC$6,Исходн.данные.!F164=$CC$7),"Да","Нет")</f>
        <v>Нет</v>
      </c>
      <c r="FG164" s="38" t="str">
        <f>IF(OR(Исходн.данные.!F164=$CC$8,Исходн.данные.!F164=$CC$9),"Да","Нет")</f>
        <v>Нет</v>
      </c>
      <c r="FH164" s="38" t="str">
        <f>IF(Исходн.данные.!F164=$CC$10,"Да","Нет")</f>
        <v>Нет</v>
      </c>
      <c r="FI164" s="38" t="str">
        <f>IF(OR(Исходн.данные.!F164=$CC$11,Исходн.данные.!F164=$CC$12),"Да","Нет")</f>
        <v>Нет</v>
      </c>
      <c r="FJ164" s="38" t="str">
        <f>IF(OR(Исходн.данные.!AH164=$BS$1,Исходн.данные.!AH164=$BQ$11,Исходн.данные.!AH164=$BQ$12),"Да","Нет")</f>
        <v>Нет</v>
      </c>
      <c r="FK164" s="38" t="str">
        <f>IF(OR(Исходн.данные.!AH164=$BS$2,Исходн.данные.!AH164=$BS$4),"Да","Нет")</f>
        <v>Нет</v>
      </c>
      <c r="FL164" s="38" t="str">
        <f>IF(OR(Исходн.данные.!AH164=$BS$3,Исходн.данные.!AH164=$BS$5),"Да","Нет")</f>
        <v>Нет</v>
      </c>
      <c r="FM164" s="38" t="str">
        <f>IF(OR(Исходн.данные.!AH164=$BS$9,Исходн.данные.!AH164=$BS$10,Исходн.данные.!AH164=$BS$11,Исходн.данные.!AH164=$BS$12),"Да","Нет")</f>
        <v>Нет</v>
      </c>
      <c r="FN164" s="38" t="str">
        <f>IF(OR(Исходн.данные.!AH164=$BS$6,Исходн.данные.!AH164=$BP$3),"Да","Нет")</f>
        <v>Нет</v>
      </c>
      <c r="FO164" s="38" t="str">
        <f>IF(Исходн.данные.!AH164=$BQ$9,"Да","Нет")</f>
        <v>Нет</v>
      </c>
      <c r="FP164" s="38" t="str">
        <f>IF(OR(Исходн.данные.!AH164=$BS$8,Исходн.данные.!AH164=$BT$8),"Да","Нет")</f>
        <v>Нет</v>
      </c>
      <c r="FQ164" s="38" t="str">
        <f>IF(OR(Исходн.данные.!AH164=$BQ$7,Исходн.данные.!AH164=$BQ$8),"Да","Нет")</f>
        <v>Нет</v>
      </c>
      <c r="FR164" s="38" t="str">
        <f>IF(Исходн.данные.!AI164=$BU$9,"Да","Нет")</f>
        <v>Нет</v>
      </c>
      <c r="FS164" s="38" t="str">
        <f>IF(OR(Исходн.данные.!AH164=$BP$1,Исходн.данные.!AH164=$BP$2),"Да","Нет")</f>
        <v>Нет</v>
      </c>
      <c r="FT164" s="38" t="e">
        <f>IF((Исходн.данные.!K164*GO164*GS164*GW164+BL164*0.6+Исходн.данные.!Q164*4.5*0.275)&gt;90,"Да","Нет")</f>
        <v>#N/A</v>
      </c>
      <c r="FU164" s="38" t="e">
        <f>IF((Исходн.данные.!M164*GS164*GZ164+BM164*0.225)&gt;35,"Да","Нет")</f>
        <v>#N/A</v>
      </c>
      <c r="FV164" s="38" t="str">
        <f>IF(Исходн.данные.!O164&gt;175,"Да","Нет")</f>
        <v>Нет</v>
      </c>
      <c r="FW164" s="39" t="str">
        <f>IF(Исходн.данные.!I164&gt;5.5,"Да","Нет")</f>
        <v>Нет</v>
      </c>
      <c r="FX164" s="39" t="str">
        <f>IF(Исходн.данные.!J164&lt;2,"Да","Нет")</f>
        <v>Да</v>
      </c>
      <c r="FY164" s="39" t="e">
        <f>IF(HF164=$FY$16,0,Исходн.данные.!K164*GO164*GS164*GW164/HF164)</f>
        <v>#N/A</v>
      </c>
      <c r="FZ164" s="39" t="e">
        <f>Исходн.данные.!M164*GS164*GZ164/HG164</f>
        <v>#N/A</v>
      </c>
      <c r="GA164" s="39" t="e">
        <f>IF(K_Wyn=$FY$16,0,IF(Исходн.данные.!N164=Исходн.данные.!$L$10,Исходн.данные.!O164/1.1*GS164*HC164/HH164,IF(Исходн.данные.!N164=Исходн.данные.!$L$12,Исходн.данные.!O164/1.5*GS164*HC164/HH164,Исходн.данные.!O164*GS164*HC164/HH164)))</f>
        <v>#N/A</v>
      </c>
      <c r="GB164" s="39" t="e">
        <f>IF(HF164=$FY$16,0,((Исходн.данные.!Q164*N_Org+Исходн.данные.!R164*N_Sider+Исходн.данные.!S164*N_Soloma)*AO164+Расчет!BC164*VLOOKUP(Исходн.данные.!T164,Справ!$A$3:$O$57,15)*AO164+BB164*VLOOKUP(Исходн.данные.!T164,Справ!$A$3:$O$57,15)*AL164+(Исходн.данные.!V164*N_Rizotorf+Исходн.данные.!W164*N_Rizoagr))/HF164)</f>
        <v>#N/A</v>
      </c>
      <c r="GC164" s="39" t="e">
        <f>IF(HG164=$FY$16,0,((Исходн.данные.!Q164*Р_Org+Исходн.данные.!R164*P_Sider+Исходн.данные.!S164*P_Soloma)*AP164+Расчет!BC164*VLOOKUP(Исходн.данные.!T164,Справ!$A$3:$P$57,16)*AP164+BB164*VLOOKUP(Исходн.данные.!T164,Справ!$A$3:$P$57,16)*AM164)/HG164)</f>
        <v>#N/A</v>
      </c>
      <c r="GD164" s="39" t="e">
        <f>IF(HH164=$FY$16,0,((Исходн.данные.!Q164*К_Org+Исходн.данные.!R164*K_Sider+Исходн.данные.!S164*K_Soloma)*AQ164+Расчет!BC164*VLOOKUP(Исходн.данные.!T164,Справ!$A$3:$Q$57,17)*AQ164+BB164*VLOOKUP(Исходн.данные.!T164,Справ!$A$3:$Q$57,17)*AN164)/HH164)</f>
        <v>#N/A</v>
      </c>
      <c r="GE164" s="39" t="e">
        <f>IF(HF164=$FY$16,0,(Исходн.данные.!X164*AR164+Исходн.данные.!AA164*N_Org*AL164+Исходн.данные.!AB164*N_Sider*AL164+Исходн.данные.!AC164*N_Soloma*AL164)/HF164)</f>
        <v>#N/A</v>
      </c>
      <c r="GF164" s="39" t="e">
        <f>IF(HG164=$FY$16,0,(Исходн.данные.!Y164*AS164+Исходн.данные.!AA164*Р_Org*AM164+Исходн.данные.!AB164*P_Sider*AM164+Исходн.данные.!AC164*P_Soloma*AM164)/HG164)</f>
        <v>#N/A</v>
      </c>
      <c r="GG164" s="39" t="e">
        <f>IF(HH164=$FY$16,0,(Исходн.данные.!Z164*AT164+Исходн.данные.!AA164*К_Org*AN164+Исходн.данные.!AB164*K_Sider*AN164+Исходн.данные.!AC164*K_Soloma*AN164)/HH164)</f>
        <v>#N/A</v>
      </c>
      <c r="GH164" s="39" t="e">
        <f>Исходн.данные.!AD164*AU164/HF164</f>
        <v>#N/A</v>
      </c>
      <c r="GI164" s="39" t="e">
        <f>Исходн.данные.!AE164*AV164/HG164</f>
        <v>#N/A</v>
      </c>
      <c r="GJ164" s="39" t="e">
        <f>Исходн.данные.!AF164*AW164/HH164</f>
        <v>#N/A</v>
      </c>
      <c r="GK164" s="55">
        <f>Исходн.данные.!AK164</f>
        <v>0</v>
      </c>
      <c r="GL164" s="11" t="e">
        <f t="shared" si="261"/>
        <v>#N/A</v>
      </c>
      <c r="GM164" s="11" t="e">
        <f t="shared" si="262"/>
        <v>#N/A</v>
      </c>
      <c r="GN164" s="11" t="e">
        <f t="shared" si="263"/>
        <v>#N/A</v>
      </c>
      <c r="GO164" s="57">
        <f t="shared" si="264"/>
        <v>19</v>
      </c>
      <c r="GP164" s="55">
        <f>IF(OR(Исходн.данные.!F164=$CE$1,Исходн.данные.!F164=$CE$2,Исходн.данные.!F164=$CE$3,Исходн.данные.!F164=$CE$4,Исходн.данные.!F164=$CE$5),GQ164,GR164)</f>
        <v>19</v>
      </c>
      <c r="GQ164" s="55">
        <f>IF(Исходн.данные.!F164=$CE$1,28,IF(Исходн.данные.!F164=$CE$2,26,IF(Исходн.данные.!F164=$CE$3,24,IF(Исходн.данные.!F164=$CE$4,22,IF(Исходн.данные.!F164=$CE$5,20,GR164)))))</f>
        <v>19</v>
      </c>
      <c r="GR164" s="55">
        <f>IF(Исходн.данные.!F164=$CE$6,18,IF(Исходн.данные.!F164=$CE$7,16,IF(Исходн.данные.!F164=$CE$8,14,IF(Исходн.данные.!F164=$CE$9,13,IF(Исходн.данные.!F164=$CE$10,12,19)))))</f>
        <v>19</v>
      </c>
      <c r="GS164" s="55">
        <f>IF(Исходн.данные.!G164="Пес",0.035*(40+2*Исходн.данные.!H164),IF(Исходн.данные.!G164="Суп",0.0325*(40+2*Исходн.данные.!H164),0.03*(40+2*Исходн.данные.!H164)))</f>
        <v>1.2</v>
      </c>
      <c r="GT164" s="55">
        <f>IF(Исходн.данные.!H164&lt;23,2.6,IF(AND(Исходн.данные.!H164&gt;22,Исходн.данные.!H164&lt;26),3,IF(AND(Исходн.данные.!H164&gt;25,Исходн.данные.!H164&lt;29),3.4,3.6)))</f>
        <v>2.6</v>
      </c>
      <c r="GU164" s="55">
        <f>IF(Исходн.данные.!H164&lt;23,2.8,IF(AND(Исходн.данные.!H164&gt;22,Исходн.данные.!H164&lt;26),3.2,IF(AND(Исходн.данные.!H164&gt;25,Исходн.данные.!H164&lt;29),3.6,3.9)))</f>
        <v>2.8</v>
      </c>
      <c r="GV164" s="55">
        <f>IF(Исходн.данные.!H164&lt;23,3,IF(AND(Исходн.данные.!H164&gt;22,Исходн.данные.!H164&lt;26),3.5,IF(AND(Исходн.данные.!H164&gt;25,Исходн.данные.!H164&lt;29),3.9,4.2)))</f>
        <v>3</v>
      </c>
      <c r="GW164" s="55" t="e">
        <f>IF(Исходн.данные.!P164="Ум",GX164,GY164)</f>
        <v>#N/A</v>
      </c>
      <c r="GX164" s="55" t="e">
        <f>VLOOKUP(Исходн.данные.!AI164,Коэффициенты!$J$7:$L$13,2,FALSE)</f>
        <v>#N/A</v>
      </c>
      <c r="GY164" s="55" t="e">
        <f>VLOOKUP(Исходн.данные.!AI164,Коэффициенты!$J$7:$L$13,3,FALSE)</f>
        <v>#N/A</v>
      </c>
      <c r="GZ164" s="55" t="e">
        <f>(IF(Исходн.данные.!M164&lt;50,0.11*VLOOKUP(Исходн.данные.!AH164,Культуры.Информация,7,FALSE),IF(Исходн.данные.!M164&gt;250,0.05*VLOOKUP(Исходн.данные.!AH164,Культуры.Информация,7,FALSE),VLOOKUP(Исходн.данные.!AH164,Культуры.Информация,5,FALSE)/100*($GX$6+$GY$6*Исходн.данные.!M164))))*Расчет2!AI164</f>
        <v>#N/A</v>
      </c>
      <c r="HA164" s="211"/>
      <c r="HB164" s="211"/>
      <c r="HC164" s="55" t="e">
        <f>(IF(Исходн.данные.!O164&lt;80,0.2*VLOOKUP(Исходн.данные.!AH164,Культуры.Информация,8,FALSE),IF(Исходн.данные.!O164&gt;240,0.09*VLOOKUP(Исходн.данные.!AH164,Культуры.Информация,8,FALSE),VLOOKUP(Исходн.данные.!AH164,Культуры.Информация,6,FALSE)/100*($HB$6+$HC$6*Исходн.данные.!O164))))*Расчет2!AJ164</f>
        <v>#N/A</v>
      </c>
      <c r="HD164" s="55">
        <f>IF(Исходн.данные.!O164&gt;240,0.09,IF(Исходн.данные.!O164&lt;30,0.3,$HE$10+$HD$10*Исходн.данные.!O164))</f>
        <v>0.3</v>
      </c>
      <c r="HE164" s="55">
        <f>IF(Исходн.данные.!O164&gt;240,0.17,IF(Исходн.данные.!O164&lt;30,0.5,$HF$12+$HE$12*Исходн.данные.!O164))</f>
        <v>0.5</v>
      </c>
      <c r="HF164" s="55" t="e">
        <f>VLOOKUP(Исходн.данные.!AH164,Справ!$A$3:$D$58,2,FALSE)</f>
        <v>#N/A</v>
      </c>
      <c r="HG164" s="55" t="e">
        <f>VLOOKUP(Исходн.данные.!AH164,Справ!$A$3:$D$58,3,FALSE)</f>
        <v>#N/A</v>
      </c>
      <c r="HH164" s="55" t="e">
        <f>VLOOKUP(Исходн.данные.!AH164,Справ!$A$3:$D$58,4,FALSE)</f>
        <v>#N/A</v>
      </c>
      <c r="HI164" s="11" t="e">
        <f t="shared" si="265"/>
        <v>#N/A</v>
      </c>
      <c r="HJ164" s="11" t="e">
        <f t="shared" si="266"/>
        <v>#N/A</v>
      </c>
      <c r="HK164" s="11" t="e">
        <f t="shared" si="267"/>
        <v>#N/A</v>
      </c>
      <c r="HL164" s="55">
        <f>IF(OR(Исходн.данные.!G164="Глин",Исходн.данные.!G164="Т_суг"),1.1,IF(Исходн.данные.!G164="Ср_суг",1,1))</f>
        <v>1</v>
      </c>
      <c r="HM164" s="55">
        <f>IF(OR(Исходн.данные.!G164="Глин",Исходн.данные.!G164="Т_суг"),0.9,IF(Исходн.данные.!G164="Ср_суг",1,1.2))</f>
        <v>1.2</v>
      </c>
      <c r="HN164" s="11" t="e">
        <f t="shared" si="268"/>
        <v>#N/A</v>
      </c>
      <c r="HO164" s="11" t="e">
        <f t="shared" si="269"/>
        <v>#N/A</v>
      </c>
      <c r="HP164" s="11" t="e">
        <f t="shared" si="270"/>
        <v>#N/A</v>
      </c>
      <c r="HQ164" t="e">
        <f t="shared" si="271"/>
        <v>#N/A</v>
      </c>
      <c r="HR164" t="e">
        <f t="shared" si="272"/>
        <v>#N/A</v>
      </c>
      <c r="HS164" t="e">
        <f t="shared" si="273"/>
        <v>#N/A</v>
      </c>
      <c r="HT164" t="e">
        <f t="shared" si="219"/>
        <v>#N/A</v>
      </c>
      <c r="HU164" t="e">
        <f t="shared" si="220"/>
        <v>#N/A</v>
      </c>
      <c r="HV164" t="e">
        <f t="shared" si="221"/>
        <v>#N/A</v>
      </c>
      <c r="HW164" t="e">
        <f t="shared" si="222"/>
        <v>#N/A</v>
      </c>
      <c r="HX164" t="e">
        <f t="shared" si="223"/>
        <v>#N/A</v>
      </c>
      <c r="HY164" t="e">
        <f t="shared" si="224"/>
        <v>#N/A</v>
      </c>
      <c r="HZ164" s="55">
        <f>IF(OR(Исходн.данные.!AI164="Оз_Ч_П",Исходн.данные.!AI164="Оз_З_П",Исходн.данные.!AI164="Яр_зер"),12,30)</f>
        <v>30</v>
      </c>
      <c r="IA164" t="e">
        <f t="shared" si="274"/>
        <v>#N/A</v>
      </c>
      <c r="IB164" t="e">
        <f t="shared" si="275"/>
        <v>#N/A</v>
      </c>
      <c r="IC164" t="e">
        <f t="shared" si="276"/>
        <v>#N/A</v>
      </c>
      <c r="ID164" s="11" t="e">
        <f t="shared" si="277"/>
        <v>#N/A</v>
      </c>
      <c r="IE164" s="11" t="e">
        <f t="shared" si="278"/>
        <v>#N/A</v>
      </c>
      <c r="IF164" s="11" t="e">
        <f t="shared" si="279"/>
        <v>#N/A</v>
      </c>
    </row>
    <row r="165" spans="35:240" x14ac:dyDescent="0.2">
      <c r="AI165">
        <f>IF(Исходн.данные.!I165&gt;6,1,1.85-(0.148*Исходн.данные.!I165))</f>
        <v>1.85</v>
      </c>
      <c r="AJ165">
        <f>IF(Исходн.данные.!I165&gt;6,1,2.434-(0.246*Исходн.данные.!I165))</f>
        <v>2.4340000000000002</v>
      </c>
      <c r="AL165" s="148" t="b">
        <f>IF(Исходн.данные.!$P165="Ум",N_OrgUd_2g_um,IF(Исходн.данные.!$P165="Об",N_OrgUd_2g_ob))</f>
        <v>0</v>
      </c>
      <c r="AM165" s="148" t="b">
        <f>IF(Исходн.данные.!$P165="Ум",P_OrgUd_2g_um,IF(Исходн.данные.!$P165="Об",P_OrgUd_2g_ob))</f>
        <v>0</v>
      </c>
      <c r="AN165" s="148" t="b">
        <f>IF(Исходн.данные.!$P165="Ум",K_OrgUd_2g_um,IF(Исходн.данные.!$P165="Об",K_OrgUd_2g_ob))</f>
        <v>0</v>
      </c>
      <c r="AO165" s="148" t="b">
        <f>IF(Исходн.данные.!$P165="Ум",N_OrgUd_1g_um,IF(Исходн.данные.!$P165="Об",N_OrgUd_1g_ob))</f>
        <v>0</v>
      </c>
      <c r="AP165" s="148" t="b">
        <f>IF(Исходн.данные.!$P165="Ум",P_OrgUd_1g_um,IF(Исходн.данные.!$P165="Об",P_OrgUd_1g_ob))</f>
        <v>0</v>
      </c>
      <c r="AQ165" s="148" t="b">
        <f>IF(Исходн.данные.!$P165="Ум",K_OrgUd_1g_um,IF(Исходн.данные.!$P165="Об",K_OrgUd_1g_ob))</f>
        <v>0</v>
      </c>
      <c r="AR165" t="b">
        <f>IF(Исходн.данные.!$P165="Ум",N_MinUd_2g_um,IF(Исходн.данные.!$P165="Об",N_MinUd_2g_ob))</f>
        <v>0</v>
      </c>
      <c r="AS165" t="b">
        <f>IF(Исходн.данные.!$P165="Ум",P_MinUd_2g_um,IF(Исходн.данные.!$P165="Об",P_MinUd_2g_ob))</f>
        <v>0</v>
      </c>
      <c r="AT165" t="b">
        <f>IF(Исходн.данные.!$P165="Ум",K_MinUd_2g_um,IF(Исходн.данные.!$P165="Об",K_MinUd_2g_ob))</f>
        <v>0</v>
      </c>
      <c r="AU165" t="b">
        <f>IF(Исходн.данные.!$P165="Ум",N_MinUd_1g_um,IF(Исходн.данные.!$P165="Об",N_MinUd_1g_ob))</f>
        <v>0</v>
      </c>
      <c r="AV165" t="b">
        <f>IF(Исходн.данные.!P165="Ум",P_MinUd_1g_um,IF(Исходн.данные.!P165="Об",P_MinUd_1g_ob))</f>
        <v>0</v>
      </c>
      <c r="AW165" t="b">
        <f>IF(Исходн.данные.!P165="Ум",K_MinUd_1g_um,IF(Исходн.данные.!P165="Об",K_MinUd_1g_ob))</f>
        <v>0</v>
      </c>
      <c r="AY165" t="e">
        <f>VLOOKUP(Исходн.данные.!T165,Справ!$A$3:$N$57,12)</f>
        <v>#N/A</v>
      </c>
      <c r="AZ165" t="e">
        <f>VLOOKUP(Исходн.данные.!T165,Справ!$A$3:$N$57,13)</f>
        <v>#N/A</v>
      </c>
      <c r="BA165" t="e">
        <f>VLOOKUP(Исходн.данные.!T165,Справ!$A$3:$N$57,14)</f>
        <v>#N/A</v>
      </c>
      <c r="BB165">
        <f>IF(Исходн.данные.!AH165=0,0,25)</f>
        <v>0</v>
      </c>
      <c r="BC165" s="141">
        <f>IF(Исходн.данные.!AH165=0,0,IF(Исходн.данные.!T165=0,25,BD165))</f>
        <v>0</v>
      </c>
      <c r="BD165" s="168" t="e">
        <f>AY165+AZ165*Исходн.данные.!U165-POWER(BA165,2)*Исходн.данные.!U165</f>
        <v>#N/A</v>
      </c>
      <c r="BE16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5" s="25">
        <f>IF(Исходн.данные.!AH165=0,0,MIN(HN165:HP165))</f>
        <v>0</v>
      </c>
      <c r="BG165" s="9">
        <f>IF(Исходн.данные.!AH165=0,0,IF((HO165+10*0.25/HG165/HL165)&lt;17,17,HO165+10*0.25/HG165/HL165))</f>
        <v>0</v>
      </c>
      <c r="BH165" s="181">
        <f>IF(Исходн.данные.!AH165=0,0,HW165*HF165*HL165/AU165*AI165+Исходн.данные.!S165*10)</f>
        <v>0</v>
      </c>
      <c r="BI165" s="10"/>
      <c r="BJ165" s="182">
        <f>IF(Исходн.данные.!AH165=0,0,IF(HX165*HG165*HL165/AV165&lt;0,0,HX165*HG165*HL165/AV165*AJ165))</f>
        <v>0</v>
      </c>
      <c r="BK165" s="182">
        <f>IF(Исходн.данные.!AH165=0,0,HY165*HH165*HM165/AW165)</f>
        <v>0</v>
      </c>
      <c r="BL165" s="10">
        <f>IF(OR(Исходн.данные.!$AH165=$BP$1,Исходн.данные.!$AH165=$BP$2),0,IF(BH165&lt;0,0,IF(OR(Исходн.данные.!T165=Расчет!$BP$1,Исходн.данные.!T165=Расчет!$BP$2,Исходн.данные.!T165=Расчет!$BT$5,Исходн.данные.!T165=Расчет!$BT$6),BH165*0.5,IF(OR(Исходн.данные.!T165=Расчет!$BS$9,Исходн.данные.!T165=Расчет!$BS$10,Исходн.данные.!T165=Расчет!$BS$11,Исходн.данные.!T165=Расчет!$BS$12,Исходн.данные.!T165=Расчет!$BP$5),BH165*0.8,BH165))))</f>
        <v>0</v>
      </c>
      <c r="BM165" s="10">
        <f>IF(OR(Исходн.данные.!$AH165=$BP$1,Исходн.данные.!$AH165=$BP$2),0,IF(BJ165&lt;0,0,IF(Исходн.данные.!I165&lt;4.5,BJ165*1.2,IF(Исходн.данные.!I165&gt;5.1,BJ165,BJ165*((5.1-Исходн.данные.!I165)*0.333+1)))))</f>
        <v>0</v>
      </c>
      <c r="BN165" s="10">
        <f>IF(OR(Исходн.данные.!$AH165=$BP$1,Исходн.данные.!$AH165=$BP$2),60-Исходн.данные.!AF165,IF(BK165&lt;0,0,IF(Исходн.данные.!I165&lt;4.5,BK165*1.2,IF(Исходн.данные.!I165&gt;5.1,BK165,BK165*((5.1-Исходн.данные.!I165)*0.333+1)))))</f>
        <v>0</v>
      </c>
      <c r="BO165" s="9">
        <f>IF(BL165&lt;0,0,BL165*Исходн.данные.!$AJ165/1000)</f>
        <v>0</v>
      </c>
      <c r="BP165" s="9">
        <f>IF(BM165&lt;0,0,BM165*Исходн.данные.!$AJ165/1000)</f>
        <v>0</v>
      </c>
      <c r="BQ165" s="9">
        <f>IF(BN165&lt;0,0,BN165*Исходн.данные.!$AJ165/1000)</f>
        <v>0</v>
      </c>
      <c r="BR165" s="9">
        <f t="shared" si="229"/>
        <v>0</v>
      </c>
      <c r="BS165" s="10" t="str">
        <f t="shared" si="230"/>
        <v>Аммофос 12:52:00</v>
      </c>
      <c r="BT165" s="10" t="str">
        <f t="shared" si="231"/>
        <v>Аммофос 12:52:00</v>
      </c>
      <c r="BU165" s="10" t="str">
        <f t="shared" si="232"/>
        <v>Диаммофоска</v>
      </c>
      <c r="BV165" s="10">
        <f t="shared" si="233"/>
        <v>0</v>
      </c>
      <c r="BW165" s="10"/>
      <c r="BX165" s="10"/>
      <c r="BY165" s="9">
        <f>IF(BL165&lt;0,0,IF(OR(Исходн.данные.!AI165=Расчет!$BU$6,Исходн.данные.!AI165=Расчет!$BU$7),Расчет!BV165,IF(Исходн.данные.!$AG165=$BV$11,BL165,IF(OR(Исходн.данные.!$AH165=$BQ$7,Исходн.данные.!$AH165=$BQ$8),CB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0,IF(Исходн.данные.!$AI165=$BU$11,"Нет",IF(BL165&gt;30,30,BL165)))))))</f>
        <v>0</v>
      </c>
      <c r="BZ165" s="9">
        <f>IF(AND(Исходн.данные.!$AG165=$BV$11,BM165&lt;10),10,IF(Исходн.данные.!$AG165=$BV$11,BM165,IF(OR(Исходн.данные.!$AH165=$BQ$7,Исходн.данные.!$AH165=$BQ$8),CC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10,IF(Исходн.данные.!$AI165=$BU$11,"Нет",IF(BM165&gt;60,60,IF(BM165&lt;10,10,BM165)))))))</f>
        <v>10</v>
      </c>
      <c r="CA165" s="39">
        <f>IF(BN165&lt;0,0,IF(Исходн.данные.!$AG165=$BV$11,BN165,IF(OR(Исходн.данные.!$AH165=$BQ$7,Исходн.данные.!$AH165=$BQ$8),CD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0,IF(Исходн.данные.!$AI165=$BU$11,"Нет",IF(BN165&gt;30,30,BN165))))))</f>
        <v>0</v>
      </c>
      <c r="CB165" s="9">
        <f t="shared" si="234"/>
        <v>0</v>
      </c>
      <c r="CC165" s="9">
        <f t="shared" si="235"/>
        <v>0</v>
      </c>
      <c r="CD165" s="9">
        <f t="shared" si="236"/>
        <v>0</v>
      </c>
      <c r="CE165" s="12">
        <f t="shared" si="237"/>
        <v>10</v>
      </c>
      <c r="CF165" s="9">
        <f t="shared" si="238"/>
        <v>0</v>
      </c>
      <c r="CG165" s="9" t="s">
        <v>231</v>
      </c>
      <c r="CH165" s="132" t="str">
        <f>IF(Исходн.данные.!AP165=Расчет!$CI$16,"Нет",IF(Исходн.данные.!AL165&gt;0,Исходн.данные.!AL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BH$4,IF(OR(Исходн.данные.!AI165=Исходн.данные.!$AI$6,Исходн.данные.!AI165=Исходн.данные.!$AI$7),Расчет!BS165,IF(AND($CF165=0,$CE165&gt;0),EV165,ER165)))))</f>
        <v>Аммофос 12:52:00</v>
      </c>
      <c r="CI165" s="274">
        <f>IF(Расчет!$CH165="Нет","Нет",IF(Исходн.данные.!$AL165&gt;0,VLOOKUP(Расчет!$CH165,АшламаДВ_Irekle,2,FALSE),VLOOKUP(Расчет!$CH165,АшламаДВ_Gomumy,2,FALSE)))</f>
        <v>0.12</v>
      </c>
      <c r="CJ165" s="274">
        <f>IF(Расчет!$CH165="Нет","Нет",IF(Исходн.данные.!$AL165&gt;0,VLOOKUP(Расчет!$CH165,АшламаДВ_Irekle,3,FALSE),VLOOKUP(Расчет!$CH165,АшламаДВ_Gomumy,3,FALSE)))</f>
        <v>0.52</v>
      </c>
      <c r="CK165" s="274">
        <f>IF(Расчет!$CH165="Нет","Нет",IF(Исходн.данные.!$AL165&gt;0,VLOOKUP(Расчет!$CH165,АшламаДВ_Irekle,4,FALSE),VLOOKUP(Расчет!$CH165,АшламаДВ_Gomumy,4,FALSE)))</f>
        <v>0</v>
      </c>
      <c r="CL165" s="70"/>
      <c r="CM165" s="70"/>
      <c r="CN165" s="70"/>
      <c r="CO165" s="70"/>
      <c r="CP165" s="70"/>
      <c r="CQ165" s="70"/>
      <c r="CR165" s="10">
        <f t="shared" si="239"/>
        <v>0</v>
      </c>
      <c r="CS165" s="10">
        <f t="shared" si="240"/>
        <v>19.23076923076923</v>
      </c>
      <c r="CT165" s="10">
        <f t="shared" si="241"/>
        <v>0</v>
      </c>
      <c r="CU165" s="39">
        <f>IF($CH165="Нет",0,IF(CI165=0,30/MIN(CJ165:CK165),IF(Исходн.данные.!$AG165=$BV$11,CR165,IF(OR(Исходн.данные.!$AH165=$BQ$7,Исходн.данные.!$AH165=$BQ$8),90/CI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0,IF(Исходн.данные.!$AI165=$BU$11,"Нет",30/CI165))))))</f>
        <v>250</v>
      </c>
      <c r="CV165" s="39">
        <f>IF($CH165="Нет",0,IF(Исходн.данные.!AH165=0,0,IF(CJ165=0,60/MIN(CI165,CK165),IF(Исходн.данные.!$AG165=$BV$11,CS165,IF(OR(Исходн.данные.!$AH165=$BQ$7,Исходн.данные.!$AH165=$BQ$8),90/CJ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10/CJ165,IF(Исходн.данные.!$AI165=$BU$11,"Нет",60/CJ165)))))))</f>
        <v>0</v>
      </c>
      <c r="CW165" s="39">
        <f>IF($CH165="Нет",0,IF(Исходн.данные.!AH165=0,0,IF(CK165=0,30/MIN(CI165:CJ165),IF(Исходн.данные.!$AG165=$BV$11,CT165,IF(OR(Исходн.данные.!$AH165=$BQ$7,Исходн.данные.!$AH165=$BQ$8),90/CK165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0,IF(Исходн.данные.!$AI165=$BU$11,"Нет",30/CK165)))))))</f>
        <v>0</v>
      </c>
      <c r="CX165" s="133">
        <f>IF(Исходн.данные.!$AG165=$BV$11,MAX(CU165:CW165),IF(OR(Исходн.данные.!$AH165=$BS$8,Исходн.данные.!$AH165=$BQ$9,Исходн.данные.!$AH165=$BQ$10,Исходн.данные.!$AH165=$BQ$11,Исходн.данные.!$AH165=$BQ$12,Исходн.данные.!$AH165=$BP$3,Исходн.данные.!$AH165=$BT$8,$FM165="Да"),CV165,MIN(CU165:CW165)))</f>
        <v>0</v>
      </c>
      <c r="CY165" s="133">
        <f>IF(Исходн.данные.!AH165=0,0,IF(CR165&gt;$CX165,$CX165,CR165))</f>
        <v>0</v>
      </c>
      <c r="CZ165" s="133">
        <f>IF(Исходн.данные.!AH165=0,0,IF(CS165&gt;$CX165,$CX165,CS165))</f>
        <v>0</v>
      </c>
      <c r="DA165" s="133">
        <f>IF(Исходн.данные.!AH165=0,0,IF(CT165&gt;$CX165,$CX165,CT165))</f>
        <v>0</v>
      </c>
      <c r="DB165" s="10">
        <f t="shared" si="242"/>
        <v>0</v>
      </c>
      <c r="DC165" s="39">
        <f>DB165*Исходн.данные.!AJ165/1000</f>
        <v>0</v>
      </c>
      <c r="DD165" s="71">
        <f t="shared" si="243"/>
        <v>0</v>
      </c>
      <c r="DE165" s="9">
        <f t="shared" si="244"/>
        <v>0</v>
      </c>
      <c r="DF165" s="9">
        <f t="shared" si="245"/>
        <v>0</v>
      </c>
      <c r="DG165" s="39">
        <f>IF(BL165&lt;0,0,IF($CH165="Нет",BL165,IF(OR(Исходн.данные.!$AH165=$BP$1,Исходн.данные.!$AH165=$BP$2),0,IF(Исходн.данные.!AI165=$BU$11,BL165,IF(BL165-DD165&lt;0,0,BL165-DD165)))))</f>
        <v>0</v>
      </c>
      <c r="DH165" s="39">
        <f>IF(BM165&lt;0,0,IF($CH165="Нет",BM165,IF(OR(Исходн.данные.!$AH165=$BP$1,Исходн.данные.!$AH165=$BP$2),0,IF(Исходн.данные.!AJ165=$BU$11,BM165,IF(BM165-DE165&lt;0,0,BM165-DE165)))))</f>
        <v>0</v>
      </c>
      <c r="DI165" s="39">
        <f>IF(BN165&lt;0,0,IF($CH165="Нет",BN165,IF(OR(Исходн.данные.!$AH165=$BP$1,Исходн.данные.!$AH165=$BP$2),0,IF(Исходн.данные.!AK165=$BU$11,BN165,IF(BN165-DF165&lt;0,0,BN165-DF165)))))</f>
        <v>0</v>
      </c>
      <c r="DJ165" s="12">
        <f t="shared" si="246"/>
        <v>0</v>
      </c>
      <c r="DK165" s="9">
        <f t="shared" si="247"/>
        <v>0</v>
      </c>
      <c r="DL165" s="39">
        <f>IF(Исходн.данные.!AM165&gt;0,Исходн.данные.!AM165,IF(EG165&gt;0,$BH$10,0))</f>
        <v>0</v>
      </c>
      <c r="DM165" s="186">
        <f>IF($DL165=0,0,IF(Исходн.данные.!AM165&gt;0,VLOOKUP($DL165,АшламаДВ_Irekle,2,FALSE),VLOOKUP($DL165,АшламаДВ_Gomumy,2,FALSE)))</f>
        <v>0</v>
      </c>
      <c r="DN165" s="10">
        <f t="shared" si="225"/>
        <v>0</v>
      </c>
      <c r="DO165" s="9" t="str">
        <f>IF(Исходн.данные.!AN165&gt;0,Исходн.данные.!AN165,Удобрения!$B$37 )</f>
        <v>Хлор.калий</v>
      </c>
      <c r="DP165" s="9">
        <f>IF(Исходн.данные.!AN165&gt;0,VLOOKUP(Исходн.данные.!AN165,АшламаДВ_Irekle,4,FALSE),VLOOKUP(DO165,АшламаДВ_Gomumy,4,FALSE))</f>
        <v>0.6</v>
      </c>
      <c r="DQ165" s="10">
        <f t="shared" si="226"/>
        <v>0</v>
      </c>
      <c r="DR165" s="132" t="str">
        <f>IF(Исходн.данные.!AO165&gt;0,Исходн.данные.!AO165,IF(DH165=0,BS$17,IF(AND($DK165=0,$DJ165&gt;0),EJ165,EN165)))</f>
        <v>Нет</v>
      </c>
      <c r="DS165" s="70" t="str">
        <f>IF($DR165="Нет","Нет",IF(Исходн.данные.!$AO165&gt;0,VLOOKUP($DR165,АшламаДВ_Irekle,2,FALSE),VLOOKUP($DR165,АшламаДВ_Gomumy,2,FALSE)))</f>
        <v>Нет</v>
      </c>
      <c r="DT165" s="70" t="str">
        <f>IF($DR165="Нет","Нет",IF(Исходн.данные.!$AO165&gt;0,VLOOKUP($DR165,АшламаДВ_Irekle,3,FALSE),VLOOKUP($DR165,АшламаДВ_Gomumy,3,FALSE)))</f>
        <v>Нет</v>
      </c>
      <c r="DU165" s="70" t="str">
        <f>IF($DR165="Нет","Нет",IF(Исходн.данные.!$AO165&gt;0,VLOOKUP($DR165,АшламаДВ_Irekle,4,FALSE),VLOOKUP($DR165,АшламаДВ_Gomumy,4,FALSE)))</f>
        <v>Нет</v>
      </c>
      <c r="DV165" s="70"/>
      <c r="DW165" s="70"/>
      <c r="DX165" s="70"/>
      <c r="DY165" s="10">
        <f t="shared" si="248"/>
        <v>0</v>
      </c>
      <c r="DZ165" s="10">
        <f t="shared" si="249"/>
        <v>0</v>
      </c>
      <c r="EA165" s="10">
        <f t="shared" si="250"/>
        <v>0</v>
      </c>
      <c r="EB165" s="10">
        <f t="shared" si="251"/>
        <v>0</v>
      </c>
      <c r="EC165" s="10">
        <f t="shared" si="252"/>
        <v>0</v>
      </c>
      <c r="ED165" s="10">
        <f t="shared" si="253"/>
        <v>0</v>
      </c>
      <c r="EE165" s="10">
        <f t="shared" si="254"/>
        <v>0</v>
      </c>
      <c r="EF165" s="39">
        <f>EB165*Исходн.данные.!AJ165/1000</f>
        <v>0</v>
      </c>
      <c r="EG165" s="9">
        <f t="shared" si="255"/>
        <v>0</v>
      </c>
      <c r="EH165" s="9">
        <f t="shared" si="256"/>
        <v>0</v>
      </c>
      <c r="EI165" s="39" t="e">
        <f t="shared" si="206"/>
        <v>#DIV/0!</v>
      </c>
      <c r="EJ165" s="9" t="str">
        <f t="shared" si="227"/>
        <v>Азопреципитат</v>
      </c>
      <c r="EK165" s="12">
        <f t="shared" si="207"/>
        <v>0.26</v>
      </c>
      <c r="EL165" s="12">
        <f t="shared" si="208"/>
        <v>0.13</v>
      </c>
      <c r="EM165" s="12">
        <f t="shared" si="209"/>
        <v>0</v>
      </c>
      <c r="EN165" s="12" t="str">
        <f t="shared" si="228"/>
        <v>Нет</v>
      </c>
      <c r="EO165" s="12">
        <f t="shared" si="210"/>
        <v>0</v>
      </c>
      <c r="EP165" s="12">
        <f t="shared" si="211"/>
        <v>0</v>
      </c>
      <c r="EQ165" s="12">
        <f t="shared" si="212"/>
        <v>0</v>
      </c>
      <c r="ER165" s="12" t="str">
        <f t="shared" si="257"/>
        <v>Диаммофоска</v>
      </c>
      <c r="ES165" s="12">
        <f t="shared" si="213"/>
        <v>0.1</v>
      </c>
      <c r="ET165" s="12">
        <f t="shared" si="214"/>
        <v>0.26</v>
      </c>
      <c r="EU165" s="12">
        <f t="shared" si="215"/>
        <v>0.26</v>
      </c>
      <c r="EV165" s="12" t="str">
        <f t="shared" si="258"/>
        <v>Аммофос 12:52:00</v>
      </c>
      <c r="EW165" s="12" t="str">
        <f t="shared" si="259"/>
        <v>Кемира Свекловичное-6</v>
      </c>
      <c r="EX165" s="12">
        <f t="shared" si="216"/>
        <v>0.16</v>
      </c>
      <c r="EY165" s="12">
        <f t="shared" si="217"/>
        <v>0.12</v>
      </c>
      <c r="EZ165" s="12">
        <f t="shared" si="218"/>
        <v>0.17</v>
      </c>
      <c r="FA165" s="38" t="e">
        <f>IF(AND(OR(FJ165=$FD$1,FM165=$FD$1,FO165=$FD$1,FQ165=$FD$1,FS165=$FD$1),FD165=$FD$1,Исходн.данные.!J165&lt;2,FU165=$FD$1),"Бор,Кобальт",IF(AND(FO165=$FD$1,FH165=$FD$1,Исходн.данные.!J165&lt;2,FU165=$FD$1),"Бор,Кобальт",IF(AND(OR(FJ165=$FD$1,FM165=$FD$1,FQ165=$FD$1),FE165=$FD$1,Исходн.данные.!J165&lt;2,FT165=$FD$1,FU165=$FD$1),"Бор,Медь,Цинк",IF(AND(OR(FJ165=$FD$1,FR165="Да"),FI165="Да",Исходн.данные.!J165&lt;2,FT165="Да",FU165="Да"),"Бор,Цинк,Медь",IF(AND(OR(FM165="Да",FQ165="Да"),FI165="Да",Исходн.данные.!J165&lt;2,FT165="Да",FU165="Да"),"Бор,Цинк",IF(AND(FN165="Да",OR(FD165="Да",FE165="Да")),"Бор",FB165))))))</f>
        <v>#N/A</v>
      </c>
      <c r="FB165" s="134" t="e">
        <f>IF(AND(OR(FD165="Да",FE165="Да",FF165="Да",FG165="Да",FH165="Да"),FO165="Да"),"Бор",IF(AND(FP165="Да",OR(FD165="Да",FE165="Да",FI165="Да")),"Бор",IF(AND(FS165="Да",FE165="Да"),"Бор,Медь",IF(AND(OR(FJ165="Да",FK165="Да",FL165="Да"),FE165="Да",Исходн.данные.!I165&lt;5,FT165="Да",FU165="Да"),"Молибден,Цинк",IF(AND(FM165="Да",OR(FE165="Да",FF165="Да",FG165="Да",FH165="Да",FI165="Да")),"Молибден,Цинк",IF(AND(OR(FJ165="Да",FK165="Да",FL165="Да",FM165="Да",FQ165="Да"),OR(FE165="Да",FF165="Да"),FT165="Да",FU165="Да",Исходн.данные.!I165&gt;5.5),"Медь,Цинк",FC165))))))</f>
        <v>#N/A</v>
      </c>
      <c r="FC165" s="23" t="e">
        <f t="shared" si="260"/>
        <v>#N/A</v>
      </c>
      <c r="FD165" s="38" t="str">
        <f>IF(OR(Исходн.данные.!F165=$CC$1,Исходн.данные.!F165=$CC$2,Исходн.данные.!F165=$CC$3,Исходн.данные.!F165=$CC$4),"Да","Нет")</f>
        <v>Нет</v>
      </c>
      <c r="FE165" s="38" t="str">
        <f>IF(Исходн.данные.!F165=$CC$5,"Да","Нет")</f>
        <v>Нет</v>
      </c>
      <c r="FF165" s="38" t="str">
        <f>IF(OR(Исходн.данные.!F165=$CC$6,Исходн.данные.!F165=$CC$7),"Да","Нет")</f>
        <v>Нет</v>
      </c>
      <c r="FG165" s="38" t="str">
        <f>IF(OR(Исходн.данные.!F165=$CC$8,Исходн.данные.!F165=$CC$9),"Да","Нет")</f>
        <v>Нет</v>
      </c>
      <c r="FH165" s="38" t="str">
        <f>IF(Исходн.данные.!F165=$CC$10,"Да","Нет")</f>
        <v>Нет</v>
      </c>
      <c r="FI165" s="38" t="str">
        <f>IF(OR(Исходн.данные.!F165=$CC$11,Исходн.данные.!F165=$CC$12),"Да","Нет")</f>
        <v>Нет</v>
      </c>
      <c r="FJ165" s="38" t="str">
        <f>IF(OR(Исходн.данные.!AH165=$BS$1,Исходн.данные.!AH165=$BQ$11,Исходн.данные.!AH165=$BQ$12),"Да","Нет")</f>
        <v>Нет</v>
      </c>
      <c r="FK165" s="38" t="str">
        <f>IF(OR(Исходн.данные.!AH165=$BS$2,Исходн.данные.!AH165=$BS$4),"Да","Нет")</f>
        <v>Нет</v>
      </c>
      <c r="FL165" s="38" t="str">
        <f>IF(OR(Исходн.данные.!AH165=$BS$3,Исходн.данные.!AH165=$BS$5),"Да","Нет")</f>
        <v>Нет</v>
      </c>
      <c r="FM165" s="38" t="str">
        <f>IF(OR(Исходн.данные.!AH165=$BS$9,Исходн.данные.!AH165=$BS$10,Исходн.данные.!AH165=$BS$11,Исходн.данные.!AH165=$BS$12),"Да","Нет")</f>
        <v>Нет</v>
      </c>
      <c r="FN165" s="38" t="str">
        <f>IF(OR(Исходн.данные.!AH165=$BS$6,Исходн.данные.!AH165=$BP$3),"Да","Нет")</f>
        <v>Нет</v>
      </c>
      <c r="FO165" s="38" t="str">
        <f>IF(Исходн.данные.!AH165=$BQ$9,"Да","Нет")</f>
        <v>Нет</v>
      </c>
      <c r="FP165" s="38" t="str">
        <f>IF(OR(Исходн.данные.!AH165=$BS$8,Исходн.данные.!AH165=$BT$8),"Да","Нет")</f>
        <v>Нет</v>
      </c>
      <c r="FQ165" s="38" t="str">
        <f>IF(OR(Исходн.данные.!AH165=$BQ$7,Исходн.данные.!AH165=$BQ$8),"Да","Нет")</f>
        <v>Нет</v>
      </c>
      <c r="FR165" s="38" t="str">
        <f>IF(Исходн.данные.!AI165=$BU$9,"Да","Нет")</f>
        <v>Нет</v>
      </c>
      <c r="FS165" s="38" t="str">
        <f>IF(OR(Исходн.данные.!AH165=$BP$1,Исходн.данные.!AH165=$BP$2),"Да","Нет")</f>
        <v>Нет</v>
      </c>
      <c r="FT165" s="38" t="e">
        <f>IF((Исходн.данные.!K165*GO165*GS165*GW165+BL165*0.6+Исходн.данные.!Q165*4.5*0.275)&gt;90,"Да","Нет")</f>
        <v>#N/A</v>
      </c>
      <c r="FU165" s="38" t="e">
        <f>IF((Исходн.данные.!M165*GS165*GZ165+BM165*0.225)&gt;35,"Да","Нет")</f>
        <v>#N/A</v>
      </c>
      <c r="FV165" s="38" t="str">
        <f>IF(Исходн.данные.!O165&gt;175,"Да","Нет")</f>
        <v>Нет</v>
      </c>
      <c r="FW165" s="39" t="str">
        <f>IF(Исходн.данные.!I165&gt;5.5,"Да","Нет")</f>
        <v>Нет</v>
      </c>
      <c r="FX165" s="39" t="str">
        <f>IF(Исходн.данные.!J165&lt;2,"Да","Нет")</f>
        <v>Да</v>
      </c>
      <c r="FY165" s="39" t="e">
        <f>IF(HF165=$FY$16,0,Исходн.данные.!K165*GO165*GS165*GW165/HF165)</f>
        <v>#N/A</v>
      </c>
      <c r="FZ165" s="39" t="e">
        <f>Исходн.данные.!M165*GS165*GZ165/HG165</f>
        <v>#N/A</v>
      </c>
      <c r="GA165" s="39" t="e">
        <f>IF(K_Wyn=$FY$16,0,IF(Исходн.данные.!N165=Исходн.данные.!$L$10,Исходн.данные.!O165/1.1*GS165*HC165/HH165,IF(Исходн.данные.!N165=Исходн.данные.!$L$12,Исходн.данные.!O165/1.5*GS165*HC165/HH165,Исходн.данные.!O165*GS165*HC165/HH165)))</f>
        <v>#N/A</v>
      </c>
      <c r="GB165" s="39" t="e">
        <f>IF(HF165=$FY$16,0,((Исходн.данные.!Q165*N_Org+Исходн.данные.!R165*N_Sider+Исходн.данные.!S165*N_Soloma)*AO165+Расчет!BC165*VLOOKUP(Исходн.данные.!T165,Справ!$A$3:$O$57,15)*AO165+BB165*VLOOKUP(Исходн.данные.!T165,Справ!$A$3:$O$57,15)*AL165+(Исходн.данные.!V165*N_Rizotorf+Исходн.данные.!W165*N_Rizoagr))/HF165)</f>
        <v>#N/A</v>
      </c>
      <c r="GC165" s="39" t="e">
        <f>IF(HG165=$FY$16,0,((Исходн.данные.!Q165*Р_Org+Исходн.данные.!R165*P_Sider+Исходн.данные.!S165*P_Soloma)*AP165+Расчет!BC165*VLOOKUP(Исходн.данные.!T165,Справ!$A$3:$P$57,16)*AP165+BB165*VLOOKUP(Исходн.данные.!T165,Справ!$A$3:$P$57,16)*AM165)/HG165)</f>
        <v>#N/A</v>
      </c>
      <c r="GD165" s="39" t="e">
        <f>IF(HH165=$FY$16,0,((Исходн.данные.!Q165*К_Org+Исходн.данные.!R165*K_Sider+Исходн.данные.!S165*K_Soloma)*AQ165+Расчет!BC165*VLOOKUP(Исходн.данные.!T165,Справ!$A$3:$Q$57,17)*AQ165+BB165*VLOOKUP(Исходн.данные.!T165,Справ!$A$3:$Q$57,17)*AN165)/HH165)</f>
        <v>#N/A</v>
      </c>
      <c r="GE165" s="39" t="e">
        <f>IF(HF165=$FY$16,0,(Исходн.данные.!X165*AR165+Исходн.данные.!AA165*N_Org*AL165+Исходн.данные.!AB165*N_Sider*AL165+Исходн.данные.!AC165*N_Soloma*AL165)/HF165)</f>
        <v>#N/A</v>
      </c>
      <c r="GF165" s="39" t="e">
        <f>IF(HG165=$FY$16,0,(Исходн.данные.!Y165*AS165+Исходн.данные.!AA165*Р_Org*AM165+Исходн.данные.!AB165*P_Sider*AM165+Исходн.данные.!AC165*P_Soloma*AM165)/HG165)</f>
        <v>#N/A</v>
      </c>
      <c r="GG165" s="39" t="e">
        <f>IF(HH165=$FY$16,0,(Исходн.данные.!Z165*AT165+Исходн.данные.!AA165*К_Org*AN165+Исходн.данные.!AB165*K_Sider*AN165+Исходн.данные.!AC165*K_Soloma*AN165)/HH165)</f>
        <v>#N/A</v>
      </c>
      <c r="GH165" s="39" t="e">
        <f>Исходн.данные.!AD165*AU165/HF165</f>
        <v>#N/A</v>
      </c>
      <c r="GI165" s="39" t="e">
        <f>Исходн.данные.!AE165*AV165/HG165</f>
        <v>#N/A</v>
      </c>
      <c r="GJ165" s="39" t="e">
        <f>Исходн.данные.!AF165*AW165/HH165</f>
        <v>#N/A</v>
      </c>
      <c r="GK165" s="55">
        <f>Исходн.данные.!AK165</f>
        <v>0</v>
      </c>
      <c r="GL165" s="11" t="e">
        <f t="shared" si="261"/>
        <v>#N/A</v>
      </c>
      <c r="GM165" s="11" t="e">
        <f t="shared" si="262"/>
        <v>#N/A</v>
      </c>
      <c r="GN165" s="11" t="e">
        <f t="shared" si="263"/>
        <v>#N/A</v>
      </c>
      <c r="GO165" s="57">
        <f t="shared" si="264"/>
        <v>19</v>
      </c>
      <c r="GP165" s="55">
        <f>IF(OR(Исходн.данные.!F165=$CE$1,Исходн.данные.!F165=$CE$2,Исходн.данные.!F165=$CE$3,Исходн.данные.!F165=$CE$4,Исходн.данные.!F165=$CE$5),GQ165,GR165)</f>
        <v>19</v>
      </c>
      <c r="GQ165" s="55">
        <f>IF(Исходн.данные.!F165=$CE$1,28,IF(Исходн.данные.!F165=$CE$2,26,IF(Исходн.данные.!F165=$CE$3,24,IF(Исходн.данные.!F165=$CE$4,22,IF(Исходн.данные.!F165=$CE$5,20,GR165)))))</f>
        <v>19</v>
      </c>
      <c r="GR165" s="55">
        <f>IF(Исходн.данные.!F165=$CE$6,18,IF(Исходн.данные.!F165=$CE$7,16,IF(Исходн.данные.!F165=$CE$8,14,IF(Исходн.данные.!F165=$CE$9,13,IF(Исходн.данные.!F165=$CE$10,12,19)))))</f>
        <v>19</v>
      </c>
      <c r="GS165" s="55">
        <f>IF(Исходн.данные.!G165="Пес",0.035*(40+2*Исходн.данные.!H165),IF(Исходн.данные.!G165="Суп",0.0325*(40+2*Исходн.данные.!H165),0.03*(40+2*Исходн.данные.!H165)))</f>
        <v>1.2</v>
      </c>
      <c r="GT165" s="55">
        <f>IF(Исходн.данные.!H165&lt;23,2.6,IF(AND(Исходн.данные.!H165&gt;22,Исходн.данные.!H165&lt;26),3,IF(AND(Исходн.данные.!H165&gt;25,Исходн.данные.!H165&lt;29),3.4,3.6)))</f>
        <v>2.6</v>
      </c>
      <c r="GU165" s="55">
        <f>IF(Исходн.данные.!H165&lt;23,2.8,IF(AND(Исходн.данные.!H165&gt;22,Исходн.данные.!H165&lt;26),3.2,IF(AND(Исходн.данные.!H165&gt;25,Исходн.данные.!H165&lt;29),3.6,3.9)))</f>
        <v>2.8</v>
      </c>
      <c r="GV165" s="55">
        <f>IF(Исходн.данные.!H165&lt;23,3,IF(AND(Исходн.данные.!H165&gt;22,Исходн.данные.!H165&lt;26),3.5,IF(AND(Исходн.данные.!H165&gt;25,Исходн.данные.!H165&lt;29),3.9,4.2)))</f>
        <v>3</v>
      </c>
      <c r="GW165" s="55" t="e">
        <f>IF(Исходн.данные.!P165="Ум",GX165,GY165)</f>
        <v>#N/A</v>
      </c>
      <c r="GX165" s="55" t="e">
        <f>VLOOKUP(Исходн.данные.!AI165,Коэффициенты!$J$7:$L$13,2,FALSE)</f>
        <v>#N/A</v>
      </c>
      <c r="GY165" s="55" t="e">
        <f>VLOOKUP(Исходн.данные.!AI165,Коэффициенты!$J$7:$L$13,3,FALSE)</f>
        <v>#N/A</v>
      </c>
      <c r="GZ165" s="55" t="e">
        <f>(IF(Исходн.данные.!M165&lt;50,0.11*VLOOKUP(Исходн.данные.!AH165,Культуры.Информация,7,FALSE),IF(Исходн.данные.!M165&gt;250,0.05*VLOOKUP(Исходн.данные.!AH165,Культуры.Информация,7,FALSE),VLOOKUP(Исходн.данные.!AH165,Культуры.Информация,5,FALSE)/100*($GX$6+$GY$6*Исходн.данные.!M165))))*Расчет2!AI165</f>
        <v>#N/A</v>
      </c>
      <c r="HA165" s="211"/>
      <c r="HB165" s="211"/>
      <c r="HC165" s="55" t="e">
        <f>(IF(Исходн.данные.!O165&lt;80,0.2*VLOOKUP(Исходн.данные.!AH165,Культуры.Информация,8,FALSE),IF(Исходн.данные.!O165&gt;240,0.09*VLOOKUP(Исходн.данные.!AH165,Культуры.Информация,8,FALSE),VLOOKUP(Исходн.данные.!AH165,Культуры.Информация,6,FALSE)/100*($HB$6+$HC$6*Исходн.данные.!O165))))*Расчет2!AJ165</f>
        <v>#N/A</v>
      </c>
      <c r="HD165" s="55">
        <f>IF(Исходн.данные.!O165&gt;240,0.09,IF(Исходн.данные.!O165&lt;30,0.3,$HE$10+$HD$10*Исходн.данные.!O165))</f>
        <v>0.3</v>
      </c>
      <c r="HE165" s="55">
        <f>IF(Исходн.данные.!O165&gt;240,0.17,IF(Исходн.данные.!O165&lt;30,0.5,$HF$12+$HE$12*Исходн.данные.!O165))</f>
        <v>0.5</v>
      </c>
      <c r="HF165" s="55" t="e">
        <f>VLOOKUP(Исходн.данные.!AH165,Справ!$A$3:$D$58,2,FALSE)</f>
        <v>#N/A</v>
      </c>
      <c r="HG165" s="55" t="e">
        <f>VLOOKUP(Исходн.данные.!AH165,Справ!$A$3:$D$58,3,FALSE)</f>
        <v>#N/A</v>
      </c>
      <c r="HH165" s="55" t="e">
        <f>VLOOKUP(Исходн.данные.!AH165,Справ!$A$3:$D$58,4,FALSE)</f>
        <v>#N/A</v>
      </c>
      <c r="HI165" s="11" t="e">
        <f t="shared" si="265"/>
        <v>#N/A</v>
      </c>
      <c r="HJ165" s="11" t="e">
        <f t="shared" si="266"/>
        <v>#N/A</v>
      </c>
      <c r="HK165" s="11" t="e">
        <f t="shared" si="267"/>
        <v>#N/A</v>
      </c>
      <c r="HL165" s="55">
        <f>IF(OR(Исходн.данные.!G165="Глин",Исходн.данные.!G165="Т_суг"),1.1,IF(Исходн.данные.!G165="Ср_суг",1,1))</f>
        <v>1</v>
      </c>
      <c r="HM165" s="55">
        <f>IF(OR(Исходн.данные.!G165="Глин",Исходн.данные.!G165="Т_суг"),0.9,IF(Исходн.данные.!G165="Ср_суг",1,1.2))</f>
        <v>1.2</v>
      </c>
      <c r="HN165" s="11" t="e">
        <f t="shared" si="268"/>
        <v>#N/A</v>
      </c>
      <c r="HO165" s="11" t="e">
        <f t="shared" si="269"/>
        <v>#N/A</v>
      </c>
      <c r="HP165" s="11" t="e">
        <f t="shared" si="270"/>
        <v>#N/A</v>
      </c>
      <c r="HQ165" t="e">
        <f t="shared" si="271"/>
        <v>#N/A</v>
      </c>
      <c r="HR165" t="e">
        <f t="shared" si="272"/>
        <v>#N/A</v>
      </c>
      <c r="HS165" t="e">
        <f t="shared" si="273"/>
        <v>#N/A</v>
      </c>
      <c r="HT165" t="e">
        <f t="shared" si="219"/>
        <v>#N/A</v>
      </c>
      <c r="HU165" t="e">
        <f t="shared" si="220"/>
        <v>#N/A</v>
      </c>
      <c r="HV165" t="e">
        <f t="shared" si="221"/>
        <v>#N/A</v>
      </c>
      <c r="HW165" t="e">
        <f t="shared" si="222"/>
        <v>#N/A</v>
      </c>
      <c r="HX165" t="e">
        <f t="shared" si="223"/>
        <v>#N/A</v>
      </c>
      <c r="HY165" t="e">
        <f t="shared" si="224"/>
        <v>#N/A</v>
      </c>
      <c r="HZ165" s="55">
        <f>IF(OR(Исходн.данные.!AI165="Оз_Ч_П",Исходн.данные.!AI165="Оз_З_П",Исходн.данные.!AI165="Яр_зер"),12,30)</f>
        <v>30</v>
      </c>
      <c r="IA165" t="e">
        <f t="shared" si="274"/>
        <v>#N/A</v>
      </c>
      <c r="IB165" t="e">
        <f t="shared" si="275"/>
        <v>#N/A</v>
      </c>
      <c r="IC165" t="e">
        <f t="shared" si="276"/>
        <v>#N/A</v>
      </c>
      <c r="ID165" s="11" t="e">
        <f t="shared" si="277"/>
        <v>#N/A</v>
      </c>
      <c r="IE165" s="11" t="e">
        <f t="shared" si="278"/>
        <v>#N/A</v>
      </c>
      <c r="IF165" s="11" t="e">
        <f t="shared" si="279"/>
        <v>#N/A</v>
      </c>
    </row>
    <row r="166" spans="35:240" x14ac:dyDescent="0.2">
      <c r="AI166">
        <f>IF(Исходн.данные.!I166&gt;6,1,1.85-(0.148*Исходн.данные.!I166))</f>
        <v>1.85</v>
      </c>
      <c r="AJ166">
        <f>IF(Исходн.данные.!I166&gt;6,1,2.434-(0.246*Исходн.данные.!I166))</f>
        <v>2.4340000000000002</v>
      </c>
      <c r="AL166" s="148" t="b">
        <f>IF(Исходн.данные.!$P166="Ум",N_OrgUd_2g_um,IF(Исходн.данные.!$P166="Об",N_OrgUd_2g_ob))</f>
        <v>0</v>
      </c>
      <c r="AM166" s="148" t="b">
        <f>IF(Исходн.данные.!$P166="Ум",P_OrgUd_2g_um,IF(Исходн.данные.!$P166="Об",P_OrgUd_2g_ob))</f>
        <v>0</v>
      </c>
      <c r="AN166" s="148" t="b">
        <f>IF(Исходн.данные.!$P166="Ум",K_OrgUd_2g_um,IF(Исходн.данные.!$P166="Об",K_OrgUd_2g_ob))</f>
        <v>0</v>
      </c>
      <c r="AO166" s="148" t="b">
        <f>IF(Исходн.данные.!$P166="Ум",N_OrgUd_1g_um,IF(Исходн.данные.!$P166="Об",N_OrgUd_1g_ob))</f>
        <v>0</v>
      </c>
      <c r="AP166" s="148" t="b">
        <f>IF(Исходн.данные.!$P166="Ум",P_OrgUd_1g_um,IF(Исходн.данные.!$P166="Об",P_OrgUd_1g_ob))</f>
        <v>0</v>
      </c>
      <c r="AQ166" s="148" t="b">
        <f>IF(Исходн.данные.!$P166="Ум",K_OrgUd_1g_um,IF(Исходн.данные.!$P166="Об",K_OrgUd_1g_ob))</f>
        <v>0</v>
      </c>
      <c r="AR166" t="b">
        <f>IF(Исходн.данные.!$P166="Ум",N_MinUd_2g_um,IF(Исходн.данные.!$P166="Об",N_MinUd_2g_ob))</f>
        <v>0</v>
      </c>
      <c r="AS166" t="b">
        <f>IF(Исходн.данные.!$P166="Ум",P_MinUd_2g_um,IF(Исходн.данные.!$P166="Об",P_MinUd_2g_ob))</f>
        <v>0</v>
      </c>
      <c r="AT166" t="b">
        <f>IF(Исходн.данные.!$P166="Ум",K_MinUd_2g_um,IF(Исходн.данные.!$P166="Об",K_MinUd_2g_ob))</f>
        <v>0</v>
      </c>
      <c r="AU166" t="b">
        <f>IF(Исходн.данные.!$P166="Ум",N_MinUd_1g_um,IF(Исходн.данные.!$P166="Об",N_MinUd_1g_ob))</f>
        <v>0</v>
      </c>
      <c r="AV166" t="b">
        <f>IF(Исходн.данные.!P166="Ум",P_MinUd_1g_um,IF(Исходн.данные.!P166="Об",P_MinUd_1g_ob))</f>
        <v>0</v>
      </c>
      <c r="AW166" t="b">
        <f>IF(Исходн.данные.!P166="Ум",K_MinUd_1g_um,IF(Исходн.данные.!P166="Об",K_MinUd_1g_ob))</f>
        <v>0</v>
      </c>
      <c r="AY166" t="e">
        <f>VLOOKUP(Исходн.данные.!T166,Справ!$A$3:$N$57,12)</f>
        <v>#N/A</v>
      </c>
      <c r="AZ166" t="e">
        <f>VLOOKUP(Исходн.данные.!T166,Справ!$A$3:$N$57,13)</f>
        <v>#N/A</v>
      </c>
      <c r="BA166" t="e">
        <f>VLOOKUP(Исходн.данные.!T166,Справ!$A$3:$N$57,14)</f>
        <v>#N/A</v>
      </c>
      <c r="BB166">
        <f>IF(Исходн.данные.!AH166=0,0,25)</f>
        <v>0</v>
      </c>
      <c r="BC166" s="141">
        <f>IF(Исходн.данные.!AH166=0,0,IF(Исходн.данные.!T166=0,25,BD166))</f>
        <v>0</v>
      </c>
      <c r="BD166" s="168" t="e">
        <f>AY166+AZ166*Исходн.данные.!U166-POWER(BA166,2)*Исходн.данные.!U166</f>
        <v>#N/A</v>
      </c>
      <c r="BE16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6" s="25">
        <f>IF(Исходн.данные.!AH166=0,0,MIN(HN166:HP166))</f>
        <v>0</v>
      </c>
      <c r="BG166" s="9">
        <f>IF(Исходн.данные.!AH166=0,0,IF((HO166+10*0.25/HG166/HL166)&lt;17,17,HO166+10*0.25/HG166/HL166))</f>
        <v>0</v>
      </c>
      <c r="BH166" s="181">
        <f>IF(Исходн.данные.!AH166=0,0,HW166*HF166*HL166/AU166*AI166+Исходн.данные.!S166*10)</f>
        <v>0</v>
      </c>
      <c r="BI166" s="10"/>
      <c r="BJ166" s="182">
        <f>IF(Исходн.данные.!AH166=0,0,IF(HX166*HG166*HL166/AV166&lt;0,0,HX166*HG166*HL166/AV166*AJ166))</f>
        <v>0</v>
      </c>
      <c r="BK166" s="182">
        <f>IF(Исходн.данные.!AH166=0,0,HY166*HH166*HM166/AW166)</f>
        <v>0</v>
      </c>
      <c r="BL166" s="10">
        <f>IF(OR(Исходн.данные.!$AH166=$BP$1,Исходн.данные.!$AH166=$BP$2),0,IF(BH166&lt;0,0,IF(OR(Исходн.данные.!T166=Расчет!$BP$1,Исходн.данные.!T166=Расчет!$BP$2,Исходн.данные.!T166=Расчет!$BT$5,Исходн.данные.!T166=Расчет!$BT$6),BH166*0.5,IF(OR(Исходн.данные.!T166=Расчет!$BS$9,Исходн.данные.!T166=Расчет!$BS$10,Исходн.данные.!T166=Расчет!$BS$11,Исходн.данные.!T166=Расчет!$BS$12,Исходн.данные.!T166=Расчет!$BP$5),BH166*0.8,BH166))))</f>
        <v>0</v>
      </c>
      <c r="BM166" s="10">
        <f>IF(OR(Исходн.данные.!$AH166=$BP$1,Исходн.данные.!$AH166=$BP$2),0,IF(BJ166&lt;0,0,IF(Исходн.данные.!I166&lt;4.5,BJ166*1.2,IF(Исходн.данные.!I166&gt;5.1,BJ166,BJ166*((5.1-Исходн.данные.!I166)*0.333+1)))))</f>
        <v>0</v>
      </c>
      <c r="BN166" s="10">
        <f>IF(OR(Исходн.данные.!$AH166=$BP$1,Исходн.данные.!$AH166=$BP$2),60-Исходн.данные.!AF166,IF(BK166&lt;0,0,IF(Исходн.данные.!I166&lt;4.5,BK166*1.2,IF(Исходн.данные.!I166&gt;5.1,BK166,BK166*((5.1-Исходн.данные.!I166)*0.333+1)))))</f>
        <v>0</v>
      </c>
      <c r="BO166" s="9">
        <f>IF(BL166&lt;0,0,BL166*Исходн.данные.!$AJ166/1000)</f>
        <v>0</v>
      </c>
      <c r="BP166" s="9">
        <f>IF(BM166&lt;0,0,BM166*Исходн.данные.!$AJ166/1000)</f>
        <v>0</v>
      </c>
      <c r="BQ166" s="9">
        <f>IF(BN166&lt;0,0,BN166*Исходн.данные.!$AJ166/1000)</f>
        <v>0</v>
      </c>
      <c r="BR166" s="9">
        <f t="shared" si="229"/>
        <v>0</v>
      </c>
      <c r="BS166" s="10" t="str">
        <f t="shared" si="230"/>
        <v>Аммофос 12:52:00</v>
      </c>
      <c r="BT166" s="10" t="str">
        <f t="shared" si="231"/>
        <v>Аммофос 12:52:00</v>
      </c>
      <c r="BU166" s="10" t="str">
        <f t="shared" si="232"/>
        <v>Диаммофоска</v>
      </c>
      <c r="BV166" s="10">
        <f t="shared" si="233"/>
        <v>0</v>
      </c>
      <c r="BW166" s="10"/>
      <c r="BX166" s="10"/>
      <c r="BY166" s="9">
        <f>IF(BL166&lt;0,0,IF(OR(Исходн.данные.!AI166=Расчет!$BU$6,Исходн.данные.!AI166=Расчет!$BU$7),Расчет!BV166,IF(Исходн.данные.!$AG166=$BV$11,BL166,IF(OR(Исходн.данные.!$AH166=$BQ$7,Исходн.данные.!$AH166=$BQ$8),CB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0,IF(Исходн.данные.!$AI166=$BU$11,"Нет",IF(BL166&gt;30,30,BL166)))))))</f>
        <v>0</v>
      </c>
      <c r="BZ166" s="9">
        <f>IF(AND(Исходн.данные.!$AG166=$BV$11,BM166&lt;10),10,IF(Исходн.данные.!$AG166=$BV$11,BM166,IF(OR(Исходн.данные.!$AH166=$BQ$7,Исходн.данные.!$AH166=$BQ$8),CC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10,IF(Исходн.данные.!$AI166=$BU$11,"Нет",IF(BM166&gt;60,60,IF(BM166&lt;10,10,BM166)))))))</f>
        <v>10</v>
      </c>
      <c r="CA166" s="39">
        <f>IF(BN166&lt;0,0,IF(Исходн.данные.!$AG166=$BV$11,BN166,IF(OR(Исходн.данные.!$AH166=$BQ$7,Исходн.данные.!$AH166=$BQ$8),CD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0,IF(Исходн.данные.!$AI166=$BU$11,"Нет",IF(BN166&gt;30,30,BN166))))))</f>
        <v>0</v>
      </c>
      <c r="CB166" s="9">
        <f t="shared" si="234"/>
        <v>0</v>
      </c>
      <c r="CC166" s="9">
        <f t="shared" si="235"/>
        <v>0</v>
      </c>
      <c r="CD166" s="9">
        <f t="shared" si="236"/>
        <v>0</v>
      </c>
      <c r="CE166" s="12">
        <f t="shared" si="237"/>
        <v>10</v>
      </c>
      <c r="CF166" s="9">
        <f t="shared" si="238"/>
        <v>0</v>
      </c>
      <c r="CG166" s="9" t="s">
        <v>231</v>
      </c>
      <c r="CH166" s="132" t="str">
        <f>IF(Исходн.данные.!AP166=Расчет!$CI$16,"Нет",IF(Исходн.данные.!AL166&gt;0,Исходн.данные.!AL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BH$4,IF(OR(Исходн.данные.!AI166=Исходн.данные.!$AI$6,Исходн.данные.!AI166=Исходн.данные.!$AI$7),Расчет!BS166,IF(AND($CF166=0,$CE166&gt;0),EV166,ER166)))))</f>
        <v>Аммофос 12:52:00</v>
      </c>
      <c r="CI166" s="274">
        <f>IF(Расчет!$CH166="Нет","Нет",IF(Исходн.данные.!$AL166&gt;0,VLOOKUP(Расчет!$CH166,АшламаДВ_Irekle,2,FALSE),VLOOKUP(Расчет!$CH166,АшламаДВ_Gomumy,2,FALSE)))</f>
        <v>0.12</v>
      </c>
      <c r="CJ166" s="274">
        <f>IF(Расчет!$CH166="Нет","Нет",IF(Исходн.данные.!$AL166&gt;0,VLOOKUP(Расчет!$CH166,АшламаДВ_Irekle,3,FALSE),VLOOKUP(Расчет!$CH166,АшламаДВ_Gomumy,3,FALSE)))</f>
        <v>0.52</v>
      </c>
      <c r="CK166" s="274">
        <f>IF(Расчет!$CH166="Нет","Нет",IF(Исходн.данные.!$AL166&gt;0,VLOOKUP(Расчет!$CH166,АшламаДВ_Irekle,4,FALSE),VLOOKUP(Расчет!$CH166,АшламаДВ_Gomumy,4,FALSE)))</f>
        <v>0</v>
      </c>
      <c r="CL166" s="70"/>
      <c r="CM166" s="70"/>
      <c r="CN166" s="70"/>
      <c r="CO166" s="70"/>
      <c r="CP166" s="70"/>
      <c r="CQ166" s="70"/>
      <c r="CR166" s="10">
        <f t="shared" si="239"/>
        <v>0</v>
      </c>
      <c r="CS166" s="10">
        <f t="shared" si="240"/>
        <v>19.23076923076923</v>
      </c>
      <c r="CT166" s="10">
        <f t="shared" si="241"/>
        <v>0</v>
      </c>
      <c r="CU166" s="39">
        <f>IF($CH166="Нет",0,IF(CI166=0,30/MIN(CJ166:CK166),IF(Исходн.данные.!$AG166=$BV$11,CR166,IF(OR(Исходн.данные.!$AH166=$BQ$7,Исходн.данные.!$AH166=$BQ$8),90/CI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0,IF(Исходн.данные.!$AI166=$BU$11,"Нет",30/CI166))))))</f>
        <v>250</v>
      </c>
      <c r="CV166" s="39">
        <f>IF($CH166="Нет",0,IF(Исходн.данные.!AH166=0,0,IF(CJ166=0,60/MIN(CI166,CK166),IF(Исходн.данные.!$AG166=$BV$11,CS166,IF(OR(Исходн.данные.!$AH166=$BQ$7,Исходн.данные.!$AH166=$BQ$8),90/CJ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10/CJ166,IF(Исходн.данные.!$AI166=$BU$11,"Нет",60/CJ166)))))))</f>
        <v>0</v>
      </c>
      <c r="CW166" s="39">
        <f>IF($CH166="Нет",0,IF(Исходн.данные.!AH166=0,0,IF(CK166=0,30/MIN(CI166:CJ166),IF(Исходн.данные.!$AG166=$BV$11,CT166,IF(OR(Исходн.данные.!$AH166=$BQ$7,Исходн.данные.!$AH166=$BQ$8),90/CK166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0,IF(Исходн.данные.!$AI166=$BU$11,"Нет",30/CK166)))))))</f>
        <v>0</v>
      </c>
      <c r="CX166" s="133">
        <f>IF(Исходн.данные.!$AG166=$BV$11,MAX(CU166:CW166),IF(OR(Исходн.данные.!$AH166=$BS$8,Исходн.данные.!$AH166=$BQ$9,Исходн.данные.!$AH166=$BQ$10,Исходн.данные.!$AH166=$BQ$11,Исходн.данные.!$AH166=$BQ$12,Исходн.данные.!$AH166=$BP$3,Исходн.данные.!$AH166=$BT$8,$FM166="Да"),CV166,MIN(CU166:CW166)))</f>
        <v>0</v>
      </c>
      <c r="CY166" s="133">
        <f>IF(Исходн.данные.!AH166=0,0,IF(CR166&gt;$CX166,$CX166,CR166))</f>
        <v>0</v>
      </c>
      <c r="CZ166" s="133">
        <f>IF(Исходн.данные.!AH166=0,0,IF(CS166&gt;$CX166,$CX166,CS166))</f>
        <v>0</v>
      </c>
      <c r="DA166" s="133">
        <f>IF(Исходн.данные.!AH166=0,0,IF(CT166&gt;$CX166,$CX166,CT166))</f>
        <v>0</v>
      </c>
      <c r="DB166" s="10">
        <f t="shared" si="242"/>
        <v>0</v>
      </c>
      <c r="DC166" s="39">
        <f>DB166*Исходн.данные.!AJ166/1000</f>
        <v>0</v>
      </c>
      <c r="DD166" s="71">
        <f t="shared" si="243"/>
        <v>0</v>
      </c>
      <c r="DE166" s="9">
        <f t="shared" si="244"/>
        <v>0</v>
      </c>
      <c r="DF166" s="9">
        <f t="shared" si="245"/>
        <v>0</v>
      </c>
      <c r="DG166" s="39">
        <f>IF(BL166&lt;0,0,IF($CH166="Нет",BL166,IF(OR(Исходн.данные.!$AH166=$BP$1,Исходн.данные.!$AH166=$BP$2),0,IF(Исходн.данные.!AI166=$BU$11,BL166,IF(BL166-DD166&lt;0,0,BL166-DD166)))))</f>
        <v>0</v>
      </c>
      <c r="DH166" s="39">
        <f>IF(BM166&lt;0,0,IF($CH166="Нет",BM166,IF(OR(Исходн.данные.!$AH166=$BP$1,Исходн.данные.!$AH166=$BP$2),0,IF(Исходн.данные.!AJ166=$BU$11,BM166,IF(BM166-DE166&lt;0,0,BM166-DE166)))))</f>
        <v>0</v>
      </c>
      <c r="DI166" s="39">
        <f>IF(BN166&lt;0,0,IF($CH166="Нет",BN166,IF(OR(Исходн.данные.!$AH166=$BP$1,Исходн.данные.!$AH166=$BP$2),0,IF(Исходн.данные.!AK166=$BU$11,BN166,IF(BN166-DF166&lt;0,0,BN166-DF166)))))</f>
        <v>0</v>
      </c>
      <c r="DJ166" s="12">
        <f t="shared" si="246"/>
        <v>0</v>
      </c>
      <c r="DK166" s="9">
        <f t="shared" si="247"/>
        <v>0</v>
      </c>
      <c r="DL166" s="39">
        <f>IF(Исходн.данные.!AM166&gt;0,Исходн.данные.!AM166,IF(EG166&gt;0,$BH$10,0))</f>
        <v>0</v>
      </c>
      <c r="DM166" s="186">
        <f>IF($DL166=0,0,IF(Исходн.данные.!AM166&gt;0,VLOOKUP($DL166,АшламаДВ_Irekle,2,FALSE),VLOOKUP($DL166,АшламаДВ_Gomumy,2,FALSE)))</f>
        <v>0</v>
      </c>
      <c r="DN166" s="10">
        <f t="shared" si="225"/>
        <v>0</v>
      </c>
      <c r="DO166" s="9" t="str">
        <f>IF(Исходн.данные.!AN166&gt;0,Исходн.данные.!AN166,Удобрения!$B$37 )</f>
        <v>Хлор.калий</v>
      </c>
      <c r="DP166" s="9">
        <f>IF(Исходн.данные.!AN166&gt;0,VLOOKUP(Исходн.данные.!AN166,АшламаДВ_Irekle,4,FALSE),VLOOKUP(DO166,АшламаДВ_Gomumy,4,FALSE))</f>
        <v>0.6</v>
      </c>
      <c r="DQ166" s="10">
        <f t="shared" si="226"/>
        <v>0</v>
      </c>
      <c r="DR166" s="132" t="str">
        <f>IF(Исходн.данные.!AO166&gt;0,Исходн.данные.!AO166,IF(DH166=0,BS$17,IF(AND($DK166=0,$DJ166&gt;0),EJ166,EN166)))</f>
        <v>Нет</v>
      </c>
      <c r="DS166" s="70" t="str">
        <f>IF($DR166="Нет","Нет",IF(Исходн.данные.!$AO166&gt;0,VLOOKUP($DR166,АшламаДВ_Irekle,2,FALSE),VLOOKUP($DR166,АшламаДВ_Gomumy,2,FALSE)))</f>
        <v>Нет</v>
      </c>
      <c r="DT166" s="70" t="str">
        <f>IF($DR166="Нет","Нет",IF(Исходн.данные.!$AO166&gt;0,VLOOKUP($DR166,АшламаДВ_Irekle,3,FALSE),VLOOKUP($DR166,АшламаДВ_Gomumy,3,FALSE)))</f>
        <v>Нет</v>
      </c>
      <c r="DU166" s="70" t="str">
        <f>IF($DR166="Нет","Нет",IF(Исходн.данные.!$AO166&gt;0,VLOOKUP($DR166,АшламаДВ_Irekle,4,FALSE),VLOOKUP($DR166,АшламаДВ_Gomumy,4,FALSE)))</f>
        <v>Нет</v>
      </c>
      <c r="DV166" s="70"/>
      <c r="DW166" s="70"/>
      <c r="DX166" s="70"/>
      <c r="DY166" s="10">
        <f t="shared" si="248"/>
        <v>0</v>
      </c>
      <c r="DZ166" s="10">
        <f t="shared" si="249"/>
        <v>0</v>
      </c>
      <c r="EA166" s="10">
        <f t="shared" si="250"/>
        <v>0</v>
      </c>
      <c r="EB166" s="10">
        <f t="shared" si="251"/>
        <v>0</v>
      </c>
      <c r="EC166" s="10">
        <f t="shared" si="252"/>
        <v>0</v>
      </c>
      <c r="ED166" s="10">
        <f t="shared" si="253"/>
        <v>0</v>
      </c>
      <c r="EE166" s="10">
        <f t="shared" si="254"/>
        <v>0</v>
      </c>
      <c r="EF166" s="39">
        <f>EB166*Исходн.данные.!AJ166/1000</f>
        <v>0</v>
      </c>
      <c r="EG166" s="9">
        <f t="shared" si="255"/>
        <v>0</v>
      </c>
      <c r="EH166" s="9">
        <f t="shared" si="256"/>
        <v>0</v>
      </c>
      <c r="EI166" s="39" t="e">
        <f t="shared" si="206"/>
        <v>#DIV/0!</v>
      </c>
      <c r="EJ166" s="9" t="str">
        <f t="shared" si="227"/>
        <v>Азопреципитат</v>
      </c>
      <c r="EK166" s="12">
        <f t="shared" si="207"/>
        <v>0.26</v>
      </c>
      <c r="EL166" s="12">
        <f t="shared" si="208"/>
        <v>0.13</v>
      </c>
      <c r="EM166" s="12">
        <f t="shared" si="209"/>
        <v>0</v>
      </c>
      <c r="EN166" s="12" t="str">
        <f t="shared" si="228"/>
        <v>Нет</v>
      </c>
      <c r="EO166" s="12">
        <f t="shared" si="210"/>
        <v>0</v>
      </c>
      <c r="EP166" s="12">
        <f t="shared" si="211"/>
        <v>0</v>
      </c>
      <c r="EQ166" s="12">
        <f t="shared" si="212"/>
        <v>0</v>
      </c>
      <c r="ER166" s="12" t="str">
        <f t="shared" si="257"/>
        <v>Диаммофоска</v>
      </c>
      <c r="ES166" s="12">
        <f t="shared" si="213"/>
        <v>0.1</v>
      </c>
      <c r="ET166" s="12">
        <f t="shared" si="214"/>
        <v>0.26</v>
      </c>
      <c r="EU166" s="12">
        <f t="shared" si="215"/>
        <v>0.26</v>
      </c>
      <c r="EV166" s="12" t="str">
        <f t="shared" si="258"/>
        <v>Аммофос 12:52:00</v>
      </c>
      <c r="EW166" s="12" t="str">
        <f t="shared" si="259"/>
        <v>Кемира Свекловичное-6</v>
      </c>
      <c r="EX166" s="12">
        <f t="shared" si="216"/>
        <v>0.16</v>
      </c>
      <c r="EY166" s="12">
        <f t="shared" si="217"/>
        <v>0.12</v>
      </c>
      <c r="EZ166" s="12">
        <f t="shared" si="218"/>
        <v>0.17</v>
      </c>
      <c r="FA166" s="38" t="e">
        <f>IF(AND(OR(FJ166=$FD$1,FM166=$FD$1,FO166=$FD$1,FQ166=$FD$1,FS166=$FD$1),FD166=$FD$1,Исходн.данные.!J166&lt;2,FU166=$FD$1),"Бор,Кобальт",IF(AND(FO166=$FD$1,FH166=$FD$1,Исходн.данные.!J166&lt;2,FU166=$FD$1),"Бор,Кобальт",IF(AND(OR(FJ166=$FD$1,FM166=$FD$1,FQ166=$FD$1),FE166=$FD$1,Исходн.данные.!J166&lt;2,FT166=$FD$1,FU166=$FD$1),"Бор,Медь,Цинк",IF(AND(OR(FJ166=$FD$1,FR166="Да"),FI166="Да",Исходн.данные.!J166&lt;2,FT166="Да",FU166="Да"),"Бор,Цинк,Медь",IF(AND(OR(FM166="Да",FQ166="Да"),FI166="Да",Исходн.данные.!J166&lt;2,FT166="Да",FU166="Да"),"Бор,Цинк",IF(AND(FN166="Да",OR(FD166="Да",FE166="Да")),"Бор",FB166))))))</f>
        <v>#N/A</v>
      </c>
      <c r="FB166" s="134" t="e">
        <f>IF(AND(OR(FD166="Да",FE166="Да",FF166="Да",FG166="Да",FH166="Да"),FO166="Да"),"Бор",IF(AND(FP166="Да",OR(FD166="Да",FE166="Да",FI166="Да")),"Бор",IF(AND(FS166="Да",FE166="Да"),"Бор,Медь",IF(AND(OR(FJ166="Да",FK166="Да",FL166="Да"),FE166="Да",Исходн.данные.!I166&lt;5,FT166="Да",FU166="Да"),"Молибден,Цинк",IF(AND(FM166="Да",OR(FE166="Да",FF166="Да",FG166="Да",FH166="Да",FI166="Да")),"Молибден,Цинк",IF(AND(OR(FJ166="Да",FK166="Да",FL166="Да",FM166="Да",FQ166="Да"),OR(FE166="Да",FF166="Да"),FT166="Да",FU166="Да",Исходн.данные.!I166&gt;5.5),"Медь,Цинк",FC166))))))</f>
        <v>#N/A</v>
      </c>
      <c r="FC166" s="23" t="e">
        <f t="shared" si="260"/>
        <v>#N/A</v>
      </c>
      <c r="FD166" s="38" t="str">
        <f>IF(OR(Исходн.данные.!F166=$CC$1,Исходн.данные.!F166=$CC$2,Исходн.данные.!F166=$CC$3,Исходн.данные.!F166=$CC$4),"Да","Нет")</f>
        <v>Нет</v>
      </c>
      <c r="FE166" s="38" t="str">
        <f>IF(Исходн.данные.!F166=$CC$5,"Да","Нет")</f>
        <v>Нет</v>
      </c>
      <c r="FF166" s="38" t="str">
        <f>IF(OR(Исходн.данные.!F166=$CC$6,Исходн.данные.!F166=$CC$7),"Да","Нет")</f>
        <v>Нет</v>
      </c>
      <c r="FG166" s="38" t="str">
        <f>IF(OR(Исходн.данные.!F166=$CC$8,Исходн.данные.!F166=$CC$9),"Да","Нет")</f>
        <v>Нет</v>
      </c>
      <c r="FH166" s="38" t="str">
        <f>IF(Исходн.данные.!F166=$CC$10,"Да","Нет")</f>
        <v>Нет</v>
      </c>
      <c r="FI166" s="38" t="str">
        <f>IF(OR(Исходн.данные.!F166=$CC$11,Исходн.данные.!F166=$CC$12),"Да","Нет")</f>
        <v>Нет</v>
      </c>
      <c r="FJ166" s="38" t="str">
        <f>IF(OR(Исходн.данные.!AH166=$BS$1,Исходн.данные.!AH166=$BQ$11,Исходн.данные.!AH166=$BQ$12),"Да","Нет")</f>
        <v>Нет</v>
      </c>
      <c r="FK166" s="38" t="str">
        <f>IF(OR(Исходн.данные.!AH166=$BS$2,Исходн.данные.!AH166=$BS$4),"Да","Нет")</f>
        <v>Нет</v>
      </c>
      <c r="FL166" s="38" t="str">
        <f>IF(OR(Исходн.данные.!AH166=$BS$3,Исходн.данные.!AH166=$BS$5),"Да","Нет")</f>
        <v>Нет</v>
      </c>
      <c r="FM166" s="38" t="str">
        <f>IF(OR(Исходн.данные.!AH166=$BS$9,Исходн.данные.!AH166=$BS$10,Исходн.данные.!AH166=$BS$11,Исходн.данные.!AH166=$BS$12),"Да","Нет")</f>
        <v>Нет</v>
      </c>
      <c r="FN166" s="38" t="str">
        <f>IF(OR(Исходн.данные.!AH166=$BS$6,Исходн.данные.!AH166=$BP$3),"Да","Нет")</f>
        <v>Нет</v>
      </c>
      <c r="FO166" s="38" t="str">
        <f>IF(Исходн.данные.!AH166=$BQ$9,"Да","Нет")</f>
        <v>Нет</v>
      </c>
      <c r="FP166" s="38" t="str">
        <f>IF(OR(Исходн.данные.!AH166=$BS$8,Исходн.данные.!AH166=$BT$8),"Да","Нет")</f>
        <v>Нет</v>
      </c>
      <c r="FQ166" s="38" t="str">
        <f>IF(OR(Исходн.данные.!AH166=$BQ$7,Исходн.данные.!AH166=$BQ$8),"Да","Нет")</f>
        <v>Нет</v>
      </c>
      <c r="FR166" s="38" t="str">
        <f>IF(Исходн.данные.!AI166=$BU$9,"Да","Нет")</f>
        <v>Нет</v>
      </c>
      <c r="FS166" s="38" t="str">
        <f>IF(OR(Исходн.данные.!AH166=$BP$1,Исходн.данные.!AH166=$BP$2),"Да","Нет")</f>
        <v>Нет</v>
      </c>
      <c r="FT166" s="38" t="e">
        <f>IF((Исходн.данные.!K166*GO166*GS166*GW166+BL166*0.6+Исходн.данные.!Q166*4.5*0.275)&gt;90,"Да","Нет")</f>
        <v>#N/A</v>
      </c>
      <c r="FU166" s="38" t="e">
        <f>IF((Исходн.данные.!M166*GS166*GZ166+BM166*0.225)&gt;35,"Да","Нет")</f>
        <v>#N/A</v>
      </c>
      <c r="FV166" s="38" t="str">
        <f>IF(Исходн.данные.!O166&gt;175,"Да","Нет")</f>
        <v>Нет</v>
      </c>
      <c r="FW166" s="39" t="str">
        <f>IF(Исходн.данные.!I166&gt;5.5,"Да","Нет")</f>
        <v>Нет</v>
      </c>
      <c r="FX166" s="39" t="str">
        <f>IF(Исходн.данные.!J166&lt;2,"Да","Нет")</f>
        <v>Да</v>
      </c>
      <c r="FY166" s="39" t="e">
        <f>IF(HF166=$FY$16,0,Исходн.данные.!K166*GO166*GS166*GW166/HF166)</f>
        <v>#N/A</v>
      </c>
      <c r="FZ166" s="39" t="e">
        <f>Исходн.данные.!M166*GS166*GZ166/HG166</f>
        <v>#N/A</v>
      </c>
      <c r="GA166" s="39" t="e">
        <f>IF(K_Wyn=$FY$16,0,IF(Исходн.данные.!N166=Исходн.данные.!$L$10,Исходн.данные.!O166/1.1*GS166*HC166/HH166,IF(Исходн.данные.!N166=Исходн.данные.!$L$12,Исходн.данные.!O166/1.5*GS166*HC166/HH166,Исходн.данные.!O166*GS166*HC166/HH166)))</f>
        <v>#N/A</v>
      </c>
      <c r="GB166" s="39" t="e">
        <f>IF(HF166=$FY$16,0,((Исходн.данные.!Q166*N_Org+Исходн.данные.!R166*N_Sider+Исходн.данные.!S166*N_Soloma)*AO166+Расчет!BC166*VLOOKUP(Исходн.данные.!T166,Справ!$A$3:$O$57,15)*AO166+BB166*VLOOKUP(Исходн.данные.!T166,Справ!$A$3:$O$57,15)*AL166+(Исходн.данные.!V166*N_Rizotorf+Исходн.данные.!W166*N_Rizoagr))/HF166)</f>
        <v>#N/A</v>
      </c>
      <c r="GC166" s="39" t="e">
        <f>IF(HG166=$FY$16,0,((Исходн.данные.!Q166*Р_Org+Исходн.данные.!R166*P_Sider+Исходн.данные.!S166*P_Soloma)*AP166+Расчет!BC166*VLOOKUP(Исходн.данные.!T166,Справ!$A$3:$P$57,16)*AP166+BB166*VLOOKUP(Исходн.данные.!T166,Справ!$A$3:$P$57,16)*AM166)/HG166)</f>
        <v>#N/A</v>
      </c>
      <c r="GD166" s="39" t="e">
        <f>IF(HH166=$FY$16,0,((Исходн.данные.!Q166*К_Org+Исходн.данные.!R166*K_Sider+Исходн.данные.!S166*K_Soloma)*AQ166+Расчет!BC166*VLOOKUP(Исходн.данные.!T166,Справ!$A$3:$Q$57,17)*AQ166+BB166*VLOOKUP(Исходн.данные.!T166,Справ!$A$3:$Q$57,17)*AN166)/HH166)</f>
        <v>#N/A</v>
      </c>
      <c r="GE166" s="39" t="e">
        <f>IF(HF166=$FY$16,0,(Исходн.данные.!X166*AR166+Исходн.данные.!AA166*N_Org*AL166+Исходн.данные.!AB166*N_Sider*AL166+Исходн.данные.!AC166*N_Soloma*AL166)/HF166)</f>
        <v>#N/A</v>
      </c>
      <c r="GF166" s="39" t="e">
        <f>IF(HG166=$FY$16,0,(Исходн.данные.!Y166*AS166+Исходн.данные.!AA166*Р_Org*AM166+Исходн.данные.!AB166*P_Sider*AM166+Исходн.данные.!AC166*P_Soloma*AM166)/HG166)</f>
        <v>#N/A</v>
      </c>
      <c r="GG166" s="39" t="e">
        <f>IF(HH166=$FY$16,0,(Исходн.данные.!Z166*AT166+Исходн.данные.!AA166*К_Org*AN166+Исходн.данные.!AB166*K_Sider*AN166+Исходн.данные.!AC166*K_Soloma*AN166)/HH166)</f>
        <v>#N/A</v>
      </c>
      <c r="GH166" s="39" t="e">
        <f>Исходн.данные.!AD166*AU166/HF166</f>
        <v>#N/A</v>
      </c>
      <c r="GI166" s="39" t="e">
        <f>Исходн.данные.!AE166*AV166/HG166</f>
        <v>#N/A</v>
      </c>
      <c r="GJ166" s="39" t="e">
        <f>Исходн.данные.!AF166*AW166/HH166</f>
        <v>#N/A</v>
      </c>
      <c r="GK166" s="55">
        <f>Исходн.данные.!AK166</f>
        <v>0</v>
      </c>
      <c r="GL166" s="11" t="e">
        <f t="shared" si="261"/>
        <v>#N/A</v>
      </c>
      <c r="GM166" s="11" t="e">
        <f t="shared" si="262"/>
        <v>#N/A</v>
      </c>
      <c r="GN166" s="11" t="e">
        <f t="shared" si="263"/>
        <v>#N/A</v>
      </c>
      <c r="GO166" s="57">
        <f t="shared" si="264"/>
        <v>19</v>
      </c>
      <c r="GP166" s="55">
        <f>IF(OR(Исходн.данные.!F166=$CE$1,Исходн.данные.!F166=$CE$2,Исходн.данные.!F166=$CE$3,Исходн.данные.!F166=$CE$4,Исходн.данные.!F166=$CE$5),GQ166,GR166)</f>
        <v>19</v>
      </c>
      <c r="GQ166" s="55">
        <f>IF(Исходн.данные.!F166=$CE$1,28,IF(Исходн.данные.!F166=$CE$2,26,IF(Исходн.данные.!F166=$CE$3,24,IF(Исходн.данные.!F166=$CE$4,22,IF(Исходн.данные.!F166=$CE$5,20,GR166)))))</f>
        <v>19</v>
      </c>
      <c r="GR166" s="55">
        <f>IF(Исходн.данные.!F166=$CE$6,18,IF(Исходн.данные.!F166=$CE$7,16,IF(Исходн.данные.!F166=$CE$8,14,IF(Исходн.данные.!F166=$CE$9,13,IF(Исходн.данные.!F166=$CE$10,12,19)))))</f>
        <v>19</v>
      </c>
      <c r="GS166" s="55">
        <f>IF(Исходн.данные.!G166="Пес",0.035*(40+2*Исходн.данные.!H166),IF(Исходн.данные.!G166="Суп",0.0325*(40+2*Исходн.данные.!H166),0.03*(40+2*Исходн.данные.!H166)))</f>
        <v>1.2</v>
      </c>
      <c r="GT166" s="55">
        <f>IF(Исходн.данные.!H166&lt;23,2.6,IF(AND(Исходн.данные.!H166&gt;22,Исходн.данные.!H166&lt;26),3,IF(AND(Исходн.данные.!H166&gt;25,Исходн.данные.!H166&lt;29),3.4,3.6)))</f>
        <v>2.6</v>
      </c>
      <c r="GU166" s="55">
        <f>IF(Исходн.данные.!H166&lt;23,2.8,IF(AND(Исходн.данные.!H166&gt;22,Исходн.данные.!H166&lt;26),3.2,IF(AND(Исходн.данные.!H166&gt;25,Исходн.данные.!H166&lt;29),3.6,3.9)))</f>
        <v>2.8</v>
      </c>
      <c r="GV166" s="55">
        <f>IF(Исходн.данные.!H166&lt;23,3,IF(AND(Исходн.данные.!H166&gt;22,Исходн.данные.!H166&lt;26),3.5,IF(AND(Исходн.данные.!H166&gt;25,Исходн.данные.!H166&lt;29),3.9,4.2)))</f>
        <v>3</v>
      </c>
      <c r="GW166" s="55" t="e">
        <f>IF(Исходн.данные.!P166="Ум",GX166,GY166)</f>
        <v>#N/A</v>
      </c>
      <c r="GX166" s="55" t="e">
        <f>VLOOKUP(Исходн.данные.!AI166,Коэффициенты!$J$7:$L$13,2,FALSE)</f>
        <v>#N/A</v>
      </c>
      <c r="GY166" s="55" t="e">
        <f>VLOOKUP(Исходн.данные.!AI166,Коэффициенты!$J$7:$L$13,3,FALSE)</f>
        <v>#N/A</v>
      </c>
      <c r="GZ166" s="55" t="e">
        <f>(IF(Исходн.данные.!M166&lt;50,0.11*VLOOKUP(Исходн.данные.!AH166,Культуры.Информация,7,FALSE),IF(Исходн.данные.!M166&gt;250,0.05*VLOOKUP(Исходн.данные.!AH166,Культуры.Информация,7,FALSE),VLOOKUP(Исходн.данные.!AH166,Культуры.Информация,5,FALSE)/100*($GX$6+$GY$6*Исходн.данные.!M166))))*Расчет2!AI166</f>
        <v>#N/A</v>
      </c>
      <c r="HA166" s="211"/>
      <c r="HB166" s="211"/>
      <c r="HC166" s="55" t="e">
        <f>(IF(Исходн.данные.!O166&lt;80,0.2*VLOOKUP(Исходн.данные.!AH166,Культуры.Информация,8,FALSE),IF(Исходн.данные.!O166&gt;240,0.09*VLOOKUP(Исходн.данные.!AH166,Культуры.Информация,8,FALSE),VLOOKUP(Исходн.данные.!AH166,Культуры.Информация,6,FALSE)/100*($HB$6+$HC$6*Исходн.данные.!O166))))*Расчет2!AJ166</f>
        <v>#N/A</v>
      </c>
      <c r="HD166" s="55">
        <f>IF(Исходн.данные.!O166&gt;240,0.09,IF(Исходн.данные.!O166&lt;30,0.3,$HE$10+$HD$10*Исходн.данные.!O166))</f>
        <v>0.3</v>
      </c>
      <c r="HE166" s="55">
        <f>IF(Исходн.данные.!O166&gt;240,0.17,IF(Исходн.данные.!O166&lt;30,0.5,$HF$12+$HE$12*Исходн.данные.!O166))</f>
        <v>0.5</v>
      </c>
      <c r="HF166" s="55" t="e">
        <f>VLOOKUP(Исходн.данные.!AH166,Справ!$A$3:$D$58,2,FALSE)</f>
        <v>#N/A</v>
      </c>
      <c r="HG166" s="55" t="e">
        <f>VLOOKUP(Исходн.данные.!AH166,Справ!$A$3:$D$58,3,FALSE)</f>
        <v>#N/A</v>
      </c>
      <c r="HH166" s="55" t="e">
        <f>VLOOKUP(Исходн.данные.!AH166,Справ!$A$3:$D$58,4,FALSE)</f>
        <v>#N/A</v>
      </c>
      <c r="HI166" s="11" t="e">
        <f t="shared" si="265"/>
        <v>#N/A</v>
      </c>
      <c r="HJ166" s="11" t="e">
        <f t="shared" si="266"/>
        <v>#N/A</v>
      </c>
      <c r="HK166" s="11" t="e">
        <f t="shared" si="267"/>
        <v>#N/A</v>
      </c>
      <c r="HL166" s="55">
        <f>IF(OR(Исходн.данные.!G166="Глин",Исходн.данные.!G166="Т_суг"),1.1,IF(Исходн.данные.!G166="Ср_суг",1,1))</f>
        <v>1</v>
      </c>
      <c r="HM166" s="55">
        <f>IF(OR(Исходн.данные.!G166="Глин",Исходн.данные.!G166="Т_суг"),0.9,IF(Исходн.данные.!G166="Ср_суг",1,1.2))</f>
        <v>1.2</v>
      </c>
      <c r="HN166" s="11" t="e">
        <f t="shared" si="268"/>
        <v>#N/A</v>
      </c>
      <c r="HO166" s="11" t="e">
        <f t="shared" si="269"/>
        <v>#N/A</v>
      </c>
      <c r="HP166" s="11" t="e">
        <f t="shared" si="270"/>
        <v>#N/A</v>
      </c>
      <c r="HQ166" t="e">
        <f t="shared" si="271"/>
        <v>#N/A</v>
      </c>
      <c r="HR166" t="e">
        <f t="shared" si="272"/>
        <v>#N/A</v>
      </c>
      <c r="HS166" t="e">
        <f t="shared" si="273"/>
        <v>#N/A</v>
      </c>
      <c r="HT166" t="e">
        <f t="shared" si="219"/>
        <v>#N/A</v>
      </c>
      <c r="HU166" t="e">
        <f t="shared" si="220"/>
        <v>#N/A</v>
      </c>
      <c r="HV166" t="e">
        <f t="shared" si="221"/>
        <v>#N/A</v>
      </c>
      <c r="HW166" t="e">
        <f t="shared" si="222"/>
        <v>#N/A</v>
      </c>
      <c r="HX166" t="e">
        <f t="shared" si="223"/>
        <v>#N/A</v>
      </c>
      <c r="HY166" t="e">
        <f t="shared" si="224"/>
        <v>#N/A</v>
      </c>
      <c r="HZ166" s="55">
        <f>IF(OR(Исходн.данные.!AI166="Оз_Ч_П",Исходн.данные.!AI166="Оз_З_П",Исходн.данные.!AI166="Яр_зер"),12,30)</f>
        <v>30</v>
      </c>
      <c r="IA166" t="e">
        <f t="shared" si="274"/>
        <v>#N/A</v>
      </c>
      <c r="IB166" t="e">
        <f t="shared" si="275"/>
        <v>#N/A</v>
      </c>
      <c r="IC166" t="e">
        <f t="shared" si="276"/>
        <v>#N/A</v>
      </c>
      <c r="ID166" s="11" t="e">
        <f t="shared" si="277"/>
        <v>#N/A</v>
      </c>
      <c r="IE166" s="11" t="e">
        <f t="shared" si="278"/>
        <v>#N/A</v>
      </c>
      <c r="IF166" s="11" t="e">
        <f t="shared" si="279"/>
        <v>#N/A</v>
      </c>
    </row>
    <row r="167" spans="35:240" x14ac:dyDescent="0.2">
      <c r="AI167">
        <f>IF(Исходн.данные.!I167&gt;6,1,1.85-(0.148*Исходн.данные.!I167))</f>
        <v>1.85</v>
      </c>
      <c r="AJ167">
        <f>IF(Исходн.данные.!I167&gt;6,1,2.434-(0.246*Исходн.данные.!I167))</f>
        <v>2.4340000000000002</v>
      </c>
      <c r="AL167" s="148" t="b">
        <f>IF(Исходн.данные.!$P167="Ум",N_OrgUd_2g_um,IF(Исходн.данные.!$P167="Об",N_OrgUd_2g_ob))</f>
        <v>0</v>
      </c>
      <c r="AM167" s="148" t="b">
        <f>IF(Исходн.данные.!$P167="Ум",P_OrgUd_2g_um,IF(Исходн.данные.!$P167="Об",P_OrgUd_2g_ob))</f>
        <v>0</v>
      </c>
      <c r="AN167" s="148" t="b">
        <f>IF(Исходн.данные.!$P167="Ум",K_OrgUd_2g_um,IF(Исходн.данные.!$P167="Об",K_OrgUd_2g_ob))</f>
        <v>0</v>
      </c>
      <c r="AO167" s="148" t="b">
        <f>IF(Исходн.данные.!$P167="Ум",N_OrgUd_1g_um,IF(Исходн.данные.!$P167="Об",N_OrgUd_1g_ob))</f>
        <v>0</v>
      </c>
      <c r="AP167" s="148" t="b">
        <f>IF(Исходн.данные.!$P167="Ум",P_OrgUd_1g_um,IF(Исходн.данные.!$P167="Об",P_OrgUd_1g_ob))</f>
        <v>0</v>
      </c>
      <c r="AQ167" s="148" t="b">
        <f>IF(Исходн.данные.!$P167="Ум",K_OrgUd_1g_um,IF(Исходн.данные.!$P167="Об",K_OrgUd_1g_ob))</f>
        <v>0</v>
      </c>
      <c r="AR167" t="b">
        <f>IF(Исходн.данные.!$P167="Ум",N_MinUd_2g_um,IF(Исходн.данные.!$P167="Об",N_MinUd_2g_ob))</f>
        <v>0</v>
      </c>
      <c r="AS167" t="b">
        <f>IF(Исходн.данные.!$P167="Ум",P_MinUd_2g_um,IF(Исходн.данные.!$P167="Об",P_MinUd_2g_ob))</f>
        <v>0</v>
      </c>
      <c r="AT167" t="b">
        <f>IF(Исходн.данные.!$P167="Ум",K_MinUd_2g_um,IF(Исходн.данные.!$P167="Об",K_MinUd_2g_ob))</f>
        <v>0</v>
      </c>
      <c r="AU167" t="b">
        <f>IF(Исходн.данные.!$P167="Ум",N_MinUd_1g_um,IF(Исходн.данные.!$P167="Об",N_MinUd_1g_ob))</f>
        <v>0</v>
      </c>
      <c r="AV167" t="b">
        <f>IF(Исходн.данные.!P167="Ум",P_MinUd_1g_um,IF(Исходн.данные.!P167="Об",P_MinUd_1g_ob))</f>
        <v>0</v>
      </c>
      <c r="AW167" t="b">
        <f>IF(Исходн.данные.!P167="Ум",K_MinUd_1g_um,IF(Исходн.данные.!P167="Об",K_MinUd_1g_ob))</f>
        <v>0</v>
      </c>
      <c r="AY167" t="e">
        <f>VLOOKUP(Исходн.данные.!T167,Справ!$A$3:$N$57,12)</f>
        <v>#N/A</v>
      </c>
      <c r="AZ167" t="e">
        <f>VLOOKUP(Исходн.данные.!T167,Справ!$A$3:$N$57,13)</f>
        <v>#N/A</v>
      </c>
      <c r="BA167" t="e">
        <f>VLOOKUP(Исходн.данные.!T167,Справ!$A$3:$N$57,14)</f>
        <v>#N/A</v>
      </c>
      <c r="BB167">
        <f>IF(Исходн.данные.!AH167=0,0,25)</f>
        <v>0</v>
      </c>
      <c r="BC167" s="141">
        <f>IF(Исходн.данные.!AH167=0,0,IF(Исходн.данные.!T167=0,25,BD167))</f>
        <v>0</v>
      </c>
      <c r="BD167" s="168" t="e">
        <f>AY167+AZ167*Исходн.данные.!U167-POWER(BA167,2)*Исходн.данные.!U167</f>
        <v>#N/A</v>
      </c>
      <c r="BE16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7" s="25">
        <f>IF(Исходн.данные.!AH167=0,0,MIN(HN167:HP167))</f>
        <v>0</v>
      </c>
      <c r="BG167" s="9">
        <f>IF(Исходн.данные.!AH167=0,0,IF((HO167+10*0.25/HG167/HL167)&lt;17,17,HO167+10*0.25/HG167/HL167))</f>
        <v>0</v>
      </c>
      <c r="BH167" s="181">
        <f>IF(Исходн.данные.!AH167=0,0,HW167*HF167*HL167/AU167*AI167+Исходн.данные.!S167*10)</f>
        <v>0</v>
      </c>
      <c r="BI167" s="10"/>
      <c r="BJ167" s="182">
        <f>IF(Исходн.данные.!AH167=0,0,IF(HX167*HG167*HL167/AV167&lt;0,0,HX167*HG167*HL167/AV167*AJ167))</f>
        <v>0</v>
      </c>
      <c r="BK167" s="182">
        <f>IF(Исходн.данные.!AH167=0,0,HY167*HH167*HM167/AW167)</f>
        <v>0</v>
      </c>
      <c r="BL167" s="10">
        <f>IF(OR(Исходн.данные.!$AH167=$BP$1,Исходн.данные.!$AH167=$BP$2),0,IF(BH167&lt;0,0,IF(OR(Исходн.данные.!T167=Расчет!$BP$1,Исходн.данные.!T167=Расчет!$BP$2,Исходн.данные.!T167=Расчет!$BT$5,Исходн.данные.!T167=Расчет!$BT$6),BH167*0.5,IF(OR(Исходн.данные.!T167=Расчет!$BS$9,Исходн.данные.!T167=Расчет!$BS$10,Исходн.данные.!T167=Расчет!$BS$11,Исходн.данные.!T167=Расчет!$BS$12,Исходн.данные.!T167=Расчет!$BP$5),BH167*0.8,BH167))))</f>
        <v>0</v>
      </c>
      <c r="BM167" s="10">
        <f>IF(OR(Исходн.данные.!$AH167=$BP$1,Исходн.данные.!$AH167=$BP$2),0,IF(BJ167&lt;0,0,IF(Исходн.данные.!I167&lt;4.5,BJ167*1.2,IF(Исходн.данные.!I167&gt;5.1,BJ167,BJ167*((5.1-Исходн.данные.!I167)*0.333+1)))))</f>
        <v>0</v>
      </c>
      <c r="BN167" s="10">
        <f>IF(OR(Исходн.данные.!$AH167=$BP$1,Исходн.данные.!$AH167=$BP$2),60-Исходн.данные.!AF167,IF(BK167&lt;0,0,IF(Исходн.данные.!I167&lt;4.5,BK167*1.2,IF(Исходн.данные.!I167&gt;5.1,BK167,BK167*((5.1-Исходн.данные.!I167)*0.333+1)))))</f>
        <v>0</v>
      </c>
      <c r="BO167" s="9">
        <f>IF(BL167&lt;0,0,BL167*Исходн.данные.!$AJ167/1000)</f>
        <v>0</v>
      </c>
      <c r="BP167" s="9">
        <f>IF(BM167&lt;0,0,BM167*Исходн.данные.!$AJ167/1000)</f>
        <v>0</v>
      </c>
      <c r="BQ167" s="9">
        <f>IF(BN167&lt;0,0,BN167*Исходн.данные.!$AJ167/1000)</f>
        <v>0</v>
      </c>
      <c r="BR167" s="9">
        <f t="shared" si="229"/>
        <v>0</v>
      </c>
      <c r="BS167" s="10" t="str">
        <f t="shared" si="230"/>
        <v>Аммофос 12:52:00</v>
      </c>
      <c r="BT167" s="10" t="str">
        <f t="shared" si="231"/>
        <v>Аммофос 12:52:00</v>
      </c>
      <c r="BU167" s="10" t="str">
        <f t="shared" si="232"/>
        <v>Диаммофоска</v>
      </c>
      <c r="BV167" s="10">
        <f t="shared" si="233"/>
        <v>0</v>
      </c>
      <c r="BW167" s="10"/>
      <c r="BX167" s="10"/>
      <c r="BY167" s="9">
        <f>IF(BL167&lt;0,0,IF(OR(Исходн.данные.!AI167=Расчет!$BU$6,Исходн.данные.!AI167=Расчет!$BU$7),Расчет!BV167,IF(Исходн.данные.!$AG167=$BV$11,BL167,IF(OR(Исходн.данные.!$AH167=$BQ$7,Исходн.данные.!$AH167=$BQ$8),CB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0,IF(Исходн.данные.!$AI167=$BU$11,"Нет",IF(BL167&gt;30,30,BL167)))))))</f>
        <v>0</v>
      </c>
      <c r="BZ167" s="9">
        <f>IF(AND(Исходн.данные.!$AG167=$BV$11,BM167&lt;10),10,IF(Исходн.данные.!$AG167=$BV$11,BM167,IF(OR(Исходн.данные.!$AH167=$BQ$7,Исходн.данные.!$AH167=$BQ$8),CC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10,IF(Исходн.данные.!$AI167=$BU$11,"Нет",IF(BM167&gt;60,60,IF(BM167&lt;10,10,BM167)))))))</f>
        <v>10</v>
      </c>
      <c r="CA167" s="39">
        <f>IF(BN167&lt;0,0,IF(Исходн.данные.!$AG167=$BV$11,BN167,IF(OR(Исходн.данные.!$AH167=$BQ$7,Исходн.данные.!$AH167=$BQ$8),CD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0,IF(Исходн.данные.!$AI167=$BU$11,"Нет",IF(BN167&gt;30,30,BN167))))))</f>
        <v>0</v>
      </c>
      <c r="CB167" s="9">
        <f t="shared" si="234"/>
        <v>0</v>
      </c>
      <c r="CC167" s="9">
        <f t="shared" si="235"/>
        <v>0</v>
      </c>
      <c r="CD167" s="9">
        <f t="shared" si="236"/>
        <v>0</v>
      </c>
      <c r="CE167" s="12">
        <f t="shared" si="237"/>
        <v>10</v>
      </c>
      <c r="CF167" s="9">
        <f t="shared" si="238"/>
        <v>0</v>
      </c>
      <c r="CG167" s="9" t="s">
        <v>231</v>
      </c>
      <c r="CH167" s="132" t="str">
        <f>IF(Исходн.данные.!AP167=Расчет!$CI$16,"Нет",IF(Исходн.данные.!AL167&gt;0,Исходн.данные.!AL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BH$4,IF(OR(Исходн.данные.!AI167=Исходн.данные.!$AI$6,Исходн.данные.!AI167=Исходн.данные.!$AI$7),Расчет!BS167,IF(AND($CF167=0,$CE167&gt;0),EV167,ER167)))))</f>
        <v>Аммофос 12:52:00</v>
      </c>
      <c r="CI167" s="274">
        <f>IF(Расчет!$CH167="Нет","Нет",IF(Исходн.данные.!$AL167&gt;0,VLOOKUP(Расчет!$CH167,АшламаДВ_Irekle,2,FALSE),VLOOKUP(Расчет!$CH167,АшламаДВ_Gomumy,2,FALSE)))</f>
        <v>0.12</v>
      </c>
      <c r="CJ167" s="274">
        <f>IF(Расчет!$CH167="Нет","Нет",IF(Исходн.данные.!$AL167&gt;0,VLOOKUP(Расчет!$CH167,АшламаДВ_Irekle,3,FALSE),VLOOKUP(Расчет!$CH167,АшламаДВ_Gomumy,3,FALSE)))</f>
        <v>0.52</v>
      </c>
      <c r="CK167" s="274">
        <f>IF(Расчет!$CH167="Нет","Нет",IF(Исходн.данные.!$AL167&gt;0,VLOOKUP(Расчет!$CH167,АшламаДВ_Irekle,4,FALSE),VLOOKUP(Расчет!$CH167,АшламаДВ_Gomumy,4,FALSE)))</f>
        <v>0</v>
      </c>
      <c r="CL167" s="70"/>
      <c r="CM167" s="70"/>
      <c r="CN167" s="70"/>
      <c r="CO167" s="70"/>
      <c r="CP167" s="70"/>
      <c r="CQ167" s="70"/>
      <c r="CR167" s="10">
        <f t="shared" si="239"/>
        <v>0</v>
      </c>
      <c r="CS167" s="10">
        <f t="shared" si="240"/>
        <v>19.23076923076923</v>
      </c>
      <c r="CT167" s="10">
        <f t="shared" si="241"/>
        <v>0</v>
      </c>
      <c r="CU167" s="39">
        <f>IF($CH167="Нет",0,IF(CI167=0,30/MIN(CJ167:CK167),IF(Исходн.данные.!$AG167=$BV$11,CR167,IF(OR(Исходн.данные.!$AH167=$BQ$7,Исходн.данные.!$AH167=$BQ$8),90/CI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0,IF(Исходн.данные.!$AI167=$BU$11,"Нет",30/CI167))))))</f>
        <v>250</v>
      </c>
      <c r="CV167" s="39">
        <f>IF($CH167="Нет",0,IF(Исходн.данные.!AH167=0,0,IF(CJ167=0,60/MIN(CI167,CK167),IF(Исходн.данные.!$AG167=$BV$11,CS167,IF(OR(Исходн.данные.!$AH167=$BQ$7,Исходн.данные.!$AH167=$BQ$8),90/CJ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10/CJ167,IF(Исходн.данные.!$AI167=$BU$11,"Нет",60/CJ167)))))))</f>
        <v>0</v>
      </c>
      <c r="CW167" s="39">
        <f>IF($CH167="Нет",0,IF(Исходн.данные.!AH167=0,0,IF(CK167=0,30/MIN(CI167:CJ167),IF(Исходн.данные.!$AG167=$BV$11,CT167,IF(OR(Исходн.данные.!$AH167=$BQ$7,Исходн.данные.!$AH167=$BQ$8),90/CK167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0,IF(Исходн.данные.!$AI167=$BU$11,"Нет",30/CK167)))))))</f>
        <v>0</v>
      </c>
      <c r="CX167" s="133">
        <f>IF(Исходн.данные.!$AG167=$BV$11,MAX(CU167:CW167),IF(OR(Исходн.данные.!$AH167=$BS$8,Исходн.данные.!$AH167=$BQ$9,Исходн.данные.!$AH167=$BQ$10,Исходн.данные.!$AH167=$BQ$11,Исходн.данные.!$AH167=$BQ$12,Исходн.данные.!$AH167=$BP$3,Исходн.данные.!$AH167=$BT$8,$FM167="Да"),CV167,MIN(CU167:CW167)))</f>
        <v>0</v>
      </c>
      <c r="CY167" s="133">
        <f>IF(Исходн.данные.!AH167=0,0,IF(CR167&gt;$CX167,$CX167,CR167))</f>
        <v>0</v>
      </c>
      <c r="CZ167" s="133">
        <f>IF(Исходн.данные.!AH167=0,0,IF(CS167&gt;$CX167,$CX167,CS167))</f>
        <v>0</v>
      </c>
      <c r="DA167" s="133">
        <f>IF(Исходн.данные.!AH167=0,0,IF(CT167&gt;$CX167,$CX167,CT167))</f>
        <v>0</v>
      </c>
      <c r="DB167" s="10">
        <f t="shared" si="242"/>
        <v>0</v>
      </c>
      <c r="DC167" s="39">
        <f>DB167*Исходн.данные.!AJ167/1000</f>
        <v>0</v>
      </c>
      <c r="DD167" s="71">
        <f t="shared" si="243"/>
        <v>0</v>
      </c>
      <c r="DE167" s="9">
        <f t="shared" si="244"/>
        <v>0</v>
      </c>
      <c r="DF167" s="9">
        <f t="shared" si="245"/>
        <v>0</v>
      </c>
      <c r="DG167" s="39">
        <f>IF(BL167&lt;0,0,IF($CH167="Нет",BL167,IF(OR(Исходн.данные.!$AH167=$BP$1,Исходн.данные.!$AH167=$BP$2),0,IF(Исходн.данные.!AI167=$BU$11,BL167,IF(BL167-DD167&lt;0,0,BL167-DD167)))))</f>
        <v>0</v>
      </c>
      <c r="DH167" s="39">
        <f>IF(BM167&lt;0,0,IF($CH167="Нет",BM167,IF(OR(Исходн.данные.!$AH167=$BP$1,Исходн.данные.!$AH167=$BP$2),0,IF(Исходн.данные.!AJ167=$BU$11,BM167,IF(BM167-DE167&lt;0,0,BM167-DE167)))))</f>
        <v>0</v>
      </c>
      <c r="DI167" s="39">
        <f>IF(BN167&lt;0,0,IF($CH167="Нет",BN167,IF(OR(Исходн.данные.!$AH167=$BP$1,Исходн.данные.!$AH167=$BP$2),0,IF(Исходн.данные.!AK167=$BU$11,BN167,IF(BN167-DF167&lt;0,0,BN167-DF167)))))</f>
        <v>0</v>
      </c>
      <c r="DJ167" s="12">
        <f t="shared" si="246"/>
        <v>0</v>
      </c>
      <c r="DK167" s="9">
        <f t="shared" si="247"/>
        <v>0</v>
      </c>
      <c r="DL167" s="39">
        <f>IF(Исходн.данные.!AM167&gt;0,Исходн.данные.!AM167,IF(EG167&gt;0,$BH$10,0))</f>
        <v>0</v>
      </c>
      <c r="DM167" s="186">
        <f>IF($DL167=0,0,IF(Исходн.данные.!AM167&gt;0,VLOOKUP($DL167,АшламаДВ_Irekle,2,FALSE),VLOOKUP($DL167,АшламаДВ_Gomumy,2,FALSE)))</f>
        <v>0</v>
      </c>
      <c r="DN167" s="10">
        <f t="shared" si="225"/>
        <v>0</v>
      </c>
      <c r="DO167" s="9" t="str">
        <f>IF(Исходн.данные.!AN167&gt;0,Исходн.данные.!AN167,Удобрения!$B$37 )</f>
        <v>Хлор.калий</v>
      </c>
      <c r="DP167" s="9">
        <f>IF(Исходн.данные.!AN167&gt;0,VLOOKUP(Исходн.данные.!AN167,АшламаДВ_Irekle,4,FALSE),VLOOKUP(DO167,АшламаДВ_Gomumy,4,FALSE))</f>
        <v>0.6</v>
      </c>
      <c r="DQ167" s="10">
        <f t="shared" si="226"/>
        <v>0</v>
      </c>
      <c r="DR167" s="132" t="str">
        <f>IF(Исходн.данные.!AO167&gt;0,Исходн.данные.!AO167,IF(DH167=0,BS$17,IF(AND($DK167=0,$DJ167&gt;0),EJ167,EN167)))</f>
        <v>Нет</v>
      </c>
      <c r="DS167" s="70" t="str">
        <f>IF($DR167="Нет","Нет",IF(Исходн.данные.!$AO167&gt;0,VLOOKUP($DR167,АшламаДВ_Irekle,2,FALSE),VLOOKUP($DR167,АшламаДВ_Gomumy,2,FALSE)))</f>
        <v>Нет</v>
      </c>
      <c r="DT167" s="70" t="str">
        <f>IF($DR167="Нет","Нет",IF(Исходн.данные.!$AO167&gt;0,VLOOKUP($DR167,АшламаДВ_Irekle,3,FALSE),VLOOKUP($DR167,АшламаДВ_Gomumy,3,FALSE)))</f>
        <v>Нет</v>
      </c>
      <c r="DU167" s="70" t="str">
        <f>IF($DR167="Нет","Нет",IF(Исходн.данные.!$AO167&gt;0,VLOOKUP($DR167,АшламаДВ_Irekle,4,FALSE),VLOOKUP($DR167,АшламаДВ_Gomumy,4,FALSE)))</f>
        <v>Нет</v>
      </c>
      <c r="DV167" s="70"/>
      <c r="DW167" s="70"/>
      <c r="DX167" s="70"/>
      <c r="DY167" s="10">
        <f t="shared" si="248"/>
        <v>0</v>
      </c>
      <c r="DZ167" s="10">
        <f t="shared" si="249"/>
        <v>0</v>
      </c>
      <c r="EA167" s="10">
        <f t="shared" si="250"/>
        <v>0</v>
      </c>
      <c r="EB167" s="10">
        <f t="shared" si="251"/>
        <v>0</v>
      </c>
      <c r="EC167" s="10">
        <f t="shared" si="252"/>
        <v>0</v>
      </c>
      <c r="ED167" s="10">
        <f t="shared" si="253"/>
        <v>0</v>
      </c>
      <c r="EE167" s="10">
        <f t="shared" si="254"/>
        <v>0</v>
      </c>
      <c r="EF167" s="39">
        <f>EB167*Исходн.данные.!AJ167/1000</f>
        <v>0</v>
      </c>
      <c r="EG167" s="9">
        <f t="shared" si="255"/>
        <v>0</v>
      </c>
      <c r="EH167" s="9">
        <f t="shared" si="256"/>
        <v>0</v>
      </c>
      <c r="EI167" s="39" t="e">
        <f t="shared" si="206"/>
        <v>#DIV/0!</v>
      </c>
      <c r="EJ167" s="9" t="str">
        <f t="shared" si="227"/>
        <v>Азопреципитат</v>
      </c>
      <c r="EK167" s="12">
        <f t="shared" si="207"/>
        <v>0.26</v>
      </c>
      <c r="EL167" s="12">
        <f t="shared" si="208"/>
        <v>0.13</v>
      </c>
      <c r="EM167" s="12">
        <f t="shared" si="209"/>
        <v>0</v>
      </c>
      <c r="EN167" s="12" t="str">
        <f t="shared" si="228"/>
        <v>Нет</v>
      </c>
      <c r="EO167" s="12">
        <f t="shared" si="210"/>
        <v>0</v>
      </c>
      <c r="EP167" s="12">
        <f t="shared" si="211"/>
        <v>0</v>
      </c>
      <c r="EQ167" s="12">
        <f t="shared" si="212"/>
        <v>0</v>
      </c>
      <c r="ER167" s="12" t="str">
        <f t="shared" si="257"/>
        <v>Диаммофоска</v>
      </c>
      <c r="ES167" s="12">
        <f t="shared" si="213"/>
        <v>0.1</v>
      </c>
      <c r="ET167" s="12">
        <f t="shared" si="214"/>
        <v>0.26</v>
      </c>
      <c r="EU167" s="12">
        <f t="shared" si="215"/>
        <v>0.26</v>
      </c>
      <c r="EV167" s="12" t="str">
        <f t="shared" si="258"/>
        <v>Аммофос 12:52:00</v>
      </c>
      <c r="EW167" s="12" t="str">
        <f t="shared" si="259"/>
        <v>Кемира Свекловичное-6</v>
      </c>
      <c r="EX167" s="12">
        <f t="shared" si="216"/>
        <v>0.16</v>
      </c>
      <c r="EY167" s="12">
        <f t="shared" si="217"/>
        <v>0.12</v>
      </c>
      <c r="EZ167" s="12">
        <f t="shared" si="218"/>
        <v>0.17</v>
      </c>
      <c r="FA167" s="38" t="e">
        <f>IF(AND(OR(FJ167=$FD$1,FM167=$FD$1,FO167=$FD$1,FQ167=$FD$1,FS167=$FD$1),FD167=$FD$1,Исходн.данные.!J167&lt;2,FU167=$FD$1),"Бор,Кобальт",IF(AND(FO167=$FD$1,FH167=$FD$1,Исходн.данные.!J167&lt;2,FU167=$FD$1),"Бор,Кобальт",IF(AND(OR(FJ167=$FD$1,FM167=$FD$1,FQ167=$FD$1),FE167=$FD$1,Исходн.данные.!J167&lt;2,FT167=$FD$1,FU167=$FD$1),"Бор,Медь,Цинк",IF(AND(OR(FJ167=$FD$1,FR167="Да"),FI167="Да",Исходн.данные.!J167&lt;2,FT167="Да",FU167="Да"),"Бор,Цинк,Медь",IF(AND(OR(FM167="Да",FQ167="Да"),FI167="Да",Исходн.данные.!J167&lt;2,FT167="Да",FU167="Да"),"Бор,Цинк",IF(AND(FN167="Да",OR(FD167="Да",FE167="Да")),"Бор",FB167))))))</f>
        <v>#N/A</v>
      </c>
      <c r="FB167" s="134" t="e">
        <f>IF(AND(OR(FD167="Да",FE167="Да",FF167="Да",FG167="Да",FH167="Да"),FO167="Да"),"Бор",IF(AND(FP167="Да",OR(FD167="Да",FE167="Да",FI167="Да")),"Бор",IF(AND(FS167="Да",FE167="Да"),"Бор,Медь",IF(AND(OR(FJ167="Да",FK167="Да",FL167="Да"),FE167="Да",Исходн.данные.!I167&lt;5,FT167="Да",FU167="Да"),"Молибден,Цинк",IF(AND(FM167="Да",OR(FE167="Да",FF167="Да",FG167="Да",FH167="Да",FI167="Да")),"Молибден,Цинк",IF(AND(OR(FJ167="Да",FK167="Да",FL167="Да",FM167="Да",FQ167="Да"),OR(FE167="Да",FF167="Да"),FT167="Да",FU167="Да",Исходн.данные.!I167&gt;5.5),"Медь,Цинк",FC167))))))</f>
        <v>#N/A</v>
      </c>
      <c r="FC167" s="23" t="e">
        <f t="shared" si="260"/>
        <v>#N/A</v>
      </c>
      <c r="FD167" s="38" t="str">
        <f>IF(OR(Исходн.данные.!F167=$CC$1,Исходн.данные.!F167=$CC$2,Исходн.данные.!F167=$CC$3,Исходн.данные.!F167=$CC$4),"Да","Нет")</f>
        <v>Нет</v>
      </c>
      <c r="FE167" s="38" t="str">
        <f>IF(Исходн.данные.!F167=$CC$5,"Да","Нет")</f>
        <v>Нет</v>
      </c>
      <c r="FF167" s="38" t="str">
        <f>IF(OR(Исходн.данные.!F167=$CC$6,Исходн.данные.!F167=$CC$7),"Да","Нет")</f>
        <v>Нет</v>
      </c>
      <c r="FG167" s="38" t="str">
        <f>IF(OR(Исходн.данные.!F167=$CC$8,Исходн.данные.!F167=$CC$9),"Да","Нет")</f>
        <v>Нет</v>
      </c>
      <c r="FH167" s="38" t="str">
        <f>IF(Исходн.данные.!F167=$CC$10,"Да","Нет")</f>
        <v>Нет</v>
      </c>
      <c r="FI167" s="38" t="str">
        <f>IF(OR(Исходн.данные.!F167=$CC$11,Исходн.данные.!F167=$CC$12),"Да","Нет")</f>
        <v>Нет</v>
      </c>
      <c r="FJ167" s="38" t="str">
        <f>IF(OR(Исходн.данные.!AH167=$BS$1,Исходн.данные.!AH167=$BQ$11,Исходн.данные.!AH167=$BQ$12),"Да","Нет")</f>
        <v>Нет</v>
      </c>
      <c r="FK167" s="38" t="str">
        <f>IF(OR(Исходн.данные.!AH167=$BS$2,Исходн.данные.!AH167=$BS$4),"Да","Нет")</f>
        <v>Нет</v>
      </c>
      <c r="FL167" s="38" t="str">
        <f>IF(OR(Исходн.данные.!AH167=$BS$3,Исходн.данные.!AH167=$BS$5),"Да","Нет")</f>
        <v>Нет</v>
      </c>
      <c r="FM167" s="38" t="str">
        <f>IF(OR(Исходн.данные.!AH167=$BS$9,Исходн.данные.!AH167=$BS$10,Исходн.данные.!AH167=$BS$11,Исходн.данные.!AH167=$BS$12),"Да","Нет")</f>
        <v>Нет</v>
      </c>
      <c r="FN167" s="38" t="str">
        <f>IF(OR(Исходн.данные.!AH167=$BS$6,Исходн.данные.!AH167=$BP$3),"Да","Нет")</f>
        <v>Нет</v>
      </c>
      <c r="FO167" s="38" t="str">
        <f>IF(Исходн.данные.!AH167=$BQ$9,"Да","Нет")</f>
        <v>Нет</v>
      </c>
      <c r="FP167" s="38" t="str">
        <f>IF(OR(Исходн.данные.!AH167=$BS$8,Исходн.данные.!AH167=$BT$8),"Да","Нет")</f>
        <v>Нет</v>
      </c>
      <c r="FQ167" s="38" t="str">
        <f>IF(OR(Исходн.данные.!AH167=$BQ$7,Исходн.данные.!AH167=$BQ$8),"Да","Нет")</f>
        <v>Нет</v>
      </c>
      <c r="FR167" s="38" t="str">
        <f>IF(Исходн.данные.!AI167=$BU$9,"Да","Нет")</f>
        <v>Нет</v>
      </c>
      <c r="FS167" s="38" t="str">
        <f>IF(OR(Исходн.данные.!AH167=$BP$1,Исходн.данные.!AH167=$BP$2),"Да","Нет")</f>
        <v>Нет</v>
      </c>
      <c r="FT167" s="38" t="e">
        <f>IF((Исходн.данные.!K167*GO167*GS167*GW167+BL167*0.6+Исходн.данные.!Q167*4.5*0.275)&gt;90,"Да","Нет")</f>
        <v>#N/A</v>
      </c>
      <c r="FU167" s="38" t="e">
        <f>IF((Исходн.данные.!M167*GS167*GZ167+BM167*0.225)&gt;35,"Да","Нет")</f>
        <v>#N/A</v>
      </c>
      <c r="FV167" s="38" t="str">
        <f>IF(Исходн.данные.!O167&gt;175,"Да","Нет")</f>
        <v>Нет</v>
      </c>
      <c r="FW167" s="39" t="str">
        <f>IF(Исходн.данные.!I167&gt;5.5,"Да","Нет")</f>
        <v>Нет</v>
      </c>
      <c r="FX167" s="39" t="str">
        <f>IF(Исходн.данные.!J167&lt;2,"Да","Нет")</f>
        <v>Да</v>
      </c>
      <c r="FY167" s="39" t="e">
        <f>IF(HF167=$FY$16,0,Исходн.данные.!K167*GO167*GS167*GW167/HF167)</f>
        <v>#N/A</v>
      </c>
      <c r="FZ167" s="39" t="e">
        <f>Исходн.данные.!M167*GS167*GZ167/HG167</f>
        <v>#N/A</v>
      </c>
      <c r="GA167" s="39" t="e">
        <f>IF(K_Wyn=$FY$16,0,IF(Исходн.данные.!N167=Исходн.данные.!$L$10,Исходн.данные.!O167/1.1*GS167*HC167/HH167,IF(Исходн.данные.!N167=Исходн.данные.!$L$12,Исходн.данные.!O167/1.5*GS167*HC167/HH167,Исходн.данные.!O167*GS167*HC167/HH167)))</f>
        <v>#N/A</v>
      </c>
      <c r="GB167" s="39" t="e">
        <f>IF(HF167=$FY$16,0,((Исходн.данные.!Q167*N_Org+Исходн.данные.!R167*N_Sider+Исходн.данные.!S167*N_Soloma)*AO167+Расчет!BC167*VLOOKUP(Исходн.данные.!T167,Справ!$A$3:$O$57,15)*AO167+BB167*VLOOKUP(Исходн.данные.!T167,Справ!$A$3:$O$57,15)*AL167+(Исходн.данные.!V167*N_Rizotorf+Исходн.данные.!W167*N_Rizoagr))/HF167)</f>
        <v>#N/A</v>
      </c>
      <c r="GC167" s="39" t="e">
        <f>IF(HG167=$FY$16,0,((Исходн.данные.!Q167*Р_Org+Исходн.данные.!R167*P_Sider+Исходн.данные.!S167*P_Soloma)*AP167+Расчет!BC167*VLOOKUP(Исходн.данные.!T167,Справ!$A$3:$P$57,16)*AP167+BB167*VLOOKUP(Исходн.данные.!T167,Справ!$A$3:$P$57,16)*AM167)/HG167)</f>
        <v>#N/A</v>
      </c>
      <c r="GD167" s="39" t="e">
        <f>IF(HH167=$FY$16,0,((Исходн.данные.!Q167*К_Org+Исходн.данные.!R167*K_Sider+Исходн.данные.!S167*K_Soloma)*AQ167+Расчет!BC167*VLOOKUP(Исходн.данные.!T167,Справ!$A$3:$Q$57,17)*AQ167+BB167*VLOOKUP(Исходн.данные.!T167,Справ!$A$3:$Q$57,17)*AN167)/HH167)</f>
        <v>#N/A</v>
      </c>
      <c r="GE167" s="39" t="e">
        <f>IF(HF167=$FY$16,0,(Исходн.данные.!X167*AR167+Исходн.данные.!AA167*N_Org*AL167+Исходн.данные.!AB167*N_Sider*AL167+Исходн.данные.!AC167*N_Soloma*AL167)/HF167)</f>
        <v>#N/A</v>
      </c>
      <c r="GF167" s="39" t="e">
        <f>IF(HG167=$FY$16,0,(Исходн.данные.!Y167*AS167+Исходн.данные.!AA167*Р_Org*AM167+Исходн.данные.!AB167*P_Sider*AM167+Исходн.данные.!AC167*P_Soloma*AM167)/HG167)</f>
        <v>#N/A</v>
      </c>
      <c r="GG167" s="39" t="e">
        <f>IF(HH167=$FY$16,0,(Исходн.данные.!Z167*AT167+Исходн.данные.!AA167*К_Org*AN167+Исходн.данные.!AB167*K_Sider*AN167+Исходн.данные.!AC167*K_Soloma*AN167)/HH167)</f>
        <v>#N/A</v>
      </c>
      <c r="GH167" s="39" t="e">
        <f>Исходн.данные.!AD167*AU167/HF167</f>
        <v>#N/A</v>
      </c>
      <c r="GI167" s="39" t="e">
        <f>Исходн.данные.!AE167*AV167/HG167</f>
        <v>#N/A</v>
      </c>
      <c r="GJ167" s="39" t="e">
        <f>Исходн.данные.!AF167*AW167/HH167</f>
        <v>#N/A</v>
      </c>
      <c r="GK167" s="55">
        <f>Исходн.данные.!AK167</f>
        <v>0</v>
      </c>
      <c r="GL167" s="11" t="e">
        <f t="shared" si="261"/>
        <v>#N/A</v>
      </c>
      <c r="GM167" s="11" t="e">
        <f t="shared" si="262"/>
        <v>#N/A</v>
      </c>
      <c r="GN167" s="11" t="e">
        <f t="shared" si="263"/>
        <v>#N/A</v>
      </c>
      <c r="GO167" s="57">
        <f t="shared" si="264"/>
        <v>19</v>
      </c>
      <c r="GP167" s="55">
        <f>IF(OR(Исходн.данные.!F167=$CE$1,Исходн.данные.!F167=$CE$2,Исходн.данные.!F167=$CE$3,Исходн.данные.!F167=$CE$4,Исходн.данные.!F167=$CE$5),GQ167,GR167)</f>
        <v>19</v>
      </c>
      <c r="GQ167" s="55">
        <f>IF(Исходн.данные.!F167=$CE$1,28,IF(Исходн.данные.!F167=$CE$2,26,IF(Исходн.данные.!F167=$CE$3,24,IF(Исходн.данные.!F167=$CE$4,22,IF(Исходн.данные.!F167=$CE$5,20,GR167)))))</f>
        <v>19</v>
      </c>
      <c r="GR167" s="55">
        <f>IF(Исходн.данные.!F167=$CE$6,18,IF(Исходн.данные.!F167=$CE$7,16,IF(Исходн.данные.!F167=$CE$8,14,IF(Исходн.данные.!F167=$CE$9,13,IF(Исходн.данные.!F167=$CE$10,12,19)))))</f>
        <v>19</v>
      </c>
      <c r="GS167" s="55">
        <f>IF(Исходн.данные.!G167="Пес",0.035*(40+2*Исходн.данные.!H167),IF(Исходн.данные.!G167="Суп",0.0325*(40+2*Исходн.данные.!H167),0.03*(40+2*Исходн.данные.!H167)))</f>
        <v>1.2</v>
      </c>
      <c r="GT167" s="55">
        <f>IF(Исходн.данные.!H167&lt;23,2.6,IF(AND(Исходн.данные.!H167&gt;22,Исходн.данные.!H167&lt;26),3,IF(AND(Исходн.данные.!H167&gt;25,Исходн.данные.!H167&lt;29),3.4,3.6)))</f>
        <v>2.6</v>
      </c>
      <c r="GU167" s="55">
        <f>IF(Исходн.данные.!H167&lt;23,2.8,IF(AND(Исходн.данные.!H167&gt;22,Исходн.данные.!H167&lt;26),3.2,IF(AND(Исходн.данные.!H167&gt;25,Исходн.данные.!H167&lt;29),3.6,3.9)))</f>
        <v>2.8</v>
      </c>
      <c r="GV167" s="55">
        <f>IF(Исходн.данные.!H167&lt;23,3,IF(AND(Исходн.данные.!H167&gt;22,Исходн.данные.!H167&lt;26),3.5,IF(AND(Исходн.данные.!H167&gt;25,Исходн.данные.!H167&lt;29),3.9,4.2)))</f>
        <v>3</v>
      </c>
      <c r="GW167" s="55" t="e">
        <f>IF(Исходн.данные.!P167="Ум",GX167,GY167)</f>
        <v>#N/A</v>
      </c>
      <c r="GX167" s="55" t="e">
        <f>VLOOKUP(Исходн.данные.!AI167,Коэффициенты!$J$7:$L$13,2,FALSE)</f>
        <v>#N/A</v>
      </c>
      <c r="GY167" s="55" t="e">
        <f>VLOOKUP(Исходн.данные.!AI167,Коэффициенты!$J$7:$L$13,3,FALSE)</f>
        <v>#N/A</v>
      </c>
      <c r="GZ167" s="55" t="e">
        <f>(IF(Исходн.данные.!M167&lt;50,0.11*VLOOKUP(Исходн.данные.!AH167,Культуры.Информация,7,FALSE),IF(Исходн.данные.!M167&gt;250,0.05*VLOOKUP(Исходн.данные.!AH167,Культуры.Информация,7,FALSE),VLOOKUP(Исходн.данные.!AH167,Культуры.Информация,5,FALSE)/100*($GX$6+$GY$6*Исходн.данные.!M167))))*Расчет2!AI167</f>
        <v>#N/A</v>
      </c>
      <c r="HA167" s="211"/>
      <c r="HB167" s="211"/>
      <c r="HC167" s="55" t="e">
        <f>(IF(Исходн.данные.!O167&lt;80,0.2*VLOOKUP(Исходн.данные.!AH167,Культуры.Информация,8,FALSE),IF(Исходн.данные.!O167&gt;240,0.09*VLOOKUP(Исходн.данные.!AH167,Культуры.Информация,8,FALSE),VLOOKUP(Исходн.данные.!AH167,Культуры.Информация,6,FALSE)/100*($HB$6+$HC$6*Исходн.данные.!O167))))*Расчет2!AJ167</f>
        <v>#N/A</v>
      </c>
      <c r="HD167" s="55">
        <f>IF(Исходн.данные.!O167&gt;240,0.09,IF(Исходн.данные.!O167&lt;30,0.3,$HE$10+$HD$10*Исходн.данные.!O167))</f>
        <v>0.3</v>
      </c>
      <c r="HE167" s="55">
        <f>IF(Исходн.данные.!O167&gt;240,0.17,IF(Исходн.данные.!O167&lt;30,0.5,$HF$12+$HE$12*Исходн.данные.!O167))</f>
        <v>0.5</v>
      </c>
      <c r="HF167" s="55" t="e">
        <f>VLOOKUP(Исходн.данные.!AH167,Справ!$A$3:$D$58,2,FALSE)</f>
        <v>#N/A</v>
      </c>
      <c r="HG167" s="55" t="e">
        <f>VLOOKUP(Исходн.данные.!AH167,Справ!$A$3:$D$58,3,FALSE)</f>
        <v>#N/A</v>
      </c>
      <c r="HH167" s="55" t="e">
        <f>VLOOKUP(Исходн.данные.!AH167,Справ!$A$3:$D$58,4,FALSE)</f>
        <v>#N/A</v>
      </c>
      <c r="HI167" s="11" t="e">
        <f t="shared" si="265"/>
        <v>#N/A</v>
      </c>
      <c r="HJ167" s="11" t="e">
        <f t="shared" si="266"/>
        <v>#N/A</v>
      </c>
      <c r="HK167" s="11" t="e">
        <f t="shared" si="267"/>
        <v>#N/A</v>
      </c>
      <c r="HL167" s="55">
        <f>IF(OR(Исходн.данные.!G167="Глин",Исходн.данные.!G167="Т_суг"),1.1,IF(Исходн.данные.!G167="Ср_суг",1,1))</f>
        <v>1</v>
      </c>
      <c r="HM167" s="55">
        <f>IF(OR(Исходн.данные.!G167="Глин",Исходн.данные.!G167="Т_суг"),0.9,IF(Исходн.данные.!G167="Ср_суг",1,1.2))</f>
        <v>1.2</v>
      </c>
      <c r="HN167" s="11" t="e">
        <f t="shared" si="268"/>
        <v>#N/A</v>
      </c>
      <c r="HO167" s="11" t="e">
        <f t="shared" si="269"/>
        <v>#N/A</v>
      </c>
      <c r="HP167" s="11" t="e">
        <f t="shared" si="270"/>
        <v>#N/A</v>
      </c>
      <c r="HQ167" t="e">
        <f t="shared" si="271"/>
        <v>#N/A</v>
      </c>
      <c r="HR167" t="e">
        <f t="shared" si="272"/>
        <v>#N/A</v>
      </c>
      <c r="HS167" t="e">
        <f t="shared" si="273"/>
        <v>#N/A</v>
      </c>
      <c r="HT167" t="e">
        <f t="shared" si="219"/>
        <v>#N/A</v>
      </c>
      <c r="HU167" t="e">
        <f t="shared" si="220"/>
        <v>#N/A</v>
      </c>
      <c r="HV167" t="e">
        <f t="shared" si="221"/>
        <v>#N/A</v>
      </c>
      <c r="HW167" t="e">
        <f t="shared" si="222"/>
        <v>#N/A</v>
      </c>
      <c r="HX167" t="e">
        <f t="shared" si="223"/>
        <v>#N/A</v>
      </c>
      <c r="HY167" t="e">
        <f t="shared" si="224"/>
        <v>#N/A</v>
      </c>
      <c r="HZ167" s="55">
        <f>IF(OR(Исходн.данные.!AI167="Оз_Ч_П",Исходн.данные.!AI167="Оз_З_П",Исходн.данные.!AI167="Яр_зер"),12,30)</f>
        <v>30</v>
      </c>
      <c r="IA167" t="e">
        <f t="shared" si="274"/>
        <v>#N/A</v>
      </c>
      <c r="IB167" t="e">
        <f t="shared" si="275"/>
        <v>#N/A</v>
      </c>
      <c r="IC167" t="e">
        <f t="shared" si="276"/>
        <v>#N/A</v>
      </c>
      <c r="ID167" s="11" t="e">
        <f t="shared" si="277"/>
        <v>#N/A</v>
      </c>
      <c r="IE167" s="11" t="e">
        <f t="shared" si="278"/>
        <v>#N/A</v>
      </c>
      <c r="IF167" s="11" t="e">
        <f t="shared" si="279"/>
        <v>#N/A</v>
      </c>
    </row>
    <row r="168" spans="35:240" x14ac:dyDescent="0.2">
      <c r="AI168">
        <f>IF(Исходн.данные.!I168&gt;6,1,1.85-(0.148*Исходн.данные.!I168))</f>
        <v>1.85</v>
      </c>
      <c r="AJ168">
        <f>IF(Исходн.данные.!I168&gt;6,1,2.434-(0.246*Исходн.данные.!I168))</f>
        <v>2.4340000000000002</v>
      </c>
      <c r="AL168" s="148" t="b">
        <f>IF(Исходн.данные.!$P168="Ум",N_OrgUd_2g_um,IF(Исходн.данные.!$P168="Об",N_OrgUd_2g_ob))</f>
        <v>0</v>
      </c>
      <c r="AM168" s="148" t="b">
        <f>IF(Исходн.данные.!$P168="Ум",P_OrgUd_2g_um,IF(Исходн.данные.!$P168="Об",P_OrgUd_2g_ob))</f>
        <v>0</v>
      </c>
      <c r="AN168" s="148" t="b">
        <f>IF(Исходн.данные.!$P168="Ум",K_OrgUd_2g_um,IF(Исходн.данные.!$P168="Об",K_OrgUd_2g_ob))</f>
        <v>0</v>
      </c>
      <c r="AO168" s="148" t="b">
        <f>IF(Исходн.данные.!$P168="Ум",N_OrgUd_1g_um,IF(Исходн.данные.!$P168="Об",N_OrgUd_1g_ob))</f>
        <v>0</v>
      </c>
      <c r="AP168" s="148" t="b">
        <f>IF(Исходн.данные.!$P168="Ум",P_OrgUd_1g_um,IF(Исходн.данные.!$P168="Об",P_OrgUd_1g_ob))</f>
        <v>0</v>
      </c>
      <c r="AQ168" s="148" t="b">
        <f>IF(Исходн.данные.!$P168="Ум",K_OrgUd_1g_um,IF(Исходн.данные.!$P168="Об",K_OrgUd_1g_ob))</f>
        <v>0</v>
      </c>
      <c r="AR168" t="b">
        <f>IF(Исходн.данные.!$P168="Ум",N_MinUd_2g_um,IF(Исходн.данные.!$P168="Об",N_MinUd_2g_ob))</f>
        <v>0</v>
      </c>
      <c r="AS168" t="b">
        <f>IF(Исходн.данные.!$P168="Ум",P_MinUd_2g_um,IF(Исходн.данные.!$P168="Об",P_MinUd_2g_ob))</f>
        <v>0</v>
      </c>
      <c r="AT168" t="b">
        <f>IF(Исходн.данные.!$P168="Ум",K_MinUd_2g_um,IF(Исходн.данные.!$P168="Об",K_MinUd_2g_ob))</f>
        <v>0</v>
      </c>
      <c r="AU168" t="b">
        <f>IF(Исходн.данные.!$P168="Ум",N_MinUd_1g_um,IF(Исходн.данные.!$P168="Об",N_MinUd_1g_ob))</f>
        <v>0</v>
      </c>
      <c r="AV168" t="b">
        <f>IF(Исходн.данные.!P168="Ум",P_MinUd_1g_um,IF(Исходн.данные.!P168="Об",P_MinUd_1g_ob))</f>
        <v>0</v>
      </c>
      <c r="AW168" t="b">
        <f>IF(Исходн.данные.!P168="Ум",K_MinUd_1g_um,IF(Исходн.данные.!P168="Об",K_MinUd_1g_ob))</f>
        <v>0</v>
      </c>
      <c r="AY168" t="e">
        <f>VLOOKUP(Исходн.данные.!T168,Справ!$A$3:$N$57,12)</f>
        <v>#N/A</v>
      </c>
      <c r="AZ168" t="e">
        <f>VLOOKUP(Исходн.данные.!T168,Справ!$A$3:$N$57,13)</f>
        <v>#N/A</v>
      </c>
      <c r="BA168" t="e">
        <f>VLOOKUP(Исходн.данные.!T168,Справ!$A$3:$N$57,14)</f>
        <v>#N/A</v>
      </c>
      <c r="BB168">
        <f>IF(Исходн.данные.!AH168=0,0,25)</f>
        <v>0</v>
      </c>
      <c r="BC168" s="141">
        <f>IF(Исходн.данные.!AH168=0,0,IF(Исходн.данные.!T168=0,25,BD168))</f>
        <v>0</v>
      </c>
      <c r="BD168" s="168" t="e">
        <f>AY168+AZ168*Исходн.данные.!U168-POWER(BA168,2)*Исходн.данные.!U168</f>
        <v>#N/A</v>
      </c>
      <c r="BE16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8" s="25">
        <f>IF(Исходн.данные.!AH168=0,0,MIN(HN168:HP168))</f>
        <v>0</v>
      </c>
      <c r="BG168" s="9">
        <f>IF(Исходн.данные.!AH168=0,0,IF((HO168+10*0.25/HG168/HL168)&lt;17,17,HO168+10*0.25/HG168/HL168))</f>
        <v>0</v>
      </c>
      <c r="BH168" s="181">
        <f>IF(Исходн.данные.!AH168=0,0,HW168*HF168*HL168/AU168*AI168+Исходн.данные.!S168*10)</f>
        <v>0</v>
      </c>
      <c r="BI168" s="10"/>
      <c r="BJ168" s="182">
        <f>IF(Исходн.данные.!AH168=0,0,IF(HX168*HG168*HL168/AV168&lt;0,0,HX168*HG168*HL168/AV168*AJ168))</f>
        <v>0</v>
      </c>
      <c r="BK168" s="182">
        <f>IF(Исходн.данные.!AH168=0,0,HY168*HH168*HM168/AW168)</f>
        <v>0</v>
      </c>
      <c r="BL168" s="10">
        <f>IF(OR(Исходн.данные.!$AH168=$BP$1,Исходн.данные.!$AH168=$BP$2),0,IF(BH168&lt;0,0,IF(OR(Исходн.данные.!T168=Расчет!$BP$1,Исходн.данные.!T168=Расчет!$BP$2,Исходн.данные.!T168=Расчет!$BT$5,Исходн.данные.!T168=Расчет!$BT$6),BH168*0.5,IF(OR(Исходн.данные.!T168=Расчет!$BS$9,Исходн.данные.!T168=Расчет!$BS$10,Исходн.данные.!T168=Расчет!$BS$11,Исходн.данные.!T168=Расчет!$BS$12,Исходн.данные.!T168=Расчет!$BP$5),BH168*0.8,BH168))))</f>
        <v>0</v>
      </c>
      <c r="BM168" s="10">
        <f>IF(OR(Исходн.данные.!$AH168=$BP$1,Исходн.данные.!$AH168=$BP$2),0,IF(BJ168&lt;0,0,IF(Исходн.данные.!I168&lt;4.5,BJ168*1.2,IF(Исходн.данные.!I168&gt;5.1,BJ168,BJ168*((5.1-Исходн.данные.!I168)*0.333+1)))))</f>
        <v>0</v>
      </c>
      <c r="BN168" s="10">
        <f>IF(OR(Исходн.данные.!$AH168=$BP$1,Исходн.данные.!$AH168=$BP$2),60-Исходн.данные.!AF168,IF(BK168&lt;0,0,IF(Исходн.данные.!I168&lt;4.5,BK168*1.2,IF(Исходн.данные.!I168&gt;5.1,BK168,BK168*((5.1-Исходн.данные.!I168)*0.333+1)))))</f>
        <v>0</v>
      </c>
      <c r="BO168" s="9">
        <f>IF(BL168&lt;0,0,BL168*Исходн.данные.!$AJ168/1000)</f>
        <v>0</v>
      </c>
      <c r="BP168" s="9">
        <f>IF(BM168&lt;0,0,BM168*Исходн.данные.!$AJ168/1000)</f>
        <v>0</v>
      </c>
      <c r="BQ168" s="9">
        <f>IF(BN168&lt;0,0,BN168*Исходн.данные.!$AJ168/1000)</f>
        <v>0</v>
      </c>
      <c r="BR168" s="9">
        <f t="shared" si="229"/>
        <v>0</v>
      </c>
      <c r="BS168" s="10" t="str">
        <f t="shared" si="230"/>
        <v>Аммофос 12:52:00</v>
      </c>
      <c r="BT168" s="10" t="str">
        <f t="shared" si="231"/>
        <v>Аммофос 12:52:00</v>
      </c>
      <c r="BU168" s="10" t="str">
        <f t="shared" si="232"/>
        <v>Диаммофоска</v>
      </c>
      <c r="BV168" s="10">
        <f t="shared" si="233"/>
        <v>0</v>
      </c>
      <c r="BW168" s="10"/>
      <c r="BX168" s="10"/>
      <c r="BY168" s="9">
        <f>IF(BL168&lt;0,0,IF(OR(Исходн.данные.!AI168=Расчет!$BU$6,Исходн.данные.!AI168=Расчет!$BU$7),Расчет!BV168,IF(Исходн.данные.!$AG168=$BV$11,BL168,IF(OR(Исходн.данные.!$AH168=$BQ$7,Исходн.данные.!$AH168=$BQ$8),CB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0,IF(Исходн.данные.!$AI168=$BU$11,"Нет",IF(BL168&gt;30,30,BL168)))))))</f>
        <v>0</v>
      </c>
      <c r="BZ168" s="9">
        <f>IF(AND(Исходн.данные.!$AG168=$BV$11,BM168&lt;10),10,IF(Исходн.данные.!$AG168=$BV$11,BM168,IF(OR(Исходн.данные.!$AH168=$BQ$7,Исходн.данные.!$AH168=$BQ$8),CC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10,IF(Исходн.данные.!$AI168=$BU$11,"Нет",IF(BM168&gt;60,60,IF(BM168&lt;10,10,BM168)))))))</f>
        <v>10</v>
      </c>
      <c r="CA168" s="39">
        <f>IF(BN168&lt;0,0,IF(Исходн.данные.!$AG168=$BV$11,BN168,IF(OR(Исходн.данные.!$AH168=$BQ$7,Исходн.данные.!$AH168=$BQ$8),CD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0,IF(Исходн.данные.!$AI168=$BU$11,"Нет",IF(BN168&gt;30,30,BN168))))))</f>
        <v>0</v>
      </c>
      <c r="CB168" s="9">
        <f t="shared" si="234"/>
        <v>0</v>
      </c>
      <c r="CC168" s="9">
        <f t="shared" si="235"/>
        <v>0</v>
      </c>
      <c r="CD168" s="9">
        <f t="shared" si="236"/>
        <v>0</v>
      </c>
      <c r="CE168" s="12">
        <f t="shared" si="237"/>
        <v>10</v>
      </c>
      <c r="CF168" s="9">
        <f t="shared" si="238"/>
        <v>0</v>
      </c>
      <c r="CG168" s="9" t="s">
        <v>231</v>
      </c>
      <c r="CH168" s="132" t="str">
        <f>IF(Исходн.данные.!AP168=Расчет!$CI$16,"Нет",IF(Исходн.данные.!AL168&gt;0,Исходн.данные.!AL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BH$4,IF(OR(Исходн.данные.!AI168=Исходн.данные.!$AI$6,Исходн.данные.!AI168=Исходн.данные.!$AI$7),Расчет!BS168,IF(AND($CF168=0,$CE168&gt;0),EV168,ER168)))))</f>
        <v>Аммофос 12:52:00</v>
      </c>
      <c r="CI168" s="274">
        <f>IF(Расчет!$CH168="Нет","Нет",IF(Исходн.данные.!$AL168&gt;0,VLOOKUP(Расчет!$CH168,АшламаДВ_Irekle,2,FALSE),VLOOKUP(Расчет!$CH168,АшламаДВ_Gomumy,2,FALSE)))</f>
        <v>0.12</v>
      </c>
      <c r="CJ168" s="274">
        <f>IF(Расчет!$CH168="Нет","Нет",IF(Исходн.данные.!$AL168&gt;0,VLOOKUP(Расчет!$CH168,АшламаДВ_Irekle,3,FALSE),VLOOKUP(Расчет!$CH168,АшламаДВ_Gomumy,3,FALSE)))</f>
        <v>0.52</v>
      </c>
      <c r="CK168" s="274">
        <f>IF(Расчет!$CH168="Нет","Нет",IF(Исходн.данные.!$AL168&gt;0,VLOOKUP(Расчет!$CH168,АшламаДВ_Irekle,4,FALSE),VLOOKUP(Расчет!$CH168,АшламаДВ_Gomumy,4,FALSE)))</f>
        <v>0</v>
      </c>
      <c r="CL168" s="70"/>
      <c r="CM168" s="70"/>
      <c r="CN168" s="70"/>
      <c r="CO168" s="70"/>
      <c r="CP168" s="70"/>
      <c r="CQ168" s="70"/>
      <c r="CR168" s="10">
        <f t="shared" si="239"/>
        <v>0</v>
      </c>
      <c r="CS168" s="10">
        <f t="shared" si="240"/>
        <v>19.23076923076923</v>
      </c>
      <c r="CT168" s="10">
        <f t="shared" si="241"/>
        <v>0</v>
      </c>
      <c r="CU168" s="39">
        <f>IF($CH168="Нет",0,IF(CI168=0,30/MIN(CJ168:CK168),IF(Исходн.данные.!$AG168=$BV$11,CR168,IF(OR(Исходн.данные.!$AH168=$BQ$7,Исходн.данные.!$AH168=$BQ$8),90/CI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0,IF(Исходн.данные.!$AI168=$BU$11,"Нет",30/CI168))))))</f>
        <v>250</v>
      </c>
      <c r="CV168" s="39">
        <f>IF($CH168="Нет",0,IF(Исходн.данные.!AH168=0,0,IF(CJ168=0,60/MIN(CI168,CK168),IF(Исходн.данные.!$AG168=$BV$11,CS168,IF(OR(Исходн.данные.!$AH168=$BQ$7,Исходн.данные.!$AH168=$BQ$8),90/CJ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10/CJ168,IF(Исходн.данные.!$AI168=$BU$11,"Нет",60/CJ168)))))))</f>
        <v>0</v>
      </c>
      <c r="CW168" s="39">
        <f>IF($CH168="Нет",0,IF(Исходн.данные.!AH168=0,0,IF(CK168=0,30/MIN(CI168:CJ168),IF(Исходн.данные.!$AG168=$BV$11,CT168,IF(OR(Исходн.данные.!$AH168=$BQ$7,Исходн.данные.!$AH168=$BQ$8),90/CK168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0,IF(Исходн.данные.!$AI168=$BU$11,"Нет",30/CK168)))))))</f>
        <v>0</v>
      </c>
      <c r="CX168" s="133">
        <f>IF(Исходн.данные.!$AG168=$BV$11,MAX(CU168:CW168),IF(OR(Исходн.данные.!$AH168=$BS$8,Исходн.данные.!$AH168=$BQ$9,Исходн.данные.!$AH168=$BQ$10,Исходн.данные.!$AH168=$BQ$11,Исходн.данные.!$AH168=$BQ$12,Исходн.данные.!$AH168=$BP$3,Исходн.данные.!$AH168=$BT$8,$FM168="Да"),CV168,MIN(CU168:CW168)))</f>
        <v>0</v>
      </c>
      <c r="CY168" s="133">
        <f>IF(Исходн.данные.!AH168=0,0,IF(CR168&gt;$CX168,$CX168,CR168))</f>
        <v>0</v>
      </c>
      <c r="CZ168" s="133">
        <f>IF(Исходн.данные.!AH168=0,0,IF(CS168&gt;$CX168,$CX168,CS168))</f>
        <v>0</v>
      </c>
      <c r="DA168" s="133">
        <f>IF(Исходн.данные.!AH168=0,0,IF(CT168&gt;$CX168,$CX168,CT168))</f>
        <v>0</v>
      </c>
      <c r="DB168" s="10">
        <f t="shared" si="242"/>
        <v>0</v>
      </c>
      <c r="DC168" s="39">
        <f>DB168*Исходн.данные.!AJ168/1000</f>
        <v>0</v>
      </c>
      <c r="DD168" s="71">
        <f t="shared" si="243"/>
        <v>0</v>
      </c>
      <c r="DE168" s="9">
        <f t="shared" si="244"/>
        <v>0</v>
      </c>
      <c r="DF168" s="9">
        <f t="shared" si="245"/>
        <v>0</v>
      </c>
      <c r="DG168" s="39">
        <f>IF(BL168&lt;0,0,IF($CH168="Нет",BL168,IF(OR(Исходн.данные.!$AH168=$BP$1,Исходн.данные.!$AH168=$BP$2),0,IF(Исходн.данные.!AI168=$BU$11,BL168,IF(BL168-DD168&lt;0,0,BL168-DD168)))))</f>
        <v>0</v>
      </c>
      <c r="DH168" s="39">
        <f>IF(BM168&lt;0,0,IF($CH168="Нет",BM168,IF(OR(Исходн.данные.!$AH168=$BP$1,Исходн.данные.!$AH168=$BP$2),0,IF(Исходн.данные.!AJ168=$BU$11,BM168,IF(BM168-DE168&lt;0,0,BM168-DE168)))))</f>
        <v>0</v>
      </c>
      <c r="DI168" s="39">
        <f>IF(BN168&lt;0,0,IF($CH168="Нет",BN168,IF(OR(Исходн.данные.!$AH168=$BP$1,Исходн.данные.!$AH168=$BP$2),0,IF(Исходн.данные.!AK168=$BU$11,BN168,IF(BN168-DF168&lt;0,0,BN168-DF168)))))</f>
        <v>0</v>
      </c>
      <c r="DJ168" s="12">
        <f t="shared" si="246"/>
        <v>0</v>
      </c>
      <c r="DK168" s="9">
        <f t="shared" si="247"/>
        <v>0</v>
      </c>
      <c r="DL168" s="39">
        <f>IF(Исходн.данные.!AM168&gt;0,Исходн.данные.!AM168,IF(EG168&gt;0,$BH$10,0))</f>
        <v>0</v>
      </c>
      <c r="DM168" s="186">
        <f>IF($DL168=0,0,IF(Исходн.данные.!AM168&gt;0,VLOOKUP($DL168,АшламаДВ_Irekle,2,FALSE),VLOOKUP($DL168,АшламаДВ_Gomumy,2,FALSE)))</f>
        <v>0</v>
      </c>
      <c r="DN168" s="10">
        <f t="shared" si="225"/>
        <v>0</v>
      </c>
      <c r="DO168" s="9" t="str">
        <f>IF(Исходн.данные.!AN168&gt;0,Исходн.данные.!AN168,Удобрения!$B$37 )</f>
        <v>Хлор.калий</v>
      </c>
      <c r="DP168" s="9">
        <f>IF(Исходн.данные.!AN168&gt;0,VLOOKUP(Исходн.данные.!AN168,АшламаДВ_Irekle,4,FALSE),VLOOKUP(DO168,АшламаДВ_Gomumy,4,FALSE))</f>
        <v>0.6</v>
      </c>
      <c r="DQ168" s="10">
        <f t="shared" si="226"/>
        <v>0</v>
      </c>
      <c r="DR168" s="132" t="str">
        <f>IF(Исходн.данные.!AO168&gt;0,Исходн.данные.!AO168,IF(DH168=0,BS$17,IF(AND($DK168=0,$DJ168&gt;0),EJ168,EN168)))</f>
        <v>Нет</v>
      </c>
      <c r="DS168" s="70" t="str">
        <f>IF($DR168="Нет","Нет",IF(Исходн.данные.!$AO168&gt;0,VLOOKUP($DR168,АшламаДВ_Irekle,2,FALSE),VLOOKUP($DR168,АшламаДВ_Gomumy,2,FALSE)))</f>
        <v>Нет</v>
      </c>
      <c r="DT168" s="70" t="str">
        <f>IF($DR168="Нет","Нет",IF(Исходн.данные.!$AO168&gt;0,VLOOKUP($DR168,АшламаДВ_Irekle,3,FALSE),VLOOKUP($DR168,АшламаДВ_Gomumy,3,FALSE)))</f>
        <v>Нет</v>
      </c>
      <c r="DU168" s="70" t="str">
        <f>IF($DR168="Нет","Нет",IF(Исходн.данные.!$AO168&gt;0,VLOOKUP($DR168,АшламаДВ_Irekle,4,FALSE),VLOOKUP($DR168,АшламаДВ_Gomumy,4,FALSE)))</f>
        <v>Нет</v>
      </c>
      <c r="DV168" s="70"/>
      <c r="DW168" s="70"/>
      <c r="DX168" s="70"/>
      <c r="DY168" s="10">
        <f t="shared" si="248"/>
        <v>0</v>
      </c>
      <c r="DZ168" s="10">
        <f t="shared" si="249"/>
        <v>0</v>
      </c>
      <c r="EA168" s="10">
        <f t="shared" si="250"/>
        <v>0</v>
      </c>
      <c r="EB168" s="10">
        <f t="shared" si="251"/>
        <v>0</v>
      </c>
      <c r="EC168" s="10">
        <f t="shared" si="252"/>
        <v>0</v>
      </c>
      <c r="ED168" s="10">
        <f t="shared" si="253"/>
        <v>0</v>
      </c>
      <c r="EE168" s="10">
        <f t="shared" si="254"/>
        <v>0</v>
      </c>
      <c r="EF168" s="39">
        <f>EB168*Исходн.данные.!AJ168/1000</f>
        <v>0</v>
      </c>
      <c r="EG168" s="9">
        <f t="shared" si="255"/>
        <v>0</v>
      </c>
      <c r="EH168" s="9">
        <f t="shared" si="256"/>
        <v>0</v>
      </c>
      <c r="EI168" s="39" t="e">
        <f t="shared" si="206"/>
        <v>#DIV/0!</v>
      </c>
      <c r="EJ168" s="9" t="str">
        <f t="shared" si="227"/>
        <v>Азопреципитат</v>
      </c>
      <c r="EK168" s="12">
        <f t="shared" si="207"/>
        <v>0.26</v>
      </c>
      <c r="EL168" s="12">
        <f t="shared" si="208"/>
        <v>0.13</v>
      </c>
      <c r="EM168" s="12">
        <f t="shared" si="209"/>
        <v>0</v>
      </c>
      <c r="EN168" s="12" t="str">
        <f t="shared" si="228"/>
        <v>Нет</v>
      </c>
      <c r="EO168" s="12">
        <f t="shared" si="210"/>
        <v>0</v>
      </c>
      <c r="EP168" s="12">
        <f t="shared" si="211"/>
        <v>0</v>
      </c>
      <c r="EQ168" s="12">
        <f t="shared" si="212"/>
        <v>0</v>
      </c>
      <c r="ER168" s="12" t="str">
        <f t="shared" si="257"/>
        <v>Диаммофоска</v>
      </c>
      <c r="ES168" s="12">
        <f t="shared" si="213"/>
        <v>0.1</v>
      </c>
      <c r="ET168" s="12">
        <f t="shared" si="214"/>
        <v>0.26</v>
      </c>
      <c r="EU168" s="12">
        <f t="shared" si="215"/>
        <v>0.26</v>
      </c>
      <c r="EV168" s="12" t="str">
        <f t="shared" si="258"/>
        <v>Аммофос 12:52:00</v>
      </c>
      <c r="EW168" s="12" t="str">
        <f t="shared" si="259"/>
        <v>Кемира Свекловичное-6</v>
      </c>
      <c r="EX168" s="12">
        <f t="shared" si="216"/>
        <v>0.16</v>
      </c>
      <c r="EY168" s="12">
        <f t="shared" si="217"/>
        <v>0.12</v>
      </c>
      <c r="EZ168" s="12">
        <f t="shared" si="218"/>
        <v>0.17</v>
      </c>
      <c r="FA168" s="38" t="e">
        <f>IF(AND(OR(FJ168=$FD$1,FM168=$FD$1,FO168=$FD$1,FQ168=$FD$1,FS168=$FD$1),FD168=$FD$1,Исходн.данные.!J168&lt;2,FU168=$FD$1),"Бор,Кобальт",IF(AND(FO168=$FD$1,FH168=$FD$1,Исходн.данные.!J168&lt;2,FU168=$FD$1),"Бор,Кобальт",IF(AND(OR(FJ168=$FD$1,FM168=$FD$1,FQ168=$FD$1),FE168=$FD$1,Исходн.данные.!J168&lt;2,FT168=$FD$1,FU168=$FD$1),"Бор,Медь,Цинк",IF(AND(OR(FJ168=$FD$1,FR168="Да"),FI168="Да",Исходн.данные.!J168&lt;2,FT168="Да",FU168="Да"),"Бор,Цинк,Медь",IF(AND(OR(FM168="Да",FQ168="Да"),FI168="Да",Исходн.данные.!J168&lt;2,FT168="Да",FU168="Да"),"Бор,Цинк",IF(AND(FN168="Да",OR(FD168="Да",FE168="Да")),"Бор",FB168))))))</f>
        <v>#N/A</v>
      </c>
      <c r="FB168" s="134" t="e">
        <f>IF(AND(OR(FD168="Да",FE168="Да",FF168="Да",FG168="Да",FH168="Да"),FO168="Да"),"Бор",IF(AND(FP168="Да",OR(FD168="Да",FE168="Да",FI168="Да")),"Бор",IF(AND(FS168="Да",FE168="Да"),"Бор,Медь",IF(AND(OR(FJ168="Да",FK168="Да",FL168="Да"),FE168="Да",Исходн.данные.!I168&lt;5,FT168="Да",FU168="Да"),"Молибден,Цинк",IF(AND(FM168="Да",OR(FE168="Да",FF168="Да",FG168="Да",FH168="Да",FI168="Да")),"Молибден,Цинк",IF(AND(OR(FJ168="Да",FK168="Да",FL168="Да",FM168="Да",FQ168="Да"),OR(FE168="Да",FF168="Да"),FT168="Да",FU168="Да",Исходн.данные.!I168&gt;5.5),"Медь,Цинк",FC168))))))</f>
        <v>#N/A</v>
      </c>
      <c r="FC168" s="23" t="e">
        <f t="shared" si="260"/>
        <v>#N/A</v>
      </c>
      <c r="FD168" s="38" t="str">
        <f>IF(OR(Исходн.данные.!F168=$CC$1,Исходн.данные.!F168=$CC$2,Исходн.данные.!F168=$CC$3,Исходн.данные.!F168=$CC$4),"Да","Нет")</f>
        <v>Нет</v>
      </c>
      <c r="FE168" s="38" t="str">
        <f>IF(Исходн.данные.!F168=$CC$5,"Да","Нет")</f>
        <v>Нет</v>
      </c>
      <c r="FF168" s="38" t="str">
        <f>IF(OR(Исходн.данные.!F168=$CC$6,Исходн.данные.!F168=$CC$7),"Да","Нет")</f>
        <v>Нет</v>
      </c>
      <c r="FG168" s="38" t="str">
        <f>IF(OR(Исходн.данные.!F168=$CC$8,Исходн.данные.!F168=$CC$9),"Да","Нет")</f>
        <v>Нет</v>
      </c>
      <c r="FH168" s="38" t="str">
        <f>IF(Исходн.данные.!F168=$CC$10,"Да","Нет")</f>
        <v>Нет</v>
      </c>
      <c r="FI168" s="38" t="str">
        <f>IF(OR(Исходн.данные.!F168=$CC$11,Исходн.данные.!F168=$CC$12),"Да","Нет")</f>
        <v>Нет</v>
      </c>
      <c r="FJ168" s="38" t="str">
        <f>IF(OR(Исходн.данные.!AH168=$BS$1,Исходн.данные.!AH168=$BQ$11,Исходн.данные.!AH168=$BQ$12),"Да","Нет")</f>
        <v>Нет</v>
      </c>
      <c r="FK168" s="38" t="str">
        <f>IF(OR(Исходн.данные.!AH168=$BS$2,Исходн.данные.!AH168=$BS$4),"Да","Нет")</f>
        <v>Нет</v>
      </c>
      <c r="FL168" s="38" t="str">
        <f>IF(OR(Исходн.данные.!AH168=$BS$3,Исходн.данные.!AH168=$BS$5),"Да","Нет")</f>
        <v>Нет</v>
      </c>
      <c r="FM168" s="38" t="str">
        <f>IF(OR(Исходн.данные.!AH168=$BS$9,Исходн.данные.!AH168=$BS$10,Исходн.данные.!AH168=$BS$11,Исходн.данные.!AH168=$BS$12),"Да","Нет")</f>
        <v>Нет</v>
      </c>
      <c r="FN168" s="38" t="str">
        <f>IF(OR(Исходн.данные.!AH168=$BS$6,Исходн.данные.!AH168=$BP$3),"Да","Нет")</f>
        <v>Нет</v>
      </c>
      <c r="FO168" s="38" t="str">
        <f>IF(Исходн.данные.!AH168=$BQ$9,"Да","Нет")</f>
        <v>Нет</v>
      </c>
      <c r="FP168" s="38" t="str">
        <f>IF(OR(Исходн.данные.!AH168=$BS$8,Исходн.данные.!AH168=$BT$8),"Да","Нет")</f>
        <v>Нет</v>
      </c>
      <c r="FQ168" s="38" t="str">
        <f>IF(OR(Исходн.данные.!AH168=$BQ$7,Исходн.данные.!AH168=$BQ$8),"Да","Нет")</f>
        <v>Нет</v>
      </c>
      <c r="FR168" s="38" t="str">
        <f>IF(Исходн.данные.!AI168=$BU$9,"Да","Нет")</f>
        <v>Нет</v>
      </c>
      <c r="FS168" s="38" t="str">
        <f>IF(OR(Исходн.данные.!AH168=$BP$1,Исходн.данные.!AH168=$BP$2),"Да","Нет")</f>
        <v>Нет</v>
      </c>
      <c r="FT168" s="38" t="e">
        <f>IF((Исходн.данные.!K168*GO168*GS168*GW168+BL168*0.6+Исходн.данные.!Q168*4.5*0.275)&gt;90,"Да","Нет")</f>
        <v>#N/A</v>
      </c>
      <c r="FU168" s="38" t="e">
        <f>IF((Исходн.данные.!M168*GS168*GZ168+BM168*0.225)&gt;35,"Да","Нет")</f>
        <v>#N/A</v>
      </c>
      <c r="FV168" s="38" t="str">
        <f>IF(Исходн.данные.!O168&gt;175,"Да","Нет")</f>
        <v>Нет</v>
      </c>
      <c r="FW168" s="39" t="str">
        <f>IF(Исходн.данные.!I168&gt;5.5,"Да","Нет")</f>
        <v>Нет</v>
      </c>
      <c r="FX168" s="39" t="str">
        <f>IF(Исходн.данные.!J168&lt;2,"Да","Нет")</f>
        <v>Да</v>
      </c>
      <c r="FY168" s="39" t="e">
        <f>IF(HF168=$FY$16,0,Исходн.данные.!K168*GO168*GS168*GW168/HF168)</f>
        <v>#N/A</v>
      </c>
      <c r="FZ168" s="39" t="e">
        <f>Исходн.данные.!M168*GS168*GZ168/HG168</f>
        <v>#N/A</v>
      </c>
      <c r="GA168" s="39" t="e">
        <f>IF(K_Wyn=$FY$16,0,IF(Исходн.данные.!N168=Исходн.данные.!$L$10,Исходн.данные.!O168/1.1*GS168*HC168/HH168,IF(Исходн.данные.!N168=Исходн.данные.!$L$12,Исходн.данные.!O168/1.5*GS168*HC168/HH168,Исходн.данные.!O168*GS168*HC168/HH168)))</f>
        <v>#N/A</v>
      </c>
      <c r="GB168" s="39" t="e">
        <f>IF(HF168=$FY$16,0,((Исходн.данные.!Q168*N_Org+Исходн.данные.!R168*N_Sider+Исходн.данные.!S168*N_Soloma)*AO168+Расчет!BC168*VLOOKUP(Исходн.данные.!T168,Справ!$A$3:$O$57,15)*AO168+BB168*VLOOKUP(Исходн.данные.!T168,Справ!$A$3:$O$57,15)*AL168+(Исходн.данные.!V168*N_Rizotorf+Исходн.данные.!W168*N_Rizoagr))/HF168)</f>
        <v>#N/A</v>
      </c>
      <c r="GC168" s="39" t="e">
        <f>IF(HG168=$FY$16,0,((Исходн.данные.!Q168*Р_Org+Исходн.данные.!R168*P_Sider+Исходн.данные.!S168*P_Soloma)*AP168+Расчет!BC168*VLOOKUP(Исходн.данные.!T168,Справ!$A$3:$P$57,16)*AP168+BB168*VLOOKUP(Исходн.данные.!T168,Справ!$A$3:$P$57,16)*AM168)/HG168)</f>
        <v>#N/A</v>
      </c>
      <c r="GD168" s="39" t="e">
        <f>IF(HH168=$FY$16,0,((Исходн.данные.!Q168*К_Org+Исходн.данные.!R168*K_Sider+Исходн.данные.!S168*K_Soloma)*AQ168+Расчет!BC168*VLOOKUP(Исходн.данные.!T168,Справ!$A$3:$Q$57,17)*AQ168+BB168*VLOOKUP(Исходн.данные.!T168,Справ!$A$3:$Q$57,17)*AN168)/HH168)</f>
        <v>#N/A</v>
      </c>
      <c r="GE168" s="39" t="e">
        <f>IF(HF168=$FY$16,0,(Исходн.данные.!X168*AR168+Исходн.данные.!AA168*N_Org*AL168+Исходн.данные.!AB168*N_Sider*AL168+Исходн.данные.!AC168*N_Soloma*AL168)/HF168)</f>
        <v>#N/A</v>
      </c>
      <c r="GF168" s="39" t="e">
        <f>IF(HG168=$FY$16,0,(Исходн.данные.!Y168*AS168+Исходн.данные.!AA168*Р_Org*AM168+Исходн.данные.!AB168*P_Sider*AM168+Исходн.данные.!AC168*P_Soloma*AM168)/HG168)</f>
        <v>#N/A</v>
      </c>
      <c r="GG168" s="39" t="e">
        <f>IF(HH168=$FY$16,0,(Исходн.данные.!Z168*AT168+Исходн.данные.!AA168*К_Org*AN168+Исходн.данные.!AB168*K_Sider*AN168+Исходн.данные.!AC168*K_Soloma*AN168)/HH168)</f>
        <v>#N/A</v>
      </c>
      <c r="GH168" s="39" t="e">
        <f>Исходн.данные.!AD168*AU168/HF168</f>
        <v>#N/A</v>
      </c>
      <c r="GI168" s="39" t="e">
        <f>Исходн.данные.!AE168*AV168/HG168</f>
        <v>#N/A</v>
      </c>
      <c r="GJ168" s="39" t="e">
        <f>Исходн.данные.!AF168*AW168/HH168</f>
        <v>#N/A</v>
      </c>
      <c r="GK168" s="55">
        <f>Исходн.данные.!AK168</f>
        <v>0</v>
      </c>
      <c r="GL168" s="11" t="e">
        <f t="shared" si="261"/>
        <v>#N/A</v>
      </c>
      <c r="GM168" s="11" t="e">
        <f t="shared" si="262"/>
        <v>#N/A</v>
      </c>
      <c r="GN168" s="11" t="e">
        <f t="shared" si="263"/>
        <v>#N/A</v>
      </c>
      <c r="GO168" s="57">
        <f t="shared" si="264"/>
        <v>19</v>
      </c>
      <c r="GP168" s="55">
        <f>IF(OR(Исходн.данные.!F168=$CE$1,Исходн.данные.!F168=$CE$2,Исходн.данные.!F168=$CE$3,Исходн.данные.!F168=$CE$4,Исходн.данные.!F168=$CE$5),GQ168,GR168)</f>
        <v>19</v>
      </c>
      <c r="GQ168" s="55">
        <f>IF(Исходн.данные.!F168=$CE$1,28,IF(Исходн.данные.!F168=$CE$2,26,IF(Исходн.данные.!F168=$CE$3,24,IF(Исходн.данные.!F168=$CE$4,22,IF(Исходн.данные.!F168=$CE$5,20,GR168)))))</f>
        <v>19</v>
      </c>
      <c r="GR168" s="55">
        <f>IF(Исходн.данные.!F168=$CE$6,18,IF(Исходн.данные.!F168=$CE$7,16,IF(Исходн.данные.!F168=$CE$8,14,IF(Исходн.данные.!F168=$CE$9,13,IF(Исходн.данные.!F168=$CE$10,12,19)))))</f>
        <v>19</v>
      </c>
      <c r="GS168" s="55">
        <f>IF(Исходн.данные.!G168="Пес",0.035*(40+2*Исходн.данные.!H168),IF(Исходн.данные.!G168="Суп",0.0325*(40+2*Исходн.данные.!H168),0.03*(40+2*Исходн.данные.!H168)))</f>
        <v>1.2</v>
      </c>
      <c r="GT168" s="55">
        <f>IF(Исходн.данные.!H168&lt;23,2.6,IF(AND(Исходн.данные.!H168&gt;22,Исходн.данные.!H168&lt;26),3,IF(AND(Исходн.данные.!H168&gt;25,Исходн.данные.!H168&lt;29),3.4,3.6)))</f>
        <v>2.6</v>
      </c>
      <c r="GU168" s="55">
        <f>IF(Исходн.данные.!H168&lt;23,2.8,IF(AND(Исходн.данные.!H168&gt;22,Исходн.данные.!H168&lt;26),3.2,IF(AND(Исходн.данные.!H168&gt;25,Исходн.данные.!H168&lt;29),3.6,3.9)))</f>
        <v>2.8</v>
      </c>
      <c r="GV168" s="55">
        <f>IF(Исходн.данные.!H168&lt;23,3,IF(AND(Исходн.данные.!H168&gt;22,Исходн.данные.!H168&lt;26),3.5,IF(AND(Исходн.данные.!H168&gt;25,Исходн.данные.!H168&lt;29),3.9,4.2)))</f>
        <v>3</v>
      </c>
      <c r="GW168" s="55" t="e">
        <f>IF(Исходн.данные.!P168="Ум",GX168,GY168)</f>
        <v>#N/A</v>
      </c>
      <c r="GX168" s="55" t="e">
        <f>VLOOKUP(Исходн.данные.!AI168,Коэффициенты!$J$7:$L$13,2,FALSE)</f>
        <v>#N/A</v>
      </c>
      <c r="GY168" s="55" t="e">
        <f>VLOOKUP(Исходн.данные.!AI168,Коэффициенты!$J$7:$L$13,3,FALSE)</f>
        <v>#N/A</v>
      </c>
      <c r="GZ168" s="55" t="e">
        <f>(IF(Исходн.данные.!M168&lt;50,0.11*VLOOKUP(Исходн.данные.!AH168,Культуры.Информация,7,FALSE),IF(Исходн.данные.!M168&gt;250,0.05*VLOOKUP(Исходн.данные.!AH168,Культуры.Информация,7,FALSE),VLOOKUP(Исходн.данные.!AH168,Культуры.Информация,5,FALSE)/100*($GX$6+$GY$6*Исходн.данные.!M168))))*Расчет2!AI168</f>
        <v>#N/A</v>
      </c>
      <c r="HA168" s="211"/>
      <c r="HB168" s="211"/>
      <c r="HC168" s="55" t="e">
        <f>(IF(Исходн.данные.!O168&lt;80,0.2*VLOOKUP(Исходн.данные.!AH168,Культуры.Информация,8,FALSE),IF(Исходн.данные.!O168&gt;240,0.09*VLOOKUP(Исходн.данные.!AH168,Культуры.Информация,8,FALSE),VLOOKUP(Исходн.данные.!AH168,Культуры.Информация,6,FALSE)/100*($HB$6+$HC$6*Исходн.данные.!O168))))*Расчет2!AJ168</f>
        <v>#N/A</v>
      </c>
      <c r="HD168" s="55">
        <f>IF(Исходн.данные.!O168&gt;240,0.09,IF(Исходн.данные.!O168&lt;30,0.3,$HE$10+$HD$10*Исходн.данные.!O168))</f>
        <v>0.3</v>
      </c>
      <c r="HE168" s="55">
        <f>IF(Исходн.данные.!O168&gt;240,0.17,IF(Исходн.данные.!O168&lt;30,0.5,$HF$12+$HE$12*Исходн.данные.!O168))</f>
        <v>0.5</v>
      </c>
      <c r="HF168" s="55" t="e">
        <f>VLOOKUP(Исходн.данные.!AH168,Справ!$A$3:$D$58,2,FALSE)</f>
        <v>#N/A</v>
      </c>
      <c r="HG168" s="55" t="e">
        <f>VLOOKUP(Исходн.данные.!AH168,Справ!$A$3:$D$58,3,FALSE)</f>
        <v>#N/A</v>
      </c>
      <c r="HH168" s="55" t="e">
        <f>VLOOKUP(Исходн.данные.!AH168,Справ!$A$3:$D$58,4,FALSE)</f>
        <v>#N/A</v>
      </c>
      <c r="HI168" s="11" t="e">
        <f t="shared" si="265"/>
        <v>#N/A</v>
      </c>
      <c r="HJ168" s="11" t="e">
        <f t="shared" si="266"/>
        <v>#N/A</v>
      </c>
      <c r="HK168" s="11" t="e">
        <f t="shared" si="267"/>
        <v>#N/A</v>
      </c>
      <c r="HL168" s="55">
        <f>IF(OR(Исходн.данные.!G168="Глин",Исходн.данные.!G168="Т_суг"),1.1,IF(Исходн.данные.!G168="Ср_суг",1,1))</f>
        <v>1</v>
      </c>
      <c r="HM168" s="55">
        <f>IF(OR(Исходн.данные.!G168="Глин",Исходн.данные.!G168="Т_суг"),0.9,IF(Исходн.данные.!G168="Ср_суг",1,1.2))</f>
        <v>1.2</v>
      </c>
      <c r="HN168" s="11" t="e">
        <f t="shared" si="268"/>
        <v>#N/A</v>
      </c>
      <c r="HO168" s="11" t="e">
        <f t="shared" si="269"/>
        <v>#N/A</v>
      </c>
      <c r="HP168" s="11" t="e">
        <f t="shared" si="270"/>
        <v>#N/A</v>
      </c>
      <c r="HQ168" t="e">
        <f t="shared" si="271"/>
        <v>#N/A</v>
      </c>
      <c r="HR168" t="e">
        <f t="shared" si="272"/>
        <v>#N/A</v>
      </c>
      <c r="HS168" t="e">
        <f t="shared" si="273"/>
        <v>#N/A</v>
      </c>
      <c r="HT168" t="e">
        <f t="shared" si="219"/>
        <v>#N/A</v>
      </c>
      <c r="HU168" t="e">
        <f t="shared" si="220"/>
        <v>#N/A</v>
      </c>
      <c r="HV168" t="e">
        <f t="shared" si="221"/>
        <v>#N/A</v>
      </c>
      <c r="HW168" t="e">
        <f t="shared" si="222"/>
        <v>#N/A</v>
      </c>
      <c r="HX168" t="e">
        <f t="shared" si="223"/>
        <v>#N/A</v>
      </c>
      <c r="HY168" t="e">
        <f t="shared" si="224"/>
        <v>#N/A</v>
      </c>
      <c r="HZ168" s="55">
        <f>IF(OR(Исходн.данные.!AI168="Оз_Ч_П",Исходн.данные.!AI168="Оз_З_П",Исходн.данные.!AI168="Яр_зер"),12,30)</f>
        <v>30</v>
      </c>
      <c r="IA168" t="e">
        <f t="shared" si="274"/>
        <v>#N/A</v>
      </c>
      <c r="IB168" t="e">
        <f t="shared" si="275"/>
        <v>#N/A</v>
      </c>
      <c r="IC168" t="e">
        <f t="shared" si="276"/>
        <v>#N/A</v>
      </c>
      <c r="ID168" s="11" t="e">
        <f t="shared" si="277"/>
        <v>#N/A</v>
      </c>
      <c r="IE168" s="11" t="e">
        <f t="shared" si="278"/>
        <v>#N/A</v>
      </c>
      <c r="IF168" s="11" t="e">
        <f t="shared" si="279"/>
        <v>#N/A</v>
      </c>
    </row>
    <row r="169" spans="35:240" x14ac:dyDescent="0.2">
      <c r="AI169">
        <f>IF(Исходн.данные.!I169&gt;6,1,1.85-(0.148*Исходн.данные.!I169))</f>
        <v>1.85</v>
      </c>
      <c r="AJ169">
        <f>IF(Исходн.данные.!I169&gt;6,1,2.434-(0.246*Исходн.данные.!I169))</f>
        <v>2.4340000000000002</v>
      </c>
      <c r="AL169" s="148" t="b">
        <f>IF(Исходн.данные.!$P169="Ум",N_OrgUd_2g_um,IF(Исходн.данные.!$P169="Об",N_OrgUd_2g_ob))</f>
        <v>0</v>
      </c>
      <c r="AM169" s="148" t="b">
        <f>IF(Исходн.данные.!$P169="Ум",P_OrgUd_2g_um,IF(Исходн.данные.!$P169="Об",P_OrgUd_2g_ob))</f>
        <v>0</v>
      </c>
      <c r="AN169" s="148" t="b">
        <f>IF(Исходн.данные.!$P169="Ум",K_OrgUd_2g_um,IF(Исходн.данные.!$P169="Об",K_OrgUd_2g_ob))</f>
        <v>0</v>
      </c>
      <c r="AO169" s="148" t="b">
        <f>IF(Исходн.данные.!$P169="Ум",N_OrgUd_1g_um,IF(Исходн.данные.!$P169="Об",N_OrgUd_1g_ob))</f>
        <v>0</v>
      </c>
      <c r="AP169" s="148" t="b">
        <f>IF(Исходн.данные.!$P169="Ум",P_OrgUd_1g_um,IF(Исходн.данные.!$P169="Об",P_OrgUd_1g_ob))</f>
        <v>0</v>
      </c>
      <c r="AQ169" s="148" t="b">
        <f>IF(Исходн.данные.!$P169="Ум",K_OrgUd_1g_um,IF(Исходн.данные.!$P169="Об",K_OrgUd_1g_ob))</f>
        <v>0</v>
      </c>
      <c r="AR169" t="b">
        <f>IF(Исходн.данные.!$P169="Ум",N_MinUd_2g_um,IF(Исходн.данные.!$P169="Об",N_MinUd_2g_ob))</f>
        <v>0</v>
      </c>
      <c r="AS169" t="b">
        <f>IF(Исходн.данные.!$P169="Ум",P_MinUd_2g_um,IF(Исходн.данные.!$P169="Об",P_MinUd_2g_ob))</f>
        <v>0</v>
      </c>
      <c r="AT169" t="b">
        <f>IF(Исходн.данные.!$P169="Ум",K_MinUd_2g_um,IF(Исходн.данные.!$P169="Об",K_MinUd_2g_ob))</f>
        <v>0</v>
      </c>
      <c r="AU169" t="b">
        <f>IF(Исходн.данные.!$P169="Ум",N_MinUd_1g_um,IF(Исходн.данные.!$P169="Об",N_MinUd_1g_ob))</f>
        <v>0</v>
      </c>
      <c r="AV169" t="b">
        <f>IF(Исходн.данные.!P169="Ум",P_MinUd_1g_um,IF(Исходн.данные.!P169="Об",P_MinUd_1g_ob))</f>
        <v>0</v>
      </c>
      <c r="AW169" t="b">
        <f>IF(Исходн.данные.!P169="Ум",K_MinUd_1g_um,IF(Исходн.данные.!P169="Об",K_MinUd_1g_ob))</f>
        <v>0</v>
      </c>
      <c r="AY169" t="e">
        <f>VLOOKUP(Исходн.данные.!T169,Справ!$A$3:$N$57,12)</f>
        <v>#N/A</v>
      </c>
      <c r="AZ169" t="e">
        <f>VLOOKUP(Исходн.данные.!T169,Справ!$A$3:$N$57,13)</f>
        <v>#N/A</v>
      </c>
      <c r="BA169" t="e">
        <f>VLOOKUP(Исходн.данные.!T169,Справ!$A$3:$N$57,14)</f>
        <v>#N/A</v>
      </c>
      <c r="BB169">
        <f>IF(Исходн.данные.!AH169=0,0,25)</f>
        <v>0</v>
      </c>
      <c r="BC169" s="141">
        <f>IF(Исходн.данные.!AH169=0,0,IF(Исходн.данные.!T169=0,25,BD169))</f>
        <v>0</v>
      </c>
      <c r="BD169" s="168" t="e">
        <f>AY169+AZ169*Исходн.данные.!U169-POWER(BA169,2)*Исходн.данные.!U169</f>
        <v>#N/A</v>
      </c>
      <c r="BE16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69" s="25">
        <f>IF(Исходн.данные.!AH169=0,0,MIN(HN169:HP169))</f>
        <v>0</v>
      </c>
      <c r="BG169" s="9">
        <f>IF(Исходн.данные.!AH169=0,0,IF((HO169+10*0.25/HG169/HL169)&lt;17,17,HO169+10*0.25/HG169/HL169))</f>
        <v>0</v>
      </c>
      <c r="BH169" s="181">
        <f>IF(Исходн.данные.!AH169=0,0,HW169*HF169*HL169/AU169*AI169+Исходн.данные.!S169*10)</f>
        <v>0</v>
      </c>
      <c r="BI169" s="10"/>
      <c r="BJ169" s="182">
        <f>IF(Исходн.данные.!AH169=0,0,IF(HX169*HG169*HL169/AV169&lt;0,0,HX169*HG169*HL169/AV169*AJ169))</f>
        <v>0</v>
      </c>
      <c r="BK169" s="182">
        <f>IF(Исходн.данные.!AH169=0,0,HY169*HH169*HM169/AW169)</f>
        <v>0</v>
      </c>
      <c r="BL169" s="10">
        <f>IF(OR(Исходн.данные.!$AH169=$BP$1,Исходн.данные.!$AH169=$BP$2),0,IF(BH169&lt;0,0,IF(OR(Исходн.данные.!T169=Расчет!$BP$1,Исходн.данные.!T169=Расчет!$BP$2,Исходн.данные.!T169=Расчет!$BT$5,Исходн.данные.!T169=Расчет!$BT$6),BH169*0.5,IF(OR(Исходн.данные.!T169=Расчет!$BS$9,Исходн.данные.!T169=Расчет!$BS$10,Исходн.данные.!T169=Расчет!$BS$11,Исходн.данные.!T169=Расчет!$BS$12,Исходн.данные.!T169=Расчет!$BP$5),BH169*0.8,BH169))))</f>
        <v>0</v>
      </c>
      <c r="BM169" s="10">
        <f>IF(OR(Исходн.данные.!$AH169=$BP$1,Исходн.данные.!$AH169=$BP$2),0,IF(BJ169&lt;0,0,IF(Исходн.данные.!I169&lt;4.5,BJ169*1.2,IF(Исходн.данные.!I169&gt;5.1,BJ169,BJ169*((5.1-Исходн.данные.!I169)*0.333+1)))))</f>
        <v>0</v>
      </c>
      <c r="BN169" s="10">
        <f>IF(OR(Исходн.данные.!$AH169=$BP$1,Исходн.данные.!$AH169=$BP$2),60-Исходн.данные.!AF169,IF(BK169&lt;0,0,IF(Исходн.данные.!I169&lt;4.5,BK169*1.2,IF(Исходн.данные.!I169&gt;5.1,BK169,BK169*((5.1-Исходн.данные.!I169)*0.333+1)))))</f>
        <v>0</v>
      </c>
      <c r="BO169" s="9">
        <f>IF(BL169&lt;0,0,BL169*Исходн.данные.!$AJ169/1000)</f>
        <v>0</v>
      </c>
      <c r="BP169" s="9">
        <f>IF(BM169&lt;0,0,BM169*Исходн.данные.!$AJ169/1000)</f>
        <v>0</v>
      </c>
      <c r="BQ169" s="9">
        <f>IF(BN169&lt;0,0,BN169*Исходн.данные.!$AJ169/1000)</f>
        <v>0</v>
      </c>
      <c r="BR169" s="9">
        <f t="shared" si="229"/>
        <v>0</v>
      </c>
      <c r="BS169" s="10" t="str">
        <f t="shared" si="230"/>
        <v>Аммофос 12:52:00</v>
      </c>
      <c r="BT169" s="10" t="str">
        <f t="shared" si="231"/>
        <v>Аммофос 12:52:00</v>
      </c>
      <c r="BU169" s="10" t="str">
        <f t="shared" si="232"/>
        <v>Диаммофоска</v>
      </c>
      <c r="BV169" s="10">
        <f t="shared" si="233"/>
        <v>0</v>
      </c>
      <c r="BW169" s="10"/>
      <c r="BX169" s="10"/>
      <c r="BY169" s="9">
        <f>IF(BL169&lt;0,0,IF(OR(Исходн.данные.!AI169=Расчет!$BU$6,Исходн.данные.!AI169=Расчет!$BU$7),Расчет!BV169,IF(Исходн.данные.!$AG169=$BV$11,BL169,IF(OR(Исходн.данные.!$AH169=$BQ$7,Исходн.данные.!$AH169=$BQ$8),CB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0,IF(Исходн.данные.!$AI169=$BU$11,"Нет",IF(BL169&gt;30,30,BL169)))))))</f>
        <v>0</v>
      </c>
      <c r="BZ169" s="9">
        <f>IF(AND(Исходн.данные.!$AG169=$BV$11,BM169&lt;10),10,IF(Исходн.данные.!$AG169=$BV$11,BM169,IF(OR(Исходн.данные.!$AH169=$BQ$7,Исходн.данные.!$AH169=$BQ$8),CC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10,IF(Исходн.данные.!$AI169=$BU$11,"Нет",IF(BM169&gt;60,60,IF(BM169&lt;10,10,BM169)))))))</f>
        <v>10</v>
      </c>
      <c r="CA169" s="39">
        <f>IF(BN169&lt;0,0,IF(Исходн.данные.!$AG169=$BV$11,BN169,IF(OR(Исходн.данные.!$AH169=$BQ$7,Исходн.данные.!$AH169=$BQ$8),CD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0,IF(Исходн.данные.!$AI169=$BU$11,"Нет",IF(BN169&gt;30,30,BN169))))))</f>
        <v>0</v>
      </c>
      <c r="CB169" s="9">
        <f t="shared" si="234"/>
        <v>0</v>
      </c>
      <c r="CC169" s="9">
        <f t="shared" si="235"/>
        <v>0</v>
      </c>
      <c r="CD169" s="9">
        <f t="shared" si="236"/>
        <v>0</v>
      </c>
      <c r="CE169" s="12">
        <f t="shared" si="237"/>
        <v>10</v>
      </c>
      <c r="CF169" s="9">
        <f t="shared" si="238"/>
        <v>0</v>
      </c>
      <c r="CG169" s="9" t="s">
        <v>231</v>
      </c>
      <c r="CH169" s="132" t="str">
        <f>IF(Исходн.данные.!AP169=Расчет!$CI$16,"Нет",IF(Исходн.данные.!AL169&gt;0,Исходн.данные.!AL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BH$4,IF(OR(Исходн.данные.!AI169=Исходн.данные.!$AI$6,Исходн.данные.!AI169=Исходн.данные.!$AI$7),Расчет!BS169,IF(AND($CF169=0,$CE169&gt;0),EV169,ER169)))))</f>
        <v>Аммофос 12:52:00</v>
      </c>
      <c r="CI169" s="274">
        <f>IF(Расчет!$CH169="Нет","Нет",IF(Исходн.данные.!$AL169&gt;0,VLOOKUP(Расчет!$CH169,АшламаДВ_Irekle,2,FALSE),VLOOKUP(Расчет!$CH169,АшламаДВ_Gomumy,2,FALSE)))</f>
        <v>0.12</v>
      </c>
      <c r="CJ169" s="274">
        <f>IF(Расчет!$CH169="Нет","Нет",IF(Исходн.данные.!$AL169&gt;0,VLOOKUP(Расчет!$CH169,АшламаДВ_Irekle,3,FALSE),VLOOKUP(Расчет!$CH169,АшламаДВ_Gomumy,3,FALSE)))</f>
        <v>0.52</v>
      </c>
      <c r="CK169" s="274">
        <f>IF(Расчет!$CH169="Нет","Нет",IF(Исходн.данные.!$AL169&gt;0,VLOOKUP(Расчет!$CH169,АшламаДВ_Irekle,4,FALSE),VLOOKUP(Расчет!$CH169,АшламаДВ_Gomumy,4,FALSE)))</f>
        <v>0</v>
      </c>
      <c r="CL169" s="70"/>
      <c r="CM169" s="70"/>
      <c r="CN169" s="70"/>
      <c r="CO169" s="70"/>
      <c r="CP169" s="70"/>
      <c r="CQ169" s="70"/>
      <c r="CR169" s="10">
        <f t="shared" si="239"/>
        <v>0</v>
      </c>
      <c r="CS169" s="10">
        <f t="shared" si="240"/>
        <v>19.23076923076923</v>
      </c>
      <c r="CT169" s="10">
        <f t="shared" si="241"/>
        <v>0</v>
      </c>
      <c r="CU169" s="39">
        <f>IF($CH169="Нет",0,IF(CI169=0,30/MIN(CJ169:CK169),IF(Исходн.данные.!$AG169=$BV$11,CR169,IF(OR(Исходн.данные.!$AH169=$BQ$7,Исходн.данные.!$AH169=$BQ$8),90/CI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0,IF(Исходн.данные.!$AI169=$BU$11,"Нет",30/CI169))))))</f>
        <v>250</v>
      </c>
      <c r="CV169" s="39">
        <f>IF($CH169="Нет",0,IF(Исходн.данные.!AH169=0,0,IF(CJ169=0,60/MIN(CI169,CK169),IF(Исходн.данные.!$AG169=$BV$11,CS169,IF(OR(Исходн.данные.!$AH169=$BQ$7,Исходн.данные.!$AH169=$BQ$8),90/CJ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10/CJ169,IF(Исходн.данные.!$AI169=$BU$11,"Нет",60/CJ169)))))))</f>
        <v>0</v>
      </c>
      <c r="CW169" s="39">
        <f>IF($CH169="Нет",0,IF(Исходн.данные.!AH169=0,0,IF(CK169=0,30/MIN(CI169:CJ169),IF(Исходн.данные.!$AG169=$BV$11,CT169,IF(OR(Исходн.данные.!$AH169=$BQ$7,Исходн.данные.!$AH169=$BQ$8),90/CK169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0,IF(Исходн.данные.!$AI169=$BU$11,"Нет",30/CK169)))))))</f>
        <v>0</v>
      </c>
      <c r="CX169" s="133">
        <f>IF(Исходн.данные.!$AG169=$BV$11,MAX(CU169:CW169),IF(OR(Исходн.данные.!$AH169=$BS$8,Исходн.данные.!$AH169=$BQ$9,Исходн.данные.!$AH169=$BQ$10,Исходн.данные.!$AH169=$BQ$11,Исходн.данные.!$AH169=$BQ$12,Исходн.данные.!$AH169=$BP$3,Исходн.данные.!$AH169=$BT$8,$FM169="Да"),CV169,MIN(CU169:CW169)))</f>
        <v>0</v>
      </c>
      <c r="CY169" s="133">
        <f>IF(Исходн.данные.!AH169=0,0,IF(CR169&gt;$CX169,$CX169,CR169))</f>
        <v>0</v>
      </c>
      <c r="CZ169" s="133">
        <f>IF(Исходн.данные.!AH169=0,0,IF(CS169&gt;$CX169,$CX169,CS169))</f>
        <v>0</v>
      </c>
      <c r="DA169" s="133">
        <f>IF(Исходн.данные.!AH169=0,0,IF(CT169&gt;$CX169,$CX169,CT169))</f>
        <v>0</v>
      </c>
      <c r="DB169" s="10">
        <f t="shared" si="242"/>
        <v>0</v>
      </c>
      <c r="DC169" s="39">
        <f>DB169*Исходн.данные.!AJ169/1000</f>
        <v>0</v>
      </c>
      <c r="DD169" s="71">
        <f t="shared" si="243"/>
        <v>0</v>
      </c>
      <c r="DE169" s="9">
        <f t="shared" si="244"/>
        <v>0</v>
      </c>
      <c r="DF169" s="9">
        <f t="shared" si="245"/>
        <v>0</v>
      </c>
      <c r="DG169" s="39">
        <f>IF(BL169&lt;0,0,IF($CH169="Нет",BL169,IF(OR(Исходн.данные.!$AH169=$BP$1,Исходн.данные.!$AH169=$BP$2),0,IF(Исходн.данные.!AI169=$BU$11,BL169,IF(BL169-DD169&lt;0,0,BL169-DD169)))))</f>
        <v>0</v>
      </c>
      <c r="DH169" s="39">
        <f>IF(BM169&lt;0,0,IF($CH169="Нет",BM169,IF(OR(Исходн.данные.!$AH169=$BP$1,Исходн.данные.!$AH169=$BP$2),0,IF(Исходн.данные.!AJ169=$BU$11,BM169,IF(BM169-DE169&lt;0,0,BM169-DE169)))))</f>
        <v>0</v>
      </c>
      <c r="DI169" s="39">
        <f>IF(BN169&lt;0,0,IF($CH169="Нет",BN169,IF(OR(Исходн.данные.!$AH169=$BP$1,Исходн.данные.!$AH169=$BP$2),0,IF(Исходн.данные.!AK169=$BU$11,BN169,IF(BN169-DF169&lt;0,0,BN169-DF169)))))</f>
        <v>0</v>
      </c>
      <c r="DJ169" s="12">
        <f t="shared" si="246"/>
        <v>0</v>
      </c>
      <c r="DK169" s="9">
        <f t="shared" si="247"/>
        <v>0</v>
      </c>
      <c r="DL169" s="39">
        <f>IF(Исходн.данные.!AM169&gt;0,Исходн.данные.!AM169,IF(EG169&gt;0,$BH$10,0))</f>
        <v>0</v>
      </c>
      <c r="DM169" s="186">
        <f>IF($DL169=0,0,IF(Исходн.данные.!AM169&gt;0,VLOOKUP($DL169,АшламаДВ_Irekle,2,FALSE),VLOOKUP($DL169,АшламаДВ_Gomumy,2,FALSE)))</f>
        <v>0</v>
      </c>
      <c r="DN169" s="10">
        <f t="shared" si="225"/>
        <v>0</v>
      </c>
      <c r="DO169" s="9" t="str">
        <f>IF(Исходн.данные.!AN169&gt;0,Исходн.данные.!AN169,Удобрения!$B$37 )</f>
        <v>Хлор.калий</v>
      </c>
      <c r="DP169" s="9">
        <f>IF(Исходн.данные.!AN169&gt;0,VLOOKUP(Исходн.данные.!AN169,АшламаДВ_Irekle,4,FALSE),VLOOKUP(DO169,АшламаДВ_Gomumy,4,FALSE))</f>
        <v>0.6</v>
      </c>
      <c r="DQ169" s="10">
        <f t="shared" si="226"/>
        <v>0</v>
      </c>
      <c r="DR169" s="132" t="str">
        <f>IF(Исходн.данные.!AO169&gt;0,Исходн.данные.!AO169,IF(DH169=0,BS$17,IF(AND($DK169=0,$DJ169&gt;0),EJ169,EN169)))</f>
        <v>Нет</v>
      </c>
      <c r="DS169" s="70" t="str">
        <f>IF($DR169="Нет","Нет",IF(Исходн.данные.!$AO169&gt;0,VLOOKUP($DR169,АшламаДВ_Irekle,2,FALSE),VLOOKUP($DR169,АшламаДВ_Gomumy,2,FALSE)))</f>
        <v>Нет</v>
      </c>
      <c r="DT169" s="70" t="str">
        <f>IF($DR169="Нет","Нет",IF(Исходн.данные.!$AO169&gt;0,VLOOKUP($DR169,АшламаДВ_Irekle,3,FALSE),VLOOKUP($DR169,АшламаДВ_Gomumy,3,FALSE)))</f>
        <v>Нет</v>
      </c>
      <c r="DU169" s="70" t="str">
        <f>IF($DR169="Нет","Нет",IF(Исходн.данные.!$AO169&gt;0,VLOOKUP($DR169,АшламаДВ_Irekle,4,FALSE),VLOOKUP($DR169,АшламаДВ_Gomumy,4,FALSE)))</f>
        <v>Нет</v>
      </c>
      <c r="DV169" s="70"/>
      <c r="DW169" s="70"/>
      <c r="DX169" s="70"/>
      <c r="DY169" s="10">
        <f t="shared" si="248"/>
        <v>0</v>
      </c>
      <c r="DZ169" s="10">
        <f t="shared" si="249"/>
        <v>0</v>
      </c>
      <c r="EA169" s="10">
        <f t="shared" si="250"/>
        <v>0</v>
      </c>
      <c r="EB169" s="10">
        <f t="shared" si="251"/>
        <v>0</v>
      </c>
      <c r="EC169" s="10">
        <f t="shared" si="252"/>
        <v>0</v>
      </c>
      <c r="ED169" s="10">
        <f t="shared" si="253"/>
        <v>0</v>
      </c>
      <c r="EE169" s="10">
        <f t="shared" si="254"/>
        <v>0</v>
      </c>
      <c r="EF169" s="39">
        <f>EB169*Исходн.данные.!AJ169/1000</f>
        <v>0</v>
      </c>
      <c r="EG169" s="9">
        <f t="shared" si="255"/>
        <v>0</v>
      </c>
      <c r="EH169" s="9">
        <f t="shared" si="256"/>
        <v>0</v>
      </c>
      <c r="EI169" s="39" t="e">
        <f t="shared" si="206"/>
        <v>#DIV/0!</v>
      </c>
      <c r="EJ169" s="9" t="str">
        <f t="shared" si="227"/>
        <v>Азопреципитат</v>
      </c>
      <c r="EK169" s="12">
        <f t="shared" si="207"/>
        <v>0.26</v>
      </c>
      <c r="EL169" s="12">
        <f t="shared" si="208"/>
        <v>0.13</v>
      </c>
      <c r="EM169" s="12">
        <f t="shared" si="209"/>
        <v>0</v>
      </c>
      <c r="EN169" s="12" t="str">
        <f t="shared" si="228"/>
        <v>Нет</v>
      </c>
      <c r="EO169" s="12">
        <f t="shared" si="210"/>
        <v>0</v>
      </c>
      <c r="EP169" s="12">
        <f t="shared" si="211"/>
        <v>0</v>
      </c>
      <c r="EQ169" s="12">
        <f t="shared" si="212"/>
        <v>0</v>
      </c>
      <c r="ER169" s="12" t="str">
        <f t="shared" si="257"/>
        <v>Диаммофоска</v>
      </c>
      <c r="ES169" s="12">
        <f t="shared" si="213"/>
        <v>0.1</v>
      </c>
      <c r="ET169" s="12">
        <f t="shared" si="214"/>
        <v>0.26</v>
      </c>
      <c r="EU169" s="12">
        <f t="shared" si="215"/>
        <v>0.26</v>
      </c>
      <c r="EV169" s="12" t="str">
        <f t="shared" si="258"/>
        <v>Аммофос 12:52:00</v>
      </c>
      <c r="EW169" s="12" t="str">
        <f t="shared" si="259"/>
        <v>Кемира Свекловичное-6</v>
      </c>
      <c r="EX169" s="12">
        <f t="shared" si="216"/>
        <v>0.16</v>
      </c>
      <c r="EY169" s="12">
        <f t="shared" si="217"/>
        <v>0.12</v>
      </c>
      <c r="EZ169" s="12">
        <f t="shared" si="218"/>
        <v>0.17</v>
      </c>
      <c r="FA169" s="38" t="e">
        <f>IF(AND(OR(FJ169=$FD$1,FM169=$FD$1,FO169=$FD$1,FQ169=$FD$1,FS169=$FD$1),FD169=$FD$1,Исходн.данные.!J169&lt;2,FU169=$FD$1),"Бор,Кобальт",IF(AND(FO169=$FD$1,FH169=$FD$1,Исходн.данные.!J169&lt;2,FU169=$FD$1),"Бор,Кобальт",IF(AND(OR(FJ169=$FD$1,FM169=$FD$1,FQ169=$FD$1),FE169=$FD$1,Исходн.данные.!J169&lt;2,FT169=$FD$1,FU169=$FD$1),"Бор,Медь,Цинк",IF(AND(OR(FJ169=$FD$1,FR169="Да"),FI169="Да",Исходн.данные.!J169&lt;2,FT169="Да",FU169="Да"),"Бор,Цинк,Медь",IF(AND(OR(FM169="Да",FQ169="Да"),FI169="Да",Исходн.данные.!J169&lt;2,FT169="Да",FU169="Да"),"Бор,Цинк",IF(AND(FN169="Да",OR(FD169="Да",FE169="Да")),"Бор",FB169))))))</f>
        <v>#N/A</v>
      </c>
      <c r="FB169" s="134" t="e">
        <f>IF(AND(OR(FD169="Да",FE169="Да",FF169="Да",FG169="Да",FH169="Да"),FO169="Да"),"Бор",IF(AND(FP169="Да",OR(FD169="Да",FE169="Да",FI169="Да")),"Бор",IF(AND(FS169="Да",FE169="Да"),"Бор,Медь",IF(AND(OR(FJ169="Да",FK169="Да",FL169="Да"),FE169="Да",Исходн.данные.!I169&lt;5,FT169="Да",FU169="Да"),"Молибден,Цинк",IF(AND(FM169="Да",OR(FE169="Да",FF169="Да",FG169="Да",FH169="Да",FI169="Да")),"Молибден,Цинк",IF(AND(OR(FJ169="Да",FK169="Да",FL169="Да",FM169="Да",FQ169="Да"),OR(FE169="Да",FF169="Да"),FT169="Да",FU169="Да",Исходн.данные.!I169&gt;5.5),"Медь,Цинк",FC169))))))</f>
        <v>#N/A</v>
      </c>
      <c r="FC169" s="23" t="e">
        <f t="shared" si="260"/>
        <v>#N/A</v>
      </c>
      <c r="FD169" s="38" t="str">
        <f>IF(OR(Исходн.данные.!F169=$CC$1,Исходн.данные.!F169=$CC$2,Исходн.данные.!F169=$CC$3,Исходн.данные.!F169=$CC$4),"Да","Нет")</f>
        <v>Нет</v>
      </c>
      <c r="FE169" s="38" t="str">
        <f>IF(Исходн.данные.!F169=$CC$5,"Да","Нет")</f>
        <v>Нет</v>
      </c>
      <c r="FF169" s="38" t="str">
        <f>IF(OR(Исходн.данные.!F169=$CC$6,Исходн.данные.!F169=$CC$7),"Да","Нет")</f>
        <v>Нет</v>
      </c>
      <c r="FG169" s="38" t="str">
        <f>IF(OR(Исходн.данные.!F169=$CC$8,Исходн.данные.!F169=$CC$9),"Да","Нет")</f>
        <v>Нет</v>
      </c>
      <c r="FH169" s="38" t="str">
        <f>IF(Исходн.данные.!F169=$CC$10,"Да","Нет")</f>
        <v>Нет</v>
      </c>
      <c r="FI169" s="38" t="str">
        <f>IF(OR(Исходн.данные.!F169=$CC$11,Исходн.данные.!F169=$CC$12),"Да","Нет")</f>
        <v>Нет</v>
      </c>
      <c r="FJ169" s="38" t="str">
        <f>IF(OR(Исходн.данные.!AH169=$BS$1,Исходн.данные.!AH169=$BQ$11,Исходн.данные.!AH169=$BQ$12),"Да","Нет")</f>
        <v>Нет</v>
      </c>
      <c r="FK169" s="38" t="str">
        <f>IF(OR(Исходн.данные.!AH169=$BS$2,Исходн.данные.!AH169=$BS$4),"Да","Нет")</f>
        <v>Нет</v>
      </c>
      <c r="FL169" s="38" t="str">
        <f>IF(OR(Исходн.данные.!AH169=$BS$3,Исходн.данные.!AH169=$BS$5),"Да","Нет")</f>
        <v>Нет</v>
      </c>
      <c r="FM169" s="38" t="str">
        <f>IF(OR(Исходн.данные.!AH169=$BS$9,Исходн.данные.!AH169=$BS$10,Исходн.данные.!AH169=$BS$11,Исходн.данные.!AH169=$BS$12),"Да","Нет")</f>
        <v>Нет</v>
      </c>
      <c r="FN169" s="38" t="str">
        <f>IF(OR(Исходн.данные.!AH169=$BS$6,Исходн.данные.!AH169=$BP$3),"Да","Нет")</f>
        <v>Нет</v>
      </c>
      <c r="FO169" s="38" t="str">
        <f>IF(Исходн.данные.!AH169=$BQ$9,"Да","Нет")</f>
        <v>Нет</v>
      </c>
      <c r="FP169" s="38" t="str">
        <f>IF(OR(Исходн.данные.!AH169=$BS$8,Исходн.данные.!AH169=$BT$8),"Да","Нет")</f>
        <v>Нет</v>
      </c>
      <c r="FQ169" s="38" t="str">
        <f>IF(OR(Исходн.данные.!AH169=$BQ$7,Исходн.данные.!AH169=$BQ$8),"Да","Нет")</f>
        <v>Нет</v>
      </c>
      <c r="FR169" s="38" t="str">
        <f>IF(Исходн.данные.!AI169=$BU$9,"Да","Нет")</f>
        <v>Нет</v>
      </c>
      <c r="FS169" s="38" t="str">
        <f>IF(OR(Исходн.данные.!AH169=$BP$1,Исходн.данные.!AH169=$BP$2),"Да","Нет")</f>
        <v>Нет</v>
      </c>
      <c r="FT169" s="38" t="e">
        <f>IF((Исходн.данные.!K169*GO169*GS169*GW169+BL169*0.6+Исходн.данные.!Q169*4.5*0.275)&gt;90,"Да","Нет")</f>
        <v>#N/A</v>
      </c>
      <c r="FU169" s="38" t="e">
        <f>IF((Исходн.данные.!M169*GS169*GZ169+BM169*0.225)&gt;35,"Да","Нет")</f>
        <v>#N/A</v>
      </c>
      <c r="FV169" s="38" t="str">
        <f>IF(Исходн.данные.!O169&gt;175,"Да","Нет")</f>
        <v>Нет</v>
      </c>
      <c r="FW169" s="39" t="str">
        <f>IF(Исходн.данные.!I169&gt;5.5,"Да","Нет")</f>
        <v>Нет</v>
      </c>
      <c r="FX169" s="39" t="str">
        <f>IF(Исходн.данные.!J169&lt;2,"Да","Нет")</f>
        <v>Да</v>
      </c>
      <c r="FY169" s="39" t="e">
        <f>IF(HF169=$FY$16,0,Исходн.данные.!K169*GO169*GS169*GW169/HF169)</f>
        <v>#N/A</v>
      </c>
      <c r="FZ169" s="39" t="e">
        <f>Исходн.данные.!M169*GS169*GZ169/HG169</f>
        <v>#N/A</v>
      </c>
      <c r="GA169" s="39" t="e">
        <f>IF(K_Wyn=$FY$16,0,IF(Исходн.данные.!N169=Исходн.данные.!$L$10,Исходн.данные.!O169/1.1*GS169*HC169/HH169,IF(Исходн.данные.!N169=Исходн.данные.!$L$12,Исходн.данные.!O169/1.5*GS169*HC169/HH169,Исходн.данные.!O169*GS169*HC169/HH169)))</f>
        <v>#N/A</v>
      </c>
      <c r="GB169" s="39" t="e">
        <f>IF(HF169=$FY$16,0,((Исходн.данные.!Q169*N_Org+Исходн.данные.!R169*N_Sider+Исходн.данные.!S169*N_Soloma)*AO169+Расчет!BC169*VLOOKUP(Исходн.данные.!T169,Справ!$A$3:$O$57,15)*AO169+BB169*VLOOKUP(Исходн.данные.!T169,Справ!$A$3:$O$57,15)*AL169+(Исходн.данные.!V169*N_Rizotorf+Исходн.данные.!W169*N_Rizoagr))/HF169)</f>
        <v>#N/A</v>
      </c>
      <c r="GC169" s="39" t="e">
        <f>IF(HG169=$FY$16,0,((Исходн.данные.!Q169*Р_Org+Исходн.данные.!R169*P_Sider+Исходн.данные.!S169*P_Soloma)*AP169+Расчет!BC169*VLOOKUP(Исходн.данные.!T169,Справ!$A$3:$P$57,16)*AP169+BB169*VLOOKUP(Исходн.данные.!T169,Справ!$A$3:$P$57,16)*AM169)/HG169)</f>
        <v>#N/A</v>
      </c>
      <c r="GD169" s="39" t="e">
        <f>IF(HH169=$FY$16,0,((Исходн.данные.!Q169*К_Org+Исходн.данные.!R169*K_Sider+Исходн.данные.!S169*K_Soloma)*AQ169+Расчет!BC169*VLOOKUP(Исходн.данные.!T169,Справ!$A$3:$Q$57,17)*AQ169+BB169*VLOOKUP(Исходн.данные.!T169,Справ!$A$3:$Q$57,17)*AN169)/HH169)</f>
        <v>#N/A</v>
      </c>
      <c r="GE169" s="39" t="e">
        <f>IF(HF169=$FY$16,0,(Исходн.данные.!X169*AR169+Исходн.данные.!AA169*N_Org*AL169+Исходн.данные.!AB169*N_Sider*AL169+Исходн.данные.!AC169*N_Soloma*AL169)/HF169)</f>
        <v>#N/A</v>
      </c>
      <c r="GF169" s="39" t="e">
        <f>IF(HG169=$FY$16,0,(Исходн.данные.!Y169*AS169+Исходн.данные.!AA169*Р_Org*AM169+Исходн.данные.!AB169*P_Sider*AM169+Исходн.данные.!AC169*P_Soloma*AM169)/HG169)</f>
        <v>#N/A</v>
      </c>
      <c r="GG169" s="39" t="e">
        <f>IF(HH169=$FY$16,0,(Исходн.данные.!Z169*AT169+Исходн.данные.!AA169*К_Org*AN169+Исходн.данные.!AB169*K_Sider*AN169+Исходн.данные.!AC169*K_Soloma*AN169)/HH169)</f>
        <v>#N/A</v>
      </c>
      <c r="GH169" s="39" t="e">
        <f>Исходн.данные.!AD169*AU169/HF169</f>
        <v>#N/A</v>
      </c>
      <c r="GI169" s="39" t="e">
        <f>Исходн.данные.!AE169*AV169/HG169</f>
        <v>#N/A</v>
      </c>
      <c r="GJ169" s="39" t="e">
        <f>Исходн.данные.!AF169*AW169/HH169</f>
        <v>#N/A</v>
      </c>
      <c r="GK169" s="55">
        <f>Исходн.данные.!AK169</f>
        <v>0</v>
      </c>
      <c r="GL169" s="11" t="e">
        <f t="shared" si="261"/>
        <v>#N/A</v>
      </c>
      <c r="GM169" s="11" t="e">
        <f t="shared" si="262"/>
        <v>#N/A</v>
      </c>
      <c r="GN169" s="11" t="e">
        <f t="shared" si="263"/>
        <v>#N/A</v>
      </c>
      <c r="GO169" s="57">
        <f t="shared" si="264"/>
        <v>19</v>
      </c>
      <c r="GP169" s="55">
        <f>IF(OR(Исходн.данные.!F169=$CE$1,Исходн.данные.!F169=$CE$2,Исходн.данные.!F169=$CE$3,Исходн.данные.!F169=$CE$4,Исходн.данные.!F169=$CE$5),GQ169,GR169)</f>
        <v>19</v>
      </c>
      <c r="GQ169" s="55">
        <f>IF(Исходн.данные.!F169=$CE$1,28,IF(Исходн.данные.!F169=$CE$2,26,IF(Исходн.данные.!F169=$CE$3,24,IF(Исходн.данные.!F169=$CE$4,22,IF(Исходн.данные.!F169=$CE$5,20,GR169)))))</f>
        <v>19</v>
      </c>
      <c r="GR169" s="55">
        <f>IF(Исходн.данные.!F169=$CE$6,18,IF(Исходн.данные.!F169=$CE$7,16,IF(Исходн.данные.!F169=$CE$8,14,IF(Исходн.данные.!F169=$CE$9,13,IF(Исходн.данные.!F169=$CE$10,12,19)))))</f>
        <v>19</v>
      </c>
      <c r="GS169" s="55">
        <f>IF(Исходн.данные.!G169="Пес",0.035*(40+2*Исходн.данные.!H169),IF(Исходн.данные.!G169="Суп",0.0325*(40+2*Исходн.данные.!H169),0.03*(40+2*Исходн.данные.!H169)))</f>
        <v>1.2</v>
      </c>
      <c r="GT169" s="55">
        <f>IF(Исходн.данные.!H169&lt;23,2.6,IF(AND(Исходн.данные.!H169&gt;22,Исходн.данные.!H169&lt;26),3,IF(AND(Исходн.данные.!H169&gt;25,Исходн.данные.!H169&lt;29),3.4,3.6)))</f>
        <v>2.6</v>
      </c>
      <c r="GU169" s="55">
        <f>IF(Исходн.данные.!H169&lt;23,2.8,IF(AND(Исходн.данные.!H169&gt;22,Исходн.данные.!H169&lt;26),3.2,IF(AND(Исходн.данные.!H169&gt;25,Исходн.данные.!H169&lt;29),3.6,3.9)))</f>
        <v>2.8</v>
      </c>
      <c r="GV169" s="55">
        <f>IF(Исходн.данные.!H169&lt;23,3,IF(AND(Исходн.данные.!H169&gt;22,Исходн.данные.!H169&lt;26),3.5,IF(AND(Исходн.данные.!H169&gt;25,Исходн.данные.!H169&lt;29),3.9,4.2)))</f>
        <v>3</v>
      </c>
      <c r="GW169" s="55" t="e">
        <f>IF(Исходн.данные.!P169="Ум",GX169,GY169)</f>
        <v>#N/A</v>
      </c>
      <c r="GX169" s="55" t="e">
        <f>VLOOKUP(Исходн.данные.!AI169,Коэффициенты!$J$7:$L$13,2,FALSE)</f>
        <v>#N/A</v>
      </c>
      <c r="GY169" s="55" t="e">
        <f>VLOOKUP(Исходн.данные.!AI169,Коэффициенты!$J$7:$L$13,3,FALSE)</f>
        <v>#N/A</v>
      </c>
      <c r="GZ169" s="55" t="e">
        <f>(IF(Исходн.данные.!M169&lt;50,0.11*VLOOKUP(Исходн.данные.!AH169,Культуры.Информация,7,FALSE),IF(Исходн.данные.!M169&gt;250,0.05*VLOOKUP(Исходн.данные.!AH169,Культуры.Информация,7,FALSE),VLOOKUP(Исходн.данные.!AH169,Культуры.Информация,5,FALSE)/100*($GX$6+$GY$6*Исходн.данные.!M169))))*Расчет2!AI169</f>
        <v>#N/A</v>
      </c>
      <c r="HA169" s="211"/>
      <c r="HB169" s="211"/>
      <c r="HC169" s="55" t="e">
        <f>(IF(Исходн.данные.!O169&lt;80,0.2*VLOOKUP(Исходн.данные.!AH169,Культуры.Информация,8,FALSE),IF(Исходн.данные.!O169&gt;240,0.09*VLOOKUP(Исходн.данные.!AH169,Культуры.Информация,8,FALSE),VLOOKUP(Исходн.данные.!AH169,Культуры.Информация,6,FALSE)/100*($HB$6+$HC$6*Исходн.данные.!O169))))*Расчет2!AJ169</f>
        <v>#N/A</v>
      </c>
      <c r="HD169" s="55">
        <f>IF(Исходн.данные.!O169&gt;240,0.09,IF(Исходн.данные.!O169&lt;30,0.3,$HE$10+$HD$10*Исходн.данные.!O169))</f>
        <v>0.3</v>
      </c>
      <c r="HE169" s="55">
        <f>IF(Исходн.данные.!O169&gt;240,0.17,IF(Исходн.данные.!O169&lt;30,0.5,$HF$12+$HE$12*Исходн.данные.!O169))</f>
        <v>0.5</v>
      </c>
      <c r="HF169" s="55" t="e">
        <f>VLOOKUP(Исходн.данные.!AH169,Справ!$A$3:$D$58,2,FALSE)</f>
        <v>#N/A</v>
      </c>
      <c r="HG169" s="55" t="e">
        <f>VLOOKUP(Исходн.данные.!AH169,Справ!$A$3:$D$58,3,FALSE)</f>
        <v>#N/A</v>
      </c>
      <c r="HH169" s="55" t="e">
        <f>VLOOKUP(Исходн.данные.!AH169,Справ!$A$3:$D$58,4,FALSE)</f>
        <v>#N/A</v>
      </c>
      <c r="HI169" s="11" t="e">
        <f t="shared" si="265"/>
        <v>#N/A</v>
      </c>
      <c r="HJ169" s="11" t="e">
        <f t="shared" si="266"/>
        <v>#N/A</v>
      </c>
      <c r="HK169" s="11" t="e">
        <f t="shared" si="267"/>
        <v>#N/A</v>
      </c>
      <c r="HL169" s="55">
        <f>IF(OR(Исходн.данные.!G169="Глин",Исходн.данные.!G169="Т_суг"),1.1,IF(Исходн.данные.!G169="Ср_суг",1,1))</f>
        <v>1</v>
      </c>
      <c r="HM169" s="55">
        <f>IF(OR(Исходн.данные.!G169="Глин",Исходн.данные.!G169="Т_суг"),0.9,IF(Исходн.данные.!G169="Ср_суг",1,1.2))</f>
        <v>1.2</v>
      </c>
      <c r="HN169" s="11" t="e">
        <f t="shared" si="268"/>
        <v>#N/A</v>
      </c>
      <c r="HO169" s="11" t="e">
        <f t="shared" si="269"/>
        <v>#N/A</v>
      </c>
      <c r="HP169" s="11" t="e">
        <f t="shared" si="270"/>
        <v>#N/A</v>
      </c>
      <c r="HQ169" t="e">
        <f t="shared" si="271"/>
        <v>#N/A</v>
      </c>
      <c r="HR169" t="e">
        <f t="shared" si="272"/>
        <v>#N/A</v>
      </c>
      <c r="HS169" t="e">
        <f t="shared" si="273"/>
        <v>#N/A</v>
      </c>
      <c r="HT169" t="e">
        <f t="shared" si="219"/>
        <v>#N/A</v>
      </c>
      <c r="HU169" t="e">
        <f t="shared" si="220"/>
        <v>#N/A</v>
      </c>
      <c r="HV169" t="e">
        <f t="shared" si="221"/>
        <v>#N/A</v>
      </c>
      <c r="HW169" t="e">
        <f t="shared" si="222"/>
        <v>#N/A</v>
      </c>
      <c r="HX169" t="e">
        <f t="shared" si="223"/>
        <v>#N/A</v>
      </c>
      <c r="HY169" t="e">
        <f t="shared" si="224"/>
        <v>#N/A</v>
      </c>
      <c r="HZ169" s="55">
        <f>IF(OR(Исходн.данные.!AI169="Оз_Ч_П",Исходн.данные.!AI169="Оз_З_П",Исходн.данные.!AI169="Яр_зер"),12,30)</f>
        <v>30</v>
      </c>
      <c r="IA169" t="e">
        <f t="shared" si="274"/>
        <v>#N/A</v>
      </c>
      <c r="IB169" t="e">
        <f t="shared" si="275"/>
        <v>#N/A</v>
      </c>
      <c r="IC169" t="e">
        <f t="shared" si="276"/>
        <v>#N/A</v>
      </c>
      <c r="ID169" s="11" t="e">
        <f t="shared" si="277"/>
        <v>#N/A</v>
      </c>
      <c r="IE169" s="11" t="e">
        <f t="shared" si="278"/>
        <v>#N/A</v>
      </c>
      <c r="IF169" s="11" t="e">
        <f t="shared" si="279"/>
        <v>#N/A</v>
      </c>
    </row>
    <row r="170" spans="35:240" x14ac:dyDescent="0.2">
      <c r="AI170">
        <f>IF(Исходн.данные.!I170&gt;6,1,1.85-(0.148*Исходн.данные.!I170))</f>
        <v>1.85</v>
      </c>
      <c r="AJ170">
        <f>IF(Исходн.данные.!I170&gt;6,1,2.434-(0.246*Исходн.данные.!I170))</f>
        <v>2.4340000000000002</v>
      </c>
      <c r="AL170" s="148" t="b">
        <f>IF(Исходн.данные.!$P170="Ум",N_OrgUd_2g_um,IF(Исходн.данные.!$P170="Об",N_OrgUd_2g_ob))</f>
        <v>0</v>
      </c>
      <c r="AM170" s="148" t="b">
        <f>IF(Исходн.данные.!$P170="Ум",P_OrgUd_2g_um,IF(Исходн.данные.!$P170="Об",P_OrgUd_2g_ob))</f>
        <v>0</v>
      </c>
      <c r="AN170" s="148" t="b">
        <f>IF(Исходн.данные.!$P170="Ум",K_OrgUd_2g_um,IF(Исходн.данные.!$P170="Об",K_OrgUd_2g_ob))</f>
        <v>0</v>
      </c>
      <c r="AO170" s="148" t="b">
        <f>IF(Исходн.данные.!$P170="Ум",N_OrgUd_1g_um,IF(Исходн.данные.!$P170="Об",N_OrgUd_1g_ob))</f>
        <v>0</v>
      </c>
      <c r="AP170" s="148" t="b">
        <f>IF(Исходн.данные.!$P170="Ум",P_OrgUd_1g_um,IF(Исходн.данные.!$P170="Об",P_OrgUd_1g_ob))</f>
        <v>0</v>
      </c>
      <c r="AQ170" s="148" t="b">
        <f>IF(Исходн.данные.!$P170="Ум",K_OrgUd_1g_um,IF(Исходн.данные.!$P170="Об",K_OrgUd_1g_ob))</f>
        <v>0</v>
      </c>
      <c r="AR170" t="b">
        <f>IF(Исходн.данные.!$P170="Ум",N_MinUd_2g_um,IF(Исходн.данные.!$P170="Об",N_MinUd_2g_ob))</f>
        <v>0</v>
      </c>
      <c r="AS170" t="b">
        <f>IF(Исходн.данные.!$P170="Ум",P_MinUd_2g_um,IF(Исходн.данные.!$P170="Об",P_MinUd_2g_ob))</f>
        <v>0</v>
      </c>
      <c r="AT170" t="b">
        <f>IF(Исходн.данные.!$P170="Ум",K_MinUd_2g_um,IF(Исходн.данные.!$P170="Об",K_MinUd_2g_ob))</f>
        <v>0</v>
      </c>
      <c r="AU170" t="b">
        <f>IF(Исходн.данные.!$P170="Ум",N_MinUd_1g_um,IF(Исходн.данные.!$P170="Об",N_MinUd_1g_ob))</f>
        <v>0</v>
      </c>
      <c r="AV170" t="b">
        <f>IF(Исходн.данные.!P170="Ум",P_MinUd_1g_um,IF(Исходн.данные.!P170="Об",P_MinUd_1g_ob))</f>
        <v>0</v>
      </c>
      <c r="AW170" t="b">
        <f>IF(Исходн.данные.!P170="Ум",K_MinUd_1g_um,IF(Исходн.данные.!P170="Об",K_MinUd_1g_ob))</f>
        <v>0</v>
      </c>
      <c r="AY170" t="e">
        <f>VLOOKUP(Исходн.данные.!T170,Справ!$A$3:$N$57,12)</f>
        <v>#N/A</v>
      </c>
      <c r="AZ170" t="e">
        <f>VLOOKUP(Исходн.данные.!T170,Справ!$A$3:$N$57,13)</f>
        <v>#N/A</v>
      </c>
      <c r="BA170" t="e">
        <f>VLOOKUP(Исходн.данные.!T170,Справ!$A$3:$N$57,14)</f>
        <v>#N/A</v>
      </c>
      <c r="BB170">
        <f>IF(Исходн.данные.!AH170=0,0,25)</f>
        <v>0</v>
      </c>
      <c r="BC170" s="141">
        <f>IF(Исходн.данные.!AH170=0,0,IF(Исходн.данные.!T170=0,25,BD170))</f>
        <v>0</v>
      </c>
      <c r="BD170" s="168" t="e">
        <f>AY170+AZ170*Исходн.данные.!U170-POWER(BA170,2)*Исходн.данные.!U170</f>
        <v>#N/A</v>
      </c>
      <c r="BE17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0" s="25">
        <f>IF(Исходн.данные.!AH170=0,0,MIN(HN170:HP170))</f>
        <v>0</v>
      </c>
      <c r="BG170" s="9">
        <f>IF(Исходн.данные.!AH170=0,0,IF((HO170+10*0.25/HG170/HL170)&lt;17,17,HO170+10*0.25/HG170/HL170))</f>
        <v>0</v>
      </c>
      <c r="BH170" s="181">
        <f>IF(Исходн.данные.!AH170=0,0,HW170*HF170*HL170/AU170*AI170+Исходн.данные.!S170*10)</f>
        <v>0</v>
      </c>
      <c r="BI170" s="10"/>
      <c r="BJ170" s="182">
        <f>IF(Исходн.данные.!AH170=0,0,IF(HX170*HG170*HL170/AV170&lt;0,0,HX170*HG170*HL170/AV170*AJ170))</f>
        <v>0</v>
      </c>
      <c r="BK170" s="182">
        <f>IF(Исходн.данные.!AH170=0,0,HY170*HH170*HM170/AW170)</f>
        <v>0</v>
      </c>
      <c r="BL170" s="10">
        <f>IF(OR(Исходн.данные.!$AH170=$BP$1,Исходн.данные.!$AH170=$BP$2),0,IF(BH170&lt;0,0,IF(OR(Исходн.данные.!T170=Расчет!$BP$1,Исходн.данные.!T170=Расчет!$BP$2,Исходн.данные.!T170=Расчет!$BT$5,Исходн.данные.!T170=Расчет!$BT$6),BH170*0.5,IF(OR(Исходн.данные.!T170=Расчет!$BS$9,Исходн.данные.!T170=Расчет!$BS$10,Исходн.данные.!T170=Расчет!$BS$11,Исходн.данные.!T170=Расчет!$BS$12,Исходн.данные.!T170=Расчет!$BP$5),BH170*0.8,BH170))))</f>
        <v>0</v>
      </c>
      <c r="BM170" s="10">
        <f>IF(OR(Исходн.данные.!$AH170=$BP$1,Исходн.данные.!$AH170=$BP$2),0,IF(BJ170&lt;0,0,IF(Исходн.данные.!I170&lt;4.5,BJ170*1.2,IF(Исходн.данные.!I170&gt;5.1,BJ170,BJ170*((5.1-Исходн.данные.!I170)*0.333+1)))))</f>
        <v>0</v>
      </c>
      <c r="BN170" s="10">
        <f>IF(OR(Исходн.данные.!$AH170=$BP$1,Исходн.данные.!$AH170=$BP$2),60-Исходн.данные.!AF170,IF(BK170&lt;0,0,IF(Исходн.данные.!I170&lt;4.5,BK170*1.2,IF(Исходн.данные.!I170&gt;5.1,BK170,BK170*((5.1-Исходн.данные.!I170)*0.333+1)))))</f>
        <v>0</v>
      </c>
      <c r="BO170" s="9">
        <f>IF(BL170&lt;0,0,BL170*Исходн.данные.!$AJ170/1000)</f>
        <v>0</v>
      </c>
      <c r="BP170" s="9">
        <f>IF(BM170&lt;0,0,BM170*Исходн.данные.!$AJ170/1000)</f>
        <v>0</v>
      </c>
      <c r="BQ170" s="9">
        <f>IF(BN170&lt;0,0,BN170*Исходн.данные.!$AJ170/1000)</f>
        <v>0</v>
      </c>
      <c r="BR170" s="9">
        <f t="shared" si="229"/>
        <v>0</v>
      </c>
      <c r="BS170" s="10" t="str">
        <f t="shared" si="230"/>
        <v>Аммофос 12:52:00</v>
      </c>
      <c r="BT170" s="10" t="str">
        <f t="shared" si="231"/>
        <v>Аммофос 12:52:00</v>
      </c>
      <c r="BU170" s="10" t="str">
        <f t="shared" si="232"/>
        <v>Диаммофоска</v>
      </c>
      <c r="BV170" s="10">
        <f t="shared" si="233"/>
        <v>0</v>
      </c>
      <c r="BW170" s="10"/>
      <c r="BX170" s="10"/>
      <c r="BY170" s="9">
        <f>IF(BL170&lt;0,0,IF(OR(Исходн.данные.!AI170=Расчет!$BU$6,Исходн.данные.!AI170=Расчет!$BU$7),Расчет!BV170,IF(Исходн.данные.!$AG170=$BV$11,BL170,IF(OR(Исходн.данные.!$AH170=$BQ$7,Исходн.данные.!$AH170=$BQ$8),CB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0,IF(Исходн.данные.!$AI170=$BU$11,"Нет",IF(BL170&gt;30,30,BL170)))))))</f>
        <v>0</v>
      </c>
      <c r="BZ170" s="9">
        <f>IF(AND(Исходн.данные.!$AG170=$BV$11,BM170&lt;10),10,IF(Исходн.данные.!$AG170=$BV$11,BM170,IF(OR(Исходн.данные.!$AH170=$BQ$7,Исходн.данные.!$AH170=$BQ$8),CC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10,IF(Исходн.данные.!$AI170=$BU$11,"Нет",IF(BM170&gt;60,60,IF(BM170&lt;10,10,BM170)))))))</f>
        <v>10</v>
      </c>
      <c r="CA170" s="39">
        <f>IF(BN170&lt;0,0,IF(Исходн.данные.!$AG170=$BV$11,BN170,IF(OR(Исходн.данные.!$AH170=$BQ$7,Исходн.данные.!$AH170=$BQ$8),CD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0,IF(Исходн.данные.!$AI170=$BU$11,"Нет",IF(BN170&gt;30,30,BN170))))))</f>
        <v>0</v>
      </c>
      <c r="CB170" s="9">
        <f t="shared" si="234"/>
        <v>0</v>
      </c>
      <c r="CC170" s="9">
        <f t="shared" si="235"/>
        <v>0</v>
      </c>
      <c r="CD170" s="9">
        <f t="shared" si="236"/>
        <v>0</v>
      </c>
      <c r="CE170" s="12">
        <f t="shared" si="237"/>
        <v>10</v>
      </c>
      <c r="CF170" s="9">
        <f t="shared" si="238"/>
        <v>0</v>
      </c>
      <c r="CG170" s="9" t="s">
        <v>231</v>
      </c>
      <c r="CH170" s="132" t="str">
        <f>IF(Исходн.данные.!AP170=Расчет!$CI$16,"Нет",IF(Исходн.данные.!AL170&gt;0,Исходн.данные.!AL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BH$4,IF(OR(Исходн.данные.!AI170=Исходн.данные.!$AI$6,Исходн.данные.!AI170=Исходн.данные.!$AI$7),Расчет!BS170,IF(AND($CF170=0,$CE170&gt;0),EV170,ER170)))))</f>
        <v>Аммофос 12:52:00</v>
      </c>
      <c r="CI170" s="274">
        <f>IF(Расчет!$CH170="Нет","Нет",IF(Исходн.данные.!$AL170&gt;0,VLOOKUP(Расчет!$CH170,АшламаДВ_Irekle,2,FALSE),VLOOKUP(Расчет!$CH170,АшламаДВ_Gomumy,2,FALSE)))</f>
        <v>0.12</v>
      </c>
      <c r="CJ170" s="274">
        <f>IF(Расчет!$CH170="Нет","Нет",IF(Исходн.данные.!$AL170&gt;0,VLOOKUP(Расчет!$CH170,АшламаДВ_Irekle,3,FALSE),VLOOKUP(Расчет!$CH170,АшламаДВ_Gomumy,3,FALSE)))</f>
        <v>0.52</v>
      </c>
      <c r="CK170" s="274">
        <f>IF(Расчет!$CH170="Нет","Нет",IF(Исходн.данные.!$AL170&gt;0,VLOOKUP(Расчет!$CH170,АшламаДВ_Irekle,4,FALSE),VLOOKUP(Расчет!$CH170,АшламаДВ_Gomumy,4,FALSE)))</f>
        <v>0</v>
      </c>
      <c r="CL170" s="70"/>
      <c r="CM170" s="70"/>
      <c r="CN170" s="70"/>
      <c r="CO170" s="70"/>
      <c r="CP170" s="70"/>
      <c r="CQ170" s="70"/>
      <c r="CR170" s="10">
        <f t="shared" si="239"/>
        <v>0</v>
      </c>
      <c r="CS170" s="10">
        <f t="shared" si="240"/>
        <v>19.23076923076923</v>
      </c>
      <c r="CT170" s="10">
        <f t="shared" si="241"/>
        <v>0</v>
      </c>
      <c r="CU170" s="39">
        <f>IF($CH170="Нет",0,IF(CI170=0,30/MIN(CJ170:CK170),IF(Исходн.данные.!$AG170=$BV$11,CR170,IF(OR(Исходн.данные.!$AH170=$BQ$7,Исходн.данные.!$AH170=$BQ$8),90/CI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0,IF(Исходн.данные.!$AI170=$BU$11,"Нет",30/CI170))))))</f>
        <v>250</v>
      </c>
      <c r="CV170" s="39">
        <f>IF($CH170="Нет",0,IF(Исходн.данные.!AH170=0,0,IF(CJ170=0,60/MIN(CI170,CK170),IF(Исходн.данные.!$AG170=$BV$11,CS170,IF(OR(Исходн.данные.!$AH170=$BQ$7,Исходн.данные.!$AH170=$BQ$8),90/CJ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10/CJ170,IF(Исходн.данные.!$AI170=$BU$11,"Нет",60/CJ170)))))))</f>
        <v>0</v>
      </c>
      <c r="CW170" s="39">
        <f>IF($CH170="Нет",0,IF(Исходн.данные.!AH170=0,0,IF(CK170=0,30/MIN(CI170:CJ170),IF(Исходн.данные.!$AG170=$BV$11,CT170,IF(OR(Исходн.данные.!$AH170=$BQ$7,Исходн.данные.!$AH170=$BQ$8),90/CK170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0,IF(Исходн.данные.!$AI170=$BU$11,"Нет",30/CK170)))))))</f>
        <v>0</v>
      </c>
      <c r="CX170" s="133">
        <f>IF(Исходн.данные.!$AG170=$BV$11,MAX(CU170:CW170),IF(OR(Исходн.данные.!$AH170=$BS$8,Исходн.данные.!$AH170=$BQ$9,Исходн.данные.!$AH170=$BQ$10,Исходн.данные.!$AH170=$BQ$11,Исходн.данные.!$AH170=$BQ$12,Исходн.данные.!$AH170=$BP$3,Исходн.данные.!$AH170=$BT$8,$FM170="Да"),CV170,MIN(CU170:CW170)))</f>
        <v>0</v>
      </c>
      <c r="CY170" s="133">
        <f>IF(Исходн.данные.!AH170=0,0,IF(CR170&gt;$CX170,$CX170,CR170))</f>
        <v>0</v>
      </c>
      <c r="CZ170" s="133">
        <f>IF(Исходн.данные.!AH170=0,0,IF(CS170&gt;$CX170,$CX170,CS170))</f>
        <v>0</v>
      </c>
      <c r="DA170" s="133">
        <f>IF(Исходн.данные.!AH170=0,0,IF(CT170&gt;$CX170,$CX170,CT170))</f>
        <v>0</v>
      </c>
      <c r="DB170" s="10">
        <f t="shared" si="242"/>
        <v>0</v>
      </c>
      <c r="DC170" s="39">
        <f>DB170*Исходн.данные.!AJ170/1000</f>
        <v>0</v>
      </c>
      <c r="DD170" s="71">
        <f t="shared" si="243"/>
        <v>0</v>
      </c>
      <c r="DE170" s="9">
        <f t="shared" si="244"/>
        <v>0</v>
      </c>
      <c r="DF170" s="9">
        <f t="shared" si="245"/>
        <v>0</v>
      </c>
      <c r="DG170" s="39">
        <f>IF(BL170&lt;0,0,IF($CH170="Нет",BL170,IF(OR(Исходн.данные.!$AH170=$BP$1,Исходн.данные.!$AH170=$BP$2),0,IF(Исходн.данные.!AI170=$BU$11,BL170,IF(BL170-DD170&lt;0,0,BL170-DD170)))))</f>
        <v>0</v>
      </c>
      <c r="DH170" s="39">
        <f>IF(BM170&lt;0,0,IF($CH170="Нет",BM170,IF(OR(Исходн.данные.!$AH170=$BP$1,Исходн.данные.!$AH170=$BP$2),0,IF(Исходн.данные.!AJ170=$BU$11,BM170,IF(BM170-DE170&lt;0,0,BM170-DE170)))))</f>
        <v>0</v>
      </c>
      <c r="DI170" s="39">
        <f>IF(BN170&lt;0,0,IF($CH170="Нет",BN170,IF(OR(Исходн.данные.!$AH170=$BP$1,Исходн.данные.!$AH170=$BP$2),0,IF(Исходн.данные.!AK170=$BU$11,BN170,IF(BN170-DF170&lt;0,0,BN170-DF170)))))</f>
        <v>0</v>
      </c>
      <c r="DJ170" s="12">
        <f t="shared" si="246"/>
        <v>0</v>
      </c>
      <c r="DK170" s="9">
        <f t="shared" si="247"/>
        <v>0</v>
      </c>
      <c r="DL170" s="39">
        <f>IF(Исходн.данные.!AM170&gt;0,Исходн.данные.!AM170,IF(EG170&gt;0,$BH$10,0))</f>
        <v>0</v>
      </c>
      <c r="DM170" s="186">
        <f>IF($DL170=0,0,IF(Исходн.данные.!AM170&gt;0,VLOOKUP($DL170,АшламаДВ_Irekle,2,FALSE),VLOOKUP($DL170,АшламаДВ_Gomumy,2,FALSE)))</f>
        <v>0</v>
      </c>
      <c r="DN170" s="10">
        <f t="shared" si="225"/>
        <v>0</v>
      </c>
      <c r="DO170" s="9" t="str">
        <f>IF(Исходн.данные.!AN170&gt;0,Исходн.данные.!AN170,Удобрения!$B$37 )</f>
        <v>Хлор.калий</v>
      </c>
      <c r="DP170" s="9">
        <f>IF(Исходн.данные.!AN170&gt;0,VLOOKUP(Исходн.данные.!AN170,АшламаДВ_Irekle,4,FALSE),VLOOKUP(DO170,АшламаДВ_Gomumy,4,FALSE))</f>
        <v>0.6</v>
      </c>
      <c r="DQ170" s="10">
        <f t="shared" si="226"/>
        <v>0</v>
      </c>
      <c r="DR170" s="132" t="str">
        <f>IF(Исходн.данные.!AO170&gt;0,Исходн.данные.!AO170,IF(DH170=0,BS$17,IF(AND($DK170=0,$DJ170&gt;0),EJ170,EN170)))</f>
        <v>Нет</v>
      </c>
      <c r="DS170" s="70" t="str">
        <f>IF($DR170="Нет","Нет",IF(Исходн.данные.!$AO170&gt;0,VLOOKUP($DR170,АшламаДВ_Irekle,2,FALSE),VLOOKUP($DR170,АшламаДВ_Gomumy,2,FALSE)))</f>
        <v>Нет</v>
      </c>
      <c r="DT170" s="70" t="str">
        <f>IF($DR170="Нет","Нет",IF(Исходн.данные.!$AO170&gt;0,VLOOKUP($DR170,АшламаДВ_Irekle,3,FALSE),VLOOKUP($DR170,АшламаДВ_Gomumy,3,FALSE)))</f>
        <v>Нет</v>
      </c>
      <c r="DU170" s="70" t="str">
        <f>IF($DR170="Нет","Нет",IF(Исходн.данные.!$AO170&gt;0,VLOOKUP($DR170,АшламаДВ_Irekle,4,FALSE),VLOOKUP($DR170,АшламаДВ_Gomumy,4,FALSE)))</f>
        <v>Нет</v>
      </c>
      <c r="DV170" s="70"/>
      <c r="DW170" s="70"/>
      <c r="DX170" s="70"/>
      <c r="DY170" s="10">
        <f t="shared" si="248"/>
        <v>0</v>
      </c>
      <c r="DZ170" s="10">
        <f t="shared" si="249"/>
        <v>0</v>
      </c>
      <c r="EA170" s="10">
        <f t="shared" si="250"/>
        <v>0</v>
      </c>
      <c r="EB170" s="10">
        <f t="shared" si="251"/>
        <v>0</v>
      </c>
      <c r="EC170" s="10">
        <f t="shared" si="252"/>
        <v>0</v>
      </c>
      <c r="ED170" s="10">
        <f t="shared" si="253"/>
        <v>0</v>
      </c>
      <c r="EE170" s="10">
        <f t="shared" si="254"/>
        <v>0</v>
      </c>
      <c r="EF170" s="39">
        <f>EB170*Исходн.данные.!AJ170/1000</f>
        <v>0</v>
      </c>
      <c r="EG170" s="9">
        <f t="shared" si="255"/>
        <v>0</v>
      </c>
      <c r="EH170" s="9">
        <f t="shared" si="256"/>
        <v>0</v>
      </c>
      <c r="EI170" s="39" t="e">
        <f t="shared" si="206"/>
        <v>#DIV/0!</v>
      </c>
      <c r="EJ170" s="9" t="str">
        <f t="shared" si="227"/>
        <v>Азопреципитат</v>
      </c>
      <c r="EK170" s="12">
        <f t="shared" si="207"/>
        <v>0.26</v>
      </c>
      <c r="EL170" s="12">
        <f t="shared" si="208"/>
        <v>0.13</v>
      </c>
      <c r="EM170" s="12">
        <f t="shared" si="209"/>
        <v>0</v>
      </c>
      <c r="EN170" s="12" t="str">
        <f t="shared" si="228"/>
        <v>Нет</v>
      </c>
      <c r="EO170" s="12">
        <f t="shared" si="210"/>
        <v>0</v>
      </c>
      <c r="EP170" s="12">
        <f t="shared" si="211"/>
        <v>0</v>
      </c>
      <c r="EQ170" s="12">
        <f t="shared" si="212"/>
        <v>0</v>
      </c>
      <c r="ER170" s="12" t="str">
        <f t="shared" si="257"/>
        <v>Диаммофоска</v>
      </c>
      <c r="ES170" s="12">
        <f t="shared" si="213"/>
        <v>0.1</v>
      </c>
      <c r="ET170" s="12">
        <f t="shared" si="214"/>
        <v>0.26</v>
      </c>
      <c r="EU170" s="12">
        <f t="shared" si="215"/>
        <v>0.26</v>
      </c>
      <c r="EV170" s="12" t="str">
        <f t="shared" si="258"/>
        <v>Аммофос 12:52:00</v>
      </c>
      <c r="EW170" s="12" t="str">
        <f t="shared" si="259"/>
        <v>Кемира Свекловичное-6</v>
      </c>
      <c r="EX170" s="12">
        <f t="shared" si="216"/>
        <v>0.16</v>
      </c>
      <c r="EY170" s="12">
        <f t="shared" si="217"/>
        <v>0.12</v>
      </c>
      <c r="EZ170" s="12">
        <f t="shared" si="218"/>
        <v>0.17</v>
      </c>
      <c r="FA170" s="38" t="e">
        <f>IF(AND(OR(FJ170=$FD$1,FM170=$FD$1,FO170=$FD$1,FQ170=$FD$1,FS170=$FD$1),FD170=$FD$1,Исходн.данные.!J170&lt;2,FU170=$FD$1),"Бор,Кобальт",IF(AND(FO170=$FD$1,FH170=$FD$1,Исходн.данные.!J170&lt;2,FU170=$FD$1),"Бор,Кобальт",IF(AND(OR(FJ170=$FD$1,FM170=$FD$1,FQ170=$FD$1),FE170=$FD$1,Исходн.данные.!J170&lt;2,FT170=$FD$1,FU170=$FD$1),"Бор,Медь,Цинк",IF(AND(OR(FJ170=$FD$1,FR170="Да"),FI170="Да",Исходн.данные.!J170&lt;2,FT170="Да",FU170="Да"),"Бор,Цинк,Медь",IF(AND(OR(FM170="Да",FQ170="Да"),FI170="Да",Исходн.данные.!J170&lt;2,FT170="Да",FU170="Да"),"Бор,Цинк",IF(AND(FN170="Да",OR(FD170="Да",FE170="Да")),"Бор",FB170))))))</f>
        <v>#N/A</v>
      </c>
      <c r="FB170" s="134" t="e">
        <f>IF(AND(OR(FD170="Да",FE170="Да",FF170="Да",FG170="Да",FH170="Да"),FO170="Да"),"Бор",IF(AND(FP170="Да",OR(FD170="Да",FE170="Да",FI170="Да")),"Бор",IF(AND(FS170="Да",FE170="Да"),"Бор,Медь",IF(AND(OR(FJ170="Да",FK170="Да",FL170="Да"),FE170="Да",Исходн.данные.!I170&lt;5,FT170="Да",FU170="Да"),"Молибден,Цинк",IF(AND(FM170="Да",OR(FE170="Да",FF170="Да",FG170="Да",FH170="Да",FI170="Да")),"Молибден,Цинк",IF(AND(OR(FJ170="Да",FK170="Да",FL170="Да",FM170="Да",FQ170="Да"),OR(FE170="Да",FF170="Да"),FT170="Да",FU170="Да",Исходн.данные.!I170&gt;5.5),"Медь,Цинк",FC170))))))</f>
        <v>#N/A</v>
      </c>
      <c r="FC170" s="23" t="e">
        <f t="shared" si="260"/>
        <v>#N/A</v>
      </c>
      <c r="FD170" s="38" t="str">
        <f>IF(OR(Исходн.данные.!F170=$CC$1,Исходн.данные.!F170=$CC$2,Исходн.данные.!F170=$CC$3,Исходн.данные.!F170=$CC$4),"Да","Нет")</f>
        <v>Нет</v>
      </c>
      <c r="FE170" s="38" t="str">
        <f>IF(Исходн.данные.!F170=$CC$5,"Да","Нет")</f>
        <v>Нет</v>
      </c>
      <c r="FF170" s="38" t="str">
        <f>IF(OR(Исходн.данные.!F170=$CC$6,Исходн.данные.!F170=$CC$7),"Да","Нет")</f>
        <v>Нет</v>
      </c>
      <c r="FG170" s="38" t="str">
        <f>IF(OR(Исходн.данные.!F170=$CC$8,Исходн.данные.!F170=$CC$9),"Да","Нет")</f>
        <v>Нет</v>
      </c>
      <c r="FH170" s="38" t="str">
        <f>IF(Исходн.данные.!F170=$CC$10,"Да","Нет")</f>
        <v>Нет</v>
      </c>
      <c r="FI170" s="38" t="str">
        <f>IF(OR(Исходн.данные.!F170=$CC$11,Исходн.данные.!F170=$CC$12),"Да","Нет")</f>
        <v>Нет</v>
      </c>
      <c r="FJ170" s="38" t="str">
        <f>IF(OR(Исходн.данные.!AH170=$BS$1,Исходн.данные.!AH170=$BQ$11,Исходн.данные.!AH170=$BQ$12),"Да","Нет")</f>
        <v>Нет</v>
      </c>
      <c r="FK170" s="38" t="str">
        <f>IF(OR(Исходн.данные.!AH170=$BS$2,Исходн.данные.!AH170=$BS$4),"Да","Нет")</f>
        <v>Нет</v>
      </c>
      <c r="FL170" s="38" t="str">
        <f>IF(OR(Исходн.данные.!AH170=$BS$3,Исходн.данные.!AH170=$BS$5),"Да","Нет")</f>
        <v>Нет</v>
      </c>
      <c r="FM170" s="38" t="str">
        <f>IF(OR(Исходн.данные.!AH170=$BS$9,Исходн.данные.!AH170=$BS$10,Исходн.данные.!AH170=$BS$11,Исходн.данные.!AH170=$BS$12),"Да","Нет")</f>
        <v>Нет</v>
      </c>
      <c r="FN170" s="38" t="str">
        <f>IF(OR(Исходн.данные.!AH170=$BS$6,Исходн.данные.!AH170=$BP$3),"Да","Нет")</f>
        <v>Нет</v>
      </c>
      <c r="FO170" s="38" t="str">
        <f>IF(Исходн.данные.!AH170=$BQ$9,"Да","Нет")</f>
        <v>Нет</v>
      </c>
      <c r="FP170" s="38" t="str">
        <f>IF(OR(Исходн.данные.!AH170=$BS$8,Исходн.данные.!AH170=$BT$8),"Да","Нет")</f>
        <v>Нет</v>
      </c>
      <c r="FQ170" s="38" t="str">
        <f>IF(OR(Исходн.данные.!AH170=$BQ$7,Исходн.данные.!AH170=$BQ$8),"Да","Нет")</f>
        <v>Нет</v>
      </c>
      <c r="FR170" s="38" t="str">
        <f>IF(Исходн.данные.!AI170=$BU$9,"Да","Нет")</f>
        <v>Нет</v>
      </c>
      <c r="FS170" s="38" t="str">
        <f>IF(OR(Исходн.данные.!AH170=$BP$1,Исходн.данные.!AH170=$BP$2),"Да","Нет")</f>
        <v>Нет</v>
      </c>
      <c r="FT170" s="38" t="e">
        <f>IF((Исходн.данные.!K170*GO170*GS170*GW170+BL170*0.6+Исходн.данные.!Q170*4.5*0.275)&gt;90,"Да","Нет")</f>
        <v>#N/A</v>
      </c>
      <c r="FU170" s="38" t="e">
        <f>IF((Исходн.данные.!M170*GS170*GZ170+BM170*0.225)&gt;35,"Да","Нет")</f>
        <v>#N/A</v>
      </c>
      <c r="FV170" s="38" t="str">
        <f>IF(Исходн.данные.!O170&gt;175,"Да","Нет")</f>
        <v>Нет</v>
      </c>
      <c r="FW170" s="39" t="str">
        <f>IF(Исходн.данные.!I170&gt;5.5,"Да","Нет")</f>
        <v>Нет</v>
      </c>
      <c r="FX170" s="39" t="str">
        <f>IF(Исходн.данные.!J170&lt;2,"Да","Нет")</f>
        <v>Да</v>
      </c>
      <c r="FY170" s="39" t="e">
        <f>IF(HF170=$FY$16,0,Исходн.данные.!K170*GO170*GS170*GW170/HF170)</f>
        <v>#N/A</v>
      </c>
      <c r="FZ170" s="39" t="e">
        <f>Исходн.данные.!M170*GS170*GZ170/HG170</f>
        <v>#N/A</v>
      </c>
      <c r="GA170" s="39" t="e">
        <f>IF(K_Wyn=$FY$16,0,IF(Исходн.данные.!N170=Исходн.данные.!$L$10,Исходн.данные.!O170/1.1*GS170*HC170/HH170,IF(Исходн.данные.!N170=Исходн.данные.!$L$12,Исходн.данные.!O170/1.5*GS170*HC170/HH170,Исходн.данные.!O170*GS170*HC170/HH170)))</f>
        <v>#N/A</v>
      </c>
      <c r="GB170" s="39" t="e">
        <f>IF(HF170=$FY$16,0,((Исходн.данные.!Q170*N_Org+Исходн.данные.!R170*N_Sider+Исходн.данные.!S170*N_Soloma)*AO170+Расчет!BC170*VLOOKUP(Исходн.данные.!T170,Справ!$A$3:$O$57,15)*AO170+BB170*VLOOKUP(Исходн.данные.!T170,Справ!$A$3:$O$57,15)*AL170+(Исходн.данные.!V170*N_Rizotorf+Исходн.данные.!W170*N_Rizoagr))/HF170)</f>
        <v>#N/A</v>
      </c>
      <c r="GC170" s="39" t="e">
        <f>IF(HG170=$FY$16,0,((Исходн.данные.!Q170*Р_Org+Исходн.данные.!R170*P_Sider+Исходн.данные.!S170*P_Soloma)*AP170+Расчет!BC170*VLOOKUP(Исходн.данные.!T170,Справ!$A$3:$P$57,16)*AP170+BB170*VLOOKUP(Исходн.данные.!T170,Справ!$A$3:$P$57,16)*AM170)/HG170)</f>
        <v>#N/A</v>
      </c>
      <c r="GD170" s="39" t="e">
        <f>IF(HH170=$FY$16,0,((Исходн.данные.!Q170*К_Org+Исходн.данные.!R170*K_Sider+Исходн.данные.!S170*K_Soloma)*AQ170+Расчет!BC170*VLOOKUP(Исходн.данные.!T170,Справ!$A$3:$Q$57,17)*AQ170+BB170*VLOOKUP(Исходн.данные.!T170,Справ!$A$3:$Q$57,17)*AN170)/HH170)</f>
        <v>#N/A</v>
      </c>
      <c r="GE170" s="39" t="e">
        <f>IF(HF170=$FY$16,0,(Исходн.данные.!X170*AR170+Исходн.данные.!AA170*N_Org*AL170+Исходн.данные.!AB170*N_Sider*AL170+Исходн.данные.!AC170*N_Soloma*AL170)/HF170)</f>
        <v>#N/A</v>
      </c>
      <c r="GF170" s="39" t="e">
        <f>IF(HG170=$FY$16,0,(Исходн.данные.!Y170*AS170+Исходн.данные.!AA170*Р_Org*AM170+Исходн.данные.!AB170*P_Sider*AM170+Исходн.данные.!AC170*P_Soloma*AM170)/HG170)</f>
        <v>#N/A</v>
      </c>
      <c r="GG170" s="39" t="e">
        <f>IF(HH170=$FY$16,0,(Исходн.данные.!Z170*AT170+Исходн.данные.!AA170*К_Org*AN170+Исходн.данные.!AB170*K_Sider*AN170+Исходн.данные.!AC170*K_Soloma*AN170)/HH170)</f>
        <v>#N/A</v>
      </c>
      <c r="GH170" s="39" t="e">
        <f>Исходн.данные.!AD170*AU170/HF170</f>
        <v>#N/A</v>
      </c>
      <c r="GI170" s="39" t="e">
        <f>Исходн.данные.!AE170*AV170/HG170</f>
        <v>#N/A</v>
      </c>
      <c r="GJ170" s="39" t="e">
        <f>Исходн.данные.!AF170*AW170/HH170</f>
        <v>#N/A</v>
      </c>
      <c r="GK170" s="55">
        <f>Исходн.данные.!AK170</f>
        <v>0</v>
      </c>
      <c r="GL170" s="11" t="e">
        <f t="shared" si="261"/>
        <v>#N/A</v>
      </c>
      <c r="GM170" s="11" t="e">
        <f t="shared" si="262"/>
        <v>#N/A</v>
      </c>
      <c r="GN170" s="11" t="e">
        <f t="shared" si="263"/>
        <v>#N/A</v>
      </c>
      <c r="GO170" s="57">
        <f t="shared" si="264"/>
        <v>19</v>
      </c>
      <c r="GP170" s="55">
        <f>IF(OR(Исходн.данные.!F170=$CE$1,Исходн.данные.!F170=$CE$2,Исходн.данные.!F170=$CE$3,Исходн.данные.!F170=$CE$4,Исходн.данные.!F170=$CE$5),GQ170,GR170)</f>
        <v>19</v>
      </c>
      <c r="GQ170" s="55">
        <f>IF(Исходн.данные.!F170=$CE$1,28,IF(Исходн.данные.!F170=$CE$2,26,IF(Исходн.данные.!F170=$CE$3,24,IF(Исходн.данные.!F170=$CE$4,22,IF(Исходн.данные.!F170=$CE$5,20,GR170)))))</f>
        <v>19</v>
      </c>
      <c r="GR170" s="55">
        <f>IF(Исходн.данные.!F170=$CE$6,18,IF(Исходн.данные.!F170=$CE$7,16,IF(Исходн.данные.!F170=$CE$8,14,IF(Исходн.данные.!F170=$CE$9,13,IF(Исходн.данные.!F170=$CE$10,12,19)))))</f>
        <v>19</v>
      </c>
      <c r="GS170" s="55">
        <f>IF(Исходн.данные.!G170="Пес",0.035*(40+2*Исходн.данные.!H170),IF(Исходн.данные.!G170="Суп",0.0325*(40+2*Исходн.данные.!H170),0.03*(40+2*Исходн.данные.!H170)))</f>
        <v>1.2</v>
      </c>
      <c r="GT170" s="55">
        <f>IF(Исходн.данные.!H170&lt;23,2.6,IF(AND(Исходн.данные.!H170&gt;22,Исходн.данные.!H170&lt;26),3,IF(AND(Исходн.данные.!H170&gt;25,Исходн.данные.!H170&lt;29),3.4,3.6)))</f>
        <v>2.6</v>
      </c>
      <c r="GU170" s="55">
        <f>IF(Исходн.данные.!H170&lt;23,2.8,IF(AND(Исходн.данные.!H170&gt;22,Исходн.данные.!H170&lt;26),3.2,IF(AND(Исходн.данные.!H170&gt;25,Исходн.данные.!H170&lt;29),3.6,3.9)))</f>
        <v>2.8</v>
      </c>
      <c r="GV170" s="55">
        <f>IF(Исходн.данные.!H170&lt;23,3,IF(AND(Исходн.данные.!H170&gt;22,Исходн.данные.!H170&lt;26),3.5,IF(AND(Исходн.данные.!H170&gt;25,Исходн.данные.!H170&lt;29),3.9,4.2)))</f>
        <v>3</v>
      </c>
      <c r="GW170" s="55" t="e">
        <f>IF(Исходн.данные.!P170="Ум",GX170,GY170)</f>
        <v>#N/A</v>
      </c>
      <c r="GX170" s="55" t="e">
        <f>VLOOKUP(Исходн.данные.!AI170,Коэффициенты!$J$7:$L$13,2,FALSE)</f>
        <v>#N/A</v>
      </c>
      <c r="GY170" s="55" t="e">
        <f>VLOOKUP(Исходн.данные.!AI170,Коэффициенты!$J$7:$L$13,3,FALSE)</f>
        <v>#N/A</v>
      </c>
      <c r="GZ170" s="55" t="e">
        <f>(IF(Исходн.данные.!M170&lt;50,0.11*VLOOKUP(Исходн.данные.!AH170,Культуры.Информация,7,FALSE),IF(Исходн.данные.!M170&gt;250,0.05*VLOOKUP(Исходн.данные.!AH170,Культуры.Информация,7,FALSE),VLOOKUP(Исходн.данные.!AH170,Культуры.Информация,5,FALSE)/100*($GX$6+$GY$6*Исходн.данные.!M170))))*Расчет2!AI170</f>
        <v>#N/A</v>
      </c>
      <c r="HA170" s="211"/>
      <c r="HB170" s="211"/>
      <c r="HC170" s="55" t="e">
        <f>(IF(Исходн.данные.!O170&lt;80,0.2*VLOOKUP(Исходн.данные.!AH170,Культуры.Информация,8,FALSE),IF(Исходн.данные.!O170&gt;240,0.09*VLOOKUP(Исходн.данные.!AH170,Культуры.Информация,8,FALSE),VLOOKUP(Исходн.данные.!AH170,Культуры.Информация,6,FALSE)/100*($HB$6+$HC$6*Исходн.данные.!O170))))*Расчет2!AJ170</f>
        <v>#N/A</v>
      </c>
      <c r="HD170" s="55">
        <f>IF(Исходн.данные.!O170&gt;240,0.09,IF(Исходн.данные.!O170&lt;30,0.3,$HE$10+$HD$10*Исходн.данные.!O170))</f>
        <v>0.3</v>
      </c>
      <c r="HE170" s="55">
        <f>IF(Исходн.данные.!O170&gt;240,0.17,IF(Исходн.данные.!O170&lt;30,0.5,$HF$12+$HE$12*Исходн.данные.!O170))</f>
        <v>0.5</v>
      </c>
      <c r="HF170" s="55" t="e">
        <f>VLOOKUP(Исходн.данные.!AH170,Справ!$A$3:$D$58,2,FALSE)</f>
        <v>#N/A</v>
      </c>
      <c r="HG170" s="55" t="e">
        <f>VLOOKUP(Исходн.данные.!AH170,Справ!$A$3:$D$58,3,FALSE)</f>
        <v>#N/A</v>
      </c>
      <c r="HH170" s="55" t="e">
        <f>VLOOKUP(Исходн.данные.!AH170,Справ!$A$3:$D$58,4,FALSE)</f>
        <v>#N/A</v>
      </c>
      <c r="HI170" s="11" t="e">
        <f t="shared" si="265"/>
        <v>#N/A</v>
      </c>
      <c r="HJ170" s="11" t="e">
        <f t="shared" si="266"/>
        <v>#N/A</v>
      </c>
      <c r="HK170" s="11" t="e">
        <f t="shared" si="267"/>
        <v>#N/A</v>
      </c>
      <c r="HL170" s="55">
        <f>IF(OR(Исходн.данные.!G170="Глин",Исходн.данные.!G170="Т_суг"),1.1,IF(Исходн.данные.!G170="Ср_суг",1,1))</f>
        <v>1</v>
      </c>
      <c r="HM170" s="55">
        <f>IF(OR(Исходн.данные.!G170="Глин",Исходн.данные.!G170="Т_суг"),0.9,IF(Исходн.данные.!G170="Ср_суг",1,1.2))</f>
        <v>1.2</v>
      </c>
      <c r="HN170" s="11" t="e">
        <f t="shared" si="268"/>
        <v>#N/A</v>
      </c>
      <c r="HO170" s="11" t="e">
        <f t="shared" si="269"/>
        <v>#N/A</v>
      </c>
      <c r="HP170" s="11" t="e">
        <f t="shared" si="270"/>
        <v>#N/A</v>
      </c>
      <c r="HQ170" t="e">
        <f t="shared" si="271"/>
        <v>#N/A</v>
      </c>
      <c r="HR170" t="e">
        <f t="shared" si="272"/>
        <v>#N/A</v>
      </c>
      <c r="HS170" t="e">
        <f t="shared" si="273"/>
        <v>#N/A</v>
      </c>
      <c r="HT170" t="e">
        <f t="shared" si="219"/>
        <v>#N/A</v>
      </c>
      <c r="HU170" t="e">
        <f t="shared" si="220"/>
        <v>#N/A</v>
      </c>
      <c r="HV170" t="e">
        <f t="shared" si="221"/>
        <v>#N/A</v>
      </c>
      <c r="HW170" t="e">
        <f t="shared" si="222"/>
        <v>#N/A</v>
      </c>
      <c r="HX170" t="e">
        <f t="shared" si="223"/>
        <v>#N/A</v>
      </c>
      <c r="HY170" t="e">
        <f t="shared" si="224"/>
        <v>#N/A</v>
      </c>
      <c r="HZ170" s="55">
        <f>IF(OR(Исходн.данные.!AI170="Оз_Ч_П",Исходн.данные.!AI170="Оз_З_П",Исходн.данные.!AI170="Яр_зер"),12,30)</f>
        <v>30</v>
      </c>
      <c r="IA170" t="e">
        <f t="shared" si="274"/>
        <v>#N/A</v>
      </c>
      <c r="IB170" t="e">
        <f t="shared" si="275"/>
        <v>#N/A</v>
      </c>
      <c r="IC170" t="e">
        <f t="shared" si="276"/>
        <v>#N/A</v>
      </c>
      <c r="ID170" s="11" t="e">
        <f t="shared" si="277"/>
        <v>#N/A</v>
      </c>
      <c r="IE170" s="11" t="e">
        <f t="shared" si="278"/>
        <v>#N/A</v>
      </c>
      <c r="IF170" s="11" t="e">
        <f t="shared" si="279"/>
        <v>#N/A</v>
      </c>
    </row>
    <row r="171" spans="35:240" x14ac:dyDescent="0.2">
      <c r="AI171">
        <f>IF(Исходн.данные.!I171&gt;6,1,1.85-(0.148*Исходн.данные.!I171))</f>
        <v>1.85</v>
      </c>
      <c r="AJ171">
        <f>IF(Исходн.данные.!I171&gt;6,1,2.434-(0.246*Исходн.данные.!I171))</f>
        <v>2.4340000000000002</v>
      </c>
      <c r="AL171" s="148" t="b">
        <f>IF(Исходн.данные.!$P171="Ум",N_OrgUd_2g_um,IF(Исходн.данные.!$P171="Об",N_OrgUd_2g_ob))</f>
        <v>0</v>
      </c>
      <c r="AM171" s="148" t="b">
        <f>IF(Исходн.данные.!$P171="Ум",P_OrgUd_2g_um,IF(Исходн.данные.!$P171="Об",P_OrgUd_2g_ob))</f>
        <v>0</v>
      </c>
      <c r="AN171" s="148" t="b">
        <f>IF(Исходн.данные.!$P171="Ум",K_OrgUd_2g_um,IF(Исходн.данные.!$P171="Об",K_OrgUd_2g_ob))</f>
        <v>0</v>
      </c>
      <c r="AO171" s="148" t="b">
        <f>IF(Исходн.данные.!$P171="Ум",N_OrgUd_1g_um,IF(Исходн.данные.!$P171="Об",N_OrgUd_1g_ob))</f>
        <v>0</v>
      </c>
      <c r="AP171" s="148" t="b">
        <f>IF(Исходн.данные.!$P171="Ум",P_OrgUd_1g_um,IF(Исходн.данные.!$P171="Об",P_OrgUd_1g_ob))</f>
        <v>0</v>
      </c>
      <c r="AQ171" s="148" t="b">
        <f>IF(Исходн.данные.!$P171="Ум",K_OrgUd_1g_um,IF(Исходн.данные.!$P171="Об",K_OrgUd_1g_ob))</f>
        <v>0</v>
      </c>
      <c r="AR171" t="b">
        <f>IF(Исходн.данные.!$P171="Ум",N_MinUd_2g_um,IF(Исходн.данные.!$P171="Об",N_MinUd_2g_ob))</f>
        <v>0</v>
      </c>
      <c r="AS171" t="b">
        <f>IF(Исходн.данные.!$P171="Ум",P_MinUd_2g_um,IF(Исходн.данные.!$P171="Об",P_MinUd_2g_ob))</f>
        <v>0</v>
      </c>
      <c r="AT171" t="b">
        <f>IF(Исходн.данные.!$P171="Ум",K_MinUd_2g_um,IF(Исходн.данные.!$P171="Об",K_MinUd_2g_ob))</f>
        <v>0</v>
      </c>
      <c r="AU171" t="b">
        <f>IF(Исходн.данные.!$P171="Ум",N_MinUd_1g_um,IF(Исходн.данные.!$P171="Об",N_MinUd_1g_ob))</f>
        <v>0</v>
      </c>
      <c r="AV171" t="b">
        <f>IF(Исходн.данные.!P171="Ум",P_MinUd_1g_um,IF(Исходн.данные.!P171="Об",P_MinUd_1g_ob))</f>
        <v>0</v>
      </c>
      <c r="AW171" t="b">
        <f>IF(Исходн.данные.!P171="Ум",K_MinUd_1g_um,IF(Исходн.данные.!P171="Об",K_MinUd_1g_ob))</f>
        <v>0</v>
      </c>
      <c r="AY171" t="e">
        <f>VLOOKUP(Исходн.данные.!T171,Справ!$A$3:$N$57,12)</f>
        <v>#N/A</v>
      </c>
      <c r="AZ171" t="e">
        <f>VLOOKUP(Исходн.данные.!T171,Справ!$A$3:$N$57,13)</f>
        <v>#N/A</v>
      </c>
      <c r="BA171" t="e">
        <f>VLOOKUP(Исходн.данные.!T171,Справ!$A$3:$N$57,14)</f>
        <v>#N/A</v>
      </c>
      <c r="BB171">
        <f>IF(Исходн.данные.!AH171=0,0,25)</f>
        <v>0</v>
      </c>
      <c r="BC171" s="141">
        <f>IF(Исходн.данные.!AH171=0,0,IF(Исходн.данные.!T171=0,25,BD171))</f>
        <v>0</v>
      </c>
      <c r="BD171" s="168" t="e">
        <f>AY171+AZ171*Исходн.данные.!U171-POWER(BA171,2)*Исходн.данные.!U171</f>
        <v>#N/A</v>
      </c>
      <c r="BE17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1" s="25">
        <f>IF(Исходн.данные.!AH171=0,0,MIN(HN171:HP171))</f>
        <v>0</v>
      </c>
      <c r="BG171" s="9">
        <f>IF(Исходн.данные.!AH171=0,0,IF((HO171+10*0.25/HG171/HL171)&lt;17,17,HO171+10*0.25/HG171/HL171))</f>
        <v>0</v>
      </c>
      <c r="BH171" s="181">
        <f>IF(Исходн.данные.!AH171=0,0,HW171*HF171*HL171/AU171*AI171+Исходн.данные.!S171*10)</f>
        <v>0</v>
      </c>
      <c r="BI171" s="10"/>
      <c r="BJ171" s="182">
        <f>IF(Исходн.данные.!AH171=0,0,IF(HX171*HG171*HL171/AV171&lt;0,0,HX171*HG171*HL171/AV171*AJ171))</f>
        <v>0</v>
      </c>
      <c r="BK171" s="182">
        <f>IF(Исходн.данные.!AH171=0,0,HY171*HH171*HM171/AW171)</f>
        <v>0</v>
      </c>
      <c r="BL171" s="10">
        <f>IF(OR(Исходн.данные.!$AH171=$BP$1,Исходн.данные.!$AH171=$BP$2),0,IF(BH171&lt;0,0,IF(OR(Исходн.данные.!T171=Расчет!$BP$1,Исходн.данные.!T171=Расчет!$BP$2,Исходн.данные.!T171=Расчет!$BT$5,Исходн.данные.!T171=Расчет!$BT$6),BH171*0.5,IF(OR(Исходн.данные.!T171=Расчет!$BS$9,Исходн.данные.!T171=Расчет!$BS$10,Исходн.данные.!T171=Расчет!$BS$11,Исходн.данные.!T171=Расчет!$BS$12,Исходн.данные.!T171=Расчет!$BP$5),BH171*0.8,BH171))))</f>
        <v>0</v>
      </c>
      <c r="BM171" s="10">
        <f>IF(OR(Исходн.данные.!$AH171=$BP$1,Исходн.данные.!$AH171=$BP$2),0,IF(BJ171&lt;0,0,IF(Исходн.данные.!I171&lt;4.5,BJ171*1.2,IF(Исходн.данные.!I171&gt;5.1,BJ171,BJ171*((5.1-Исходн.данные.!I171)*0.333+1)))))</f>
        <v>0</v>
      </c>
      <c r="BN171" s="10">
        <f>IF(OR(Исходн.данные.!$AH171=$BP$1,Исходн.данные.!$AH171=$BP$2),60-Исходн.данные.!AF171,IF(BK171&lt;0,0,IF(Исходн.данные.!I171&lt;4.5,BK171*1.2,IF(Исходн.данные.!I171&gt;5.1,BK171,BK171*((5.1-Исходн.данные.!I171)*0.333+1)))))</f>
        <v>0</v>
      </c>
      <c r="BO171" s="9">
        <f>IF(BL171&lt;0,0,BL171*Исходн.данные.!$AJ171/1000)</f>
        <v>0</v>
      </c>
      <c r="BP171" s="9">
        <f>IF(BM171&lt;0,0,BM171*Исходн.данные.!$AJ171/1000)</f>
        <v>0</v>
      </c>
      <c r="BQ171" s="9">
        <f>IF(BN171&lt;0,0,BN171*Исходн.данные.!$AJ171/1000)</f>
        <v>0</v>
      </c>
      <c r="BR171" s="9">
        <f t="shared" si="229"/>
        <v>0</v>
      </c>
      <c r="BS171" s="10" t="str">
        <f t="shared" si="230"/>
        <v>Аммофос 12:52:00</v>
      </c>
      <c r="BT171" s="10" t="str">
        <f t="shared" si="231"/>
        <v>Аммофос 12:52:00</v>
      </c>
      <c r="BU171" s="10" t="str">
        <f t="shared" si="232"/>
        <v>Диаммофоска</v>
      </c>
      <c r="BV171" s="10">
        <f t="shared" si="233"/>
        <v>0</v>
      </c>
      <c r="BW171" s="10"/>
      <c r="BX171" s="10"/>
      <c r="BY171" s="9">
        <f>IF(BL171&lt;0,0,IF(OR(Исходн.данные.!AI171=Расчет!$BU$6,Исходн.данные.!AI171=Расчет!$BU$7),Расчет!BV171,IF(Исходн.данные.!$AG171=$BV$11,BL171,IF(OR(Исходн.данные.!$AH171=$BQ$7,Исходн.данные.!$AH171=$BQ$8),CB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0,IF(Исходн.данные.!$AI171=$BU$11,"Нет",IF(BL171&gt;30,30,BL171)))))))</f>
        <v>0</v>
      </c>
      <c r="BZ171" s="9">
        <f>IF(AND(Исходн.данные.!$AG171=$BV$11,BM171&lt;10),10,IF(Исходн.данные.!$AG171=$BV$11,BM171,IF(OR(Исходн.данные.!$AH171=$BQ$7,Исходн.данные.!$AH171=$BQ$8),CC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10,IF(Исходн.данные.!$AI171=$BU$11,"Нет",IF(BM171&gt;60,60,IF(BM171&lt;10,10,BM171)))))))</f>
        <v>10</v>
      </c>
      <c r="CA171" s="39">
        <f>IF(BN171&lt;0,0,IF(Исходн.данные.!$AG171=$BV$11,BN171,IF(OR(Исходн.данные.!$AH171=$BQ$7,Исходн.данные.!$AH171=$BQ$8),CD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0,IF(Исходн.данные.!$AI171=$BU$11,"Нет",IF(BN171&gt;30,30,BN171))))))</f>
        <v>0</v>
      </c>
      <c r="CB171" s="9">
        <f t="shared" si="234"/>
        <v>0</v>
      </c>
      <c r="CC171" s="9">
        <f t="shared" si="235"/>
        <v>0</v>
      </c>
      <c r="CD171" s="9">
        <f t="shared" si="236"/>
        <v>0</v>
      </c>
      <c r="CE171" s="12">
        <f t="shared" si="237"/>
        <v>10</v>
      </c>
      <c r="CF171" s="9">
        <f t="shared" si="238"/>
        <v>0</v>
      </c>
      <c r="CG171" s="9" t="s">
        <v>231</v>
      </c>
      <c r="CH171" s="132" t="str">
        <f>IF(Исходн.данные.!AP171=Расчет!$CI$16,"Нет",IF(Исходн.данные.!AL171&gt;0,Исходн.данные.!AL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BH$4,IF(OR(Исходн.данные.!AI171=Исходн.данные.!$AI$6,Исходн.данные.!AI171=Исходн.данные.!$AI$7),Расчет!BS171,IF(AND($CF171=0,$CE171&gt;0),EV171,ER171)))))</f>
        <v>Аммофос 12:52:00</v>
      </c>
      <c r="CI171" s="274">
        <f>IF(Расчет!$CH171="Нет","Нет",IF(Исходн.данные.!$AL171&gt;0,VLOOKUP(Расчет!$CH171,АшламаДВ_Irekle,2,FALSE),VLOOKUP(Расчет!$CH171,АшламаДВ_Gomumy,2,FALSE)))</f>
        <v>0.12</v>
      </c>
      <c r="CJ171" s="274">
        <f>IF(Расчет!$CH171="Нет","Нет",IF(Исходн.данные.!$AL171&gt;0,VLOOKUP(Расчет!$CH171,АшламаДВ_Irekle,3,FALSE),VLOOKUP(Расчет!$CH171,АшламаДВ_Gomumy,3,FALSE)))</f>
        <v>0.52</v>
      </c>
      <c r="CK171" s="274">
        <f>IF(Расчет!$CH171="Нет","Нет",IF(Исходн.данные.!$AL171&gt;0,VLOOKUP(Расчет!$CH171,АшламаДВ_Irekle,4,FALSE),VLOOKUP(Расчет!$CH171,АшламаДВ_Gomumy,4,FALSE)))</f>
        <v>0</v>
      </c>
      <c r="CL171" s="70"/>
      <c r="CM171" s="70"/>
      <c r="CN171" s="70"/>
      <c r="CO171" s="70"/>
      <c r="CP171" s="70"/>
      <c r="CQ171" s="70"/>
      <c r="CR171" s="10">
        <f t="shared" si="239"/>
        <v>0</v>
      </c>
      <c r="CS171" s="10">
        <f t="shared" si="240"/>
        <v>19.23076923076923</v>
      </c>
      <c r="CT171" s="10">
        <f t="shared" si="241"/>
        <v>0</v>
      </c>
      <c r="CU171" s="39">
        <f>IF($CH171="Нет",0,IF(CI171=0,30/MIN(CJ171:CK171),IF(Исходн.данные.!$AG171=$BV$11,CR171,IF(OR(Исходн.данные.!$AH171=$BQ$7,Исходн.данные.!$AH171=$BQ$8),90/CI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0,IF(Исходн.данные.!$AI171=$BU$11,"Нет",30/CI171))))))</f>
        <v>250</v>
      </c>
      <c r="CV171" s="39">
        <f>IF($CH171="Нет",0,IF(Исходн.данные.!AH171=0,0,IF(CJ171=0,60/MIN(CI171,CK171),IF(Исходн.данные.!$AG171=$BV$11,CS171,IF(OR(Исходн.данные.!$AH171=$BQ$7,Исходн.данные.!$AH171=$BQ$8),90/CJ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10/CJ171,IF(Исходн.данные.!$AI171=$BU$11,"Нет",60/CJ171)))))))</f>
        <v>0</v>
      </c>
      <c r="CW171" s="39">
        <f>IF($CH171="Нет",0,IF(Исходн.данные.!AH171=0,0,IF(CK171=0,30/MIN(CI171:CJ171),IF(Исходн.данные.!$AG171=$BV$11,CT171,IF(OR(Исходн.данные.!$AH171=$BQ$7,Исходн.данные.!$AH171=$BQ$8),90/CK171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0,IF(Исходн.данные.!$AI171=$BU$11,"Нет",30/CK171)))))))</f>
        <v>0</v>
      </c>
      <c r="CX171" s="133">
        <f>IF(Исходн.данные.!$AG171=$BV$11,MAX(CU171:CW171),IF(OR(Исходн.данные.!$AH171=$BS$8,Исходн.данные.!$AH171=$BQ$9,Исходн.данные.!$AH171=$BQ$10,Исходн.данные.!$AH171=$BQ$11,Исходн.данные.!$AH171=$BQ$12,Исходн.данные.!$AH171=$BP$3,Исходн.данные.!$AH171=$BT$8,$FM171="Да"),CV171,MIN(CU171:CW171)))</f>
        <v>0</v>
      </c>
      <c r="CY171" s="133">
        <f>IF(Исходн.данные.!AH171=0,0,IF(CR171&gt;$CX171,$CX171,CR171))</f>
        <v>0</v>
      </c>
      <c r="CZ171" s="133">
        <f>IF(Исходн.данные.!AH171=0,0,IF(CS171&gt;$CX171,$CX171,CS171))</f>
        <v>0</v>
      </c>
      <c r="DA171" s="133">
        <f>IF(Исходн.данные.!AH171=0,0,IF(CT171&gt;$CX171,$CX171,CT171))</f>
        <v>0</v>
      </c>
      <c r="DB171" s="10">
        <f t="shared" si="242"/>
        <v>0</v>
      </c>
      <c r="DC171" s="39">
        <f>DB171*Исходн.данные.!AJ171/1000</f>
        <v>0</v>
      </c>
      <c r="DD171" s="71">
        <f t="shared" si="243"/>
        <v>0</v>
      </c>
      <c r="DE171" s="9">
        <f t="shared" si="244"/>
        <v>0</v>
      </c>
      <c r="DF171" s="9">
        <f t="shared" si="245"/>
        <v>0</v>
      </c>
      <c r="DG171" s="39">
        <f>IF(BL171&lt;0,0,IF($CH171="Нет",BL171,IF(OR(Исходн.данные.!$AH171=$BP$1,Исходн.данные.!$AH171=$BP$2),0,IF(Исходн.данные.!AI171=$BU$11,BL171,IF(BL171-DD171&lt;0,0,BL171-DD171)))))</f>
        <v>0</v>
      </c>
      <c r="DH171" s="39">
        <f>IF(BM171&lt;0,0,IF($CH171="Нет",BM171,IF(OR(Исходн.данные.!$AH171=$BP$1,Исходн.данные.!$AH171=$BP$2),0,IF(Исходн.данные.!AJ171=$BU$11,BM171,IF(BM171-DE171&lt;0,0,BM171-DE171)))))</f>
        <v>0</v>
      </c>
      <c r="DI171" s="39">
        <f>IF(BN171&lt;0,0,IF($CH171="Нет",BN171,IF(OR(Исходн.данные.!$AH171=$BP$1,Исходн.данные.!$AH171=$BP$2),0,IF(Исходн.данные.!AK171=$BU$11,BN171,IF(BN171-DF171&lt;0,0,BN171-DF171)))))</f>
        <v>0</v>
      </c>
      <c r="DJ171" s="12">
        <f t="shared" si="246"/>
        <v>0</v>
      </c>
      <c r="DK171" s="9">
        <f t="shared" si="247"/>
        <v>0</v>
      </c>
      <c r="DL171" s="39">
        <f>IF(Исходн.данные.!AM171&gt;0,Исходн.данные.!AM171,IF(EG171&gt;0,$BH$10,0))</f>
        <v>0</v>
      </c>
      <c r="DM171" s="186">
        <f>IF($DL171=0,0,IF(Исходн.данные.!AM171&gt;0,VLOOKUP($DL171,АшламаДВ_Irekle,2,FALSE),VLOOKUP($DL171,АшламаДВ_Gomumy,2,FALSE)))</f>
        <v>0</v>
      </c>
      <c r="DN171" s="10">
        <f t="shared" si="225"/>
        <v>0</v>
      </c>
      <c r="DO171" s="9" t="str">
        <f>IF(Исходн.данные.!AN171&gt;0,Исходн.данные.!AN171,Удобрения!$B$37 )</f>
        <v>Хлор.калий</v>
      </c>
      <c r="DP171" s="9">
        <f>IF(Исходн.данные.!AN171&gt;0,VLOOKUP(Исходн.данные.!AN171,АшламаДВ_Irekle,4,FALSE),VLOOKUP(DO171,АшламаДВ_Gomumy,4,FALSE))</f>
        <v>0.6</v>
      </c>
      <c r="DQ171" s="10">
        <f t="shared" si="226"/>
        <v>0</v>
      </c>
      <c r="DR171" s="132" t="str">
        <f>IF(Исходн.данные.!AO171&gt;0,Исходн.данные.!AO171,IF(DH171=0,BS$17,IF(AND($DK171=0,$DJ171&gt;0),EJ171,EN171)))</f>
        <v>Нет</v>
      </c>
      <c r="DS171" s="70" t="str">
        <f>IF($DR171="Нет","Нет",IF(Исходн.данные.!$AO171&gt;0,VLOOKUP($DR171,АшламаДВ_Irekle,2,FALSE),VLOOKUP($DR171,АшламаДВ_Gomumy,2,FALSE)))</f>
        <v>Нет</v>
      </c>
      <c r="DT171" s="70" t="str">
        <f>IF($DR171="Нет","Нет",IF(Исходн.данные.!$AO171&gt;0,VLOOKUP($DR171,АшламаДВ_Irekle,3,FALSE),VLOOKUP($DR171,АшламаДВ_Gomumy,3,FALSE)))</f>
        <v>Нет</v>
      </c>
      <c r="DU171" s="70" t="str">
        <f>IF($DR171="Нет","Нет",IF(Исходн.данные.!$AO171&gt;0,VLOOKUP($DR171,АшламаДВ_Irekle,4,FALSE),VLOOKUP($DR171,АшламаДВ_Gomumy,4,FALSE)))</f>
        <v>Нет</v>
      </c>
      <c r="DV171" s="70"/>
      <c r="DW171" s="70"/>
      <c r="DX171" s="70"/>
      <c r="DY171" s="10">
        <f t="shared" si="248"/>
        <v>0</v>
      </c>
      <c r="DZ171" s="10">
        <f t="shared" si="249"/>
        <v>0</v>
      </c>
      <c r="EA171" s="10">
        <f t="shared" si="250"/>
        <v>0</v>
      </c>
      <c r="EB171" s="10">
        <f t="shared" si="251"/>
        <v>0</v>
      </c>
      <c r="EC171" s="10">
        <f t="shared" si="252"/>
        <v>0</v>
      </c>
      <c r="ED171" s="10">
        <f t="shared" si="253"/>
        <v>0</v>
      </c>
      <c r="EE171" s="10">
        <f t="shared" si="254"/>
        <v>0</v>
      </c>
      <c r="EF171" s="39">
        <f>EB171*Исходн.данные.!AJ171/1000</f>
        <v>0</v>
      </c>
      <c r="EG171" s="9">
        <f t="shared" si="255"/>
        <v>0</v>
      </c>
      <c r="EH171" s="9">
        <f t="shared" si="256"/>
        <v>0</v>
      </c>
      <c r="EI171" s="39" t="e">
        <f t="shared" si="206"/>
        <v>#DIV/0!</v>
      </c>
      <c r="EJ171" s="9" t="str">
        <f t="shared" si="227"/>
        <v>Азопреципитат</v>
      </c>
      <c r="EK171" s="12">
        <f t="shared" si="207"/>
        <v>0.26</v>
      </c>
      <c r="EL171" s="12">
        <f t="shared" si="208"/>
        <v>0.13</v>
      </c>
      <c r="EM171" s="12">
        <f t="shared" si="209"/>
        <v>0</v>
      </c>
      <c r="EN171" s="12" t="str">
        <f t="shared" si="228"/>
        <v>Нет</v>
      </c>
      <c r="EO171" s="12">
        <f t="shared" si="210"/>
        <v>0</v>
      </c>
      <c r="EP171" s="12">
        <f t="shared" si="211"/>
        <v>0</v>
      </c>
      <c r="EQ171" s="12">
        <f t="shared" si="212"/>
        <v>0</v>
      </c>
      <c r="ER171" s="12" t="str">
        <f t="shared" si="257"/>
        <v>Диаммофоска</v>
      </c>
      <c r="ES171" s="12">
        <f t="shared" si="213"/>
        <v>0.1</v>
      </c>
      <c r="ET171" s="12">
        <f t="shared" si="214"/>
        <v>0.26</v>
      </c>
      <c r="EU171" s="12">
        <f t="shared" si="215"/>
        <v>0.26</v>
      </c>
      <c r="EV171" s="12" t="str">
        <f t="shared" si="258"/>
        <v>Аммофос 12:52:00</v>
      </c>
      <c r="EW171" s="12" t="str">
        <f t="shared" si="259"/>
        <v>Кемира Свекловичное-6</v>
      </c>
      <c r="EX171" s="12">
        <f t="shared" si="216"/>
        <v>0.16</v>
      </c>
      <c r="EY171" s="12">
        <f t="shared" si="217"/>
        <v>0.12</v>
      </c>
      <c r="EZ171" s="12">
        <f t="shared" si="218"/>
        <v>0.17</v>
      </c>
      <c r="FA171" s="38" t="e">
        <f>IF(AND(OR(FJ171=$FD$1,FM171=$FD$1,FO171=$FD$1,FQ171=$FD$1,FS171=$FD$1),FD171=$FD$1,Исходн.данные.!J171&lt;2,FU171=$FD$1),"Бор,Кобальт",IF(AND(FO171=$FD$1,FH171=$FD$1,Исходн.данные.!J171&lt;2,FU171=$FD$1),"Бор,Кобальт",IF(AND(OR(FJ171=$FD$1,FM171=$FD$1,FQ171=$FD$1),FE171=$FD$1,Исходн.данные.!J171&lt;2,FT171=$FD$1,FU171=$FD$1),"Бор,Медь,Цинк",IF(AND(OR(FJ171=$FD$1,FR171="Да"),FI171="Да",Исходн.данные.!J171&lt;2,FT171="Да",FU171="Да"),"Бор,Цинк,Медь",IF(AND(OR(FM171="Да",FQ171="Да"),FI171="Да",Исходн.данные.!J171&lt;2,FT171="Да",FU171="Да"),"Бор,Цинк",IF(AND(FN171="Да",OR(FD171="Да",FE171="Да")),"Бор",FB171))))))</f>
        <v>#N/A</v>
      </c>
      <c r="FB171" s="134" t="e">
        <f>IF(AND(OR(FD171="Да",FE171="Да",FF171="Да",FG171="Да",FH171="Да"),FO171="Да"),"Бор",IF(AND(FP171="Да",OR(FD171="Да",FE171="Да",FI171="Да")),"Бор",IF(AND(FS171="Да",FE171="Да"),"Бор,Медь",IF(AND(OR(FJ171="Да",FK171="Да",FL171="Да"),FE171="Да",Исходн.данные.!I171&lt;5,FT171="Да",FU171="Да"),"Молибден,Цинк",IF(AND(FM171="Да",OR(FE171="Да",FF171="Да",FG171="Да",FH171="Да",FI171="Да")),"Молибден,Цинк",IF(AND(OR(FJ171="Да",FK171="Да",FL171="Да",FM171="Да",FQ171="Да"),OR(FE171="Да",FF171="Да"),FT171="Да",FU171="Да",Исходн.данные.!I171&gt;5.5),"Медь,Цинк",FC171))))))</f>
        <v>#N/A</v>
      </c>
      <c r="FC171" s="23" t="e">
        <f t="shared" si="260"/>
        <v>#N/A</v>
      </c>
      <c r="FD171" s="38" t="str">
        <f>IF(OR(Исходн.данные.!F171=$CC$1,Исходн.данные.!F171=$CC$2,Исходн.данные.!F171=$CC$3,Исходн.данные.!F171=$CC$4),"Да","Нет")</f>
        <v>Нет</v>
      </c>
      <c r="FE171" s="38" t="str">
        <f>IF(Исходн.данные.!F171=$CC$5,"Да","Нет")</f>
        <v>Нет</v>
      </c>
      <c r="FF171" s="38" t="str">
        <f>IF(OR(Исходн.данные.!F171=$CC$6,Исходн.данные.!F171=$CC$7),"Да","Нет")</f>
        <v>Нет</v>
      </c>
      <c r="FG171" s="38" t="str">
        <f>IF(OR(Исходн.данные.!F171=$CC$8,Исходн.данные.!F171=$CC$9),"Да","Нет")</f>
        <v>Нет</v>
      </c>
      <c r="FH171" s="38" t="str">
        <f>IF(Исходн.данные.!F171=$CC$10,"Да","Нет")</f>
        <v>Нет</v>
      </c>
      <c r="FI171" s="38" t="str">
        <f>IF(OR(Исходн.данные.!F171=$CC$11,Исходн.данные.!F171=$CC$12),"Да","Нет")</f>
        <v>Нет</v>
      </c>
      <c r="FJ171" s="38" t="str">
        <f>IF(OR(Исходн.данные.!AH171=$BS$1,Исходн.данные.!AH171=$BQ$11,Исходн.данные.!AH171=$BQ$12),"Да","Нет")</f>
        <v>Нет</v>
      </c>
      <c r="FK171" s="38" t="str">
        <f>IF(OR(Исходн.данные.!AH171=$BS$2,Исходн.данные.!AH171=$BS$4),"Да","Нет")</f>
        <v>Нет</v>
      </c>
      <c r="FL171" s="38" t="str">
        <f>IF(OR(Исходн.данные.!AH171=$BS$3,Исходн.данные.!AH171=$BS$5),"Да","Нет")</f>
        <v>Нет</v>
      </c>
      <c r="FM171" s="38" t="str">
        <f>IF(OR(Исходн.данные.!AH171=$BS$9,Исходн.данные.!AH171=$BS$10,Исходн.данные.!AH171=$BS$11,Исходн.данные.!AH171=$BS$12),"Да","Нет")</f>
        <v>Нет</v>
      </c>
      <c r="FN171" s="38" t="str">
        <f>IF(OR(Исходн.данные.!AH171=$BS$6,Исходн.данные.!AH171=$BP$3),"Да","Нет")</f>
        <v>Нет</v>
      </c>
      <c r="FO171" s="38" t="str">
        <f>IF(Исходн.данные.!AH171=$BQ$9,"Да","Нет")</f>
        <v>Нет</v>
      </c>
      <c r="FP171" s="38" t="str">
        <f>IF(OR(Исходн.данные.!AH171=$BS$8,Исходн.данные.!AH171=$BT$8),"Да","Нет")</f>
        <v>Нет</v>
      </c>
      <c r="FQ171" s="38" t="str">
        <f>IF(OR(Исходн.данные.!AH171=$BQ$7,Исходн.данные.!AH171=$BQ$8),"Да","Нет")</f>
        <v>Нет</v>
      </c>
      <c r="FR171" s="38" t="str">
        <f>IF(Исходн.данные.!AI171=$BU$9,"Да","Нет")</f>
        <v>Нет</v>
      </c>
      <c r="FS171" s="38" t="str">
        <f>IF(OR(Исходн.данные.!AH171=$BP$1,Исходн.данные.!AH171=$BP$2),"Да","Нет")</f>
        <v>Нет</v>
      </c>
      <c r="FT171" s="38" t="e">
        <f>IF((Исходн.данные.!K171*GO171*GS171*GW171+BL171*0.6+Исходн.данные.!Q171*4.5*0.275)&gt;90,"Да","Нет")</f>
        <v>#N/A</v>
      </c>
      <c r="FU171" s="38" t="e">
        <f>IF((Исходн.данные.!M171*GS171*GZ171+BM171*0.225)&gt;35,"Да","Нет")</f>
        <v>#N/A</v>
      </c>
      <c r="FV171" s="38" t="str">
        <f>IF(Исходн.данные.!O171&gt;175,"Да","Нет")</f>
        <v>Нет</v>
      </c>
      <c r="FW171" s="39" t="str">
        <f>IF(Исходн.данные.!I171&gt;5.5,"Да","Нет")</f>
        <v>Нет</v>
      </c>
      <c r="FX171" s="39" t="str">
        <f>IF(Исходн.данные.!J171&lt;2,"Да","Нет")</f>
        <v>Да</v>
      </c>
      <c r="FY171" s="39" t="e">
        <f>IF(HF171=$FY$16,0,Исходн.данные.!K171*GO171*GS171*GW171/HF171)</f>
        <v>#N/A</v>
      </c>
      <c r="FZ171" s="39" t="e">
        <f>Исходн.данные.!M171*GS171*GZ171/HG171</f>
        <v>#N/A</v>
      </c>
      <c r="GA171" s="39" t="e">
        <f>IF(K_Wyn=$FY$16,0,IF(Исходн.данные.!N171=Исходн.данные.!$L$10,Исходн.данные.!O171/1.1*GS171*HC171/HH171,IF(Исходн.данные.!N171=Исходн.данные.!$L$12,Исходн.данные.!O171/1.5*GS171*HC171/HH171,Исходн.данные.!O171*GS171*HC171/HH171)))</f>
        <v>#N/A</v>
      </c>
      <c r="GB171" s="39" t="e">
        <f>IF(HF171=$FY$16,0,((Исходн.данные.!Q171*N_Org+Исходн.данные.!R171*N_Sider+Исходн.данные.!S171*N_Soloma)*AO171+Расчет!BC171*VLOOKUP(Исходн.данные.!T171,Справ!$A$3:$O$57,15)*AO171+BB171*VLOOKUP(Исходн.данные.!T171,Справ!$A$3:$O$57,15)*AL171+(Исходн.данные.!V171*N_Rizotorf+Исходн.данные.!W171*N_Rizoagr))/HF171)</f>
        <v>#N/A</v>
      </c>
      <c r="GC171" s="39" t="e">
        <f>IF(HG171=$FY$16,0,((Исходн.данные.!Q171*Р_Org+Исходн.данные.!R171*P_Sider+Исходн.данные.!S171*P_Soloma)*AP171+Расчет!BC171*VLOOKUP(Исходн.данные.!T171,Справ!$A$3:$P$57,16)*AP171+BB171*VLOOKUP(Исходн.данные.!T171,Справ!$A$3:$P$57,16)*AM171)/HG171)</f>
        <v>#N/A</v>
      </c>
      <c r="GD171" s="39" t="e">
        <f>IF(HH171=$FY$16,0,((Исходн.данные.!Q171*К_Org+Исходн.данные.!R171*K_Sider+Исходн.данные.!S171*K_Soloma)*AQ171+Расчет!BC171*VLOOKUP(Исходн.данные.!T171,Справ!$A$3:$Q$57,17)*AQ171+BB171*VLOOKUP(Исходн.данные.!T171,Справ!$A$3:$Q$57,17)*AN171)/HH171)</f>
        <v>#N/A</v>
      </c>
      <c r="GE171" s="39" t="e">
        <f>IF(HF171=$FY$16,0,(Исходн.данные.!X171*AR171+Исходн.данные.!AA171*N_Org*AL171+Исходн.данные.!AB171*N_Sider*AL171+Исходн.данные.!AC171*N_Soloma*AL171)/HF171)</f>
        <v>#N/A</v>
      </c>
      <c r="GF171" s="39" t="e">
        <f>IF(HG171=$FY$16,0,(Исходн.данные.!Y171*AS171+Исходн.данные.!AA171*Р_Org*AM171+Исходн.данные.!AB171*P_Sider*AM171+Исходн.данные.!AC171*P_Soloma*AM171)/HG171)</f>
        <v>#N/A</v>
      </c>
      <c r="GG171" s="39" t="e">
        <f>IF(HH171=$FY$16,0,(Исходн.данные.!Z171*AT171+Исходн.данные.!AA171*К_Org*AN171+Исходн.данные.!AB171*K_Sider*AN171+Исходн.данные.!AC171*K_Soloma*AN171)/HH171)</f>
        <v>#N/A</v>
      </c>
      <c r="GH171" s="39" t="e">
        <f>Исходн.данные.!AD171*AU171/HF171</f>
        <v>#N/A</v>
      </c>
      <c r="GI171" s="39" t="e">
        <f>Исходн.данные.!AE171*AV171/HG171</f>
        <v>#N/A</v>
      </c>
      <c r="GJ171" s="39" t="e">
        <f>Исходн.данные.!AF171*AW171/HH171</f>
        <v>#N/A</v>
      </c>
      <c r="GK171" s="55">
        <f>Исходн.данные.!AK171</f>
        <v>0</v>
      </c>
      <c r="GL171" s="11" t="e">
        <f t="shared" si="261"/>
        <v>#N/A</v>
      </c>
      <c r="GM171" s="11" t="e">
        <f t="shared" si="262"/>
        <v>#N/A</v>
      </c>
      <c r="GN171" s="11" t="e">
        <f t="shared" si="263"/>
        <v>#N/A</v>
      </c>
      <c r="GO171" s="57">
        <f t="shared" si="264"/>
        <v>19</v>
      </c>
      <c r="GP171" s="55">
        <f>IF(OR(Исходн.данные.!F171=$CE$1,Исходн.данные.!F171=$CE$2,Исходн.данные.!F171=$CE$3,Исходн.данные.!F171=$CE$4,Исходн.данные.!F171=$CE$5),GQ171,GR171)</f>
        <v>19</v>
      </c>
      <c r="GQ171" s="55">
        <f>IF(Исходн.данные.!F171=$CE$1,28,IF(Исходн.данные.!F171=$CE$2,26,IF(Исходн.данные.!F171=$CE$3,24,IF(Исходн.данные.!F171=$CE$4,22,IF(Исходн.данные.!F171=$CE$5,20,GR171)))))</f>
        <v>19</v>
      </c>
      <c r="GR171" s="55">
        <f>IF(Исходн.данные.!F171=$CE$6,18,IF(Исходн.данные.!F171=$CE$7,16,IF(Исходн.данные.!F171=$CE$8,14,IF(Исходн.данные.!F171=$CE$9,13,IF(Исходн.данные.!F171=$CE$10,12,19)))))</f>
        <v>19</v>
      </c>
      <c r="GS171" s="55">
        <f>IF(Исходн.данные.!G171="Пес",0.035*(40+2*Исходн.данные.!H171),IF(Исходн.данные.!G171="Суп",0.0325*(40+2*Исходн.данные.!H171),0.03*(40+2*Исходн.данные.!H171)))</f>
        <v>1.2</v>
      </c>
      <c r="GT171" s="55">
        <f>IF(Исходн.данные.!H171&lt;23,2.6,IF(AND(Исходн.данные.!H171&gt;22,Исходн.данные.!H171&lt;26),3,IF(AND(Исходн.данные.!H171&gt;25,Исходн.данные.!H171&lt;29),3.4,3.6)))</f>
        <v>2.6</v>
      </c>
      <c r="GU171" s="55">
        <f>IF(Исходн.данные.!H171&lt;23,2.8,IF(AND(Исходн.данные.!H171&gt;22,Исходн.данные.!H171&lt;26),3.2,IF(AND(Исходн.данные.!H171&gt;25,Исходн.данные.!H171&lt;29),3.6,3.9)))</f>
        <v>2.8</v>
      </c>
      <c r="GV171" s="55">
        <f>IF(Исходн.данные.!H171&lt;23,3,IF(AND(Исходн.данные.!H171&gt;22,Исходн.данные.!H171&lt;26),3.5,IF(AND(Исходн.данные.!H171&gt;25,Исходн.данные.!H171&lt;29),3.9,4.2)))</f>
        <v>3</v>
      </c>
      <c r="GW171" s="55" t="e">
        <f>IF(Исходн.данные.!P171="Ум",GX171,GY171)</f>
        <v>#N/A</v>
      </c>
      <c r="GX171" s="55" t="e">
        <f>VLOOKUP(Исходн.данные.!AI171,Коэффициенты!$J$7:$L$13,2,FALSE)</f>
        <v>#N/A</v>
      </c>
      <c r="GY171" s="55" t="e">
        <f>VLOOKUP(Исходн.данные.!AI171,Коэффициенты!$J$7:$L$13,3,FALSE)</f>
        <v>#N/A</v>
      </c>
      <c r="GZ171" s="55" t="e">
        <f>(IF(Исходн.данные.!M171&lt;50,0.11*VLOOKUP(Исходн.данные.!AH171,Культуры.Информация,7,FALSE),IF(Исходн.данные.!M171&gt;250,0.05*VLOOKUP(Исходн.данные.!AH171,Культуры.Информация,7,FALSE),VLOOKUP(Исходн.данные.!AH171,Культуры.Информация,5,FALSE)/100*($GX$6+$GY$6*Исходн.данные.!M171))))*Расчет2!AI171</f>
        <v>#N/A</v>
      </c>
      <c r="HA171" s="211"/>
      <c r="HB171" s="211"/>
      <c r="HC171" s="55" t="e">
        <f>(IF(Исходн.данные.!O171&lt;80,0.2*VLOOKUP(Исходн.данные.!AH171,Культуры.Информация,8,FALSE),IF(Исходн.данные.!O171&gt;240,0.09*VLOOKUP(Исходн.данные.!AH171,Культуры.Информация,8,FALSE),VLOOKUP(Исходн.данные.!AH171,Культуры.Информация,6,FALSE)/100*($HB$6+$HC$6*Исходн.данные.!O171))))*Расчет2!AJ171</f>
        <v>#N/A</v>
      </c>
      <c r="HD171" s="55">
        <f>IF(Исходн.данные.!O171&gt;240,0.09,IF(Исходн.данные.!O171&lt;30,0.3,$HE$10+$HD$10*Исходн.данные.!O171))</f>
        <v>0.3</v>
      </c>
      <c r="HE171" s="55">
        <f>IF(Исходн.данные.!O171&gt;240,0.17,IF(Исходн.данные.!O171&lt;30,0.5,$HF$12+$HE$12*Исходн.данные.!O171))</f>
        <v>0.5</v>
      </c>
      <c r="HF171" s="55" t="e">
        <f>VLOOKUP(Исходн.данные.!AH171,Справ!$A$3:$D$58,2,FALSE)</f>
        <v>#N/A</v>
      </c>
      <c r="HG171" s="55" t="e">
        <f>VLOOKUP(Исходн.данные.!AH171,Справ!$A$3:$D$58,3,FALSE)</f>
        <v>#N/A</v>
      </c>
      <c r="HH171" s="55" t="e">
        <f>VLOOKUP(Исходн.данные.!AH171,Справ!$A$3:$D$58,4,FALSE)</f>
        <v>#N/A</v>
      </c>
      <c r="HI171" s="11" t="e">
        <f t="shared" si="265"/>
        <v>#N/A</v>
      </c>
      <c r="HJ171" s="11" t="e">
        <f t="shared" si="266"/>
        <v>#N/A</v>
      </c>
      <c r="HK171" s="11" t="e">
        <f t="shared" si="267"/>
        <v>#N/A</v>
      </c>
      <c r="HL171" s="55">
        <f>IF(OR(Исходн.данные.!G171="Глин",Исходн.данные.!G171="Т_суг"),1.1,IF(Исходн.данные.!G171="Ср_суг",1,1))</f>
        <v>1</v>
      </c>
      <c r="HM171" s="55">
        <f>IF(OR(Исходн.данные.!G171="Глин",Исходн.данные.!G171="Т_суг"),0.9,IF(Исходн.данные.!G171="Ср_суг",1,1.2))</f>
        <v>1.2</v>
      </c>
      <c r="HN171" s="11" t="e">
        <f t="shared" si="268"/>
        <v>#N/A</v>
      </c>
      <c r="HO171" s="11" t="e">
        <f t="shared" si="269"/>
        <v>#N/A</v>
      </c>
      <c r="HP171" s="11" t="e">
        <f t="shared" si="270"/>
        <v>#N/A</v>
      </c>
      <c r="HQ171" t="e">
        <f t="shared" si="271"/>
        <v>#N/A</v>
      </c>
      <c r="HR171" t="e">
        <f t="shared" si="272"/>
        <v>#N/A</v>
      </c>
      <c r="HS171" t="e">
        <f t="shared" si="273"/>
        <v>#N/A</v>
      </c>
      <c r="HT171" t="e">
        <f t="shared" si="219"/>
        <v>#N/A</v>
      </c>
      <c r="HU171" t="e">
        <f t="shared" si="220"/>
        <v>#N/A</v>
      </c>
      <c r="HV171" t="e">
        <f t="shared" si="221"/>
        <v>#N/A</v>
      </c>
      <c r="HW171" t="e">
        <f t="shared" si="222"/>
        <v>#N/A</v>
      </c>
      <c r="HX171" t="e">
        <f t="shared" si="223"/>
        <v>#N/A</v>
      </c>
      <c r="HY171" t="e">
        <f t="shared" si="224"/>
        <v>#N/A</v>
      </c>
      <c r="HZ171" s="55">
        <f>IF(OR(Исходн.данные.!AI171="Оз_Ч_П",Исходн.данные.!AI171="Оз_З_П",Исходн.данные.!AI171="Яр_зер"),12,30)</f>
        <v>30</v>
      </c>
      <c r="IA171" t="e">
        <f t="shared" si="274"/>
        <v>#N/A</v>
      </c>
      <c r="IB171" t="e">
        <f t="shared" si="275"/>
        <v>#N/A</v>
      </c>
      <c r="IC171" t="e">
        <f t="shared" si="276"/>
        <v>#N/A</v>
      </c>
      <c r="ID171" s="11" t="e">
        <f t="shared" si="277"/>
        <v>#N/A</v>
      </c>
      <c r="IE171" s="11" t="e">
        <f t="shared" si="278"/>
        <v>#N/A</v>
      </c>
      <c r="IF171" s="11" t="e">
        <f t="shared" si="279"/>
        <v>#N/A</v>
      </c>
    </row>
    <row r="172" spans="35:240" x14ac:dyDescent="0.2">
      <c r="AI172">
        <f>IF(Исходн.данные.!I172&gt;6,1,1.85-(0.148*Исходн.данные.!I172))</f>
        <v>1.85</v>
      </c>
      <c r="AJ172">
        <f>IF(Исходн.данные.!I172&gt;6,1,2.434-(0.246*Исходн.данные.!I172))</f>
        <v>2.4340000000000002</v>
      </c>
      <c r="AL172" s="148" t="b">
        <f>IF(Исходн.данные.!$P172="Ум",N_OrgUd_2g_um,IF(Исходн.данные.!$P172="Об",N_OrgUd_2g_ob))</f>
        <v>0</v>
      </c>
      <c r="AM172" s="148" t="b">
        <f>IF(Исходн.данные.!$P172="Ум",P_OrgUd_2g_um,IF(Исходн.данные.!$P172="Об",P_OrgUd_2g_ob))</f>
        <v>0</v>
      </c>
      <c r="AN172" s="148" t="b">
        <f>IF(Исходн.данные.!$P172="Ум",K_OrgUd_2g_um,IF(Исходн.данные.!$P172="Об",K_OrgUd_2g_ob))</f>
        <v>0</v>
      </c>
      <c r="AO172" s="148" t="b">
        <f>IF(Исходн.данные.!$P172="Ум",N_OrgUd_1g_um,IF(Исходн.данные.!$P172="Об",N_OrgUd_1g_ob))</f>
        <v>0</v>
      </c>
      <c r="AP172" s="148" t="b">
        <f>IF(Исходн.данные.!$P172="Ум",P_OrgUd_1g_um,IF(Исходн.данные.!$P172="Об",P_OrgUd_1g_ob))</f>
        <v>0</v>
      </c>
      <c r="AQ172" s="148" t="b">
        <f>IF(Исходн.данные.!$P172="Ум",K_OrgUd_1g_um,IF(Исходн.данные.!$P172="Об",K_OrgUd_1g_ob))</f>
        <v>0</v>
      </c>
      <c r="AR172" t="b">
        <f>IF(Исходн.данные.!$P172="Ум",N_MinUd_2g_um,IF(Исходн.данные.!$P172="Об",N_MinUd_2g_ob))</f>
        <v>0</v>
      </c>
      <c r="AS172" t="b">
        <f>IF(Исходн.данные.!$P172="Ум",P_MinUd_2g_um,IF(Исходн.данные.!$P172="Об",P_MinUd_2g_ob))</f>
        <v>0</v>
      </c>
      <c r="AT172" t="b">
        <f>IF(Исходн.данные.!$P172="Ум",K_MinUd_2g_um,IF(Исходн.данные.!$P172="Об",K_MinUd_2g_ob))</f>
        <v>0</v>
      </c>
      <c r="AU172" t="b">
        <f>IF(Исходн.данные.!$P172="Ум",N_MinUd_1g_um,IF(Исходн.данные.!$P172="Об",N_MinUd_1g_ob))</f>
        <v>0</v>
      </c>
      <c r="AV172" t="b">
        <f>IF(Исходн.данные.!P172="Ум",P_MinUd_1g_um,IF(Исходн.данные.!P172="Об",P_MinUd_1g_ob))</f>
        <v>0</v>
      </c>
      <c r="AW172" t="b">
        <f>IF(Исходн.данные.!P172="Ум",K_MinUd_1g_um,IF(Исходн.данные.!P172="Об",K_MinUd_1g_ob))</f>
        <v>0</v>
      </c>
      <c r="AY172" t="e">
        <f>VLOOKUP(Исходн.данные.!T172,Справ!$A$3:$N$57,12)</f>
        <v>#N/A</v>
      </c>
      <c r="AZ172" t="e">
        <f>VLOOKUP(Исходн.данные.!T172,Справ!$A$3:$N$57,13)</f>
        <v>#N/A</v>
      </c>
      <c r="BA172" t="e">
        <f>VLOOKUP(Исходн.данные.!T172,Справ!$A$3:$N$57,14)</f>
        <v>#N/A</v>
      </c>
      <c r="BB172">
        <f>IF(Исходн.данные.!AH172=0,0,25)</f>
        <v>0</v>
      </c>
      <c r="BC172" s="141">
        <f>IF(Исходн.данные.!AH172=0,0,IF(Исходн.данные.!T172=0,25,BD172))</f>
        <v>0</v>
      </c>
      <c r="BD172" s="168" t="e">
        <f>AY172+AZ172*Исходн.данные.!U172-POWER(BA172,2)*Исходн.данные.!U172</f>
        <v>#N/A</v>
      </c>
      <c r="BE17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2" s="25">
        <f>IF(Исходн.данные.!AH172=0,0,MIN(HN172:HP172))</f>
        <v>0</v>
      </c>
      <c r="BG172" s="9">
        <f>IF(Исходн.данные.!AH172=0,0,IF((HO172+10*0.25/HG172/HL172)&lt;17,17,HO172+10*0.25/HG172/HL172))</f>
        <v>0</v>
      </c>
      <c r="BH172" s="181">
        <f>IF(Исходн.данные.!AH172=0,0,HW172*HF172*HL172/AU172*AI172+Исходн.данные.!S172*10)</f>
        <v>0</v>
      </c>
      <c r="BI172" s="10"/>
      <c r="BJ172" s="182">
        <f>IF(Исходн.данные.!AH172=0,0,IF(HX172*HG172*HL172/AV172&lt;0,0,HX172*HG172*HL172/AV172*AJ172))</f>
        <v>0</v>
      </c>
      <c r="BK172" s="182">
        <f>IF(Исходн.данные.!AH172=0,0,HY172*HH172*HM172/AW172)</f>
        <v>0</v>
      </c>
      <c r="BL172" s="10">
        <f>IF(OR(Исходн.данные.!$AH172=$BP$1,Исходн.данные.!$AH172=$BP$2),0,IF(BH172&lt;0,0,IF(OR(Исходн.данные.!T172=Расчет!$BP$1,Исходн.данные.!T172=Расчет!$BP$2,Исходн.данные.!T172=Расчет!$BT$5,Исходн.данные.!T172=Расчет!$BT$6),BH172*0.5,IF(OR(Исходн.данные.!T172=Расчет!$BS$9,Исходн.данные.!T172=Расчет!$BS$10,Исходн.данные.!T172=Расчет!$BS$11,Исходн.данные.!T172=Расчет!$BS$12,Исходн.данные.!T172=Расчет!$BP$5),BH172*0.8,BH172))))</f>
        <v>0</v>
      </c>
      <c r="BM172" s="10">
        <f>IF(OR(Исходн.данные.!$AH172=$BP$1,Исходн.данные.!$AH172=$BP$2),0,IF(BJ172&lt;0,0,IF(Исходн.данные.!I172&lt;4.5,BJ172*1.2,IF(Исходн.данные.!I172&gt;5.1,BJ172,BJ172*((5.1-Исходн.данные.!I172)*0.333+1)))))</f>
        <v>0</v>
      </c>
      <c r="BN172" s="10">
        <f>IF(OR(Исходн.данные.!$AH172=$BP$1,Исходн.данные.!$AH172=$BP$2),60-Исходн.данные.!AF172,IF(BK172&lt;0,0,IF(Исходн.данные.!I172&lt;4.5,BK172*1.2,IF(Исходн.данные.!I172&gt;5.1,BK172,BK172*((5.1-Исходн.данные.!I172)*0.333+1)))))</f>
        <v>0</v>
      </c>
      <c r="BO172" s="9">
        <f>IF(BL172&lt;0,0,BL172*Исходн.данные.!$AJ172/1000)</f>
        <v>0</v>
      </c>
      <c r="BP172" s="9">
        <f>IF(BM172&lt;0,0,BM172*Исходн.данные.!$AJ172/1000)</f>
        <v>0</v>
      </c>
      <c r="BQ172" s="9">
        <f>IF(BN172&lt;0,0,BN172*Исходн.данные.!$AJ172/1000)</f>
        <v>0</v>
      </c>
      <c r="BR172" s="9">
        <f t="shared" si="229"/>
        <v>0</v>
      </c>
      <c r="BS172" s="10" t="str">
        <f t="shared" si="230"/>
        <v>Аммофос 12:52:00</v>
      </c>
      <c r="BT172" s="10" t="str">
        <f t="shared" si="231"/>
        <v>Аммофос 12:52:00</v>
      </c>
      <c r="BU172" s="10" t="str">
        <f t="shared" si="232"/>
        <v>Диаммофоска</v>
      </c>
      <c r="BV172" s="10">
        <f t="shared" si="233"/>
        <v>0</v>
      </c>
      <c r="BW172" s="10"/>
      <c r="BX172" s="10"/>
      <c r="BY172" s="9">
        <f>IF(BL172&lt;0,0,IF(OR(Исходн.данные.!AI172=Расчет!$BU$6,Исходн.данные.!AI172=Расчет!$BU$7),Расчет!BV172,IF(Исходн.данные.!$AG172=$BV$11,BL172,IF(OR(Исходн.данные.!$AH172=$BQ$7,Исходн.данные.!$AH172=$BQ$8),CB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0,IF(Исходн.данные.!$AI172=$BU$11,"Нет",IF(BL172&gt;30,30,BL172)))))))</f>
        <v>0</v>
      </c>
      <c r="BZ172" s="9">
        <f>IF(AND(Исходн.данные.!$AG172=$BV$11,BM172&lt;10),10,IF(Исходн.данные.!$AG172=$BV$11,BM172,IF(OR(Исходн.данные.!$AH172=$BQ$7,Исходн.данные.!$AH172=$BQ$8),CC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10,IF(Исходн.данные.!$AI172=$BU$11,"Нет",IF(BM172&gt;60,60,IF(BM172&lt;10,10,BM172)))))))</f>
        <v>10</v>
      </c>
      <c r="CA172" s="39">
        <f>IF(BN172&lt;0,0,IF(Исходн.данные.!$AG172=$BV$11,BN172,IF(OR(Исходн.данные.!$AH172=$BQ$7,Исходн.данные.!$AH172=$BQ$8),CD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0,IF(Исходн.данные.!$AI172=$BU$11,"Нет",IF(BN172&gt;30,30,BN172))))))</f>
        <v>0</v>
      </c>
      <c r="CB172" s="9">
        <f t="shared" si="234"/>
        <v>0</v>
      </c>
      <c r="CC172" s="9">
        <f t="shared" si="235"/>
        <v>0</v>
      </c>
      <c r="CD172" s="9">
        <f t="shared" si="236"/>
        <v>0</v>
      </c>
      <c r="CE172" s="12">
        <f t="shared" si="237"/>
        <v>10</v>
      </c>
      <c r="CF172" s="9">
        <f t="shared" si="238"/>
        <v>0</v>
      </c>
      <c r="CG172" s="9" t="s">
        <v>231</v>
      </c>
      <c r="CH172" s="132" t="str">
        <f>IF(Исходн.данные.!AP172=Расчет!$CI$16,"Нет",IF(Исходн.данные.!AL172&gt;0,Исходн.данные.!AL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BH$4,IF(OR(Исходн.данные.!AI172=Исходн.данные.!$AI$6,Исходн.данные.!AI172=Исходн.данные.!$AI$7),Расчет!BS172,IF(AND($CF172=0,$CE172&gt;0),EV172,ER172)))))</f>
        <v>Аммофос 12:52:00</v>
      </c>
      <c r="CI172" s="274">
        <f>IF(Расчет!$CH172="Нет","Нет",IF(Исходн.данные.!$AL172&gt;0,VLOOKUP(Расчет!$CH172,АшламаДВ_Irekle,2,FALSE),VLOOKUP(Расчет!$CH172,АшламаДВ_Gomumy,2,FALSE)))</f>
        <v>0.12</v>
      </c>
      <c r="CJ172" s="274">
        <f>IF(Расчет!$CH172="Нет","Нет",IF(Исходн.данные.!$AL172&gt;0,VLOOKUP(Расчет!$CH172,АшламаДВ_Irekle,3,FALSE),VLOOKUP(Расчет!$CH172,АшламаДВ_Gomumy,3,FALSE)))</f>
        <v>0.52</v>
      </c>
      <c r="CK172" s="274">
        <f>IF(Расчет!$CH172="Нет","Нет",IF(Исходн.данные.!$AL172&gt;0,VLOOKUP(Расчет!$CH172,АшламаДВ_Irekle,4,FALSE),VLOOKUP(Расчет!$CH172,АшламаДВ_Gomumy,4,FALSE)))</f>
        <v>0</v>
      </c>
      <c r="CL172" s="70"/>
      <c r="CM172" s="70"/>
      <c r="CN172" s="70"/>
      <c r="CO172" s="70"/>
      <c r="CP172" s="70"/>
      <c r="CQ172" s="70"/>
      <c r="CR172" s="10">
        <f t="shared" si="239"/>
        <v>0</v>
      </c>
      <c r="CS172" s="10">
        <f t="shared" si="240"/>
        <v>19.23076923076923</v>
      </c>
      <c r="CT172" s="10">
        <f t="shared" si="241"/>
        <v>0</v>
      </c>
      <c r="CU172" s="39">
        <f>IF($CH172="Нет",0,IF(CI172=0,30/MIN(CJ172:CK172),IF(Исходн.данные.!$AG172=$BV$11,CR172,IF(OR(Исходн.данные.!$AH172=$BQ$7,Исходн.данные.!$AH172=$BQ$8),90/CI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0,IF(Исходн.данные.!$AI172=$BU$11,"Нет",30/CI172))))))</f>
        <v>250</v>
      </c>
      <c r="CV172" s="39">
        <f>IF($CH172="Нет",0,IF(Исходн.данные.!AH172=0,0,IF(CJ172=0,60/MIN(CI172,CK172),IF(Исходн.данные.!$AG172=$BV$11,CS172,IF(OR(Исходн.данные.!$AH172=$BQ$7,Исходн.данные.!$AH172=$BQ$8),90/CJ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10/CJ172,IF(Исходн.данные.!$AI172=$BU$11,"Нет",60/CJ172)))))))</f>
        <v>0</v>
      </c>
      <c r="CW172" s="39">
        <f>IF($CH172="Нет",0,IF(Исходн.данные.!AH172=0,0,IF(CK172=0,30/MIN(CI172:CJ172),IF(Исходн.данные.!$AG172=$BV$11,CT172,IF(OR(Исходн.данные.!$AH172=$BQ$7,Исходн.данные.!$AH172=$BQ$8),90/CK172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0,IF(Исходн.данные.!$AI172=$BU$11,"Нет",30/CK172)))))))</f>
        <v>0</v>
      </c>
      <c r="CX172" s="133">
        <f>IF(Исходн.данные.!$AG172=$BV$11,MAX(CU172:CW172),IF(OR(Исходн.данные.!$AH172=$BS$8,Исходн.данные.!$AH172=$BQ$9,Исходн.данные.!$AH172=$BQ$10,Исходн.данные.!$AH172=$BQ$11,Исходн.данные.!$AH172=$BQ$12,Исходн.данные.!$AH172=$BP$3,Исходн.данные.!$AH172=$BT$8,$FM172="Да"),CV172,MIN(CU172:CW172)))</f>
        <v>0</v>
      </c>
      <c r="CY172" s="133">
        <f>IF(Исходн.данные.!AH172=0,0,IF(CR172&gt;$CX172,$CX172,CR172))</f>
        <v>0</v>
      </c>
      <c r="CZ172" s="133">
        <f>IF(Исходн.данные.!AH172=0,0,IF(CS172&gt;$CX172,$CX172,CS172))</f>
        <v>0</v>
      </c>
      <c r="DA172" s="133">
        <f>IF(Исходн.данные.!AH172=0,0,IF(CT172&gt;$CX172,$CX172,CT172))</f>
        <v>0</v>
      </c>
      <c r="DB172" s="10">
        <f t="shared" si="242"/>
        <v>0</v>
      </c>
      <c r="DC172" s="39">
        <f>DB172*Исходн.данные.!AJ172/1000</f>
        <v>0</v>
      </c>
      <c r="DD172" s="71">
        <f t="shared" si="243"/>
        <v>0</v>
      </c>
      <c r="DE172" s="9">
        <f t="shared" si="244"/>
        <v>0</v>
      </c>
      <c r="DF172" s="9">
        <f t="shared" si="245"/>
        <v>0</v>
      </c>
      <c r="DG172" s="39">
        <f>IF(BL172&lt;0,0,IF($CH172="Нет",BL172,IF(OR(Исходн.данные.!$AH172=$BP$1,Исходн.данные.!$AH172=$BP$2),0,IF(Исходн.данные.!AI172=$BU$11,BL172,IF(BL172-DD172&lt;0,0,BL172-DD172)))))</f>
        <v>0</v>
      </c>
      <c r="DH172" s="39">
        <f>IF(BM172&lt;0,0,IF($CH172="Нет",BM172,IF(OR(Исходн.данные.!$AH172=$BP$1,Исходн.данные.!$AH172=$BP$2),0,IF(Исходн.данные.!AJ172=$BU$11,BM172,IF(BM172-DE172&lt;0,0,BM172-DE172)))))</f>
        <v>0</v>
      </c>
      <c r="DI172" s="39">
        <f>IF(BN172&lt;0,0,IF($CH172="Нет",BN172,IF(OR(Исходн.данные.!$AH172=$BP$1,Исходн.данные.!$AH172=$BP$2),0,IF(Исходн.данные.!AK172=$BU$11,BN172,IF(BN172-DF172&lt;0,0,BN172-DF172)))))</f>
        <v>0</v>
      </c>
      <c r="DJ172" s="12">
        <f t="shared" si="246"/>
        <v>0</v>
      </c>
      <c r="DK172" s="9">
        <f t="shared" si="247"/>
        <v>0</v>
      </c>
      <c r="DL172" s="39">
        <f>IF(Исходн.данные.!AM172&gt;0,Исходн.данные.!AM172,IF(EG172&gt;0,$BH$10,0))</f>
        <v>0</v>
      </c>
      <c r="DM172" s="186">
        <f>IF($DL172=0,0,IF(Исходн.данные.!AM172&gt;0,VLOOKUP($DL172,АшламаДВ_Irekle,2,FALSE),VLOOKUP($DL172,АшламаДВ_Gomumy,2,FALSE)))</f>
        <v>0</v>
      </c>
      <c r="DN172" s="10">
        <f t="shared" si="225"/>
        <v>0</v>
      </c>
      <c r="DO172" s="9" t="str">
        <f>IF(Исходн.данные.!AN172&gt;0,Исходн.данные.!AN172,Удобрения!$B$37 )</f>
        <v>Хлор.калий</v>
      </c>
      <c r="DP172" s="9">
        <f>IF(Исходн.данные.!AN172&gt;0,VLOOKUP(Исходн.данные.!AN172,АшламаДВ_Irekle,4,FALSE),VLOOKUP(DO172,АшламаДВ_Gomumy,4,FALSE))</f>
        <v>0.6</v>
      </c>
      <c r="DQ172" s="10">
        <f t="shared" si="226"/>
        <v>0</v>
      </c>
      <c r="DR172" s="132" t="str">
        <f>IF(Исходн.данные.!AO172&gt;0,Исходн.данные.!AO172,IF(DH172=0,BS$17,IF(AND($DK172=0,$DJ172&gt;0),EJ172,EN172)))</f>
        <v>Нет</v>
      </c>
      <c r="DS172" s="70" t="str">
        <f>IF($DR172="Нет","Нет",IF(Исходн.данные.!$AO172&gt;0,VLOOKUP($DR172,АшламаДВ_Irekle,2,FALSE),VLOOKUP($DR172,АшламаДВ_Gomumy,2,FALSE)))</f>
        <v>Нет</v>
      </c>
      <c r="DT172" s="70" t="str">
        <f>IF($DR172="Нет","Нет",IF(Исходн.данные.!$AO172&gt;0,VLOOKUP($DR172,АшламаДВ_Irekle,3,FALSE),VLOOKUP($DR172,АшламаДВ_Gomumy,3,FALSE)))</f>
        <v>Нет</v>
      </c>
      <c r="DU172" s="70" t="str">
        <f>IF($DR172="Нет","Нет",IF(Исходн.данные.!$AO172&gt;0,VLOOKUP($DR172,АшламаДВ_Irekle,4,FALSE),VLOOKUP($DR172,АшламаДВ_Gomumy,4,FALSE)))</f>
        <v>Нет</v>
      </c>
      <c r="DV172" s="70"/>
      <c r="DW172" s="70"/>
      <c r="DX172" s="70"/>
      <c r="DY172" s="10">
        <f t="shared" si="248"/>
        <v>0</v>
      </c>
      <c r="DZ172" s="10">
        <f t="shared" si="249"/>
        <v>0</v>
      </c>
      <c r="EA172" s="10">
        <f t="shared" si="250"/>
        <v>0</v>
      </c>
      <c r="EB172" s="10">
        <f t="shared" si="251"/>
        <v>0</v>
      </c>
      <c r="EC172" s="10">
        <f t="shared" si="252"/>
        <v>0</v>
      </c>
      <c r="ED172" s="10">
        <f t="shared" si="253"/>
        <v>0</v>
      </c>
      <c r="EE172" s="10">
        <f t="shared" si="254"/>
        <v>0</v>
      </c>
      <c r="EF172" s="39">
        <f>EB172*Исходн.данные.!AJ172/1000</f>
        <v>0</v>
      </c>
      <c r="EG172" s="9">
        <f t="shared" si="255"/>
        <v>0</v>
      </c>
      <c r="EH172" s="9">
        <f t="shared" si="256"/>
        <v>0</v>
      </c>
      <c r="EI172" s="39" t="e">
        <f t="shared" si="206"/>
        <v>#DIV/0!</v>
      </c>
      <c r="EJ172" s="9" t="str">
        <f t="shared" si="227"/>
        <v>Азопреципитат</v>
      </c>
      <c r="EK172" s="12">
        <f t="shared" si="207"/>
        <v>0.26</v>
      </c>
      <c r="EL172" s="12">
        <f t="shared" si="208"/>
        <v>0.13</v>
      </c>
      <c r="EM172" s="12">
        <f t="shared" si="209"/>
        <v>0</v>
      </c>
      <c r="EN172" s="12" t="str">
        <f t="shared" si="228"/>
        <v>Нет</v>
      </c>
      <c r="EO172" s="12">
        <f t="shared" si="210"/>
        <v>0</v>
      </c>
      <c r="EP172" s="12">
        <f t="shared" si="211"/>
        <v>0</v>
      </c>
      <c r="EQ172" s="12">
        <f t="shared" si="212"/>
        <v>0</v>
      </c>
      <c r="ER172" s="12" t="str">
        <f t="shared" si="257"/>
        <v>Диаммофоска</v>
      </c>
      <c r="ES172" s="12">
        <f t="shared" si="213"/>
        <v>0.1</v>
      </c>
      <c r="ET172" s="12">
        <f t="shared" si="214"/>
        <v>0.26</v>
      </c>
      <c r="EU172" s="12">
        <f t="shared" si="215"/>
        <v>0.26</v>
      </c>
      <c r="EV172" s="12" t="str">
        <f t="shared" si="258"/>
        <v>Аммофос 12:52:00</v>
      </c>
      <c r="EW172" s="12" t="str">
        <f t="shared" si="259"/>
        <v>Кемира Свекловичное-6</v>
      </c>
      <c r="EX172" s="12">
        <f t="shared" si="216"/>
        <v>0.16</v>
      </c>
      <c r="EY172" s="12">
        <f t="shared" si="217"/>
        <v>0.12</v>
      </c>
      <c r="EZ172" s="12">
        <f t="shared" si="218"/>
        <v>0.17</v>
      </c>
      <c r="FA172" s="38" t="e">
        <f>IF(AND(OR(FJ172=$FD$1,FM172=$FD$1,FO172=$FD$1,FQ172=$FD$1,FS172=$FD$1),FD172=$FD$1,Исходн.данные.!J172&lt;2,FU172=$FD$1),"Бор,Кобальт",IF(AND(FO172=$FD$1,FH172=$FD$1,Исходн.данные.!J172&lt;2,FU172=$FD$1),"Бор,Кобальт",IF(AND(OR(FJ172=$FD$1,FM172=$FD$1,FQ172=$FD$1),FE172=$FD$1,Исходн.данные.!J172&lt;2,FT172=$FD$1,FU172=$FD$1),"Бор,Медь,Цинк",IF(AND(OR(FJ172=$FD$1,FR172="Да"),FI172="Да",Исходн.данные.!J172&lt;2,FT172="Да",FU172="Да"),"Бор,Цинк,Медь",IF(AND(OR(FM172="Да",FQ172="Да"),FI172="Да",Исходн.данные.!J172&lt;2,FT172="Да",FU172="Да"),"Бор,Цинк",IF(AND(FN172="Да",OR(FD172="Да",FE172="Да")),"Бор",FB172))))))</f>
        <v>#N/A</v>
      </c>
      <c r="FB172" s="134" t="e">
        <f>IF(AND(OR(FD172="Да",FE172="Да",FF172="Да",FG172="Да",FH172="Да"),FO172="Да"),"Бор",IF(AND(FP172="Да",OR(FD172="Да",FE172="Да",FI172="Да")),"Бор",IF(AND(FS172="Да",FE172="Да"),"Бор,Медь",IF(AND(OR(FJ172="Да",FK172="Да",FL172="Да"),FE172="Да",Исходн.данные.!I172&lt;5,FT172="Да",FU172="Да"),"Молибден,Цинк",IF(AND(FM172="Да",OR(FE172="Да",FF172="Да",FG172="Да",FH172="Да",FI172="Да")),"Молибден,Цинк",IF(AND(OR(FJ172="Да",FK172="Да",FL172="Да",FM172="Да",FQ172="Да"),OR(FE172="Да",FF172="Да"),FT172="Да",FU172="Да",Исходн.данные.!I172&gt;5.5),"Медь,Цинк",FC172))))))</f>
        <v>#N/A</v>
      </c>
      <c r="FC172" s="23" t="e">
        <f t="shared" si="260"/>
        <v>#N/A</v>
      </c>
      <c r="FD172" s="38" t="str">
        <f>IF(OR(Исходн.данные.!F172=$CC$1,Исходн.данные.!F172=$CC$2,Исходн.данные.!F172=$CC$3,Исходн.данные.!F172=$CC$4),"Да","Нет")</f>
        <v>Нет</v>
      </c>
      <c r="FE172" s="38" t="str">
        <f>IF(Исходн.данные.!F172=$CC$5,"Да","Нет")</f>
        <v>Нет</v>
      </c>
      <c r="FF172" s="38" t="str">
        <f>IF(OR(Исходн.данные.!F172=$CC$6,Исходн.данные.!F172=$CC$7),"Да","Нет")</f>
        <v>Нет</v>
      </c>
      <c r="FG172" s="38" t="str">
        <f>IF(OR(Исходн.данные.!F172=$CC$8,Исходн.данные.!F172=$CC$9),"Да","Нет")</f>
        <v>Нет</v>
      </c>
      <c r="FH172" s="38" t="str">
        <f>IF(Исходн.данные.!F172=$CC$10,"Да","Нет")</f>
        <v>Нет</v>
      </c>
      <c r="FI172" s="38" t="str">
        <f>IF(OR(Исходн.данные.!F172=$CC$11,Исходн.данные.!F172=$CC$12),"Да","Нет")</f>
        <v>Нет</v>
      </c>
      <c r="FJ172" s="38" t="str">
        <f>IF(OR(Исходн.данные.!AH172=$BS$1,Исходн.данные.!AH172=$BQ$11,Исходн.данные.!AH172=$BQ$12),"Да","Нет")</f>
        <v>Нет</v>
      </c>
      <c r="FK172" s="38" t="str">
        <f>IF(OR(Исходн.данные.!AH172=$BS$2,Исходн.данные.!AH172=$BS$4),"Да","Нет")</f>
        <v>Нет</v>
      </c>
      <c r="FL172" s="38" t="str">
        <f>IF(OR(Исходн.данные.!AH172=$BS$3,Исходн.данные.!AH172=$BS$5),"Да","Нет")</f>
        <v>Нет</v>
      </c>
      <c r="FM172" s="38" t="str">
        <f>IF(OR(Исходн.данные.!AH172=$BS$9,Исходн.данные.!AH172=$BS$10,Исходн.данные.!AH172=$BS$11,Исходн.данные.!AH172=$BS$12),"Да","Нет")</f>
        <v>Нет</v>
      </c>
      <c r="FN172" s="38" t="str">
        <f>IF(OR(Исходн.данные.!AH172=$BS$6,Исходн.данные.!AH172=$BP$3),"Да","Нет")</f>
        <v>Нет</v>
      </c>
      <c r="FO172" s="38" t="str">
        <f>IF(Исходн.данные.!AH172=$BQ$9,"Да","Нет")</f>
        <v>Нет</v>
      </c>
      <c r="FP172" s="38" t="str">
        <f>IF(OR(Исходн.данные.!AH172=$BS$8,Исходн.данные.!AH172=$BT$8),"Да","Нет")</f>
        <v>Нет</v>
      </c>
      <c r="FQ172" s="38" t="str">
        <f>IF(OR(Исходн.данные.!AH172=$BQ$7,Исходн.данные.!AH172=$BQ$8),"Да","Нет")</f>
        <v>Нет</v>
      </c>
      <c r="FR172" s="38" t="str">
        <f>IF(Исходн.данные.!AI172=$BU$9,"Да","Нет")</f>
        <v>Нет</v>
      </c>
      <c r="FS172" s="38" t="str">
        <f>IF(OR(Исходн.данные.!AH172=$BP$1,Исходн.данные.!AH172=$BP$2),"Да","Нет")</f>
        <v>Нет</v>
      </c>
      <c r="FT172" s="38" t="e">
        <f>IF((Исходн.данные.!K172*GO172*GS172*GW172+BL172*0.6+Исходн.данные.!Q172*4.5*0.275)&gt;90,"Да","Нет")</f>
        <v>#N/A</v>
      </c>
      <c r="FU172" s="38" t="e">
        <f>IF((Исходн.данные.!M172*GS172*GZ172+BM172*0.225)&gt;35,"Да","Нет")</f>
        <v>#N/A</v>
      </c>
      <c r="FV172" s="38" t="str">
        <f>IF(Исходн.данные.!O172&gt;175,"Да","Нет")</f>
        <v>Нет</v>
      </c>
      <c r="FW172" s="39" t="str">
        <f>IF(Исходн.данные.!I172&gt;5.5,"Да","Нет")</f>
        <v>Нет</v>
      </c>
      <c r="FX172" s="39" t="str">
        <f>IF(Исходн.данные.!J172&lt;2,"Да","Нет")</f>
        <v>Да</v>
      </c>
      <c r="FY172" s="39" t="e">
        <f>IF(HF172=$FY$16,0,Исходн.данные.!K172*GO172*GS172*GW172/HF172)</f>
        <v>#N/A</v>
      </c>
      <c r="FZ172" s="39" t="e">
        <f>Исходн.данные.!M172*GS172*GZ172/HG172</f>
        <v>#N/A</v>
      </c>
      <c r="GA172" s="39" t="e">
        <f>IF(K_Wyn=$FY$16,0,IF(Исходн.данные.!N172=Исходн.данные.!$L$10,Исходн.данные.!O172/1.1*GS172*HC172/HH172,IF(Исходн.данные.!N172=Исходн.данные.!$L$12,Исходн.данные.!O172/1.5*GS172*HC172/HH172,Исходн.данные.!O172*GS172*HC172/HH172)))</f>
        <v>#N/A</v>
      </c>
      <c r="GB172" s="39" t="e">
        <f>IF(HF172=$FY$16,0,((Исходн.данные.!Q172*N_Org+Исходн.данные.!R172*N_Sider+Исходн.данные.!S172*N_Soloma)*AO172+Расчет!BC172*VLOOKUP(Исходн.данные.!T172,Справ!$A$3:$O$57,15)*AO172+BB172*VLOOKUP(Исходн.данные.!T172,Справ!$A$3:$O$57,15)*AL172+(Исходн.данные.!V172*N_Rizotorf+Исходн.данные.!W172*N_Rizoagr))/HF172)</f>
        <v>#N/A</v>
      </c>
      <c r="GC172" s="39" t="e">
        <f>IF(HG172=$FY$16,0,((Исходн.данные.!Q172*Р_Org+Исходн.данные.!R172*P_Sider+Исходн.данные.!S172*P_Soloma)*AP172+Расчет!BC172*VLOOKUP(Исходн.данные.!T172,Справ!$A$3:$P$57,16)*AP172+BB172*VLOOKUP(Исходн.данные.!T172,Справ!$A$3:$P$57,16)*AM172)/HG172)</f>
        <v>#N/A</v>
      </c>
      <c r="GD172" s="39" t="e">
        <f>IF(HH172=$FY$16,0,((Исходн.данные.!Q172*К_Org+Исходн.данные.!R172*K_Sider+Исходн.данные.!S172*K_Soloma)*AQ172+Расчет!BC172*VLOOKUP(Исходн.данные.!T172,Справ!$A$3:$Q$57,17)*AQ172+BB172*VLOOKUP(Исходн.данные.!T172,Справ!$A$3:$Q$57,17)*AN172)/HH172)</f>
        <v>#N/A</v>
      </c>
      <c r="GE172" s="39" t="e">
        <f>IF(HF172=$FY$16,0,(Исходн.данные.!X172*AR172+Исходн.данные.!AA172*N_Org*AL172+Исходн.данные.!AB172*N_Sider*AL172+Исходн.данные.!AC172*N_Soloma*AL172)/HF172)</f>
        <v>#N/A</v>
      </c>
      <c r="GF172" s="39" t="e">
        <f>IF(HG172=$FY$16,0,(Исходн.данные.!Y172*AS172+Исходн.данные.!AA172*Р_Org*AM172+Исходн.данные.!AB172*P_Sider*AM172+Исходн.данные.!AC172*P_Soloma*AM172)/HG172)</f>
        <v>#N/A</v>
      </c>
      <c r="GG172" s="39" t="e">
        <f>IF(HH172=$FY$16,0,(Исходн.данные.!Z172*AT172+Исходн.данные.!AA172*К_Org*AN172+Исходн.данные.!AB172*K_Sider*AN172+Исходн.данные.!AC172*K_Soloma*AN172)/HH172)</f>
        <v>#N/A</v>
      </c>
      <c r="GH172" s="39" t="e">
        <f>Исходн.данные.!AD172*AU172/HF172</f>
        <v>#N/A</v>
      </c>
      <c r="GI172" s="39" t="e">
        <f>Исходн.данные.!AE172*AV172/HG172</f>
        <v>#N/A</v>
      </c>
      <c r="GJ172" s="39" t="e">
        <f>Исходн.данные.!AF172*AW172/HH172</f>
        <v>#N/A</v>
      </c>
      <c r="GK172" s="55">
        <f>Исходн.данные.!AK172</f>
        <v>0</v>
      </c>
      <c r="GL172" s="11" t="e">
        <f t="shared" si="261"/>
        <v>#N/A</v>
      </c>
      <c r="GM172" s="11" t="e">
        <f t="shared" si="262"/>
        <v>#N/A</v>
      </c>
      <c r="GN172" s="11" t="e">
        <f t="shared" si="263"/>
        <v>#N/A</v>
      </c>
      <c r="GO172" s="57">
        <f t="shared" si="264"/>
        <v>19</v>
      </c>
      <c r="GP172" s="55">
        <f>IF(OR(Исходн.данные.!F172=$CE$1,Исходн.данные.!F172=$CE$2,Исходн.данные.!F172=$CE$3,Исходн.данные.!F172=$CE$4,Исходн.данные.!F172=$CE$5),GQ172,GR172)</f>
        <v>19</v>
      </c>
      <c r="GQ172" s="55">
        <f>IF(Исходн.данные.!F172=$CE$1,28,IF(Исходн.данные.!F172=$CE$2,26,IF(Исходн.данные.!F172=$CE$3,24,IF(Исходн.данные.!F172=$CE$4,22,IF(Исходн.данные.!F172=$CE$5,20,GR172)))))</f>
        <v>19</v>
      </c>
      <c r="GR172" s="55">
        <f>IF(Исходн.данные.!F172=$CE$6,18,IF(Исходн.данные.!F172=$CE$7,16,IF(Исходн.данные.!F172=$CE$8,14,IF(Исходн.данные.!F172=$CE$9,13,IF(Исходн.данные.!F172=$CE$10,12,19)))))</f>
        <v>19</v>
      </c>
      <c r="GS172" s="55">
        <f>IF(Исходн.данные.!G172="Пес",0.035*(40+2*Исходн.данные.!H172),IF(Исходн.данные.!G172="Суп",0.0325*(40+2*Исходн.данные.!H172),0.03*(40+2*Исходн.данные.!H172)))</f>
        <v>1.2</v>
      </c>
      <c r="GT172" s="55">
        <f>IF(Исходн.данные.!H172&lt;23,2.6,IF(AND(Исходн.данные.!H172&gt;22,Исходн.данные.!H172&lt;26),3,IF(AND(Исходн.данные.!H172&gt;25,Исходн.данные.!H172&lt;29),3.4,3.6)))</f>
        <v>2.6</v>
      </c>
      <c r="GU172" s="55">
        <f>IF(Исходн.данные.!H172&lt;23,2.8,IF(AND(Исходн.данные.!H172&gt;22,Исходн.данные.!H172&lt;26),3.2,IF(AND(Исходн.данные.!H172&gt;25,Исходн.данные.!H172&lt;29),3.6,3.9)))</f>
        <v>2.8</v>
      </c>
      <c r="GV172" s="55">
        <f>IF(Исходн.данные.!H172&lt;23,3,IF(AND(Исходн.данные.!H172&gt;22,Исходн.данные.!H172&lt;26),3.5,IF(AND(Исходн.данные.!H172&gt;25,Исходн.данные.!H172&lt;29),3.9,4.2)))</f>
        <v>3</v>
      </c>
      <c r="GW172" s="55" t="e">
        <f>IF(Исходн.данные.!P172="Ум",GX172,GY172)</f>
        <v>#N/A</v>
      </c>
      <c r="GX172" s="55" t="e">
        <f>VLOOKUP(Исходн.данные.!AI172,Коэффициенты!$J$7:$L$13,2,FALSE)</f>
        <v>#N/A</v>
      </c>
      <c r="GY172" s="55" t="e">
        <f>VLOOKUP(Исходн.данные.!AI172,Коэффициенты!$J$7:$L$13,3,FALSE)</f>
        <v>#N/A</v>
      </c>
      <c r="GZ172" s="55" t="e">
        <f>(IF(Исходн.данные.!M172&lt;50,0.11*VLOOKUP(Исходн.данные.!AH172,Культуры.Информация,7,FALSE),IF(Исходн.данные.!M172&gt;250,0.05*VLOOKUP(Исходн.данные.!AH172,Культуры.Информация,7,FALSE),VLOOKUP(Исходн.данные.!AH172,Культуры.Информация,5,FALSE)/100*($GX$6+$GY$6*Исходн.данные.!M172))))*Расчет2!AI172</f>
        <v>#N/A</v>
      </c>
      <c r="HA172" s="211"/>
      <c r="HB172" s="211"/>
      <c r="HC172" s="55" t="e">
        <f>(IF(Исходн.данные.!O172&lt;80,0.2*VLOOKUP(Исходн.данные.!AH172,Культуры.Информация,8,FALSE),IF(Исходн.данные.!O172&gt;240,0.09*VLOOKUP(Исходн.данные.!AH172,Культуры.Информация,8,FALSE),VLOOKUP(Исходн.данные.!AH172,Культуры.Информация,6,FALSE)/100*($HB$6+$HC$6*Исходн.данные.!O172))))*Расчет2!AJ172</f>
        <v>#N/A</v>
      </c>
      <c r="HD172" s="55">
        <f>IF(Исходн.данные.!O172&gt;240,0.09,IF(Исходн.данные.!O172&lt;30,0.3,$HE$10+$HD$10*Исходн.данные.!O172))</f>
        <v>0.3</v>
      </c>
      <c r="HE172" s="55">
        <f>IF(Исходн.данные.!O172&gt;240,0.17,IF(Исходн.данные.!O172&lt;30,0.5,$HF$12+$HE$12*Исходн.данные.!O172))</f>
        <v>0.5</v>
      </c>
      <c r="HF172" s="55" t="e">
        <f>VLOOKUP(Исходн.данные.!AH172,Справ!$A$3:$D$58,2,FALSE)</f>
        <v>#N/A</v>
      </c>
      <c r="HG172" s="55" t="e">
        <f>VLOOKUP(Исходн.данные.!AH172,Справ!$A$3:$D$58,3,FALSE)</f>
        <v>#N/A</v>
      </c>
      <c r="HH172" s="55" t="e">
        <f>VLOOKUP(Исходн.данные.!AH172,Справ!$A$3:$D$58,4,FALSE)</f>
        <v>#N/A</v>
      </c>
      <c r="HI172" s="11" t="e">
        <f t="shared" si="265"/>
        <v>#N/A</v>
      </c>
      <c r="HJ172" s="11" t="e">
        <f t="shared" si="266"/>
        <v>#N/A</v>
      </c>
      <c r="HK172" s="11" t="e">
        <f t="shared" si="267"/>
        <v>#N/A</v>
      </c>
      <c r="HL172" s="55">
        <f>IF(OR(Исходн.данные.!G172="Глин",Исходн.данные.!G172="Т_суг"),1.1,IF(Исходн.данные.!G172="Ср_суг",1,1))</f>
        <v>1</v>
      </c>
      <c r="HM172" s="55">
        <f>IF(OR(Исходн.данные.!G172="Глин",Исходн.данные.!G172="Т_суг"),0.9,IF(Исходн.данные.!G172="Ср_суг",1,1.2))</f>
        <v>1.2</v>
      </c>
      <c r="HN172" s="11" t="e">
        <f t="shared" si="268"/>
        <v>#N/A</v>
      </c>
      <c r="HO172" s="11" t="e">
        <f t="shared" si="269"/>
        <v>#N/A</v>
      </c>
      <c r="HP172" s="11" t="e">
        <f t="shared" si="270"/>
        <v>#N/A</v>
      </c>
      <c r="HQ172" t="e">
        <f t="shared" si="271"/>
        <v>#N/A</v>
      </c>
      <c r="HR172" t="e">
        <f t="shared" si="272"/>
        <v>#N/A</v>
      </c>
      <c r="HS172" t="e">
        <f t="shared" si="273"/>
        <v>#N/A</v>
      </c>
      <c r="HT172" t="e">
        <f t="shared" si="219"/>
        <v>#N/A</v>
      </c>
      <c r="HU172" t="e">
        <f t="shared" si="220"/>
        <v>#N/A</v>
      </c>
      <c r="HV172" t="e">
        <f t="shared" si="221"/>
        <v>#N/A</v>
      </c>
      <c r="HW172" t="e">
        <f t="shared" si="222"/>
        <v>#N/A</v>
      </c>
      <c r="HX172" t="e">
        <f t="shared" si="223"/>
        <v>#N/A</v>
      </c>
      <c r="HY172" t="e">
        <f t="shared" si="224"/>
        <v>#N/A</v>
      </c>
      <c r="HZ172" s="55">
        <f>IF(OR(Исходн.данные.!AI172="Оз_Ч_П",Исходн.данные.!AI172="Оз_З_П",Исходн.данные.!AI172="Яр_зер"),12,30)</f>
        <v>30</v>
      </c>
      <c r="IA172" t="e">
        <f t="shared" si="274"/>
        <v>#N/A</v>
      </c>
      <c r="IB172" t="e">
        <f t="shared" si="275"/>
        <v>#N/A</v>
      </c>
      <c r="IC172" t="e">
        <f t="shared" si="276"/>
        <v>#N/A</v>
      </c>
      <c r="ID172" s="11" t="e">
        <f t="shared" si="277"/>
        <v>#N/A</v>
      </c>
      <c r="IE172" s="11" t="e">
        <f t="shared" si="278"/>
        <v>#N/A</v>
      </c>
      <c r="IF172" s="11" t="e">
        <f t="shared" si="279"/>
        <v>#N/A</v>
      </c>
    </row>
    <row r="173" spans="35:240" x14ac:dyDescent="0.2">
      <c r="AI173">
        <f>IF(Исходн.данные.!I173&gt;6,1,1.85-(0.148*Исходн.данные.!I173))</f>
        <v>1.85</v>
      </c>
      <c r="AJ173">
        <f>IF(Исходн.данные.!I173&gt;6,1,2.434-(0.246*Исходн.данные.!I173))</f>
        <v>2.4340000000000002</v>
      </c>
      <c r="AL173" s="148" t="b">
        <f>IF(Исходн.данные.!$P173="Ум",N_OrgUd_2g_um,IF(Исходн.данные.!$P173="Об",N_OrgUd_2g_ob))</f>
        <v>0</v>
      </c>
      <c r="AM173" s="148" t="b">
        <f>IF(Исходн.данные.!$P173="Ум",P_OrgUd_2g_um,IF(Исходн.данные.!$P173="Об",P_OrgUd_2g_ob))</f>
        <v>0</v>
      </c>
      <c r="AN173" s="148" t="b">
        <f>IF(Исходн.данные.!$P173="Ум",K_OrgUd_2g_um,IF(Исходн.данные.!$P173="Об",K_OrgUd_2g_ob))</f>
        <v>0</v>
      </c>
      <c r="AO173" s="148" t="b">
        <f>IF(Исходн.данные.!$P173="Ум",N_OrgUd_1g_um,IF(Исходн.данные.!$P173="Об",N_OrgUd_1g_ob))</f>
        <v>0</v>
      </c>
      <c r="AP173" s="148" t="b">
        <f>IF(Исходн.данные.!$P173="Ум",P_OrgUd_1g_um,IF(Исходн.данные.!$P173="Об",P_OrgUd_1g_ob))</f>
        <v>0</v>
      </c>
      <c r="AQ173" s="148" t="b">
        <f>IF(Исходн.данные.!$P173="Ум",K_OrgUd_1g_um,IF(Исходн.данные.!$P173="Об",K_OrgUd_1g_ob))</f>
        <v>0</v>
      </c>
      <c r="AR173" t="b">
        <f>IF(Исходн.данные.!$P173="Ум",N_MinUd_2g_um,IF(Исходн.данные.!$P173="Об",N_MinUd_2g_ob))</f>
        <v>0</v>
      </c>
      <c r="AS173" t="b">
        <f>IF(Исходн.данные.!$P173="Ум",P_MinUd_2g_um,IF(Исходн.данные.!$P173="Об",P_MinUd_2g_ob))</f>
        <v>0</v>
      </c>
      <c r="AT173" t="b">
        <f>IF(Исходн.данные.!$P173="Ум",K_MinUd_2g_um,IF(Исходн.данные.!$P173="Об",K_MinUd_2g_ob))</f>
        <v>0</v>
      </c>
      <c r="AU173" t="b">
        <f>IF(Исходн.данные.!$P173="Ум",N_MinUd_1g_um,IF(Исходн.данные.!$P173="Об",N_MinUd_1g_ob))</f>
        <v>0</v>
      </c>
      <c r="AV173" t="b">
        <f>IF(Исходн.данные.!P173="Ум",P_MinUd_1g_um,IF(Исходн.данные.!P173="Об",P_MinUd_1g_ob))</f>
        <v>0</v>
      </c>
      <c r="AW173" t="b">
        <f>IF(Исходн.данные.!P173="Ум",K_MinUd_1g_um,IF(Исходн.данные.!P173="Об",K_MinUd_1g_ob))</f>
        <v>0</v>
      </c>
      <c r="AY173" t="e">
        <f>VLOOKUP(Исходн.данные.!T173,Справ!$A$3:$N$57,12)</f>
        <v>#N/A</v>
      </c>
      <c r="AZ173" t="e">
        <f>VLOOKUP(Исходн.данные.!T173,Справ!$A$3:$N$57,13)</f>
        <v>#N/A</v>
      </c>
      <c r="BA173" t="e">
        <f>VLOOKUP(Исходн.данные.!T173,Справ!$A$3:$N$57,14)</f>
        <v>#N/A</v>
      </c>
      <c r="BB173">
        <f>IF(Исходн.данные.!AH173=0,0,25)</f>
        <v>0</v>
      </c>
      <c r="BC173" s="141">
        <f>IF(Исходн.данные.!AH173=0,0,IF(Исходн.данные.!T173=0,25,BD173))</f>
        <v>0</v>
      </c>
      <c r="BD173" s="168" t="e">
        <f>AY173+AZ173*Исходн.данные.!U173-POWER(BA173,2)*Исходн.данные.!U173</f>
        <v>#N/A</v>
      </c>
      <c r="BE17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3" s="25">
        <f>IF(Исходн.данные.!AH173=0,0,MIN(HN173:HP173))</f>
        <v>0</v>
      </c>
      <c r="BG173" s="9">
        <f>IF(Исходн.данные.!AH173=0,0,IF((HO173+10*0.25/HG173/HL173)&lt;17,17,HO173+10*0.25/HG173/HL173))</f>
        <v>0</v>
      </c>
      <c r="BH173" s="181">
        <f>IF(Исходн.данные.!AH173=0,0,HW173*HF173*HL173/AU173*AI173+Исходн.данные.!S173*10)</f>
        <v>0</v>
      </c>
      <c r="BI173" s="10"/>
      <c r="BJ173" s="182">
        <f>IF(Исходн.данные.!AH173=0,0,IF(HX173*HG173*HL173/AV173&lt;0,0,HX173*HG173*HL173/AV173*AJ173))</f>
        <v>0</v>
      </c>
      <c r="BK173" s="182">
        <f>IF(Исходн.данные.!AH173=0,0,HY173*HH173*HM173/AW173)</f>
        <v>0</v>
      </c>
      <c r="BL173" s="10">
        <f>IF(OR(Исходн.данные.!$AH173=$BP$1,Исходн.данные.!$AH173=$BP$2),0,IF(BH173&lt;0,0,IF(OR(Исходн.данные.!T173=Расчет!$BP$1,Исходн.данные.!T173=Расчет!$BP$2,Исходн.данные.!T173=Расчет!$BT$5,Исходн.данные.!T173=Расчет!$BT$6),BH173*0.5,IF(OR(Исходн.данные.!T173=Расчет!$BS$9,Исходн.данные.!T173=Расчет!$BS$10,Исходн.данные.!T173=Расчет!$BS$11,Исходн.данные.!T173=Расчет!$BS$12,Исходн.данные.!T173=Расчет!$BP$5),BH173*0.8,BH173))))</f>
        <v>0</v>
      </c>
      <c r="BM173" s="10">
        <f>IF(OR(Исходн.данные.!$AH173=$BP$1,Исходн.данные.!$AH173=$BP$2),0,IF(BJ173&lt;0,0,IF(Исходн.данные.!I173&lt;4.5,BJ173*1.2,IF(Исходн.данные.!I173&gt;5.1,BJ173,BJ173*((5.1-Исходн.данные.!I173)*0.333+1)))))</f>
        <v>0</v>
      </c>
      <c r="BN173" s="10">
        <f>IF(OR(Исходн.данные.!$AH173=$BP$1,Исходн.данные.!$AH173=$BP$2),60-Исходн.данные.!AF173,IF(BK173&lt;0,0,IF(Исходн.данные.!I173&lt;4.5,BK173*1.2,IF(Исходн.данные.!I173&gt;5.1,BK173,BK173*((5.1-Исходн.данные.!I173)*0.333+1)))))</f>
        <v>0</v>
      </c>
      <c r="BO173" s="9">
        <f>IF(BL173&lt;0,0,BL173*Исходн.данные.!$AJ173/1000)</f>
        <v>0</v>
      </c>
      <c r="BP173" s="9">
        <f>IF(BM173&lt;0,0,BM173*Исходн.данные.!$AJ173/1000)</f>
        <v>0</v>
      </c>
      <c r="BQ173" s="9">
        <f>IF(BN173&lt;0,0,BN173*Исходн.данные.!$AJ173/1000)</f>
        <v>0</v>
      </c>
      <c r="BR173" s="9">
        <f t="shared" si="229"/>
        <v>0</v>
      </c>
      <c r="BS173" s="10" t="str">
        <f t="shared" si="230"/>
        <v>Аммофос 12:52:00</v>
      </c>
      <c r="BT173" s="10" t="str">
        <f t="shared" si="231"/>
        <v>Аммофос 12:52:00</v>
      </c>
      <c r="BU173" s="10" t="str">
        <f t="shared" si="232"/>
        <v>Диаммофоска</v>
      </c>
      <c r="BV173" s="10">
        <f t="shared" si="233"/>
        <v>0</v>
      </c>
      <c r="BW173" s="10"/>
      <c r="BX173" s="10"/>
      <c r="BY173" s="9">
        <f>IF(BL173&lt;0,0,IF(OR(Исходн.данные.!AI173=Расчет!$BU$6,Исходн.данные.!AI173=Расчет!$BU$7),Расчет!BV173,IF(Исходн.данные.!$AG173=$BV$11,BL173,IF(OR(Исходн.данные.!$AH173=$BQ$7,Исходн.данные.!$AH173=$BQ$8),CB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0,IF(Исходн.данные.!$AI173=$BU$11,"Нет",IF(BL173&gt;30,30,BL173)))))))</f>
        <v>0</v>
      </c>
      <c r="BZ173" s="9">
        <f>IF(AND(Исходн.данные.!$AG173=$BV$11,BM173&lt;10),10,IF(Исходн.данные.!$AG173=$BV$11,BM173,IF(OR(Исходн.данные.!$AH173=$BQ$7,Исходн.данные.!$AH173=$BQ$8),CC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10,IF(Исходн.данные.!$AI173=$BU$11,"Нет",IF(BM173&gt;60,60,IF(BM173&lt;10,10,BM173)))))))</f>
        <v>10</v>
      </c>
      <c r="CA173" s="39">
        <f>IF(BN173&lt;0,0,IF(Исходн.данные.!$AG173=$BV$11,BN173,IF(OR(Исходн.данные.!$AH173=$BQ$7,Исходн.данные.!$AH173=$BQ$8),CD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0,IF(Исходн.данные.!$AI173=$BU$11,"Нет",IF(BN173&gt;30,30,BN173))))))</f>
        <v>0</v>
      </c>
      <c r="CB173" s="9">
        <f t="shared" si="234"/>
        <v>0</v>
      </c>
      <c r="CC173" s="9">
        <f t="shared" si="235"/>
        <v>0</v>
      </c>
      <c r="CD173" s="9">
        <f t="shared" si="236"/>
        <v>0</v>
      </c>
      <c r="CE173" s="12">
        <f t="shared" si="237"/>
        <v>10</v>
      </c>
      <c r="CF173" s="9">
        <f t="shared" si="238"/>
        <v>0</v>
      </c>
      <c r="CG173" s="9" t="s">
        <v>231</v>
      </c>
      <c r="CH173" s="132" t="str">
        <f>IF(Исходн.данные.!AP173=Расчет!$CI$16,"Нет",IF(Исходн.данные.!AL173&gt;0,Исходн.данные.!AL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BH$4,IF(OR(Исходн.данные.!AI173=Исходн.данные.!$AI$6,Исходн.данные.!AI173=Исходн.данные.!$AI$7),Расчет!BS173,IF(AND($CF173=0,$CE173&gt;0),EV173,ER173)))))</f>
        <v>Аммофос 12:52:00</v>
      </c>
      <c r="CI173" s="274">
        <f>IF(Расчет!$CH173="Нет","Нет",IF(Исходн.данные.!$AL173&gt;0,VLOOKUP(Расчет!$CH173,АшламаДВ_Irekle,2,FALSE),VLOOKUP(Расчет!$CH173,АшламаДВ_Gomumy,2,FALSE)))</f>
        <v>0.12</v>
      </c>
      <c r="CJ173" s="274">
        <f>IF(Расчет!$CH173="Нет","Нет",IF(Исходн.данные.!$AL173&gt;0,VLOOKUP(Расчет!$CH173,АшламаДВ_Irekle,3,FALSE),VLOOKUP(Расчет!$CH173,АшламаДВ_Gomumy,3,FALSE)))</f>
        <v>0.52</v>
      </c>
      <c r="CK173" s="274">
        <f>IF(Расчет!$CH173="Нет","Нет",IF(Исходн.данные.!$AL173&gt;0,VLOOKUP(Расчет!$CH173,АшламаДВ_Irekle,4,FALSE),VLOOKUP(Расчет!$CH173,АшламаДВ_Gomumy,4,FALSE)))</f>
        <v>0</v>
      </c>
      <c r="CL173" s="70"/>
      <c r="CM173" s="70"/>
      <c r="CN173" s="70"/>
      <c r="CO173" s="70"/>
      <c r="CP173" s="70"/>
      <c r="CQ173" s="70"/>
      <c r="CR173" s="10">
        <f t="shared" si="239"/>
        <v>0</v>
      </c>
      <c r="CS173" s="10">
        <f t="shared" si="240"/>
        <v>19.23076923076923</v>
      </c>
      <c r="CT173" s="10">
        <f t="shared" si="241"/>
        <v>0</v>
      </c>
      <c r="CU173" s="39">
        <f>IF($CH173="Нет",0,IF(CI173=0,30/MIN(CJ173:CK173),IF(Исходн.данные.!$AG173=$BV$11,CR173,IF(OR(Исходн.данные.!$AH173=$BQ$7,Исходн.данные.!$AH173=$BQ$8),90/CI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0,IF(Исходн.данные.!$AI173=$BU$11,"Нет",30/CI173))))))</f>
        <v>250</v>
      </c>
      <c r="CV173" s="39">
        <f>IF($CH173="Нет",0,IF(Исходн.данные.!AH173=0,0,IF(CJ173=0,60/MIN(CI173,CK173),IF(Исходн.данные.!$AG173=$BV$11,CS173,IF(OR(Исходн.данные.!$AH173=$BQ$7,Исходн.данные.!$AH173=$BQ$8),90/CJ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10/CJ173,IF(Исходн.данные.!$AI173=$BU$11,"Нет",60/CJ173)))))))</f>
        <v>0</v>
      </c>
      <c r="CW173" s="39">
        <f>IF($CH173="Нет",0,IF(Исходн.данные.!AH173=0,0,IF(CK173=0,30/MIN(CI173:CJ173),IF(Исходн.данные.!$AG173=$BV$11,CT173,IF(OR(Исходн.данные.!$AH173=$BQ$7,Исходн.данные.!$AH173=$BQ$8),90/CK173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0,IF(Исходн.данные.!$AI173=$BU$11,"Нет",30/CK173)))))))</f>
        <v>0</v>
      </c>
      <c r="CX173" s="133">
        <f>IF(Исходн.данные.!$AG173=$BV$11,MAX(CU173:CW173),IF(OR(Исходн.данные.!$AH173=$BS$8,Исходн.данные.!$AH173=$BQ$9,Исходн.данные.!$AH173=$BQ$10,Исходн.данные.!$AH173=$BQ$11,Исходн.данные.!$AH173=$BQ$12,Исходн.данные.!$AH173=$BP$3,Исходн.данные.!$AH173=$BT$8,$FM173="Да"),CV173,MIN(CU173:CW173)))</f>
        <v>0</v>
      </c>
      <c r="CY173" s="133">
        <f>IF(Исходн.данные.!AH173=0,0,IF(CR173&gt;$CX173,$CX173,CR173))</f>
        <v>0</v>
      </c>
      <c r="CZ173" s="133">
        <f>IF(Исходн.данные.!AH173=0,0,IF(CS173&gt;$CX173,$CX173,CS173))</f>
        <v>0</v>
      </c>
      <c r="DA173" s="133">
        <f>IF(Исходн.данные.!AH173=0,0,IF(CT173&gt;$CX173,$CX173,CT173))</f>
        <v>0</v>
      </c>
      <c r="DB173" s="10">
        <f t="shared" si="242"/>
        <v>0</v>
      </c>
      <c r="DC173" s="39">
        <f>DB173*Исходн.данные.!AJ173/1000</f>
        <v>0</v>
      </c>
      <c r="DD173" s="71">
        <f t="shared" si="243"/>
        <v>0</v>
      </c>
      <c r="DE173" s="9">
        <f t="shared" si="244"/>
        <v>0</v>
      </c>
      <c r="DF173" s="9">
        <f t="shared" si="245"/>
        <v>0</v>
      </c>
      <c r="DG173" s="39">
        <f>IF(BL173&lt;0,0,IF($CH173="Нет",BL173,IF(OR(Исходн.данные.!$AH173=$BP$1,Исходн.данные.!$AH173=$BP$2),0,IF(Исходн.данные.!AI173=$BU$11,BL173,IF(BL173-DD173&lt;0,0,BL173-DD173)))))</f>
        <v>0</v>
      </c>
      <c r="DH173" s="39">
        <f>IF(BM173&lt;0,0,IF($CH173="Нет",BM173,IF(OR(Исходн.данные.!$AH173=$BP$1,Исходн.данные.!$AH173=$BP$2),0,IF(Исходн.данные.!AJ173=$BU$11,BM173,IF(BM173-DE173&lt;0,0,BM173-DE173)))))</f>
        <v>0</v>
      </c>
      <c r="DI173" s="39">
        <f>IF(BN173&lt;0,0,IF($CH173="Нет",BN173,IF(OR(Исходн.данные.!$AH173=$BP$1,Исходн.данные.!$AH173=$BP$2),0,IF(Исходн.данные.!AK173=$BU$11,BN173,IF(BN173-DF173&lt;0,0,BN173-DF173)))))</f>
        <v>0</v>
      </c>
      <c r="DJ173" s="12">
        <f t="shared" si="246"/>
        <v>0</v>
      </c>
      <c r="DK173" s="9">
        <f t="shared" si="247"/>
        <v>0</v>
      </c>
      <c r="DL173" s="39">
        <f>IF(Исходн.данные.!AM173&gt;0,Исходн.данные.!AM173,IF(EG173&gt;0,$BH$10,0))</f>
        <v>0</v>
      </c>
      <c r="DM173" s="186">
        <f>IF($DL173=0,0,IF(Исходн.данные.!AM173&gt;0,VLOOKUP($DL173,АшламаДВ_Irekle,2,FALSE),VLOOKUP($DL173,АшламаДВ_Gomumy,2,FALSE)))</f>
        <v>0</v>
      </c>
      <c r="DN173" s="10">
        <f t="shared" si="225"/>
        <v>0</v>
      </c>
      <c r="DO173" s="9" t="str">
        <f>IF(Исходн.данные.!AN173&gt;0,Исходн.данные.!AN173,Удобрения!$B$37 )</f>
        <v>Хлор.калий</v>
      </c>
      <c r="DP173" s="9">
        <f>IF(Исходн.данные.!AN173&gt;0,VLOOKUP(Исходн.данные.!AN173,АшламаДВ_Irekle,4,FALSE),VLOOKUP(DO173,АшламаДВ_Gomumy,4,FALSE))</f>
        <v>0.6</v>
      </c>
      <c r="DQ173" s="10">
        <f t="shared" si="226"/>
        <v>0</v>
      </c>
      <c r="DR173" s="132" t="str">
        <f>IF(Исходн.данные.!AO173&gt;0,Исходн.данные.!AO173,IF(DH173=0,BS$17,IF(AND($DK173=0,$DJ173&gt;0),EJ173,EN173)))</f>
        <v>Нет</v>
      </c>
      <c r="DS173" s="70" t="str">
        <f>IF($DR173="Нет","Нет",IF(Исходн.данные.!$AO173&gt;0,VLOOKUP($DR173,АшламаДВ_Irekle,2,FALSE),VLOOKUP($DR173,АшламаДВ_Gomumy,2,FALSE)))</f>
        <v>Нет</v>
      </c>
      <c r="DT173" s="70" t="str">
        <f>IF($DR173="Нет","Нет",IF(Исходн.данные.!$AO173&gt;0,VLOOKUP($DR173,АшламаДВ_Irekle,3,FALSE),VLOOKUP($DR173,АшламаДВ_Gomumy,3,FALSE)))</f>
        <v>Нет</v>
      </c>
      <c r="DU173" s="70" t="str">
        <f>IF($DR173="Нет","Нет",IF(Исходн.данные.!$AO173&gt;0,VLOOKUP($DR173,АшламаДВ_Irekle,4,FALSE),VLOOKUP($DR173,АшламаДВ_Gomumy,4,FALSE)))</f>
        <v>Нет</v>
      </c>
      <c r="DV173" s="70"/>
      <c r="DW173" s="70"/>
      <c r="DX173" s="70"/>
      <c r="DY173" s="10">
        <f t="shared" si="248"/>
        <v>0</v>
      </c>
      <c r="DZ173" s="10">
        <f t="shared" si="249"/>
        <v>0</v>
      </c>
      <c r="EA173" s="10">
        <f t="shared" si="250"/>
        <v>0</v>
      </c>
      <c r="EB173" s="10">
        <f t="shared" si="251"/>
        <v>0</v>
      </c>
      <c r="EC173" s="10">
        <f t="shared" si="252"/>
        <v>0</v>
      </c>
      <c r="ED173" s="10">
        <f t="shared" si="253"/>
        <v>0</v>
      </c>
      <c r="EE173" s="10">
        <f t="shared" si="254"/>
        <v>0</v>
      </c>
      <c r="EF173" s="39">
        <f>EB173*Исходн.данные.!AJ173/1000</f>
        <v>0</v>
      </c>
      <c r="EG173" s="9">
        <f t="shared" si="255"/>
        <v>0</v>
      </c>
      <c r="EH173" s="9">
        <f t="shared" si="256"/>
        <v>0</v>
      </c>
      <c r="EI173" s="39" t="e">
        <f t="shared" si="206"/>
        <v>#DIV/0!</v>
      </c>
      <c r="EJ173" s="9" t="str">
        <f t="shared" si="227"/>
        <v>Азопреципитат</v>
      </c>
      <c r="EK173" s="12">
        <f t="shared" si="207"/>
        <v>0.26</v>
      </c>
      <c r="EL173" s="12">
        <f t="shared" si="208"/>
        <v>0.13</v>
      </c>
      <c r="EM173" s="12">
        <f t="shared" si="209"/>
        <v>0</v>
      </c>
      <c r="EN173" s="12" t="str">
        <f t="shared" si="228"/>
        <v>Нет</v>
      </c>
      <c r="EO173" s="12">
        <f t="shared" si="210"/>
        <v>0</v>
      </c>
      <c r="EP173" s="12">
        <f t="shared" si="211"/>
        <v>0</v>
      </c>
      <c r="EQ173" s="12">
        <f t="shared" si="212"/>
        <v>0</v>
      </c>
      <c r="ER173" s="12" t="str">
        <f t="shared" si="257"/>
        <v>Диаммофоска</v>
      </c>
      <c r="ES173" s="12">
        <f t="shared" si="213"/>
        <v>0.1</v>
      </c>
      <c r="ET173" s="12">
        <f t="shared" si="214"/>
        <v>0.26</v>
      </c>
      <c r="EU173" s="12">
        <f t="shared" si="215"/>
        <v>0.26</v>
      </c>
      <c r="EV173" s="12" t="str">
        <f t="shared" si="258"/>
        <v>Аммофос 12:52:00</v>
      </c>
      <c r="EW173" s="12" t="str">
        <f t="shared" si="259"/>
        <v>Кемира Свекловичное-6</v>
      </c>
      <c r="EX173" s="12">
        <f t="shared" si="216"/>
        <v>0.16</v>
      </c>
      <c r="EY173" s="12">
        <f t="shared" si="217"/>
        <v>0.12</v>
      </c>
      <c r="EZ173" s="12">
        <f t="shared" si="218"/>
        <v>0.17</v>
      </c>
      <c r="FA173" s="38" t="e">
        <f>IF(AND(OR(FJ173=$FD$1,FM173=$FD$1,FO173=$FD$1,FQ173=$FD$1,FS173=$FD$1),FD173=$FD$1,Исходн.данные.!J173&lt;2,FU173=$FD$1),"Бор,Кобальт",IF(AND(FO173=$FD$1,FH173=$FD$1,Исходн.данные.!J173&lt;2,FU173=$FD$1),"Бор,Кобальт",IF(AND(OR(FJ173=$FD$1,FM173=$FD$1,FQ173=$FD$1),FE173=$FD$1,Исходн.данные.!J173&lt;2,FT173=$FD$1,FU173=$FD$1),"Бор,Медь,Цинк",IF(AND(OR(FJ173=$FD$1,FR173="Да"),FI173="Да",Исходн.данные.!J173&lt;2,FT173="Да",FU173="Да"),"Бор,Цинк,Медь",IF(AND(OR(FM173="Да",FQ173="Да"),FI173="Да",Исходн.данные.!J173&lt;2,FT173="Да",FU173="Да"),"Бор,Цинк",IF(AND(FN173="Да",OR(FD173="Да",FE173="Да")),"Бор",FB173))))))</f>
        <v>#N/A</v>
      </c>
      <c r="FB173" s="134" t="e">
        <f>IF(AND(OR(FD173="Да",FE173="Да",FF173="Да",FG173="Да",FH173="Да"),FO173="Да"),"Бор",IF(AND(FP173="Да",OR(FD173="Да",FE173="Да",FI173="Да")),"Бор",IF(AND(FS173="Да",FE173="Да"),"Бор,Медь",IF(AND(OR(FJ173="Да",FK173="Да",FL173="Да"),FE173="Да",Исходн.данные.!I173&lt;5,FT173="Да",FU173="Да"),"Молибден,Цинк",IF(AND(FM173="Да",OR(FE173="Да",FF173="Да",FG173="Да",FH173="Да",FI173="Да")),"Молибден,Цинк",IF(AND(OR(FJ173="Да",FK173="Да",FL173="Да",FM173="Да",FQ173="Да"),OR(FE173="Да",FF173="Да"),FT173="Да",FU173="Да",Исходн.данные.!I173&gt;5.5),"Медь,Цинк",FC173))))))</f>
        <v>#N/A</v>
      </c>
      <c r="FC173" s="23" t="e">
        <f t="shared" si="260"/>
        <v>#N/A</v>
      </c>
      <c r="FD173" s="38" t="str">
        <f>IF(OR(Исходн.данные.!F173=$CC$1,Исходн.данные.!F173=$CC$2,Исходн.данные.!F173=$CC$3,Исходн.данные.!F173=$CC$4),"Да","Нет")</f>
        <v>Нет</v>
      </c>
      <c r="FE173" s="38" t="str">
        <f>IF(Исходн.данные.!F173=$CC$5,"Да","Нет")</f>
        <v>Нет</v>
      </c>
      <c r="FF173" s="38" t="str">
        <f>IF(OR(Исходн.данные.!F173=$CC$6,Исходн.данные.!F173=$CC$7),"Да","Нет")</f>
        <v>Нет</v>
      </c>
      <c r="FG173" s="38" t="str">
        <f>IF(OR(Исходн.данные.!F173=$CC$8,Исходн.данные.!F173=$CC$9),"Да","Нет")</f>
        <v>Нет</v>
      </c>
      <c r="FH173" s="38" t="str">
        <f>IF(Исходн.данные.!F173=$CC$10,"Да","Нет")</f>
        <v>Нет</v>
      </c>
      <c r="FI173" s="38" t="str">
        <f>IF(OR(Исходн.данные.!F173=$CC$11,Исходн.данные.!F173=$CC$12),"Да","Нет")</f>
        <v>Нет</v>
      </c>
      <c r="FJ173" s="38" t="str">
        <f>IF(OR(Исходн.данные.!AH173=$BS$1,Исходн.данные.!AH173=$BQ$11,Исходн.данные.!AH173=$BQ$12),"Да","Нет")</f>
        <v>Нет</v>
      </c>
      <c r="FK173" s="38" t="str">
        <f>IF(OR(Исходн.данные.!AH173=$BS$2,Исходн.данные.!AH173=$BS$4),"Да","Нет")</f>
        <v>Нет</v>
      </c>
      <c r="FL173" s="38" t="str">
        <f>IF(OR(Исходн.данные.!AH173=$BS$3,Исходн.данные.!AH173=$BS$5),"Да","Нет")</f>
        <v>Нет</v>
      </c>
      <c r="FM173" s="38" t="str">
        <f>IF(OR(Исходн.данные.!AH173=$BS$9,Исходн.данные.!AH173=$BS$10,Исходн.данные.!AH173=$BS$11,Исходн.данные.!AH173=$BS$12),"Да","Нет")</f>
        <v>Нет</v>
      </c>
      <c r="FN173" s="38" t="str">
        <f>IF(OR(Исходн.данные.!AH173=$BS$6,Исходн.данные.!AH173=$BP$3),"Да","Нет")</f>
        <v>Нет</v>
      </c>
      <c r="FO173" s="38" t="str">
        <f>IF(Исходн.данные.!AH173=$BQ$9,"Да","Нет")</f>
        <v>Нет</v>
      </c>
      <c r="FP173" s="38" t="str">
        <f>IF(OR(Исходн.данные.!AH173=$BS$8,Исходн.данные.!AH173=$BT$8),"Да","Нет")</f>
        <v>Нет</v>
      </c>
      <c r="FQ173" s="38" t="str">
        <f>IF(OR(Исходн.данные.!AH173=$BQ$7,Исходн.данные.!AH173=$BQ$8),"Да","Нет")</f>
        <v>Нет</v>
      </c>
      <c r="FR173" s="38" t="str">
        <f>IF(Исходн.данные.!AI173=$BU$9,"Да","Нет")</f>
        <v>Нет</v>
      </c>
      <c r="FS173" s="38" t="str">
        <f>IF(OR(Исходн.данные.!AH173=$BP$1,Исходн.данные.!AH173=$BP$2),"Да","Нет")</f>
        <v>Нет</v>
      </c>
      <c r="FT173" s="38" t="e">
        <f>IF((Исходн.данные.!K173*GO173*GS173*GW173+BL173*0.6+Исходн.данные.!Q173*4.5*0.275)&gt;90,"Да","Нет")</f>
        <v>#N/A</v>
      </c>
      <c r="FU173" s="38" t="e">
        <f>IF((Исходн.данные.!M173*GS173*GZ173+BM173*0.225)&gt;35,"Да","Нет")</f>
        <v>#N/A</v>
      </c>
      <c r="FV173" s="38" t="str">
        <f>IF(Исходн.данные.!O173&gt;175,"Да","Нет")</f>
        <v>Нет</v>
      </c>
      <c r="FW173" s="39" t="str">
        <f>IF(Исходн.данные.!I173&gt;5.5,"Да","Нет")</f>
        <v>Нет</v>
      </c>
      <c r="FX173" s="39" t="str">
        <f>IF(Исходн.данные.!J173&lt;2,"Да","Нет")</f>
        <v>Да</v>
      </c>
      <c r="FY173" s="39" t="e">
        <f>IF(HF173=$FY$16,0,Исходн.данные.!K173*GO173*GS173*GW173/HF173)</f>
        <v>#N/A</v>
      </c>
      <c r="FZ173" s="39" t="e">
        <f>Исходн.данные.!M173*GS173*GZ173/HG173</f>
        <v>#N/A</v>
      </c>
      <c r="GA173" s="39" t="e">
        <f>IF(K_Wyn=$FY$16,0,IF(Исходн.данные.!N173=Исходн.данные.!$L$10,Исходн.данные.!O173/1.1*GS173*HC173/HH173,IF(Исходн.данные.!N173=Исходн.данные.!$L$12,Исходн.данные.!O173/1.5*GS173*HC173/HH173,Исходн.данные.!O173*GS173*HC173/HH173)))</f>
        <v>#N/A</v>
      </c>
      <c r="GB173" s="39" t="e">
        <f>IF(HF173=$FY$16,0,((Исходн.данные.!Q173*N_Org+Исходн.данные.!R173*N_Sider+Исходн.данные.!S173*N_Soloma)*AO173+Расчет!BC173*VLOOKUP(Исходн.данные.!T173,Справ!$A$3:$O$57,15)*AO173+BB173*VLOOKUP(Исходн.данные.!T173,Справ!$A$3:$O$57,15)*AL173+(Исходн.данные.!V173*N_Rizotorf+Исходн.данные.!W173*N_Rizoagr))/HF173)</f>
        <v>#N/A</v>
      </c>
      <c r="GC173" s="39" t="e">
        <f>IF(HG173=$FY$16,0,((Исходн.данные.!Q173*Р_Org+Исходн.данные.!R173*P_Sider+Исходн.данные.!S173*P_Soloma)*AP173+Расчет!BC173*VLOOKUP(Исходн.данные.!T173,Справ!$A$3:$P$57,16)*AP173+BB173*VLOOKUP(Исходн.данные.!T173,Справ!$A$3:$P$57,16)*AM173)/HG173)</f>
        <v>#N/A</v>
      </c>
      <c r="GD173" s="39" t="e">
        <f>IF(HH173=$FY$16,0,((Исходн.данные.!Q173*К_Org+Исходн.данные.!R173*K_Sider+Исходн.данные.!S173*K_Soloma)*AQ173+Расчет!BC173*VLOOKUP(Исходн.данные.!T173,Справ!$A$3:$Q$57,17)*AQ173+BB173*VLOOKUP(Исходн.данные.!T173,Справ!$A$3:$Q$57,17)*AN173)/HH173)</f>
        <v>#N/A</v>
      </c>
      <c r="GE173" s="39" t="e">
        <f>IF(HF173=$FY$16,0,(Исходн.данные.!X173*AR173+Исходн.данные.!AA173*N_Org*AL173+Исходн.данные.!AB173*N_Sider*AL173+Исходн.данные.!AC173*N_Soloma*AL173)/HF173)</f>
        <v>#N/A</v>
      </c>
      <c r="GF173" s="39" t="e">
        <f>IF(HG173=$FY$16,0,(Исходн.данные.!Y173*AS173+Исходн.данные.!AA173*Р_Org*AM173+Исходн.данные.!AB173*P_Sider*AM173+Исходн.данные.!AC173*P_Soloma*AM173)/HG173)</f>
        <v>#N/A</v>
      </c>
      <c r="GG173" s="39" t="e">
        <f>IF(HH173=$FY$16,0,(Исходн.данные.!Z173*AT173+Исходн.данные.!AA173*К_Org*AN173+Исходн.данные.!AB173*K_Sider*AN173+Исходн.данные.!AC173*K_Soloma*AN173)/HH173)</f>
        <v>#N/A</v>
      </c>
      <c r="GH173" s="39" t="e">
        <f>Исходн.данные.!AD173*AU173/HF173</f>
        <v>#N/A</v>
      </c>
      <c r="GI173" s="39" t="e">
        <f>Исходн.данные.!AE173*AV173/HG173</f>
        <v>#N/A</v>
      </c>
      <c r="GJ173" s="39" t="e">
        <f>Исходн.данные.!AF173*AW173/HH173</f>
        <v>#N/A</v>
      </c>
      <c r="GK173" s="55">
        <f>Исходн.данные.!AK173</f>
        <v>0</v>
      </c>
      <c r="GL173" s="11" t="e">
        <f t="shared" si="261"/>
        <v>#N/A</v>
      </c>
      <c r="GM173" s="11" t="e">
        <f t="shared" si="262"/>
        <v>#N/A</v>
      </c>
      <c r="GN173" s="11" t="e">
        <f t="shared" si="263"/>
        <v>#N/A</v>
      </c>
      <c r="GO173" s="57">
        <f t="shared" si="264"/>
        <v>19</v>
      </c>
      <c r="GP173" s="55">
        <f>IF(OR(Исходн.данные.!F173=$CE$1,Исходн.данные.!F173=$CE$2,Исходн.данные.!F173=$CE$3,Исходн.данные.!F173=$CE$4,Исходн.данные.!F173=$CE$5),GQ173,GR173)</f>
        <v>19</v>
      </c>
      <c r="GQ173" s="55">
        <f>IF(Исходн.данные.!F173=$CE$1,28,IF(Исходн.данные.!F173=$CE$2,26,IF(Исходн.данные.!F173=$CE$3,24,IF(Исходн.данные.!F173=$CE$4,22,IF(Исходн.данные.!F173=$CE$5,20,GR173)))))</f>
        <v>19</v>
      </c>
      <c r="GR173" s="55">
        <f>IF(Исходн.данные.!F173=$CE$6,18,IF(Исходн.данные.!F173=$CE$7,16,IF(Исходн.данные.!F173=$CE$8,14,IF(Исходн.данные.!F173=$CE$9,13,IF(Исходн.данные.!F173=$CE$10,12,19)))))</f>
        <v>19</v>
      </c>
      <c r="GS173" s="55">
        <f>IF(Исходн.данные.!G173="Пес",0.035*(40+2*Исходн.данные.!H173),IF(Исходн.данные.!G173="Суп",0.0325*(40+2*Исходн.данные.!H173),0.03*(40+2*Исходн.данные.!H173)))</f>
        <v>1.2</v>
      </c>
      <c r="GT173" s="55">
        <f>IF(Исходн.данные.!H173&lt;23,2.6,IF(AND(Исходн.данные.!H173&gt;22,Исходн.данные.!H173&lt;26),3,IF(AND(Исходн.данные.!H173&gt;25,Исходн.данные.!H173&lt;29),3.4,3.6)))</f>
        <v>2.6</v>
      </c>
      <c r="GU173" s="55">
        <f>IF(Исходн.данные.!H173&lt;23,2.8,IF(AND(Исходн.данные.!H173&gt;22,Исходн.данные.!H173&lt;26),3.2,IF(AND(Исходн.данные.!H173&gt;25,Исходн.данные.!H173&lt;29),3.6,3.9)))</f>
        <v>2.8</v>
      </c>
      <c r="GV173" s="55">
        <f>IF(Исходн.данные.!H173&lt;23,3,IF(AND(Исходн.данные.!H173&gt;22,Исходн.данные.!H173&lt;26),3.5,IF(AND(Исходн.данные.!H173&gt;25,Исходн.данные.!H173&lt;29),3.9,4.2)))</f>
        <v>3</v>
      </c>
      <c r="GW173" s="55" t="e">
        <f>IF(Исходн.данные.!P173="Ум",GX173,GY173)</f>
        <v>#N/A</v>
      </c>
      <c r="GX173" s="55" t="e">
        <f>VLOOKUP(Исходн.данные.!AI173,Коэффициенты!$J$7:$L$13,2,FALSE)</f>
        <v>#N/A</v>
      </c>
      <c r="GY173" s="55" t="e">
        <f>VLOOKUP(Исходн.данные.!AI173,Коэффициенты!$J$7:$L$13,3,FALSE)</f>
        <v>#N/A</v>
      </c>
      <c r="GZ173" s="55" t="e">
        <f>(IF(Исходн.данные.!M173&lt;50,0.11*VLOOKUP(Исходн.данные.!AH173,Культуры.Информация,7,FALSE),IF(Исходн.данные.!M173&gt;250,0.05*VLOOKUP(Исходн.данные.!AH173,Культуры.Информация,7,FALSE),VLOOKUP(Исходн.данные.!AH173,Культуры.Информация,5,FALSE)/100*($GX$6+$GY$6*Исходн.данные.!M173))))*Расчет2!AI173</f>
        <v>#N/A</v>
      </c>
      <c r="HA173" s="211"/>
      <c r="HB173" s="211"/>
      <c r="HC173" s="55" t="e">
        <f>(IF(Исходн.данные.!O173&lt;80,0.2*VLOOKUP(Исходн.данные.!AH173,Культуры.Информация,8,FALSE),IF(Исходн.данные.!O173&gt;240,0.09*VLOOKUP(Исходн.данные.!AH173,Культуры.Информация,8,FALSE),VLOOKUP(Исходн.данные.!AH173,Культуры.Информация,6,FALSE)/100*($HB$6+$HC$6*Исходн.данные.!O173))))*Расчет2!AJ173</f>
        <v>#N/A</v>
      </c>
      <c r="HD173" s="55">
        <f>IF(Исходн.данные.!O173&gt;240,0.09,IF(Исходн.данные.!O173&lt;30,0.3,$HE$10+$HD$10*Исходн.данные.!O173))</f>
        <v>0.3</v>
      </c>
      <c r="HE173" s="55">
        <f>IF(Исходн.данные.!O173&gt;240,0.17,IF(Исходн.данные.!O173&lt;30,0.5,$HF$12+$HE$12*Исходн.данные.!O173))</f>
        <v>0.5</v>
      </c>
      <c r="HF173" s="55" t="e">
        <f>VLOOKUP(Исходн.данные.!AH173,Справ!$A$3:$D$58,2,FALSE)</f>
        <v>#N/A</v>
      </c>
      <c r="HG173" s="55" t="e">
        <f>VLOOKUP(Исходн.данные.!AH173,Справ!$A$3:$D$58,3,FALSE)</f>
        <v>#N/A</v>
      </c>
      <c r="HH173" s="55" t="e">
        <f>VLOOKUP(Исходн.данные.!AH173,Справ!$A$3:$D$58,4,FALSE)</f>
        <v>#N/A</v>
      </c>
      <c r="HI173" s="11" t="e">
        <f t="shared" si="265"/>
        <v>#N/A</v>
      </c>
      <c r="HJ173" s="11" t="e">
        <f t="shared" si="266"/>
        <v>#N/A</v>
      </c>
      <c r="HK173" s="11" t="e">
        <f t="shared" si="267"/>
        <v>#N/A</v>
      </c>
      <c r="HL173" s="55">
        <f>IF(OR(Исходн.данные.!G173="Глин",Исходн.данные.!G173="Т_суг"),1.1,IF(Исходн.данные.!G173="Ср_суг",1,1))</f>
        <v>1</v>
      </c>
      <c r="HM173" s="55">
        <f>IF(OR(Исходн.данные.!G173="Глин",Исходн.данные.!G173="Т_суг"),0.9,IF(Исходн.данные.!G173="Ср_суг",1,1.2))</f>
        <v>1.2</v>
      </c>
      <c r="HN173" s="11" t="e">
        <f t="shared" si="268"/>
        <v>#N/A</v>
      </c>
      <c r="HO173" s="11" t="e">
        <f t="shared" si="269"/>
        <v>#N/A</v>
      </c>
      <c r="HP173" s="11" t="e">
        <f t="shared" si="270"/>
        <v>#N/A</v>
      </c>
      <c r="HQ173" t="e">
        <f t="shared" si="271"/>
        <v>#N/A</v>
      </c>
      <c r="HR173" t="e">
        <f t="shared" si="272"/>
        <v>#N/A</v>
      </c>
      <c r="HS173" t="e">
        <f t="shared" si="273"/>
        <v>#N/A</v>
      </c>
      <c r="HT173" t="e">
        <f t="shared" si="219"/>
        <v>#N/A</v>
      </c>
      <c r="HU173" t="e">
        <f t="shared" si="220"/>
        <v>#N/A</v>
      </c>
      <c r="HV173" t="e">
        <f t="shared" si="221"/>
        <v>#N/A</v>
      </c>
      <c r="HW173" t="e">
        <f t="shared" si="222"/>
        <v>#N/A</v>
      </c>
      <c r="HX173" t="e">
        <f t="shared" si="223"/>
        <v>#N/A</v>
      </c>
      <c r="HY173" t="e">
        <f t="shared" si="224"/>
        <v>#N/A</v>
      </c>
      <c r="HZ173" s="55">
        <f>IF(OR(Исходн.данные.!AI173="Оз_Ч_П",Исходн.данные.!AI173="Оз_З_П",Исходн.данные.!AI173="Яр_зер"),12,30)</f>
        <v>30</v>
      </c>
      <c r="IA173" t="e">
        <f t="shared" si="274"/>
        <v>#N/A</v>
      </c>
      <c r="IB173" t="e">
        <f t="shared" si="275"/>
        <v>#N/A</v>
      </c>
      <c r="IC173" t="e">
        <f t="shared" si="276"/>
        <v>#N/A</v>
      </c>
      <c r="ID173" s="11" t="e">
        <f t="shared" si="277"/>
        <v>#N/A</v>
      </c>
      <c r="IE173" s="11" t="e">
        <f t="shared" si="278"/>
        <v>#N/A</v>
      </c>
      <c r="IF173" s="11" t="e">
        <f t="shared" si="279"/>
        <v>#N/A</v>
      </c>
    </row>
    <row r="174" spans="35:240" x14ac:dyDescent="0.2">
      <c r="AI174">
        <f>IF(Исходн.данные.!I174&gt;6,1,1.85-(0.148*Исходн.данные.!I174))</f>
        <v>1.85</v>
      </c>
      <c r="AJ174">
        <f>IF(Исходн.данные.!I174&gt;6,1,2.434-(0.246*Исходн.данные.!I174))</f>
        <v>2.4340000000000002</v>
      </c>
      <c r="AL174" s="148" t="b">
        <f>IF(Исходн.данные.!$P174="Ум",N_OrgUd_2g_um,IF(Исходн.данные.!$P174="Об",N_OrgUd_2g_ob))</f>
        <v>0</v>
      </c>
      <c r="AM174" s="148" t="b">
        <f>IF(Исходн.данные.!$P174="Ум",P_OrgUd_2g_um,IF(Исходн.данные.!$P174="Об",P_OrgUd_2g_ob))</f>
        <v>0</v>
      </c>
      <c r="AN174" s="148" t="b">
        <f>IF(Исходн.данные.!$P174="Ум",K_OrgUd_2g_um,IF(Исходн.данные.!$P174="Об",K_OrgUd_2g_ob))</f>
        <v>0</v>
      </c>
      <c r="AO174" s="148" t="b">
        <f>IF(Исходн.данные.!$P174="Ум",N_OrgUd_1g_um,IF(Исходн.данные.!$P174="Об",N_OrgUd_1g_ob))</f>
        <v>0</v>
      </c>
      <c r="AP174" s="148" t="b">
        <f>IF(Исходн.данные.!$P174="Ум",P_OrgUd_1g_um,IF(Исходн.данные.!$P174="Об",P_OrgUd_1g_ob))</f>
        <v>0</v>
      </c>
      <c r="AQ174" s="148" t="b">
        <f>IF(Исходн.данные.!$P174="Ум",K_OrgUd_1g_um,IF(Исходн.данные.!$P174="Об",K_OrgUd_1g_ob))</f>
        <v>0</v>
      </c>
      <c r="AR174" t="b">
        <f>IF(Исходн.данные.!$P174="Ум",N_MinUd_2g_um,IF(Исходн.данные.!$P174="Об",N_MinUd_2g_ob))</f>
        <v>0</v>
      </c>
      <c r="AS174" t="b">
        <f>IF(Исходн.данные.!$P174="Ум",P_MinUd_2g_um,IF(Исходн.данные.!$P174="Об",P_MinUd_2g_ob))</f>
        <v>0</v>
      </c>
      <c r="AT174" t="b">
        <f>IF(Исходн.данные.!$P174="Ум",K_MinUd_2g_um,IF(Исходн.данные.!$P174="Об",K_MinUd_2g_ob))</f>
        <v>0</v>
      </c>
      <c r="AU174" t="b">
        <f>IF(Исходн.данные.!$P174="Ум",N_MinUd_1g_um,IF(Исходн.данные.!$P174="Об",N_MinUd_1g_ob))</f>
        <v>0</v>
      </c>
      <c r="AV174" t="b">
        <f>IF(Исходн.данные.!P174="Ум",P_MinUd_1g_um,IF(Исходн.данные.!P174="Об",P_MinUd_1g_ob))</f>
        <v>0</v>
      </c>
      <c r="AW174" t="b">
        <f>IF(Исходн.данные.!P174="Ум",K_MinUd_1g_um,IF(Исходн.данные.!P174="Об",K_MinUd_1g_ob))</f>
        <v>0</v>
      </c>
      <c r="AY174" t="e">
        <f>VLOOKUP(Исходн.данные.!T174,Справ!$A$3:$N$57,12)</f>
        <v>#N/A</v>
      </c>
      <c r="AZ174" t="e">
        <f>VLOOKUP(Исходн.данные.!T174,Справ!$A$3:$N$57,13)</f>
        <v>#N/A</v>
      </c>
      <c r="BA174" t="e">
        <f>VLOOKUP(Исходн.данные.!T174,Справ!$A$3:$N$57,14)</f>
        <v>#N/A</v>
      </c>
      <c r="BB174">
        <f>IF(Исходн.данные.!AH174=0,0,25)</f>
        <v>0</v>
      </c>
      <c r="BC174" s="141">
        <f>IF(Исходн.данные.!AH174=0,0,IF(Исходн.данные.!T174=0,25,BD174))</f>
        <v>0</v>
      </c>
      <c r="BD174" s="168" t="e">
        <f>AY174+AZ174*Исходн.данные.!U174-POWER(BA174,2)*Исходн.данные.!U174</f>
        <v>#N/A</v>
      </c>
      <c r="BE17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4" s="25">
        <f>IF(Исходн.данные.!AH174=0,0,MIN(HN174:HP174))</f>
        <v>0</v>
      </c>
      <c r="BG174" s="9">
        <f>IF(Исходн.данные.!AH174=0,0,IF((HO174+10*0.25/HG174/HL174)&lt;17,17,HO174+10*0.25/HG174/HL174))</f>
        <v>0</v>
      </c>
      <c r="BH174" s="181">
        <f>IF(Исходн.данные.!AH174=0,0,HW174*HF174*HL174/AU174*AI174+Исходн.данные.!S174*10)</f>
        <v>0</v>
      </c>
      <c r="BI174" s="10"/>
      <c r="BJ174" s="182">
        <f>IF(Исходн.данные.!AH174=0,0,IF(HX174*HG174*HL174/AV174&lt;0,0,HX174*HG174*HL174/AV174*AJ174))</f>
        <v>0</v>
      </c>
      <c r="BK174" s="182">
        <f>IF(Исходн.данные.!AH174=0,0,HY174*HH174*HM174/AW174)</f>
        <v>0</v>
      </c>
      <c r="BL174" s="10">
        <f>IF(OR(Исходн.данные.!$AH174=$BP$1,Исходн.данные.!$AH174=$BP$2),0,IF(BH174&lt;0,0,IF(OR(Исходн.данные.!T174=Расчет!$BP$1,Исходн.данные.!T174=Расчет!$BP$2,Исходн.данные.!T174=Расчет!$BT$5,Исходн.данные.!T174=Расчет!$BT$6),BH174*0.5,IF(OR(Исходн.данные.!T174=Расчет!$BS$9,Исходн.данные.!T174=Расчет!$BS$10,Исходн.данные.!T174=Расчет!$BS$11,Исходн.данные.!T174=Расчет!$BS$12,Исходн.данные.!T174=Расчет!$BP$5),BH174*0.8,BH174))))</f>
        <v>0</v>
      </c>
      <c r="BM174" s="10">
        <f>IF(OR(Исходн.данные.!$AH174=$BP$1,Исходн.данные.!$AH174=$BP$2),0,IF(BJ174&lt;0,0,IF(Исходн.данные.!I174&lt;4.5,BJ174*1.2,IF(Исходн.данные.!I174&gt;5.1,BJ174,BJ174*((5.1-Исходн.данные.!I174)*0.333+1)))))</f>
        <v>0</v>
      </c>
      <c r="BN174" s="10">
        <f>IF(OR(Исходн.данные.!$AH174=$BP$1,Исходн.данные.!$AH174=$BP$2),60-Исходн.данные.!AF174,IF(BK174&lt;0,0,IF(Исходн.данные.!I174&lt;4.5,BK174*1.2,IF(Исходн.данные.!I174&gt;5.1,BK174,BK174*((5.1-Исходн.данные.!I174)*0.333+1)))))</f>
        <v>0</v>
      </c>
      <c r="BO174" s="9">
        <f>IF(BL174&lt;0,0,BL174*Исходн.данные.!$AJ174/1000)</f>
        <v>0</v>
      </c>
      <c r="BP174" s="9">
        <f>IF(BM174&lt;0,0,BM174*Исходн.данные.!$AJ174/1000)</f>
        <v>0</v>
      </c>
      <c r="BQ174" s="9">
        <f>IF(BN174&lt;0,0,BN174*Исходн.данные.!$AJ174/1000)</f>
        <v>0</v>
      </c>
      <c r="BR174" s="9">
        <f t="shared" si="229"/>
        <v>0</v>
      </c>
      <c r="BS174" s="10" t="str">
        <f t="shared" si="230"/>
        <v>Аммофос 12:52:00</v>
      </c>
      <c r="BT174" s="10" t="str">
        <f t="shared" si="231"/>
        <v>Аммофос 12:52:00</v>
      </c>
      <c r="BU174" s="10" t="str">
        <f t="shared" si="232"/>
        <v>Диаммофоска</v>
      </c>
      <c r="BV174" s="10">
        <f t="shared" si="233"/>
        <v>0</v>
      </c>
      <c r="BW174" s="10"/>
      <c r="BX174" s="10"/>
      <c r="BY174" s="9">
        <f>IF(BL174&lt;0,0,IF(OR(Исходн.данные.!AI174=Расчет!$BU$6,Исходн.данные.!AI174=Расчет!$BU$7),Расчет!BV174,IF(Исходн.данные.!$AG174=$BV$11,BL174,IF(OR(Исходн.данные.!$AH174=$BQ$7,Исходн.данные.!$AH174=$BQ$8),CB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0,IF(Исходн.данные.!$AI174=$BU$11,"Нет",IF(BL174&gt;30,30,BL174)))))))</f>
        <v>0</v>
      </c>
      <c r="BZ174" s="9">
        <f>IF(AND(Исходн.данные.!$AG174=$BV$11,BM174&lt;10),10,IF(Исходн.данные.!$AG174=$BV$11,BM174,IF(OR(Исходн.данные.!$AH174=$BQ$7,Исходн.данные.!$AH174=$BQ$8),CC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10,IF(Исходн.данные.!$AI174=$BU$11,"Нет",IF(BM174&gt;60,60,IF(BM174&lt;10,10,BM174)))))))</f>
        <v>10</v>
      </c>
      <c r="CA174" s="39">
        <f>IF(BN174&lt;0,0,IF(Исходн.данные.!$AG174=$BV$11,BN174,IF(OR(Исходн.данные.!$AH174=$BQ$7,Исходн.данные.!$AH174=$BQ$8),CD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0,IF(Исходн.данные.!$AI174=$BU$11,"Нет",IF(BN174&gt;30,30,BN174))))))</f>
        <v>0</v>
      </c>
      <c r="CB174" s="9">
        <f t="shared" si="234"/>
        <v>0</v>
      </c>
      <c r="CC174" s="9">
        <f t="shared" si="235"/>
        <v>0</v>
      </c>
      <c r="CD174" s="9">
        <f t="shared" si="236"/>
        <v>0</v>
      </c>
      <c r="CE174" s="12">
        <f t="shared" si="237"/>
        <v>10</v>
      </c>
      <c r="CF174" s="9">
        <f t="shared" si="238"/>
        <v>0</v>
      </c>
      <c r="CG174" s="9" t="s">
        <v>231</v>
      </c>
      <c r="CH174" s="132" t="str">
        <f>IF(Исходн.данные.!AP174=Расчет!$CI$16,"Нет",IF(Исходн.данные.!AL174&gt;0,Исходн.данные.!AL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BH$4,IF(OR(Исходн.данные.!AI174=Исходн.данные.!$AI$6,Исходн.данные.!AI174=Исходн.данные.!$AI$7),Расчет!BS174,IF(AND($CF174=0,$CE174&gt;0),EV174,ER174)))))</f>
        <v>Аммофос 12:52:00</v>
      </c>
      <c r="CI174" s="274">
        <f>IF(Расчет!$CH174="Нет","Нет",IF(Исходн.данные.!$AL174&gt;0,VLOOKUP(Расчет!$CH174,АшламаДВ_Irekle,2,FALSE),VLOOKUP(Расчет!$CH174,АшламаДВ_Gomumy,2,FALSE)))</f>
        <v>0.12</v>
      </c>
      <c r="CJ174" s="274">
        <f>IF(Расчет!$CH174="Нет","Нет",IF(Исходн.данные.!$AL174&gt;0,VLOOKUP(Расчет!$CH174,АшламаДВ_Irekle,3,FALSE),VLOOKUP(Расчет!$CH174,АшламаДВ_Gomumy,3,FALSE)))</f>
        <v>0.52</v>
      </c>
      <c r="CK174" s="274">
        <f>IF(Расчет!$CH174="Нет","Нет",IF(Исходн.данные.!$AL174&gt;0,VLOOKUP(Расчет!$CH174,АшламаДВ_Irekle,4,FALSE),VLOOKUP(Расчет!$CH174,АшламаДВ_Gomumy,4,FALSE)))</f>
        <v>0</v>
      </c>
      <c r="CL174" s="70"/>
      <c r="CM174" s="70"/>
      <c r="CN174" s="70"/>
      <c r="CO174" s="70"/>
      <c r="CP174" s="70"/>
      <c r="CQ174" s="70"/>
      <c r="CR174" s="10">
        <f t="shared" si="239"/>
        <v>0</v>
      </c>
      <c r="CS174" s="10">
        <f t="shared" si="240"/>
        <v>19.23076923076923</v>
      </c>
      <c r="CT174" s="10">
        <f t="shared" si="241"/>
        <v>0</v>
      </c>
      <c r="CU174" s="39">
        <f>IF($CH174="Нет",0,IF(CI174=0,30/MIN(CJ174:CK174),IF(Исходн.данные.!$AG174=$BV$11,CR174,IF(OR(Исходн.данные.!$AH174=$BQ$7,Исходн.данные.!$AH174=$BQ$8),90/CI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0,IF(Исходн.данные.!$AI174=$BU$11,"Нет",30/CI174))))))</f>
        <v>250</v>
      </c>
      <c r="CV174" s="39">
        <f>IF($CH174="Нет",0,IF(Исходн.данные.!AH174=0,0,IF(CJ174=0,60/MIN(CI174,CK174),IF(Исходн.данные.!$AG174=$BV$11,CS174,IF(OR(Исходн.данные.!$AH174=$BQ$7,Исходн.данные.!$AH174=$BQ$8),90/CJ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10/CJ174,IF(Исходн.данные.!$AI174=$BU$11,"Нет",60/CJ174)))))))</f>
        <v>0</v>
      </c>
      <c r="CW174" s="39">
        <f>IF($CH174="Нет",0,IF(Исходн.данные.!AH174=0,0,IF(CK174=0,30/MIN(CI174:CJ174),IF(Исходн.данные.!$AG174=$BV$11,CT174,IF(OR(Исходн.данные.!$AH174=$BQ$7,Исходн.данные.!$AH174=$BQ$8),90/CK174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0,IF(Исходн.данные.!$AI174=$BU$11,"Нет",30/CK174)))))))</f>
        <v>0</v>
      </c>
      <c r="CX174" s="133">
        <f>IF(Исходн.данные.!$AG174=$BV$11,MAX(CU174:CW174),IF(OR(Исходн.данные.!$AH174=$BS$8,Исходн.данные.!$AH174=$BQ$9,Исходн.данные.!$AH174=$BQ$10,Исходн.данные.!$AH174=$BQ$11,Исходн.данные.!$AH174=$BQ$12,Исходн.данные.!$AH174=$BP$3,Исходн.данные.!$AH174=$BT$8,$FM174="Да"),CV174,MIN(CU174:CW174)))</f>
        <v>0</v>
      </c>
      <c r="CY174" s="133">
        <f>IF(Исходн.данные.!AH174=0,0,IF(CR174&gt;$CX174,$CX174,CR174))</f>
        <v>0</v>
      </c>
      <c r="CZ174" s="133">
        <f>IF(Исходн.данные.!AH174=0,0,IF(CS174&gt;$CX174,$CX174,CS174))</f>
        <v>0</v>
      </c>
      <c r="DA174" s="133">
        <f>IF(Исходн.данные.!AH174=0,0,IF(CT174&gt;$CX174,$CX174,CT174))</f>
        <v>0</v>
      </c>
      <c r="DB174" s="10">
        <f t="shared" si="242"/>
        <v>0</v>
      </c>
      <c r="DC174" s="39">
        <f>DB174*Исходн.данные.!AJ174/1000</f>
        <v>0</v>
      </c>
      <c r="DD174" s="71">
        <f t="shared" si="243"/>
        <v>0</v>
      </c>
      <c r="DE174" s="9">
        <f t="shared" si="244"/>
        <v>0</v>
      </c>
      <c r="DF174" s="9">
        <f t="shared" si="245"/>
        <v>0</v>
      </c>
      <c r="DG174" s="39">
        <f>IF(BL174&lt;0,0,IF($CH174="Нет",BL174,IF(OR(Исходн.данные.!$AH174=$BP$1,Исходн.данные.!$AH174=$BP$2),0,IF(Исходн.данные.!AI174=$BU$11,BL174,IF(BL174-DD174&lt;0,0,BL174-DD174)))))</f>
        <v>0</v>
      </c>
      <c r="DH174" s="39">
        <f>IF(BM174&lt;0,0,IF($CH174="Нет",BM174,IF(OR(Исходн.данные.!$AH174=$BP$1,Исходн.данные.!$AH174=$BP$2),0,IF(Исходн.данные.!AJ174=$BU$11,BM174,IF(BM174-DE174&lt;0,0,BM174-DE174)))))</f>
        <v>0</v>
      </c>
      <c r="DI174" s="39">
        <f>IF(BN174&lt;0,0,IF($CH174="Нет",BN174,IF(OR(Исходн.данные.!$AH174=$BP$1,Исходн.данные.!$AH174=$BP$2),0,IF(Исходн.данные.!AK174=$BU$11,BN174,IF(BN174-DF174&lt;0,0,BN174-DF174)))))</f>
        <v>0</v>
      </c>
      <c r="DJ174" s="12">
        <f t="shared" si="246"/>
        <v>0</v>
      </c>
      <c r="DK174" s="9">
        <f t="shared" si="247"/>
        <v>0</v>
      </c>
      <c r="DL174" s="39">
        <f>IF(Исходн.данные.!AM174&gt;0,Исходн.данные.!AM174,IF(EG174&gt;0,$BH$10,0))</f>
        <v>0</v>
      </c>
      <c r="DM174" s="186">
        <f>IF($DL174=0,0,IF(Исходн.данные.!AM174&gt;0,VLOOKUP($DL174,АшламаДВ_Irekle,2,FALSE),VLOOKUP($DL174,АшламаДВ_Gomumy,2,FALSE)))</f>
        <v>0</v>
      </c>
      <c r="DN174" s="10">
        <f t="shared" si="225"/>
        <v>0</v>
      </c>
      <c r="DO174" s="9" t="str">
        <f>IF(Исходн.данные.!AN174&gt;0,Исходн.данные.!AN174,Удобрения!$B$37 )</f>
        <v>Хлор.калий</v>
      </c>
      <c r="DP174" s="9">
        <f>IF(Исходн.данные.!AN174&gt;0,VLOOKUP(Исходн.данные.!AN174,АшламаДВ_Irekle,4,FALSE),VLOOKUP(DO174,АшламаДВ_Gomumy,4,FALSE))</f>
        <v>0.6</v>
      </c>
      <c r="DQ174" s="10">
        <f t="shared" si="226"/>
        <v>0</v>
      </c>
      <c r="DR174" s="132" t="str">
        <f>IF(Исходн.данные.!AO174&gt;0,Исходн.данные.!AO174,IF(DH174=0,BS$17,IF(AND($DK174=0,$DJ174&gt;0),EJ174,EN174)))</f>
        <v>Нет</v>
      </c>
      <c r="DS174" s="70" t="str">
        <f>IF($DR174="Нет","Нет",IF(Исходн.данные.!$AO174&gt;0,VLOOKUP($DR174,АшламаДВ_Irekle,2,FALSE),VLOOKUP($DR174,АшламаДВ_Gomumy,2,FALSE)))</f>
        <v>Нет</v>
      </c>
      <c r="DT174" s="70" t="str">
        <f>IF($DR174="Нет","Нет",IF(Исходн.данные.!$AO174&gt;0,VLOOKUP($DR174,АшламаДВ_Irekle,3,FALSE),VLOOKUP($DR174,АшламаДВ_Gomumy,3,FALSE)))</f>
        <v>Нет</v>
      </c>
      <c r="DU174" s="70" t="str">
        <f>IF($DR174="Нет","Нет",IF(Исходн.данные.!$AO174&gt;0,VLOOKUP($DR174,АшламаДВ_Irekle,4,FALSE),VLOOKUP($DR174,АшламаДВ_Gomumy,4,FALSE)))</f>
        <v>Нет</v>
      </c>
      <c r="DV174" s="70"/>
      <c r="DW174" s="70"/>
      <c r="DX174" s="70"/>
      <c r="DY174" s="10">
        <f t="shared" si="248"/>
        <v>0</v>
      </c>
      <c r="DZ174" s="10">
        <f t="shared" si="249"/>
        <v>0</v>
      </c>
      <c r="EA174" s="10">
        <f t="shared" si="250"/>
        <v>0</v>
      </c>
      <c r="EB174" s="10">
        <f t="shared" si="251"/>
        <v>0</v>
      </c>
      <c r="EC174" s="10">
        <f t="shared" si="252"/>
        <v>0</v>
      </c>
      <c r="ED174" s="10">
        <f t="shared" si="253"/>
        <v>0</v>
      </c>
      <c r="EE174" s="10">
        <f t="shared" si="254"/>
        <v>0</v>
      </c>
      <c r="EF174" s="39">
        <f>EB174*Исходн.данные.!AJ174/1000</f>
        <v>0</v>
      </c>
      <c r="EG174" s="9">
        <f t="shared" si="255"/>
        <v>0</v>
      </c>
      <c r="EH174" s="9">
        <f t="shared" si="256"/>
        <v>0</v>
      </c>
      <c r="EI174" s="39" t="e">
        <f t="shared" si="206"/>
        <v>#DIV/0!</v>
      </c>
      <c r="EJ174" s="9" t="str">
        <f t="shared" si="227"/>
        <v>Азопреципитат</v>
      </c>
      <c r="EK174" s="12">
        <f t="shared" si="207"/>
        <v>0.26</v>
      </c>
      <c r="EL174" s="12">
        <f t="shared" si="208"/>
        <v>0.13</v>
      </c>
      <c r="EM174" s="12">
        <f t="shared" si="209"/>
        <v>0</v>
      </c>
      <c r="EN174" s="12" t="str">
        <f t="shared" si="228"/>
        <v>Нет</v>
      </c>
      <c r="EO174" s="12">
        <f t="shared" si="210"/>
        <v>0</v>
      </c>
      <c r="EP174" s="12">
        <f t="shared" si="211"/>
        <v>0</v>
      </c>
      <c r="EQ174" s="12">
        <f t="shared" si="212"/>
        <v>0</v>
      </c>
      <c r="ER174" s="12" t="str">
        <f t="shared" si="257"/>
        <v>Диаммофоска</v>
      </c>
      <c r="ES174" s="12">
        <f t="shared" si="213"/>
        <v>0.1</v>
      </c>
      <c r="ET174" s="12">
        <f t="shared" si="214"/>
        <v>0.26</v>
      </c>
      <c r="EU174" s="12">
        <f t="shared" si="215"/>
        <v>0.26</v>
      </c>
      <c r="EV174" s="12" t="str">
        <f t="shared" si="258"/>
        <v>Аммофос 12:52:00</v>
      </c>
      <c r="EW174" s="12" t="str">
        <f t="shared" si="259"/>
        <v>Кемира Свекловичное-6</v>
      </c>
      <c r="EX174" s="12">
        <f t="shared" si="216"/>
        <v>0.16</v>
      </c>
      <c r="EY174" s="12">
        <f t="shared" si="217"/>
        <v>0.12</v>
      </c>
      <c r="EZ174" s="12">
        <f t="shared" si="218"/>
        <v>0.17</v>
      </c>
      <c r="FA174" s="38" t="e">
        <f>IF(AND(OR(FJ174=$FD$1,FM174=$FD$1,FO174=$FD$1,FQ174=$FD$1,FS174=$FD$1),FD174=$FD$1,Исходн.данные.!J174&lt;2,FU174=$FD$1),"Бор,Кобальт",IF(AND(FO174=$FD$1,FH174=$FD$1,Исходн.данные.!J174&lt;2,FU174=$FD$1),"Бор,Кобальт",IF(AND(OR(FJ174=$FD$1,FM174=$FD$1,FQ174=$FD$1),FE174=$FD$1,Исходн.данные.!J174&lt;2,FT174=$FD$1,FU174=$FD$1),"Бор,Медь,Цинк",IF(AND(OR(FJ174=$FD$1,FR174="Да"),FI174="Да",Исходн.данные.!J174&lt;2,FT174="Да",FU174="Да"),"Бор,Цинк,Медь",IF(AND(OR(FM174="Да",FQ174="Да"),FI174="Да",Исходн.данные.!J174&lt;2,FT174="Да",FU174="Да"),"Бор,Цинк",IF(AND(FN174="Да",OR(FD174="Да",FE174="Да")),"Бор",FB174))))))</f>
        <v>#N/A</v>
      </c>
      <c r="FB174" s="134" t="e">
        <f>IF(AND(OR(FD174="Да",FE174="Да",FF174="Да",FG174="Да",FH174="Да"),FO174="Да"),"Бор",IF(AND(FP174="Да",OR(FD174="Да",FE174="Да",FI174="Да")),"Бор",IF(AND(FS174="Да",FE174="Да"),"Бор,Медь",IF(AND(OR(FJ174="Да",FK174="Да",FL174="Да"),FE174="Да",Исходн.данные.!I174&lt;5,FT174="Да",FU174="Да"),"Молибден,Цинк",IF(AND(FM174="Да",OR(FE174="Да",FF174="Да",FG174="Да",FH174="Да",FI174="Да")),"Молибден,Цинк",IF(AND(OR(FJ174="Да",FK174="Да",FL174="Да",FM174="Да",FQ174="Да"),OR(FE174="Да",FF174="Да"),FT174="Да",FU174="Да",Исходн.данные.!I174&gt;5.5),"Медь,Цинк",FC174))))))</f>
        <v>#N/A</v>
      </c>
      <c r="FC174" s="23" t="e">
        <f t="shared" si="260"/>
        <v>#N/A</v>
      </c>
      <c r="FD174" s="38" t="str">
        <f>IF(OR(Исходн.данные.!F174=$CC$1,Исходн.данные.!F174=$CC$2,Исходн.данные.!F174=$CC$3,Исходн.данные.!F174=$CC$4),"Да","Нет")</f>
        <v>Нет</v>
      </c>
      <c r="FE174" s="38" t="str">
        <f>IF(Исходн.данные.!F174=$CC$5,"Да","Нет")</f>
        <v>Нет</v>
      </c>
      <c r="FF174" s="38" t="str">
        <f>IF(OR(Исходн.данные.!F174=$CC$6,Исходн.данные.!F174=$CC$7),"Да","Нет")</f>
        <v>Нет</v>
      </c>
      <c r="FG174" s="38" t="str">
        <f>IF(OR(Исходн.данные.!F174=$CC$8,Исходн.данные.!F174=$CC$9),"Да","Нет")</f>
        <v>Нет</v>
      </c>
      <c r="FH174" s="38" t="str">
        <f>IF(Исходн.данные.!F174=$CC$10,"Да","Нет")</f>
        <v>Нет</v>
      </c>
      <c r="FI174" s="38" t="str">
        <f>IF(OR(Исходн.данные.!F174=$CC$11,Исходн.данные.!F174=$CC$12),"Да","Нет")</f>
        <v>Нет</v>
      </c>
      <c r="FJ174" s="38" t="str">
        <f>IF(OR(Исходн.данные.!AH174=$BS$1,Исходн.данные.!AH174=$BQ$11,Исходн.данные.!AH174=$BQ$12),"Да","Нет")</f>
        <v>Нет</v>
      </c>
      <c r="FK174" s="38" t="str">
        <f>IF(OR(Исходн.данные.!AH174=$BS$2,Исходн.данные.!AH174=$BS$4),"Да","Нет")</f>
        <v>Нет</v>
      </c>
      <c r="FL174" s="38" t="str">
        <f>IF(OR(Исходн.данные.!AH174=$BS$3,Исходн.данные.!AH174=$BS$5),"Да","Нет")</f>
        <v>Нет</v>
      </c>
      <c r="FM174" s="38" t="str">
        <f>IF(OR(Исходн.данные.!AH174=$BS$9,Исходн.данные.!AH174=$BS$10,Исходн.данные.!AH174=$BS$11,Исходн.данные.!AH174=$BS$12),"Да","Нет")</f>
        <v>Нет</v>
      </c>
      <c r="FN174" s="38" t="str">
        <f>IF(OR(Исходн.данные.!AH174=$BS$6,Исходн.данные.!AH174=$BP$3),"Да","Нет")</f>
        <v>Нет</v>
      </c>
      <c r="FO174" s="38" t="str">
        <f>IF(Исходн.данные.!AH174=$BQ$9,"Да","Нет")</f>
        <v>Нет</v>
      </c>
      <c r="FP174" s="38" t="str">
        <f>IF(OR(Исходн.данные.!AH174=$BS$8,Исходн.данные.!AH174=$BT$8),"Да","Нет")</f>
        <v>Нет</v>
      </c>
      <c r="FQ174" s="38" t="str">
        <f>IF(OR(Исходн.данные.!AH174=$BQ$7,Исходн.данные.!AH174=$BQ$8),"Да","Нет")</f>
        <v>Нет</v>
      </c>
      <c r="FR174" s="38" t="str">
        <f>IF(Исходн.данные.!AI174=$BU$9,"Да","Нет")</f>
        <v>Нет</v>
      </c>
      <c r="FS174" s="38" t="str">
        <f>IF(OR(Исходн.данные.!AH174=$BP$1,Исходн.данные.!AH174=$BP$2),"Да","Нет")</f>
        <v>Нет</v>
      </c>
      <c r="FT174" s="38" t="e">
        <f>IF((Исходн.данные.!K174*GO174*GS174*GW174+BL174*0.6+Исходн.данные.!Q174*4.5*0.275)&gt;90,"Да","Нет")</f>
        <v>#N/A</v>
      </c>
      <c r="FU174" s="38" t="e">
        <f>IF((Исходн.данные.!M174*GS174*GZ174+BM174*0.225)&gt;35,"Да","Нет")</f>
        <v>#N/A</v>
      </c>
      <c r="FV174" s="38" t="str">
        <f>IF(Исходн.данные.!O174&gt;175,"Да","Нет")</f>
        <v>Нет</v>
      </c>
      <c r="FW174" s="39" t="str">
        <f>IF(Исходн.данные.!I174&gt;5.5,"Да","Нет")</f>
        <v>Нет</v>
      </c>
      <c r="FX174" s="39" t="str">
        <f>IF(Исходн.данные.!J174&lt;2,"Да","Нет")</f>
        <v>Да</v>
      </c>
      <c r="FY174" s="39" t="e">
        <f>IF(HF174=$FY$16,0,Исходн.данные.!K174*GO174*GS174*GW174/HF174)</f>
        <v>#N/A</v>
      </c>
      <c r="FZ174" s="39" t="e">
        <f>Исходн.данные.!M174*GS174*GZ174/HG174</f>
        <v>#N/A</v>
      </c>
      <c r="GA174" s="39" t="e">
        <f>IF(K_Wyn=$FY$16,0,IF(Исходн.данные.!N174=Исходн.данные.!$L$10,Исходн.данные.!O174/1.1*GS174*HC174/HH174,IF(Исходн.данные.!N174=Исходн.данные.!$L$12,Исходн.данные.!O174/1.5*GS174*HC174/HH174,Исходн.данные.!O174*GS174*HC174/HH174)))</f>
        <v>#N/A</v>
      </c>
      <c r="GB174" s="39" t="e">
        <f>IF(HF174=$FY$16,0,((Исходн.данные.!Q174*N_Org+Исходн.данные.!R174*N_Sider+Исходн.данные.!S174*N_Soloma)*AO174+Расчет!BC174*VLOOKUP(Исходн.данные.!T174,Справ!$A$3:$O$57,15)*AO174+BB174*VLOOKUP(Исходн.данные.!T174,Справ!$A$3:$O$57,15)*AL174+(Исходн.данные.!V174*N_Rizotorf+Исходн.данные.!W174*N_Rizoagr))/HF174)</f>
        <v>#N/A</v>
      </c>
      <c r="GC174" s="39" t="e">
        <f>IF(HG174=$FY$16,0,((Исходн.данные.!Q174*Р_Org+Исходн.данные.!R174*P_Sider+Исходн.данные.!S174*P_Soloma)*AP174+Расчет!BC174*VLOOKUP(Исходн.данные.!T174,Справ!$A$3:$P$57,16)*AP174+BB174*VLOOKUP(Исходн.данные.!T174,Справ!$A$3:$P$57,16)*AM174)/HG174)</f>
        <v>#N/A</v>
      </c>
      <c r="GD174" s="39" t="e">
        <f>IF(HH174=$FY$16,0,((Исходн.данные.!Q174*К_Org+Исходн.данные.!R174*K_Sider+Исходн.данные.!S174*K_Soloma)*AQ174+Расчет!BC174*VLOOKUP(Исходн.данные.!T174,Справ!$A$3:$Q$57,17)*AQ174+BB174*VLOOKUP(Исходн.данные.!T174,Справ!$A$3:$Q$57,17)*AN174)/HH174)</f>
        <v>#N/A</v>
      </c>
      <c r="GE174" s="39" t="e">
        <f>IF(HF174=$FY$16,0,(Исходн.данные.!X174*AR174+Исходн.данные.!AA174*N_Org*AL174+Исходн.данные.!AB174*N_Sider*AL174+Исходн.данные.!AC174*N_Soloma*AL174)/HF174)</f>
        <v>#N/A</v>
      </c>
      <c r="GF174" s="39" t="e">
        <f>IF(HG174=$FY$16,0,(Исходн.данные.!Y174*AS174+Исходн.данные.!AA174*Р_Org*AM174+Исходн.данные.!AB174*P_Sider*AM174+Исходн.данные.!AC174*P_Soloma*AM174)/HG174)</f>
        <v>#N/A</v>
      </c>
      <c r="GG174" s="39" t="e">
        <f>IF(HH174=$FY$16,0,(Исходн.данные.!Z174*AT174+Исходн.данные.!AA174*К_Org*AN174+Исходн.данные.!AB174*K_Sider*AN174+Исходн.данные.!AC174*K_Soloma*AN174)/HH174)</f>
        <v>#N/A</v>
      </c>
      <c r="GH174" s="39" t="e">
        <f>Исходн.данные.!AD174*AU174/HF174</f>
        <v>#N/A</v>
      </c>
      <c r="GI174" s="39" t="e">
        <f>Исходн.данные.!AE174*AV174/HG174</f>
        <v>#N/A</v>
      </c>
      <c r="GJ174" s="39" t="e">
        <f>Исходн.данные.!AF174*AW174/HH174</f>
        <v>#N/A</v>
      </c>
      <c r="GK174" s="55">
        <f>Исходн.данные.!AK174</f>
        <v>0</v>
      </c>
      <c r="GL174" s="11" t="e">
        <f t="shared" si="261"/>
        <v>#N/A</v>
      </c>
      <c r="GM174" s="11" t="e">
        <f t="shared" si="262"/>
        <v>#N/A</v>
      </c>
      <c r="GN174" s="11" t="e">
        <f t="shared" si="263"/>
        <v>#N/A</v>
      </c>
      <c r="GO174" s="57">
        <f t="shared" si="264"/>
        <v>19</v>
      </c>
      <c r="GP174" s="55">
        <f>IF(OR(Исходн.данные.!F174=$CE$1,Исходн.данные.!F174=$CE$2,Исходн.данные.!F174=$CE$3,Исходн.данные.!F174=$CE$4,Исходн.данные.!F174=$CE$5),GQ174,GR174)</f>
        <v>19</v>
      </c>
      <c r="GQ174" s="55">
        <f>IF(Исходн.данные.!F174=$CE$1,28,IF(Исходн.данные.!F174=$CE$2,26,IF(Исходн.данные.!F174=$CE$3,24,IF(Исходн.данные.!F174=$CE$4,22,IF(Исходн.данные.!F174=$CE$5,20,GR174)))))</f>
        <v>19</v>
      </c>
      <c r="GR174" s="55">
        <f>IF(Исходн.данные.!F174=$CE$6,18,IF(Исходн.данные.!F174=$CE$7,16,IF(Исходн.данные.!F174=$CE$8,14,IF(Исходн.данные.!F174=$CE$9,13,IF(Исходн.данные.!F174=$CE$10,12,19)))))</f>
        <v>19</v>
      </c>
      <c r="GS174" s="55">
        <f>IF(Исходн.данные.!G174="Пес",0.035*(40+2*Исходн.данные.!H174),IF(Исходн.данные.!G174="Суп",0.0325*(40+2*Исходн.данные.!H174),0.03*(40+2*Исходн.данные.!H174)))</f>
        <v>1.2</v>
      </c>
      <c r="GT174" s="55">
        <f>IF(Исходн.данные.!H174&lt;23,2.6,IF(AND(Исходн.данные.!H174&gt;22,Исходн.данные.!H174&lt;26),3,IF(AND(Исходн.данные.!H174&gt;25,Исходн.данные.!H174&lt;29),3.4,3.6)))</f>
        <v>2.6</v>
      </c>
      <c r="GU174" s="55">
        <f>IF(Исходн.данные.!H174&lt;23,2.8,IF(AND(Исходн.данные.!H174&gt;22,Исходн.данные.!H174&lt;26),3.2,IF(AND(Исходн.данные.!H174&gt;25,Исходн.данные.!H174&lt;29),3.6,3.9)))</f>
        <v>2.8</v>
      </c>
      <c r="GV174" s="55">
        <f>IF(Исходн.данные.!H174&lt;23,3,IF(AND(Исходн.данные.!H174&gt;22,Исходн.данные.!H174&lt;26),3.5,IF(AND(Исходн.данные.!H174&gt;25,Исходн.данные.!H174&lt;29),3.9,4.2)))</f>
        <v>3</v>
      </c>
      <c r="GW174" s="55" t="e">
        <f>IF(Исходн.данные.!P174="Ум",GX174,GY174)</f>
        <v>#N/A</v>
      </c>
      <c r="GX174" s="55" t="e">
        <f>VLOOKUP(Исходн.данные.!AI174,Коэффициенты!$J$7:$L$13,2,FALSE)</f>
        <v>#N/A</v>
      </c>
      <c r="GY174" s="55" t="e">
        <f>VLOOKUP(Исходн.данные.!AI174,Коэффициенты!$J$7:$L$13,3,FALSE)</f>
        <v>#N/A</v>
      </c>
      <c r="GZ174" s="55" t="e">
        <f>(IF(Исходн.данные.!M174&lt;50,0.11*VLOOKUP(Исходн.данные.!AH174,Культуры.Информация,7,FALSE),IF(Исходн.данные.!M174&gt;250,0.05*VLOOKUP(Исходн.данные.!AH174,Культуры.Информация,7,FALSE),VLOOKUP(Исходн.данные.!AH174,Культуры.Информация,5,FALSE)/100*($GX$6+$GY$6*Исходн.данные.!M174))))*Расчет2!AI174</f>
        <v>#N/A</v>
      </c>
      <c r="HA174" s="211"/>
      <c r="HB174" s="211"/>
      <c r="HC174" s="55" t="e">
        <f>(IF(Исходн.данные.!O174&lt;80,0.2*VLOOKUP(Исходн.данные.!AH174,Культуры.Информация,8,FALSE),IF(Исходн.данные.!O174&gt;240,0.09*VLOOKUP(Исходн.данные.!AH174,Культуры.Информация,8,FALSE),VLOOKUP(Исходн.данные.!AH174,Культуры.Информация,6,FALSE)/100*($HB$6+$HC$6*Исходн.данные.!O174))))*Расчет2!AJ174</f>
        <v>#N/A</v>
      </c>
      <c r="HD174" s="55">
        <f>IF(Исходн.данные.!O174&gt;240,0.09,IF(Исходн.данные.!O174&lt;30,0.3,$HE$10+$HD$10*Исходн.данные.!O174))</f>
        <v>0.3</v>
      </c>
      <c r="HE174" s="55">
        <f>IF(Исходн.данные.!O174&gt;240,0.17,IF(Исходн.данные.!O174&lt;30,0.5,$HF$12+$HE$12*Исходн.данные.!O174))</f>
        <v>0.5</v>
      </c>
      <c r="HF174" s="55" t="e">
        <f>VLOOKUP(Исходн.данные.!AH174,Справ!$A$3:$D$58,2,FALSE)</f>
        <v>#N/A</v>
      </c>
      <c r="HG174" s="55" t="e">
        <f>VLOOKUP(Исходн.данные.!AH174,Справ!$A$3:$D$58,3,FALSE)</f>
        <v>#N/A</v>
      </c>
      <c r="HH174" s="55" t="e">
        <f>VLOOKUP(Исходн.данные.!AH174,Справ!$A$3:$D$58,4,FALSE)</f>
        <v>#N/A</v>
      </c>
      <c r="HI174" s="11" t="e">
        <f t="shared" si="265"/>
        <v>#N/A</v>
      </c>
      <c r="HJ174" s="11" t="e">
        <f t="shared" si="266"/>
        <v>#N/A</v>
      </c>
      <c r="HK174" s="11" t="e">
        <f t="shared" si="267"/>
        <v>#N/A</v>
      </c>
      <c r="HL174" s="55">
        <f>IF(OR(Исходн.данные.!G174="Глин",Исходн.данные.!G174="Т_суг"),1.1,IF(Исходн.данные.!G174="Ср_суг",1,1))</f>
        <v>1</v>
      </c>
      <c r="HM174" s="55">
        <f>IF(OR(Исходн.данные.!G174="Глин",Исходн.данные.!G174="Т_суг"),0.9,IF(Исходн.данные.!G174="Ср_суг",1,1.2))</f>
        <v>1.2</v>
      </c>
      <c r="HN174" s="11" t="e">
        <f t="shared" si="268"/>
        <v>#N/A</v>
      </c>
      <c r="HO174" s="11" t="e">
        <f t="shared" si="269"/>
        <v>#N/A</v>
      </c>
      <c r="HP174" s="11" t="e">
        <f t="shared" si="270"/>
        <v>#N/A</v>
      </c>
      <c r="HQ174" t="e">
        <f t="shared" si="271"/>
        <v>#N/A</v>
      </c>
      <c r="HR174" t="e">
        <f t="shared" si="272"/>
        <v>#N/A</v>
      </c>
      <c r="HS174" t="e">
        <f t="shared" si="273"/>
        <v>#N/A</v>
      </c>
      <c r="HT174" t="e">
        <f t="shared" si="219"/>
        <v>#N/A</v>
      </c>
      <c r="HU174" t="e">
        <f t="shared" si="220"/>
        <v>#N/A</v>
      </c>
      <c r="HV174" t="e">
        <f t="shared" si="221"/>
        <v>#N/A</v>
      </c>
      <c r="HW174" t="e">
        <f t="shared" si="222"/>
        <v>#N/A</v>
      </c>
      <c r="HX174" t="e">
        <f t="shared" si="223"/>
        <v>#N/A</v>
      </c>
      <c r="HY174" t="e">
        <f t="shared" si="224"/>
        <v>#N/A</v>
      </c>
      <c r="HZ174" s="55">
        <f>IF(OR(Исходн.данные.!AI174="Оз_Ч_П",Исходн.данные.!AI174="Оз_З_П",Исходн.данные.!AI174="Яр_зер"),12,30)</f>
        <v>30</v>
      </c>
      <c r="IA174" t="e">
        <f t="shared" si="274"/>
        <v>#N/A</v>
      </c>
      <c r="IB174" t="e">
        <f t="shared" si="275"/>
        <v>#N/A</v>
      </c>
      <c r="IC174" t="e">
        <f t="shared" si="276"/>
        <v>#N/A</v>
      </c>
      <c r="ID174" s="11" t="e">
        <f t="shared" si="277"/>
        <v>#N/A</v>
      </c>
      <c r="IE174" s="11" t="e">
        <f t="shared" si="278"/>
        <v>#N/A</v>
      </c>
      <c r="IF174" s="11" t="e">
        <f t="shared" si="279"/>
        <v>#N/A</v>
      </c>
    </row>
    <row r="175" spans="35:240" x14ac:dyDescent="0.2">
      <c r="AI175">
        <f>IF(Исходн.данные.!I175&gt;6,1,1.85-(0.148*Исходн.данные.!I175))</f>
        <v>1.85</v>
      </c>
      <c r="AJ175">
        <f>IF(Исходн.данные.!I175&gt;6,1,2.434-(0.246*Исходн.данные.!I175))</f>
        <v>2.4340000000000002</v>
      </c>
      <c r="AL175" s="148" t="b">
        <f>IF(Исходн.данные.!$P175="Ум",N_OrgUd_2g_um,IF(Исходн.данные.!$P175="Об",N_OrgUd_2g_ob))</f>
        <v>0</v>
      </c>
      <c r="AM175" s="148" t="b">
        <f>IF(Исходн.данные.!$P175="Ум",P_OrgUd_2g_um,IF(Исходн.данные.!$P175="Об",P_OrgUd_2g_ob))</f>
        <v>0</v>
      </c>
      <c r="AN175" s="148" t="b">
        <f>IF(Исходн.данные.!$P175="Ум",K_OrgUd_2g_um,IF(Исходн.данные.!$P175="Об",K_OrgUd_2g_ob))</f>
        <v>0</v>
      </c>
      <c r="AO175" s="148" t="b">
        <f>IF(Исходн.данные.!$P175="Ум",N_OrgUd_1g_um,IF(Исходн.данные.!$P175="Об",N_OrgUd_1g_ob))</f>
        <v>0</v>
      </c>
      <c r="AP175" s="148" t="b">
        <f>IF(Исходн.данные.!$P175="Ум",P_OrgUd_1g_um,IF(Исходн.данные.!$P175="Об",P_OrgUd_1g_ob))</f>
        <v>0</v>
      </c>
      <c r="AQ175" s="148" t="b">
        <f>IF(Исходн.данные.!$P175="Ум",K_OrgUd_1g_um,IF(Исходн.данные.!$P175="Об",K_OrgUd_1g_ob))</f>
        <v>0</v>
      </c>
      <c r="AR175" t="b">
        <f>IF(Исходн.данные.!$P175="Ум",N_MinUd_2g_um,IF(Исходн.данные.!$P175="Об",N_MinUd_2g_ob))</f>
        <v>0</v>
      </c>
      <c r="AS175" t="b">
        <f>IF(Исходн.данные.!$P175="Ум",P_MinUd_2g_um,IF(Исходн.данные.!$P175="Об",P_MinUd_2g_ob))</f>
        <v>0</v>
      </c>
      <c r="AT175" t="b">
        <f>IF(Исходн.данные.!$P175="Ум",K_MinUd_2g_um,IF(Исходн.данные.!$P175="Об",K_MinUd_2g_ob))</f>
        <v>0</v>
      </c>
      <c r="AU175" t="b">
        <f>IF(Исходн.данные.!$P175="Ум",N_MinUd_1g_um,IF(Исходн.данные.!$P175="Об",N_MinUd_1g_ob))</f>
        <v>0</v>
      </c>
      <c r="AV175" t="b">
        <f>IF(Исходн.данные.!P175="Ум",P_MinUd_1g_um,IF(Исходн.данные.!P175="Об",P_MinUd_1g_ob))</f>
        <v>0</v>
      </c>
      <c r="AW175" t="b">
        <f>IF(Исходн.данные.!P175="Ум",K_MinUd_1g_um,IF(Исходн.данные.!P175="Об",K_MinUd_1g_ob))</f>
        <v>0</v>
      </c>
      <c r="AY175" t="e">
        <f>VLOOKUP(Исходн.данные.!T175,Справ!$A$3:$N$57,12)</f>
        <v>#N/A</v>
      </c>
      <c r="AZ175" t="e">
        <f>VLOOKUP(Исходн.данные.!T175,Справ!$A$3:$N$57,13)</f>
        <v>#N/A</v>
      </c>
      <c r="BA175" t="e">
        <f>VLOOKUP(Исходн.данные.!T175,Справ!$A$3:$N$57,14)</f>
        <v>#N/A</v>
      </c>
      <c r="BB175">
        <f>IF(Исходн.данные.!AH175=0,0,25)</f>
        <v>0</v>
      </c>
      <c r="BC175" s="141">
        <f>IF(Исходн.данные.!AH175=0,0,IF(Исходн.данные.!T175=0,25,BD175))</f>
        <v>0</v>
      </c>
      <c r="BD175" s="168" t="e">
        <f>AY175+AZ175*Исходн.данные.!U175-POWER(BA175,2)*Исходн.данные.!U175</f>
        <v>#N/A</v>
      </c>
      <c r="BE17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5" s="25">
        <f>IF(Исходн.данные.!AH175=0,0,MIN(HN175:HP175))</f>
        <v>0</v>
      </c>
      <c r="BG175" s="9">
        <f>IF(Исходн.данные.!AH175=0,0,IF((HO175+10*0.25/HG175/HL175)&lt;17,17,HO175+10*0.25/HG175/HL175))</f>
        <v>0</v>
      </c>
      <c r="BH175" s="181">
        <f>IF(Исходн.данные.!AH175=0,0,HW175*HF175*HL175/AU175*AI175+Исходн.данные.!S175*10)</f>
        <v>0</v>
      </c>
      <c r="BI175" s="10"/>
      <c r="BJ175" s="182">
        <f>IF(Исходн.данные.!AH175=0,0,IF(HX175*HG175*HL175/AV175&lt;0,0,HX175*HG175*HL175/AV175*AJ175))</f>
        <v>0</v>
      </c>
      <c r="BK175" s="182">
        <f>IF(Исходн.данные.!AH175=0,0,HY175*HH175*HM175/AW175)</f>
        <v>0</v>
      </c>
      <c r="BL175" s="10">
        <f>IF(OR(Исходн.данные.!$AH175=$BP$1,Исходн.данные.!$AH175=$BP$2),0,IF(BH175&lt;0,0,IF(OR(Исходн.данные.!T175=Расчет!$BP$1,Исходн.данные.!T175=Расчет!$BP$2,Исходн.данные.!T175=Расчет!$BT$5,Исходн.данные.!T175=Расчет!$BT$6),BH175*0.5,IF(OR(Исходн.данные.!T175=Расчет!$BS$9,Исходн.данные.!T175=Расчет!$BS$10,Исходн.данные.!T175=Расчет!$BS$11,Исходн.данные.!T175=Расчет!$BS$12,Исходн.данные.!T175=Расчет!$BP$5),BH175*0.8,BH175))))</f>
        <v>0</v>
      </c>
      <c r="BM175" s="10">
        <f>IF(OR(Исходн.данные.!$AH175=$BP$1,Исходн.данные.!$AH175=$BP$2),0,IF(BJ175&lt;0,0,IF(Исходн.данные.!I175&lt;4.5,BJ175*1.2,IF(Исходн.данные.!I175&gt;5.1,BJ175,BJ175*((5.1-Исходн.данные.!I175)*0.333+1)))))</f>
        <v>0</v>
      </c>
      <c r="BN175" s="10">
        <f>IF(OR(Исходн.данные.!$AH175=$BP$1,Исходн.данные.!$AH175=$BP$2),60-Исходн.данные.!AF175,IF(BK175&lt;0,0,IF(Исходн.данные.!I175&lt;4.5,BK175*1.2,IF(Исходн.данные.!I175&gt;5.1,BK175,BK175*((5.1-Исходн.данные.!I175)*0.333+1)))))</f>
        <v>0</v>
      </c>
      <c r="BO175" s="9">
        <f>IF(BL175&lt;0,0,BL175*Исходн.данные.!$AJ175/1000)</f>
        <v>0</v>
      </c>
      <c r="BP175" s="9">
        <f>IF(BM175&lt;0,0,BM175*Исходн.данные.!$AJ175/1000)</f>
        <v>0</v>
      </c>
      <c r="BQ175" s="9">
        <f>IF(BN175&lt;0,0,BN175*Исходн.данные.!$AJ175/1000)</f>
        <v>0</v>
      </c>
      <c r="BR175" s="9">
        <f t="shared" si="229"/>
        <v>0</v>
      </c>
      <c r="BS175" s="10" t="str">
        <f t="shared" si="230"/>
        <v>Аммофос 12:52:00</v>
      </c>
      <c r="BT175" s="10" t="str">
        <f t="shared" si="231"/>
        <v>Аммофос 12:52:00</v>
      </c>
      <c r="BU175" s="10" t="str">
        <f t="shared" si="232"/>
        <v>Диаммофоска</v>
      </c>
      <c r="BV175" s="10">
        <f t="shared" si="233"/>
        <v>0</v>
      </c>
      <c r="BW175" s="10"/>
      <c r="BX175" s="10"/>
      <c r="BY175" s="9">
        <f>IF(BL175&lt;0,0,IF(OR(Исходн.данные.!AI175=Расчет!$BU$6,Исходн.данные.!AI175=Расчет!$BU$7),Расчет!BV175,IF(Исходн.данные.!$AG175=$BV$11,BL175,IF(OR(Исходн.данные.!$AH175=$BQ$7,Исходн.данные.!$AH175=$BQ$8),CB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0,IF(Исходн.данные.!$AI175=$BU$11,"Нет",IF(BL175&gt;30,30,BL175)))))))</f>
        <v>0</v>
      </c>
      <c r="BZ175" s="9">
        <f>IF(AND(Исходн.данные.!$AG175=$BV$11,BM175&lt;10),10,IF(Исходн.данные.!$AG175=$BV$11,BM175,IF(OR(Исходн.данные.!$AH175=$BQ$7,Исходн.данные.!$AH175=$BQ$8),CC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10,IF(Исходн.данные.!$AI175=$BU$11,"Нет",IF(BM175&gt;60,60,IF(BM175&lt;10,10,BM175)))))))</f>
        <v>10</v>
      </c>
      <c r="CA175" s="39">
        <f>IF(BN175&lt;0,0,IF(Исходн.данные.!$AG175=$BV$11,BN175,IF(OR(Исходн.данные.!$AH175=$BQ$7,Исходн.данные.!$AH175=$BQ$8),CD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0,IF(Исходн.данные.!$AI175=$BU$11,"Нет",IF(BN175&gt;30,30,BN175))))))</f>
        <v>0</v>
      </c>
      <c r="CB175" s="9">
        <f t="shared" si="234"/>
        <v>0</v>
      </c>
      <c r="CC175" s="9">
        <f t="shared" si="235"/>
        <v>0</v>
      </c>
      <c r="CD175" s="9">
        <f t="shared" si="236"/>
        <v>0</v>
      </c>
      <c r="CE175" s="12">
        <f t="shared" si="237"/>
        <v>10</v>
      </c>
      <c r="CF175" s="9">
        <f t="shared" si="238"/>
        <v>0</v>
      </c>
      <c r="CG175" s="9" t="s">
        <v>231</v>
      </c>
      <c r="CH175" s="132" t="str">
        <f>IF(Исходн.данные.!AP175=Расчет!$CI$16,"Нет",IF(Исходн.данные.!AL175&gt;0,Исходн.данные.!AL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BH$4,IF(OR(Исходн.данные.!AI175=Исходн.данные.!$AI$6,Исходн.данные.!AI175=Исходн.данные.!$AI$7),Расчет!BS175,IF(AND($CF175=0,$CE175&gt;0),EV175,ER175)))))</f>
        <v>Аммофос 12:52:00</v>
      </c>
      <c r="CI175" s="274">
        <f>IF(Расчет!$CH175="Нет","Нет",IF(Исходн.данные.!$AL175&gt;0,VLOOKUP(Расчет!$CH175,АшламаДВ_Irekle,2,FALSE),VLOOKUP(Расчет!$CH175,АшламаДВ_Gomumy,2,FALSE)))</f>
        <v>0.12</v>
      </c>
      <c r="CJ175" s="274">
        <f>IF(Расчет!$CH175="Нет","Нет",IF(Исходн.данные.!$AL175&gt;0,VLOOKUP(Расчет!$CH175,АшламаДВ_Irekle,3,FALSE),VLOOKUP(Расчет!$CH175,АшламаДВ_Gomumy,3,FALSE)))</f>
        <v>0.52</v>
      </c>
      <c r="CK175" s="274">
        <f>IF(Расчет!$CH175="Нет","Нет",IF(Исходн.данные.!$AL175&gt;0,VLOOKUP(Расчет!$CH175,АшламаДВ_Irekle,4,FALSE),VLOOKUP(Расчет!$CH175,АшламаДВ_Gomumy,4,FALSE)))</f>
        <v>0</v>
      </c>
      <c r="CL175" s="70"/>
      <c r="CM175" s="70"/>
      <c r="CN175" s="70"/>
      <c r="CO175" s="70"/>
      <c r="CP175" s="70"/>
      <c r="CQ175" s="70"/>
      <c r="CR175" s="10">
        <f t="shared" si="239"/>
        <v>0</v>
      </c>
      <c r="CS175" s="10">
        <f t="shared" si="240"/>
        <v>19.23076923076923</v>
      </c>
      <c r="CT175" s="10">
        <f t="shared" si="241"/>
        <v>0</v>
      </c>
      <c r="CU175" s="39">
        <f>IF($CH175="Нет",0,IF(CI175=0,30/MIN(CJ175:CK175),IF(Исходн.данные.!$AG175=$BV$11,CR175,IF(OR(Исходн.данные.!$AH175=$BQ$7,Исходн.данные.!$AH175=$BQ$8),90/CI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0,IF(Исходн.данные.!$AI175=$BU$11,"Нет",30/CI175))))))</f>
        <v>250</v>
      </c>
      <c r="CV175" s="39">
        <f>IF($CH175="Нет",0,IF(Исходн.данные.!AH175=0,0,IF(CJ175=0,60/MIN(CI175,CK175),IF(Исходн.данные.!$AG175=$BV$11,CS175,IF(OR(Исходн.данные.!$AH175=$BQ$7,Исходн.данные.!$AH175=$BQ$8),90/CJ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10/CJ175,IF(Исходн.данные.!$AI175=$BU$11,"Нет",60/CJ175)))))))</f>
        <v>0</v>
      </c>
      <c r="CW175" s="39">
        <f>IF($CH175="Нет",0,IF(Исходн.данные.!AH175=0,0,IF(CK175=0,30/MIN(CI175:CJ175),IF(Исходн.данные.!$AG175=$BV$11,CT175,IF(OR(Исходн.данные.!$AH175=$BQ$7,Исходн.данные.!$AH175=$BQ$8),90/CK175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0,IF(Исходн.данные.!$AI175=$BU$11,"Нет",30/CK175)))))))</f>
        <v>0</v>
      </c>
      <c r="CX175" s="133">
        <f>IF(Исходн.данные.!$AG175=$BV$11,MAX(CU175:CW175),IF(OR(Исходн.данные.!$AH175=$BS$8,Исходн.данные.!$AH175=$BQ$9,Исходн.данные.!$AH175=$BQ$10,Исходн.данные.!$AH175=$BQ$11,Исходн.данные.!$AH175=$BQ$12,Исходн.данные.!$AH175=$BP$3,Исходн.данные.!$AH175=$BT$8,$FM175="Да"),CV175,MIN(CU175:CW175)))</f>
        <v>0</v>
      </c>
      <c r="CY175" s="133">
        <f>IF(Исходн.данные.!AH175=0,0,IF(CR175&gt;$CX175,$CX175,CR175))</f>
        <v>0</v>
      </c>
      <c r="CZ175" s="133">
        <f>IF(Исходн.данные.!AH175=0,0,IF(CS175&gt;$CX175,$CX175,CS175))</f>
        <v>0</v>
      </c>
      <c r="DA175" s="133">
        <f>IF(Исходн.данные.!AH175=0,0,IF(CT175&gt;$CX175,$CX175,CT175))</f>
        <v>0</v>
      </c>
      <c r="DB175" s="10">
        <f t="shared" si="242"/>
        <v>0</v>
      </c>
      <c r="DC175" s="39">
        <f>DB175*Исходн.данные.!AJ175/1000</f>
        <v>0</v>
      </c>
      <c r="DD175" s="71">
        <f t="shared" si="243"/>
        <v>0</v>
      </c>
      <c r="DE175" s="9">
        <f t="shared" si="244"/>
        <v>0</v>
      </c>
      <c r="DF175" s="9">
        <f t="shared" si="245"/>
        <v>0</v>
      </c>
      <c r="DG175" s="39">
        <f>IF(BL175&lt;0,0,IF($CH175="Нет",BL175,IF(OR(Исходн.данные.!$AH175=$BP$1,Исходн.данные.!$AH175=$BP$2),0,IF(Исходн.данные.!AI175=$BU$11,BL175,IF(BL175-DD175&lt;0,0,BL175-DD175)))))</f>
        <v>0</v>
      </c>
      <c r="DH175" s="39">
        <f>IF(BM175&lt;0,0,IF($CH175="Нет",BM175,IF(OR(Исходн.данные.!$AH175=$BP$1,Исходн.данные.!$AH175=$BP$2),0,IF(Исходн.данные.!AJ175=$BU$11,BM175,IF(BM175-DE175&lt;0,0,BM175-DE175)))))</f>
        <v>0</v>
      </c>
      <c r="DI175" s="39">
        <f>IF(BN175&lt;0,0,IF($CH175="Нет",BN175,IF(OR(Исходн.данные.!$AH175=$BP$1,Исходн.данные.!$AH175=$BP$2),0,IF(Исходн.данные.!AK175=$BU$11,BN175,IF(BN175-DF175&lt;0,0,BN175-DF175)))))</f>
        <v>0</v>
      </c>
      <c r="DJ175" s="12">
        <f t="shared" si="246"/>
        <v>0</v>
      </c>
      <c r="DK175" s="9">
        <f t="shared" si="247"/>
        <v>0</v>
      </c>
      <c r="DL175" s="39">
        <f>IF(Исходн.данные.!AM175&gt;0,Исходн.данные.!AM175,IF(EG175&gt;0,$BH$10,0))</f>
        <v>0</v>
      </c>
      <c r="DM175" s="186">
        <f>IF($DL175=0,0,IF(Исходн.данные.!AM175&gt;0,VLOOKUP($DL175,АшламаДВ_Irekle,2,FALSE),VLOOKUP($DL175,АшламаДВ_Gomumy,2,FALSE)))</f>
        <v>0</v>
      </c>
      <c r="DN175" s="10">
        <f t="shared" si="225"/>
        <v>0</v>
      </c>
      <c r="DO175" s="9" t="str">
        <f>IF(Исходн.данные.!AN175&gt;0,Исходн.данные.!AN175,Удобрения!$B$37 )</f>
        <v>Хлор.калий</v>
      </c>
      <c r="DP175" s="9">
        <f>IF(Исходн.данные.!AN175&gt;0,VLOOKUP(Исходн.данные.!AN175,АшламаДВ_Irekle,4,FALSE),VLOOKUP(DO175,АшламаДВ_Gomumy,4,FALSE))</f>
        <v>0.6</v>
      </c>
      <c r="DQ175" s="10">
        <f t="shared" si="226"/>
        <v>0</v>
      </c>
      <c r="DR175" s="132" t="str">
        <f>IF(Исходн.данные.!AO175&gt;0,Исходн.данные.!AO175,IF(DH175=0,BS$17,IF(AND($DK175=0,$DJ175&gt;0),EJ175,EN175)))</f>
        <v>Нет</v>
      </c>
      <c r="DS175" s="70" t="str">
        <f>IF($DR175="Нет","Нет",IF(Исходн.данные.!$AO175&gt;0,VLOOKUP($DR175,АшламаДВ_Irekle,2,FALSE),VLOOKUP($DR175,АшламаДВ_Gomumy,2,FALSE)))</f>
        <v>Нет</v>
      </c>
      <c r="DT175" s="70" t="str">
        <f>IF($DR175="Нет","Нет",IF(Исходн.данные.!$AO175&gt;0,VLOOKUP($DR175,АшламаДВ_Irekle,3,FALSE),VLOOKUP($DR175,АшламаДВ_Gomumy,3,FALSE)))</f>
        <v>Нет</v>
      </c>
      <c r="DU175" s="70" t="str">
        <f>IF($DR175="Нет","Нет",IF(Исходн.данные.!$AO175&gt;0,VLOOKUP($DR175,АшламаДВ_Irekle,4,FALSE),VLOOKUP($DR175,АшламаДВ_Gomumy,4,FALSE)))</f>
        <v>Нет</v>
      </c>
      <c r="DV175" s="70"/>
      <c r="DW175" s="70"/>
      <c r="DX175" s="70"/>
      <c r="DY175" s="10">
        <f t="shared" si="248"/>
        <v>0</v>
      </c>
      <c r="DZ175" s="10">
        <f t="shared" si="249"/>
        <v>0</v>
      </c>
      <c r="EA175" s="10">
        <f t="shared" si="250"/>
        <v>0</v>
      </c>
      <c r="EB175" s="10">
        <f t="shared" si="251"/>
        <v>0</v>
      </c>
      <c r="EC175" s="10">
        <f t="shared" si="252"/>
        <v>0</v>
      </c>
      <c r="ED175" s="10">
        <f t="shared" si="253"/>
        <v>0</v>
      </c>
      <c r="EE175" s="10">
        <f t="shared" si="254"/>
        <v>0</v>
      </c>
      <c r="EF175" s="39">
        <f>EB175*Исходн.данные.!AJ175/1000</f>
        <v>0</v>
      </c>
      <c r="EG175" s="9">
        <f t="shared" si="255"/>
        <v>0</v>
      </c>
      <c r="EH175" s="9">
        <f t="shared" si="256"/>
        <v>0</v>
      </c>
      <c r="EI175" s="39" t="e">
        <f t="shared" si="206"/>
        <v>#DIV/0!</v>
      </c>
      <c r="EJ175" s="9" t="str">
        <f t="shared" si="227"/>
        <v>Азопреципитат</v>
      </c>
      <c r="EK175" s="12">
        <f t="shared" si="207"/>
        <v>0.26</v>
      </c>
      <c r="EL175" s="12">
        <f t="shared" si="208"/>
        <v>0.13</v>
      </c>
      <c r="EM175" s="12">
        <f t="shared" si="209"/>
        <v>0</v>
      </c>
      <c r="EN175" s="12" t="str">
        <f t="shared" si="228"/>
        <v>Нет</v>
      </c>
      <c r="EO175" s="12">
        <f t="shared" si="210"/>
        <v>0</v>
      </c>
      <c r="EP175" s="12">
        <f t="shared" si="211"/>
        <v>0</v>
      </c>
      <c r="EQ175" s="12">
        <f t="shared" si="212"/>
        <v>0</v>
      </c>
      <c r="ER175" s="12" t="str">
        <f t="shared" si="257"/>
        <v>Диаммофоска</v>
      </c>
      <c r="ES175" s="12">
        <f t="shared" si="213"/>
        <v>0.1</v>
      </c>
      <c r="ET175" s="12">
        <f t="shared" si="214"/>
        <v>0.26</v>
      </c>
      <c r="EU175" s="12">
        <f t="shared" si="215"/>
        <v>0.26</v>
      </c>
      <c r="EV175" s="12" t="str">
        <f t="shared" si="258"/>
        <v>Аммофос 12:52:00</v>
      </c>
      <c r="EW175" s="12" t="str">
        <f t="shared" si="259"/>
        <v>Кемира Свекловичное-6</v>
      </c>
      <c r="EX175" s="12">
        <f t="shared" si="216"/>
        <v>0.16</v>
      </c>
      <c r="EY175" s="12">
        <f t="shared" si="217"/>
        <v>0.12</v>
      </c>
      <c r="EZ175" s="12">
        <f t="shared" si="218"/>
        <v>0.17</v>
      </c>
      <c r="FA175" s="38" t="e">
        <f>IF(AND(OR(FJ175=$FD$1,FM175=$FD$1,FO175=$FD$1,FQ175=$FD$1,FS175=$FD$1),FD175=$FD$1,Исходн.данные.!J175&lt;2,FU175=$FD$1),"Бор,Кобальт",IF(AND(FO175=$FD$1,FH175=$FD$1,Исходн.данные.!J175&lt;2,FU175=$FD$1),"Бор,Кобальт",IF(AND(OR(FJ175=$FD$1,FM175=$FD$1,FQ175=$FD$1),FE175=$FD$1,Исходн.данные.!J175&lt;2,FT175=$FD$1,FU175=$FD$1),"Бор,Медь,Цинк",IF(AND(OR(FJ175=$FD$1,FR175="Да"),FI175="Да",Исходн.данные.!J175&lt;2,FT175="Да",FU175="Да"),"Бор,Цинк,Медь",IF(AND(OR(FM175="Да",FQ175="Да"),FI175="Да",Исходн.данные.!J175&lt;2,FT175="Да",FU175="Да"),"Бор,Цинк",IF(AND(FN175="Да",OR(FD175="Да",FE175="Да")),"Бор",FB175))))))</f>
        <v>#N/A</v>
      </c>
      <c r="FB175" s="134" t="e">
        <f>IF(AND(OR(FD175="Да",FE175="Да",FF175="Да",FG175="Да",FH175="Да"),FO175="Да"),"Бор",IF(AND(FP175="Да",OR(FD175="Да",FE175="Да",FI175="Да")),"Бор",IF(AND(FS175="Да",FE175="Да"),"Бор,Медь",IF(AND(OR(FJ175="Да",FK175="Да",FL175="Да"),FE175="Да",Исходн.данные.!I175&lt;5,FT175="Да",FU175="Да"),"Молибден,Цинк",IF(AND(FM175="Да",OR(FE175="Да",FF175="Да",FG175="Да",FH175="Да",FI175="Да")),"Молибден,Цинк",IF(AND(OR(FJ175="Да",FK175="Да",FL175="Да",FM175="Да",FQ175="Да"),OR(FE175="Да",FF175="Да"),FT175="Да",FU175="Да",Исходн.данные.!I175&gt;5.5),"Медь,Цинк",FC175))))))</f>
        <v>#N/A</v>
      </c>
      <c r="FC175" s="23" t="e">
        <f t="shared" si="260"/>
        <v>#N/A</v>
      </c>
      <c r="FD175" s="38" t="str">
        <f>IF(OR(Исходн.данные.!F175=$CC$1,Исходн.данные.!F175=$CC$2,Исходн.данные.!F175=$CC$3,Исходн.данные.!F175=$CC$4),"Да","Нет")</f>
        <v>Нет</v>
      </c>
      <c r="FE175" s="38" t="str">
        <f>IF(Исходн.данные.!F175=$CC$5,"Да","Нет")</f>
        <v>Нет</v>
      </c>
      <c r="FF175" s="38" t="str">
        <f>IF(OR(Исходн.данные.!F175=$CC$6,Исходн.данные.!F175=$CC$7),"Да","Нет")</f>
        <v>Нет</v>
      </c>
      <c r="FG175" s="38" t="str">
        <f>IF(OR(Исходн.данные.!F175=$CC$8,Исходн.данные.!F175=$CC$9),"Да","Нет")</f>
        <v>Нет</v>
      </c>
      <c r="FH175" s="38" t="str">
        <f>IF(Исходн.данные.!F175=$CC$10,"Да","Нет")</f>
        <v>Нет</v>
      </c>
      <c r="FI175" s="38" t="str">
        <f>IF(OR(Исходн.данные.!F175=$CC$11,Исходн.данные.!F175=$CC$12),"Да","Нет")</f>
        <v>Нет</v>
      </c>
      <c r="FJ175" s="38" t="str">
        <f>IF(OR(Исходн.данные.!AH175=$BS$1,Исходн.данные.!AH175=$BQ$11,Исходн.данные.!AH175=$BQ$12),"Да","Нет")</f>
        <v>Нет</v>
      </c>
      <c r="FK175" s="38" t="str">
        <f>IF(OR(Исходн.данные.!AH175=$BS$2,Исходн.данные.!AH175=$BS$4),"Да","Нет")</f>
        <v>Нет</v>
      </c>
      <c r="FL175" s="38" t="str">
        <f>IF(OR(Исходн.данные.!AH175=$BS$3,Исходн.данные.!AH175=$BS$5),"Да","Нет")</f>
        <v>Нет</v>
      </c>
      <c r="FM175" s="38" t="str">
        <f>IF(OR(Исходн.данные.!AH175=$BS$9,Исходн.данные.!AH175=$BS$10,Исходн.данные.!AH175=$BS$11,Исходн.данные.!AH175=$BS$12),"Да","Нет")</f>
        <v>Нет</v>
      </c>
      <c r="FN175" s="38" t="str">
        <f>IF(OR(Исходн.данные.!AH175=$BS$6,Исходн.данные.!AH175=$BP$3),"Да","Нет")</f>
        <v>Нет</v>
      </c>
      <c r="FO175" s="38" t="str">
        <f>IF(Исходн.данные.!AH175=$BQ$9,"Да","Нет")</f>
        <v>Нет</v>
      </c>
      <c r="FP175" s="38" t="str">
        <f>IF(OR(Исходн.данные.!AH175=$BS$8,Исходн.данные.!AH175=$BT$8),"Да","Нет")</f>
        <v>Нет</v>
      </c>
      <c r="FQ175" s="38" t="str">
        <f>IF(OR(Исходн.данные.!AH175=$BQ$7,Исходн.данные.!AH175=$BQ$8),"Да","Нет")</f>
        <v>Нет</v>
      </c>
      <c r="FR175" s="38" t="str">
        <f>IF(Исходн.данные.!AI175=$BU$9,"Да","Нет")</f>
        <v>Нет</v>
      </c>
      <c r="FS175" s="38" t="str">
        <f>IF(OR(Исходн.данные.!AH175=$BP$1,Исходн.данные.!AH175=$BP$2),"Да","Нет")</f>
        <v>Нет</v>
      </c>
      <c r="FT175" s="38" t="e">
        <f>IF((Исходн.данные.!K175*GO175*GS175*GW175+BL175*0.6+Исходн.данные.!Q175*4.5*0.275)&gt;90,"Да","Нет")</f>
        <v>#N/A</v>
      </c>
      <c r="FU175" s="38" t="e">
        <f>IF((Исходн.данные.!M175*GS175*GZ175+BM175*0.225)&gt;35,"Да","Нет")</f>
        <v>#N/A</v>
      </c>
      <c r="FV175" s="38" t="str">
        <f>IF(Исходн.данные.!O175&gt;175,"Да","Нет")</f>
        <v>Нет</v>
      </c>
      <c r="FW175" s="39" t="str">
        <f>IF(Исходн.данные.!I175&gt;5.5,"Да","Нет")</f>
        <v>Нет</v>
      </c>
      <c r="FX175" s="39" t="str">
        <f>IF(Исходн.данные.!J175&lt;2,"Да","Нет")</f>
        <v>Да</v>
      </c>
      <c r="FY175" s="39" t="e">
        <f>IF(HF175=$FY$16,0,Исходн.данные.!K175*GO175*GS175*GW175/HF175)</f>
        <v>#N/A</v>
      </c>
      <c r="FZ175" s="39" t="e">
        <f>Исходн.данные.!M175*GS175*GZ175/HG175</f>
        <v>#N/A</v>
      </c>
      <c r="GA175" s="39" t="e">
        <f>IF(K_Wyn=$FY$16,0,IF(Исходн.данные.!N175=Исходн.данные.!$L$10,Исходн.данные.!O175/1.1*GS175*HC175/HH175,IF(Исходн.данные.!N175=Исходн.данные.!$L$12,Исходн.данные.!O175/1.5*GS175*HC175/HH175,Исходн.данные.!O175*GS175*HC175/HH175)))</f>
        <v>#N/A</v>
      </c>
      <c r="GB175" s="39" t="e">
        <f>IF(HF175=$FY$16,0,((Исходн.данные.!Q175*N_Org+Исходн.данные.!R175*N_Sider+Исходн.данные.!S175*N_Soloma)*AO175+Расчет!BC175*VLOOKUP(Исходн.данные.!T175,Справ!$A$3:$O$57,15)*AO175+BB175*VLOOKUP(Исходн.данные.!T175,Справ!$A$3:$O$57,15)*AL175+(Исходн.данные.!V175*N_Rizotorf+Исходн.данные.!W175*N_Rizoagr))/HF175)</f>
        <v>#N/A</v>
      </c>
      <c r="GC175" s="39" t="e">
        <f>IF(HG175=$FY$16,0,((Исходн.данные.!Q175*Р_Org+Исходн.данные.!R175*P_Sider+Исходн.данные.!S175*P_Soloma)*AP175+Расчет!BC175*VLOOKUP(Исходн.данные.!T175,Справ!$A$3:$P$57,16)*AP175+BB175*VLOOKUP(Исходн.данные.!T175,Справ!$A$3:$P$57,16)*AM175)/HG175)</f>
        <v>#N/A</v>
      </c>
      <c r="GD175" s="39" t="e">
        <f>IF(HH175=$FY$16,0,((Исходн.данные.!Q175*К_Org+Исходн.данные.!R175*K_Sider+Исходн.данные.!S175*K_Soloma)*AQ175+Расчет!BC175*VLOOKUP(Исходн.данные.!T175,Справ!$A$3:$Q$57,17)*AQ175+BB175*VLOOKUP(Исходн.данные.!T175,Справ!$A$3:$Q$57,17)*AN175)/HH175)</f>
        <v>#N/A</v>
      </c>
      <c r="GE175" s="39" t="e">
        <f>IF(HF175=$FY$16,0,(Исходн.данные.!X175*AR175+Исходн.данные.!AA175*N_Org*AL175+Исходн.данные.!AB175*N_Sider*AL175+Исходн.данные.!AC175*N_Soloma*AL175)/HF175)</f>
        <v>#N/A</v>
      </c>
      <c r="GF175" s="39" t="e">
        <f>IF(HG175=$FY$16,0,(Исходн.данные.!Y175*AS175+Исходн.данные.!AA175*Р_Org*AM175+Исходн.данные.!AB175*P_Sider*AM175+Исходн.данные.!AC175*P_Soloma*AM175)/HG175)</f>
        <v>#N/A</v>
      </c>
      <c r="GG175" s="39" t="e">
        <f>IF(HH175=$FY$16,0,(Исходн.данные.!Z175*AT175+Исходн.данные.!AA175*К_Org*AN175+Исходн.данные.!AB175*K_Sider*AN175+Исходн.данные.!AC175*K_Soloma*AN175)/HH175)</f>
        <v>#N/A</v>
      </c>
      <c r="GH175" s="39" t="e">
        <f>Исходн.данные.!AD175*AU175/HF175</f>
        <v>#N/A</v>
      </c>
      <c r="GI175" s="39" t="e">
        <f>Исходн.данные.!AE175*AV175/HG175</f>
        <v>#N/A</v>
      </c>
      <c r="GJ175" s="39" t="e">
        <f>Исходн.данные.!AF175*AW175/HH175</f>
        <v>#N/A</v>
      </c>
      <c r="GK175" s="55">
        <f>Исходн.данные.!AK175</f>
        <v>0</v>
      </c>
      <c r="GL175" s="11" t="e">
        <f t="shared" si="261"/>
        <v>#N/A</v>
      </c>
      <c r="GM175" s="11" t="e">
        <f t="shared" si="262"/>
        <v>#N/A</v>
      </c>
      <c r="GN175" s="11" t="e">
        <f t="shared" si="263"/>
        <v>#N/A</v>
      </c>
      <c r="GO175" s="57">
        <f t="shared" si="264"/>
        <v>19</v>
      </c>
      <c r="GP175" s="55">
        <f>IF(OR(Исходн.данные.!F175=$CE$1,Исходн.данные.!F175=$CE$2,Исходн.данные.!F175=$CE$3,Исходн.данные.!F175=$CE$4,Исходн.данные.!F175=$CE$5),GQ175,GR175)</f>
        <v>19</v>
      </c>
      <c r="GQ175" s="55">
        <f>IF(Исходн.данные.!F175=$CE$1,28,IF(Исходн.данные.!F175=$CE$2,26,IF(Исходн.данные.!F175=$CE$3,24,IF(Исходн.данные.!F175=$CE$4,22,IF(Исходн.данные.!F175=$CE$5,20,GR175)))))</f>
        <v>19</v>
      </c>
      <c r="GR175" s="55">
        <f>IF(Исходн.данные.!F175=$CE$6,18,IF(Исходн.данные.!F175=$CE$7,16,IF(Исходн.данные.!F175=$CE$8,14,IF(Исходн.данные.!F175=$CE$9,13,IF(Исходн.данные.!F175=$CE$10,12,19)))))</f>
        <v>19</v>
      </c>
      <c r="GS175" s="55">
        <f>IF(Исходн.данные.!G175="Пес",0.035*(40+2*Исходн.данные.!H175),IF(Исходн.данные.!G175="Суп",0.0325*(40+2*Исходн.данные.!H175),0.03*(40+2*Исходн.данные.!H175)))</f>
        <v>1.2</v>
      </c>
      <c r="GT175" s="55">
        <f>IF(Исходн.данные.!H175&lt;23,2.6,IF(AND(Исходн.данные.!H175&gt;22,Исходн.данные.!H175&lt;26),3,IF(AND(Исходн.данные.!H175&gt;25,Исходн.данные.!H175&lt;29),3.4,3.6)))</f>
        <v>2.6</v>
      </c>
      <c r="GU175" s="55">
        <f>IF(Исходн.данные.!H175&lt;23,2.8,IF(AND(Исходн.данные.!H175&gt;22,Исходн.данные.!H175&lt;26),3.2,IF(AND(Исходн.данные.!H175&gt;25,Исходн.данные.!H175&lt;29),3.6,3.9)))</f>
        <v>2.8</v>
      </c>
      <c r="GV175" s="55">
        <f>IF(Исходн.данные.!H175&lt;23,3,IF(AND(Исходн.данные.!H175&gt;22,Исходн.данные.!H175&lt;26),3.5,IF(AND(Исходн.данные.!H175&gt;25,Исходн.данные.!H175&lt;29),3.9,4.2)))</f>
        <v>3</v>
      </c>
      <c r="GW175" s="55" t="e">
        <f>IF(Исходн.данные.!P175="Ум",GX175,GY175)</f>
        <v>#N/A</v>
      </c>
      <c r="GX175" s="55" t="e">
        <f>VLOOKUP(Исходн.данные.!AI175,Коэффициенты!$J$7:$L$13,2,FALSE)</f>
        <v>#N/A</v>
      </c>
      <c r="GY175" s="55" t="e">
        <f>VLOOKUP(Исходн.данные.!AI175,Коэффициенты!$J$7:$L$13,3,FALSE)</f>
        <v>#N/A</v>
      </c>
      <c r="GZ175" s="55" t="e">
        <f>(IF(Исходн.данные.!M175&lt;50,0.11*VLOOKUP(Исходн.данные.!AH175,Культуры.Информация,7,FALSE),IF(Исходн.данные.!M175&gt;250,0.05*VLOOKUP(Исходн.данные.!AH175,Культуры.Информация,7,FALSE),VLOOKUP(Исходн.данные.!AH175,Культуры.Информация,5,FALSE)/100*($GX$6+$GY$6*Исходн.данные.!M175))))*Расчет2!AI175</f>
        <v>#N/A</v>
      </c>
      <c r="HA175" s="211"/>
      <c r="HB175" s="211"/>
      <c r="HC175" s="55" t="e">
        <f>(IF(Исходн.данные.!O175&lt;80,0.2*VLOOKUP(Исходн.данные.!AH175,Культуры.Информация,8,FALSE),IF(Исходн.данные.!O175&gt;240,0.09*VLOOKUP(Исходн.данные.!AH175,Культуры.Информация,8,FALSE),VLOOKUP(Исходн.данные.!AH175,Культуры.Информация,6,FALSE)/100*($HB$6+$HC$6*Исходн.данные.!O175))))*Расчет2!AJ175</f>
        <v>#N/A</v>
      </c>
      <c r="HD175" s="55">
        <f>IF(Исходн.данные.!O175&gt;240,0.09,IF(Исходн.данные.!O175&lt;30,0.3,$HE$10+$HD$10*Исходн.данные.!O175))</f>
        <v>0.3</v>
      </c>
      <c r="HE175" s="55">
        <f>IF(Исходн.данные.!O175&gt;240,0.17,IF(Исходн.данные.!O175&lt;30,0.5,$HF$12+$HE$12*Исходн.данные.!O175))</f>
        <v>0.5</v>
      </c>
      <c r="HF175" s="55" t="e">
        <f>VLOOKUP(Исходн.данные.!AH175,Справ!$A$3:$D$58,2,FALSE)</f>
        <v>#N/A</v>
      </c>
      <c r="HG175" s="55" t="e">
        <f>VLOOKUP(Исходн.данные.!AH175,Справ!$A$3:$D$58,3,FALSE)</f>
        <v>#N/A</v>
      </c>
      <c r="HH175" s="55" t="e">
        <f>VLOOKUP(Исходн.данные.!AH175,Справ!$A$3:$D$58,4,FALSE)</f>
        <v>#N/A</v>
      </c>
      <c r="HI175" s="11" t="e">
        <f t="shared" si="265"/>
        <v>#N/A</v>
      </c>
      <c r="HJ175" s="11" t="e">
        <f t="shared" si="266"/>
        <v>#N/A</v>
      </c>
      <c r="HK175" s="11" t="e">
        <f t="shared" si="267"/>
        <v>#N/A</v>
      </c>
      <c r="HL175" s="55">
        <f>IF(OR(Исходн.данные.!G175="Глин",Исходн.данные.!G175="Т_суг"),1.1,IF(Исходн.данные.!G175="Ср_суг",1,1))</f>
        <v>1</v>
      </c>
      <c r="HM175" s="55">
        <f>IF(OR(Исходн.данные.!G175="Глин",Исходн.данные.!G175="Т_суг"),0.9,IF(Исходн.данные.!G175="Ср_суг",1,1.2))</f>
        <v>1.2</v>
      </c>
      <c r="HN175" s="11" t="e">
        <f t="shared" si="268"/>
        <v>#N/A</v>
      </c>
      <c r="HO175" s="11" t="e">
        <f t="shared" si="269"/>
        <v>#N/A</v>
      </c>
      <c r="HP175" s="11" t="e">
        <f t="shared" si="270"/>
        <v>#N/A</v>
      </c>
      <c r="HQ175" t="e">
        <f t="shared" si="271"/>
        <v>#N/A</v>
      </c>
      <c r="HR175" t="e">
        <f t="shared" si="272"/>
        <v>#N/A</v>
      </c>
      <c r="HS175" t="e">
        <f t="shared" si="273"/>
        <v>#N/A</v>
      </c>
      <c r="HT175" t="e">
        <f t="shared" si="219"/>
        <v>#N/A</v>
      </c>
      <c r="HU175" t="e">
        <f t="shared" si="220"/>
        <v>#N/A</v>
      </c>
      <c r="HV175" t="e">
        <f t="shared" si="221"/>
        <v>#N/A</v>
      </c>
      <c r="HW175" t="e">
        <f t="shared" si="222"/>
        <v>#N/A</v>
      </c>
      <c r="HX175" t="e">
        <f t="shared" si="223"/>
        <v>#N/A</v>
      </c>
      <c r="HY175" t="e">
        <f t="shared" si="224"/>
        <v>#N/A</v>
      </c>
      <c r="HZ175" s="55">
        <f>IF(OR(Исходн.данные.!AI175="Оз_Ч_П",Исходн.данные.!AI175="Оз_З_П",Исходн.данные.!AI175="Яр_зер"),12,30)</f>
        <v>30</v>
      </c>
      <c r="IA175" t="e">
        <f t="shared" si="274"/>
        <v>#N/A</v>
      </c>
      <c r="IB175" t="e">
        <f t="shared" si="275"/>
        <v>#N/A</v>
      </c>
      <c r="IC175" t="e">
        <f t="shared" si="276"/>
        <v>#N/A</v>
      </c>
      <c r="ID175" s="11" t="e">
        <f t="shared" si="277"/>
        <v>#N/A</v>
      </c>
      <c r="IE175" s="11" t="e">
        <f t="shared" si="278"/>
        <v>#N/A</v>
      </c>
      <c r="IF175" s="11" t="e">
        <f t="shared" si="279"/>
        <v>#N/A</v>
      </c>
    </row>
    <row r="176" spans="35:240" x14ac:dyDescent="0.2">
      <c r="AI176">
        <f>IF(Исходн.данные.!I176&gt;6,1,1.85-(0.148*Исходн.данные.!I176))</f>
        <v>1.85</v>
      </c>
      <c r="AJ176">
        <f>IF(Исходн.данные.!I176&gt;6,1,2.434-(0.246*Исходн.данные.!I176))</f>
        <v>2.4340000000000002</v>
      </c>
      <c r="AL176" s="148" t="b">
        <f>IF(Исходн.данные.!$P176="Ум",N_OrgUd_2g_um,IF(Исходн.данные.!$P176="Об",N_OrgUd_2g_ob))</f>
        <v>0</v>
      </c>
      <c r="AM176" s="148" t="b">
        <f>IF(Исходн.данные.!$P176="Ум",P_OrgUd_2g_um,IF(Исходн.данные.!$P176="Об",P_OrgUd_2g_ob))</f>
        <v>0</v>
      </c>
      <c r="AN176" s="148" t="b">
        <f>IF(Исходн.данные.!$P176="Ум",K_OrgUd_2g_um,IF(Исходн.данные.!$P176="Об",K_OrgUd_2g_ob))</f>
        <v>0</v>
      </c>
      <c r="AO176" s="148" t="b">
        <f>IF(Исходн.данные.!$P176="Ум",N_OrgUd_1g_um,IF(Исходн.данные.!$P176="Об",N_OrgUd_1g_ob))</f>
        <v>0</v>
      </c>
      <c r="AP176" s="148" t="b">
        <f>IF(Исходн.данные.!$P176="Ум",P_OrgUd_1g_um,IF(Исходн.данные.!$P176="Об",P_OrgUd_1g_ob))</f>
        <v>0</v>
      </c>
      <c r="AQ176" s="148" t="b">
        <f>IF(Исходн.данные.!$P176="Ум",K_OrgUd_1g_um,IF(Исходн.данные.!$P176="Об",K_OrgUd_1g_ob))</f>
        <v>0</v>
      </c>
      <c r="AR176" t="b">
        <f>IF(Исходн.данные.!$P176="Ум",N_MinUd_2g_um,IF(Исходн.данные.!$P176="Об",N_MinUd_2g_ob))</f>
        <v>0</v>
      </c>
      <c r="AS176" t="b">
        <f>IF(Исходн.данные.!$P176="Ум",P_MinUd_2g_um,IF(Исходн.данные.!$P176="Об",P_MinUd_2g_ob))</f>
        <v>0</v>
      </c>
      <c r="AT176" t="b">
        <f>IF(Исходн.данные.!$P176="Ум",K_MinUd_2g_um,IF(Исходн.данные.!$P176="Об",K_MinUd_2g_ob))</f>
        <v>0</v>
      </c>
      <c r="AU176" t="b">
        <f>IF(Исходн.данные.!$P176="Ум",N_MinUd_1g_um,IF(Исходн.данные.!$P176="Об",N_MinUd_1g_ob))</f>
        <v>0</v>
      </c>
      <c r="AV176" t="b">
        <f>IF(Исходн.данные.!P176="Ум",P_MinUd_1g_um,IF(Исходн.данные.!P176="Об",P_MinUd_1g_ob))</f>
        <v>0</v>
      </c>
      <c r="AW176" t="b">
        <f>IF(Исходн.данные.!P176="Ум",K_MinUd_1g_um,IF(Исходн.данные.!P176="Об",K_MinUd_1g_ob))</f>
        <v>0</v>
      </c>
      <c r="AY176" t="e">
        <f>VLOOKUP(Исходн.данные.!T176,Справ!$A$3:$N$57,12)</f>
        <v>#N/A</v>
      </c>
      <c r="AZ176" t="e">
        <f>VLOOKUP(Исходн.данные.!T176,Справ!$A$3:$N$57,13)</f>
        <v>#N/A</v>
      </c>
      <c r="BA176" t="e">
        <f>VLOOKUP(Исходн.данные.!T176,Справ!$A$3:$N$57,14)</f>
        <v>#N/A</v>
      </c>
      <c r="BB176">
        <f>IF(Исходн.данные.!AH176=0,0,25)</f>
        <v>0</v>
      </c>
      <c r="BC176" s="141">
        <f>IF(Исходн.данные.!AH176=0,0,IF(Исходн.данные.!T176=0,25,BD176))</f>
        <v>0</v>
      </c>
      <c r="BD176" s="168" t="e">
        <f>AY176+AZ176*Исходн.данные.!U176-POWER(BA176,2)*Исходн.данные.!U176</f>
        <v>#N/A</v>
      </c>
      <c r="BE17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6" s="25">
        <f>IF(Исходн.данные.!AH176=0,0,MIN(HN176:HP176))</f>
        <v>0</v>
      </c>
      <c r="BG176" s="9">
        <f>IF(Исходн.данные.!AH176=0,0,IF((HO176+10*0.25/HG176/HL176)&lt;17,17,HO176+10*0.25/HG176/HL176))</f>
        <v>0</v>
      </c>
      <c r="BH176" s="181">
        <f>IF(Исходн.данные.!AH176=0,0,HW176*HF176*HL176/AU176*AI176+Исходн.данные.!S176*10)</f>
        <v>0</v>
      </c>
      <c r="BI176" s="10"/>
      <c r="BJ176" s="182">
        <f>IF(Исходн.данные.!AH176=0,0,IF(HX176*HG176*HL176/AV176&lt;0,0,HX176*HG176*HL176/AV176*AJ176))</f>
        <v>0</v>
      </c>
      <c r="BK176" s="182">
        <f>IF(Исходн.данные.!AH176=0,0,HY176*HH176*HM176/AW176)</f>
        <v>0</v>
      </c>
      <c r="BL176" s="10">
        <f>IF(OR(Исходн.данные.!$AH176=$BP$1,Исходн.данные.!$AH176=$BP$2),0,IF(BH176&lt;0,0,IF(OR(Исходн.данные.!T176=Расчет!$BP$1,Исходн.данные.!T176=Расчет!$BP$2,Исходн.данные.!T176=Расчет!$BT$5,Исходн.данные.!T176=Расчет!$BT$6),BH176*0.5,IF(OR(Исходн.данные.!T176=Расчет!$BS$9,Исходн.данные.!T176=Расчет!$BS$10,Исходн.данные.!T176=Расчет!$BS$11,Исходн.данные.!T176=Расчет!$BS$12,Исходн.данные.!T176=Расчет!$BP$5),BH176*0.8,BH176))))</f>
        <v>0</v>
      </c>
      <c r="BM176" s="10">
        <f>IF(OR(Исходн.данные.!$AH176=$BP$1,Исходн.данные.!$AH176=$BP$2),0,IF(BJ176&lt;0,0,IF(Исходн.данные.!I176&lt;4.5,BJ176*1.2,IF(Исходн.данные.!I176&gt;5.1,BJ176,BJ176*((5.1-Исходн.данные.!I176)*0.333+1)))))</f>
        <v>0</v>
      </c>
      <c r="BN176" s="10">
        <f>IF(OR(Исходн.данные.!$AH176=$BP$1,Исходн.данные.!$AH176=$BP$2),60-Исходн.данные.!AF176,IF(BK176&lt;0,0,IF(Исходн.данные.!I176&lt;4.5,BK176*1.2,IF(Исходн.данные.!I176&gt;5.1,BK176,BK176*((5.1-Исходн.данные.!I176)*0.333+1)))))</f>
        <v>0</v>
      </c>
      <c r="BO176" s="9">
        <f>IF(BL176&lt;0,0,BL176*Исходн.данные.!$AJ176/1000)</f>
        <v>0</v>
      </c>
      <c r="BP176" s="9">
        <f>IF(BM176&lt;0,0,BM176*Исходн.данные.!$AJ176/1000)</f>
        <v>0</v>
      </c>
      <c r="BQ176" s="9">
        <f>IF(BN176&lt;0,0,BN176*Исходн.данные.!$AJ176/1000)</f>
        <v>0</v>
      </c>
      <c r="BR176" s="9">
        <f t="shared" si="229"/>
        <v>0</v>
      </c>
      <c r="BS176" s="10" t="str">
        <f t="shared" si="230"/>
        <v>Аммофос 12:52:00</v>
      </c>
      <c r="BT176" s="10" t="str">
        <f t="shared" si="231"/>
        <v>Аммофос 12:52:00</v>
      </c>
      <c r="BU176" s="10" t="str">
        <f t="shared" si="232"/>
        <v>Диаммофоска</v>
      </c>
      <c r="BV176" s="10">
        <f t="shared" si="233"/>
        <v>0</v>
      </c>
      <c r="BW176" s="10"/>
      <c r="BX176" s="10"/>
      <c r="BY176" s="9">
        <f>IF(BL176&lt;0,0,IF(OR(Исходн.данные.!AI176=Расчет!$BU$6,Исходн.данные.!AI176=Расчет!$BU$7),Расчет!BV176,IF(Исходн.данные.!$AG176=$BV$11,BL176,IF(OR(Исходн.данные.!$AH176=$BQ$7,Исходн.данные.!$AH176=$BQ$8),CB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0,IF(Исходн.данные.!$AI176=$BU$11,"Нет",IF(BL176&gt;30,30,BL176)))))))</f>
        <v>0</v>
      </c>
      <c r="BZ176" s="9">
        <f>IF(AND(Исходн.данные.!$AG176=$BV$11,BM176&lt;10),10,IF(Исходн.данные.!$AG176=$BV$11,BM176,IF(OR(Исходн.данные.!$AH176=$BQ$7,Исходн.данные.!$AH176=$BQ$8),CC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10,IF(Исходн.данные.!$AI176=$BU$11,"Нет",IF(BM176&gt;60,60,IF(BM176&lt;10,10,BM176)))))))</f>
        <v>10</v>
      </c>
      <c r="CA176" s="39">
        <f>IF(BN176&lt;0,0,IF(Исходн.данные.!$AG176=$BV$11,BN176,IF(OR(Исходн.данные.!$AH176=$BQ$7,Исходн.данные.!$AH176=$BQ$8),CD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0,IF(Исходн.данные.!$AI176=$BU$11,"Нет",IF(BN176&gt;30,30,BN176))))))</f>
        <v>0</v>
      </c>
      <c r="CB176" s="9">
        <f t="shared" si="234"/>
        <v>0</v>
      </c>
      <c r="CC176" s="9">
        <f t="shared" si="235"/>
        <v>0</v>
      </c>
      <c r="CD176" s="9">
        <f t="shared" si="236"/>
        <v>0</v>
      </c>
      <c r="CE176" s="12">
        <f t="shared" si="237"/>
        <v>10</v>
      </c>
      <c r="CF176" s="9">
        <f t="shared" si="238"/>
        <v>0</v>
      </c>
      <c r="CG176" s="9" t="s">
        <v>231</v>
      </c>
      <c r="CH176" s="132" t="str">
        <f>IF(Исходн.данные.!AP176=Расчет!$CI$16,"Нет",IF(Исходн.данные.!AL176&gt;0,Исходн.данные.!AL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BH$4,IF(OR(Исходн.данные.!AI176=Исходн.данные.!$AI$6,Исходн.данные.!AI176=Исходн.данные.!$AI$7),Расчет!BS176,IF(AND($CF176=0,$CE176&gt;0),EV176,ER176)))))</f>
        <v>Аммофос 12:52:00</v>
      </c>
      <c r="CI176" s="274">
        <f>IF(Расчет!$CH176="Нет","Нет",IF(Исходн.данные.!$AL176&gt;0,VLOOKUP(Расчет!$CH176,АшламаДВ_Irekle,2,FALSE),VLOOKUP(Расчет!$CH176,АшламаДВ_Gomumy,2,FALSE)))</f>
        <v>0.12</v>
      </c>
      <c r="CJ176" s="274">
        <f>IF(Расчет!$CH176="Нет","Нет",IF(Исходн.данные.!$AL176&gt;0,VLOOKUP(Расчет!$CH176,АшламаДВ_Irekle,3,FALSE),VLOOKUP(Расчет!$CH176,АшламаДВ_Gomumy,3,FALSE)))</f>
        <v>0.52</v>
      </c>
      <c r="CK176" s="274">
        <f>IF(Расчет!$CH176="Нет","Нет",IF(Исходн.данные.!$AL176&gt;0,VLOOKUP(Расчет!$CH176,АшламаДВ_Irekle,4,FALSE),VLOOKUP(Расчет!$CH176,АшламаДВ_Gomumy,4,FALSE)))</f>
        <v>0</v>
      </c>
      <c r="CL176" s="70"/>
      <c r="CM176" s="70"/>
      <c r="CN176" s="70"/>
      <c r="CO176" s="70"/>
      <c r="CP176" s="70"/>
      <c r="CQ176" s="70"/>
      <c r="CR176" s="10">
        <f t="shared" si="239"/>
        <v>0</v>
      </c>
      <c r="CS176" s="10">
        <f t="shared" si="240"/>
        <v>19.23076923076923</v>
      </c>
      <c r="CT176" s="10">
        <f t="shared" si="241"/>
        <v>0</v>
      </c>
      <c r="CU176" s="39">
        <f>IF($CH176="Нет",0,IF(CI176=0,30/MIN(CJ176:CK176),IF(Исходн.данные.!$AG176=$BV$11,CR176,IF(OR(Исходн.данные.!$AH176=$BQ$7,Исходн.данные.!$AH176=$BQ$8),90/CI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0,IF(Исходн.данные.!$AI176=$BU$11,"Нет",30/CI176))))))</f>
        <v>250</v>
      </c>
      <c r="CV176" s="39">
        <f>IF($CH176="Нет",0,IF(Исходн.данные.!AH176=0,0,IF(CJ176=0,60/MIN(CI176,CK176),IF(Исходн.данные.!$AG176=$BV$11,CS176,IF(OR(Исходн.данные.!$AH176=$BQ$7,Исходн.данные.!$AH176=$BQ$8),90/CJ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10/CJ176,IF(Исходн.данные.!$AI176=$BU$11,"Нет",60/CJ176)))))))</f>
        <v>0</v>
      </c>
      <c r="CW176" s="39">
        <f>IF($CH176="Нет",0,IF(Исходн.данные.!AH176=0,0,IF(CK176=0,30/MIN(CI176:CJ176),IF(Исходн.данные.!$AG176=$BV$11,CT176,IF(OR(Исходн.данные.!$AH176=$BQ$7,Исходн.данные.!$AH176=$BQ$8),90/CK176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0,IF(Исходн.данные.!$AI176=$BU$11,"Нет",30/CK176)))))))</f>
        <v>0</v>
      </c>
      <c r="CX176" s="133">
        <f>IF(Исходн.данные.!$AG176=$BV$11,MAX(CU176:CW176),IF(OR(Исходн.данные.!$AH176=$BS$8,Исходн.данные.!$AH176=$BQ$9,Исходн.данные.!$AH176=$BQ$10,Исходн.данные.!$AH176=$BQ$11,Исходн.данные.!$AH176=$BQ$12,Исходн.данные.!$AH176=$BP$3,Исходн.данные.!$AH176=$BT$8,$FM176="Да"),CV176,MIN(CU176:CW176)))</f>
        <v>0</v>
      </c>
      <c r="CY176" s="133">
        <f>IF(Исходн.данные.!AH176=0,0,IF(CR176&gt;$CX176,$CX176,CR176))</f>
        <v>0</v>
      </c>
      <c r="CZ176" s="133">
        <f>IF(Исходн.данные.!AH176=0,0,IF(CS176&gt;$CX176,$CX176,CS176))</f>
        <v>0</v>
      </c>
      <c r="DA176" s="133">
        <f>IF(Исходн.данные.!AH176=0,0,IF(CT176&gt;$CX176,$CX176,CT176))</f>
        <v>0</v>
      </c>
      <c r="DB176" s="10">
        <f t="shared" si="242"/>
        <v>0</v>
      </c>
      <c r="DC176" s="39">
        <f>DB176*Исходн.данные.!AJ176/1000</f>
        <v>0</v>
      </c>
      <c r="DD176" s="71">
        <f t="shared" si="243"/>
        <v>0</v>
      </c>
      <c r="DE176" s="9">
        <f t="shared" si="244"/>
        <v>0</v>
      </c>
      <c r="DF176" s="9">
        <f t="shared" si="245"/>
        <v>0</v>
      </c>
      <c r="DG176" s="39">
        <f>IF(BL176&lt;0,0,IF($CH176="Нет",BL176,IF(OR(Исходн.данные.!$AH176=$BP$1,Исходн.данные.!$AH176=$BP$2),0,IF(Исходн.данные.!AI176=$BU$11,BL176,IF(BL176-DD176&lt;0,0,BL176-DD176)))))</f>
        <v>0</v>
      </c>
      <c r="DH176" s="39">
        <f>IF(BM176&lt;0,0,IF($CH176="Нет",BM176,IF(OR(Исходн.данные.!$AH176=$BP$1,Исходн.данные.!$AH176=$BP$2),0,IF(Исходн.данные.!AJ176=$BU$11,BM176,IF(BM176-DE176&lt;0,0,BM176-DE176)))))</f>
        <v>0</v>
      </c>
      <c r="DI176" s="39">
        <f>IF(BN176&lt;0,0,IF($CH176="Нет",BN176,IF(OR(Исходн.данные.!$AH176=$BP$1,Исходн.данные.!$AH176=$BP$2),0,IF(Исходн.данные.!AK176=$BU$11,BN176,IF(BN176-DF176&lt;0,0,BN176-DF176)))))</f>
        <v>0</v>
      </c>
      <c r="DJ176" s="12">
        <f t="shared" si="246"/>
        <v>0</v>
      </c>
      <c r="DK176" s="9">
        <f t="shared" si="247"/>
        <v>0</v>
      </c>
      <c r="DL176" s="39">
        <f>IF(Исходн.данные.!AM176&gt;0,Исходн.данные.!AM176,IF(EG176&gt;0,$BH$10,0))</f>
        <v>0</v>
      </c>
      <c r="DM176" s="186">
        <f>IF($DL176=0,0,IF(Исходн.данные.!AM176&gt;0,VLOOKUP($DL176,АшламаДВ_Irekle,2,FALSE),VLOOKUP($DL176,АшламаДВ_Gomumy,2,FALSE)))</f>
        <v>0</v>
      </c>
      <c r="DN176" s="10">
        <f t="shared" si="225"/>
        <v>0</v>
      </c>
      <c r="DO176" s="9" t="str">
        <f>IF(Исходн.данные.!AN176&gt;0,Исходн.данные.!AN176,Удобрения!$B$37 )</f>
        <v>Хлор.калий</v>
      </c>
      <c r="DP176" s="9">
        <f>IF(Исходн.данные.!AN176&gt;0,VLOOKUP(Исходн.данные.!AN176,АшламаДВ_Irekle,4,FALSE),VLOOKUP(DO176,АшламаДВ_Gomumy,4,FALSE))</f>
        <v>0.6</v>
      </c>
      <c r="DQ176" s="10">
        <f t="shared" si="226"/>
        <v>0</v>
      </c>
      <c r="DR176" s="132" t="str">
        <f>IF(Исходн.данные.!AO176&gt;0,Исходн.данные.!AO176,IF(DH176=0,BS$17,IF(AND($DK176=0,$DJ176&gt;0),EJ176,EN176)))</f>
        <v>Нет</v>
      </c>
      <c r="DS176" s="70" t="str">
        <f>IF($DR176="Нет","Нет",IF(Исходн.данные.!$AO176&gt;0,VLOOKUP($DR176,АшламаДВ_Irekle,2,FALSE),VLOOKUP($DR176,АшламаДВ_Gomumy,2,FALSE)))</f>
        <v>Нет</v>
      </c>
      <c r="DT176" s="70" t="str">
        <f>IF($DR176="Нет","Нет",IF(Исходн.данные.!$AO176&gt;0,VLOOKUP($DR176,АшламаДВ_Irekle,3,FALSE),VLOOKUP($DR176,АшламаДВ_Gomumy,3,FALSE)))</f>
        <v>Нет</v>
      </c>
      <c r="DU176" s="70" t="str">
        <f>IF($DR176="Нет","Нет",IF(Исходн.данные.!$AO176&gt;0,VLOOKUP($DR176,АшламаДВ_Irekle,4,FALSE),VLOOKUP($DR176,АшламаДВ_Gomumy,4,FALSE)))</f>
        <v>Нет</v>
      </c>
      <c r="DV176" s="70"/>
      <c r="DW176" s="70"/>
      <c r="DX176" s="70"/>
      <c r="DY176" s="10">
        <f t="shared" si="248"/>
        <v>0</v>
      </c>
      <c r="DZ176" s="10">
        <f t="shared" si="249"/>
        <v>0</v>
      </c>
      <c r="EA176" s="10">
        <f t="shared" si="250"/>
        <v>0</v>
      </c>
      <c r="EB176" s="10">
        <f t="shared" si="251"/>
        <v>0</v>
      </c>
      <c r="EC176" s="10">
        <f t="shared" si="252"/>
        <v>0</v>
      </c>
      <c r="ED176" s="10">
        <f t="shared" si="253"/>
        <v>0</v>
      </c>
      <c r="EE176" s="10">
        <f t="shared" si="254"/>
        <v>0</v>
      </c>
      <c r="EF176" s="39">
        <f>EB176*Исходн.данные.!AJ176/1000</f>
        <v>0</v>
      </c>
      <c r="EG176" s="9">
        <f t="shared" si="255"/>
        <v>0</v>
      </c>
      <c r="EH176" s="9">
        <f t="shared" si="256"/>
        <v>0</v>
      </c>
      <c r="EI176" s="39" t="e">
        <f t="shared" si="206"/>
        <v>#DIV/0!</v>
      </c>
      <c r="EJ176" s="9" t="str">
        <f t="shared" si="227"/>
        <v>Азопреципитат</v>
      </c>
      <c r="EK176" s="12">
        <f t="shared" si="207"/>
        <v>0.26</v>
      </c>
      <c r="EL176" s="12">
        <f t="shared" si="208"/>
        <v>0.13</v>
      </c>
      <c r="EM176" s="12">
        <f t="shared" si="209"/>
        <v>0</v>
      </c>
      <c r="EN176" s="12" t="str">
        <f t="shared" si="228"/>
        <v>Нет</v>
      </c>
      <c r="EO176" s="12">
        <f t="shared" si="210"/>
        <v>0</v>
      </c>
      <c r="EP176" s="12">
        <f t="shared" si="211"/>
        <v>0</v>
      </c>
      <c r="EQ176" s="12">
        <f t="shared" si="212"/>
        <v>0</v>
      </c>
      <c r="ER176" s="12" t="str">
        <f t="shared" si="257"/>
        <v>Диаммофоска</v>
      </c>
      <c r="ES176" s="12">
        <f t="shared" si="213"/>
        <v>0.1</v>
      </c>
      <c r="ET176" s="12">
        <f t="shared" si="214"/>
        <v>0.26</v>
      </c>
      <c r="EU176" s="12">
        <f t="shared" si="215"/>
        <v>0.26</v>
      </c>
      <c r="EV176" s="12" t="str">
        <f t="shared" si="258"/>
        <v>Аммофос 12:52:00</v>
      </c>
      <c r="EW176" s="12" t="str">
        <f t="shared" si="259"/>
        <v>Кемира Свекловичное-6</v>
      </c>
      <c r="EX176" s="12">
        <f t="shared" si="216"/>
        <v>0.16</v>
      </c>
      <c r="EY176" s="12">
        <f t="shared" si="217"/>
        <v>0.12</v>
      </c>
      <c r="EZ176" s="12">
        <f t="shared" si="218"/>
        <v>0.17</v>
      </c>
      <c r="FA176" s="38" t="e">
        <f>IF(AND(OR(FJ176=$FD$1,FM176=$FD$1,FO176=$FD$1,FQ176=$FD$1,FS176=$FD$1),FD176=$FD$1,Исходн.данные.!J176&lt;2,FU176=$FD$1),"Бор,Кобальт",IF(AND(FO176=$FD$1,FH176=$FD$1,Исходн.данные.!J176&lt;2,FU176=$FD$1),"Бор,Кобальт",IF(AND(OR(FJ176=$FD$1,FM176=$FD$1,FQ176=$FD$1),FE176=$FD$1,Исходн.данные.!J176&lt;2,FT176=$FD$1,FU176=$FD$1),"Бор,Медь,Цинк",IF(AND(OR(FJ176=$FD$1,FR176="Да"),FI176="Да",Исходн.данные.!J176&lt;2,FT176="Да",FU176="Да"),"Бор,Цинк,Медь",IF(AND(OR(FM176="Да",FQ176="Да"),FI176="Да",Исходн.данные.!J176&lt;2,FT176="Да",FU176="Да"),"Бор,Цинк",IF(AND(FN176="Да",OR(FD176="Да",FE176="Да")),"Бор",FB176))))))</f>
        <v>#N/A</v>
      </c>
      <c r="FB176" s="134" t="e">
        <f>IF(AND(OR(FD176="Да",FE176="Да",FF176="Да",FG176="Да",FH176="Да"),FO176="Да"),"Бор",IF(AND(FP176="Да",OR(FD176="Да",FE176="Да",FI176="Да")),"Бор",IF(AND(FS176="Да",FE176="Да"),"Бор,Медь",IF(AND(OR(FJ176="Да",FK176="Да",FL176="Да"),FE176="Да",Исходн.данные.!I176&lt;5,FT176="Да",FU176="Да"),"Молибден,Цинк",IF(AND(FM176="Да",OR(FE176="Да",FF176="Да",FG176="Да",FH176="Да",FI176="Да")),"Молибден,Цинк",IF(AND(OR(FJ176="Да",FK176="Да",FL176="Да",FM176="Да",FQ176="Да"),OR(FE176="Да",FF176="Да"),FT176="Да",FU176="Да",Исходн.данные.!I176&gt;5.5),"Медь,Цинк",FC176))))))</f>
        <v>#N/A</v>
      </c>
      <c r="FC176" s="23" t="e">
        <f t="shared" si="260"/>
        <v>#N/A</v>
      </c>
      <c r="FD176" s="38" t="str">
        <f>IF(OR(Исходн.данные.!F176=$CC$1,Исходн.данные.!F176=$CC$2,Исходн.данные.!F176=$CC$3,Исходн.данные.!F176=$CC$4),"Да","Нет")</f>
        <v>Нет</v>
      </c>
      <c r="FE176" s="38" t="str">
        <f>IF(Исходн.данные.!F176=$CC$5,"Да","Нет")</f>
        <v>Нет</v>
      </c>
      <c r="FF176" s="38" t="str">
        <f>IF(OR(Исходн.данные.!F176=$CC$6,Исходн.данные.!F176=$CC$7),"Да","Нет")</f>
        <v>Нет</v>
      </c>
      <c r="FG176" s="38" t="str">
        <f>IF(OR(Исходн.данные.!F176=$CC$8,Исходн.данные.!F176=$CC$9),"Да","Нет")</f>
        <v>Нет</v>
      </c>
      <c r="FH176" s="38" t="str">
        <f>IF(Исходн.данные.!F176=$CC$10,"Да","Нет")</f>
        <v>Нет</v>
      </c>
      <c r="FI176" s="38" t="str">
        <f>IF(OR(Исходн.данные.!F176=$CC$11,Исходн.данные.!F176=$CC$12),"Да","Нет")</f>
        <v>Нет</v>
      </c>
      <c r="FJ176" s="38" t="str">
        <f>IF(OR(Исходн.данные.!AH176=$BS$1,Исходн.данные.!AH176=$BQ$11,Исходн.данные.!AH176=$BQ$12),"Да","Нет")</f>
        <v>Нет</v>
      </c>
      <c r="FK176" s="38" t="str">
        <f>IF(OR(Исходн.данные.!AH176=$BS$2,Исходн.данные.!AH176=$BS$4),"Да","Нет")</f>
        <v>Нет</v>
      </c>
      <c r="FL176" s="38" t="str">
        <f>IF(OR(Исходн.данные.!AH176=$BS$3,Исходн.данные.!AH176=$BS$5),"Да","Нет")</f>
        <v>Нет</v>
      </c>
      <c r="FM176" s="38" t="str">
        <f>IF(OR(Исходн.данные.!AH176=$BS$9,Исходн.данные.!AH176=$BS$10,Исходн.данные.!AH176=$BS$11,Исходн.данные.!AH176=$BS$12),"Да","Нет")</f>
        <v>Нет</v>
      </c>
      <c r="FN176" s="38" t="str">
        <f>IF(OR(Исходн.данные.!AH176=$BS$6,Исходн.данные.!AH176=$BP$3),"Да","Нет")</f>
        <v>Нет</v>
      </c>
      <c r="FO176" s="38" t="str">
        <f>IF(Исходн.данные.!AH176=$BQ$9,"Да","Нет")</f>
        <v>Нет</v>
      </c>
      <c r="FP176" s="38" t="str">
        <f>IF(OR(Исходн.данные.!AH176=$BS$8,Исходн.данные.!AH176=$BT$8),"Да","Нет")</f>
        <v>Нет</v>
      </c>
      <c r="FQ176" s="38" t="str">
        <f>IF(OR(Исходн.данные.!AH176=$BQ$7,Исходн.данные.!AH176=$BQ$8),"Да","Нет")</f>
        <v>Нет</v>
      </c>
      <c r="FR176" s="38" t="str">
        <f>IF(Исходн.данные.!AI176=$BU$9,"Да","Нет")</f>
        <v>Нет</v>
      </c>
      <c r="FS176" s="38" t="str">
        <f>IF(OR(Исходн.данные.!AH176=$BP$1,Исходн.данные.!AH176=$BP$2),"Да","Нет")</f>
        <v>Нет</v>
      </c>
      <c r="FT176" s="38" t="e">
        <f>IF((Исходн.данные.!K176*GO176*GS176*GW176+BL176*0.6+Исходн.данные.!Q176*4.5*0.275)&gt;90,"Да","Нет")</f>
        <v>#N/A</v>
      </c>
      <c r="FU176" s="38" t="e">
        <f>IF((Исходн.данные.!M176*GS176*GZ176+BM176*0.225)&gt;35,"Да","Нет")</f>
        <v>#N/A</v>
      </c>
      <c r="FV176" s="38" t="str">
        <f>IF(Исходн.данные.!O176&gt;175,"Да","Нет")</f>
        <v>Нет</v>
      </c>
      <c r="FW176" s="39" t="str">
        <f>IF(Исходн.данные.!I176&gt;5.5,"Да","Нет")</f>
        <v>Нет</v>
      </c>
      <c r="FX176" s="39" t="str">
        <f>IF(Исходн.данные.!J176&lt;2,"Да","Нет")</f>
        <v>Да</v>
      </c>
      <c r="FY176" s="39" t="e">
        <f>IF(HF176=$FY$16,0,Исходн.данные.!K176*GO176*GS176*GW176/HF176)</f>
        <v>#N/A</v>
      </c>
      <c r="FZ176" s="39" t="e">
        <f>Исходн.данные.!M176*GS176*GZ176/HG176</f>
        <v>#N/A</v>
      </c>
      <c r="GA176" s="39" t="e">
        <f>IF(K_Wyn=$FY$16,0,IF(Исходн.данные.!N176=Исходн.данные.!$L$10,Исходн.данные.!O176/1.1*GS176*HC176/HH176,IF(Исходн.данные.!N176=Исходн.данные.!$L$12,Исходн.данные.!O176/1.5*GS176*HC176/HH176,Исходн.данные.!O176*GS176*HC176/HH176)))</f>
        <v>#N/A</v>
      </c>
      <c r="GB176" s="39" t="e">
        <f>IF(HF176=$FY$16,0,((Исходн.данные.!Q176*N_Org+Исходн.данные.!R176*N_Sider+Исходн.данные.!S176*N_Soloma)*AO176+Расчет!BC176*VLOOKUP(Исходн.данные.!T176,Справ!$A$3:$O$57,15)*AO176+BB176*VLOOKUP(Исходн.данные.!T176,Справ!$A$3:$O$57,15)*AL176+(Исходн.данные.!V176*N_Rizotorf+Исходн.данные.!W176*N_Rizoagr))/HF176)</f>
        <v>#N/A</v>
      </c>
      <c r="GC176" s="39" t="e">
        <f>IF(HG176=$FY$16,0,((Исходн.данные.!Q176*Р_Org+Исходн.данные.!R176*P_Sider+Исходн.данные.!S176*P_Soloma)*AP176+Расчет!BC176*VLOOKUP(Исходн.данные.!T176,Справ!$A$3:$P$57,16)*AP176+BB176*VLOOKUP(Исходн.данные.!T176,Справ!$A$3:$P$57,16)*AM176)/HG176)</f>
        <v>#N/A</v>
      </c>
      <c r="GD176" s="39" t="e">
        <f>IF(HH176=$FY$16,0,((Исходн.данные.!Q176*К_Org+Исходн.данные.!R176*K_Sider+Исходн.данные.!S176*K_Soloma)*AQ176+Расчет!BC176*VLOOKUP(Исходн.данные.!T176,Справ!$A$3:$Q$57,17)*AQ176+BB176*VLOOKUP(Исходн.данные.!T176,Справ!$A$3:$Q$57,17)*AN176)/HH176)</f>
        <v>#N/A</v>
      </c>
      <c r="GE176" s="39" t="e">
        <f>IF(HF176=$FY$16,0,(Исходн.данные.!X176*AR176+Исходн.данные.!AA176*N_Org*AL176+Исходн.данные.!AB176*N_Sider*AL176+Исходн.данные.!AC176*N_Soloma*AL176)/HF176)</f>
        <v>#N/A</v>
      </c>
      <c r="GF176" s="39" t="e">
        <f>IF(HG176=$FY$16,0,(Исходн.данные.!Y176*AS176+Исходн.данные.!AA176*Р_Org*AM176+Исходн.данные.!AB176*P_Sider*AM176+Исходн.данные.!AC176*P_Soloma*AM176)/HG176)</f>
        <v>#N/A</v>
      </c>
      <c r="GG176" s="39" t="e">
        <f>IF(HH176=$FY$16,0,(Исходн.данные.!Z176*AT176+Исходн.данные.!AA176*К_Org*AN176+Исходн.данные.!AB176*K_Sider*AN176+Исходн.данные.!AC176*K_Soloma*AN176)/HH176)</f>
        <v>#N/A</v>
      </c>
      <c r="GH176" s="39" t="e">
        <f>Исходн.данные.!AD176*AU176/HF176</f>
        <v>#N/A</v>
      </c>
      <c r="GI176" s="39" t="e">
        <f>Исходн.данные.!AE176*AV176/HG176</f>
        <v>#N/A</v>
      </c>
      <c r="GJ176" s="39" t="e">
        <f>Исходн.данные.!AF176*AW176/HH176</f>
        <v>#N/A</v>
      </c>
      <c r="GK176" s="55">
        <f>Исходн.данные.!AK176</f>
        <v>0</v>
      </c>
      <c r="GL176" s="11" t="e">
        <f t="shared" si="261"/>
        <v>#N/A</v>
      </c>
      <c r="GM176" s="11" t="e">
        <f t="shared" si="262"/>
        <v>#N/A</v>
      </c>
      <c r="GN176" s="11" t="e">
        <f t="shared" si="263"/>
        <v>#N/A</v>
      </c>
      <c r="GO176" s="57">
        <f t="shared" si="264"/>
        <v>19</v>
      </c>
      <c r="GP176" s="55">
        <f>IF(OR(Исходн.данные.!F176=$CE$1,Исходн.данные.!F176=$CE$2,Исходн.данные.!F176=$CE$3,Исходн.данные.!F176=$CE$4,Исходн.данные.!F176=$CE$5),GQ176,GR176)</f>
        <v>19</v>
      </c>
      <c r="GQ176" s="55">
        <f>IF(Исходн.данные.!F176=$CE$1,28,IF(Исходн.данные.!F176=$CE$2,26,IF(Исходн.данные.!F176=$CE$3,24,IF(Исходн.данные.!F176=$CE$4,22,IF(Исходн.данные.!F176=$CE$5,20,GR176)))))</f>
        <v>19</v>
      </c>
      <c r="GR176" s="55">
        <f>IF(Исходн.данные.!F176=$CE$6,18,IF(Исходн.данные.!F176=$CE$7,16,IF(Исходн.данные.!F176=$CE$8,14,IF(Исходн.данные.!F176=$CE$9,13,IF(Исходн.данные.!F176=$CE$10,12,19)))))</f>
        <v>19</v>
      </c>
      <c r="GS176" s="55">
        <f>IF(Исходн.данные.!G176="Пес",0.035*(40+2*Исходн.данные.!H176),IF(Исходн.данные.!G176="Суп",0.0325*(40+2*Исходн.данные.!H176),0.03*(40+2*Исходн.данные.!H176)))</f>
        <v>1.2</v>
      </c>
      <c r="GT176" s="55">
        <f>IF(Исходн.данные.!H176&lt;23,2.6,IF(AND(Исходн.данные.!H176&gt;22,Исходн.данные.!H176&lt;26),3,IF(AND(Исходн.данные.!H176&gt;25,Исходн.данные.!H176&lt;29),3.4,3.6)))</f>
        <v>2.6</v>
      </c>
      <c r="GU176" s="55">
        <f>IF(Исходн.данные.!H176&lt;23,2.8,IF(AND(Исходн.данные.!H176&gt;22,Исходн.данные.!H176&lt;26),3.2,IF(AND(Исходн.данные.!H176&gt;25,Исходн.данные.!H176&lt;29),3.6,3.9)))</f>
        <v>2.8</v>
      </c>
      <c r="GV176" s="55">
        <f>IF(Исходн.данные.!H176&lt;23,3,IF(AND(Исходн.данные.!H176&gt;22,Исходн.данные.!H176&lt;26),3.5,IF(AND(Исходн.данные.!H176&gt;25,Исходн.данные.!H176&lt;29),3.9,4.2)))</f>
        <v>3</v>
      </c>
      <c r="GW176" s="55" t="e">
        <f>IF(Исходн.данные.!P176="Ум",GX176,GY176)</f>
        <v>#N/A</v>
      </c>
      <c r="GX176" s="55" t="e">
        <f>VLOOKUP(Исходн.данные.!AI176,Коэффициенты!$J$7:$L$13,2,FALSE)</f>
        <v>#N/A</v>
      </c>
      <c r="GY176" s="55" t="e">
        <f>VLOOKUP(Исходн.данные.!AI176,Коэффициенты!$J$7:$L$13,3,FALSE)</f>
        <v>#N/A</v>
      </c>
      <c r="GZ176" s="55" t="e">
        <f>(IF(Исходн.данные.!M176&lt;50,0.11*VLOOKUP(Исходн.данные.!AH176,Культуры.Информация,7,FALSE),IF(Исходн.данные.!M176&gt;250,0.05*VLOOKUP(Исходн.данные.!AH176,Культуры.Информация,7,FALSE),VLOOKUP(Исходн.данные.!AH176,Культуры.Информация,5,FALSE)/100*($GX$6+$GY$6*Исходн.данные.!M176))))*Расчет2!AI176</f>
        <v>#N/A</v>
      </c>
      <c r="HA176" s="211"/>
      <c r="HB176" s="211"/>
      <c r="HC176" s="55" t="e">
        <f>(IF(Исходн.данные.!O176&lt;80,0.2*VLOOKUP(Исходн.данные.!AH176,Культуры.Информация,8,FALSE),IF(Исходн.данные.!O176&gt;240,0.09*VLOOKUP(Исходн.данные.!AH176,Культуры.Информация,8,FALSE),VLOOKUP(Исходн.данные.!AH176,Культуры.Информация,6,FALSE)/100*($HB$6+$HC$6*Исходн.данные.!O176))))*Расчет2!AJ176</f>
        <v>#N/A</v>
      </c>
      <c r="HD176" s="55">
        <f>IF(Исходн.данные.!O176&gt;240,0.09,IF(Исходн.данные.!O176&lt;30,0.3,$HE$10+$HD$10*Исходн.данные.!O176))</f>
        <v>0.3</v>
      </c>
      <c r="HE176" s="55">
        <f>IF(Исходн.данные.!O176&gt;240,0.17,IF(Исходн.данные.!O176&lt;30,0.5,$HF$12+$HE$12*Исходн.данные.!O176))</f>
        <v>0.5</v>
      </c>
      <c r="HF176" s="55" t="e">
        <f>VLOOKUP(Исходн.данные.!AH176,Справ!$A$3:$D$58,2,FALSE)</f>
        <v>#N/A</v>
      </c>
      <c r="HG176" s="55" t="e">
        <f>VLOOKUP(Исходн.данные.!AH176,Справ!$A$3:$D$58,3,FALSE)</f>
        <v>#N/A</v>
      </c>
      <c r="HH176" s="55" t="e">
        <f>VLOOKUP(Исходн.данные.!AH176,Справ!$A$3:$D$58,4,FALSE)</f>
        <v>#N/A</v>
      </c>
      <c r="HI176" s="11" t="e">
        <f t="shared" si="265"/>
        <v>#N/A</v>
      </c>
      <c r="HJ176" s="11" t="e">
        <f t="shared" si="266"/>
        <v>#N/A</v>
      </c>
      <c r="HK176" s="11" t="e">
        <f t="shared" si="267"/>
        <v>#N/A</v>
      </c>
      <c r="HL176" s="55">
        <f>IF(OR(Исходн.данные.!G176="Глин",Исходн.данные.!G176="Т_суг"),1.1,IF(Исходн.данные.!G176="Ср_суг",1,1))</f>
        <v>1</v>
      </c>
      <c r="HM176" s="55">
        <f>IF(OR(Исходн.данные.!G176="Глин",Исходн.данные.!G176="Т_суг"),0.9,IF(Исходн.данные.!G176="Ср_суг",1,1.2))</f>
        <v>1.2</v>
      </c>
      <c r="HN176" s="11" t="e">
        <f t="shared" si="268"/>
        <v>#N/A</v>
      </c>
      <c r="HO176" s="11" t="e">
        <f t="shared" si="269"/>
        <v>#N/A</v>
      </c>
      <c r="HP176" s="11" t="e">
        <f t="shared" si="270"/>
        <v>#N/A</v>
      </c>
      <c r="HQ176" t="e">
        <f t="shared" si="271"/>
        <v>#N/A</v>
      </c>
      <c r="HR176" t="e">
        <f t="shared" si="272"/>
        <v>#N/A</v>
      </c>
      <c r="HS176" t="e">
        <f t="shared" si="273"/>
        <v>#N/A</v>
      </c>
      <c r="HT176" t="e">
        <f t="shared" si="219"/>
        <v>#N/A</v>
      </c>
      <c r="HU176" t="e">
        <f t="shared" si="220"/>
        <v>#N/A</v>
      </c>
      <c r="HV176" t="e">
        <f t="shared" si="221"/>
        <v>#N/A</v>
      </c>
      <c r="HW176" t="e">
        <f t="shared" si="222"/>
        <v>#N/A</v>
      </c>
      <c r="HX176" t="e">
        <f t="shared" si="223"/>
        <v>#N/A</v>
      </c>
      <c r="HY176" t="e">
        <f t="shared" si="224"/>
        <v>#N/A</v>
      </c>
      <c r="HZ176" s="55">
        <f>IF(OR(Исходн.данные.!AI176="Оз_Ч_П",Исходн.данные.!AI176="Оз_З_П",Исходн.данные.!AI176="Яр_зер"),12,30)</f>
        <v>30</v>
      </c>
      <c r="IA176" t="e">
        <f t="shared" si="274"/>
        <v>#N/A</v>
      </c>
      <c r="IB176" t="e">
        <f t="shared" si="275"/>
        <v>#N/A</v>
      </c>
      <c r="IC176" t="e">
        <f t="shared" si="276"/>
        <v>#N/A</v>
      </c>
      <c r="ID176" s="11" t="e">
        <f t="shared" si="277"/>
        <v>#N/A</v>
      </c>
      <c r="IE176" s="11" t="e">
        <f t="shared" si="278"/>
        <v>#N/A</v>
      </c>
      <c r="IF176" s="11" t="e">
        <f t="shared" si="279"/>
        <v>#N/A</v>
      </c>
    </row>
    <row r="177" spans="35:240" x14ac:dyDescent="0.2">
      <c r="AI177">
        <f>IF(Исходн.данные.!I177&gt;6,1,1.85-(0.148*Исходн.данные.!I177))</f>
        <v>1.85</v>
      </c>
      <c r="AJ177">
        <f>IF(Исходн.данные.!I177&gt;6,1,2.434-(0.246*Исходн.данные.!I177))</f>
        <v>2.4340000000000002</v>
      </c>
      <c r="AL177" s="148" t="b">
        <f>IF(Исходн.данные.!$P177="Ум",N_OrgUd_2g_um,IF(Исходн.данные.!$P177="Об",N_OrgUd_2g_ob))</f>
        <v>0</v>
      </c>
      <c r="AM177" s="148" t="b">
        <f>IF(Исходн.данные.!$P177="Ум",P_OrgUd_2g_um,IF(Исходн.данные.!$P177="Об",P_OrgUd_2g_ob))</f>
        <v>0</v>
      </c>
      <c r="AN177" s="148" t="b">
        <f>IF(Исходн.данные.!$P177="Ум",K_OrgUd_2g_um,IF(Исходн.данные.!$P177="Об",K_OrgUd_2g_ob))</f>
        <v>0</v>
      </c>
      <c r="AO177" s="148" t="b">
        <f>IF(Исходн.данные.!$P177="Ум",N_OrgUd_1g_um,IF(Исходн.данные.!$P177="Об",N_OrgUd_1g_ob))</f>
        <v>0</v>
      </c>
      <c r="AP177" s="148" t="b">
        <f>IF(Исходн.данные.!$P177="Ум",P_OrgUd_1g_um,IF(Исходн.данные.!$P177="Об",P_OrgUd_1g_ob))</f>
        <v>0</v>
      </c>
      <c r="AQ177" s="148" t="b">
        <f>IF(Исходн.данные.!$P177="Ум",K_OrgUd_1g_um,IF(Исходн.данные.!$P177="Об",K_OrgUd_1g_ob))</f>
        <v>0</v>
      </c>
      <c r="AR177" t="b">
        <f>IF(Исходн.данные.!$P177="Ум",N_MinUd_2g_um,IF(Исходн.данные.!$P177="Об",N_MinUd_2g_ob))</f>
        <v>0</v>
      </c>
      <c r="AS177" t="b">
        <f>IF(Исходн.данные.!$P177="Ум",P_MinUd_2g_um,IF(Исходн.данные.!$P177="Об",P_MinUd_2g_ob))</f>
        <v>0</v>
      </c>
      <c r="AT177" t="b">
        <f>IF(Исходн.данные.!$P177="Ум",K_MinUd_2g_um,IF(Исходн.данные.!$P177="Об",K_MinUd_2g_ob))</f>
        <v>0</v>
      </c>
      <c r="AU177" t="b">
        <f>IF(Исходн.данные.!$P177="Ум",N_MinUd_1g_um,IF(Исходн.данные.!$P177="Об",N_MinUd_1g_ob))</f>
        <v>0</v>
      </c>
      <c r="AV177" t="b">
        <f>IF(Исходн.данные.!P177="Ум",P_MinUd_1g_um,IF(Исходн.данные.!P177="Об",P_MinUd_1g_ob))</f>
        <v>0</v>
      </c>
      <c r="AW177" t="b">
        <f>IF(Исходн.данные.!P177="Ум",K_MinUd_1g_um,IF(Исходн.данные.!P177="Об",K_MinUd_1g_ob))</f>
        <v>0</v>
      </c>
      <c r="AY177" t="e">
        <f>VLOOKUP(Исходн.данные.!T177,Справ!$A$3:$N$57,12)</f>
        <v>#N/A</v>
      </c>
      <c r="AZ177" t="e">
        <f>VLOOKUP(Исходн.данные.!T177,Справ!$A$3:$N$57,13)</f>
        <v>#N/A</v>
      </c>
      <c r="BA177" t="e">
        <f>VLOOKUP(Исходн.данные.!T177,Справ!$A$3:$N$57,14)</f>
        <v>#N/A</v>
      </c>
      <c r="BB177">
        <f>IF(Исходн.данные.!AH177=0,0,25)</f>
        <v>0</v>
      </c>
      <c r="BC177" s="141">
        <f>IF(Исходн.данные.!AH177=0,0,IF(Исходн.данные.!T177=0,25,BD177))</f>
        <v>0</v>
      </c>
      <c r="BD177" s="168" t="e">
        <f>AY177+AZ177*Исходн.данные.!U177-POWER(BA177,2)*Исходн.данные.!U177</f>
        <v>#N/A</v>
      </c>
      <c r="BE17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7" s="25">
        <f>IF(Исходн.данные.!AH177=0,0,MIN(HN177:HP177))</f>
        <v>0</v>
      </c>
      <c r="BG177" s="9">
        <f>IF(Исходн.данные.!AH177=0,0,IF((HO177+10*0.25/HG177/HL177)&lt;17,17,HO177+10*0.25/HG177/HL177))</f>
        <v>0</v>
      </c>
      <c r="BH177" s="181">
        <f>IF(Исходн.данные.!AH177=0,0,HW177*HF177*HL177/AU177*AI177+Исходн.данные.!S177*10)</f>
        <v>0</v>
      </c>
      <c r="BI177" s="10"/>
      <c r="BJ177" s="182">
        <f>IF(Исходн.данные.!AH177=0,0,IF(HX177*HG177*HL177/AV177&lt;0,0,HX177*HG177*HL177/AV177*AJ177))</f>
        <v>0</v>
      </c>
      <c r="BK177" s="182">
        <f>IF(Исходн.данные.!AH177=0,0,HY177*HH177*HM177/AW177)</f>
        <v>0</v>
      </c>
      <c r="BL177" s="10">
        <f>IF(OR(Исходн.данные.!$AH177=$BP$1,Исходн.данные.!$AH177=$BP$2),0,IF(BH177&lt;0,0,IF(OR(Исходн.данные.!T177=Расчет!$BP$1,Исходн.данные.!T177=Расчет!$BP$2,Исходн.данные.!T177=Расчет!$BT$5,Исходн.данные.!T177=Расчет!$BT$6),BH177*0.5,IF(OR(Исходн.данные.!T177=Расчет!$BS$9,Исходн.данные.!T177=Расчет!$BS$10,Исходн.данные.!T177=Расчет!$BS$11,Исходн.данные.!T177=Расчет!$BS$12,Исходн.данные.!T177=Расчет!$BP$5),BH177*0.8,BH177))))</f>
        <v>0</v>
      </c>
      <c r="BM177" s="10">
        <f>IF(OR(Исходн.данные.!$AH177=$BP$1,Исходн.данные.!$AH177=$BP$2),0,IF(BJ177&lt;0,0,IF(Исходн.данные.!I177&lt;4.5,BJ177*1.2,IF(Исходн.данные.!I177&gt;5.1,BJ177,BJ177*((5.1-Исходн.данные.!I177)*0.333+1)))))</f>
        <v>0</v>
      </c>
      <c r="BN177" s="10">
        <f>IF(OR(Исходн.данные.!$AH177=$BP$1,Исходн.данные.!$AH177=$BP$2),60-Исходн.данные.!AF177,IF(BK177&lt;0,0,IF(Исходн.данные.!I177&lt;4.5,BK177*1.2,IF(Исходн.данные.!I177&gt;5.1,BK177,BK177*((5.1-Исходн.данные.!I177)*0.333+1)))))</f>
        <v>0</v>
      </c>
      <c r="BO177" s="9">
        <f>IF(BL177&lt;0,0,BL177*Исходн.данные.!$AJ177/1000)</f>
        <v>0</v>
      </c>
      <c r="BP177" s="9">
        <f>IF(BM177&lt;0,0,BM177*Исходн.данные.!$AJ177/1000)</f>
        <v>0</v>
      </c>
      <c r="BQ177" s="9">
        <f>IF(BN177&lt;0,0,BN177*Исходн.данные.!$AJ177/1000)</f>
        <v>0</v>
      </c>
      <c r="BR177" s="9">
        <f t="shared" si="229"/>
        <v>0</v>
      </c>
      <c r="BS177" s="10" t="str">
        <f t="shared" si="230"/>
        <v>Аммофос 12:52:00</v>
      </c>
      <c r="BT177" s="10" t="str">
        <f t="shared" si="231"/>
        <v>Аммофос 12:52:00</v>
      </c>
      <c r="BU177" s="10" t="str">
        <f t="shared" si="232"/>
        <v>Диаммофоска</v>
      </c>
      <c r="BV177" s="10">
        <f t="shared" si="233"/>
        <v>0</v>
      </c>
      <c r="BW177" s="10"/>
      <c r="BX177" s="10"/>
      <c r="BY177" s="9">
        <f>IF(BL177&lt;0,0,IF(OR(Исходн.данные.!AI177=Расчет!$BU$6,Исходн.данные.!AI177=Расчет!$BU$7),Расчет!BV177,IF(Исходн.данные.!$AG177=$BV$11,BL177,IF(OR(Исходн.данные.!$AH177=$BQ$7,Исходн.данные.!$AH177=$BQ$8),CB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0,IF(Исходн.данные.!$AI177=$BU$11,"Нет",IF(BL177&gt;30,30,BL177)))))))</f>
        <v>0</v>
      </c>
      <c r="BZ177" s="9">
        <f>IF(AND(Исходн.данные.!$AG177=$BV$11,BM177&lt;10),10,IF(Исходн.данные.!$AG177=$BV$11,BM177,IF(OR(Исходн.данные.!$AH177=$BQ$7,Исходн.данные.!$AH177=$BQ$8),CC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10,IF(Исходн.данные.!$AI177=$BU$11,"Нет",IF(BM177&gt;60,60,IF(BM177&lt;10,10,BM177)))))))</f>
        <v>10</v>
      </c>
      <c r="CA177" s="39">
        <f>IF(BN177&lt;0,0,IF(Исходн.данные.!$AG177=$BV$11,BN177,IF(OR(Исходн.данные.!$AH177=$BQ$7,Исходн.данные.!$AH177=$BQ$8),CD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0,IF(Исходн.данные.!$AI177=$BU$11,"Нет",IF(BN177&gt;30,30,BN177))))))</f>
        <v>0</v>
      </c>
      <c r="CB177" s="9">
        <f t="shared" si="234"/>
        <v>0</v>
      </c>
      <c r="CC177" s="9">
        <f t="shared" si="235"/>
        <v>0</v>
      </c>
      <c r="CD177" s="9">
        <f t="shared" si="236"/>
        <v>0</v>
      </c>
      <c r="CE177" s="12">
        <f t="shared" si="237"/>
        <v>10</v>
      </c>
      <c r="CF177" s="9">
        <f t="shared" si="238"/>
        <v>0</v>
      </c>
      <c r="CG177" s="9" t="s">
        <v>231</v>
      </c>
      <c r="CH177" s="132" t="str">
        <f>IF(Исходн.данные.!AP177=Расчет!$CI$16,"Нет",IF(Исходн.данные.!AL177&gt;0,Исходн.данные.!AL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BH$4,IF(OR(Исходн.данные.!AI177=Исходн.данные.!$AI$6,Исходн.данные.!AI177=Исходн.данные.!$AI$7),Расчет!BS177,IF(AND($CF177=0,$CE177&gt;0),EV177,ER177)))))</f>
        <v>Аммофос 12:52:00</v>
      </c>
      <c r="CI177" s="274">
        <f>IF(Расчет!$CH177="Нет","Нет",IF(Исходн.данные.!$AL177&gt;0,VLOOKUP(Расчет!$CH177,АшламаДВ_Irekle,2,FALSE),VLOOKUP(Расчет!$CH177,АшламаДВ_Gomumy,2,FALSE)))</f>
        <v>0.12</v>
      </c>
      <c r="CJ177" s="274">
        <f>IF(Расчет!$CH177="Нет","Нет",IF(Исходн.данные.!$AL177&gt;0,VLOOKUP(Расчет!$CH177,АшламаДВ_Irekle,3,FALSE),VLOOKUP(Расчет!$CH177,АшламаДВ_Gomumy,3,FALSE)))</f>
        <v>0.52</v>
      </c>
      <c r="CK177" s="274">
        <f>IF(Расчет!$CH177="Нет","Нет",IF(Исходн.данные.!$AL177&gt;0,VLOOKUP(Расчет!$CH177,АшламаДВ_Irekle,4,FALSE),VLOOKUP(Расчет!$CH177,АшламаДВ_Gomumy,4,FALSE)))</f>
        <v>0</v>
      </c>
      <c r="CL177" s="70"/>
      <c r="CM177" s="70"/>
      <c r="CN177" s="70"/>
      <c r="CO177" s="70"/>
      <c r="CP177" s="70"/>
      <c r="CQ177" s="70"/>
      <c r="CR177" s="10">
        <f t="shared" si="239"/>
        <v>0</v>
      </c>
      <c r="CS177" s="10">
        <f t="shared" si="240"/>
        <v>19.23076923076923</v>
      </c>
      <c r="CT177" s="10">
        <f t="shared" si="241"/>
        <v>0</v>
      </c>
      <c r="CU177" s="39">
        <f>IF($CH177="Нет",0,IF(CI177=0,30/MIN(CJ177:CK177),IF(Исходн.данные.!$AG177=$BV$11,CR177,IF(OR(Исходн.данные.!$AH177=$BQ$7,Исходн.данные.!$AH177=$BQ$8),90/CI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0,IF(Исходн.данные.!$AI177=$BU$11,"Нет",30/CI177))))))</f>
        <v>250</v>
      </c>
      <c r="CV177" s="39">
        <f>IF($CH177="Нет",0,IF(Исходн.данные.!AH177=0,0,IF(CJ177=0,60/MIN(CI177,CK177),IF(Исходн.данные.!$AG177=$BV$11,CS177,IF(OR(Исходн.данные.!$AH177=$BQ$7,Исходн.данные.!$AH177=$BQ$8),90/CJ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10/CJ177,IF(Исходн.данные.!$AI177=$BU$11,"Нет",60/CJ177)))))))</f>
        <v>0</v>
      </c>
      <c r="CW177" s="39">
        <f>IF($CH177="Нет",0,IF(Исходн.данные.!AH177=0,0,IF(CK177=0,30/MIN(CI177:CJ177),IF(Исходн.данные.!$AG177=$BV$11,CT177,IF(OR(Исходн.данные.!$AH177=$BQ$7,Исходн.данные.!$AH177=$BQ$8),90/CK177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0,IF(Исходн.данные.!$AI177=$BU$11,"Нет",30/CK177)))))))</f>
        <v>0</v>
      </c>
      <c r="CX177" s="133">
        <f>IF(Исходн.данные.!$AG177=$BV$11,MAX(CU177:CW177),IF(OR(Исходн.данные.!$AH177=$BS$8,Исходн.данные.!$AH177=$BQ$9,Исходн.данные.!$AH177=$BQ$10,Исходн.данные.!$AH177=$BQ$11,Исходн.данные.!$AH177=$BQ$12,Исходн.данные.!$AH177=$BP$3,Исходн.данные.!$AH177=$BT$8,$FM177="Да"),CV177,MIN(CU177:CW177)))</f>
        <v>0</v>
      </c>
      <c r="CY177" s="133">
        <f>IF(Исходн.данные.!AH177=0,0,IF(CR177&gt;$CX177,$CX177,CR177))</f>
        <v>0</v>
      </c>
      <c r="CZ177" s="133">
        <f>IF(Исходн.данные.!AH177=0,0,IF(CS177&gt;$CX177,$CX177,CS177))</f>
        <v>0</v>
      </c>
      <c r="DA177" s="133">
        <f>IF(Исходн.данные.!AH177=0,0,IF(CT177&gt;$CX177,$CX177,CT177))</f>
        <v>0</v>
      </c>
      <c r="DB177" s="10">
        <f t="shared" si="242"/>
        <v>0</v>
      </c>
      <c r="DC177" s="39">
        <f>DB177*Исходн.данные.!AJ177/1000</f>
        <v>0</v>
      </c>
      <c r="DD177" s="71">
        <f t="shared" si="243"/>
        <v>0</v>
      </c>
      <c r="DE177" s="9">
        <f t="shared" si="244"/>
        <v>0</v>
      </c>
      <c r="DF177" s="9">
        <f t="shared" si="245"/>
        <v>0</v>
      </c>
      <c r="DG177" s="39">
        <f>IF(BL177&lt;0,0,IF($CH177="Нет",BL177,IF(OR(Исходн.данные.!$AH177=$BP$1,Исходн.данные.!$AH177=$BP$2),0,IF(Исходн.данные.!AI177=$BU$11,BL177,IF(BL177-DD177&lt;0,0,BL177-DD177)))))</f>
        <v>0</v>
      </c>
      <c r="DH177" s="39">
        <f>IF(BM177&lt;0,0,IF($CH177="Нет",BM177,IF(OR(Исходн.данные.!$AH177=$BP$1,Исходн.данные.!$AH177=$BP$2),0,IF(Исходн.данные.!AJ177=$BU$11,BM177,IF(BM177-DE177&lt;0,0,BM177-DE177)))))</f>
        <v>0</v>
      </c>
      <c r="DI177" s="39">
        <f>IF(BN177&lt;0,0,IF($CH177="Нет",BN177,IF(OR(Исходн.данные.!$AH177=$BP$1,Исходн.данные.!$AH177=$BP$2),0,IF(Исходн.данные.!AK177=$BU$11,BN177,IF(BN177-DF177&lt;0,0,BN177-DF177)))))</f>
        <v>0</v>
      </c>
      <c r="DJ177" s="12">
        <f t="shared" si="246"/>
        <v>0</v>
      </c>
      <c r="DK177" s="9">
        <f t="shared" si="247"/>
        <v>0</v>
      </c>
      <c r="DL177" s="39">
        <f>IF(Исходн.данные.!AM177&gt;0,Исходн.данные.!AM177,IF(EG177&gt;0,$BH$10,0))</f>
        <v>0</v>
      </c>
      <c r="DM177" s="186">
        <f>IF($DL177=0,0,IF(Исходн.данные.!AM177&gt;0,VLOOKUP($DL177,АшламаДВ_Irekle,2,FALSE),VLOOKUP($DL177,АшламаДВ_Gomumy,2,FALSE)))</f>
        <v>0</v>
      </c>
      <c r="DN177" s="10">
        <f t="shared" si="225"/>
        <v>0</v>
      </c>
      <c r="DO177" s="9" t="str">
        <f>IF(Исходн.данные.!AN177&gt;0,Исходн.данные.!AN177,Удобрения!$B$37 )</f>
        <v>Хлор.калий</v>
      </c>
      <c r="DP177" s="9">
        <f>IF(Исходн.данные.!AN177&gt;0,VLOOKUP(Исходн.данные.!AN177,АшламаДВ_Irekle,4,FALSE),VLOOKUP(DO177,АшламаДВ_Gomumy,4,FALSE))</f>
        <v>0.6</v>
      </c>
      <c r="DQ177" s="10">
        <f t="shared" si="226"/>
        <v>0</v>
      </c>
      <c r="DR177" s="132" t="str">
        <f>IF(Исходн.данные.!AO177&gt;0,Исходн.данные.!AO177,IF(DH177=0,BS$17,IF(AND($DK177=0,$DJ177&gt;0),EJ177,EN177)))</f>
        <v>Нет</v>
      </c>
      <c r="DS177" s="70" t="str">
        <f>IF($DR177="Нет","Нет",IF(Исходн.данные.!$AO177&gt;0,VLOOKUP($DR177,АшламаДВ_Irekle,2,FALSE),VLOOKUP($DR177,АшламаДВ_Gomumy,2,FALSE)))</f>
        <v>Нет</v>
      </c>
      <c r="DT177" s="70" t="str">
        <f>IF($DR177="Нет","Нет",IF(Исходн.данные.!$AO177&gt;0,VLOOKUP($DR177,АшламаДВ_Irekle,3,FALSE),VLOOKUP($DR177,АшламаДВ_Gomumy,3,FALSE)))</f>
        <v>Нет</v>
      </c>
      <c r="DU177" s="70" t="str">
        <f>IF($DR177="Нет","Нет",IF(Исходн.данные.!$AO177&gt;0,VLOOKUP($DR177,АшламаДВ_Irekle,4,FALSE),VLOOKUP($DR177,АшламаДВ_Gomumy,4,FALSE)))</f>
        <v>Нет</v>
      </c>
      <c r="DV177" s="70"/>
      <c r="DW177" s="70"/>
      <c r="DX177" s="70"/>
      <c r="DY177" s="10">
        <f t="shared" si="248"/>
        <v>0</v>
      </c>
      <c r="DZ177" s="10">
        <f t="shared" si="249"/>
        <v>0</v>
      </c>
      <c r="EA177" s="10">
        <f t="shared" si="250"/>
        <v>0</v>
      </c>
      <c r="EB177" s="10">
        <f t="shared" si="251"/>
        <v>0</v>
      </c>
      <c r="EC177" s="10">
        <f t="shared" si="252"/>
        <v>0</v>
      </c>
      <c r="ED177" s="10">
        <f t="shared" si="253"/>
        <v>0</v>
      </c>
      <c r="EE177" s="10">
        <f t="shared" si="254"/>
        <v>0</v>
      </c>
      <c r="EF177" s="39">
        <f>EB177*Исходн.данные.!AJ177/1000</f>
        <v>0</v>
      </c>
      <c r="EG177" s="9">
        <f t="shared" si="255"/>
        <v>0</v>
      </c>
      <c r="EH177" s="9">
        <f t="shared" si="256"/>
        <v>0</v>
      </c>
      <c r="EI177" s="39" t="e">
        <f t="shared" si="206"/>
        <v>#DIV/0!</v>
      </c>
      <c r="EJ177" s="9" t="str">
        <f t="shared" si="227"/>
        <v>Азопреципитат</v>
      </c>
      <c r="EK177" s="12">
        <f t="shared" si="207"/>
        <v>0.26</v>
      </c>
      <c r="EL177" s="12">
        <f t="shared" si="208"/>
        <v>0.13</v>
      </c>
      <c r="EM177" s="12">
        <f t="shared" si="209"/>
        <v>0</v>
      </c>
      <c r="EN177" s="12" t="str">
        <f t="shared" si="228"/>
        <v>Нет</v>
      </c>
      <c r="EO177" s="12">
        <f t="shared" si="210"/>
        <v>0</v>
      </c>
      <c r="EP177" s="12">
        <f t="shared" si="211"/>
        <v>0</v>
      </c>
      <c r="EQ177" s="12">
        <f t="shared" si="212"/>
        <v>0</v>
      </c>
      <c r="ER177" s="12" t="str">
        <f t="shared" si="257"/>
        <v>Диаммофоска</v>
      </c>
      <c r="ES177" s="12">
        <f t="shared" si="213"/>
        <v>0.1</v>
      </c>
      <c r="ET177" s="12">
        <f t="shared" si="214"/>
        <v>0.26</v>
      </c>
      <c r="EU177" s="12">
        <f t="shared" si="215"/>
        <v>0.26</v>
      </c>
      <c r="EV177" s="12" t="str">
        <f t="shared" si="258"/>
        <v>Аммофос 12:52:00</v>
      </c>
      <c r="EW177" s="12" t="str">
        <f t="shared" si="259"/>
        <v>Кемира Свекловичное-6</v>
      </c>
      <c r="EX177" s="12">
        <f t="shared" si="216"/>
        <v>0.16</v>
      </c>
      <c r="EY177" s="12">
        <f t="shared" si="217"/>
        <v>0.12</v>
      </c>
      <c r="EZ177" s="12">
        <f t="shared" si="218"/>
        <v>0.17</v>
      </c>
      <c r="FA177" s="38" t="e">
        <f>IF(AND(OR(FJ177=$FD$1,FM177=$FD$1,FO177=$FD$1,FQ177=$FD$1,FS177=$FD$1),FD177=$FD$1,Исходн.данные.!J177&lt;2,FU177=$FD$1),"Бор,Кобальт",IF(AND(FO177=$FD$1,FH177=$FD$1,Исходн.данные.!J177&lt;2,FU177=$FD$1),"Бор,Кобальт",IF(AND(OR(FJ177=$FD$1,FM177=$FD$1,FQ177=$FD$1),FE177=$FD$1,Исходн.данные.!J177&lt;2,FT177=$FD$1,FU177=$FD$1),"Бор,Медь,Цинк",IF(AND(OR(FJ177=$FD$1,FR177="Да"),FI177="Да",Исходн.данные.!J177&lt;2,FT177="Да",FU177="Да"),"Бор,Цинк,Медь",IF(AND(OR(FM177="Да",FQ177="Да"),FI177="Да",Исходн.данные.!J177&lt;2,FT177="Да",FU177="Да"),"Бор,Цинк",IF(AND(FN177="Да",OR(FD177="Да",FE177="Да")),"Бор",FB177))))))</f>
        <v>#N/A</v>
      </c>
      <c r="FB177" s="134" t="e">
        <f>IF(AND(OR(FD177="Да",FE177="Да",FF177="Да",FG177="Да",FH177="Да"),FO177="Да"),"Бор",IF(AND(FP177="Да",OR(FD177="Да",FE177="Да",FI177="Да")),"Бор",IF(AND(FS177="Да",FE177="Да"),"Бор,Медь",IF(AND(OR(FJ177="Да",FK177="Да",FL177="Да"),FE177="Да",Исходн.данные.!I177&lt;5,FT177="Да",FU177="Да"),"Молибден,Цинк",IF(AND(FM177="Да",OR(FE177="Да",FF177="Да",FG177="Да",FH177="Да",FI177="Да")),"Молибден,Цинк",IF(AND(OR(FJ177="Да",FK177="Да",FL177="Да",FM177="Да",FQ177="Да"),OR(FE177="Да",FF177="Да"),FT177="Да",FU177="Да",Исходн.данные.!I177&gt;5.5),"Медь,Цинк",FC177))))))</f>
        <v>#N/A</v>
      </c>
      <c r="FC177" s="23" t="e">
        <f t="shared" si="260"/>
        <v>#N/A</v>
      </c>
      <c r="FD177" s="38" t="str">
        <f>IF(OR(Исходн.данные.!F177=$CC$1,Исходн.данные.!F177=$CC$2,Исходн.данные.!F177=$CC$3,Исходн.данные.!F177=$CC$4),"Да","Нет")</f>
        <v>Нет</v>
      </c>
      <c r="FE177" s="38" t="str">
        <f>IF(Исходн.данные.!F177=$CC$5,"Да","Нет")</f>
        <v>Нет</v>
      </c>
      <c r="FF177" s="38" t="str">
        <f>IF(OR(Исходн.данные.!F177=$CC$6,Исходн.данные.!F177=$CC$7),"Да","Нет")</f>
        <v>Нет</v>
      </c>
      <c r="FG177" s="38" t="str">
        <f>IF(OR(Исходн.данные.!F177=$CC$8,Исходн.данные.!F177=$CC$9),"Да","Нет")</f>
        <v>Нет</v>
      </c>
      <c r="FH177" s="38" t="str">
        <f>IF(Исходн.данные.!F177=$CC$10,"Да","Нет")</f>
        <v>Нет</v>
      </c>
      <c r="FI177" s="38" t="str">
        <f>IF(OR(Исходн.данные.!F177=$CC$11,Исходн.данные.!F177=$CC$12),"Да","Нет")</f>
        <v>Нет</v>
      </c>
      <c r="FJ177" s="38" t="str">
        <f>IF(OR(Исходн.данные.!AH177=$BS$1,Исходн.данные.!AH177=$BQ$11,Исходн.данные.!AH177=$BQ$12),"Да","Нет")</f>
        <v>Нет</v>
      </c>
      <c r="FK177" s="38" t="str">
        <f>IF(OR(Исходн.данные.!AH177=$BS$2,Исходн.данные.!AH177=$BS$4),"Да","Нет")</f>
        <v>Нет</v>
      </c>
      <c r="FL177" s="38" t="str">
        <f>IF(OR(Исходн.данные.!AH177=$BS$3,Исходн.данные.!AH177=$BS$5),"Да","Нет")</f>
        <v>Нет</v>
      </c>
      <c r="FM177" s="38" t="str">
        <f>IF(OR(Исходн.данные.!AH177=$BS$9,Исходн.данные.!AH177=$BS$10,Исходн.данные.!AH177=$BS$11,Исходн.данные.!AH177=$BS$12),"Да","Нет")</f>
        <v>Нет</v>
      </c>
      <c r="FN177" s="38" t="str">
        <f>IF(OR(Исходн.данные.!AH177=$BS$6,Исходн.данные.!AH177=$BP$3),"Да","Нет")</f>
        <v>Нет</v>
      </c>
      <c r="FO177" s="38" t="str">
        <f>IF(Исходн.данные.!AH177=$BQ$9,"Да","Нет")</f>
        <v>Нет</v>
      </c>
      <c r="FP177" s="38" t="str">
        <f>IF(OR(Исходн.данные.!AH177=$BS$8,Исходн.данные.!AH177=$BT$8),"Да","Нет")</f>
        <v>Нет</v>
      </c>
      <c r="FQ177" s="38" t="str">
        <f>IF(OR(Исходн.данные.!AH177=$BQ$7,Исходн.данные.!AH177=$BQ$8),"Да","Нет")</f>
        <v>Нет</v>
      </c>
      <c r="FR177" s="38" t="str">
        <f>IF(Исходн.данные.!AI177=$BU$9,"Да","Нет")</f>
        <v>Нет</v>
      </c>
      <c r="FS177" s="38" t="str">
        <f>IF(OR(Исходн.данные.!AH177=$BP$1,Исходн.данные.!AH177=$BP$2),"Да","Нет")</f>
        <v>Нет</v>
      </c>
      <c r="FT177" s="38" t="e">
        <f>IF((Исходн.данные.!K177*GO177*GS177*GW177+BL177*0.6+Исходн.данные.!Q177*4.5*0.275)&gt;90,"Да","Нет")</f>
        <v>#N/A</v>
      </c>
      <c r="FU177" s="38" t="e">
        <f>IF((Исходн.данные.!M177*GS177*GZ177+BM177*0.225)&gt;35,"Да","Нет")</f>
        <v>#N/A</v>
      </c>
      <c r="FV177" s="38" t="str">
        <f>IF(Исходн.данные.!O177&gt;175,"Да","Нет")</f>
        <v>Нет</v>
      </c>
      <c r="FW177" s="39" t="str">
        <f>IF(Исходн.данные.!I177&gt;5.5,"Да","Нет")</f>
        <v>Нет</v>
      </c>
      <c r="FX177" s="39" t="str">
        <f>IF(Исходн.данные.!J177&lt;2,"Да","Нет")</f>
        <v>Да</v>
      </c>
      <c r="FY177" s="39" t="e">
        <f>IF(HF177=$FY$16,0,Исходн.данные.!K177*GO177*GS177*GW177/HF177)</f>
        <v>#N/A</v>
      </c>
      <c r="FZ177" s="39" t="e">
        <f>Исходн.данные.!M177*GS177*GZ177/HG177</f>
        <v>#N/A</v>
      </c>
      <c r="GA177" s="39" t="e">
        <f>IF(K_Wyn=$FY$16,0,IF(Исходн.данные.!N177=Исходн.данные.!$L$10,Исходн.данные.!O177/1.1*GS177*HC177/HH177,IF(Исходн.данные.!N177=Исходн.данные.!$L$12,Исходн.данные.!O177/1.5*GS177*HC177/HH177,Исходн.данные.!O177*GS177*HC177/HH177)))</f>
        <v>#N/A</v>
      </c>
      <c r="GB177" s="39" t="e">
        <f>IF(HF177=$FY$16,0,((Исходн.данные.!Q177*N_Org+Исходн.данные.!R177*N_Sider+Исходн.данные.!S177*N_Soloma)*AO177+Расчет!BC177*VLOOKUP(Исходн.данные.!T177,Справ!$A$3:$O$57,15)*AO177+BB177*VLOOKUP(Исходн.данные.!T177,Справ!$A$3:$O$57,15)*AL177+(Исходн.данные.!V177*N_Rizotorf+Исходн.данные.!W177*N_Rizoagr))/HF177)</f>
        <v>#N/A</v>
      </c>
      <c r="GC177" s="39" t="e">
        <f>IF(HG177=$FY$16,0,((Исходн.данные.!Q177*Р_Org+Исходн.данные.!R177*P_Sider+Исходн.данные.!S177*P_Soloma)*AP177+Расчет!BC177*VLOOKUP(Исходн.данные.!T177,Справ!$A$3:$P$57,16)*AP177+BB177*VLOOKUP(Исходн.данные.!T177,Справ!$A$3:$P$57,16)*AM177)/HG177)</f>
        <v>#N/A</v>
      </c>
      <c r="GD177" s="39" t="e">
        <f>IF(HH177=$FY$16,0,((Исходн.данные.!Q177*К_Org+Исходн.данные.!R177*K_Sider+Исходн.данные.!S177*K_Soloma)*AQ177+Расчет!BC177*VLOOKUP(Исходн.данные.!T177,Справ!$A$3:$Q$57,17)*AQ177+BB177*VLOOKUP(Исходн.данные.!T177,Справ!$A$3:$Q$57,17)*AN177)/HH177)</f>
        <v>#N/A</v>
      </c>
      <c r="GE177" s="39" t="e">
        <f>IF(HF177=$FY$16,0,(Исходн.данные.!X177*AR177+Исходн.данные.!AA177*N_Org*AL177+Исходн.данные.!AB177*N_Sider*AL177+Исходн.данные.!AC177*N_Soloma*AL177)/HF177)</f>
        <v>#N/A</v>
      </c>
      <c r="GF177" s="39" t="e">
        <f>IF(HG177=$FY$16,0,(Исходн.данные.!Y177*AS177+Исходн.данные.!AA177*Р_Org*AM177+Исходн.данные.!AB177*P_Sider*AM177+Исходн.данные.!AC177*P_Soloma*AM177)/HG177)</f>
        <v>#N/A</v>
      </c>
      <c r="GG177" s="39" t="e">
        <f>IF(HH177=$FY$16,0,(Исходн.данные.!Z177*AT177+Исходн.данные.!AA177*К_Org*AN177+Исходн.данные.!AB177*K_Sider*AN177+Исходн.данные.!AC177*K_Soloma*AN177)/HH177)</f>
        <v>#N/A</v>
      </c>
      <c r="GH177" s="39" t="e">
        <f>Исходн.данные.!AD177*AU177/HF177</f>
        <v>#N/A</v>
      </c>
      <c r="GI177" s="39" t="e">
        <f>Исходн.данные.!AE177*AV177/HG177</f>
        <v>#N/A</v>
      </c>
      <c r="GJ177" s="39" t="e">
        <f>Исходн.данные.!AF177*AW177/HH177</f>
        <v>#N/A</v>
      </c>
      <c r="GK177" s="55">
        <f>Исходн.данные.!AK177</f>
        <v>0</v>
      </c>
      <c r="GL177" s="11" t="e">
        <f t="shared" si="261"/>
        <v>#N/A</v>
      </c>
      <c r="GM177" s="11" t="e">
        <f t="shared" si="262"/>
        <v>#N/A</v>
      </c>
      <c r="GN177" s="11" t="e">
        <f t="shared" si="263"/>
        <v>#N/A</v>
      </c>
      <c r="GO177" s="57">
        <f t="shared" si="264"/>
        <v>19</v>
      </c>
      <c r="GP177" s="55">
        <f>IF(OR(Исходн.данные.!F177=$CE$1,Исходн.данные.!F177=$CE$2,Исходн.данные.!F177=$CE$3,Исходн.данные.!F177=$CE$4,Исходн.данные.!F177=$CE$5),GQ177,GR177)</f>
        <v>19</v>
      </c>
      <c r="GQ177" s="55">
        <f>IF(Исходн.данные.!F177=$CE$1,28,IF(Исходн.данные.!F177=$CE$2,26,IF(Исходн.данные.!F177=$CE$3,24,IF(Исходн.данные.!F177=$CE$4,22,IF(Исходн.данные.!F177=$CE$5,20,GR177)))))</f>
        <v>19</v>
      </c>
      <c r="GR177" s="55">
        <f>IF(Исходн.данные.!F177=$CE$6,18,IF(Исходн.данные.!F177=$CE$7,16,IF(Исходн.данные.!F177=$CE$8,14,IF(Исходн.данные.!F177=$CE$9,13,IF(Исходн.данные.!F177=$CE$10,12,19)))))</f>
        <v>19</v>
      </c>
      <c r="GS177" s="55">
        <f>IF(Исходн.данные.!G177="Пес",0.035*(40+2*Исходн.данные.!H177),IF(Исходн.данные.!G177="Суп",0.0325*(40+2*Исходн.данные.!H177),0.03*(40+2*Исходн.данные.!H177)))</f>
        <v>1.2</v>
      </c>
      <c r="GT177" s="55">
        <f>IF(Исходн.данные.!H177&lt;23,2.6,IF(AND(Исходн.данные.!H177&gt;22,Исходн.данные.!H177&lt;26),3,IF(AND(Исходн.данные.!H177&gt;25,Исходн.данные.!H177&lt;29),3.4,3.6)))</f>
        <v>2.6</v>
      </c>
      <c r="GU177" s="55">
        <f>IF(Исходн.данные.!H177&lt;23,2.8,IF(AND(Исходн.данные.!H177&gt;22,Исходн.данные.!H177&lt;26),3.2,IF(AND(Исходн.данные.!H177&gt;25,Исходн.данные.!H177&lt;29),3.6,3.9)))</f>
        <v>2.8</v>
      </c>
      <c r="GV177" s="55">
        <f>IF(Исходн.данные.!H177&lt;23,3,IF(AND(Исходн.данные.!H177&gt;22,Исходн.данные.!H177&lt;26),3.5,IF(AND(Исходн.данные.!H177&gt;25,Исходн.данные.!H177&lt;29),3.9,4.2)))</f>
        <v>3</v>
      </c>
      <c r="GW177" s="55" t="e">
        <f>IF(Исходн.данные.!P177="Ум",GX177,GY177)</f>
        <v>#N/A</v>
      </c>
      <c r="GX177" s="55" t="e">
        <f>VLOOKUP(Исходн.данные.!AI177,Коэффициенты!$J$7:$L$13,2,FALSE)</f>
        <v>#N/A</v>
      </c>
      <c r="GY177" s="55" t="e">
        <f>VLOOKUP(Исходн.данные.!AI177,Коэффициенты!$J$7:$L$13,3,FALSE)</f>
        <v>#N/A</v>
      </c>
      <c r="GZ177" s="55" t="e">
        <f>(IF(Исходн.данные.!M177&lt;50,0.11*VLOOKUP(Исходн.данные.!AH177,Культуры.Информация,7,FALSE),IF(Исходн.данные.!M177&gt;250,0.05*VLOOKUP(Исходн.данные.!AH177,Культуры.Информация,7,FALSE),VLOOKUP(Исходн.данные.!AH177,Культуры.Информация,5,FALSE)/100*($GX$6+$GY$6*Исходн.данные.!M177))))*Расчет2!AI177</f>
        <v>#N/A</v>
      </c>
      <c r="HA177" s="211"/>
      <c r="HB177" s="211"/>
      <c r="HC177" s="55" t="e">
        <f>(IF(Исходн.данные.!O177&lt;80,0.2*VLOOKUP(Исходн.данные.!AH177,Культуры.Информация,8,FALSE),IF(Исходн.данные.!O177&gt;240,0.09*VLOOKUP(Исходн.данные.!AH177,Культуры.Информация,8,FALSE),VLOOKUP(Исходн.данные.!AH177,Культуры.Информация,6,FALSE)/100*($HB$6+$HC$6*Исходн.данные.!O177))))*Расчет2!AJ177</f>
        <v>#N/A</v>
      </c>
      <c r="HD177" s="55">
        <f>IF(Исходн.данные.!O177&gt;240,0.09,IF(Исходн.данные.!O177&lt;30,0.3,$HE$10+$HD$10*Исходн.данные.!O177))</f>
        <v>0.3</v>
      </c>
      <c r="HE177" s="55">
        <f>IF(Исходн.данные.!O177&gt;240,0.17,IF(Исходн.данные.!O177&lt;30,0.5,$HF$12+$HE$12*Исходн.данные.!O177))</f>
        <v>0.5</v>
      </c>
      <c r="HF177" s="55" t="e">
        <f>VLOOKUP(Исходн.данные.!AH177,Справ!$A$3:$D$58,2,FALSE)</f>
        <v>#N/A</v>
      </c>
      <c r="HG177" s="55" t="e">
        <f>VLOOKUP(Исходн.данные.!AH177,Справ!$A$3:$D$58,3,FALSE)</f>
        <v>#N/A</v>
      </c>
      <c r="HH177" s="55" t="e">
        <f>VLOOKUP(Исходн.данные.!AH177,Справ!$A$3:$D$58,4,FALSE)</f>
        <v>#N/A</v>
      </c>
      <c r="HI177" s="11" t="e">
        <f t="shared" si="265"/>
        <v>#N/A</v>
      </c>
      <c r="HJ177" s="11" t="e">
        <f t="shared" si="266"/>
        <v>#N/A</v>
      </c>
      <c r="HK177" s="11" t="e">
        <f t="shared" si="267"/>
        <v>#N/A</v>
      </c>
      <c r="HL177" s="55">
        <f>IF(OR(Исходн.данные.!G177="Глин",Исходн.данные.!G177="Т_суг"),1.1,IF(Исходн.данные.!G177="Ср_суг",1,1))</f>
        <v>1</v>
      </c>
      <c r="HM177" s="55">
        <f>IF(OR(Исходн.данные.!G177="Глин",Исходн.данные.!G177="Т_суг"),0.9,IF(Исходн.данные.!G177="Ср_суг",1,1.2))</f>
        <v>1.2</v>
      </c>
      <c r="HN177" s="11" t="e">
        <f t="shared" si="268"/>
        <v>#N/A</v>
      </c>
      <c r="HO177" s="11" t="e">
        <f t="shared" si="269"/>
        <v>#N/A</v>
      </c>
      <c r="HP177" s="11" t="e">
        <f t="shared" si="270"/>
        <v>#N/A</v>
      </c>
      <c r="HQ177" t="e">
        <f t="shared" si="271"/>
        <v>#N/A</v>
      </c>
      <c r="HR177" t="e">
        <f t="shared" si="272"/>
        <v>#N/A</v>
      </c>
      <c r="HS177" t="e">
        <f t="shared" si="273"/>
        <v>#N/A</v>
      </c>
      <c r="HT177" t="e">
        <f t="shared" si="219"/>
        <v>#N/A</v>
      </c>
      <c r="HU177" t="e">
        <f t="shared" si="220"/>
        <v>#N/A</v>
      </c>
      <c r="HV177" t="e">
        <f t="shared" si="221"/>
        <v>#N/A</v>
      </c>
      <c r="HW177" t="e">
        <f t="shared" si="222"/>
        <v>#N/A</v>
      </c>
      <c r="HX177" t="e">
        <f t="shared" si="223"/>
        <v>#N/A</v>
      </c>
      <c r="HY177" t="e">
        <f t="shared" si="224"/>
        <v>#N/A</v>
      </c>
      <c r="HZ177" s="55">
        <f>IF(OR(Исходн.данные.!AI177="Оз_Ч_П",Исходн.данные.!AI177="Оз_З_П",Исходн.данные.!AI177="Яр_зер"),12,30)</f>
        <v>30</v>
      </c>
      <c r="IA177" t="e">
        <f t="shared" si="274"/>
        <v>#N/A</v>
      </c>
      <c r="IB177" t="e">
        <f t="shared" si="275"/>
        <v>#N/A</v>
      </c>
      <c r="IC177" t="e">
        <f t="shared" si="276"/>
        <v>#N/A</v>
      </c>
      <c r="ID177" s="11" t="e">
        <f t="shared" si="277"/>
        <v>#N/A</v>
      </c>
      <c r="IE177" s="11" t="e">
        <f t="shared" si="278"/>
        <v>#N/A</v>
      </c>
      <c r="IF177" s="11" t="e">
        <f t="shared" si="279"/>
        <v>#N/A</v>
      </c>
    </row>
    <row r="178" spans="35:240" x14ac:dyDescent="0.2">
      <c r="AI178">
        <f>IF(Исходн.данные.!I178&gt;6,1,1.85-(0.148*Исходн.данные.!I178))</f>
        <v>1.85</v>
      </c>
      <c r="AJ178">
        <f>IF(Исходн.данные.!I178&gt;6,1,2.434-(0.246*Исходн.данные.!I178))</f>
        <v>2.4340000000000002</v>
      </c>
      <c r="AL178" s="148" t="b">
        <f>IF(Исходн.данные.!$P178="Ум",N_OrgUd_2g_um,IF(Исходн.данные.!$P178="Об",N_OrgUd_2g_ob))</f>
        <v>0</v>
      </c>
      <c r="AM178" s="148" t="b">
        <f>IF(Исходн.данные.!$P178="Ум",P_OrgUd_2g_um,IF(Исходн.данные.!$P178="Об",P_OrgUd_2g_ob))</f>
        <v>0</v>
      </c>
      <c r="AN178" s="148" t="b">
        <f>IF(Исходн.данные.!$P178="Ум",K_OrgUd_2g_um,IF(Исходн.данные.!$P178="Об",K_OrgUd_2g_ob))</f>
        <v>0</v>
      </c>
      <c r="AO178" s="148" t="b">
        <f>IF(Исходн.данные.!$P178="Ум",N_OrgUd_1g_um,IF(Исходн.данные.!$P178="Об",N_OrgUd_1g_ob))</f>
        <v>0</v>
      </c>
      <c r="AP178" s="148" t="b">
        <f>IF(Исходн.данные.!$P178="Ум",P_OrgUd_1g_um,IF(Исходн.данные.!$P178="Об",P_OrgUd_1g_ob))</f>
        <v>0</v>
      </c>
      <c r="AQ178" s="148" t="b">
        <f>IF(Исходн.данные.!$P178="Ум",K_OrgUd_1g_um,IF(Исходн.данные.!$P178="Об",K_OrgUd_1g_ob))</f>
        <v>0</v>
      </c>
      <c r="AR178" t="b">
        <f>IF(Исходн.данные.!$P178="Ум",N_MinUd_2g_um,IF(Исходн.данные.!$P178="Об",N_MinUd_2g_ob))</f>
        <v>0</v>
      </c>
      <c r="AS178" t="b">
        <f>IF(Исходн.данные.!$P178="Ум",P_MinUd_2g_um,IF(Исходн.данные.!$P178="Об",P_MinUd_2g_ob))</f>
        <v>0</v>
      </c>
      <c r="AT178" t="b">
        <f>IF(Исходн.данные.!$P178="Ум",K_MinUd_2g_um,IF(Исходн.данные.!$P178="Об",K_MinUd_2g_ob))</f>
        <v>0</v>
      </c>
      <c r="AU178" t="b">
        <f>IF(Исходн.данные.!$P178="Ум",N_MinUd_1g_um,IF(Исходн.данные.!$P178="Об",N_MinUd_1g_ob))</f>
        <v>0</v>
      </c>
      <c r="AV178" t="b">
        <f>IF(Исходн.данные.!P178="Ум",P_MinUd_1g_um,IF(Исходн.данные.!P178="Об",P_MinUd_1g_ob))</f>
        <v>0</v>
      </c>
      <c r="AW178" t="b">
        <f>IF(Исходн.данные.!P178="Ум",K_MinUd_1g_um,IF(Исходн.данные.!P178="Об",K_MinUd_1g_ob))</f>
        <v>0</v>
      </c>
      <c r="AY178" t="e">
        <f>VLOOKUP(Исходн.данные.!T178,Справ!$A$3:$N$57,12)</f>
        <v>#N/A</v>
      </c>
      <c r="AZ178" t="e">
        <f>VLOOKUP(Исходн.данные.!T178,Справ!$A$3:$N$57,13)</f>
        <v>#N/A</v>
      </c>
      <c r="BA178" t="e">
        <f>VLOOKUP(Исходн.данные.!T178,Справ!$A$3:$N$57,14)</f>
        <v>#N/A</v>
      </c>
      <c r="BB178">
        <f>IF(Исходн.данные.!AH178=0,0,25)</f>
        <v>0</v>
      </c>
      <c r="BC178" s="141">
        <f>IF(Исходн.данные.!AH178=0,0,IF(Исходн.данные.!T178=0,25,BD178))</f>
        <v>0</v>
      </c>
      <c r="BD178" s="168" t="e">
        <f>AY178+AZ178*Исходн.данные.!U178-POWER(BA178,2)*Исходн.данные.!U178</f>
        <v>#N/A</v>
      </c>
      <c r="BE17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8" s="25">
        <f>IF(Исходн.данные.!AH178=0,0,MIN(HN178:HP178))</f>
        <v>0</v>
      </c>
      <c r="BG178" s="9">
        <f>IF(Исходн.данные.!AH178=0,0,IF((HO178+10*0.25/HG178/HL178)&lt;17,17,HO178+10*0.25/HG178/HL178))</f>
        <v>0</v>
      </c>
      <c r="BH178" s="181">
        <f>IF(Исходн.данные.!AH178=0,0,HW178*HF178*HL178/AU178*AI178+Исходн.данные.!S178*10)</f>
        <v>0</v>
      </c>
      <c r="BI178" s="10"/>
      <c r="BJ178" s="182">
        <f>IF(Исходн.данные.!AH178=0,0,IF(HX178*HG178*HL178/AV178&lt;0,0,HX178*HG178*HL178/AV178*AJ178))</f>
        <v>0</v>
      </c>
      <c r="BK178" s="182">
        <f>IF(Исходн.данные.!AH178=0,0,HY178*HH178*HM178/AW178)</f>
        <v>0</v>
      </c>
      <c r="BL178" s="10">
        <f>IF(OR(Исходн.данные.!$AH178=$BP$1,Исходн.данные.!$AH178=$BP$2),0,IF(BH178&lt;0,0,IF(OR(Исходн.данные.!T178=Расчет!$BP$1,Исходн.данные.!T178=Расчет!$BP$2,Исходн.данные.!T178=Расчет!$BT$5,Исходн.данные.!T178=Расчет!$BT$6),BH178*0.5,IF(OR(Исходн.данные.!T178=Расчет!$BS$9,Исходн.данные.!T178=Расчет!$BS$10,Исходн.данные.!T178=Расчет!$BS$11,Исходн.данные.!T178=Расчет!$BS$12,Исходн.данные.!T178=Расчет!$BP$5),BH178*0.8,BH178))))</f>
        <v>0</v>
      </c>
      <c r="BM178" s="10">
        <f>IF(OR(Исходн.данные.!$AH178=$BP$1,Исходн.данные.!$AH178=$BP$2),0,IF(BJ178&lt;0,0,IF(Исходн.данные.!I178&lt;4.5,BJ178*1.2,IF(Исходн.данные.!I178&gt;5.1,BJ178,BJ178*((5.1-Исходн.данные.!I178)*0.333+1)))))</f>
        <v>0</v>
      </c>
      <c r="BN178" s="10">
        <f>IF(OR(Исходн.данные.!$AH178=$BP$1,Исходн.данные.!$AH178=$BP$2),60-Исходн.данные.!AF178,IF(BK178&lt;0,0,IF(Исходн.данные.!I178&lt;4.5,BK178*1.2,IF(Исходн.данные.!I178&gt;5.1,BK178,BK178*((5.1-Исходн.данные.!I178)*0.333+1)))))</f>
        <v>0</v>
      </c>
      <c r="BO178" s="9">
        <f>IF(BL178&lt;0,0,BL178*Исходн.данные.!$AJ178/1000)</f>
        <v>0</v>
      </c>
      <c r="BP178" s="9">
        <f>IF(BM178&lt;0,0,BM178*Исходн.данные.!$AJ178/1000)</f>
        <v>0</v>
      </c>
      <c r="BQ178" s="9">
        <f>IF(BN178&lt;0,0,BN178*Исходн.данные.!$AJ178/1000)</f>
        <v>0</v>
      </c>
      <c r="BR178" s="9">
        <f t="shared" si="229"/>
        <v>0</v>
      </c>
      <c r="BS178" s="10" t="str">
        <f t="shared" si="230"/>
        <v>Аммофос 12:52:00</v>
      </c>
      <c r="BT178" s="10" t="str">
        <f t="shared" si="231"/>
        <v>Аммофос 12:52:00</v>
      </c>
      <c r="BU178" s="10" t="str">
        <f t="shared" si="232"/>
        <v>Диаммофоска</v>
      </c>
      <c r="BV178" s="10">
        <f t="shared" si="233"/>
        <v>0</v>
      </c>
      <c r="BW178" s="10"/>
      <c r="BX178" s="10"/>
      <c r="BY178" s="9">
        <f>IF(BL178&lt;0,0,IF(OR(Исходн.данные.!AI178=Расчет!$BU$6,Исходн.данные.!AI178=Расчет!$BU$7),Расчет!BV178,IF(Исходн.данные.!$AG178=$BV$11,BL178,IF(OR(Исходн.данные.!$AH178=$BQ$7,Исходн.данные.!$AH178=$BQ$8),CB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0,IF(Исходн.данные.!$AI178=$BU$11,"Нет",IF(BL178&gt;30,30,BL178)))))))</f>
        <v>0</v>
      </c>
      <c r="BZ178" s="9">
        <f>IF(AND(Исходн.данные.!$AG178=$BV$11,BM178&lt;10),10,IF(Исходн.данные.!$AG178=$BV$11,BM178,IF(OR(Исходн.данные.!$AH178=$BQ$7,Исходн.данные.!$AH178=$BQ$8),CC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10,IF(Исходн.данные.!$AI178=$BU$11,"Нет",IF(BM178&gt;60,60,IF(BM178&lt;10,10,BM178)))))))</f>
        <v>10</v>
      </c>
      <c r="CA178" s="39">
        <f>IF(BN178&lt;0,0,IF(Исходн.данные.!$AG178=$BV$11,BN178,IF(OR(Исходн.данные.!$AH178=$BQ$7,Исходн.данные.!$AH178=$BQ$8),CD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0,IF(Исходн.данные.!$AI178=$BU$11,"Нет",IF(BN178&gt;30,30,BN178))))))</f>
        <v>0</v>
      </c>
      <c r="CB178" s="9">
        <f t="shared" si="234"/>
        <v>0</v>
      </c>
      <c r="CC178" s="9">
        <f t="shared" si="235"/>
        <v>0</v>
      </c>
      <c r="CD178" s="9">
        <f t="shared" si="236"/>
        <v>0</v>
      </c>
      <c r="CE178" s="12">
        <f t="shared" si="237"/>
        <v>10</v>
      </c>
      <c r="CF178" s="9">
        <f t="shared" si="238"/>
        <v>0</v>
      </c>
      <c r="CG178" s="9" t="s">
        <v>231</v>
      </c>
      <c r="CH178" s="132" t="str">
        <f>IF(Исходн.данные.!AP178=Расчет!$CI$16,"Нет",IF(Исходн.данные.!AL178&gt;0,Исходн.данные.!AL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BH$4,IF(OR(Исходн.данные.!AI178=Исходн.данные.!$AI$6,Исходн.данные.!AI178=Исходн.данные.!$AI$7),Расчет!BS178,IF(AND($CF178=0,$CE178&gt;0),EV178,ER178)))))</f>
        <v>Аммофос 12:52:00</v>
      </c>
      <c r="CI178" s="274">
        <f>IF(Расчет!$CH178="Нет","Нет",IF(Исходн.данные.!$AL178&gt;0,VLOOKUP(Расчет!$CH178,АшламаДВ_Irekle,2,FALSE),VLOOKUP(Расчет!$CH178,АшламаДВ_Gomumy,2,FALSE)))</f>
        <v>0.12</v>
      </c>
      <c r="CJ178" s="274">
        <f>IF(Расчет!$CH178="Нет","Нет",IF(Исходн.данные.!$AL178&gt;0,VLOOKUP(Расчет!$CH178,АшламаДВ_Irekle,3,FALSE),VLOOKUP(Расчет!$CH178,АшламаДВ_Gomumy,3,FALSE)))</f>
        <v>0.52</v>
      </c>
      <c r="CK178" s="274">
        <f>IF(Расчет!$CH178="Нет","Нет",IF(Исходн.данные.!$AL178&gt;0,VLOOKUP(Расчет!$CH178,АшламаДВ_Irekle,4,FALSE),VLOOKUP(Расчет!$CH178,АшламаДВ_Gomumy,4,FALSE)))</f>
        <v>0</v>
      </c>
      <c r="CL178" s="70"/>
      <c r="CM178" s="70"/>
      <c r="CN178" s="70"/>
      <c r="CO178" s="70"/>
      <c r="CP178" s="70"/>
      <c r="CQ178" s="70"/>
      <c r="CR178" s="10">
        <f t="shared" si="239"/>
        <v>0</v>
      </c>
      <c r="CS178" s="10">
        <f t="shared" si="240"/>
        <v>19.23076923076923</v>
      </c>
      <c r="CT178" s="10">
        <f t="shared" si="241"/>
        <v>0</v>
      </c>
      <c r="CU178" s="39">
        <f>IF($CH178="Нет",0,IF(CI178=0,30/MIN(CJ178:CK178),IF(Исходн.данные.!$AG178=$BV$11,CR178,IF(OR(Исходн.данные.!$AH178=$BQ$7,Исходн.данные.!$AH178=$BQ$8),90/CI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0,IF(Исходн.данные.!$AI178=$BU$11,"Нет",30/CI178))))))</f>
        <v>250</v>
      </c>
      <c r="CV178" s="39">
        <f>IF($CH178="Нет",0,IF(Исходн.данные.!AH178=0,0,IF(CJ178=0,60/MIN(CI178,CK178),IF(Исходн.данные.!$AG178=$BV$11,CS178,IF(OR(Исходн.данные.!$AH178=$BQ$7,Исходн.данные.!$AH178=$BQ$8),90/CJ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10/CJ178,IF(Исходн.данные.!$AI178=$BU$11,"Нет",60/CJ178)))))))</f>
        <v>0</v>
      </c>
      <c r="CW178" s="39">
        <f>IF($CH178="Нет",0,IF(Исходн.данные.!AH178=0,0,IF(CK178=0,30/MIN(CI178:CJ178),IF(Исходн.данные.!$AG178=$BV$11,CT178,IF(OR(Исходн.данные.!$AH178=$BQ$7,Исходн.данные.!$AH178=$BQ$8),90/CK178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0,IF(Исходн.данные.!$AI178=$BU$11,"Нет",30/CK178)))))))</f>
        <v>0</v>
      </c>
      <c r="CX178" s="133">
        <f>IF(Исходн.данные.!$AG178=$BV$11,MAX(CU178:CW178),IF(OR(Исходн.данные.!$AH178=$BS$8,Исходн.данные.!$AH178=$BQ$9,Исходн.данные.!$AH178=$BQ$10,Исходн.данные.!$AH178=$BQ$11,Исходн.данные.!$AH178=$BQ$12,Исходн.данные.!$AH178=$BP$3,Исходн.данные.!$AH178=$BT$8,$FM178="Да"),CV178,MIN(CU178:CW178)))</f>
        <v>0</v>
      </c>
      <c r="CY178" s="133">
        <f>IF(Исходн.данные.!AH178=0,0,IF(CR178&gt;$CX178,$CX178,CR178))</f>
        <v>0</v>
      </c>
      <c r="CZ178" s="133">
        <f>IF(Исходн.данные.!AH178=0,0,IF(CS178&gt;$CX178,$CX178,CS178))</f>
        <v>0</v>
      </c>
      <c r="DA178" s="133">
        <f>IF(Исходн.данные.!AH178=0,0,IF(CT178&gt;$CX178,$CX178,CT178))</f>
        <v>0</v>
      </c>
      <c r="DB178" s="10">
        <f t="shared" si="242"/>
        <v>0</v>
      </c>
      <c r="DC178" s="39">
        <f>DB178*Исходн.данные.!AJ178/1000</f>
        <v>0</v>
      </c>
      <c r="DD178" s="71">
        <f t="shared" si="243"/>
        <v>0</v>
      </c>
      <c r="DE178" s="9">
        <f t="shared" si="244"/>
        <v>0</v>
      </c>
      <c r="DF178" s="9">
        <f t="shared" si="245"/>
        <v>0</v>
      </c>
      <c r="DG178" s="39">
        <f>IF(BL178&lt;0,0,IF($CH178="Нет",BL178,IF(OR(Исходн.данные.!$AH178=$BP$1,Исходн.данные.!$AH178=$BP$2),0,IF(Исходн.данные.!AI178=$BU$11,BL178,IF(BL178-DD178&lt;0,0,BL178-DD178)))))</f>
        <v>0</v>
      </c>
      <c r="DH178" s="39">
        <f>IF(BM178&lt;0,0,IF($CH178="Нет",BM178,IF(OR(Исходн.данные.!$AH178=$BP$1,Исходн.данные.!$AH178=$BP$2),0,IF(Исходн.данные.!AJ178=$BU$11,BM178,IF(BM178-DE178&lt;0,0,BM178-DE178)))))</f>
        <v>0</v>
      </c>
      <c r="DI178" s="39">
        <f>IF(BN178&lt;0,0,IF($CH178="Нет",BN178,IF(OR(Исходн.данные.!$AH178=$BP$1,Исходн.данные.!$AH178=$BP$2),0,IF(Исходн.данные.!AK178=$BU$11,BN178,IF(BN178-DF178&lt;0,0,BN178-DF178)))))</f>
        <v>0</v>
      </c>
      <c r="DJ178" s="12">
        <f t="shared" si="246"/>
        <v>0</v>
      </c>
      <c r="DK178" s="9">
        <f t="shared" si="247"/>
        <v>0</v>
      </c>
      <c r="DL178" s="39">
        <f>IF(Исходн.данные.!AM178&gt;0,Исходн.данные.!AM178,IF(EG178&gt;0,$BH$10,0))</f>
        <v>0</v>
      </c>
      <c r="DM178" s="186">
        <f>IF($DL178=0,0,IF(Исходн.данные.!AM178&gt;0,VLOOKUP($DL178,АшламаДВ_Irekle,2,FALSE),VLOOKUP($DL178,АшламаДВ_Gomumy,2,FALSE)))</f>
        <v>0</v>
      </c>
      <c r="DN178" s="10">
        <f t="shared" si="225"/>
        <v>0</v>
      </c>
      <c r="DO178" s="9" t="str">
        <f>IF(Исходн.данные.!AN178&gt;0,Исходн.данные.!AN178,Удобрения!$B$37 )</f>
        <v>Хлор.калий</v>
      </c>
      <c r="DP178" s="9">
        <f>IF(Исходн.данные.!AN178&gt;0,VLOOKUP(Исходн.данные.!AN178,АшламаДВ_Irekle,4,FALSE),VLOOKUP(DO178,АшламаДВ_Gomumy,4,FALSE))</f>
        <v>0.6</v>
      </c>
      <c r="DQ178" s="10">
        <f t="shared" si="226"/>
        <v>0</v>
      </c>
      <c r="DR178" s="132" t="str">
        <f>IF(Исходн.данные.!AO178&gt;0,Исходн.данные.!AO178,IF(DH178=0,BS$17,IF(AND($DK178=0,$DJ178&gt;0),EJ178,EN178)))</f>
        <v>Нет</v>
      </c>
      <c r="DS178" s="70" t="str">
        <f>IF($DR178="Нет","Нет",IF(Исходн.данные.!$AO178&gt;0,VLOOKUP($DR178,АшламаДВ_Irekle,2,FALSE),VLOOKUP($DR178,АшламаДВ_Gomumy,2,FALSE)))</f>
        <v>Нет</v>
      </c>
      <c r="DT178" s="70" t="str">
        <f>IF($DR178="Нет","Нет",IF(Исходн.данные.!$AO178&gt;0,VLOOKUP($DR178,АшламаДВ_Irekle,3,FALSE),VLOOKUP($DR178,АшламаДВ_Gomumy,3,FALSE)))</f>
        <v>Нет</v>
      </c>
      <c r="DU178" s="70" t="str">
        <f>IF($DR178="Нет","Нет",IF(Исходн.данные.!$AO178&gt;0,VLOOKUP($DR178,АшламаДВ_Irekle,4,FALSE),VLOOKUP($DR178,АшламаДВ_Gomumy,4,FALSE)))</f>
        <v>Нет</v>
      </c>
      <c r="DV178" s="70"/>
      <c r="DW178" s="70"/>
      <c r="DX178" s="70"/>
      <c r="DY178" s="10">
        <f t="shared" si="248"/>
        <v>0</v>
      </c>
      <c r="DZ178" s="10">
        <f t="shared" si="249"/>
        <v>0</v>
      </c>
      <c r="EA178" s="10">
        <f t="shared" si="250"/>
        <v>0</v>
      </c>
      <c r="EB178" s="10">
        <f t="shared" si="251"/>
        <v>0</v>
      </c>
      <c r="EC178" s="10">
        <f t="shared" si="252"/>
        <v>0</v>
      </c>
      <c r="ED178" s="10">
        <f t="shared" si="253"/>
        <v>0</v>
      </c>
      <c r="EE178" s="10">
        <f t="shared" si="254"/>
        <v>0</v>
      </c>
      <c r="EF178" s="39">
        <f>EB178*Исходн.данные.!AJ178/1000</f>
        <v>0</v>
      </c>
      <c r="EG178" s="9">
        <f t="shared" si="255"/>
        <v>0</v>
      </c>
      <c r="EH178" s="9">
        <f t="shared" si="256"/>
        <v>0</v>
      </c>
      <c r="EI178" s="39" t="e">
        <f t="shared" si="206"/>
        <v>#DIV/0!</v>
      </c>
      <c r="EJ178" s="9" t="str">
        <f t="shared" si="227"/>
        <v>Азопреципитат</v>
      </c>
      <c r="EK178" s="12">
        <f t="shared" si="207"/>
        <v>0.26</v>
      </c>
      <c r="EL178" s="12">
        <f t="shared" si="208"/>
        <v>0.13</v>
      </c>
      <c r="EM178" s="12">
        <f t="shared" si="209"/>
        <v>0</v>
      </c>
      <c r="EN178" s="12" t="str">
        <f t="shared" si="228"/>
        <v>Нет</v>
      </c>
      <c r="EO178" s="12">
        <f t="shared" si="210"/>
        <v>0</v>
      </c>
      <c r="EP178" s="12">
        <f t="shared" si="211"/>
        <v>0</v>
      </c>
      <c r="EQ178" s="12">
        <f t="shared" si="212"/>
        <v>0</v>
      </c>
      <c r="ER178" s="12" t="str">
        <f t="shared" si="257"/>
        <v>Диаммофоска</v>
      </c>
      <c r="ES178" s="12">
        <f t="shared" si="213"/>
        <v>0.1</v>
      </c>
      <c r="ET178" s="12">
        <f t="shared" si="214"/>
        <v>0.26</v>
      </c>
      <c r="EU178" s="12">
        <f t="shared" si="215"/>
        <v>0.26</v>
      </c>
      <c r="EV178" s="12" t="str">
        <f t="shared" si="258"/>
        <v>Аммофос 12:52:00</v>
      </c>
      <c r="EW178" s="12" t="str">
        <f t="shared" si="259"/>
        <v>Кемира Свекловичное-6</v>
      </c>
      <c r="EX178" s="12">
        <f t="shared" si="216"/>
        <v>0.16</v>
      </c>
      <c r="EY178" s="12">
        <f t="shared" si="217"/>
        <v>0.12</v>
      </c>
      <c r="EZ178" s="12">
        <f t="shared" si="218"/>
        <v>0.17</v>
      </c>
      <c r="FA178" s="38" t="e">
        <f>IF(AND(OR(FJ178=$FD$1,FM178=$FD$1,FO178=$FD$1,FQ178=$FD$1,FS178=$FD$1),FD178=$FD$1,Исходн.данные.!J178&lt;2,FU178=$FD$1),"Бор,Кобальт",IF(AND(FO178=$FD$1,FH178=$FD$1,Исходн.данные.!J178&lt;2,FU178=$FD$1),"Бор,Кобальт",IF(AND(OR(FJ178=$FD$1,FM178=$FD$1,FQ178=$FD$1),FE178=$FD$1,Исходн.данные.!J178&lt;2,FT178=$FD$1,FU178=$FD$1),"Бор,Медь,Цинк",IF(AND(OR(FJ178=$FD$1,FR178="Да"),FI178="Да",Исходн.данные.!J178&lt;2,FT178="Да",FU178="Да"),"Бор,Цинк,Медь",IF(AND(OR(FM178="Да",FQ178="Да"),FI178="Да",Исходн.данные.!J178&lt;2,FT178="Да",FU178="Да"),"Бор,Цинк",IF(AND(FN178="Да",OR(FD178="Да",FE178="Да")),"Бор",FB178))))))</f>
        <v>#N/A</v>
      </c>
      <c r="FB178" s="134" t="e">
        <f>IF(AND(OR(FD178="Да",FE178="Да",FF178="Да",FG178="Да",FH178="Да"),FO178="Да"),"Бор",IF(AND(FP178="Да",OR(FD178="Да",FE178="Да",FI178="Да")),"Бор",IF(AND(FS178="Да",FE178="Да"),"Бор,Медь",IF(AND(OR(FJ178="Да",FK178="Да",FL178="Да"),FE178="Да",Исходн.данные.!I178&lt;5,FT178="Да",FU178="Да"),"Молибден,Цинк",IF(AND(FM178="Да",OR(FE178="Да",FF178="Да",FG178="Да",FH178="Да",FI178="Да")),"Молибден,Цинк",IF(AND(OR(FJ178="Да",FK178="Да",FL178="Да",FM178="Да",FQ178="Да"),OR(FE178="Да",FF178="Да"),FT178="Да",FU178="Да",Исходн.данные.!I178&gt;5.5),"Медь,Цинк",FC178))))))</f>
        <v>#N/A</v>
      </c>
      <c r="FC178" s="23" t="e">
        <f t="shared" si="260"/>
        <v>#N/A</v>
      </c>
      <c r="FD178" s="38" t="str">
        <f>IF(OR(Исходн.данные.!F178=$CC$1,Исходн.данные.!F178=$CC$2,Исходн.данные.!F178=$CC$3,Исходн.данные.!F178=$CC$4),"Да","Нет")</f>
        <v>Нет</v>
      </c>
      <c r="FE178" s="38" t="str">
        <f>IF(Исходн.данные.!F178=$CC$5,"Да","Нет")</f>
        <v>Нет</v>
      </c>
      <c r="FF178" s="38" t="str">
        <f>IF(OR(Исходн.данные.!F178=$CC$6,Исходн.данные.!F178=$CC$7),"Да","Нет")</f>
        <v>Нет</v>
      </c>
      <c r="FG178" s="38" t="str">
        <f>IF(OR(Исходн.данные.!F178=$CC$8,Исходн.данные.!F178=$CC$9),"Да","Нет")</f>
        <v>Нет</v>
      </c>
      <c r="FH178" s="38" t="str">
        <f>IF(Исходн.данные.!F178=$CC$10,"Да","Нет")</f>
        <v>Нет</v>
      </c>
      <c r="FI178" s="38" t="str">
        <f>IF(OR(Исходн.данные.!F178=$CC$11,Исходн.данные.!F178=$CC$12),"Да","Нет")</f>
        <v>Нет</v>
      </c>
      <c r="FJ178" s="38" t="str">
        <f>IF(OR(Исходн.данные.!AH178=$BS$1,Исходн.данные.!AH178=$BQ$11,Исходн.данные.!AH178=$BQ$12),"Да","Нет")</f>
        <v>Нет</v>
      </c>
      <c r="FK178" s="38" t="str">
        <f>IF(OR(Исходн.данные.!AH178=$BS$2,Исходн.данные.!AH178=$BS$4),"Да","Нет")</f>
        <v>Нет</v>
      </c>
      <c r="FL178" s="38" t="str">
        <f>IF(OR(Исходн.данные.!AH178=$BS$3,Исходн.данные.!AH178=$BS$5),"Да","Нет")</f>
        <v>Нет</v>
      </c>
      <c r="FM178" s="38" t="str">
        <f>IF(OR(Исходн.данные.!AH178=$BS$9,Исходн.данные.!AH178=$BS$10,Исходн.данные.!AH178=$BS$11,Исходн.данные.!AH178=$BS$12),"Да","Нет")</f>
        <v>Нет</v>
      </c>
      <c r="FN178" s="38" t="str">
        <f>IF(OR(Исходн.данные.!AH178=$BS$6,Исходн.данные.!AH178=$BP$3),"Да","Нет")</f>
        <v>Нет</v>
      </c>
      <c r="FO178" s="38" t="str">
        <f>IF(Исходн.данные.!AH178=$BQ$9,"Да","Нет")</f>
        <v>Нет</v>
      </c>
      <c r="FP178" s="38" t="str">
        <f>IF(OR(Исходн.данные.!AH178=$BS$8,Исходн.данные.!AH178=$BT$8),"Да","Нет")</f>
        <v>Нет</v>
      </c>
      <c r="FQ178" s="38" t="str">
        <f>IF(OR(Исходн.данные.!AH178=$BQ$7,Исходн.данные.!AH178=$BQ$8),"Да","Нет")</f>
        <v>Нет</v>
      </c>
      <c r="FR178" s="38" t="str">
        <f>IF(Исходн.данные.!AI178=$BU$9,"Да","Нет")</f>
        <v>Нет</v>
      </c>
      <c r="FS178" s="38" t="str">
        <f>IF(OR(Исходн.данные.!AH178=$BP$1,Исходн.данные.!AH178=$BP$2),"Да","Нет")</f>
        <v>Нет</v>
      </c>
      <c r="FT178" s="38" t="e">
        <f>IF((Исходн.данные.!K178*GO178*GS178*GW178+BL178*0.6+Исходн.данные.!Q178*4.5*0.275)&gt;90,"Да","Нет")</f>
        <v>#N/A</v>
      </c>
      <c r="FU178" s="38" t="e">
        <f>IF((Исходн.данные.!M178*GS178*GZ178+BM178*0.225)&gt;35,"Да","Нет")</f>
        <v>#N/A</v>
      </c>
      <c r="FV178" s="38" t="str">
        <f>IF(Исходн.данные.!O178&gt;175,"Да","Нет")</f>
        <v>Нет</v>
      </c>
      <c r="FW178" s="39" t="str">
        <f>IF(Исходн.данные.!I178&gt;5.5,"Да","Нет")</f>
        <v>Нет</v>
      </c>
      <c r="FX178" s="39" t="str">
        <f>IF(Исходн.данные.!J178&lt;2,"Да","Нет")</f>
        <v>Да</v>
      </c>
      <c r="FY178" s="39" t="e">
        <f>IF(HF178=$FY$16,0,Исходн.данные.!K178*GO178*GS178*GW178/HF178)</f>
        <v>#N/A</v>
      </c>
      <c r="FZ178" s="39" t="e">
        <f>Исходн.данные.!M178*GS178*GZ178/HG178</f>
        <v>#N/A</v>
      </c>
      <c r="GA178" s="39" t="e">
        <f>IF(K_Wyn=$FY$16,0,IF(Исходн.данные.!N178=Исходн.данные.!$L$10,Исходн.данные.!O178/1.1*GS178*HC178/HH178,IF(Исходн.данные.!N178=Исходн.данные.!$L$12,Исходн.данные.!O178/1.5*GS178*HC178/HH178,Исходн.данные.!O178*GS178*HC178/HH178)))</f>
        <v>#N/A</v>
      </c>
      <c r="GB178" s="39" t="e">
        <f>IF(HF178=$FY$16,0,((Исходн.данные.!Q178*N_Org+Исходн.данные.!R178*N_Sider+Исходн.данные.!S178*N_Soloma)*AO178+Расчет!BC178*VLOOKUP(Исходн.данные.!T178,Справ!$A$3:$O$57,15)*AO178+BB178*VLOOKUP(Исходн.данные.!T178,Справ!$A$3:$O$57,15)*AL178+(Исходн.данные.!V178*N_Rizotorf+Исходн.данные.!W178*N_Rizoagr))/HF178)</f>
        <v>#N/A</v>
      </c>
      <c r="GC178" s="39" t="e">
        <f>IF(HG178=$FY$16,0,((Исходн.данные.!Q178*Р_Org+Исходн.данные.!R178*P_Sider+Исходн.данные.!S178*P_Soloma)*AP178+Расчет!BC178*VLOOKUP(Исходн.данные.!T178,Справ!$A$3:$P$57,16)*AP178+BB178*VLOOKUP(Исходн.данные.!T178,Справ!$A$3:$P$57,16)*AM178)/HG178)</f>
        <v>#N/A</v>
      </c>
      <c r="GD178" s="39" t="e">
        <f>IF(HH178=$FY$16,0,((Исходн.данные.!Q178*К_Org+Исходн.данные.!R178*K_Sider+Исходн.данные.!S178*K_Soloma)*AQ178+Расчет!BC178*VLOOKUP(Исходн.данные.!T178,Справ!$A$3:$Q$57,17)*AQ178+BB178*VLOOKUP(Исходн.данные.!T178,Справ!$A$3:$Q$57,17)*AN178)/HH178)</f>
        <v>#N/A</v>
      </c>
      <c r="GE178" s="39" t="e">
        <f>IF(HF178=$FY$16,0,(Исходн.данные.!X178*AR178+Исходн.данные.!AA178*N_Org*AL178+Исходн.данные.!AB178*N_Sider*AL178+Исходн.данные.!AC178*N_Soloma*AL178)/HF178)</f>
        <v>#N/A</v>
      </c>
      <c r="GF178" s="39" t="e">
        <f>IF(HG178=$FY$16,0,(Исходн.данные.!Y178*AS178+Исходн.данные.!AA178*Р_Org*AM178+Исходн.данные.!AB178*P_Sider*AM178+Исходн.данные.!AC178*P_Soloma*AM178)/HG178)</f>
        <v>#N/A</v>
      </c>
      <c r="GG178" s="39" t="e">
        <f>IF(HH178=$FY$16,0,(Исходн.данные.!Z178*AT178+Исходн.данные.!AA178*К_Org*AN178+Исходн.данные.!AB178*K_Sider*AN178+Исходн.данные.!AC178*K_Soloma*AN178)/HH178)</f>
        <v>#N/A</v>
      </c>
      <c r="GH178" s="39" t="e">
        <f>Исходн.данные.!AD178*AU178/HF178</f>
        <v>#N/A</v>
      </c>
      <c r="GI178" s="39" t="e">
        <f>Исходн.данные.!AE178*AV178/HG178</f>
        <v>#N/A</v>
      </c>
      <c r="GJ178" s="39" t="e">
        <f>Исходн.данные.!AF178*AW178/HH178</f>
        <v>#N/A</v>
      </c>
      <c r="GK178" s="55">
        <f>Исходн.данные.!AK178</f>
        <v>0</v>
      </c>
      <c r="GL178" s="11" t="e">
        <f t="shared" si="261"/>
        <v>#N/A</v>
      </c>
      <c r="GM178" s="11" t="e">
        <f t="shared" si="262"/>
        <v>#N/A</v>
      </c>
      <c r="GN178" s="11" t="e">
        <f t="shared" si="263"/>
        <v>#N/A</v>
      </c>
      <c r="GO178" s="57">
        <f t="shared" si="264"/>
        <v>19</v>
      </c>
      <c r="GP178" s="55">
        <f>IF(OR(Исходн.данные.!F178=$CE$1,Исходн.данные.!F178=$CE$2,Исходн.данные.!F178=$CE$3,Исходн.данные.!F178=$CE$4,Исходн.данные.!F178=$CE$5),GQ178,GR178)</f>
        <v>19</v>
      </c>
      <c r="GQ178" s="55">
        <f>IF(Исходн.данные.!F178=$CE$1,28,IF(Исходн.данные.!F178=$CE$2,26,IF(Исходн.данные.!F178=$CE$3,24,IF(Исходн.данные.!F178=$CE$4,22,IF(Исходн.данные.!F178=$CE$5,20,GR178)))))</f>
        <v>19</v>
      </c>
      <c r="GR178" s="55">
        <f>IF(Исходн.данные.!F178=$CE$6,18,IF(Исходн.данные.!F178=$CE$7,16,IF(Исходн.данные.!F178=$CE$8,14,IF(Исходн.данные.!F178=$CE$9,13,IF(Исходн.данные.!F178=$CE$10,12,19)))))</f>
        <v>19</v>
      </c>
      <c r="GS178" s="55">
        <f>IF(Исходн.данные.!G178="Пес",0.035*(40+2*Исходн.данные.!H178),IF(Исходн.данные.!G178="Суп",0.0325*(40+2*Исходн.данные.!H178),0.03*(40+2*Исходн.данные.!H178)))</f>
        <v>1.2</v>
      </c>
      <c r="GT178" s="55">
        <f>IF(Исходн.данные.!H178&lt;23,2.6,IF(AND(Исходн.данные.!H178&gt;22,Исходн.данные.!H178&lt;26),3,IF(AND(Исходн.данные.!H178&gt;25,Исходн.данные.!H178&lt;29),3.4,3.6)))</f>
        <v>2.6</v>
      </c>
      <c r="GU178" s="55">
        <f>IF(Исходн.данные.!H178&lt;23,2.8,IF(AND(Исходн.данные.!H178&gt;22,Исходн.данные.!H178&lt;26),3.2,IF(AND(Исходн.данные.!H178&gt;25,Исходн.данные.!H178&lt;29),3.6,3.9)))</f>
        <v>2.8</v>
      </c>
      <c r="GV178" s="55">
        <f>IF(Исходн.данные.!H178&lt;23,3,IF(AND(Исходн.данные.!H178&gt;22,Исходн.данные.!H178&lt;26),3.5,IF(AND(Исходн.данные.!H178&gt;25,Исходн.данные.!H178&lt;29),3.9,4.2)))</f>
        <v>3</v>
      </c>
      <c r="GW178" s="55" t="e">
        <f>IF(Исходн.данные.!P178="Ум",GX178,GY178)</f>
        <v>#N/A</v>
      </c>
      <c r="GX178" s="55" t="e">
        <f>VLOOKUP(Исходн.данные.!AI178,Коэффициенты!$J$7:$L$13,2,FALSE)</f>
        <v>#N/A</v>
      </c>
      <c r="GY178" s="55" t="e">
        <f>VLOOKUP(Исходн.данные.!AI178,Коэффициенты!$J$7:$L$13,3,FALSE)</f>
        <v>#N/A</v>
      </c>
      <c r="GZ178" s="55" t="e">
        <f>(IF(Исходн.данные.!M178&lt;50,0.11*VLOOKUP(Исходн.данные.!AH178,Культуры.Информация,7,FALSE),IF(Исходн.данные.!M178&gt;250,0.05*VLOOKUP(Исходн.данные.!AH178,Культуры.Информация,7,FALSE),VLOOKUP(Исходн.данные.!AH178,Культуры.Информация,5,FALSE)/100*($GX$6+$GY$6*Исходн.данные.!M178))))*Расчет2!AI178</f>
        <v>#N/A</v>
      </c>
      <c r="HA178" s="211"/>
      <c r="HB178" s="211"/>
      <c r="HC178" s="55" t="e">
        <f>(IF(Исходн.данные.!O178&lt;80,0.2*VLOOKUP(Исходн.данные.!AH178,Культуры.Информация,8,FALSE),IF(Исходн.данные.!O178&gt;240,0.09*VLOOKUP(Исходн.данные.!AH178,Культуры.Информация,8,FALSE),VLOOKUP(Исходн.данные.!AH178,Культуры.Информация,6,FALSE)/100*($HB$6+$HC$6*Исходн.данные.!O178))))*Расчет2!AJ178</f>
        <v>#N/A</v>
      </c>
      <c r="HD178" s="55">
        <f>IF(Исходн.данные.!O178&gt;240,0.09,IF(Исходн.данные.!O178&lt;30,0.3,$HE$10+$HD$10*Исходн.данные.!O178))</f>
        <v>0.3</v>
      </c>
      <c r="HE178" s="55">
        <f>IF(Исходн.данные.!O178&gt;240,0.17,IF(Исходн.данные.!O178&lt;30,0.5,$HF$12+$HE$12*Исходн.данные.!O178))</f>
        <v>0.5</v>
      </c>
      <c r="HF178" s="55" t="e">
        <f>VLOOKUP(Исходн.данные.!AH178,Справ!$A$3:$D$58,2,FALSE)</f>
        <v>#N/A</v>
      </c>
      <c r="HG178" s="55" t="e">
        <f>VLOOKUP(Исходн.данные.!AH178,Справ!$A$3:$D$58,3,FALSE)</f>
        <v>#N/A</v>
      </c>
      <c r="HH178" s="55" t="e">
        <f>VLOOKUP(Исходн.данные.!AH178,Справ!$A$3:$D$58,4,FALSE)</f>
        <v>#N/A</v>
      </c>
      <c r="HI178" s="11" t="e">
        <f t="shared" si="265"/>
        <v>#N/A</v>
      </c>
      <c r="HJ178" s="11" t="e">
        <f t="shared" si="266"/>
        <v>#N/A</v>
      </c>
      <c r="HK178" s="11" t="e">
        <f t="shared" si="267"/>
        <v>#N/A</v>
      </c>
      <c r="HL178" s="55">
        <f>IF(OR(Исходн.данные.!G178="Глин",Исходн.данные.!G178="Т_суг"),1.1,IF(Исходн.данные.!G178="Ср_суг",1,1))</f>
        <v>1</v>
      </c>
      <c r="HM178" s="55">
        <f>IF(OR(Исходн.данные.!G178="Глин",Исходн.данные.!G178="Т_суг"),0.9,IF(Исходн.данные.!G178="Ср_суг",1,1.2))</f>
        <v>1.2</v>
      </c>
      <c r="HN178" s="11" t="e">
        <f t="shared" si="268"/>
        <v>#N/A</v>
      </c>
      <c r="HO178" s="11" t="e">
        <f t="shared" si="269"/>
        <v>#N/A</v>
      </c>
      <c r="HP178" s="11" t="e">
        <f t="shared" si="270"/>
        <v>#N/A</v>
      </c>
      <c r="HQ178" t="e">
        <f t="shared" si="271"/>
        <v>#N/A</v>
      </c>
      <c r="HR178" t="e">
        <f t="shared" si="272"/>
        <v>#N/A</v>
      </c>
      <c r="HS178" t="e">
        <f t="shared" si="273"/>
        <v>#N/A</v>
      </c>
      <c r="HT178" t="e">
        <f t="shared" si="219"/>
        <v>#N/A</v>
      </c>
      <c r="HU178" t="e">
        <f t="shared" si="220"/>
        <v>#N/A</v>
      </c>
      <c r="HV178" t="e">
        <f t="shared" si="221"/>
        <v>#N/A</v>
      </c>
      <c r="HW178" t="e">
        <f t="shared" si="222"/>
        <v>#N/A</v>
      </c>
      <c r="HX178" t="e">
        <f t="shared" si="223"/>
        <v>#N/A</v>
      </c>
      <c r="HY178" t="e">
        <f t="shared" si="224"/>
        <v>#N/A</v>
      </c>
      <c r="HZ178" s="55">
        <f>IF(OR(Исходн.данные.!AI178="Оз_Ч_П",Исходн.данные.!AI178="Оз_З_П",Исходн.данные.!AI178="Яр_зер"),12,30)</f>
        <v>30</v>
      </c>
      <c r="IA178" t="e">
        <f t="shared" si="274"/>
        <v>#N/A</v>
      </c>
      <c r="IB178" t="e">
        <f t="shared" si="275"/>
        <v>#N/A</v>
      </c>
      <c r="IC178" t="e">
        <f t="shared" si="276"/>
        <v>#N/A</v>
      </c>
      <c r="ID178" s="11" t="e">
        <f t="shared" si="277"/>
        <v>#N/A</v>
      </c>
      <c r="IE178" s="11" t="e">
        <f t="shared" si="278"/>
        <v>#N/A</v>
      </c>
      <c r="IF178" s="11" t="e">
        <f t="shared" si="279"/>
        <v>#N/A</v>
      </c>
    </row>
    <row r="179" spans="35:240" x14ac:dyDescent="0.2">
      <c r="AI179">
        <f>IF(Исходн.данные.!I179&gt;6,1,1.85-(0.148*Исходн.данные.!I179))</f>
        <v>1.85</v>
      </c>
      <c r="AJ179">
        <f>IF(Исходн.данные.!I179&gt;6,1,2.434-(0.246*Исходн.данные.!I179))</f>
        <v>2.4340000000000002</v>
      </c>
      <c r="AL179" s="148" t="b">
        <f>IF(Исходн.данные.!$P179="Ум",N_OrgUd_2g_um,IF(Исходн.данные.!$P179="Об",N_OrgUd_2g_ob))</f>
        <v>0</v>
      </c>
      <c r="AM179" s="148" t="b">
        <f>IF(Исходн.данные.!$P179="Ум",P_OrgUd_2g_um,IF(Исходн.данные.!$P179="Об",P_OrgUd_2g_ob))</f>
        <v>0</v>
      </c>
      <c r="AN179" s="148" t="b">
        <f>IF(Исходн.данные.!$P179="Ум",K_OrgUd_2g_um,IF(Исходн.данные.!$P179="Об",K_OrgUd_2g_ob))</f>
        <v>0</v>
      </c>
      <c r="AO179" s="148" t="b">
        <f>IF(Исходн.данные.!$P179="Ум",N_OrgUd_1g_um,IF(Исходн.данные.!$P179="Об",N_OrgUd_1g_ob))</f>
        <v>0</v>
      </c>
      <c r="AP179" s="148" t="b">
        <f>IF(Исходн.данные.!$P179="Ум",P_OrgUd_1g_um,IF(Исходн.данные.!$P179="Об",P_OrgUd_1g_ob))</f>
        <v>0</v>
      </c>
      <c r="AQ179" s="148" t="b">
        <f>IF(Исходн.данные.!$P179="Ум",K_OrgUd_1g_um,IF(Исходн.данные.!$P179="Об",K_OrgUd_1g_ob))</f>
        <v>0</v>
      </c>
      <c r="AR179" t="b">
        <f>IF(Исходн.данные.!$P179="Ум",N_MinUd_2g_um,IF(Исходн.данные.!$P179="Об",N_MinUd_2g_ob))</f>
        <v>0</v>
      </c>
      <c r="AS179" t="b">
        <f>IF(Исходн.данные.!$P179="Ум",P_MinUd_2g_um,IF(Исходн.данные.!$P179="Об",P_MinUd_2g_ob))</f>
        <v>0</v>
      </c>
      <c r="AT179" t="b">
        <f>IF(Исходн.данные.!$P179="Ум",K_MinUd_2g_um,IF(Исходн.данные.!$P179="Об",K_MinUd_2g_ob))</f>
        <v>0</v>
      </c>
      <c r="AU179" t="b">
        <f>IF(Исходн.данные.!$P179="Ум",N_MinUd_1g_um,IF(Исходн.данные.!$P179="Об",N_MinUd_1g_ob))</f>
        <v>0</v>
      </c>
      <c r="AV179" t="b">
        <f>IF(Исходн.данные.!P179="Ум",P_MinUd_1g_um,IF(Исходн.данные.!P179="Об",P_MinUd_1g_ob))</f>
        <v>0</v>
      </c>
      <c r="AW179" t="b">
        <f>IF(Исходн.данные.!P179="Ум",K_MinUd_1g_um,IF(Исходн.данные.!P179="Об",K_MinUd_1g_ob))</f>
        <v>0</v>
      </c>
      <c r="AY179" t="e">
        <f>VLOOKUP(Исходн.данные.!T179,Справ!$A$3:$N$57,12)</f>
        <v>#N/A</v>
      </c>
      <c r="AZ179" t="e">
        <f>VLOOKUP(Исходн.данные.!T179,Справ!$A$3:$N$57,13)</f>
        <v>#N/A</v>
      </c>
      <c r="BA179" t="e">
        <f>VLOOKUP(Исходн.данные.!T179,Справ!$A$3:$N$57,14)</f>
        <v>#N/A</v>
      </c>
      <c r="BB179">
        <f>IF(Исходн.данные.!AH179=0,0,25)</f>
        <v>0</v>
      </c>
      <c r="BC179" s="141">
        <f>IF(Исходн.данные.!AH179=0,0,IF(Исходн.данные.!T179=0,25,BD179))</f>
        <v>0</v>
      </c>
      <c r="BD179" s="168" t="e">
        <f>AY179+AZ179*Исходн.данные.!U179-POWER(BA179,2)*Исходн.данные.!U179</f>
        <v>#N/A</v>
      </c>
      <c r="BE17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79" s="25">
        <f>IF(Исходн.данные.!AH179=0,0,MIN(HN179:HP179))</f>
        <v>0</v>
      </c>
      <c r="BG179" s="9">
        <f>IF(Исходн.данные.!AH179=0,0,IF((HO179+10*0.25/HG179/HL179)&lt;17,17,HO179+10*0.25/HG179/HL179))</f>
        <v>0</v>
      </c>
      <c r="BH179" s="181">
        <f>IF(Исходн.данные.!AH179=0,0,HW179*HF179*HL179/AU179*AI179+Исходн.данные.!S179*10)</f>
        <v>0</v>
      </c>
      <c r="BI179" s="10"/>
      <c r="BJ179" s="182">
        <f>IF(Исходн.данные.!AH179=0,0,IF(HX179*HG179*HL179/AV179&lt;0,0,HX179*HG179*HL179/AV179*AJ179))</f>
        <v>0</v>
      </c>
      <c r="BK179" s="182">
        <f>IF(Исходн.данные.!AH179=0,0,HY179*HH179*HM179/AW179)</f>
        <v>0</v>
      </c>
      <c r="BL179" s="10">
        <f>IF(OR(Исходн.данные.!$AH179=$BP$1,Исходн.данные.!$AH179=$BP$2),0,IF(BH179&lt;0,0,IF(OR(Исходн.данные.!T179=Расчет!$BP$1,Исходн.данные.!T179=Расчет!$BP$2,Исходн.данные.!T179=Расчет!$BT$5,Исходн.данные.!T179=Расчет!$BT$6),BH179*0.5,IF(OR(Исходн.данные.!T179=Расчет!$BS$9,Исходн.данные.!T179=Расчет!$BS$10,Исходн.данные.!T179=Расчет!$BS$11,Исходн.данные.!T179=Расчет!$BS$12,Исходн.данные.!T179=Расчет!$BP$5),BH179*0.8,BH179))))</f>
        <v>0</v>
      </c>
      <c r="BM179" s="10">
        <f>IF(OR(Исходн.данные.!$AH179=$BP$1,Исходн.данные.!$AH179=$BP$2),0,IF(BJ179&lt;0,0,IF(Исходн.данные.!I179&lt;4.5,BJ179*1.2,IF(Исходн.данные.!I179&gt;5.1,BJ179,BJ179*((5.1-Исходн.данные.!I179)*0.333+1)))))</f>
        <v>0</v>
      </c>
      <c r="BN179" s="10">
        <f>IF(OR(Исходн.данные.!$AH179=$BP$1,Исходн.данные.!$AH179=$BP$2),60-Исходн.данные.!AF179,IF(BK179&lt;0,0,IF(Исходн.данные.!I179&lt;4.5,BK179*1.2,IF(Исходн.данные.!I179&gt;5.1,BK179,BK179*((5.1-Исходн.данные.!I179)*0.333+1)))))</f>
        <v>0</v>
      </c>
      <c r="BO179" s="9">
        <f>IF(BL179&lt;0,0,BL179*Исходн.данные.!$AJ179/1000)</f>
        <v>0</v>
      </c>
      <c r="BP179" s="9">
        <f>IF(BM179&lt;0,0,BM179*Исходн.данные.!$AJ179/1000)</f>
        <v>0</v>
      </c>
      <c r="BQ179" s="9">
        <f>IF(BN179&lt;0,0,BN179*Исходн.данные.!$AJ179/1000)</f>
        <v>0</v>
      </c>
      <c r="BR179" s="9">
        <f t="shared" si="229"/>
        <v>0</v>
      </c>
      <c r="BS179" s="10" t="str">
        <f t="shared" si="230"/>
        <v>Аммофос 12:52:00</v>
      </c>
      <c r="BT179" s="10" t="str">
        <f t="shared" si="231"/>
        <v>Аммофос 12:52:00</v>
      </c>
      <c r="BU179" s="10" t="str">
        <f t="shared" si="232"/>
        <v>Диаммофоска</v>
      </c>
      <c r="BV179" s="10">
        <f t="shared" si="233"/>
        <v>0</v>
      </c>
      <c r="BW179" s="10"/>
      <c r="BX179" s="10"/>
      <c r="BY179" s="9">
        <f>IF(BL179&lt;0,0,IF(OR(Исходн.данные.!AI179=Расчет!$BU$6,Исходн.данные.!AI179=Расчет!$BU$7),Расчет!BV179,IF(Исходн.данные.!$AG179=$BV$11,BL179,IF(OR(Исходн.данные.!$AH179=$BQ$7,Исходн.данные.!$AH179=$BQ$8),CB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0,IF(Исходн.данные.!$AI179=$BU$11,"Нет",IF(BL179&gt;30,30,BL179)))))))</f>
        <v>0</v>
      </c>
      <c r="BZ179" s="9">
        <f>IF(AND(Исходн.данные.!$AG179=$BV$11,BM179&lt;10),10,IF(Исходн.данные.!$AG179=$BV$11,BM179,IF(OR(Исходн.данные.!$AH179=$BQ$7,Исходн.данные.!$AH179=$BQ$8),CC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10,IF(Исходн.данные.!$AI179=$BU$11,"Нет",IF(BM179&gt;60,60,IF(BM179&lt;10,10,BM179)))))))</f>
        <v>10</v>
      </c>
      <c r="CA179" s="39">
        <f>IF(BN179&lt;0,0,IF(Исходн.данные.!$AG179=$BV$11,BN179,IF(OR(Исходн.данные.!$AH179=$BQ$7,Исходн.данные.!$AH179=$BQ$8),CD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0,IF(Исходн.данные.!$AI179=$BU$11,"Нет",IF(BN179&gt;30,30,BN179))))))</f>
        <v>0</v>
      </c>
      <c r="CB179" s="9">
        <f t="shared" si="234"/>
        <v>0</v>
      </c>
      <c r="CC179" s="9">
        <f t="shared" si="235"/>
        <v>0</v>
      </c>
      <c r="CD179" s="9">
        <f t="shared" si="236"/>
        <v>0</v>
      </c>
      <c r="CE179" s="12">
        <f t="shared" si="237"/>
        <v>10</v>
      </c>
      <c r="CF179" s="9">
        <f t="shared" si="238"/>
        <v>0</v>
      </c>
      <c r="CG179" s="9" t="s">
        <v>231</v>
      </c>
      <c r="CH179" s="132" t="str">
        <f>IF(Исходн.данные.!AP179=Расчет!$CI$16,"Нет",IF(Исходн.данные.!AL179&gt;0,Исходн.данные.!AL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BH$4,IF(OR(Исходн.данные.!AI179=Исходн.данные.!$AI$6,Исходн.данные.!AI179=Исходн.данные.!$AI$7),Расчет!BS179,IF(AND($CF179=0,$CE179&gt;0),EV179,ER179)))))</f>
        <v>Аммофос 12:52:00</v>
      </c>
      <c r="CI179" s="274">
        <f>IF(Расчет!$CH179="Нет","Нет",IF(Исходн.данные.!$AL179&gt;0,VLOOKUP(Расчет!$CH179,АшламаДВ_Irekle,2,FALSE),VLOOKUP(Расчет!$CH179,АшламаДВ_Gomumy,2,FALSE)))</f>
        <v>0.12</v>
      </c>
      <c r="CJ179" s="274">
        <f>IF(Расчет!$CH179="Нет","Нет",IF(Исходн.данные.!$AL179&gt;0,VLOOKUP(Расчет!$CH179,АшламаДВ_Irekle,3,FALSE),VLOOKUP(Расчет!$CH179,АшламаДВ_Gomumy,3,FALSE)))</f>
        <v>0.52</v>
      </c>
      <c r="CK179" s="274">
        <f>IF(Расчет!$CH179="Нет","Нет",IF(Исходн.данные.!$AL179&gt;0,VLOOKUP(Расчет!$CH179,АшламаДВ_Irekle,4,FALSE),VLOOKUP(Расчет!$CH179,АшламаДВ_Gomumy,4,FALSE)))</f>
        <v>0</v>
      </c>
      <c r="CL179" s="70"/>
      <c r="CM179" s="70"/>
      <c r="CN179" s="70"/>
      <c r="CO179" s="70"/>
      <c r="CP179" s="70"/>
      <c r="CQ179" s="70"/>
      <c r="CR179" s="10">
        <f t="shared" si="239"/>
        <v>0</v>
      </c>
      <c r="CS179" s="10">
        <f t="shared" si="240"/>
        <v>19.23076923076923</v>
      </c>
      <c r="CT179" s="10">
        <f t="shared" si="241"/>
        <v>0</v>
      </c>
      <c r="CU179" s="39">
        <f>IF($CH179="Нет",0,IF(CI179=0,30/MIN(CJ179:CK179),IF(Исходн.данные.!$AG179=$BV$11,CR179,IF(OR(Исходн.данные.!$AH179=$BQ$7,Исходн.данные.!$AH179=$BQ$8),90/CI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0,IF(Исходн.данные.!$AI179=$BU$11,"Нет",30/CI179))))))</f>
        <v>250</v>
      </c>
      <c r="CV179" s="39">
        <f>IF($CH179="Нет",0,IF(Исходн.данные.!AH179=0,0,IF(CJ179=0,60/MIN(CI179,CK179),IF(Исходн.данные.!$AG179=$BV$11,CS179,IF(OR(Исходн.данные.!$AH179=$BQ$7,Исходн.данные.!$AH179=$BQ$8),90/CJ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10/CJ179,IF(Исходн.данные.!$AI179=$BU$11,"Нет",60/CJ179)))))))</f>
        <v>0</v>
      </c>
      <c r="CW179" s="39">
        <f>IF($CH179="Нет",0,IF(Исходн.данные.!AH179=0,0,IF(CK179=0,30/MIN(CI179:CJ179),IF(Исходн.данные.!$AG179=$BV$11,CT179,IF(OR(Исходн.данные.!$AH179=$BQ$7,Исходн.данные.!$AH179=$BQ$8),90/CK179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0,IF(Исходн.данные.!$AI179=$BU$11,"Нет",30/CK179)))))))</f>
        <v>0</v>
      </c>
      <c r="CX179" s="133">
        <f>IF(Исходн.данные.!$AG179=$BV$11,MAX(CU179:CW179),IF(OR(Исходн.данные.!$AH179=$BS$8,Исходн.данные.!$AH179=$BQ$9,Исходн.данные.!$AH179=$BQ$10,Исходн.данные.!$AH179=$BQ$11,Исходн.данные.!$AH179=$BQ$12,Исходн.данные.!$AH179=$BP$3,Исходн.данные.!$AH179=$BT$8,$FM179="Да"),CV179,MIN(CU179:CW179)))</f>
        <v>0</v>
      </c>
      <c r="CY179" s="133">
        <f>IF(Исходн.данные.!AH179=0,0,IF(CR179&gt;$CX179,$CX179,CR179))</f>
        <v>0</v>
      </c>
      <c r="CZ179" s="133">
        <f>IF(Исходн.данные.!AH179=0,0,IF(CS179&gt;$CX179,$CX179,CS179))</f>
        <v>0</v>
      </c>
      <c r="DA179" s="133">
        <f>IF(Исходн.данные.!AH179=0,0,IF(CT179&gt;$CX179,$CX179,CT179))</f>
        <v>0</v>
      </c>
      <c r="DB179" s="10">
        <f t="shared" si="242"/>
        <v>0</v>
      </c>
      <c r="DC179" s="39">
        <f>DB179*Исходн.данные.!AJ179/1000</f>
        <v>0</v>
      </c>
      <c r="DD179" s="71">
        <f t="shared" si="243"/>
        <v>0</v>
      </c>
      <c r="DE179" s="9">
        <f t="shared" si="244"/>
        <v>0</v>
      </c>
      <c r="DF179" s="9">
        <f t="shared" si="245"/>
        <v>0</v>
      </c>
      <c r="DG179" s="39">
        <f>IF(BL179&lt;0,0,IF($CH179="Нет",BL179,IF(OR(Исходн.данные.!$AH179=$BP$1,Исходн.данные.!$AH179=$BP$2),0,IF(Исходн.данные.!AI179=$BU$11,BL179,IF(BL179-DD179&lt;0,0,BL179-DD179)))))</f>
        <v>0</v>
      </c>
      <c r="DH179" s="39">
        <f>IF(BM179&lt;0,0,IF($CH179="Нет",BM179,IF(OR(Исходн.данные.!$AH179=$BP$1,Исходн.данные.!$AH179=$BP$2),0,IF(Исходн.данные.!AJ179=$BU$11,BM179,IF(BM179-DE179&lt;0,0,BM179-DE179)))))</f>
        <v>0</v>
      </c>
      <c r="DI179" s="39">
        <f>IF(BN179&lt;0,0,IF($CH179="Нет",BN179,IF(OR(Исходн.данные.!$AH179=$BP$1,Исходн.данные.!$AH179=$BP$2),0,IF(Исходн.данные.!AK179=$BU$11,BN179,IF(BN179-DF179&lt;0,0,BN179-DF179)))))</f>
        <v>0</v>
      </c>
      <c r="DJ179" s="12">
        <f t="shared" si="246"/>
        <v>0</v>
      </c>
      <c r="DK179" s="9">
        <f t="shared" si="247"/>
        <v>0</v>
      </c>
      <c r="DL179" s="39">
        <f>IF(Исходн.данные.!AM179&gt;0,Исходн.данные.!AM179,IF(EG179&gt;0,$BH$10,0))</f>
        <v>0</v>
      </c>
      <c r="DM179" s="186">
        <f>IF($DL179=0,0,IF(Исходн.данные.!AM179&gt;0,VLOOKUP($DL179,АшламаДВ_Irekle,2,FALSE),VLOOKUP($DL179,АшламаДВ_Gomumy,2,FALSE)))</f>
        <v>0</v>
      </c>
      <c r="DN179" s="10">
        <f t="shared" si="225"/>
        <v>0</v>
      </c>
      <c r="DO179" s="9" t="str">
        <f>IF(Исходн.данные.!AN179&gt;0,Исходн.данные.!AN179,Удобрения!$B$37 )</f>
        <v>Хлор.калий</v>
      </c>
      <c r="DP179" s="9">
        <f>IF(Исходн.данные.!AN179&gt;0,VLOOKUP(Исходн.данные.!AN179,АшламаДВ_Irekle,4,FALSE),VLOOKUP(DO179,АшламаДВ_Gomumy,4,FALSE))</f>
        <v>0.6</v>
      </c>
      <c r="DQ179" s="10">
        <f t="shared" si="226"/>
        <v>0</v>
      </c>
      <c r="DR179" s="132" t="str">
        <f>IF(Исходн.данные.!AO179&gt;0,Исходн.данные.!AO179,IF(DH179=0,BS$17,IF(AND($DK179=0,$DJ179&gt;0),EJ179,EN179)))</f>
        <v>Нет</v>
      </c>
      <c r="DS179" s="70" t="str">
        <f>IF($DR179="Нет","Нет",IF(Исходн.данные.!$AO179&gt;0,VLOOKUP($DR179,АшламаДВ_Irekle,2,FALSE),VLOOKUP($DR179,АшламаДВ_Gomumy,2,FALSE)))</f>
        <v>Нет</v>
      </c>
      <c r="DT179" s="70" t="str">
        <f>IF($DR179="Нет","Нет",IF(Исходн.данные.!$AO179&gt;0,VLOOKUP($DR179,АшламаДВ_Irekle,3,FALSE),VLOOKUP($DR179,АшламаДВ_Gomumy,3,FALSE)))</f>
        <v>Нет</v>
      </c>
      <c r="DU179" s="70" t="str">
        <f>IF($DR179="Нет","Нет",IF(Исходн.данные.!$AO179&gt;0,VLOOKUP($DR179,АшламаДВ_Irekle,4,FALSE),VLOOKUP($DR179,АшламаДВ_Gomumy,4,FALSE)))</f>
        <v>Нет</v>
      </c>
      <c r="DV179" s="70"/>
      <c r="DW179" s="70"/>
      <c r="DX179" s="70"/>
      <c r="DY179" s="10">
        <f t="shared" si="248"/>
        <v>0</v>
      </c>
      <c r="DZ179" s="10">
        <f t="shared" si="249"/>
        <v>0</v>
      </c>
      <c r="EA179" s="10">
        <f t="shared" si="250"/>
        <v>0</v>
      </c>
      <c r="EB179" s="10">
        <f t="shared" si="251"/>
        <v>0</v>
      </c>
      <c r="EC179" s="10">
        <f t="shared" si="252"/>
        <v>0</v>
      </c>
      <c r="ED179" s="10">
        <f t="shared" si="253"/>
        <v>0</v>
      </c>
      <c r="EE179" s="10">
        <f t="shared" si="254"/>
        <v>0</v>
      </c>
      <c r="EF179" s="39">
        <f>EB179*Исходн.данные.!AJ179/1000</f>
        <v>0</v>
      </c>
      <c r="EG179" s="9">
        <f t="shared" si="255"/>
        <v>0</v>
      </c>
      <c r="EH179" s="9">
        <f t="shared" si="256"/>
        <v>0</v>
      </c>
      <c r="EI179" s="39" t="e">
        <f t="shared" si="206"/>
        <v>#DIV/0!</v>
      </c>
      <c r="EJ179" s="9" t="str">
        <f t="shared" si="227"/>
        <v>Азопреципитат</v>
      </c>
      <c r="EK179" s="12">
        <f t="shared" si="207"/>
        <v>0.26</v>
      </c>
      <c r="EL179" s="12">
        <f t="shared" si="208"/>
        <v>0.13</v>
      </c>
      <c r="EM179" s="12">
        <f t="shared" si="209"/>
        <v>0</v>
      </c>
      <c r="EN179" s="12" t="str">
        <f t="shared" si="228"/>
        <v>Нет</v>
      </c>
      <c r="EO179" s="12">
        <f t="shared" si="210"/>
        <v>0</v>
      </c>
      <c r="EP179" s="12">
        <f t="shared" si="211"/>
        <v>0</v>
      </c>
      <c r="EQ179" s="12">
        <f t="shared" si="212"/>
        <v>0</v>
      </c>
      <c r="ER179" s="12" t="str">
        <f t="shared" si="257"/>
        <v>Диаммофоска</v>
      </c>
      <c r="ES179" s="12">
        <f t="shared" si="213"/>
        <v>0.1</v>
      </c>
      <c r="ET179" s="12">
        <f t="shared" si="214"/>
        <v>0.26</v>
      </c>
      <c r="EU179" s="12">
        <f t="shared" si="215"/>
        <v>0.26</v>
      </c>
      <c r="EV179" s="12" t="str">
        <f t="shared" si="258"/>
        <v>Аммофос 12:52:00</v>
      </c>
      <c r="EW179" s="12" t="str">
        <f t="shared" si="259"/>
        <v>Кемира Свекловичное-6</v>
      </c>
      <c r="EX179" s="12">
        <f t="shared" si="216"/>
        <v>0.16</v>
      </c>
      <c r="EY179" s="12">
        <f t="shared" si="217"/>
        <v>0.12</v>
      </c>
      <c r="EZ179" s="12">
        <f t="shared" si="218"/>
        <v>0.17</v>
      </c>
      <c r="FA179" s="38" t="e">
        <f>IF(AND(OR(FJ179=$FD$1,FM179=$FD$1,FO179=$FD$1,FQ179=$FD$1,FS179=$FD$1),FD179=$FD$1,Исходн.данные.!J179&lt;2,FU179=$FD$1),"Бор,Кобальт",IF(AND(FO179=$FD$1,FH179=$FD$1,Исходн.данные.!J179&lt;2,FU179=$FD$1),"Бор,Кобальт",IF(AND(OR(FJ179=$FD$1,FM179=$FD$1,FQ179=$FD$1),FE179=$FD$1,Исходн.данные.!J179&lt;2,FT179=$FD$1,FU179=$FD$1),"Бор,Медь,Цинк",IF(AND(OR(FJ179=$FD$1,FR179="Да"),FI179="Да",Исходн.данные.!J179&lt;2,FT179="Да",FU179="Да"),"Бор,Цинк,Медь",IF(AND(OR(FM179="Да",FQ179="Да"),FI179="Да",Исходн.данные.!J179&lt;2,FT179="Да",FU179="Да"),"Бор,Цинк",IF(AND(FN179="Да",OR(FD179="Да",FE179="Да")),"Бор",FB179))))))</f>
        <v>#N/A</v>
      </c>
      <c r="FB179" s="134" t="e">
        <f>IF(AND(OR(FD179="Да",FE179="Да",FF179="Да",FG179="Да",FH179="Да"),FO179="Да"),"Бор",IF(AND(FP179="Да",OR(FD179="Да",FE179="Да",FI179="Да")),"Бор",IF(AND(FS179="Да",FE179="Да"),"Бор,Медь",IF(AND(OR(FJ179="Да",FK179="Да",FL179="Да"),FE179="Да",Исходн.данные.!I179&lt;5,FT179="Да",FU179="Да"),"Молибден,Цинк",IF(AND(FM179="Да",OR(FE179="Да",FF179="Да",FG179="Да",FH179="Да",FI179="Да")),"Молибден,Цинк",IF(AND(OR(FJ179="Да",FK179="Да",FL179="Да",FM179="Да",FQ179="Да"),OR(FE179="Да",FF179="Да"),FT179="Да",FU179="Да",Исходн.данные.!I179&gt;5.5),"Медь,Цинк",FC179))))))</f>
        <v>#N/A</v>
      </c>
      <c r="FC179" s="23" t="e">
        <f t="shared" si="260"/>
        <v>#N/A</v>
      </c>
      <c r="FD179" s="38" t="str">
        <f>IF(OR(Исходн.данные.!F179=$CC$1,Исходн.данные.!F179=$CC$2,Исходн.данные.!F179=$CC$3,Исходн.данные.!F179=$CC$4),"Да","Нет")</f>
        <v>Нет</v>
      </c>
      <c r="FE179" s="38" t="str">
        <f>IF(Исходн.данные.!F179=$CC$5,"Да","Нет")</f>
        <v>Нет</v>
      </c>
      <c r="FF179" s="38" t="str">
        <f>IF(OR(Исходн.данные.!F179=$CC$6,Исходн.данные.!F179=$CC$7),"Да","Нет")</f>
        <v>Нет</v>
      </c>
      <c r="FG179" s="38" t="str">
        <f>IF(OR(Исходн.данные.!F179=$CC$8,Исходн.данные.!F179=$CC$9),"Да","Нет")</f>
        <v>Нет</v>
      </c>
      <c r="FH179" s="38" t="str">
        <f>IF(Исходн.данные.!F179=$CC$10,"Да","Нет")</f>
        <v>Нет</v>
      </c>
      <c r="FI179" s="38" t="str">
        <f>IF(OR(Исходн.данные.!F179=$CC$11,Исходн.данные.!F179=$CC$12),"Да","Нет")</f>
        <v>Нет</v>
      </c>
      <c r="FJ179" s="38" t="str">
        <f>IF(OR(Исходн.данные.!AH179=$BS$1,Исходн.данные.!AH179=$BQ$11,Исходн.данные.!AH179=$BQ$12),"Да","Нет")</f>
        <v>Нет</v>
      </c>
      <c r="FK179" s="38" t="str">
        <f>IF(OR(Исходн.данные.!AH179=$BS$2,Исходн.данные.!AH179=$BS$4),"Да","Нет")</f>
        <v>Нет</v>
      </c>
      <c r="FL179" s="38" t="str">
        <f>IF(OR(Исходн.данные.!AH179=$BS$3,Исходн.данные.!AH179=$BS$5),"Да","Нет")</f>
        <v>Нет</v>
      </c>
      <c r="FM179" s="38" t="str">
        <f>IF(OR(Исходн.данные.!AH179=$BS$9,Исходн.данные.!AH179=$BS$10,Исходн.данные.!AH179=$BS$11,Исходн.данные.!AH179=$BS$12),"Да","Нет")</f>
        <v>Нет</v>
      </c>
      <c r="FN179" s="38" t="str">
        <f>IF(OR(Исходн.данные.!AH179=$BS$6,Исходн.данные.!AH179=$BP$3),"Да","Нет")</f>
        <v>Нет</v>
      </c>
      <c r="FO179" s="38" t="str">
        <f>IF(Исходн.данные.!AH179=$BQ$9,"Да","Нет")</f>
        <v>Нет</v>
      </c>
      <c r="FP179" s="38" t="str">
        <f>IF(OR(Исходн.данные.!AH179=$BS$8,Исходн.данные.!AH179=$BT$8),"Да","Нет")</f>
        <v>Нет</v>
      </c>
      <c r="FQ179" s="38" t="str">
        <f>IF(OR(Исходн.данные.!AH179=$BQ$7,Исходн.данные.!AH179=$BQ$8),"Да","Нет")</f>
        <v>Нет</v>
      </c>
      <c r="FR179" s="38" t="str">
        <f>IF(Исходн.данные.!AI179=$BU$9,"Да","Нет")</f>
        <v>Нет</v>
      </c>
      <c r="FS179" s="38" t="str">
        <f>IF(OR(Исходн.данные.!AH179=$BP$1,Исходн.данные.!AH179=$BP$2),"Да","Нет")</f>
        <v>Нет</v>
      </c>
      <c r="FT179" s="38" t="e">
        <f>IF((Исходн.данные.!K179*GO179*GS179*GW179+BL179*0.6+Исходн.данные.!Q179*4.5*0.275)&gt;90,"Да","Нет")</f>
        <v>#N/A</v>
      </c>
      <c r="FU179" s="38" t="e">
        <f>IF((Исходн.данные.!M179*GS179*GZ179+BM179*0.225)&gt;35,"Да","Нет")</f>
        <v>#N/A</v>
      </c>
      <c r="FV179" s="38" t="str">
        <f>IF(Исходн.данные.!O179&gt;175,"Да","Нет")</f>
        <v>Нет</v>
      </c>
      <c r="FW179" s="39" t="str">
        <f>IF(Исходн.данные.!I179&gt;5.5,"Да","Нет")</f>
        <v>Нет</v>
      </c>
      <c r="FX179" s="39" t="str">
        <f>IF(Исходн.данные.!J179&lt;2,"Да","Нет")</f>
        <v>Да</v>
      </c>
      <c r="FY179" s="39" t="e">
        <f>IF(HF179=$FY$16,0,Исходн.данные.!K179*GO179*GS179*GW179/HF179)</f>
        <v>#N/A</v>
      </c>
      <c r="FZ179" s="39" t="e">
        <f>Исходн.данные.!M179*GS179*GZ179/HG179</f>
        <v>#N/A</v>
      </c>
      <c r="GA179" s="39" t="e">
        <f>IF(K_Wyn=$FY$16,0,IF(Исходн.данные.!N179=Исходн.данные.!$L$10,Исходн.данные.!O179/1.1*GS179*HC179/HH179,IF(Исходн.данные.!N179=Исходн.данные.!$L$12,Исходн.данные.!O179/1.5*GS179*HC179/HH179,Исходн.данные.!O179*GS179*HC179/HH179)))</f>
        <v>#N/A</v>
      </c>
      <c r="GB179" s="39" t="e">
        <f>IF(HF179=$FY$16,0,((Исходн.данные.!Q179*N_Org+Исходн.данные.!R179*N_Sider+Исходн.данные.!S179*N_Soloma)*AO179+Расчет!BC179*VLOOKUP(Исходн.данные.!T179,Справ!$A$3:$O$57,15)*AO179+BB179*VLOOKUP(Исходн.данные.!T179,Справ!$A$3:$O$57,15)*AL179+(Исходн.данные.!V179*N_Rizotorf+Исходн.данные.!W179*N_Rizoagr))/HF179)</f>
        <v>#N/A</v>
      </c>
      <c r="GC179" s="39" t="e">
        <f>IF(HG179=$FY$16,0,((Исходн.данные.!Q179*Р_Org+Исходн.данные.!R179*P_Sider+Исходн.данные.!S179*P_Soloma)*AP179+Расчет!BC179*VLOOKUP(Исходн.данные.!T179,Справ!$A$3:$P$57,16)*AP179+BB179*VLOOKUP(Исходн.данные.!T179,Справ!$A$3:$P$57,16)*AM179)/HG179)</f>
        <v>#N/A</v>
      </c>
      <c r="GD179" s="39" t="e">
        <f>IF(HH179=$FY$16,0,((Исходн.данные.!Q179*К_Org+Исходн.данные.!R179*K_Sider+Исходн.данные.!S179*K_Soloma)*AQ179+Расчет!BC179*VLOOKUP(Исходн.данные.!T179,Справ!$A$3:$Q$57,17)*AQ179+BB179*VLOOKUP(Исходн.данные.!T179,Справ!$A$3:$Q$57,17)*AN179)/HH179)</f>
        <v>#N/A</v>
      </c>
      <c r="GE179" s="39" t="e">
        <f>IF(HF179=$FY$16,0,(Исходн.данные.!X179*AR179+Исходн.данные.!AA179*N_Org*AL179+Исходн.данные.!AB179*N_Sider*AL179+Исходн.данные.!AC179*N_Soloma*AL179)/HF179)</f>
        <v>#N/A</v>
      </c>
      <c r="GF179" s="39" t="e">
        <f>IF(HG179=$FY$16,0,(Исходн.данные.!Y179*AS179+Исходн.данные.!AA179*Р_Org*AM179+Исходн.данные.!AB179*P_Sider*AM179+Исходн.данные.!AC179*P_Soloma*AM179)/HG179)</f>
        <v>#N/A</v>
      </c>
      <c r="GG179" s="39" t="e">
        <f>IF(HH179=$FY$16,0,(Исходн.данные.!Z179*AT179+Исходн.данные.!AA179*К_Org*AN179+Исходн.данные.!AB179*K_Sider*AN179+Исходн.данные.!AC179*K_Soloma*AN179)/HH179)</f>
        <v>#N/A</v>
      </c>
      <c r="GH179" s="39" t="e">
        <f>Исходн.данные.!AD179*AU179/HF179</f>
        <v>#N/A</v>
      </c>
      <c r="GI179" s="39" t="e">
        <f>Исходн.данные.!AE179*AV179/HG179</f>
        <v>#N/A</v>
      </c>
      <c r="GJ179" s="39" t="e">
        <f>Исходн.данные.!AF179*AW179/HH179</f>
        <v>#N/A</v>
      </c>
      <c r="GK179" s="55">
        <f>Исходн.данные.!AK179</f>
        <v>0</v>
      </c>
      <c r="GL179" s="11" t="e">
        <f t="shared" si="261"/>
        <v>#N/A</v>
      </c>
      <c r="GM179" s="11" t="e">
        <f t="shared" si="262"/>
        <v>#N/A</v>
      </c>
      <c r="GN179" s="11" t="e">
        <f t="shared" si="263"/>
        <v>#N/A</v>
      </c>
      <c r="GO179" s="57">
        <f t="shared" si="264"/>
        <v>19</v>
      </c>
      <c r="GP179" s="55">
        <f>IF(OR(Исходн.данные.!F179=$CE$1,Исходн.данные.!F179=$CE$2,Исходн.данные.!F179=$CE$3,Исходн.данные.!F179=$CE$4,Исходн.данные.!F179=$CE$5),GQ179,GR179)</f>
        <v>19</v>
      </c>
      <c r="GQ179" s="55">
        <f>IF(Исходн.данные.!F179=$CE$1,28,IF(Исходн.данные.!F179=$CE$2,26,IF(Исходн.данные.!F179=$CE$3,24,IF(Исходн.данные.!F179=$CE$4,22,IF(Исходн.данные.!F179=$CE$5,20,GR179)))))</f>
        <v>19</v>
      </c>
      <c r="GR179" s="55">
        <f>IF(Исходн.данные.!F179=$CE$6,18,IF(Исходн.данные.!F179=$CE$7,16,IF(Исходн.данные.!F179=$CE$8,14,IF(Исходн.данные.!F179=$CE$9,13,IF(Исходн.данные.!F179=$CE$10,12,19)))))</f>
        <v>19</v>
      </c>
      <c r="GS179" s="55">
        <f>IF(Исходн.данные.!G179="Пес",0.035*(40+2*Исходн.данные.!H179),IF(Исходн.данные.!G179="Суп",0.0325*(40+2*Исходн.данные.!H179),0.03*(40+2*Исходн.данные.!H179)))</f>
        <v>1.2</v>
      </c>
      <c r="GT179" s="55">
        <f>IF(Исходн.данные.!H179&lt;23,2.6,IF(AND(Исходн.данные.!H179&gt;22,Исходн.данные.!H179&lt;26),3,IF(AND(Исходн.данные.!H179&gt;25,Исходн.данные.!H179&lt;29),3.4,3.6)))</f>
        <v>2.6</v>
      </c>
      <c r="GU179" s="55">
        <f>IF(Исходн.данные.!H179&lt;23,2.8,IF(AND(Исходн.данные.!H179&gt;22,Исходн.данные.!H179&lt;26),3.2,IF(AND(Исходн.данные.!H179&gt;25,Исходн.данные.!H179&lt;29),3.6,3.9)))</f>
        <v>2.8</v>
      </c>
      <c r="GV179" s="55">
        <f>IF(Исходн.данные.!H179&lt;23,3,IF(AND(Исходн.данные.!H179&gt;22,Исходн.данные.!H179&lt;26),3.5,IF(AND(Исходн.данные.!H179&gt;25,Исходн.данные.!H179&lt;29),3.9,4.2)))</f>
        <v>3</v>
      </c>
      <c r="GW179" s="55" t="e">
        <f>IF(Исходн.данные.!P179="Ум",GX179,GY179)</f>
        <v>#N/A</v>
      </c>
      <c r="GX179" s="55" t="e">
        <f>VLOOKUP(Исходн.данные.!AI179,Коэффициенты!$J$7:$L$13,2,FALSE)</f>
        <v>#N/A</v>
      </c>
      <c r="GY179" s="55" t="e">
        <f>VLOOKUP(Исходн.данные.!AI179,Коэффициенты!$J$7:$L$13,3,FALSE)</f>
        <v>#N/A</v>
      </c>
      <c r="GZ179" s="55" t="e">
        <f>(IF(Исходн.данные.!M179&lt;50,0.11*VLOOKUP(Исходн.данные.!AH179,Культуры.Информация,7,FALSE),IF(Исходн.данные.!M179&gt;250,0.05*VLOOKUP(Исходн.данные.!AH179,Культуры.Информация,7,FALSE),VLOOKUP(Исходн.данные.!AH179,Культуры.Информация,5,FALSE)/100*($GX$6+$GY$6*Исходн.данные.!M179))))*Расчет2!AI179</f>
        <v>#N/A</v>
      </c>
      <c r="HA179" s="211"/>
      <c r="HB179" s="211"/>
      <c r="HC179" s="55" t="e">
        <f>(IF(Исходн.данные.!O179&lt;80,0.2*VLOOKUP(Исходн.данные.!AH179,Культуры.Информация,8,FALSE),IF(Исходн.данные.!O179&gt;240,0.09*VLOOKUP(Исходн.данные.!AH179,Культуры.Информация,8,FALSE),VLOOKUP(Исходн.данные.!AH179,Культуры.Информация,6,FALSE)/100*($HB$6+$HC$6*Исходн.данные.!O179))))*Расчет2!AJ179</f>
        <v>#N/A</v>
      </c>
      <c r="HD179" s="55">
        <f>IF(Исходн.данные.!O179&gt;240,0.09,IF(Исходн.данные.!O179&lt;30,0.3,$HE$10+$HD$10*Исходн.данные.!O179))</f>
        <v>0.3</v>
      </c>
      <c r="HE179" s="55">
        <f>IF(Исходн.данные.!O179&gt;240,0.17,IF(Исходн.данные.!O179&lt;30,0.5,$HF$12+$HE$12*Исходн.данные.!O179))</f>
        <v>0.5</v>
      </c>
      <c r="HF179" s="55" t="e">
        <f>VLOOKUP(Исходн.данные.!AH179,Справ!$A$3:$D$58,2,FALSE)</f>
        <v>#N/A</v>
      </c>
      <c r="HG179" s="55" t="e">
        <f>VLOOKUP(Исходн.данные.!AH179,Справ!$A$3:$D$58,3,FALSE)</f>
        <v>#N/A</v>
      </c>
      <c r="HH179" s="55" t="e">
        <f>VLOOKUP(Исходн.данные.!AH179,Справ!$A$3:$D$58,4,FALSE)</f>
        <v>#N/A</v>
      </c>
      <c r="HI179" s="11" t="e">
        <f t="shared" si="265"/>
        <v>#N/A</v>
      </c>
      <c r="HJ179" s="11" t="e">
        <f t="shared" si="266"/>
        <v>#N/A</v>
      </c>
      <c r="HK179" s="11" t="e">
        <f t="shared" si="267"/>
        <v>#N/A</v>
      </c>
      <c r="HL179" s="55">
        <f>IF(OR(Исходн.данные.!G179="Глин",Исходн.данные.!G179="Т_суг"),1.1,IF(Исходн.данные.!G179="Ср_суг",1,1))</f>
        <v>1</v>
      </c>
      <c r="HM179" s="55">
        <f>IF(OR(Исходн.данные.!G179="Глин",Исходн.данные.!G179="Т_суг"),0.9,IF(Исходн.данные.!G179="Ср_суг",1,1.2))</f>
        <v>1.2</v>
      </c>
      <c r="HN179" s="11" t="e">
        <f t="shared" si="268"/>
        <v>#N/A</v>
      </c>
      <c r="HO179" s="11" t="e">
        <f t="shared" si="269"/>
        <v>#N/A</v>
      </c>
      <c r="HP179" s="11" t="e">
        <f t="shared" si="270"/>
        <v>#N/A</v>
      </c>
      <c r="HQ179" t="e">
        <f t="shared" si="271"/>
        <v>#N/A</v>
      </c>
      <c r="HR179" t="e">
        <f t="shared" si="272"/>
        <v>#N/A</v>
      </c>
      <c r="HS179" t="e">
        <f t="shared" si="273"/>
        <v>#N/A</v>
      </c>
      <c r="HT179" t="e">
        <f t="shared" si="219"/>
        <v>#N/A</v>
      </c>
      <c r="HU179" t="e">
        <f t="shared" si="220"/>
        <v>#N/A</v>
      </c>
      <c r="HV179" t="e">
        <f t="shared" si="221"/>
        <v>#N/A</v>
      </c>
      <c r="HW179" t="e">
        <f t="shared" si="222"/>
        <v>#N/A</v>
      </c>
      <c r="HX179" t="e">
        <f t="shared" si="223"/>
        <v>#N/A</v>
      </c>
      <c r="HY179" t="e">
        <f t="shared" si="224"/>
        <v>#N/A</v>
      </c>
      <c r="HZ179" s="55">
        <f>IF(OR(Исходн.данные.!AI179="Оз_Ч_П",Исходн.данные.!AI179="Оз_З_П",Исходн.данные.!AI179="Яр_зер"),12,30)</f>
        <v>30</v>
      </c>
      <c r="IA179" t="e">
        <f t="shared" si="274"/>
        <v>#N/A</v>
      </c>
      <c r="IB179" t="e">
        <f t="shared" si="275"/>
        <v>#N/A</v>
      </c>
      <c r="IC179" t="e">
        <f t="shared" si="276"/>
        <v>#N/A</v>
      </c>
      <c r="ID179" s="11" t="e">
        <f t="shared" si="277"/>
        <v>#N/A</v>
      </c>
      <c r="IE179" s="11" t="e">
        <f t="shared" si="278"/>
        <v>#N/A</v>
      </c>
      <c r="IF179" s="11" t="e">
        <f t="shared" si="279"/>
        <v>#N/A</v>
      </c>
    </row>
    <row r="180" spans="35:240" x14ac:dyDescent="0.2">
      <c r="AI180">
        <f>IF(Исходн.данные.!I180&gt;6,1,1.85-(0.148*Исходн.данные.!I180))</f>
        <v>1.85</v>
      </c>
      <c r="AJ180">
        <f>IF(Исходн.данные.!I180&gt;6,1,2.434-(0.246*Исходн.данные.!I180))</f>
        <v>2.4340000000000002</v>
      </c>
      <c r="AL180" s="148" t="b">
        <f>IF(Исходн.данные.!$P180="Ум",N_OrgUd_2g_um,IF(Исходн.данные.!$P180="Об",N_OrgUd_2g_ob))</f>
        <v>0</v>
      </c>
      <c r="AM180" s="148" t="b">
        <f>IF(Исходн.данные.!$P180="Ум",P_OrgUd_2g_um,IF(Исходн.данные.!$P180="Об",P_OrgUd_2g_ob))</f>
        <v>0</v>
      </c>
      <c r="AN180" s="148" t="b">
        <f>IF(Исходн.данные.!$P180="Ум",K_OrgUd_2g_um,IF(Исходн.данные.!$P180="Об",K_OrgUd_2g_ob))</f>
        <v>0</v>
      </c>
      <c r="AO180" s="148" t="b">
        <f>IF(Исходн.данные.!$P180="Ум",N_OrgUd_1g_um,IF(Исходн.данные.!$P180="Об",N_OrgUd_1g_ob))</f>
        <v>0</v>
      </c>
      <c r="AP180" s="148" t="b">
        <f>IF(Исходн.данные.!$P180="Ум",P_OrgUd_1g_um,IF(Исходн.данные.!$P180="Об",P_OrgUd_1g_ob))</f>
        <v>0</v>
      </c>
      <c r="AQ180" s="148" t="b">
        <f>IF(Исходн.данные.!$P180="Ум",K_OrgUd_1g_um,IF(Исходн.данные.!$P180="Об",K_OrgUd_1g_ob))</f>
        <v>0</v>
      </c>
      <c r="AR180" t="b">
        <f>IF(Исходн.данные.!$P180="Ум",N_MinUd_2g_um,IF(Исходн.данные.!$P180="Об",N_MinUd_2g_ob))</f>
        <v>0</v>
      </c>
      <c r="AS180" t="b">
        <f>IF(Исходн.данные.!$P180="Ум",P_MinUd_2g_um,IF(Исходн.данные.!$P180="Об",P_MinUd_2g_ob))</f>
        <v>0</v>
      </c>
      <c r="AT180" t="b">
        <f>IF(Исходн.данные.!$P180="Ум",K_MinUd_2g_um,IF(Исходн.данные.!$P180="Об",K_MinUd_2g_ob))</f>
        <v>0</v>
      </c>
      <c r="AU180" t="b">
        <f>IF(Исходн.данные.!$P180="Ум",N_MinUd_1g_um,IF(Исходн.данные.!$P180="Об",N_MinUd_1g_ob))</f>
        <v>0</v>
      </c>
      <c r="AV180" t="b">
        <f>IF(Исходн.данные.!P180="Ум",P_MinUd_1g_um,IF(Исходн.данные.!P180="Об",P_MinUd_1g_ob))</f>
        <v>0</v>
      </c>
      <c r="AW180" t="b">
        <f>IF(Исходн.данные.!P180="Ум",K_MinUd_1g_um,IF(Исходн.данные.!P180="Об",K_MinUd_1g_ob))</f>
        <v>0</v>
      </c>
      <c r="AY180" t="e">
        <f>VLOOKUP(Исходн.данные.!T180,Справ!$A$3:$N$57,12)</f>
        <v>#N/A</v>
      </c>
      <c r="AZ180" t="e">
        <f>VLOOKUP(Исходн.данные.!T180,Справ!$A$3:$N$57,13)</f>
        <v>#N/A</v>
      </c>
      <c r="BA180" t="e">
        <f>VLOOKUP(Исходн.данные.!T180,Справ!$A$3:$N$57,14)</f>
        <v>#N/A</v>
      </c>
      <c r="BB180">
        <f>IF(Исходн.данные.!AH180=0,0,25)</f>
        <v>0</v>
      </c>
      <c r="BC180" s="141">
        <f>IF(Исходн.данные.!AH180=0,0,IF(Исходн.данные.!T180=0,25,BD180))</f>
        <v>0</v>
      </c>
      <c r="BD180" s="168" t="e">
        <f>AY180+AZ180*Исходн.данные.!U180-POWER(BA180,2)*Исходн.данные.!U180</f>
        <v>#N/A</v>
      </c>
      <c r="BE18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0" s="25">
        <f>IF(Исходн.данные.!AH180=0,0,MIN(HN180:HP180))</f>
        <v>0</v>
      </c>
      <c r="BG180" s="9">
        <f>IF(Исходн.данные.!AH180=0,0,IF((HO180+10*0.25/HG180/HL180)&lt;17,17,HO180+10*0.25/HG180/HL180))</f>
        <v>0</v>
      </c>
      <c r="BH180" s="181">
        <f>IF(Исходн.данные.!AH180=0,0,HW180*HF180*HL180/AU180*AI180+Исходн.данные.!S180*10)</f>
        <v>0</v>
      </c>
      <c r="BI180" s="10"/>
      <c r="BJ180" s="182">
        <f>IF(Исходн.данные.!AH180=0,0,IF(HX180*HG180*HL180/AV180&lt;0,0,HX180*HG180*HL180/AV180*AJ180))</f>
        <v>0</v>
      </c>
      <c r="BK180" s="182">
        <f>IF(Исходн.данные.!AH180=0,0,HY180*HH180*HM180/AW180)</f>
        <v>0</v>
      </c>
      <c r="BL180" s="10">
        <f>IF(OR(Исходн.данные.!$AH180=$BP$1,Исходн.данные.!$AH180=$BP$2),0,IF(BH180&lt;0,0,IF(OR(Исходн.данные.!T180=Расчет!$BP$1,Исходн.данные.!T180=Расчет!$BP$2,Исходн.данные.!T180=Расчет!$BT$5,Исходн.данные.!T180=Расчет!$BT$6),BH180*0.5,IF(OR(Исходн.данные.!T180=Расчет!$BS$9,Исходн.данные.!T180=Расчет!$BS$10,Исходн.данные.!T180=Расчет!$BS$11,Исходн.данные.!T180=Расчет!$BS$12,Исходн.данные.!T180=Расчет!$BP$5),BH180*0.8,BH180))))</f>
        <v>0</v>
      </c>
      <c r="BM180" s="10">
        <f>IF(OR(Исходн.данные.!$AH180=$BP$1,Исходн.данные.!$AH180=$BP$2),0,IF(BJ180&lt;0,0,IF(Исходн.данные.!I180&lt;4.5,BJ180*1.2,IF(Исходн.данные.!I180&gt;5.1,BJ180,BJ180*((5.1-Исходн.данные.!I180)*0.333+1)))))</f>
        <v>0</v>
      </c>
      <c r="BN180" s="10">
        <f>IF(OR(Исходн.данные.!$AH180=$BP$1,Исходн.данные.!$AH180=$BP$2),60-Исходн.данные.!AF180,IF(BK180&lt;0,0,IF(Исходн.данные.!I180&lt;4.5,BK180*1.2,IF(Исходн.данные.!I180&gt;5.1,BK180,BK180*((5.1-Исходн.данные.!I180)*0.333+1)))))</f>
        <v>0</v>
      </c>
      <c r="BO180" s="9">
        <f>IF(BL180&lt;0,0,BL180*Исходн.данные.!$AJ180/1000)</f>
        <v>0</v>
      </c>
      <c r="BP180" s="9">
        <f>IF(BM180&lt;0,0,BM180*Исходн.данные.!$AJ180/1000)</f>
        <v>0</v>
      </c>
      <c r="BQ180" s="9">
        <f>IF(BN180&lt;0,0,BN180*Исходн.данные.!$AJ180/1000)</f>
        <v>0</v>
      </c>
      <c r="BR180" s="9">
        <f t="shared" si="229"/>
        <v>0</v>
      </c>
      <c r="BS180" s="10" t="str">
        <f t="shared" si="230"/>
        <v>Аммофос 12:52:00</v>
      </c>
      <c r="BT180" s="10" t="str">
        <f t="shared" si="231"/>
        <v>Аммофос 12:52:00</v>
      </c>
      <c r="BU180" s="10" t="str">
        <f t="shared" si="232"/>
        <v>Диаммофоска</v>
      </c>
      <c r="BV180" s="10">
        <f t="shared" si="233"/>
        <v>0</v>
      </c>
      <c r="BW180" s="10"/>
      <c r="BX180" s="10"/>
      <c r="BY180" s="9">
        <f>IF(BL180&lt;0,0,IF(OR(Исходн.данные.!AI180=Расчет!$BU$6,Исходн.данные.!AI180=Расчет!$BU$7),Расчет!BV180,IF(Исходн.данные.!$AG180=$BV$11,BL180,IF(OR(Исходн.данные.!$AH180=$BQ$7,Исходн.данные.!$AH180=$BQ$8),CB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0,IF(Исходн.данные.!$AI180=$BU$11,"Нет",IF(BL180&gt;30,30,BL180)))))))</f>
        <v>0</v>
      </c>
      <c r="BZ180" s="9">
        <f>IF(AND(Исходн.данные.!$AG180=$BV$11,BM180&lt;10),10,IF(Исходн.данные.!$AG180=$BV$11,BM180,IF(OR(Исходн.данные.!$AH180=$BQ$7,Исходн.данные.!$AH180=$BQ$8),CC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10,IF(Исходн.данные.!$AI180=$BU$11,"Нет",IF(BM180&gt;60,60,IF(BM180&lt;10,10,BM180)))))))</f>
        <v>10</v>
      </c>
      <c r="CA180" s="39">
        <f>IF(BN180&lt;0,0,IF(Исходн.данные.!$AG180=$BV$11,BN180,IF(OR(Исходн.данные.!$AH180=$BQ$7,Исходн.данные.!$AH180=$BQ$8),CD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0,IF(Исходн.данные.!$AI180=$BU$11,"Нет",IF(BN180&gt;30,30,BN180))))))</f>
        <v>0</v>
      </c>
      <c r="CB180" s="9">
        <f t="shared" si="234"/>
        <v>0</v>
      </c>
      <c r="CC180" s="9">
        <f t="shared" si="235"/>
        <v>0</v>
      </c>
      <c r="CD180" s="9">
        <f t="shared" si="236"/>
        <v>0</v>
      </c>
      <c r="CE180" s="12">
        <f t="shared" si="237"/>
        <v>10</v>
      </c>
      <c r="CF180" s="9">
        <f t="shared" si="238"/>
        <v>0</v>
      </c>
      <c r="CG180" s="9" t="s">
        <v>231</v>
      </c>
      <c r="CH180" s="132" t="str">
        <f>IF(Исходн.данные.!AP180=Расчет!$CI$16,"Нет",IF(Исходн.данные.!AL180&gt;0,Исходн.данные.!AL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BH$4,IF(OR(Исходн.данные.!AI180=Исходн.данные.!$AI$6,Исходн.данные.!AI180=Исходн.данные.!$AI$7),Расчет!BS180,IF(AND($CF180=0,$CE180&gt;0),EV180,ER180)))))</f>
        <v>Аммофос 12:52:00</v>
      </c>
      <c r="CI180" s="274">
        <f>IF(Расчет!$CH180="Нет","Нет",IF(Исходн.данные.!$AL180&gt;0,VLOOKUP(Расчет!$CH180,АшламаДВ_Irekle,2,FALSE),VLOOKUP(Расчет!$CH180,АшламаДВ_Gomumy,2,FALSE)))</f>
        <v>0.12</v>
      </c>
      <c r="CJ180" s="274">
        <f>IF(Расчет!$CH180="Нет","Нет",IF(Исходн.данные.!$AL180&gt;0,VLOOKUP(Расчет!$CH180,АшламаДВ_Irekle,3,FALSE),VLOOKUP(Расчет!$CH180,АшламаДВ_Gomumy,3,FALSE)))</f>
        <v>0.52</v>
      </c>
      <c r="CK180" s="274">
        <f>IF(Расчет!$CH180="Нет","Нет",IF(Исходн.данные.!$AL180&gt;0,VLOOKUP(Расчет!$CH180,АшламаДВ_Irekle,4,FALSE),VLOOKUP(Расчет!$CH180,АшламаДВ_Gomumy,4,FALSE)))</f>
        <v>0</v>
      </c>
      <c r="CL180" s="70"/>
      <c r="CM180" s="70"/>
      <c r="CN180" s="70"/>
      <c r="CO180" s="70"/>
      <c r="CP180" s="70"/>
      <c r="CQ180" s="70"/>
      <c r="CR180" s="10">
        <f t="shared" si="239"/>
        <v>0</v>
      </c>
      <c r="CS180" s="10">
        <f t="shared" si="240"/>
        <v>19.23076923076923</v>
      </c>
      <c r="CT180" s="10">
        <f t="shared" si="241"/>
        <v>0</v>
      </c>
      <c r="CU180" s="39">
        <f>IF($CH180="Нет",0,IF(CI180=0,30/MIN(CJ180:CK180),IF(Исходн.данные.!$AG180=$BV$11,CR180,IF(OR(Исходн.данные.!$AH180=$BQ$7,Исходн.данные.!$AH180=$BQ$8),90/CI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0,IF(Исходн.данные.!$AI180=$BU$11,"Нет",30/CI180))))))</f>
        <v>250</v>
      </c>
      <c r="CV180" s="39">
        <f>IF($CH180="Нет",0,IF(Исходн.данные.!AH180=0,0,IF(CJ180=0,60/MIN(CI180,CK180),IF(Исходн.данные.!$AG180=$BV$11,CS180,IF(OR(Исходн.данные.!$AH180=$BQ$7,Исходн.данные.!$AH180=$BQ$8),90/CJ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10/CJ180,IF(Исходн.данные.!$AI180=$BU$11,"Нет",60/CJ180)))))))</f>
        <v>0</v>
      </c>
      <c r="CW180" s="39">
        <f>IF($CH180="Нет",0,IF(Исходн.данные.!AH180=0,0,IF(CK180=0,30/MIN(CI180:CJ180),IF(Исходн.данные.!$AG180=$BV$11,CT180,IF(OR(Исходн.данные.!$AH180=$BQ$7,Исходн.данные.!$AH180=$BQ$8),90/CK180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0,IF(Исходн.данные.!$AI180=$BU$11,"Нет",30/CK180)))))))</f>
        <v>0</v>
      </c>
      <c r="CX180" s="133">
        <f>IF(Исходн.данные.!$AG180=$BV$11,MAX(CU180:CW180),IF(OR(Исходн.данные.!$AH180=$BS$8,Исходн.данные.!$AH180=$BQ$9,Исходн.данные.!$AH180=$BQ$10,Исходн.данные.!$AH180=$BQ$11,Исходн.данные.!$AH180=$BQ$12,Исходн.данные.!$AH180=$BP$3,Исходн.данные.!$AH180=$BT$8,$FM180="Да"),CV180,MIN(CU180:CW180)))</f>
        <v>0</v>
      </c>
      <c r="CY180" s="133">
        <f>IF(Исходн.данные.!AH180=0,0,IF(CR180&gt;$CX180,$CX180,CR180))</f>
        <v>0</v>
      </c>
      <c r="CZ180" s="133">
        <f>IF(Исходн.данные.!AH180=0,0,IF(CS180&gt;$CX180,$CX180,CS180))</f>
        <v>0</v>
      </c>
      <c r="DA180" s="133">
        <f>IF(Исходн.данные.!AH180=0,0,IF(CT180&gt;$CX180,$CX180,CT180))</f>
        <v>0</v>
      </c>
      <c r="DB180" s="10">
        <f t="shared" si="242"/>
        <v>0</v>
      </c>
      <c r="DC180" s="39">
        <f>DB180*Исходн.данные.!AJ180/1000</f>
        <v>0</v>
      </c>
      <c r="DD180" s="71">
        <f t="shared" si="243"/>
        <v>0</v>
      </c>
      <c r="DE180" s="9">
        <f t="shared" si="244"/>
        <v>0</v>
      </c>
      <c r="DF180" s="9">
        <f t="shared" si="245"/>
        <v>0</v>
      </c>
      <c r="DG180" s="39">
        <f>IF(BL180&lt;0,0,IF($CH180="Нет",BL180,IF(OR(Исходн.данные.!$AH180=$BP$1,Исходн.данные.!$AH180=$BP$2),0,IF(Исходн.данные.!AI180=$BU$11,BL180,IF(BL180-DD180&lt;0,0,BL180-DD180)))))</f>
        <v>0</v>
      </c>
      <c r="DH180" s="39">
        <f>IF(BM180&lt;0,0,IF($CH180="Нет",BM180,IF(OR(Исходн.данные.!$AH180=$BP$1,Исходн.данные.!$AH180=$BP$2),0,IF(Исходн.данные.!AJ180=$BU$11,BM180,IF(BM180-DE180&lt;0,0,BM180-DE180)))))</f>
        <v>0</v>
      </c>
      <c r="DI180" s="39">
        <f>IF(BN180&lt;0,0,IF($CH180="Нет",BN180,IF(OR(Исходн.данные.!$AH180=$BP$1,Исходн.данные.!$AH180=$BP$2),0,IF(Исходн.данные.!AK180=$BU$11,BN180,IF(BN180-DF180&lt;0,0,BN180-DF180)))))</f>
        <v>0</v>
      </c>
      <c r="DJ180" s="12">
        <f t="shared" si="246"/>
        <v>0</v>
      </c>
      <c r="DK180" s="9">
        <f t="shared" si="247"/>
        <v>0</v>
      </c>
      <c r="DL180" s="39">
        <f>IF(Исходн.данные.!AM180&gt;0,Исходн.данные.!AM180,IF(EG180&gt;0,$BH$10,0))</f>
        <v>0</v>
      </c>
      <c r="DM180" s="186">
        <f>IF($DL180=0,0,IF(Исходн.данные.!AM180&gt;0,VLOOKUP($DL180,АшламаДВ_Irekle,2,FALSE),VLOOKUP($DL180,АшламаДВ_Gomumy,2,FALSE)))</f>
        <v>0</v>
      </c>
      <c r="DN180" s="10">
        <f t="shared" si="225"/>
        <v>0</v>
      </c>
      <c r="DO180" s="9" t="str">
        <f>IF(Исходн.данные.!AN180&gt;0,Исходн.данные.!AN180,Удобрения!$B$37 )</f>
        <v>Хлор.калий</v>
      </c>
      <c r="DP180" s="9">
        <f>IF(Исходн.данные.!AN180&gt;0,VLOOKUP(Исходн.данные.!AN180,АшламаДВ_Irekle,4,FALSE),VLOOKUP(DO180,АшламаДВ_Gomumy,4,FALSE))</f>
        <v>0.6</v>
      </c>
      <c r="DQ180" s="10">
        <f t="shared" si="226"/>
        <v>0</v>
      </c>
      <c r="DR180" s="132" t="str">
        <f>IF(Исходн.данные.!AO180&gt;0,Исходн.данные.!AO180,IF(DH180=0,BS$17,IF(AND($DK180=0,$DJ180&gt;0),EJ180,EN180)))</f>
        <v>Нет</v>
      </c>
      <c r="DS180" s="70" t="str">
        <f>IF($DR180="Нет","Нет",IF(Исходн.данные.!$AO180&gt;0,VLOOKUP($DR180,АшламаДВ_Irekle,2,FALSE),VLOOKUP($DR180,АшламаДВ_Gomumy,2,FALSE)))</f>
        <v>Нет</v>
      </c>
      <c r="DT180" s="70" t="str">
        <f>IF($DR180="Нет","Нет",IF(Исходн.данные.!$AO180&gt;0,VLOOKUP($DR180,АшламаДВ_Irekle,3,FALSE),VLOOKUP($DR180,АшламаДВ_Gomumy,3,FALSE)))</f>
        <v>Нет</v>
      </c>
      <c r="DU180" s="70" t="str">
        <f>IF($DR180="Нет","Нет",IF(Исходн.данные.!$AO180&gt;0,VLOOKUP($DR180,АшламаДВ_Irekle,4,FALSE),VLOOKUP($DR180,АшламаДВ_Gomumy,4,FALSE)))</f>
        <v>Нет</v>
      </c>
      <c r="DV180" s="70"/>
      <c r="DW180" s="70"/>
      <c r="DX180" s="70"/>
      <c r="DY180" s="10">
        <f t="shared" si="248"/>
        <v>0</v>
      </c>
      <c r="DZ180" s="10">
        <f t="shared" si="249"/>
        <v>0</v>
      </c>
      <c r="EA180" s="10">
        <f t="shared" si="250"/>
        <v>0</v>
      </c>
      <c r="EB180" s="10">
        <f t="shared" si="251"/>
        <v>0</v>
      </c>
      <c r="EC180" s="10">
        <f t="shared" si="252"/>
        <v>0</v>
      </c>
      <c r="ED180" s="10">
        <f t="shared" si="253"/>
        <v>0</v>
      </c>
      <c r="EE180" s="10">
        <f t="shared" si="254"/>
        <v>0</v>
      </c>
      <c r="EF180" s="39">
        <f>EB180*Исходн.данные.!AJ180/1000</f>
        <v>0</v>
      </c>
      <c r="EG180" s="9">
        <f t="shared" si="255"/>
        <v>0</v>
      </c>
      <c r="EH180" s="9">
        <f t="shared" si="256"/>
        <v>0</v>
      </c>
      <c r="EI180" s="39" t="e">
        <f t="shared" si="206"/>
        <v>#DIV/0!</v>
      </c>
      <c r="EJ180" s="9" t="str">
        <f t="shared" si="227"/>
        <v>Азопреципитат</v>
      </c>
      <c r="EK180" s="12">
        <f t="shared" si="207"/>
        <v>0.26</v>
      </c>
      <c r="EL180" s="12">
        <f t="shared" si="208"/>
        <v>0.13</v>
      </c>
      <c r="EM180" s="12">
        <f t="shared" si="209"/>
        <v>0</v>
      </c>
      <c r="EN180" s="12" t="str">
        <f t="shared" si="228"/>
        <v>Нет</v>
      </c>
      <c r="EO180" s="12">
        <f t="shared" si="210"/>
        <v>0</v>
      </c>
      <c r="EP180" s="12">
        <f t="shared" si="211"/>
        <v>0</v>
      </c>
      <c r="EQ180" s="12">
        <f t="shared" si="212"/>
        <v>0</v>
      </c>
      <c r="ER180" s="12" t="str">
        <f t="shared" si="257"/>
        <v>Диаммофоска</v>
      </c>
      <c r="ES180" s="12">
        <f t="shared" si="213"/>
        <v>0.1</v>
      </c>
      <c r="ET180" s="12">
        <f t="shared" si="214"/>
        <v>0.26</v>
      </c>
      <c r="EU180" s="12">
        <f t="shared" si="215"/>
        <v>0.26</v>
      </c>
      <c r="EV180" s="12" t="str">
        <f t="shared" si="258"/>
        <v>Аммофос 12:52:00</v>
      </c>
      <c r="EW180" s="12" t="str">
        <f t="shared" si="259"/>
        <v>Кемира Свекловичное-6</v>
      </c>
      <c r="EX180" s="12">
        <f t="shared" si="216"/>
        <v>0.16</v>
      </c>
      <c r="EY180" s="12">
        <f t="shared" si="217"/>
        <v>0.12</v>
      </c>
      <c r="EZ180" s="12">
        <f t="shared" si="218"/>
        <v>0.17</v>
      </c>
      <c r="FA180" s="38" t="e">
        <f>IF(AND(OR(FJ180=$FD$1,FM180=$FD$1,FO180=$FD$1,FQ180=$FD$1,FS180=$FD$1),FD180=$FD$1,Исходн.данные.!J180&lt;2,FU180=$FD$1),"Бор,Кобальт",IF(AND(FO180=$FD$1,FH180=$FD$1,Исходн.данные.!J180&lt;2,FU180=$FD$1),"Бор,Кобальт",IF(AND(OR(FJ180=$FD$1,FM180=$FD$1,FQ180=$FD$1),FE180=$FD$1,Исходн.данные.!J180&lt;2,FT180=$FD$1,FU180=$FD$1),"Бор,Медь,Цинк",IF(AND(OR(FJ180=$FD$1,FR180="Да"),FI180="Да",Исходн.данные.!J180&lt;2,FT180="Да",FU180="Да"),"Бор,Цинк,Медь",IF(AND(OR(FM180="Да",FQ180="Да"),FI180="Да",Исходн.данные.!J180&lt;2,FT180="Да",FU180="Да"),"Бор,Цинк",IF(AND(FN180="Да",OR(FD180="Да",FE180="Да")),"Бор",FB180))))))</f>
        <v>#N/A</v>
      </c>
      <c r="FB180" s="134" t="e">
        <f>IF(AND(OR(FD180="Да",FE180="Да",FF180="Да",FG180="Да",FH180="Да"),FO180="Да"),"Бор",IF(AND(FP180="Да",OR(FD180="Да",FE180="Да",FI180="Да")),"Бор",IF(AND(FS180="Да",FE180="Да"),"Бор,Медь",IF(AND(OR(FJ180="Да",FK180="Да",FL180="Да"),FE180="Да",Исходн.данные.!I180&lt;5,FT180="Да",FU180="Да"),"Молибден,Цинк",IF(AND(FM180="Да",OR(FE180="Да",FF180="Да",FG180="Да",FH180="Да",FI180="Да")),"Молибден,Цинк",IF(AND(OR(FJ180="Да",FK180="Да",FL180="Да",FM180="Да",FQ180="Да"),OR(FE180="Да",FF180="Да"),FT180="Да",FU180="Да",Исходн.данные.!I180&gt;5.5),"Медь,Цинк",FC180))))))</f>
        <v>#N/A</v>
      </c>
      <c r="FC180" s="23" t="e">
        <f t="shared" si="260"/>
        <v>#N/A</v>
      </c>
      <c r="FD180" s="38" t="str">
        <f>IF(OR(Исходн.данные.!F180=$CC$1,Исходн.данные.!F180=$CC$2,Исходн.данные.!F180=$CC$3,Исходн.данные.!F180=$CC$4),"Да","Нет")</f>
        <v>Нет</v>
      </c>
      <c r="FE180" s="38" t="str">
        <f>IF(Исходн.данные.!F180=$CC$5,"Да","Нет")</f>
        <v>Нет</v>
      </c>
      <c r="FF180" s="38" t="str">
        <f>IF(OR(Исходн.данные.!F180=$CC$6,Исходн.данные.!F180=$CC$7),"Да","Нет")</f>
        <v>Нет</v>
      </c>
      <c r="FG180" s="38" t="str">
        <f>IF(OR(Исходн.данные.!F180=$CC$8,Исходн.данные.!F180=$CC$9),"Да","Нет")</f>
        <v>Нет</v>
      </c>
      <c r="FH180" s="38" t="str">
        <f>IF(Исходн.данные.!F180=$CC$10,"Да","Нет")</f>
        <v>Нет</v>
      </c>
      <c r="FI180" s="38" t="str">
        <f>IF(OR(Исходн.данные.!F180=$CC$11,Исходн.данные.!F180=$CC$12),"Да","Нет")</f>
        <v>Нет</v>
      </c>
      <c r="FJ180" s="38" t="str">
        <f>IF(OR(Исходн.данные.!AH180=$BS$1,Исходн.данные.!AH180=$BQ$11,Исходн.данные.!AH180=$BQ$12),"Да","Нет")</f>
        <v>Нет</v>
      </c>
      <c r="FK180" s="38" t="str">
        <f>IF(OR(Исходн.данные.!AH180=$BS$2,Исходн.данные.!AH180=$BS$4),"Да","Нет")</f>
        <v>Нет</v>
      </c>
      <c r="FL180" s="38" t="str">
        <f>IF(OR(Исходн.данные.!AH180=$BS$3,Исходн.данные.!AH180=$BS$5),"Да","Нет")</f>
        <v>Нет</v>
      </c>
      <c r="FM180" s="38" t="str">
        <f>IF(OR(Исходн.данные.!AH180=$BS$9,Исходн.данные.!AH180=$BS$10,Исходн.данные.!AH180=$BS$11,Исходн.данные.!AH180=$BS$12),"Да","Нет")</f>
        <v>Нет</v>
      </c>
      <c r="FN180" s="38" t="str">
        <f>IF(OR(Исходн.данные.!AH180=$BS$6,Исходн.данные.!AH180=$BP$3),"Да","Нет")</f>
        <v>Нет</v>
      </c>
      <c r="FO180" s="38" t="str">
        <f>IF(Исходн.данные.!AH180=$BQ$9,"Да","Нет")</f>
        <v>Нет</v>
      </c>
      <c r="FP180" s="38" t="str">
        <f>IF(OR(Исходн.данные.!AH180=$BS$8,Исходн.данные.!AH180=$BT$8),"Да","Нет")</f>
        <v>Нет</v>
      </c>
      <c r="FQ180" s="38" t="str">
        <f>IF(OR(Исходн.данные.!AH180=$BQ$7,Исходн.данные.!AH180=$BQ$8),"Да","Нет")</f>
        <v>Нет</v>
      </c>
      <c r="FR180" s="38" t="str">
        <f>IF(Исходн.данные.!AI180=$BU$9,"Да","Нет")</f>
        <v>Нет</v>
      </c>
      <c r="FS180" s="38" t="str">
        <f>IF(OR(Исходн.данные.!AH180=$BP$1,Исходн.данные.!AH180=$BP$2),"Да","Нет")</f>
        <v>Нет</v>
      </c>
      <c r="FT180" s="38" t="e">
        <f>IF((Исходн.данные.!K180*GO180*GS180*GW180+BL180*0.6+Исходн.данные.!Q180*4.5*0.275)&gt;90,"Да","Нет")</f>
        <v>#N/A</v>
      </c>
      <c r="FU180" s="38" t="e">
        <f>IF((Исходн.данные.!M180*GS180*GZ180+BM180*0.225)&gt;35,"Да","Нет")</f>
        <v>#N/A</v>
      </c>
      <c r="FV180" s="38" t="str">
        <f>IF(Исходн.данные.!O180&gt;175,"Да","Нет")</f>
        <v>Нет</v>
      </c>
      <c r="FW180" s="39" t="str">
        <f>IF(Исходн.данные.!I180&gt;5.5,"Да","Нет")</f>
        <v>Нет</v>
      </c>
      <c r="FX180" s="39" t="str">
        <f>IF(Исходн.данные.!J180&lt;2,"Да","Нет")</f>
        <v>Да</v>
      </c>
      <c r="FY180" s="39" t="e">
        <f>IF(HF180=$FY$16,0,Исходн.данные.!K180*GO180*GS180*GW180/HF180)</f>
        <v>#N/A</v>
      </c>
      <c r="FZ180" s="39" t="e">
        <f>Исходн.данные.!M180*GS180*GZ180/HG180</f>
        <v>#N/A</v>
      </c>
      <c r="GA180" s="39" t="e">
        <f>IF(K_Wyn=$FY$16,0,IF(Исходн.данные.!N180=Исходн.данные.!$L$10,Исходн.данные.!O180/1.1*GS180*HC180/HH180,IF(Исходн.данные.!N180=Исходн.данные.!$L$12,Исходн.данные.!O180/1.5*GS180*HC180/HH180,Исходн.данные.!O180*GS180*HC180/HH180)))</f>
        <v>#N/A</v>
      </c>
      <c r="GB180" s="39" t="e">
        <f>IF(HF180=$FY$16,0,((Исходн.данные.!Q180*N_Org+Исходн.данные.!R180*N_Sider+Исходн.данные.!S180*N_Soloma)*AO180+Расчет!BC180*VLOOKUP(Исходн.данные.!T180,Справ!$A$3:$O$57,15)*AO180+BB180*VLOOKUP(Исходн.данные.!T180,Справ!$A$3:$O$57,15)*AL180+(Исходн.данные.!V180*N_Rizotorf+Исходн.данные.!W180*N_Rizoagr))/HF180)</f>
        <v>#N/A</v>
      </c>
      <c r="GC180" s="39" t="e">
        <f>IF(HG180=$FY$16,0,((Исходн.данные.!Q180*Р_Org+Исходн.данные.!R180*P_Sider+Исходн.данные.!S180*P_Soloma)*AP180+Расчет!BC180*VLOOKUP(Исходн.данные.!T180,Справ!$A$3:$P$57,16)*AP180+BB180*VLOOKUP(Исходн.данные.!T180,Справ!$A$3:$P$57,16)*AM180)/HG180)</f>
        <v>#N/A</v>
      </c>
      <c r="GD180" s="39" t="e">
        <f>IF(HH180=$FY$16,0,((Исходн.данные.!Q180*К_Org+Исходн.данные.!R180*K_Sider+Исходн.данные.!S180*K_Soloma)*AQ180+Расчет!BC180*VLOOKUP(Исходн.данные.!T180,Справ!$A$3:$Q$57,17)*AQ180+BB180*VLOOKUP(Исходн.данные.!T180,Справ!$A$3:$Q$57,17)*AN180)/HH180)</f>
        <v>#N/A</v>
      </c>
      <c r="GE180" s="39" t="e">
        <f>IF(HF180=$FY$16,0,(Исходн.данные.!X180*AR180+Исходн.данные.!AA180*N_Org*AL180+Исходн.данные.!AB180*N_Sider*AL180+Исходн.данные.!AC180*N_Soloma*AL180)/HF180)</f>
        <v>#N/A</v>
      </c>
      <c r="GF180" s="39" t="e">
        <f>IF(HG180=$FY$16,0,(Исходн.данные.!Y180*AS180+Исходн.данные.!AA180*Р_Org*AM180+Исходн.данные.!AB180*P_Sider*AM180+Исходн.данные.!AC180*P_Soloma*AM180)/HG180)</f>
        <v>#N/A</v>
      </c>
      <c r="GG180" s="39" t="e">
        <f>IF(HH180=$FY$16,0,(Исходн.данные.!Z180*AT180+Исходн.данные.!AA180*К_Org*AN180+Исходн.данные.!AB180*K_Sider*AN180+Исходн.данные.!AC180*K_Soloma*AN180)/HH180)</f>
        <v>#N/A</v>
      </c>
      <c r="GH180" s="39" t="e">
        <f>Исходн.данные.!AD180*AU180/HF180</f>
        <v>#N/A</v>
      </c>
      <c r="GI180" s="39" t="e">
        <f>Исходн.данные.!AE180*AV180/HG180</f>
        <v>#N/A</v>
      </c>
      <c r="GJ180" s="39" t="e">
        <f>Исходн.данные.!AF180*AW180/HH180</f>
        <v>#N/A</v>
      </c>
      <c r="GK180" s="55">
        <f>Исходн.данные.!AK180</f>
        <v>0</v>
      </c>
      <c r="GL180" s="11" t="e">
        <f t="shared" si="261"/>
        <v>#N/A</v>
      </c>
      <c r="GM180" s="11" t="e">
        <f t="shared" si="262"/>
        <v>#N/A</v>
      </c>
      <c r="GN180" s="11" t="e">
        <f t="shared" si="263"/>
        <v>#N/A</v>
      </c>
      <c r="GO180" s="57">
        <f t="shared" si="264"/>
        <v>19</v>
      </c>
      <c r="GP180" s="55">
        <f>IF(OR(Исходн.данные.!F180=$CE$1,Исходн.данные.!F180=$CE$2,Исходн.данные.!F180=$CE$3,Исходн.данные.!F180=$CE$4,Исходн.данные.!F180=$CE$5),GQ180,GR180)</f>
        <v>19</v>
      </c>
      <c r="GQ180" s="55">
        <f>IF(Исходн.данные.!F180=$CE$1,28,IF(Исходн.данные.!F180=$CE$2,26,IF(Исходн.данные.!F180=$CE$3,24,IF(Исходн.данные.!F180=$CE$4,22,IF(Исходн.данные.!F180=$CE$5,20,GR180)))))</f>
        <v>19</v>
      </c>
      <c r="GR180" s="55">
        <f>IF(Исходн.данные.!F180=$CE$6,18,IF(Исходн.данные.!F180=$CE$7,16,IF(Исходн.данные.!F180=$CE$8,14,IF(Исходн.данные.!F180=$CE$9,13,IF(Исходн.данные.!F180=$CE$10,12,19)))))</f>
        <v>19</v>
      </c>
      <c r="GS180" s="55">
        <f>IF(Исходн.данные.!G180="Пес",0.035*(40+2*Исходн.данные.!H180),IF(Исходн.данные.!G180="Суп",0.0325*(40+2*Исходн.данные.!H180),0.03*(40+2*Исходн.данные.!H180)))</f>
        <v>1.2</v>
      </c>
      <c r="GT180" s="55">
        <f>IF(Исходн.данные.!H180&lt;23,2.6,IF(AND(Исходн.данные.!H180&gt;22,Исходн.данные.!H180&lt;26),3,IF(AND(Исходн.данные.!H180&gt;25,Исходн.данные.!H180&lt;29),3.4,3.6)))</f>
        <v>2.6</v>
      </c>
      <c r="GU180" s="55">
        <f>IF(Исходн.данные.!H180&lt;23,2.8,IF(AND(Исходн.данные.!H180&gt;22,Исходн.данные.!H180&lt;26),3.2,IF(AND(Исходн.данные.!H180&gt;25,Исходн.данные.!H180&lt;29),3.6,3.9)))</f>
        <v>2.8</v>
      </c>
      <c r="GV180" s="55">
        <f>IF(Исходн.данные.!H180&lt;23,3,IF(AND(Исходн.данные.!H180&gt;22,Исходн.данные.!H180&lt;26),3.5,IF(AND(Исходн.данные.!H180&gt;25,Исходн.данные.!H180&lt;29),3.9,4.2)))</f>
        <v>3</v>
      </c>
      <c r="GW180" s="55" t="e">
        <f>IF(Исходн.данные.!P180="Ум",GX180,GY180)</f>
        <v>#N/A</v>
      </c>
      <c r="GX180" s="55" t="e">
        <f>VLOOKUP(Исходн.данные.!AI180,Коэффициенты!$J$7:$L$13,2,FALSE)</f>
        <v>#N/A</v>
      </c>
      <c r="GY180" s="55" t="e">
        <f>VLOOKUP(Исходн.данные.!AI180,Коэффициенты!$J$7:$L$13,3,FALSE)</f>
        <v>#N/A</v>
      </c>
      <c r="GZ180" s="55" t="e">
        <f>(IF(Исходн.данные.!M180&lt;50,0.11*VLOOKUP(Исходн.данные.!AH180,Культуры.Информация,7,FALSE),IF(Исходн.данные.!M180&gt;250,0.05*VLOOKUP(Исходн.данные.!AH180,Культуры.Информация,7,FALSE),VLOOKUP(Исходн.данные.!AH180,Культуры.Информация,5,FALSE)/100*($GX$6+$GY$6*Исходн.данные.!M180))))*Расчет2!AI180</f>
        <v>#N/A</v>
      </c>
      <c r="HA180" s="211"/>
      <c r="HB180" s="211"/>
      <c r="HC180" s="55" t="e">
        <f>(IF(Исходн.данные.!O180&lt;80,0.2*VLOOKUP(Исходн.данные.!AH180,Культуры.Информация,8,FALSE),IF(Исходн.данные.!O180&gt;240,0.09*VLOOKUP(Исходн.данные.!AH180,Культуры.Информация,8,FALSE),VLOOKUP(Исходн.данные.!AH180,Культуры.Информация,6,FALSE)/100*($HB$6+$HC$6*Исходн.данные.!O180))))*Расчет2!AJ180</f>
        <v>#N/A</v>
      </c>
      <c r="HD180" s="55">
        <f>IF(Исходн.данные.!O180&gt;240,0.09,IF(Исходн.данные.!O180&lt;30,0.3,$HE$10+$HD$10*Исходн.данные.!O180))</f>
        <v>0.3</v>
      </c>
      <c r="HE180" s="55">
        <f>IF(Исходн.данные.!O180&gt;240,0.17,IF(Исходн.данные.!O180&lt;30,0.5,$HF$12+$HE$12*Исходн.данные.!O180))</f>
        <v>0.5</v>
      </c>
      <c r="HF180" s="55" t="e">
        <f>VLOOKUP(Исходн.данные.!AH180,Справ!$A$3:$D$58,2,FALSE)</f>
        <v>#N/A</v>
      </c>
      <c r="HG180" s="55" t="e">
        <f>VLOOKUP(Исходн.данные.!AH180,Справ!$A$3:$D$58,3,FALSE)</f>
        <v>#N/A</v>
      </c>
      <c r="HH180" s="55" t="e">
        <f>VLOOKUP(Исходн.данные.!AH180,Справ!$A$3:$D$58,4,FALSE)</f>
        <v>#N/A</v>
      </c>
      <c r="HI180" s="11" t="e">
        <f t="shared" si="265"/>
        <v>#N/A</v>
      </c>
      <c r="HJ180" s="11" t="e">
        <f t="shared" si="266"/>
        <v>#N/A</v>
      </c>
      <c r="HK180" s="11" t="e">
        <f t="shared" si="267"/>
        <v>#N/A</v>
      </c>
      <c r="HL180" s="55">
        <f>IF(OR(Исходн.данные.!G180="Глин",Исходн.данные.!G180="Т_суг"),1.1,IF(Исходн.данные.!G180="Ср_суг",1,1))</f>
        <v>1</v>
      </c>
      <c r="HM180" s="55">
        <f>IF(OR(Исходн.данные.!G180="Глин",Исходн.данные.!G180="Т_суг"),0.9,IF(Исходн.данные.!G180="Ср_суг",1,1.2))</f>
        <v>1.2</v>
      </c>
      <c r="HN180" s="11" t="e">
        <f t="shared" si="268"/>
        <v>#N/A</v>
      </c>
      <c r="HO180" s="11" t="e">
        <f t="shared" si="269"/>
        <v>#N/A</v>
      </c>
      <c r="HP180" s="11" t="e">
        <f t="shared" si="270"/>
        <v>#N/A</v>
      </c>
      <c r="HQ180" t="e">
        <f t="shared" si="271"/>
        <v>#N/A</v>
      </c>
      <c r="HR180" t="e">
        <f t="shared" si="272"/>
        <v>#N/A</v>
      </c>
      <c r="HS180" t="e">
        <f t="shared" si="273"/>
        <v>#N/A</v>
      </c>
      <c r="HT180" t="e">
        <f t="shared" si="219"/>
        <v>#N/A</v>
      </c>
      <c r="HU180" t="e">
        <f t="shared" si="220"/>
        <v>#N/A</v>
      </c>
      <c r="HV180" t="e">
        <f t="shared" si="221"/>
        <v>#N/A</v>
      </c>
      <c r="HW180" t="e">
        <f t="shared" si="222"/>
        <v>#N/A</v>
      </c>
      <c r="HX180" t="e">
        <f t="shared" si="223"/>
        <v>#N/A</v>
      </c>
      <c r="HY180" t="e">
        <f t="shared" si="224"/>
        <v>#N/A</v>
      </c>
      <c r="HZ180" s="55">
        <f>IF(OR(Исходн.данные.!AI180="Оз_Ч_П",Исходн.данные.!AI180="Оз_З_П",Исходн.данные.!AI180="Яр_зер"),12,30)</f>
        <v>30</v>
      </c>
      <c r="IA180" t="e">
        <f t="shared" si="274"/>
        <v>#N/A</v>
      </c>
      <c r="IB180" t="e">
        <f t="shared" si="275"/>
        <v>#N/A</v>
      </c>
      <c r="IC180" t="e">
        <f t="shared" si="276"/>
        <v>#N/A</v>
      </c>
      <c r="ID180" s="11" t="e">
        <f t="shared" si="277"/>
        <v>#N/A</v>
      </c>
      <c r="IE180" s="11" t="e">
        <f t="shared" si="278"/>
        <v>#N/A</v>
      </c>
      <c r="IF180" s="11" t="e">
        <f t="shared" si="279"/>
        <v>#N/A</v>
      </c>
    </row>
    <row r="181" spans="35:240" x14ac:dyDescent="0.2">
      <c r="AI181">
        <f>IF(Исходн.данные.!I181&gt;6,1,1.85-(0.148*Исходн.данные.!I181))</f>
        <v>1.85</v>
      </c>
      <c r="AJ181">
        <f>IF(Исходн.данные.!I181&gt;6,1,2.434-(0.246*Исходн.данные.!I181))</f>
        <v>2.4340000000000002</v>
      </c>
      <c r="AL181" s="148" t="b">
        <f>IF(Исходн.данные.!$P181="Ум",N_OrgUd_2g_um,IF(Исходн.данные.!$P181="Об",N_OrgUd_2g_ob))</f>
        <v>0</v>
      </c>
      <c r="AM181" s="148" t="b">
        <f>IF(Исходн.данные.!$P181="Ум",P_OrgUd_2g_um,IF(Исходн.данные.!$P181="Об",P_OrgUd_2g_ob))</f>
        <v>0</v>
      </c>
      <c r="AN181" s="148" t="b">
        <f>IF(Исходн.данные.!$P181="Ум",K_OrgUd_2g_um,IF(Исходн.данные.!$P181="Об",K_OrgUd_2g_ob))</f>
        <v>0</v>
      </c>
      <c r="AO181" s="148" t="b">
        <f>IF(Исходн.данные.!$P181="Ум",N_OrgUd_1g_um,IF(Исходн.данные.!$P181="Об",N_OrgUd_1g_ob))</f>
        <v>0</v>
      </c>
      <c r="AP181" s="148" t="b">
        <f>IF(Исходн.данные.!$P181="Ум",P_OrgUd_1g_um,IF(Исходн.данные.!$P181="Об",P_OrgUd_1g_ob))</f>
        <v>0</v>
      </c>
      <c r="AQ181" s="148" t="b">
        <f>IF(Исходн.данные.!$P181="Ум",K_OrgUd_1g_um,IF(Исходн.данные.!$P181="Об",K_OrgUd_1g_ob))</f>
        <v>0</v>
      </c>
      <c r="AR181" t="b">
        <f>IF(Исходн.данные.!$P181="Ум",N_MinUd_2g_um,IF(Исходн.данные.!$P181="Об",N_MinUd_2g_ob))</f>
        <v>0</v>
      </c>
      <c r="AS181" t="b">
        <f>IF(Исходн.данные.!$P181="Ум",P_MinUd_2g_um,IF(Исходн.данные.!$P181="Об",P_MinUd_2g_ob))</f>
        <v>0</v>
      </c>
      <c r="AT181" t="b">
        <f>IF(Исходн.данные.!$P181="Ум",K_MinUd_2g_um,IF(Исходн.данные.!$P181="Об",K_MinUd_2g_ob))</f>
        <v>0</v>
      </c>
      <c r="AU181" t="b">
        <f>IF(Исходн.данные.!$P181="Ум",N_MinUd_1g_um,IF(Исходн.данные.!$P181="Об",N_MinUd_1g_ob))</f>
        <v>0</v>
      </c>
      <c r="AV181" t="b">
        <f>IF(Исходн.данные.!P181="Ум",P_MinUd_1g_um,IF(Исходн.данные.!P181="Об",P_MinUd_1g_ob))</f>
        <v>0</v>
      </c>
      <c r="AW181" t="b">
        <f>IF(Исходн.данные.!P181="Ум",K_MinUd_1g_um,IF(Исходн.данные.!P181="Об",K_MinUd_1g_ob))</f>
        <v>0</v>
      </c>
      <c r="AY181" t="e">
        <f>VLOOKUP(Исходн.данные.!T181,Справ!$A$3:$N$57,12)</f>
        <v>#N/A</v>
      </c>
      <c r="AZ181" t="e">
        <f>VLOOKUP(Исходн.данные.!T181,Справ!$A$3:$N$57,13)</f>
        <v>#N/A</v>
      </c>
      <c r="BA181" t="e">
        <f>VLOOKUP(Исходн.данные.!T181,Справ!$A$3:$N$57,14)</f>
        <v>#N/A</v>
      </c>
      <c r="BB181">
        <f>IF(Исходн.данные.!AH181=0,0,25)</f>
        <v>0</v>
      </c>
      <c r="BC181" s="141">
        <f>IF(Исходн.данные.!AH181=0,0,IF(Исходн.данные.!T181=0,25,BD181))</f>
        <v>0</v>
      </c>
      <c r="BD181" s="168" t="e">
        <f>AY181+AZ181*Исходн.данные.!U181-POWER(BA181,2)*Исходн.данные.!U181</f>
        <v>#N/A</v>
      </c>
      <c r="BE18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1" s="25">
        <f>IF(Исходн.данные.!AH181=0,0,MIN(HN181:HP181))</f>
        <v>0</v>
      </c>
      <c r="BG181" s="9">
        <f>IF(Исходн.данные.!AH181=0,0,IF((HO181+10*0.25/HG181/HL181)&lt;17,17,HO181+10*0.25/HG181/HL181))</f>
        <v>0</v>
      </c>
      <c r="BH181" s="181">
        <f>IF(Исходн.данные.!AH181=0,0,HW181*HF181*HL181/AU181*AI181+Исходн.данные.!S181*10)</f>
        <v>0</v>
      </c>
      <c r="BI181" s="10"/>
      <c r="BJ181" s="182">
        <f>IF(Исходн.данные.!AH181=0,0,IF(HX181*HG181*HL181/AV181&lt;0,0,HX181*HG181*HL181/AV181*AJ181))</f>
        <v>0</v>
      </c>
      <c r="BK181" s="182">
        <f>IF(Исходн.данные.!AH181=0,0,HY181*HH181*HM181/AW181)</f>
        <v>0</v>
      </c>
      <c r="BL181" s="10">
        <f>IF(OR(Исходн.данные.!$AH181=$BP$1,Исходн.данные.!$AH181=$BP$2),0,IF(BH181&lt;0,0,IF(OR(Исходн.данные.!T181=Расчет!$BP$1,Исходн.данные.!T181=Расчет!$BP$2,Исходн.данные.!T181=Расчет!$BT$5,Исходн.данные.!T181=Расчет!$BT$6),BH181*0.5,IF(OR(Исходн.данные.!T181=Расчет!$BS$9,Исходн.данные.!T181=Расчет!$BS$10,Исходн.данные.!T181=Расчет!$BS$11,Исходн.данные.!T181=Расчет!$BS$12,Исходн.данные.!T181=Расчет!$BP$5),BH181*0.8,BH181))))</f>
        <v>0</v>
      </c>
      <c r="BM181" s="10">
        <f>IF(OR(Исходн.данные.!$AH181=$BP$1,Исходн.данные.!$AH181=$BP$2),0,IF(BJ181&lt;0,0,IF(Исходн.данные.!I181&lt;4.5,BJ181*1.2,IF(Исходн.данные.!I181&gt;5.1,BJ181,BJ181*((5.1-Исходн.данные.!I181)*0.333+1)))))</f>
        <v>0</v>
      </c>
      <c r="BN181" s="10">
        <f>IF(OR(Исходн.данные.!$AH181=$BP$1,Исходн.данные.!$AH181=$BP$2),60-Исходн.данные.!AF181,IF(BK181&lt;0,0,IF(Исходн.данные.!I181&lt;4.5,BK181*1.2,IF(Исходн.данные.!I181&gt;5.1,BK181,BK181*((5.1-Исходн.данные.!I181)*0.333+1)))))</f>
        <v>0</v>
      </c>
      <c r="BO181" s="9">
        <f>IF(BL181&lt;0,0,BL181*Исходн.данные.!$AJ181/1000)</f>
        <v>0</v>
      </c>
      <c r="BP181" s="9">
        <f>IF(BM181&lt;0,0,BM181*Исходн.данные.!$AJ181/1000)</f>
        <v>0</v>
      </c>
      <c r="BQ181" s="9">
        <f>IF(BN181&lt;0,0,BN181*Исходн.данные.!$AJ181/1000)</f>
        <v>0</v>
      </c>
      <c r="BR181" s="9">
        <f t="shared" si="229"/>
        <v>0</v>
      </c>
      <c r="BS181" s="10" t="str">
        <f t="shared" si="230"/>
        <v>Аммофос 12:52:00</v>
      </c>
      <c r="BT181" s="10" t="str">
        <f t="shared" si="231"/>
        <v>Аммофос 12:52:00</v>
      </c>
      <c r="BU181" s="10" t="str">
        <f t="shared" si="232"/>
        <v>Диаммофоска</v>
      </c>
      <c r="BV181" s="10">
        <f t="shared" si="233"/>
        <v>0</v>
      </c>
      <c r="BW181" s="10"/>
      <c r="BX181" s="10"/>
      <c r="BY181" s="9">
        <f>IF(BL181&lt;0,0,IF(OR(Исходн.данные.!AI181=Расчет!$BU$6,Исходн.данные.!AI181=Расчет!$BU$7),Расчет!BV181,IF(Исходн.данные.!$AG181=$BV$11,BL181,IF(OR(Исходн.данные.!$AH181=$BQ$7,Исходн.данные.!$AH181=$BQ$8),CB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0,IF(Исходн.данные.!$AI181=$BU$11,"Нет",IF(BL181&gt;30,30,BL181)))))))</f>
        <v>0</v>
      </c>
      <c r="BZ181" s="9">
        <f>IF(AND(Исходн.данные.!$AG181=$BV$11,BM181&lt;10),10,IF(Исходн.данные.!$AG181=$BV$11,BM181,IF(OR(Исходн.данные.!$AH181=$BQ$7,Исходн.данные.!$AH181=$BQ$8),CC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10,IF(Исходн.данные.!$AI181=$BU$11,"Нет",IF(BM181&gt;60,60,IF(BM181&lt;10,10,BM181)))))))</f>
        <v>10</v>
      </c>
      <c r="CA181" s="39">
        <f>IF(BN181&lt;0,0,IF(Исходн.данные.!$AG181=$BV$11,BN181,IF(OR(Исходн.данные.!$AH181=$BQ$7,Исходн.данные.!$AH181=$BQ$8),CD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0,IF(Исходн.данные.!$AI181=$BU$11,"Нет",IF(BN181&gt;30,30,BN181))))))</f>
        <v>0</v>
      </c>
      <c r="CB181" s="9">
        <f t="shared" si="234"/>
        <v>0</v>
      </c>
      <c r="CC181" s="9">
        <f t="shared" si="235"/>
        <v>0</v>
      </c>
      <c r="CD181" s="9">
        <f t="shared" si="236"/>
        <v>0</v>
      </c>
      <c r="CE181" s="12">
        <f t="shared" si="237"/>
        <v>10</v>
      </c>
      <c r="CF181" s="9">
        <f t="shared" si="238"/>
        <v>0</v>
      </c>
      <c r="CG181" s="9" t="s">
        <v>231</v>
      </c>
      <c r="CH181" s="132" t="str">
        <f>IF(Исходн.данные.!AP181=Расчет!$CI$16,"Нет",IF(Исходн.данные.!AL181&gt;0,Исходн.данные.!AL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BH$4,IF(OR(Исходн.данные.!AI181=Исходн.данные.!$AI$6,Исходн.данные.!AI181=Исходн.данные.!$AI$7),Расчет!BS181,IF(AND($CF181=0,$CE181&gt;0),EV181,ER181)))))</f>
        <v>Аммофос 12:52:00</v>
      </c>
      <c r="CI181" s="274">
        <f>IF(Расчет!$CH181="Нет","Нет",IF(Исходн.данные.!$AL181&gt;0,VLOOKUP(Расчет!$CH181,АшламаДВ_Irekle,2,FALSE),VLOOKUP(Расчет!$CH181,АшламаДВ_Gomumy,2,FALSE)))</f>
        <v>0.12</v>
      </c>
      <c r="CJ181" s="274">
        <f>IF(Расчет!$CH181="Нет","Нет",IF(Исходн.данные.!$AL181&gt;0,VLOOKUP(Расчет!$CH181,АшламаДВ_Irekle,3,FALSE),VLOOKUP(Расчет!$CH181,АшламаДВ_Gomumy,3,FALSE)))</f>
        <v>0.52</v>
      </c>
      <c r="CK181" s="274">
        <f>IF(Расчет!$CH181="Нет","Нет",IF(Исходн.данные.!$AL181&gt;0,VLOOKUP(Расчет!$CH181,АшламаДВ_Irekle,4,FALSE),VLOOKUP(Расчет!$CH181,АшламаДВ_Gomumy,4,FALSE)))</f>
        <v>0</v>
      </c>
      <c r="CL181" s="70"/>
      <c r="CM181" s="70"/>
      <c r="CN181" s="70"/>
      <c r="CO181" s="70"/>
      <c r="CP181" s="70"/>
      <c r="CQ181" s="70"/>
      <c r="CR181" s="10">
        <f t="shared" si="239"/>
        <v>0</v>
      </c>
      <c r="CS181" s="10">
        <f t="shared" si="240"/>
        <v>19.23076923076923</v>
      </c>
      <c r="CT181" s="10">
        <f t="shared" si="241"/>
        <v>0</v>
      </c>
      <c r="CU181" s="39">
        <f>IF($CH181="Нет",0,IF(CI181=0,30/MIN(CJ181:CK181),IF(Исходн.данные.!$AG181=$BV$11,CR181,IF(OR(Исходн.данные.!$AH181=$BQ$7,Исходн.данные.!$AH181=$BQ$8),90/CI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0,IF(Исходн.данные.!$AI181=$BU$11,"Нет",30/CI181))))))</f>
        <v>250</v>
      </c>
      <c r="CV181" s="39">
        <f>IF($CH181="Нет",0,IF(Исходн.данные.!AH181=0,0,IF(CJ181=0,60/MIN(CI181,CK181),IF(Исходн.данные.!$AG181=$BV$11,CS181,IF(OR(Исходн.данные.!$AH181=$BQ$7,Исходн.данные.!$AH181=$BQ$8),90/CJ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10/CJ181,IF(Исходн.данные.!$AI181=$BU$11,"Нет",60/CJ181)))))))</f>
        <v>0</v>
      </c>
      <c r="CW181" s="39">
        <f>IF($CH181="Нет",0,IF(Исходн.данные.!AH181=0,0,IF(CK181=0,30/MIN(CI181:CJ181),IF(Исходн.данные.!$AG181=$BV$11,CT181,IF(OR(Исходн.данные.!$AH181=$BQ$7,Исходн.данные.!$AH181=$BQ$8),90/CK181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0,IF(Исходн.данные.!$AI181=$BU$11,"Нет",30/CK181)))))))</f>
        <v>0</v>
      </c>
      <c r="CX181" s="133">
        <f>IF(Исходн.данные.!$AG181=$BV$11,MAX(CU181:CW181),IF(OR(Исходн.данные.!$AH181=$BS$8,Исходн.данные.!$AH181=$BQ$9,Исходн.данные.!$AH181=$BQ$10,Исходн.данные.!$AH181=$BQ$11,Исходн.данные.!$AH181=$BQ$12,Исходн.данные.!$AH181=$BP$3,Исходн.данные.!$AH181=$BT$8,$FM181="Да"),CV181,MIN(CU181:CW181)))</f>
        <v>0</v>
      </c>
      <c r="CY181" s="133">
        <f>IF(Исходн.данные.!AH181=0,0,IF(CR181&gt;$CX181,$CX181,CR181))</f>
        <v>0</v>
      </c>
      <c r="CZ181" s="133">
        <f>IF(Исходн.данные.!AH181=0,0,IF(CS181&gt;$CX181,$CX181,CS181))</f>
        <v>0</v>
      </c>
      <c r="DA181" s="133">
        <f>IF(Исходн.данные.!AH181=0,0,IF(CT181&gt;$CX181,$CX181,CT181))</f>
        <v>0</v>
      </c>
      <c r="DB181" s="10">
        <f t="shared" si="242"/>
        <v>0</v>
      </c>
      <c r="DC181" s="39">
        <f>DB181*Исходн.данные.!AJ181/1000</f>
        <v>0</v>
      </c>
      <c r="DD181" s="71">
        <f t="shared" si="243"/>
        <v>0</v>
      </c>
      <c r="DE181" s="9">
        <f t="shared" si="244"/>
        <v>0</v>
      </c>
      <c r="DF181" s="9">
        <f t="shared" si="245"/>
        <v>0</v>
      </c>
      <c r="DG181" s="39">
        <f>IF(BL181&lt;0,0,IF($CH181="Нет",BL181,IF(OR(Исходн.данные.!$AH181=$BP$1,Исходн.данные.!$AH181=$BP$2),0,IF(Исходн.данные.!AI181=$BU$11,BL181,IF(BL181-DD181&lt;0,0,BL181-DD181)))))</f>
        <v>0</v>
      </c>
      <c r="DH181" s="39">
        <f>IF(BM181&lt;0,0,IF($CH181="Нет",BM181,IF(OR(Исходн.данные.!$AH181=$BP$1,Исходн.данные.!$AH181=$BP$2),0,IF(Исходн.данные.!AJ181=$BU$11,BM181,IF(BM181-DE181&lt;0,0,BM181-DE181)))))</f>
        <v>0</v>
      </c>
      <c r="DI181" s="39">
        <f>IF(BN181&lt;0,0,IF($CH181="Нет",BN181,IF(OR(Исходн.данные.!$AH181=$BP$1,Исходн.данные.!$AH181=$BP$2),0,IF(Исходн.данные.!AK181=$BU$11,BN181,IF(BN181-DF181&lt;0,0,BN181-DF181)))))</f>
        <v>0</v>
      </c>
      <c r="DJ181" s="12">
        <f t="shared" si="246"/>
        <v>0</v>
      </c>
      <c r="DK181" s="9">
        <f t="shared" si="247"/>
        <v>0</v>
      </c>
      <c r="DL181" s="39">
        <f>IF(Исходн.данные.!AM181&gt;0,Исходн.данные.!AM181,IF(EG181&gt;0,$BH$10,0))</f>
        <v>0</v>
      </c>
      <c r="DM181" s="186">
        <f>IF($DL181=0,0,IF(Исходн.данные.!AM181&gt;0,VLOOKUP($DL181,АшламаДВ_Irekle,2,FALSE),VLOOKUP($DL181,АшламаДВ_Gomumy,2,FALSE)))</f>
        <v>0</v>
      </c>
      <c r="DN181" s="10">
        <f t="shared" si="225"/>
        <v>0</v>
      </c>
      <c r="DO181" s="9" t="str">
        <f>IF(Исходн.данные.!AN181&gt;0,Исходн.данные.!AN181,Удобрения!$B$37 )</f>
        <v>Хлор.калий</v>
      </c>
      <c r="DP181" s="9">
        <f>IF(Исходн.данные.!AN181&gt;0,VLOOKUP(Исходн.данные.!AN181,АшламаДВ_Irekle,4,FALSE),VLOOKUP(DO181,АшламаДВ_Gomumy,4,FALSE))</f>
        <v>0.6</v>
      </c>
      <c r="DQ181" s="10">
        <f t="shared" si="226"/>
        <v>0</v>
      </c>
      <c r="DR181" s="132" t="str">
        <f>IF(Исходн.данные.!AO181&gt;0,Исходн.данные.!AO181,IF(DH181=0,BS$17,IF(AND($DK181=0,$DJ181&gt;0),EJ181,EN181)))</f>
        <v>Нет</v>
      </c>
      <c r="DS181" s="70" t="str">
        <f>IF($DR181="Нет","Нет",IF(Исходн.данные.!$AO181&gt;0,VLOOKUP($DR181,АшламаДВ_Irekle,2,FALSE),VLOOKUP($DR181,АшламаДВ_Gomumy,2,FALSE)))</f>
        <v>Нет</v>
      </c>
      <c r="DT181" s="70" t="str">
        <f>IF($DR181="Нет","Нет",IF(Исходн.данные.!$AO181&gt;0,VLOOKUP($DR181,АшламаДВ_Irekle,3,FALSE),VLOOKUP($DR181,АшламаДВ_Gomumy,3,FALSE)))</f>
        <v>Нет</v>
      </c>
      <c r="DU181" s="70" t="str">
        <f>IF($DR181="Нет","Нет",IF(Исходн.данные.!$AO181&gt;0,VLOOKUP($DR181,АшламаДВ_Irekle,4,FALSE),VLOOKUP($DR181,АшламаДВ_Gomumy,4,FALSE)))</f>
        <v>Нет</v>
      </c>
      <c r="DV181" s="70"/>
      <c r="DW181" s="70"/>
      <c r="DX181" s="70"/>
      <c r="DY181" s="10">
        <f t="shared" si="248"/>
        <v>0</v>
      </c>
      <c r="DZ181" s="10">
        <f t="shared" si="249"/>
        <v>0</v>
      </c>
      <c r="EA181" s="10">
        <f t="shared" si="250"/>
        <v>0</v>
      </c>
      <c r="EB181" s="10">
        <f t="shared" si="251"/>
        <v>0</v>
      </c>
      <c r="EC181" s="10">
        <f t="shared" si="252"/>
        <v>0</v>
      </c>
      <c r="ED181" s="10">
        <f t="shared" si="253"/>
        <v>0</v>
      </c>
      <c r="EE181" s="10">
        <f t="shared" si="254"/>
        <v>0</v>
      </c>
      <c r="EF181" s="39">
        <f>EB181*Исходн.данные.!AJ181/1000</f>
        <v>0</v>
      </c>
      <c r="EG181" s="9">
        <f t="shared" si="255"/>
        <v>0</v>
      </c>
      <c r="EH181" s="9">
        <f t="shared" si="256"/>
        <v>0</v>
      </c>
      <c r="EI181" s="39" t="e">
        <f t="shared" si="206"/>
        <v>#DIV/0!</v>
      </c>
      <c r="EJ181" s="9" t="str">
        <f t="shared" si="227"/>
        <v>Азопреципитат</v>
      </c>
      <c r="EK181" s="12">
        <f t="shared" si="207"/>
        <v>0.26</v>
      </c>
      <c r="EL181" s="12">
        <f t="shared" si="208"/>
        <v>0.13</v>
      </c>
      <c r="EM181" s="12">
        <f t="shared" si="209"/>
        <v>0</v>
      </c>
      <c r="EN181" s="12" t="str">
        <f t="shared" si="228"/>
        <v>Нет</v>
      </c>
      <c r="EO181" s="12">
        <f t="shared" si="210"/>
        <v>0</v>
      </c>
      <c r="EP181" s="12">
        <f t="shared" si="211"/>
        <v>0</v>
      </c>
      <c r="EQ181" s="12">
        <f t="shared" si="212"/>
        <v>0</v>
      </c>
      <c r="ER181" s="12" t="str">
        <f t="shared" si="257"/>
        <v>Диаммофоска</v>
      </c>
      <c r="ES181" s="12">
        <f t="shared" si="213"/>
        <v>0.1</v>
      </c>
      <c r="ET181" s="12">
        <f t="shared" si="214"/>
        <v>0.26</v>
      </c>
      <c r="EU181" s="12">
        <f t="shared" si="215"/>
        <v>0.26</v>
      </c>
      <c r="EV181" s="12" t="str">
        <f t="shared" si="258"/>
        <v>Аммофос 12:52:00</v>
      </c>
      <c r="EW181" s="12" t="str">
        <f t="shared" si="259"/>
        <v>Кемира Свекловичное-6</v>
      </c>
      <c r="EX181" s="12">
        <f t="shared" si="216"/>
        <v>0.16</v>
      </c>
      <c r="EY181" s="12">
        <f t="shared" si="217"/>
        <v>0.12</v>
      </c>
      <c r="EZ181" s="12">
        <f t="shared" si="218"/>
        <v>0.17</v>
      </c>
      <c r="FA181" s="38" t="e">
        <f>IF(AND(OR(FJ181=$FD$1,FM181=$FD$1,FO181=$FD$1,FQ181=$FD$1,FS181=$FD$1),FD181=$FD$1,Исходн.данные.!J181&lt;2,FU181=$FD$1),"Бор,Кобальт",IF(AND(FO181=$FD$1,FH181=$FD$1,Исходн.данные.!J181&lt;2,FU181=$FD$1),"Бор,Кобальт",IF(AND(OR(FJ181=$FD$1,FM181=$FD$1,FQ181=$FD$1),FE181=$FD$1,Исходн.данные.!J181&lt;2,FT181=$FD$1,FU181=$FD$1),"Бор,Медь,Цинк",IF(AND(OR(FJ181=$FD$1,FR181="Да"),FI181="Да",Исходн.данные.!J181&lt;2,FT181="Да",FU181="Да"),"Бор,Цинк,Медь",IF(AND(OR(FM181="Да",FQ181="Да"),FI181="Да",Исходн.данные.!J181&lt;2,FT181="Да",FU181="Да"),"Бор,Цинк",IF(AND(FN181="Да",OR(FD181="Да",FE181="Да")),"Бор",FB181))))))</f>
        <v>#N/A</v>
      </c>
      <c r="FB181" s="134" t="e">
        <f>IF(AND(OR(FD181="Да",FE181="Да",FF181="Да",FG181="Да",FH181="Да"),FO181="Да"),"Бор",IF(AND(FP181="Да",OR(FD181="Да",FE181="Да",FI181="Да")),"Бор",IF(AND(FS181="Да",FE181="Да"),"Бор,Медь",IF(AND(OR(FJ181="Да",FK181="Да",FL181="Да"),FE181="Да",Исходн.данные.!I181&lt;5,FT181="Да",FU181="Да"),"Молибден,Цинк",IF(AND(FM181="Да",OR(FE181="Да",FF181="Да",FG181="Да",FH181="Да",FI181="Да")),"Молибден,Цинк",IF(AND(OR(FJ181="Да",FK181="Да",FL181="Да",FM181="Да",FQ181="Да"),OR(FE181="Да",FF181="Да"),FT181="Да",FU181="Да",Исходн.данные.!I181&gt;5.5),"Медь,Цинк",FC181))))))</f>
        <v>#N/A</v>
      </c>
      <c r="FC181" s="23" t="e">
        <f t="shared" si="260"/>
        <v>#N/A</v>
      </c>
      <c r="FD181" s="38" t="str">
        <f>IF(OR(Исходн.данные.!F181=$CC$1,Исходн.данные.!F181=$CC$2,Исходн.данные.!F181=$CC$3,Исходн.данные.!F181=$CC$4),"Да","Нет")</f>
        <v>Нет</v>
      </c>
      <c r="FE181" s="38" t="str">
        <f>IF(Исходн.данные.!F181=$CC$5,"Да","Нет")</f>
        <v>Нет</v>
      </c>
      <c r="FF181" s="38" t="str">
        <f>IF(OR(Исходн.данные.!F181=$CC$6,Исходн.данные.!F181=$CC$7),"Да","Нет")</f>
        <v>Нет</v>
      </c>
      <c r="FG181" s="38" t="str">
        <f>IF(OR(Исходн.данные.!F181=$CC$8,Исходн.данные.!F181=$CC$9),"Да","Нет")</f>
        <v>Нет</v>
      </c>
      <c r="FH181" s="38" t="str">
        <f>IF(Исходн.данные.!F181=$CC$10,"Да","Нет")</f>
        <v>Нет</v>
      </c>
      <c r="FI181" s="38" t="str">
        <f>IF(OR(Исходн.данные.!F181=$CC$11,Исходн.данные.!F181=$CC$12),"Да","Нет")</f>
        <v>Нет</v>
      </c>
      <c r="FJ181" s="38" t="str">
        <f>IF(OR(Исходн.данные.!AH181=$BS$1,Исходн.данные.!AH181=$BQ$11,Исходн.данные.!AH181=$BQ$12),"Да","Нет")</f>
        <v>Нет</v>
      </c>
      <c r="FK181" s="38" t="str">
        <f>IF(OR(Исходн.данные.!AH181=$BS$2,Исходн.данные.!AH181=$BS$4),"Да","Нет")</f>
        <v>Нет</v>
      </c>
      <c r="FL181" s="38" t="str">
        <f>IF(OR(Исходн.данные.!AH181=$BS$3,Исходн.данные.!AH181=$BS$5),"Да","Нет")</f>
        <v>Нет</v>
      </c>
      <c r="FM181" s="38" t="str">
        <f>IF(OR(Исходн.данные.!AH181=$BS$9,Исходн.данные.!AH181=$BS$10,Исходн.данные.!AH181=$BS$11,Исходн.данные.!AH181=$BS$12),"Да","Нет")</f>
        <v>Нет</v>
      </c>
      <c r="FN181" s="38" t="str">
        <f>IF(OR(Исходн.данные.!AH181=$BS$6,Исходн.данные.!AH181=$BP$3),"Да","Нет")</f>
        <v>Нет</v>
      </c>
      <c r="FO181" s="38" t="str">
        <f>IF(Исходн.данные.!AH181=$BQ$9,"Да","Нет")</f>
        <v>Нет</v>
      </c>
      <c r="FP181" s="38" t="str">
        <f>IF(OR(Исходн.данные.!AH181=$BS$8,Исходн.данные.!AH181=$BT$8),"Да","Нет")</f>
        <v>Нет</v>
      </c>
      <c r="FQ181" s="38" t="str">
        <f>IF(OR(Исходн.данные.!AH181=$BQ$7,Исходн.данные.!AH181=$BQ$8),"Да","Нет")</f>
        <v>Нет</v>
      </c>
      <c r="FR181" s="38" t="str">
        <f>IF(Исходн.данные.!AI181=$BU$9,"Да","Нет")</f>
        <v>Нет</v>
      </c>
      <c r="FS181" s="38" t="str">
        <f>IF(OR(Исходн.данные.!AH181=$BP$1,Исходн.данные.!AH181=$BP$2),"Да","Нет")</f>
        <v>Нет</v>
      </c>
      <c r="FT181" s="38" t="e">
        <f>IF((Исходн.данные.!K181*GO181*GS181*GW181+BL181*0.6+Исходн.данные.!Q181*4.5*0.275)&gt;90,"Да","Нет")</f>
        <v>#N/A</v>
      </c>
      <c r="FU181" s="38" t="e">
        <f>IF((Исходн.данные.!M181*GS181*GZ181+BM181*0.225)&gt;35,"Да","Нет")</f>
        <v>#N/A</v>
      </c>
      <c r="FV181" s="38" t="str">
        <f>IF(Исходн.данные.!O181&gt;175,"Да","Нет")</f>
        <v>Нет</v>
      </c>
      <c r="FW181" s="39" t="str">
        <f>IF(Исходн.данные.!I181&gt;5.5,"Да","Нет")</f>
        <v>Нет</v>
      </c>
      <c r="FX181" s="39" t="str">
        <f>IF(Исходн.данные.!J181&lt;2,"Да","Нет")</f>
        <v>Да</v>
      </c>
      <c r="FY181" s="39" t="e">
        <f>IF(HF181=$FY$16,0,Исходн.данные.!K181*GO181*GS181*GW181/HF181)</f>
        <v>#N/A</v>
      </c>
      <c r="FZ181" s="39" t="e">
        <f>Исходн.данные.!M181*GS181*GZ181/HG181</f>
        <v>#N/A</v>
      </c>
      <c r="GA181" s="39" t="e">
        <f>IF(K_Wyn=$FY$16,0,IF(Исходн.данные.!N181=Исходн.данные.!$L$10,Исходн.данные.!O181/1.1*GS181*HC181/HH181,IF(Исходн.данные.!N181=Исходн.данные.!$L$12,Исходн.данные.!O181/1.5*GS181*HC181/HH181,Исходн.данные.!O181*GS181*HC181/HH181)))</f>
        <v>#N/A</v>
      </c>
      <c r="GB181" s="39" t="e">
        <f>IF(HF181=$FY$16,0,((Исходн.данные.!Q181*N_Org+Исходн.данные.!R181*N_Sider+Исходн.данные.!S181*N_Soloma)*AO181+Расчет!BC181*VLOOKUP(Исходн.данные.!T181,Справ!$A$3:$O$57,15)*AO181+BB181*VLOOKUP(Исходн.данные.!T181,Справ!$A$3:$O$57,15)*AL181+(Исходн.данные.!V181*N_Rizotorf+Исходн.данные.!W181*N_Rizoagr))/HF181)</f>
        <v>#N/A</v>
      </c>
      <c r="GC181" s="39" t="e">
        <f>IF(HG181=$FY$16,0,((Исходн.данные.!Q181*Р_Org+Исходн.данные.!R181*P_Sider+Исходн.данные.!S181*P_Soloma)*AP181+Расчет!BC181*VLOOKUP(Исходн.данные.!T181,Справ!$A$3:$P$57,16)*AP181+BB181*VLOOKUP(Исходн.данные.!T181,Справ!$A$3:$P$57,16)*AM181)/HG181)</f>
        <v>#N/A</v>
      </c>
      <c r="GD181" s="39" t="e">
        <f>IF(HH181=$FY$16,0,((Исходн.данные.!Q181*К_Org+Исходн.данные.!R181*K_Sider+Исходн.данные.!S181*K_Soloma)*AQ181+Расчет!BC181*VLOOKUP(Исходн.данные.!T181,Справ!$A$3:$Q$57,17)*AQ181+BB181*VLOOKUP(Исходн.данные.!T181,Справ!$A$3:$Q$57,17)*AN181)/HH181)</f>
        <v>#N/A</v>
      </c>
      <c r="GE181" s="39" t="e">
        <f>IF(HF181=$FY$16,0,(Исходн.данные.!X181*AR181+Исходн.данные.!AA181*N_Org*AL181+Исходн.данные.!AB181*N_Sider*AL181+Исходн.данные.!AC181*N_Soloma*AL181)/HF181)</f>
        <v>#N/A</v>
      </c>
      <c r="GF181" s="39" t="e">
        <f>IF(HG181=$FY$16,0,(Исходн.данные.!Y181*AS181+Исходн.данные.!AA181*Р_Org*AM181+Исходн.данные.!AB181*P_Sider*AM181+Исходн.данные.!AC181*P_Soloma*AM181)/HG181)</f>
        <v>#N/A</v>
      </c>
      <c r="GG181" s="39" t="e">
        <f>IF(HH181=$FY$16,0,(Исходн.данные.!Z181*AT181+Исходн.данные.!AA181*К_Org*AN181+Исходн.данные.!AB181*K_Sider*AN181+Исходн.данные.!AC181*K_Soloma*AN181)/HH181)</f>
        <v>#N/A</v>
      </c>
      <c r="GH181" s="39" t="e">
        <f>Исходн.данные.!AD181*AU181/HF181</f>
        <v>#N/A</v>
      </c>
      <c r="GI181" s="39" t="e">
        <f>Исходн.данные.!AE181*AV181/HG181</f>
        <v>#N/A</v>
      </c>
      <c r="GJ181" s="39" t="e">
        <f>Исходн.данные.!AF181*AW181/HH181</f>
        <v>#N/A</v>
      </c>
      <c r="GK181" s="55">
        <f>Исходн.данные.!AK181</f>
        <v>0</v>
      </c>
      <c r="GL181" s="11" t="e">
        <f t="shared" si="261"/>
        <v>#N/A</v>
      </c>
      <c r="GM181" s="11" t="e">
        <f t="shared" si="262"/>
        <v>#N/A</v>
      </c>
      <c r="GN181" s="11" t="e">
        <f t="shared" si="263"/>
        <v>#N/A</v>
      </c>
      <c r="GO181" s="57">
        <f t="shared" si="264"/>
        <v>19</v>
      </c>
      <c r="GP181" s="55">
        <f>IF(OR(Исходн.данные.!F181=$CE$1,Исходн.данные.!F181=$CE$2,Исходн.данные.!F181=$CE$3,Исходн.данные.!F181=$CE$4,Исходн.данные.!F181=$CE$5),GQ181,GR181)</f>
        <v>19</v>
      </c>
      <c r="GQ181" s="55">
        <f>IF(Исходн.данные.!F181=$CE$1,28,IF(Исходн.данные.!F181=$CE$2,26,IF(Исходн.данные.!F181=$CE$3,24,IF(Исходн.данные.!F181=$CE$4,22,IF(Исходн.данные.!F181=$CE$5,20,GR181)))))</f>
        <v>19</v>
      </c>
      <c r="GR181" s="55">
        <f>IF(Исходн.данные.!F181=$CE$6,18,IF(Исходн.данные.!F181=$CE$7,16,IF(Исходн.данные.!F181=$CE$8,14,IF(Исходн.данные.!F181=$CE$9,13,IF(Исходн.данные.!F181=$CE$10,12,19)))))</f>
        <v>19</v>
      </c>
      <c r="GS181" s="55">
        <f>IF(Исходн.данные.!G181="Пес",0.035*(40+2*Исходн.данные.!H181),IF(Исходн.данные.!G181="Суп",0.0325*(40+2*Исходн.данные.!H181),0.03*(40+2*Исходн.данные.!H181)))</f>
        <v>1.2</v>
      </c>
      <c r="GT181" s="55">
        <f>IF(Исходн.данные.!H181&lt;23,2.6,IF(AND(Исходн.данные.!H181&gt;22,Исходн.данные.!H181&lt;26),3,IF(AND(Исходн.данные.!H181&gt;25,Исходн.данные.!H181&lt;29),3.4,3.6)))</f>
        <v>2.6</v>
      </c>
      <c r="GU181" s="55">
        <f>IF(Исходн.данные.!H181&lt;23,2.8,IF(AND(Исходн.данные.!H181&gt;22,Исходн.данные.!H181&lt;26),3.2,IF(AND(Исходн.данные.!H181&gt;25,Исходн.данные.!H181&lt;29),3.6,3.9)))</f>
        <v>2.8</v>
      </c>
      <c r="GV181" s="55">
        <f>IF(Исходн.данные.!H181&lt;23,3,IF(AND(Исходн.данные.!H181&gt;22,Исходн.данные.!H181&lt;26),3.5,IF(AND(Исходн.данные.!H181&gt;25,Исходн.данные.!H181&lt;29),3.9,4.2)))</f>
        <v>3</v>
      </c>
      <c r="GW181" s="55" t="e">
        <f>IF(Исходн.данные.!P181="Ум",GX181,GY181)</f>
        <v>#N/A</v>
      </c>
      <c r="GX181" s="55" t="e">
        <f>VLOOKUP(Исходн.данные.!AI181,Коэффициенты!$J$7:$L$13,2,FALSE)</f>
        <v>#N/A</v>
      </c>
      <c r="GY181" s="55" t="e">
        <f>VLOOKUP(Исходн.данные.!AI181,Коэффициенты!$J$7:$L$13,3,FALSE)</f>
        <v>#N/A</v>
      </c>
      <c r="GZ181" s="55" t="e">
        <f>(IF(Исходн.данные.!M181&lt;50,0.11*VLOOKUP(Исходн.данные.!AH181,Культуры.Информация,7,FALSE),IF(Исходн.данные.!M181&gt;250,0.05*VLOOKUP(Исходн.данные.!AH181,Культуры.Информация,7,FALSE),VLOOKUP(Исходн.данные.!AH181,Культуры.Информация,5,FALSE)/100*($GX$6+$GY$6*Исходн.данные.!M181))))*Расчет2!AI181</f>
        <v>#N/A</v>
      </c>
      <c r="HA181" s="211"/>
      <c r="HB181" s="211"/>
      <c r="HC181" s="55" t="e">
        <f>(IF(Исходн.данные.!O181&lt;80,0.2*VLOOKUP(Исходн.данные.!AH181,Культуры.Информация,8,FALSE),IF(Исходн.данные.!O181&gt;240,0.09*VLOOKUP(Исходн.данные.!AH181,Культуры.Информация,8,FALSE),VLOOKUP(Исходн.данные.!AH181,Культуры.Информация,6,FALSE)/100*($HB$6+$HC$6*Исходн.данные.!O181))))*Расчет2!AJ181</f>
        <v>#N/A</v>
      </c>
      <c r="HD181" s="55">
        <f>IF(Исходн.данные.!O181&gt;240,0.09,IF(Исходн.данные.!O181&lt;30,0.3,$HE$10+$HD$10*Исходн.данные.!O181))</f>
        <v>0.3</v>
      </c>
      <c r="HE181" s="55">
        <f>IF(Исходн.данные.!O181&gt;240,0.17,IF(Исходн.данные.!O181&lt;30,0.5,$HF$12+$HE$12*Исходн.данные.!O181))</f>
        <v>0.5</v>
      </c>
      <c r="HF181" s="55" t="e">
        <f>VLOOKUP(Исходн.данные.!AH181,Справ!$A$3:$D$58,2,FALSE)</f>
        <v>#N/A</v>
      </c>
      <c r="HG181" s="55" t="e">
        <f>VLOOKUP(Исходн.данные.!AH181,Справ!$A$3:$D$58,3,FALSE)</f>
        <v>#N/A</v>
      </c>
      <c r="HH181" s="55" t="e">
        <f>VLOOKUP(Исходн.данные.!AH181,Справ!$A$3:$D$58,4,FALSE)</f>
        <v>#N/A</v>
      </c>
      <c r="HI181" s="11" t="e">
        <f t="shared" si="265"/>
        <v>#N/A</v>
      </c>
      <c r="HJ181" s="11" t="e">
        <f t="shared" si="266"/>
        <v>#N/A</v>
      </c>
      <c r="HK181" s="11" t="e">
        <f t="shared" si="267"/>
        <v>#N/A</v>
      </c>
      <c r="HL181" s="55">
        <f>IF(OR(Исходн.данные.!G181="Глин",Исходн.данные.!G181="Т_суг"),1.1,IF(Исходн.данные.!G181="Ср_суг",1,1))</f>
        <v>1</v>
      </c>
      <c r="HM181" s="55">
        <f>IF(OR(Исходн.данные.!G181="Глин",Исходн.данные.!G181="Т_суг"),0.9,IF(Исходн.данные.!G181="Ср_суг",1,1.2))</f>
        <v>1.2</v>
      </c>
      <c r="HN181" s="11" t="e">
        <f t="shared" si="268"/>
        <v>#N/A</v>
      </c>
      <c r="HO181" s="11" t="e">
        <f t="shared" si="269"/>
        <v>#N/A</v>
      </c>
      <c r="HP181" s="11" t="e">
        <f t="shared" si="270"/>
        <v>#N/A</v>
      </c>
      <c r="HQ181" t="e">
        <f t="shared" si="271"/>
        <v>#N/A</v>
      </c>
      <c r="HR181" t="e">
        <f t="shared" si="272"/>
        <v>#N/A</v>
      </c>
      <c r="HS181" t="e">
        <f t="shared" si="273"/>
        <v>#N/A</v>
      </c>
      <c r="HT181" t="e">
        <f t="shared" si="219"/>
        <v>#N/A</v>
      </c>
      <c r="HU181" t="e">
        <f t="shared" si="220"/>
        <v>#N/A</v>
      </c>
      <c r="HV181" t="e">
        <f t="shared" si="221"/>
        <v>#N/A</v>
      </c>
      <c r="HW181" t="e">
        <f t="shared" si="222"/>
        <v>#N/A</v>
      </c>
      <c r="HX181" t="e">
        <f t="shared" si="223"/>
        <v>#N/A</v>
      </c>
      <c r="HY181" t="e">
        <f t="shared" si="224"/>
        <v>#N/A</v>
      </c>
      <c r="HZ181" s="55">
        <f>IF(OR(Исходн.данные.!AI181="Оз_Ч_П",Исходн.данные.!AI181="Оз_З_П",Исходн.данные.!AI181="Яр_зер"),12,30)</f>
        <v>30</v>
      </c>
      <c r="IA181" t="e">
        <f t="shared" si="274"/>
        <v>#N/A</v>
      </c>
      <c r="IB181" t="e">
        <f t="shared" si="275"/>
        <v>#N/A</v>
      </c>
      <c r="IC181" t="e">
        <f t="shared" si="276"/>
        <v>#N/A</v>
      </c>
      <c r="ID181" s="11" t="e">
        <f t="shared" si="277"/>
        <v>#N/A</v>
      </c>
      <c r="IE181" s="11" t="e">
        <f t="shared" si="278"/>
        <v>#N/A</v>
      </c>
      <c r="IF181" s="11" t="e">
        <f t="shared" si="279"/>
        <v>#N/A</v>
      </c>
    </row>
    <row r="182" spans="35:240" x14ac:dyDescent="0.2">
      <c r="AI182">
        <f>IF(Исходн.данные.!I182&gt;6,1,1.85-(0.148*Исходн.данные.!I182))</f>
        <v>1.85</v>
      </c>
      <c r="AJ182">
        <f>IF(Исходн.данные.!I182&gt;6,1,2.434-(0.246*Исходн.данные.!I182))</f>
        <v>2.4340000000000002</v>
      </c>
      <c r="AL182" s="148" t="b">
        <f>IF(Исходн.данные.!$P182="Ум",N_OrgUd_2g_um,IF(Исходн.данные.!$P182="Об",N_OrgUd_2g_ob))</f>
        <v>0</v>
      </c>
      <c r="AM182" s="148" t="b">
        <f>IF(Исходн.данные.!$P182="Ум",P_OrgUd_2g_um,IF(Исходн.данные.!$P182="Об",P_OrgUd_2g_ob))</f>
        <v>0</v>
      </c>
      <c r="AN182" s="148" t="b">
        <f>IF(Исходн.данные.!$P182="Ум",K_OrgUd_2g_um,IF(Исходн.данные.!$P182="Об",K_OrgUd_2g_ob))</f>
        <v>0</v>
      </c>
      <c r="AO182" s="148" t="b">
        <f>IF(Исходн.данные.!$P182="Ум",N_OrgUd_1g_um,IF(Исходн.данные.!$P182="Об",N_OrgUd_1g_ob))</f>
        <v>0</v>
      </c>
      <c r="AP182" s="148" t="b">
        <f>IF(Исходн.данные.!$P182="Ум",P_OrgUd_1g_um,IF(Исходн.данные.!$P182="Об",P_OrgUd_1g_ob))</f>
        <v>0</v>
      </c>
      <c r="AQ182" s="148" t="b">
        <f>IF(Исходн.данные.!$P182="Ум",K_OrgUd_1g_um,IF(Исходн.данные.!$P182="Об",K_OrgUd_1g_ob))</f>
        <v>0</v>
      </c>
      <c r="AR182" t="b">
        <f>IF(Исходн.данные.!$P182="Ум",N_MinUd_2g_um,IF(Исходн.данные.!$P182="Об",N_MinUd_2g_ob))</f>
        <v>0</v>
      </c>
      <c r="AS182" t="b">
        <f>IF(Исходн.данные.!$P182="Ум",P_MinUd_2g_um,IF(Исходн.данные.!$P182="Об",P_MinUd_2g_ob))</f>
        <v>0</v>
      </c>
      <c r="AT182" t="b">
        <f>IF(Исходн.данные.!$P182="Ум",K_MinUd_2g_um,IF(Исходн.данные.!$P182="Об",K_MinUd_2g_ob))</f>
        <v>0</v>
      </c>
      <c r="AU182" t="b">
        <f>IF(Исходн.данные.!$P182="Ум",N_MinUd_1g_um,IF(Исходн.данные.!$P182="Об",N_MinUd_1g_ob))</f>
        <v>0</v>
      </c>
      <c r="AV182" t="b">
        <f>IF(Исходн.данные.!P182="Ум",P_MinUd_1g_um,IF(Исходн.данные.!P182="Об",P_MinUd_1g_ob))</f>
        <v>0</v>
      </c>
      <c r="AW182" t="b">
        <f>IF(Исходн.данные.!P182="Ум",K_MinUd_1g_um,IF(Исходн.данные.!P182="Об",K_MinUd_1g_ob))</f>
        <v>0</v>
      </c>
      <c r="AY182" t="e">
        <f>VLOOKUP(Исходн.данные.!T182,Справ!$A$3:$N$57,12)</f>
        <v>#N/A</v>
      </c>
      <c r="AZ182" t="e">
        <f>VLOOKUP(Исходн.данные.!T182,Справ!$A$3:$N$57,13)</f>
        <v>#N/A</v>
      </c>
      <c r="BA182" t="e">
        <f>VLOOKUP(Исходн.данные.!T182,Справ!$A$3:$N$57,14)</f>
        <v>#N/A</v>
      </c>
      <c r="BB182">
        <f>IF(Исходн.данные.!AH182=0,0,25)</f>
        <v>0</v>
      </c>
      <c r="BC182" s="141">
        <f>IF(Исходн.данные.!AH182=0,0,IF(Исходн.данные.!T182=0,25,BD182))</f>
        <v>0</v>
      </c>
      <c r="BD182" s="168" t="e">
        <f>AY182+AZ182*Исходн.данные.!U182-POWER(BA182,2)*Исходн.данные.!U182</f>
        <v>#N/A</v>
      </c>
      <c r="BE18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2" s="25">
        <f>IF(Исходн.данные.!AH182=0,0,MIN(HN182:HP182))</f>
        <v>0</v>
      </c>
      <c r="BG182" s="9">
        <f>IF(Исходн.данные.!AH182=0,0,IF((HO182+10*0.25/HG182/HL182)&lt;17,17,HO182+10*0.25/HG182/HL182))</f>
        <v>0</v>
      </c>
      <c r="BH182" s="181">
        <f>IF(Исходн.данные.!AH182=0,0,HW182*HF182*HL182/AU182*AI182+Исходн.данные.!S182*10)</f>
        <v>0</v>
      </c>
      <c r="BI182" s="10"/>
      <c r="BJ182" s="182">
        <f>IF(Исходн.данные.!AH182=0,0,IF(HX182*HG182*HL182/AV182&lt;0,0,HX182*HG182*HL182/AV182*AJ182))</f>
        <v>0</v>
      </c>
      <c r="BK182" s="182">
        <f>IF(Исходн.данные.!AH182=0,0,HY182*HH182*HM182/AW182)</f>
        <v>0</v>
      </c>
      <c r="BL182" s="10">
        <f>IF(OR(Исходн.данные.!$AH182=$BP$1,Исходн.данные.!$AH182=$BP$2),0,IF(BH182&lt;0,0,IF(OR(Исходн.данные.!T182=Расчет!$BP$1,Исходн.данные.!T182=Расчет!$BP$2,Исходн.данные.!T182=Расчет!$BT$5,Исходн.данные.!T182=Расчет!$BT$6),BH182*0.5,IF(OR(Исходн.данные.!T182=Расчет!$BS$9,Исходн.данные.!T182=Расчет!$BS$10,Исходн.данные.!T182=Расчет!$BS$11,Исходн.данные.!T182=Расчет!$BS$12,Исходн.данные.!T182=Расчет!$BP$5),BH182*0.8,BH182))))</f>
        <v>0</v>
      </c>
      <c r="BM182" s="10">
        <f>IF(OR(Исходн.данные.!$AH182=$BP$1,Исходн.данные.!$AH182=$BP$2),0,IF(BJ182&lt;0,0,IF(Исходн.данные.!I182&lt;4.5,BJ182*1.2,IF(Исходн.данные.!I182&gt;5.1,BJ182,BJ182*((5.1-Исходн.данные.!I182)*0.333+1)))))</f>
        <v>0</v>
      </c>
      <c r="BN182" s="10">
        <f>IF(OR(Исходн.данные.!$AH182=$BP$1,Исходн.данные.!$AH182=$BP$2),60-Исходн.данные.!AF182,IF(BK182&lt;0,0,IF(Исходн.данные.!I182&lt;4.5,BK182*1.2,IF(Исходн.данные.!I182&gt;5.1,BK182,BK182*((5.1-Исходн.данные.!I182)*0.333+1)))))</f>
        <v>0</v>
      </c>
      <c r="BO182" s="9">
        <f>IF(BL182&lt;0,0,BL182*Исходн.данные.!$AJ182/1000)</f>
        <v>0</v>
      </c>
      <c r="BP182" s="9">
        <f>IF(BM182&lt;0,0,BM182*Исходн.данные.!$AJ182/1000)</f>
        <v>0</v>
      </c>
      <c r="BQ182" s="9">
        <f>IF(BN182&lt;0,0,BN182*Исходн.данные.!$AJ182/1000)</f>
        <v>0</v>
      </c>
      <c r="BR182" s="9">
        <f t="shared" si="229"/>
        <v>0</v>
      </c>
      <c r="BS182" s="10" t="str">
        <f t="shared" si="230"/>
        <v>Аммофос 12:52:00</v>
      </c>
      <c r="BT182" s="10" t="str">
        <f t="shared" si="231"/>
        <v>Аммофос 12:52:00</v>
      </c>
      <c r="BU182" s="10" t="str">
        <f t="shared" si="232"/>
        <v>Диаммофоска</v>
      </c>
      <c r="BV182" s="10">
        <f t="shared" si="233"/>
        <v>0</v>
      </c>
      <c r="BW182" s="10"/>
      <c r="BX182" s="10"/>
      <c r="BY182" s="9">
        <f>IF(BL182&lt;0,0,IF(OR(Исходн.данные.!AI182=Расчет!$BU$6,Исходн.данные.!AI182=Расчет!$BU$7),Расчет!BV182,IF(Исходн.данные.!$AG182=$BV$11,BL182,IF(OR(Исходн.данные.!$AH182=$BQ$7,Исходн.данные.!$AH182=$BQ$8),CB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0,IF(Исходн.данные.!$AI182=$BU$11,"Нет",IF(BL182&gt;30,30,BL182)))))))</f>
        <v>0</v>
      </c>
      <c r="BZ182" s="9">
        <f>IF(AND(Исходн.данные.!$AG182=$BV$11,BM182&lt;10),10,IF(Исходн.данные.!$AG182=$BV$11,BM182,IF(OR(Исходн.данные.!$AH182=$BQ$7,Исходн.данные.!$AH182=$BQ$8),CC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10,IF(Исходн.данные.!$AI182=$BU$11,"Нет",IF(BM182&gt;60,60,IF(BM182&lt;10,10,BM182)))))))</f>
        <v>10</v>
      </c>
      <c r="CA182" s="39">
        <f>IF(BN182&lt;0,0,IF(Исходн.данные.!$AG182=$BV$11,BN182,IF(OR(Исходн.данные.!$AH182=$BQ$7,Исходн.данные.!$AH182=$BQ$8),CD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0,IF(Исходн.данные.!$AI182=$BU$11,"Нет",IF(BN182&gt;30,30,BN182))))))</f>
        <v>0</v>
      </c>
      <c r="CB182" s="9">
        <f t="shared" si="234"/>
        <v>0</v>
      </c>
      <c r="CC182" s="9">
        <f t="shared" si="235"/>
        <v>0</v>
      </c>
      <c r="CD182" s="9">
        <f t="shared" si="236"/>
        <v>0</v>
      </c>
      <c r="CE182" s="12">
        <f t="shared" si="237"/>
        <v>10</v>
      </c>
      <c r="CF182" s="9">
        <f t="shared" si="238"/>
        <v>0</v>
      </c>
      <c r="CG182" s="9" t="s">
        <v>231</v>
      </c>
      <c r="CH182" s="132" t="str">
        <f>IF(Исходн.данные.!AP182=Расчет!$CI$16,"Нет",IF(Исходн.данные.!AL182&gt;0,Исходн.данные.!AL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BH$4,IF(OR(Исходн.данные.!AI182=Исходн.данные.!$AI$6,Исходн.данные.!AI182=Исходн.данные.!$AI$7),Расчет!BS182,IF(AND($CF182=0,$CE182&gt;0),EV182,ER182)))))</f>
        <v>Аммофос 12:52:00</v>
      </c>
      <c r="CI182" s="274">
        <f>IF(Расчет!$CH182="Нет","Нет",IF(Исходн.данные.!$AL182&gt;0,VLOOKUP(Расчет!$CH182,АшламаДВ_Irekle,2,FALSE),VLOOKUP(Расчет!$CH182,АшламаДВ_Gomumy,2,FALSE)))</f>
        <v>0.12</v>
      </c>
      <c r="CJ182" s="274">
        <f>IF(Расчет!$CH182="Нет","Нет",IF(Исходн.данные.!$AL182&gt;0,VLOOKUP(Расчет!$CH182,АшламаДВ_Irekle,3,FALSE),VLOOKUP(Расчет!$CH182,АшламаДВ_Gomumy,3,FALSE)))</f>
        <v>0.52</v>
      </c>
      <c r="CK182" s="274">
        <f>IF(Расчет!$CH182="Нет","Нет",IF(Исходн.данные.!$AL182&gt;0,VLOOKUP(Расчет!$CH182,АшламаДВ_Irekle,4,FALSE),VLOOKUP(Расчет!$CH182,АшламаДВ_Gomumy,4,FALSE)))</f>
        <v>0</v>
      </c>
      <c r="CL182" s="70"/>
      <c r="CM182" s="70"/>
      <c r="CN182" s="70"/>
      <c r="CO182" s="70"/>
      <c r="CP182" s="70"/>
      <c r="CQ182" s="70"/>
      <c r="CR182" s="10">
        <f t="shared" si="239"/>
        <v>0</v>
      </c>
      <c r="CS182" s="10">
        <f t="shared" si="240"/>
        <v>19.23076923076923</v>
      </c>
      <c r="CT182" s="10">
        <f t="shared" si="241"/>
        <v>0</v>
      </c>
      <c r="CU182" s="39">
        <f>IF($CH182="Нет",0,IF(CI182=0,30/MIN(CJ182:CK182),IF(Исходн.данные.!$AG182=$BV$11,CR182,IF(OR(Исходн.данные.!$AH182=$BQ$7,Исходн.данные.!$AH182=$BQ$8),90/CI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0,IF(Исходн.данные.!$AI182=$BU$11,"Нет",30/CI182))))))</f>
        <v>250</v>
      </c>
      <c r="CV182" s="39">
        <f>IF($CH182="Нет",0,IF(Исходн.данные.!AH182=0,0,IF(CJ182=0,60/MIN(CI182,CK182),IF(Исходн.данные.!$AG182=$BV$11,CS182,IF(OR(Исходн.данные.!$AH182=$BQ$7,Исходн.данные.!$AH182=$BQ$8),90/CJ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10/CJ182,IF(Исходн.данные.!$AI182=$BU$11,"Нет",60/CJ182)))))))</f>
        <v>0</v>
      </c>
      <c r="CW182" s="39">
        <f>IF($CH182="Нет",0,IF(Исходн.данные.!AH182=0,0,IF(CK182=0,30/MIN(CI182:CJ182),IF(Исходн.данные.!$AG182=$BV$11,CT182,IF(OR(Исходн.данные.!$AH182=$BQ$7,Исходн.данные.!$AH182=$BQ$8),90/CK182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0,IF(Исходн.данные.!$AI182=$BU$11,"Нет",30/CK182)))))))</f>
        <v>0</v>
      </c>
      <c r="CX182" s="133">
        <f>IF(Исходн.данные.!$AG182=$BV$11,MAX(CU182:CW182),IF(OR(Исходн.данные.!$AH182=$BS$8,Исходн.данные.!$AH182=$BQ$9,Исходн.данные.!$AH182=$BQ$10,Исходн.данные.!$AH182=$BQ$11,Исходн.данные.!$AH182=$BQ$12,Исходн.данные.!$AH182=$BP$3,Исходн.данные.!$AH182=$BT$8,$FM182="Да"),CV182,MIN(CU182:CW182)))</f>
        <v>0</v>
      </c>
      <c r="CY182" s="133">
        <f>IF(Исходн.данные.!AH182=0,0,IF(CR182&gt;$CX182,$CX182,CR182))</f>
        <v>0</v>
      </c>
      <c r="CZ182" s="133">
        <f>IF(Исходн.данные.!AH182=0,0,IF(CS182&gt;$CX182,$CX182,CS182))</f>
        <v>0</v>
      </c>
      <c r="DA182" s="133">
        <f>IF(Исходн.данные.!AH182=0,0,IF(CT182&gt;$CX182,$CX182,CT182))</f>
        <v>0</v>
      </c>
      <c r="DB182" s="10">
        <f t="shared" si="242"/>
        <v>0</v>
      </c>
      <c r="DC182" s="39">
        <f>DB182*Исходн.данные.!AJ182/1000</f>
        <v>0</v>
      </c>
      <c r="DD182" s="71">
        <f t="shared" si="243"/>
        <v>0</v>
      </c>
      <c r="DE182" s="9">
        <f t="shared" si="244"/>
        <v>0</v>
      </c>
      <c r="DF182" s="9">
        <f t="shared" si="245"/>
        <v>0</v>
      </c>
      <c r="DG182" s="39">
        <f>IF(BL182&lt;0,0,IF($CH182="Нет",BL182,IF(OR(Исходн.данные.!$AH182=$BP$1,Исходн.данные.!$AH182=$BP$2),0,IF(Исходн.данные.!AI182=$BU$11,BL182,IF(BL182-DD182&lt;0,0,BL182-DD182)))))</f>
        <v>0</v>
      </c>
      <c r="DH182" s="39">
        <f>IF(BM182&lt;0,0,IF($CH182="Нет",BM182,IF(OR(Исходн.данные.!$AH182=$BP$1,Исходн.данные.!$AH182=$BP$2),0,IF(Исходн.данные.!AJ182=$BU$11,BM182,IF(BM182-DE182&lt;0,0,BM182-DE182)))))</f>
        <v>0</v>
      </c>
      <c r="DI182" s="39">
        <f>IF(BN182&lt;0,0,IF($CH182="Нет",BN182,IF(OR(Исходн.данные.!$AH182=$BP$1,Исходн.данные.!$AH182=$BP$2),0,IF(Исходн.данные.!AK182=$BU$11,BN182,IF(BN182-DF182&lt;0,0,BN182-DF182)))))</f>
        <v>0</v>
      </c>
      <c r="DJ182" s="12">
        <f t="shared" si="246"/>
        <v>0</v>
      </c>
      <c r="DK182" s="9">
        <f t="shared" si="247"/>
        <v>0</v>
      </c>
      <c r="DL182" s="39">
        <f>IF(Исходн.данные.!AM182&gt;0,Исходн.данные.!AM182,IF(EG182&gt;0,$BH$10,0))</f>
        <v>0</v>
      </c>
      <c r="DM182" s="186">
        <f>IF($DL182=0,0,IF(Исходн.данные.!AM182&gt;0,VLOOKUP($DL182,АшламаДВ_Irekle,2,FALSE),VLOOKUP($DL182,АшламаДВ_Gomumy,2,FALSE)))</f>
        <v>0</v>
      </c>
      <c r="DN182" s="10">
        <f t="shared" si="225"/>
        <v>0</v>
      </c>
      <c r="DO182" s="9" t="str">
        <f>IF(Исходн.данные.!AN182&gt;0,Исходн.данные.!AN182,Удобрения!$B$37 )</f>
        <v>Хлор.калий</v>
      </c>
      <c r="DP182" s="9">
        <f>IF(Исходн.данные.!AN182&gt;0,VLOOKUP(Исходн.данные.!AN182,АшламаДВ_Irekle,4,FALSE),VLOOKUP(DO182,АшламаДВ_Gomumy,4,FALSE))</f>
        <v>0.6</v>
      </c>
      <c r="DQ182" s="10">
        <f t="shared" si="226"/>
        <v>0</v>
      </c>
      <c r="DR182" s="132" t="str">
        <f>IF(Исходн.данные.!AO182&gt;0,Исходн.данные.!AO182,IF(DH182=0,BS$17,IF(AND($DK182=0,$DJ182&gt;0),EJ182,EN182)))</f>
        <v>Нет</v>
      </c>
      <c r="DS182" s="70" t="str">
        <f>IF($DR182="Нет","Нет",IF(Исходн.данные.!$AO182&gt;0,VLOOKUP($DR182,АшламаДВ_Irekle,2,FALSE),VLOOKUP($DR182,АшламаДВ_Gomumy,2,FALSE)))</f>
        <v>Нет</v>
      </c>
      <c r="DT182" s="70" t="str">
        <f>IF($DR182="Нет","Нет",IF(Исходн.данные.!$AO182&gt;0,VLOOKUP($DR182,АшламаДВ_Irekle,3,FALSE),VLOOKUP($DR182,АшламаДВ_Gomumy,3,FALSE)))</f>
        <v>Нет</v>
      </c>
      <c r="DU182" s="70" t="str">
        <f>IF($DR182="Нет","Нет",IF(Исходн.данные.!$AO182&gt;0,VLOOKUP($DR182,АшламаДВ_Irekle,4,FALSE),VLOOKUP($DR182,АшламаДВ_Gomumy,4,FALSE)))</f>
        <v>Нет</v>
      </c>
      <c r="DV182" s="70"/>
      <c r="DW182" s="70"/>
      <c r="DX182" s="70"/>
      <c r="DY182" s="10">
        <f t="shared" si="248"/>
        <v>0</v>
      </c>
      <c r="DZ182" s="10">
        <f t="shared" si="249"/>
        <v>0</v>
      </c>
      <c r="EA182" s="10">
        <f t="shared" si="250"/>
        <v>0</v>
      </c>
      <c r="EB182" s="10">
        <f t="shared" si="251"/>
        <v>0</v>
      </c>
      <c r="EC182" s="10">
        <f t="shared" si="252"/>
        <v>0</v>
      </c>
      <c r="ED182" s="10">
        <f t="shared" si="253"/>
        <v>0</v>
      </c>
      <c r="EE182" s="10">
        <f t="shared" si="254"/>
        <v>0</v>
      </c>
      <c r="EF182" s="39">
        <f>EB182*Исходн.данные.!AJ182/1000</f>
        <v>0</v>
      </c>
      <c r="EG182" s="9">
        <f t="shared" si="255"/>
        <v>0</v>
      </c>
      <c r="EH182" s="9">
        <f t="shared" si="256"/>
        <v>0</v>
      </c>
      <c r="EI182" s="39" t="e">
        <f t="shared" si="206"/>
        <v>#DIV/0!</v>
      </c>
      <c r="EJ182" s="9" t="str">
        <f t="shared" si="227"/>
        <v>Азопреципитат</v>
      </c>
      <c r="EK182" s="12">
        <f t="shared" si="207"/>
        <v>0.26</v>
      </c>
      <c r="EL182" s="12">
        <f t="shared" si="208"/>
        <v>0.13</v>
      </c>
      <c r="EM182" s="12">
        <f t="shared" si="209"/>
        <v>0</v>
      </c>
      <c r="EN182" s="12" t="str">
        <f t="shared" si="228"/>
        <v>Нет</v>
      </c>
      <c r="EO182" s="12">
        <f t="shared" si="210"/>
        <v>0</v>
      </c>
      <c r="EP182" s="12">
        <f t="shared" si="211"/>
        <v>0</v>
      </c>
      <c r="EQ182" s="12">
        <f t="shared" si="212"/>
        <v>0</v>
      </c>
      <c r="ER182" s="12" t="str">
        <f t="shared" si="257"/>
        <v>Диаммофоска</v>
      </c>
      <c r="ES182" s="12">
        <f t="shared" si="213"/>
        <v>0.1</v>
      </c>
      <c r="ET182" s="12">
        <f t="shared" si="214"/>
        <v>0.26</v>
      </c>
      <c r="EU182" s="12">
        <f t="shared" si="215"/>
        <v>0.26</v>
      </c>
      <c r="EV182" s="12" t="str">
        <f t="shared" si="258"/>
        <v>Аммофос 12:52:00</v>
      </c>
      <c r="EW182" s="12" t="str">
        <f t="shared" si="259"/>
        <v>Кемира Свекловичное-6</v>
      </c>
      <c r="EX182" s="12">
        <f t="shared" si="216"/>
        <v>0.16</v>
      </c>
      <c r="EY182" s="12">
        <f t="shared" si="217"/>
        <v>0.12</v>
      </c>
      <c r="EZ182" s="12">
        <f t="shared" si="218"/>
        <v>0.17</v>
      </c>
      <c r="FA182" s="38" t="e">
        <f>IF(AND(OR(FJ182=$FD$1,FM182=$FD$1,FO182=$FD$1,FQ182=$FD$1,FS182=$FD$1),FD182=$FD$1,Исходн.данные.!J182&lt;2,FU182=$FD$1),"Бор,Кобальт",IF(AND(FO182=$FD$1,FH182=$FD$1,Исходн.данные.!J182&lt;2,FU182=$FD$1),"Бор,Кобальт",IF(AND(OR(FJ182=$FD$1,FM182=$FD$1,FQ182=$FD$1),FE182=$FD$1,Исходн.данные.!J182&lt;2,FT182=$FD$1,FU182=$FD$1),"Бор,Медь,Цинк",IF(AND(OR(FJ182=$FD$1,FR182="Да"),FI182="Да",Исходн.данные.!J182&lt;2,FT182="Да",FU182="Да"),"Бор,Цинк,Медь",IF(AND(OR(FM182="Да",FQ182="Да"),FI182="Да",Исходн.данные.!J182&lt;2,FT182="Да",FU182="Да"),"Бор,Цинк",IF(AND(FN182="Да",OR(FD182="Да",FE182="Да")),"Бор",FB182))))))</f>
        <v>#N/A</v>
      </c>
      <c r="FB182" s="134" t="e">
        <f>IF(AND(OR(FD182="Да",FE182="Да",FF182="Да",FG182="Да",FH182="Да"),FO182="Да"),"Бор",IF(AND(FP182="Да",OR(FD182="Да",FE182="Да",FI182="Да")),"Бор",IF(AND(FS182="Да",FE182="Да"),"Бор,Медь",IF(AND(OR(FJ182="Да",FK182="Да",FL182="Да"),FE182="Да",Исходн.данные.!I182&lt;5,FT182="Да",FU182="Да"),"Молибден,Цинк",IF(AND(FM182="Да",OR(FE182="Да",FF182="Да",FG182="Да",FH182="Да",FI182="Да")),"Молибден,Цинк",IF(AND(OR(FJ182="Да",FK182="Да",FL182="Да",FM182="Да",FQ182="Да"),OR(FE182="Да",FF182="Да"),FT182="Да",FU182="Да",Исходн.данные.!I182&gt;5.5),"Медь,Цинк",FC182))))))</f>
        <v>#N/A</v>
      </c>
      <c r="FC182" s="23" t="e">
        <f t="shared" si="260"/>
        <v>#N/A</v>
      </c>
      <c r="FD182" s="38" t="str">
        <f>IF(OR(Исходн.данные.!F182=$CC$1,Исходн.данные.!F182=$CC$2,Исходн.данные.!F182=$CC$3,Исходн.данные.!F182=$CC$4),"Да","Нет")</f>
        <v>Нет</v>
      </c>
      <c r="FE182" s="38" t="str">
        <f>IF(Исходн.данные.!F182=$CC$5,"Да","Нет")</f>
        <v>Нет</v>
      </c>
      <c r="FF182" s="38" t="str">
        <f>IF(OR(Исходн.данные.!F182=$CC$6,Исходн.данные.!F182=$CC$7),"Да","Нет")</f>
        <v>Нет</v>
      </c>
      <c r="FG182" s="38" t="str">
        <f>IF(OR(Исходн.данные.!F182=$CC$8,Исходн.данные.!F182=$CC$9),"Да","Нет")</f>
        <v>Нет</v>
      </c>
      <c r="FH182" s="38" t="str">
        <f>IF(Исходн.данные.!F182=$CC$10,"Да","Нет")</f>
        <v>Нет</v>
      </c>
      <c r="FI182" s="38" t="str">
        <f>IF(OR(Исходн.данные.!F182=$CC$11,Исходн.данные.!F182=$CC$12),"Да","Нет")</f>
        <v>Нет</v>
      </c>
      <c r="FJ182" s="38" t="str">
        <f>IF(OR(Исходн.данные.!AH182=$BS$1,Исходн.данные.!AH182=$BQ$11,Исходн.данные.!AH182=$BQ$12),"Да","Нет")</f>
        <v>Нет</v>
      </c>
      <c r="FK182" s="38" t="str">
        <f>IF(OR(Исходн.данные.!AH182=$BS$2,Исходн.данные.!AH182=$BS$4),"Да","Нет")</f>
        <v>Нет</v>
      </c>
      <c r="FL182" s="38" t="str">
        <f>IF(OR(Исходн.данные.!AH182=$BS$3,Исходн.данные.!AH182=$BS$5),"Да","Нет")</f>
        <v>Нет</v>
      </c>
      <c r="FM182" s="38" t="str">
        <f>IF(OR(Исходн.данные.!AH182=$BS$9,Исходн.данные.!AH182=$BS$10,Исходн.данные.!AH182=$BS$11,Исходн.данные.!AH182=$BS$12),"Да","Нет")</f>
        <v>Нет</v>
      </c>
      <c r="FN182" s="38" t="str">
        <f>IF(OR(Исходн.данные.!AH182=$BS$6,Исходн.данные.!AH182=$BP$3),"Да","Нет")</f>
        <v>Нет</v>
      </c>
      <c r="FO182" s="38" t="str">
        <f>IF(Исходн.данные.!AH182=$BQ$9,"Да","Нет")</f>
        <v>Нет</v>
      </c>
      <c r="FP182" s="38" t="str">
        <f>IF(OR(Исходн.данные.!AH182=$BS$8,Исходн.данные.!AH182=$BT$8),"Да","Нет")</f>
        <v>Нет</v>
      </c>
      <c r="FQ182" s="38" t="str">
        <f>IF(OR(Исходн.данные.!AH182=$BQ$7,Исходн.данные.!AH182=$BQ$8),"Да","Нет")</f>
        <v>Нет</v>
      </c>
      <c r="FR182" s="38" t="str">
        <f>IF(Исходн.данные.!AI182=$BU$9,"Да","Нет")</f>
        <v>Нет</v>
      </c>
      <c r="FS182" s="38" t="str">
        <f>IF(OR(Исходн.данные.!AH182=$BP$1,Исходн.данные.!AH182=$BP$2),"Да","Нет")</f>
        <v>Нет</v>
      </c>
      <c r="FT182" s="38" t="e">
        <f>IF((Исходн.данные.!K182*GO182*GS182*GW182+BL182*0.6+Исходн.данные.!Q182*4.5*0.275)&gt;90,"Да","Нет")</f>
        <v>#N/A</v>
      </c>
      <c r="FU182" s="38" t="e">
        <f>IF((Исходн.данные.!M182*GS182*GZ182+BM182*0.225)&gt;35,"Да","Нет")</f>
        <v>#N/A</v>
      </c>
      <c r="FV182" s="38" t="str">
        <f>IF(Исходн.данные.!O182&gt;175,"Да","Нет")</f>
        <v>Нет</v>
      </c>
      <c r="FW182" s="39" t="str">
        <f>IF(Исходн.данные.!I182&gt;5.5,"Да","Нет")</f>
        <v>Нет</v>
      </c>
      <c r="FX182" s="39" t="str">
        <f>IF(Исходн.данные.!J182&lt;2,"Да","Нет")</f>
        <v>Да</v>
      </c>
      <c r="FY182" s="39" t="e">
        <f>IF(HF182=$FY$16,0,Исходн.данные.!K182*GO182*GS182*GW182/HF182)</f>
        <v>#N/A</v>
      </c>
      <c r="FZ182" s="39" t="e">
        <f>Исходн.данные.!M182*GS182*GZ182/HG182</f>
        <v>#N/A</v>
      </c>
      <c r="GA182" s="39" t="e">
        <f>IF(K_Wyn=$FY$16,0,IF(Исходн.данные.!N182=Исходн.данные.!$L$10,Исходн.данные.!O182/1.1*GS182*HC182/HH182,IF(Исходн.данные.!N182=Исходн.данные.!$L$12,Исходн.данные.!O182/1.5*GS182*HC182/HH182,Исходн.данные.!O182*GS182*HC182/HH182)))</f>
        <v>#N/A</v>
      </c>
      <c r="GB182" s="39" t="e">
        <f>IF(HF182=$FY$16,0,((Исходн.данные.!Q182*N_Org+Исходн.данные.!R182*N_Sider+Исходн.данные.!S182*N_Soloma)*AO182+Расчет!BC182*VLOOKUP(Исходн.данные.!T182,Справ!$A$3:$O$57,15)*AO182+BB182*VLOOKUP(Исходн.данные.!T182,Справ!$A$3:$O$57,15)*AL182+(Исходн.данные.!V182*N_Rizotorf+Исходн.данные.!W182*N_Rizoagr))/HF182)</f>
        <v>#N/A</v>
      </c>
      <c r="GC182" s="39" t="e">
        <f>IF(HG182=$FY$16,0,((Исходн.данные.!Q182*Р_Org+Исходн.данные.!R182*P_Sider+Исходн.данные.!S182*P_Soloma)*AP182+Расчет!BC182*VLOOKUP(Исходн.данные.!T182,Справ!$A$3:$P$57,16)*AP182+BB182*VLOOKUP(Исходн.данные.!T182,Справ!$A$3:$P$57,16)*AM182)/HG182)</f>
        <v>#N/A</v>
      </c>
      <c r="GD182" s="39" t="e">
        <f>IF(HH182=$FY$16,0,((Исходн.данные.!Q182*К_Org+Исходн.данные.!R182*K_Sider+Исходн.данные.!S182*K_Soloma)*AQ182+Расчет!BC182*VLOOKUP(Исходн.данные.!T182,Справ!$A$3:$Q$57,17)*AQ182+BB182*VLOOKUP(Исходн.данные.!T182,Справ!$A$3:$Q$57,17)*AN182)/HH182)</f>
        <v>#N/A</v>
      </c>
      <c r="GE182" s="39" t="e">
        <f>IF(HF182=$FY$16,0,(Исходн.данные.!X182*AR182+Исходн.данные.!AA182*N_Org*AL182+Исходн.данные.!AB182*N_Sider*AL182+Исходн.данные.!AC182*N_Soloma*AL182)/HF182)</f>
        <v>#N/A</v>
      </c>
      <c r="GF182" s="39" t="e">
        <f>IF(HG182=$FY$16,0,(Исходн.данные.!Y182*AS182+Исходн.данные.!AA182*Р_Org*AM182+Исходн.данные.!AB182*P_Sider*AM182+Исходн.данные.!AC182*P_Soloma*AM182)/HG182)</f>
        <v>#N/A</v>
      </c>
      <c r="GG182" s="39" t="e">
        <f>IF(HH182=$FY$16,0,(Исходн.данные.!Z182*AT182+Исходн.данные.!AA182*К_Org*AN182+Исходн.данные.!AB182*K_Sider*AN182+Исходн.данные.!AC182*K_Soloma*AN182)/HH182)</f>
        <v>#N/A</v>
      </c>
      <c r="GH182" s="39" t="e">
        <f>Исходн.данные.!AD182*AU182/HF182</f>
        <v>#N/A</v>
      </c>
      <c r="GI182" s="39" t="e">
        <f>Исходн.данные.!AE182*AV182/HG182</f>
        <v>#N/A</v>
      </c>
      <c r="GJ182" s="39" t="e">
        <f>Исходн.данные.!AF182*AW182/HH182</f>
        <v>#N/A</v>
      </c>
      <c r="GK182" s="55">
        <f>Исходн.данные.!AK182</f>
        <v>0</v>
      </c>
      <c r="GL182" s="11" t="e">
        <f t="shared" si="261"/>
        <v>#N/A</v>
      </c>
      <c r="GM182" s="11" t="e">
        <f t="shared" si="262"/>
        <v>#N/A</v>
      </c>
      <c r="GN182" s="11" t="e">
        <f t="shared" si="263"/>
        <v>#N/A</v>
      </c>
      <c r="GO182" s="57">
        <f t="shared" si="264"/>
        <v>19</v>
      </c>
      <c r="GP182" s="55">
        <f>IF(OR(Исходн.данные.!F182=$CE$1,Исходн.данные.!F182=$CE$2,Исходн.данные.!F182=$CE$3,Исходн.данные.!F182=$CE$4,Исходн.данные.!F182=$CE$5),GQ182,GR182)</f>
        <v>19</v>
      </c>
      <c r="GQ182" s="55">
        <f>IF(Исходн.данные.!F182=$CE$1,28,IF(Исходн.данные.!F182=$CE$2,26,IF(Исходн.данные.!F182=$CE$3,24,IF(Исходн.данные.!F182=$CE$4,22,IF(Исходн.данные.!F182=$CE$5,20,GR182)))))</f>
        <v>19</v>
      </c>
      <c r="GR182" s="55">
        <f>IF(Исходн.данные.!F182=$CE$6,18,IF(Исходн.данные.!F182=$CE$7,16,IF(Исходн.данные.!F182=$CE$8,14,IF(Исходн.данные.!F182=$CE$9,13,IF(Исходн.данные.!F182=$CE$10,12,19)))))</f>
        <v>19</v>
      </c>
      <c r="GS182" s="55">
        <f>IF(Исходн.данные.!G182="Пес",0.035*(40+2*Исходн.данные.!H182),IF(Исходн.данные.!G182="Суп",0.0325*(40+2*Исходн.данные.!H182),0.03*(40+2*Исходн.данные.!H182)))</f>
        <v>1.2</v>
      </c>
      <c r="GT182" s="55">
        <f>IF(Исходн.данные.!H182&lt;23,2.6,IF(AND(Исходн.данные.!H182&gt;22,Исходн.данные.!H182&lt;26),3,IF(AND(Исходн.данные.!H182&gt;25,Исходн.данные.!H182&lt;29),3.4,3.6)))</f>
        <v>2.6</v>
      </c>
      <c r="GU182" s="55">
        <f>IF(Исходн.данные.!H182&lt;23,2.8,IF(AND(Исходн.данные.!H182&gt;22,Исходн.данные.!H182&lt;26),3.2,IF(AND(Исходн.данные.!H182&gt;25,Исходн.данные.!H182&lt;29),3.6,3.9)))</f>
        <v>2.8</v>
      </c>
      <c r="GV182" s="55">
        <f>IF(Исходн.данные.!H182&lt;23,3,IF(AND(Исходн.данные.!H182&gt;22,Исходн.данные.!H182&lt;26),3.5,IF(AND(Исходн.данные.!H182&gt;25,Исходн.данные.!H182&lt;29),3.9,4.2)))</f>
        <v>3</v>
      </c>
      <c r="GW182" s="55" t="e">
        <f>IF(Исходн.данные.!P182="Ум",GX182,GY182)</f>
        <v>#N/A</v>
      </c>
      <c r="GX182" s="55" t="e">
        <f>VLOOKUP(Исходн.данные.!AI182,Коэффициенты!$J$7:$L$13,2,FALSE)</f>
        <v>#N/A</v>
      </c>
      <c r="GY182" s="55" t="e">
        <f>VLOOKUP(Исходн.данные.!AI182,Коэффициенты!$J$7:$L$13,3,FALSE)</f>
        <v>#N/A</v>
      </c>
      <c r="GZ182" s="55" t="e">
        <f>(IF(Исходн.данные.!M182&lt;50,0.11*VLOOKUP(Исходн.данные.!AH182,Культуры.Информация,7,FALSE),IF(Исходн.данные.!M182&gt;250,0.05*VLOOKUP(Исходн.данные.!AH182,Культуры.Информация,7,FALSE),VLOOKUP(Исходн.данные.!AH182,Культуры.Информация,5,FALSE)/100*($GX$6+$GY$6*Исходн.данные.!M182))))*Расчет2!AI182</f>
        <v>#N/A</v>
      </c>
      <c r="HA182" s="211"/>
      <c r="HB182" s="211"/>
      <c r="HC182" s="55" t="e">
        <f>(IF(Исходн.данные.!O182&lt;80,0.2*VLOOKUP(Исходн.данные.!AH182,Культуры.Информация,8,FALSE),IF(Исходн.данные.!O182&gt;240,0.09*VLOOKUP(Исходн.данные.!AH182,Культуры.Информация,8,FALSE),VLOOKUP(Исходн.данные.!AH182,Культуры.Информация,6,FALSE)/100*($HB$6+$HC$6*Исходн.данные.!O182))))*Расчет2!AJ182</f>
        <v>#N/A</v>
      </c>
      <c r="HD182" s="55">
        <f>IF(Исходн.данные.!O182&gt;240,0.09,IF(Исходн.данные.!O182&lt;30,0.3,$HE$10+$HD$10*Исходн.данные.!O182))</f>
        <v>0.3</v>
      </c>
      <c r="HE182" s="55">
        <f>IF(Исходн.данные.!O182&gt;240,0.17,IF(Исходн.данные.!O182&lt;30,0.5,$HF$12+$HE$12*Исходн.данные.!O182))</f>
        <v>0.5</v>
      </c>
      <c r="HF182" s="55" t="e">
        <f>VLOOKUP(Исходн.данные.!AH182,Справ!$A$3:$D$58,2,FALSE)</f>
        <v>#N/A</v>
      </c>
      <c r="HG182" s="55" t="e">
        <f>VLOOKUP(Исходн.данные.!AH182,Справ!$A$3:$D$58,3,FALSE)</f>
        <v>#N/A</v>
      </c>
      <c r="HH182" s="55" t="e">
        <f>VLOOKUP(Исходн.данные.!AH182,Справ!$A$3:$D$58,4,FALSE)</f>
        <v>#N/A</v>
      </c>
      <c r="HI182" s="11" t="e">
        <f t="shared" si="265"/>
        <v>#N/A</v>
      </c>
      <c r="HJ182" s="11" t="e">
        <f t="shared" si="266"/>
        <v>#N/A</v>
      </c>
      <c r="HK182" s="11" t="e">
        <f t="shared" si="267"/>
        <v>#N/A</v>
      </c>
      <c r="HL182" s="55">
        <f>IF(OR(Исходн.данные.!G182="Глин",Исходн.данные.!G182="Т_суг"),1.1,IF(Исходн.данные.!G182="Ср_суг",1,1))</f>
        <v>1</v>
      </c>
      <c r="HM182" s="55">
        <f>IF(OR(Исходн.данные.!G182="Глин",Исходн.данные.!G182="Т_суг"),0.9,IF(Исходн.данные.!G182="Ср_суг",1,1.2))</f>
        <v>1.2</v>
      </c>
      <c r="HN182" s="11" t="e">
        <f t="shared" si="268"/>
        <v>#N/A</v>
      </c>
      <c r="HO182" s="11" t="e">
        <f t="shared" si="269"/>
        <v>#N/A</v>
      </c>
      <c r="HP182" s="11" t="e">
        <f t="shared" si="270"/>
        <v>#N/A</v>
      </c>
      <c r="HQ182" t="e">
        <f t="shared" si="271"/>
        <v>#N/A</v>
      </c>
      <c r="HR182" t="e">
        <f t="shared" si="272"/>
        <v>#N/A</v>
      </c>
      <c r="HS182" t="e">
        <f t="shared" si="273"/>
        <v>#N/A</v>
      </c>
      <c r="HT182" t="e">
        <f t="shared" si="219"/>
        <v>#N/A</v>
      </c>
      <c r="HU182" t="e">
        <f t="shared" si="220"/>
        <v>#N/A</v>
      </c>
      <c r="HV182" t="e">
        <f t="shared" si="221"/>
        <v>#N/A</v>
      </c>
      <c r="HW182" t="e">
        <f t="shared" si="222"/>
        <v>#N/A</v>
      </c>
      <c r="HX182" t="e">
        <f t="shared" si="223"/>
        <v>#N/A</v>
      </c>
      <c r="HY182" t="e">
        <f t="shared" si="224"/>
        <v>#N/A</v>
      </c>
      <c r="HZ182" s="55">
        <f>IF(OR(Исходн.данные.!AI182="Оз_Ч_П",Исходн.данные.!AI182="Оз_З_П",Исходн.данные.!AI182="Яр_зер"),12,30)</f>
        <v>30</v>
      </c>
      <c r="IA182" t="e">
        <f t="shared" si="274"/>
        <v>#N/A</v>
      </c>
      <c r="IB182" t="e">
        <f t="shared" si="275"/>
        <v>#N/A</v>
      </c>
      <c r="IC182" t="e">
        <f t="shared" si="276"/>
        <v>#N/A</v>
      </c>
      <c r="ID182" s="11" t="e">
        <f t="shared" si="277"/>
        <v>#N/A</v>
      </c>
      <c r="IE182" s="11" t="e">
        <f t="shared" si="278"/>
        <v>#N/A</v>
      </c>
      <c r="IF182" s="11" t="e">
        <f t="shared" si="279"/>
        <v>#N/A</v>
      </c>
    </row>
    <row r="183" spans="35:240" x14ac:dyDescent="0.2">
      <c r="AI183">
        <f>IF(Исходн.данные.!I183&gt;6,1,1.85-(0.148*Исходн.данные.!I183))</f>
        <v>1.85</v>
      </c>
      <c r="AJ183">
        <f>IF(Исходн.данные.!I183&gt;6,1,2.434-(0.246*Исходн.данные.!I183))</f>
        <v>2.4340000000000002</v>
      </c>
      <c r="AL183" s="148" t="b">
        <f>IF(Исходн.данные.!$P183="Ум",N_OrgUd_2g_um,IF(Исходн.данные.!$P183="Об",N_OrgUd_2g_ob))</f>
        <v>0</v>
      </c>
      <c r="AM183" s="148" t="b">
        <f>IF(Исходн.данные.!$P183="Ум",P_OrgUd_2g_um,IF(Исходн.данные.!$P183="Об",P_OrgUd_2g_ob))</f>
        <v>0</v>
      </c>
      <c r="AN183" s="148" t="b">
        <f>IF(Исходн.данные.!$P183="Ум",K_OrgUd_2g_um,IF(Исходн.данные.!$P183="Об",K_OrgUd_2g_ob))</f>
        <v>0</v>
      </c>
      <c r="AO183" s="148" t="b">
        <f>IF(Исходн.данные.!$P183="Ум",N_OrgUd_1g_um,IF(Исходн.данные.!$P183="Об",N_OrgUd_1g_ob))</f>
        <v>0</v>
      </c>
      <c r="AP183" s="148" t="b">
        <f>IF(Исходн.данные.!$P183="Ум",P_OrgUd_1g_um,IF(Исходн.данные.!$P183="Об",P_OrgUd_1g_ob))</f>
        <v>0</v>
      </c>
      <c r="AQ183" s="148" t="b">
        <f>IF(Исходн.данные.!$P183="Ум",K_OrgUd_1g_um,IF(Исходн.данные.!$P183="Об",K_OrgUd_1g_ob))</f>
        <v>0</v>
      </c>
      <c r="AR183" t="b">
        <f>IF(Исходн.данные.!$P183="Ум",N_MinUd_2g_um,IF(Исходн.данные.!$P183="Об",N_MinUd_2g_ob))</f>
        <v>0</v>
      </c>
      <c r="AS183" t="b">
        <f>IF(Исходн.данные.!$P183="Ум",P_MinUd_2g_um,IF(Исходн.данные.!$P183="Об",P_MinUd_2g_ob))</f>
        <v>0</v>
      </c>
      <c r="AT183" t="b">
        <f>IF(Исходн.данные.!$P183="Ум",K_MinUd_2g_um,IF(Исходн.данные.!$P183="Об",K_MinUd_2g_ob))</f>
        <v>0</v>
      </c>
      <c r="AU183" t="b">
        <f>IF(Исходн.данные.!$P183="Ум",N_MinUd_1g_um,IF(Исходн.данные.!$P183="Об",N_MinUd_1g_ob))</f>
        <v>0</v>
      </c>
      <c r="AV183" t="b">
        <f>IF(Исходн.данные.!P183="Ум",P_MinUd_1g_um,IF(Исходн.данные.!P183="Об",P_MinUd_1g_ob))</f>
        <v>0</v>
      </c>
      <c r="AW183" t="b">
        <f>IF(Исходн.данные.!P183="Ум",K_MinUd_1g_um,IF(Исходн.данные.!P183="Об",K_MinUd_1g_ob))</f>
        <v>0</v>
      </c>
      <c r="AY183" t="e">
        <f>VLOOKUP(Исходн.данные.!T183,Справ!$A$3:$N$57,12)</f>
        <v>#N/A</v>
      </c>
      <c r="AZ183" t="e">
        <f>VLOOKUP(Исходн.данные.!T183,Справ!$A$3:$N$57,13)</f>
        <v>#N/A</v>
      </c>
      <c r="BA183" t="e">
        <f>VLOOKUP(Исходн.данные.!T183,Справ!$A$3:$N$57,14)</f>
        <v>#N/A</v>
      </c>
      <c r="BB183">
        <f>IF(Исходн.данные.!AH183=0,0,25)</f>
        <v>0</v>
      </c>
      <c r="BC183" s="141">
        <f>IF(Исходн.данные.!AH183=0,0,IF(Исходн.данные.!T183=0,25,BD183))</f>
        <v>0</v>
      </c>
      <c r="BD183" s="168" t="e">
        <f>AY183+AZ183*Исходн.данные.!U183-POWER(BA183,2)*Исходн.данные.!U183</f>
        <v>#N/A</v>
      </c>
      <c r="BE18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3" s="25">
        <f>IF(Исходн.данные.!AH183=0,0,MIN(HN183:HP183))</f>
        <v>0</v>
      </c>
      <c r="BG183" s="9">
        <f>IF(Исходн.данные.!AH183=0,0,IF((HO183+10*0.25/HG183/HL183)&lt;17,17,HO183+10*0.25/HG183/HL183))</f>
        <v>0</v>
      </c>
      <c r="BH183" s="181">
        <f>IF(Исходн.данные.!AH183=0,0,HW183*HF183*HL183/AU183*AI183+Исходн.данные.!S183*10)</f>
        <v>0</v>
      </c>
      <c r="BI183" s="10"/>
      <c r="BJ183" s="182">
        <f>IF(Исходн.данные.!AH183=0,0,IF(HX183*HG183*HL183/AV183&lt;0,0,HX183*HG183*HL183/AV183*AJ183))</f>
        <v>0</v>
      </c>
      <c r="BK183" s="182">
        <f>IF(Исходн.данные.!AH183=0,0,HY183*HH183*HM183/AW183)</f>
        <v>0</v>
      </c>
      <c r="BL183" s="10">
        <f>IF(OR(Исходн.данные.!$AH183=$BP$1,Исходн.данные.!$AH183=$BP$2),0,IF(BH183&lt;0,0,IF(OR(Исходн.данные.!T183=Расчет!$BP$1,Исходн.данные.!T183=Расчет!$BP$2,Исходн.данные.!T183=Расчет!$BT$5,Исходн.данные.!T183=Расчет!$BT$6),BH183*0.5,IF(OR(Исходн.данные.!T183=Расчет!$BS$9,Исходн.данные.!T183=Расчет!$BS$10,Исходн.данные.!T183=Расчет!$BS$11,Исходн.данные.!T183=Расчет!$BS$12,Исходн.данные.!T183=Расчет!$BP$5),BH183*0.8,BH183))))</f>
        <v>0</v>
      </c>
      <c r="BM183" s="10">
        <f>IF(OR(Исходн.данные.!$AH183=$BP$1,Исходн.данные.!$AH183=$BP$2),0,IF(BJ183&lt;0,0,IF(Исходн.данные.!I183&lt;4.5,BJ183*1.2,IF(Исходн.данные.!I183&gt;5.1,BJ183,BJ183*((5.1-Исходн.данные.!I183)*0.333+1)))))</f>
        <v>0</v>
      </c>
      <c r="BN183" s="10">
        <f>IF(OR(Исходн.данные.!$AH183=$BP$1,Исходн.данные.!$AH183=$BP$2),60-Исходн.данные.!AF183,IF(BK183&lt;0,0,IF(Исходн.данные.!I183&lt;4.5,BK183*1.2,IF(Исходн.данные.!I183&gt;5.1,BK183,BK183*((5.1-Исходн.данные.!I183)*0.333+1)))))</f>
        <v>0</v>
      </c>
      <c r="BO183" s="9">
        <f>IF(BL183&lt;0,0,BL183*Исходн.данные.!$AJ183/1000)</f>
        <v>0</v>
      </c>
      <c r="BP183" s="9">
        <f>IF(BM183&lt;0,0,BM183*Исходн.данные.!$AJ183/1000)</f>
        <v>0</v>
      </c>
      <c r="BQ183" s="9">
        <f>IF(BN183&lt;0,0,BN183*Исходн.данные.!$AJ183/1000)</f>
        <v>0</v>
      </c>
      <c r="BR183" s="9">
        <f t="shared" si="229"/>
        <v>0</v>
      </c>
      <c r="BS183" s="10" t="str">
        <f t="shared" si="230"/>
        <v>Аммофос 12:52:00</v>
      </c>
      <c r="BT183" s="10" t="str">
        <f t="shared" si="231"/>
        <v>Аммофос 12:52:00</v>
      </c>
      <c r="BU183" s="10" t="str">
        <f t="shared" si="232"/>
        <v>Диаммофоска</v>
      </c>
      <c r="BV183" s="10">
        <f t="shared" si="233"/>
        <v>0</v>
      </c>
      <c r="BW183" s="10"/>
      <c r="BX183" s="10"/>
      <c r="BY183" s="9">
        <f>IF(BL183&lt;0,0,IF(OR(Исходн.данные.!AI183=Расчет!$BU$6,Исходн.данные.!AI183=Расчет!$BU$7),Расчет!BV183,IF(Исходн.данные.!$AG183=$BV$11,BL183,IF(OR(Исходн.данные.!$AH183=$BQ$7,Исходн.данные.!$AH183=$BQ$8),CB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0,IF(Исходн.данные.!$AI183=$BU$11,"Нет",IF(BL183&gt;30,30,BL183)))))))</f>
        <v>0</v>
      </c>
      <c r="BZ183" s="9">
        <f>IF(AND(Исходн.данные.!$AG183=$BV$11,BM183&lt;10),10,IF(Исходн.данные.!$AG183=$BV$11,BM183,IF(OR(Исходн.данные.!$AH183=$BQ$7,Исходн.данные.!$AH183=$BQ$8),CC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10,IF(Исходн.данные.!$AI183=$BU$11,"Нет",IF(BM183&gt;60,60,IF(BM183&lt;10,10,BM183)))))))</f>
        <v>10</v>
      </c>
      <c r="CA183" s="39">
        <f>IF(BN183&lt;0,0,IF(Исходн.данные.!$AG183=$BV$11,BN183,IF(OR(Исходн.данные.!$AH183=$BQ$7,Исходн.данные.!$AH183=$BQ$8),CD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0,IF(Исходн.данные.!$AI183=$BU$11,"Нет",IF(BN183&gt;30,30,BN183))))))</f>
        <v>0</v>
      </c>
      <c r="CB183" s="9">
        <f t="shared" si="234"/>
        <v>0</v>
      </c>
      <c r="CC183" s="9">
        <f t="shared" si="235"/>
        <v>0</v>
      </c>
      <c r="CD183" s="9">
        <f t="shared" si="236"/>
        <v>0</v>
      </c>
      <c r="CE183" s="12">
        <f t="shared" si="237"/>
        <v>10</v>
      </c>
      <c r="CF183" s="9">
        <f t="shared" si="238"/>
        <v>0</v>
      </c>
      <c r="CG183" s="9" t="s">
        <v>231</v>
      </c>
      <c r="CH183" s="132" t="str">
        <f>IF(Исходн.данные.!AP183=Расчет!$CI$16,"Нет",IF(Исходн.данные.!AL183&gt;0,Исходн.данные.!AL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BH$4,IF(OR(Исходн.данные.!AI183=Исходн.данные.!$AI$6,Исходн.данные.!AI183=Исходн.данные.!$AI$7),Расчет!BS183,IF(AND($CF183=0,$CE183&gt;0),EV183,ER183)))))</f>
        <v>Аммофос 12:52:00</v>
      </c>
      <c r="CI183" s="274">
        <f>IF(Расчет!$CH183="Нет","Нет",IF(Исходн.данные.!$AL183&gt;0,VLOOKUP(Расчет!$CH183,АшламаДВ_Irekle,2,FALSE),VLOOKUP(Расчет!$CH183,АшламаДВ_Gomumy,2,FALSE)))</f>
        <v>0.12</v>
      </c>
      <c r="CJ183" s="274">
        <f>IF(Расчет!$CH183="Нет","Нет",IF(Исходн.данные.!$AL183&gt;0,VLOOKUP(Расчет!$CH183,АшламаДВ_Irekle,3,FALSE),VLOOKUP(Расчет!$CH183,АшламаДВ_Gomumy,3,FALSE)))</f>
        <v>0.52</v>
      </c>
      <c r="CK183" s="274">
        <f>IF(Расчет!$CH183="Нет","Нет",IF(Исходн.данные.!$AL183&gt;0,VLOOKUP(Расчет!$CH183,АшламаДВ_Irekle,4,FALSE),VLOOKUP(Расчет!$CH183,АшламаДВ_Gomumy,4,FALSE)))</f>
        <v>0</v>
      </c>
      <c r="CL183" s="70"/>
      <c r="CM183" s="70"/>
      <c r="CN183" s="70"/>
      <c r="CO183" s="70"/>
      <c r="CP183" s="70"/>
      <c r="CQ183" s="70"/>
      <c r="CR183" s="10">
        <f t="shared" si="239"/>
        <v>0</v>
      </c>
      <c r="CS183" s="10">
        <f t="shared" si="240"/>
        <v>19.23076923076923</v>
      </c>
      <c r="CT183" s="10">
        <f t="shared" si="241"/>
        <v>0</v>
      </c>
      <c r="CU183" s="39">
        <f>IF($CH183="Нет",0,IF(CI183=0,30/MIN(CJ183:CK183),IF(Исходн.данные.!$AG183=$BV$11,CR183,IF(OR(Исходн.данные.!$AH183=$BQ$7,Исходн.данные.!$AH183=$BQ$8),90/CI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0,IF(Исходн.данные.!$AI183=$BU$11,"Нет",30/CI183))))))</f>
        <v>250</v>
      </c>
      <c r="CV183" s="39">
        <f>IF($CH183="Нет",0,IF(Исходн.данные.!AH183=0,0,IF(CJ183=0,60/MIN(CI183,CK183),IF(Исходн.данные.!$AG183=$BV$11,CS183,IF(OR(Исходн.данные.!$AH183=$BQ$7,Исходн.данные.!$AH183=$BQ$8),90/CJ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10/CJ183,IF(Исходн.данные.!$AI183=$BU$11,"Нет",60/CJ183)))))))</f>
        <v>0</v>
      </c>
      <c r="CW183" s="39">
        <f>IF($CH183="Нет",0,IF(Исходн.данные.!AH183=0,0,IF(CK183=0,30/MIN(CI183:CJ183),IF(Исходн.данные.!$AG183=$BV$11,CT183,IF(OR(Исходн.данные.!$AH183=$BQ$7,Исходн.данные.!$AH183=$BQ$8),90/CK183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0,IF(Исходн.данные.!$AI183=$BU$11,"Нет",30/CK183)))))))</f>
        <v>0</v>
      </c>
      <c r="CX183" s="133">
        <f>IF(Исходн.данные.!$AG183=$BV$11,MAX(CU183:CW183),IF(OR(Исходн.данные.!$AH183=$BS$8,Исходн.данные.!$AH183=$BQ$9,Исходн.данные.!$AH183=$BQ$10,Исходн.данные.!$AH183=$BQ$11,Исходн.данные.!$AH183=$BQ$12,Исходн.данные.!$AH183=$BP$3,Исходн.данные.!$AH183=$BT$8,$FM183="Да"),CV183,MIN(CU183:CW183)))</f>
        <v>0</v>
      </c>
      <c r="CY183" s="133">
        <f>IF(Исходн.данные.!AH183=0,0,IF(CR183&gt;$CX183,$CX183,CR183))</f>
        <v>0</v>
      </c>
      <c r="CZ183" s="133">
        <f>IF(Исходн.данные.!AH183=0,0,IF(CS183&gt;$CX183,$CX183,CS183))</f>
        <v>0</v>
      </c>
      <c r="DA183" s="133">
        <f>IF(Исходн.данные.!AH183=0,0,IF(CT183&gt;$CX183,$CX183,CT183))</f>
        <v>0</v>
      </c>
      <c r="DB183" s="10">
        <f t="shared" si="242"/>
        <v>0</v>
      </c>
      <c r="DC183" s="39">
        <f>DB183*Исходн.данные.!AJ183/1000</f>
        <v>0</v>
      </c>
      <c r="DD183" s="71">
        <f t="shared" si="243"/>
        <v>0</v>
      </c>
      <c r="DE183" s="9">
        <f t="shared" si="244"/>
        <v>0</v>
      </c>
      <c r="DF183" s="9">
        <f t="shared" si="245"/>
        <v>0</v>
      </c>
      <c r="DG183" s="39">
        <f>IF(BL183&lt;0,0,IF($CH183="Нет",BL183,IF(OR(Исходн.данные.!$AH183=$BP$1,Исходн.данные.!$AH183=$BP$2),0,IF(Исходн.данные.!AI183=$BU$11,BL183,IF(BL183-DD183&lt;0,0,BL183-DD183)))))</f>
        <v>0</v>
      </c>
      <c r="DH183" s="39">
        <f>IF(BM183&lt;0,0,IF($CH183="Нет",BM183,IF(OR(Исходн.данные.!$AH183=$BP$1,Исходн.данные.!$AH183=$BP$2),0,IF(Исходн.данные.!AJ183=$BU$11,BM183,IF(BM183-DE183&lt;0,0,BM183-DE183)))))</f>
        <v>0</v>
      </c>
      <c r="DI183" s="39">
        <f>IF(BN183&lt;0,0,IF($CH183="Нет",BN183,IF(OR(Исходн.данные.!$AH183=$BP$1,Исходн.данные.!$AH183=$BP$2),0,IF(Исходн.данные.!AK183=$BU$11,BN183,IF(BN183-DF183&lt;0,0,BN183-DF183)))))</f>
        <v>0</v>
      </c>
      <c r="DJ183" s="12">
        <f t="shared" si="246"/>
        <v>0</v>
      </c>
      <c r="DK183" s="9">
        <f t="shared" si="247"/>
        <v>0</v>
      </c>
      <c r="DL183" s="39">
        <f>IF(Исходн.данные.!AM183&gt;0,Исходн.данные.!AM183,IF(EG183&gt;0,$BH$10,0))</f>
        <v>0</v>
      </c>
      <c r="DM183" s="186">
        <f>IF($DL183=0,0,IF(Исходн.данные.!AM183&gt;0,VLOOKUP($DL183,АшламаДВ_Irekle,2,FALSE),VLOOKUP($DL183,АшламаДВ_Gomumy,2,FALSE)))</f>
        <v>0</v>
      </c>
      <c r="DN183" s="10">
        <f t="shared" si="225"/>
        <v>0</v>
      </c>
      <c r="DO183" s="9" t="str">
        <f>IF(Исходн.данные.!AN183&gt;0,Исходн.данные.!AN183,Удобрения!$B$37 )</f>
        <v>Хлор.калий</v>
      </c>
      <c r="DP183" s="9">
        <f>IF(Исходн.данные.!AN183&gt;0,VLOOKUP(Исходн.данные.!AN183,АшламаДВ_Irekle,4,FALSE),VLOOKUP(DO183,АшламаДВ_Gomumy,4,FALSE))</f>
        <v>0.6</v>
      </c>
      <c r="DQ183" s="10">
        <f t="shared" si="226"/>
        <v>0</v>
      </c>
      <c r="DR183" s="132" t="str">
        <f>IF(Исходн.данные.!AO183&gt;0,Исходн.данные.!AO183,IF(DH183=0,BS$17,IF(AND($DK183=0,$DJ183&gt;0),EJ183,EN183)))</f>
        <v>Нет</v>
      </c>
      <c r="DS183" s="70" t="str">
        <f>IF($DR183="Нет","Нет",IF(Исходн.данные.!$AO183&gt;0,VLOOKUP($DR183,АшламаДВ_Irekle,2,FALSE),VLOOKUP($DR183,АшламаДВ_Gomumy,2,FALSE)))</f>
        <v>Нет</v>
      </c>
      <c r="DT183" s="70" t="str">
        <f>IF($DR183="Нет","Нет",IF(Исходн.данные.!$AO183&gt;0,VLOOKUP($DR183,АшламаДВ_Irekle,3,FALSE),VLOOKUP($DR183,АшламаДВ_Gomumy,3,FALSE)))</f>
        <v>Нет</v>
      </c>
      <c r="DU183" s="70" t="str">
        <f>IF($DR183="Нет","Нет",IF(Исходн.данные.!$AO183&gt;0,VLOOKUP($DR183,АшламаДВ_Irekle,4,FALSE),VLOOKUP($DR183,АшламаДВ_Gomumy,4,FALSE)))</f>
        <v>Нет</v>
      </c>
      <c r="DV183" s="70"/>
      <c r="DW183" s="70"/>
      <c r="DX183" s="70"/>
      <c r="DY183" s="10">
        <f t="shared" si="248"/>
        <v>0</v>
      </c>
      <c r="DZ183" s="10">
        <f t="shared" si="249"/>
        <v>0</v>
      </c>
      <c r="EA183" s="10">
        <f t="shared" si="250"/>
        <v>0</v>
      </c>
      <c r="EB183" s="10">
        <f t="shared" si="251"/>
        <v>0</v>
      </c>
      <c r="EC183" s="10">
        <f t="shared" si="252"/>
        <v>0</v>
      </c>
      <c r="ED183" s="10">
        <f t="shared" si="253"/>
        <v>0</v>
      </c>
      <c r="EE183" s="10">
        <f t="shared" si="254"/>
        <v>0</v>
      </c>
      <c r="EF183" s="39">
        <f>EB183*Исходн.данные.!AJ183/1000</f>
        <v>0</v>
      </c>
      <c r="EG183" s="9">
        <f t="shared" si="255"/>
        <v>0</v>
      </c>
      <c r="EH183" s="9">
        <f t="shared" si="256"/>
        <v>0</v>
      </c>
      <c r="EI183" s="39" t="e">
        <f t="shared" si="206"/>
        <v>#DIV/0!</v>
      </c>
      <c r="EJ183" s="9" t="str">
        <f t="shared" si="227"/>
        <v>Азопреципитат</v>
      </c>
      <c r="EK183" s="12">
        <f t="shared" si="207"/>
        <v>0.26</v>
      </c>
      <c r="EL183" s="12">
        <f t="shared" si="208"/>
        <v>0.13</v>
      </c>
      <c r="EM183" s="12">
        <f t="shared" si="209"/>
        <v>0</v>
      </c>
      <c r="EN183" s="12" t="str">
        <f t="shared" si="228"/>
        <v>Нет</v>
      </c>
      <c r="EO183" s="12">
        <f t="shared" si="210"/>
        <v>0</v>
      </c>
      <c r="EP183" s="12">
        <f t="shared" si="211"/>
        <v>0</v>
      </c>
      <c r="EQ183" s="12">
        <f t="shared" si="212"/>
        <v>0</v>
      </c>
      <c r="ER183" s="12" t="str">
        <f t="shared" si="257"/>
        <v>Диаммофоска</v>
      </c>
      <c r="ES183" s="12">
        <f t="shared" si="213"/>
        <v>0.1</v>
      </c>
      <c r="ET183" s="12">
        <f t="shared" si="214"/>
        <v>0.26</v>
      </c>
      <c r="EU183" s="12">
        <f t="shared" si="215"/>
        <v>0.26</v>
      </c>
      <c r="EV183" s="12" t="str">
        <f t="shared" si="258"/>
        <v>Аммофос 12:52:00</v>
      </c>
      <c r="EW183" s="12" t="str">
        <f t="shared" si="259"/>
        <v>Кемира Свекловичное-6</v>
      </c>
      <c r="EX183" s="12">
        <f t="shared" si="216"/>
        <v>0.16</v>
      </c>
      <c r="EY183" s="12">
        <f t="shared" si="217"/>
        <v>0.12</v>
      </c>
      <c r="EZ183" s="12">
        <f t="shared" si="218"/>
        <v>0.17</v>
      </c>
      <c r="FA183" s="38" t="e">
        <f>IF(AND(OR(FJ183=$FD$1,FM183=$FD$1,FO183=$FD$1,FQ183=$FD$1,FS183=$FD$1),FD183=$FD$1,Исходн.данные.!J183&lt;2,FU183=$FD$1),"Бор,Кобальт",IF(AND(FO183=$FD$1,FH183=$FD$1,Исходн.данные.!J183&lt;2,FU183=$FD$1),"Бор,Кобальт",IF(AND(OR(FJ183=$FD$1,FM183=$FD$1,FQ183=$FD$1),FE183=$FD$1,Исходн.данные.!J183&lt;2,FT183=$FD$1,FU183=$FD$1),"Бор,Медь,Цинк",IF(AND(OR(FJ183=$FD$1,FR183="Да"),FI183="Да",Исходн.данные.!J183&lt;2,FT183="Да",FU183="Да"),"Бор,Цинк,Медь",IF(AND(OR(FM183="Да",FQ183="Да"),FI183="Да",Исходн.данные.!J183&lt;2,FT183="Да",FU183="Да"),"Бор,Цинк",IF(AND(FN183="Да",OR(FD183="Да",FE183="Да")),"Бор",FB183))))))</f>
        <v>#N/A</v>
      </c>
      <c r="FB183" s="134" t="e">
        <f>IF(AND(OR(FD183="Да",FE183="Да",FF183="Да",FG183="Да",FH183="Да"),FO183="Да"),"Бор",IF(AND(FP183="Да",OR(FD183="Да",FE183="Да",FI183="Да")),"Бор",IF(AND(FS183="Да",FE183="Да"),"Бор,Медь",IF(AND(OR(FJ183="Да",FK183="Да",FL183="Да"),FE183="Да",Исходн.данные.!I183&lt;5,FT183="Да",FU183="Да"),"Молибден,Цинк",IF(AND(FM183="Да",OR(FE183="Да",FF183="Да",FG183="Да",FH183="Да",FI183="Да")),"Молибден,Цинк",IF(AND(OR(FJ183="Да",FK183="Да",FL183="Да",FM183="Да",FQ183="Да"),OR(FE183="Да",FF183="Да"),FT183="Да",FU183="Да",Исходн.данные.!I183&gt;5.5),"Медь,Цинк",FC183))))))</f>
        <v>#N/A</v>
      </c>
      <c r="FC183" s="23" t="e">
        <f t="shared" si="260"/>
        <v>#N/A</v>
      </c>
      <c r="FD183" s="38" t="str">
        <f>IF(OR(Исходн.данные.!F183=$CC$1,Исходн.данные.!F183=$CC$2,Исходн.данные.!F183=$CC$3,Исходн.данные.!F183=$CC$4),"Да","Нет")</f>
        <v>Нет</v>
      </c>
      <c r="FE183" s="38" t="str">
        <f>IF(Исходн.данные.!F183=$CC$5,"Да","Нет")</f>
        <v>Нет</v>
      </c>
      <c r="FF183" s="38" t="str">
        <f>IF(OR(Исходн.данные.!F183=$CC$6,Исходн.данные.!F183=$CC$7),"Да","Нет")</f>
        <v>Нет</v>
      </c>
      <c r="FG183" s="38" t="str">
        <f>IF(OR(Исходн.данные.!F183=$CC$8,Исходн.данные.!F183=$CC$9),"Да","Нет")</f>
        <v>Нет</v>
      </c>
      <c r="FH183" s="38" t="str">
        <f>IF(Исходн.данные.!F183=$CC$10,"Да","Нет")</f>
        <v>Нет</v>
      </c>
      <c r="FI183" s="38" t="str">
        <f>IF(OR(Исходн.данные.!F183=$CC$11,Исходн.данные.!F183=$CC$12),"Да","Нет")</f>
        <v>Нет</v>
      </c>
      <c r="FJ183" s="38" t="str">
        <f>IF(OR(Исходн.данные.!AH183=$BS$1,Исходн.данные.!AH183=$BQ$11,Исходн.данные.!AH183=$BQ$12),"Да","Нет")</f>
        <v>Нет</v>
      </c>
      <c r="FK183" s="38" t="str">
        <f>IF(OR(Исходн.данные.!AH183=$BS$2,Исходн.данные.!AH183=$BS$4),"Да","Нет")</f>
        <v>Нет</v>
      </c>
      <c r="FL183" s="38" t="str">
        <f>IF(OR(Исходн.данные.!AH183=$BS$3,Исходн.данные.!AH183=$BS$5),"Да","Нет")</f>
        <v>Нет</v>
      </c>
      <c r="FM183" s="38" t="str">
        <f>IF(OR(Исходн.данные.!AH183=$BS$9,Исходн.данные.!AH183=$BS$10,Исходн.данные.!AH183=$BS$11,Исходн.данные.!AH183=$BS$12),"Да","Нет")</f>
        <v>Нет</v>
      </c>
      <c r="FN183" s="38" t="str">
        <f>IF(OR(Исходн.данные.!AH183=$BS$6,Исходн.данные.!AH183=$BP$3),"Да","Нет")</f>
        <v>Нет</v>
      </c>
      <c r="FO183" s="38" t="str">
        <f>IF(Исходн.данные.!AH183=$BQ$9,"Да","Нет")</f>
        <v>Нет</v>
      </c>
      <c r="FP183" s="38" t="str">
        <f>IF(OR(Исходн.данные.!AH183=$BS$8,Исходн.данные.!AH183=$BT$8),"Да","Нет")</f>
        <v>Нет</v>
      </c>
      <c r="FQ183" s="38" t="str">
        <f>IF(OR(Исходн.данные.!AH183=$BQ$7,Исходн.данные.!AH183=$BQ$8),"Да","Нет")</f>
        <v>Нет</v>
      </c>
      <c r="FR183" s="38" t="str">
        <f>IF(Исходн.данные.!AI183=$BU$9,"Да","Нет")</f>
        <v>Нет</v>
      </c>
      <c r="FS183" s="38" t="str">
        <f>IF(OR(Исходн.данные.!AH183=$BP$1,Исходн.данные.!AH183=$BP$2),"Да","Нет")</f>
        <v>Нет</v>
      </c>
      <c r="FT183" s="38" t="e">
        <f>IF((Исходн.данные.!K183*GO183*GS183*GW183+BL183*0.6+Исходн.данные.!Q183*4.5*0.275)&gt;90,"Да","Нет")</f>
        <v>#N/A</v>
      </c>
      <c r="FU183" s="38" t="e">
        <f>IF((Исходн.данные.!M183*GS183*GZ183+BM183*0.225)&gt;35,"Да","Нет")</f>
        <v>#N/A</v>
      </c>
      <c r="FV183" s="38" t="str">
        <f>IF(Исходн.данные.!O183&gt;175,"Да","Нет")</f>
        <v>Нет</v>
      </c>
      <c r="FW183" s="39" t="str">
        <f>IF(Исходн.данные.!I183&gt;5.5,"Да","Нет")</f>
        <v>Нет</v>
      </c>
      <c r="FX183" s="39" t="str">
        <f>IF(Исходн.данные.!J183&lt;2,"Да","Нет")</f>
        <v>Да</v>
      </c>
      <c r="FY183" s="39" t="e">
        <f>IF(HF183=$FY$16,0,Исходн.данные.!K183*GO183*GS183*GW183/HF183)</f>
        <v>#N/A</v>
      </c>
      <c r="FZ183" s="39" t="e">
        <f>Исходн.данные.!M183*GS183*GZ183/HG183</f>
        <v>#N/A</v>
      </c>
      <c r="GA183" s="39" t="e">
        <f>IF(K_Wyn=$FY$16,0,IF(Исходн.данные.!N183=Исходн.данные.!$L$10,Исходн.данные.!O183/1.1*GS183*HC183/HH183,IF(Исходн.данные.!N183=Исходн.данные.!$L$12,Исходн.данные.!O183/1.5*GS183*HC183/HH183,Исходн.данные.!O183*GS183*HC183/HH183)))</f>
        <v>#N/A</v>
      </c>
      <c r="GB183" s="39" t="e">
        <f>IF(HF183=$FY$16,0,((Исходн.данные.!Q183*N_Org+Исходн.данные.!R183*N_Sider+Исходн.данные.!S183*N_Soloma)*AO183+Расчет!BC183*VLOOKUP(Исходн.данные.!T183,Справ!$A$3:$O$57,15)*AO183+BB183*VLOOKUP(Исходн.данные.!T183,Справ!$A$3:$O$57,15)*AL183+(Исходн.данные.!V183*N_Rizotorf+Исходн.данные.!W183*N_Rizoagr))/HF183)</f>
        <v>#N/A</v>
      </c>
      <c r="GC183" s="39" t="e">
        <f>IF(HG183=$FY$16,0,((Исходн.данные.!Q183*Р_Org+Исходн.данные.!R183*P_Sider+Исходн.данные.!S183*P_Soloma)*AP183+Расчет!BC183*VLOOKUP(Исходн.данные.!T183,Справ!$A$3:$P$57,16)*AP183+BB183*VLOOKUP(Исходн.данные.!T183,Справ!$A$3:$P$57,16)*AM183)/HG183)</f>
        <v>#N/A</v>
      </c>
      <c r="GD183" s="39" t="e">
        <f>IF(HH183=$FY$16,0,((Исходн.данные.!Q183*К_Org+Исходн.данные.!R183*K_Sider+Исходн.данные.!S183*K_Soloma)*AQ183+Расчет!BC183*VLOOKUP(Исходн.данные.!T183,Справ!$A$3:$Q$57,17)*AQ183+BB183*VLOOKUP(Исходн.данные.!T183,Справ!$A$3:$Q$57,17)*AN183)/HH183)</f>
        <v>#N/A</v>
      </c>
      <c r="GE183" s="39" t="e">
        <f>IF(HF183=$FY$16,0,(Исходн.данные.!X183*AR183+Исходн.данные.!AA183*N_Org*AL183+Исходн.данные.!AB183*N_Sider*AL183+Исходн.данные.!AC183*N_Soloma*AL183)/HF183)</f>
        <v>#N/A</v>
      </c>
      <c r="GF183" s="39" t="e">
        <f>IF(HG183=$FY$16,0,(Исходн.данные.!Y183*AS183+Исходн.данные.!AA183*Р_Org*AM183+Исходн.данные.!AB183*P_Sider*AM183+Исходн.данные.!AC183*P_Soloma*AM183)/HG183)</f>
        <v>#N/A</v>
      </c>
      <c r="GG183" s="39" t="e">
        <f>IF(HH183=$FY$16,0,(Исходн.данные.!Z183*AT183+Исходн.данные.!AA183*К_Org*AN183+Исходн.данные.!AB183*K_Sider*AN183+Исходн.данные.!AC183*K_Soloma*AN183)/HH183)</f>
        <v>#N/A</v>
      </c>
      <c r="GH183" s="39" t="e">
        <f>Исходн.данные.!AD183*AU183/HF183</f>
        <v>#N/A</v>
      </c>
      <c r="GI183" s="39" t="e">
        <f>Исходн.данные.!AE183*AV183/HG183</f>
        <v>#N/A</v>
      </c>
      <c r="GJ183" s="39" t="e">
        <f>Исходн.данные.!AF183*AW183/HH183</f>
        <v>#N/A</v>
      </c>
      <c r="GK183" s="55">
        <f>Исходн.данные.!AK183</f>
        <v>0</v>
      </c>
      <c r="GL183" s="11" t="e">
        <f t="shared" si="261"/>
        <v>#N/A</v>
      </c>
      <c r="GM183" s="11" t="e">
        <f t="shared" si="262"/>
        <v>#N/A</v>
      </c>
      <c r="GN183" s="11" t="e">
        <f t="shared" si="263"/>
        <v>#N/A</v>
      </c>
      <c r="GO183" s="57">
        <f t="shared" si="264"/>
        <v>19</v>
      </c>
      <c r="GP183" s="55">
        <f>IF(OR(Исходн.данные.!F183=$CE$1,Исходн.данные.!F183=$CE$2,Исходн.данные.!F183=$CE$3,Исходн.данные.!F183=$CE$4,Исходн.данные.!F183=$CE$5),GQ183,GR183)</f>
        <v>19</v>
      </c>
      <c r="GQ183" s="55">
        <f>IF(Исходн.данные.!F183=$CE$1,28,IF(Исходн.данные.!F183=$CE$2,26,IF(Исходн.данные.!F183=$CE$3,24,IF(Исходн.данные.!F183=$CE$4,22,IF(Исходн.данные.!F183=$CE$5,20,GR183)))))</f>
        <v>19</v>
      </c>
      <c r="GR183" s="55">
        <f>IF(Исходн.данные.!F183=$CE$6,18,IF(Исходн.данные.!F183=$CE$7,16,IF(Исходн.данные.!F183=$CE$8,14,IF(Исходн.данные.!F183=$CE$9,13,IF(Исходн.данные.!F183=$CE$10,12,19)))))</f>
        <v>19</v>
      </c>
      <c r="GS183" s="55">
        <f>IF(Исходн.данные.!G183="Пес",0.035*(40+2*Исходн.данные.!H183),IF(Исходн.данные.!G183="Суп",0.0325*(40+2*Исходн.данные.!H183),0.03*(40+2*Исходн.данные.!H183)))</f>
        <v>1.2</v>
      </c>
      <c r="GT183" s="55">
        <f>IF(Исходн.данные.!H183&lt;23,2.6,IF(AND(Исходн.данные.!H183&gt;22,Исходн.данные.!H183&lt;26),3,IF(AND(Исходн.данные.!H183&gt;25,Исходн.данные.!H183&lt;29),3.4,3.6)))</f>
        <v>2.6</v>
      </c>
      <c r="GU183" s="55">
        <f>IF(Исходн.данные.!H183&lt;23,2.8,IF(AND(Исходн.данные.!H183&gt;22,Исходн.данные.!H183&lt;26),3.2,IF(AND(Исходн.данные.!H183&gt;25,Исходн.данные.!H183&lt;29),3.6,3.9)))</f>
        <v>2.8</v>
      </c>
      <c r="GV183" s="55">
        <f>IF(Исходн.данные.!H183&lt;23,3,IF(AND(Исходн.данные.!H183&gt;22,Исходн.данные.!H183&lt;26),3.5,IF(AND(Исходн.данные.!H183&gt;25,Исходн.данные.!H183&lt;29),3.9,4.2)))</f>
        <v>3</v>
      </c>
      <c r="GW183" s="55" t="e">
        <f>IF(Исходн.данные.!P183="Ум",GX183,GY183)</f>
        <v>#N/A</v>
      </c>
      <c r="GX183" s="55" t="e">
        <f>VLOOKUP(Исходн.данные.!AI183,Коэффициенты!$J$7:$L$13,2,FALSE)</f>
        <v>#N/A</v>
      </c>
      <c r="GY183" s="55" t="e">
        <f>VLOOKUP(Исходн.данные.!AI183,Коэффициенты!$J$7:$L$13,3,FALSE)</f>
        <v>#N/A</v>
      </c>
      <c r="GZ183" s="55" t="e">
        <f>(IF(Исходн.данные.!M183&lt;50,0.11*VLOOKUP(Исходн.данные.!AH183,Культуры.Информация,7,FALSE),IF(Исходн.данные.!M183&gt;250,0.05*VLOOKUP(Исходн.данные.!AH183,Культуры.Информация,7,FALSE),VLOOKUP(Исходн.данные.!AH183,Культуры.Информация,5,FALSE)/100*($GX$6+$GY$6*Исходн.данные.!M183))))*Расчет2!AI183</f>
        <v>#N/A</v>
      </c>
      <c r="HA183" s="211"/>
      <c r="HB183" s="211"/>
      <c r="HC183" s="55" t="e">
        <f>(IF(Исходн.данные.!O183&lt;80,0.2*VLOOKUP(Исходн.данные.!AH183,Культуры.Информация,8,FALSE),IF(Исходн.данные.!O183&gt;240,0.09*VLOOKUP(Исходн.данные.!AH183,Культуры.Информация,8,FALSE),VLOOKUP(Исходн.данные.!AH183,Культуры.Информация,6,FALSE)/100*($HB$6+$HC$6*Исходн.данные.!O183))))*Расчет2!AJ183</f>
        <v>#N/A</v>
      </c>
      <c r="HD183" s="55">
        <f>IF(Исходн.данные.!O183&gt;240,0.09,IF(Исходн.данные.!O183&lt;30,0.3,$HE$10+$HD$10*Исходн.данные.!O183))</f>
        <v>0.3</v>
      </c>
      <c r="HE183" s="55">
        <f>IF(Исходн.данные.!O183&gt;240,0.17,IF(Исходн.данные.!O183&lt;30,0.5,$HF$12+$HE$12*Исходн.данные.!O183))</f>
        <v>0.5</v>
      </c>
      <c r="HF183" s="55" t="e">
        <f>VLOOKUP(Исходн.данные.!AH183,Справ!$A$3:$D$58,2,FALSE)</f>
        <v>#N/A</v>
      </c>
      <c r="HG183" s="55" t="e">
        <f>VLOOKUP(Исходн.данные.!AH183,Справ!$A$3:$D$58,3,FALSE)</f>
        <v>#N/A</v>
      </c>
      <c r="HH183" s="55" t="e">
        <f>VLOOKUP(Исходн.данные.!AH183,Справ!$A$3:$D$58,4,FALSE)</f>
        <v>#N/A</v>
      </c>
      <c r="HI183" s="11" t="e">
        <f t="shared" si="265"/>
        <v>#N/A</v>
      </c>
      <c r="HJ183" s="11" t="e">
        <f t="shared" si="266"/>
        <v>#N/A</v>
      </c>
      <c r="HK183" s="11" t="e">
        <f t="shared" si="267"/>
        <v>#N/A</v>
      </c>
      <c r="HL183" s="55">
        <f>IF(OR(Исходн.данные.!G183="Глин",Исходн.данные.!G183="Т_суг"),1.1,IF(Исходн.данные.!G183="Ср_суг",1,1))</f>
        <v>1</v>
      </c>
      <c r="HM183" s="55">
        <f>IF(OR(Исходн.данные.!G183="Глин",Исходн.данные.!G183="Т_суг"),0.9,IF(Исходн.данные.!G183="Ср_суг",1,1.2))</f>
        <v>1.2</v>
      </c>
      <c r="HN183" s="11" t="e">
        <f t="shared" si="268"/>
        <v>#N/A</v>
      </c>
      <c r="HO183" s="11" t="e">
        <f t="shared" si="269"/>
        <v>#N/A</v>
      </c>
      <c r="HP183" s="11" t="e">
        <f t="shared" si="270"/>
        <v>#N/A</v>
      </c>
      <c r="HQ183" t="e">
        <f t="shared" si="271"/>
        <v>#N/A</v>
      </c>
      <c r="HR183" t="e">
        <f t="shared" si="272"/>
        <v>#N/A</v>
      </c>
      <c r="HS183" t="e">
        <f t="shared" si="273"/>
        <v>#N/A</v>
      </c>
      <c r="HT183" t="e">
        <f t="shared" si="219"/>
        <v>#N/A</v>
      </c>
      <c r="HU183" t="e">
        <f t="shared" si="220"/>
        <v>#N/A</v>
      </c>
      <c r="HV183" t="e">
        <f t="shared" si="221"/>
        <v>#N/A</v>
      </c>
      <c r="HW183" t="e">
        <f t="shared" si="222"/>
        <v>#N/A</v>
      </c>
      <c r="HX183" t="e">
        <f t="shared" si="223"/>
        <v>#N/A</v>
      </c>
      <c r="HY183" t="e">
        <f t="shared" si="224"/>
        <v>#N/A</v>
      </c>
      <c r="HZ183" s="55">
        <f>IF(OR(Исходн.данные.!AI183="Оз_Ч_П",Исходн.данные.!AI183="Оз_З_П",Исходн.данные.!AI183="Яр_зер"),12,30)</f>
        <v>30</v>
      </c>
      <c r="IA183" t="e">
        <f t="shared" si="274"/>
        <v>#N/A</v>
      </c>
      <c r="IB183" t="e">
        <f t="shared" si="275"/>
        <v>#N/A</v>
      </c>
      <c r="IC183" t="e">
        <f t="shared" si="276"/>
        <v>#N/A</v>
      </c>
      <c r="ID183" s="11" t="e">
        <f t="shared" si="277"/>
        <v>#N/A</v>
      </c>
      <c r="IE183" s="11" t="e">
        <f t="shared" si="278"/>
        <v>#N/A</v>
      </c>
      <c r="IF183" s="11" t="e">
        <f t="shared" si="279"/>
        <v>#N/A</v>
      </c>
    </row>
    <row r="184" spans="35:240" x14ac:dyDescent="0.2">
      <c r="AI184">
        <f>IF(Исходн.данные.!I184&gt;6,1,1.85-(0.148*Исходн.данные.!I184))</f>
        <v>1.85</v>
      </c>
      <c r="AJ184">
        <f>IF(Исходн.данные.!I184&gt;6,1,2.434-(0.246*Исходн.данные.!I184))</f>
        <v>2.4340000000000002</v>
      </c>
      <c r="AL184" s="148" t="b">
        <f>IF(Исходн.данные.!$P184="Ум",N_OrgUd_2g_um,IF(Исходн.данные.!$P184="Об",N_OrgUd_2g_ob))</f>
        <v>0</v>
      </c>
      <c r="AM184" s="148" t="b">
        <f>IF(Исходн.данные.!$P184="Ум",P_OrgUd_2g_um,IF(Исходн.данные.!$P184="Об",P_OrgUd_2g_ob))</f>
        <v>0</v>
      </c>
      <c r="AN184" s="148" t="b">
        <f>IF(Исходн.данные.!$P184="Ум",K_OrgUd_2g_um,IF(Исходн.данные.!$P184="Об",K_OrgUd_2g_ob))</f>
        <v>0</v>
      </c>
      <c r="AO184" s="148" t="b">
        <f>IF(Исходн.данные.!$P184="Ум",N_OrgUd_1g_um,IF(Исходн.данные.!$P184="Об",N_OrgUd_1g_ob))</f>
        <v>0</v>
      </c>
      <c r="AP184" s="148" t="b">
        <f>IF(Исходн.данные.!$P184="Ум",P_OrgUd_1g_um,IF(Исходн.данные.!$P184="Об",P_OrgUd_1g_ob))</f>
        <v>0</v>
      </c>
      <c r="AQ184" s="148" t="b">
        <f>IF(Исходн.данные.!$P184="Ум",K_OrgUd_1g_um,IF(Исходн.данные.!$P184="Об",K_OrgUd_1g_ob))</f>
        <v>0</v>
      </c>
      <c r="AR184" t="b">
        <f>IF(Исходн.данные.!$P184="Ум",N_MinUd_2g_um,IF(Исходн.данные.!$P184="Об",N_MinUd_2g_ob))</f>
        <v>0</v>
      </c>
      <c r="AS184" t="b">
        <f>IF(Исходн.данные.!$P184="Ум",P_MinUd_2g_um,IF(Исходн.данные.!$P184="Об",P_MinUd_2g_ob))</f>
        <v>0</v>
      </c>
      <c r="AT184" t="b">
        <f>IF(Исходн.данные.!$P184="Ум",K_MinUd_2g_um,IF(Исходн.данные.!$P184="Об",K_MinUd_2g_ob))</f>
        <v>0</v>
      </c>
      <c r="AU184" t="b">
        <f>IF(Исходн.данные.!$P184="Ум",N_MinUd_1g_um,IF(Исходн.данные.!$P184="Об",N_MinUd_1g_ob))</f>
        <v>0</v>
      </c>
      <c r="AV184" t="b">
        <f>IF(Исходн.данные.!P184="Ум",P_MinUd_1g_um,IF(Исходн.данные.!P184="Об",P_MinUd_1g_ob))</f>
        <v>0</v>
      </c>
      <c r="AW184" t="b">
        <f>IF(Исходн.данные.!P184="Ум",K_MinUd_1g_um,IF(Исходн.данные.!P184="Об",K_MinUd_1g_ob))</f>
        <v>0</v>
      </c>
      <c r="AY184" t="e">
        <f>VLOOKUP(Исходн.данные.!T184,Справ!$A$3:$N$57,12)</f>
        <v>#N/A</v>
      </c>
      <c r="AZ184" t="e">
        <f>VLOOKUP(Исходн.данные.!T184,Справ!$A$3:$N$57,13)</f>
        <v>#N/A</v>
      </c>
      <c r="BA184" t="e">
        <f>VLOOKUP(Исходн.данные.!T184,Справ!$A$3:$N$57,14)</f>
        <v>#N/A</v>
      </c>
      <c r="BB184">
        <f>IF(Исходн.данные.!AH184=0,0,25)</f>
        <v>0</v>
      </c>
      <c r="BC184" s="141">
        <f>IF(Исходн.данные.!AH184=0,0,IF(Исходн.данные.!T184=0,25,BD184))</f>
        <v>0</v>
      </c>
      <c r="BD184" s="168" t="e">
        <f>AY184+AZ184*Исходн.данные.!U184-POWER(BA184,2)*Исходн.данные.!U184</f>
        <v>#N/A</v>
      </c>
      <c r="BE18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4" s="25">
        <f>IF(Исходн.данные.!AH184=0,0,MIN(HN184:HP184))</f>
        <v>0</v>
      </c>
      <c r="BG184" s="9">
        <f>IF(Исходн.данные.!AH184=0,0,IF((HO184+10*0.25/HG184/HL184)&lt;17,17,HO184+10*0.25/HG184/HL184))</f>
        <v>0</v>
      </c>
      <c r="BH184" s="181">
        <f>IF(Исходн.данные.!AH184=0,0,HW184*HF184*HL184/AU184*AI184+Исходн.данные.!S184*10)</f>
        <v>0</v>
      </c>
      <c r="BI184" s="10"/>
      <c r="BJ184" s="182">
        <f>IF(Исходн.данные.!AH184=0,0,IF(HX184*HG184*HL184/AV184&lt;0,0,HX184*HG184*HL184/AV184*AJ184))</f>
        <v>0</v>
      </c>
      <c r="BK184" s="182">
        <f>IF(Исходн.данные.!AH184=0,0,HY184*HH184*HM184/AW184)</f>
        <v>0</v>
      </c>
      <c r="BL184" s="10">
        <f>IF(OR(Исходн.данные.!$AH184=$BP$1,Исходн.данные.!$AH184=$BP$2),0,IF(BH184&lt;0,0,IF(OR(Исходн.данные.!T184=Расчет!$BP$1,Исходн.данные.!T184=Расчет!$BP$2,Исходн.данные.!T184=Расчет!$BT$5,Исходн.данные.!T184=Расчет!$BT$6),BH184*0.5,IF(OR(Исходн.данные.!T184=Расчет!$BS$9,Исходн.данные.!T184=Расчет!$BS$10,Исходн.данные.!T184=Расчет!$BS$11,Исходн.данные.!T184=Расчет!$BS$12,Исходн.данные.!T184=Расчет!$BP$5),BH184*0.8,BH184))))</f>
        <v>0</v>
      </c>
      <c r="BM184" s="10">
        <f>IF(OR(Исходн.данные.!$AH184=$BP$1,Исходн.данные.!$AH184=$BP$2),0,IF(BJ184&lt;0,0,IF(Исходн.данные.!I184&lt;4.5,BJ184*1.2,IF(Исходн.данные.!I184&gt;5.1,BJ184,BJ184*((5.1-Исходн.данные.!I184)*0.333+1)))))</f>
        <v>0</v>
      </c>
      <c r="BN184" s="10">
        <f>IF(OR(Исходн.данные.!$AH184=$BP$1,Исходн.данные.!$AH184=$BP$2),60-Исходн.данные.!AF184,IF(BK184&lt;0,0,IF(Исходн.данные.!I184&lt;4.5,BK184*1.2,IF(Исходн.данные.!I184&gt;5.1,BK184,BK184*((5.1-Исходн.данные.!I184)*0.333+1)))))</f>
        <v>0</v>
      </c>
      <c r="BO184" s="9">
        <f>IF(BL184&lt;0,0,BL184*Исходн.данные.!$AJ184/1000)</f>
        <v>0</v>
      </c>
      <c r="BP184" s="9">
        <f>IF(BM184&lt;0,0,BM184*Исходн.данные.!$AJ184/1000)</f>
        <v>0</v>
      </c>
      <c r="BQ184" s="9">
        <f>IF(BN184&lt;0,0,BN184*Исходн.данные.!$AJ184/1000)</f>
        <v>0</v>
      </c>
      <c r="BR184" s="9">
        <f t="shared" si="229"/>
        <v>0</v>
      </c>
      <c r="BS184" s="10" t="str">
        <f t="shared" si="230"/>
        <v>Аммофос 12:52:00</v>
      </c>
      <c r="BT184" s="10" t="str">
        <f t="shared" si="231"/>
        <v>Аммофос 12:52:00</v>
      </c>
      <c r="BU184" s="10" t="str">
        <f t="shared" si="232"/>
        <v>Диаммофоска</v>
      </c>
      <c r="BV184" s="10">
        <f t="shared" si="233"/>
        <v>0</v>
      </c>
      <c r="BW184" s="10"/>
      <c r="BX184" s="10"/>
      <c r="BY184" s="9">
        <f>IF(BL184&lt;0,0,IF(OR(Исходн.данные.!AI184=Расчет!$BU$6,Исходн.данные.!AI184=Расчет!$BU$7),Расчет!BV184,IF(Исходн.данные.!$AG184=$BV$11,BL184,IF(OR(Исходн.данные.!$AH184=$BQ$7,Исходн.данные.!$AH184=$BQ$8),CB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0,IF(Исходн.данные.!$AI184=$BU$11,"Нет",IF(BL184&gt;30,30,BL184)))))))</f>
        <v>0</v>
      </c>
      <c r="BZ184" s="9">
        <f>IF(AND(Исходн.данные.!$AG184=$BV$11,BM184&lt;10),10,IF(Исходн.данные.!$AG184=$BV$11,BM184,IF(OR(Исходн.данные.!$AH184=$BQ$7,Исходн.данные.!$AH184=$BQ$8),CC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10,IF(Исходн.данные.!$AI184=$BU$11,"Нет",IF(BM184&gt;60,60,IF(BM184&lt;10,10,BM184)))))))</f>
        <v>10</v>
      </c>
      <c r="CA184" s="39">
        <f>IF(BN184&lt;0,0,IF(Исходн.данные.!$AG184=$BV$11,BN184,IF(OR(Исходн.данные.!$AH184=$BQ$7,Исходн.данные.!$AH184=$BQ$8),CD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0,IF(Исходн.данные.!$AI184=$BU$11,"Нет",IF(BN184&gt;30,30,BN184))))))</f>
        <v>0</v>
      </c>
      <c r="CB184" s="9">
        <f t="shared" si="234"/>
        <v>0</v>
      </c>
      <c r="CC184" s="9">
        <f t="shared" si="235"/>
        <v>0</v>
      </c>
      <c r="CD184" s="9">
        <f t="shared" si="236"/>
        <v>0</v>
      </c>
      <c r="CE184" s="12">
        <f t="shared" si="237"/>
        <v>10</v>
      </c>
      <c r="CF184" s="9">
        <f t="shared" si="238"/>
        <v>0</v>
      </c>
      <c r="CG184" s="9" t="s">
        <v>231</v>
      </c>
      <c r="CH184" s="132" t="str">
        <f>IF(Исходн.данные.!AP184=Расчет!$CI$16,"Нет",IF(Исходн.данные.!AL184&gt;0,Исходн.данные.!AL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BH$4,IF(OR(Исходн.данные.!AI184=Исходн.данные.!$AI$6,Исходн.данные.!AI184=Исходн.данные.!$AI$7),Расчет!BS184,IF(AND($CF184=0,$CE184&gt;0),EV184,ER184)))))</f>
        <v>Аммофос 12:52:00</v>
      </c>
      <c r="CI184" s="274">
        <f>IF(Расчет!$CH184="Нет","Нет",IF(Исходн.данные.!$AL184&gt;0,VLOOKUP(Расчет!$CH184,АшламаДВ_Irekle,2,FALSE),VLOOKUP(Расчет!$CH184,АшламаДВ_Gomumy,2,FALSE)))</f>
        <v>0.12</v>
      </c>
      <c r="CJ184" s="274">
        <f>IF(Расчет!$CH184="Нет","Нет",IF(Исходн.данные.!$AL184&gt;0,VLOOKUP(Расчет!$CH184,АшламаДВ_Irekle,3,FALSE),VLOOKUP(Расчет!$CH184,АшламаДВ_Gomumy,3,FALSE)))</f>
        <v>0.52</v>
      </c>
      <c r="CK184" s="274">
        <f>IF(Расчет!$CH184="Нет","Нет",IF(Исходн.данные.!$AL184&gt;0,VLOOKUP(Расчет!$CH184,АшламаДВ_Irekle,4,FALSE),VLOOKUP(Расчет!$CH184,АшламаДВ_Gomumy,4,FALSE)))</f>
        <v>0</v>
      </c>
      <c r="CL184" s="70"/>
      <c r="CM184" s="70"/>
      <c r="CN184" s="70"/>
      <c r="CO184" s="70"/>
      <c r="CP184" s="70"/>
      <c r="CQ184" s="70"/>
      <c r="CR184" s="10">
        <f t="shared" si="239"/>
        <v>0</v>
      </c>
      <c r="CS184" s="10">
        <f t="shared" si="240"/>
        <v>19.23076923076923</v>
      </c>
      <c r="CT184" s="10">
        <f t="shared" si="241"/>
        <v>0</v>
      </c>
      <c r="CU184" s="39">
        <f>IF($CH184="Нет",0,IF(CI184=0,30/MIN(CJ184:CK184),IF(Исходн.данные.!$AG184=$BV$11,CR184,IF(OR(Исходн.данные.!$AH184=$BQ$7,Исходн.данные.!$AH184=$BQ$8),90/CI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0,IF(Исходн.данные.!$AI184=$BU$11,"Нет",30/CI184))))))</f>
        <v>250</v>
      </c>
      <c r="CV184" s="39">
        <f>IF($CH184="Нет",0,IF(Исходн.данные.!AH184=0,0,IF(CJ184=0,60/MIN(CI184,CK184),IF(Исходн.данные.!$AG184=$BV$11,CS184,IF(OR(Исходн.данные.!$AH184=$BQ$7,Исходн.данные.!$AH184=$BQ$8),90/CJ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10/CJ184,IF(Исходн.данные.!$AI184=$BU$11,"Нет",60/CJ184)))))))</f>
        <v>0</v>
      </c>
      <c r="CW184" s="39">
        <f>IF($CH184="Нет",0,IF(Исходн.данные.!AH184=0,0,IF(CK184=0,30/MIN(CI184:CJ184),IF(Исходн.данные.!$AG184=$BV$11,CT184,IF(OR(Исходн.данные.!$AH184=$BQ$7,Исходн.данные.!$AH184=$BQ$8),90/CK184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0,IF(Исходн.данные.!$AI184=$BU$11,"Нет",30/CK184)))))))</f>
        <v>0</v>
      </c>
      <c r="CX184" s="133">
        <f>IF(Исходн.данные.!$AG184=$BV$11,MAX(CU184:CW184),IF(OR(Исходн.данные.!$AH184=$BS$8,Исходн.данные.!$AH184=$BQ$9,Исходн.данные.!$AH184=$BQ$10,Исходн.данные.!$AH184=$BQ$11,Исходн.данные.!$AH184=$BQ$12,Исходн.данные.!$AH184=$BP$3,Исходн.данные.!$AH184=$BT$8,$FM184="Да"),CV184,MIN(CU184:CW184)))</f>
        <v>0</v>
      </c>
      <c r="CY184" s="133">
        <f>IF(Исходн.данные.!AH184=0,0,IF(CR184&gt;$CX184,$CX184,CR184))</f>
        <v>0</v>
      </c>
      <c r="CZ184" s="133">
        <f>IF(Исходн.данные.!AH184=0,0,IF(CS184&gt;$CX184,$CX184,CS184))</f>
        <v>0</v>
      </c>
      <c r="DA184" s="133">
        <f>IF(Исходн.данные.!AH184=0,0,IF(CT184&gt;$CX184,$CX184,CT184))</f>
        <v>0</v>
      </c>
      <c r="DB184" s="10">
        <f t="shared" si="242"/>
        <v>0</v>
      </c>
      <c r="DC184" s="39">
        <f>DB184*Исходн.данные.!AJ184/1000</f>
        <v>0</v>
      </c>
      <c r="DD184" s="71">
        <f t="shared" si="243"/>
        <v>0</v>
      </c>
      <c r="DE184" s="9">
        <f t="shared" si="244"/>
        <v>0</v>
      </c>
      <c r="DF184" s="9">
        <f t="shared" si="245"/>
        <v>0</v>
      </c>
      <c r="DG184" s="39">
        <f>IF(BL184&lt;0,0,IF($CH184="Нет",BL184,IF(OR(Исходн.данные.!$AH184=$BP$1,Исходн.данные.!$AH184=$BP$2),0,IF(Исходн.данные.!AI184=$BU$11,BL184,IF(BL184-DD184&lt;0,0,BL184-DD184)))))</f>
        <v>0</v>
      </c>
      <c r="DH184" s="39">
        <f>IF(BM184&lt;0,0,IF($CH184="Нет",BM184,IF(OR(Исходн.данные.!$AH184=$BP$1,Исходн.данные.!$AH184=$BP$2),0,IF(Исходн.данные.!AJ184=$BU$11,BM184,IF(BM184-DE184&lt;0,0,BM184-DE184)))))</f>
        <v>0</v>
      </c>
      <c r="DI184" s="39">
        <f>IF(BN184&lt;0,0,IF($CH184="Нет",BN184,IF(OR(Исходн.данные.!$AH184=$BP$1,Исходн.данные.!$AH184=$BP$2),0,IF(Исходн.данные.!AK184=$BU$11,BN184,IF(BN184-DF184&lt;0,0,BN184-DF184)))))</f>
        <v>0</v>
      </c>
      <c r="DJ184" s="12">
        <f t="shared" si="246"/>
        <v>0</v>
      </c>
      <c r="DK184" s="9">
        <f t="shared" si="247"/>
        <v>0</v>
      </c>
      <c r="DL184" s="39">
        <f>IF(Исходн.данные.!AM184&gt;0,Исходн.данные.!AM184,IF(EG184&gt;0,$BH$10,0))</f>
        <v>0</v>
      </c>
      <c r="DM184" s="186">
        <f>IF($DL184=0,0,IF(Исходн.данные.!AM184&gt;0,VLOOKUP($DL184,АшламаДВ_Irekle,2,FALSE),VLOOKUP($DL184,АшламаДВ_Gomumy,2,FALSE)))</f>
        <v>0</v>
      </c>
      <c r="DN184" s="10">
        <f t="shared" si="225"/>
        <v>0</v>
      </c>
      <c r="DO184" s="9" t="str">
        <f>IF(Исходн.данные.!AN184&gt;0,Исходн.данные.!AN184,Удобрения!$B$37 )</f>
        <v>Хлор.калий</v>
      </c>
      <c r="DP184" s="9">
        <f>IF(Исходн.данные.!AN184&gt;0,VLOOKUP(Исходн.данные.!AN184,АшламаДВ_Irekle,4,FALSE),VLOOKUP(DO184,АшламаДВ_Gomumy,4,FALSE))</f>
        <v>0.6</v>
      </c>
      <c r="DQ184" s="10">
        <f t="shared" si="226"/>
        <v>0</v>
      </c>
      <c r="DR184" s="132" t="str">
        <f>IF(Исходн.данные.!AO184&gt;0,Исходн.данные.!AO184,IF(DH184=0,BS$17,IF(AND($DK184=0,$DJ184&gt;0),EJ184,EN184)))</f>
        <v>Нет</v>
      </c>
      <c r="DS184" s="70" t="str">
        <f>IF($DR184="Нет","Нет",IF(Исходн.данные.!$AO184&gt;0,VLOOKUP($DR184,АшламаДВ_Irekle,2,FALSE),VLOOKUP($DR184,АшламаДВ_Gomumy,2,FALSE)))</f>
        <v>Нет</v>
      </c>
      <c r="DT184" s="70" t="str">
        <f>IF($DR184="Нет","Нет",IF(Исходн.данные.!$AO184&gt;0,VLOOKUP($DR184,АшламаДВ_Irekle,3,FALSE),VLOOKUP($DR184,АшламаДВ_Gomumy,3,FALSE)))</f>
        <v>Нет</v>
      </c>
      <c r="DU184" s="70" t="str">
        <f>IF($DR184="Нет","Нет",IF(Исходн.данные.!$AO184&gt;0,VLOOKUP($DR184,АшламаДВ_Irekle,4,FALSE),VLOOKUP($DR184,АшламаДВ_Gomumy,4,FALSE)))</f>
        <v>Нет</v>
      </c>
      <c r="DV184" s="70"/>
      <c r="DW184" s="70"/>
      <c r="DX184" s="70"/>
      <c r="DY184" s="10">
        <f t="shared" si="248"/>
        <v>0</v>
      </c>
      <c r="DZ184" s="10">
        <f t="shared" si="249"/>
        <v>0</v>
      </c>
      <c r="EA184" s="10">
        <f t="shared" si="250"/>
        <v>0</v>
      </c>
      <c r="EB184" s="10">
        <f t="shared" si="251"/>
        <v>0</v>
      </c>
      <c r="EC184" s="10">
        <f t="shared" si="252"/>
        <v>0</v>
      </c>
      <c r="ED184" s="10">
        <f t="shared" si="253"/>
        <v>0</v>
      </c>
      <c r="EE184" s="10">
        <f t="shared" si="254"/>
        <v>0</v>
      </c>
      <c r="EF184" s="39">
        <f>EB184*Исходн.данные.!AJ184/1000</f>
        <v>0</v>
      </c>
      <c r="EG184" s="9">
        <f t="shared" si="255"/>
        <v>0</v>
      </c>
      <c r="EH184" s="9">
        <f t="shared" si="256"/>
        <v>0</v>
      </c>
      <c r="EI184" s="39" t="e">
        <f t="shared" si="206"/>
        <v>#DIV/0!</v>
      </c>
      <c r="EJ184" s="9" t="str">
        <f t="shared" si="227"/>
        <v>Азопреципитат</v>
      </c>
      <c r="EK184" s="12">
        <f t="shared" si="207"/>
        <v>0.26</v>
      </c>
      <c r="EL184" s="12">
        <f t="shared" si="208"/>
        <v>0.13</v>
      </c>
      <c r="EM184" s="12">
        <f t="shared" si="209"/>
        <v>0</v>
      </c>
      <c r="EN184" s="12" t="str">
        <f t="shared" si="228"/>
        <v>Нет</v>
      </c>
      <c r="EO184" s="12">
        <f t="shared" si="210"/>
        <v>0</v>
      </c>
      <c r="EP184" s="12">
        <f t="shared" si="211"/>
        <v>0</v>
      </c>
      <c r="EQ184" s="12">
        <f t="shared" si="212"/>
        <v>0</v>
      </c>
      <c r="ER184" s="12" t="str">
        <f t="shared" si="257"/>
        <v>Диаммофоска</v>
      </c>
      <c r="ES184" s="12">
        <f t="shared" si="213"/>
        <v>0.1</v>
      </c>
      <c r="ET184" s="12">
        <f t="shared" si="214"/>
        <v>0.26</v>
      </c>
      <c r="EU184" s="12">
        <f t="shared" si="215"/>
        <v>0.26</v>
      </c>
      <c r="EV184" s="12" t="str">
        <f t="shared" si="258"/>
        <v>Аммофос 12:52:00</v>
      </c>
      <c r="EW184" s="12" t="str">
        <f t="shared" si="259"/>
        <v>Кемира Свекловичное-6</v>
      </c>
      <c r="EX184" s="12">
        <f t="shared" si="216"/>
        <v>0.16</v>
      </c>
      <c r="EY184" s="12">
        <f t="shared" si="217"/>
        <v>0.12</v>
      </c>
      <c r="EZ184" s="12">
        <f t="shared" si="218"/>
        <v>0.17</v>
      </c>
      <c r="FA184" s="38" t="e">
        <f>IF(AND(OR(FJ184=$FD$1,FM184=$FD$1,FO184=$FD$1,FQ184=$FD$1,FS184=$FD$1),FD184=$FD$1,Исходн.данные.!J184&lt;2,FU184=$FD$1),"Бор,Кобальт",IF(AND(FO184=$FD$1,FH184=$FD$1,Исходн.данные.!J184&lt;2,FU184=$FD$1),"Бор,Кобальт",IF(AND(OR(FJ184=$FD$1,FM184=$FD$1,FQ184=$FD$1),FE184=$FD$1,Исходн.данные.!J184&lt;2,FT184=$FD$1,FU184=$FD$1),"Бор,Медь,Цинк",IF(AND(OR(FJ184=$FD$1,FR184="Да"),FI184="Да",Исходн.данные.!J184&lt;2,FT184="Да",FU184="Да"),"Бор,Цинк,Медь",IF(AND(OR(FM184="Да",FQ184="Да"),FI184="Да",Исходн.данные.!J184&lt;2,FT184="Да",FU184="Да"),"Бор,Цинк",IF(AND(FN184="Да",OR(FD184="Да",FE184="Да")),"Бор",FB184))))))</f>
        <v>#N/A</v>
      </c>
      <c r="FB184" s="134" t="e">
        <f>IF(AND(OR(FD184="Да",FE184="Да",FF184="Да",FG184="Да",FH184="Да"),FO184="Да"),"Бор",IF(AND(FP184="Да",OR(FD184="Да",FE184="Да",FI184="Да")),"Бор",IF(AND(FS184="Да",FE184="Да"),"Бор,Медь",IF(AND(OR(FJ184="Да",FK184="Да",FL184="Да"),FE184="Да",Исходн.данные.!I184&lt;5,FT184="Да",FU184="Да"),"Молибден,Цинк",IF(AND(FM184="Да",OR(FE184="Да",FF184="Да",FG184="Да",FH184="Да",FI184="Да")),"Молибден,Цинк",IF(AND(OR(FJ184="Да",FK184="Да",FL184="Да",FM184="Да",FQ184="Да"),OR(FE184="Да",FF184="Да"),FT184="Да",FU184="Да",Исходн.данные.!I184&gt;5.5),"Медь,Цинк",FC184))))))</f>
        <v>#N/A</v>
      </c>
      <c r="FC184" s="23" t="e">
        <f t="shared" si="260"/>
        <v>#N/A</v>
      </c>
      <c r="FD184" s="38" t="str">
        <f>IF(OR(Исходн.данные.!F184=$CC$1,Исходн.данные.!F184=$CC$2,Исходн.данные.!F184=$CC$3,Исходн.данные.!F184=$CC$4),"Да","Нет")</f>
        <v>Нет</v>
      </c>
      <c r="FE184" s="38" t="str">
        <f>IF(Исходн.данные.!F184=$CC$5,"Да","Нет")</f>
        <v>Нет</v>
      </c>
      <c r="FF184" s="38" t="str">
        <f>IF(OR(Исходн.данные.!F184=$CC$6,Исходн.данные.!F184=$CC$7),"Да","Нет")</f>
        <v>Нет</v>
      </c>
      <c r="FG184" s="38" t="str">
        <f>IF(OR(Исходн.данные.!F184=$CC$8,Исходн.данные.!F184=$CC$9),"Да","Нет")</f>
        <v>Нет</v>
      </c>
      <c r="FH184" s="38" t="str">
        <f>IF(Исходн.данные.!F184=$CC$10,"Да","Нет")</f>
        <v>Нет</v>
      </c>
      <c r="FI184" s="38" t="str">
        <f>IF(OR(Исходн.данные.!F184=$CC$11,Исходн.данные.!F184=$CC$12),"Да","Нет")</f>
        <v>Нет</v>
      </c>
      <c r="FJ184" s="38" t="str">
        <f>IF(OR(Исходн.данные.!AH184=$BS$1,Исходн.данные.!AH184=$BQ$11,Исходн.данные.!AH184=$BQ$12),"Да","Нет")</f>
        <v>Нет</v>
      </c>
      <c r="FK184" s="38" t="str">
        <f>IF(OR(Исходн.данные.!AH184=$BS$2,Исходн.данные.!AH184=$BS$4),"Да","Нет")</f>
        <v>Нет</v>
      </c>
      <c r="FL184" s="38" t="str">
        <f>IF(OR(Исходн.данные.!AH184=$BS$3,Исходн.данные.!AH184=$BS$5),"Да","Нет")</f>
        <v>Нет</v>
      </c>
      <c r="FM184" s="38" t="str">
        <f>IF(OR(Исходн.данные.!AH184=$BS$9,Исходн.данные.!AH184=$BS$10,Исходн.данные.!AH184=$BS$11,Исходн.данные.!AH184=$BS$12),"Да","Нет")</f>
        <v>Нет</v>
      </c>
      <c r="FN184" s="38" t="str">
        <f>IF(OR(Исходн.данные.!AH184=$BS$6,Исходн.данные.!AH184=$BP$3),"Да","Нет")</f>
        <v>Нет</v>
      </c>
      <c r="FO184" s="38" t="str">
        <f>IF(Исходн.данные.!AH184=$BQ$9,"Да","Нет")</f>
        <v>Нет</v>
      </c>
      <c r="FP184" s="38" t="str">
        <f>IF(OR(Исходн.данные.!AH184=$BS$8,Исходн.данные.!AH184=$BT$8),"Да","Нет")</f>
        <v>Нет</v>
      </c>
      <c r="FQ184" s="38" t="str">
        <f>IF(OR(Исходн.данные.!AH184=$BQ$7,Исходн.данные.!AH184=$BQ$8),"Да","Нет")</f>
        <v>Нет</v>
      </c>
      <c r="FR184" s="38" t="str">
        <f>IF(Исходн.данные.!AI184=$BU$9,"Да","Нет")</f>
        <v>Нет</v>
      </c>
      <c r="FS184" s="38" t="str">
        <f>IF(OR(Исходн.данные.!AH184=$BP$1,Исходн.данные.!AH184=$BP$2),"Да","Нет")</f>
        <v>Нет</v>
      </c>
      <c r="FT184" s="38" t="e">
        <f>IF((Исходн.данные.!K184*GO184*GS184*GW184+BL184*0.6+Исходн.данные.!Q184*4.5*0.275)&gt;90,"Да","Нет")</f>
        <v>#N/A</v>
      </c>
      <c r="FU184" s="38" t="e">
        <f>IF((Исходн.данные.!M184*GS184*GZ184+BM184*0.225)&gt;35,"Да","Нет")</f>
        <v>#N/A</v>
      </c>
      <c r="FV184" s="38" t="str">
        <f>IF(Исходн.данные.!O184&gt;175,"Да","Нет")</f>
        <v>Нет</v>
      </c>
      <c r="FW184" s="39" t="str">
        <f>IF(Исходн.данные.!I184&gt;5.5,"Да","Нет")</f>
        <v>Нет</v>
      </c>
      <c r="FX184" s="39" t="str">
        <f>IF(Исходн.данные.!J184&lt;2,"Да","Нет")</f>
        <v>Да</v>
      </c>
      <c r="FY184" s="39" t="e">
        <f>IF(HF184=$FY$16,0,Исходн.данные.!K184*GO184*GS184*GW184/HF184)</f>
        <v>#N/A</v>
      </c>
      <c r="FZ184" s="39" t="e">
        <f>Исходн.данные.!M184*GS184*GZ184/HG184</f>
        <v>#N/A</v>
      </c>
      <c r="GA184" s="39" t="e">
        <f>IF(K_Wyn=$FY$16,0,IF(Исходн.данные.!N184=Исходн.данные.!$L$10,Исходн.данные.!O184/1.1*GS184*HC184/HH184,IF(Исходн.данные.!N184=Исходн.данные.!$L$12,Исходн.данные.!O184/1.5*GS184*HC184/HH184,Исходн.данные.!O184*GS184*HC184/HH184)))</f>
        <v>#N/A</v>
      </c>
      <c r="GB184" s="39" t="e">
        <f>IF(HF184=$FY$16,0,((Исходн.данные.!Q184*N_Org+Исходн.данные.!R184*N_Sider+Исходн.данные.!S184*N_Soloma)*AO184+Расчет!BC184*VLOOKUP(Исходн.данные.!T184,Справ!$A$3:$O$57,15)*AO184+BB184*VLOOKUP(Исходн.данные.!T184,Справ!$A$3:$O$57,15)*AL184+(Исходн.данные.!V184*N_Rizotorf+Исходн.данные.!W184*N_Rizoagr))/HF184)</f>
        <v>#N/A</v>
      </c>
      <c r="GC184" s="39" t="e">
        <f>IF(HG184=$FY$16,0,((Исходн.данные.!Q184*Р_Org+Исходн.данные.!R184*P_Sider+Исходн.данные.!S184*P_Soloma)*AP184+Расчет!BC184*VLOOKUP(Исходн.данные.!T184,Справ!$A$3:$P$57,16)*AP184+BB184*VLOOKUP(Исходн.данные.!T184,Справ!$A$3:$P$57,16)*AM184)/HG184)</f>
        <v>#N/A</v>
      </c>
      <c r="GD184" s="39" t="e">
        <f>IF(HH184=$FY$16,0,((Исходн.данные.!Q184*К_Org+Исходн.данные.!R184*K_Sider+Исходн.данные.!S184*K_Soloma)*AQ184+Расчет!BC184*VLOOKUP(Исходн.данные.!T184,Справ!$A$3:$Q$57,17)*AQ184+BB184*VLOOKUP(Исходн.данные.!T184,Справ!$A$3:$Q$57,17)*AN184)/HH184)</f>
        <v>#N/A</v>
      </c>
      <c r="GE184" s="39" t="e">
        <f>IF(HF184=$FY$16,0,(Исходн.данные.!X184*AR184+Исходн.данные.!AA184*N_Org*AL184+Исходн.данные.!AB184*N_Sider*AL184+Исходн.данные.!AC184*N_Soloma*AL184)/HF184)</f>
        <v>#N/A</v>
      </c>
      <c r="GF184" s="39" t="e">
        <f>IF(HG184=$FY$16,0,(Исходн.данные.!Y184*AS184+Исходн.данные.!AA184*Р_Org*AM184+Исходн.данные.!AB184*P_Sider*AM184+Исходн.данные.!AC184*P_Soloma*AM184)/HG184)</f>
        <v>#N/A</v>
      </c>
      <c r="GG184" s="39" t="e">
        <f>IF(HH184=$FY$16,0,(Исходн.данные.!Z184*AT184+Исходн.данные.!AA184*К_Org*AN184+Исходн.данные.!AB184*K_Sider*AN184+Исходн.данные.!AC184*K_Soloma*AN184)/HH184)</f>
        <v>#N/A</v>
      </c>
      <c r="GH184" s="39" t="e">
        <f>Исходн.данные.!AD184*AU184/HF184</f>
        <v>#N/A</v>
      </c>
      <c r="GI184" s="39" t="e">
        <f>Исходн.данные.!AE184*AV184/HG184</f>
        <v>#N/A</v>
      </c>
      <c r="GJ184" s="39" t="e">
        <f>Исходн.данные.!AF184*AW184/HH184</f>
        <v>#N/A</v>
      </c>
      <c r="GK184" s="55">
        <f>Исходн.данные.!AK184</f>
        <v>0</v>
      </c>
      <c r="GL184" s="11" t="e">
        <f t="shared" si="261"/>
        <v>#N/A</v>
      </c>
      <c r="GM184" s="11" t="e">
        <f t="shared" si="262"/>
        <v>#N/A</v>
      </c>
      <c r="GN184" s="11" t="e">
        <f t="shared" si="263"/>
        <v>#N/A</v>
      </c>
      <c r="GO184" s="57">
        <f t="shared" si="264"/>
        <v>19</v>
      </c>
      <c r="GP184" s="55">
        <f>IF(OR(Исходн.данные.!F184=$CE$1,Исходн.данные.!F184=$CE$2,Исходн.данные.!F184=$CE$3,Исходн.данные.!F184=$CE$4,Исходн.данные.!F184=$CE$5),GQ184,GR184)</f>
        <v>19</v>
      </c>
      <c r="GQ184" s="55">
        <f>IF(Исходн.данные.!F184=$CE$1,28,IF(Исходн.данные.!F184=$CE$2,26,IF(Исходн.данные.!F184=$CE$3,24,IF(Исходн.данные.!F184=$CE$4,22,IF(Исходн.данные.!F184=$CE$5,20,GR184)))))</f>
        <v>19</v>
      </c>
      <c r="GR184" s="55">
        <f>IF(Исходн.данные.!F184=$CE$6,18,IF(Исходн.данные.!F184=$CE$7,16,IF(Исходн.данные.!F184=$CE$8,14,IF(Исходн.данные.!F184=$CE$9,13,IF(Исходн.данные.!F184=$CE$10,12,19)))))</f>
        <v>19</v>
      </c>
      <c r="GS184" s="55">
        <f>IF(Исходн.данные.!G184="Пес",0.035*(40+2*Исходн.данные.!H184),IF(Исходн.данные.!G184="Суп",0.0325*(40+2*Исходн.данные.!H184),0.03*(40+2*Исходн.данные.!H184)))</f>
        <v>1.2</v>
      </c>
      <c r="GT184" s="55">
        <f>IF(Исходн.данные.!H184&lt;23,2.6,IF(AND(Исходн.данные.!H184&gt;22,Исходн.данные.!H184&lt;26),3,IF(AND(Исходн.данные.!H184&gt;25,Исходн.данные.!H184&lt;29),3.4,3.6)))</f>
        <v>2.6</v>
      </c>
      <c r="GU184" s="55">
        <f>IF(Исходн.данные.!H184&lt;23,2.8,IF(AND(Исходн.данные.!H184&gt;22,Исходн.данные.!H184&lt;26),3.2,IF(AND(Исходн.данные.!H184&gt;25,Исходн.данные.!H184&lt;29),3.6,3.9)))</f>
        <v>2.8</v>
      </c>
      <c r="GV184" s="55">
        <f>IF(Исходн.данные.!H184&lt;23,3,IF(AND(Исходн.данные.!H184&gt;22,Исходн.данные.!H184&lt;26),3.5,IF(AND(Исходн.данные.!H184&gt;25,Исходн.данные.!H184&lt;29),3.9,4.2)))</f>
        <v>3</v>
      </c>
      <c r="GW184" s="55" t="e">
        <f>IF(Исходн.данные.!P184="Ум",GX184,GY184)</f>
        <v>#N/A</v>
      </c>
      <c r="GX184" s="55" t="e">
        <f>VLOOKUP(Исходн.данные.!AI184,Коэффициенты!$J$7:$L$13,2,FALSE)</f>
        <v>#N/A</v>
      </c>
      <c r="GY184" s="55" t="e">
        <f>VLOOKUP(Исходн.данные.!AI184,Коэффициенты!$J$7:$L$13,3,FALSE)</f>
        <v>#N/A</v>
      </c>
      <c r="GZ184" s="55" t="e">
        <f>(IF(Исходн.данные.!M184&lt;50,0.11*VLOOKUP(Исходн.данные.!AH184,Культуры.Информация,7,FALSE),IF(Исходн.данные.!M184&gt;250,0.05*VLOOKUP(Исходн.данные.!AH184,Культуры.Информация,7,FALSE),VLOOKUP(Исходн.данные.!AH184,Культуры.Информация,5,FALSE)/100*($GX$6+$GY$6*Исходн.данные.!M184))))*Расчет2!AI184</f>
        <v>#N/A</v>
      </c>
      <c r="HA184" s="211"/>
      <c r="HB184" s="211"/>
      <c r="HC184" s="55" t="e">
        <f>(IF(Исходн.данные.!O184&lt;80,0.2*VLOOKUP(Исходн.данные.!AH184,Культуры.Информация,8,FALSE),IF(Исходн.данные.!O184&gt;240,0.09*VLOOKUP(Исходн.данные.!AH184,Культуры.Информация,8,FALSE),VLOOKUP(Исходн.данные.!AH184,Культуры.Информация,6,FALSE)/100*($HB$6+$HC$6*Исходн.данные.!O184))))*Расчет2!AJ184</f>
        <v>#N/A</v>
      </c>
      <c r="HD184" s="55">
        <f>IF(Исходн.данные.!O184&gt;240,0.09,IF(Исходн.данные.!O184&lt;30,0.3,$HE$10+$HD$10*Исходн.данные.!O184))</f>
        <v>0.3</v>
      </c>
      <c r="HE184" s="55">
        <f>IF(Исходн.данные.!O184&gt;240,0.17,IF(Исходн.данные.!O184&lt;30,0.5,$HF$12+$HE$12*Исходн.данные.!O184))</f>
        <v>0.5</v>
      </c>
      <c r="HF184" s="55" t="e">
        <f>VLOOKUP(Исходн.данные.!AH184,Справ!$A$3:$D$58,2,FALSE)</f>
        <v>#N/A</v>
      </c>
      <c r="HG184" s="55" t="e">
        <f>VLOOKUP(Исходн.данные.!AH184,Справ!$A$3:$D$58,3,FALSE)</f>
        <v>#N/A</v>
      </c>
      <c r="HH184" s="55" t="e">
        <f>VLOOKUP(Исходн.данные.!AH184,Справ!$A$3:$D$58,4,FALSE)</f>
        <v>#N/A</v>
      </c>
      <c r="HI184" s="11" t="e">
        <f t="shared" si="265"/>
        <v>#N/A</v>
      </c>
      <c r="HJ184" s="11" t="e">
        <f t="shared" si="266"/>
        <v>#N/A</v>
      </c>
      <c r="HK184" s="11" t="e">
        <f t="shared" si="267"/>
        <v>#N/A</v>
      </c>
      <c r="HL184" s="55">
        <f>IF(OR(Исходн.данные.!G184="Глин",Исходн.данные.!G184="Т_суг"),1.1,IF(Исходн.данные.!G184="Ср_суг",1,1))</f>
        <v>1</v>
      </c>
      <c r="HM184" s="55">
        <f>IF(OR(Исходн.данные.!G184="Глин",Исходн.данные.!G184="Т_суг"),0.9,IF(Исходн.данные.!G184="Ср_суг",1,1.2))</f>
        <v>1.2</v>
      </c>
      <c r="HN184" s="11" t="e">
        <f t="shared" si="268"/>
        <v>#N/A</v>
      </c>
      <c r="HO184" s="11" t="e">
        <f t="shared" si="269"/>
        <v>#N/A</v>
      </c>
      <c r="HP184" s="11" t="e">
        <f t="shared" si="270"/>
        <v>#N/A</v>
      </c>
      <c r="HQ184" t="e">
        <f t="shared" si="271"/>
        <v>#N/A</v>
      </c>
      <c r="HR184" t="e">
        <f t="shared" si="272"/>
        <v>#N/A</v>
      </c>
      <c r="HS184" t="e">
        <f t="shared" si="273"/>
        <v>#N/A</v>
      </c>
      <c r="HT184" t="e">
        <f t="shared" si="219"/>
        <v>#N/A</v>
      </c>
      <c r="HU184" t="e">
        <f t="shared" si="220"/>
        <v>#N/A</v>
      </c>
      <c r="HV184" t="e">
        <f t="shared" si="221"/>
        <v>#N/A</v>
      </c>
      <c r="HW184" t="e">
        <f t="shared" si="222"/>
        <v>#N/A</v>
      </c>
      <c r="HX184" t="e">
        <f t="shared" si="223"/>
        <v>#N/A</v>
      </c>
      <c r="HY184" t="e">
        <f t="shared" si="224"/>
        <v>#N/A</v>
      </c>
      <c r="HZ184" s="55">
        <f>IF(OR(Исходн.данные.!AI184="Оз_Ч_П",Исходн.данные.!AI184="Оз_З_П",Исходн.данные.!AI184="Яр_зер"),12,30)</f>
        <v>30</v>
      </c>
      <c r="IA184" t="e">
        <f t="shared" si="274"/>
        <v>#N/A</v>
      </c>
      <c r="IB184" t="e">
        <f t="shared" si="275"/>
        <v>#N/A</v>
      </c>
      <c r="IC184" t="e">
        <f t="shared" si="276"/>
        <v>#N/A</v>
      </c>
      <c r="ID184" s="11" t="e">
        <f t="shared" si="277"/>
        <v>#N/A</v>
      </c>
      <c r="IE184" s="11" t="e">
        <f t="shared" si="278"/>
        <v>#N/A</v>
      </c>
      <c r="IF184" s="11" t="e">
        <f t="shared" si="279"/>
        <v>#N/A</v>
      </c>
    </row>
    <row r="185" spans="35:240" x14ac:dyDescent="0.2">
      <c r="AI185">
        <f>IF(Исходн.данные.!I185&gt;6,1,1.85-(0.148*Исходн.данные.!I185))</f>
        <v>1.85</v>
      </c>
      <c r="AJ185">
        <f>IF(Исходн.данные.!I185&gt;6,1,2.434-(0.246*Исходн.данные.!I185))</f>
        <v>2.4340000000000002</v>
      </c>
      <c r="AL185" s="148" t="b">
        <f>IF(Исходн.данные.!$P185="Ум",N_OrgUd_2g_um,IF(Исходн.данные.!$P185="Об",N_OrgUd_2g_ob))</f>
        <v>0</v>
      </c>
      <c r="AM185" s="148" t="b">
        <f>IF(Исходн.данные.!$P185="Ум",P_OrgUd_2g_um,IF(Исходн.данные.!$P185="Об",P_OrgUd_2g_ob))</f>
        <v>0</v>
      </c>
      <c r="AN185" s="148" t="b">
        <f>IF(Исходн.данные.!$P185="Ум",K_OrgUd_2g_um,IF(Исходн.данные.!$P185="Об",K_OrgUd_2g_ob))</f>
        <v>0</v>
      </c>
      <c r="AO185" s="148" t="b">
        <f>IF(Исходн.данные.!$P185="Ум",N_OrgUd_1g_um,IF(Исходн.данные.!$P185="Об",N_OrgUd_1g_ob))</f>
        <v>0</v>
      </c>
      <c r="AP185" s="148" t="b">
        <f>IF(Исходн.данные.!$P185="Ум",P_OrgUd_1g_um,IF(Исходн.данные.!$P185="Об",P_OrgUd_1g_ob))</f>
        <v>0</v>
      </c>
      <c r="AQ185" s="148" t="b">
        <f>IF(Исходн.данные.!$P185="Ум",K_OrgUd_1g_um,IF(Исходн.данные.!$P185="Об",K_OrgUd_1g_ob))</f>
        <v>0</v>
      </c>
      <c r="AR185" t="b">
        <f>IF(Исходн.данные.!$P185="Ум",N_MinUd_2g_um,IF(Исходн.данные.!$P185="Об",N_MinUd_2g_ob))</f>
        <v>0</v>
      </c>
      <c r="AS185" t="b">
        <f>IF(Исходн.данные.!$P185="Ум",P_MinUd_2g_um,IF(Исходн.данные.!$P185="Об",P_MinUd_2g_ob))</f>
        <v>0</v>
      </c>
      <c r="AT185" t="b">
        <f>IF(Исходн.данные.!$P185="Ум",K_MinUd_2g_um,IF(Исходн.данные.!$P185="Об",K_MinUd_2g_ob))</f>
        <v>0</v>
      </c>
      <c r="AU185" t="b">
        <f>IF(Исходн.данные.!$P185="Ум",N_MinUd_1g_um,IF(Исходн.данные.!$P185="Об",N_MinUd_1g_ob))</f>
        <v>0</v>
      </c>
      <c r="AV185" t="b">
        <f>IF(Исходн.данные.!P185="Ум",P_MinUd_1g_um,IF(Исходн.данные.!P185="Об",P_MinUd_1g_ob))</f>
        <v>0</v>
      </c>
      <c r="AW185" t="b">
        <f>IF(Исходн.данные.!P185="Ум",K_MinUd_1g_um,IF(Исходн.данные.!P185="Об",K_MinUd_1g_ob))</f>
        <v>0</v>
      </c>
      <c r="AY185" t="e">
        <f>VLOOKUP(Исходн.данные.!T185,Справ!$A$3:$N$57,12)</f>
        <v>#N/A</v>
      </c>
      <c r="AZ185" t="e">
        <f>VLOOKUP(Исходн.данные.!T185,Справ!$A$3:$N$57,13)</f>
        <v>#N/A</v>
      </c>
      <c r="BA185" t="e">
        <f>VLOOKUP(Исходн.данные.!T185,Справ!$A$3:$N$57,14)</f>
        <v>#N/A</v>
      </c>
      <c r="BB185">
        <f>IF(Исходн.данные.!AH185=0,0,25)</f>
        <v>0</v>
      </c>
      <c r="BC185" s="141">
        <f>IF(Исходн.данные.!AH185=0,0,IF(Исходн.данные.!T185=0,25,BD185))</f>
        <v>0</v>
      </c>
      <c r="BD185" s="168" t="e">
        <f>AY185+AZ185*Исходн.данные.!U185-POWER(BA185,2)*Исходн.данные.!U185</f>
        <v>#N/A</v>
      </c>
      <c r="BE18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5" s="25">
        <f>IF(Исходн.данные.!AH185=0,0,MIN(HN185:HP185))</f>
        <v>0</v>
      </c>
      <c r="BG185" s="9">
        <f>IF(Исходн.данные.!AH185=0,0,IF((HO185+10*0.25/HG185/HL185)&lt;17,17,HO185+10*0.25/HG185/HL185))</f>
        <v>0</v>
      </c>
      <c r="BH185" s="181">
        <f>IF(Исходн.данные.!AH185=0,0,HW185*HF185*HL185/AU185*AI185+Исходн.данные.!S185*10)</f>
        <v>0</v>
      </c>
      <c r="BI185" s="10"/>
      <c r="BJ185" s="182">
        <f>IF(Исходн.данные.!AH185=0,0,IF(HX185*HG185*HL185/AV185&lt;0,0,HX185*HG185*HL185/AV185*AJ185))</f>
        <v>0</v>
      </c>
      <c r="BK185" s="182">
        <f>IF(Исходн.данные.!AH185=0,0,HY185*HH185*HM185/AW185)</f>
        <v>0</v>
      </c>
      <c r="BL185" s="10">
        <f>IF(OR(Исходн.данные.!$AH185=$BP$1,Исходн.данные.!$AH185=$BP$2),0,IF(BH185&lt;0,0,IF(OR(Исходн.данные.!T185=Расчет!$BP$1,Исходн.данные.!T185=Расчет!$BP$2,Исходн.данные.!T185=Расчет!$BT$5,Исходн.данные.!T185=Расчет!$BT$6),BH185*0.5,IF(OR(Исходн.данные.!T185=Расчет!$BS$9,Исходн.данные.!T185=Расчет!$BS$10,Исходн.данные.!T185=Расчет!$BS$11,Исходн.данные.!T185=Расчет!$BS$12,Исходн.данные.!T185=Расчет!$BP$5),BH185*0.8,BH185))))</f>
        <v>0</v>
      </c>
      <c r="BM185" s="10">
        <f>IF(OR(Исходн.данные.!$AH185=$BP$1,Исходн.данные.!$AH185=$BP$2),0,IF(BJ185&lt;0,0,IF(Исходн.данные.!I185&lt;4.5,BJ185*1.2,IF(Исходн.данные.!I185&gt;5.1,BJ185,BJ185*((5.1-Исходн.данные.!I185)*0.333+1)))))</f>
        <v>0</v>
      </c>
      <c r="BN185" s="10">
        <f>IF(OR(Исходн.данные.!$AH185=$BP$1,Исходн.данные.!$AH185=$BP$2),60-Исходн.данные.!AF185,IF(BK185&lt;0,0,IF(Исходн.данные.!I185&lt;4.5,BK185*1.2,IF(Исходн.данные.!I185&gt;5.1,BK185,BK185*((5.1-Исходн.данные.!I185)*0.333+1)))))</f>
        <v>0</v>
      </c>
      <c r="BO185" s="9">
        <f>IF(BL185&lt;0,0,BL185*Исходн.данные.!$AJ185/1000)</f>
        <v>0</v>
      </c>
      <c r="BP185" s="9">
        <f>IF(BM185&lt;0,0,BM185*Исходн.данные.!$AJ185/1000)</f>
        <v>0</v>
      </c>
      <c r="BQ185" s="9">
        <f>IF(BN185&lt;0,0,BN185*Исходн.данные.!$AJ185/1000)</f>
        <v>0</v>
      </c>
      <c r="BR185" s="9">
        <f t="shared" si="229"/>
        <v>0</v>
      </c>
      <c r="BS185" s="10" t="str">
        <f t="shared" si="230"/>
        <v>Аммофос 12:52:00</v>
      </c>
      <c r="BT185" s="10" t="str">
        <f t="shared" si="231"/>
        <v>Аммофос 12:52:00</v>
      </c>
      <c r="BU185" s="10" t="str">
        <f t="shared" si="232"/>
        <v>Диаммофоска</v>
      </c>
      <c r="BV185" s="10">
        <f t="shared" si="233"/>
        <v>0</v>
      </c>
      <c r="BW185" s="10"/>
      <c r="BX185" s="10"/>
      <c r="BY185" s="9">
        <f>IF(BL185&lt;0,0,IF(OR(Исходн.данные.!AI185=Расчет!$BU$6,Исходн.данные.!AI185=Расчет!$BU$7),Расчет!BV185,IF(Исходн.данные.!$AG185=$BV$11,BL185,IF(OR(Исходн.данные.!$AH185=$BQ$7,Исходн.данные.!$AH185=$BQ$8),CB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0,IF(Исходн.данные.!$AI185=$BU$11,"Нет",IF(BL185&gt;30,30,BL185)))))))</f>
        <v>0</v>
      </c>
      <c r="BZ185" s="9">
        <f>IF(AND(Исходн.данные.!$AG185=$BV$11,BM185&lt;10),10,IF(Исходн.данные.!$AG185=$BV$11,BM185,IF(OR(Исходн.данные.!$AH185=$BQ$7,Исходн.данные.!$AH185=$BQ$8),CC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10,IF(Исходн.данные.!$AI185=$BU$11,"Нет",IF(BM185&gt;60,60,IF(BM185&lt;10,10,BM185)))))))</f>
        <v>10</v>
      </c>
      <c r="CA185" s="39">
        <f>IF(BN185&lt;0,0,IF(Исходн.данные.!$AG185=$BV$11,BN185,IF(OR(Исходн.данные.!$AH185=$BQ$7,Исходн.данные.!$AH185=$BQ$8),CD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0,IF(Исходн.данные.!$AI185=$BU$11,"Нет",IF(BN185&gt;30,30,BN185))))))</f>
        <v>0</v>
      </c>
      <c r="CB185" s="9">
        <f t="shared" si="234"/>
        <v>0</v>
      </c>
      <c r="CC185" s="9">
        <f t="shared" si="235"/>
        <v>0</v>
      </c>
      <c r="CD185" s="9">
        <f t="shared" si="236"/>
        <v>0</v>
      </c>
      <c r="CE185" s="12">
        <f t="shared" si="237"/>
        <v>10</v>
      </c>
      <c r="CF185" s="9">
        <f t="shared" si="238"/>
        <v>0</v>
      </c>
      <c r="CG185" s="9" t="s">
        <v>231</v>
      </c>
      <c r="CH185" s="132" t="str">
        <f>IF(Исходн.данные.!AP185=Расчет!$CI$16,"Нет",IF(Исходн.данные.!AL185&gt;0,Исходн.данные.!AL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BH$4,IF(OR(Исходн.данные.!AI185=Исходн.данные.!$AI$6,Исходн.данные.!AI185=Исходн.данные.!$AI$7),Расчет!BS185,IF(AND($CF185=0,$CE185&gt;0),EV185,ER185)))))</f>
        <v>Аммофос 12:52:00</v>
      </c>
      <c r="CI185" s="274">
        <f>IF(Расчет!$CH185="Нет","Нет",IF(Исходн.данные.!$AL185&gt;0,VLOOKUP(Расчет!$CH185,АшламаДВ_Irekle,2,FALSE),VLOOKUP(Расчет!$CH185,АшламаДВ_Gomumy,2,FALSE)))</f>
        <v>0.12</v>
      </c>
      <c r="CJ185" s="274">
        <f>IF(Расчет!$CH185="Нет","Нет",IF(Исходн.данные.!$AL185&gt;0,VLOOKUP(Расчет!$CH185,АшламаДВ_Irekle,3,FALSE),VLOOKUP(Расчет!$CH185,АшламаДВ_Gomumy,3,FALSE)))</f>
        <v>0.52</v>
      </c>
      <c r="CK185" s="274">
        <f>IF(Расчет!$CH185="Нет","Нет",IF(Исходн.данные.!$AL185&gt;0,VLOOKUP(Расчет!$CH185,АшламаДВ_Irekle,4,FALSE),VLOOKUP(Расчет!$CH185,АшламаДВ_Gomumy,4,FALSE)))</f>
        <v>0</v>
      </c>
      <c r="CL185" s="70"/>
      <c r="CM185" s="70"/>
      <c r="CN185" s="70"/>
      <c r="CO185" s="70"/>
      <c r="CP185" s="70"/>
      <c r="CQ185" s="70"/>
      <c r="CR185" s="10">
        <f t="shared" si="239"/>
        <v>0</v>
      </c>
      <c r="CS185" s="10">
        <f t="shared" si="240"/>
        <v>19.23076923076923</v>
      </c>
      <c r="CT185" s="10">
        <f t="shared" si="241"/>
        <v>0</v>
      </c>
      <c r="CU185" s="39">
        <f>IF($CH185="Нет",0,IF(CI185=0,30/MIN(CJ185:CK185),IF(Исходн.данные.!$AG185=$BV$11,CR185,IF(OR(Исходн.данные.!$AH185=$BQ$7,Исходн.данные.!$AH185=$BQ$8),90/CI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0,IF(Исходн.данные.!$AI185=$BU$11,"Нет",30/CI185))))))</f>
        <v>250</v>
      </c>
      <c r="CV185" s="39">
        <f>IF($CH185="Нет",0,IF(Исходн.данные.!AH185=0,0,IF(CJ185=0,60/MIN(CI185,CK185),IF(Исходн.данные.!$AG185=$BV$11,CS185,IF(OR(Исходн.данные.!$AH185=$BQ$7,Исходн.данные.!$AH185=$BQ$8),90/CJ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10/CJ185,IF(Исходн.данные.!$AI185=$BU$11,"Нет",60/CJ185)))))))</f>
        <v>0</v>
      </c>
      <c r="CW185" s="39">
        <f>IF($CH185="Нет",0,IF(Исходн.данные.!AH185=0,0,IF(CK185=0,30/MIN(CI185:CJ185),IF(Исходн.данные.!$AG185=$BV$11,CT185,IF(OR(Исходн.данные.!$AH185=$BQ$7,Исходн.данные.!$AH185=$BQ$8),90/CK185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0,IF(Исходн.данные.!$AI185=$BU$11,"Нет",30/CK185)))))))</f>
        <v>0</v>
      </c>
      <c r="CX185" s="133">
        <f>IF(Исходн.данные.!$AG185=$BV$11,MAX(CU185:CW185),IF(OR(Исходн.данные.!$AH185=$BS$8,Исходн.данные.!$AH185=$BQ$9,Исходн.данные.!$AH185=$BQ$10,Исходн.данные.!$AH185=$BQ$11,Исходн.данные.!$AH185=$BQ$12,Исходн.данные.!$AH185=$BP$3,Исходн.данные.!$AH185=$BT$8,$FM185="Да"),CV185,MIN(CU185:CW185)))</f>
        <v>0</v>
      </c>
      <c r="CY185" s="133">
        <f>IF(Исходн.данные.!AH185=0,0,IF(CR185&gt;$CX185,$CX185,CR185))</f>
        <v>0</v>
      </c>
      <c r="CZ185" s="133">
        <f>IF(Исходн.данные.!AH185=0,0,IF(CS185&gt;$CX185,$CX185,CS185))</f>
        <v>0</v>
      </c>
      <c r="DA185" s="133">
        <f>IF(Исходн.данные.!AH185=0,0,IF(CT185&gt;$CX185,$CX185,CT185))</f>
        <v>0</v>
      </c>
      <c r="DB185" s="10">
        <f t="shared" si="242"/>
        <v>0</v>
      </c>
      <c r="DC185" s="39">
        <f>DB185*Исходн.данные.!AJ185/1000</f>
        <v>0</v>
      </c>
      <c r="DD185" s="71">
        <f t="shared" si="243"/>
        <v>0</v>
      </c>
      <c r="DE185" s="9">
        <f t="shared" si="244"/>
        <v>0</v>
      </c>
      <c r="DF185" s="9">
        <f t="shared" si="245"/>
        <v>0</v>
      </c>
      <c r="DG185" s="39">
        <f>IF(BL185&lt;0,0,IF($CH185="Нет",BL185,IF(OR(Исходн.данные.!$AH185=$BP$1,Исходн.данные.!$AH185=$BP$2),0,IF(Исходн.данные.!AI185=$BU$11,BL185,IF(BL185-DD185&lt;0,0,BL185-DD185)))))</f>
        <v>0</v>
      </c>
      <c r="DH185" s="39">
        <f>IF(BM185&lt;0,0,IF($CH185="Нет",BM185,IF(OR(Исходн.данные.!$AH185=$BP$1,Исходн.данные.!$AH185=$BP$2),0,IF(Исходн.данные.!AJ185=$BU$11,BM185,IF(BM185-DE185&lt;0,0,BM185-DE185)))))</f>
        <v>0</v>
      </c>
      <c r="DI185" s="39">
        <f>IF(BN185&lt;0,0,IF($CH185="Нет",BN185,IF(OR(Исходн.данные.!$AH185=$BP$1,Исходн.данные.!$AH185=$BP$2),0,IF(Исходн.данные.!AK185=$BU$11,BN185,IF(BN185-DF185&lt;0,0,BN185-DF185)))))</f>
        <v>0</v>
      </c>
      <c r="DJ185" s="12">
        <f t="shared" si="246"/>
        <v>0</v>
      </c>
      <c r="DK185" s="9">
        <f t="shared" si="247"/>
        <v>0</v>
      </c>
      <c r="DL185" s="39">
        <f>IF(Исходн.данные.!AM185&gt;0,Исходн.данные.!AM185,IF(EG185&gt;0,$BH$10,0))</f>
        <v>0</v>
      </c>
      <c r="DM185" s="186">
        <f>IF($DL185=0,0,IF(Исходн.данные.!AM185&gt;0,VLOOKUP($DL185,АшламаДВ_Irekle,2,FALSE),VLOOKUP($DL185,АшламаДВ_Gomumy,2,FALSE)))</f>
        <v>0</v>
      </c>
      <c r="DN185" s="10">
        <f t="shared" si="225"/>
        <v>0</v>
      </c>
      <c r="DO185" s="9" t="str">
        <f>IF(Исходн.данные.!AN185&gt;0,Исходн.данные.!AN185,Удобрения!$B$37 )</f>
        <v>Хлор.калий</v>
      </c>
      <c r="DP185" s="9">
        <f>IF(Исходн.данные.!AN185&gt;0,VLOOKUP(Исходн.данные.!AN185,АшламаДВ_Irekle,4,FALSE),VLOOKUP(DO185,АшламаДВ_Gomumy,4,FALSE))</f>
        <v>0.6</v>
      </c>
      <c r="DQ185" s="10">
        <f t="shared" si="226"/>
        <v>0</v>
      </c>
      <c r="DR185" s="132" t="str">
        <f>IF(Исходн.данные.!AO185&gt;0,Исходн.данные.!AO185,IF(DH185=0,BS$17,IF(AND($DK185=0,$DJ185&gt;0),EJ185,EN185)))</f>
        <v>Нет</v>
      </c>
      <c r="DS185" s="70" t="str">
        <f>IF($DR185="Нет","Нет",IF(Исходн.данные.!$AO185&gt;0,VLOOKUP($DR185,АшламаДВ_Irekle,2,FALSE),VLOOKUP($DR185,АшламаДВ_Gomumy,2,FALSE)))</f>
        <v>Нет</v>
      </c>
      <c r="DT185" s="70" t="str">
        <f>IF($DR185="Нет","Нет",IF(Исходн.данные.!$AO185&gt;0,VLOOKUP($DR185,АшламаДВ_Irekle,3,FALSE),VLOOKUP($DR185,АшламаДВ_Gomumy,3,FALSE)))</f>
        <v>Нет</v>
      </c>
      <c r="DU185" s="70" t="str">
        <f>IF($DR185="Нет","Нет",IF(Исходн.данные.!$AO185&gt;0,VLOOKUP($DR185,АшламаДВ_Irekle,4,FALSE),VLOOKUP($DR185,АшламаДВ_Gomumy,4,FALSE)))</f>
        <v>Нет</v>
      </c>
      <c r="DV185" s="70"/>
      <c r="DW185" s="70"/>
      <c r="DX185" s="70"/>
      <c r="DY185" s="10">
        <f t="shared" si="248"/>
        <v>0</v>
      </c>
      <c r="DZ185" s="10">
        <f t="shared" si="249"/>
        <v>0</v>
      </c>
      <c r="EA185" s="10">
        <f t="shared" si="250"/>
        <v>0</v>
      </c>
      <c r="EB185" s="10">
        <f t="shared" si="251"/>
        <v>0</v>
      </c>
      <c r="EC185" s="10">
        <f t="shared" si="252"/>
        <v>0</v>
      </c>
      <c r="ED185" s="10">
        <f t="shared" si="253"/>
        <v>0</v>
      </c>
      <c r="EE185" s="10">
        <f t="shared" si="254"/>
        <v>0</v>
      </c>
      <c r="EF185" s="39">
        <f>EB185*Исходн.данные.!AJ185/1000</f>
        <v>0</v>
      </c>
      <c r="EG185" s="9">
        <f t="shared" si="255"/>
        <v>0</v>
      </c>
      <c r="EH185" s="9">
        <f t="shared" si="256"/>
        <v>0</v>
      </c>
      <c r="EI185" s="39" t="e">
        <f t="shared" si="206"/>
        <v>#DIV/0!</v>
      </c>
      <c r="EJ185" s="9" t="str">
        <f t="shared" si="227"/>
        <v>Азопреципитат</v>
      </c>
      <c r="EK185" s="12">
        <f t="shared" si="207"/>
        <v>0.26</v>
      </c>
      <c r="EL185" s="12">
        <f t="shared" si="208"/>
        <v>0.13</v>
      </c>
      <c r="EM185" s="12">
        <f t="shared" si="209"/>
        <v>0</v>
      </c>
      <c r="EN185" s="12" t="str">
        <f t="shared" si="228"/>
        <v>Нет</v>
      </c>
      <c r="EO185" s="12">
        <f t="shared" si="210"/>
        <v>0</v>
      </c>
      <c r="EP185" s="12">
        <f t="shared" si="211"/>
        <v>0</v>
      </c>
      <c r="EQ185" s="12">
        <f t="shared" si="212"/>
        <v>0</v>
      </c>
      <c r="ER185" s="12" t="str">
        <f t="shared" si="257"/>
        <v>Диаммофоска</v>
      </c>
      <c r="ES185" s="12">
        <f t="shared" si="213"/>
        <v>0.1</v>
      </c>
      <c r="ET185" s="12">
        <f t="shared" si="214"/>
        <v>0.26</v>
      </c>
      <c r="EU185" s="12">
        <f t="shared" si="215"/>
        <v>0.26</v>
      </c>
      <c r="EV185" s="12" t="str">
        <f t="shared" si="258"/>
        <v>Аммофос 12:52:00</v>
      </c>
      <c r="EW185" s="12" t="str">
        <f t="shared" si="259"/>
        <v>Кемира Свекловичное-6</v>
      </c>
      <c r="EX185" s="12">
        <f t="shared" si="216"/>
        <v>0.16</v>
      </c>
      <c r="EY185" s="12">
        <f t="shared" si="217"/>
        <v>0.12</v>
      </c>
      <c r="EZ185" s="12">
        <f t="shared" si="218"/>
        <v>0.17</v>
      </c>
      <c r="FA185" s="38" t="e">
        <f>IF(AND(OR(FJ185=$FD$1,FM185=$FD$1,FO185=$FD$1,FQ185=$FD$1,FS185=$FD$1),FD185=$FD$1,Исходн.данные.!J185&lt;2,FU185=$FD$1),"Бор,Кобальт",IF(AND(FO185=$FD$1,FH185=$FD$1,Исходн.данные.!J185&lt;2,FU185=$FD$1),"Бор,Кобальт",IF(AND(OR(FJ185=$FD$1,FM185=$FD$1,FQ185=$FD$1),FE185=$FD$1,Исходн.данные.!J185&lt;2,FT185=$FD$1,FU185=$FD$1),"Бор,Медь,Цинк",IF(AND(OR(FJ185=$FD$1,FR185="Да"),FI185="Да",Исходн.данные.!J185&lt;2,FT185="Да",FU185="Да"),"Бор,Цинк,Медь",IF(AND(OR(FM185="Да",FQ185="Да"),FI185="Да",Исходн.данные.!J185&lt;2,FT185="Да",FU185="Да"),"Бор,Цинк",IF(AND(FN185="Да",OR(FD185="Да",FE185="Да")),"Бор",FB185))))))</f>
        <v>#N/A</v>
      </c>
      <c r="FB185" s="134" t="e">
        <f>IF(AND(OR(FD185="Да",FE185="Да",FF185="Да",FG185="Да",FH185="Да"),FO185="Да"),"Бор",IF(AND(FP185="Да",OR(FD185="Да",FE185="Да",FI185="Да")),"Бор",IF(AND(FS185="Да",FE185="Да"),"Бор,Медь",IF(AND(OR(FJ185="Да",FK185="Да",FL185="Да"),FE185="Да",Исходн.данные.!I185&lt;5,FT185="Да",FU185="Да"),"Молибден,Цинк",IF(AND(FM185="Да",OR(FE185="Да",FF185="Да",FG185="Да",FH185="Да",FI185="Да")),"Молибден,Цинк",IF(AND(OR(FJ185="Да",FK185="Да",FL185="Да",FM185="Да",FQ185="Да"),OR(FE185="Да",FF185="Да"),FT185="Да",FU185="Да",Исходн.данные.!I185&gt;5.5),"Медь,Цинк",FC185))))))</f>
        <v>#N/A</v>
      </c>
      <c r="FC185" s="23" t="e">
        <f t="shared" si="260"/>
        <v>#N/A</v>
      </c>
      <c r="FD185" s="38" t="str">
        <f>IF(OR(Исходн.данные.!F185=$CC$1,Исходн.данные.!F185=$CC$2,Исходн.данные.!F185=$CC$3,Исходн.данные.!F185=$CC$4),"Да","Нет")</f>
        <v>Нет</v>
      </c>
      <c r="FE185" s="38" t="str">
        <f>IF(Исходн.данные.!F185=$CC$5,"Да","Нет")</f>
        <v>Нет</v>
      </c>
      <c r="FF185" s="38" t="str">
        <f>IF(OR(Исходн.данные.!F185=$CC$6,Исходн.данные.!F185=$CC$7),"Да","Нет")</f>
        <v>Нет</v>
      </c>
      <c r="FG185" s="38" t="str">
        <f>IF(OR(Исходн.данные.!F185=$CC$8,Исходн.данные.!F185=$CC$9),"Да","Нет")</f>
        <v>Нет</v>
      </c>
      <c r="FH185" s="38" t="str">
        <f>IF(Исходн.данные.!F185=$CC$10,"Да","Нет")</f>
        <v>Нет</v>
      </c>
      <c r="FI185" s="38" t="str">
        <f>IF(OR(Исходн.данные.!F185=$CC$11,Исходн.данные.!F185=$CC$12),"Да","Нет")</f>
        <v>Нет</v>
      </c>
      <c r="FJ185" s="38" t="str">
        <f>IF(OR(Исходн.данные.!AH185=$BS$1,Исходн.данные.!AH185=$BQ$11,Исходн.данные.!AH185=$BQ$12),"Да","Нет")</f>
        <v>Нет</v>
      </c>
      <c r="FK185" s="38" t="str">
        <f>IF(OR(Исходн.данные.!AH185=$BS$2,Исходн.данные.!AH185=$BS$4),"Да","Нет")</f>
        <v>Нет</v>
      </c>
      <c r="FL185" s="38" t="str">
        <f>IF(OR(Исходн.данные.!AH185=$BS$3,Исходн.данные.!AH185=$BS$5),"Да","Нет")</f>
        <v>Нет</v>
      </c>
      <c r="FM185" s="38" t="str">
        <f>IF(OR(Исходн.данные.!AH185=$BS$9,Исходн.данные.!AH185=$BS$10,Исходн.данные.!AH185=$BS$11,Исходн.данные.!AH185=$BS$12),"Да","Нет")</f>
        <v>Нет</v>
      </c>
      <c r="FN185" s="38" t="str">
        <f>IF(OR(Исходн.данные.!AH185=$BS$6,Исходн.данные.!AH185=$BP$3),"Да","Нет")</f>
        <v>Нет</v>
      </c>
      <c r="FO185" s="38" t="str">
        <f>IF(Исходн.данные.!AH185=$BQ$9,"Да","Нет")</f>
        <v>Нет</v>
      </c>
      <c r="FP185" s="38" t="str">
        <f>IF(OR(Исходн.данные.!AH185=$BS$8,Исходн.данные.!AH185=$BT$8),"Да","Нет")</f>
        <v>Нет</v>
      </c>
      <c r="FQ185" s="38" t="str">
        <f>IF(OR(Исходн.данные.!AH185=$BQ$7,Исходн.данные.!AH185=$BQ$8),"Да","Нет")</f>
        <v>Нет</v>
      </c>
      <c r="FR185" s="38" t="str">
        <f>IF(Исходн.данные.!AI185=$BU$9,"Да","Нет")</f>
        <v>Нет</v>
      </c>
      <c r="FS185" s="38" t="str">
        <f>IF(OR(Исходн.данные.!AH185=$BP$1,Исходн.данные.!AH185=$BP$2),"Да","Нет")</f>
        <v>Нет</v>
      </c>
      <c r="FT185" s="38" t="e">
        <f>IF((Исходн.данные.!K185*GO185*GS185*GW185+BL185*0.6+Исходн.данные.!Q185*4.5*0.275)&gt;90,"Да","Нет")</f>
        <v>#N/A</v>
      </c>
      <c r="FU185" s="38" t="e">
        <f>IF((Исходн.данные.!M185*GS185*GZ185+BM185*0.225)&gt;35,"Да","Нет")</f>
        <v>#N/A</v>
      </c>
      <c r="FV185" s="38" t="str">
        <f>IF(Исходн.данные.!O185&gt;175,"Да","Нет")</f>
        <v>Нет</v>
      </c>
      <c r="FW185" s="39" t="str">
        <f>IF(Исходн.данные.!I185&gt;5.5,"Да","Нет")</f>
        <v>Нет</v>
      </c>
      <c r="FX185" s="39" t="str">
        <f>IF(Исходн.данные.!J185&lt;2,"Да","Нет")</f>
        <v>Да</v>
      </c>
      <c r="FY185" s="39" t="e">
        <f>IF(HF185=$FY$16,0,Исходн.данные.!K185*GO185*GS185*GW185/HF185)</f>
        <v>#N/A</v>
      </c>
      <c r="FZ185" s="39" t="e">
        <f>Исходн.данные.!M185*GS185*GZ185/HG185</f>
        <v>#N/A</v>
      </c>
      <c r="GA185" s="39" t="e">
        <f>IF(K_Wyn=$FY$16,0,IF(Исходн.данные.!N185=Исходн.данные.!$L$10,Исходн.данные.!O185/1.1*GS185*HC185/HH185,IF(Исходн.данные.!N185=Исходн.данные.!$L$12,Исходн.данные.!O185/1.5*GS185*HC185/HH185,Исходн.данные.!O185*GS185*HC185/HH185)))</f>
        <v>#N/A</v>
      </c>
      <c r="GB185" s="39" t="e">
        <f>IF(HF185=$FY$16,0,((Исходн.данные.!Q185*N_Org+Исходн.данные.!R185*N_Sider+Исходн.данные.!S185*N_Soloma)*AO185+Расчет!BC185*VLOOKUP(Исходн.данные.!T185,Справ!$A$3:$O$57,15)*AO185+BB185*VLOOKUP(Исходн.данные.!T185,Справ!$A$3:$O$57,15)*AL185+(Исходн.данные.!V185*N_Rizotorf+Исходн.данные.!W185*N_Rizoagr))/HF185)</f>
        <v>#N/A</v>
      </c>
      <c r="GC185" s="39" t="e">
        <f>IF(HG185=$FY$16,0,((Исходн.данные.!Q185*Р_Org+Исходн.данные.!R185*P_Sider+Исходн.данные.!S185*P_Soloma)*AP185+Расчет!BC185*VLOOKUP(Исходн.данные.!T185,Справ!$A$3:$P$57,16)*AP185+BB185*VLOOKUP(Исходн.данные.!T185,Справ!$A$3:$P$57,16)*AM185)/HG185)</f>
        <v>#N/A</v>
      </c>
      <c r="GD185" s="39" t="e">
        <f>IF(HH185=$FY$16,0,((Исходн.данные.!Q185*К_Org+Исходн.данные.!R185*K_Sider+Исходн.данные.!S185*K_Soloma)*AQ185+Расчет!BC185*VLOOKUP(Исходн.данные.!T185,Справ!$A$3:$Q$57,17)*AQ185+BB185*VLOOKUP(Исходн.данные.!T185,Справ!$A$3:$Q$57,17)*AN185)/HH185)</f>
        <v>#N/A</v>
      </c>
      <c r="GE185" s="39" t="e">
        <f>IF(HF185=$FY$16,0,(Исходн.данные.!X185*AR185+Исходн.данные.!AA185*N_Org*AL185+Исходн.данные.!AB185*N_Sider*AL185+Исходн.данные.!AC185*N_Soloma*AL185)/HF185)</f>
        <v>#N/A</v>
      </c>
      <c r="GF185" s="39" t="e">
        <f>IF(HG185=$FY$16,0,(Исходн.данные.!Y185*AS185+Исходн.данные.!AA185*Р_Org*AM185+Исходн.данные.!AB185*P_Sider*AM185+Исходн.данные.!AC185*P_Soloma*AM185)/HG185)</f>
        <v>#N/A</v>
      </c>
      <c r="GG185" s="39" t="e">
        <f>IF(HH185=$FY$16,0,(Исходн.данные.!Z185*AT185+Исходн.данные.!AA185*К_Org*AN185+Исходн.данные.!AB185*K_Sider*AN185+Исходн.данные.!AC185*K_Soloma*AN185)/HH185)</f>
        <v>#N/A</v>
      </c>
      <c r="GH185" s="39" t="e">
        <f>Исходн.данные.!AD185*AU185/HF185</f>
        <v>#N/A</v>
      </c>
      <c r="GI185" s="39" t="e">
        <f>Исходн.данные.!AE185*AV185/HG185</f>
        <v>#N/A</v>
      </c>
      <c r="GJ185" s="39" t="e">
        <f>Исходн.данные.!AF185*AW185/HH185</f>
        <v>#N/A</v>
      </c>
      <c r="GK185" s="55">
        <f>Исходн.данные.!AK185</f>
        <v>0</v>
      </c>
      <c r="GL185" s="11" t="e">
        <f t="shared" si="261"/>
        <v>#N/A</v>
      </c>
      <c r="GM185" s="11" t="e">
        <f t="shared" si="262"/>
        <v>#N/A</v>
      </c>
      <c r="GN185" s="11" t="e">
        <f t="shared" si="263"/>
        <v>#N/A</v>
      </c>
      <c r="GO185" s="57">
        <f t="shared" si="264"/>
        <v>19</v>
      </c>
      <c r="GP185" s="55">
        <f>IF(OR(Исходн.данные.!F185=$CE$1,Исходн.данные.!F185=$CE$2,Исходн.данные.!F185=$CE$3,Исходн.данные.!F185=$CE$4,Исходн.данные.!F185=$CE$5),GQ185,GR185)</f>
        <v>19</v>
      </c>
      <c r="GQ185" s="55">
        <f>IF(Исходн.данные.!F185=$CE$1,28,IF(Исходн.данные.!F185=$CE$2,26,IF(Исходн.данные.!F185=$CE$3,24,IF(Исходн.данные.!F185=$CE$4,22,IF(Исходн.данные.!F185=$CE$5,20,GR185)))))</f>
        <v>19</v>
      </c>
      <c r="GR185" s="55">
        <f>IF(Исходн.данные.!F185=$CE$6,18,IF(Исходн.данные.!F185=$CE$7,16,IF(Исходн.данные.!F185=$CE$8,14,IF(Исходн.данные.!F185=$CE$9,13,IF(Исходн.данные.!F185=$CE$10,12,19)))))</f>
        <v>19</v>
      </c>
      <c r="GS185" s="55">
        <f>IF(Исходн.данные.!G185="Пес",0.035*(40+2*Исходн.данные.!H185),IF(Исходн.данные.!G185="Суп",0.0325*(40+2*Исходн.данные.!H185),0.03*(40+2*Исходн.данные.!H185)))</f>
        <v>1.2</v>
      </c>
      <c r="GT185" s="55">
        <f>IF(Исходн.данные.!H185&lt;23,2.6,IF(AND(Исходн.данные.!H185&gt;22,Исходн.данные.!H185&lt;26),3,IF(AND(Исходн.данные.!H185&gt;25,Исходн.данные.!H185&lt;29),3.4,3.6)))</f>
        <v>2.6</v>
      </c>
      <c r="GU185" s="55">
        <f>IF(Исходн.данные.!H185&lt;23,2.8,IF(AND(Исходн.данные.!H185&gt;22,Исходн.данные.!H185&lt;26),3.2,IF(AND(Исходн.данные.!H185&gt;25,Исходн.данные.!H185&lt;29),3.6,3.9)))</f>
        <v>2.8</v>
      </c>
      <c r="GV185" s="55">
        <f>IF(Исходн.данные.!H185&lt;23,3,IF(AND(Исходн.данные.!H185&gt;22,Исходн.данные.!H185&lt;26),3.5,IF(AND(Исходн.данные.!H185&gt;25,Исходн.данные.!H185&lt;29),3.9,4.2)))</f>
        <v>3</v>
      </c>
      <c r="GW185" s="55" t="e">
        <f>IF(Исходн.данные.!P185="Ум",GX185,GY185)</f>
        <v>#N/A</v>
      </c>
      <c r="GX185" s="55" t="e">
        <f>VLOOKUP(Исходн.данные.!AI185,Коэффициенты!$J$7:$L$13,2,FALSE)</f>
        <v>#N/A</v>
      </c>
      <c r="GY185" s="55" t="e">
        <f>VLOOKUP(Исходн.данные.!AI185,Коэффициенты!$J$7:$L$13,3,FALSE)</f>
        <v>#N/A</v>
      </c>
      <c r="GZ185" s="55" t="e">
        <f>(IF(Исходн.данные.!M185&lt;50,0.11*VLOOKUP(Исходн.данные.!AH185,Культуры.Информация,7,FALSE),IF(Исходн.данные.!M185&gt;250,0.05*VLOOKUP(Исходн.данные.!AH185,Культуры.Информация,7,FALSE),VLOOKUP(Исходн.данные.!AH185,Культуры.Информация,5,FALSE)/100*($GX$6+$GY$6*Исходн.данные.!M185))))*Расчет2!AI185</f>
        <v>#N/A</v>
      </c>
      <c r="HA185" s="211"/>
      <c r="HB185" s="211"/>
      <c r="HC185" s="55" t="e">
        <f>(IF(Исходн.данные.!O185&lt;80,0.2*VLOOKUP(Исходн.данные.!AH185,Культуры.Информация,8,FALSE),IF(Исходн.данные.!O185&gt;240,0.09*VLOOKUP(Исходн.данные.!AH185,Культуры.Информация,8,FALSE),VLOOKUP(Исходн.данные.!AH185,Культуры.Информация,6,FALSE)/100*($HB$6+$HC$6*Исходн.данные.!O185))))*Расчет2!AJ185</f>
        <v>#N/A</v>
      </c>
      <c r="HD185" s="55">
        <f>IF(Исходн.данные.!O185&gt;240,0.09,IF(Исходн.данные.!O185&lt;30,0.3,$HE$10+$HD$10*Исходн.данные.!O185))</f>
        <v>0.3</v>
      </c>
      <c r="HE185" s="55">
        <f>IF(Исходн.данные.!O185&gt;240,0.17,IF(Исходн.данные.!O185&lt;30,0.5,$HF$12+$HE$12*Исходн.данные.!O185))</f>
        <v>0.5</v>
      </c>
      <c r="HF185" s="55" t="e">
        <f>VLOOKUP(Исходн.данные.!AH185,Справ!$A$3:$D$58,2,FALSE)</f>
        <v>#N/A</v>
      </c>
      <c r="HG185" s="55" t="e">
        <f>VLOOKUP(Исходн.данные.!AH185,Справ!$A$3:$D$58,3,FALSE)</f>
        <v>#N/A</v>
      </c>
      <c r="HH185" s="55" t="e">
        <f>VLOOKUP(Исходн.данные.!AH185,Справ!$A$3:$D$58,4,FALSE)</f>
        <v>#N/A</v>
      </c>
      <c r="HI185" s="11" t="e">
        <f t="shared" si="265"/>
        <v>#N/A</v>
      </c>
      <c r="HJ185" s="11" t="e">
        <f t="shared" si="266"/>
        <v>#N/A</v>
      </c>
      <c r="HK185" s="11" t="e">
        <f t="shared" si="267"/>
        <v>#N/A</v>
      </c>
      <c r="HL185" s="55">
        <f>IF(OR(Исходн.данные.!G185="Глин",Исходн.данные.!G185="Т_суг"),1.1,IF(Исходн.данные.!G185="Ср_суг",1,1))</f>
        <v>1</v>
      </c>
      <c r="HM185" s="55">
        <f>IF(OR(Исходн.данные.!G185="Глин",Исходн.данные.!G185="Т_суг"),0.9,IF(Исходн.данные.!G185="Ср_суг",1,1.2))</f>
        <v>1.2</v>
      </c>
      <c r="HN185" s="11" t="e">
        <f t="shared" si="268"/>
        <v>#N/A</v>
      </c>
      <c r="HO185" s="11" t="e">
        <f t="shared" si="269"/>
        <v>#N/A</v>
      </c>
      <c r="HP185" s="11" t="e">
        <f t="shared" si="270"/>
        <v>#N/A</v>
      </c>
      <c r="HQ185" t="e">
        <f t="shared" si="271"/>
        <v>#N/A</v>
      </c>
      <c r="HR185" t="e">
        <f t="shared" si="272"/>
        <v>#N/A</v>
      </c>
      <c r="HS185" t="e">
        <f t="shared" si="273"/>
        <v>#N/A</v>
      </c>
      <c r="HT185" t="e">
        <f t="shared" si="219"/>
        <v>#N/A</v>
      </c>
      <c r="HU185" t="e">
        <f t="shared" si="220"/>
        <v>#N/A</v>
      </c>
      <c r="HV185" t="e">
        <f t="shared" si="221"/>
        <v>#N/A</v>
      </c>
      <c r="HW185" t="e">
        <f t="shared" si="222"/>
        <v>#N/A</v>
      </c>
      <c r="HX185" t="e">
        <f t="shared" si="223"/>
        <v>#N/A</v>
      </c>
      <c r="HY185" t="e">
        <f t="shared" si="224"/>
        <v>#N/A</v>
      </c>
      <c r="HZ185" s="55">
        <f>IF(OR(Исходн.данные.!AI185="Оз_Ч_П",Исходн.данные.!AI185="Оз_З_П",Исходн.данные.!AI185="Яр_зер"),12,30)</f>
        <v>30</v>
      </c>
      <c r="IA185" t="e">
        <f t="shared" si="274"/>
        <v>#N/A</v>
      </c>
      <c r="IB185" t="e">
        <f t="shared" si="275"/>
        <v>#N/A</v>
      </c>
      <c r="IC185" t="e">
        <f t="shared" si="276"/>
        <v>#N/A</v>
      </c>
      <c r="ID185" s="11" t="e">
        <f t="shared" si="277"/>
        <v>#N/A</v>
      </c>
      <c r="IE185" s="11" t="e">
        <f t="shared" si="278"/>
        <v>#N/A</v>
      </c>
      <c r="IF185" s="11" t="e">
        <f t="shared" si="279"/>
        <v>#N/A</v>
      </c>
    </row>
    <row r="186" spans="35:240" x14ac:dyDescent="0.2">
      <c r="AI186">
        <f>IF(Исходн.данные.!I186&gt;6,1,1.85-(0.148*Исходн.данные.!I186))</f>
        <v>1.85</v>
      </c>
      <c r="AJ186">
        <f>IF(Исходн.данные.!I186&gt;6,1,2.434-(0.246*Исходн.данные.!I186))</f>
        <v>2.4340000000000002</v>
      </c>
      <c r="AL186" s="148" t="b">
        <f>IF(Исходн.данные.!$P186="Ум",N_OrgUd_2g_um,IF(Исходн.данные.!$P186="Об",N_OrgUd_2g_ob))</f>
        <v>0</v>
      </c>
      <c r="AM186" s="148" t="b">
        <f>IF(Исходн.данные.!$P186="Ум",P_OrgUd_2g_um,IF(Исходн.данные.!$P186="Об",P_OrgUd_2g_ob))</f>
        <v>0</v>
      </c>
      <c r="AN186" s="148" t="b">
        <f>IF(Исходн.данные.!$P186="Ум",K_OrgUd_2g_um,IF(Исходн.данные.!$P186="Об",K_OrgUd_2g_ob))</f>
        <v>0</v>
      </c>
      <c r="AO186" s="148" t="b">
        <f>IF(Исходн.данные.!$P186="Ум",N_OrgUd_1g_um,IF(Исходн.данные.!$P186="Об",N_OrgUd_1g_ob))</f>
        <v>0</v>
      </c>
      <c r="AP186" s="148" t="b">
        <f>IF(Исходн.данные.!$P186="Ум",P_OrgUd_1g_um,IF(Исходн.данные.!$P186="Об",P_OrgUd_1g_ob))</f>
        <v>0</v>
      </c>
      <c r="AQ186" s="148" t="b">
        <f>IF(Исходн.данные.!$P186="Ум",K_OrgUd_1g_um,IF(Исходн.данные.!$P186="Об",K_OrgUd_1g_ob))</f>
        <v>0</v>
      </c>
      <c r="AR186" t="b">
        <f>IF(Исходн.данные.!$P186="Ум",N_MinUd_2g_um,IF(Исходн.данные.!$P186="Об",N_MinUd_2g_ob))</f>
        <v>0</v>
      </c>
      <c r="AS186" t="b">
        <f>IF(Исходн.данные.!$P186="Ум",P_MinUd_2g_um,IF(Исходн.данные.!$P186="Об",P_MinUd_2g_ob))</f>
        <v>0</v>
      </c>
      <c r="AT186" t="b">
        <f>IF(Исходн.данные.!$P186="Ум",K_MinUd_2g_um,IF(Исходн.данные.!$P186="Об",K_MinUd_2g_ob))</f>
        <v>0</v>
      </c>
      <c r="AU186" t="b">
        <f>IF(Исходн.данные.!$P186="Ум",N_MinUd_1g_um,IF(Исходн.данные.!$P186="Об",N_MinUd_1g_ob))</f>
        <v>0</v>
      </c>
      <c r="AV186" t="b">
        <f>IF(Исходн.данные.!P186="Ум",P_MinUd_1g_um,IF(Исходн.данные.!P186="Об",P_MinUd_1g_ob))</f>
        <v>0</v>
      </c>
      <c r="AW186" t="b">
        <f>IF(Исходн.данные.!P186="Ум",K_MinUd_1g_um,IF(Исходн.данные.!P186="Об",K_MinUd_1g_ob))</f>
        <v>0</v>
      </c>
      <c r="AY186" t="e">
        <f>VLOOKUP(Исходн.данные.!T186,Справ!$A$3:$N$57,12)</f>
        <v>#N/A</v>
      </c>
      <c r="AZ186" t="e">
        <f>VLOOKUP(Исходн.данные.!T186,Справ!$A$3:$N$57,13)</f>
        <v>#N/A</v>
      </c>
      <c r="BA186" t="e">
        <f>VLOOKUP(Исходн.данные.!T186,Справ!$A$3:$N$57,14)</f>
        <v>#N/A</v>
      </c>
      <c r="BB186">
        <f>IF(Исходн.данные.!AH186=0,0,25)</f>
        <v>0</v>
      </c>
      <c r="BC186" s="141">
        <f>IF(Исходн.данные.!AH186=0,0,IF(Исходн.данные.!T186=0,25,BD186))</f>
        <v>0</v>
      </c>
      <c r="BD186" s="168" t="e">
        <f>AY186+AZ186*Исходн.данные.!U186-POWER(BA186,2)*Исходн.данные.!U186</f>
        <v>#N/A</v>
      </c>
      <c r="BE18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6" s="25">
        <f>IF(Исходн.данные.!AH186=0,0,MIN(HN186:HP186))</f>
        <v>0</v>
      </c>
      <c r="BG186" s="9">
        <f>IF(Исходн.данные.!AH186=0,0,IF((HO186+10*0.25/HG186/HL186)&lt;17,17,HO186+10*0.25/HG186/HL186))</f>
        <v>0</v>
      </c>
      <c r="BH186" s="181">
        <f>IF(Исходн.данные.!AH186=0,0,HW186*HF186*HL186/AU186*AI186+Исходн.данные.!S186*10)</f>
        <v>0</v>
      </c>
      <c r="BI186" s="10"/>
      <c r="BJ186" s="182">
        <f>IF(Исходн.данные.!AH186=0,0,IF(HX186*HG186*HL186/AV186&lt;0,0,HX186*HG186*HL186/AV186*AJ186))</f>
        <v>0</v>
      </c>
      <c r="BK186" s="182">
        <f>IF(Исходн.данные.!AH186=0,0,HY186*HH186*HM186/AW186)</f>
        <v>0</v>
      </c>
      <c r="BL186" s="10">
        <f>IF(OR(Исходн.данные.!$AH186=$BP$1,Исходн.данные.!$AH186=$BP$2),0,IF(BH186&lt;0,0,IF(OR(Исходн.данные.!T186=Расчет!$BP$1,Исходн.данные.!T186=Расчет!$BP$2,Исходн.данные.!T186=Расчет!$BT$5,Исходн.данные.!T186=Расчет!$BT$6),BH186*0.5,IF(OR(Исходн.данные.!T186=Расчет!$BS$9,Исходн.данные.!T186=Расчет!$BS$10,Исходн.данные.!T186=Расчет!$BS$11,Исходн.данные.!T186=Расчет!$BS$12,Исходн.данные.!T186=Расчет!$BP$5),BH186*0.8,BH186))))</f>
        <v>0</v>
      </c>
      <c r="BM186" s="10">
        <f>IF(OR(Исходн.данные.!$AH186=$BP$1,Исходн.данные.!$AH186=$BP$2),0,IF(BJ186&lt;0,0,IF(Исходн.данные.!I186&lt;4.5,BJ186*1.2,IF(Исходн.данные.!I186&gt;5.1,BJ186,BJ186*((5.1-Исходн.данные.!I186)*0.333+1)))))</f>
        <v>0</v>
      </c>
      <c r="BN186" s="10">
        <f>IF(OR(Исходн.данные.!$AH186=$BP$1,Исходн.данные.!$AH186=$BP$2),60-Исходн.данные.!AF186,IF(BK186&lt;0,0,IF(Исходн.данные.!I186&lt;4.5,BK186*1.2,IF(Исходн.данные.!I186&gt;5.1,BK186,BK186*((5.1-Исходн.данные.!I186)*0.333+1)))))</f>
        <v>0</v>
      </c>
      <c r="BO186" s="9">
        <f>IF(BL186&lt;0,0,BL186*Исходн.данные.!$AJ186/1000)</f>
        <v>0</v>
      </c>
      <c r="BP186" s="9">
        <f>IF(BM186&lt;0,0,BM186*Исходн.данные.!$AJ186/1000)</f>
        <v>0</v>
      </c>
      <c r="BQ186" s="9">
        <f>IF(BN186&lt;0,0,BN186*Исходн.данные.!$AJ186/1000)</f>
        <v>0</v>
      </c>
      <c r="BR186" s="9">
        <f t="shared" si="229"/>
        <v>0</v>
      </c>
      <c r="BS186" s="10" t="str">
        <f t="shared" si="230"/>
        <v>Аммофос 12:52:00</v>
      </c>
      <c r="BT186" s="10" t="str">
        <f t="shared" si="231"/>
        <v>Аммофос 12:52:00</v>
      </c>
      <c r="BU186" s="10" t="str">
        <f t="shared" si="232"/>
        <v>Диаммофоска</v>
      </c>
      <c r="BV186" s="10">
        <f t="shared" si="233"/>
        <v>0</v>
      </c>
      <c r="BW186" s="10"/>
      <c r="BX186" s="10"/>
      <c r="BY186" s="9">
        <f>IF(BL186&lt;0,0,IF(OR(Исходн.данные.!AI186=Расчет!$BU$6,Исходн.данные.!AI186=Расчет!$BU$7),Расчет!BV186,IF(Исходн.данные.!$AG186=$BV$11,BL186,IF(OR(Исходн.данные.!$AH186=$BQ$7,Исходн.данные.!$AH186=$BQ$8),CB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0,IF(Исходн.данные.!$AI186=$BU$11,"Нет",IF(BL186&gt;30,30,BL186)))))))</f>
        <v>0</v>
      </c>
      <c r="BZ186" s="9">
        <f>IF(AND(Исходн.данные.!$AG186=$BV$11,BM186&lt;10),10,IF(Исходн.данные.!$AG186=$BV$11,BM186,IF(OR(Исходн.данные.!$AH186=$BQ$7,Исходн.данные.!$AH186=$BQ$8),CC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10,IF(Исходн.данные.!$AI186=$BU$11,"Нет",IF(BM186&gt;60,60,IF(BM186&lt;10,10,BM186)))))))</f>
        <v>10</v>
      </c>
      <c r="CA186" s="39">
        <f>IF(BN186&lt;0,0,IF(Исходн.данные.!$AG186=$BV$11,BN186,IF(OR(Исходн.данные.!$AH186=$BQ$7,Исходн.данные.!$AH186=$BQ$8),CD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0,IF(Исходн.данные.!$AI186=$BU$11,"Нет",IF(BN186&gt;30,30,BN186))))))</f>
        <v>0</v>
      </c>
      <c r="CB186" s="9">
        <f t="shared" si="234"/>
        <v>0</v>
      </c>
      <c r="CC186" s="9">
        <f t="shared" si="235"/>
        <v>0</v>
      </c>
      <c r="CD186" s="9">
        <f t="shared" si="236"/>
        <v>0</v>
      </c>
      <c r="CE186" s="12">
        <f t="shared" si="237"/>
        <v>10</v>
      </c>
      <c r="CF186" s="9">
        <f t="shared" si="238"/>
        <v>0</v>
      </c>
      <c r="CG186" s="9" t="s">
        <v>231</v>
      </c>
      <c r="CH186" s="132" t="str">
        <f>IF(Исходн.данные.!AP186=Расчет!$CI$16,"Нет",IF(Исходн.данные.!AL186&gt;0,Исходн.данные.!AL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BH$4,IF(OR(Исходн.данные.!AI186=Исходн.данные.!$AI$6,Исходн.данные.!AI186=Исходн.данные.!$AI$7),Расчет!BS186,IF(AND($CF186=0,$CE186&gt;0),EV186,ER186)))))</f>
        <v>Аммофос 12:52:00</v>
      </c>
      <c r="CI186" s="274">
        <f>IF(Расчет!$CH186="Нет","Нет",IF(Исходн.данные.!$AL186&gt;0,VLOOKUP(Расчет!$CH186,АшламаДВ_Irekle,2,FALSE),VLOOKUP(Расчет!$CH186,АшламаДВ_Gomumy,2,FALSE)))</f>
        <v>0.12</v>
      </c>
      <c r="CJ186" s="274">
        <f>IF(Расчет!$CH186="Нет","Нет",IF(Исходн.данные.!$AL186&gt;0,VLOOKUP(Расчет!$CH186,АшламаДВ_Irekle,3,FALSE),VLOOKUP(Расчет!$CH186,АшламаДВ_Gomumy,3,FALSE)))</f>
        <v>0.52</v>
      </c>
      <c r="CK186" s="274">
        <f>IF(Расчет!$CH186="Нет","Нет",IF(Исходн.данные.!$AL186&gt;0,VLOOKUP(Расчет!$CH186,АшламаДВ_Irekle,4,FALSE),VLOOKUP(Расчет!$CH186,АшламаДВ_Gomumy,4,FALSE)))</f>
        <v>0</v>
      </c>
      <c r="CL186" s="70"/>
      <c r="CM186" s="70"/>
      <c r="CN186" s="70"/>
      <c r="CO186" s="70"/>
      <c r="CP186" s="70"/>
      <c r="CQ186" s="70"/>
      <c r="CR186" s="10">
        <f t="shared" si="239"/>
        <v>0</v>
      </c>
      <c r="CS186" s="10">
        <f t="shared" si="240"/>
        <v>19.23076923076923</v>
      </c>
      <c r="CT186" s="10">
        <f t="shared" si="241"/>
        <v>0</v>
      </c>
      <c r="CU186" s="39">
        <f>IF($CH186="Нет",0,IF(CI186=0,30/MIN(CJ186:CK186),IF(Исходн.данные.!$AG186=$BV$11,CR186,IF(OR(Исходн.данные.!$AH186=$BQ$7,Исходн.данные.!$AH186=$BQ$8),90/CI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0,IF(Исходн.данные.!$AI186=$BU$11,"Нет",30/CI186))))))</f>
        <v>250</v>
      </c>
      <c r="CV186" s="39">
        <f>IF($CH186="Нет",0,IF(Исходн.данные.!AH186=0,0,IF(CJ186=0,60/MIN(CI186,CK186),IF(Исходн.данные.!$AG186=$BV$11,CS186,IF(OR(Исходн.данные.!$AH186=$BQ$7,Исходн.данные.!$AH186=$BQ$8),90/CJ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10/CJ186,IF(Исходн.данные.!$AI186=$BU$11,"Нет",60/CJ186)))))))</f>
        <v>0</v>
      </c>
      <c r="CW186" s="39">
        <f>IF($CH186="Нет",0,IF(Исходн.данные.!AH186=0,0,IF(CK186=0,30/MIN(CI186:CJ186),IF(Исходн.данные.!$AG186=$BV$11,CT186,IF(OR(Исходн.данные.!$AH186=$BQ$7,Исходн.данные.!$AH186=$BQ$8),90/CK186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0,IF(Исходн.данные.!$AI186=$BU$11,"Нет",30/CK186)))))))</f>
        <v>0</v>
      </c>
      <c r="CX186" s="133">
        <f>IF(Исходн.данные.!$AG186=$BV$11,MAX(CU186:CW186),IF(OR(Исходн.данные.!$AH186=$BS$8,Исходн.данные.!$AH186=$BQ$9,Исходн.данные.!$AH186=$BQ$10,Исходн.данные.!$AH186=$BQ$11,Исходн.данные.!$AH186=$BQ$12,Исходн.данные.!$AH186=$BP$3,Исходн.данные.!$AH186=$BT$8,$FM186="Да"),CV186,MIN(CU186:CW186)))</f>
        <v>0</v>
      </c>
      <c r="CY186" s="133">
        <f>IF(Исходн.данные.!AH186=0,0,IF(CR186&gt;$CX186,$CX186,CR186))</f>
        <v>0</v>
      </c>
      <c r="CZ186" s="133">
        <f>IF(Исходн.данные.!AH186=0,0,IF(CS186&gt;$CX186,$CX186,CS186))</f>
        <v>0</v>
      </c>
      <c r="DA186" s="133">
        <f>IF(Исходн.данные.!AH186=0,0,IF(CT186&gt;$CX186,$CX186,CT186))</f>
        <v>0</v>
      </c>
      <c r="DB186" s="10">
        <f t="shared" si="242"/>
        <v>0</v>
      </c>
      <c r="DC186" s="39">
        <f>DB186*Исходн.данные.!AJ186/1000</f>
        <v>0</v>
      </c>
      <c r="DD186" s="71">
        <f t="shared" si="243"/>
        <v>0</v>
      </c>
      <c r="DE186" s="9">
        <f t="shared" si="244"/>
        <v>0</v>
      </c>
      <c r="DF186" s="9">
        <f t="shared" si="245"/>
        <v>0</v>
      </c>
      <c r="DG186" s="39">
        <f>IF(BL186&lt;0,0,IF($CH186="Нет",BL186,IF(OR(Исходн.данные.!$AH186=$BP$1,Исходн.данные.!$AH186=$BP$2),0,IF(Исходн.данные.!AI186=$BU$11,BL186,IF(BL186-DD186&lt;0,0,BL186-DD186)))))</f>
        <v>0</v>
      </c>
      <c r="DH186" s="39">
        <f>IF(BM186&lt;0,0,IF($CH186="Нет",BM186,IF(OR(Исходн.данные.!$AH186=$BP$1,Исходн.данные.!$AH186=$BP$2),0,IF(Исходн.данные.!AJ186=$BU$11,BM186,IF(BM186-DE186&lt;0,0,BM186-DE186)))))</f>
        <v>0</v>
      </c>
      <c r="DI186" s="39">
        <f>IF(BN186&lt;0,0,IF($CH186="Нет",BN186,IF(OR(Исходн.данные.!$AH186=$BP$1,Исходн.данные.!$AH186=$BP$2),0,IF(Исходн.данные.!AK186=$BU$11,BN186,IF(BN186-DF186&lt;0,0,BN186-DF186)))))</f>
        <v>0</v>
      </c>
      <c r="DJ186" s="12">
        <f t="shared" si="246"/>
        <v>0</v>
      </c>
      <c r="DK186" s="9">
        <f t="shared" si="247"/>
        <v>0</v>
      </c>
      <c r="DL186" s="39">
        <f>IF(Исходн.данные.!AM186&gt;0,Исходн.данные.!AM186,IF(EG186&gt;0,$BH$10,0))</f>
        <v>0</v>
      </c>
      <c r="DM186" s="186">
        <f>IF($DL186=0,0,IF(Исходн.данные.!AM186&gt;0,VLOOKUP($DL186,АшламаДВ_Irekle,2,FALSE),VLOOKUP($DL186,АшламаДВ_Gomumy,2,FALSE)))</f>
        <v>0</v>
      </c>
      <c r="DN186" s="10">
        <f t="shared" si="225"/>
        <v>0</v>
      </c>
      <c r="DO186" s="9" t="str">
        <f>IF(Исходн.данные.!AN186&gt;0,Исходн.данные.!AN186,Удобрения!$B$37 )</f>
        <v>Хлор.калий</v>
      </c>
      <c r="DP186" s="9">
        <f>IF(Исходн.данные.!AN186&gt;0,VLOOKUP(Исходн.данные.!AN186,АшламаДВ_Irekle,4,FALSE),VLOOKUP(DO186,АшламаДВ_Gomumy,4,FALSE))</f>
        <v>0.6</v>
      </c>
      <c r="DQ186" s="10">
        <f t="shared" si="226"/>
        <v>0</v>
      </c>
      <c r="DR186" s="132" t="str">
        <f>IF(Исходн.данные.!AO186&gt;0,Исходн.данные.!AO186,IF(DH186=0,BS$17,IF(AND($DK186=0,$DJ186&gt;0),EJ186,EN186)))</f>
        <v>Нет</v>
      </c>
      <c r="DS186" s="70" t="str">
        <f>IF($DR186="Нет","Нет",IF(Исходн.данные.!$AO186&gt;0,VLOOKUP($DR186,АшламаДВ_Irekle,2,FALSE),VLOOKUP($DR186,АшламаДВ_Gomumy,2,FALSE)))</f>
        <v>Нет</v>
      </c>
      <c r="DT186" s="70" t="str">
        <f>IF($DR186="Нет","Нет",IF(Исходн.данные.!$AO186&gt;0,VLOOKUP($DR186,АшламаДВ_Irekle,3,FALSE),VLOOKUP($DR186,АшламаДВ_Gomumy,3,FALSE)))</f>
        <v>Нет</v>
      </c>
      <c r="DU186" s="70" t="str">
        <f>IF($DR186="Нет","Нет",IF(Исходн.данные.!$AO186&gt;0,VLOOKUP($DR186,АшламаДВ_Irekle,4,FALSE),VLOOKUP($DR186,АшламаДВ_Gomumy,4,FALSE)))</f>
        <v>Нет</v>
      </c>
      <c r="DV186" s="70"/>
      <c r="DW186" s="70"/>
      <c r="DX186" s="70"/>
      <c r="DY186" s="10">
        <f t="shared" si="248"/>
        <v>0</v>
      </c>
      <c r="DZ186" s="10">
        <f t="shared" si="249"/>
        <v>0</v>
      </c>
      <c r="EA186" s="10">
        <f t="shared" si="250"/>
        <v>0</v>
      </c>
      <c r="EB186" s="10">
        <f t="shared" si="251"/>
        <v>0</v>
      </c>
      <c r="EC186" s="10">
        <f t="shared" si="252"/>
        <v>0</v>
      </c>
      <c r="ED186" s="10">
        <f t="shared" si="253"/>
        <v>0</v>
      </c>
      <c r="EE186" s="10">
        <f t="shared" si="254"/>
        <v>0</v>
      </c>
      <c r="EF186" s="39">
        <f>EB186*Исходн.данные.!AJ186/1000</f>
        <v>0</v>
      </c>
      <c r="EG186" s="9">
        <f t="shared" si="255"/>
        <v>0</v>
      </c>
      <c r="EH186" s="9">
        <f t="shared" si="256"/>
        <v>0</v>
      </c>
      <c r="EI186" s="39" t="e">
        <f t="shared" si="206"/>
        <v>#DIV/0!</v>
      </c>
      <c r="EJ186" s="9" t="str">
        <f t="shared" si="227"/>
        <v>Азопреципитат</v>
      </c>
      <c r="EK186" s="12">
        <f t="shared" si="207"/>
        <v>0.26</v>
      </c>
      <c r="EL186" s="12">
        <f t="shared" si="208"/>
        <v>0.13</v>
      </c>
      <c r="EM186" s="12">
        <f t="shared" si="209"/>
        <v>0</v>
      </c>
      <c r="EN186" s="12" t="str">
        <f t="shared" si="228"/>
        <v>Нет</v>
      </c>
      <c r="EO186" s="12">
        <f t="shared" si="210"/>
        <v>0</v>
      </c>
      <c r="EP186" s="12">
        <f t="shared" si="211"/>
        <v>0</v>
      </c>
      <c r="EQ186" s="12">
        <f t="shared" si="212"/>
        <v>0</v>
      </c>
      <c r="ER186" s="12" t="str">
        <f t="shared" si="257"/>
        <v>Диаммофоска</v>
      </c>
      <c r="ES186" s="12">
        <f t="shared" si="213"/>
        <v>0.1</v>
      </c>
      <c r="ET186" s="12">
        <f t="shared" si="214"/>
        <v>0.26</v>
      </c>
      <c r="EU186" s="12">
        <f t="shared" si="215"/>
        <v>0.26</v>
      </c>
      <c r="EV186" s="12" t="str">
        <f t="shared" si="258"/>
        <v>Аммофос 12:52:00</v>
      </c>
      <c r="EW186" s="12" t="str">
        <f t="shared" si="259"/>
        <v>Кемира Свекловичное-6</v>
      </c>
      <c r="EX186" s="12">
        <f t="shared" si="216"/>
        <v>0.16</v>
      </c>
      <c r="EY186" s="12">
        <f t="shared" si="217"/>
        <v>0.12</v>
      </c>
      <c r="EZ186" s="12">
        <f t="shared" si="218"/>
        <v>0.17</v>
      </c>
      <c r="FA186" s="38" t="e">
        <f>IF(AND(OR(FJ186=$FD$1,FM186=$FD$1,FO186=$FD$1,FQ186=$FD$1,FS186=$FD$1),FD186=$FD$1,Исходн.данные.!J186&lt;2,FU186=$FD$1),"Бор,Кобальт",IF(AND(FO186=$FD$1,FH186=$FD$1,Исходн.данные.!J186&lt;2,FU186=$FD$1),"Бор,Кобальт",IF(AND(OR(FJ186=$FD$1,FM186=$FD$1,FQ186=$FD$1),FE186=$FD$1,Исходн.данные.!J186&lt;2,FT186=$FD$1,FU186=$FD$1),"Бор,Медь,Цинк",IF(AND(OR(FJ186=$FD$1,FR186="Да"),FI186="Да",Исходн.данные.!J186&lt;2,FT186="Да",FU186="Да"),"Бор,Цинк,Медь",IF(AND(OR(FM186="Да",FQ186="Да"),FI186="Да",Исходн.данные.!J186&lt;2,FT186="Да",FU186="Да"),"Бор,Цинк",IF(AND(FN186="Да",OR(FD186="Да",FE186="Да")),"Бор",FB186))))))</f>
        <v>#N/A</v>
      </c>
      <c r="FB186" s="134" t="e">
        <f>IF(AND(OR(FD186="Да",FE186="Да",FF186="Да",FG186="Да",FH186="Да"),FO186="Да"),"Бор",IF(AND(FP186="Да",OR(FD186="Да",FE186="Да",FI186="Да")),"Бор",IF(AND(FS186="Да",FE186="Да"),"Бор,Медь",IF(AND(OR(FJ186="Да",FK186="Да",FL186="Да"),FE186="Да",Исходн.данные.!I186&lt;5,FT186="Да",FU186="Да"),"Молибден,Цинк",IF(AND(FM186="Да",OR(FE186="Да",FF186="Да",FG186="Да",FH186="Да",FI186="Да")),"Молибден,Цинк",IF(AND(OR(FJ186="Да",FK186="Да",FL186="Да",FM186="Да",FQ186="Да"),OR(FE186="Да",FF186="Да"),FT186="Да",FU186="Да",Исходн.данные.!I186&gt;5.5),"Медь,Цинк",FC186))))))</f>
        <v>#N/A</v>
      </c>
      <c r="FC186" s="23" t="e">
        <f t="shared" si="260"/>
        <v>#N/A</v>
      </c>
      <c r="FD186" s="38" t="str">
        <f>IF(OR(Исходн.данные.!F186=$CC$1,Исходн.данные.!F186=$CC$2,Исходн.данные.!F186=$CC$3,Исходн.данные.!F186=$CC$4),"Да","Нет")</f>
        <v>Нет</v>
      </c>
      <c r="FE186" s="38" t="str">
        <f>IF(Исходн.данные.!F186=$CC$5,"Да","Нет")</f>
        <v>Нет</v>
      </c>
      <c r="FF186" s="38" t="str">
        <f>IF(OR(Исходн.данные.!F186=$CC$6,Исходн.данные.!F186=$CC$7),"Да","Нет")</f>
        <v>Нет</v>
      </c>
      <c r="FG186" s="38" t="str">
        <f>IF(OR(Исходн.данные.!F186=$CC$8,Исходн.данные.!F186=$CC$9),"Да","Нет")</f>
        <v>Нет</v>
      </c>
      <c r="FH186" s="38" t="str">
        <f>IF(Исходн.данные.!F186=$CC$10,"Да","Нет")</f>
        <v>Нет</v>
      </c>
      <c r="FI186" s="38" t="str">
        <f>IF(OR(Исходн.данные.!F186=$CC$11,Исходн.данные.!F186=$CC$12),"Да","Нет")</f>
        <v>Нет</v>
      </c>
      <c r="FJ186" s="38" t="str">
        <f>IF(OR(Исходн.данные.!AH186=$BS$1,Исходн.данные.!AH186=$BQ$11,Исходн.данные.!AH186=$BQ$12),"Да","Нет")</f>
        <v>Нет</v>
      </c>
      <c r="FK186" s="38" t="str">
        <f>IF(OR(Исходн.данные.!AH186=$BS$2,Исходн.данные.!AH186=$BS$4),"Да","Нет")</f>
        <v>Нет</v>
      </c>
      <c r="FL186" s="38" t="str">
        <f>IF(OR(Исходн.данные.!AH186=$BS$3,Исходн.данные.!AH186=$BS$5),"Да","Нет")</f>
        <v>Нет</v>
      </c>
      <c r="FM186" s="38" t="str">
        <f>IF(OR(Исходн.данные.!AH186=$BS$9,Исходн.данные.!AH186=$BS$10,Исходн.данные.!AH186=$BS$11,Исходн.данные.!AH186=$BS$12),"Да","Нет")</f>
        <v>Нет</v>
      </c>
      <c r="FN186" s="38" t="str">
        <f>IF(OR(Исходн.данные.!AH186=$BS$6,Исходн.данные.!AH186=$BP$3),"Да","Нет")</f>
        <v>Нет</v>
      </c>
      <c r="FO186" s="38" t="str">
        <f>IF(Исходн.данные.!AH186=$BQ$9,"Да","Нет")</f>
        <v>Нет</v>
      </c>
      <c r="FP186" s="38" t="str">
        <f>IF(OR(Исходн.данные.!AH186=$BS$8,Исходн.данные.!AH186=$BT$8),"Да","Нет")</f>
        <v>Нет</v>
      </c>
      <c r="FQ186" s="38" t="str">
        <f>IF(OR(Исходн.данные.!AH186=$BQ$7,Исходн.данные.!AH186=$BQ$8),"Да","Нет")</f>
        <v>Нет</v>
      </c>
      <c r="FR186" s="38" t="str">
        <f>IF(Исходн.данные.!AI186=$BU$9,"Да","Нет")</f>
        <v>Нет</v>
      </c>
      <c r="FS186" s="38" t="str">
        <f>IF(OR(Исходн.данные.!AH186=$BP$1,Исходн.данные.!AH186=$BP$2),"Да","Нет")</f>
        <v>Нет</v>
      </c>
      <c r="FT186" s="38" t="e">
        <f>IF((Исходн.данные.!K186*GO186*GS186*GW186+BL186*0.6+Исходн.данные.!Q186*4.5*0.275)&gt;90,"Да","Нет")</f>
        <v>#N/A</v>
      </c>
      <c r="FU186" s="38" t="e">
        <f>IF((Исходн.данные.!M186*GS186*GZ186+BM186*0.225)&gt;35,"Да","Нет")</f>
        <v>#N/A</v>
      </c>
      <c r="FV186" s="38" t="str">
        <f>IF(Исходн.данные.!O186&gt;175,"Да","Нет")</f>
        <v>Нет</v>
      </c>
      <c r="FW186" s="39" t="str">
        <f>IF(Исходн.данные.!I186&gt;5.5,"Да","Нет")</f>
        <v>Нет</v>
      </c>
      <c r="FX186" s="39" t="str">
        <f>IF(Исходн.данные.!J186&lt;2,"Да","Нет")</f>
        <v>Да</v>
      </c>
      <c r="FY186" s="39" t="e">
        <f>IF(HF186=$FY$16,0,Исходн.данные.!K186*GO186*GS186*GW186/HF186)</f>
        <v>#N/A</v>
      </c>
      <c r="FZ186" s="39" t="e">
        <f>Исходн.данные.!M186*GS186*GZ186/HG186</f>
        <v>#N/A</v>
      </c>
      <c r="GA186" s="39" t="e">
        <f>IF(K_Wyn=$FY$16,0,IF(Исходн.данные.!N186=Исходн.данные.!$L$10,Исходн.данные.!O186/1.1*GS186*HC186/HH186,IF(Исходн.данные.!N186=Исходн.данные.!$L$12,Исходн.данные.!O186/1.5*GS186*HC186/HH186,Исходн.данные.!O186*GS186*HC186/HH186)))</f>
        <v>#N/A</v>
      </c>
      <c r="GB186" s="39" t="e">
        <f>IF(HF186=$FY$16,0,((Исходн.данные.!Q186*N_Org+Исходн.данные.!R186*N_Sider+Исходн.данные.!S186*N_Soloma)*AO186+Расчет!BC186*VLOOKUP(Исходн.данные.!T186,Справ!$A$3:$O$57,15)*AO186+BB186*VLOOKUP(Исходн.данные.!T186,Справ!$A$3:$O$57,15)*AL186+(Исходн.данные.!V186*N_Rizotorf+Исходн.данные.!W186*N_Rizoagr))/HF186)</f>
        <v>#N/A</v>
      </c>
      <c r="GC186" s="39" t="e">
        <f>IF(HG186=$FY$16,0,((Исходн.данные.!Q186*Р_Org+Исходн.данные.!R186*P_Sider+Исходн.данные.!S186*P_Soloma)*AP186+Расчет!BC186*VLOOKUP(Исходн.данные.!T186,Справ!$A$3:$P$57,16)*AP186+BB186*VLOOKUP(Исходн.данные.!T186,Справ!$A$3:$P$57,16)*AM186)/HG186)</f>
        <v>#N/A</v>
      </c>
      <c r="GD186" s="39" t="e">
        <f>IF(HH186=$FY$16,0,((Исходн.данные.!Q186*К_Org+Исходн.данные.!R186*K_Sider+Исходн.данные.!S186*K_Soloma)*AQ186+Расчет!BC186*VLOOKUP(Исходн.данные.!T186,Справ!$A$3:$Q$57,17)*AQ186+BB186*VLOOKUP(Исходн.данные.!T186,Справ!$A$3:$Q$57,17)*AN186)/HH186)</f>
        <v>#N/A</v>
      </c>
      <c r="GE186" s="39" t="e">
        <f>IF(HF186=$FY$16,0,(Исходн.данные.!X186*AR186+Исходн.данные.!AA186*N_Org*AL186+Исходн.данные.!AB186*N_Sider*AL186+Исходн.данные.!AC186*N_Soloma*AL186)/HF186)</f>
        <v>#N/A</v>
      </c>
      <c r="GF186" s="39" t="e">
        <f>IF(HG186=$FY$16,0,(Исходн.данные.!Y186*AS186+Исходн.данные.!AA186*Р_Org*AM186+Исходн.данные.!AB186*P_Sider*AM186+Исходн.данные.!AC186*P_Soloma*AM186)/HG186)</f>
        <v>#N/A</v>
      </c>
      <c r="GG186" s="39" t="e">
        <f>IF(HH186=$FY$16,0,(Исходн.данные.!Z186*AT186+Исходн.данные.!AA186*К_Org*AN186+Исходн.данные.!AB186*K_Sider*AN186+Исходн.данные.!AC186*K_Soloma*AN186)/HH186)</f>
        <v>#N/A</v>
      </c>
      <c r="GH186" s="39" t="e">
        <f>Исходн.данные.!AD186*AU186/HF186</f>
        <v>#N/A</v>
      </c>
      <c r="GI186" s="39" t="e">
        <f>Исходн.данные.!AE186*AV186/HG186</f>
        <v>#N/A</v>
      </c>
      <c r="GJ186" s="39" t="e">
        <f>Исходн.данные.!AF186*AW186/HH186</f>
        <v>#N/A</v>
      </c>
      <c r="GK186" s="55">
        <f>Исходн.данные.!AK186</f>
        <v>0</v>
      </c>
      <c r="GL186" s="11" t="e">
        <f t="shared" si="261"/>
        <v>#N/A</v>
      </c>
      <c r="GM186" s="11" t="e">
        <f t="shared" si="262"/>
        <v>#N/A</v>
      </c>
      <c r="GN186" s="11" t="e">
        <f t="shared" si="263"/>
        <v>#N/A</v>
      </c>
      <c r="GO186" s="57">
        <f t="shared" si="264"/>
        <v>19</v>
      </c>
      <c r="GP186" s="55">
        <f>IF(OR(Исходн.данные.!F186=$CE$1,Исходн.данные.!F186=$CE$2,Исходн.данные.!F186=$CE$3,Исходн.данные.!F186=$CE$4,Исходн.данные.!F186=$CE$5),GQ186,GR186)</f>
        <v>19</v>
      </c>
      <c r="GQ186" s="55">
        <f>IF(Исходн.данные.!F186=$CE$1,28,IF(Исходн.данные.!F186=$CE$2,26,IF(Исходн.данные.!F186=$CE$3,24,IF(Исходн.данные.!F186=$CE$4,22,IF(Исходн.данные.!F186=$CE$5,20,GR186)))))</f>
        <v>19</v>
      </c>
      <c r="GR186" s="55">
        <f>IF(Исходн.данные.!F186=$CE$6,18,IF(Исходн.данные.!F186=$CE$7,16,IF(Исходн.данные.!F186=$CE$8,14,IF(Исходн.данные.!F186=$CE$9,13,IF(Исходн.данные.!F186=$CE$10,12,19)))))</f>
        <v>19</v>
      </c>
      <c r="GS186" s="55">
        <f>IF(Исходн.данные.!G186="Пес",0.035*(40+2*Исходн.данные.!H186),IF(Исходн.данные.!G186="Суп",0.0325*(40+2*Исходн.данные.!H186),0.03*(40+2*Исходн.данные.!H186)))</f>
        <v>1.2</v>
      </c>
      <c r="GT186" s="55">
        <f>IF(Исходн.данные.!H186&lt;23,2.6,IF(AND(Исходн.данные.!H186&gt;22,Исходн.данные.!H186&lt;26),3,IF(AND(Исходн.данные.!H186&gt;25,Исходн.данные.!H186&lt;29),3.4,3.6)))</f>
        <v>2.6</v>
      </c>
      <c r="GU186" s="55">
        <f>IF(Исходн.данные.!H186&lt;23,2.8,IF(AND(Исходн.данные.!H186&gt;22,Исходн.данные.!H186&lt;26),3.2,IF(AND(Исходн.данные.!H186&gt;25,Исходн.данные.!H186&lt;29),3.6,3.9)))</f>
        <v>2.8</v>
      </c>
      <c r="GV186" s="55">
        <f>IF(Исходн.данные.!H186&lt;23,3,IF(AND(Исходн.данные.!H186&gt;22,Исходн.данные.!H186&lt;26),3.5,IF(AND(Исходн.данные.!H186&gt;25,Исходн.данные.!H186&lt;29),3.9,4.2)))</f>
        <v>3</v>
      </c>
      <c r="GW186" s="55" t="e">
        <f>IF(Исходн.данные.!P186="Ум",GX186,GY186)</f>
        <v>#N/A</v>
      </c>
      <c r="GX186" s="55" t="e">
        <f>VLOOKUP(Исходн.данные.!AI186,Коэффициенты!$J$7:$L$13,2,FALSE)</f>
        <v>#N/A</v>
      </c>
      <c r="GY186" s="55" t="e">
        <f>VLOOKUP(Исходн.данные.!AI186,Коэффициенты!$J$7:$L$13,3,FALSE)</f>
        <v>#N/A</v>
      </c>
      <c r="GZ186" s="55" t="e">
        <f>(IF(Исходн.данные.!M186&lt;50,0.11*VLOOKUP(Исходн.данные.!AH186,Культуры.Информация,7,FALSE),IF(Исходн.данные.!M186&gt;250,0.05*VLOOKUP(Исходн.данные.!AH186,Культуры.Информация,7,FALSE),VLOOKUP(Исходн.данные.!AH186,Культуры.Информация,5,FALSE)/100*($GX$6+$GY$6*Исходн.данные.!M186))))*Расчет2!AI186</f>
        <v>#N/A</v>
      </c>
      <c r="HA186" s="211"/>
      <c r="HB186" s="211"/>
      <c r="HC186" s="55" t="e">
        <f>(IF(Исходн.данные.!O186&lt;80,0.2*VLOOKUP(Исходн.данные.!AH186,Культуры.Информация,8,FALSE),IF(Исходн.данные.!O186&gt;240,0.09*VLOOKUP(Исходн.данные.!AH186,Культуры.Информация,8,FALSE),VLOOKUP(Исходн.данные.!AH186,Культуры.Информация,6,FALSE)/100*($HB$6+$HC$6*Исходн.данные.!O186))))*Расчет2!AJ186</f>
        <v>#N/A</v>
      </c>
      <c r="HD186" s="55">
        <f>IF(Исходн.данные.!O186&gt;240,0.09,IF(Исходн.данные.!O186&lt;30,0.3,$HE$10+$HD$10*Исходн.данные.!O186))</f>
        <v>0.3</v>
      </c>
      <c r="HE186" s="55">
        <f>IF(Исходн.данные.!O186&gt;240,0.17,IF(Исходн.данные.!O186&lt;30,0.5,$HF$12+$HE$12*Исходн.данные.!O186))</f>
        <v>0.5</v>
      </c>
      <c r="HF186" s="55" t="e">
        <f>VLOOKUP(Исходн.данные.!AH186,Справ!$A$3:$D$58,2,FALSE)</f>
        <v>#N/A</v>
      </c>
      <c r="HG186" s="55" t="e">
        <f>VLOOKUP(Исходн.данные.!AH186,Справ!$A$3:$D$58,3,FALSE)</f>
        <v>#N/A</v>
      </c>
      <c r="HH186" s="55" t="e">
        <f>VLOOKUP(Исходн.данные.!AH186,Справ!$A$3:$D$58,4,FALSE)</f>
        <v>#N/A</v>
      </c>
      <c r="HI186" s="11" t="e">
        <f t="shared" si="265"/>
        <v>#N/A</v>
      </c>
      <c r="HJ186" s="11" t="e">
        <f t="shared" si="266"/>
        <v>#N/A</v>
      </c>
      <c r="HK186" s="11" t="e">
        <f t="shared" si="267"/>
        <v>#N/A</v>
      </c>
      <c r="HL186" s="55">
        <f>IF(OR(Исходн.данные.!G186="Глин",Исходн.данные.!G186="Т_суг"),1.1,IF(Исходн.данные.!G186="Ср_суг",1,1))</f>
        <v>1</v>
      </c>
      <c r="HM186" s="55">
        <f>IF(OR(Исходн.данные.!G186="Глин",Исходн.данные.!G186="Т_суг"),0.9,IF(Исходн.данные.!G186="Ср_суг",1,1.2))</f>
        <v>1.2</v>
      </c>
      <c r="HN186" s="11" t="e">
        <f t="shared" si="268"/>
        <v>#N/A</v>
      </c>
      <c r="HO186" s="11" t="e">
        <f t="shared" si="269"/>
        <v>#N/A</v>
      </c>
      <c r="HP186" s="11" t="e">
        <f t="shared" si="270"/>
        <v>#N/A</v>
      </c>
      <c r="HQ186" t="e">
        <f t="shared" si="271"/>
        <v>#N/A</v>
      </c>
      <c r="HR186" t="e">
        <f t="shared" si="272"/>
        <v>#N/A</v>
      </c>
      <c r="HS186" t="e">
        <f t="shared" si="273"/>
        <v>#N/A</v>
      </c>
      <c r="HT186" t="e">
        <f t="shared" si="219"/>
        <v>#N/A</v>
      </c>
      <c r="HU186" t="e">
        <f t="shared" si="220"/>
        <v>#N/A</v>
      </c>
      <c r="HV186" t="e">
        <f t="shared" si="221"/>
        <v>#N/A</v>
      </c>
      <c r="HW186" t="e">
        <f t="shared" si="222"/>
        <v>#N/A</v>
      </c>
      <c r="HX186" t="e">
        <f t="shared" si="223"/>
        <v>#N/A</v>
      </c>
      <c r="HY186" t="e">
        <f t="shared" si="224"/>
        <v>#N/A</v>
      </c>
      <c r="HZ186" s="55">
        <f>IF(OR(Исходн.данные.!AI186="Оз_Ч_П",Исходн.данные.!AI186="Оз_З_П",Исходн.данные.!AI186="Яр_зер"),12,30)</f>
        <v>30</v>
      </c>
      <c r="IA186" t="e">
        <f t="shared" si="274"/>
        <v>#N/A</v>
      </c>
      <c r="IB186" t="e">
        <f t="shared" si="275"/>
        <v>#N/A</v>
      </c>
      <c r="IC186" t="e">
        <f t="shared" si="276"/>
        <v>#N/A</v>
      </c>
      <c r="ID186" s="11" t="e">
        <f t="shared" si="277"/>
        <v>#N/A</v>
      </c>
      <c r="IE186" s="11" t="e">
        <f t="shared" si="278"/>
        <v>#N/A</v>
      </c>
      <c r="IF186" s="11" t="e">
        <f t="shared" si="279"/>
        <v>#N/A</v>
      </c>
    </row>
    <row r="187" spans="35:240" x14ac:dyDescent="0.2">
      <c r="AI187">
        <f>IF(Исходн.данные.!I187&gt;6,1,1.85-(0.148*Исходн.данные.!I187))</f>
        <v>1.85</v>
      </c>
      <c r="AJ187">
        <f>IF(Исходн.данные.!I187&gt;6,1,2.434-(0.246*Исходн.данные.!I187))</f>
        <v>2.4340000000000002</v>
      </c>
      <c r="AL187" s="148" t="b">
        <f>IF(Исходн.данные.!$P187="Ум",N_OrgUd_2g_um,IF(Исходн.данные.!$P187="Об",N_OrgUd_2g_ob))</f>
        <v>0</v>
      </c>
      <c r="AM187" s="148" t="b">
        <f>IF(Исходн.данные.!$P187="Ум",P_OrgUd_2g_um,IF(Исходн.данные.!$P187="Об",P_OrgUd_2g_ob))</f>
        <v>0</v>
      </c>
      <c r="AN187" s="148" t="b">
        <f>IF(Исходн.данные.!$P187="Ум",K_OrgUd_2g_um,IF(Исходн.данные.!$P187="Об",K_OrgUd_2g_ob))</f>
        <v>0</v>
      </c>
      <c r="AO187" s="148" t="b">
        <f>IF(Исходн.данные.!$P187="Ум",N_OrgUd_1g_um,IF(Исходн.данные.!$P187="Об",N_OrgUd_1g_ob))</f>
        <v>0</v>
      </c>
      <c r="AP187" s="148" t="b">
        <f>IF(Исходн.данные.!$P187="Ум",P_OrgUd_1g_um,IF(Исходн.данные.!$P187="Об",P_OrgUd_1g_ob))</f>
        <v>0</v>
      </c>
      <c r="AQ187" s="148" t="b">
        <f>IF(Исходн.данные.!$P187="Ум",K_OrgUd_1g_um,IF(Исходн.данные.!$P187="Об",K_OrgUd_1g_ob))</f>
        <v>0</v>
      </c>
      <c r="AR187" t="b">
        <f>IF(Исходн.данные.!$P187="Ум",N_MinUd_2g_um,IF(Исходн.данные.!$P187="Об",N_MinUd_2g_ob))</f>
        <v>0</v>
      </c>
      <c r="AS187" t="b">
        <f>IF(Исходн.данные.!$P187="Ум",P_MinUd_2g_um,IF(Исходн.данные.!$P187="Об",P_MinUd_2g_ob))</f>
        <v>0</v>
      </c>
      <c r="AT187" t="b">
        <f>IF(Исходн.данные.!$P187="Ум",K_MinUd_2g_um,IF(Исходн.данные.!$P187="Об",K_MinUd_2g_ob))</f>
        <v>0</v>
      </c>
      <c r="AU187" t="b">
        <f>IF(Исходн.данные.!$P187="Ум",N_MinUd_1g_um,IF(Исходн.данные.!$P187="Об",N_MinUd_1g_ob))</f>
        <v>0</v>
      </c>
      <c r="AV187" t="b">
        <f>IF(Исходн.данные.!P187="Ум",P_MinUd_1g_um,IF(Исходн.данные.!P187="Об",P_MinUd_1g_ob))</f>
        <v>0</v>
      </c>
      <c r="AW187" t="b">
        <f>IF(Исходн.данные.!P187="Ум",K_MinUd_1g_um,IF(Исходн.данные.!P187="Об",K_MinUd_1g_ob))</f>
        <v>0</v>
      </c>
      <c r="AY187" t="e">
        <f>VLOOKUP(Исходн.данные.!T187,Справ!$A$3:$N$57,12)</f>
        <v>#N/A</v>
      </c>
      <c r="AZ187" t="e">
        <f>VLOOKUP(Исходн.данные.!T187,Справ!$A$3:$N$57,13)</f>
        <v>#N/A</v>
      </c>
      <c r="BA187" t="e">
        <f>VLOOKUP(Исходн.данные.!T187,Справ!$A$3:$N$57,14)</f>
        <v>#N/A</v>
      </c>
      <c r="BB187">
        <f>IF(Исходн.данные.!AH187=0,0,25)</f>
        <v>0</v>
      </c>
      <c r="BC187" s="141">
        <f>IF(Исходн.данные.!AH187=0,0,IF(Исходн.данные.!T187=0,25,BD187))</f>
        <v>0</v>
      </c>
      <c r="BD187" s="168" t="e">
        <f>AY187+AZ187*Исходн.данные.!U187-POWER(BA187,2)*Исходн.данные.!U187</f>
        <v>#N/A</v>
      </c>
      <c r="BE18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7" s="25">
        <f>IF(Исходн.данные.!AH187=0,0,MIN(HN187:HP187))</f>
        <v>0</v>
      </c>
      <c r="BG187" s="9">
        <f>IF(Исходн.данные.!AH187=0,0,IF((HO187+10*0.25/HG187/HL187)&lt;17,17,HO187+10*0.25/HG187/HL187))</f>
        <v>0</v>
      </c>
      <c r="BH187" s="181">
        <f>IF(Исходн.данные.!AH187=0,0,HW187*HF187*HL187/AU187*AI187+Исходн.данные.!S187*10)</f>
        <v>0</v>
      </c>
      <c r="BI187" s="10"/>
      <c r="BJ187" s="182">
        <f>IF(Исходн.данные.!AH187=0,0,IF(HX187*HG187*HL187/AV187&lt;0,0,HX187*HG187*HL187/AV187*AJ187))</f>
        <v>0</v>
      </c>
      <c r="BK187" s="182">
        <f>IF(Исходн.данные.!AH187=0,0,HY187*HH187*HM187/AW187)</f>
        <v>0</v>
      </c>
      <c r="BL187" s="10">
        <f>IF(OR(Исходн.данные.!$AH187=$BP$1,Исходн.данные.!$AH187=$BP$2),0,IF(BH187&lt;0,0,IF(OR(Исходн.данные.!T187=Расчет!$BP$1,Исходн.данные.!T187=Расчет!$BP$2,Исходн.данные.!T187=Расчет!$BT$5,Исходн.данные.!T187=Расчет!$BT$6),BH187*0.5,IF(OR(Исходн.данные.!T187=Расчет!$BS$9,Исходн.данные.!T187=Расчет!$BS$10,Исходн.данные.!T187=Расчет!$BS$11,Исходн.данные.!T187=Расчет!$BS$12,Исходн.данные.!T187=Расчет!$BP$5),BH187*0.8,BH187))))</f>
        <v>0</v>
      </c>
      <c r="BM187" s="10">
        <f>IF(OR(Исходн.данные.!$AH187=$BP$1,Исходн.данные.!$AH187=$BP$2),0,IF(BJ187&lt;0,0,IF(Исходн.данные.!I187&lt;4.5,BJ187*1.2,IF(Исходн.данные.!I187&gt;5.1,BJ187,BJ187*((5.1-Исходн.данные.!I187)*0.333+1)))))</f>
        <v>0</v>
      </c>
      <c r="BN187" s="10">
        <f>IF(OR(Исходн.данные.!$AH187=$BP$1,Исходн.данные.!$AH187=$BP$2),60-Исходн.данные.!AF187,IF(BK187&lt;0,0,IF(Исходн.данные.!I187&lt;4.5,BK187*1.2,IF(Исходн.данные.!I187&gt;5.1,BK187,BK187*((5.1-Исходн.данные.!I187)*0.333+1)))))</f>
        <v>0</v>
      </c>
      <c r="BO187" s="9">
        <f>IF(BL187&lt;0,0,BL187*Исходн.данные.!$AJ187/1000)</f>
        <v>0</v>
      </c>
      <c r="BP187" s="9">
        <f>IF(BM187&lt;0,0,BM187*Исходн.данные.!$AJ187/1000)</f>
        <v>0</v>
      </c>
      <c r="BQ187" s="9">
        <f>IF(BN187&lt;0,0,BN187*Исходн.данные.!$AJ187/1000)</f>
        <v>0</v>
      </c>
      <c r="BR187" s="9">
        <f t="shared" si="229"/>
        <v>0</v>
      </c>
      <c r="BS187" s="10" t="str">
        <f t="shared" si="230"/>
        <v>Аммофос 12:52:00</v>
      </c>
      <c r="BT187" s="10" t="str">
        <f t="shared" si="231"/>
        <v>Аммофос 12:52:00</v>
      </c>
      <c r="BU187" s="10" t="str">
        <f t="shared" si="232"/>
        <v>Диаммофоска</v>
      </c>
      <c r="BV187" s="10">
        <f t="shared" si="233"/>
        <v>0</v>
      </c>
      <c r="BW187" s="10"/>
      <c r="BX187" s="10"/>
      <c r="BY187" s="9">
        <f>IF(BL187&lt;0,0,IF(OR(Исходн.данные.!AI187=Расчет!$BU$6,Исходн.данные.!AI187=Расчет!$BU$7),Расчет!BV187,IF(Исходн.данные.!$AG187=$BV$11,BL187,IF(OR(Исходн.данные.!$AH187=$BQ$7,Исходн.данные.!$AH187=$BQ$8),CB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0,IF(Исходн.данные.!$AI187=$BU$11,"Нет",IF(BL187&gt;30,30,BL187)))))))</f>
        <v>0</v>
      </c>
      <c r="BZ187" s="9">
        <f>IF(AND(Исходн.данные.!$AG187=$BV$11,BM187&lt;10),10,IF(Исходн.данные.!$AG187=$BV$11,BM187,IF(OR(Исходн.данные.!$AH187=$BQ$7,Исходн.данные.!$AH187=$BQ$8),CC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10,IF(Исходн.данные.!$AI187=$BU$11,"Нет",IF(BM187&gt;60,60,IF(BM187&lt;10,10,BM187)))))))</f>
        <v>10</v>
      </c>
      <c r="CA187" s="39">
        <f>IF(BN187&lt;0,0,IF(Исходн.данные.!$AG187=$BV$11,BN187,IF(OR(Исходн.данные.!$AH187=$BQ$7,Исходн.данные.!$AH187=$BQ$8),CD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0,IF(Исходн.данные.!$AI187=$BU$11,"Нет",IF(BN187&gt;30,30,BN187))))))</f>
        <v>0</v>
      </c>
      <c r="CB187" s="9">
        <f t="shared" si="234"/>
        <v>0</v>
      </c>
      <c r="CC187" s="9">
        <f t="shared" si="235"/>
        <v>0</v>
      </c>
      <c r="CD187" s="9">
        <f t="shared" si="236"/>
        <v>0</v>
      </c>
      <c r="CE187" s="12">
        <f t="shared" si="237"/>
        <v>10</v>
      </c>
      <c r="CF187" s="9">
        <f t="shared" si="238"/>
        <v>0</v>
      </c>
      <c r="CG187" s="9" t="s">
        <v>231</v>
      </c>
      <c r="CH187" s="132" t="str">
        <f>IF(Исходн.данные.!AP187=Расчет!$CI$16,"Нет",IF(Исходн.данные.!AL187&gt;0,Исходн.данные.!AL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BH$4,IF(OR(Исходн.данные.!AI187=Исходн.данные.!$AI$6,Исходн.данные.!AI187=Исходн.данные.!$AI$7),Расчет!BS187,IF(AND($CF187=0,$CE187&gt;0),EV187,ER187)))))</f>
        <v>Аммофос 12:52:00</v>
      </c>
      <c r="CI187" s="274">
        <f>IF(Расчет!$CH187="Нет","Нет",IF(Исходн.данные.!$AL187&gt;0,VLOOKUP(Расчет!$CH187,АшламаДВ_Irekle,2,FALSE),VLOOKUP(Расчет!$CH187,АшламаДВ_Gomumy,2,FALSE)))</f>
        <v>0.12</v>
      </c>
      <c r="CJ187" s="274">
        <f>IF(Расчет!$CH187="Нет","Нет",IF(Исходн.данные.!$AL187&gt;0,VLOOKUP(Расчет!$CH187,АшламаДВ_Irekle,3,FALSE),VLOOKUP(Расчет!$CH187,АшламаДВ_Gomumy,3,FALSE)))</f>
        <v>0.52</v>
      </c>
      <c r="CK187" s="274">
        <f>IF(Расчет!$CH187="Нет","Нет",IF(Исходн.данные.!$AL187&gt;0,VLOOKUP(Расчет!$CH187,АшламаДВ_Irekle,4,FALSE),VLOOKUP(Расчет!$CH187,АшламаДВ_Gomumy,4,FALSE)))</f>
        <v>0</v>
      </c>
      <c r="CL187" s="70"/>
      <c r="CM187" s="70"/>
      <c r="CN187" s="70"/>
      <c r="CO187" s="70"/>
      <c r="CP187" s="70"/>
      <c r="CQ187" s="70"/>
      <c r="CR187" s="10">
        <f t="shared" si="239"/>
        <v>0</v>
      </c>
      <c r="CS187" s="10">
        <f t="shared" si="240"/>
        <v>19.23076923076923</v>
      </c>
      <c r="CT187" s="10">
        <f t="shared" si="241"/>
        <v>0</v>
      </c>
      <c r="CU187" s="39">
        <f>IF($CH187="Нет",0,IF(CI187=0,30/MIN(CJ187:CK187),IF(Исходн.данные.!$AG187=$BV$11,CR187,IF(OR(Исходн.данные.!$AH187=$BQ$7,Исходн.данные.!$AH187=$BQ$8),90/CI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0,IF(Исходн.данные.!$AI187=$BU$11,"Нет",30/CI187))))))</f>
        <v>250</v>
      </c>
      <c r="CV187" s="39">
        <f>IF($CH187="Нет",0,IF(Исходн.данные.!AH187=0,0,IF(CJ187=0,60/MIN(CI187,CK187),IF(Исходн.данные.!$AG187=$BV$11,CS187,IF(OR(Исходн.данные.!$AH187=$BQ$7,Исходн.данные.!$AH187=$BQ$8),90/CJ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10/CJ187,IF(Исходн.данные.!$AI187=$BU$11,"Нет",60/CJ187)))))))</f>
        <v>0</v>
      </c>
      <c r="CW187" s="39">
        <f>IF($CH187="Нет",0,IF(Исходн.данные.!AH187=0,0,IF(CK187=0,30/MIN(CI187:CJ187),IF(Исходн.данные.!$AG187=$BV$11,CT187,IF(OR(Исходн.данные.!$AH187=$BQ$7,Исходн.данные.!$AH187=$BQ$8),90/CK187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0,IF(Исходн.данные.!$AI187=$BU$11,"Нет",30/CK187)))))))</f>
        <v>0</v>
      </c>
      <c r="CX187" s="133">
        <f>IF(Исходн.данные.!$AG187=$BV$11,MAX(CU187:CW187),IF(OR(Исходн.данные.!$AH187=$BS$8,Исходн.данные.!$AH187=$BQ$9,Исходн.данные.!$AH187=$BQ$10,Исходн.данные.!$AH187=$BQ$11,Исходн.данные.!$AH187=$BQ$12,Исходн.данные.!$AH187=$BP$3,Исходн.данные.!$AH187=$BT$8,$FM187="Да"),CV187,MIN(CU187:CW187)))</f>
        <v>0</v>
      </c>
      <c r="CY187" s="133">
        <f>IF(Исходн.данные.!AH187=0,0,IF(CR187&gt;$CX187,$CX187,CR187))</f>
        <v>0</v>
      </c>
      <c r="CZ187" s="133">
        <f>IF(Исходн.данные.!AH187=0,0,IF(CS187&gt;$CX187,$CX187,CS187))</f>
        <v>0</v>
      </c>
      <c r="DA187" s="133">
        <f>IF(Исходн.данные.!AH187=0,0,IF(CT187&gt;$CX187,$CX187,CT187))</f>
        <v>0</v>
      </c>
      <c r="DB187" s="10">
        <f t="shared" si="242"/>
        <v>0</v>
      </c>
      <c r="DC187" s="39">
        <f>DB187*Исходн.данные.!AJ187/1000</f>
        <v>0</v>
      </c>
      <c r="DD187" s="71">
        <f t="shared" si="243"/>
        <v>0</v>
      </c>
      <c r="DE187" s="9">
        <f t="shared" si="244"/>
        <v>0</v>
      </c>
      <c r="DF187" s="9">
        <f t="shared" si="245"/>
        <v>0</v>
      </c>
      <c r="DG187" s="39">
        <f>IF(BL187&lt;0,0,IF($CH187="Нет",BL187,IF(OR(Исходн.данные.!$AH187=$BP$1,Исходн.данные.!$AH187=$BP$2),0,IF(Исходн.данные.!AI187=$BU$11,BL187,IF(BL187-DD187&lt;0,0,BL187-DD187)))))</f>
        <v>0</v>
      </c>
      <c r="DH187" s="39">
        <f>IF(BM187&lt;0,0,IF($CH187="Нет",BM187,IF(OR(Исходн.данные.!$AH187=$BP$1,Исходн.данные.!$AH187=$BP$2),0,IF(Исходн.данные.!AJ187=$BU$11,BM187,IF(BM187-DE187&lt;0,0,BM187-DE187)))))</f>
        <v>0</v>
      </c>
      <c r="DI187" s="39">
        <f>IF(BN187&lt;0,0,IF($CH187="Нет",BN187,IF(OR(Исходн.данные.!$AH187=$BP$1,Исходн.данные.!$AH187=$BP$2),0,IF(Исходн.данные.!AK187=$BU$11,BN187,IF(BN187-DF187&lt;0,0,BN187-DF187)))))</f>
        <v>0</v>
      </c>
      <c r="DJ187" s="12">
        <f t="shared" si="246"/>
        <v>0</v>
      </c>
      <c r="DK187" s="9">
        <f t="shared" si="247"/>
        <v>0</v>
      </c>
      <c r="DL187" s="39">
        <f>IF(Исходн.данные.!AM187&gt;0,Исходн.данные.!AM187,IF(EG187&gt;0,$BH$10,0))</f>
        <v>0</v>
      </c>
      <c r="DM187" s="186">
        <f>IF($DL187=0,0,IF(Исходн.данные.!AM187&gt;0,VLOOKUP($DL187,АшламаДВ_Irekle,2,FALSE),VLOOKUP($DL187,АшламаДВ_Gomumy,2,FALSE)))</f>
        <v>0</v>
      </c>
      <c r="DN187" s="10">
        <f t="shared" si="225"/>
        <v>0</v>
      </c>
      <c r="DO187" s="9" t="str">
        <f>IF(Исходн.данные.!AN187&gt;0,Исходн.данные.!AN187,Удобрения!$B$37 )</f>
        <v>Хлор.калий</v>
      </c>
      <c r="DP187" s="9">
        <f>IF(Исходн.данные.!AN187&gt;0,VLOOKUP(Исходн.данные.!AN187,АшламаДВ_Irekle,4,FALSE),VLOOKUP(DO187,АшламаДВ_Gomumy,4,FALSE))</f>
        <v>0.6</v>
      </c>
      <c r="DQ187" s="10">
        <f t="shared" si="226"/>
        <v>0</v>
      </c>
      <c r="DR187" s="132" t="str">
        <f>IF(Исходн.данные.!AO187&gt;0,Исходн.данные.!AO187,IF(DH187=0,BS$17,IF(AND($DK187=0,$DJ187&gt;0),EJ187,EN187)))</f>
        <v>Нет</v>
      </c>
      <c r="DS187" s="70" t="str">
        <f>IF($DR187="Нет","Нет",IF(Исходн.данные.!$AO187&gt;0,VLOOKUP($DR187,АшламаДВ_Irekle,2,FALSE),VLOOKUP($DR187,АшламаДВ_Gomumy,2,FALSE)))</f>
        <v>Нет</v>
      </c>
      <c r="DT187" s="70" t="str">
        <f>IF($DR187="Нет","Нет",IF(Исходн.данные.!$AO187&gt;0,VLOOKUP($DR187,АшламаДВ_Irekle,3,FALSE),VLOOKUP($DR187,АшламаДВ_Gomumy,3,FALSE)))</f>
        <v>Нет</v>
      </c>
      <c r="DU187" s="70" t="str">
        <f>IF($DR187="Нет","Нет",IF(Исходн.данные.!$AO187&gt;0,VLOOKUP($DR187,АшламаДВ_Irekle,4,FALSE),VLOOKUP($DR187,АшламаДВ_Gomumy,4,FALSE)))</f>
        <v>Нет</v>
      </c>
      <c r="DV187" s="70"/>
      <c r="DW187" s="70"/>
      <c r="DX187" s="70"/>
      <c r="DY187" s="10">
        <f t="shared" si="248"/>
        <v>0</v>
      </c>
      <c r="DZ187" s="10">
        <f t="shared" si="249"/>
        <v>0</v>
      </c>
      <c r="EA187" s="10">
        <f t="shared" si="250"/>
        <v>0</v>
      </c>
      <c r="EB187" s="10">
        <f t="shared" si="251"/>
        <v>0</v>
      </c>
      <c r="EC187" s="10">
        <f t="shared" si="252"/>
        <v>0</v>
      </c>
      <c r="ED187" s="10">
        <f t="shared" si="253"/>
        <v>0</v>
      </c>
      <c r="EE187" s="10">
        <f t="shared" si="254"/>
        <v>0</v>
      </c>
      <c r="EF187" s="39">
        <f>EB187*Исходн.данные.!AJ187/1000</f>
        <v>0</v>
      </c>
      <c r="EG187" s="9">
        <f t="shared" si="255"/>
        <v>0</v>
      </c>
      <c r="EH187" s="9">
        <f t="shared" si="256"/>
        <v>0</v>
      </c>
      <c r="EI187" s="39" t="e">
        <f t="shared" si="206"/>
        <v>#DIV/0!</v>
      </c>
      <c r="EJ187" s="9" t="str">
        <f t="shared" si="227"/>
        <v>Азопреципитат</v>
      </c>
      <c r="EK187" s="12">
        <f t="shared" si="207"/>
        <v>0.26</v>
      </c>
      <c r="EL187" s="12">
        <f t="shared" si="208"/>
        <v>0.13</v>
      </c>
      <c r="EM187" s="12">
        <f t="shared" si="209"/>
        <v>0</v>
      </c>
      <c r="EN187" s="12" t="str">
        <f t="shared" si="228"/>
        <v>Нет</v>
      </c>
      <c r="EO187" s="12">
        <f t="shared" si="210"/>
        <v>0</v>
      </c>
      <c r="EP187" s="12">
        <f t="shared" si="211"/>
        <v>0</v>
      </c>
      <c r="EQ187" s="12">
        <f t="shared" si="212"/>
        <v>0</v>
      </c>
      <c r="ER187" s="12" t="str">
        <f t="shared" si="257"/>
        <v>Диаммофоска</v>
      </c>
      <c r="ES187" s="12">
        <f t="shared" si="213"/>
        <v>0.1</v>
      </c>
      <c r="ET187" s="12">
        <f t="shared" si="214"/>
        <v>0.26</v>
      </c>
      <c r="EU187" s="12">
        <f t="shared" si="215"/>
        <v>0.26</v>
      </c>
      <c r="EV187" s="12" t="str">
        <f t="shared" si="258"/>
        <v>Аммофос 12:52:00</v>
      </c>
      <c r="EW187" s="12" t="str">
        <f t="shared" si="259"/>
        <v>Кемира Свекловичное-6</v>
      </c>
      <c r="EX187" s="12">
        <f t="shared" si="216"/>
        <v>0.16</v>
      </c>
      <c r="EY187" s="12">
        <f t="shared" si="217"/>
        <v>0.12</v>
      </c>
      <c r="EZ187" s="12">
        <f t="shared" si="218"/>
        <v>0.17</v>
      </c>
      <c r="FA187" s="38" t="e">
        <f>IF(AND(OR(FJ187=$FD$1,FM187=$FD$1,FO187=$FD$1,FQ187=$FD$1,FS187=$FD$1),FD187=$FD$1,Исходн.данные.!J187&lt;2,FU187=$FD$1),"Бор,Кобальт",IF(AND(FO187=$FD$1,FH187=$FD$1,Исходн.данные.!J187&lt;2,FU187=$FD$1),"Бор,Кобальт",IF(AND(OR(FJ187=$FD$1,FM187=$FD$1,FQ187=$FD$1),FE187=$FD$1,Исходн.данные.!J187&lt;2,FT187=$FD$1,FU187=$FD$1),"Бор,Медь,Цинк",IF(AND(OR(FJ187=$FD$1,FR187="Да"),FI187="Да",Исходн.данные.!J187&lt;2,FT187="Да",FU187="Да"),"Бор,Цинк,Медь",IF(AND(OR(FM187="Да",FQ187="Да"),FI187="Да",Исходн.данные.!J187&lt;2,FT187="Да",FU187="Да"),"Бор,Цинк",IF(AND(FN187="Да",OR(FD187="Да",FE187="Да")),"Бор",FB187))))))</f>
        <v>#N/A</v>
      </c>
      <c r="FB187" s="134" t="e">
        <f>IF(AND(OR(FD187="Да",FE187="Да",FF187="Да",FG187="Да",FH187="Да"),FO187="Да"),"Бор",IF(AND(FP187="Да",OR(FD187="Да",FE187="Да",FI187="Да")),"Бор",IF(AND(FS187="Да",FE187="Да"),"Бор,Медь",IF(AND(OR(FJ187="Да",FK187="Да",FL187="Да"),FE187="Да",Исходн.данные.!I187&lt;5,FT187="Да",FU187="Да"),"Молибден,Цинк",IF(AND(FM187="Да",OR(FE187="Да",FF187="Да",FG187="Да",FH187="Да",FI187="Да")),"Молибден,Цинк",IF(AND(OR(FJ187="Да",FK187="Да",FL187="Да",FM187="Да",FQ187="Да"),OR(FE187="Да",FF187="Да"),FT187="Да",FU187="Да",Исходн.данные.!I187&gt;5.5),"Медь,Цинк",FC187))))))</f>
        <v>#N/A</v>
      </c>
      <c r="FC187" s="23" t="e">
        <f t="shared" si="260"/>
        <v>#N/A</v>
      </c>
      <c r="FD187" s="38" t="str">
        <f>IF(OR(Исходн.данные.!F187=$CC$1,Исходн.данные.!F187=$CC$2,Исходн.данные.!F187=$CC$3,Исходн.данные.!F187=$CC$4),"Да","Нет")</f>
        <v>Нет</v>
      </c>
      <c r="FE187" s="38" t="str">
        <f>IF(Исходн.данные.!F187=$CC$5,"Да","Нет")</f>
        <v>Нет</v>
      </c>
      <c r="FF187" s="38" t="str">
        <f>IF(OR(Исходн.данные.!F187=$CC$6,Исходн.данные.!F187=$CC$7),"Да","Нет")</f>
        <v>Нет</v>
      </c>
      <c r="FG187" s="38" t="str">
        <f>IF(OR(Исходн.данные.!F187=$CC$8,Исходн.данные.!F187=$CC$9),"Да","Нет")</f>
        <v>Нет</v>
      </c>
      <c r="FH187" s="38" t="str">
        <f>IF(Исходн.данные.!F187=$CC$10,"Да","Нет")</f>
        <v>Нет</v>
      </c>
      <c r="FI187" s="38" t="str">
        <f>IF(OR(Исходн.данные.!F187=$CC$11,Исходн.данные.!F187=$CC$12),"Да","Нет")</f>
        <v>Нет</v>
      </c>
      <c r="FJ187" s="38" t="str">
        <f>IF(OR(Исходн.данные.!AH187=$BS$1,Исходн.данные.!AH187=$BQ$11,Исходн.данные.!AH187=$BQ$12),"Да","Нет")</f>
        <v>Нет</v>
      </c>
      <c r="FK187" s="38" t="str">
        <f>IF(OR(Исходн.данные.!AH187=$BS$2,Исходн.данные.!AH187=$BS$4),"Да","Нет")</f>
        <v>Нет</v>
      </c>
      <c r="FL187" s="38" t="str">
        <f>IF(OR(Исходн.данные.!AH187=$BS$3,Исходн.данные.!AH187=$BS$5),"Да","Нет")</f>
        <v>Нет</v>
      </c>
      <c r="FM187" s="38" t="str">
        <f>IF(OR(Исходн.данные.!AH187=$BS$9,Исходн.данные.!AH187=$BS$10,Исходн.данные.!AH187=$BS$11,Исходн.данные.!AH187=$BS$12),"Да","Нет")</f>
        <v>Нет</v>
      </c>
      <c r="FN187" s="38" t="str">
        <f>IF(OR(Исходн.данные.!AH187=$BS$6,Исходн.данные.!AH187=$BP$3),"Да","Нет")</f>
        <v>Нет</v>
      </c>
      <c r="FO187" s="38" t="str">
        <f>IF(Исходн.данные.!AH187=$BQ$9,"Да","Нет")</f>
        <v>Нет</v>
      </c>
      <c r="FP187" s="38" t="str">
        <f>IF(OR(Исходн.данные.!AH187=$BS$8,Исходн.данные.!AH187=$BT$8),"Да","Нет")</f>
        <v>Нет</v>
      </c>
      <c r="FQ187" s="38" t="str">
        <f>IF(OR(Исходн.данные.!AH187=$BQ$7,Исходн.данные.!AH187=$BQ$8),"Да","Нет")</f>
        <v>Нет</v>
      </c>
      <c r="FR187" s="38" t="str">
        <f>IF(Исходн.данные.!AI187=$BU$9,"Да","Нет")</f>
        <v>Нет</v>
      </c>
      <c r="FS187" s="38" t="str">
        <f>IF(OR(Исходн.данные.!AH187=$BP$1,Исходн.данные.!AH187=$BP$2),"Да","Нет")</f>
        <v>Нет</v>
      </c>
      <c r="FT187" s="38" t="e">
        <f>IF((Исходн.данные.!K187*GO187*GS187*GW187+BL187*0.6+Исходн.данные.!Q187*4.5*0.275)&gt;90,"Да","Нет")</f>
        <v>#N/A</v>
      </c>
      <c r="FU187" s="38" t="e">
        <f>IF((Исходн.данные.!M187*GS187*GZ187+BM187*0.225)&gt;35,"Да","Нет")</f>
        <v>#N/A</v>
      </c>
      <c r="FV187" s="38" t="str">
        <f>IF(Исходн.данные.!O187&gt;175,"Да","Нет")</f>
        <v>Нет</v>
      </c>
      <c r="FW187" s="39" t="str">
        <f>IF(Исходн.данные.!I187&gt;5.5,"Да","Нет")</f>
        <v>Нет</v>
      </c>
      <c r="FX187" s="39" t="str">
        <f>IF(Исходн.данные.!J187&lt;2,"Да","Нет")</f>
        <v>Да</v>
      </c>
      <c r="FY187" s="39" t="e">
        <f>IF(HF187=$FY$16,0,Исходн.данные.!K187*GO187*GS187*GW187/HF187)</f>
        <v>#N/A</v>
      </c>
      <c r="FZ187" s="39" t="e">
        <f>Исходн.данные.!M187*GS187*GZ187/HG187</f>
        <v>#N/A</v>
      </c>
      <c r="GA187" s="39" t="e">
        <f>IF(K_Wyn=$FY$16,0,IF(Исходн.данные.!N187=Исходн.данные.!$L$10,Исходн.данные.!O187/1.1*GS187*HC187/HH187,IF(Исходн.данные.!N187=Исходн.данные.!$L$12,Исходн.данные.!O187/1.5*GS187*HC187/HH187,Исходн.данные.!O187*GS187*HC187/HH187)))</f>
        <v>#N/A</v>
      </c>
      <c r="GB187" s="39" t="e">
        <f>IF(HF187=$FY$16,0,((Исходн.данные.!Q187*N_Org+Исходн.данные.!R187*N_Sider+Исходн.данные.!S187*N_Soloma)*AO187+Расчет!BC187*VLOOKUP(Исходн.данные.!T187,Справ!$A$3:$O$57,15)*AO187+BB187*VLOOKUP(Исходн.данные.!T187,Справ!$A$3:$O$57,15)*AL187+(Исходн.данные.!V187*N_Rizotorf+Исходн.данные.!W187*N_Rizoagr))/HF187)</f>
        <v>#N/A</v>
      </c>
      <c r="GC187" s="39" t="e">
        <f>IF(HG187=$FY$16,0,((Исходн.данные.!Q187*Р_Org+Исходн.данные.!R187*P_Sider+Исходн.данные.!S187*P_Soloma)*AP187+Расчет!BC187*VLOOKUP(Исходн.данные.!T187,Справ!$A$3:$P$57,16)*AP187+BB187*VLOOKUP(Исходн.данные.!T187,Справ!$A$3:$P$57,16)*AM187)/HG187)</f>
        <v>#N/A</v>
      </c>
      <c r="GD187" s="39" t="e">
        <f>IF(HH187=$FY$16,0,((Исходн.данные.!Q187*К_Org+Исходн.данные.!R187*K_Sider+Исходн.данные.!S187*K_Soloma)*AQ187+Расчет!BC187*VLOOKUP(Исходн.данные.!T187,Справ!$A$3:$Q$57,17)*AQ187+BB187*VLOOKUP(Исходн.данные.!T187,Справ!$A$3:$Q$57,17)*AN187)/HH187)</f>
        <v>#N/A</v>
      </c>
      <c r="GE187" s="39" t="e">
        <f>IF(HF187=$FY$16,0,(Исходн.данные.!X187*AR187+Исходн.данные.!AA187*N_Org*AL187+Исходн.данные.!AB187*N_Sider*AL187+Исходн.данные.!AC187*N_Soloma*AL187)/HF187)</f>
        <v>#N/A</v>
      </c>
      <c r="GF187" s="39" t="e">
        <f>IF(HG187=$FY$16,0,(Исходн.данные.!Y187*AS187+Исходн.данные.!AA187*Р_Org*AM187+Исходн.данные.!AB187*P_Sider*AM187+Исходн.данные.!AC187*P_Soloma*AM187)/HG187)</f>
        <v>#N/A</v>
      </c>
      <c r="GG187" s="39" t="e">
        <f>IF(HH187=$FY$16,0,(Исходн.данные.!Z187*AT187+Исходн.данные.!AA187*К_Org*AN187+Исходн.данные.!AB187*K_Sider*AN187+Исходн.данные.!AC187*K_Soloma*AN187)/HH187)</f>
        <v>#N/A</v>
      </c>
      <c r="GH187" s="39" t="e">
        <f>Исходн.данные.!AD187*AU187/HF187</f>
        <v>#N/A</v>
      </c>
      <c r="GI187" s="39" t="e">
        <f>Исходн.данные.!AE187*AV187/HG187</f>
        <v>#N/A</v>
      </c>
      <c r="GJ187" s="39" t="e">
        <f>Исходн.данные.!AF187*AW187/HH187</f>
        <v>#N/A</v>
      </c>
      <c r="GK187" s="55">
        <f>Исходн.данные.!AK187</f>
        <v>0</v>
      </c>
      <c r="GL187" s="11" t="e">
        <f t="shared" si="261"/>
        <v>#N/A</v>
      </c>
      <c r="GM187" s="11" t="e">
        <f t="shared" si="262"/>
        <v>#N/A</v>
      </c>
      <c r="GN187" s="11" t="e">
        <f t="shared" si="263"/>
        <v>#N/A</v>
      </c>
      <c r="GO187" s="57">
        <f t="shared" si="264"/>
        <v>19</v>
      </c>
      <c r="GP187" s="55">
        <f>IF(OR(Исходн.данные.!F187=$CE$1,Исходн.данные.!F187=$CE$2,Исходн.данные.!F187=$CE$3,Исходн.данные.!F187=$CE$4,Исходн.данные.!F187=$CE$5),GQ187,GR187)</f>
        <v>19</v>
      </c>
      <c r="GQ187" s="55">
        <f>IF(Исходн.данные.!F187=$CE$1,28,IF(Исходн.данные.!F187=$CE$2,26,IF(Исходн.данные.!F187=$CE$3,24,IF(Исходн.данные.!F187=$CE$4,22,IF(Исходн.данные.!F187=$CE$5,20,GR187)))))</f>
        <v>19</v>
      </c>
      <c r="GR187" s="55">
        <f>IF(Исходн.данные.!F187=$CE$6,18,IF(Исходн.данные.!F187=$CE$7,16,IF(Исходн.данные.!F187=$CE$8,14,IF(Исходн.данные.!F187=$CE$9,13,IF(Исходн.данные.!F187=$CE$10,12,19)))))</f>
        <v>19</v>
      </c>
      <c r="GS187" s="55">
        <f>IF(Исходн.данные.!G187="Пес",0.035*(40+2*Исходн.данные.!H187),IF(Исходн.данные.!G187="Суп",0.0325*(40+2*Исходн.данные.!H187),0.03*(40+2*Исходн.данные.!H187)))</f>
        <v>1.2</v>
      </c>
      <c r="GT187" s="55">
        <f>IF(Исходн.данные.!H187&lt;23,2.6,IF(AND(Исходн.данные.!H187&gt;22,Исходн.данные.!H187&lt;26),3,IF(AND(Исходн.данные.!H187&gt;25,Исходн.данные.!H187&lt;29),3.4,3.6)))</f>
        <v>2.6</v>
      </c>
      <c r="GU187" s="55">
        <f>IF(Исходн.данные.!H187&lt;23,2.8,IF(AND(Исходн.данные.!H187&gt;22,Исходн.данные.!H187&lt;26),3.2,IF(AND(Исходн.данные.!H187&gt;25,Исходн.данные.!H187&lt;29),3.6,3.9)))</f>
        <v>2.8</v>
      </c>
      <c r="GV187" s="55">
        <f>IF(Исходн.данные.!H187&lt;23,3,IF(AND(Исходн.данные.!H187&gt;22,Исходн.данные.!H187&lt;26),3.5,IF(AND(Исходн.данные.!H187&gt;25,Исходн.данные.!H187&lt;29),3.9,4.2)))</f>
        <v>3</v>
      </c>
      <c r="GW187" s="55" t="e">
        <f>IF(Исходн.данные.!P187="Ум",GX187,GY187)</f>
        <v>#N/A</v>
      </c>
      <c r="GX187" s="55" t="e">
        <f>VLOOKUP(Исходн.данные.!AI187,Коэффициенты!$J$7:$L$13,2,FALSE)</f>
        <v>#N/A</v>
      </c>
      <c r="GY187" s="55" t="e">
        <f>VLOOKUP(Исходн.данные.!AI187,Коэффициенты!$J$7:$L$13,3,FALSE)</f>
        <v>#N/A</v>
      </c>
      <c r="GZ187" s="55" t="e">
        <f>(IF(Исходн.данные.!M187&lt;50,0.11*VLOOKUP(Исходн.данные.!AH187,Культуры.Информация,7,FALSE),IF(Исходн.данные.!M187&gt;250,0.05*VLOOKUP(Исходн.данные.!AH187,Культуры.Информация,7,FALSE),VLOOKUP(Исходн.данные.!AH187,Культуры.Информация,5,FALSE)/100*($GX$6+$GY$6*Исходн.данные.!M187))))*Расчет2!AI187</f>
        <v>#N/A</v>
      </c>
      <c r="HA187" s="211"/>
      <c r="HB187" s="211"/>
      <c r="HC187" s="55" t="e">
        <f>(IF(Исходн.данные.!O187&lt;80,0.2*VLOOKUP(Исходн.данные.!AH187,Культуры.Информация,8,FALSE),IF(Исходн.данные.!O187&gt;240,0.09*VLOOKUP(Исходн.данные.!AH187,Культуры.Информация,8,FALSE),VLOOKUP(Исходн.данные.!AH187,Культуры.Информация,6,FALSE)/100*($HB$6+$HC$6*Исходн.данные.!O187))))*Расчет2!AJ187</f>
        <v>#N/A</v>
      </c>
      <c r="HD187" s="55">
        <f>IF(Исходн.данные.!O187&gt;240,0.09,IF(Исходн.данные.!O187&lt;30,0.3,$HE$10+$HD$10*Исходн.данные.!O187))</f>
        <v>0.3</v>
      </c>
      <c r="HE187" s="55">
        <f>IF(Исходн.данные.!O187&gt;240,0.17,IF(Исходн.данные.!O187&lt;30,0.5,$HF$12+$HE$12*Исходн.данные.!O187))</f>
        <v>0.5</v>
      </c>
      <c r="HF187" s="55" t="e">
        <f>VLOOKUP(Исходн.данные.!AH187,Справ!$A$3:$D$58,2,FALSE)</f>
        <v>#N/A</v>
      </c>
      <c r="HG187" s="55" t="e">
        <f>VLOOKUP(Исходн.данные.!AH187,Справ!$A$3:$D$58,3,FALSE)</f>
        <v>#N/A</v>
      </c>
      <c r="HH187" s="55" t="e">
        <f>VLOOKUP(Исходн.данные.!AH187,Справ!$A$3:$D$58,4,FALSE)</f>
        <v>#N/A</v>
      </c>
      <c r="HI187" s="11" t="e">
        <f t="shared" si="265"/>
        <v>#N/A</v>
      </c>
      <c r="HJ187" s="11" t="e">
        <f t="shared" si="266"/>
        <v>#N/A</v>
      </c>
      <c r="HK187" s="11" t="e">
        <f t="shared" si="267"/>
        <v>#N/A</v>
      </c>
      <c r="HL187" s="55">
        <f>IF(OR(Исходн.данные.!G187="Глин",Исходн.данные.!G187="Т_суг"),1.1,IF(Исходн.данные.!G187="Ср_суг",1,1))</f>
        <v>1</v>
      </c>
      <c r="HM187" s="55">
        <f>IF(OR(Исходн.данные.!G187="Глин",Исходн.данные.!G187="Т_суг"),0.9,IF(Исходн.данные.!G187="Ср_суг",1,1.2))</f>
        <v>1.2</v>
      </c>
      <c r="HN187" s="11" t="e">
        <f t="shared" si="268"/>
        <v>#N/A</v>
      </c>
      <c r="HO187" s="11" t="e">
        <f t="shared" si="269"/>
        <v>#N/A</v>
      </c>
      <c r="HP187" s="11" t="e">
        <f t="shared" si="270"/>
        <v>#N/A</v>
      </c>
      <c r="HQ187" t="e">
        <f t="shared" si="271"/>
        <v>#N/A</v>
      </c>
      <c r="HR187" t="e">
        <f t="shared" si="272"/>
        <v>#N/A</v>
      </c>
      <c r="HS187" t="e">
        <f t="shared" si="273"/>
        <v>#N/A</v>
      </c>
      <c r="HT187" t="e">
        <f t="shared" si="219"/>
        <v>#N/A</v>
      </c>
      <c r="HU187" t="e">
        <f t="shared" si="220"/>
        <v>#N/A</v>
      </c>
      <c r="HV187" t="e">
        <f t="shared" si="221"/>
        <v>#N/A</v>
      </c>
      <c r="HW187" t="e">
        <f t="shared" si="222"/>
        <v>#N/A</v>
      </c>
      <c r="HX187" t="e">
        <f t="shared" si="223"/>
        <v>#N/A</v>
      </c>
      <c r="HY187" t="e">
        <f t="shared" si="224"/>
        <v>#N/A</v>
      </c>
      <c r="HZ187" s="55">
        <f>IF(OR(Исходн.данные.!AI187="Оз_Ч_П",Исходн.данные.!AI187="Оз_З_П",Исходн.данные.!AI187="Яр_зер"),12,30)</f>
        <v>30</v>
      </c>
      <c r="IA187" t="e">
        <f t="shared" si="274"/>
        <v>#N/A</v>
      </c>
      <c r="IB187" t="e">
        <f t="shared" si="275"/>
        <v>#N/A</v>
      </c>
      <c r="IC187" t="e">
        <f t="shared" si="276"/>
        <v>#N/A</v>
      </c>
      <c r="ID187" s="11" t="e">
        <f t="shared" si="277"/>
        <v>#N/A</v>
      </c>
      <c r="IE187" s="11" t="e">
        <f t="shared" si="278"/>
        <v>#N/A</v>
      </c>
      <c r="IF187" s="11" t="e">
        <f t="shared" si="279"/>
        <v>#N/A</v>
      </c>
    </row>
    <row r="188" spans="35:240" x14ac:dyDescent="0.2">
      <c r="AI188">
        <f>IF(Исходн.данные.!I188&gt;6,1,1.85-(0.148*Исходн.данные.!I188))</f>
        <v>1.85</v>
      </c>
      <c r="AJ188">
        <f>IF(Исходн.данные.!I188&gt;6,1,2.434-(0.246*Исходн.данные.!I188))</f>
        <v>2.4340000000000002</v>
      </c>
      <c r="AL188" s="148" t="b">
        <f>IF(Исходн.данные.!$P188="Ум",N_OrgUd_2g_um,IF(Исходн.данные.!$P188="Об",N_OrgUd_2g_ob))</f>
        <v>0</v>
      </c>
      <c r="AM188" s="148" t="b">
        <f>IF(Исходн.данные.!$P188="Ум",P_OrgUd_2g_um,IF(Исходн.данные.!$P188="Об",P_OrgUd_2g_ob))</f>
        <v>0</v>
      </c>
      <c r="AN188" s="148" t="b">
        <f>IF(Исходн.данные.!$P188="Ум",K_OrgUd_2g_um,IF(Исходн.данные.!$P188="Об",K_OrgUd_2g_ob))</f>
        <v>0</v>
      </c>
      <c r="AO188" s="148" t="b">
        <f>IF(Исходн.данные.!$P188="Ум",N_OrgUd_1g_um,IF(Исходн.данные.!$P188="Об",N_OrgUd_1g_ob))</f>
        <v>0</v>
      </c>
      <c r="AP188" s="148" t="b">
        <f>IF(Исходн.данные.!$P188="Ум",P_OrgUd_1g_um,IF(Исходн.данные.!$P188="Об",P_OrgUd_1g_ob))</f>
        <v>0</v>
      </c>
      <c r="AQ188" s="148" t="b">
        <f>IF(Исходн.данные.!$P188="Ум",K_OrgUd_1g_um,IF(Исходн.данные.!$P188="Об",K_OrgUd_1g_ob))</f>
        <v>0</v>
      </c>
      <c r="AR188" t="b">
        <f>IF(Исходн.данные.!$P188="Ум",N_MinUd_2g_um,IF(Исходн.данные.!$P188="Об",N_MinUd_2g_ob))</f>
        <v>0</v>
      </c>
      <c r="AS188" t="b">
        <f>IF(Исходн.данные.!$P188="Ум",P_MinUd_2g_um,IF(Исходн.данные.!$P188="Об",P_MinUd_2g_ob))</f>
        <v>0</v>
      </c>
      <c r="AT188" t="b">
        <f>IF(Исходн.данные.!$P188="Ум",K_MinUd_2g_um,IF(Исходн.данные.!$P188="Об",K_MinUd_2g_ob))</f>
        <v>0</v>
      </c>
      <c r="AU188" t="b">
        <f>IF(Исходн.данные.!$P188="Ум",N_MinUd_1g_um,IF(Исходн.данные.!$P188="Об",N_MinUd_1g_ob))</f>
        <v>0</v>
      </c>
      <c r="AV188" t="b">
        <f>IF(Исходн.данные.!P188="Ум",P_MinUd_1g_um,IF(Исходн.данные.!P188="Об",P_MinUd_1g_ob))</f>
        <v>0</v>
      </c>
      <c r="AW188" t="b">
        <f>IF(Исходн.данные.!P188="Ум",K_MinUd_1g_um,IF(Исходн.данные.!P188="Об",K_MinUd_1g_ob))</f>
        <v>0</v>
      </c>
      <c r="AY188" t="e">
        <f>VLOOKUP(Исходн.данные.!T188,Справ!$A$3:$N$57,12)</f>
        <v>#N/A</v>
      </c>
      <c r="AZ188" t="e">
        <f>VLOOKUP(Исходн.данные.!T188,Справ!$A$3:$N$57,13)</f>
        <v>#N/A</v>
      </c>
      <c r="BA188" t="e">
        <f>VLOOKUP(Исходн.данные.!T188,Справ!$A$3:$N$57,14)</f>
        <v>#N/A</v>
      </c>
      <c r="BB188">
        <f>IF(Исходн.данные.!AH188=0,0,25)</f>
        <v>0</v>
      </c>
      <c r="BC188" s="141">
        <f>IF(Исходн.данные.!AH188=0,0,IF(Исходн.данные.!T188=0,25,BD188))</f>
        <v>0</v>
      </c>
      <c r="BD188" s="168" t="e">
        <f>AY188+AZ188*Исходн.данные.!U188-POWER(BA188,2)*Исходн.данные.!U188</f>
        <v>#N/A</v>
      </c>
      <c r="BE18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8" s="25">
        <f>IF(Исходн.данные.!AH188=0,0,MIN(HN188:HP188))</f>
        <v>0</v>
      </c>
      <c r="BG188" s="9">
        <f>IF(Исходн.данные.!AH188=0,0,IF((HO188+10*0.25/HG188/HL188)&lt;17,17,HO188+10*0.25/HG188/HL188))</f>
        <v>0</v>
      </c>
      <c r="BH188" s="181">
        <f>IF(Исходн.данные.!AH188=0,0,HW188*HF188*HL188/AU188*AI188+Исходн.данные.!S188*10)</f>
        <v>0</v>
      </c>
      <c r="BI188" s="10"/>
      <c r="BJ188" s="182">
        <f>IF(Исходн.данные.!AH188=0,0,IF(HX188*HG188*HL188/AV188&lt;0,0,HX188*HG188*HL188/AV188*AJ188))</f>
        <v>0</v>
      </c>
      <c r="BK188" s="182">
        <f>IF(Исходн.данные.!AH188=0,0,HY188*HH188*HM188/AW188)</f>
        <v>0</v>
      </c>
      <c r="BL188" s="10">
        <f>IF(OR(Исходн.данные.!$AH188=$BP$1,Исходн.данные.!$AH188=$BP$2),0,IF(BH188&lt;0,0,IF(OR(Исходн.данные.!T188=Расчет!$BP$1,Исходн.данные.!T188=Расчет!$BP$2,Исходн.данные.!T188=Расчет!$BT$5,Исходн.данные.!T188=Расчет!$BT$6),BH188*0.5,IF(OR(Исходн.данные.!T188=Расчет!$BS$9,Исходн.данные.!T188=Расчет!$BS$10,Исходн.данные.!T188=Расчет!$BS$11,Исходн.данные.!T188=Расчет!$BS$12,Исходн.данные.!T188=Расчет!$BP$5),BH188*0.8,BH188))))</f>
        <v>0</v>
      </c>
      <c r="BM188" s="10">
        <f>IF(OR(Исходн.данные.!$AH188=$BP$1,Исходн.данные.!$AH188=$BP$2),0,IF(BJ188&lt;0,0,IF(Исходн.данные.!I188&lt;4.5,BJ188*1.2,IF(Исходн.данные.!I188&gt;5.1,BJ188,BJ188*((5.1-Исходн.данные.!I188)*0.333+1)))))</f>
        <v>0</v>
      </c>
      <c r="BN188" s="10">
        <f>IF(OR(Исходн.данные.!$AH188=$BP$1,Исходн.данные.!$AH188=$BP$2),60-Исходн.данные.!AF188,IF(BK188&lt;0,0,IF(Исходн.данные.!I188&lt;4.5,BK188*1.2,IF(Исходн.данные.!I188&gt;5.1,BK188,BK188*((5.1-Исходн.данные.!I188)*0.333+1)))))</f>
        <v>0</v>
      </c>
      <c r="BO188" s="9">
        <f>IF(BL188&lt;0,0,BL188*Исходн.данные.!$AJ188/1000)</f>
        <v>0</v>
      </c>
      <c r="BP188" s="9">
        <f>IF(BM188&lt;0,0,BM188*Исходн.данные.!$AJ188/1000)</f>
        <v>0</v>
      </c>
      <c r="BQ188" s="9">
        <f>IF(BN188&lt;0,0,BN188*Исходн.данные.!$AJ188/1000)</f>
        <v>0</v>
      </c>
      <c r="BR188" s="9">
        <f t="shared" si="229"/>
        <v>0</v>
      </c>
      <c r="BS188" s="10" t="str">
        <f t="shared" si="230"/>
        <v>Аммофос 12:52:00</v>
      </c>
      <c r="BT188" s="10" t="str">
        <f t="shared" si="231"/>
        <v>Аммофос 12:52:00</v>
      </c>
      <c r="BU188" s="10" t="str">
        <f t="shared" si="232"/>
        <v>Диаммофоска</v>
      </c>
      <c r="BV188" s="10">
        <f t="shared" si="233"/>
        <v>0</v>
      </c>
      <c r="BW188" s="10"/>
      <c r="BX188" s="10"/>
      <c r="BY188" s="9">
        <f>IF(BL188&lt;0,0,IF(OR(Исходн.данные.!AI188=Расчет!$BU$6,Исходн.данные.!AI188=Расчет!$BU$7),Расчет!BV188,IF(Исходн.данные.!$AG188=$BV$11,BL188,IF(OR(Исходн.данные.!$AH188=$BQ$7,Исходн.данные.!$AH188=$BQ$8),CB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0,IF(Исходн.данные.!$AI188=$BU$11,"Нет",IF(BL188&gt;30,30,BL188)))))))</f>
        <v>0</v>
      </c>
      <c r="BZ188" s="9">
        <f>IF(AND(Исходн.данные.!$AG188=$BV$11,BM188&lt;10),10,IF(Исходн.данные.!$AG188=$BV$11,BM188,IF(OR(Исходн.данные.!$AH188=$BQ$7,Исходн.данные.!$AH188=$BQ$8),CC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10,IF(Исходн.данные.!$AI188=$BU$11,"Нет",IF(BM188&gt;60,60,IF(BM188&lt;10,10,BM188)))))))</f>
        <v>10</v>
      </c>
      <c r="CA188" s="39">
        <f>IF(BN188&lt;0,0,IF(Исходн.данные.!$AG188=$BV$11,BN188,IF(OR(Исходн.данные.!$AH188=$BQ$7,Исходн.данные.!$AH188=$BQ$8),CD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0,IF(Исходн.данные.!$AI188=$BU$11,"Нет",IF(BN188&gt;30,30,BN188))))))</f>
        <v>0</v>
      </c>
      <c r="CB188" s="9">
        <f t="shared" si="234"/>
        <v>0</v>
      </c>
      <c r="CC188" s="9">
        <f t="shared" si="235"/>
        <v>0</v>
      </c>
      <c r="CD188" s="9">
        <f t="shared" si="236"/>
        <v>0</v>
      </c>
      <c r="CE188" s="12">
        <f t="shared" si="237"/>
        <v>10</v>
      </c>
      <c r="CF188" s="9">
        <f t="shared" si="238"/>
        <v>0</v>
      </c>
      <c r="CG188" s="9" t="s">
        <v>231</v>
      </c>
      <c r="CH188" s="132" t="str">
        <f>IF(Исходн.данные.!AP188=Расчет!$CI$16,"Нет",IF(Исходн.данные.!AL188&gt;0,Исходн.данные.!AL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BH$4,IF(OR(Исходн.данные.!AI188=Исходн.данные.!$AI$6,Исходн.данные.!AI188=Исходн.данные.!$AI$7),Расчет!BS188,IF(AND($CF188=0,$CE188&gt;0),EV188,ER188)))))</f>
        <v>Аммофос 12:52:00</v>
      </c>
      <c r="CI188" s="274">
        <f>IF(Расчет!$CH188="Нет","Нет",IF(Исходн.данные.!$AL188&gt;0,VLOOKUP(Расчет!$CH188,АшламаДВ_Irekle,2,FALSE),VLOOKUP(Расчет!$CH188,АшламаДВ_Gomumy,2,FALSE)))</f>
        <v>0.12</v>
      </c>
      <c r="CJ188" s="274">
        <f>IF(Расчет!$CH188="Нет","Нет",IF(Исходн.данные.!$AL188&gt;0,VLOOKUP(Расчет!$CH188,АшламаДВ_Irekle,3,FALSE),VLOOKUP(Расчет!$CH188,АшламаДВ_Gomumy,3,FALSE)))</f>
        <v>0.52</v>
      </c>
      <c r="CK188" s="274">
        <f>IF(Расчет!$CH188="Нет","Нет",IF(Исходн.данные.!$AL188&gt;0,VLOOKUP(Расчет!$CH188,АшламаДВ_Irekle,4,FALSE),VLOOKUP(Расчет!$CH188,АшламаДВ_Gomumy,4,FALSE)))</f>
        <v>0</v>
      </c>
      <c r="CL188" s="70"/>
      <c r="CM188" s="70"/>
      <c r="CN188" s="70"/>
      <c r="CO188" s="70"/>
      <c r="CP188" s="70"/>
      <c r="CQ188" s="70"/>
      <c r="CR188" s="10">
        <f t="shared" si="239"/>
        <v>0</v>
      </c>
      <c r="CS188" s="10">
        <f t="shared" si="240"/>
        <v>19.23076923076923</v>
      </c>
      <c r="CT188" s="10">
        <f t="shared" si="241"/>
        <v>0</v>
      </c>
      <c r="CU188" s="39">
        <f>IF($CH188="Нет",0,IF(CI188=0,30/MIN(CJ188:CK188),IF(Исходн.данные.!$AG188=$BV$11,CR188,IF(OR(Исходн.данные.!$AH188=$BQ$7,Исходн.данные.!$AH188=$BQ$8),90/CI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0,IF(Исходн.данные.!$AI188=$BU$11,"Нет",30/CI188))))))</f>
        <v>250</v>
      </c>
      <c r="CV188" s="39">
        <f>IF($CH188="Нет",0,IF(Исходн.данные.!AH188=0,0,IF(CJ188=0,60/MIN(CI188,CK188),IF(Исходн.данные.!$AG188=$BV$11,CS188,IF(OR(Исходн.данные.!$AH188=$BQ$7,Исходн.данные.!$AH188=$BQ$8),90/CJ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10/CJ188,IF(Исходн.данные.!$AI188=$BU$11,"Нет",60/CJ188)))))))</f>
        <v>0</v>
      </c>
      <c r="CW188" s="39">
        <f>IF($CH188="Нет",0,IF(Исходн.данные.!AH188=0,0,IF(CK188=0,30/MIN(CI188:CJ188),IF(Исходн.данные.!$AG188=$BV$11,CT188,IF(OR(Исходн.данные.!$AH188=$BQ$7,Исходн.данные.!$AH188=$BQ$8),90/CK188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0,IF(Исходн.данные.!$AI188=$BU$11,"Нет",30/CK188)))))))</f>
        <v>0</v>
      </c>
      <c r="CX188" s="133">
        <f>IF(Исходн.данные.!$AG188=$BV$11,MAX(CU188:CW188),IF(OR(Исходн.данные.!$AH188=$BS$8,Исходн.данные.!$AH188=$BQ$9,Исходн.данные.!$AH188=$BQ$10,Исходн.данные.!$AH188=$BQ$11,Исходн.данные.!$AH188=$BQ$12,Исходн.данные.!$AH188=$BP$3,Исходн.данные.!$AH188=$BT$8,$FM188="Да"),CV188,MIN(CU188:CW188)))</f>
        <v>0</v>
      </c>
      <c r="CY188" s="133">
        <f>IF(Исходн.данные.!AH188=0,0,IF(CR188&gt;$CX188,$CX188,CR188))</f>
        <v>0</v>
      </c>
      <c r="CZ188" s="133">
        <f>IF(Исходн.данные.!AH188=0,0,IF(CS188&gt;$CX188,$CX188,CS188))</f>
        <v>0</v>
      </c>
      <c r="DA188" s="133">
        <f>IF(Исходн.данные.!AH188=0,0,IF(CT188&gt;$CX188,$CX188,CT188))</f>
        <v>0</v>
      </c>
      <c r="DB188" s="10">
        <f t="shared" si="242"/>
        <v>0</v>
      </c>
      <c r="DC188" s="39">
        <f>DB188*Исходн.данные.!AJ188/1000</f>
        <v>0</v>
      </c>
      <c r="DD188" s="71">
        <f t="shared" si="243"/>
        <v>0</v>
      </c>
      <c r="DE188" s="9">
        <f t="shared" si="244"/>
        <v>0</v>
      </c>
      <c r="DF188" s="9">
        <f t="shared" si="245"/>
        <v>0</v>
      </c>
      <c r="DG188" s="39">
        <f>IF(BL188&lt;0,0,IF($CH188="Нет",BL188,IF(OR(Исходн.данные.!$AH188=$BP$1,Исходн.данные.!$AH188=$BP$2),0,IF(Исходн.данные.!AI188=$BU$11,BL188,IF(BL188-DD188&lt;0,0,BL188-DD188)))))</f>
        <v>0</v>
      </c>
      <c r="DH188" s="39">
        <f>IF(BM188&lt;0,0,IF($CH188="Нет",BM188,IF(OR(Исходн.данные.!$AH188=$BP$1,Исходн.данные.!$AH188=$BP$2),0,IF(Исходн.данные.!AJ188=$BU$11,BM188,IF(BM188-DE188&lt;0,0,BM188-DE188)))))</f>
        <v>0</v>
      </c>
      <c r="DI188" s="39">
        <f>IF(BN188&lt;0,0,IF($CH188="Нет",BN188,IF(OR(Исходн.данные.!$AH188=$BP$1,Исходн.данные.!$AH188=$BP$2),0,IF(Исходн.данные.!AK188=$BU$11,BN188,IF(BN188-DF188&lt;0,0,BN188-DF188)))))</f>
        <v>0</v>
      </c>
      <c r="DJ188" s="12">
        <f t="shared" si="246"/>
        <v>0</v>
      </c>
      <c r="DK188" s="9">
        <f t="shared" si="247"/>
        <v>0</v>
      </c>
      <c r="DL188" s="39">
        <f>IF(Исходн.данные.!AM188&gt;0,Исходн.данные.!AM188,IF(EG188&gt;0,$BH$10,0))</f>
        <v>0</v>
      </c>
      <c r="DM188" s="186">
        <f>IF($DL188=0,0,IF(Исходн.данные.!AM188&gt;0,VLOOKUP($DL188,АшламаДВ_Irekle,2,FALSE),VLOOKUP($DL188,АшламаДВ_Gomumy,2,FALSE)))</f>
        <v>0</v>
      </c>
      <c r="DN188" s="10">
        <f t="shared" si="225"/>
        <v>0</v>
      </c>
      <c r="DO188" s="9" t="str">
        <f>IF(Исходн.данные.!AN188&gt;0,Исходн.данные.!AN188,Удобрения!$B$37 )</f>
        <v>Хлор.калий</v>
      </c>
      <c r="DP188" s="9">
        <f>IF(Исходн.данные.!AN188&gt;0,VLOOKUP(Исходн.данные.!AN188,АшламаДВ_Irekle,4,FALSE),VLOOKUP(DO188,АшламаДВ_Gomumy,4,FALSE))</f>
        <v>0.6</v>
      </c>
      <c r="DQ188" s="10">
        <f t="shared" si="226"/>
        <v>0</v>
      </c>
      <c r="DR188" s="132" t="str">
        <f>IF(Исходн.данные.!AO188&gt;0,Исходн.данные.!AO188,IF(DH188=0,BS$17,IF(AND($DK188=0,$DJ188&gt;0),EJ188,EN188)))</f>
        <v>Нет</v>
      </c>
      <c r="DS188" s="70" t="str">
        <f>IF($DR188="Нет","Нет",IF(Исходн.данные.!$AO188&gt;0,VLOOKUP($DR188,АшламаДВ_Irekle,2,FALSE),VLOOKUP($DR188,АшламаДВ_Gomumy,2,FALSE)))</f>
        <v>Нет</v>
      </c>
      <c r="DT188" s="70" t="str">
        <f>IF($DR188="Нет","Нет",IF(Исходн.данные.!$AO188&gt;0,VLOOKUP($DR188,АшламаДВ_Irekle,3,FALSE),VLOOKUP($DR188,АшламаДВ_Gomumy,3,FALSE)))</f>
        <v>Нет</v>
      </c>
      <c r="DU188" s="70" t="str">
        <f>IF($DR188="Нет","Нет",IF(Исходн.данные.!$AO188&gt;0,VLOOKUP($DR188,АшламаДВ_Irekle,4,FALSE),VLOOKUP($DR188,АшламаДВ_Gomumy,4,FALSE)))</f>
        <v>Нет</v>
      </c>
      <c r="DV188" s="70"/>
      <c r="DW188" s="70"/>
      <c r="DX188" s="70"/>
      <c r="DY188" s="10">
        <f t="shared" si="248"/>
        <v>0</v>
      </c>
      <c r="DZ188" s="10">
        <f t="shared" si="249"/>
        <v>0</v>
      </c>
      <c r="EA188" s="10">
        <f t="shared" si="250"/>
        <v>0</v>
      </c>
      <c r="EB188" s="10">
        <f t="shared" si="251"/>
        <v>0</v>
      </c>
      <c r="EC188" s="10">
        <f t="shared" si="252"/>
        <v>0</v>
      </c>
      <c r="ED188" s="10">
        <f t="shared" si="253"/>
        <v>0</v>
      </c>
      <c r="EE188" s="10">
        <f t="shared" si="254"/>
        <v>0</v>
      </c>
      <c r="EF188" s="39">
        <f>EB188*Исходн.данные.!AJ188/1000</f>
        <v>0</v>
      </c>
      <c r="EG188" s="9">
        <f t="shared" si="255"/>
        <v>0</v>
      </c>
      <c r="EH188" s="9">
        <f t="shared" si="256"/>
        <v>0</v>
      </c>
      <c r="EI188" s="39" t="e">
        <f t="shared" si="206"/>
        <v>#DIV/0!</v>
      </c>
      <c r="EJ188" s="9" t="str">
        <f t="shared" si="227"/>
        <v>Азопреципитат</v>
      </c>
      <c r="EK188" s="12">
        <f t="shared" si="207"/>
        <v>0.26</v>
      </c>
      <c r="EL188" s="12">
        <f t="shared" si="208"/>
        <v>0.13</v>
      </c>
      <c r="EM188" s="12">
        <f t="shared" si="209"/>
        <v>0</v>
      </c>
      <c r="EN188" s="12" t="str">
        <f t="shared" si="228"/>
        <v>Нет</v>
      </c>
      <c r="EO188" s="12">
        <f t="shared" si="210"/>
        <v>0</v>
      </c>
      <c r="EP188" s="12">
        <f t="shared" si="211"/>
        <v>0</v>
      </c>
      <c r="EQ188" s="12">
        <f t="shared" si="212"/>
        <v>0</v>
      </c>
      <c r="ER188" s="12" t="str">
        <f t="shared" si="257"/>
        <v>Диаммофоска</v>
      </c>
      <c r="ES188" s="12">
        <f t="shared" si="213"/>
        <v>0.1</v>
      </c>
      <c r="ET188" s="12">
        <f t="shared" si="214"/>
        <v>0.26</v>
      </c>
      <c r="EU188" s="12">
        <f t="shared" si="215"/>
        <v>0.26</v>
      </c>
      <c r="EV188" s="12" t="str">
        <f t="shared" si="258"/>
        <v>Аммофос 12:52:00</v>
      </c>
      <c r="EW188" s="12" t="str">
        <f t="shared" si="259"/>
        <v>Кемира Свекловичное-6</v>
      </c>
      <c r="EX188" s="12">
        <f t="shared" si="216"/>
        <v>0.16</v>
      </c>
      <c r="EY188" s="12">
        <f t="shared" si="217"/>
        <v>0.12</v>
      </c>
      <c r="EZ188" s="12">
        <f t="shared" si="218"/>
        <v>0.17</v>
      </c>
      <c r="FA188" s="38" t="e">
        <f>IF(AND(OR(FJ188=$FD$1,FM188=$FD$1,FO188=$FD$1,FQ188=$FD$1,FS188=$FD$1),FD188=$FD$1,Исходн.данные.!J188&lt;2,FU188=$FD$1),"Бор,Кобальт",IF(AND(FO188=$FD$1,FH188=$FD$1,Исходн.данные.!J188&lt;2,FU188=$FD$1),"Бор,Кобальт",IF(AND(OR(FJ188=$FD$1,FM188=$FD$1,FQ188=$FD$1),FE188=$FD$1,Исходн.данные.!J188&lt;2,FT188=$FD$1,FU188=$FD$1),"Бор,Медь,Цинк",IF(AND(OR(FJ188=$FD$1,FR188="Да"),FI188="Да",Исходн.данные.!J188&lt;2,FT188="Да",FU188="Да"),"Бор,Цинк,Медь",IF(AND(OR(FM188="Да",FQ188="Да"),FI188="Да",Исходн.данные.!J188&lt;2,FT188="Да",FU188="Да"),"Бор,Цинк",IF(AND(FN188="Да",OR(FD188="Да",FE188="Да")),"Бор",FB188))))))</f>
        <v>#N/A</v>
      </c>
      <c r="FB188" s="134" t="e">
        <f>IF(AND(OR(FD188="Да",FE188="Да",FF188="Да",FG188="Да",FH188="Да"),FO188="Да"),"Бор",IF(AND(FP188="Да",OR(FD188="Да",FE188="Да",FI188="Да")),"Бор",IF(AND(FS188="Да",FE188="Да"),"Бор,Медь",IF(AND(OR(FJ188="Да",FK188="Да",FL188="Да"),FE188="Да",Исходн.данные.!I188&lt;5,FT188="Да",FU188="Да"),"Молибден,Цинк",IF(AND(FM188="Да",OR(FE188="Да",FF188="Да",FG188="Да",FH188="Да",FI188="Да")),"Молибден,Цинк",IF(AND(OR(FJ188="Да",FK188="Да",FL188="Да",FM188="Да",FQ188="Да"),OR(FE188="Да",FF188="Да"),FT188="Да",FU188="Да",Исходн.данные.!I188&gt;5.5),"Медь,Цинк",FC188))))))</f>
        <v>#N/A</v>
      </c>
      <c r="FC188" s="23" t="e">
        <f t="shared" si="260"/>
        <v>#N/A</v>
      </c>
      <c r="FD188" s="38" t="str">
        <f>IF(OR(Исходн.данные.!F188=$CC$1,Исходн.данные.!F188=$CC$2,Исходн.данные.!F188=$CC$3,Исходн.данные.!F188=$CC$4),"Да","Нет")</f>
        <v>Нет</v>
      </c>
      <c r="FE188" s="38" t="str">
        <f>IF(Исходн.данные.!F188=$CC$5,"Да","Нет")</f>
        <v>Нет</v>
      </c>
      <c r="FF188" s="38" t="str">
        <f>IF(OR(Исходн.данные.!F188=$CC$6,Исходн.данные.!F188=$CC$7),"Да","Нет")</f>
        <v>Нет</v>
      </c>
      <c r="FG188" s="38" t="str">
        <f>IF(OR(Исходн.данные.!F188=$CC$8,Исходн.данные.!F188=$CC$9),"Да","Нет")</f>
        <v>Нет</v>
      </c>
      <c r="FH188" s="38" t="str">
        <f>IF(Исходн.данные.!F188=$CC$10,"Да","Нет")</f>
        <v>Нет</v>
      </c>
      <c r="FI188" s="38" t="str">
        <f>IF(OR(Исходн.данные.!F188=$CC$11,Исходн.данные.!F188=$CC$12),"Да","Нет")</f>
        <v>Нет</v>
      </c>
      <c r="FJ188" s="38" t="str">
        <f>IF(OR(Исходн.данные.!AH188=$BS$1,Исходн.данные.!AH188=$BQ$11,Исходн.данные.!AH188=$BQ$12),"Да","Нет")</f>
        <v>Нет</v>
      </c>
      <c r="FK188" s="38" t="str">
        <f>IF(OR(Исходн.данные.!AH188=$BS$2,Исходн.данные.!AH188=$BS$4),"Да","Нет")</f>
        <v>Нет</v>
      </c>
      <c r="FL188" s="38" t="str">
        <f>IF(OR(Исходн.данные.!AH188=$BS$3,Исходн.данные.!AH188=$BS$5),"Да","Нет")</f>
        <v>Нет</v>
      </c>
      <c r="FM188" s="38" t="str">
        <f>IF(OR(Исходн.данные.!AH188=$BS$9,Исходн.данные.!AH188=$BS$10,Исходн.данные.!AH188=$BS$11,Исходн.данные.!AH188=$BS$12),"Да","Нет")</f>
        <v>Нет</v>
      </c>
      <c r="FN188" s="38" t="str">
        <f>IF(OR(Исходн.данные.!AH188=$BS$6,Исходн.данные.!AH188=$BP$3),"Да","Нет")</f>
        <v>Нет</v>
      </c>
      <c r="FO188" s="38" t="str">
        <f>IF(Исходн.данные.!AH188=$BQ$9,"Да","Нет")</f>
        <v>Нет</v>
      </c>
      <c r="FP188" s="38" t="str">
        <f>IF(OR(Исходн.данные.!AH188=$BS$8,Исходн.данные.!AH188=$BT$8),"Да","Нет")</f>
        <v>Нет</v>
      </c>
      <c r="FQ188" s="38" t="str">
        <f>IF(OR(Исходн.данные.!AH188=$BQ$7,Исходн.данные.!AH188=$BQ$8),"Да","Нет")</f>
        <v>Нет</v>
      </c>
      <c r="FR188" s="38" t="str">
        <f>IF(Исходн.данные.!AI188=$BU$9,"Да","Нет")</f>
        <v>Нет</v>
      </c>
      <c r="FS188" s="38" t="str">
        <f>IF(OR(Исходн.данные.!AH188=$BP$1,Исходн.данные.!AH188=$BP$2),"Да","Нет")</f>
        <v>Нет</v>
      </c>
      <c r="FT188" s="38" t="e">
        <f>IF((Исходн.данные.!K188*GO188*GS188*GW188+BL188*0.6+Исходн.данные.!Q188*4.5*0.275)&gt;90,"Да","Нет")</f>
        <v>#N/A</v>
      </c>
      <c r="FU188" s="38" t="e">
        <f>IF((Исходн.данные.!M188*GS188*GZ188+BM188*0.225)&gt;35,"Да","Нет")</f>
        <v>#N/A</v>
      </c>
      <c r="FV188" s="38" t="str">
        <f>IF(Исходн.данные.!O188&gt;175,"Да","Нет")</f>
        <v>Нет</v>
      </c>
      <c r="FW188" s="39" t="str">
        <f>IF(Исходн.данные.!I188&gt;5.5,"Да","Нет")</f>
        <v>Нет</v>
      </c>
      <c r="FX188" s="39" t="str">
        <f>IF(Исходн.данные.!J188&lt;2,"Да","Нет")</f>
        <v>Да</v>
      </c>
      <c r="FY188" s="39" t="e">
        <f>IF(HF188=$FY$16,0,Исходн.данные.!K188*GO188*GS188*GW188/HF188)</f>
        <v>#N/A</v>
      </c>
      <c r="FZ188" s="39" t="e">
        <f>Исходн.данные.!M188*GS188*GZ188/HG188</f>
        <v>#N/A</v>
      </c>
      <c r="GA188" s="39" t="e">
        <f>IF(K_Wyn=$FY$16,0,IF(Исходн.данные.!N188=Исходн.данные.!$L$10,Исходн.данные.!O188/1.1*GS188*HC188/HH188,IF(Исходн.данные.!N188=Исходн.данные.!$L$12,Исходн.данные.!O188/1.5*GS188*HC188/HH188,Исходн.данные.!O188*GS188*HC188/HH188)))</f>
        <v>#N/A</v>
      </c>
      <c r="GB188" s="39" t="e">
        <f>IF(HF188=$FY$16,0,((Исходн.данные.!Q188*N_Org+Исходн.данные.!R188*N_Sider+Исходн.данные.!S188*N_Soloma)*AO188+Расчет!BC188*VLOOKUP(Исходн.данные.!T188,Справ!$A$3:$O$57,15)*AO188+BB188*VLOOKUP(Исходн.данные.!T188,Справ!$A$3:$O$57,15)*AL188+(Исходн.данные.!V188*N_Rizotorf+Исходн.данные.!W188*N_Rizoagr))/HF188)</f>
        <v>#N/A</v>
      </c>
      <c r="GC188" s="39" t="e">
        <f>IF(HG188=$FY$16,0,((Исходн.данные.!Q188*Р_Org+Исходн.данные.!R188*P_Sider+Исходн.данные.!S188*P_Soloma)*AP188+Расчет!BC188*VLOOKUP(Исходн.данные.!T188,Справ!$A$3:$P$57,16)*AP188+BB188*VLOOKUP(Исходн.данные.!T188,Справ!$A$3:$P$57,16)*AM188)/HG188)</f>
        <v>#N/A</v>
      </c>
      <c r="GD188" s="39" t="e">
        <f>IF(HH188=$FY$16,0,((Исходн.данные.!Q188*К_Org+Исходн.данные.!R188*K_Sider+Исходн.данные.!S188*K_Soloma)*AQ188+Расчет!BC188*VLOOKUP(Исходн.данные.!T188,Справ!$A$3:$Q$57,17)*AQ188+BB188*VLOOKUP(Исходн.данные.!T188,Справ!$A$3:$Q$57,17)*AN188)/HH188)</f>
        <v>#N/A</v>
      </c>
      <c r="GE188" s="39" t="e">
        <f>IF(HF188=$FY$16,0,(Исходн.данные.!X188*AR188+Исходн.данные.!AA188*N_Org*AL188+Исходн.данные.!AB188*N_Sider*AL188+Исходн.данные.!AC188*N_Soloma*AL188)/HF188)</f>
        <v>#N/A</v>
      </c>
      <c r="GF188" s="39" t="e">
        <f>IF(HG188=$FY$16,0,(Исходн.данные.!Y188*AS188+Исходн.данные.!AA188*Р_Org*AM188+Исходн.данные.!AB188*P_Sider*AM188+Исходн.данные.!AC188*P_Soloma*AM188)/HG188)</f>
        <v>#N/A</v>
      </c>
      <c r="GG188" s="39" t="e">
        <f>IF(HH188=$FY$16,0,(Исходн.данные.!Z188*AT188+Исходн.данные.!AA188*К_Org*AN188+Исходн.данные.!AB188*K_Sider*AN188+Исходн.данные.!AC188*K_Soloma*AN188)/HH188)</f>
        <v>#N/A</v>
      </c>
      <c r="GH188" s="39" t="e">
        <f>Исходн.данные.!AD188*AU188/HF188</f>
        <v>#N/A</v>
      </c>
      <c r="GI188" s="39" t="e">
        <f>Исходн.данные.!AE188*AV188/HG188</f>
        <v>#N/A</v>
      </c>
      <c r="GJ188" s="39" t="e">
        <f>Исходн.данные.!AF188*AW188/HH188</f>
        <v>#N/A</v>
      </c>
      <c r="GK188" s="55">
        <f>Исходн.данные.!AK188</f>
        <v>0</v>
      </c>
      <c r="GL188" s="11" t="e">
        <f t="shared" si="261"/>
        <v>#N/A</v>
      </c>
      <c r="GM188" s="11" t="e">
        <f t="shared" si="262"/>
        <v>#N/A</v>
      </c>
      <c r="GN188" s="11" t="e">
        <f t="shared" si="263"/>
        <v>#N/A</v>
      </c>
      <c r="GO188" s="57">
        <f t="shared" si="264"/>
        <v>19</v>
      </c>
      <c r="GP188" s="55">
        <f>IF(OR(Исходн.данные.!F188=$CE$1,Исходн.данные.!F188=$CE$2,Исходн.данные.!F188=$CE$3,Исходн.данные.!F188=$CE$4,Исходн.данные.!F188=$CE$5),GQ188,GR188)</f>
        <v>19</v>
      </c>
      <c r="GQ188" s="55">
        <f>IF(Исходн.данные.!F188=$CE$1,28,IF(Исходн.данные.!F188=$CE$2,26,IF(Исходн.данные.!F188=$CE$3,24,IF(Исходн.данные.!F188=$CE$4,22,IF(Исходн.данные.!F188=$CE$5,20,GR188)))))</f>
        <v>19</v>
      </c>
      <c r="GR188" s="55">
        <f>IF(Исходн.данные.!F188=$CE$6,18,IF(Исходн.данные.!F188=$CE$7,16,IF(Исходн.данные.!F188=$CE$8,14,IF(Исходн.данные.!F188=$CE$9,13,IF(Исходн.данные.!F188=$CE$10,12,19)))))</f>
        <v>19</v>
      </c>
      <c r="GS188" s="55">
        <f>IF(Исходн.данные.!G188="Пес",0.035*(40+2*Исходн.данные.!H188),IF(Исходн.данные.!G188="Суп",0.0325*(40+2*Исходн.данные.!H188),0.03*(40+2*Исходн.данные.!H188)))</f>
        <v>1.2</v>
      </c>
      <c r="GT188" s="55">
        <f>IF(Исходн.данные.!H188&lt;23,2.6,IF(AND(Исходн.данные.!H188&gt;22,Исходн.данные.!H188&lt;26),3,IF(AND(Исходн.данные.!H188&gt;25,Исходн.данные.!H188&lt;29),3.4,3.6)))</f>
        <v>2.6</v>
      </c>
      <c r="GU188" s="55">
        <f>IF(Исходн.данные.!H188&lt;23,2.8,IF(AND(Исходн.данные.!H188&gt;22,Исходн.данные.!H188&lt;26),3.2,IF(AND(Исходн.данные.!H188&gt;25,Исходн.данные.!H188&lt;29),3.6,3.9)))</f>
        <v>2.8</v>
      </c>
      <c r="GV188" s="55">
        <f>IF(Исходн.данные.!H188&lt;23,3,IF(AND(Исходн.данные.!H188&gt;22,Исходн.данные.!H188&lt;26),3.5,IF(AND(Исходн.данные.!H188&gt;25,Исходн.данные.!H188&lt;29),3.9,4.2)))</f>
        <v>3</v>
      </c>
      <c r="GW188" s="55" t="e">
        <f>IF(Исходн.данные.!P188="Ум",GX188,GY188)</f>
        <v>#N/A</v>
      </c>
      <c r="GX188" s="55" t="e">
        <f>VLOOKUP(Исходн.данные.!AI188,Коэффициенты!$J$7:$L$13,2,FALSE)</f>
        <v>#N/A</v>
      </c>
      <c r="GY188" s="55" t="e">
        <f>VLOOKUP(Исходн.данные.!AI188,Коэффициенты!$J$7:$L$13,3,FALSE)</f>
        <v>#N/A</v>
      </c>
      <c r="GZ188" s="55" t="e">
        <f>(IF(Исходн.данные.!M188&lt;50,0.11*VLOOKUP(Исходн.данные.!AH188,Культуры.Информация,7,FALSE),IF(Исходн.данные.!M188&gt;250,0.05*VLOOKUP(Исходн.данные.!AH188,Культуры.Информация,7,FALSE),VLOOKUP(Исходн.данные.!AH188,Культуры.Информация,5,FALSE)/100*($GX$6+$GY$6*Исходн.данные.!M188))))*Расчет2!AI188</f>
        <v>#N/A</v>
      </c>
      <c r="HA188" s="211"/>
      <c r="HB188" s="211"/>
      <c r="HC188" s="55" t="e">
        <f>(IF(Исходн.данные.!O188&lt;80,0.2*VLOOKUP(Исходн.данные.!AH188,Культуры.Информация,8,FALSE),IF(Исходн.данные.!O188&gt;240,0.09*VLOOKUP(Исходн.данные.!AH188,Культуры.Информация,8,FALSE),VLOOKUP(Исходн.данные.!AH188,Культуры.Информация,6,FALSE)/100*($HB$6+$HC$6*Исходн.данные.!O188))))*Расчет2!AJ188</f>
        <v>#N/A</v>
      </c>
      <c r="HD188" s="55">
        <f>IF(Исходн.данные.!O188&gt;240,0.09,IF(Исходн.данные.!O188&lt;30,0.3,$HE$10+$HD$10*Исходн.данные.!O188))</f>
        <v>0.3</v>
      </c>
      <c r="HE188" s="55">
        <f>IF(Исходн.данные.!O188&gt;240,0.17,IF(Исходн.данные.!O188&lt;30,0.5,$HF$12+$HE$12*Исходн.данные.!O188))</f>
        <v>0.5</v>
      </c>
      <c r="HF188" s="55" t="e">
        <f>VLOOKUP(Исходн.данные.!AH188,Справ!$A$3:$D$58,2,FALSE)</f>
        <v>#N/A</v>
      </c>
      <c r="HG188" s="55" t="e">
        <f>VLOOKUP(Исходн.данные.!AH188,Справ!$A$3:$D$58,3,FALSE)</f>
        <v>#N/A</v>
      </c>
      <c r="HH188" s="55" t="e">
        <f>VLOOKUP(Исходн.данные.!AH188,Справ!$A$3:$D$58,4,FALSE)</f>
        <v>#N/A</v>
      </c>
      <c r="HI188" s="11" t="e">
        <f t="shared" si="265"/>
        <v>#N/A</v>
      </c>
      <c r="HJ188" s="11" t="e">
        <f t="shared" si="266"/>
        <v>#N/A</v>
      </c>
      <c r="HK188" s="11" t="e">
        <f t="shared" si="267"/>
        <v>#N/A</v>
      </c>
      <c r="HL188" s="55">
        <f>IF(OR(Исходн.данные.!G188="Глин",Исходн.данные.!G188="Т_суг"),1.1,IF(Исходн.данные.!G188="Ср_суг",1,1))</f>
        <v>1</v>
      </c>
      <c r="HM188" s="55">
        <f>IF(OR(Исходн.данные.!G188="Глин",Исходн.данные.!G188="Т_суг"),0.9,IF(Исходн.данные.!G188="Ср_суг",1,1.2))</f>
        <v>1.2</v>
      </c>
      <c r="HN188" s="11" t="e">
        <f t="shared" si="268"/>
        <v>#N/A</v>
      </c>
      <c r="HO188" s="11" t="e">
        <f t="shared" si="269"/>
        <v>#N/A</v>
      </c>
      <c r="HP188" s="11" t="e">
        <f t="shared" si="270"/>
        <v>#N/A</v>
      </c>
      <c r="HQ188" t="e">
        <f t="shared" si="271"/>
        <v>#N/A</v>
      </c>
      <c r="HR188" t="e">
        <f t="shared" si="272"/>
        <v>#N/A</v>
      </c>
      <c r="HS188" t="e">
        <f t="shared" si="273"/>
        <v>#N/A</v>
      </c>
      <c r="HT188" t="e">
        <f t="shared" si="219"/>
        <v>#N/A</v>
      </c>
      <c r="HU188" t="e">
        <f t="shared" si="220"/>
        <v>#N/A</v>
      </c>
      <c r="HV188" t="e">
        <f t="shared" si="221"/>
        <v>#N/A</v>
      </c>
      <c r="HW188" t="e">
        <f t="shared" si="222"/>
        <v>#N/A</v>
      </c>
      <c r="HX188" t="e">
        <f t="shared" si="223"/>
        <v>#N/A</v>
      </c>
      <c r="HY188" t="e">
        <f t="shared" si="224"/>
        <v>#N/A</v>
      </c>
      <c r="HZ188" s="55">
        <f>IF(OR(Исходн.данные.!AI188="Оз_Ч_П",Исходн.данные.!AI188="Оз_З_П",Исходн.данные.!AI188="Яр_зер"),12,30)</f>
        <v>30</v>
      </c>
      <c r="IA188" t="e">
        <f t="shared" si="274"/>
        <v>#N/A</v>
      </c>
      <c r="IB188" t="e">
        <f t="shared" si="275"/>
        <v>#N/A</v>
      </c>
      <c r="IC188" t="e">
        <f t="shared" si="276"/>
        <v>#N/A</v>
      </c>
      <c r="ID188" s="11" t="e">
        <f t="shared" si="277"/>
        <v>#N/A</v>
      </c>
      <c r="IE188" s="11" t="e">
        <f t="shared" si="278"/>
        <v>#N/A</v>
      </c>
      <c r="IF188" s="11" t="e">
        <f t="shared" si="279"/>
        <v>#N/A</v>
      </c>
    </row>
    <row r="189" spans="35:240" x14ac:dyDescent="0.2">
      <c r="AI189">
        <f>IF(Исходн.данные.!I189&gt;6,1,1.85-(0.148*Исходн.данные.!I189))</f>
        <v>1.85</v>
      </c>
      <c r="AJ189">
        <f>IF(Исходн.данные.!I189&gt;6,1,2.434-(0.246*Исходн.данные.!I189))</f>
        <v>2.4340000000000002</v>
      </c>
      <c r="AL189" s="148" t="b">
        <f>IF(Исходн.данные.!$P189="Ум",N_OrgUd_2g_um,IF(Исходн.данные.!$P189="Об",N_OrgUd_2g_ob))</f>
        <v>0</v>
      </c>
      <c r="AM189" s="148" t="b">
        <f>IF(Исходн.данные.!$P189="Ум",P_OrgUd_2g_um,IF(Исходн.данные.!$P189="Об",P_OrgUd_2g_ob))</f>
        <v>0</v>
      </c>
      <c r="AN189" s="148" t="b">
        <f>IF(Исходн.данные.!$P189="Ум",K_OrgUd_2g_um,IF(Исходн.данные.!$P189="Об",K_OrgUd_2g_ob))</f>
        <v>0</v>
      </c>
      <c r="AO189" s="148" t="b">
        <f>IF(Исходн.данные.!$P189="Ум",N_OrgUd_1g_um,IF(Исходн.данные.!$P189="Об",N_OrgUd_1g_ob))</f>
        <v>0</v>
      </c>
      <c r="AP189" s="148" t="b">
        <f>IF(Исходн.данные.!$P189="Ум",P_OrgUd_1g_um,IF(Исходн.данные.!$P189="Об",P_OrgUd_1g_ob))</f>
        <v>0</v>
      </c>
      <c r="AQ189" s="148" t="b">
        <f>IF(Исходн.данные.!$P189="Ум",K_OrgUd_1g_um,IF(Исходн.данные.!$P189="Об",K_OrgUd_1g_ob))</f>
        <v>0</v>
      </c>
      <c r="AR189" t="b">
        <f>IF(Исходн.данные.!$P189="Ум",N_MinUd_2g_um,IF(Исходн.данные.!$P189="Об",N_MinUd_2g_ob))</f>
        <v>0</v>
      </c>
      <c r="AS189" t="b">
        <f>IF(Исходн.данные.!$P189="Ум",P_MinUd_2g_um,IF(Исходн.данные.!$P189="Об",P_MinUd_2g_ob))</f>
        <v>0</v>
      </c>
      <c r="AT189" t="b">
        <f>IF(Исходн.данные.!$P189="Ум",K_MinUd_2g_um,IF(Исходн.данные.!$P189="Об",K_MinUd_2g_ob))</f>
        <v>0</v>
      </c>
      <c r="AU189" t="b">
        <f>IF(Исходн.данные.!$P189="Ум",N_MinUd_1g_um,IF(Исходн.данные.!$P189="Об",N_MinUd_1g_ob))</f>
        <v>0</v>
      </c>
      <c r="AV189" t="b">
        <f>IF(Исходн.данные.!P189="Ум",P_MinUd_1g_um,IF(Исходн.данные.!P189="Об",P_MinUd_1g_ob))</f>
        <v>0</v>
      </c>
      <c r="AW189" t="b">
        <f>IF(Исходн.данные.!P189="Ум",K_MinUd_1g_um,IF(Исходн.данные.!P189="Об",K_MinUd_1g_ob))</f>
        <v>0</v>
      </c>
      <c r="AY189" t="e">
        <f>VLOOKUP(Исходн.данные.!T189,Справ!$A$3:$N$57,12)</f>
        <v>#N/A</v>
      </c>
      <c r="AZ189" t="e">
        <f>VLOOKUP(Исходн.данные.!T189,Справ!$A$3:$N$57,13)</f>
        <v>#N/A</v>
      </c>
      <c r="BA189" t="e">
        <f>VLOOKUP(Исходн.данные.!T189,Справ!$A$3:$N$57,14)</f>
        <v>#N/A</v>
      </c>
      <c r="BB189">
        <f>IF(Исходн.данные.!AH189=0,0,25)</f>
        <v>0</v>
      </c>
      <c r="BC189" s="141">
        <f>IF(Исходн.данные.!AH189=0,0,IF(Исходн.данные.!T189=0,25,BD189))</f>
        <v>0</v>
      </c>
      <c r="BD189" s="168" t="e">
        <f>AY189+AZ189*Исходн.данные.!U189-POWER(BA189,2)*Исходн.данные.!U189</f>
        <v>#N/A</v>
      </c>
      <c r="BE18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89" s="25">
        <f>IF(Исходн.данные.!AH189=0,0,MIN(HN189:HP189))</f>
        <v>0</v>
      </c>
      <c r="BG189" s="9">
        <f>IF(Исходн.данные.!AH189=0,0,IF((HO189+10*0.25/HG189/HL189)&lt;17,17,HO189+10*0.25/HG189/HL189))</f>
        <v>0</v>
      </c>
      <c r="BH189" s="181">
        <f>IF(Исходн.данные.!AH189=0,0,HW189*HF189*HL189/AU189*AI189+Исходн.данные.!S189*10)</f>
        <v>0</v>
      </c>
      <c r="BI189" s="10"/>
      <c r="BJ189" s="182">
        <f>IF(Исходн.данные.!AH189=0,0,IF(HX189*HG189*HL189/AV189&lt;0,0,HX189*HG189*HL189/AV189*AJ189))</f>
        <v>0</v>
      </c>
      <c r="BK189" s="182">
        <f>IF(Исходн.данные.!AH189=0,0,HY189*HH189*HM189/AW189)</f>
        <v>0</v>
      </c>
      <c r="BL189" s="10">
        <f>IF(OR(Исходн.данные.!$AH189=$BP$1,Исходн.данные.!$AH189=$BP$2),0,IF(BH189&lt;0,0,IF(OR(Исходн.данные.!T189=Расчет!$BP$1,Исходн.данные.!T189=Расчет!$BP$2,Исходн.данные.!T189=Расчет!$BT$5,Исходн.данные.!T189=Расчет!$BT$6),BH189*0.5,IF(OR(Исходн.данные.!T189=Расчет!$BS$9,Исходн.данные.!T189=Расчет!$BS$10,Исходн.данные.!T189=Расчет!$BS$11,Исходн.данные.!T189=Расчет!$BS$12,Исходн.данные.!T189=Расчет!$BP$5),BH189*0.8,BH189))))</f>
        <v>0</v>
      </c>
      <c r="BM189" s="10">
        <f>IF(OR(Исходн.данные.!$AH189=$BP$1,Исходн.данные.!$AH189=$BP$2),0,IF(BJ189&lt;0,0,IF(Исходн.данные.!I189&lt;4.5,BJ189*1.2,IF(Исходн.данные.!I189&gt;5.1,BJ189,BJ189*((5.1-Исходн.данные.!I189)*0.333+1)))))</f>
        <v>0</v>
      </c>
      <c r="BN189" s="10">
        <f>IF(OR(Исходн.данные.!$AH189=$BP$1,Исходн.данные.!$AH189=$BP$2),60-Исходн.данные.!AF189,IF(BK189&lt;0,0,IF(Исходн.данные.!I189&lt;4.5,BK189*1.2,IF(Исходн.данные.!I189&gt;5.1,BK189,BK189*((5.1-Исходн.данные.!I189)*0.333+1)))))</f>
        <v>0</v>
      </c>
      <c r="BO189" s="9">
        <f>IF(BL189&lt;0,0,BL189*Исходн.данные.!$AJ189/1000)</f>
        <v>0</v>
      </c>
      <c r="BP189" s="9">
        <f>IF(BM189&lt;0,0,BM189*Исходн.данные.!$AJ189/1000)</f>
        <v>0</v>
      </c>
      <c r="BQ189" s="9">
        <f>IF(BN189&lt;0,0,BN189*Исходн.данные.!$AJ189/1000)</f>
        <v>0</v>
      </c>
      <c r="BR189" s="9">
        <f t="shared" si="229"/>
        <v>0</v>
      </c>
      <c r="BS189" s="10" t="str">
        <f t="shared" si="230"/>
        <v>Аммофос 12:52:00</v>
      </c>
      <c r="BT189" s="10" t="str">
        <f t="shared" si="231"/>
        <v>Аммофос 12:52:00</v>
      </c>
      <c r="BU189" s="10" t="str">
        <f t="shared" si="232"/>
        <v>Диаммофоска</v>
      </c>
      <c r="BV189" s="10">
        <f t="shared" si="233"/>
        <v>0</v>
      </c>
      <c r="BW189" s="10"/>
      <c r="BX189" s="10"/>
      <c r="BY189" s="9">
        <f>IF(BL189&lt;0,0,IF(OR(Исходн.данные.!AI189=Расчет!$BU$6,Исходн.данные.!AI189=Расчет!$BU$7),Расчет!BV189,IF(Исходн.данные.!$AG189=$BV$11,BL189,IF(OR(Исходн.данные.!$AH189=$BQ$7,Исходн.данные.!$AH189=$BQ$8),CB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0,IF(Исходн.данные.!$AI189=$BU$11,"Нет",IF(BL189&gt;30,30,BL189)))))))</f>
        <v>0</v>
      </c>
      <c r="BZ189" s="9">
        <f>IF(AND(Исходн.данные.!$AG189=$BV$11,BM189&lt;10),10,IF(Исходн.данные.!$AG189=$BV$11,BM189,IF(OR(Исходн.данные.!$AH189=$BQ$7,Исходн.данные.!$AH189=$BQ$8),CC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10,IF(Исходн.данные.!$AI189=$BU$11,"Нет",IF(BM189&gt;60,60,IF(BM189&lt;10,10,BM189)))))))</f>
        <v>10</v>
      </c>
      <c r="CA189" s="39">
        <f>IF(BN189&lt;0,0,IF(Исходн.данные.!$AG189=$BV$11,BN189,IF(OR(Исходн.данные.!$AH189=$BQ$7,Исходн.данные.!$AH189=$BQ$8),CD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0,IF(Исходн.данные.!$AI189=$BU$11,"Нет",IF(BN189&gt;30,30,BN189))))))</f>
        <v>0</v>
      </c>
      <c r="CB189" s="9">
        <f t="shared" si="234"/>
        <v>0</v>
      </c>
      <c r="CC189" s="9">
        <f t="shared" si="235"/>
        <v>0</v>
      </c>
      <c r="CD189" s="9">
        <f t="shared" si="236"/>
        <v>0</v>
      </c>
      <c r="CE189" s="12">
        <f t="shared" si="237"/>
        <v>10</v>
      </c>
      <c r="CF189" s="9">
        <f t="shared" si="238"/>
        <v>0</v>
      </c>
      <c r="CG189" s="9" t="s">
        <v>231</v>
      </c>
      <c r="CH189" s="132" t="str">
        <f>IF(Исходн.данные.!AP189=Расчет!$CI$16,"Нет",IF(Исходн.данные.!AL189&gt;0,Исходн.данные.!AL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BH$4,IF(OR(Исходн.данные.!AI189=Исходн.данные.!$AI$6,Исходн.данные.!AI189=Исходн.данные.!$AI$7),Расчет!BS189,IF(AND($CF189=0,$CE189&gt;0),EV189,ER189)))))</f>
        <v>Аммофос 12:52:00</v>
      </c>
      <c r="CI189" s="274">
        <f>IF(Расчет!$CH189="Нет","Нет",IF(Исходн.данные.!$AL189&gt;0,VLOOKUP(Расчет!$CH189,АшламаДВ_Irekle,2,FALSE),VLOOKUP(Расчет!$CH189,АшламаДВ_Gomumy,2,FALSE)))</f>
        <v>0.12</v>
      </c>
      <c r="CJ189" s="274">
        <f>IF(Расчет!$CH189="Нет","Нет",IF(Исходн.данные.!$AL189&gt;0,VLOOKUP(Расчет!$CH189,АшламаДВ_Irekle,3,FALSE),VLOOKUP(Расчет!$CH189,АшламаДВ_Gomumy,3,FALSE)))</f>
        <v>0.52</v>
      </c>
      <c r="CK189" s="274">
        <f>IF(Расчет!$CH189="Нет","Нет",IF(Исходн.данные.!$AL189&gt;0,VLOOKUP(Расчет!$CH189,АшламаДВ_Irekle,4,FALSE),VLOOKUP(Расчет!$CH189,АшламаДВ_Gomumy,4,FALSE)))</f>
        <v>0</v>
      </c>
      <c r="CL189" s="70"/>
      <c r="CM189" s="70"/>
      <c r="CN189" s="70"/>
      <c r="CO189" s="70"/>
      <c r="CP189" s="70"/>
      <c r="CQ189" s="70"/>
      <c r="CR189" s="10">
        <f t="shared" si="239"/>
        <v>0</v>
      </c>
      <c r="CS189" s="10">
        <f t="shared" si="240"/>
        <v>19.23076923076923</v>
      </c>
      <c r="CT189" s="10">
        <f t="shared" si="241"/>
        <v>0</v>
      </c>
      <c r="CU189" s="39">
        <f>IF($CH189="Нет",0,IF(CI189=0,30/MIN(CJ189:CK189),IF(Исходн.данные.!$AG189=$BV$11,CR189,IF(OR(Исходн.данные.!$AH189=$BQ$7,Исходн.данные.!$AH189=$BQ$8),90/CI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0,IF(Исходн.данные.!$AI189=$BU$11,"Нет",30/CI189))))))</f>
        <v>250</v>
      </c>
      <c r="CV189" s="39">
        <f>IF($CH189="Нет",0,IF(Исходн.данные.!AH189=0,0,IF(CJ189=0,60/MIN(CI189,CK189),IF(Исходн.данные.!$AG189=$BV$11,CS189,IF(OR(Исходн.данные.!$AH189=$BQ$7,Исходн.данные.!$AH189=$BQ$8),90/CJ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10/CJ189,IF(Исходн.данные.!$AI189=$BU$11,"Нет",60/CJ189)))))))</f>
        <v>0</v>
      </c>
      <c r="CW189" s="39">
        <f>IF($CH189="Нет",0,IF(Исходн.данные.!AH189=0,0,IF(CK189=0,30/MIN(CI189:CJ189),IF(Исходн.данные.!$AG189=$BV$11,CT189,IF(OR(Исходн.данные.!$AH189=$BQ$7,Исходн.данные.!$AH189=$BQ$8),90/CK189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0,IF(Исходн.данные.!$AI189=$BU$11,"Нет",30/CK189)))))))</f>
        <v>0</v>
      </c>
      <c r="CX189" s="133">
        <f>IF(Исходн.данные.!$AG189=$BV$11,MAX(CU189:CW189),IF(OR(Исходн.данные.!$AH189=$BS$8,Исходн.данные.!$AH189=$BQ$9,Исходн.данные.!$AH189=$BQ$10,Исходн.данные.!$AH189=$BQ$11,Исходн.данные.!$AH189=$BQ$12,Исходн.данные.!$AH189=$BP$3,Исходн.данные.!$AH189=$BT$8,$FM189="Да"),CV189,MIN(CU189:CW189)))</f>
        <v>0</v>
      </c>
      <c r="CY189" s="133">
        <f>IF(Исходн.данные.!AH189=0,0,IF(CR189&gt;$CX189,$CX189,CR189))</f>
        <v>0</v>
      </c>
      <c r="CZ189" s="133">
        <f>IF(Исходн.данные.!AH189=0,0,IF(CS189&gt;$CX189,$CX189,CS189))</f>
        <v>0</v>
      </c>
      <c r="DA189" s="133">
        <f>IF(Исходн.данные.!AH189=0,0,IF(CT189&gt;$CX189,$CX189,CT189))</f>
        <v>0</v>
      </c>
      <c r="DB189" s="10">
        <f t="shared" si="242"/>
        <v>0</v>
      </c>
      <c r="DC189" s="39">
        <f>DB189*Исходн.данные.!AJ189/1000</f>
        <v>0</v>
      </c>
      <c r="DD189" s="71">
        <f t="shared" si="243"/>
        <v>0</v>
      </c>
      <c r="DE189" s="9">
        <f t="shared" si="244"/>
        <v>0</v>
      </c>
      <c r="DF189" s="9">
        <f t="shared" si="245"/>
        <v>0</v>
      </c>
      <c r="DG189" s="39">
        <f>IF(BL189&lt;0,0,IF($CH189="Нет",BL189,IF(OR(Исходн.данные.!$AH189=$BP$1,Исходн.данные.!$AH189=$BP$2),0,IF(Исходн.данные.!AI189=$BU$11,BL189,IF(BL189-DD189&lt;0,0,BL189-DD189)))))</f>
        <v>0</v>
      </c>
      <c r="DH189" s="39">
        <f>IF(BM189&lt;0,0,IF($CH189="Нет",BM189,IF(OR(Исходн.данные.!$AH189=$BP$1,Исходн.данные.!$AH189=$BP$2),0,IF(Исходн.данные.!AJ189=$BU$11,BM189,IF(BM189-DE189&lt;0,0,BM189-DE189)))))</f>
        <v>0</v>
      </c>
      <c r="DI189" s="39">
        <f>IF(BN189&lt;0,0,IF($CH189="Нет",BN189,IF(OR(Исходн.данные.!$AH189=$BP$1,Исходн.данные.!$AH189=$BP$2),0,IF(Исходн.данные.!AK189=$BU$11,BN189,IF(BN189-DF189&lt;0,0,BN189-DF189)))))</f>
        <v>0</v>
      </c>
      <c r="DJ189" s="12">
        <f t="shared" si="246"/>
        <v>0</v>
      </c>
      <c r="DK189" s="9">
        <f t="shared" si="247"/>
        <v>0</v>
      </c>
      <c r="DL189" s="39">
        <f>IF(Исходн.данные.!AM189&gt;0,Исходн.данные.!AM189,IF(EG189&gt;0,$BH$10,0))</f>
        <v>0</v>
      </c>
      <c r="DM189" s="186">
        <f>IF($DL189=0,0,IF(Исходн.данные.!AM189&gt;0,VLOOKUP($DL189,АшламаДВ_Irekle,2,FALSE),VLOOKUP($DL189,АшламаДВ_Gomumy,2,FALSE)))</f>
        <v>0</v>
      </c>
      <c r="DN189" s="10">
        <f t="shared" si="225"/>
        <v>0</v>
      </c>
      <c r="DO189" s="9" t="str">
        <f>IF(Исходн.данные.!AN189&gt;0,Исходн.данные.!AN189,Удобрения!$B$37 )</f>
        <v>Хлор.калий</v>
      </c>
      <c r="DP189" s="9">
        <f>IF(Исходн.данные.!AN189&gt;0,VLOOKUP(Исходн.данные.!AN189,АшламаДВ_Irekle,4,FALSE),VLOOKUP(DO189,АшламаДВ_Gomumy,4,FALSE))</f>
        <v>0.6</v>
      </c>
      <c r="DQ189" s="10">
        <f t="shared" si="226"/>
        <v>0</v>
      </c>
      <c r="DR189" s="132" t="str">
        <f>IF(Исходн.данные.!AO189&gt;0,Исходн.данные.!AO189,IF(DH189=0,BS$17,IF(AND($DK189=0,$DJ189&gt;0),EJ189,EN189)))</f>
        <v>Нет</v>
      </c>
      <c r="DS189" s="70" t="str">
        <f>IF($DR189="Нет","Нет",IF(Исходн.данные.!$AO189&gt;0,VLOOKUP($DR189,АшламаДВ_Irekle,2,FALSE),VLOOKUP($DR189,АшламаДВ_Gomumy,2,FALSE)))</f>
        <v>Нет</v>
      </c>
      <c r="DT189" s="70" t="str">
        <f>IF($DR189="Нет","Нет",IF(Исходн.данные.!$AO189&gt;0,VLOOKUP($DR189,АшламаДВ_Irekle,3,FALSE),VLOOKUP($DR189,АшламаДВ_Gomumy,3,FALSE)))</f>
        <v>Нет</v>
      </c>
      <c r="DU189" s="70" t="str">
        <f>IF($DR189="Нет","Нет",IF(Исходн.данные.!$AO189&gt;0,VLOOKUP($DR189,АшламаДВ_Irekle,4,FALSE),VLOOKUP($DR189,АшламаДВ_Gomumy,4,FALSE)))</f>
        <v>Нет</v>
      </c>
      <c r="DV189" s="70"/>
      <c r="DW189" s="70"/>
      <c r="DX189" s="70"/>
      <c r="DY189" s="10">
        <f t="shared" si="248"/>
        <v>0</v>
      </c>
      <c r="DZ189" s="10">
        <f t="shared" si="249"/>
        <v>0</v>
      </c>
      <c r="EA189" s="10">
        <f t="shared" si="250"/>
        <v>0</v>
      </c>
      <c r="EB189" s="10">
        <f t="shared" si="251"/>
        <v>0</v>
      </c>
      <c r="EC189" s="10">
        <f t="shared" si="252"/>
        <v>0</v>
      </c>
      <c r="ED189" s="10">
        <f t="shared" si="253"/>
        <v>0</v>
      </c>
      <c r="EE189" s="10">
        <f t="shared" si="254"/>
        <v>0</v>
      </c>
      <c r="EF189" s="39">
        <f>EB189*Исходн.данные.!AJ189/1000</f>
        <v>0</v>
      </c>
      <c r="EG189" s="9">
        <f t="shared" si="255"/>
        <v>0</v>
      </c>
      <c r="EH189" s="9">
        <f t="shared" si="256"/>
        <v>0</v>
      </c>
      <c r="EI189" s="39" t="e">
        <f t="shared" si="206"/>
        <v>#DIV/0!</v>
      </c>
      <c r="EJ189" s="9" t="str">
        <f t="shared" si="227"/>
        <v>Азопреципитат</v>
      </c>
      <c r="EK189" s="12">
        <f t="shared" si="207"/>
        <v>0.26</v>
      </c>
      <c r="EL189" s="12">
        <f t="shared" si="208"/>
        <v>0.13</v>
      </c>
      <c r="EM189" s="12">
        <f t="shared" si="209"/>
        <v>0</v>
      </c>
      <c r="EN189" s="12" t="str">
        <f t="shared" si="228"/>
        <v>Нет</v>
      </c>
      <c r="EO189" s="12">
        <f t="shared" si="210"/>
        <v>0</v>
      </c>
      <c r="EP189" s="12">
        <f t="shared" si="211"/>
        <v>0</v>
      </c>
      <c r="EQ189" s="12">
        <f t="shared" si="212"/>
        <v>0</v>
      </c>
      <c r="ER189" s="12" t="str">
        <f t="shared" si="257"/>
        <v>Диаммофоска</v>
      </c>
      <c r="ES189" s="12">
        <f t="shared" si="213"/>
        <v>0.1</v>
      </c>
      <c r="ET189" s="12">
        <f t="shared" si="214"/>
        <v>0.26</v>
      </c>
      <c r="EU189" s="12">
        <f t="shared" si="215"/>
        <v>0.26</v>
      </c>
      <c r="EV189" s="12" t="str">
        <f t="shared" si="258"/>
        <v>Аммофос 12:52:00</v>
      </c>
      <c r="EW189" s="12" t="str">
        <f t="shared" si="259"/>
        <v>Кемира Свекловичное-6</v>
      </c>
      <c r="EX189" s="12">
        <f t="shared" si="216"/>
        <v>0.16</v>
      </c>
      <c r="EY189" s="12">
        <f t="shared" si="217"/>
        <v>0.12</v>
      </c>
      <c r="EZ189" s="12">
        <f t="shared" si="218"/>
        <v>0.17</v>
      </c>
      <c r="FA189" s="38" t="e">
        <f>IF(AND(OR(FJ189=$FD$1,FM189=$FD$1,FO189=$FD$1,FQ189=$FD$1,FS189=$FD$1),FD189=$FD$1,Исходн.данные.!J189&lt;2,FU189=$FD$1),"Бор,Кобальт",IF(AND(FO189=$FD$1,FH189=$FD$1,Исходн.данные.!J189&lt;2,FU189=$FD$1),"Бор,Кобальт",IF(AND(OR(FJ189=$FD$1,FM189=$FD$1,FQ189=$FD$1),FE189=$FD$1,Исходн.данные.!J189&lt;2,FT189=$FD$1,FU189=$FD$1),"Бор,Медь,Цинк",IF(AND(OR(FJ189=$FD$1,FR189="Да"),FI189="Да",Исходн.данные.!J189&lt;2,FT189="Да",FU189="Да"),"Бор,Цинк,Медь",IF(AND(OR(FM189="Да",FQ189="Да"),FI189="Да",Исходн.данные.!J189&lt;2,FT189="Да",FU189="Да"),"Бор,Цинк",IF(AND(FN189="Да",OR(FD189="Да",FE189="Да")),"Бор",FB189))))))</f>
        <v>#N/A</v>
      </c>
      <c r="FB189" s="134" t="e">
        <f>IF(AND(OR(FD189="Да",FE189="Да",FF189="Да",FG189="Да",FH189="Да"),FO189="Да"),"Бор",IF(AND(FP189="Да",OR(FD189="Да",FE189="Да",FI189="Да")),"Бор",IF(AND(FS189="Да",FE189="Да"),"Бор,Медь",IF(AND(OR(FJ189="Да",FK189="Да",FL189="Да"),FE189="Да",Исходн.данные.!I189&lt;5,FT189="Да",FU189="Да"),"Молибден,Цинк",IF(AND(FM189="Да",OR(FE189="Да",FF189="Да",FG189="Да",FH189="Да",FI189="Да")),"Молибден,Цинк",IF(AND(OR(FJ189="Да",FK189="Да",FL189="Да",FM189="Да",FQ189="Да"),OR(FE189="Да",FF189="Да"),FT189="Да",FU189="Да",Исходн.данные.!I189&gt;5.5),"Медь,Цинк",FC189))))))</f>
        <v>#N/A</v>
      </c>
      <c r="FC189" s="23" t="e">
        <f t="shared" si="260"/>
        <v>#N/A</v>
      </c>
      <c r="FD189" s="38" t="str">
        <f>IF(OR(Исходн.данные.!F189=$CC$1,Исходн.данные.!F189=$CC$2,Исходн.данные.!F189=$CC$3,Исходн.данные.!F189=$CC$4),"Да","Нет")</f>
        <v>Нет</v>
      </c>
      <c r="FE189" s="38" t="str">
        <f>IF(Исходн.данные.!F189=$CC$5,"Да","Нет")</f>
        <v>Нет</v>
      </c>
      <c r="FF189" s="38" t="str">
        <f>IF(OR(Исходн.данные.!F189=$CC$6,Исходн.данные.!F189=$CC$7),"Да","Нет")</f>
        <v>Нет</v>
      </c>
      <c r="FG189" s="38" t="str">
        <f>IF(OR(Исходн.данные.!F189=$CC$8,Исходн.данные.!F189=$CC$9),"Да","Нет")</f>
        <v>Нет</v>
      </c>
      <c r="FH189" s="38" t="str">
        <f>IF(Исходн.данные.!F189=$CC$10,"Да","Нет")</f>
        <v>Нет</v>
      </c>
      <c r="FI189" s="38" t="str">
        <f>IF(OR(Исходн.данные.!F189=$CC$11,Исходн.данные.!F189=$CC$12),"Да","Нет")</f>
        <v>Нет</v>
      </c>
      <c r="FJ189" s="38" t="str">
        <f>IF(OR(Исходн.данные.!AH189=$BS$1,Исходн.данные.!AH189=$BQ$11,Исходн.данные.!AH189=$BQ$12),"Да","Нет")</f>
        <v>Нет</v>
      </c>
      <c r="FK189" s="38" t="str">
        <f>IF(OR(Исходн.данные.!AH189=$BS$2,Исходн.данные.!AH189=$BS$4),"Да","Нет")</f>
        <v>Нет</v>
      </c>
      <c r="FL189" s="38" t="str">
        <f>IF(OR(Исходн.данные.!AH189=$BS$3,Исходн.данные.!AH189=$BS$5),"Да","Нет")</f>
        <v>Нет</v>
      </c>
      <c r="FM189" s="38" t="str">
        <f>IF(OR(Исходн.данные.!AH189=$BS$9,Исходн.данные.!AH189=$BS$10,Исходн.данные.!AH189=$BS$11,Исходн.данные.!AH189=$BS$12),"Да","Нет")</f>
        <v>Нет</v>
      </c>
      <c r="FN189" s="38" t="str">
        <f>IF(OR(Исходн.данные.!AH189=$BS$6,Исходн.данные.!AH189=$BP$3),"Да","Нет")</f>
        <v>Нет</v>
      </c>
      <c r="FO189" s="38" t="str">
        <f>IF(Исходн.данные.!AH189=$BQ$9,"Да","Нет")</f>
        <v>Нет</v>
      </c>
      <c r="FP189" s="38" t="str">
        <f>IF(OR(Исходн.данные.!AH189=$BS$8,Исходн.данные.!AH189=$BT$8),"Да","Нет")</f>
        <v>Нет</v>
      </c>
      <c r="FQ189" s="38" t="str">
        <f>IF(OR(Исходн.данные.!AH189=$BQ$7,Исходн.данные.!AH189=$BQ$8),"Да","Нет")</f>
        <v>Нет</v>
      </c>
      <c r="FR189" s="38" t="str">
        <f>IF(Исходн.данные.!AI189=$BU$9,"Да","Нет")</f>
        <v>Нет</v>
      </c>
      <c r="FS189" s="38" t="str">
        <f>IF(OR(Исходн.данные.!AH189=$BP$1,Исходн.данные.!AH189=$BP$2),"Да","Нет")</f>
        <v>Нет</v>
      </c>
      <c r="FT189" s="38" t="e">
        <f>IF((Исходн.данные.!K189*GO189*GS189*GW189+BL189*0.6+Исходн.данные.!Q189*4.5*0.275)&gt;90,"Да","Нет")</f>
        <v>#N/A</v>
      </c>
      <c r="FU189" s="38" t="e">
        <f>IF((Исходн.данные.!M189*GS189*GZ189+BM189*0.225)&gt;35,"Да","Нет")</f>
        <v>#N/A</v>
      </c>
      <c r="FV189" s="38" t="str">
        <f>IF(Исходн.данные.!O189&gt;175,"Да","Нет")</f>
        <v>Нет</v>
      </c>
      <c r="FW189" s="39" t="str">
        <f>IF(Исходн.данные.!I189&gt;5.5,"Да","Нет")</f>
        <v>Нет</v>
      </c>
      <c r="FX189" s="39" t="str">
        <f>IF(Исходн.данные.!J189&lt;2,"Да","Нет")</f>
        <v>Да</v>
      </c>
      <c r="FY189" s="39" t="e">
        <f>IF(HF189=$FY$16,0,Исходн.данные.!K189*GO189*GS189*GW189/HF189)</f>
        <v>#N/A</v>
      </c>
      <c r="FZ189" s="39" t="e">
        <f>Исходн.данные.!M189*GS189*GZ189/HG189</f>
        <v>#N/A</v>
      </c>
      <c r="GA189" s="39" t="e">
        <f>IF(K_Wyn=$FY$16,0,IF(Исходн.данные.!N189=Исходн.данные.!$L$10,Исходн.данные.!O189/1.1*GS189*HC189/HH189,IF(Исходн.данные.!N189=Исходн.данные.!$L$12,Исходн.данные.!O189/1.5*GS189*HC189/HH189,Исходн.данные.!O189*GS189*HC189/HH189)))</f>
        <v>#N/A</v>
      </c>
      <c r="GB189" s="39" t="e">
        <f>IF(HF189=$FY$16,0,((Исходн.данные.!Q189*N_Org+Исходн.данные.!R189*N_Sider+Исходн.данные.!S189*N_Soloma)*AO189+Расчет!BC189*VLOOKUP(Исходн.данные.!T189,Справ!$A$3:$O$57,15)*AO189+BB189*VLOOKUP(Исходн.данные.!T189,Справ!$A$3:$O$57,15)*AL189+(Исходн.данные.!V189*N_Rizotorf+Исходн.данные.!W189*N_Rizoagr))/HF189)</f>
        <v>#N/A</v>
      </c>
      <c r="GC189" s="39" t="e">
        <f>IF(HG189=$FY$16,0,((Исходн.данные.!Q189*Р_Org+Исходн.данные.!R189*P_Sider+Исходн.данные.!S189*P_Soloma)*AP189+Расчет!BC189*VLOOKUP(Исходн.данные.!T189,Справ!$A$3:$P$57,16)*AP189+BB189*VLOOKUP(Исходн.данные.!T189,Справ!$A$3:$P$57,16)*AM189)/HG189)</f>
        <v>#N/A</v>
      </c>
      <c r="GD189" s="39" t="e">
        <f>IF(HH189=$FY$16,0,((Исходн.данные.!Q189*К_Org+Исходн.данные.!R189*K_Sider+Исходн.данные.!S189*K_Soloma)*AQ189+Расчет!BC189*VLOOKUP(Исходн.данные.!T189,Справ!$A$3:$Q$57,17)*AQ189+BB189*VLOOKUP(Исходн.данные.!T189,Справ!$A$3:$Q$57,17)*AN189)/HH189)</f>
        <v>#N/A</v>
      </c>
      <c r="GE189" s="39" t="e">
        <f>IF(HF189=$FY$16,0,(Исходн.данные.!X189*AR189+Исходн.данные.!AA189*N_Org*AL189+Исходн.данные.!AB189*N_Sider*AL189+Исходн.данные.!AC189*N_Soloma*AL189)/HF189)</f>
        <v>#N/A</v>
      </c>
      <c r="GF189" s="39" t="e">
        <f>IF(HG189=$FY$16,0,(Исходн.данные.!Y189*AS189+Исходн.данные.!AA189*Р_Org*AM189+Исходн.данные.!AB189*P_Sider*AM189+Исходн.данные.!AC189*P_Soloma*AM189)/HG189)</f>
        <v>#N/A</v>
      </c>
      <c r="GG189" s="39" t="e">
        <f>IF(HH189=$FY$16,0,(Исходн.данные.!Z189*AT189+Исходн.данные.!AA189*К_Org*AN189+Исходн.данные.!AB189*K_Sider*AN189+Исходн.данные.!AC189*K_Soloma*AN189)/HH189)</f>
        <v>#N/A</v>
      </c>
      <c r="GH189" s="39" t="e">
        <f>Исходн.данные.!AD189*AU189/HF189</f>
        <v>#N/A</v>
      </c>
      <c r="GI189" s="39" t="e">
        <f>Исходн.данные.!AE189*AV189/HG189</f>
        <v>#N/A</v>
      </c>
      <c r="GJ189" s="39" t="e">
        <f>Исходн.данные.!AF189*AW189/HH189</f>
        <v>#N/A</v>
      </c>
      <c r="GK189" s="55">
        <f>Исходн.данные.!AK189</f>
        <v>0</v>
      </c>
      <c r="GL189" s="11" t="e">
        <f t="shared" si="261"/>
        <v>#N/A</v>
      </c>
      <c r="GM189" s="11" t="e">
        <f t="shared" si="262"/>
        <v>#N/A</v>
      </c>
      <c r="GN189" s="11" t="e">
        <f t="shared" si="263"/>
        <v>#N/A</v>
      </c>
      <c r="GO189" s="57">
        <f t="shared" si="264"/>
        <v>19</v>
      </c>
      <c r="GP189" s="55">
        <f>IF(OR(Исходн.данные.!F189=$CE$1,Исходн.данные.!F189=$CE$2,Исходн.данные.!F189=$CE$3,Исходн.данные.!F189=$CE$4,Исходн.данные.!F189=$CE$5),GQ189,GR189)</f>
        <v>19</v>
      </c>
      <c r="GQ189" s="55">
        <f>IF(Исходн.данные.!F189=$CE$1,28,IF(Исходн.данные.!F189=$CE$2,26,IF(Исходн.данные.!F189=$CE$3,24,IF(Исходн.данные.!F189=$CE$4,22,IF(Исходн.данные.!F189=$CE$5,20,GR189)))))</f>
        <v>19</v>
      </c>
      <c r="GR189" s="55">
        <f>IF(Исходн.данные.!F189=$CE$6,18,IF(Исходн.данные.!F189=$CE$7,16,IF(Исходн.данные.!F189=$CE$8,14,IF(Исходн.данные.!F189=$CE$9,13,IF(Исходн.данные.!F189=$CE$10,12,19)))))</f>
        <v>19</v>
      </c>
      <c r="GS189" s="55">
        <f>IF(Исходн.данные.!G189="Пес",0.035*(40+2*Исходн.данные.!H189),IF(Исходн.данные.!G189="Суп",0.0325*(40+2*Исходн.данные.!H189),0.03*(40+2*Исходн.данные.!H189)))</f>
        <v>1.2</v>
      </c>
      <c r="GT189" s="55">
        <f>IF(Исходн.данные.!H189&lt;23,2.6,IF(AND(Исходн.данные.!H189&gt;22,Исходн.данные.!H189&lt;26),3,IF(AND(Исходн.данные.!H189&gt;25,Исходн.данные.!H189&lt;29),3.4,3.6)))</f>
        <v>2.6</v>
      </c>
      <c r="GU189" s="55">
        <f>IF(Исходн.данные.!H189&lt;23,2.8,IF(AND(Исходн.данные.!H189&gt;22,Исходн.данные.!H189&lt;26),3.2,IF(AND(Исходн.данные.!H189&gt;25,Исходн.данные.!H189&lt;29),3.6,3.9)))</f>
        <v>2.8</v>
      </c>
      <c r="GV189" s="55">
        <f>IF(Исходн.данные.!H189&lt;23,3,IF(AND(Исходн.данные.!H189&gt;22,Исходн.данные.!H189&lt;26),3.5,IF(AND(Исходн.данные.!H189&gt;25,Исходн.данные.!H189&lt;29),3.9,4.2)))</f>
        <v>3</v>
      </c>
      <c r="GW189" s="55" t="e">
        <f>IF(Исходн.данные.!P189="Ум",GX189,GY189)</f>
        <v>#N/A</v>
      </c>
      <c r="GX189" s="55" t="e">
        <f>VLOOKUP(Исходн.данные.!AI189,Коэффициенты!$J$7:$L$13,2,FALSE)</f>
        <v>#N/A</v>
      </c>
      <c r="GY189" s="55" t="e">
        <f>VLOOKUP(Исходн.данные.!AI189,Коэффициенты!$J$7:$L$13,3,FALSE)</f>
        <v>#N/A</v>
      </c>
      <c r="GZ189" s="55" t="e">
        <f>(IF(Исходн.данные.!M189&lt;50,0.11*VLOOKUP(Исходн.данные.!AH189,Культуры.Информация,7,FALSE),IF(Исходн.данные.!M189&gt;250,0.05*VLOOKUP(Исходн.данные.!AH189,Культуры.Информация,7,FALSE),VLOOKUP(Исходн.данные.!AH189,Культуры.Информация,5,FALSE)/100*($GX$6+$GY$6*Исходн.данные.!M189))))*Расчет2!AI189</f>
        <v>#N/A</v>
      </c>
      <c r="HA189" s="211"/>
      <c r="HB189" s="211"/>
      <c r="HC189" s="55" t="e">
        <f>(IF(Исходн.данные.!O189&lt;80,0.2*VLOOKUP(Исходн.данные.!AH189,Культуры.Информация,8,FALSE),IF(Исходн.данные.!O189&gt;240,0.09*VLOOKUP(Исходн.данные.!AH189,Культуры.Информация,8,FALSE),VLOOKUP(Исходн.данные.!AH189,Культуры.Информация,6,FALSE)/100*($HB$6+$HC$6*Исходн.данные.!O189))))*Расчет2!AJ189</f>
        <v>#N/A</v>
      </c>
      <c r="HD189" s="55">
        <f>IF(Исходн.данные.!O189&gt;240,0.09,IF(Исходн.данные.!O189&lt;30,0.3,$HE$10+$HD$10*Исходн.данные.!O189))</f>
        <v>0.3</v>
      </c>
      <c r="HE189" s="55">
        <f>IF(Исходн.данные.!O189&gt;240,0.17,IF(Исходн.данные.!O189&lt;30,0.5,$HF$12+$HE$12*Исходн.данные.!O189))</f>
        <v>0.5</v>
      </c>
      <c r="HF189" s="55" t="e">
        <f>VLOOKUP(Исходн.данные.!AH189,Справ!$A$3:$D$58,2,FALSE)</f>
        <v>#N/A</v>
      </c>
      <c r="HG189" s="55" t="e">
        <f>VLOOKUP(Исходн.данные.!AH189,Справ!$A$3:$D$58,3,FALSE)</f>
        <v>#N/A</v>
      </c>
      <c r="HH189" s="55" t="e">
        <f>VLOOKUP(Исходн.данные.!AH189,Справ!$A$3:$D$58,4,FALSE)</f>
        <v>#N/A</v>
      </c>
      <c r="HI189" s="11" t="e">
        <f t="shared" si="265"/>
        <v>#N/A</v>
      </c>
      <c r="HJ189" s="11" t="e">
        <f t="shared" si="266"/>
        <v>#N/A</v>
      </c>
      <c r="HK189" s="11" t="e">
        <f t="shared" si="267"/>
        <v>#N/A</v>
      </c>
      <c r="HL189" s="55">
        <f>IF(OR(Исходн.данные.!G189="Глин",Исходн.данные.!G189="Т_суг"),1.1,IF(Исходн.данные.!G189="Ср_суг",1,1))</f>
        <v>1</v>
      </c>
      <c r="HM189" s="55">
        <f>IF(OR(Исходн.данные.!G189="Глин",Исходн.данные.!G189="Т_суг"),0.9,IF(Исходн.данные.!G189="Ср_суг",1,1.2))</f>
        <v>1.2</v>
      </c>
      <c r="HN189" s="11" t="e">
        <f t="shared" si="268"/>
        <v>#N/A</v>
      </c>
      <c r="HO189" s="11" t="e">
        <f t="shared" si="269"/>
        <v>#N/A</v>
      </c>
      <c r="HP189" s="11" t="e">
        <f t="shared" si="270"/>
        <v>#N/A</v>
      </c>
      <c r="HQ189" t="e">
        <f t="shared" si="271"/>
        <v>#N/A</v>
      </c>
      <c r="HR189" t="e">
        <f t="shared" si="272"/>
        <v>#N/A</v>
      </c>
      <c r="HS189" t="e">
        <f t="shared" si="273"/>
        <v>#N/A</v>
      </c>
      <c r="HT189" t="e">
        <f t="shared" si="219"/>
        <v>#N/A</v>
      </c>
      <c r="HU189" t="e">
        <f t="shared" si="220"/>
        <v>#N/A</v>
      </c>
      <c r="HV189" t="e">
        <f t="shared" si="221"/>
        <v>#N/A</v>
      </c>
      <c r="HW189" t="e">
        <f t="shared" si="222"/>
        <v>#N/A</v>
      </c>
      <c r="HX189" t="e">
        <f t="shared" si="223"/>
        <v>#N/A</v>
      </c>
      <c r="HY189" t="e">
        <f t="shared" si="224"/>
        <v>#N/A</v>
      </c>
      <c r="HZ189" s="55">
        <f>IF(OR(Исходн.данные.!AI189="Оз_Ч_П",Исходн.данные.!AI189="Оз_З_П",Исходн.данные.!AI189="Яр_зер"),12,30)</f>
        <v>30</v>
      </c>
      <c r="IA189" t="e">
        <f t="shared" si="274"/>
        <v>#N/A</v>
      </c>
      <c r="IB189" t="e">
        <f t="shared" si="275"/>
        <v>#N/A</v>
      </c>
      <c r="IC189" t="e">
        <f t="shared" si="276"/>
        <v>#N/A</v>
      </c>
      <c r="ID189" s="11" t="e">
        <f t="shared" si="277"/>
        <v>#N/A</v>
      </c>
      <c r="IE189" s="11" t="e">
        <f t="shared" si="278"/>
        <v>#N/A</v>
      </c>
      <c r="IF189" s="11" t="e">
        <f t="shared" si="279"/>
        <v>#N/A</v>
      </c>
    </row>
    <row r="190" spans="35:240" x14ac:dyDescent="0.2">
      <c r="AI190">
        <f>IF(Исходн.данные.!I190&gt;6,1,1.85-(0.148*Исходн.данные.!I190))</f>
        <v>1.85</v>
      </c>
      <c r="AJ190">
        <f>IF(Исходн.данные.!I190&gt;6,1,2.434-(0.246*Исходн.данные.!I190))</f>
        <v>2.4340000000000002</v>
      </c>
      <c r="AL190" s="148" t="b">
        <f>IF(Исходн.данные.!$P190="Ум",N_OrgUd_2g_um,IF(Исходн.данные.!$P190="Об",N_OrgUd_2g_ob))</f>
        <v>0</v>
      </c>
      <c r="AM190" s="148" t="b">
        <f>IF(Исходн.данные.!$P190="Ум",P_OrgUd_2g_um,IF(Исходн.данные.!$P190="Об",P_OrgUd_2g_ob))</f>
        <v>0</v>
      </c>
      <c r="AN190" s="148" t="b">
        <f>IF(Исходн.данные.!$P190="Ум",K_OrgUd_2g_um,IF(Исходн.данные.!$P190="Об",K_OrgUd_2g_ob))</f>
        <v>0</v>
      </c>
      <c r="AO190" s="148" t="b">
        <f>IF(Исходн.данные.!$P190="Ум",N_OrgUd_1g_um,IF(Исходн.данные.!$P190="Об",N_OrgUd_1g_ob))</f>
        <v>0</v>
      </c>
      <c r="AP190" s="148" t="b">
        <f>IF(Исходн.данные.!$P190="Ум",P_OrgUd_1g_um,IF(Исходн.данные.!$P190="Об",P_OrgUd_1g_ob))</f>
        <v>0</v>
      </c>
      <c r="AQ190" s="148" t="b">
        <f>IF(Исходн.данные.!$P190="Ум",K_OrgUd_1g_um,IF(Исходн.данные.!$P190="Об",K_OrgUd_1g_ob))</f>
        <v>0</v>
      </c>
      <c r="AR190" t="b">
        <f>IF(Исходн.данные.!$P190="Ум",N_MinUd_2g_um,IF(Исходн.данные.!$P190="Об",N_MinUd_2g_ob))</f>
        <v>0</v>
      </c>
      <c r="AS190" t="b">
        <f>IF(Исходн.данные.!$P190="Ум",P_MinUd_2g_um,IF(Исходн.данные.!$P190="Об",P_MinUd_2g_ob))</f>
        <v>0</v>
      </c>
      <c r="AT190" t="b">
        <f>IF(Исходн.данные.!$P190="Ум",K_MinUd_2g_um,IF(Исходн.данные.!$P190="Об",K_MinUd_2g_ob))</f>
        <v>0</v>
      </c>
      <c r="AU190" t="b">
        <f>IF(Исходн.данные.!$P190="Ум",N_MinUd_1g_um,IF(Исходн.данные.!$P190="Об",N_MinUd_1g_ob))</f>
        <v>0</v>
      </c>
      <c r="AV190" t="b">
        <f>IF(Исходн.данные.!P190="Ум",P_MinUd_1g_um,IF(Исходн.данные.!P190="Об",P_MinUd_1g_ob))</f>
        <v>0</v>
      </c>
      <c r="AW190" t="b">
        <f>IF(Исходн.данные.!P190="Ум",K_MinUd_1g_um,IF(Исходн.данные.!P190="Об",K_MinUd_1g_ob))</f>
        <v>0</v>
      </c>
      <c r="AY190" t="e">
        <f>VLOOKUP(Исходн.данные.!T190,Справ!$A$3:$N$57,12)</f>
        <v>#N/A</v>
      </c>
      <c r="AZ190" t="e">
        <f>VLOOKUP(Исходн.данные.!T190,Справ!$A$3:$N$57,13)</f>
        <v>#N/A</v>
      </c>
      <c r="BA190" t="e">
        <f>VLOOKUP(Исходн.данные.!T190,Справ!$A$3:$N$57,14)</f>
        <v>#N/A</v>
      </c>
      <c r="BB190">
        <f>IF(Исходн.данные.!AH190=0,0,25)</f>
        <v>0</v>
      </c>
      <c r="BC190" s="141">
        <f>IF(Исходн.данные.!AH190=0,0,IF(Исходн.данные.!T190=0,25,BD190))</f>
        <v>0</v>
      </c>
      <c r="BD190" s="168" t="e">
        <f>AY190+AZ190*Исходн.данные.!U190-POWER(BA190,2)*Исходн.данные.!U190</f>
        <v>#N/A</v>
      </c>
      <c r="BE19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0" s="25">
        <f>IF(Исходн.данные.!AH190=0,0,MIN(HN190:HP190))</f>
        <v>0</v>
      </c>
      <c r="BG190" s="9">
        <f>IF(Исходн.данные.!AH190=0,0,IF((HO190+10*0.25/HG190/HL190)&lt;17,17,HO190+10*0.25/HG190/HL190))</f>
        <v>0</v>
      </c>
      <c r="BH190" s="181">
        <f>IF(Исходн.данные.!AH190=0,0,HW190*HF190*HL190/AU190*AI190+Исходн.данные.!S190*10)</f>
        <v>0</v>
      </c>
      <c r="BI190" s="10"/>
      <c r="BJ190" s="182">
        <f>IF(Исходн.данные.!AH190=0,0,IF(HX190*HG190*HL190/AV190&lt;0,0,HX190*HG190*HL190/AV190*AJ190))</f>
        <v>0</v>
      </c>
      <c r="BK190" s="182">
        <f>IF(Исходн.данные.!AH190=0,0,HY190*HH190*HM190/AW190)</f>
        <v>0</v>
      </c>
      <c r="BL190" s="10">
        <f>IF(OR(Исходн.данные.!$AH190=$BP$1,Исходн.данные.!$AH190=$BP$2),0,IF(BH190&lt;0,0,IF(OR(Исходн.данные.!T190=Расчет!$BP$1,Исходн.данные.!T190=Расчет!$BP$2,Исходн.данные.!T190=Расчет!$BT$5,Исходн.данные.!T190=Расчет!$BT$6),BH190*0.5,IF(OR(Исходн.данные.!T190=Расчет!$BS$9,Исходн.данные.!T190=Расчет!$BS$10,Исходн.данные.!T190=Расчет!$BS$11,Исходн.данные.!T190=Расчет!$BS$12,Исходн.данные.!T190=Расчет!$BP$5),BH190*0.8,BH190))))</f>
        <v>0</v>
      </c>
      <c r="BM190" s="10">
        <f>IF(OR(Исходн.данные.!$AH190=$BP$1,Исходн.данные.!$AH190=$BP$2),0,IF(BJ190&lt;0,0,IF(Исходн.данные.!I190&lt;4.5,BJ190*1.2,IF(Исходн.данные.!I190&gt;5.1,BJ190,BJ190*((5.1-Исходн.данные.!I190)*0.333+1)))))</f>
        <v>0</v>
      </c>
      <c r="BN190" s="10">
        <f>IF(OR(Исходн.данные.!$AH190=$BP$1,Исходн.данные.!$AH190=$BP$2),60-Исходн.данные.!AF190,IF(BK190&lt;0,0,IF(Исходн.данные.!I190&lt;4.5,BK190*1.2,IF(Исходн.данные.!I190&gt;5.1,BK190,BK190*((5.1-Исходн.данные.!I190)*0.333+1)))))</f>
        <v>0</v>
      </c>
      <c r="BO190" s="9">
        <f>IF(BL190&lt;0,0,BL190*Исходн.данные.!$AJ190/1000)</f>
        <v>0</v>
      </c>
      <c r="BP190" s="9">
        <f>IF(BM190&lt;0,0,BM190*Исходн.данные.!$AJ190/1000)</f>
        <v>0</v>
      </c>
      <c r="BQ190" s="9">
        <f>IF(BN190&lt;0,0,BN190*Исходн.данные.!$AJ190/1000)</f>
        <v>0</v>
      </c>
      <c r="BR190" s="9">
        <f t="shared" si="229"/>
        <v>0</v>
      </c>
      <c r="BS190" s="10" t="str">
        <f t="shared" si="230"/>
        <v>Аммофос 12:52:00</v>
      </c>
      <c r="BT190" s="10" t="str">
        <f t="shared" si="231"/>
        <v>Аммофос 12:52:00</v>
      </c>
      <c r="BU190" s="10" t="str">
        <f t="shared" si="232"/>
        <v>Диаммофоска</v>
      </c>
      <c r="BV190" s="10">
        <f t="shared" si="233"/>
        <v>0</v>
      </c>
      <c r="BW190" s="10"/>
      <c r="BX190" s="10"/>
      <c r="BY190" s="9">
        <f>IF(BL190&lt;0,0,IF(OR(Исходн.данные.!AI190=Расчет!$BU$6,Исходн.данные.!AI190=Расчет!$BU$7),Расчет!BV190,IF(Исходн.данные.!$AG190=$BV$11,BL190,IF(OR(Исходн.данные.!$AH190=$BQ$7,Исходн.данные.!$AH190=$BQ$8),CB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0,IF(Исходн.данные.!$AI190=$BU$11,"Нет",IF(BL190&gt;30,30,BL190)))))))</f>
        <v>0</v>
      </c>
      <c r="BZ190" s="9">
        <f>IF(AND(Исходн.данные.!$AG190=$BV$11,BM190&lt;10),10,IF(Исходн.данные.!$AG190=$BV$11,BM190,IF(OR(Исходн.данные.!$AH190=$BQ$7,Исходн.данные.!$AH190=$BQ$8),CC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10,IF(Исходн.данные.!$AI190=$BU$11,"Нет",IF(BM190&gt;60,60,IF(BM190&lt;10,10,BM190)))))))</f>
        <v>10</v>
      </c>
      <c r="CA190" s="39">
        <f>IF(BN190&lt;0,0,IF(Исходн.данные.!$AG190=$BV$11,BN190,IF(OR(Исходн.данные.!$AH190=$BQ$7,Исходн.данные.!$AH190=$BQ$8),CD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0,IF(Исходн.данные.!$AI190=$BU$11,"Нет",IF(BN190&gt;30,30,BN190))))))</f>
        <v>0</v>
      </c>
      <c r="CB190" s="9">
        <f t="shared" si="234"/>
        <v>0</v>
      </c>
      <c r="CC190" s="9">
        <f t="shared" si="235"/>
        <v>0</v>
      </c>
      <c r="CD190" s="9">
        <f t="shared" si="236"/>
        <v>0</v>
      </c>
      <c r="CE190" s="12">
        <f t="shared" si="237"/>
        <v>10</v>
      </c>
      <c r="CF190" s="9">
        <f t="shared" si="238"/>
        <v>0</v>
      </c>
      <c r="CG190" s="9" t="s">
        <v>231</v>
      </c>
      <c r="CH190" s="132" t="str">
        <f>IF(Исходн.данные.!AP190=Расчет!$CI$16,"Нет",IF(Исходн.данные.!AL190&gt;0,Исходн.данные.!AL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BH$4,IF(OR(Исходн.данные.!AI190=Исходн.данные.!$AI$6,Исходн.данные.!AI190=Исходн.данные.!$AI$7),Расчет!BS190,IF(AND($CF190=0,$CE190&gt;0),EV190,ER190)))))</f>
        <v>Аммофос 12:52:00</v>
      </c>
      <c r="CI190" s="274">
        <f>IF(Расчет!$CH190="Нет","Нет",IF(Исходн.данные.!$AL190&gt;0,VLOOKUP(Расчет!$CH190,АшламаДВ_Irekle,2,FALSE),VLOOKUP(Расчет!$CH190,АшламаДВ_Gomumy,2,FALSE)))</f>
        <v>0.12</v>
      </c>
      <c r="CJ190" s="274">
        <f>IF(Расчет!$CH190="Нет","Нет",IF(Исходн.данные.!$AL190&gt;0,VLOOKUP(Расчет!$CH190,АшламаДВ_Irekle,3,FALSE),VLOOKUP(Расчет!$CH190,АшламаДВ_Gomumy,3,FALSE)))</f>
        <v>0.52</v>
      </c>
      <c r="CK190" s="274">
        <f>IF(Расчет!$CH190="Нет","Нет",IF(Исходн.данные.!$AL190&gt;0,VLOOKUP(Расчет!$CH190,АшламаДВ_Irekle,4,FALSE),VLOOKUP(Расчет!$CH190,АшламаДВ_Gomumy,4,FALSE)))</f>
        <v>0</v>
      </c>
      <c r="CL190" s="70"/>
      <c r="CM190" s="70"/>
      <c r="CN190" s="70"/>
      <c r="CO190" s="70"/>
      <c r="CP190" s="70"/>
      <c r="CQ190" s="70"/>
      <c r="CR190" s="10">
        <f t="shared" si="239"/>
        <v>0</v>
      </c>
      <c r="CS190" s="10">
        <f t="shared" si="240"/>
        <v>19.23076923076923</v>
      </c>
      <c r="CT190" s="10">
        <f t="shared" si="241"/>
        <v>0</v>
      </c>
      <c r="CU190" s="39">
        <f>IF($CH190="Нет",0,IF(CI190=0,30/MIN(CJ190:CK190),IF(Исходн.данные.!$AG190=$BV$11,CR190,IF(OR(Исходн.данные.!$AH190=$BQ$7,Исходн.данные.!$AH190=$BQ$8),90/CI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0,IF(Исходн.данные.!$AI190=$BU$11,"Нет",30/CI190))))))</f>
        <v>250</v>
      </c>
      <c r="CV190" s="39">
        <f>IF($CH190="Нет",0,IF(Исходн.данные.!AH190=0,0,IF(CJ190=0,60/MIN(CI190,CK190),IF(Исходн.данные.!$AG190=$BV$11,CS190,IF(OR(Исходн.данные.!$AH190=$BQ$7,Исходн.данные.!$AH190=$BQ$8),90/CJ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10/CJ190,IF(Исходн.данные.!$AI190=$BU$11,"Нет",60/CJ190)))))))</f>
        <v>0</v>
      </c>
      <c r="CW190" s="39">
        <f>IF($CH190="Нет",0,IF(Исходн.данные.!AH190=0,0,IF(CK190=0,30/MIN(CI190:CJ190),IF(Исходн.данные.!$AG190=$BV$11,CT190,IF(OR(Исходн.данные.!$AH190=$BQ$7,Исходн.данные.!$AH190=$BQ$8),90/CK190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0,IF(Исходн.данные.!$AI190=$BU$11,"Нет",30/CK190)))))))</f>
        <v>0</v>
      </c>
      <c r="CX190" s="133">
        <f>IF(Исходн.данные.!$AG190=$BV$11,MAX(CU190:CW190),IF(OR(Исходн.данные.!$AH190=$BS$8,Исходн.данные.!$AH190=$BQ$9,Исходн.данные.!$AH190=$BQ$10,Исходн.данные.!$AH190=$BQ$11,Исходн.данные.!$AH190=$BQ$12,Исходн.данные.!$AH190=$BP$3,Исходн.данные.!$AH190=$BT$8,$FM190="Да"),CV190,MIN(CU190:CW190)))</f>
        <v>0</v>
      </c>
      <c r="CY190" s="133">
        <f>IF(Исходн.данные.!AH190=0,0,IF(CR190&gt;$CX190,$CX190,CR190))</f>
        <v>0</v>
      </c>
      <c r="CZ190" s="133">
        <f>IF(Исходн.данные.!AH190=0,0,IF(CS190&gt;$CX190,$CX190,CS190))</f>
        <v>0</v>
      </c>
      <c r="DA190" s="133">
        <f>IF(Исходн.данные.!AH190=0,0,IF(CT190&gt;$CX190,$CX190,CT190))</f>
        <v>0</v>
      </c>
      <c r="DB190" s="10">
        <f t="shared" si="242"/>
        <v>0</v>
      </c>
      <c r="DC190" s="39">
        <f>DB190*Исходн.данные.!AJ190/1000</f>
        <v>0</v>
      </c>
      <c r="DD190" s="71">
        <f t="shared" si="243"/>
        <v>0</v>
      </c>
      <c r="DE190" s="9">
        <f t="shared" si="244"/>
        <v>0</v>
      </c>
      <c r="DF190" s="9">
        <f t="shared" si="245"/>
        <v>0</v>
      </c>
      <c r="DG190" s="39">
        <f>IF(BL190&lt;0,0,IF($CH190="Нет",BL190,IF(OR(Исходн.данные.!$AH190=$BP$1,Исходн.данные.!$AH190=$BP$2),0,IF(Исходн.данные.!AI190=$BU$11,BL190,IF(BL190-DD190&lt;0,0,BL190-DD190)))))</f>
        <v>0</v>
      </c>
      <c r="DH190" s="39">
        <f>IF(BM190&lt;0,0,IF($CH190="Нет",BM190,IF(OR(Исходн.данные.!$AH190=$BP$1,Исходн.данные.!$AH190=$BP$2),0,IF(Исходн.данные.!AJ190=$BU$11,BM190,IF(BM190-DE190&lt;0,0,BM190-DE190)))))</f>
        <v>0</v>
      </c>
      <c r="DI190" s="39">
        <f>IF(BN190&lt;0,0,IF($CH190="Нет",BN190,IF(OR(Исходн.данные.!$AH190=$BP$1,Исходн.данные.!$AH190=$BP$2),0,IF(Исходн.данные.!AK190=$BU$11,BN190,IF(BN190-DF190&lt;0,0,BN190-DF190)))))</f>
        <v>0</v>
      </c>
      <c r="DJ190" s="12">
        <f t="shared" si="246"/>
        <v>0</v>
      </c>
      <c r="DK190" s="9">
        <f t="shared" si="247"/>
        <v>0</v>
      </c>
      <c r="DL190" s="39">
        <f>IF(Исходн.данные.!AM190&gt;0,Исходн.данные.!AM190,IF(EG190&gt;0,$BH$10,0))</f>
        <v>0</v>
      </c>
      <c r="DM190" s="186">
        <f>IF($DL190=0,0,IF(Исходн.данные.!AM190&gt;0,VLOOKUP($DL190,АшламаДВ_Irekle,2,FALSE),VLOOKUP($DL190,АшламаДВ_Gomumy,2,FALSE)))</f>
        <v>0</v>
      </c>
      <c r="DN190" s="10">
        <f t="shared" si="225"/>
        <v>0</v>
      </c>
      <c r="DO190" s="9" t="str">
        <f>IF(Исходн.данные.!AN190&gt;0,Исходн.данные.!AN190,Удобрения!$B$37 )</f>
        <v>Хлор.калий</v>
      </c>
      <c r="DP190" s="9">
        <f>IF(Исходн.данные.!AN190&gt;0,VLOOKUP(Исходн.данные.!AN190,АшламаДВ_Irekle,4,FALSE),VLOOKUP(DO190,АшламаДВ_Gomumy,4,FALSE))</f>
        <v>0.6</v>
      </c>
      <c r="DQ190" s="10">
        <f t="shared" si="226"/>
        <v>0</v>
      </c>
      <c r="DR190" s="132" t="str">
        <f>IF(Исходн.данные.!AO190&gt;0,Исходн.данные.!AO190,IF(DH190=0,BS$17,IF(AND($DK190=0,$DJ190&gt;0),EJ190,EN190)))</f>
        <v>Нет</v>
      </c>
      <c r="DS190" s="70" t="str">
        <f>IF($DR190="Нет","Нет",IF(Исходн.данные.!$AO190&gt;0,VLOOKUP($DR190,АшламаДВ_Irekle,2,FALSE),VLOOKUP($DR190,АшламаДВ_Gomumy,2,FALSE)))</f>
        <v>Нет</v>
      </c>
      <c r="DT190" s="70" t="str">
        <f>IF($DR190="Нет","Нет",IF(Исходн.данные.!$AO190&gt;0,VLOOKUP($DR190,АшламаДВ_Irekle,3,FALSE),VLOOKUP($DR190,АшламаДВ_Gomumy,3,FALSE)))</f>
        <v>Нет</v>
      </c>
      <c r="DU190" s="70" t="str">
        <f>IF($DR190="Нет","Нет",IF(Исходн.данные.!$AO190&gt;0,VLOOKUP($DR190,АшламаДВ_Irekle,4,FALSE),VLOOKUP($DR190,АшламаДВ_Gomumy,4,FALSE)))</f>
        <v>Нет</v>
      </c>
      <c r="DV190" s="70"/>
      <c r="DW190" s="70"/>
      <c r="DX190" s="70"/>
      <c r="DY190" s="10">
        <f t="shared" si="248"/>
        <v>0</v>
      </c>
      <c r="DZ190" s="10">
        <f t="shared" si="249"/>
        <v>0</v>
      </c>
      <c r="EA190" s="10">
        <f t="shared" si="250"/>
        <v>0</v>
      </c>
      <c r="EB190" s="10">
        <f t="shared" si="251"/>
        <v>0</v>
      </c>
      <c r="EC190" s="10">
        <f t="shared" si="252"/>
        <v>0</v>
      </c>
      <c r="ED190" s="10">
        <f t="shared" si="253"/>
        <v>0</v>
      </c>
      <c r="EE190" s="10">
        <f t="shared" si="254"/>
        <v>0</v>
      </c>
      <c r="EF190" s="39">
        <f>EB190*Исходн.данные.!AJ190/1000</f>
        <v>0</v>
      </c>
      <c r="EG190" s="9">
        <f t="shared" si="255"/>
        <v>0</v>
      </c>
      <c r="EH190" s="9">
        <f t="shared" si="256"/>
        <v>0</v>
      </c>
      <c r="EI190" s="39" t="e">
        <f t="shared" si="206"/>
        <v>#DIV/0!</v>
      </c>
      <c r="EJ190" s="9" t="str">
        <f t="shared" si="227"/>
        <v>Азопреципитат</v>
      </c>
      <c r="EK190" s="12">
        <f t="shared" si="207"/>
        <v>0.26</v>
      </c>
      <c r="EL190" s="12">
        <f t="shared" si="208"/>
        <v>0.13</v>
      </c>
      <c r="EM190" s="12">
        <f t="shared" si="209"/>
        <v>0</v>
      </c>
      <c r="EN190" s="12" t="str">
        <f t="shared" si="228"/>
        <v>Нет</v>
      </c>
      <c r="EO190" s="12">
        <f t="shared" si="210"/>
        <v>0</v>
      </c>
      <c r="EP190" s="12">
        <f t="shared" si="211"/>
        <v>0</v>
      </c>
      <c r="EQ190" s="12">
        <f t="shared" si="212"/>
        <v>0</v>
      </c>
      <c r="ER190" s="12" t="str">
        <f t="shared" si="257"/>
        <v>Диаммофоска</v>
      </c>
      <c r="ES190" s="12">
        <f t="shared" si="213"/>
        <v>0.1</v>
      </c>
      <c r="ET190" s="12">
        <f t="shared" si="214"/>
        <v>0.26</v>
      </c>
      <c r="EU190" s="12">
        <f t="shared" si="215"/>
        <v>0.26</v>
      </c>
      <c r="EV190" s="12" t="str">
        <f t="shared" si="258"/>
        <v>Аммофос 12:52:00</v>
      </c>
      <c r="EW190" s="12" t="str">
        <f t="shared" si="259"/>
        <v>Кемира Свекловичное-6</v>
      </c>
      <c r="EX190" s="12">
        <f t="shared" si="216"/>
        <v>0.16</v>
      </c>
      <c r="EY190" s="12">
        <f t="shared" si="217"/>
        <v>0.12</v>
      </c>
      <c r="EZ190" s="12">
        <f t="shared" si="218"/>
        <v>0.17</v>
      </c>
      <c r="FA190" s="38" t="e">
        <f>IF(AND(OR(FJ190=$FD$1,FM190=$FD$1,FO190=$FD$1,FQ190=$FD$1,FS190=$FD$1),FD190=$FD$1,Исходн.данные.!J190&lt;2,FU190=$FD$1),"Бор,Кобальт",IF(AND(FO190=$FD$1,FH190=$FD$1,Исходн.данные.!J190&lt;2,FU190=$FD$1),"Бор,Кобальт",IF(AND(OR(FJ190=$FD$1,FM190=$FD$1,FQ190=$FD$1),FE190=$FD$1,Исходн.данные.!J190&lt;2,FT190=$FD$1,FU190=$FD$1),"Бор,Медь,Цинк",IF(AND(OR(FJ190=$FD$1,FR190="Да"),FI190="Да",Исходн.данные.!J190&lt;2,FT190="Да",FU190="Да"),"Бор,Цинк,Медь",IF(AND(OR(FM190="Да",FQ190="Да"),FI190="Да",Исходн.данные.!J190&lt;2,FT190="Да",FU190="Да"),"Бор,Цинк",IF(AND(FN190="Да",OR(FD190="Да",FE190="Да")),"Бор",FB190))))))</f>
        <v>#N/A</v>
      </c>
      <c r="FB190" s="134" t="e">
        <f>IF(AND(OR(FD190="Да",FE190="Да",FF190="Да",FG190="Да",FH190="Да"),FO190="Да"),"Бор",IF(AND(FP190="Да",OR(FD190="Да",FE190="Да",FI190="Да")),"Бор",IF(AND(FS190="Да",FE190="Да"),"Бор,Медь",IF(AND(OR(FJ190="Да",FK190="Да",FL190="Да"),FE190="Да",Исходн.данные.!I190&lt;5,FT190="Да",FU190="Да"),"Молибден,Цинк",IF(AND(FM190="Да",OR(FE190="Да",FF190="Да",FG190="Да",FH190="Да",FI190="Да")),"Молибден,Цинк",IF(AND(OR(FJ190="Да",FK190="Да",FL190="Да",FM190="Да",FQ190="Да"),OR(FE190="Да",FF190="Да"),FT190="Да",FU190="Да",Исходн.данные.!I190&gt;5.5),"Медь,Цинк",FC190))))))</f>
        <v>#N/A</v>
      </c>
      <c r="FC190" s="23" t="e">
        <f t="shared" si="260"/>
        <v>#N/A</v>
      </c>
      <c r="FD190" s="38" t="str">
        <f>IF(OR(Исходн.данные.!F190=$CC$1,Исходн.данные.!F190=$CC$2,Исходн.данные.!F190=$CC$3,Исходн.данные.!F190=$CC$4),"Да","Нет")</f>
        <v>Нет</v>
      </c>
      <c r="FE190" s="38" t="str">
        <f>IF(Исходн.данные.!F190=$CC$5,"Да","Нет")</f>
        <v>Нет</v>
      </c>
      <c r="FF190" s="38" t="str">
        <f>IF(OR(Исходн.данные.!F190=$CC$6,Исходн.данные.!F190=$CC$7),"Да","Нет")</f>
        <v>Нет</v>
      </c>
      <c r="FG190" s="38" t="str">
        <f>IF(OR(Исходн.данные.!F190=$CC$8,Исходн.данные.!F190=$CC$9),"Да","Нет")</f>
        <v>Нет</v>
      </c>
      <c r="FH190" s="38" t="str">
        <f>IF(Исходн.данные.!F190=$CC$10,"Да","Нет")</f>
        <v>Нет</v>
      </c>
      <c r="FI190" s="38" t="str">
        <f>IF(OR(Исходн.данные.!F190=$CC$11,Исходн.данные.!F190=$CC$12),"Да","Нет")</f>
        <v>Нет</v>
      </c>
      <c r="FJ190" s="38" t="str">
        <f>IF(OR(Исходн.данные.!AH190=$BS$1,Исходн.данные.!AH190=$BQ$11,Исходн.данные.!AH190=$BQ$12),"Да","Нет")</f>
        <v>Нет</v>
      </c>
      <c r="FK190" s="38" t="str">
        <f>IF(OR(Исходн.данные.!AH190=$BS$2,Исходн.данные.!AH190=$BS$4),"Да","Нет")</f>
        <v>Нет</v>
      </c>
      <c r="FL190" s="38" t="str">
        <f>IF(OR(Исходн.данные.!AH190=$BS$3,Исходн.данные.!AH190=$BS$5),"Да","Нет")</f>
        <v>Нет</v>
      </c>
      <c r="FM190" s="38" t="str">
        <f>IF(OR(Исходн.данные.!AH190=$BS$9,Исходн.данные.!AH190=$BS$10,Исходн.данные.!AH190=$BS$11,Исходн.данные.!AH190=$BS$12),"Да","Нет")</f>
        <v>Нет</v>
      </c>
      <c r="FN190" s="38" t="str">
        <f>IF(OR(Исходн.данные.!AH190=$BS$6,Исходн.данные.!AH190=$BP$3),"Да","Нет")</f>
        <v>Нет</v>
      </c>
      <c r="FO190" s="38" t="str">
        <f>IF(Исходн.данные.!AH190=$BQ$9,"Да","Нет")</f>
        <v>Нет</v>
      </c>
      <c r="FP190" s="38" t="str">
        <f>IF(OR(Исходн.данные.!AH190=$BS$8,Исходн.данные.!AH190=$BT$8),"Да","Нет")</f>
        <v>Нет</v>
      </c>
      <c r="FQ190" s="38" t="str">
        <f>IF(OR(Исходн.данные.!AH190=$BQ$7,Исходн.данные.!AH190=$BQ$8),"Да","Нет")</f>
        <v>Нет</v>
      </c>
      <c r="FR190" s="38" t="str">
        <f>IF(Исходн.данные.!AI190=$BU$9,"Да","Нет")</f>
        <v>Нет</v>
      </c>
      <c r="FS190" s="38" t="str">
        <f>IF(OR(Исходн.данные.!AH190=$BP$1,Исходн.данные.!AH190=$BP$2),"Да","Нет")</f>
        <v>Нет</v>
      </c>
      <c r="FT190" s="38" t="e">
        <f>IF((Исходн.данные.!K190*GO190*GS190*GW190+BL190*0.6+Исходн.данные.!Q190*4.5*0.275)&gt;90,"Да","Нет")</f>
        <v>#N/A</v>
      </c>
      <c r="FU190" s="38" t="e">
        <f>IF((Исходн.данные.!M190*GS190*GZ190+BM190*0.225)&gt;35,"Да","Нет")</f>
        <v>#N/A</v>
      </c>
      <c r="FV190" s="38" t="str">
        <f>IF(Исходн.данные.!O190&gt;175,"Да","Нет")</f>
        <v>Нет</v>
      </c>
      <c r="FW190" s="39" t="str">
        <f>IF(Исходн.данные.!I190&gt;5.5,"Да","Нет")</f>
        <v>Нет</v>
      </c>
      <c r="FX190" s="39" t="str">
        <f>IF(Исходн.данные.!J190&lt;2,"Да","Нет")</f>
        <v>Да</v>
      </c>
      <c r="FY190" s="39" t="e">
        <f>IF(HF190=$FY$16,0,Исходн.данные.!K190*GO190*GS190*GW190/HF190)</f>
        <v>#N/A</v>
      </c>
      <c r="FZ190" s="39" t="e">
        <f>Исходн.данные.!M190*GS190*GZ190/HG190</f>
        <v>#N/A</v>
      </c>
      <c r="GA190" s="39" t="e">
        <f>IF(K_Wyn=$FY$16,0,IF(Исходн.данные.!N190=Исходн.данные.!$L$10,Исходн.данные.!O190/1.1*GS190*HC190/HH190,IF(Исходн.данные.!N190=Исходн.данные.!$L$12,Исходн.данные.!O190/1.5*GS190*HC190/HH190,Исходн.данные.!O190*GS190*HC190/HH190)))</f>
        <v>#N/A</v>
      </c>
      <c r="GB190" s="39" t="e">
        <f>IF(HF190=$FY$16,0,((Исходн.данные.!Q190*N_Org+Исходн.данные.!R190*N_Sider+Исходн.данные.!S190*N_Soloma)*AO190+Расчет!BC190*VLOOKUP(Исходн.данные.!T190,Справ!$A$3:$O$57,15)*AO190+BB190*VLOOKUP(Исходн.данные.!T190,Справ!$A$3:$O$57,15)*AL190+(Исходн.данные.!V190*N_Rizotorf+Исходн.данные.!W190*N_Rizoagr))/HF190)</f>
        <v>#N/A</v>
      </c>
      <c r="GC190" s="39" t="e">
        <f>IF(HG190=$FY$16,0,((Исходн.данные.!Q190*Р_Org+Исходн.данные.!R190*P_Sider+Исходн.данные.!S190*P_Soloma)*AP190+Расчет!BC190*VLOOKUP(Исходн.данные.!T190,Справ!$A$3:$P$57,16)*AP190+BB190*VLOOKUP(Исходн.данные.!T190,Справ!$A$3:$P$57,16)*AM190)/HG190)</f>
        <v>#N/A</v>
      </c>
      <c r="GD190" s="39" t="e">
        <f>IF(HH190=$FY$16,0,((Исходн.данные.!Q190*К_Org+Исходн.данные.!R190*K_Sider+Исходн.данные.!S190*K_Soloma)*AQ190+Расчет!BC190*VLOOKUP(Исходн.данные.!T190,Справ!$A$3:$Q$57,17)*AQ190+BB190*VLOOKUP(Исходн.данные.!T190,Справ!$A$3:$Q$57,17)*AN190)/HH190)</f>
        <v>#N/A</v>
      </c>
      <c r="GE190" s="39" t="e">
        <f>IF(HF190=$FY$16,0,(Исходн.данные.!X190*AR190+Исходн.данные.!AA190*N_Org*AL190+Исходн.данные.!AB190*N_Sider*AL190+Исходн.данные.!AC190*N_Soloma*AL190)/HF190)</f>
        <v>#N/A</v>
      </c>
      <c r="GF190" s="39" t="e">
        <f>IF(HG190=$FY$16,0,(Исходн.данные.!Y190*AS190+Исходн.данные.!AA190*Р_Org*AM190+Исходн.данные.!AB190*P_Sider*AM190+Исходн.данные.!AC190*P_Soloma*AM190)/HG190)</f>
        <v>#N/A</v>
      </c>
      <c r="GG190" s="39" t="e">
        <f>IF(HH190=$FY$16,0,(Исходн.данные.!Z190*AT190+Исходн.данные.!AA190*К_Org*AN190+Исходн.данные.!AB190*K_Sider*AN190+Исходн.данные.!AC190*K_Soloma*AN190)/HH190)</f>
        <v>#N/A</v>
      </c>
      <c r="GH190" s="39" t="e">
        <f>Исходн.данные.!AD190*AU190/HF190</f>
        <v>#N/A</v>
      </c>
      <c r="GI190" s="39" t="e">
        <f>Исходн.данные.!AE190*AV190/HG190</f>
        <v>#N/A</v>
      </c>
      <c r="GJ190" s="39" t="e">
        <f>Исходн.данные.!AF190*AW190/HH190</f>
        <v>#N/A</v>
      </c>
      <c r="GK190" s="55">
        <f>Исходн.данные.!AK190</f>
        <v>0</v>
      </c>
      <c r="GL190" s="11" t="e">
        <f t="shared" si="261"/>
        <v>#N/A</v>
      </c>
      <c r="GM190" s="11" t="e">
        <f t="shared" si="262"/>
        <v>#N/A</v>
      </c>
      <c r="GN190" s="11" t="e">
        <f t="shared" si="263"/>
        <v>#N/A</v>
      </c>
      <c r="GO190" s="57">
        <f t="shared" si="264"/>
        <v>19</v>
      </c>
      <c r="GP190" s="55">
        <f>IF(OR(Исходн.данные.!F190=$CE$1,Исходн.данные.!F190=$CE$2,Исходн.данные.!F190=$CE$3,Исходн.данные.!F190=$CE$4,Исходн.данные.!F190=$CE$5),GQ190,GR190)</f>
        <v>19</v>
      </c>
      <c r="GQ190" s="55">
        <f>IF(Исходн.данные.!F190=$CE$1,28,IF(Исходн.данные.!F190=$CE$2,26,IF(Исходн.данные.!F190=$CE$3,24,IF(Исходн.данные.!F190=$CE$4,22,IF(Исходн.данные.!F190=$CE$5,20,GR190)))))</f>
        <v>19</v>
      </c>
      <c r="GR190" s="55">
        <f>IF(Исходн.данные.!F190=$CE$6,18,IF(Исходн.данные.!F190=$CE$7,16,IF(Исходн.данные.!F190=$CE$8,14,IF(Исходн.данные.!F190=$CE$9,13,IF(Исходн.данные.!F190=$CE$10,12,19)))))</f>
        <v>19</v>
      </c>
      <c r="GS190" s="55">
        <f>IF(Исходн.данные.!G190="Пес",0.035*(40+2*Исходн.данные.!H190),IF(Исходн.данные.!G190="Суп",0.0325*(40+2*Исходн.данные.!H190),0.03*(40+2*Исходн.данные.!H190)))</f>
        <v>1.2</v>
      </c>
      <c r="GT190" s="55">
        <f>IF(Исходн.данные.!H190&lt;23,2.6,IF(AND(Исходн.данные.!H190&gt;22,Исходн.данные.!H190&lt;26),3,IF(AND(Исходн.данные.!H190&gt;25,Исходн.данные.!H190&lt;29),3.4,3.6)))</f>
        <v>2.6</v>
      </c>
      <c r="GU190" s="55">
        <f>IF(Исходн.данные.!H190&lt;23,2.8,IF(AND(Исходн.данные.!H190&gt;22,Исходн.данные.!H190&lt;26),3.2,IF(AND(Исходн.данные.!H190&gt;25,Исходн.данные.!H190&lt;29),3.6,3.9)))</f>
        <v>2.8</v>
      </c>
      <c r="GV190" s="55">
        <f>IF(Исходн.данные.!H190&lt;23,3,IF(AND(Исходн.данные.!H190&gt;22,Исходн.данные.!H190&lt;26),3.5,IF(AND(Исходн.данные.!H190&gt;25,Исходн.данные.!H190&lt;29),3.9,4.2)))</f>
        <v>3</v>
      </c>
      <c r="GW190" s="55" t="e">
        <f>IF(Исходн.данные.!P190="Ум",GX190,GY190)</f>
        <v>#N/A</v>
      </c>
      <c r="GX190" s="55" t="e">
        <f>VLOOKUP(Исходн.данные.!AI190,Коэффициенты!$J$7:$L$13,2,FALSE)</f>
        <v>#N/A</v>
      </c>
      <c r="GY190" s="55" t="e">
        <f>VLOOKUP(Исходн.данные.!AI190,Коэффициенты!$J$7:$L$13,3,FALSE)</f>
        <v>#N/A</v>
      </c>
      <c r="GZ190" s="55" t="e">
        <f>(IF(Исходн.данные.!M190&lt;50,0.11*VLOOKUP(Исходн.данные.!AH190,Культуры.Информация,7,FALSE),IF(Исходн.данные.!M190&gt;250,0.05*VLOOKUP(Исходн.данные.!AH190,Культуры.Информация,7,FALSE),VLOOKUP(Исходн.данные.!AH190,Культуры.Информация,5,FALSE)/100*($GX$6+$GY$6*Исходн.данные.!M190))))*Расчет2!AI190</f>
        <v>#N/A</v>
      </c>
      <c r="HA190" s="211"/>
      <c r="HB190" s="211"/>
      <c r="HC190" s="55" t="e">
        <f>(IF(Исходн.данные.!O190&lt;80,0.2*VLOOKUP(Исходн.данные.!AH190,Культуры.Информация,8,FALSE),IF(Исходн.данные.!O190&gt;240,0.09*VLOOKUP(Исходн.данные.!AH190,Культуры.Информация,8,FALSE),VLOOKUP(Исходн.данные.!AH190,Культуры.Информация,6,FALSE)/100*($HB$6+$HC$6*Исходн.данные.!O190))))*Расчет2!AJ190</f>
        <v>#N/A</v>
      </c>
      <c r="HD190" s="55">
        <f>IF(Исходн.данные.!O190&gt;240,0.09,IF(Исходн.данные.!O190&lt;30,0.3,$HE$10+$HD$10*Исходн.данные.!O190))</f>
        <v>0.3</v>
      </c>
      <c r="HE190" s="55">
        <f>IF(Исходн.данные.!O190&gt;240,0.17,IF(Исходн.данные.!O190&lt;30,0.5,$HF$12+$HE$12*Исходн.данные.!O190))</f>
        <v>0.5</v>
      </c>
      <c r="HF190" s="55" t="e">
        <f>VLOOKUP(Исходн.данные.!AH190,Справ!$A$3:$D$58,2,FALSE)</f>
        <v>#N/A</v>
      </c>
      <c r="HG190" s="55" t="e">
        <f>VLOOKUP(Исходн.данные.!AH190,Справ!$A$3:$D$58,3,FALSE)</f>
        <v>#N/A</v>
      </c>
      <c r="HH190" s="55" t="e">
        <f>VLOOKUP(Исходн.данные.!AH190,Справ!$A$3:$D$58,4,FALSE)</f>
        <v>#N/A</v>
      </c>
      <c r="HI190" s="11" t="e">
        <f t="shared" si="265"/>
        <v>#N/A</v>
      </c>
      <c r="HJ190" s="11" t="e">
        <f t="shared" si="266"/>
        <v>#N/A</v>
      </c>
      <c r="HK190" s="11" t="e">
        <f t="shared" si="267"/>
        <v>#N/A</v>
      </c>
      <c r="HL190" s="55">
        <f>IF(OR(Исходн.данные.!G190="Глин",Исходн.данные.!G190="Т_суг"),1.1,IF(Исходн.данные.!G190="Ср_суг",1,1))</f>
        <v>1</v>
      </c>
      <c r="HM190" s="55">
        <f>IF(OR(Исходн.данные.!G190="Глин",Исходн.данные.!G190="Т_суг"),0.9,IF(Исходн.данные.!G190="Ср_суг",1,1.2))</f>
        <v>1.2</v>
      </c>
      <c r="HN190" s="11" t="e">
        <f t="shared" si="268"/>
        <v>#N/A</v>
      </c>
      <c r="HO190" s="11" t="e">
        <f t="shared" si="269"/>
        <v>#N/A</v>
      </c>
      <c r="HP190" s="11" t="e">
        <f t="shared" si="270"/>
        <v>#N/A</v>
      </c>
      <c r="HQ190" t="e">
        <f t="shared" si="271"/>
        <v>#N/A</v>
      </c>
      <c r="HR190" t="e">
        <f t="shared" si="272"/>
        <v>#N/A</v>
      </c>
      <c r="HS190" t="e">
        <f t="shared" si="273"/>
        <v>#N/A</v>
      </c>
      <c r="HT190" t="e">
        <f t="shared" si="219"/>
        <v>#N/A</v>
      </c>
      <c r="HU190" t="e">
        <f t="shared" si="220"/>
        <v>#N/A</v>
      </c>
      <c r="HV190" t="e">
        <f t="shared" si="221"/>
        <v>#N/A</v>
      </c>
      <c r="HW190" t="e">
        <f t="shared" si="222"/>
        <v>#N/A</v>
      </c>
      <c r="HX190" t="e">
        <f t="shared" si="223"/>
        <v>#N/A</v>
      </c>
      <c r="HY190" t="e">
        <f t="shared" si="224"/>
        <v>#N/A</v>
      </c>
      <c r="HZ190" s="55">
        <f>IF(OR(Исходн.данные.!AI190="Оз_Ч_П",Исходн.данные.!AI190="Оз_З_П",Исходн.данные.!AI190="Яр_зер"),12,30)</f>
        <v>30</v>
      </c>
      <c r="IA190" t="e">
        <f t="shared" si="274"/>
        <v>#N/A</v>
      </c>
      <c r="IB190" t="e">
        <f t="shared" si="275"/>
        <v>#N/A</v>
      </c>
      <c r="IC190" t="e">
        <f t="shared" si="276"/>
        <v>#N/A</v>
      </c>
      <c r="ID190" s="11" t="e">
        <f t="shared" si="277"/>
        <v>#N/A</v>
      </c>
      <c r="IE190" s="11" t="e">
        <f t="shared" si="278"/>
        <v>#N/A</v>
      </c>
      <c r="IF190" s="11" t="e">
        <f t="shared" si="279"/>
        <v>#N/A</v>
      </c>
    </row>
    <row r="191" spans="35:240" x14ac:dyDescent="0.2">
      <c r="AI191">
        <f>IF(Исходн.данные.!I191&gt;6,1,1.85-(0.148*Исходн.данные.!I191))</f>
        <v>1.85</v>
      </c>
      <c r="AJ191">
        <f>IF(Исходн.данные.!I191&gt;6,1,2.434-(0.246*Исходн.данные.!I191))</f>
        <v>2.4340000000000002</v>
      </c>
      <c r="AL191" s="148" t="b">
        <f>IF(Исходн.данные.!$P191="Ум",N_OrgUd_2g_um,IF(Исходн.данные.!$P191="Об",N_OrgUd_2g_ob))</f>
        <v>0</v>
      </c>
      <c r="AM191" s="148" t="b">
        <f>IF(Исходн.данные.!$P191="Ум",P_OrgUd_2g_um,IF(Исходн.данные.!$P191="Об",P_OrgUd_2g_ob))</f>
        <v>0</v>
      </c>
      <c r="AN191" s="148" t="b">
        <f>IF(Исходн.данные.!$P191="Ум",K_OrgUd_2g_um,IF(Исходн.данные.!$P191="Об",K_OrgUd_2g_ob))</f>
        <v>0</v>
      </c>
      <c r="AO191" s="148" t="b">
        <f>IF(Исходн.данные.!$P191="Ум",N_OrgUd_1g_um,IF(Исходн.данные.!$P191="Об",N_OrgUd_1g_ob))</f>
        <v>0</v>
      </c>
      <c r="AP191" s="148" t="b">
        <f>IF(Исходн.данные.!$P191="Ум",P_OrgUd_1g_um,IF(Исходн.данные.!$P191="Об",P_OrgUd_1g_ob))</f>
        <v>0</v>
      </c>
      <c r="AQ191" s="148" t="b">
        <f>IF(Исходн.данные.!$P191="Ум",K_OrgUd_1g_um,IF(Исходн.данные.!$P191="Об",K_OrgUd_1g_ob))</f>
        <v>0</v>
      </c>
      <c r="AR191" t="b">
        <f>IF(Исходн.данные.!$P191="Ум",N_MinUd_2g_um,IF(Исходн.данные.!$P191="Об",N_MinUd_2g_ob))</f>
        <v>0</v>
      </c>
      <c r="AS191" t="b">
        <f>IF(Исходн.данные.!$P191="Ум",P_MinUd_2g_um,IF(Исходн.данные.!$P191="Об",P_MinUd_2g_ob))</f>
        <v>0</v>
      </c>
      <c r="AT191" t="b">
        <f>IF(Исходн.данные.!$P191="Ум",K_MinUd_2g_um,IF(Исходн.данные.!$P191="Об",K_MinUd_2g_ob))</f>
        <v>0</v>
      </c>
      <c r="AU191" t="b">
        <f>IF(Исходн.данные.!$P191="Ум",N_MinUd_1g_um,IF(Исходн.данные.!$P191="Об",N_MinUd_1g_ob))</f>
        <v>0</v>
      </c>
      <c r="AV191" t="b">
        <f>IF(Исходн.данные.!P191="Ум",P_MinUd_1g_um,IF(Исходн.данные.!P191="Об",P_MinUd_1g_ob))</f>
        <v>0</v>
      </c>
      <c r="AW191" t="b">
        <f>IF(Исходн.данные.!P191="Ум",K_MinUd_1g_um,IF(Исходн.данные.!P191="Об",K_MinUd_1g_ob))</f>
        <v>0</v>
      </c>
      <c r="AY191" t="e">
        <f>VLOOKUP(Исходн.данные.!T191,Справ!$A$3:$N$57,12)</f>
        <v>#N/A</v>
      </c>
      <c r="AZ191" t="e">
        <f>VLOOKUP(Исходн.данные.!T191,Справ!$A$3:$N$57,13)</f>
        <v>#N/A</v>
      </c>
      <c r="BA191" t="e">
        <f>VLOOKUP(Исходн.данные.!T191,Справ!$A$3:$N$57,14)</f>
        <v>#N/A</v>
      </c>
      <c r="BB191">
        <f>IF(Исходн.данные.!AH191=0,0,25)</f>
        <v>0</v>
      </c>
      <c r="BC191" s="141">
        <f>IF(Исходн.данные.!AH191=0,0,IF(Исходн.данные.!T191=0,25,BD191))</f>
        <v>0</v>
      </c>
      <c r="BD191" s="168" t="e">
        <f>AY191+AZ191*Исходн.данные.!U191-POWER(BA191,2)*Исходн.данные.!U191</f>
        <v>#N/A</v>
      </c>
      <c r="BE19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1" s="25">
        <f>IF(Исходн.данные.!AH191=0,0,MIN(HN191:HP191))</f>
        <v>0</v>
      </c>
      <c r="BG191" s="9">
        <f>IF(Исходн.данные.!AH191=0,0,IF((HO191+10*0.25/HG191/HL191)&lt;17,17,HO191+10*0.25/HG191/HL191))</f>
        <v>0</v>
      </c>
      <c r="BH191" s="181">
        <f>IF(Исходн.данные.!AH191=0,0,HW191*HF191*HL191/AU191*AI191+Исходн.данные.!S191*10)</f>
        <v>0</v>
      </c>
      <c r="BI191" s="10"/>
      <c r="BJ191" s="182">
        <f>IF(Исходн.данные.!AH191=0,0,IF(HX191*HG191*HL191/AV191&lt;0,0,HX191*HG191*HL191/AV191*AJ191))</f>
        <v>0</v>
      </c>
      <c r="BK191" s="182">
        <f>IF(Исходн.данные.!AH191=0,0,HY191*HH191*HM191/AW191)</f>
        <v>0</v>
      </c>
      <c r="BL191" s="10">
        <f>IF(OR(Исходн.данные.!$AH191=$BP$1,Исходн.данные.!$AH191=$BP$2),0,IF(BH191&lt;0,0,IF(OR(Исходн.данные.!T191=Расчет!$BP$1,Исходн.данные.!T191=Расчет!$BP$2,Исходн.данные.!T191=Расчет!$BT$5,Исходн.данные.!T191=Расчет!$BT$6),BH191*0.5,IF(OR(Исходн.данные.!T191=Расчет!$BS$9,Исходн.данные.!T191=Расчет!$BS$10,Исходн.данные.!T191=Расчет!$BS$11,Исходн.данные.!T191=Расчет!$BS$12,Исходн.данные.!T191=Расчет!$BP$5),BH191*0.8,BH191))))</f>
        <v>0</v>
      </c>
      <c r="BM191" s="10">
        <f>IF(OR(Исходн.данные.!$AH191=$BP$1,Исходн.данные.!$AH191=$BP$2),0,IF(BJ191&lt;0,0,IF(Исходн.данные.!I191&lt;4.5,BJ191*1.2,IF(Исходн.данные.!I191&gt;5.1,BJ191,BJ191*((5.1-Исходн.данные.!I191)*0.333+1)))))</f>
        <v>0</v>
      </c>
      <c r="BN191" s="10">
        <f>IF(OR(Исходн.данные.!$AH191=$BP$1,Исходн.данные.!$AH191=$BP$2),60-Исходн.данные.!AF191,IF(BK191&lt;0,0,IF(Исходн.данные.!I191&lt;4.5,BK191*1.2,IF(Исходн.данные.!I191&gt;5.1,BK191,BK191*((5.1-Исходн.данные.!I191)*0.333+1)))))</f>
        <v>0</v>
      </c>
      <c r="BO191" s="9">
        <f>IF(BL191&lt;0,0,BL191*Исходн.данные.!$AJ191/1000)</f>
        <v>0</v>
      </c>
      <c r="BP191" s="9">
        <f>IF(BM191&lt;0,0,BM191*Исходн.данные.!$AJ191/1000)</f>
        <v>0</v>
      </c>
      <c r="BQ191" s="9">
        <f>IF(BN191&lt;0,0,BN191*Исходн.данные.!$AJ191/1000)</f>
        <v>0</v>
      </c>
      <c r="BR191" s="9">
        <f t="shared" si="229"/>
        <v>0</v>
      </c>
      <c r="BS191" s="10" t="str">
        <f t="shared" si="230"/>
        <v>Аммофос 12:52:00</v>
      </c>
      <c r="BT191" s="10" t="str">
        <f t="shared" si="231"/>
        <v>Аммофос 12:52:00</v>
      </c>
      <c r="BU191" s="10" t="str">
        <f t="shared" si="232"/>
        <v>Диаммофоска</v>
      </c>
      <c r="BV191" s="10">
        <f t="shared" si="233"/>
        <v>0</v>
      </c>
      <c r="BW191" s="10"/>
      <c r="BX191" s="10"/>
      <c r="BY191" s="9">
        <f>IF(BL191&lt;0,0,IF(OR(Исходн.данные.!AI191=Расчет!$BU$6,Исходн.данные.!AI191=Расчет!$BU$7),Расчет!BV191,IF(Исходн.данные.!$AG191=$BV$11,BL191,IF(OR(Исходн.данные.!$AH191=$BQ$7,Исходн.данные.!$AH191=$BQ$8),CB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0,IF(Исходн.данные.!$AI191=$BU$11,"Нет",IF(BL191&gt;30,30,BL191)))))))</f>
        <v>0</v>
      </c>
      <c r="BZ191" s="9">
        <f>IF(AND(Исходн.данные.!$AG191=$BV$11,BM191&lt;10),10,IF(Исходн.данные.!$AG191=$BV$11,BM191,IF(OR(Исходн.данные.!$AH191=$BQ$7,Исходн.данные.!$AH191=$BQ$8),CC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10,IF(Исходн.данные.!$AI191=$BU$11,"Нет",IF(BM191&gt;60,60,IF(BM191&lt;10,10,BM191)))))))</f>
        <v>10</v>
      </c>
      <c r="CA191" s="39">
        <f>IF(BN191&lt;0,0,IF(Исходн.данные.!$AG191=$BV$11,BN191,IF(OR(Исходн.данные.!$AH191=$BQ$7,Исходн.данные.!$AH191=$BQ$8),CD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0,IF(Исходн.данные.!$AI191=$BU$11,"Нет",IF(BN191&gt;30,30,BN191))))))</f>
        <v>0</v>
      </c>
      <c r="CB191" s="9">
        <f t="shared" si="234"/>
        <v>0</v>
      </c>
      <c r="CC191" s="9">
        <f t="shared" si="235"/>
        <v>0</v>
      </c>
      <c r="CD191" s="9">
        <f t="shared" si="236"/>
        <v>0</v>
      </c>
      <c r="CE191" s="12">
        <f t="shared" si="237"/>
        <v>10</v>
      </c>
      <c r="CF191" s="9">
        <f t="shared" si="238"/>
        <v>0</v>
      </c>
      <c r="CG191" s="9" t="s">
        <v>231</v>
      </c>
      <c r="CH191" s="132" t="str">
        <f>IF(Исходн.данные.!AP191=Расчет!$CI$16,"Нет",IF(Исходн.данные.!AL191&gt;0,Исходн.данные.!AL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BH$4,IF(OR(Исходн.данные.!AI191=Исходн.данные.!$AI$6,Исходн.данные.!AI191=Исходн.данные.!$AI$7),Расчет!BS191,IF(AND($CF191=0,$CE191&gt;0),EV191,ER191)))))</f>
        <v>Аммофос 12:52:00</v>
      </c>
      <c r="CI191" s="274">
        <f>IF(Расчет!$CH191="Нет","Нет",IF(Исходн.данные.!$AL191&gt;0,VLOOKUP(Расчет!$CH191,АшламаДВ_Irekle,2,FALSE),VLOOKUP(Расчет!$CH191,АшламаДВ_Gomumy,2,FALSE)))</f>
        <v>0.12</v>
      </c>
      <c r="CJ191" s="274">
        <f>IF(Расчет!$CH191="Нет","Нет",IF(Исходн.данные.!$AL191&gt;0,VLOOKUP(Расчет!$CH191,АшламаДВ_Irekle,3,FALSE),VLOOKUP(Расчет!$CH191,АшламаДВ_Gomumy,3,FALSE)))</f>
        <v>0.52</v>
      </c>
      <c r="CK191" s="274">
        <f>IF(Расчет!$CH191="Нет","Нет",IF(Исходн.данные.!$AL191&gt;0,VLOOKUP(Расчет!$CH191,АшламаДВ_Irekle,4,FALSE),VLOOKUP(Расчет!$CH191,АшламаДВ_Gomumy,4,FALSE)))</f>
        <v>0</v>
      </c>
      <c r="CL191" s="70"/>
      <c r="CM191" s="70"/>
      <c r="CN191" s="70"/>
      <c r="CO191" s="70"/>
      <c r="CP191" s="70"/>
      <c r="CQ191" s="70"/>
      <c r="CR191" s="10">
        <f t="shared" si="239"/>
        <v>0</v>
      </c>
      <c r="CS191" s="10">
        <f t="shared" si="240"/>
        <v>19.23076923076923</v>
      </c>
      <c r="CT191" s="10">
        <f t="shared" si="241"/>
        <v>0</v>
      </c>
      <c r="CU191" s="39">
        <f>IF($CH191="Нет",0,IF(CI191=0,30/MIN(CJ191:CK191),IF(Исходн.данные.!$AG191=$BV$11,CR191,IF(OR(Исходн.данные.!$AH191=$BQ$7,Исходн.данные.!$AH191=$BQ$8),90/CI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0,IF(Исходн.данные.!$AI191=$BU$11,"Нет",30/CI191))))))</f>
        <v>250</v>
      </c>
      <c r="CV191" s="39">
        <f>IF($CH191="Нет",0,IF(Исходн.данные.!AH191=0,0,IF(CJ191=0,60/MIN(CI191,CK191),IF(Исходн.данные.!$AG191=$BV$11,CS191,IF(OR(Исходн.данные.!$AH191=$BQ$7,Исходн.данные.!$AH191=$BQ$8),90/CJ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10/CJ191,IF(Исходн.данные.!$AI191=$BU$11,"Нет",60/CJ191)))))))</f>
        <v>0</v>
      </c>
      <c r="CW191" s="39">
        <f>IF($CH191="Нет",0,IF(Исходн.данные.!AH191=0,0,IF(CK191=0,30/MIN(CI191:CJ191),IF(Исходн.данные.!$AG191=$BV$11,CT191,IF(OR(Исходн.данные.!$AH191=$BQ$7,Исходн.данные.!$AH191=$BQ$8),90/CK191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0,IF(Исходн.данные.!$AI191=$BU$11,"Нет",30/CK191)))))))</f>
        <v>0</v>
      </c>
      <c r="CX191" s="133">
        <f>IF(Исходн.данные.!$AG191=$BV$11,MAX(CU191:CW191),IF(OR(Исходн.данные.!$AH191=$BS$8,Исходн.данные.!$AH191=$BQ$9,Исходн.данные.!$AH191=$BQ$10,Исходн.данные.!$AH191=$BQ$11,Исходн.данные.!$AH191=$BQ$12,Исходн.данные.!$AH191=$BP$3,Исходн.данные.!$AH191=$BT$8,$FM191="Да"),CV191,MIN(CU191:CW191)))</f>
        <v>0</v>
      </c>
      <c r="CY191" s="133">
        <f>IF(Исходн.данные.!AH191=0,0,IF(CR191&gt;$CX191,$CX191,CR191))</f>
        <v>0</v>
      </c>
      <c r="CZ191" s="133">
        <f>IF(Исходн.данные.!AH191=0,0,IF(CS191&gt;$CX191,$CX191,CS191))</f>
        <v>0</v>
      </c>
      <c r="DA191" s="133">
        <f>IF(Исходн.данные.!AH191=0,0,IF(CT191&gt;$CX191,$CX191,CT191))</f>
        <v>0</v>
      </c>
      <c r="DB191" s="10">
        <f t="shared" si="242"/>
        <v>0</v>
      </c>
      <c r="DC191" s="39">
        <f>DB191*Исходн.данные.!AJ191/1000</f>
        <v>0</v>
      </c>
      <c r="DD191" s="71">
        <f t="shared" si="243"/>
        <v>0</v>
      </c>
      <c r="DE191" s="9">
        <f t="shared" si="244"/>
        <v>0</v>
      </c>
      <c r="DF191" s="9">
        <f t="shared" si="245"/>
        <v>0</v>
      </c>
      <c r="DG191" s="39">
        <f>IF(BL191&lt;0,0,IF($CH191="Нет",BL191,IF(OR(Исходн.данные.!$AH191=$BP$1,Исходн.данные.!$AH191=$BP$2),0,IF(Исходн.данные.!AI191=$BU$11,BL191,IF(BL191-DD191&lt;0,0,BL191-DD191)))))</f>
        <v>0</v>
      </c>
      <c r="DH191" s="39">
        <f>IF(BM191&lt;0,0,IF($CH191="Нет",BM191,IF(OR(Исходн.данные.!$AH191=$BP$1,Исходн.данные.!$AH191=$BP$2),0,IF(Исходн.данные.!AJ191=$BU$11,BM191,IF(BM191-DE191&lt;0,0,BM191-DE191)))))</f>
        <v>0</v>
      </c>
      <c r="DI191" s="39">
        <f>IF(BN191&lt;0,0,IF($CH191="Нет",BN191,IF(OR(Исходн.данные.!$AH191=$BP$1,Исходн.данные.!$AH191=$BP$2),0,IF(Исходн.данные.!AK191=$BU$11,BN191,IF(BN191-DF191&lt;0,0,BN191-DF191)))))</f>
        <v>0</v>
      </c>
      <c r="DJ191" s="12">
        <f t="shared" si="246"/>
        <v>0</v>
      </c>
      <c r="DK191" s="9">
        <f t="shared" si="247"/>
        <v>0</v>
      </c>
      <c r="DL191" s="39">
        <f>IF(Исходн.данные.!AM191&gt;0,Исходн.данные.!AM191,IF(EG191&gt;0,$BH$10,0))</f>
        <v>0</v>
      </c>
      <c r="DM191" s="186">
        <f>IF($DL191=0,0,IF(Исходн.данные.!AM191&gt;0,VLOOKUP($DL191,АшламаДВ_Irekle,2,FALSE),VLOOKUP($DL191,АшламаДВ_Gomumy,2,FALSE)))</f>
        <v>0</v>
      </c>
      <c r="DN191" s="10">
        <f t="shared" si="225"/>
        <v>0</v>
      </c>
      <c r="DO191" s="9" t="str">
        <f>IF(Исходн.данные.!AN191&gt;0,Исходн.данные.!AN191,Удобрения!$B$37 )</f>
        <v>Хлор.калий</v>
      </c>
      <c r="DP191" s="9">
        <f>IF(Исходн.данные.!AN191&gt;0,VLOOKUP(Исходн.данные.!AN191,АшламаДВ_Irekle,4,FALSE),VLOOKUP(DO191,АшламаДВ_Gomumy,4,FALSE))</f>
        <v>0.6</v>
      </c>
      <c r="DQ191" s="10">
        <f t="shared" si="226"/>
        <v>0</v>
      </c>
      <c r="DR191" s="132" t="str">
        <f>IF(Исходн.данные.!AO191&gt;0,Исходн.данные.!AO191,IF(DH191=0,BS$17,IF(AND($DK191=0,$DJ191&gt;0),EJ191,EN191)))</f>
        <v>Нет</v>
      </c>
      <c r="DS191" s="70" t="str">
        <f>IF($DR191="Нет","Нет",IF(Исходн.данные.!$AO191&gt;0,VLOOKUP($DR191,АшламаДВ_Irekle,2,FALSE),VLOOKUP($DR191,АшламаДВ_Gomumy,2,FALSE)))</f>
        <v>Нет</v>
      </c>
      <c r="DT191" s="70" t="str">
        <f>IF($DR191="Нет","Нет",IF(Исходн.данные.!$AO191&gt;0,VLOOKUP($DR191,АшламаДВ_Irekle,3,FALSE),VLOOKUP($DR191,АшламаДВ_Gomumy,3,FALSE)))</f>
        <v>Нет</v>
      </c>
      <c r="DU191" s="70" t="str">
        <f>IF($DR191="Нет","Нет",IF(Исходн.данные.!$AO191&gt;0,VLOOKUP($DR191,АшламаДВ_Irekle,4,FALSE),VLOOKUP($DR191,АшламаДВ_Gomumy,4,FALSE)))</f>
        <v>Нет</v>
      </c>
      <c r="DV191" s="70"/>
      <c r="DW191" s="70"/>
      <c r="DX191" s="70"/>
      <c r="DY191" s="10">
        <f t="shared" si="248"/>
        <v>0</v>
      </c>
      <c r="DZ191" s="10">
        <f t="shared" si="249"/>
        <v>0</v>
      </c>
      <c r="EA191" s="10">
        <f t="shared" si="250"/>
        <v>0</v>
      </c>
      <c r="EB191" s="10">
        <f t="shared" si="251"/>
        <v>0</v>
      </c>
      <c r="EC191" s="10">
        <f t="shared" si="252"/>
        <v>0</v>
      </c>
      <c r="ED191" s="10">
        <f t="shared" si="253"/>
        <v>0</v>
      </c>
      <c r="EE191" s="10">
        <f t="shared" si="254"/>
        <v>0</v>
      </c>
      <c r="EF191" s="39">
        <f>EB191*Исходн.данные.!AJ191/1000</f>
        <v>0</v>
      </c>
      <c r="EG191" s="9">
        <f t="shared" si="255"/>
        <v>0</v>
      </c>
      <c r="EH191" s="9">
        <f t="shared" si="256"/>
        <v>0</v>
      </c>
      <c r="EI191" s="39" t="e">
        <f t="shared" si="206"/>
        <v>#DIV/0!</v>
      </c>
      <c r="EJ191" s="9" t="str">
        <f t="shared" si="227"/>
        <v>Азопреципитат</v>
      </c>
      <c r="EK191" s="12">
        <f t="shared" si="207"/>
        <v>0.26</v>
      </c>
      <c r="EL191" s="12">
        <f t="shared" si="208"/>
        <v>0.13</v>
      </c>
      <c r="EM191" s="12">
        <f t="shared" si="209"/>
        <v>0</v>
      </c>
      <c r="EN191" s="12" t="str">
        <f t="shared" si="228"/>
        <v>Нет</v>
      </c>
      <c r="EO191" s="12">
        <f t="shared" si="210"/>
        <v>0</v>
      </c>
      <c r="EP191" s="12">
        <f t="shared" si="211"/>
        <v>0</v>
      </c>
      <c r="EQ191" s="12">
        <f t="shared" si="212"/>
        <v>0</v>
      </c>
      <c r="ER191" s="12" t="str">
        <f t="shared" si="257"/>
        <v>Диаммофоска</v>
      </c>
      <c r="ES191" s="12">
        <f t="shared" si="213"/>
        <v>0.1</v>
      </c>
      <c r="ET191" s="12">
        <f t="shared" si="214"/>
        <v>0.26</v>
      </c>
      <c r="EU191" s="12">
        <f t="shared" si="215"/>
        <v>0.26</v>
      </c>
      <c r="EV191" s="12" t="str">
        <f t="shared" si="258"/>
        <v>Аммофос 12:52:00</v>
      </c>
      <c r="EW191" s="12" t="str">
        <f t="shared" si="259"/>
        <v>Кемира Свекловичное-6</v>
      </c>
      <c r="EX191" s="12">
        <f t="shared" si="216"/>
        <v>0.16</v>
      </c>
      <c r="EY191" s="12">
        <f t="shared" si="217"/>
        <v>0.12</v>
      </c>
      <c r="EZ191" s="12">
        <f t="shared" si="218"/>
        <v>0.17</v>
      </c>
      <c r="FA191" s="38" t="e">
        <f>IF(AND(OR(FJ191=$FD$1,FM191=$FD$1,FO191=$FD$1,FQ191=$FD$1,FS191=$FD$1),FD191=$FD$1,Исходн.данные.!J191&lt;2,FU191=$FD$1),"Бор,Кобальт",IF(AND(FO191=$FD$1,FH191=$FD$1,Исходн.данные.!J191&lt;2,FU191=$FD$1),"Бор,Кобальт",IF(AND(OR(FJ191=$FD$1,FM191=$FD$1,FQ191=$FD$1),FE191=$FD$1,Исходн.данные.!J191&lt;2,FT191=$FD$1,FU191=$FD$1),"Бор,Медь,Цинк",IF(AND(OR(FJ191=$FD$1,FR191="Да"),FI191="Да",Исходн.данные.!J191&lt;2,FT191="Да",FU191="Да"),"Бор,Цинк,Медь",IF(AND(OR(FM191="Да",FQ191="Да"),FI191="Да",Исходн.данные.!J191&lt;2,FT191="Да",FU191="Да"),"Бор,Цинк",IF(AND(FN191="Да",OR(FD191="Да",FE191="Да")),"Бор",FB191))))))</f>
        <v>#N/A</v>
      </c>
      <c r="FB191" s="134" t="e">
        <f>IF(AND(OR(FD191="Да",FE191="Да",FF191="Да",FG191="Да",FH191="Да"),FO191="Да"),"Бор",IF(AND(FP191="Да",OR(FD191="Да",FE191="Да",FI191="Да")),"Бор",IF(AND(FS191="Да",FE191="Да"),"Бор,Медь",IF(AND(OR(FJ191="Да",FK191="Да",FL191="Да"),FE191="Да",Исходн.данные.!I191&lt;5,FT191="Да",FU191="Да"),"Молибден,Цинк",IF(AND(FM191="Да",OR(FE191="Да",FF191="Да",FG191="Да",FH191="Да",FI191="Да")),"Молибден,Цинк",IF(AND(OR(FJ191="Да",FK191="Да",FL191="Да",FM191="Да",FQ191="Да"),OR(FE191="Да",FF191="Да"),FT191="Да",FU191="Да",Исходн.данные.!I191&gt;5.5),"Медь,Цинк",FC191))))))</f>
        <v>#N/A</v>
      </c>
      <c r="FC191" s="23" t="e">
        <f t="shared" si="260"/>
        <v>#N/A</v>
      </c>
      <c r="FD191" s="38" t="str">
        <f>IF(OR(Исходн.данные.!F191=$CC$1,Исходн.данные.!F191=$CC$2,Исходн.данные.!F191=$CC$3,Исходн.данные.!F191=$CC$4),"Да","Нет")</f>
        <v>Нет</v>
      </c>
      <c r="FE191" s="38" t="str">
        <f>IF(Исходн.данные.!F191=$CC$5,"Да","Нет")</f>
        <v>Нет</v>
      </c>
      <c r="FF191" s="38" t="str">
        <f>IF(OR(Исходн.данные.!F191=$CC$6,Исходн.данные.!F191=$CC$7),"Да","Нет")</f>
        <v>Нет</v>
      </c>
      <c r="FG191" s="38" t="str">
        <f>IF(OR(Исходн.данные.!F191=$CC$8,Исходн.данные.!F191=$CC$9),"Да","Нет")</f>
        <v>Нет</v>
      </c>
      <c r="FH191" s="38" t="str">
        <f>IF(Исходн.данные.!F191=$CC$10,"Да","Нет")</f>
        <v>Нет</v>
      </c>
      <c r="FI191" s="38" t="str">
        <f>IF(OR(Исходн.данные.!F191=$CC$11,Исходн.данные.!F191=$CC$12),"Да","Нет")</f>
        <v>Нет</v>
      </c>
      <c r="FJ191" s="38" t="str">
        <f>IF(OR(Исходн.данные.!AH191=$BS$1,Исходн.данные.!AH191=$BQ$11,Исходн.данные.!AH191=$BQ$12),"Да","Нет")</f>
        <v>Нет</v>
      </c>
      <c r="FK191" s="38" t="str">
        <f>IF(OR(Исходн.данные.!AH191=$BS$2,Исходн.данные.!AH191=$BS$4),"Да","Нет")</f>
        <v>Нет</v>
      </c>
      <c r="FL191" s="38" t="str">
        <f>IF(OR(Исходн.данные.!AH191=$BS$3,Исходн.данные.!AH191=$BS$5),"Да","Нет")</f>
        <v>Нет</v>
      </c>
      <c r="FM191" s="38" t="str">
        <f>IF(OR(Исходн.данные.!AH191=$BS$9,Исходн.данные.!AH191=$BS$10,Исходн.данные.!AH191=$BS$11,Исходн.данные.!AH191=$BS$12),"Да","Нет")</f>
        <v>Нет</v>
      </c>
      <c r="FN191" s="38" t="str">
        <f>IF(OR(Исходн.данные.!AH191=$BS$6,Исходн.данные.!AH191=$BP$3),"Да","Нет")</f>
        <v>Нет</v>
      </c>
      <c r="FO191" s="38" t="str">
        <f>IF(Исходн.данные.!AH191=$BQ$9,"Да","Нет")</f>
        <v>Нет</v>
      </c>
      <c r="FP191" s="38" t="str">
        <f>IF(OR(Исходн.данные.!AH191=$BS$8,Исходн.данные.!AH191=$BT$8),"Да","Нет")</f>
        <v>Нет</v>
      </c>
      <c r="FQ191" s="38" t="str">
        <f>IF(OR(Исходн.данные.!AH191=$BQ$7,Исходн.данные.!AH191=$BQ$8),"Да","Нет")</f>
        <v>Нет</v>
      </c>
      <c r="FR191" s="38" t="str">
        <f>IF(Исходн.данные.!AI191=$BU$9,"Да","Нет")</f>
        <v>Нет</v>
      </c>
      <c r="FS191" s="38" t="str">
        <f>IF(OR(Исходн.данные.!AH191=$BP$1,Исходн.данные.!AH191=$BP$2),"Да","Нет")</f>
        <v>Нет</v>
      </c>
      <c r="FT191" s="38" t="e">
        <f>IF((Исходн.данные.!K191*GO191*GS191*GW191+BL191*0.6+Исходн.данные.!Q191*4.5*0.275)&gt;90,"Да","Нет")</f>
        <v>#N/A</v>
      </c>
      <c r="FU191" s="38" t="e">
        <f>IF((Исходн.данные.!M191*GS191*GZ191+BM191*0.225)&gt;35,"Да","Нет")</f>
        <v>#N/A</v>
      </c>
      <c r="FV191" s="38" t="str">
        <f>IF(Исходн.данные.!O191&gt;175,"Да","Нет")</f>
        <v>Нет</v>
      </c>
      <c r="FW191" s="39" t="str">
        <f>IF(Исходн.данные.!I191&gt;5.5,"Да","Нет")</f>
        <v>Нет</v>
      </c>
      <c r="FX191" s="39" t="str">
        <f>IF(Исходн.данные.!J191&lt;2,"Да","Нет")</f>
        <v>Да</v>
      </c>
      <c r="FY191" s="39" t="e">
        <f>IF(HF191=$FY$16,0,Исходн.данные.!K191*GO191*GS191*GW191/HF191)</f>
        <v>#N/A</v>
      </c>
      <c r="FZ191" s="39" t="e">
        <f>Исходн.данные.!M191*GS191*GZ191/HG191</f>
        <v>#N/A</v>
      </c>
      <c r="GA191" s="39" t="e">
        <f>IF(K_Wyn=$FY$16,0,IF(Исходн.данные.!N191=Исходн.данные.!$L$10,Исходн.данные.!O191/1.1*GS191*HC191/HH191,IF(Исходн.данные.!N191=Исходн.данные.!$L$12,Исходн.данные.!O191/1.5*GS191*HC191/HH191,Исходн.данные.!O191*GS191*HC191/HH191)))</f>
        <v>#N/A</v>
      </c>
      <c r="GB191" s="39" t="e">
        <f>IF(HF191=$FY$16,0,((Исходн.данные.!Q191*N_Org+Исходн.данные.!R191*N_Sider+Исходн.данные.!S191*N_Soloma)*AO191+Расчет!BC191*VLOOKUP(Исходн.данные.!T191,Справ!$A$3:$O$57,15)*AO191+BB191*VLOOKUP(Исходн.данные.!T191,Справ!$A$3:$O$57,15)*AL191+(Исходн.данные.!V191*N_Rizotorf+Исходн.данные.!W191*N_Rizoagr))/HF191)</f>
        <v>#N/A</v>
      </c>
      <c r="GC191" s="39" t="e">
        <f>IF(HG191=$FY$16,0,((Исходн.данные.!Q191*Р_Org+Исходн.данные.!R191*P_Sider+Исходн.данные.!S191*P_Soloma)*AP191+Расчет!BC191*VLOOKUP(Исходн.данные.!T191,Справ!$A$3:$P$57,16)*AP191+BB191*VLOOKUP(Исходн.данные.!T191,Справ!$A$3:$P$57,16)*AM191)/HG191)</f>
        <v>#N/A</v>
      </c>
      <c r="GD191" s="39" t="e">
        <f>IF(HH191=$FY$16,0,((Исходн.данные.!Q191*К_Org+Исходн.данные.!R191*K_Sider+Исходн.данные.!S191*K_Soloma)*AQ191+Расчет!BC191*VLOOKUP(Исходн.данные.!T191,Справ!$A$3:$Q$57,17)*AQ191+BB191*VLOOKUP(Исходн.данные.!T191,Справ!$A$3:$Q$57,17)*AN191)/HH191)</f>
        <v>#N/A</v>
      </c>
      <c r="GE191" s="39" t="e">
        <f>IF(HF191=$FY$16,0,(Исходн.данные.!X191*AR191+Исходн.данные.!AA191*N_Org*AL191+Исходн.данные.!AB191*N_Sider*AL191+Исходн.данные.!AC191*N_Soloma*AL191)/HF191)</f>
        <v>#N/A</v>
      </c>
      <c r="GF191" s="39" t="e">
        <f>IF(HG191=$FY$16,0,(Исходн.данные.!Y191*AS191+Исходн.данные.!AA191*Р_Org*AM191+Исходн.данные.!AB191*P_Sider*AM191+Исходн.данные.!AC191*P_Soloma*AM191)/HG191)</f>
        <v>#N/A</v>
      </c>
      <c r="GG191" s="39" t="e">
        <f>IF(HH191=$FY$16,0,(Исходн.данные.!Z191*AT191+Исходн.данные.!AA191*К_Org*AN191+Исходн.данные.!AB191*K_Sider*AN191+Исходн.данные.!AC191*K_Soloma*AN191)/HH191)</f>
        <v>#N/A</v>
      </c>
      <c r="GH191" s="39" t="e">
        <f>Исходн.данные.!AD191*AU191/HF191</f>
        <v>#N/A</v>
      </c>
      <c r="GI191" s="39" t="e">
        <f>Исходн.данные.!AE191*AV191/HG191</f>
        <v>#N/A</v>
      </c>
      <c r="GJ191" s="39" t="e">
        <f>Исходн.данные.!AF191*AW191/HH191</f>
        <v>#N/A</v>
      </c>
      <c r="GK191" s="55">
        <f>Исходн.данные.!AK191</f>
        <v>0</v>
      </c>
      <c r="GL191" s="11" t="e">
        <f t="shared" si="261"/>
        <v>#N/A</v>
      </c>
      <c r="GM191" s="11" t="e">
        <f t="shared" si="262"/>
        <v>#N/A</v>
      </c>
      <c r="GN191" s="11" t="e">
        <f t="shared" si="263"/>
        <v>#N/A</v>
      </c>
      <c r="GO191" s="57">
        <f t="shared" si="264"/>
        <v>19</v>
      </c>
      <c r="GP191" s="55">
        <f>IF(OR(Исходн.данные.!F191=$CE$1,Исходн.данные.!F191=$CE$2,Исходн.данные.!F191=$CE$3,Исходн.данные.!F191=$CE$4,Исходн.данные.!F191=$CE$5),GQ191,GR191)</f>
        <v>19</v>
      </c>
      <c r="GQ191" s="55">
        <f>IF(Исходн.данные.!F191=$CE$1,28,IF(Исходн.данные.!F191=$CE$2,26,IF(Исходн.данные.!F191=$CE$3,24,IF(Исходн.данные.!F191=$CE$4,22,IF(Исходн.данные.!F191=$CE$5,20,GR191)))))</f>
        <v>19</v>
      </c>
      <c r="GR191" s="55">
        <f>IF(Исходн.данные.!F191=$CE$6,18,IF(Исходн.данные.!F191=$CE$7,16,IF(Исходн.данные.!F191=$CE$8,14,IF(Исходн.данные.!F191=$CE$9,13,IF(Исходн.данные.!F191=$CE$10,12,19)))))</f>
        <v>19</v>
      </c>
      <c r="GS191" s="55">
        <f>IF(Исходн.данные.!G191="Пес",0.035*(40+2*Исходн.данные.!H191),IF(Исходн.данные.!G191="Суп",0.0325*(40+2*Исходн.данные.!H191),0.03*(40+2*Исходн.данные.!H191)))</f>
        <v>1.2</v>
      </c>
      <c r="GT191" s="55">
        <f>IF(Исходн.данные.!H191&lt;23,2.6,IF(AND(Исходн.данные.!H191&gt;22,Исходн.данные.!H191&lt;26),3,IF(AND(Исходн.данные.!H191&gt;25,Исходн.данные.!H191&lt;29),3.4,3.6)))</f>
        <v>2.6</v>
      </c>
      <c r="GU191" s="55">
        <f>IF(Исходн.данные.!H191&lt;23,2.8,IF(AND(Исходн.данные.!H191&gt;22,Исходн.данные.!H191&lt;26),3.2,IF(AND(Исходн.данные.!H191&gt;25,Исходн.данные.!H191&lt;29),3.6,3.9)))</f>
        <v>2.8</v>
      </c>
      <c r="GV191" s="55">
        <f>IF(Исходн.данные.!H191&lt;23,3,IF(AND(Исходн.данные.!H191&gt;22,Исходн.данные.!H191&lt;26),3.5,IF(AND(Исходн.данные.!H191&gt;25,Исходн.данные.!H191&lt;29),3.9,4.2)))</f>
        <v>3</v>
      </c>
      <c r="GW191" s="55" t="e">
        <f>IF(Исходн.данные.!P191="Ум",GX191,GY191)</f>
        <v>#N/A</v>
      </c>
      <c r="GX191" s="55" t="e">
        <f>VLOOKUP(Исходн.данные.!AI191,Коэффициенты!$J$7:$L$13,2,FALSE)</f>
        <v>#N/A</v>
      </c>
      <c r="GY191" s="55" t="e">
        <f>VLOOKUP(Исходн.данные.!AI191,Коэффициенты!$J$7:$L$13,3,FALSE)</f>
        <v>#N/A</v>
      </c>
      <c r="GZ191" s="55" t="e">
        <f>(IF(Исходн.данные.!M191&lt;50,0.11*VLOOKUP(Исходн.данные.!AH191,Культуры.Информация,7,FALSE),IF(Исходн.данные.!M191&gt;250,0.05*VLOOKUP(Исходн.данные.!AH191,Культуры.Информация,7,FALSE),VLOOKUP(Исходн.данные.!AH191,Культуры.Информация,5,FALSE)/100*($GX$6+$GY$6*Исходн.данные.!M191))))*Расчет2!AI191</f>
        <v>#N/A</v>
      </c>
      <c r="HA191" s="211"/>
      <c r="HB191" s="211"/>
      <c r="HC191" s="55" t="e">
        <f>(IF(Исходн.данные.!O191&lt;80,0.2*VLOOKUP(Исходн.данные.!AH191,Культуры.Информация,8,FALSE),IF(Исходн.данные.!O191&gt;240,0.09*VLOOKUP(Исходн.данные.!AH191,Культуры.Информация,8,FALSE),VLOOKUP(Исходн.данные.!AH191,Культуры.Информация,6,FALSE)/100*($HB$6+$HC$6*Исходн.данные.!O191))))*Расчет2!AJ191</f>
        <v>#N/A</v>
      </c>
      <c r="HD191" s="55">
        <f>IF(Исходн.данные.!O191&gt;240,0.09,IF(Исходн.данные.!O191&lt;30,0.3,$HE$10+$HD$10*Исходн.данные.!O191))</f>
        <v>0.3</v>
      </c>
      <c r="HE191" s="55">
        <f>IF(Исходн.данные.!O191&gt;240,0.17,IF(Исходн.данные.!O191&lt;30,0.5,$HF$12+$HE$12*Исходн.данные.!O191))</f>
        <v>0.5</v>
      </c>
      <c r="HF191" s="55" t="e">
        <f>VLOOKUP(Исходн.данные.!AH191,Справ!$A$3:$D$58,2,FALSE)</f>
        <v>#N/A</v>
      </c>
      <c r="HG191" s="55" t="e">
        <f>VLOOKUP(Исходн.данные.!AH191,Справ!$A$3:$D$58,3,FALSE)</f>
        <v>#N/A</v>
      </c>
      <c r="HH191" s="55" t="e">
        <f>VLOOKUP(Исходн.данные.!AH191,Справ!$A$3:$D$58,4,FALSE)</f>
        <v>#N/A</v>
      </c>
      <c r="HI191" s="11" t="e">
        <f t="shared" si="265"/>
        <v>#N/A</v>
      </c>
      <c r="HJ191" s="11" t="e">
        <f t="shared" si="266"/>
        <v>#N/A</v>
      </c>
      <c r="HK191" s="11" t="e">
        <f t="shared" si="267"/>
        <v>#N/A</v>
      </c>
      <c r="HL191" s="55">
        <f>IF(OR(Исходн.данные.!G191="Глин",Исходн.данные.!G191="Т_суг"),1.1,IF(Исходн.данные.!G191="Ср_суг",1,1))</f>
        <v>1</v>
      </c>
      <c r="HM191" s="55">
        <f>IF(OR(Исходн.данные.!G191="Глин",Исходн.данные.!G191="Т_суг"),0.9,IF(Исходн.данные.!G191="Ср_суг",1,1.2))</f>
        <v>1.2</v>
      </c>
      <c r="HN191" s="11" t="e">
        <f t="shared" si="268"/>
        <v>#N/A</v>
      </c>
      <c r="HO191" s="11" t="e">
        <f t="shared" si="269"/>
        <v>#N/A</v>
      </c>
      <c r="HP191" s="11" t="e">
        <f t="shared" si="270"/>
        <v>#N/A</v>
      </c>
      <c r="HQ191" t="e">
        <f t="shared" si="271"/>
        <v>#N/A</v>
      </c>
      <c r="HR191" t="e">
        <f t="shared" si="272"/>
        <v>#N/A</v>
      </c>
      <c r="HS191" t="e">
        <f t="shared" si="273"/>
        <v>#N/A</v>
      </c>
      <c r="HT191" t="e">
        <f t="shared" si="219"/>
        <v>#N/A</v>
      </c>
      <c r="HU191" t="e">
        <f t="shared" si="220"/>
        <v>#N/A</v>
      </c>
      <c r="HV191" t="e">
        <f t="shared" si="221"/>
        <v>#N/A</v>
      </c>
      <c r="HW191" t="e">
        <f t="shared" si="222"/>
        <v>#N/A</v>
      </c>
      <c r="HX191" t="e">
        <f t="shared" si="223"/>
        <v>#N/A</v>
      </c>
      <c r="HY191" t="e">
        <f t="shared" si="224"/>
        <v>#N/A</v>
      </c>
      <c r="HZ191" s="55">
        <f>IF(OR(Исходн.данные.!AI191="Оз_Ч_П",Исходн.данные.!AI191="Оз_З_П",Исходн.данные.!AI191="Яр_зер"),12,30)</f>
        <v>30</v>
      </c>
      <c r="IA191" t="e">
        <f t="shared" si="274"/>
        <v>#N/A</v>
      </c>
      <c r="IB191" t="e">
        <f t="shared" si="275"/>
        <v>#N/A</v>
      </c>
      <c r="IC191" t="e">
        <f t="shared" si="276"/>
        <v>#N/A</v>
      </c>
      <c r="ID191" s="11" t="e">
        <f t="shared" si="277"/>
        <v>#N/A</v>
      </c>
      <c r="IE191" s="11" t="e">
        <f t="shared" si="278"/>
        <v>#N/A</v>
      </c>
      <c r="IF191" s="11" t="e">
        <f t="shared" si="279"/>
        <v>#N/A</v>
      </c>
    </row>
    <row r="192" spans="35:240" x14ac:dyDescent="0.2">
      <c r="AI192">
        <f>IF(Исходн.данные.!I192&gt;6,1,1.85-(0.148*Исходн.данные.!I192))</f>
        <v>1.85</v>
      </c>
      <c r="AJ192">
        <f>IF(Исходн.данные.!I192&gt;6,1,2.434-(0.246*Исходн.данные.!I192))</f>
        <v>2.4340000000000002</v>
      </c>
      <c r="AL192" s="148" t="b">
        <f>IF(Исходн.данные.!$P192="Ум",N_OrgUd_2g_um,IF(Исходн.данные.!$P192="Об",N_OrgUd_2g_ob))</f>
        <v>0</v>
      </c>
      <c r="AM192" s="148" t="b">
        <f>IF(Исходн.данные.!$P192="Ум",P_OrgUd_2g_um,IF(Исходн.данные.!$P192="Об",P_OrgUd_2g_ob))</f>
        <v>0</v>
      </c>
      <c r="AN192" s="148" t="b">
        <f>IF(Исходн.данные.!$P192="Ум",K_OrgUd_2g_um,IF(Исходн.данные.!$P192="Об",K_OrgUd_2g_ob))</f>
        <v>0</v>
      </c>
      <c r="AO192" s="148" t="b">
        <f>IF(Исходн.данные.!$P192="Ум",N_OrgUd_1g_um,IF(Исходн.данные.!$P192="Об",N_OrgUd_1g_ob))</f>
        <v>0</v>
      </c>
      <c r="AP192" s="148" t="b">
        <f>IF(Исходн.данные.!$P192="Ум",P_OrgUd_1g_um,IF(Исходн.данные.!$P192="Об",P_OrgUd_1g_ob))</f>
        <v>0</v>
      </c>
      <c r="AQ192" s="148" t="b">
        <f>IF(Исходн.данные.!$P192="Ум",K_OrgUd_1g_um,IF(Исходн.данные.!$P192="Об",K_OrgUd_1g_ob))</f>
        <v>0</v>
      </c>
      <c r="AR192" t="b">
        <f>IF(Исходн.данные.!$P192="Ум",N_MinUd_2g_um,IF(Исходн.данные.!$P192="Об",N_MinUd_2g_ob))</f>
        <v>0</v>
      </c>
      <c r="AS192" t="b">
        <f>IF(Исходн.данные.!$P192="Ум",P_MinUd_2g_um,IF(Исходн.данные.!$P192="Об",P_MinUd_2g_ob))</f>
        <v>0</v>
      </c>
      <c r="AT192" t="b">
        <f>IF(Исходн.данные.!$P192="Ум",K_MinUd_2g_um,IF(Исходн.данные.!$P192="Об",K_MinUd_2g_ob))</f>
        <v>0</v>
      </c>
      <c r="AU192" t="b">
        <f>IF(Исходн.данные.!$P192="Ум",N_MinUd_1g_um,IF(Исходн.данные.!$P192="Об",N_MinUd_1g_ob))</f>
        <v>0</v>
      </c>
      <c r="AV192" t="b">
        <f>IF(Исходн.данные.!P192="Ум",P_MinUd_1g_um,IF(Исходн.данные.!P192="Об",P_MinUd_1g_ob))</f>
        <v>0</v>
      </c>
      <c r="AW192" t="b">
        <f>IF(Исходн.данные.!P192="Ум",K_MinUd_1g_um,IF(Исходн.данные.!P192="Об",K_MinUd_1g_ob))</f>
        <v>0</v>
      </c>
      <c r="AY192" t="e">
        <f>VLOOKUP(Исходн.данные.!T192,Справ!$A$3:$N$57,12)</f>
        <v>#N/A</v>
      </c>
      <c r="AZ192" t="e">
        <f>VLOOKUP(Исходн.данные.!T192,Справ!$A$3:$N$57,13)</f>
        <v>#N/A</v>
      </c>
      <c r="BA192" t="e">
        <f>VLOOKUP(Исходн.данные.!T192,Справ!$A$3:$N$57,14)</f>
        <v>#N/A</v>
      </c>
      <c r="BB192">
        <f>IF(Исходн.данные.!AH192=0,0,25)</f>
        <v>0</v>
      </c>
      <c r="BC192" s="141">
        <f>IF(Исходн.данные.!AH192=0,0,IF(Исходн.данные.!T192=0,25,BD192))</f>
        <v>0</v>
      </c>
      <c r="BD192" s="168" t="e">
        <f>AY192+AZ192*Исходн.данные.!U192-POWER(BA192,2)*Исходн.данные.!U192</f>
        <v>#N/A</v>
      </c>
      <c r="BE19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2" s="25">
        <f>IF(Исходн.данные.!AH192=0,0,MIN(HN192:HP192))</f>
        <v>0</v>
      </c>
      <c r="BG192" s="9">
        <f>IF(Исходн.данные.!AH192=0,0,IF((HO192+10*0.25/HG192/HL192)&lt;17,17,HO192+10*0.25/HG192/HL192))</f>
        <v>0</v>
      </c>
      <c r="BH192" s="181">
        <f>IF(Исходн.данные.!AH192=0,0,HW192*HF192*HL192/AU192*AI192+Исходн.данные.!S192*10)</f>
        <v>0</v>
      </c>
      <c r="BI192" s="10"/>
      <c r="BJ192" s="182">
        <f>IF(Исходн.данные.!AH192=0,0,IF(HX192*HG192*HL192/AV192&lt;0,0,HX192*HG192*HL192/AV192*AJ192))</f>
        <v>0</v>
      </c>
      <c r="BK192" s="182">
        <f>IF(Исходн.данные.!AH192=0,0,HY192*HH192*HM192/AW192)</f>
        <v>0</v>
      </c>
      <c r="BL192" s="10">
        <f>IF(OR(Исходн.данные.!$AH192=$BP$1,Исходн.данные.!$AH192=$BP$2),0,IF(BH192&lt;0,0,IF(OR(Исходн.данные.!T192=Расчет!$BP$1,Исходн.данные.!T192=Расчет!$BP$2,Исходн.данные.!T192=Расчет!$BT$5,Исходн.данные.!T192=Расчет!$BT$6),BH192*0.5,IF(OR(Исходн.данные.!T192=Расчет!$BS$9,Исходн.данные.!T192=Расчет!$BS$10,Исходн.данные.!T192=Расчет!$BS$11,Исходн.данные.!T192=Расчет!$BS$12,Исходн.данные.!T192=Расчет!$BP$5),BH192*0.8,BH192))))</f>
        <v>0</v>
      </c>
      <c r="BM192" s="10">
        <f>IF(OR(Исходн.данные.!$AH192=$BP$1,Исходн.данные.!$AH192=$BP$2),0,IF(BJ192&lt;0,0,IF(Исходн.данные.!I192&lt;4.5,BJ192*1.2,IF(Исходн.данные.!I192&gt;5.1,BJ192,BJ192*((5.1-Исходн.данные.!I192)*0.333+1)))))</f>
        <v>0</v>
      </c>
      <c r="BN192" s="10">
        <f>IF(OR(Исходн.данные.!$AH192=$BP$1,Исходн.данные.!$AH192=$BP$2),60-Исходн.данные.!AF192,IF(BK192&lt;0,0,IF(Исходн.данные.!I192&lt;4.5,BK192*1.2,IF(Исходн.данные.!I192&gt;5.1,BK192,BK192*((5.1-Исходн.данные.!I192)*0.333+1)))))</f>
        <v>0</v>
      </c>
      <c r="BO192" s="9">
        <f>IF(BL192&lt;0,0,BL192*Исходн.данные.!$AJ192/1000)</f>
        <v>0</v>
      </c>
      <c r="BP192" s="9">
        <f>IF(BM192&lt;0,0,BM192*Исходн.данные.!$AJ192/1000)</f>
        <v>0</v>
      </c>
      <c r="BQ192" s="9">
        <f>IF(BN192&lt;0,0,BN192*Исходн.данные.!$AJ192/1000)</f>
        <v>0</v>
      </c>
      <c r="BR192" s="9">
        <f t="shared" si="229"/>
        <v>0</v>
      </c>
      <c r="BS192" s="10" t="str">
        <f t="shared" si="230"/>
        <v>Аммофос 12:52:00</v>
      </c>
      <c r="BT192" s="10" t="str">
        <f t="shared" si="231"/>
        <v>Аммофос 12:52:00</v>
      </c>
      <c r="BU192" s="10" t="str">
        <f t="shared" si="232"/>
        <v>Диаммофоска</v>
      </c>
      <c r="BV192" s="10">
        <f t="shared" si="233"/>
        <v>0</v>
      </c>
      <c r="BW192" s="10"/>
      <c r="BX192" s="10"/>
      <c r="BY192" s="9">
        <f>IF(BL192&lt;0,0,IF(OR(Исходн.данные.!AI192=Расчет!$BU$6,Исходн.данные.!AI192=Расчет!$BU$7),Расчет!BV192,IF(Исходн.данные.!$AG192=$BV$11,BL192,IF(OR(Исходн.данные.!$AH192=$BQ$7,Исходн.данные.!$AH192=$BQ$8),CB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0,IF(Исходн.данные.!$AI192=$BU$11,"Нет",IF(BL192&gt;30,30,BL192)))))))</f>
        <v>0</v>
      </c>
      <c r="BZ192" s="9">
        <f>IF(AND(Исходн.данные.!$AG192=$BV$11,BM192&lt;10),10,IF(Исходн.данные.!$AG192=$BV$11,BM192,IF(OR(Исходн.данные.!$AH192=$BQ$7,Исходн.данные.!$AH192=$BQ$8),CC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10,IF(Исходн.данные.!$AI192=$BU$11,"Нет",IF(BM192&gt;60,60,IF(BM192&lt;10,10,BM192)))))))</f>
        <v>10</v>
      </c>
      <c r="CA192" s="39">
        <f>IF(BN192&lt;0,0,IF(Исходн.данные.!$AG192=$BV$11,BN192,IF(OR(Исходн.данные.!$AH192=$BQ$7,Исходн.данные.!$AH192=$BQ$8),CD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0,IF(Исходн.данные.!$AI192=$BU$11,"Нет",IF(BN192&gt;30,30,BN192))))))</f>
        <v>0</v>
      </c>
      <c r="CB192" s="9">
        <f t="shared" si="234"/>
        <v>0</v>
      </c>
      <c r="CC192" s="9">
        <f t="shared" si="235"/>
        <v>0</v>
      </c>
      <c r="CD192" s="9">
        <f t="shared" si="236"/>
        <v>0</v>
      </c>
      <c r="CE192" s="12">
        <f t="shared" si="237"/>
        <v>10</v>
      </c>
      <c r="CF192" s="9">
        <f t="shared" si="238"/>
        <v>0</v>
      </c>
      <c r="CG192" s="9" t="s">
        <v>231</v>
      </c>
      <c r="CH192" s="132" t="str">
        <f>IF(Исходн.данные.!AP192=Расчет!$CI$16,"Нет",IF(Исходн.данные.!AL192&gt;0,Исходн.данные.!AL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BH$4,IF(OR(Исходн.данные.!AI192=Исходн.данные.!$AI$6,Исходн.данные.!AI192=Исходн.данные.!$AI$7),Расчет!BS192,IF(AND($CF192=0,$CE192&gt;0),EV192,ER192)))))</f>
        <v>Аммофос 12:52:00</v>
      </c>
      <c r="CI192" s="274">
        <f>IF(Расчет!$CH192="Нет","Нет",IF(Исходн.данные.!$AL192&gt;0,VLOOKUP(Расчет!$CH192,АшламаДВ_Irekle,2,FALSE),VLOOKUP(Расчет!$CH192,АшламаДВ_Gomumy,2,FALSE)))</f>
        <v>0.12</v>
      </c>
      <c r="CJ192" s="274">
        <f>IF(Расчет!$CH192="Нет","Нет",IF(Исходн.данные.!$AL192&gt;0,VLOOKUP(Расчет!$CH192,АшламаДВ_Irekle,3,FALSE),VLOOKUP(Расчет!$CH192,АшламаДВ_Gomumy,3,FALSE)))</f>
        <v>0.52</v>
      </c>
      <c r="CK192" s="274">
        <f>IF(Расчет!$CH192="Нет","Нет",IF(Исходн.данные.!$AL192&gt;0,VLOOKUP(Расчет!$CH192,АшламаДВ_Irekle,4,FALSE),VLOOKUP(Расчет!$CH192,АшламаДВ_Gomumy,4,FALSE)))</f>
        <v>0</v>
      </c>
      <c r="CL192" s="70"/>
      <c r="CM192" s="70"/>
      <c r="CN192" s="70"/>
      <c r="CO192" s="70"/>
      <c r="CP192" s="70"/>
      <c r="CQ192" s="70"/>
      <c r="CR192" s="10">
        <f t="shared" si="239"/>
        <v>0</v>
      </c>
      <c r="CS192" s="10">
        <f t="shared" si="240"/>
        <v>19.23076923076923</v>
      </c>
      <c r="CT192" s="10">
        <f t="shared" si="241"/>
        <v>0</v>
      </c>
      <c r="CU192" s="39">
        <f>IF($CH192="Нет",0,IF(CI192=0,30/MIN(CJ192:CK192),IF(Исходн.данные.!$AG192=$BV$11,CR192,IF(OR(Исходн.данные.!$AH192=$BQ$7,Исходн.данные.!$AH192=$BQ$8),90/CI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0,IF(Исходн.данные.!$AI192=$BU$11,"Нет",30/CI192))))))</f>
        <v>250</v>
      </c>
      <c r="CV192" s="39">
        <f>IF($CH192="Нет",0,IF(Исходн.данные.!AH192=0,0,IF(CJ192=0,60/MIN(CI192,CK192),IF(Исходн.данные.!$AG192=$BV$11,CS192,IF(OR(Исходн.данные.!$AH192=$BQ$7,Исходн.данные.!$AH192=$BQ$8),90/CJ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10/CJ192,IF(Исходн.данные.!$AI192=$BU$11,"Нет",60/CJ192)))))))</f>
        <v>0</v>
      </c>
      <c r="CW192" s="39">
        <f>IF($CH192="Нет",0,IF(Исходн.данные.!AH192=0,0,IF(CK192=0,30/MIN(CI192:CJ192),IF(Исходн.данные.!$AG192=$BV$11,CT192,IF(OR(Исходн.данные.!$AH192=$BQ$7,Исходн.данные.!$AH192=$BQ$8),90/CK192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0,IF(Исходн.данные.!$AI192=$BU$11,"Нет",30/CK192)))))))</f>
        <v>0</v>
      </c>
      <c r="CX192" s="133">
        <f>IF(Исходн.данные.!$AG192=$BV$11,MAX(CU192:CW192),IF(OR(Исходн.данные.!$AH192=$BS$8,Исходн.данные.!$AH192=$BQ$9,Исходн.данные.!$AH192=$BQ$10,Исходн.данные.!$AH192=$BQ$11,Исходн.данные.!$AH192=$BQ$12,Исходн.данные.!$AH192=$BP$3,Исходн.данные.!$AH192=$BT$8,$FM192="Да"),CV192,MIN(CU192:CW192)))</f>
        <v>0</v>
      </c>
      <c r="CY192" s="133">
        <f>IF(Исходн.данные.!AH192=0,0,IF(CR192&gt;$CX192,$CX192,CR192))</f>
        <v>0</v>
      </c>
      <c r="CZ192" s="133">
        <f>IF(Исходн.данные.!AH192=0,0,IF(CS192&gt;$CX192,$CX192,CS192))</f>
        <v>0</v>
      </c>
      <c r="DA192" s="133">
        <f>IF(Исходн.данные.!AH192=0,0,IF(CT192&gt;$CX192,$CX192,CT192))</f>
        <v>0</v>
      </c>
      <c r="DB192" s="10">
        <f t="shared" si="242"/>
        <v>0</v>
      </c>
      <c r="DC192" s="39">
        <f>DB192*Исходн.данные.!AJ192/1000</f>
        <v>0</v>
      </c>
      <c r="DD192" s="71">
        <f t="shared" si="243"/>
        <v>0</v>
      </c>
      <c r="DE192" s="9">
        <f t="shared" si="244"/>
        <v>0</v>
      </c>
      <c r="DF192" s="9">
        <f t="shared" si="245"/>
        <v>0</v>
      </c>
      <c r="DG192" s="39">
        <f>IF(BL192&lt;0,0,IF($CH192="Нет",BL192,IF(OR(Исходн.данные.!$AH192=$BP$1,Исходн.данные.!$AH192=$BP$2),0,IF(Исходн.данные.!AI192=$BU$11,BL192,IF(BL192-DD192&lt;0,0,BL192-DD192)))))</f>
        <v>0</v>
      </c>
      <c r="DH192" s="39">
        <f>IF(BM192&lt;0,0,IF($CH192="Нет",BM192,IF(OR(Исходн.данные.!$AH192=$BP$1,Исходн.данные.!$AH192=$BP$2),0,IF(Исходн.данные.!AJ192=$BU$11,BM192,IF(BM192-DE192&lt;0,0,BM192-DE192)))))</f>
        <v>0</v>
      </c>
      <c r="DI192" s="39">
        <f>IF(BN192&lt;0,0,IF($CH192="Нет",BN192,IF(OR(Исходн.данные.!$AH192=$BP$1,Исходн.данные.!$AH192=$BP$2),0,IF(Исходн.данные.!AK192=$BU$11,BN192,IF(BN192-DF192&lt;0,0,BN192-DF192)))))</f>
        <v>0</v>
      </c>
      <c r="DJ192" s="12">
        <f t="shared" si="246"/>
        <v>0</v>
      </c>
      <c r="DK192" s="9">
        <f t="shared" si="247"/>
        <v>0</v>
      </c>
      <c r="DL192" s="39">
        <f>IF(Исходн.данные.!AM192&gt;0,Исходн.данные.!AM192,IF(EG192&gt;0,$BH$10,0))</f>
        <v>0</v>
      </c>
      <c r="DM192" s="186">
        <f>IF($DL192=0,0,IF(Исходн.данные.!AM192&gt;0,VLOOKUP($DL192,АшламаДВ_Irekle,2,FALSE),VLOOKUP($DL192,АшламаДВ_Gomumy,2,FALSE)))</f>
        <v>0</v>
      </c>
      <c r="DN192" s="10">
        <f t="shared" si="225"/>
        <v>0</v>
      </c>
      <c r="DO192" s="9" t="str">
        <f>IF(Исходн.данные.!AN192&gt;0,Исходн.данные.!AN192,Удобрения!$B$37 )</f>
        <v>Хлор.калий</v>
      </c>
      <c r="DP192" s="9">
        <f>IF(Исходн.данные.!AN192&gt;0,VLOOKUP(Исходн.данные.!AN192,АшламаДВ_Irekle,4,FALSE),VLOOKUP(DO192,АшламаДВ_Gomumy,4,FALSE))</f>
        <v>0.6</v>
      </c>
      <c r="DQ192" s="10">
        <f t="shared" si="226"/>
        <v>0</v>
      </c>
      <c r="DR192" s="132" t="str">
        <f>IF(Исходн.данные.!AO192&gt;0,Исходн.данные.!AO192,IF(DH192=0,BS$17,IF(AND($DK192=0,$DJ192&gt;0),EJ192,EN192)))</f>
        <v>Нет</v>
      </c>
      <c r="DS192" s="70" t="str">
        <f>IF($DR192="Нет","Нет",IF(Исходн.данные.!$AO192&gt;0,VLOOKUP($DR192,АшламаДВ_Irekle,2,FALSE),VLOOKUP($DR192,АшламаДВ_Gomumy,2,FALSE)))</f>
        <v>Нет</v>
      </c>
      <c r="DT192" s="70" t="str">
        <f>IF($DR192="Нет","Нет",IF(Исходн.данные.!$AO192&gt;0,VLOOKUP($DR192,АшламаДВ_Irekle,3,FALSE),VLOOKUP($DR192,АшламаДВ_Gomumy,3,FALSE)))</f>
        <v>Нет</v>
      </c>
      <c r="DU192" s="70" t="str">
        <f>IF($DR192="Нет","Нет",IF(Исходн.данные.!$AO192&gt;0,VLOOKUP($DR192,АшламаДВ_Irekle,4,FALSE),VLOOKUP($DR192,АшламаДВ_Gomumy,4,FALSE)))</f>
        <v>Нет</v>
      </c>
      <c r="DV192" s="70"/>
      <c r="DW192" s="70"/>
      <c r="DX192" s="70"/>
      <c r="DY192" s="10">
        <f t="shared" si="248"/>
        <v>0</v>
      </c>
      <c r="DZ192" s="10">
        <f t="shared" si="249"/>
        <v>0</v>
      </c>
      <c r="EA192" s="10">
        <f t="shared" si="250"/>
        <v>0</v>
      </c>
      <c r="EB192" s="10">
        <f t="shared" si="251"/>
        <v>0</v>
      </c>
      <c r="EC192" s="10">
        <f t="shared" si="252"/>
        <v>0</v>
      </c>
      <c r="ED192" s="10">
        <f t="shared" si="253"/>
        <v>0</v>
      </c>
      <c r="EE192" s="10">
        <f t="shared" si="254"/>
        <v>0</v>
      </c>
      <c r="EF192" s="39">
        <f>EB192*Исходн.данные.!AJ192/1000</f>
        <v>0</v>
      </c>
      <c r="EG192" s="9">
        <f t="shared" si="255"/>
        <v>0</v>
      </c>
      <c r="EH192" s="9">
        <f t="shared" si="256"/>
        <v>0</v>
      </c>
      <c r="EI192" s="39" t="e">
        <f t="shared" si="206"/>
        <v>#DIV/0!</v>
      </c>
      <c r="EJ192" s="9" t="str">
        <f t="shared" si="227"/>
        <v>Азопреципитат</v>
      </c>
      <c r="EK192" s="12">
        <f t="shared" si="207"/>
        <v>0.26</v>
      </c>
      <c r="EL192" s="12">
        <f t="shared" si="208"/>
        <v>0.13</v>
      </c>
      <c r="EM192" s="12">
        <f t="shared" si="209"/>
        <v>0</v>
      </c>
      <c r="EN192" s="12" t="str">
        <f t="shared" si="228"/>
        <v>Нет</v>
      </c>
      <c r="EO192" s="12">
        <f t="shared" si="210"/>
        <v>0</v>
      </c>
      <c r="EP192" s="12">
        <f t="shared" si="211"/>
        <v>0</v>
      </c>
      <c r="EQ192" s="12">
        <f t="shared" si="212"/>
        <v>0</v>
      </c>
      <c r="ER192" s="12" t="str">
        <f t="shared" si="257"/>
        <v>Диаммофоска</v>
      </c>
      <c r="ES192" s="12">
        <f t="shared" si="213"/>
        <v>0.1</v>
      </c>
      <c r="ET192" s="12">
        <f t="shared" si="214"/>
        <v>0.26</v>
      </c>
      <c r="EU192" s="12">
        <f t="shared" si="215"/>
        <v>0.26</v>
      </c>
      <c r="EV192" s="12" t="str">
        <f t="shared" si="258"/>
        <v>Аммофос 12:52:00</v>
      </c>
      <c r="EW192" s="12" t="str">
        <f t="shared" si="259"/>
        <v>Кемира Свекловичное-6</v>
      </c>
      <c r="EX192" s="12">
        <f t="shared" si="216"/>
        <v>0.16</v>
      </c>
      <c r="EY192" s="12">
        <f t="shared" si="217"/>
        <v>0.12</v>
      </c>
      <c r="EZ192" s="12">
        <f t="shared" si="218"/>
        <v>0.17</v>
      </c>
      <c r="FA192" s="38" t="e">
        <f>IF(AND(OR(FJ192=$FD$1,FM192=$FD$1,FO192=$FD$1,FQ192=$FD$1,FS192=$FD$1),FD192=$FD$1,Исходн.данные.!J192&lt;2,FU192=$FD$1),"Бор,Кобальт",IF(AND(FO192=$FD$1,FH192=$FD$1,Исходн.данные.!J192&lt;2,FU192=$FD$1),"Бор,Кобальт",IF(AND(OR(FJ192=$FD$1,FM192=$FD$1,FQ192=$FD$1),FE192=$FD$1,Исходн.данные.!J192&lt;2,FT192=$FD$1,FU192=$FD$1),"Бор,Медь,Цинк",IF(AND(OR(FJ192=$FD$1,FR192="Да"),FI192="Да",Исходн.данные.!J192&lt;2,FT192="Да",FU192="Да"),"Бор,Цинк,Медь",IF(AND(OR(FM192="Да",FQ192="Да"),FI192="Да",Исходн.данные.!J192&lt;2,FT192="Да",FU192="Да"),"Бор,Цинк",IF(AND(FN192="Да",OR(FD192="Да",FE192="Да")),"Бор",FB192))))))</f>
        <v>#N/A</v>
      </c>
      <c r="FB192" s="134" t="e">
        <f>IF(AND(OR(FD192="Да",FE192="Да",FF192="Да",FG192="Да",FH192="Да"),FO192="Да"),"Бор",IF(AND(FP192="Да",OR(FD192="Да",FE192="Да",FI192="Да")),"Бор",IF(AND(FS192="Да",FE192="Да"),"Бор,Медь",IF(AND(OR(FJ192="Да",FK192="Да",FL192="Да"),FE192="Да",Исходн.данные.!I192&lt;5,FT192="Да",FU192="Да"),"Молибден,Цинк",IF(AND(FM192="Да",OR(FE192="Да",FF192="Да",FG192="Да",FH192="Да",FI192="Да")),"Молибден,Цинк",IF(AND(OR(FJ192="Да",FK192="Да",FL192="Да",FM192="Да",FQ192="Да"),OR(FE192="Да",FF192="Да"),FT192="Да",FU192="Да",Исходн.данные.!I192&gt;5.5),"Медь,Цинк",FC192))))))</f>
        <v>#N/A</v>
      </c>
      <c r="FC192" s="23" t="e">
        <f t="shared" si="260"/>
        <v>#N/A</v>
      </c>
      <c r="FD192" s="38" t="str">
        <f>IF(OR(Исходн.данные.!F192=$CC$1,Исходн.данные.!F192=$CC$2,Исходн.данные.!F192=$CC$3,Исходн.данные.!F192=$CC$4),"Да","Нет")</f>
        <v>Нет</v>
      </c>
      <c r="FE192" s="38" t="str">
        <f>IF(Исходн.данные.!F192=$CC$5,"Да","Нет")</f>
        <v>Нет</v>
      </c>
      <c r="FF192" s="38" t="str">
        <f>IF(OR(Исходн.данные.!F192=$CC$6,Исходн.данные.!F192=$CC$7),"Да","Нет")</f>
        <v>Нет</v>
      </c>
      <c r="FG192" s="38" t="str">
        <f>IF(OR(Исходн.данные.!F192=$CC$8,Исходн.данные.!F192=$CC$9),"Да","Нет")</f>
        <v>Нет</v>
      </c>
      <c r="FH192" s="38" t="str">
        <f>IF(Исходн.данные.!F192=$CC$10,"Да","Нет")</f>
        <v>Нет</v>
      </c>
      <c r="FI192" s="38" t="str">
        <f>IF(OR(Исходн.данные.!F192=$CC$11,Исходн.данные.!F192=$CC$12),"Да","Нет")</f>
        <v>Нет</v>
      </c>
      <c r="FJ192" s="38" t="str">
        <f>IF(OR(Исходн.данные.!AH192=$BS$1,Исходн.данные.!AH192=$BQ$11,Исходн.данные.!AH192=$BQ$12),"Да","Нет")</f>
        <v>Нет</v>
      </c>
      <c r="FK192" s="38" t="str">
        <f>IF(OR(Исходн.данные.!AH192=$BS$2,Исходн.данные.!AH192=$BS$4),"Да","Нет")</f>
        <v>Нет</v>
      </c>
      <c r="FL192" s="38" t="str">
        <f>IF(OR(Исходн.данные.!AH192=$BS$3,Исходн.данные.!AH192=$BS$5),"Да","Нет")</f>
        <v>Нет</v>
      </c>
      <c r="FM192" s="38" t="str">
        <f>IF(OR(Исходн.данные.!AH192=$BS$9,Исходн.данные.!AH192=$BS$10,Исходн.данные.!AH192=$BS$11,Исходн.данные.!AH192=$BS$12),"Да","Нет")</f>
        <v>Нет</v>
      </c>
      <c r="FN192" s="38" t="str">
        <f>IF(OR(Исходн.данные.!AH192=$BS$6,Исходн.данные.!AH192=$BP$3),"Да","Нет")</f>
        <v>Нет</v>
      </c>
      <c r="FO192" s="38" t="str">
        <f>IF(Исходн.данные.!AH192=$BQ$9,"Да","Нет")</f>
        <v>Нет</v>
      </c>
      <c r="FP192" s="38" t="str">
        <f>IF(OR(Исходн.данные.!AH192=$BS$8,Исходн.данные.!AH192=$BT$8),"Да","Нет")</f>
        <v>Нет</v>
      </c>
      <c r="FQ192" s="38" t="str">
        <f>IF(OR(Исходн.данные.!AH192=$BQ$7,Исходн.данные.!AH192=$BQ$8),"Да","Нет")</f>
        <v>Нет</v>
      </c>
      <c r="FR192" s="38" t="str">
        <f>IF(Исходн.данные.!AI192=$BU$9,"Да","Нет")</f>
        <v>Нет</v>
      </c>
      <c r="FS192" s="38" t="str">
        <f>IF(OR(Исходн.данные.!AH192=$BP$1,Исходн.данные.!AH192=$BP$2),"Да","Нет")</f>
        <v>Нет</v>
      </c>
      <c r="FT192" s="38" t="e">
        <f>IF((Исходн.данные.!K192*GO192*GS192*GW192+BL192*0.6+Исходн.данные.!Q192*4.5*0.275)&gt;90,"Да","Нет")</f>
        <v>#N/A</v>
      </c>
      <c r="FU192" s="38" t="e">
        <f>IF((Исходн.данные.!M192*GS192*GZ192+BM192*0.225)&gt;35,"Да","Нет")</f>
        <v>#N/A</v>
      </c>
      <c r="FV192" s="38" t="str">
        <f>IF(Исходн.данные.!O192&gt;175,"Да","Нет")</f>
        <v>Нет</v>
      </c>
      <c r="FW192" s="39" t="str">
        <f>IF(Исходн.данные.!I192&gt;5.5,"Да","Нет")</f>
        <v>Нет</v>
      </c>
      <c r="FX192" s="39" t="str">
        <f>IF(Исходн.данные.!J192&lt;2,"Да","Нет")</f>
        <v>Да</v>
      </c>
      <c r="FY192" s="39" t="e">
        <f>IF(HF192=$FY$16,0,Исходн.данные.!K192*GO192*GS192*GW192/HF192)</f>
        <v>#N/A</v>
      </c>
      <c r="FZ192" s="39" t="e">
        <f>Исходн.данные.!M192*GS192*GZ192/HG192</f>
        <v>#N/A</v>
      </c>
      <c r="GA192" s="39" t="e">
        <f>IF(K_Wyn=$FY$16,0,IF(Исходн.данные.!N192=Исходн.данные.!$L$10,Исходн.данные.!O192/1.1*GS192*HC192/HH192,IF(Исходн.данные.!N192=Исходн.данные.!$L$12,Исходн.данные.!O192/1.5*GS192*HC192/HH192,Исходн.данные.!O192*GS192*HC192/HH192)))</f>
        <v>#N/A</v>
      </c>
      <c r="GB192" s="39" t="e">
        <f>IF(HF192=$FY$16,0,((Исходн.данные.!Q192*N_Org+Исходн.данные.!R192*N_Sider+Исходн.данные.!S192*N_Soloma)*AO192+Расчет!BC192*VLOOKUP(Исходн.данные.!T192,Справ!$A$3:$O$57,15)*AO192+BB192*VLOOKUP(Исходн.данные.!T192,Справ!$A$3:$O$57,15)*AL192+(Исходн.данные.!V192*N_Rizotorf+Исходн.данные.!W192*N_Rizoagr))/HF192)</f>
        <v>#N/A</v>
      </c>
      <c r="GC192" s="39" t="e">
        <f>IF(HG192=$FY$16,0,((Исходн.данные.!Q192*Р_Org+Исходн.данные.!R192*P_Sider+Исходн.данные.!S192*P_Soloma)*AP192+Расчет!BC192*VLOOKUP(Исходн.данные.!T192,Справ!$A$3:$P$57,16)*AP192+BB192*VLOOKUP(Исходн.данные.!T192,Справ!$A$3:$P$57,16)*AM192)/HG192)</f>
        <v>#N/A</v>
      </c>
      <c r="GD192" s="39" t="e">
        <f>IF(HH192=$FY$16,0,((Исходн.данные.!Q192*К_Org+Исходн.данные.!R192*K_Sider+Исходн.данные.!S192*K_Soloma)*AQ192+Расчет!BC192*VLOOKUP(Исходн.данные.!T192,Справ!$A$3:$Q$57,17)*AQ192+BB192*VLOOKUP(Исходн.данные.!T192,Справ!$A$3:$Q$57,17)*AN192)/HH192)</f>
        <v>#N/A</v>
      </c>
      <c r="GE192" s="39" t="e">
        <f>IF(HF192=$FY$16,0,(Исходн.данные.!X192*AR192+Исходн.данные.!AA192*N_Org*AL192+Исходн.данные.!AB192*N_Sider*AL192+Исходн.данные.!AC192*N_Soloma*AL192)/HF192)</f>
        <v>#N/A</v>
      </c>
      <c r="GF192" s="39" t="e">
        <f>IF(HG192=$FY$16,0,(Исходн.данные.!Y192*AS192+Исходн.данные.!AA192*Р_Org*AM192+Исходн.данные.!AB192*P_Sider*AM192+Исходн.данные.!AC192*P_Soloma*AM192)/HG192)</f>
        <v>#N/A</v>
      </c>
      <c r="GG192" s="39" t="e">
        <f>IF(HH192=$FY$16,0,(Исходн.данные.!Z192*AT192+Исходн.данные.!AA192*К_Org*AN192+Исходн.данные.!AB192*K_Sider*AN192+Исходн.данные.!AC192*K_Soloma*AN192)/HH192)</f>
        <v>#N/A</v>
      </c>
      <c r="GH192" s="39" t="e">
        <f>Исходн.данные.!AD192*AU192/HF192</f>
        <v>#N/A</v>
      </c>
      <c r="GI192" s="39" t="e">
        <f>Исходн.данные.!AE192*AV192/HG192</f>
        <v>#N/A</v>
      </c>
      <c r="GJ192" s="39" t="e">
        <f>Исходн.данные.!AF192*AW192/HH192</f>
        <v>#N/A</v>
      </c>
      <c r="GK192" s="55">
        <f>Исходн.данные.!AK192</f>
        <v>0</v>
      </c>
      <c r="GL192" s="11" t="e">
        <f t="shared" si="261"/>
        <v>#N/A</v>
      </c>
      <c r="GM192" s="11" t="e">
        <f t="shared" si="262"/>
        <v>#N/A</v>
      </c>
      <c r="GN192" s="11" t="e">
        <f t="shared" si="263"/>
        <v>#N/A</v>
      </c>
      <c r="GO192" s="57">
        <f t="shared" si="264"/>
        <v>19</v>
      </c>
      <c r="GP192" s="55">
        <f>IF(OR(Исходн.данные.!F192=$CE$1,Исходн.данные.!F192=$CE$2,Исходн.данные.!F192=$CE$3,Исходн.данные.!F192=$CE$4,Исходн.данные.!F192=$CE$5),GQ192,GR192)</f>
        <v>19</v>
      </c>
      <c r="GQ192" s="55">
        <f>IF(Исходн.данные.!F192=$CE$1,28,IF(Исходн.данные.!F192=$CE$2,26,IF(Исходн.данные.!F192=$CE$3,24,IF(Исходн.данные.!F192=$CE$4,22,IF(Исходн.данные.!F192=$CE$5,20,GR192)))))</f>
        <v>19</v>
      </c>
      <c r="GR192" s="55">
        <f>IF(Исходн.данные.!F192=$CE$6,18,IF(Исходн.данные.!F192=$CE$7,16,IF(Исходн.данные.!F192=$CE$8,14,IF(Исходн.данные.!F192=$CE$9,13,IF(Исходн.данные.!F192=$CE$10,12,19)))))</f>
        <v>19</v>
      </c>
      <c r="GS192" s="55">
        <f>IF(Исходн.данные.!G192="Пес",0.035*(40+2*Исходн.данные.!H192),IF(Исходн.данные.!G192="Суп",0.0325*(40+2*Исходн.данные.!H192),0.03*(40+2*Исходн.данные.!H192)))</f>
        <v>1.2</v>
      </c>
      <c r="GT192" s="55">
        <f>IF(Исходн.данные.!H192&lt;23,2.6,IF(AND(Исходн.данные.!H192&gt;22,Исходн.данные.!H192&lt;26),3,IF(AND(Исходн.данные.!H192&gt;25,Исходн.данные.!H192&lt;29),3.4,3.6)))</f>
        <v>2.6</v>
      </c>
      <c r="GU192" s="55">
        <f>IF(Исходн.данные.!H192&lt;23,2.8,IF(AND(Исходн.данные.!H192&gt;22,Исходн.данные.!H192&lt;26),3.2,IF(AND(Исходн.данные.!H192&gt;25,Исходн.данные.!H192&lt;29),3.6,3.9)))</f>
        <v>2.8</v>
      </c>
      <c r="GV192" s="55">
        <f>IF(Исходн.данные.!H192&lt;23,3,IF(AND(Исходн.данные.!H192&gt;22,Исходн.данные.!H192&lt;26),3.5,IF(AND(Исходн.данные.!H192&gt;25,Исходн.данные.!H192&lt;29),3.9,4.2)))</f>
        <v>3</v>
      </c>
      <c r="GW192" s="55" t="e">
        <f>IF(Исходн.данные.!P192="Ум",GX192,GY192)</f>
        <v>#N/A</v>
      </c>
      <c r="GX192" s="55" t="e">
        <f>VLOOKUP(Исходн.данные.!AI192,Коэффициенты!$J$7:$L$13,2,FALSE)</f>
        <v>#N/A</v>
      </c>
      <c r="GY192" s="55" t="e">
        <f>VLOOKUP(Исходн.данные.!AI192,Коэффициенты!$J$7:$L$13,3,FALSE)</f>
        <v>#N/A</v>
      </c>
      <c r="GZ192" s="55" t="e">
        <f>(IF(Исходн.данные.!M192&lt;50,0.11*VLOOKUP(Исходн.данные.!AH192,Культуры.Информация,7,FALSE),IF(Исходн.данные.!M192&gt;250,0.05*VLOOKUP(Исходн.данные.!AH192,Культуры.Информация,7,FALSE),VLOOKUP(Исходн.данные.!AH192,Культуры.Информация,5,FALSE)/100*($GX$6+$GY$6*Исходн.данные.!M192))))*Расчет2!AI192</f>
        <v>#N/A</v>
      </c>
      <c r="HA192" s="211"/>
      <c r="HB192" s="211"/>
      <c r="HC192" s="55" t="e">
        <f>(IF(Исходн.данные.!O192&lt;80,0.2*VLOOKUP(Исходн.данные.!AH192,Культуры.Информация,8,FALSE),IF(Исходн.данные.!O192&gt;240,0.09*VLOOKUP(Исходн.данные.!AH192,Культуры.Информация,8,FALSE),VLOOKUP(Исходн.данные.!AH192,Культуры.Информация,6,FALSE)/100*($HB$6+$HC$6*Исходн.данные.!O192))))*Расчет2!AJ192</f>
        <v>#N/A</v>
      </c>
      <c r="HD192" s="55">
        <f>IF(Исходн.данные.!O192&gt;240,0.09,IF(Исходн.данные.!O192&lt;30,0.3,$HE$10+$HD$10*Исходн.данные.!O192))</f>
        <v>0.3</v>
      </c>
      <c r="HE192" s="55">
        <f>IF(Исходн.данные.!O192&gt;240,0.17,IF(Исходн.данные.!O192&lt;30,0.5,$HF$12+$HE$12*Исходн.данные.!O192))</f>
        <v>0.5</v>
      </c>
      <c r="HF192" s="55" t="e">
        <f>VLOOKUP(Исходн.данные.!AH192,Справ!$A$3:$D$58,2,FALSE)</f>
        <v>#N/A</v>
      </c>
      <c r="HG192" s="55" t="e">
        <f>VLOOKUP(Исходн.данные.!AH192,Справ!$A$3:$D$58,3,FALSE)</f>
        <v>#N/A</v>
      </c>
      <c r="HH192" s="55" t="e">
        <f>VLOOKUP(Исходн.данные.!AH192,Справ!$A$3:$D$58,4,FALSE)</f>
        <v>#N/A</v>
      </c>
      <c r="HI192" s="11" t="e">
        <f t="shared" si="265"/>
        <v>#N/A</v>
      </c>
      <c r="HJ192" s="11" t="e">
        <f t="shared" si="266"/>
        <v>#N/A</v>
      </c>
      <c r="HK192" s="11" t="e">
        <f t="shared" si="267"/>
        <v>#N/A</v>
      </c>
      <c r="HL192" s="55">
        <f>IF(OR(Исходн.данные.!G192="Глин",Исходн.данные.!G192="Т_суг"),1.1,IF(Исходн.данные.!G192="Ср_суг",1,1))</f>
        <v>1</v>
      </c>
      <c r="HM192" s="55">
        <f>IF(OR(Исходн.данные.!G192="Глин",Исходн.данные.!G192="Т_суг"),0.9,IF(Исходн.данные.!G192="Ср_суг",1,1.2))</f>
        <v>1.2</v>
      </c>
      <c r="HN192" s="11" t="e">
        <f t="shared" si="268"/>
        <v>#N/A</v>
      </c>
      <c r="HO192" s="11" t="e">
        <f t="shared" si="269"/>
        <v>#N/A</v>
      </c>
      <c r="HP192" s="11" t="e">
        <f t="shared" si="270"/>
        <v>#N/A</v>
      </c>
      <c r="HQ192" t="e">
        <f t="shared" si="271"/>
        <v>#N/A</v>
      </c>
      <c r="HR192" t="e">
        <f t="shared" si="272"/>
        <v>#N/A</v>
      </c>
      <c r="HS192" t="e">
        <f t="shared" si="273"/>
        <v>#N/A</v>
      </c>
      <c r="HT192" t="e">
        <f t="shared" si="219"/>
        <v>#N/A</v>
      </c>
      <c r="HU192" t="e">
        <f t="shared" si="220"/>
        <v>#N/A</v>
      </c>
      <c r="HV192" t="e">
        <f t="shared" si="221"/>
        <v>#N/A</v>
      </c>
      <c r="HW192" t="e">
        <f t="shared" si="222"/>
        <v>#N/A</v>
      </c>
      <c r="HX192" t="e">
        <f t="shared" si="223"/>
        <v>#N/A</v>
      </c>
      <c r="HY192" t="e">
        <f t="shared" si="224"/>
        <v>#N/A</v>
      </c>
      <c r="HZ192" s="55">
        <f>IF(OR(Исходн.данные.!AI192="Оз_Ч_П",Исходн.данные.!AI192="Оз_З_П",Исходн.данные.!AI192="Яр_зер"),12,30)</f>
        <v>30</v>
      </c>
      <c r="IA192" t="e">
        <f t="shared" si="274"/>
        <v>#N/A</v>
      </c>
      <c r="IB192" t="e">
        <f t="shared" si="275"/>
        <v>#N/A</v>
      </c>
      <c r="IC192" t="e">
        <f t="shared" si="276"/>
        <v>#N/A</v>
      </c>
      <c r="ID192" s="11" t="e">
        <f t="shared" si="277"/>
        <v>#N/A</v>
      </c>
      <c r="IE192" s="11" t="e">
        <f t="shared" si="278"/>
        <v>#N/A</v>
      </c>
      <c r="IF192" s="11" t="e">
        <f t="shared" si="279"/>
        <v>#N/A</v>
      </c>
    </row>
    <row r="193" spans="35:240" x14ac:dyDescent="0.2">
      <c r="AI193">
        <f>IF(Исходн.данные.!I193&gt;6,1,1.85-(0.148*Исходн.данные.!I193))</f>
        <v>1.85</v>
      </c>
      <c r="AJ193">
        <f>IF(Исходн.данные.!I193&gt;6,1,2.434-(0.246*Исходн.данные.!I193))</f>
        <v>2.4340000000000002</v>
      </c>
      <c r="AL193" s="148" t="b">
        <f>IF(Исходн.данные.!$P193="Ум",N_OrgUd_2g_um,IF(Исходн.данные.!$P193="Об",N_OrgUd_2g_ob))</f>
        <v>0</v>
      </c>
      <c r="AM193" s="148" t="b">
        <f>IF(Исходн.данные.!$P193="Ум",P_OrgUd_2g_um,IF(Исходн.данные.!$P193="Об",P_OrgUd_2g_ob))</f>
        <v>0</v>
      </c>
      <c r="AN193" s="148" t="b">
        <f>IF(Исходн.данные.!$P193="Ум",K_OrgUd_2g_um,IF(Исходн.данные.!$P193="Об",K_OrgUd_2g_ob))</f>
        <v>0</v>
      </c>
      <c r="AO193" s="148" t="b">
        <f>IF(Исходн.данные.!$P193="Ум",N_OrgUd_1g_um,IF(Исходн.данные.!$P193="Об",N_OrgUd_1g_ob))</f>
        <v>0</v>
      </c>
      <c r="AP193" s="148" t="b">
        <f>IF(Исходн.данные.!$P193="Ум",P_OrgUd_1g_um,IF(Исходн.данные.!$P193="Об",P_OrgUd_1g_ob))</f>
        <v>0</v>
      </c>
      <c r="AQ193" s="148" t="b">
        <f>IF(Исходн.данные.!$P193="Ум",K_OrgUd_1g_um,IF(Исходн.данные.!$P193="Об",K_OrgUd_1g_ob))</f>
        <v>0</v>
      </c>
      <c r="AR193" t="b">
        <f>IF(Исходн.данные.!$P193="Ум",N_MinUd_2g_um,IF(Исходн.данные.!$P193="Об",N_MinUd_2g_ob))</f>
        <v>0</v>
      </c>
      <c r="AS193" t="b">
        <f>IF(Исходн.данные.!$P193="Ум",P_MinUd_2g_um,IF(Исходн.данные.!$P193="Об",P_MinUd_2g_ob))</f>
        <v>0</v>
      </c>
      <c r="AT193" t="b">
        <f>IF(Исходн.данные.!$P193="Ум",K_MinUd_2g_um,IF(Исходн.данные.!$P193="Об",K_MinUd_2g_ob))</f>
        <v>0</v>
      </c>
      <c r="AU193" t="b">
        <f>IF(Исходн.данные.!$P193="Ум",N_MinUd_1g_um,IF(Исходн.данные.!$P193="Об",N_MinUd_1g_ob))</f>
        <v>0</v>
      </c>
      <c r="AV193" t="b">
        <f>IF(Исходн.данные.!P193="Ум",P_MinUd_1g_um,IF(Исходн.данные.!P193="Об",P_MinUd_1g_ob))</f>
        <v>0</v>
      </c>
      <c r="AW193" t="b">
        <f>IF(Исходн.данные.!P193="Ум",K_MinUd_1g_um,IF(Исходн.данные.!P193="Об",K_MinUd_1g_ob))</f>
        <v>0</v>
      </c>
      <c r="AY193" t="e">
        <f>VLOOKUP(Исходн.данные.!T193,Справ!$A$3:$N$57,12)</f>
        <v>#N/A</v>
      </c>
      <c r="AZ193" t="e">
        <f>VLOOKUP(Исходн.данные.!T193,Справ!$A$3:$N$57,13)</f>
        <v>#N/A</v>
      </c>
      <c r="BA193" t="e">
        <f>VLOOKUP(Исходн.данные.!T193,Справ!$A$3:$N$57,14)</f>
        <v>#N/A</v>
      </c>
      <c r="BB193">
        <f>IF(Исходн.данные.!AH193=0,0,25)</f>
        <v>0</v>
      </c>
      <c r="BC193" s="141">
        <f>IF(Исходн.данные.!AH193=0,0,IF(Исходн.данные.!T193=0,25,BD193))</f>
        <v>0</v>
      </c>
      <c r="BD193" s="168" t="e">
        <f>AY193+AZ193*Исходн.данные.!U193-POWER(BA193,2)*Исходн.данные.!U193</f>
        <v>#N/A</v>
      </c>
      <c r="BE19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3" s="25">
        <f>IF(Исходн.данные.!AH193=0,0,MIN(HN193:HP193))</f>
        <v>0</v>
      </c>
      <c r="BG193" s="9">
        <f>IF(Исходн.данные.!AH193=0,0,IF((HO193+10*0.25/HG193/HL193)&lt;17,17,HO193+10*0.25/HG193/HL193))</f>
        <v>0</v>
      </c>
      <c r="BH193" s="181">
        <f>IF(Исходн.данные.!AH193=0,0,HW193*HF193*HL193/AU193*AI193+Исходн.данные.!S193*10)</f>
        <v>0</v>
      </c>
      <c r="BI193" s="10"/>
      <c r="BJ193" s="182">
        <f>IF(Исходн.данные.!AH193=0,0,IF(HX193*HG193*HL193/AV193&lt;0,0,HX193*HG193*HL193/AV193*AJ193))</f>
        <v>0</v>
      </c>
      <c r="BK193" s="182">
        <f>IF(Исходн.данные.!AH193=0,0,HY193*HH193*HM193/AW193)</f>
        <v>0</v>
      </c>
      <c r="BL193" s="10">
        <f>IF(OR(Исходн.данные.!$AH193=$BP$1,Исходн.данные.!$AH193=$BP$2),0,IF(BH193&lt;0,0,IF(OR(Исходн.данные.!T193=Расчет!$BP$1,Исходн.данные.!T193=Расчет!$BP$2,Исходн.данные.!T193=Расчет!$BT$5,Исходн.данные.!T193=Расчет!$BT$6),BH193*0.5,IF(OR(Исходн.данные.!T193=Расчет!$BS$9,Исходн.данные.!T193=Расчет!$BS$10,Исходн.данные.!T193=Расчет!$BS$11,Исходн.данные.!T193=Расчет!$BS$12,Исходн.данные.!T193=Расчет!$BP$5),BH193*0.8,BH193))))</f>
        <v>0</v>
      </c>
      <c r="BM193" s="10">
        <f>IF(OR(Исходн.данные.!$AH193=$BP$1,Исходн.данные.!$AH193=$BP$2),0,IF(BJ193&lt;0,0,IF(Исходн.данные.!I193&lt;4.5,BJ193*1.2,IF(Исходн.данные.!I193&gt;5.1,BJ193,BJ193*((5.1-Исходн.данные.!I193)*0.333+1)))))</f>
        <v>0</v>
      </c>
      <c r="BN193" s="10">
        <f>IF(OR(Исходн.данные.!$AH193=$BP$1,Исходн.данные.!$AH193=$BP$2),60-Исходн.данные.!AF193,IF(BK193&lt;0,0,IF(Исходн.данные.!I193&lt;4.5,BK193*1.2,IF(Исходн.данные.!I193&gt;5.1,BK193,BK193*((5.1-Исходн.данные.!I193)*0.333+1)))))</f>
        <v>0</v>
      </c>
      <c r="BO193" s="9">
        <f>IF(BL193&lt;0,0,BL193*Исходн.данные.!$AJ193/1000)</f>
        <v>0</v>
      </c>
      <c r="BP193" s="9">
        <f>IF(BM193&lt;0,0,BM193*Исходн.данные.!$AJ193/1000)</f>
        <v>0</v>
      </c>
      <c r="BQ193" s="9">
        <f>IF(BN193&lt;0,0,BN193*Исходн.данные.!$AJ193/1000)</f>
        <v>0</v>
      </c>
      <c r="BR193" s="9">
        <f t="shared" si="229"/>
        <v>0</v>
      </c>
      <c r="BS193" s="10" t="str">
        <f t="shared" si="230"/>
        <v>Аммофос 12:52:00</v>
      </c>
      <c r="BT193" s="10" t="str">
        <f t="shared" si="231"/>
        <v>Аммофос 12:52:00</v>
      </c>
      <c r="BU193" s="10" t="str">
        <f t="shared" si="232"/>
        <v>Диаммофоска</v>
      </c>
      <c r="BV193" s="10">
        <f t="shared" si="233"/>
        <v>0</v>
      </c>
      <c r="BW193" s="10"/>
      <c r="BX193" s="10"/>
      <c r="BY193" s="9">
        <f>IF(BL193&lt;0,0,IF(OR(Исходн.данные.!AI193=Расчет!$BU$6,Исходн.данные.!AI193=Расчет!$BU$7),Расчет!BV193,IF(Исходн.данные.!$AG193=$BV$11,BL193,IF(OR(Исходн.данные.!$AH193=$BQ$7,Исходн.данные.!$AH193=$BQ$8),CB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0,IF(Исходн.данные.!$AI193=$BU$11,"Нет",IF(BL193&gt;30,30,BL193)))))))</f>
        <v>0</v>
      </c>
      <c r="BZ193" s="9">
        <f>IF(AND(Исходн.данные.!$AG193=$BV$11,BM193&lt;10),10,IF(Исходн.данные.!$AG193=$BV$11,BM193,IF(OR(Исходн.данные.!$AH193=$BQ$7,Исходн.данные.!$AH193=$BQ$8),CC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10,IF(Исходн.данные.!$AI193=$BU$11,"Нет",IF(BM193&gt;60,60,IF(BM193&lt;10,10,BM193)))))))</f>
        <v>10</v>
      </c>
      <c r="CA193" s="39">
        <f>IF(BN193&lt;0,0,IF(Исходн.данные.!$AG193=$BV$11,BN193,IF(OR(Исходн.данные.!$AH193=$BQ$7,Исходн.данные.!$AH193=$BQ$8),CD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0,IF(Исходн.данные.!$AI193=$BU$11,"Нет",IF(BN193&gt;30,30,BN193))))))</f>
        <v>0</v>
      </c>
      <c r="CB193" s="9">
        <f t="shared" si="234"/>
        <v>0</v>
      </c>
      <c r="CC193" s="9">
        <f t="shared" si="235"/>
        <v>0</v>
      </c>
      <c r="CD193" s="9">
        <f t="shared" si="236"/>
        <v>0</v>
      </c>
      <c r="CE193" s="12">
        <f t="shared" si="237"/>
        <v>10</v>
      </c>
      <c r="CF193" s="9">
        <f t="shared" si="238"/>
        <v>0</v>
      </c>
      <c r="CG193" s="9" t="s">
        <v>231</v>
      </c>
      <c r="CH193" s="132" t="str">
        <f>IF(Исходн.данные.!AP193=Расчет!$CI$16,"Нет",IF(Исходн.данные.!AL193&gt;0,Исходн.данные.!AL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BH$4,IF(OR(Исходн.данные.!AI193=Исходн.данные.!$AI$6,Исходн.данные.!AI193=Исходн.данные.!$AI$7),Расчет!BS193,IF(AND($CF193=0,$CE193&gt;0),EV193,ER193)))))</f>
        <v>Аммофос 12:52:00</v>
      </c>
      <c r="CI193" s="274">
        <f>IF(Расчет!$CH193="Нет","Нет",IF(Исходн.данные.!$AL193&gt;0,VLOOKUP(Расчет!$CH193,АшламаДВ_Irekle,2,FALSE),VLOOKUP(Расчет!$CH193,АшламаДВ_Gomumy,2,FALSE)))</f>
        <v>0.12</v>
      </c>
      <c r="CJ193" s="274">
        <f>IF(Расчет!$CH193="Нет","Нет",IF(Исходн.данные.!$AL193&gt;0,VLOOKUP(Расчет!$CH193,АшламаДВ_Irekle,3,FALSE),VLOOKUP(Расчет!$CH193,АшламаДВ_Gomumy,3,FALSE)))</f>
        <v>0.52</v>
      </c>
      <c r="CK193" s="274">
        <f>IF(Расчет!$CH193="Нет","Нет",IF(Исходн.данные.!$AL193&gt;0,VLOOKUP(Расчет!$CH193,АшламаДВ_Irekle,4,FALSE),VLOOKUP(Расчет!$CH193,АшламаДВ_Gomumy,4,FALSE)))</f>
        <v>0</v>
      </c>
      <c r="CL193" s="70"/>
      <c r="CM193" s="70"/>
      <c r="CN193" s="70"/>
      <c r="CO193" s="70"/>
      <c r="CP193" s="70"/>
      <c r="CQ193" s="70"/>
      <c r="CR193" s="10">
        <f t="shared" si="239"/>
        <v>0</v>
      </c>
      <c r="CS193" s="10">
        <f t="shared" si="240"/>
        <v>19.23076923076923</v>
      </c>
      <c r="CT193" s="10">
        <f t="shared" si="241"/>
        <v>0</v>
      </c>
      <c r="CU193" s="39">
        <f>IF($CH193="Нет",0,IF(CI193=0,30/MIN(CJ193:CK193),IF(Исходн.данные.!$AG193=$BV$11,CR193,IF(OR(Исходн.данные.!$AH193=$BQ$7,Исходн.данные.!$AH193=$BQ$8),90/CI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0,IF(Исходн.данные.!$AI193=$BU$11,"Нет",30/CI193))))))</f>
        <v>250</v>
      </c>
      <c r="CV193" s="39">
        <f>IF($CH193="Нет",0,IF(Исходн.данные.!AH193=0,0,IF(CJ193=0,60/MIN(CI193,CK193),IF(Исходн.данные.!$AG193=$BV$11,CS193,IF(OR(Исходн.данные.!$AH193=$BQ$7,Исходн.данные.!$AH193=$BQ$8),90/CJ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10/CJ193,IF(Исходн.данные.!$AI193=$BU$11,"Нет",60/CJ193)))))))</f>
        <v>0</v>
      </c>
      <c r="CW193" s="39">
        <f>IF($CH193="Нет",0,IF(Исходн.данные.!AH193=0,0,IF(CK193=0,30/MIN(CI193:CJ193),IF(Исходн.данные.!$AG193=$BV$11,CT193,IF(OR(Исходн.данные.!$AH193=$BQ$7,Исходн.данные.!$AH193=$BQ$8),90/CK193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0,IF(Исходн.данные.!$AI193=$BU$11,"Нет",30/CK193)))))))</f>
        <v>0</v>
      </c>
      <c r="CX193" s="133">
        <f>IF(Исходн.данные.!$AG193=$BV$11,MAX(CU193:CW193),IF(OR(Исходн.данные.!$AH193=$BS$8,Исходн.данные.!$AH193=$BQ$9,Исходн.данные.!$AH193=$BQ$10,Исходн.данные.!$AH193=$BQ$11,Исходн.данные.!$AH193=$BQ$12,Исходн.данные.!$AH193=$BP$3,Исходн.данные.!$AH193=$BT$8,$FM193="Да"),CV193,MIN(CU193:CW193)))</f>
        <v>0</v>
      </c>
      <c r="CY193" s="133">
        <f>IF(Исходн.данные.!AH193=0,0,IF(CR193&gt;$CX193,$CX193,CR193))</f>
        <v>0</v>
      </c>
      <c r="CZ193" s="133">
        <f>IF(Исходн.данные.!AH193=0,0,IF(CS193&gt;$CX193,$CX193,CS193))</f>
        <v>0</v>
      </c>
      <c r="DA193" s="133">
        <f>IF(Исходн.данные.!AH193=0,0,IF(CT193&gt;$CX193,$CX193,CT193))</f>
        <v>0</v>
      </c>
      <c r="DB193" s="10">
        <f t="shared" si="242"/>
        <v>0</v>
      </c>
      <c r="DC193" s="39">
        <f>DB193*Исходн.данные.!AJ193/1000</f>
        <v>0</v>
      </c>
      <c r="DD193" s="71">
        <f t="shared" si="243"/>
        <v>0</v>
      </c>
      <c r="DE193" s="9">
        <f t="shared" si="244"/>
        <v>0</v>
      </c>
      <c r="DF193" s="9">
        <f t="shared" si="245"/>
        <v>0</v>
      </c>
      <c r="DG193" s="39">
        <f>IF(BL193&lt;0,0,IF($CH193="Нет",BL193,IF(OR(Исходн.данные.!$AH193=$BP$1,Исходн.данные.!$AH193=$BP$2),0,IF(Исходн.данные.!AI193=$BU$11,BL193,IF(BL193-DD193&lt;0,0,BL193-DD193)))))</f>
        <v>0</v>
      </c>
      <c r="DH193" s="39">
        <f>IF(BM193&lt;0,0,IF($CH193="Нет",BM193,IF(OR(Исходн.данные.!$AH193=$BP$1,Исходн.данные.!$AH193=$BP$2),0,IF(Исходн.данные.!AJ193=$BU$11,BM193,IF(BM193-DE193&lt;0,0,BM193-DE193)))))</f>
        <v>0</v>
      </c>
      <c r="DI193" s="39">
        <f>IF(BN193&lt;0,0,IF($CH193="Нет",BN193,IF(OR(Исходн.данные.!$AH193=$BP$1,Исходн.данные.!$AH193=$BP$2),0,IF(Исходн.данные.!AK193=$BU$11,BN193,IF(BN193-DF193&lt;0,0,BN193-DF193)))))</f>
        <v>0</v>
      </c>
      <c r="DJ193" s="12">
        <f t="shared" si="246"/>
        <v>0</v>
      </c>
      <c r="DK193" s="9">
        <f t="shared" si="247"/>
        <v>0</v>
      </c>
      <c r="DL193" s="39">
        <f>IF(Исходн.данные.!AM193&gt;0,Исходн.данные.!AM193,IF(EG193&gt;0,$BH$10,0))</f>
        <v>0</v>
      </c>
      <c r="DM193" s="186">
        <f>IF($DL193=0,0,IF(Исходн.данные.!AM193&gt;0,VLOOKUP($DL193,АшламаДВ_Irekle,2,FALSE),VLOOKUP($DL193,АшламаДВ_Gomumy,2,FALSE)))</f>
        <v>0</v>
      </c>
      <c r="DN193" s="10">
        <f t="shared" si="225"/>
        <v>0</v>
      </c>
      <c r="DO193" s="9" t="str">
        <f>IF(Исходн.данные.!AN193&gt;0,Исходн.данные.!AN193,Удобрения!$B$37 )</f>
        <v>Хлор.калий</v>
      </c>
      <c r="DP193" s="9">
        <f>IF(Исходн.данные.!AN193&gt;0,VLOOKUP(Исходн.данные.!AN193,АшламаДВ_Irekle,4,FALSE),VLOOKUP(DO193,АшламаДВ_Gomumy,4,FALSE))</f>
        <v>0.6</v>
      </c>
      <c r="DQ193" s="10">
        <f t="shared" si="226"/>
        <v>0</v>
      </c>
      <c r="DR193" s="132" t="str">
        <f>IF(Исходн.данные.!AO193&gt;0,Исходн.данные.!AO193,IF(DH193=0,BS$17,IF(AND($DK193=0,$DJ193&gt;0),EJ193,EN193)))</f>
        <v>Нет</v>
      </c>
      <c r="DS193" s="70" t="str">
        <f>IF($DR193="Нет","Нет",IF(Исходн.данные.!$AO193&gt;0,VLOOKUP($DR193,АшламаДВ_Irekle,2,FALSE),VLOOKUP($DR193,АшламаДВ_Gomumy,2,FALSE)))</f>
        <v>Нет</v>
      </c>
      <c r="DT193" s="70" t="str">
        <f>IF($DR193="Нет","Нет",IF(Исходн.данные.!$AO193&gt;0,VLOOKUP($DR193,АшламаДВ_Irekle,3,FALSE),VLOOKUP($DR193,АшламаДВ_Gomumy,3,FALSE)))</f>
        <v>Нет</v>
      </c>
      <c r="DU193" s="70" t="str">
        <f>IF($DR193="Нет","Нет",IF(Исходн.данные.!$AO193&gt;0,VLOOKUP($DR193,АшламаДВ_Irekle,4,FALSE),VLOOKUP($DR193,АшламаДВ_Gomumy,4,FALSE)))</f>
        <v>Нет</v>
      </c>
      <c r="DV193" s="70"/>
      <c r="DW193" s="70"/>
      <c r="DX193" s="70"/>
      <c r="DY193" s="10">
        <f t="shared" si="248"/>
        <v>0</v>
      </c>
      <c r="DZ193" s="10">
        <f t="shared" si="249"/>
        <v>0</v>
      </c>
      <c r="EA193" s="10">
        <f t="shared" si="250"/>
        <v>0</v>
      </c>
      <c r="EB193" s="10">
        <f t="shared" si="251"/>
        <v>0</v>
      </c>
      <c r="EC193" s="10">
        <f t="shared" si="252"/>
        <v>0</v>
      </c>
      <c r="ED193" s="10">
        <f t="shared" si="253"/>
        <v>0</v>
      </c>
      <c r="EE193" s="10">
        <f t="shared" si="254"/>
        <v>0</v>
      </c>
      <c r="EF193" s="39">
        <f>EB193*Исходн.данные.!AJ193/1000</f>
        <v>0</v>
      </c>
      <c r="EG193" s="9">
        <f t="shared" si="255"/>
        <v>0</v>
      </c>
      <c r="EH193" s="9">
        <f t="shared" si="256"/>
        <v>0</v>
      </c>
      <c r="EI193" s="39" t="e">
        <f t="shared" si="206"/>
        <v>#DIV/0!</v>
      </c>
      <c r="EJ193" s="9" t="str">
        <f t="shared" si="227"/>
        <v>Азопреципитат</v>
      </c>
      <c r="EK193" s="12">
        <f t="shared" si="207"/>
        <v>0.26</v>
      </c>
      <c r="EL193" s="12">
        <f t="shared" si="208"/>
        <v>0.13</v>
      </c>
      <c r="EM193" s="12">
        <f t="shared" si="209"/>
        <v>0</v>
      </c>
      <c r="EN193" s="12" t="str">
        <f t="shared" si="228"/>
        <v>Нет</v>
      </c>
      <c r="EO193" s="12">
        <f t="shared" si="210"/>
        <v>0</v>
      </c>
      <c r="EP193" s="12">
        <f t="shared" si="211"/>
        <v>0</v>
      </c>
      <c r="EQ193" s="12">
        <f t="shared" si="212"/>
        <v>0</v>
      </c>
      <c r="ER193" s="12" t="str">
        <f t="shared" si="257"/>
        <v>Диаммофоска</v>
      </c>
      <c r="ES193" s="12">
        <f t="shared" si="213"/>
        <v>0.1</v>
      </c>
      <c r="ET193" s="12">
        <f t="shared" si="214"/>
        <v>0.26</v>
      </c>
      <c r="EU193" s="12">
        <f t="shared" si="215"/>
        <v>0.26</v>
      </c>
      <c r="EV193" s="12" t="str">
        <f t="shared" si="258"/>
        <v>Аммофос 12:52:00</v>
      </c>
      <c r="EW193" s="12" t="str">
        <f t="shared" si="259"/>
        <v>Кемира Свекловичное-6</v>
      </c>
      <c r="EX193" s="12">
        <f t="shared" si="216"/>
        <v>0.16</v>
      </c>
      <c r="EY193" s="12">
        <f t="shared" si="217"/>
        <v>0.12</v>
      </c>
      <c r="EZ193" s="12">
        <f t="shared" si="218"/>
        <v>0.17</v>
      </c>
      <c r="FA193" s="38" t="e">
        <f>IF(AND(OR(FJ193=$FD$1,FM193=$FD$1,FO193=$FD$1,FQ193=$FD$1,FS193=$FD$1),FD193=$FD$1,Исходн.данные.!J193&lt;2,FU193=$FD$1),"Бор,Кобальт",IF(AND(FO193=$FD$1,FH193=$FD$1,Исходн.данные.!J193&lt;2,FU193=$FD$1),"Бор,Кобальт",IF(AND(OR(FJ193=$FD$1,FM193=$FD$1,FQ193=$FD$1),FE193=$FD$1,Исходн.данные.!J193&lt;2,FT193=$FD$1,FU193=$FD$1),"Бор,Медь,Цинк",IF(AND(OR(FJ193=$FD$1,FR193="Да"),FI193="Да",Исходн.данные.!J193&lt;2,FT193="Да",FU193="Да"),"Бор,Цинк,Медь",IF(AND(OR(FM193="Да",FQ193="Да"),FI193="Да",Исходн.данные.!J193&lt;2,FT193="Да",FU193="Да"),"Бор,Цинк",IF(AND(FN193="Да",OR(FD193="Да",FE193="Да")),"Бор",FB193))))))</f>
        <v>#N/A</v>
      </c>
      <c r="FB193" s="134" t="e">
        <f>IF(AND(OR(FD193="Да",FE193="Да",FF193="Да",FG193="Да",FH193="Да"),FO193="Да"),"Бор",IF(AND(FP193="Да",OR(FD193="Да",FE193="Да",FI193="Да")),"Бор",IF(AND(FS193="Да",FE193="Да"),"Бор,Медь",IF(AND(OR(FJ193="Да",FK193="Да",FL193="Да"),FE193="Да",Исходн.данные.!I193&lt;5,FT193="Да",FU193="Да"),"Молибден,Цинк",IF(AND(FM193="Да",OR(FE193="Да",FF193="Да",FG193="Да",FH193="Да",FI193="Да")),"Молибден,Цинк",IF(AND(OR(FJ193="Да",FK193="Да",FL193="Да",FM193="Да",FQ193="Да"),OR(FE193="Да",FF193="Да"),FT193="Да",FU193="Да",Исходн.данные.!I193&gt;5.5),"Медь,Цинк",FC193))))))</f>
        <v>#N/A</v>
      </c>
      <c r="FC193" s="23" t="e">
        <f t="shared" si="260"/>
        <v>#N/A</v>
      </c>
      <c r="FD193" s="38" t="str">
        <f>IF(OR(Исходн.данные.!F193=$CC$1,Исходн.данные.!F193=$CC$2,Исходн.данные.!F193=$CC$3,Исходн.данные.!F193=$CC$4),"Да","Нет")</f>
        <v>Нет</v>
      </c>
      <c r="FE193" s="38" t="str">
        <f>IF(Исходн.данные.!F193=$CC$5,"Да","Нет")</f>
        <v>Нет</v>
      </c>
      <c r="FF193" s="38" t="str">
        <f>IF(OR(Исходн.данные.!F193=$CC$6,Исходн.данные.!F193=$CC$7),"Да","Нет")</f>
        <v>Нет</v>
      </c>
      <c r="FG193" s="38" t="str">
        <f>IF(OR(Исходн.данные.!F193=$CC$8,Исходн.данные.!F193=$CC$9),"Да","Нет")</f>
        <v>Нет</v>
      </c>
      <c r="FH193" s="38" t="str">
        <f>IF(Исходн.данные.!F193=$CC$10,"Да","Нет")</f>
        <v>Нет</v>
      </c>
      <c r="FI193" s="38" t="str">
        <f>IF(OR(Исходн.данные.!F193=$CC$11,Исходн.данные.!F193=$CC$12),"Да","Нет")</f>
        <v>Нет</v>
      </c>
      <c r="FJ193" s="38" t="str">
        <f>IF(OR(Исходн.данные.!AH193=$BS$1,Исходн.данные.!AH193=$BQ$11,Исходн.данные.!AH193=$BQ$12),"Да","Нет")</f>
        <v>Нет</v>
      </c>
      <c r="FK193" s="38" t="str">
        <f>IF(OR(Исходн.данные.!AH193=$BS$2,Исходн.данные.!AH193=$BS$4),"Да","Нет")</f>
        <v>Нет</v>
      </c>
      <c r="FL193" s="38" t="str">
        <f>IF(OR(Исходн.данные.!AH193=$BS$3,Исходн.данные.!AH193=$BS$5),"Да","Нет")</f>
        <v>Нет</v>
      </c>
      <c r="FM193" s="38" t="str">
        <f>IF(OR(Исходн.данные.!AH193=$BS$9,Исходн.данные.!AH193=$BS$10,Исходн.данные.!AH193=$BS$11,Исходн.данные.!AH193=$BS$12),"Да","Нет")</f>
        <v>Нет</v>
      </c>
      <c r="FN193" s="38" t="str">
        <f>IF(OR(Исходн.данные.!AH193=$BS$6,Исходн.данные.!AH193=$BP$3),"Да","Нет")</f>
        <v>Нет</v>
      </c>
      <c r="FO193" s="38" t="str">
        <f>IF(Исходн.данные.!AH193=$BQ$9,"Да","Нет")</f>
        <v>Нет</v>
      </c>
      <c r="FP193" s="38" t="str">
        <f>IF(OR(Исходн.данные.!AH193=$BS$8,Исходн.данные.!AH193=$BT$8),"Да","Нет")</f>
        <v>Нет</v>
      </c>
      <c r="FQ193" s="38" t="str">
        <f>IF(OR(Исходн.данные.!AH193=$BQ$7,Исходн.данные.!AH193=$BQ$8),"Да","Нет")</f>
        <v>Нет</v>
      </c>
      <c r="FR193" s="38" t="str">
        <f>IF(Исходн.данные.!AI193=$BU$9,"Да","Нет")</f>
        <v>Нет</v>
      </c>
      <c r="FS193" s="38" t="str">
        <f>IF(OR(Исходн.данные.!AH193=$BP$1,Исходн.данные.!AH193=$BP$2),"Да","Нет")</f>
        <v>Нет</v>
      </c>
      <c r="FT193" s="38" t="e">
        <f>IF((Исходн.данные.!K193*GO193*GS193*GW193+BL193*0.6+Исходн.данные.!Q193*4.5*0.275)&gt;90,"Да","Нет")</f>
        <v>#N/A</v>
      </c>
      <c r="FU193" s="38" t="e">
        <f>IF((Исходн.данные.!M193*GS193*GZ193+BM193*0.225)&gt;35,"Да","Нет")</f>
        <v>#N/A</v>
      </c>
      <c r="FV193" s="38" t="str">
        <f>IF(Исходн.данные.!O193&gt;175,"Да","Нет")</f>
        <v>Нет</v>
      </c>
      <c r="FW193" s="39" t="str">
        <f>IF(Исходн.данные.!I193&gt;5.5,"Да","Нет")</f>
        <v>Нет</v>
      </c>
      <c r="FX193" s="39" t="str">
        <f>IF(Исходн.данные.!J193&lt;2,"Да","Нет")</f>
        <v>Да</v>
      </c>
      <c r="FY193" s="39" t="e">
        <f>IF(HF193=$FY$16,0,Исходн.данные.!K193*GO193*GS193*GW193/HF193)</f>
        <v>#N/A</v>
      </c>
      <c r="FZ193" s="39" t="e">
        <f>Исходн.данные.!M193*GS193*GZ193/HG193</f>
        <v>#N/A</v>
      </c>
      <c r="GA193" s="39" t="e">
        <f>IF(K_Wyn=$FY$16,0,IF(Исходн.данные.!N193=Исходн.данные.!$L$10,Исходн.данные.!O193/1.1*GS193*HC193/HH193,IF(Исходн.данные.!N193=Исходн.данные.!$L$12,Исходн.данные.!O193/1.5*GS193*HC193/HH193,Исходн.данные.!O193*GS193*HC193/HH193)))</f>
        <v>#N/A</v>
      </c>
      <c r="GB193" s="39" t="e">
        <f>IF(HF193=$FY$16,0,((Исходн.данные.!Q193*N_Org+Исходн.данные.!R193*N_Sider+Исходн.данные.!S193*N_Soloma)*AO193+Расчет!BC193*VLOOKUP(Исходн.данные.!T193,Справ!$A$3:$O$57,15)*AO193+BB193*VLOOKUP(Исходн.данные.!T193,Справ!$A$3:$O$57,15)*AL193+(Исходн.данные.!V193*N_Rizotorf+Исходн.данные.!W193*N_Rizoagr))/HF193)</f>
        <v>#N/A</v>
      </c>
      <c r="GC193" s="39" t="e">
        <f>IF(HG193=$FY$16,0,((Исходн.данные.!Q193*Р_Org+Исходн.данные.!R193*P_Sider+Исходн.данные.!S193*P_Soloma)*AP193+Расчет!BC193*VLOOKUP(Исходн.данные.!T193,Справ!$A$3:$P$57,16)*AP193+BB193*VLOOKUP(Исходн.данные.!T193,Справ!$A$3:$P$57,16)*AM193)/HG193)</f>
        <v>#N/A</v>
      </c>
      <c r="GD193" s="39" t="e">
        <f>IF(HH193=$FY$16,0,((Исходн.данные.!Q193*К_Org+Исходн.данные.!R193*K_Sider+Исходн.данные.!S193*K_Soloma)*AQ193+Расчет!BC193*VLOOKUP(Исходн.данные.!T193,Справ!$A$3:$Q$57,17)*AQ193+BB193*VLOOKUP(Исходн.данные.!T193,Справ!$A$3:$Q$57,17)*AN193)/HH193)</f>
        <v>#N/A</v>
      </c>
      <c r="GE193" s="39" t="e">
        <f>IF(HF193=$FY$16,0,(Исходн.данные.!X193*AR193+Исходн.данные.!AA193*N_Org*AL193+Исходн.данные.!AB193*N_Sider*AL193+Исходн.данные.!AC193*N_Soloma*AL193)/HF193)</f>
        <v>#N/A</v>
      </c>
      <c r="GF193" s="39" t="e">
        <f>IF(HG193=$FY$16,0,(Исходн.данные.!Y193*AS193+Исходн.данные.!AA193*Р_Org*AM193+Исходн.данные.!AB193*P_Sider*AM193+Исходн.данные.!AC193*P_Soloma*AM193)/HG193)</f>
        <v>#N/A</v>
      </c>
      <c r="GG193" s="39" t="e">
        <f>IF(HH193=$FY$16,0,(Исходн.данные.!Z193*AT193+Исходн.данные.!AA193*К_Org*AN193+Исходн.данные.!AB193*K_Sider*AN193+Исходн.данные.!AC193*K_Soloma*AN193)/HH193)</f>
        <v>#N/A</v>
      </c>
      <c r="GH193" s="39" t="e">
        <f>Исходн.данные.!AD193*AU193/HF193</f>
        <v>#N/A</v>
      </c>
      <c r="GI193" s="39" t="e">
        <f>Исходн.данные.!AE193*AV193/HG193</f>
        <v>#N/A</v>
      </c>
      <c r="GJ193" s="39" t="e">
        <f>Исходн.данные.!AF193*AW193/HH193</f>
        <v>#N/A</v>
      </c>
      <c r="GK193" s="55">
        <f>Исходн.данные.!AK193</f>
        <v>0</v>
      </c>
      <c r="GL193" s="11" t="e">
        <f t="shared" si="261"/>
        <v>#N/A</v>
      </c>
      <c r="GM193" s="11" t="e">
        <f t="shared" si="262"/>
        <v>#N/A</v>
      </c>
      <c r="GN193" s="11" t="e">
        <f t="shared" si="263"/>
        <v>#N/A</v>
      </c>
      <c r="GO193" s="57">
        <f t="shared" si="264"/>
        <v>19</v>
      </c>
      <c r="GP193" s="55">
        <f>IF(OR(Исходн.данные.!F193=$CE$1,Исходн.данные.!F193=$CE$2,Исходн.данные.!F193=$CE$3,Исходн.данные.!F193=$CE$4,Исходн.данные.!F193=$CE$5),GQ193,GR193)</f>
        <v>19</v>
      </c>
      <c r="GQ193" s="55">
        <f>IF(Исходн.данные.!F193=$CE$1,28,IF(Исходн.данные.!F193=$CE$2,26,IF(Исходн.данные.!F193=$CE$3,24,IF(Исходн.данные.!F193=$CE$4,22,IF(Исходн.данные.!F193=$CE$5,20,GR193)))))</f>
        <v>19</v>
      </c>
      <c r="GR193" s="55">
        <f>IF(Исходн.данные.!F193=$CE$6,18,IF(Исходн.данные.!F193=$CE$7,16,IF(Исходн.данные.!F193=$CE$8,14,IF(Исходн.данные.!F193=$CE$9,13,IF(Исходн.данные.!F193=$CE$10,12,19)))))</f>
        <v>19</v>
      </c>
      <c r="GS193" s="55">
        <f>IF(Исходн.данные.!G193="Пес",0.035*(40+2*Исходн.данные.!H193),IF(Исходн.данные.!G193="Суп",0.0325*(40+2*Исходн.данные.!H193),0.03*(40+2*Исходн.данные.!H193)))</f>
        <v>1.2</v>
      </c>
      <c r="GT193" s="55">
        <f>IF(Исходн.данные.!H193&lt;23,2.6,IF(AND(Исходн.данные.!H193&gt;22,Исходн.данные.!H193&lt;26),3,IF(AND(Исходн.данные.!H193&gt;25,Исходн.данные.!H193&lt;29),3.4,3.6)))</f>
        <v>2.6</v>
      </c>
      <c r="GU193" s="55">
        <f>IF(Исходн.данные.!H193&lt;23,2.8,IF(AND(Исходн.данные.!H193&gt;22,Исходн.данные.!H193&lt;26),3.2,IF(AND(Исходн.данные.!H193&gt;25,Исходн.данные.!H193&lt;29),3.6,3.9)))</f>
        <v>2.8</v>
      </c>
      <c r="GV193" s="55">
        <f>IF(Исходн.данные.!H193&lt;23,3,IF(AND(Исходн.данные.!H193&gt;22,Исходн.данные.!H193&lt;26),3.5,IF(AND(Исходн.данные.!H193&gt;25,Исходн.данные.!H193&lt;29),3.9,4.2)))</f>
        <v>3</v>
      </c>
      <c r="GW193" s="55" t="e">
        <f>IF(Исходн.данные.!P193="Ум",GX193,GY193)</f>
        <v>#N/A</v>
      </c>
      <c r="GX193" s="55" t="e">
        <f>VLOOKUP(Исходн.данные.!AI193,Коэффициенты!$J$7:$L$13,2,FALSE)</f>
        <v>#N/A</v>
      </c>
      <c r="GY193" s="55" t="e">
        <f>VLOOKUP(Исходн.данные.!AI193,Коэффициенты!$J$7:$L$13,3,FALSE)</f>
        <v>#N/A</v>
      </c>
      <c r="GZ193" s="55" t="e">
        <f>(IF(Исходн.данные.!M193&lt;50,0.11*VLOOKUP(Исходн.данные.!AH193,Культуры.Информация,7,FALSE),IF(Исходн.данные.!M193&gt;250,0.05*VLOOKUP(Исходн.данные.!AH193,Культуры.Информация,7,FALSE),VLOOKUP(Исходн.данные.!AH193,Культуры.Информация,5,FALSE)/100*($GX$6+$GY$6*Исходн.данные.!M193))))*Расчет2!AI193</f>
        <v>#N/A</v>
      </c>
      <c r="HA193" s="211"/>
      <c r="HB193" s="211"/>
      <c r="HC193" s="55" t="e">
        <f>(IF(Исходн.данные.!O193&lt;80,0.2*VLOOKUP(Исходн.данные.!AH193,Культуры.Информация,8,FALSE),IF(Исходн.данные.!O193&gt;240,0.09*VLOOKUP(Исходн.данные.!AH193,Культуры.Информация,8,FALSE),VLOOKUP(Исходн.данные.!AH193,Культуры.Информация,6,FALSE)/100*($HB$6+$HC$6*Исходн.данные.!O193))))*Расчет2!AJ193</f>
        <v>#N/A</v>
      </c>
      <c r="HD193" s="55">
        <f>IF(Исходн.данные.!O193&gt;240,0.09,IF(Исходн.данные.!O193&lt;30,0.3,$HE$10+$HD$10*Исходн.данные.!O193))</f>
        <v>0.3</v>
      </c>
      <c r="HE193" s="55">
        <f>IF(Исходн.данные.!O193&gt;240,0.17,IF(Исходн.данные.!O193&lt;30,0.5,$HF$12+$HE$12*Исходн.данные.!O193))</f>
        <v>0.5</v>
      </c>
      <c r="HF193" s="55" t="e">
        <f>VLOOKUP(Исходн.данные.!AH193,Справ!$A$3:$D$58,2,FALSE)</f>
        <v>#N/A</v>
      </c>
      <c r="HG193" s="55" t="e">
        <f>VLOOKUP(Исходн.данные.!AH193,Справ!$A$3:$D$58,3,FALSE)</f>
        <v>#N/A</v>
      </c>
      <c r="HH193" s="55" t="e">
        <f>VLOOKUP(Исходн.данные.!AH193,Справ!$A$3:$D$58,4,FALSE)</f>
        <v>#N/A</v>
      </c>
      <c r="HI193" s="11" t="e">
        <f t="shared" si="265"/>
        <v>#N/A</v>
      </c>
      <c r="HJ193" s="11" t="e">
        <f t="shared" si="266"/>
        <v>#N/A</v>
      </c>
      <c r="HK193" s="11" t="e">
        <f t="shared" si="267"/>
        <v>#N/A</v>
      </c>
      <c r="HL193" s="55">
        <f>IF(OR(Исходн.данные.!G193="Глин",Исходн.данные.!G193="Т_суг"),1.1,IF(Исходн.данные.!G193="Ср_суг",1,1))</f>
        <v>1</v>
      </c>
      <c r="HM193" s="55">
        <f>IF(OR(Исходн.данные.!G193="Глин",Исходн.данные.!G193="Т_суг"),0.9,IF(Исходн.данные.!G193="Ср_суг",1,1.2))</f>
        <v>1.2</v>
      </c>
      <c r="HN193" s="11" t="e">
        <f t="shared" si="268"/>
        <v>#N/A</v>
      </c>
      <c r="HO193" s="11" t="e">
        <f t="shared" si="269"/>
        <v>#N/A</v>
      </c>
      <c r="HP193" s="11" t="e">
        <f t="shared" si="270"/>
        <v>#N/A</v>
      </c>
      <c r="HQ193" t="e">
        <f t="shared" si="271"/>
        <v>#N/A</v>
      </c>
      <c r="HR193" t="e">
        <f t="shared" si="272"/>
        <v>#N/A</v>
      </c>
      <c r="HS193" t="e">
        <f t="shared" si="273"/>
        <v>#N/A</v>
      </c>
      <c r="HT193" t="e">
        <f t="shared" si="219"/>
        <v>#N/A</v>
      </c>
      <c r="HU193" t="e">
        <f t="shared" si="220"/>
        <v>#N/A</v>
      </c>
      <c r="HV193" t="e">
        <f t="shared" si="221"/>
        <v>#N/A</v>
      </c>
      <c r="HW193" t="e">
        <f t="shared" si="222"/>
        <v>#N/A</v>
      </c>
      <c r="HX193" t="e">
        <f t="shared" si="223"/>
        <v>#N/A</v>
      </c>
      <c r="HY193" t="e">
        <f t="shared" si="224"/>
        <v>#N/A</v>
      </c>
      <c r="HZ193" s="55">
        <f>IF(OR(Исходн.данные.!AI193="Оз_Ч_П",Исходн.данные.!AI193="Оз_З_П",Исходн.данные.!AI193="Яр_зер"),12,30)</f>
        <v>30</v>
      </c>
      <c r="IA193" t="e">
        <f t="shared" si="274"/>
        <v>#N/A</v>
      </c>
      <c r="IB193" t="e">
        <f t="shared" si="275"/>
        <v>#N/A</v>
      </c>
      <c r="IC193" t="e">
        <f t="shared" si="276"/>
        <v>#N/A</v>
      </c>
      <c r="ID193" s="11" t="e">
        <f t="shared" si="277"/>
        <v>#N/A</v>
      </c>
      <c r="IE193" s="11" t="e">
        <f t="shared" si="278"/>
        <v>#N/A</v>
      </c>
      <c r="IF193" s="11" t="e">
        <f t="shared" si="279"/>
        <v>#N/A</v>
      </c>
    </row>
    <row r="194" spans="35:240" x14ac:dyDescent="0.2">
      <c r="AI194">
        <f>IF(Исходн.данные.!I194&gt;6,1,1.85-(0.148*Исходн.данные.!I194))</f>
        <v>1.85</v>
      </c>
      <c r="AJ194">
        <f>IF(Исходн.данные.!I194&gt;6,1,2.434-(0.246*Исходн.данные.!I194))</f>
        <v>2.4340000000000002</v>
      </c>
      <c r="AL194" s="148" t="b">
        <f>IF(Исходн.данные.!$P194="Ум",N_OrgUd_2g_um,IF(Исходн.данные.!$P194="Об",N_OrgUd_2g_ob))</f>
        <v>0</v>
      </c>
      <c r="AM194" s="148" t="b">
        <f>IF(Исходн.данные.!$P194="Ум",P_OrgUd_2g_um,IF(Исходн.данные.!$P194="Об",P_OrgUd_2g_ob))</f>
        <v>0</v>
      </c>
      <c r="AN194" s="148" t="b">
        <f>IF(Исходн.данные.!$P194="Ум",K_OrgUd_2g_um,IF(Исходн.данные.!$P194="Об",K_OrgUd_2g_ob))</f>
        <v>0</v>
      </c>
      <c r="AO194" s="148" t="b">
        <f>IF(Исходн.данные.!$P194="Ум",N_OrgUd_1g_um,IF(Исходн.данные.!$P194="Об",N_OrgUd_1g_ob))</f>
        <v>0</v>
      </c>
      <c r="AP194" s="148" t="b">
        <f>IF(Исходн.данные.!$P194="Ум",P_OrgUd_1g_um,IF(Исходн.данные.!$P194="Об",P_OrgUd_1g_ob))</f>
        <v>0</v>
      </c>
      <c r="AQ194" s="148" t="b">
        <f>IF(Исходн.данные.!$P194="Ум",K_OrgUd_1g_um,IF(Исходн.данные.!$P194="Об",K_OrgUd_1g_ob))</f>
        <v>0</v>
      </c>
      <c r="AR194" t="b">
        <f>IF(Исходн.данные.!$P194="Ум",N_MinUd_2g_um,IF(Исходн.данные.!$P194="Об",N_MinUd_2g_ob))</f>
        <v>0</v>
      </c>
      <c r="AS194" t="b">
        <f>IF(Исходн.данные.!$P194="Ум",P_MinUd_2g_um,IF(Исходн.данные.!$P194="Об",P_MinUd_2g_ob))</f>
        <v>0</v>
      </c>
      <c r="AT194" t="b">
        <f>IF(Исходн.данные.!$P194="Ум",K_MinUd_2g_um,IF(Исходн.данные.!$P194="Об",K_MinUd_2g_ob))</f>
        <v>0</v>
      </c>
      <c r="AU194" t="b">
        <f>IF(Исходн.данные.!$P194="Ум",N_MinUd_1g_um,IF(Исходн.данные.!$P194="Об",N_MinUd_1g_ob))</f>
        <v>0</v>
      </c>
      <c r="AV194" t="b">
        <f>IF(Исходн.данные.!P194="Ум",P_MinUd_1g_um,IF(Исходн.данные.!P194="Об",P_MinUd_1g_ob))</f>
        <v>0</v>
      </c>
      <c r="AW194" t="b">
        <f>IF(Исходн.данные.!P194="Ум",K_MinUd_1g_um,IF(Исходн.данные.!P194="Об",K_MinUd_1g_ob))</f>
        <v>0</v>
      </c>
      <c r="AY194" t="e">
        <f>VLOOKUP(Исходн.данные.!T194,Справ!$A$3:$N$57,12)</f>
        <v>#N/A</v>
      </c>
      <c r="AZ194" t="e">
        <f>VLOOKUP(Исходн.данные.!T194,Справ!$A$3:$N$57,13)</f>
        <v>#N/A</v>
      </c>
      <c r="BA194" t="e">
        <f>VLOOKUP(Исходн.данные.!T194,Справ!$A$3:$N$57,14)</f>
        <v>#N/A</v>
      </c>
      <c r="BB194">
        <f>IF(Исходн.данные.!AH194=0,0,25)</f>
        <v>0</v>
      </c>
      <c r="BC194" s="141">
        <f>IF(Исходн.данные.!AH194=0,0,IF(Исходн.данные.!T194=0,25,BD194))</f>
        <v>0</v>
      </c>
      <c r="BD194" s="168" t="e">
        <f>AY194+AZ194*Исходн.данные.!U194-POWER(BA194,2)*Исходн.данные.!U194</f>
        <v>#N/A</v>
      </c>
      <c r="BE19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4" s="25">
        <f>IF(Исходн.данные.!AH194=0,0,MIN(HN194:HP194))</f>
        <v>0</v>
      </c>
      <c r="BG194" s="9">
        <f>IF(Исходн.данные.!AH194=0,0,IF((HO194+10*0.25/HG194/HL194)&lt;17,17,HO194+10*0.25/HG194/HL194))</f>
        <v>0</v>
      </c>
      <c r="BH194" s="181">
        <f>IF(Исходн.данные.!AH194=0,0,HW194*HF194*HL194/AU194*AI194+Исходн.данные.!S194*10)</f>
        <v>0</v>
      </c>
      <c r="BI194" s="10"/>
      <c r="BJ194" s="182">
        <f>IF(Исходн.данные.!AH194=0,0,IF(HX194*HG194*HL194/AV194&lt;0,0,HX194*HG194*HL194/AV194*AJ194))</f>
        <v>0</v>
      </c>
      <c r="BK194" s="182">
        <f>IF(Исходн.данные.!AH194=0,0,HY194*HH194*HM194/AW194)</f>
        <v>0</v>
      </c>
      <c r="BL194" s="10">
        <f>IF(OR(Исходн.данные.!$AH194=$BP$1,Исходн.данные.!$AH194=$BP$2),0,IF(BH194&lt;0,0,IF(OR(Исходн.данные.!T194=Расчет!$BP$1,Исходн.данные.!T194=Расчет!$BP$2,Исходн.данные.!T194=Расчет!$BT$5,Исходн.данные.!T194=Расчет!$BT$6),BH194*0.5,IF(OR(Исходн.данные.!T194=Расчет!$BS$9,Исходн.данные.!T194=Расчет!$BS$10,Исходн.данные.!T194=Расчет!$BS$11,Исходн.данные.!T194=Расчет!$BS$12,Исходн.данные.!T194=Расчет!$BP$5),BH194*0.8,BH194))))</f>
        <v>0</v>
      </c>
      <c r="BM194" s="10">
        <f>IF(OR(Исходн.данные.!$AH194=$BP$1,Исходн.данные.!$AH194=$BP$2),0,IF(BJ194&lt;0,0,IF(Исходн.данные.!I194&lt;4.5,BJ194*1.2,IF(Исходн.данные.!I194&gt;5.1,BJ194,BJ194*((5.1-Исходн.данные.!I194)*0.333+1)))))</f>
        <v>0</v>
      </c>
      <c r="BN194" s="10">
        <f>IF(OR(Исходн.данные.!$AH194=$BP$1,Исходн.данные.!$AH194=$BP$2),60-Исходн.данные.!AF194,IF(BK194&lt;0,0,IF(Исходн.данные.!I194&lt;4.5,BK194*1.2,IF(Исходн.данные.!I194&gt;5.1,BK194,BK194*((5.1-Исходн.данные.!I194)*0.333+1)))))</f>
        <v>0</v>
      </c>
      <c r="BO194" s="9">
        <f>IF(BL194&lt;0,0,BL194*Исходн.данные.!$AJ194/1000)</f>
        <v>0</v>
      </c>
      <c r="BP194" s="9">
        <f>IF(BM194&lt;0,0,BM194*Исходн.данные.!$AJ194/1000)</f>
        <v>0</v>
      </c>
      <c r="BQ194" s="9">
        <f>IF(BN194&lt;0,0,BN194*Исходн.данные.!$AJ194/1000)</f>
        <v>0</v>
      </c>
      <c r="BR194" s="9">
        <f t="shared" si="229"/>
        <v>0</v>
      </c>
      <c r="BS194" s="10" t="str">
        <f t="shared" si="230"/>
        <v>Аммофос 12:52:00</v>
      </c>
      <c r="BT194" s="10" t="str">
        <f t="shared" si="231"/>
        <v>Аммофос 12:52:00</v>
      </c>
      <c r="BU194" s="10" t="str">
        <f t="shared" si="232"/>
        <v>Диаммофоска</v>
      </c>
      <c r="BV194" s="10">
        <f t="shared" si="233"/>
        <v>0</v>
      </c>
      <c r="BW194" s="10"/>
      <c r="BX194" s="10"/>
      <c r="BY194" s="9">
        <f>IF(BL194&lt;0,0,IF(OR(Исходн.данные.!AI194=Расчет!$BU$6,Исходн.данные.!AI194=Расчет!$BU$7),Расчет!BV194,IF(Исходн.данные.!$AG194=$BV$11,BL194,IF(OR(Исходн.данные.!$AH194=$BQ$7,Исходн.данные.!$AH194=$BQ$8),CB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0,IF(Исходн.данные.!$AI194=$BU$11,"Нет",IF(BL194&gt;30,30,BL194)))))))</f>
        <v>0</v>
      </c>
      <c r="BZ194" s="9">
        <f>IF(AND(Исходн.данные.!$AG194=$BV$11,BM194&lt;10),10,IF(Исходн.данные.!$AG194=$BV$11,BM194,IF(OR(Исходн.данные.!$AH194=$BQ$7,Исходн.данные.!$AH194=$BQ$8),CC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10,IF(Исходн.данные.!$AI194=$BU$11,"Нет",IF(BM194&gt;60,60,IF(BM194&lt;10,10,BM194)))))))</f>
        <v>10</v>
      </c>
      <c r="CA194" s="39">
        <f>IF(BN194&lt;0,0,IF(Исходн.данные.!$AG194=$BV$11,BN194,IF(OR(Исходн.данные.!$AH194=$BQ$7,Исходн.данные.!$AH194=$BQ$8),CD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0,IF(Исходн.данные.!$AI194=$BU$11,"Нет",IF(BN194&gt;30,30,BN194))))))</f>
        <v>0</v>
      </c>
      <c r="CB194" s="9">
        <f t="shared" si="234"/>
        <v>0</v>
      </c>
      <c r="CC194" s="9">
        <f t="shared" si="235"/>
        <v>0</v>
      </c>
      <c r="CD194" s="9">
        <f t="shared" si="236"/>
        <v>0</v>
      </c>
      <c r="CE194" s="12">
        <f t="shared" si="237"/>
        <v>10</v>
      </c>
      <c r="CF194" s="9">
        <f t="shared" si="238"/>
        <v>0</v>
      </c>
      <c r="CG194" s="9" t="s">
        <v>231</v>
      </c>
      <c r="CH194" s="132" t="str">
        <f>IF(Исходн.данные.!AP194=Расчет!$CI$16,"Нет",IF(Исходн.данные.!AL194&gt;0,Исходн.данные.!AL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BH$4,IF(OR(Исходн.данные.!AI194=Исходн.данные.!$AI$6,Исходн.данные.!AI194=Исходн.данные.!$AI$7),Расчет!BS194,IF(AND($CF194=0,$CE194&gt;0),EV194,ER194)))))</f>
        <v>Аммофос 12:52:00</v>
      </c>
      <c r="CI194" s="274">
        <f>IF(Расчет!$CH194="Нет","Нет",IF(Исходн.данные.!$AL194&gt;0,VLOOKUP(Расчет!$CH194,АшламаДВ_Irekle,2,FALSE),VLOOKUP(Расчет!$CH194,АшламаДВ_Gomumy,2,FALSE)))</f>
        <v>0.12</v>
      </c>
      <c r="CJ194" s="274">
        <f>IF(Расчет!$CH194="Нет","Нет",IF(Исходн.данные.!$AL194&gt;0,VLOOKUP(Расчет!$CH194,АшламаДВ_Irekle,3,FALSE),VLOOKUP(Расчет!$CH194,АшламаДВ_Gomumy,3,FALSE)))</f>
        <v>0.52</v>
      </c>
      <c r="CK194" s="274">
        <f>IF(Расчет!$CH194="Нет","Нет",IF(Исходн.данные.!$AL194&gt;0,VLOOKUP(Расчет!$CH194,АшламаДВ_Irekle,4,FALSE),VLOOKUP(Расчет!$CH194,АшламаДВ_Gomumy,4,FALSE)))</f>
        <v>0</v>
      </c>
      <c r="CL194" s="70"/>
      <c r="CM194" s="70"/>
      <c r="CN194" s="70"/>
      <c r="CO194" s="70"/>
      <c r="CP194" s="70"/>
      <c r="CQ194" s="70"/>
      <c r="CR194" s="10">
        <f t="shared" si="239"/>
        <v>0</v>
      </c>
      <c r="CS194" s="10">
        <f t="shared" si="240"/>
        <v>19.23076923076923</v>
      </c>
      <c r="CT194" s="10">
        <f t="shared" si="241"/>
        <v>0</v>
      </c>
      <c r="CU194" s="39">
        <f>IF($CH194="Нет",0,IF(CI194=0,30/MIN(CJ194:CK194),IF(Исходн.данные.!$AG194=$BV$11,CR194,IF(OR(Исходн.данные.!$AH194=$BQ$7,Исходн.данные.!$AH194=$BQ$8),90/CI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0,IF(Исходн.данные.!$AI194=$BU$11,"Нет",30/CI194))))))</f>
        <v>250</v>
      </c>
      <c r="CV194" s="39">
        <f>IF($CH194="Нет",0,IF(Исходн.данные.!AH194=0,0,IF(CJ194=0,60/MIN(CI194,CK194),IF(Исходн.данные.!$AG194=$BV$11,CS194,IF(OR(Исходн.данные.!$AH194=$BQ$7,Исходн.данные.!$AH194=$BQ$8),90/CJ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10/CJ194,IF(Исходн.данные.!$AI194=$BU$11,"Нет",60/CJ194)))))))</f>
        <v>0</v>
      </c>
      <c r="CW194" s="39">
        <f>IF($CH194="Нет",0,IF(Исходн.данные.!AH194=0,0,IF(CK194=0,30/MIN(CI194:CJ194),IF(Исходн.данные.!$AG194=$BV$11,CT194,IF(OR(Исходн.данные.!$AH194=$BQ$7,Исходн.данные.!$AH194=$BQ$8),90/CK194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0,IF(Исходн.данные.!$AI194=$BU$11,"Нет",30/CK194)))))))</f>
        <v>0</v>
      </c>
      <c r="CX194" s="133">
        <f>IF(Исходн.данные.!$AG194=$BV$11,MAX(CU194:CW194),IF(OR(Исходн.данные.!$AH194=$BS$8,Исходн.данные.!$AH194=$BQ$9,Исходн.данные.!$AH194=$BQ$10,Исходн.данные.!$AH194=$BQ$11,Исходн.данные.!$AH194=$BQ$12,Исходн.данные.!$AH194=$BP$3,Исходн.данные.!$AH194=$BT$8,$FM194="Да"),CV194,MIN(CU194:CW194)))</f>
        <v>0</v>
      </c>
      <c r="CY194" s="133">
        <f>IF(Исходн.данные.!AH194=0,0,IF(CR194&gt;$CX194,$CX194,CR194))</f>
        <v>0</v>
      </c>
      <c r="CZ194" s="133">
        <f>IF(Исходн.данные.!AH194=0,0,IF(CS194&gt;$CX194,$CX194,CS194))</f>
        <v>0</v>
      </c>
      <c r="DA194" s="133">
        <f>IF(Исходн.данные.!AH194=0,0,IF(CT194&gt;$CX194,$CX194,CT194))</f>
        <v>0</v>
      </c>
      <c r="DB194" s="10">
        <f t="shared" si="242"/>
        <v>0</v>
      </c>
      <c r="DC194" s="39">
        <f>DB194*Исходн.данные.!AJ194/1000</f>
        <v>0</v>
      </c>
      <c r="DD194" s="71">
        <f t="shared" si="243"/>
        <v>0</v>
      </c>
      <c r="DE194" s="9">
        <f t="shared" si="244"/>
        <v>0</v>
      </c>
      <c r="DF194" s="9">
        <f t="shared" si="245"/>
        <v>0</v>
      </c>
      <c r="DG194" s="39">
        <f>IF(BL194&lt;0,0,IF($CH194="Нет",BL194,IF(OR(Исходн.данные.!$AH194=$BP$1,Исходн.данные.!$AH194=$BP$2),0,IF(Исходн.данные.!AI194=$BU$11,BL194,IF(BL194-DD194&lt;0,0,BL194-DD194)))))</f>
        <v>0</v>
      </c>
      <c r="DH194" s="39">
        <f>IF(BM194&lt;0,0,IF($CH194="Нет",BM194,IF(OR(Исходн.данные.!$AH194=$BP$1,Исходн.данные.!$AH194=$BP$2),0,IF(Исходн.данные.!AJ194=$BU$11,BM194,IF(BM194-DE194&lt;0,0,BM194-DE194)))))</f>
        <v>0</v>
      </c>
      <c r="DI194" s="39">
        <f>IF(BN194&lt;0,0,IF($CH194="Нет",BN194,IF(OR(Исходн.данные.!$AH194=$BP$1,Исходн.данные.!$AH194=$BP$2),0,IF(Исходн.данные.!AK194=$BU$11,BN194,IF(BN194-DF194&lt;0,0,BN194-DF194)))))</f>
        <v>0</v>
      </c>
      <c r="DJ194" s="12">
        <f t="shared" si="246"/>
        <v>0</v>
      </c>
      <c r="DK194" s="9">
        <f t="shared" si="247"/>
        <v>0</v>
      </c>
      <c r="DL194" s="39">
        <f>IF(Исходн.данные.!AM194&gt;0,Исходн.данные.!AM194,IF(EG194&gt;0,$BH$10,0))</f>
        <v>0</v>
      </c>
      <c r="DM194" s="186">
        <f>IF($DL194=0,0,IF(Исходн.данные.!AM194&gt;0,VLOOKUP($DL194,АшламаДВ_Irekle,2,FALSE),VLOOKUP($DL194,АшламаДВ_Gomumy,2,FALSE)))</f>
        <v>0</v>
      </c>
      <c r="DN194" s="10">
        <f t="shared" si="225"/>
        <v>0</v>
      </c>
      <c r="DO194" s="9" t="str">
        <f>IF(Исходн.данные.!AN194&gt;0,Исходн.данные.!AN194,Удобрения!$B$37 )</f>
        <v>Хлор.калий</v>
      </c>
      <c r="DP194" s="9">
        <f>IF(Исходн.данные.!AN194&gt;0,VLOOKUP(Исходн.данные.!AN194,АшламаДВ_Irekle,4,FALSE),VLOOKUP(DO194,АшламаДВ_Gomumy,4,FALSE))</f>
        <v>0.6</v>
      </c>
      <c r="DQ194" s="10">
        <f t="shared" si="226"/>
        <v>0</v>
      </c>
      <c r="DR194" s="132" t="str">
        <f>IF(Исходн.данные.!AO194&gt;0,Исходн.данные.!AO194,IF(DH194=0,BS$17,IF(AND($DK194=0,$DJ194&gt;0),EJ194,EN194)))</f>
        <v>Нет</v>
      </c>
      <c r="DS194" s="70" t="str">
        <f>IF($DR194="Нет","Нет",IF(Исходн.данные.!$AO194&gt;0,VLOOKUP($DR194,АшламаДВ_Irekle,2,FALSE),VLOOKUP($DR194,АшламаДВ_Gomumy,2,FALSE)))</f>
        <v>Нет</v>
      </c>
      <c r="DT194" s="70" t="str">
        <f>IF($DR194="Нет","Нет",IF(Исходн.данные.!$AO194&gt;0,VLOOKUP($DR194,АшламаДВ_Irekle,3,FALSE),VLOOKUP($DR194,АшламаДВ_Gomumy,3,FALSE)))</f>
        <v>Нет</v>
      </c>
      <c r="DU194" s="70" t="str">
        <f>IF($DR194="Нет","Нет",IF(Исходн.данные.!$AO194&gt;0,VLOOKUP($DR194,АшламаДВ_Irekle,4,FALSE),VLOOKUP($DR194,АшламаДВ_Gomumy,4,FALSE)))</f>
        <v>Нет</v>
      </c>
      <c r="DV194" s="70"/>
      <c r="DW194" s="70"/>
      <c r="DX194" s="70"/>
      <c r="DY194" s="10">
        <f t="shared" si="248"/>
        <v>0</v>
      </c>
      <c r="DZ194" s="10">
        <f t="shared" si="249"/>
        <v>0</v>
      </c>
      <c r="EA194" s="10">
        <f t="shared" si="250"/>
        <v>0</v>
      </c>
      <c r="EB194" s="10">
        <f t="shared" si="251"/>
        <v>0</v>
      </c>
      <c r="EC194" s="10">
        <f t="shared" si="252"/>
        <v>0</v>
      </c>
      <c r="ED194" s="10">
        <f t="shared" si="253"/>
        <v>0</v>
      </c>
      <c r="EE194" s="10">
        <f t="shared" si="254"/>
        <v>0</v>
      </c>
      <c r="EF194" s="39">
        <f>EB194*Исходн.данные.!AJ194/1000</f>
        <v>0</v>
      </c>
      <c r="EG194" s="9">
        <f t="shared" si="255"/>
        <v>0</v>
      </c>
      <c r="EH194" s="9">
        <f t="shared" si="256"/>
        <v>0</v>
      </c>
      <c r="EI194" s="39" t="e">
        <f t="shared" si="206"/>
        <v>#DIV/0!</v>
      </c>
      <c r="EJ194" s="9" t="str">
        <f t="shared" si="227"/>
        <v>Азопреципитат</v>
      </c>
      <c r="EK194" s="12">
        <f t="shared" si="207"/>
        <v>0.26</v>
      </c>
      <c r="EL194" s="12">
        <f t="shared" si="208"/>
        <v>0.13</v>
      </c>
      <c r="EM194" s="12">
        <f t="shared" si="209"/>
        <v>0</v>
      </c>
      <c r="EN194" s="12" t="str">
        <f t="shared" si="228"/>
        <v>Нет</v>
      </c>
      <c r="EO194" s="12">
        <f t="shared" si="210"/>
        <v>0</v>
      </c>
      <c r="EP194" s="12">
        <f t="shared" si="211"/>
        <v>0</v>
      </c>
      <c r="EQ194" s="12">
        <f t="shared" si="212"/>
        <v>0</v>
      </c>
      <c r="ER194" s="12" t="str">
        <f t="shared" si="257"/>
        <v>Диаммофоска</v>
      </c>
      <c r="ES194" s="12">
        <f t="shared" si="213"/>
        <v>0.1</v>
      </c>
      <c r="ET194" s="12">
        <f t="shared" si="214"/>
        <v>0.26</v>
      </c>
      <c r="EU194" s="12">
        <f t="shared" si="215"/>
        <v>0.26</v>
      </c>
      <c r="EV194" s="12" t="str">
        <f t="shared" si="258"/>
        <v>Аммофос 12:52:00</v>
      </c>
      <c r="EW194" s="12" t="str">
        <f t="shared" si="259"/>
        <v>Кемира Свекловичное-6</v>
      </c>
      <c r="EX194" s="12">
        <f t="shared" si="216"/>
        <v>0.16</v>
      </c>
      <c r="EY194" s="12">
        <f t="shared" si="217"/>
        <v>0.12</v>
      </c>
      <c r="EZ194" s="12">
        <f t="shared" si="218"/>
        <v>0.17</v>
      </c>
      <c r="FA194" s="38" t="e">
        <f>IF(AND(OR(FJ194=$FD$1,FM194=$FD$1,FO194=$FD$1,FQ194=$FD$1,FS194=$FD$1),FD194=$FD$1,Исходн.данные.!J194&lt;2,FU194=$FD$1),"Бор,Кобальт",IF(AND(FO194=$FD$1,FH194=$FD$1,Исходн.данные.!J194&lt;2,FU194=$FD$1),"Бор,Кобальт",IF(AND(OR(FJ194=$FD$1,FM194=$FD$1,FQ194=$FD$1),FE194=$FD$1,Исходн.данные.!J194&lt;2,FT194=$FD$1,FU194=$FD$1),"Бор,Медь,Цинк",IF(AND(OR(FJ194=$FD$1,FR194="Да"),FI194="Да",Исходн.данные.!J194&lt;2,FT194="Да",FU194="Да"),"Бор,Цинк,Медь",IF(AND(OR(FM194="Да",FQ194="Да"),FI194="Да",Исходн.данные.!J194&lt;2,FT194="Да",FU194="Да"),"Бор,Цинк",IF(AND(FN194="Да",OR(FD194="Да",FE194="Да")),"Бор",FB194))))))</f>
        <v>#N/A</v>
      </c>
      <c r="FB194" s="134" t="e">
        <f>IF(AND(OR(FD194="Да",FE194="Да",FF194="Да",FG194="Да",FH194="Да"),FO194="Да"),"Бор",IF(AND(FP194="Да",OR(FD194="Да",FE194="Да",FI194="Да")),"Бор",IF(AND(FS194="Да",FE194="Да"),"Бор,Медь",IF(AND(OR(FJ194="Да",FK194="Да",FL194="Да"),FE194="Да",Исходн.данные.!I194&lt;5,FT194="Да",FU194="Да"),"Молибден,Цинк",IF(AND(FM194="Да",OR(FE194="Да",FF194="Да",FG194="Да",FH194="Да",FI194="Да")),"Молибден,Цинк",IF(AND(OR(FJ194="Да",FK194="Да",FL194="Да",FM194="Да",FQ194="Да"),OR(FE194="Да",FF194="Да"),FT194="Да",FU194="Да",Исходн.данные.!I194&gt;5.5),"Медь,Цинк",FC194))))))</f>
        <v>#N/A</v>
      </c>
      <c r="FC194" s="23" t="e">
        <f t="shared" si="260"/>
        <v>#N/A</v>
      </c>
      <c r="FD194" s="38" t="str">
        <f>IF(OR(Исходн.данные.!F194=$CC$1,Исходн.данные.!F194=$CC$2,Исходн.данные.!F194=$CC$3,Исходн.данные.!F194=$CC$4),"Да","Нет")</f>
        <v>Нет</v>
      </c>
      <c r="FE194" s="38" t="str">
        <f>IF(Исходн.данные.!F194=$CC$5,"Да","Нет")</f>
        <v>Нет</v>
      </c>
      <c r="FF194" s="38" t="str">
        <f>IF(OR(Исходн.данные.!F194=$CC$6,Исходн.данные.!F194=$CC$7),"Да","Нет")</f>
        <v>Нет</v>
      </c>
      <c r="FG194" s="38" t="str">
        <f>IF(OR(Исходн.данные.!F194=$CC$8,Исходн.данные.!F194=$CC$9),"Да","Нет")</f>
        <v>Нет</v>
      </c>
      <c r="FH194" s="38" t="str">
        <f>IF(Исходн.данные.!F194=$CC$10,"Да","Нет")</f>
        <v>Нет</v>
      </c>
      <c r="FI194" s="38" t="str">
        <f>IF(OR(Исходн.данные.!F194=$CC$11,Исходн.данные.!F194=$CC$12),"Да","Нет")</f>
        <v>Нет</v>
      </c>
      <c r="FJ194" s="38" t="str">
        <f>IF(OR(Исходн.данные.!AH194=$BS$1,Исходн.данные.!AH194=$BQ$11,Исходн.данные.!AH194=$BQ$12),"Да","Нет")</f>
        <v>Нет</v>
      </c>
      <c r="FK194" s="38" t="str">
        <f>IF(OR(Исходн.данные.!AH194=$BS$2,Исходн.данные.!AH194=$BS$4),"Да","Нет")</f>
        <v>Нет</v>
      </c>
      <c r="FL194" s="38" t="str">
        <f>IF(OR(Исходн.данные.!AH194=$BS$3,Исходн.данные.!AH194=$BS$5),"Да","Нет")</f>
        <v>Нет</v>
      </c>
      <c r="FM194" s="38" t="str">
        <f>IF(OR(Исходн.данные.!AH194=$BS$9,Исходн.данные.!AH194=$BS$10,Исходн.данные.!AH194=$BS$11,Исходн.данные.!AH194=$BS$12),"Да","Нет")</f>
        <v>Нет</v>
      </c>
      <c r="FN194" s="38" t="str">
        <f>IF(OR(Исходн.данные.!AH194=$BS$6,Исходн.данные.!AH194=$BP$3),"Да","Нет")</f>
        <v>Нет</v>
      </c>
      <c r="FO194" s="38" t="str">
        <f>IF(Исходн.данные.!AH194=$BQ$9,"Да","Нет")</f>
        <v>Нет</v>
      </c>
      <c r="FP194" s="38" t="str">
        <f>IF(OR(Исходн.данные.!AH194=$BS$8,Исходн.данные.!AH194=$BT$8),"Да","Нет")</f>
        <v>Нет</v>
      </c>
      <c r="FQ194" s="38" t="str">
        <f>IF(OR(Исходн.данные.!AH194=$BQ$7,Исходн.данные.!AH194=$BQ$8),"Да","Нет")</f>
        <v>Нет</v>
      </c>
      <c r="FR194" s="38" t="str">
        <f>IF(Исходн.данные.!AI194=$BU$9,"Да","Нет")</f>
        <v>Нет</v>
      </c>
      <c r="FS194" s="38" t="str">
        <f>IF(OR(Исходн.данные.!AH194=$BP$1,Исходн.данные.!AH194=$BP$2),"Да","Нет")</f>
        <v>Нет</v>
      </c>
      <c r="FT194" s="38" t="e">
        <f>IF((Исходн.данные.!K194*GO194*GS194*GW194+BL194*0.6+Исходн.данные.!Q194*4.5*0.275)&gt;90,"Да","Нет")</f>
        <v>#N/A</v>
      </c>
      <c r="FU194" s="38" t="e">
        <f>IF((Исходн.данные.!M194*GS194*GZ194+BM194*0.225)&gt;35,"Да","Нет")</f>
        <v>#N/A</v>
      </c>
      <c r="FV194" s="38" t="str">
        <f>IF(Исходн.данные.!O194&gt;175,"Да","Нет")</f>
        <v>Нет</v>
      </c>
      <c r="FW194" s="39" t="str">
        <f>IF(Исходн.данные.!I194&gt;5.5,"Да","Нет")</f>
        <v>Нет</v>
      </c>
      <c r="FX194" s="39" t="str">
        <f>IF(Исходн.данные.!J194&lt;2,"Да","Нет")</f>
        <v>Да</v>
      </c>
      <c r="FY194" s="39" t="e">
        <f>IF(HF194=$FY$16,0,Исходн.данные.!K194*GO194*GS194*GW194/HF194)</f>
        <v>#N/A</v>
      </c>
      <c r="FZ194" s="39" t="e">
        <f>Исходн.данные.!M194*GS194*GZ194/HG194</f>
        <v>#N/A</v>
      </c>
      <c r="GA194" s="39" t="e">
        <f>IF(K_Wyn=$FY$16,0,IF(Исходн.данные.!N194=Исходн.данные.!$L$10,Исходн.данные.!O194/1.1*GS194*HC194/HH194,IF(Исходн.данные.!N194=Исходн.данные.!$L$12,Исходн.данные.!O194/1.5*GS194*HC194/HH194,Исходн.данные.!O194*GS194*HC194/HH194)))</f>
        <v>#N/A</v>
      </c>
      <c r="GB194" s="39" t="e">
        <f>IF(HF194=$FY$16,0,((Исходн.данные.!Q194*N_Org+Исходн.данные.!R194*N_Sider+Исходн.данные.!S194*N_Soloma)*AO194+Расчет!BC194*VLOOKUP(Исходн.данные.!T194,Справ!$A$3:$O$57,15)*AO194+BB194*VLOOKUP(Исходн.данные.!T194,Справ!$A$3:$O$57,15)*AL194+(Исходн.данные.!V194*N_Rizotorf+Исходн.данные.!W194*N_Rizoagr))/HF194)</f>
        <v>#N/A</v>
      </c>
      <c r="GC194" s="39" t="e">
        <f>IF(HG194=$FY$16,0,((Исходн.данные.!Q194*Р_Org+Исходн.данные.!R194*P_Sider+Исходн.данные.!S194*P_Soloma)*AP194+Расчет!BC194*VLOOKUP(Исходн.данные.!T194,Справ!$A$3:$P$57,16)*AP194+BB194*VLOOKUP(Исходн.данные.!T194,Справ!$A$3:$P$57,16)*AM194)/HG194)</f>
        <v>#N/A</v>
      </c>
      <c r="GD194" s="39" t="e">
        <f>IF(HH194=$FY$16,0,((Исходн.данные.!Q194*К_Org+Исходн.данные.!R194*K_Sider+Исходн.данные.!S194*K_Soloma)*AQ194+Расчет!BC194*VLOOKUP(Исходн.данные.!T194,Справ!$A$3:$Q$57,17)*AQ194+BB194*VLOOKUP(Исходн.данные.!T194,Справ!$A$3:$Q$57,17)*AN194)/HH194)</f>
        <v>#N/A</v>
      </c>
      <c r="GE194" s="39" t="e">
        <f>IF(HF194=$FY$16,0,(Исходн.данные.!X194*AR194+Исходн.данные.!AA194*N_Org*AL194+Исходн.данные.!AB194*N_Sider*AL194+Исходн.данные.!AC194*N_Soloma*AL194)/HF194)</f>
        <v>#N/A</v>
      </c>
      <c r="GF194" s="39" t="e">
        <f>IF(HG194=$FY$16,0,(Исходн.данные.!Y194*AS194+Исходн.данные.!AA194*Р_Org*AM194+Исходн.данные.!AB194*P_Sider*AM194+Исходн.данные.!AC194*P_Soloma*AM194)/HG194)</f>
        <v>#N/A</v>
      </c>
      <c r="GG194" s="39" t="e">
        <f>IF(HH194=$FY$16,0,(Исходн.данные.!Z194*AT194+Исходн.данные.!AA194*К_Org*AN194+Исходн.данные.!AB194*K_Sider*AN194+Исходн.данные.!AC194*K_Soloma*AN194)/HH194)</f>
        <v>#N/A</v>
      </c>
      <c r="GH194" s="39" t="e">
        <f>Исходн.данные.!AD194*AU194/HF194</f>
        <v>#N/A</v>
      </c>
      <c r="GI194" s="39" t="e">
        <f>Исходн.данные.!AE194*AV194/HG194</f>
        <v>#N/A</v>
      </c>
      <c r="GJ194" s="39" t="e">
        <f>Исходн.данные.!AF194*AW194/HH194</f>
        <v>#N/A</v>
      </c>
      <c r="GK194" s="55">
        <f>Исходн.данные.!AK194</f>
        <v>0</v>
      </c>
      <c r="GL194" s="11" t="e">
        <f t="shared" si="261"/>
        <v>#N/A</v>
      </c>
      <c r="GM194" s="11" t="e">
        <f t="shared" si="262"/>
        <v>#N/A</v>
      </c>
      <c r="GN194" s="11" t="e">
        <f t="shared" si="263"/>
        <v>#N/A</v>
      </c>
      <c r="GO194" s="57">
        <f t="shared" si="264"/>
        <v>19</v>
      </c>
      <c r="GP194" s="55">
        <f>IF(OR(Исходн.данные.!F194=$CE$1,Исходн.данные.!F194=$CE$2,Исходн.данные.!F194=$CE$3,Исходн.данные.!F194=$CE$4,Исходн.данные.!F194=$CE$5),GQ194,GR194)</f>
        <v>19</v>
      </c>
      <c r="GQ194" s="55">
        <f>IF(Исходн.данные.!F194=$CE$1,28,IF(Исходн.данные.!F194=$CE$2,26,IF(Исходн.данные.!F194=$CE$3,24,IF(Исходн.данные.!F194=$CE$4,22,IF(Исходн.данные.!F194=$CE$5,20,GR194)))))</f>
        <v>19</v>
      </c>
      <c r="GR194" s="55">
        <f>IF(Исходн.данные.!F194=$CE$6,18,IF(Исходн.данные.!F194=$CE$7,16,IF(Исходн.данные.!F194=$CE$8,14,IF(Исходн.данные.!F194=$CE$9,13,IF(Исходн.данные.!F194=$CE$10,12,19)))))</f>
        <v>19</v>
      </c>
      <c r="GS194" s="55">
        <f>IF(Исходн.данные.!G194="Пес",0.035*(40+2*Исходн.данные.!H194),IF(Исходн.данные.!G194="Суп",0.0325*(40+2*Исходн.данные.!H194),0.03*(40+2*Исходн.данные.!H194)))</f>
        <v>1.2</v>
      </c>
      <c r="GT194" s="55">
        <f>IF(Исходн.данные.!H194&lt;23,2.6,IF(AND(Исходн.данные.!H194&gt;22,Исходн.данные.!H194&lt;26),3,IF(AND(Исходн.данные.!H194&gt;25,Исходн.данные.!H194&lt;29),3.4,3.6)))</f>
        <v>2.6</v>
      </c>
      <c r="GU194" s="55">
        <f>IF(Исходн.данные.!H194&lt;23,2.8,IF(AND(Исходн.данные.!H194&gt;22,Исходн.данные.!H194&lt;26),3.2,IF(AND(Исходн.данные.!H194&gt;25,Исходн.данные.!H194&lt;29),3.6,3.9)))</f>
        <v>2.8</v>
      </c>
      <c r="GV194" s="55">
        <f>IF(Исходн.данные.!H194&lt;23,3,IF(AND(Исходн.данные.!H194&gt;22,Исходн.данные.!H194&lt;26),3.5,IF(AND(Исходн.данные.!H194&gt;25,Исходн.данные.!H194&lt;29),3.9,4.2)))</f>
        <v>3</v>
      </c>
      <c r="GW194" s="55" t="e">
        <f>IF(Исходн.данные.!P194="Ум",GX194,GY194)</f>
        <v>#N/A</v>
      </c>
      <c r="GX194" s="55" t="e">
        <f>VLOOKUP(Исходн.данные.!AI194,Коэффициенты!$J$7:$L$13,2,FALSE)</f>
        <v>#N/A</v>
      </c>
      <c r="GY194" s="55" t="e">
        <f>VLOOKUP(Исходн.данные.!AI194,Коэффициенты!$J$7:$L$13,3,FALSE)</f>
        <v>#N/A</v>
      </c>
      <c r="GZ194" s="55" t="e">
        <f>(IF(Исходн.данные.!M194&lt;50,0.11*VLOOKUP(Исходн.данные.!AH194,Культуры.Информация,7,FALSE),IF(Исходн.данные.!M194&gt;250,0.05*VLOOKUP(Исходн.данные.!AH194,Культуры.Информация,7,FALSE),VLOOKUP(Исходн.данные.!AH194,Культуры.Информация,5,FALSE)/100*($GX$6+$GY$6*Исходн.данные.!M194))))*Расчет2!AI194</f>
        <v>#N/A</v>
      </c>
      <c r="HA194" s="211"/>
      <c r="HB194" s="211"/>
      <c r="HC194" s="55" t="e">
        <f>(IF(Исходн.данные.!O194&lt;80,0.2*VLOOKUP(Исходн.данные.!AH194,Культуры.Информация,8,FALSE),IF(Исходн.данные.!O194&gt;240,0.09*VLOOKUP(Исходн.данные.!AH194,Культуры.Информация,8,FALSE),VLOOKUP(Исходн.данные.!AH194,Культуры.Информация,6,FALSE)/100*($HB$6+$HC$6*Исходн.данные.!O194))))*Расчет2!AJ194</f>
        <v>#N/A</v>
      </c>
      <c r="HD194" s="55">
        <f>IF(Исходн.данные.!O194&gt;240,0.09,IF(Исходн.данные.!O194&lt;30,0.3,$HE$10+$HD$10*Исходн.данные.!O194))</f>
        <v>0.3</v>
      </c>
      <c r="HE194" s="55">
        <f>IF(Исходн.данные.!O194&gt;240,0.17,IF(Исходн.данные.!O194&lt;30,0.5,$HF$12+$HE$12*Исходн.данные.!O194))</f>
        <v>0.5</v>
      </c>
      <c r="HF194" s="55" t="e">
        <f>VLOOKUP(Исходн.данные.!AH194,Справ!$A$3:$D$58,2,FALSE)</f>
        <v>#N/A</v>
      </c>
      <c r="HG194" s="55" t="e">
        <f>VLOOKUP(Исходн.данные.!AH194,Справ!$A$3:$D$58,3,FALSE)</f>
        <v>#N/A</v>
      </c>
      <c r="HH194" s="55" t="e">
        <f>VLOOKUP(Исходн.данные.!AH194,Справ!$A$3:$D$58,4,FALSE)</f>
        <v>#N/A</v>
      </c>
      <c r="HI194" s="11" t="e">
        <f t="shared" si="265"/>
        <v>#N/A</v>
      </c>
      <c r="HJ194" s="11" t="e">
        <f t="shared" si="266"/>
        <v>#N/A</v>
      </c>
      <c r="HK194" s="11" t="e">
        <f t="shared" si="267"/>
        <v>#N/A</v>
      </c>
      <c r="HL194" s="55">
        <f>IF(OR(Исходн.данные.!G194="Глин",Исходн.данные.!G194="Т_суг"),1.1,IF(Исходн.данные.!G194="Ср_суг",1,1))</f>
        <v>1</v>
      </c>
      <c r="HM194" s="55">
        <f>IF(OR(Исходн.данные.!G194="Глин",Исходн.данные.!G194="Т_суг"),0.9,IF(Исходн.данные.!G194="Ср_суг",1,1.2))</f>
        <v>1.2</v>
      </c>
      <c r="HN194" s="11" t="e">
        <f t="shared" si="268"/>
        <v>#N/A</v>
      </c>
      <c r="HO194" s="11" t="e">
        <f t="shared" si="269"/>
        <v>#N/A</v>
      </c>
      <c r="HP194" s="11" t="e">
        <f t="shared" si="270"/>
        <v>#N/A</v>
      </c>
      <c r="HQ194" t="e">
        <f t="shared" si="271"/>
        <v>#N/A</v>
      </c>
      <c r="HR194" t="e">
        <f t="shared" si="272"/>
        <v>#N/A</v>
      </c>
      <c r="HS194" t="e">
        <f t="shared" si="273"/>
        <v>#N/A</v>
      </c>
      <c r="HT194" t="e">
        <f t="shared" si="219"/>
        <v>#N/A</v>
      </c>
      <c r="HU194" t="e">
        <f t="shared" si="220"/>
        <v>#N/A</v>
      </c>
      <c r="HV194" t="e">
        <f t="shared" si="221"/>
        <v>#N/A</v>
      </c>
      <c r="HW194" t="e">
        <f t="shared" si="222"/>
        <v>#N/A</v>
      </c>
      <c r="HX194" t="e">
        <f t="shared" si="223"/>
        <v>#N/A</v>
      </c>
      <c r="HY194" t="e">
        <f t="shared" si="224"/>
        <v>#N/A</v>
      </c>
      <c r="HZ194" s="55">
        <f>IF(OR(Исходн.данные.!AI194="Оз_Ч_П",Исходн.данные.!AI194="Оз_З_П",Исходн.данные.!AI194="Яр_зер"),12,30)</f>
        <v>30</v>
      </c>
      <c r="IA194" t="e">
        <f t="shared" si="274"/>
        <v>#N/A</v>
      </c>
      <c r="IB194" t="e">
        <f t="shared" si="275"/>
        <v>#N/A</v>
      </c>
      <c r="IC194" t="e">
        <f t="shared" si="276"/>
        <v>#N/A</v>
      </c>
      <c r="ID194" s="11" t="e">
        <f t="shared" si="277"/>
        <v>#N/A</v>
      </c>
      <c r="IE194" s="11" t="e">
        <f t="shared" si="278"/>
        <v>#N/A</v>
      </c>
      <c r="IF194" s="11" t="e">
        <f t="shared" si="279"/>
        <v>#N/A</v>
      </c>
    </row>
    <row r="195" spans="35:240" x14ac:dyDescent="0.2">
      <c r="AI195">
        <f>IF(Исходн.данные.!I195&gt;6,1,1.85-(0.148*Исходн.данные.!I195))</f>
        <v>1.85</v>
      </c>
      <c r="AJ195">
        <f>IF(Исходн.данные.!I195&gt;6,1,2.434-(0.246*Исходн.данные.!I195))</f>
        <v>2.4340000000000002</v>
      </c>
      <c r="AL195" s="148" t="b">
        <f>IF(Исходн.данные.!$P195="Ум",N_OrgUd_2g_um,IF(Исходн.данные.!$P195="Об",N_OrgUd_2g_ob))</f>
        <v>0</v>
      </c>
      <c r="AM195" s="148" t="b">
        <f>IF(Исходн.данные.!$P195="Ум",P_OrgUd_2g_um,IF(Исходн.данные.!$P195="Об",P_OrgUd_2g_ob))</f>
        <v>0</v>
      </c>
      <c r="AN195" s="148" t="b">
        <f>IF(Исходн.данные.!$P195="Ум",K_OrgUd_2g_um,IF(Исходн.данные.!$P195="Об",K_OrgUd_2g_ob))</f>
        <v>0</v>
      </c>
      <c r="AO195" s="148" t="b">
        <f>IF(Исходн.данные.!$P195="Ум",N_OrgUd_1g_um,IF(Исходн.данные.!$P195="Об",N_OrgUd_1g_ob))</f>
        <v>0</v>
      </c>
      <c r="AP195" s="148" t="b">
        <f>IF(Исходн.данные.!$P195="Ум",P_OrgUd_1g_um,IF(Исходн.данные.!$P195="Об",P_OrgUd_1g_ob))</f>
        <v>0</v>
      </c>
      <c r="AQ195" s="148" t="b">
        <f>IF(Исходн.данные.!$P195="Ум",K_OrgUd_1g_um,IF(Исходн.данные.!$P195="Об",K_OrgUd_1g_ob))</f>
        <v>0</v>
      </c>
      <c r="AR195" t="b">
        <f>IF(Исходн.данные.!$P195="Ум",N_MinUd_2g_um,IF(Исходн.данные.!$P195="Об",N_MinUd_2g_ob))</f>
        <v>0</v>
      </c>
      <c r="AS195" t="b">
        <f>IF(Исходн.данные.!$P195="Ум",P_MinUd_2g_um,IF(Исходн.данные.!$P195="Об",P_MinUd_2g_ob))</f>
        <v>0</v>
      </c>
      <c r="AT195" t="b">
        <f>IF(Исходн.данные.!$P195="Ум",K_MinUd_2g_um,IF(Исходн.данные.!$P195="Об",K_MinUd_2g_ob))</f>
        <v>0</v>
      </c>
      <c r="AU195" t="b">
        <f>IF(Исходн.данные.!$P195="Ум",N_MinUd_1g_um,IF(Исходн.данные.!$P195="Об",N_MinUd_1g_ob))</f>
        <v>0</v>
      </c>
      <c r="AV195" t="b">
        <f>IF(Исходн.данные.!P195="Ум",P_MinUd_1g_um,IF(Исходн.данные.!P195="Об",P_MinUd_1g_ob))</f>
        <v>0</v>
      </c>
      <c r="AW195" t="b">
        <f>IF(Исходн.данные.!P195="Ум",K_MinUd_1g_um,IF(Исходн.данные.!P195="Об",K_MinUd_1g_ob))</f>
        <v>0</v>
      </c>
      <c r="AY195" t="e">
        <f>VLOOKUP(Исходн.данные.!T195,Справ!$A$3:$N$57,12)</f>
        <v>#N/A</v>
      </c>
      <c r="AZ195" t="e">
        <f>VLOOKUP(Исходн.данные.!T195,Справ!$A$3:$N$57,13)</f>
        <v>#N/A</v>
      </c>
      <c r="BA195" t="e">
        <f>VLOOKUP(Исходн.данные.!T195,Справ!$A$3:$N$57,14)</f>
        <v>#N/A</v>
      </c>
      <c r="BB195">
        <f>IF(Исходн.данные.!AH195=0,0,25)</f>
        <v>0</v>
      </c>
      <c r="BC195" s="141">
        <f>IF(Исходн.данные.!AH195=0,0,IF(Исходн.данные.!T195=0,25,BD195))</f>
        <v>0</v>
      </c>
      <c r="BD195" s="168" t="e">
        <f>AY195+AZ195*Исходн.данные.!U195-POWER(BA195,2)*Исходн.данные.!U195</f>
        <v>#N/A</v>
      </c>
      <c r="BE19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5" s="25">
        <f>IF(Исходн.данные.!AH195=0,0,MIN(HN195:HP195))</f>
        <v>0</v>
      </c>
      <c r="BG195" s="9">
        <f>IF(Исходн.данные.!AH195=0,0,IF((HO195+10*0.25/HG195/HL195)&lt;17,17,HO195+10*0.25/HG195/HL195))</f>
        <v>0</v>
      </c>
      <c r="BH195" s="181">
        <f>IF(Исходн.данные.!AH195=0,0,HW195*HF195*HL195/AU195*AI195+Исходн.данные.!S195*10)</f>
        <v>0</v>
      </c>
      <c r="BI195" s="10"/>
      <c r="BJ195" s="182">
        <f>IF(Исходн.данные.!AH195=0,0,IF(HX195*HG195*HL195/AV195&lt;0,0,HX195*HG195*HL195/AV195*AJ195))</f>
        <v>0</v>
      </c>
      <c r="BK195" s="182">
        <f>IF(Исходн.данные.!AH195=0,0,HY195*HH195*HM195/AW195)</f>
        <v>0</v>
      </c>
      <c r="BL195" s="10">
        <f>IF(OR(Исходн.данные.!$AH195=$BP$1,Исходн.данные.!$AH195=$BP$2),0,IF(BH195&lt;0,0,IF(OR(Исходн.данные.!T195=Расчет!$BP$1,Исходн.данные.!T195=Расчет!$BP$2,Исходн.данные.!T195=Расчет!$BT$5,Исходн.данные.!T195=Расчет!$BT$6),BH195*0.5,IF(OR(Исходн.данные.!T195=Расчет!$BS$9,Исходн.данные.!T195=Расчет!$BS$10,Исходн.данные.!T195=Расчет!$BS$11,Исходн.данные.!T195=Расчет!$BS$12,Исходн.данные.!T195=Расчет!$BP$5),BH195*0.8,BH195))))</f>
        <v>0</v>
      </c>
      <c r="BM195" s="10">
        <f>IF(OR(Исходн.данные.!$AH195=$BP$1,Исходн.данные.!$AH195=$BP$2),0,IF(BJ195&lt;0,0,IF(Исходн.данные.!I195&lt;4.5,BJ195*1.2,IF(Исходн.данные.!I195&gt;5.1,BJ195,BJ195*((5.1-Исходн.данные.!I195)*0.333+1)))))</f>
        <v>0</v>
      </c>
      <c r="BN195" s="10">
        <f>IF(OR(Исходн.данные.!$AH195=$BP$1,Исходн.данные.!$AH195=$BP$2),60-Исходн.данные.!AF195,IF(BK195&lt;0,0,IF(Исходн.данные.!I195&lt;4.5,BK195*1.2,IF(Исходн.данные.!I195&gt;5.1,BK195,BK195*((5.1-Исходн.данные.!I195)*0.333+1)))))</f>
        <v>0</v>
      </c>
      <c r="BO195" s="9">
        <f>IF(BL195&lt;0,0,BL195*Исходн.данные.!$AJ195/1000)</f>
        <v>0</v>
      </c>
      <c r="BP195" s="9">
        <f>IF(BM195&lt;0,0,BM195*Исходн.данные.!$AJ195/1000)</f>
        <v>0</v>
      </c>
      <c r="BQ195" s="9">
        <f>IF(BN195&lt;0,0,BN195*Исходн.данные.!$AJ195/1000)</f>
        <v>0</v>
      </c>
      <c r="BR195" s="9">
        <f t="shared" si="229"/>
        <v>0</v>
      </c>
      <c r="BS195" s="10" t="str">
        <f t="shared" si="230"/>
        <v>Аммофос 12:52:00</v>
      </c>
      <c r="BT195" s="10" t="str">
        <f t="shared" si="231"/>
        <v>Аммофос 12:52:00</v>
      </c>
      <c r="BU195" s="10" t="str">
        <f t="shared" si="232"/>
        <v>Диаммофоска</v>
      </c>
      <c r="BV195" s="10">
        <f t="shared" si="233"/>
        <v>0</v>
      </c>
      <c r="BW195" s="10"/>
      <c r="BX195" s="10"/>
      <c r="BY195" s="9">
        <f>IF(BL195&lt;0,0,IF(OR(Исходн.данные.!AI195=Расчет!$BU$6,Исходн.данные.!AI195=Расчет!$BU$7),Расчет!BV195,IF(Исходн.данные.!$AG195=$BV$11,BL195,IF(OR(Исходн.данные.!$AH195=$BQ$7,Исходн.данные.!$AH195=$BQ$8),CB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0,IF(Исходн.данные.!$AI195=$BU$11,"Нет",IF(BL195&gt;30,30,BL195)))))))</f>
        <v>0</v>
      </c>
      <c r="BZ195" s="9">
        <f>IF(AND(Исходн.данные.!$AG195=$BV$11,BM195&lt;10),10,IF(Исходн.данные.!$AG195=$BV$11,BM195,IF(OR(Исходн.данные.!$AH195=$BQ$7,Исходн.данные.!$AH195=$BQ$8),CC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10,IF(Исходн.данные.!$AI195=$BU$11,"Нет",IF(BM195&gt;60,60,IF(BM195&lt;10,10,BM195)))))))</f>
        <v>10</v>
      </c>
      <c r="CA195" s="39">
        <f>IF(BN195&lt;0,0,IF(Исходн.данные.!$AG195=$BV$11,BN195,IF(OR(Исходн.данные.!$AH195=$BQ$7,Исходн.данные.!$AH195=$BQ$8),CD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0,IF(Исходн.данные.!$AI195=$BU$11,"Нет",IF(BN195&gt;30,30,BN195))))))</f>
        <v>0</v>
      </c>
      <c r="CB195" s="9">
        <f t="shared" si="234"/>
        <v>0</v>
      </c>
      <c r="CC195" s="9">
        <f t="shared" si="235"/>
        <v>0</v>
      </c>
      <c r="CD195" s="9">
        <f t="shared" si="236"/>
        <v>0</v>
      </c>
      <c r="CE195" s="12">
        <f t="shared" si="237"/>
        <v>10</v>
      </c>
      <c r="CF195" s="9">
        <f t="shared" si="238"/>
        <v>0</v>
      </c>
      <c r="CG195" s="9" t="s">
        <v>231</v>
      </c>
      <c r="CH195" s="132" t="str">
        <f>IF(Исходн.данные.!AP195=Расчет!$CI$16,"Нет",IF(Исходн.данные.!AL195&gt;0,Исходн.данные.!AL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BH$4,IF(OR(Исходн.данные.!AI195=Исходн.данные.!$AI$6,Исходн.данные.!AI195=Исходн.данные.!$AI$7),Расчет!BS195,IF(AND($CF195=0,$CE195&gt;0),EV195,ER195)))))</f>
        <v>Аммофос 12:52:00</v>
      </c>
      <c r="CI195" s="274">
        <f>IF(Расчет!$CH195="Нет","Нет",IF(Исходн.данные.!$AL195&gt;0,VLOOKUP(Расчет!$CH195,АшламаДВ_Irekle,2,FALSE),VLOOKUP(Расчет!$CH195,АшламаДВ_Gomumy,2,FALSE)))</f>
        <v>0.12</v>
      </c>
      <c r="CJ195" s="274">
        <f>IF(Расчет!$CH195="Нет","Нет",IF(Исходн.данные.!$AL195&gt;0,VLOOKUP(Расчет!$CH195,АшламаДВ_Irekle,3,FALSE),VLOOKUP(Расчет!$CH195,АшламаДВ_Gomumy,3,FALSE)))</f>
        <v>0.52</v>
      </c>
      <c r="CK195" s="274">
        <f>IF(Расчет!$CH195="Нет","Нет",IF(Исходн.данные.!$AL195&gt;0,VLOOKUP(Расчет!$CH195,АшламаДВ_Irekle,4,FALSE),VLOOKUP(Расчет!$CH195,АшламаДВ_Gomumy,4,FALSE)))</f>
        <v>0</v>
      </c>
      <c r="CL195" s="70"/>
      <c r="CM195" s="70"/>
      <c r="CN195" s="70"/>
      <c r="CO195" s="70"/>
      <c r="CP195" s="70"/>
      <c r="CQ195" s="70"/>
      <c r="CR195" s="10">
        <f t="shared" si="239"/>
        <v>0</v>
      </c>
      <c r="CS195" s="10">
        <f t="shared" si="240"/>
        <v>19.23076923076923</v>
      </c>
      <c r="CT195" s="10">
        <f t="shared" si="241"/>
        <v>0</v>
      </c>
      <c r="CU195" s="39">
        <f>IF($CH195="Нет",0,IF(CI195=0,30/MIN(CJ195:CK195),IF(Исходн.данные.!$AG195=$BV$11,CR195,IF(OR(Исходн.данные.!$AH195=$BQ$7,Исходн.данные.!$AH195=$BQ$8),90/CI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0,IF(Исходн.данные.!$AI195=$BU$11,"Нет",30/CI195))))))</f>
        <v>250</v>
      </c>
      <c r="CV195" s="39">
        <f>IF($CH195="Нет",0,IF(Исходн.данные.!AH195=0,0,IF(CJ195=0,60/MIN(CI195,CK195),IF(Исходн.данные.!$AG195=$BV$11,CS195,IF(OR(Исходн.данные.!$AH195=$BQ$7,Исходн.данные.!$AH195=$BQ$8),90/CJ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10/CJ195,IF(Исходн.данные.!$AI195=$BU$11,"Нет",60/CJ195)))))))</f>
        <v>0</v>
      </c>
      <c r="CW195" s="39">
        <f>IF($CH195="Нет",0,IF(Исходн.данные.!AH195=0,0,IF(CK195=0,30/MIN(CI195:CJ195),IF(Исходн.данные.!$AG195=$BV$11,CT195,IF(OR(Исходн.данные.!$AH195=$BQ$7,Исходн.данные.!$AH195=$BQ$8),90/CK195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0,IF(Исходн.данные.!$AI195=$BU$11,"Нет",30/CK195)))))))</f>
        <v>0</v>
      </c>
      <c r="CX195" s="133">
        <f>IF(Исходн.данные.!$AG195=$BV$11,MAX(CU195:CW195),IF(OR(Исходн.данные.!$AH195=$BS$8,Исходн.данные.!$AH195=$BQ$9,Исходн.данные.!$AH195=$BQ$10,Исходн.данные.!$AH195=$BQ$11,Исходн.данные.!$AH195=$BQ$12,Исходн.данные.!$AH195=$BP$3,Исходн.данные.!$AH195=$BT$8,$FM195="Да"),CV195,MIN(CU195:CW195)))</f>
        <v>0</v>
      </c>
      <c r="CY195" s="133">
        <f>IF(Исходн.данные.!AH195=0,0,IF(CR195&gt;$CX195,$CX195,CR195))</f>
        <v>0</v>
      </c>
      <c r="CZ195" s="133">
        <f>IF(Исходн.данные.!AH195=0,0,IF(CS195&gt;$CX195,$CX195,CS195))</f>
        <v>0</v>
      </c>
      <c r="DA195" s="133">
        <f>IF(Исходн.данные.!AH195=0,0,IF(CT195&gt;$CX195,$CX195,CT195))</f>
        <v>0</v>
      </c>
      <c r="DB195" s="10">
        <f t="shared" si="242"/>
        <v>0</v>
      </c>
      <c r="DC195" s="39">
        <f>DB195*Исходн.данные.!AJ195/1000</f>
        <v>0</v>
      </c>
      <c r="DD195" s="71">
        <f t="shared" si="243"/>
        <v>0</v>
      </c>
      <c r="DE195" s="9">
        <f t="shared" si="244"/>
        <v>0</v>
      </c>
      <c r="DF195" s="9">
        <f t="shared" si="245"/>
        <v>0</v>
      </c>
      <c r="DG195" s="39">
        <f>IF(BL195&lt;0,0,IF($CH195="Нет",BL195,IF(OR(Исходн.данные.!$AH195=$BP$1,Исходн.данные.!$AH195=$BP$2),0,IF(Исходн.данные.!AI195=$BU$11,BL195,IF(BL195-DD195&lt;0,0,BL195-DD195)))))</f>
        <v>0</v>
      </c>
      <c r="DH195" s="39">
        <f>IF(BM195&lt;0,0,IF($CH195="Нет",BM195,IF(OR(Исходн.данные.!$AH195=$BP$1,Исходн.данные.!$AH195=$BP$2),0,IF(Исходн.данные.!AJ195=$BU$11,BM195,IF(BM195-DE195&lt;0,0,BM195-DE195)))))</f>
        <v>0</v>
      </c>
      <c r="DI195" s="39">
        <f>IF(BN195&lt;0,0,IF($CH195="Нет",BN195,IF(OR(Исходн.данные.!$AH195=$BP$1,Исходн.данные.!$AH195=$BP$2),0,IF(Исходн.данные.!AK195=$BU$11,BN195,IF(BN195-DF195&lt;0,0,BN195-DF195)))))</f>
        <v>0</v>
      </c>
      <c r="DJ195" s="12">
        <f t="shared" si="246"/>
        <v>0</v>
      </c>
      <c r="DK195" s="9">
        <f t="shared" si="247"/>
        <v>0</v>
      </c>
      <c r="DL195" s="39">
        <f>IF(Исходн.данные.!AM195&gt;0,Исходн.данные.!AM195,IF(EG195&gt;0,$BH$10,0))</f>
        <v>0</v>
      </c>
      <c r="DM195" s="186">
        <f>IF($DL195=0,0,IF(Исходн.данные.!AM195&gt;0,VLOOKUP($DL195,АшламаДВ_Irekle,2,FALSE),VLOOKUP($DL195,АшламаДВ_Gomumy,2,FALSE)))</f>
        <v>0</v>
      </c>
      <c r="DN195" s="10">
        <f t="shared" si="225"/>
        <v>0</v>
      </c>
      <c r="DO195" s="9" t="str">
        <f>IF(Исходн.данные.!AN195&gt;0,Исходн.данные.!AN195,Удобрения!$B$37 )</f>
        <v>Хлор.калий</v>
      </c>
      <c r="DP195" s="9">
        <f>IF(Исходн.данные.!AN195&gt;0,VLOOKUP(Исходн.данные.!AN195,АшламаДВ_Irekle,4,FALSE),VLOOKUP(DO195,АшламаДВ_Gomumy,4,FALSE))</f>
        <v>0.6</v>
      </c>
      <c r="DQ195" s="10">
        <f t="shared" si="226"/>
        <v>0</v>
      </c>
      <c r="DR195" s="132" t="str">
        <f>IF(Исходн.данные.!AO195&gt;0,Исходн.данные.!AO195,IF(DH195=0,BS$17,IF(AND($DK195=0,$DJ195&gt;0),EJ195,EN195)))</f>
        <v>Нет</v>
      </c>
      <c r="DS195" s="70" t="str">
        <f>IF($DR195="Нет","Нет",IF(Исходн.данные.!$AO195&gt;0,VLOOKUP($DR195,АшламаДВ_Irekle,2,FALSE),VLOOKUP($DR195,АшламаДВ_Gomumy,2,FALSE)))</f>
        <v>Нет</v>
      </c>
      <c r="DT195" s="70" t="str">
        <f>IF($DR195="Нет","Нет",IF(Исходн.данные.!$AO195&gt;0,VLOOKUP($DR195,АшламаДВ_Irekle,3,FALSE),VLOOKUP($DR195,АшламаДВ_Gomumy,3,FALSE)))</f>
        <v>Нет</v>
      </c>
      <c r="DU195" s="70" t="str">
        <f>IF($DR195="Нет","Нет",IF(Исходн.данные.!$AO195&gt;0,VLOOKUP($DR195,АшламаДВ_Irekle,4,FALSE),VLOOKUP($DR195,АшламаДВ_Gomumy,4,FALSE)))</f>
        <v>Нет</v>
      </c>
      <c r="DV195" s="70"/>
      <c r="DW195" s="70"/>
      <c r="DX195" s="70"/>
      <c r="DY195" s="10">
        <f t="shared" si="248"/>
        <v>0</v>
      </c>
      <c r="DZ195" s="10">
        <f t="shared" si="249"/>
        <v>0</v>
      </c>
      <c r="EA195" s="10">
        <f t="shared" si="250"/>
        <v>0</v>
      </c>
      <c r="EB195" s="10">
        <f t="shared" si="251"/>
        <v>0</v>
      </c>
      <c r="EC195" s="10">
        <f t="shared" si="252"/>
        <v>0</v>
      </c>
      <c r="ED195" s="10">
        <f t="shared" si="253"/>
        <v>0</v>
      </c>
      <c r="EE195" s="10">
        <f t="shared" si="254"/>
        <v>0</v>
      </c>
      <c r="EF195" s="39">
        <f>EB195*Исходн.данные.!AJ195/1000</f>
        <v>0</v>
      </c>
      <c r="EG195" s="9">
        <f t="shared" si="255"/>
        <v>0</v>
      </c>
      <c r="EH195" s="9">
        <f t="shared" si="256"/>
        <v>0</v>
      </c>
      <c r="EI195" s="39" t="e">
        <f t="shared" si="206"/>
        <v>#DIV/0!</v>
      </c>
      <c r="EJ195" s="9" t="str">
        <f t="shared" si="227"/>
        <v>Азопреципитат</v>
      </c>
      <c r="EK195" s="12">
        <f t="shared" si="207"/>
        <v>0.26</v>
      </c>
      <c r="EL195" s="12">
        <f t="shared" si="208"/>
        <v>0.13</v>
      </c>
      <c r="EM195" s="12">
        <f t="shared" si="209"/>
        <v>0</v>
      </c>
      <c r="EN195" s="12" t="str">
        <f t="shared" si="228"/>
        <v>Нет</v>
      </c>
      <c r="EO195" s="12">
        <f t="shared" si="210"/>
        <v>0</v>
      </c>
      <c r="EP195" s="12">
        <f t="shared" si="211"/>
        <v>0</v>
      </c>
      <c r="EQ195" s="12">
        <f t="shared" si="212"/>
        <v>0</v>
      </c>
      <c r="ER195" s="12" t="str">
        <f t="shared" si="257"/>
        <v>Диаммофоска</v>
      </c>
      <c r="ES195" s="12">
        <f t="shared" si="213"/>
        <v>0.1</v>
      </c>
      <c r="ET195" s="12">
        <f t="shared" si="214"/>
        <v>0.26</v>
      </c>
      <c r="EU195" s="12">
        <f t="shared" si="215"/>
        <v>0.26</v>
      </c>
      <c r="EV195" s="12" t="str">
        <f t="shared" si="258"/>
        <v>Аммофос 12:52:00</v>
      </c>
      <c r="EW195" s="12" t="str">
        <f t="shared" si="259"/>
        <v>Кемира Свекловичное-6</v>
      </c>
      <c r="EX195" s="12">
        <f t="shared" si="216"/>
        <v>0.16</v>
      </c>
      <c r="EY195" s="12">
        <f t="shared" si="217"/>
        <v>0.12</v>
      </c>
      <c r="EZ195" s="12">
        <f t="shared" si="218"/>
        <v>0.17</v>
      </c>
      <c r="FA195" s="38" t="e">
        <f>IF(AND(OR(FJ195=$FD$1,FM195=$FD$1,FO195=$FD$1,FQ195=$FD$1,FS195=$FD$1),FD195=$FD$1,Исходн.данные.!J195&lt;2,FU195=$FD$1),"Бор,Кобальт",IF(AND(FO195=$FD$1,FH195=$FD$1,Исходн.данные.!J195&lt;2,FU195=$FD$1),"Бор,Кобальт",IF(AND(OR(FJ195=$FD$1,FM195=$FD$1,FQ195=$FD$1),FE195=$FD$1,Исходн.данные.!J195&lt;2,FT195=$FD$1,FU195=$FD$1),"Бор,Медь,Цинк",IF(AND(OR(FJ195=$FD$1,FR195="Да"),FI195="Да",Исходн.данные.!J195&lt;2,FT195="Да",FU195="Да"),"Бор,Цинк,Медь",IF(AND(OR(FM195="Да",FQ195="Да"),FI195="Да",Исходн.данные.!J195&lt;2,FT195="Да",FU195="Да"),"Бор,Цинк",IF(AND(FN195="Да",OR(FD195="Да",FE195="Да")),"Бор",FB195))))))</f>
        <v>#N/A</v>
      </c>
      <c r="FB195" s="134" t="e">
        <f>IF(AND(OR(FD195="Да",FE195="Да",FF195="Да",FG195="Да",FH195="Да"),FO195="Да"),"Бор",IF(AND(FP195="Да",OR(FD195="Да",FE195="Да",FI195="Да")),"Бор",IF(AND(FS195="Да",FE195="Да"),"Бор,Медь",IF(AND(OR(FJ195="Да",FK195="Да",FL195="Да"),FE195="Да",Исходн.данные.!I195&lt;5,FT195="Да",FU195="Да"),"Молибден,Цинк",IF(AND(FM195="Да",OR(FE195="Да",FF195="Да",FG195="Да",FH195="Да",FI195="Да")),"Молибден,Цинк",IF(AND(OR(FJ195="Да",FK195="Да",FL195="Да",FM195="Да",FQ195="Да"),OR(FE195="Да",FF195="Да"),FT195="Да",FU195="Да",Исходн.данные.!I195&gt;5.5),"Медь,Цинк",FC195))))))</f>
        <v>#N/A</v>
      </c>
      <c r="FC195" s="23" t="e">
        <f t="shared" si="260"/>
        <v>#N/A</v>
      </c>
      <c r="FD195" s="38" t="str">
        <f>IF(OR(Исходн.данные.!F195=$CC$1,Исходн.данные.!F195=$CC$2,Исходн.данные.!F195=$CC$3,Исходн.данные.!F195=$CC$4),"Да","Нет")</f>
        <v>Нет</v>
      </c>
      <c r="FE195" s="38" t="str">
        <f>IF(Исходн.данные.!F195=$CC$5,"Да","Нет")</f>
        <v>Нет</v>
      </c>
      <c r="FF195" s="38" t="str">
        <f>IF(OR(Исходн.данные.!F195=$CC$6,Исходн.данные.!F195=$CC$7),"Да","Нет")</f>
        <v>Нет</v>
      </c>
      <c r="FG195" s="38" t="str">
        <f>IF(OR(Исходн.данные.!F195=$CC$8,Исходн.данные.!F195=$CC$9),"Да","Нет")</f>
        <v>Нет</v>
      </c>
      <c r="FH195" s="38" t="str">
        <f>IF(Исходн.данные.!F195=$CC$10,"Да","Нет")</f>
        <v>Нет</v>
      </c>
      <c r="FI195" s="38" t="str">
        <f>IF(OR(Исходн.данные.!F195=$CC$11,Исходн.данные.!F195=$CC$12),"Да","Нет")</f>
        <v>Нет</v>
      </c>
      <c r="FJ195" s="38" t="str">
        <f>IF(OR(Исходн.данные.!AH195=$BS$1,Исходн.данные.!AH195=$BQ$11,Исходн.данные.!AH195=$BQ$12),"Да","Нет")</f>
        <v>Нет</v>
      </c>
      <c r="FK195" s="38" t="str">
        <f>IF(OR(Исходн.данные.!AH195=$BS$2,Исходн.данные.!AH195=$BS$4),"Да","Нет")</f>
        <v>Нет</v>
      </c>
      <c r="FL195" s="38" t="str">
        <f>IF(OR(Исходн.данные.!AH195=$BS$3,Исходн.данные.!AH195=$BS$5),"Да","Нет")</f>
        <v>Нет</v>
      </c>
      <c r="FM195" s="38" t="str">
        <f>IF(OR(Исходн.данные.!AH195=$BS$9,Исходн.данные.!AH195=$BS$10,Исходн.данные.!AH195=$BS$11,Исходн.данные.!AH195=$BS$12),"Да","Нет")</f>
        <v>Нет</v>
      </c>
      <c r="FN195" s="38" t="str">
        <f>IF(OR(Исходн.данные.!AH195=$BS$6,Исходн.данные.!AH195=$BP$3),"Да","Нет")</f>
        <v>Нет</v>
      </c>
      <c r="FO195" s="38" t="str">
        <f>IF(Исходн.данные.!AH195=$BQ$9,"Да","Нет")</f>
        <v>Нет</v>
      </c>
      <c r="FP195" s="38" t="str">
        <f>IF(OR(Исходн.данные.!AH195=$BS$8,Исходн.данные.!AH195=$BT$8),"Да","Нет")</f>
        <v>Нет</v>
      </c>
      <c r="FQ195" s="38" t="str">
        <f>IF(OR(Исходн.данные.!AH195=$BQ$7,Исходн.данные.!AH195=$BQ$8),"Да","Нет")</f>
        <v>Нет</v>
      </c>
      <c r="FR195" s="38" t="str">
        <f>IF(Исходн.данные.!AI195=$BU$9,"Да","Нет")</f>
        <v>Нет</v>
      </c>
      <c r="FS195" s="38" t="str">
        <f>IF(OR(Исходн.данные.!AH195=$BP$1,Исходн.данные.!AH195=$BP$2),"Да","Нет")</f>
        <v>Нет</v>
      </c>
      <c r="FT195" s="38" t="e">
        <f>IF((Исходн.данные.!K195*GO195*GS195*GW195+BL195*0.6+Исходн.данные.!Q195*4.5*0.275)&gt;90,"Да","Нет")</f>
        <v>#N/A</v>
      </c>
      <c r="FU195" s="38" t="e">
        <f>IF((Исходн.данные.!M195*GS195*GZ195+BM195*0.225)&gt;35,"Да","Нет")</f>
        <v>#N/A</v>
      </c>
      <c r="FV195" s="38" t="str">
        <f>IF(Исходн.данные.!O195&gt;175,"Да","Нет")</f>
        <v>Нет</v>
      </c>
      <c r="FW195" s="39" t="str">
        <f>IF(Исходн.данные.!I195&gt;5.5,"Да","Нет")</f>
        <v>Нет</v>
      </c>
      <c r="FX195" s="39" t="str">
        <f>IF(Исходн.данные.!J195&lt;2,"Да","Нет")</f>
        <v>Да</v>
      </c>
      <c r="FY195" s="39" t="e">
        <f>IF(HF195=$FY$16,0,Исходн.данные.!K195*GO195*GS195*GW195/HF195)</f>
        <v>#N/A</v>
      </c>
      <c r="FZ195" s="39" t="e">
        <f>Исходн.данные.!M195*GS195*GZ195/HG195</f>
        <v>#N/A</v>
      </c>
      <c r="GA195" s="39" t="e">
        <f>IF(K_Wyn=$FY$16,0,IF(Исходн.данные.!N195=Исходн.данные.!$L$10,Исходн.данные.!O195/1.1*GS195*HC195/HH195,IF(Исходн.данные.!N195=Исходн.данные.!$L$12,Исходн.данные.!O195/1.5*GS195*HC195/HH195,Исходн.данные.!O195*GS195*HC195/HH195)))</f>
        <v>#N/A</v>
      </c>
      <c r="GB195" s="39" t="e">
        <f>IF(HF195=$FY$16,0,((Исходн.данные.!Q195*N_Org+Исходн.данные.!R195*N_Sider+Исходн.данные.!S195*N_Soloma)*AO195+Расчет!BC195*VLOOKUP(Исходн.данные.!T195,Справ!$A$3:$O$57,15)*AO195+BB195*VLOOKUP(Исходн.данные.!T195,Справ!$A$3:$O$57,15)*AL195+(Исходн.данные.!V195*N_Rizotorf+Исходн.данные.!W195*N_Rizoagr))/HF195)</f>
        <v>#N/A</v>
      </c>
      <c r="GC195" s="39" t="e">
        <f>IF(HG195=$FY$16,0,((Исходн.данные.!Q195*Р_Org+Исходн.данные.!R195*P_Sider+Исходн.данные.!S195*P_Soloma)*AP195+Расчет!BC195*VLOOKUP(Исходн.данные.!T195,Справ!$A$3:$P$57,16)*AP195+BB195*VLOOKUP(Исходн.данные.!T195,Справ!$A$3:$P$57,16)*AM195)/HG195)</f>
        <v>#N/A</v>
      </c>
      <c r="GD195" s="39" t="e">
        <f>IF(HH195=$FY$16,0,((Исходн.данные.!Q195*К_Org+Исходн.данные.!R195*K_Sider+Исходн.данные.!S195*K_Soloma)*AQ195+Расчет!BC195*VLOOKUP(Исходн.данные.!T195,Справ!$A$3:$Q$57,17)*AQ195+BB195*VLOOKUP(Исходн.данные.!T195,Справ!$A$3:$Q$57,17)*AN195)/HH195)</f>
        <v>#N/A</v>
      </c>
      <c r="GE195" s="39" t="e">
        <f>IF(HF195=$FY$16,0,(Исходн.данные.!X195*AR195+Исходн.данные.!AA195*N_Org*AL195+Исходн.данные.!AB195*N_Sider*AL195+Исходн.данные.!AC195*N_Soloma*AL195)/HF195)</f>
        <v>#N/A</v>
      </c>
      <c r="GF195" s="39" t="e">
        <f>IF(HG195=$FY$16,0,(Исходн.данные.!Y195*AS195+Исходн.данные.!AA195*Р_Org*AM195+Исходн.данные.!AB195*P_Sider*AM195+Исходн.данные.!AC195*P_Soloma*AM195)/HG195)</f>
        <v>#N/A</v>
      </c>
      <c r="GG195" s="39" t="e">
        <f>IF(HH195=$FY$16,0,(Исходн.данные.!Z195*AT195+Исходн.данные.!AA195*К_Org*AN195+Исходн.данные.!AB195*K_Sider*AN195+Исходн.данные.!AC195*K_Soloma*AN195)/HH195)</f>
        <v>#N/A</v>
      </c>
      <c r="GH195" s="39" t="e">
        <f>Исходн.данные.!AD195*AU195/HF195</f>
        <v>#N/A</v>
      </c>
      <c r="GI195" s="39" t="e">
        <f>Исходн.данные.!AE195*AV195/HG195</f>
        <v>#N/A</v>
      </c>
      <c r="GJ195" s="39" t="e">
        <f>Исходн.данные.!AF195*AW195/HH195</f>
        <v>#N/A</v>
      </c>
      <c r="GK195" s="55">
        <f>Исходн.данные.!AK195</f>
        <v>0</v>
      </c>
      <c r="GL195" s="11" t="e">
        <f t="shared" si="261"/>
        <v>#N/A</v>
      </c>
      <c r="GM195" s="11" t="e">
        <f t="shared" si="262"/>
        <v>#N/A</v>
      </c>
      <c r="GN195" s="11" t="e">
        <f t="shared" si="263"/>
        <v>#N/A</v>
      </c>
      <c r="GO195" s="57">
        <f t="shared" si="264"/>
        <v>19</v>
      </c>
      <c r="GP195" s="55">
        <f>IF(OR(Исходн.данные.!F195=$CE$1,Исходн.данные.!F195=$CE$2,Исходн.данные.!F195=$CE$3,Исходн.данные.!F195=$CE$4,Исходн.данные.!F195=$CE$5),GQ195,GR195)</f>
        <v>19</v>
      </c>
      <c r="GQ195" s="55">
        <f>IF(Исходн.данные.!F195=$CE$1,28,IF(Исходн.данные.!F195=$CE$2,26,IF(Исходн.данные.!F195=$CE$3,24,IF(Исходн.данные.!F195=$CE$4,22,IF(Исходн.данные.!F195=$CE$5,20,GR195)))))</f>
        <v>19</v>
      </c>
      <c r="GR195" s="55">
        <f>IF(Исходн.данные.!F195=$CE$6,18,IF(Исходн.данные.!F195=$CE$7,16,IF(Исходн.данные.!F195=$CE$8,14,IF(Исходн.данные.!F195=$CE$9,13,IF(Исходн.данные.!F195=$CE$10,12,19)))))</f>
        <v>19</v>
      </c>
      <c r="GS195" s="55">
        <f>IF(Исходн.данные.!G195="Пес",0.035*(40+2*Исходн.данные.!H195),IF(Исходн.данные.!G195="Суп",0.0325*(40+2*Исходн.данные.!H195),0.03*(40+2*Исходн.данные.!H195)))</f>
        <v>1.2</v>
      </c>
      <c r="GT195" s="55">
        <f>IF(Исходн.данные.!H195&lt;23,2.6,IF(AND(Исходн.данные.!H195&gt;22,Исходн.данные.!H195&lt;26),3,IF(AND(Исходн.данные.!H195&gt;25,Исходн.данные.!H195&lt;29),3.4,3.6)))</f>
        <v>2.6</v>
      </c>
      <c r="GU195" s="55">
        <f>IF(Исходн.данные.!H195&lt;23,2.8,IF(AND(Исходн.данные.!H195&gt;22,Исходн.данные.!H195&lt;26),3.2,IF(AND(Исходн.данные.!H195&gt;25,Исходн.данные.!H195&lt;29),3.6,3.9)))</f>
        <v>2.8</v>
      </c>
      <c r="GV195" s="55">
        <f>IF(Исходн.данные.!H195&lt;23,3,IF(AND(Исходн.данные.!H195&gt;22,Исходн.данные.!H195&lt;26),3.5,IF(AND(Исходн.данные.!H195&gt;25,Исходн.данные.!H195&lt;29),3.9,4.2)))</f>
        <v>3</v>
      </c>
      <c r="GW195" s="55" t="e">
        <f>IF(Исходн.данные.!P195="Ум",GX195,GY195)</f>
        <v>#N/A</v>
      </c>
      <c r="GX195" s="55" t="e">
        <f>VLOOKUP(Исходн.данные.!AI195,Коэффициенты!$J$7:$L$13,2,FALSE)</f>
        <v>#N/A</v>
      </c>
      <c r="GY195" s="55" t="e">
        <f>VLOOKUP(Исходн.данные.!AI195,Коэффициенты!$J$7:$L$13,3,FALSE)</f>
        <v>#N/A</v>
      </c>
      <c r="GZ195" s="55" t="e">
        <f>(IF(Исходн.данные.!M195&lt;50,0.11*VLOOKUP(Исходн.данные.!AH195,Культуры.Информация,7,FALSE),IF(Исходн.данные.!M195&gt;250,0.05*VLOOKUP(Исходн.данные.!AH195,Культуры.Информация,7,FALSE),VLOOKUP(Исходн.данные.!AH195,Культуры.Информация,5,FALSE)/100*($GX$6+$GY$6*Исходн.данные.!M195))))*Расчет2!AI195</f>
        <v>#N/A</v>
      </c>
      <c r="HA195" s="211"/>
      <c r="HB195" s="211"/>
      <c r="HC195" s="55" t="e">
        <f>(IF(Исходн.данные.!O195&lt;80,0.2*VLOOKUP(Исходн.данные.!AH195,Культуры.Информация,8,FALSE),IF(Исходн.данные.!O195&gt;240,0.09*VLOOKUP(Исходн.данные.!AH195,Культуры.Информация,8,FALSE),VLOOKUP(Исходн.данные.!AH195,Культуры.Информация,6,FALSE)/100*($HB$6+$HC$6*Исходн.данные.!O195))))*Расчет2!AJ195</f>
        <v>#N/A</v>
      </c>
      <c r="HD195" s="55">
        <f>IF(Исходн.данные.!O195&gt;240,0.09,IF(Исходн.данные.!O195&lt;30,0.3,$HE$10+$HD$10*Исходн.данные.!O195))</f>
        <v>0.3</v>
      </c>
      <c r="HE195" s="55">
        <f>IF(Исходн.данные.!O195&gt;240,0.17,IF(Исходн.данные.!O195&lt;30,0.5,$HF$12+$HE$12*Исходн.данные.!O195))</f>
        <v>0.5</v>
      </c>
      <c r="HF195" s="55" t="e">
        <f>VLOOKUP(Исходн.данные.!AH195,Справ!$A$3:$D$58,2,FALSE)</f>
        <v>#N/A</v>
      </c>
      <c r="HG195" s="55" t="e">
        <f>VLOOKUP(Исходн.данные.!AH195,Справ!$A$3:$D$58,3,FALSE)</f>
        <v>#N/A</v>
      </c>
      <c r="HH195" s="55" t="e">
        <f>VLOOKUP(Исходн.данные.!AH195,Справ!$A$3:$D$58,4,FALSE)</f>
        <v>#N/A</v>
      </c>
      <c r="HI195" s="11" t="e">
        <f t="shared" si="265"/>
        <v>#N/A</v>
      </c>
      <c r="HJ195" s="11" t="e">
        <f t="shared" si="266"/>
        <v>#N/A</v>
      </c>
      <c r="HK195" s="11" t="e">
        <f t="shared" si="267"/>
        <v>#N/A</v>
      </c>
      <c r="HL195" s="55">
        <f>IF(OR(Исходн.данные.!G195="Глин",Исходн.данные.!G195="Т_суг"),1.1,IF(Исходн.данные.!G195="Ср_суг",1,1))</f>
        <v>1</v>
      </c>
      <c r="HM195" s="55">
        <f>IF(OR(Исходн.данные.!G195="Глин",Исходн.данные.!G195="Т_суг"),0.9,IF(Исходн.данные.!G195="Ср_суг",1,1.2))</f>
        <v>1.2</v>
      </c>
      <c r="HN195" s="11" t="e">
        <f t="shared" si="268"/>
        <v>#N/A</v>
      </c>
      <c r="HO195" s="11" t="e">
        <f t="shared" si="269"/>
        <v>#N/A</v>
      </c>
      <c r="HP195" s="11" t="e">
        <f t="shared" si="270"/>
        <v>#N/A</v>
      </c>
      <c r="HQ195" t="e">
        <f t="shared" si="271"/>
        <v>#N/A</v>
      </c>
      <c r="HR195" t="e">
        <f t="shared" si="272"/>
        <v>#N/A</v>
      </c>
      <c r="HS195" t="e">
        <f t="shared" si="273"/>
        <v>#N/A</v>
      </c>
      <c r="HT195" t="e">
        <f t="shared" si="219"/>
        <v>#N/A</v>
      </c>
      <c r="HU195" t="e">
        <f t="shared" si="220"/>
        <v>#N/A</v>
      </c>
      <c r="HV195" t="e">
        <f t="shared" si="221"/>
        <v>#N/A</v>
      </c>
      <c r="HW195" t="e">
        <f t="shared" si="222"/>
        <v>#N/A</v>
      </c>
      <c r="HX195" t="e">
        <f t="shared" si="223"/>
        <v>#N/A</v>
      </c>
      <c r="HY195" t="e">
        <f t="shared" si="224"/>
        <v>#N/A</v>
      </c>
      <c r="HZ195" s="55">
        <f>IF(OR(Исходн.данные.!AI195="Оз_Ч_П",Исходн.данные.!AI195="Оз_З_П",Исходн.данные.!AI195="Яр_зер"),12,30)</f>
        <v>30</v>
      </c>
      <c r="IA195" t="e">
        <f t="shared" si="274"/>
        <v>#N/A</v>
      </c>
      <c r="IB195" t="e">
        <f t="shared" si="275"/>
        <v>#N/A</v>
      </c>
      <c r="IC195" t="e">
        <f t="shared" si="276"/>
        <v>#N/A</v>
      </c>
      <c r="ID195" s="11" t="e">
        <f t="shared" si="277"/>
        <v>#N/A</v>
      </c>
      <c r="IE195" s="11" t="e">
        <f t="shared" si="278"/>
        <v>#N/A</v>
      </c>
      <c r="IF195" s="11" t="e">
        <f t="shared" si="279"/>
        <v>#N/A</v>
      </c>
    </row>
    <row r="196" spans="35:240" x14ac:dyDescent="0.2">
      <c r="AI196">
        <f>IF(Исходн.данные.!I196&gt;6,1,1.85-(0.148*Исходн.данные.!I196))</f>
        <v>1.85</v>
      </c>
      <c r="AJ196">
        <f>IF(Исходн.данные.!I196&gt;6,1,2.434-(0.246*Исходн.данные.!I196))</f>
        <v>2.4340000000000002</v>
      </c>
      <c r="AL196" s="148" t="b">
        <f>IF(Исходн.данные.!$P196="Ум",N_OrgUd_2g_um,IF(Исходн.данные.!$P196="Об",N_OrgUd_2g_ob))</f>
        <v>0</v>
      </c>
      <c r="AM196" s="148" t="b">
        <f>IF(Исходн.данные.!$P196="Ум",P_OrgUd_2g_um,IF(Исходн.данные.!$P196="Об",P_OrgUd_2g_ob))</f>
        <v>0</v>
      </c>
      <c r="AN196" s="148" t="b">
        <f>IF(Исходн.данные.!$P196="Ум",K_OrgUd_2g_um,IF(Исходн.данные.!$P196="Об",K_OrgUd_2g_ob))</f>
        <v>0</v>
      </c>
      <c r="AO196" s="148" t="b">
        <f>IF(Исходн.данные.!$P196="Ум",N_OrgUd_1g_um,IF(Исходн.данные.!$P196="Об",N_OrgUd_1g_ob))</f>
        <v>0</v>
      </c>
      <c r="AP196" s="148" t="b">
        <f>IF(Исходн.данные.!$P196="Ум",P_OrgUd_1g_um,IF(Исходн.данные.!$P196="Об",P_OrgUd_1g_ob))</f>
        <v>0</v>
      </c>
      <c r="AQ196" s="148" t="b">
        <f>IF(Исходн.данные.!$P196="Ум",K_OrgUd_1g_um,IF(Исходн.данные.!$P196="Об",K_OrgUd_1g_ob))</f>
        <v>0</v>
      </c>
      <c r="AR196" t="b">
        <f>IF(Исходн.данные.!$P196="Ум",N_MinUd_2g_um,IF(Исходн.данные.!$P196="Об",N_MinUd_2g_ob))</f>
        <v>0</v>
      </c>
      <c r="AS196" t="b">
        <f>IF(Исходн.данные.!$P196="Ум",P_MinUd_2g_um,IF(Исходн.данные.!$P196="Об",P_MinUd_2g_ob))</f>
        <v>0</v>
      </c>
      <c r="AT196" t="b">
        <f>IF(Исходн.данные.!$P196="Ум",K_MinUd_2g_um,IF(Исходн.данные.!$P196="Об",K_MinUd_2g_ob))</f>
        <v>0</v>
      </c>
      <c r="AU196" t="b">
        <f>IF(Исходн.данные.!$P196="Ум",N_MinUd_1g_um,IF(Исходн.данные.!$P196="Об",N_MinUd_1g_ob))</f>
        <v>0</v>
      </c>
      <c r="AV196" t="b">
        <f>IF(Исходн.данные.!P196="Ум",P_MinUd_1g_um,IF(Исходн.данные.!P196="Об",P_MinUd_1g_ob))</f>
        <v>0</v>
      </c>
      <c r="AW196" t="b">
        <f>IF(Исходн.данные.!P196="Ум",K_MinUd_1g_um,IF(Исходн.данные.!P196="Об",K_MinUd_1g_ob))</f>
        <v>0</v>
      </c>
      <c r="AY196" t="e">
        <f>VLOOKUP(Исходн.данные.!T196,Справ!$A$3:$N$57,12)</f>
        <v>#N/A</v>
      </c>
      <c r="AZ196" t="e">
        <f>VLOOKUP(Исходн.данные.!T196,Справ!$A$3:$N$57,13)</f>
        <v>#N/A</v>
      </c>
      <c r="BA196" t="e">
        <f>VLOOKUP(Исходн.данные.!T196,Справ!$A$3:$N$57,14)</f>
        <v>#N/A</v>
      </c>
      <c r="BB196">
        <f>IF(Исходн.данные.!AH196=0,0,25)</f>
        <v>0</v>
      </c>
      <c r="BC196" s="141">
        <f>IF(Исходн.данные.!AH196=0,0,IF(Исходн.данные.!T196=0,25,BD196))</f>
        <v>0</v>
      </c>
      <c r="BD196" s="168" t="e">
        <f>AY196+AZ196*Исходн.данные.!U196-POWER(BA196,2)*Исходн.данные.!U196</f>
        <v>#N/A</v>
      </c>
      <c r="BE19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6" s="25">
        <f>IF(Исходн.данные.!AH196=0,0,MIN(HN196:HP196))</f>
        <v>0</v>
      </c>
      <c r="BG196" s="9">
        <f>IF(Исходн.данные.!AH196=0,0,IF((HO196+10*0.25/HG196/HL196)&lt;17,17,HO196+10*0.25/HG196/HL196))</f>
        <v>0</v>
      </c>
      <c r="BH196" s="181">
        <f>IF(Исходн.данные.!AH196=0,0,HW196*HF196*HL196/AU196*AI196+Исходн.данные.!S196*10)</f>
        <v>0</v>
      </c>
      <c r="BI196" s="10"/>
      <c r="BJ196" s="182">
        <f>IF(Исходн.данные.!AH196=0,0,IF(HX196*HG196*HL196/AV196&lt;0,0,HX196*HG196*HL196/AV196*AJ196))</f>
        <v>0</v>
      </c>
      <c r="BK196" s="182">
        <f>IF(Исходн.данные.!AH196=0,0,HY196*HH196*HM196/AW196)</f>
        <v>0</v>
      </c>
      <c r="BL196" s="10">
        <f>IF(OR(Исходн.данные.!$AH196=$BP$1,Исходн.данные.!$AH196=$BP$2),0,IF(BH196&lt;0,0,IF(OR(Исходн.данные.!T196=Расчет!$BP$1,Исходн.данные.!T196=Расчет!$BP$2,Исходн.данные.!T196=Расчет!$BT$5,Исходн.данные.!T196=Расчет!$BT$6),BH196*0.5,IF(OR(Исходн.данные.!T196=Расчет!$BS$9,Исходн.данные.!T196=Расчет!$BS$10,Исходн.данные.!T196=Расчет!$BS$11,Исходн.данные.!T196=Расчет!$BS$12,Исходн.данные.!T196=Расчет!$BP$5),BH196*0.8,BH196))))</f>
        <v>0</v>
      </c>
      <c r="BM196" s="10">
        <f>IF(OR(Исходн.данные.!$AH196=$BP$1,Исходн.данные.!$AH196=$BP$2),0,IF(BJ196&lt;0,0,IF(Исходн.данные.!I196&lt;4.5,BJ196*1.2,IF(Исходн.данные.!I196&gt;5.1,BJ196,BJ196*((5.1-Исходн.данные.!I196)*0.333+1)))))</f>
        <v>0</v>
      </c>
      <c r="BN196" s="10">
        <f>IF(OR(Исходн.данные.!$AH196=$BP$1,Исходн.данные.!$AH196=$BP$2),60-Исходн.данные.!AF196,IF(BK196&lt;0,0,IF(Исходн.данные.!I196&lt;4.5,BK196*1.2,IF(Исходн.данные.!I196&gt;5.1,BK196,BK196*((5.1-Исходн.данные.!I196)*0.333+1)))))</f>
        <v>0</v>
      </c>
      <c r="BO196" s="9">
        <f>IF(BL196&lt;0,0,BL196*Исходн.данные.!$AJ196/1000)</f>
        <v>0</v>
      </c>
      <c r="BP196" s="9">
        <f>IF(BM196&lt;0,0,BM196*Исходн.данные.!$AJ196/1000)</f>
        <v>0</v>
      </c>
      <c r="BQ196" s="9">
        <f>IF(BN196&lt;0,0,BN196*Исходн.данные.!$AJ196/1000)</f>
        <v>0</v>
      </c>
      <c r="BR196" s="9">
        <f t="shared" si="229"/>
        <v>0</v>
      </c>
      <c r="BS196" s="10" t="str">
        <f t="shared" si="230"/>
        <v>Аммофос 12:52:00</v>
      </c>
      <c r="BT196" s="10" t="str">
        <f t="shared" si="231"/>
        <v>Аммофос 12:52:00</v>
      </c>
      <c r="BU196" s="10" t="str">
        <f t="shared" si="232"/>
        <v>Диаммофоска</v>
      </c>
      <c r="BV196" s="10">
        <f t="shared" si="233"/>
        <v>0</v>
      </c>
      <c r="BW196" s="10"/>
      <c r="BX196" s="10"/>
      <c r="BY196" s="9">
        <f>IF(BL196&lt;0,0,IF(OR(Исходн.данные.!AI196=Расчет!$BU$6,Исходн.данные.!AI196=Расчет!$BU$7),Расчет!BV196,IF(Исходн.данные.!$AG196=$BV$11,BL196,IF(OR(Исходн.данные.!$AH196=$BQ$7,Исходн.данные.!$AH196=$BQ$8),CB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0,IF(Исходн.данные.!$AI196=$BU$11,"Нет",IF(BL196&gt;30,30,BL196)))))))</f>
        <v>0</v>
      </c>
      <c r="BZ196" s="9">
        <f>IF(AND(Исходн.данные.!$AG196=$BV$11,BM196&lt;10),10,IF(Исходн.данные.!$AG196=$BV$11,BM196,IF(OR(Исходн.данные.!$AH196=$BQ$7,Исходн.данные.!$AH196=$BQ$8),CC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10,IF(Исходн.данные.!$AI196=$BU$11,"Нет",IF(BM196&gt;60,60,IF(BM196&lt;10,10,BM196)))))))</f>
        <v>10</v>
      </c>
      <c r="CA196" s="39">
        <f>IF(BN196&lt;0,0,IF(Исходн.данные.!$AG196=$BV$11,BN196,IF(OR(Исходн.данные.!$AH196=$BQ$7,Исходн.данные.!$AH196=$BQ$8),CD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0,IF(Исходн.данные.!$AI196=$BU$11,"Нет",IF(BN196&gt;30,30,BN196))))))</f>
        <v>0</v>
      </c>
      <c r="CB196" s="9">
        <f t="shared" si="234"/>
        <v>0</v>
      </c>
      <c r="CC196" s="9">
        <f t="shared" si="235"/>
        <v>0</v>
      </c>
      <c r="CD196" s="9">
        <f t="shared" si="236"/>
        <v>0</v>
      </c>
      <c r="CE196" s="12">
        <f t="shared" si="237"/>
        <v>10</v>
      </c>
      <c r="CF196" s="9">
        <f t="shared" si="238"/>
        <v>0</v>
      </c>
      <c r="CG196" s="9" t="s">
        <v>231</v>
      </c>
      <c r="CH196" s="132" t="str">
        <f>IF(Исходн.данные.!AP196=Расчет!$CI$16,"Нет",IF(Исходн.данные.!AL196&gt;0,Исходн.данные.!AL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BH$4,IF(OR(Исходн.данные.!AI196=Исходн.данные.!$AI$6,Исходн.данные.!AI196=Исходн.данные.!$AI$7),Расчет!BS196,IF(AND($CF196=0,$CE196&gt;0),EV196,ER196)))))</f>
        <v>Аммофос 12:52:00</v>
      </c>
      <c r="CI196" s="274">
        <f>IF(Расчет!$CH196="Нет","Нет",IF(Исходн.данные.!$AL196&gt;0,VLOOKUP(Расчет!$CH196,АшламаДВ_Irekle,2,FALSE),VLOOKUP(Расчет!$CH196,АшламаДВ_Gomumy,2,FALSE)))</f>
        <v>0.12</v>
      </c>
      <c r="CJ196" s="274">
        <f>IF(Расчет!$CH196="Нет","Нет",IF(Исходн.данные.!$AL196&gt;0,VLOOKUP(Расчет!$CH196,АшламаДВ_Irekle,3,FALSE),VLOOKUP(Расчет!$CH196,АшламаДВ_Gomumy,3,FALSE)))</f>
        <v>0.52</v>
      </c>
      <c r="CK196" s="274">
        <f>IF(Расчет!$CH196="Нет","Нет",IF(Исходн.данные.!$AL196&gt;0,VLOOKUP(Расчет!$CH196,АшламаДВ_Irekle,4,FALSE),VLOOKUP(Расчет!$CH196,АшламаДВ_Gomumy,4,FALSE)))</f>
        <v>0</v>
      </c>
      <c r="CL196" s="70"/>
      <c r="CM196" s="70"/>
      <c r="CN196" s="70"/>
      <c r="CO196" s="70"/>
      <c r="CP196" s="70"/>
      <c r="CQ196" s="70"/>
      <c r="CR196" s="10">
        <f t="shared" si="239"/>
        <v>0</v>
      </c>
      <c r="CS196" s="10">
        <f t="shared" si="240"/>
        <v>19.23076923076923</v>
      </c>
      <c r="CT196" s="10">
        <f t="shared" si="241"/>
        <v>0</v>
      </c>
      <c r="CU196" s="39">
        <f>IF($CH196="Нет",0,IF(CI196=0,30/MIN(CJ196:CK196),IF(Исходн.данные.!$AG196=$BV$11,CR196,IF(OR(Исходн.данные.!$AH196=$BQ$7,Исходн.данные.!$AH196=$BQ$8),90/CI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0,IF(Исходн.данные.!$AI196=$BU$11,"Нет",30/CI196))))))</f>
        <v>250</v>
      </c>
      <c r="CV196" s="39">
        <f>IF($CH196="Нет",0,IF(Исходн.данные.!AH196=0,0,IF(CJ196=0,60/MIN(CI196,CK196),IF(Исходн.данные.!$AG196=$BV$11,CS196,IF(OR(Исходн.данные.!$AH196=$BQ$7,Исходн.данные.!$AH196=$BQ$8),90/CJ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10/CJ196,IF(Исходн.данные.!$AI196=$BU$11,"Нет",60/CJ196)))))))</f>
        <v>0</v>
      </c>
      <c r="CW196" s="39">
        <f>IF($CH196="Нет",0,IF(Исходн.данные.!AH196=0,0,IF(CK196=0,30/MIN(CI196:CJ196),IF(Исходн.данные.!$AG196=$BV$11,CT196,IF(OR(Исходн.данные.!$AH196=$BQ$7,Исходн.данные.!$AH196=$BQ$8),90/CK196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0,IF(Исходн.данные.!$AI196=$BU$11,"Нет",30/CK196)))))))</f>
        <v>0</v>
      </c>
      <c r="CX196" s="133">
        <f>IF(Исходн.данные.!$AG196=$BV$11,MAX(CU196:CW196),IF(OR(Исходн.данные.!$AH196=$BS$8,Исходн.данные.!$AH196=$BQ$9,Исходн.данные.!$AH196=$BQ$10,Исходн.данные.!$AH196=$BQ$11,Исходн.данные.!$AH196=$BQ$12,Исходн.данные.!$AH196=$BP$3,Исходн.данные.!$AH196=$BT$8,$FM196="Да"),CV196,MIN(CU196:CW196)))</f>
        <v>0</v>
      </c>
      <c r="CY196" s="133">
        <f>IF(Исходн.данные.!AH196=0,0,IF(CR196&gt;$CX196,$CX196,CR196))</f>
        <v>0</v>
      </c>
      <c r="CZ196" s="133">
        <f>IF(Исходн.данные.!AH196=0,0,IF(CS196&gt;$CX196,$CX196,CS196))</f>
        <v>0</v>
      </c>
      <c r="DA196" s="133">
        <f>IF(Исходн.данные.!AH196=0,0,IF(CT196&gt;$CX196,$CX196,CT196))</f>
        <v>0</v>
      </c>
      <c r="DB196" s="10">
        <f t="shared" si="242"/>
        <v>0</v>
      </c>
      <c r="DC196" s="39">
        <f>DB196*Исходн.данные.!AJ196/1000</f>
        <v>0</v>
      </c>
      <c r="DD196" s="71">
        <f t="shared" si="243"/>
        <v>0</v>
      </c>
      <c r="DE196" s="9">
        <f t="shared" si="244"/>
        <v>0</v>
      </c>
      <c r="DF196" s="9">
        <f t="shared" si="245"/>
        <v>0</v>
      </c>
      <c r="DG196" s="39">
        <f>IF(BL196&lt;0,0,IF($CH196="Нет",BL196,IF(OR(Исходн.данные.!$AH196=$BP$1,Исходн.данные.!$AH196=$BP$2),0,IF(Исходн.данные.!AI196=$BU$11,BL196,IF(BL196-DD196&lt;0,0,BL196-DD196)))))</f>
        <v>0</v>
      </c>
      <c r="DH196" s="39">
        <f>IF(BM196&lt;0,0,IF($CH196="Нет",BM196,IF(OR(Исходн.данные.!$AH196=$BP$1,Исходн.данные.!$AH196=$BP$2),0,IF(Исходн.данные.!AJ196=$BU$11,BM196,IF(BM196-DE196&lt;0,0,BM196-DE196)))))</f>
        <v>0</v>
      </c>
      <c r="DI196" s="39">
        <f>IF(BN196&lt;0,0,IF($CH196="Нет",BN196,IF(OR(Исходн.данные.!$AH196=$BP$1,Исходн.данные.!$AH196=$BP$2),0,IF(Исходн.данные.!AK196=$BU$11,BN196,IF(BN196-DF196&lt;0,0,BN196-DF196)))))</f>
        <v>0</v>
      </c>
      <c r="DJ196" s="12">
        <f t="shared" si="246"/>
        <v>0</v>
      </c>
      <c r="DK196" s="9">
        <f t="shared" si="247"/>
        <v>0</v>
      </c>
      <c r="DL196" s="39">
        <f>IF(Исходн.данные.!AM196&gt;0,Исходн.данные.!AM196,IF(EG196&gt;0,$BH$10,0))</f>
        <v>0</v>
      </c>
      <c r="DM196" s="186">
        <f>IF($DL196=0,0,IF(Исходн.данные.!AM196&gt;0,VLOOKUP($DL196,АшламаДВ_Irekle,2,FALSE),VLOOKUP($DL196,АшламаДВ_Gomumy,2,FALSE)))</f>
        <v>0</v>
      </c>
      <c r="DN196" s="10">
        <f t="shared" si="225"/>
        <v>0</v>
      </c>
      <c r="DO196" s="9" t="str">
        <f>IF(Исходн.данные.!AN196&gt;0,Исходн.данные.!AN196,Удобрения!$B$37 )</f>
        <v>Хлор.калий</v>
      </c>
      <c r="DP196" s="9">
        <f>IF(Исходн.данные.!AN196&gt;0,VLOOKUP(Исходн.данные.!AN196,АшламаДВ_Irekle,4,FALSE),VLOOKUP(DO196,АшламаДВ_Gomumy,4,FALSE))</f>
        <v>0.6</v>
      </c>
      <c r="DQ196" s="10">
        <f t="shared" si="226"/>
        <v>0</v>
      </c>
      <c r="DR196" s="132" t="str">
        <f>IF(Исходн.данные.!AO196&gt;0,Исходн.данные.!AO196,IF(DH196=0,BS$17,IF(AND($DK196=0,$DJ196&gt;0),EJ196,EN196)))</f>
        <v>Нет</v>
      </c>
      <c r="DS196" s="70" t="str">
        <f>IF($DR196="Нет","Нет",IF(Исходн.данные.!$AO196&gt;0,VLOOKUP($DR196,АшламаДВ_Irekle,2,FALSE),VLOOKUP($DR196,АшламаДВ_Gomumy,2,FALSE)))</f>
        <v>Нет</v>
      </c>
      <c r="DT196" s="70" t="str">
        <f>IF($DR196="Нет","Нет",IF(Исходн.данные.!$AO196&gt;0,VLOOKUP($DR196,АшламаДВ_Irekle,3,FALSE),VLOOKUP($DR196,АшламаДВ_Gomumy,3,FALSE)))</f>
        <v>Нет</v>
      </c>
      <c r="DU196" s="70" t="str">
        <f>IF($DR196="Нет","Нет",IF(Исходн.данные.!$AO196&gt;0,VLOOKUP($DR196,АшламаДВ_Irekle,4,FALSE),VLOOKUP($DR196,АшламаДВ_Gomumy,4,FALSE)))</f>
        <v>Нет</v>
      </c>
      <c r="DV196" s="70"/>
      <c r="DW196" s="70"/>
      <c r="DX196" s="70"/>
      <c r="DY196" s="10">
        <f t="shared" si="248"/>
        <v>0</v>
      </c>
      <c r="DZ196" s="10">
        <f t="shared" si="249"/>
        <v>0</v>
      </c>
      <c r="EA196" s="10">
        <f t="shared" si="250"/>
        <v>0</v>
      </c>
      <c r="EB196" s="10">
        <f t="shared" si="251"/>
        <v>0</v>
      </c>
      <c r="EC196" s="10">
        <f t="shared" si="252"/>
        <v>0</v>
      </c>
      <c r="ED196" s="10">
        <f t="shared" si="253"/>
        <v>0</v>
      </c>
      <c r="EE196" s="10">
        <f t="shared" si="254"/>
        <v>0</v>
      </c>
      <c r="EF196" s="39">
        <f>EB196*Исходн.данные.!AJ196/1000</f>
        <v>0</v>
      </c>
      <c r="EG196" s="9">
        <f t="shared" si="255"/>
        <v>0</v>
      </c>
      <c r="EH196" s="9">
        <f t="shared" si="256"/>
        <v>0</v>
      </c>
      <c r="EI196" s="39" t="e">
        <f t="shared" si="206"/>
        <v>#DIV/0!</v>
      </c>
      <c r="EJ196" s="9" t="str">
        <f t="shared" si="227"/>
        <v>Азопреципитат</v>
      </c>
      <c r="EK196" s="12">
        <f t="shared" si="207"/>
        <v>0.26</v>
      </c>
      <c r="EL196" s="12">
        <f t="shared" si="208"/>
        <v>0.13</v>
      </c>
      <c r="EM196" s="12">
        <f t="shared" si="209"/>
        <v>0</v>
      </c>
      <c r="EN196" s="12" t="str">
        <f t="shared" si="228"/>
        <v>Нет</v>
      </c>
      <c r="EO196" s="12">
        <f t="shared" si="210"/>
        <v>0</v>
      </c>
      <c r="EP196" s="12">
        <f t="shared" si="211"/>
        <v>0</v>
      </c>
      <c r="EQ196" s="12">
        <f t="shared" si="212"/>
        <v>0</v>
      </c>
      <c r="ER196" s="12" t="str">
        <f t="shared" si="257"/>
        <v>Диаммофоска</v>
      </c>
      <c r="ES196" s="12">
        <f t="shared" si="213"/>
        <v>0.1</v>
      </c>
      <c r="ET196" s="12">
        <f t="shared" si="214"/>
        <v>0.26</v>
      </c>
      <c r="EU196" s="12">
        <f t="shared" si="215"/>
        <v>0.26</v>
      </c>
      <c r="EV196" s="12" t="str">
        <f t="shared" si="258"/>
        <v>Аммофос 12:52:00</v>
      </c>
      <c r="EW196" s="12" t="str">
        <f t="shared" si="259"/>
        <v>Кемира Свекловичное-6</v>
      </c>
      <c r="EX196" s="12">
        <f t="shared" si="216"/>
        <v>0.16</v>
      </c>
      <c r="EY196" s="12">
        <f t="shared" si="217"/>
        <v>0.12</v>
      </c>
      <c r="EZ196" s="12">
        <f t="shared" si="218"/>
        <v>0.17</v>
      </c>
      <c r="FA196" s="38" t="e">
        <f>IF(AND(OR(FJ196=$FD$1,FM196=$FD$1,FO196=$FD$1,FQ196=$FD$1,FS196=$FD$1),FD196=$FD$1,Исходн.данные.!J196&lt;2,FU196=$FD$1),"Бор,Кобальт",IF(AND(FO196=$FD$1,FH196=$FD$1,Исходн.данные.!J196&lt;2,FU196=$FD$1),"Бор,Кобальт",IF(AND(OR(FJ196=$FD$1,FM196=$FD$1,FQ196=$FD$1),FE196=$FD$1,Исходн.данные.!J196&lt;2,FT196=$FD$1,FU196=$FD$1),"Бор,Медь,Цинк",IF(AND(OR(FJ196=$FD$1,FR196="Да"),FI196="Да",Исходн.данные.!J196&lt;2,FT196="Да",FU196="Да"),"Бор,Цинк,Медь",IF(AND(OR(FM196="Да",FQ196="Да"),FI196="Да",Исходн.данные.!J196&lt;2,FT196="Да",FU196="Да"),"Бор,Цинк",IF(AND(FN196="Да",OR(FD196="Да",FE196="Да")),"Бор",FB196))))))</f>
        <v>#N/A</v>
      </c>
      <c r="FB196" s="134" t="e">
        <f>IF(AND(OR(FD196="Да",FE196="Да",FF196="Да",FG196="Да",FH196="Да"),FO196="Да"),"Бор",IF(AND(FP196="Да",OR(FD196="Да",FE196="Да",FI196="Да")),"Бор",IF(AND(FS196="Да",FE196="Да"),"Бор,Медь",IF(AND(OR(FJ196="Да",FK196="Да",FL196="Да"),FE196="Да",Исходн.данные.!I196&lt;5,FT196="Да",FU196="Да"),"Молибден,Цинк",IF(AND(FM196="Да",OR(FE196="Да",FF196="Да",FG196="Да",FH196="Да",FI196="Да")),"Молибден,Цинк",IF(AND(OR(FJ196="Да",FK196="Да",FL196="Да",FM196="Да",FQ196="Да"),OR(FE196="Да",FF196="Да"),FT196="Да",FU196="Да",Исходн.данные.!I196&gt;5.5),"Медь,Цинк",FC196))))))</f>
        <v>#N/A</v>
      </c>
      <c r="FC196" s="23" t="e">
        <f t="shared" si="260"/>
        <v>#N/A</v>
      </c>
      <c r="FD196" s="38" t="str">
        <f>IF(OR(Исходн.данные.!F196=$CC$1,Исходн.данные.!F196=$CC$2,Исходн.данные.!F196=$CC$3,Исходн.данные.!F196=$CC$4),"Да","Нет")</f>
        <v>Нет</v>
      </c>
      <c r="FE196" s="38" t="str">
        <f>IF(Исходн.данные.!F196=$CC$5,"Да","Нет")</f>
        <v>Нет</v>
      </c>
      <c r="FF196" s="38" t="str">
        <f>IF(OR(Исходн.данные.!F196=$CC$6,Исходн.данные.!F196=$CC$7),"Да","Нет")</f>
        <v>Нет</v>
      </c>
      <c r="FG196" s="38" t="str">
        <f>IF(OR(Исходн.данные.!F196=$CC$8,Исходн.данные.!F196=$CC$9),"Да","Нет")</f>
        <v>Нет</v>
      </c>
      <c r="FH196" s="38" t="str">
        <f>IF(Исходн.данные.!F196=$CC$10,"Да","Нет")</f>
        <v>Нет</v>
      </c>
      <c r="FI196" s="38" t="str">
        <f>IF(OR(Исходн.данные.!F196=$CC$11,Исходн.данные.!F196=$CC$12),"Да","Нет")</f>
        <v>Нет</v>
      </c>
      <c r="FJ196" s="38" t="str">
        <f>IF(OR(Исходн.данные.!AH196=$BS$1,Исходн.данные.!AH196=$BQ$11,Исходн.данные.!AH196=$BQ$12),"Да","Нет")</f>
        <v>Нет</v>
      </c>
      <c r="FK196" s="38" t="str">
        <f>IF(OR(Исходн.данные.!AH196=$BS$2,Исходн.данные.!AH196=$BS$4),"Да","Нет")</f>
        <v>Нет</v>
      </c>
      <c r="FL196" s="38" t="str">
        <f>IF(OR(Исходн.данные.!AH196=$BS$3,Исходн.данные.!AH196=$BS$5),"Да","Нет")</f>
        <v>Нет</v>
      </c>
      <c r="FM196" s="38" t="str">
        <f>IF(OR(Исходн.данные.!AH196=$BS$9,Исходн.данные.!AH196=$BS$10,Исходн.данные.!AH196=$BS$11,Исходн.данные.!AH196=$BS$12),"Да","Нет")</f>
        <v>Нет</v>
      </c>
      <c r="FN196" s="38" t="str">
        <f>IF(OR(Исходн.данные.!AH196=$BS$6,Исходн.данные.!AH196=$BP$3),"Да","Нет")</f>
        <v>Нет</v>
      </c>
      <c r="FO196" s="38" t="str">
        <f>IF(Исходн.данные.!AH196=$BQ$9,"Да","Нет")</f>
        <v>Нет</v>
      </c>
      <c r="FP196" s="38" t="str">
        <f>IF(OR(Исходн.данные.!AH196=$BS$8,Исходн.данные.!AH196=$BT$8),"Да","Нет")</f>
        <v>Нет</v>
      </c>
      <c r="FQ196" s="38" t="str">
        <f>IF(OR(Исходн.данные.!AH196=$BQ$7,Исходн.данные.!AH196=$BQ$8),"Да","Нет")</f>
        <v>Нет</v>
      </c>
      <c r="FR196" s="38" t="str">
        <f>IF(Исходн.данные.!AI196=$BU$9,"Да","Нет")</f>
        <v>Нет</v>
      </c>
      <c r="FS196" s="38" t="str">
        <f>IF(OR(Исходн.данные.!AH196=$BP$1,Исходн.данные.!AH196=$BP$2),"Да","Нет")</f>
        <v>Нет</v>
      </c>
      <c r="FT196" s="38" t="e">
        <f>IF((Исходн.данные.!K196*GO196*GS196*GW196+BL196*0.6+Исходн.данные.!Q196*4.5*0.275)&gt;90,"Да","Нет")</f>
        <v>#N/A</v>
      </c>
      <c r="FU196" s="38" t="e">
        <f>IF((Исходн.данные.!M196*GS196*GZ196+BM196*0.225)&gt;35,"Да","Нет")</f>
        <v>#N/A</v>
      </c>
      <c r="FV196" s="38" t="str">
        <f>IF(Исходн.данные.!O196&gt;175,"Да","Нет")</f>
        <v>Нет</v>
      </c>
      <c r="FW196" s="39" t="str">
        <f>IF(Исходн.данные.!I196&gt;5.5,"Да","Нет")</f>
        <v>Нет</v>
      </c>
      <c r="FX196" s="39" t="str">
        <f>IF(Исходн.данные.!J196&lt;2,"Да","Нет")</f>
        <v>Да</v>
      </c>
      <c r="FY196" s="39" t="e">
        <f>IF(HF196=$FY$16,0,Исходн.данные.!K196*GO196*GS196*GW196/HF196)</f>
        <v>#N/A</v>
      </c>
      <c r="FZ196" s="39" t="e">
        <f>Исходн.данные.!M196*GS196*GZ196/HG196</f>
        <v>#N/A</v>
      </c>
      <c r="GA196" s="39" t="e">
        <f>IF(K_Wyn=$FY$16,0,IF(Исходн.данные.!N196=Исходн.данные.!$L$10,Исходн.данные.!O196/1.1*GS196*HC196/HH196,IF(Исходн.данные.!N196=Исходн.данные.!$L$12,Исходн.данные.!O196/1.5*GS196*HC196/HH196,Исходн.данные.!O196*GS196*HC196/HH196)))</f>
        <v>#N/A</v>
      </c>
      <c r="GB196" s="39" t="e">
        <f>IF(HF196=$FY$16,0,((Исходн.данные.!Q196*N_Org+Исходн.данные.!R196*N_Sider+Исходн.данные.!S196*N_Soloma)*AO196+Расчет!BC196*VLOOKUP(Исходн.данные.!T196,Справ!$A$3:$O$57,15)*AO196+BB196*VLOOKUP(Исходн.данные.!T196,Справ!$A$3:$O$57,15)*AL196+(Исходн.данные.!V196*N_Rizotorf+Исходн.данные.!W196*N_Rizoagr))/HF196)</f>
        <v>#N/A</v>
      </c>
      <c r="GC196" s="39" t="e">
        <f>IF(HG196=$FY$16,0,((Исходн.данные.!Q196*Р_Org+Исходн.данные.!R196*P_Sider+Исходн.данные.!S196*P_Soloma)*AP196+Расчет!BC196*VLOOKUP(Исходн.данные.!T196,Справ!$A$3:$P$57,16)*AP196+BB196*VLOOKUP(Исходн.данные.!T196,Справ!$A$3:$P$57,16)*AM196)/HG196)</f>
        <v>#N/A</v>
      </c>
      <c r="GD196" s="39" t="e">
        <f>IF(HH196=$FY$16,0,((Исходн.данные.!Q196*К_Org+Исходн.данные.!R196*K_Sider+Исходн.данные.!S196*K_Soloma)*AQ196+Расчет!BC196*VLOOKUP(Исходн.данные.!T196,Справ!$A$3:$Q$57,17)*AQ196+BB196*VLOOKUP(Исходн.данные.!T196,Справ!$A$3:$Q$57,17)*AN196)/HH196)</f>
        <v>#N/A</v>
      </c>
      <c r="GE196" s="39" t="e">
        <f>IF(HF196=$FY$16,0,(Исходн.данные.!X196*AR196+Исходн.данные.!AA196*N_Org*AL196+Исходн.данные.!AB196*N_Sider*AL196+Исходн.данные.!AC196*N_Soloma*AL196)/HF196)</f>
        <v>#N/A</v>
      </c>
      <c r="GF196" s="39" t="e">
        <f>IF(HG196=$FY$16,0,(Исходн.данные.!Y196*AS196+Исходн.данные.!AA196*Р_Org*AM196+Исходн.данные.!AB196*P_Sider*AM196+Исходн.данные.!AC196*P_Soloma*AM196)/HG196)</f>
        <v>#N/A</v>
      </c>
      <c r="GG196" s="39" t="e">
        <f>IF(HH196=$FY$16,0,(Исходн.данные.!Z196*AT196+Исходн.данные.!AA196*К_Org*AN196+Исходн.данные.!AB196*K_Sider*AN196+Исходн.данные.!AC196*K_Soloma*AN196)/HH196)</f>
        <v>#N/A</v>
      </c>
      <c r="GH196" s="39" t="e">
        <f>Исходн.данные.!AD196*AU196/HF196</f>
        <v>#N/A</v>
      </c>
      <c r="GI196" s="39" t="e">
        <f>Исходн.данные.!AE196*AV196/HG196</f>
        <v>#N/A</v>
      </c>
      <c r="GJ196" s="39" t="e">
        <f>Исходн.данные.!AF196*AW196/HH196</f>
        <v>#N/A</v>
      </c>
      <c r="GK196" s="55">
        <f>Исходн.данные.!AK196</f>
        <v>0</v>
      </c>
      <c r="GL196" s="11" t="e">
        <f t="shared" si="261"/>
        <v>#N/A</v>
      </c>
      <c r="GM196" s="11" t="e">
        <f t="shared" si="262"/>
        <v>#N/A</v>
      </c>
      <c r="GN196" s="11" t="e">
        <f t="shared" si="263"/>
        <v>#N/A</v>
      </c>
      <c r="GO196" s="57">
        <f t="shared" si="264"/>
        <v>19</v>
      </c>
      <c r="GP196" s="55">
        <f>IF(OR(Исходн.данные.!F196=$CE$1,Исходн.данные.!F196=$CE$2,Исходн.данные.!F196=$CE$3,Исходн.данные.!F196=$CE$4,Исходн.данные.!F196=$CE$5),GQ196,GR196)</f>
        <v>19</v>
      </c>
      <c r="GQ196" s="55">
        <f>IF(Исходн.данные.!F196=$CE$1,28,IF(Исходн.данные.!F196=$CE$2,26,IF(Исходн.данные.!F196=$CE$3,24,IF(Исходн.данные.!F196=$CE$4,22,IF(Исходн.данные.!F196=$CE$5,20,GR196)))))</f>
        <v>19</v>
      </c>
      <c r="GR196" s="55">
        <f>IF(Исходн.данные.!F196=$CE$6,18,IF(Исходн.данные.!F196=$CE$7,16,IF(Исходн.данные.!F196=$CE$8,14,IF(Исходн.данные.!F196=$CE$9,13,IF(Исходн.данные.!F196=$CE$10,12,19)))))</f>
        <v>19</v>
      </c>
      <c r="GS196" s="55">
        <f>IF(Исходн.данные.!G196="Пес",0.035*(40+2*Исходн.данные.!H196),IF(Исходн.данные.!G196="Суп",0.0325*(40+2*Исходн.данные.!H196),0.03*(40+2*Исходн.данные.!H196)))</f>
        <v>1.2</v>
      </c>
      <c r="GT196" s="55">
        <f>IF(Исходн.данные.!H196&lt;23,2.6,IF(AND(Исходн.данные.!H196&gt;22,Исходн.данные.!H196&lt;26),3,IF(AND(Исходн.данные.!H196&gt;25,Исходн.данные.!H196&lt;29),3.4,3.6)))</f>
        <v>2.6</v>
      </c>
      <c r="GU196" s="55">
        <f>IF(Исходн.данные.!H196&lt;23,2.8,IF(AND(Исходн.данные.!H196&gt;22,Исходн.данные.!H196&lt;26),3.2,IF(AND(Исходн.данные.!H196&gt;25,Исходн.данные.!H196&lt;29),3.6,3.9)))</f>
        <v>2.8</v>
      </c>
      <c r="GV196" s="55">
        <f>IF(Исходн.данные.!H196&lt;23,3,IF(AND(Исходн.данные.!H196&gt;22,Исходн.данные.!H196&lt;26),3.5,IF(AND(Исходн.данные.!H196&gt;25,Исходн.данные.!H196&lt;29),3.9,4.2)))</f>
        <v>3</v>
      </c>
      <c r="GW196" s="55" t="e">
        <f>IF(Исходн.данные.!P196="Ум",GX196,GY196)</f>
        <v>#N/A</v>
      </c>
      <c r="GX196" s="55" t="e">
        <f>VLOOKUP(Исходн.данные.!AI196,Коэффициенты!$J$7:$L$13,2,FALSE)</f>
        <v>#N/A</v>
      </c>
      <c r="GY196" s="55" t="e">
        <f>VLOOKUP(Исходн.данные.!AI196,Коэффициенты!$J$7:$L$13,3,FALSE)</f>
        <v>#N/A</v>
      </c>
      <c r="GZ196" s="55" t="e">
        <f>(IF(Исходн.данные.!M196&lt;50,0.11*VLOOKUP(Исходн.данные.!AH196,Культуры.Информация,7,FALSE),IF(Исходн.данные.!M196&gt;250,0.05*VLOOKUP(Исходн.данные.!AH196,Культуры.Информация,7,FALSE),VLOOKUP(Исходн.данные.!AH196,Культуры.Информация,5,FALSE)/100*($GX$6+$GY$6*Исходн.данные.!M196))))*Расчет2!AI196</f>
        <v>#N/A</v>
      </c>
      <c r="HA196" s="211"/>
      <c r="HB196" s="211"/>
      <c r="HC196" s="55" t="e">
        <f>(IF(Исходн.данные.!O196&lt;80,0.2*VLOOKUP(Исходн.данные.!AH196,Культуры.Информация,8,FALSE),IF(Исходн.данные.!O196&gt;240,0.09*VLOOKUP(Исходн.данные.!AH196,Культуры.Информация,8,FALSE),VLOOKUP(Исходн.данные.!AH196,Культуры.Информация,6,FALSE)/100*($HB$6+$HC$6*Исходн.данные.!O196))))*Расчет2!AJ196</f>
        <v>#N/A</v>
      </c>
      <c r="HD196" s="55">
        <f>IF(Исходн.данные.!O196&gt;240,0.09,IF(Исходн.данные.!O196&lt;30,0.3,$HE$10+$HD$10*Исходн.данные.!O196))</f>
        <v>0.3</v>
      </c>
      <c r="HE196" s="55">
        <f>IF(Исходн.данные.!O196&gt;240,0.17,IF(Исходн.данные.!O196&lt;30,0.5,$HF$12+$HE$12*Исходн.данные.!O196))</f>
        <v>0.5</v>
      </c>
      <c r="HF196" s="55" t="e">
        <f>VLOOKUP(Исходн.данные.!AH196,Справ!$A$3:$D$58,2,FALSE)</f>
        <v>#N/A</v>
      </c>
      <c r="HG196" s="55" t="e">
        <f>VLOOKUP(Исходн.данные.!AH196,Справ!$A$3:$D$58,3,FALSE)</f>
        <v>#N/A</v>
      </c>
      <c r="HH196" s="55" t="e">
        <f>VLOOKUP(Исходн.данные.!AH196,Справ!$A$3:$D$58,4,FALSE)</f>
        <v>#N/A</v>
      </c>
      <c r="HI196" s="11" t="e">
        <f t="shared" si="265"/>
        <v>#N/A</v>
      </c>
      <c r="HJ196" s="11" t="e">
        <f t="shared" si="266"/>
        <v>#N/A</v>
      </c>
      <c r="HK196" s="11" t="e">
        <f t="shared" si="267"/>
        <v>#N/A</v>
      </c>
      <c r="HL196" s="55">
        <f>IF(OR(Исходн.данные.!G196="Глин",Исходн.данные.!G196="Т_суг"),1.1,IF(Исходн.данные.!G196="Ср_суг",1,1))</f>
        <v>1</v>
      </c>
      <c r="HM196" s="55">
        <f>IF(OR(Исходн.данные.!G196="Глин",Исходн.данные.!G196="Т_суг"),0.9,IF(Исходн.данные.!G196="Ср_суг",1,1.2))</f>
        <v>1.2</v>
      </c>
      <c r="HN196" s="11" t="e">
        <f t="shared" si="268"/>
        <v>#N/A</v>
      </c>
      <c r="HO196" s="11" t="e">
        <f t="shared" si="269"/>
        <v>#N/A</v>
      </c>
      <c r="HP196" s="11" t="e">
        <f t="shared" si="270"/>
        <v>#N/A</v>
      </c>
      <c r="HQ196" t="e">
        <f t="shared" si="271"/>
        <v>#N/A</v>
      </c>
      <c r="HR196" t="e">
        <f t="shared" si="272"/>
        <v>#N/A</v>
      </c>
      <c r="HS196" t="e">
        <f t="shared" si="273"/>
        <v>#N/A</v>
      </c>
      <c r="HT196" t="e">
        <f t="shared" si="219"/>
        <v>#N/A</v>
      </c>
      <c r="HU196" t="e">
        <f t="shared" si="220"/>
        <v>#N/A</v>
      </c>
      <c r="HV196" t="e">
        <f t="shared" si="221"/>
        <v>#N/A</v>
      </c>
      <c r="HW196" t="e">
        <f t="shared" si="222"/>
        <v>#N/A</v>
      </c>
      <c r="HX196" t="e">
        <f t="shared" si="223"/>
        <v>#N/A</v>
      </c>
      <c r="HY196" t="e">
        <f t="shared" si="224"/>
        <v>#N/A</v>
      </c>
      <c r="HZ196" s="55">
        <f>IF(OR(Исходн.данные.!AI196="Оз_Ч_П",Исходн.данные.!AI196="Оз_З_П",Исходн.данные.!AI196="Яр_зер"),12,30)</f>
        <v>30</v>
      </c>
      <c r="IA196" t="e">
        <f t="shared" si="274"/>
        <v>#N/A</v>
      </c>
      <c r="IB196" t="e">
        <f t="shared" si="275"/>
        <v>#N/A</v>
      </c>
      <c r="IC196" t="e">
        <f t="shared" si="276"/>
        <v>#N/A</v>
      </c>
      <c r="ID196" s="11" t="e">
        <f t="shared" si="277"/>
        <v>#N/A</v>
      </c>
      <c r="IE196" s="11" t="e">
        <f t="shared" si="278"/>
        <v>#N/A</v>
      </c>
      <c r="IF196" s="11" t="e">
        <f t="shared" si="279"/>
        <v>#N/A</v>
      </c>
    </row>
    <row r="197" spans="35:240" x14ac:dyDescent="0.2">
      <c r="AI197">
        <f>IF(Исходн.данные.!I197&gt;6,1,1.85-(0.148*Исходн.данные.!I197))</f>
        <v>1.85</v>
      </c>
      <c r="AJ197">
        <f>IF(Исходн.данные.!I197&gt;6,1,2.434-(0.246*Исходн.данные.!I197))</f>
        <v>2.4340000000000002</v>
      </c>
      <c r="AL197" s="148" t="b">
        <f>IF(Исходн.данные.!$P197="Ум",N_OrgUd_2g_um,IF(Исходн.данные.!$P197="Об",N_OrgUd_2g_ob))</f>
        <v>0</v>
      </c>
      <c r="AM197" s="148" t="b">
        <f>IF(Исходн.данные.!$P197="Ум",P_OrgUd_2g_um,IF(Исходн.данные.!$P197="Об",P_OrgUd_2g_ob))</f>
        <v>0</v>
      </c>
      <c r="AN197" s="148" t="b">
        <f>IF(Исходн.данные.!$P197="Ум",K_OrgUd_2g_um,IF(Исходн.данные.!$P197="Об",K_OrgUd_2g_ob))</f>
        <v>0</v>
      </c>
      <c r="AO197" s="148" t="b">
        <f>IF(Исходн.данные.!$P197="Ум",N_OrgUd_1g_um,IF(Исходн.данные.!$P197="Об",N_OrgUd_1g_ob))</f>
        <v>0</v>
      </c>
      <c r="AP197" s="148" t="b">
        <f>IF(Исходн.данные.!$P197="Ум",P_OrgUd_1g_um,IF(Исходн.данные.!$P197="Об",P_OrgUd_1g_ob))</f>
        <v>0</v>
      </c>
      <c r="AQ197" s="148" t="b">
        <f>IF(Исходн.данные.!$P197="Ум",K_OrgUd_1g_um,IF(Исходн.данные.!$P197="Об",K_OrgUd_1g_ob))</f>
        <v>0</v>
      </c>
      <c r="AR197" t="b">
        <f>IF(Исходн.данные.!$P197="Ум",N_MinUd_2g_um,IF(Исходн.данные.!$P197="Об",N_MinUd_2g_ob))</f>
        <v>0</v>
      </c>
      <c r="AS197" t="b">
        <f>IF(Исходн.данные.!$P197="Ум",P_MinUd_2g_um,IF(Исходн.данные.!$P197="Об",P_MinUd_2g_ob))</f>
        <v>0</v>
      </c>
      <c r="AT197" t="b">
        <f>IF(Исходн.данные.!$P197="Ум",K_MinUd_2g_um,IF(Исходн.данные.!$P197="Об",K_MinUd_2g_ob))</f>
        <v>0</v>
      </c>
      <c r="AU197" t="b">
        <f>IF(Исходн.данные.!$P197="Ум",N_MinUd_1g_um,IF(Исходн.данные.!$P197="Об",N_MinUd_1g_ob))</f>
        <v>0</v>
      </c>
      <c r="AV197" t="b">
        <f>IF(Исходн.данные.!P197="Ум",P_MinUd_1g_um,IF(Исходн.данные.!P197="Об",P_MinUd_1g_ob))</f>
        <v>0</v>
      </c>
      <c r="AW197" t="b">
        <f>IF(Исходн.данные.!P197="Ум",K_MinUd_1g_um,IF(Исходн.данные.!P197="Об",K_MinUd_1g_ob))</f>
        <v>0</v>
      </c>
      <c r="AY197" t="e">
        <f>VLOOKUP(Исходн.данные.!T197,Справ!$A$3:$N$57,12)</f>
        <v>#N/A</v>
      </c>
      <c r="AZ197" t="e">
        <f>VLOOKUP(Исходн.данные.!T197,Справ!$A$3:$N$57,13)</f>
        <v>#N/A</v>
      </c>
      <c r="BA197" t="e">
        <f>VLOOKUP(Исходн.данные.!T197,Справ!$A$3:$N$57,14)</f>
        <v>#N/A</v>
      </c>
      <c r="BB197">
        <f>IF(Исходн.данные.!AH197=0,0,25)</f>
        <v>0</v>
      </c>
      <c r="BC197" s="141">
        <f>IF(Исходн.данные.!AH197=0,0,IF(Исходн.данные.!T197=0,25,BD197))</f>
        <v>0</v>
      </c>
      <c r="BD197" s="168" t="e">
        <f>AY197+AZ197*Исходн.данные.!U197-POWER(BA197,2)*Исходн.данные.!U197</f>
        <v>#N/A</v>
      </c>
      <c r="BE19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7" s="25">
        <f>IF(Исходн.данные.!AH197=0,0,MIN(HN197:HP197))</f>
        <v>0</v>
      </c>
      <c r="BG197" s="9">
        <f>IF(Исходн.данные.!AH197=0,0,IF((HO197+10*0.25/HG197/HL197)&lt;17,17,HO197+10*0.25/HG197/HL197))</f>
        <v>0</v>
      </c>
      <c r="BH197" s="181">
        <f>IF(Исходн.данные.!AH197=0,0,HW197*HF197*HL197/AU197*AI197+Исходн.данные.!S197*10)</f>
        <v>0</v>
      </c>
      <c r="BI197" s="10"/>
      <c r="BJ197" s="182">
        <f>IF(Исходн.данные.!AH197=0,0,IF(HX197*HG197*HL197/AV197&lt;0,0,HX197*HG197*HL197/AV197*AJ197))</f>
        <v>0</v>
      </c>
      <c r="BK197" s="182">
        <f>IF(Исходн.данные.!AH197=0,0,HY197*HH197*HM197/AW197)</f>
        <v>0</v>
      </c>
      <c r="BL197" s="10">
        <f>IF(OR(Исходн.данные.!$AH197=$BP$1,Исходн.данные.!$AH197=$BP$2),0,IF(BH197&lt;0,0,IF(OR(Исходн.данные.!T197=Расчет!$BP$1,Исходн.данные.!T197=Расчет!$BP$2,Исходн.данные.!T197=Расчет!$BT$5,Исходн.данные.!T197=Расчет!$BT$6),BH197*0.5,IF(OR(Исходн.данные.!T197=Расчет!$BS$9,Исходн.данные.!T197=Расчет!$BS$10,Исходн.данные.!T197=Расчет!$BS$11,Исходн.данные.!T197=Расчет!$BS$12,Исходн.данные.!T197=Расчет!$BP$5),BH197*0.8,BH197))))</f>
        <v>0</v>
      </c>
      <c r="BM197" s="10">
        <f>IF(OR(Исходн.данные.!$AH197=$BP$1,Исходн.данные.!$AH197=$BP$2),0,IF(BJ197&lt;0,0,IF(Исходн.данные.!I197&lt;4.5,BJ197*1.2,IF(Исходн.данные.!I197&gt;5.1,BJ197,BJ197*((5.1-Исходн.данные.!I197)*0.333+1)))))</f>
        <v>0</v>
      </c>
      <c r="BN197" s="10">
        <f>IF(OR(Исходн.данные.!$AH197=$BP$1,Исходн.данные.!$AH197=$BP$2),60-Исходн.данные.!AF197,IF(BK197&lt;0,0,IF(Исходн.данные.!I197&lt;4.5,BK197*1.2,IF(Исходн.данные.!I197&gt;5.1,BK197,BK197*((5.1-Исходн.данные.!I197)*0.333+1)))))</f>
        <v>0</v>
      </c>
      <c r="BO197" s="9">
        <f>IF(BL197&lt;0,0,BL197*Исходн.данные.!$AJ197/1000)</f>
        <v>0</v>
      </c>
      <c r="BP197" s="9">
        <f>IF(BM197&lt;0,0,BM197*Исходн.данные.!$AJ197/1000)</f>
        <v>0</v>
      </c>
      <c r="BQ197" s="9">
        <f>IF(BN197&lt;0,0,BN197*Исходн.данные.!$AJ197/1000)</f>
        <v>0</v>
      </c>
      <c r="BR197" s="9">
        <f t="shared" si="229"/>
        <v>0</v>
      </c>
      <c r="BS197" s="10" t="str">
        <f t="shared" si="230"/>
        <v>Аммофос 12:52:00</v>
      </c>
      <c r="BT197" s="10" t="str">
        <f t="shared" si="231"/>
        <v>Аммофос 12:52:00</v>
      </c>
      <c r="BU197" s="10" t="str">
        <f t="shared" si="232"/>
        <v>Диаммофоска</v>
      </c>
      <c r="BV197" s="10">
        <f t="shared" si="233"/>
        <v>0</v>
      </c>
      <c r="BW197" s="10"/>
      <c r="BX197" s="10"/>
      <c r="BY197" s="9">
        <f>IF(BL197&lt;0,0,IF(OR(Исходн.данные.!AI197=Расчет!$BU$6,Исходн.данные.!AI197=Расчет!$BU$7),Расчет!BV197,IF(Исходн.данные.!$AG197=$BV$11,BL197,IF(OR(Исходн.данные.!$AH197=$BQ$7,Исходн.данные.!$AH197=$BQ$8),CB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0,IF(Исходн.данные.!$AI197=$BU$11,"Нет",IF(BL197&gt;30,30,BL197)))))))</f>
        <v>0</v>
      </c>
      <c r="BZ197" s="9">
        <f>IF(AND(Исходн.данные.!$AG197=$BV$11,BM197&lt;10),10,IF(Исходн.данные.!$AG197=$BV$11,BM197,IF(OR(Исходн.данные.!$AH197=$BQ$7,Исходн.данные.!$AH197=$BQ$8),CC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10,IF(Исходн.данные.!$AI197=$BU$11,"Нет",IF(BM197&gt;60,60,IF(BM197&lt;10,10,BM197)))))))</f>
        <v>10</v>
      </c>
      <c r="CA197" s="39">
        <f>IF(BN197&lt;0,0,IF(Исходн.данные.!$AG197=$BV$11,BN197,IF(OR(Исходн.данные.!$AH197=$BQ$7,Исходн.данные.!$AH197=$BQ$8),CD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0,IF(Исходн.данные.!$AI197=$BU$11,"Нет",IF(BN197&gt;30,30,BN197))))))</f>
        <v>0</v>
      </c>
      <c r="CB197" s="9">
        <f t="shared" si="234"/>
        <v>0</v>
      </c>
      <c r="CC197" s="9">
        <f t="shared" si="235"/>
        <v>0</v>
      </c>
      <c r="CD197" s="9">
        <f t="shared" si="236"/>
        <v>0</v>
      </c>
      <c r="CE197" s="12">
        <f t="shared" si="237"/>
        <v>10</v>
      </c>
      <c r="CF197" s="9">
        <f t="shared" si="238"/>
        <v>0</v>
      </c>
      <c r="CG197" s="9" t="s">
        <v>231</v>
      </c>
      <c r="CH197" s="132" t="str">
        <f>IF(Исходн.данные.!AP197=Расчет!$CI$16,"Нет",IF(Исходн.данные.!AL197&gt;0,Исходн.данные.!AL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BH$4,IF(OR(Исходн.данные.!AI197=Исходн.данные.!$AI$6,Исходн.данные.!AI197=Исходн.данные.!$AI$7),Расчет!BS197,IF(AND($CF197=0,$CE197&gt;0),EV197,ER197)))))</f>
        <v>Аммофос 12:52:00</v>
      </c>
      <c r="CI197" s="274">
        <f>IF(Расчет!$CH197="Нет","Нет",IF(Исходн.данные.!$AL197&gt;0,VLOOKUP(Расчет!$CH197,АшламаДВ_Irekle,2,FALSE),VLOOKUP(Расчет!$CH197,АшламаДВ_Gomumy,2,FALSE)))</f>
        <v>0.12</v>
      </c>
      <c r="CJ197" s="274">
        <f>IF(Расчет!$CH197="Нет","Нет",IF(Исходн.данные.!$AL197&gt;0,VLOOKUP(Расчет!$CH197,АшламаДВ_Irekle,3,FALSE),VLOOKUP(Расчет!$CH197,АшламаДВ_Gomumy,3,FALSE)))</f>
        <v>0.52</v>
      </c>
      <c r="CK197" s="274">
        <f>IF(Расчет!$CH197="Нет","Нет",IF(Исходн.данные.!$AL197&gt;0,VLOOKUP(Расчет!$CH197,АшламаДВ_Irekle,4,FALSE),VLOOKUP(Расчет!$CH197,АшламаДВ_Gomumy,4,FALSE)))</f>
        <v>0</v>
      </c>
      <c r="CL197" s="70"/>
      <c r="CM197" s="70"/>
      <c r="CN197" s="70"/>
      <c r="CO197" s="70"/>
      <c r="CP197" s="70"/>
      <c r="CQ197" s="70"/>
      <c r="CR197" s="10">
        <f t="shared" si="239"/>
        <v>0</v>
      </c>
      <c r="CS197" s="10">
        <f t="shared" si="240"/>
        <v>19.23076923076923</v>
      </c>
      <c r="CT197" s="10">
        <f t="shared" si="241"/>
        <v>0</v>
      </c>
      <c r="CU197" s="39">
        <f>IF($CH197="Нет",0,IF(CI197=0,30/MIN(CJ197:CK197),IF(Исходн.данные.!$AG197=$BV$11,CR197,IF(OR(Исходн.данные.!$AH197=$BQ$7,Исходн.данные.!$AH197=$BQ$8),90/CI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0,IF(Исходн.данные.!$AI197=$BU$11,"Нет",30/CI197))))))</f>
        <v>250</v>
      </c>
      <c r="CV197" s="39">
        <f>IF($CH197="Нет",0,IF(Исходн.данные.!AH197=0,0,IF(CJ197=0,60/MIN(CI197,CK197),IF(Исходн.данные.!$AG197=$BV$11,CS197,IF(OR(Исходн.данные.!$AH197=$BQ$7,Исходн.данные.!$AH197=$BQ$8),90/CJ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10/CJ197,IF(Исходн.данные.!$AI197=$BU$11,"Нет",60/CJ197)))))))</f>
        <v>0</v>
      </c>
      <c r="CW197" s="39">
        <f>IF($CH197="Нет",0,IF(Исходн.данные.!AH197=0,0,IF(CK197=0,30/MIN(CI197:CJ197),IF(Исходн.данные.!$AG197=$BV$11,CT197,IF(OR(Исходн.данные.!$AH197=$BQ$7,Исходн.данные.!$AH197=$BQ$8),90/CK197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0,IF(Исходн.данные.!$AI197=$BU$11,"Нет",30/CK197)))))))</f>
        <v>0</v>
      </c>
      <c r="CX197" s="133">
        <f>IF(Исходн.данные.!$AG197=$BV$11,MAX(CU197:CW197),IF(OR(Исходн.данные.!$AH197=$BS$8,Исходн.данные.!$AH197=$BQ$9,Исходн.данные.!$AH197=$BQ$10,Исходн.данные.!$AH197=$BQ$11,Исходн.данные.!$AH197=$BQ$12,Исходн.данные.!$AH197=$BP$3,Исходн.данные.!$AH197=$BT$8,$FM197="Да"),CV197,MIN(CU197:CW197)))</f>
        <v>0</v>
      </c>
      <c r="CY197" s="133">
        <f>IF(Исходн.данные.!AH197=0,0,IF(CR197&gt;$CX197,$CX197,CR197))</f>
        <v>0</v>
      </c>
      <c r="CZ197" s="133">
        <f>IF(Исходн.данные.!AH197=0,0,IF(CS197&gt;$CX197,$CX197,CS197))</f>
        <v>0</v>
      </c>
      <c r="DA197" s="133">
        <f>IF(Исходн.данные.!AH197=0,0,IF(CT197&gt;$CX197,$CX197,CT197))</f>
        <v>0</v>
      </c>
      <c r="DB197" s="10">
        <f t="shared" si="242"/>
        <v>0</v>
      </c>
      <c r="DC197" s="39">
        <f>DB197*Исходн.данные.!AJ197/1000</f>
        <v>0</v>
      </c>
      <c r="DD197" s="71">
        <f t="shared" si="243"/>
        <v>0</v>
      </c>
      <c r="DE197" s="9">
        <f t="shared" si="244"/>
        <v>0</v>
      </c>
      <c r="DF197" s="9">
        <f t="shared" si="245"/>
        <v>0</v>
      </c>
      <c r="DG197" s="39">
        <f>IF(BL197&lt;0,0,IF($CH197="Нет",BL197,IF(OR(Исходн.данные.!$AH197=$BP$1,Исходн.данные.!$AH197=$BP$2),0,IF(Исходн.данные.!AI197=$BU$11,BL197,IF(BL197-DD197&lt;0,0,BL197-DD197)))))</f>
        <v>0</v>
      </c>
      <c r="DH197" s="39">
        <f>IF(BM197&lt;0,0,IF($CH197="Нет",BM197,IF(OR(Исходн.данные.!$AH197=$BP$1,Исходн.данные.!$AH197=$BP$2),0,IF(Исходн.данные.!AJ197=$BU$11,BM197,IF(BM197-DE197&lt;0,0,BM197-DE197)))))</f>
        <v>0</v>
      </c>
      <c r="DI197" s="39">
        <f>IF(BN197&lt;0,0,IF($CH197="Нет",BN197,IF(OR(Исходн.данные.!$AH197=$BP$1,Исходн.данные.!$AH197=$BP$2),0,IF(Исходн.данные.!AK197=$BU$11,BN197,IF(BN197-DF197&lt;0,0,BN197-DF197)))))</f>
        <v>0</v>
      </c>
      <c r="DJ197" s="12">
        <f t="shared" si="246"/>
        <v>0</v>
      </c>
      <c r="DK197" s="9">
        <f t="shared" si="247"/>
        <v>0</v>
      </c>
      <c r="DL197" s="39">
        <f>IF(Исходн.данные.!AM197&gt;0,Исходн.данные.!AM197,IF(EG197&gt;0,$BH$10,0))</f>
        <v>0</v>
      </c>
      <c r="DM197" s="186">
        <f>IF($DL197=0,0,IF(Исходн.данные.!AM197&gt;0,VLOOKUP($DL197,АшламаДВ_Irekle,2,FALSE),VLOOKUP($DL197,АшламаДВ_Gomumy,2,FALSE)))</f>
        <v>0</v>
      </c>
      <c r="DN197" s="10">
        <f t="shared" si="225"/>
        <v>0</v>
      </c>
      <c r="DO197" s="9" t="str">
        <f>IF(Исходн.данные.!AN197&gt;0,Исходн.данные.!AN197,Удобрения!$B$37 )</f>
        <v>Хлор.калий</v>
      </c>
      <c r="DP197" s="9">
        <f>IF(Исходн.данные.!AN197&gt;0,VLOOKUP(Исходн.данные.!AN197,АшламаДВ_Irekle,4,FALSE),VLOOKUP(DO197,АшламаДВ_Gomumy,4,FALSE))</f>
        <v>0.6</v>
      </c>
      <c r="DQ197" s="10">
        <f t="shared" si="226"/>
        <v>0</v>
      </c>
      <c r="DR197" s="132" t="str">
        <f>IF(Исходн.данные.!AO197&gt;0,Исходн.данные.!AO197,IF(DH197=0,BS$17,IF(AND($DK197=0,$DJ197&gt;0),EJ197,EN197)))</f>
        <v>Нет</v>
      </c>
      <c r="DS197" s="70" t="str">
        <f>IF($DR197="Нет","Нет",IF(Исходн.данные.!$AO197&gt;0,VLOOKUP($DR197,АшламаДВ_Irekle,2,FALSE),VLOOKUP($DR197,АшламаДВ_Gomumy,2,FALSE)))</f>
        <v>Нет</v>
      </c>
      <c r="DT197" s="70" t="str">
        <f>IF($DR197="Нет","Нет",IF(Исходн.данные.!$AO197&gt;0,VLOOKUP($DR197,АшламаДВ_Irekle,3,FALSE),VLOOKUP($DR197,АшламаДВ_Gomumy,3,FALSE)))</f>
        <v>Нет</v>
      </c>
      <c r="DU197" s="70" t="str">
        <f>IF($DR197="Нет","Нет",IF(Исходн.данные.!$AO197&gt;0,VLOOKUP($DR197,АшламаДВ_Irekle,4,FALSE),VLOOKUP($DR197,АшламаДВ_Gomumy,4,FALSE)))</f>
        <v>Нет</v>
      </c>
      <c r="DV197" s="70"/>
      <c r="DW197" s="70"/>
      <c r="DX197" s="70"/>
      <c r="DY197" s="10">
        <f t="shared" si="248"/>
        <v>0</v>
      </c>
      <c r="DZ197" s="10">
        <f t="shared" si="249"/>
        <v>0</v>
      </c>
      <c r="EA197" s="10">
        <f t="shared" si="250"/>
        <v>0</v>
      </c>
      <c r="EB197" s="10">
        <f t="shared" si="251"/>
        <v>0</v>
      </c>
      <c r="EC197" s="10">
        <f t="shared" si="252"/>
        <v>0</v>
      </c>
      <c r="ED197" s="10">
        <f t="shared" si="253"/>
        <v>0</v>
      </c>
      <c r="EE197" s="10">
        <f t="shared" si="254"/>
        <v>0</v>
      </c>
      <c r="EF197" s="39">
        <f>EB197*Исходн.данные.!AJ197/1000</f>
        <v>0</v>
      </c>
      <c r="EG197" s="9">
        <f t="shared" si="255"/>
        <v>0</v>
      </c>
      <c r="EH197" s="9">
        <f t="shared" si="256"/>
        <v>0</v>
      </c>
      <c r="EI197" s="39" t="e">
        <f t="shared" si="206"/>
        <v>#DIV/0!</v>
      </c>
      <c r="EJ197" s="9" t="str">
        <f t="shared" si="227"/>
        <v>Азопреципитат</v>
      </c>
      <c r="EK197" s="12">
        <f t="shared" si="207"/>
        <v>0.26</v>
      </c>
      <c r="EL197" s="12">
        <f t="shared" si="208"/>
        <v>0.13</v>
      </c>
      <c r="EM197" s="12">
        <f t="shared" si="209"/>
        <v>0</v>
      </c>
      <c r="EN197" s="12" t="str">
        <f t="shared" si="228"/>
        <v>Нет</v>
      </c>
      <c r="EO197" s="12">
        <f t="shared" si="210"/>
        <v>0</v>
      </c>
      <c r="EP197" s="12">
        <f t="shared" si="211"/>
        <v>0</v>
      </c>
      <c r="EQ197" s="12">
        <f t="shared" si="212"/>
        <v>0</v>
      </c>
      <c r="ER197" s="12" t="str">
        <f t="shared" si="257"/>
        <v>Диаммофоска</v>
      </c>
      <c r="ES197" s="12">
        <f t="shared" si="213"/>
        <v>0.1</v>
      </c>
      <c r="ET197" s="12">
        <f t="shared" si="214"/>
        <v>0.26</v>
      </c>
      <c r="EU197" s="12">
        <f t="shared" si="215"/>
        <v>0.26</v>
      </c>
      <c r="EV197" s="12" t="str">
        <f t="shared" si="258"/>
        <v>Аммофос 12:52:00</v>
      </c>
      <c r="EW197" s="12" t="str">
        <f t="shared" si="259"/>
        <v>Кемира Свекловичное-6</v>
      </c>
      <c r="EX197" s="12">
        <f t="shared" si="216"/>
        <v>0.16</v>
      </c>
      <c r="EY197" s="12">
        <f t="shared" si="217"/>
        <v>0.12</v>
      </c>
      <c r="EZ197" s="12">
        <f t="shared" si="218"/>
        <v>0.17</v>
      </c>
      <c r="FA197" s="38" t="e">
        <f>IF(AND(OR(FJ197=$FD$1,FM197=$FD$1,FO197=$FD$1,FQ197=$FD$1,FS197=$FD$1),FD197=$FD$1,Исходн.данные.!J197&lt;2,FU197=$FD$1),"Бор,Кобальт",IF(AND(FO197=$FD$1,FH197=$FD$1,Исходн.данные.!J197&lt;2,FU197=$FD$1),"Бор,Кобальт",IF(AND(OR(FJ197=$FD$1,FM197=$FD$1,FQ197=$FD$1),FE197=$FD$1,Исходн.данные.!J197&lt;2,FT197=$FD$1,FU197=$FD$1),"Бор,Медь,Цинк",IF(AND(OR(FJ197=$FD$1,FR197="Да"),FI197="Да",Исходн.данные.!J197&lt;2,FT197="Да",FU197="Да"),"Бор,Цинк,Медь",IF(AND(OR(FM197="Да",FQ197="Да"),FI197="Да",Исходн.данные.!J197&lt;2,FT197="Да",FU197="Да"),"Бор,Цинк",IF(AND(FN197="Да",OR(FD197="Да",FE197="Да")),"Бор",FB197))))))</f>
        <v>#N/A</v>
      </c>
      <c r="FB197" s="134" t="e">
        <f>IF(AND(OR(FD197="Да",FE197="Да",FF197="Да",FG197="Да",FH197="Да"),FO197="Да"),"Бор",IF(AND(FP197="Да",OR(FD197="Да",FE197="Да",FI197="Да")),"Бор",IF(AND(FS197="Да",FE197="Да"),"Бор,Медь",IF(AND(OR(FJ197="Да",FK197="Да",FL197="Да"),FE197="Да",Исходн.данные.!I197&lt;5,FT197="Да",FU197="Да"),"Молибден,Цинк",IF(AND(FM197="Да",OR(FE197="Да",FF197="Да",FG197="Да",FH197="Да",FI197="Да")),"Молибден,Цинк",IF(AND(OR(FJ197="Да",FK197="Да",FL197="Да",FM197="Да",FQ197="Да"),OR(FE197="Да",FF197="Да"),FT197="Да",FU197="Да",Исходн.данные.!I197&gt;5.5),"Медь,Цинк",FC197))))))</f>
        <v>#N/A</v>
      </c>
      <c r="FC197" s="23" t="e">
        <f t="shared" si="260"/>
        <v>#N/A</v>
      </c>
      <c r="FD197" s="38" t="str">
        <f>IF(OR(Исходн.данные.!F197=$CC$1,Исходн.данные.!F197=$CC$2,Исходн.данные.!F197=$CC$3,Исходн.данные.!F197=$CC$4),"Да","Нет")</f>
        <v>Нет</v>
      </c>
      <c r="FE197" s="38" t="str">
        <f>IF(Исходн.данные.!F197=$CC$5,"Да","Нет")</f>
        <v>Нет</v>
      </c>
      <c r="FF197" s="38" t="str">
        <f>IF(OR(Исходн.данные.!F197=$CC$6,Исходн.данные.!F197=$CC$7),"Да","Нет")</f>
        <v>Нет</v>
      </c>
      <c r="FG197" s="38" t="str">
        <f>IF(OR(Исходн.данные.!F197=$CC$8,Исходн.данные.!F197=$CC$9),"Да","Нет")</f>
        <v>Нет</v>
      </c>
      <c r="FH197" s="38" t="str">
        <f>IF(Исходн.данные.!F197=$CC$10,"Да","Нет")</f>
        <v>Нет</v>
      </c>
      <c r="FI197" s="38" t="str">
        <f>IF(OR(Исходн.данные.!F197=$CC$11,Исходн.данные.!F197=$CC$12),"Да","Нет")</f>
        <v>Нет</v>
      </c>
      <c r="FJ197" s="38" t="str">
        <f>IF(OR(Исходн.данные.!AH197=$BS$1,Исходн.данные.!AH197=$BQ$11,Исходн.данные.!AH197=$BQ$12),"Да","Нет")</f>
        <v>Нет</v>
      </c>
      <c r="FK197" s="38" t="str">
        <f>IF(OR(Исходн.данные.!AH197=$BS$2,Исходн.данные.!AH197=$BS$4),"Да","Нет")</f>
        <v>Нет</v>
      </c>
      <c r="FL197" s="38" t="str">
        <f>IF(OR(Исходн.данные.!AH197=$BS$3,Исходн.данные.!AH197=$BS$5),"Да","Нет")</f>
        <v>Нет</v>
      </c>
      <c r="FM197" s="38" t="str">
        <f>IF(OR(Исходн.данные.!AH197=$BS$9,Исходн.данные.!AH197=$BS$10,Исходн.данные.!AH197=$BS$11,Исходн.данные.!AH197=$BS$12),"Да","Нет")</f>
        <v>Нет</v>
      </c>
      <c r="FN197" s="38" t="str">
        <f>IF(OR(Исходн.данные.!AH197=$BS$6,Исходн.данные.!AH197=$BP$3),"Да","Нет")</f>
        <v>Нет</v>
      </c>
      <c r="FO197" s="38" t="str">
        <f>IF(Исходн.данные.!AH197=$BQ$9,"Да","Нет")</f>
        <v>Нет</v>
      </c>
      <c r="FP197" s="38" t="str">
        <f>IF(OR(Исходн.данные.!AH197=$BS$8,Исходн.данные.!AH197=$BT$8),"Да","Нет")</f>
        <v>Нет</v>
      </c>
      <c r="FQ197" s="38" t="str">
        <f>IF(OR(Исходн.данные.!AH197=$BQ$7,Исходн.данные.!AH197=$BQ$8),"Да","Нет")</f>
        <v>Нет</v>
      </c>
      <c r="FR197" s="38" t="str">
        <f>IF(Исходн.данные.!AI197=$BU$9,"Да","Нет")</f>
        <v>Нет</v>
      </c>
      <c r="FS197" s="38" t="str">
        <f>IF(OR(Исходн.данные.!AH197=$BP$1,Исходн.данные.!AH197=$BP$2),"Да","Нет")</f>
        <v>Нет</v>
      </c>
      <c r="FT197" s="38" t="e">
        <f>IF((Исходн.данные.!K197*GO197*GS197*GW197+BL197*0.6+Исходн.данные.!Q197*4.5*0.275)&gt;90,"Да","Нет")</f>
        <v>#N/A</v>
      </c>
      <c r="FU197" s="38" t="e">
        <f>IF((Исходн.данные.!M197*GS197*GZ197+BM197*0.225)&gt;35,"Да","Нет")</f>
        <v>#N/A</v>
      </c>
      <c r="FV197" s="38" t="str">
        <f>IF(Исходн.данные.!O197&gt;175,"Да","Нет")</f>
        <v>Нет</v>
      </c>
      <c r="FW197" s="39" t="str">
        <f>IF(Исходн.данные.!I197&gt;5.5,"Да","Нет")</f>
        <v>Нет</v>
      </c>
      <c r="FX197" s="39" t="str">
        <f>IF(Исходн.данные.!J197&lt;2,"Да","Нет")</f>
        <v>Да</v>
      </c>
      <c r="FY197" s="39" t="e">
        <f>IF(HF197=$FY$16,0,Исходн.данные.!K197*GO197*GS197*GW197/HF197)</f>
        <v>#N/A</v>
      </c>
      <c r="FZ197" s="39" t="e">
        <f>Исходн.данные.!M197*GS197*GZ197/HG197</f>
        <v>#N/A</v>
      </c>
      <c r="GA197" s="39" t="e">
        <f>IF(K_Wyn=$FY$16,0,IF(Исходн.данные.!N197=Исходн.данные.!$L$10,Исходн.данные.!O197/1.1*GS197*HC197/HH197,IF(Исходн.данные.!N197=Исходн.данные.!$L$12,Исходн.данные.!O197/1.5*GS197*HC197/HH197,Исходн.данные.!O197*GS197*HC197/HH197)))</f>
        <v>#N/A</v>
      </c>
      <c r="GB197" s="39" t="e">
        <f>IF(HF197=$FY$16,0,((Исходн.данные.!Q197*N_Org+Исходн.данные.!R197*N_Sider+Исходн.данные.!S197*N_Soloma)*AO197+Расчет!BC197*VLOOKUP(Исходн.данные.!T197,Справ!$A$3:$O$57,15)*AO197+BB197*VLOOKUP(Исходн.данные.!T197,Справ!$A$3:$O$57,15)*AL197+(Исходн.данные.!V197*N_Rizotorf+Исходн.данные.!W197*N_Rizoagr))/HF197)</f>
        <v>#N/A</v>
      </c>
      <c r="GC197" s="39" t="e">
        <f>IF(HG197=$FY$16,0,((Исходн.данные.!Q197*Р_Org+Исходн.данные.!R197*P_Sider+Исходн.данные.!S197*P_Soloma)*AP197+Расчет!BC197*VLOOKUP(Исходн.данные.!T197,Справ!$A$3:$P$57,16)*AP197+BB197*VLOOKUP(Исходн.данные.!T197,Справ!$A$3:$P$57,16)*AM197)/HG197)</f>
        <v>#N/A</v>
      </c>
      <c r="GD197" s="39" t="e">
        <f>IF(HH197=$FY$16,0,((Исходн.данные.!Q197*К_Org+Исходн.данные.!R197*K_Sider+Исходн.данные.!S197*K_Soloma)*AQ197+Расчет!BC197*VLOOKUP(Исходн.данные.!T197,Справ!$A$3:$Q$57,17)*AQ197+BB197*VLOOKUP(Исходн.данные.!T197,Справ!$A$3:$Q$57,17)*AN197)/HH197)</f>
        <v>#N/A</v>
      </c>
      <c r="GE197" s="39" t="e">
        <f>IF(HF197=$FY$16,0,(Исходн.данные.!X197*AR197+Исходн.данные.!AA197*N_Org*AL197+Исходн.данные.!AB197*N_Sider*AL197+Исходн.данные.!AC197*N_Soloma*AL197)/HF197)</f>
        <v>#N/A</v>
      </c>
      <c r="GF197" s="39" t="e">
        <f>IF(HG197=$FY$16,0,(Исходн.данные.!Y197*AS197+Исходн.данные.!AA197*Р_Org*AM197+Исходн.данные.!AB197*P_Sider*AM197+Исходн.данные.!AC197*P_Soloma*AM197)/HG197)</f>
        <v>#N/A</v>
      </c>
      <c r="GG197" s="39" t="e">
        <f>IF(HH197=$FY$16,0,(Исходн.данные.!Z197*AT197+Исходн.данные.!AA197*К_Org*AN197+Исходн.данные.!AB197*K_Sider*AN197+Исходн.данные.!AC197*K_Soloma*AN197)/HH197)</f>
        <v>#N/A</v>
      </c>
      <c r="GH197" s="39" t="e">
        <f>Исходн.данные.!AD197*AU197/HF197</f>
        <v>#N/A</v>
      </c>
      <c r="GI197" s="39" t="e">
        <f>Исходн.данные.!AE197*AV197/HG197</f>
        <v>#N/A</v>
      </c>
      <c r="GJ197" s="39" t="e">
        <f>Исходн.данные.!AF197*AW197/HH197</f>
        <v>#N/A</v>
      </c>
      <c r="GK197" s="55">
        <f>Исходн.данные.!AK197</f>
        <v>0</v>
      </c>
      <c r="GL197" s="11" t="e">
        <f t="shared" si="261"/>
        <v>#N/A</v>
      </c>
      <c r="GM197" s="11" t="e">
        <f t="shared" si="262"/>
        <v>#N/A</v>
      </c>
      <c r="GN197" s="11" t="e">
        <f t="shared" si="263"/>
        <v>#N/A</v>
      </c>
      <c r="GO197" s="57">
        <f t="shared" si="264"/>
        <v>19</v>
      </c>
      <c r="GP197" s="55">
        <f>IF(OR(Исходн.данные.!F197=$CE$1,Исходн.данные.!F197=$CE$2,Исходн.данные.!F197=$CE$3,Исходн.данные.!F197=$CE$4,Исходн.данные.!F197=$CE$5),GQ197,GR197)</f>
        <v>19</v>
      </c>
      <c r="GQ197" s="55">
        <f>IF(Исходн.данные.!F197=$CE$1,28,IF(Исходн.данные.!F197=$CE$2,26,IF(Исходн.данные.!F197=$CE$3,24,IF(Исходн.данные.!F197=$CE$4,22,IF(Исходн.данные.!F197=$CE$5,20,GR197)))))</f>
        <v>19</v>
      </c>
      <c r="GR197" s="55">
        <f>IF(Исходн.данные.!F197=$CE$6,18,IF(Исходн.данные.!F197=$CE$7,16,IF(Исходн.данные.!F197=$CE$8,14,IF(Исходн.данные.!F197=$CE$9,13,IF(Исходн.данные.!F197=$CE$10,12,19)))))</f>
        <v>19</v>
      </c>
      <c r="GS197" s="55">
        <f>IF(Исходн.данные.!G197="Пес",0.035*(40+2*Исходн.данные.!H197),IF(Исходн.данные.!G197="Суп",0.0325*(40+2*Исходн.данные.!H197),0.03*(40+2*Исходн.данные.!H197)))</f>
        <v>1.2</v>
      </c>
      <c r="GT197" s="55">
        <f>IF(Исходн.данные.!H197&lt;23,2.6,IF(AND(Исходн.данные.!H197&gt;22,Исходн.данные.!H197&lt;26),3,IF(AND(Исходн.данные.!H197&gt;25,Исходн.данные.!H197&lt;29),3.4,3.6)))</f>
        <v>2.6</v>
      </c>
      <c r="GU197" s="55">
        <f>IF(Исходн.данные.!H197&lt;23,2.8,IF(AND(Исходн.данные.!H197&gt;22,Исходн.данные.!H197&lt;26),3.2,IF(AND(Исходн.данные.!H197&gt;25,Исходн.данные.!H197&lt;29),3.6,3.9)))</f>
        <v>2.8</v>
      </c>
      <c r="GV197" s="55">
        <f>IF(Исходн.данные.!H197&lt;23,3,IF(AND(Исходн.данные.!H197&gt;22,Исходн.данные.!H197&lt;26),3.5,IF(AND(Исходн.данные.!H197&gt;25,Исходн.данные.!H197&lt;29),3.9,4.2)))</f>
        <v>3</v>
      </c>
      <c r="GW197" s="55" t="e">
        <f>IF(Исходн.данные.!P197="Ум",GX197,GY197)</f>
        <v>#N/A</v>
      </c>
      <c r="GX197" s="55" t="e">
        <f>VLOOKUP(Исходн.данные.!AI197,Коэффициенты!$J$7:$L$13,2,FALSE)</f>
        <v>#N/A</v>
      </c>
      <c r="GY197" s="55" t="e">
        <f>VLOOKUP(Исходн.данные.!AI197,Коэффициенты!$J$7:$L$13,3,FALSE)</f>
        <v>#N/A</v>
      </c>
      <c r="GZ197" s="55" t="e">
        <f>(IF(Исходн.данные.!M197&lt;50,0.11*VLOOKUP(Исходн.данные.!AH197,Культуры.Информация,7,FALSE),IF(Исходн.данные.!M197&gt;250,0.05*VLOOKUP(Исходн.данные.!AH197,Культуры.Информация,7,FALSE),VLOOKUP(Исходн.данные.!AH197,Культуры.Информация,5,FALSE)/100*($GX$6+$GY$6*Исходн.данные.!M197))))*Расчет2!AI197</f>
        <v>#N/A</v>
      </c>
      <c r="HA197" s="211"/>
      <c r="HB197" s="211"/>
      <c r="HC197" s="55" t="e">
        <f>(IF(Исходн.данные.!O197&lt;80,0.2*VLOOKUP(Исходн.данные.!AH197,Культуры.Информация,8,FALSE),IF(Исходн.данные.!O197&gt;240,0.09*VLOOKUP(Исходн.данные.!AH197,Культуры.Информация,8,FALSE),VLOOKUP(Исходн.данные.!AH197,Культуры.Информация,6,FALSE)/100*($HB$6+$HC$6*Исходн.данные.!O197))))*Расчет2!AJ197</f>
        <v>#N/A</v>
      </c>
      <c r="HD197" s="55">
        <f>IF(Исходн.данные.!O197&gt;240,0.09,IF(Исходн.данные.!O197&lt;30,0.3,$HE$10+$HD$10*Исходн.данные.!O197))</f>
        <v>0.3</v>
      </c>
      <c r="HE197" s="55">
        <f>IF(Исходн.данные.!O197&gt;240,0.17,IF(Исходн.данные.!O197&lt;30,0.5,$HF$12+$HE$12*Исходн.данные.!O197))</f>
        <v>0.5</v>
      </c>
      <c r="HF197" s="55" t="e">
        <f>VLOOKUP(Исходн.данные.!AH197,Справ!$A$3:$D$58,2,FALSE)</f>
        <v>#N/A</v>
      </c>
      <c r="HG197" s="55" t="e">
        <f>VLOOKUP(Исходн.данные.!AH197,Справ!$A$3:$D$58,3,FALSE)</f>
        <v>#N/A</v>
      </c>
      <c r="HH197" s="55" t="e">
        <f>VLOOKUP(Исходн.данные.!AH197,Справ!$A$3:$D$58,4,FALSE)</f>
        <v>#N/A</v>
      </c>
      <c r="HI197" s="11" t="e">
        <f t="shared" si="265"/>
        <v>#N/A</v>
      </c>
      <c r="HJ197" s="11" t="e">
        <f t="shared" si="266"/>
        <v>#N/A</v>
      </c>
      <c r="HK197" s="11" t="e">
        <f t="shared" si="267"/>
        <v>#N/A</v>
      </c>
      <c r="HL197" s="55">
        <f>IF(OR(Исходн.данные.!G197="Глин",Исходн.данные.!G197="Т_суг"),1.1,IF(Исходн.данные.!G197="Ср_суг",1,1))</f>
        <v>1</v>
      </c>
      <c r="HM197" s="55">
        <f>IF(OR(Исходн.данные.!G197="Глин",Исходн.данные.!G197="Т_суг"),0.9,IF(Исходн.данные.!G197="Ср_суг",1,1.2))</f>
        <v>1.2</v>
      </c>
      <c r="HN197" s="11" t="e">
        <f t="shared" si="268"/>
        <v>#N/A</v>
      </c>
      <c r="HO197" s="11" t="e">
        <f t="shared" si="269"/>
        <v>#N/A</v>
      </c>
      <c r="HP197" s="11" t="e">
        <f t="shared" si="270"/>
        <v>#N/A</v>
      </c>
      <c r="HQ197" t="e">
        <f t="shared" si="271"/>
        <v>#N/A</v>
      </c>
      <c r="HR197" t="e">
        <f t="shared" si="272"/>
        <v>#N/A</v>
      </c>
      <c r="HS197" t="e">
        <f t="shared" si="273"/>
        <v>#N/A</v>
      </c>
      <c r="HT197" t="e">
        <f t="shared" si="219"/>
        <v>#N/A</v>
      </c>
      <c r="HU197" t="e">
        <f t="shared" si="220"/>
        <v>#N/A</v>
      </c>
      <c r="HV197" t="e">
        <f t="shared" si="221"/>
        <v>#N/A</v>
      </c>
      <c r="HW197" t="e">
        <f t="shared" si="222"/>
        <v>#N/A</v>
      </c>
      <c r="HX197" t="e">
        <f t="shared" si="223"/>
        <v>#N/A</v>
      </c>
      <c r="HY197" t="e">
        <f t="shared" si="224"/>
        <v>#N/A</v>
      </c>
      <c r="HZ197" s="55">
        <f>IF(OR(Исходн.данные.!AI197="Оз_Ч_П",Исходн.данные.!AI197="Оз_З_П",Исходн.данные.!AI197="Яр_зер"),12,30)</f>
        <v>30</v>
      </c>
      <c r="IA197" t="e">
        <f t="shared" si="274"/>
        <v>#N/A</v>
      </c>
      <c r="IB197" t="e">
        <f t="shared" si="275"/>
        <v>#N/A</v>
      </c>
      <c r="IC197" t="e">
        <f t="shared" si="276"/>
        <v>#N/A</v>
      </c>
      <c r="ID197" s="11" t="e">
        <f t="shared" si="277"/>
        <v>#N/A</v>
      </c>
      <c r="IE197" s="11" t="e">
        <f t="shared" si="278"/>
        <v>#N/A</v>
      </c>
      <c r="IF197" s="11" t="e">
        <f t="shared" si="279"/>
        <v>#N/A</v>
      </c>
    </row>
    <row r="198" spans="35:240" x14ac:dyDescent="0.2">
      <c r="AI198">
        <f>IF(Исходн.данные.!I198&gt;6,1,1.85-(0.148*Исходн.данные.!I198))</f>
        <v>1.85</v>
      </c>
      <c r="AJ198">
        <f>IF(Исходн.данные.!I198&gt;6,1,2.434-(0.246*Исходн.данные.!I198))</f>
        <v>2.4340000000000002</v>
      </c>
      <c r="AL198" s="148" t="b">
        <f>IF(Исходн.данные.!$P198="Ум",N_OrgUd_2g_um,IF(Исходн.данные.!$P198="Об",N_OrgUd_2g_ob))</f>
        <v>0</v>
      </c>
      <c r="AM198" s="148" t="b">
        <f>IF(Исходн.данные.!$P198="Ум",P_OrgUd_2g_um,IF(Исходн.данные.!$P198="Об",P_OrgUd_2g_ob))</f>
        <v>0</v>
      </c>
      <c r="AN198" s="148" t="b">
        <f>IF(Исходн.данные.!$P198="Ум",K_OrgUd_2g_um,IF(Исходн.данные.!$P198="Об",K_OrgUd_2g_ob))</f>
        <v>0</v>
      </c>
      <c r="AO198" s="148" t="b">
        <f>IF(Исходн.данные.!$P198="Ум",N_OrgUd_1g_um,IF(Исходн.данные.!$P198="Об",N_OrgUd_1g_ob))</f>
        <v>0</v>
      </c>
      <c r="AP198" s="148" t="b">
        <f>IF(Исходн.данные.!$P198="Ум",P_OrgUd_1g_um,IF(Исходн.данные.!$P198="Об",P_OrgUd_1g_ob))</f>
        <v>0</v>
      </c>
      <c r="AQ198" s="148" t="b">
        <f>IF(Исходн.данные.!$P198="Ум",K_OrgUd_1g_um,IF(Исходн.данные.!$P198="Об",K_OrgUd_1g_ob))</f>
        <v>0</v>
      </c>
      <c r="AR198" t="b">
        <f>IF(Исходн.данные.!$P198="Ум",N_MinUd_2g_um,IF(Исходн.данные.!$P198="Об",N_MinUd_2g_ob))</f>
        <v>0</v>
      </c>
      <c r="AS198" t="b">
        <f>IF(Исходн.данные.!$P198="Ум",P_MinUd_2g_um,IF(Исходн.данные.!$P198="Об",P_MinUd_2g_ob))</f>
        <v>0</v>
      </c>
      <c r="AT198" t="b">
        <f>IF(Исходн.данные.!$P198="Ум",K_MinUd_2g_um,IF(Исходн.данные.!$P198="Об",K_MinUd_2g_ob))</f>
        <v>0</v>
      </c>
      <c r="AU198" t="b">
        <f>IF(Исходн.данные.!$P198="Ум",N_MinUd_1g_um,IF(Исходн.данные.!$P198="Об",N_MinUd_1g_ob))</f>
        <v>0</v>
      </c>
      <c r="AV198" t="b">
        <f>IF(Исходн.данные.!P198="Ум",P_MinUd_1g_um,IF(Исходн.данные.!P198="Об",P_MinUd_1g_ob))</f>
        <v>0</v>
      </c>
      <c r="AW198" t="b">
        <f>IF(Исходн.данные.!P198="Ум",K_MinUd_1g_um,IF(Исходн.данные.!P198="Об",K_MinUd_1g_ob))</f>
        <v>0</v>
      </c>
      <c r="AY198" t="e">
        <f>VLOOKUP(Исходн.данные.!T198,Справ!$A$3:$N$57,12)</f>
        <v>#N/A</v>
      </c>
      <c r="AZ198" t="e">
        <f>VLOOKUP(Исходн.данные.!T198,Справ!$A$3:$N$57,13)</f>
        <v>#N/A</v>
      </c>
      <c r="BA198" t="e">
        <f>VLOOKUP(Исходн.данные.!T198,Справ!$A$3:$N$57,14)</f>
        <v>#N/A</v>
      </c>
      <c r="BB198">
        <f>IF(Исходн.данные.!AH198=0,0,25)</f>
        <v>0</v>
      </c>
      <c r="BC198" s="141">
        <f>IF(Исходн.данные.!AH198=0,0,IF(Исходн.данные.!T198=0,25,BD198))</f>
        <v>0</v>
      </c>
      <c r="BD198" s="168" t="e">
        <f>AY198+AZ198*Исходн.данные.!U198-POWER(BA198,2)*Исходн.данные.!U198</f>
        <v>#N/A</v>
      </c>
      <c r="BE19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8" s="25">
        <f>IF(Исходн.данные.!AH198=0,0,MIN(HN198:HP198))</f>
        <v>0</v>
      </c>
      <c r="BG198" s="9">
        <f>IF(Исходн.данные.!AH198=0,0,IF((HO198+10*0.25/HG198/HL198)&lt;17,17,HO198+10*0.25/HG198/HL198))</f>
        <v>0</v>
      </c>
      <c r="BH198" s="181">
        <f>IF(Исходн.данные.!AH198=0,0,HW198*HF198*HL198/AU198*AI198+Исходн.данные.!S198*10)</f>
        <v>0</v>
      </c>
      <c r="BI198" s="10"/>
      <c r="BJ198" s="182">
        <f>IF(Исходн.данные.!AH198=0,0,IF(HX198*HG198*HL198/AV198&lt;0,0,HX198*HG198*HL198/AV198*AJ198))</f>
        <v>0</v>
      </c>
      <c r="BK198" s="182">
        <f>IF(Исходн.данные.!AH198=0,0,HY198*HH198*HM198/AW198)</f>
        <v>0</v>
      </c>
      <c r="BL198" s="10">
        <f>IF(OR(Исходн.данные.!$AH198=$BP$1,Исходн.данные.!$AH198=$BP$2),0,IF(BH198&lt;0,0,IF(OR(Исходн.данные.!T198=Расчет!$BP$1,Исходн.данные.!T198=Расчет!$BP$2,Исходн.данные.!T198=Расчет!$BT$5,Исходн.данные.!T198=Расчет!$BT$6),BH198*0.5,IF(OR(Исходн.данные.!T198=Расчет!$BS$9,Исходн.данные.!T198=Расчет!$BS$10,Исходн.данные.!T198=Расчет!$BS$11,Исходн.данные.!T198=Расчет!$BS$12,Исходн.данные.!T198=Расчет!$BP$5),BH198*0.8,BH198))))</f>
        <v>0</v>
      </c>
      <c r="BM198" s="10">
        <f>IF(OR(Исходн.данные.!$AH198=$BP$1,Исходн.данные.!$AH198=$BP$2),0,IF(BJ198&lt;0,0,IF(Исходн.данные.!I198&lt;4.5,BJ198*1.2,IF(Исходн.данные.!I198&gt;5.1,BJ198,BJ198*((5.1-Исходн.данные.!I198)*0.333+1)))))</f>
        <v>0</v>
      </c>
      <c r="BN198" s="10">
        <f>IF(OR(Исходн.данные.!$AH198=$BP$1,Исходн.данные.!$AH198=$BP$2),60-Исходн.данные.!AF198,IF(BK198&lt;0,0,IF(Исходн.данные.!I198&lt;4.5,BK198*1.2,IF(Исходн.данные.!I198&gt;5.1,BK198,BK198*((5.1-Исходн.данные.!I198)*0.333+1)))))</f>
        <v>0</v>
      </c>
      <c r="BO198" s="9">
        <f>IF(BL198&lt;0,0,BL198*Исходн.данные.!$AJ198/1000)</f>
        <v>0</v>
      </c>
      <c r="BP198" s="9">
        <f>IF(BM198&lt;0,0,BM198*Исходн.данные.!$AJ198/1000)</f>
        <v>0</v>
      </c>
      <c r="BQ198" s="9">
        <f>IF(BN198&lt;0,0,BN198*Исходн.данные.!$AJ198/1000)</f>
        <v>0</v>
      </c>
      <c r="BR198" s="9">
        <f t="shared" si="229"/>
        <v>0</v>
      </c>
      <c r="BS198" s="10" t="str">
        <f t="shared" si="230"/>
        <v>Аммофос 12:52:00</v>
      </c>
      <c r="BT198" s="10" t="str">
        <f t="shared" si="231"/>
        <v>Аммофос 12:52:00</v>
      </c>
      <c r="BU198" s="10" t="str">
        <f t="shared" si="232"/>
        <v>Диаммофоска</v>
      </c>
      <c r="BV198" s="10">
        <f t="shared" si="233"/>
        <v>0</v>
      </c>
      <c r="BW198" s="10"/>
      <c r="BX198" s="10"/>
      <c r="BY198" s="9">
        <f>IF(BL198&lt;0,0,IF(OR(Исходн.данные.!AI198=Расчет!$BU$6,Исходн.данные.!AI198=Расчет!$BU$7),Расчет!BV198,IF(Исходн.данные.!$AG198=$BV$11,BL198,IF(OR(Исходн.данные.!$AH198=$BQ$7,Исходн.данные.!$AH198=$BQ$8),CB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0,IF(Исходн.данные.!$AI198=$BU$11,"Нет",IF(BL198&gt;30,30,BL198)))))))</f>
        <v>0</v>
      </c>
      <c r="BZ198" s="9">
        <f>IF(AND(Исходн.данные.!$AG198=$BV$11,BM198&lt;10),10,IF(Исходн.данные.!$AG198=$BV$11,BM198,IF(OR(Исходн.данные.!$AH198=$BQ$7,Исходн.данные.!$AH198=$BQ$8),CC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10,IF(Исходн.данные.!$AI198=$BU$11,"Нет",IF(BM198&gt;60,60,IF(BM198&lt;10,10,BM198)))))))</f>
        <v>10</v>
      </c>
      <c r="CA198" s="39">
        <f>IF(BN198&lt;0,0,IF(Исходн.данные.!$AG198=$BV$11,BN198,IF(OR(Исходн.данные.!$AH198=$BQ$7,Исходн.данные.!$AH198=$BQ$8),CD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0,IF(Исходн.данные.!$AI198=$BU$11,"Нет",IF(BN198&gt;30,30,BN198))))))</f>
        <v>0</v>
      </c>
      <c r="CB198" s="9">
        <f t="shared" si="234"/>
        <v>0</v>
      </c>
      <c r="CC198" s="9">
        <f t="shared" si="235"/>
        <v>0</v>
      </c>
      <c r="CD198" s="9">
        <f t="shared" si="236"/>
        <v>0</v>
      </c>
      <c r="CE198" s="12">
        <f t="shared" si="237"/>
        <v>10</v>
      </c>
      <c r="CF198" s="9">
        <f t="shared" si="238"/>
        <v>0</v>
      </c>
      <c r="CG198" s="9" t="s">
        <v>231</v>
      </c>
      <c r="CH198" s="132" t="str">
        <f>IF(Исходн.данные.!AP198=Расчет!$CI$16,"Нет",IF(Исходн.данные.!AL198&gt;0,Исходн.данные.!AL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BH$4,IF(OR(Исходн.данные.!AI198=Исходн.данные.!$AI$6,Исходн.данные.!AI198=Исходн.данные.!$AI$7),Расчет!BS198,IF(AND($CF198=0,$CE198&gt;0),EV198,ER198)))))</f>
        <v>Аммофос 12:52:00</v>
      </c>
      <c r="CI198" s="274">
        <f>IF(Расчет!$CH198="Нет","Нет",IF(Исходн.данные.!$AL198&gt;0,VLOOKUP(Расчет!$CH198,АшламаДВ_Irekle,2,FALSE),VLOOKUP(Расчет!$CH198,АшламаДВ_Gomumy,2,FALSE)))</f>
        <v>0.12</v>
      </c>
      <c r="CJ198" s="274">
        <f>IF(Расчет!$CH198="Нет","Нет",IF(Исходн.данные.!$AL198&gt;0,VLOOKUP(Расчет!$CH198,АшламаДВ_Irekle,3,FALSE),VLOOKUP(Расчет!$CH198,АшламаДВ_Gomumy,3,FALSE)))</f>
        <v>0.52</v>
      </c>
      <c r="CK198" s="274">
        <f>IF(Расчет!$CH198="Нет","Нет",IF(Исходн.данные.!$AL198&gt;0,VLOOKUP(Расчет!$CH198,АшламаДВ_Irekle,4,FALSE),VLOOKUP(Расчет!$CH198,АшламаДВ_Gomumy,4,FALSE)))</f>
        <v>0</v>
      </c>
      <c r="CL198" s="70"/>
      <c r="CM198" s="70"/>
      <c r="CN198" s="70"/>
      <c r="CO198" s="70"/>
      <c r="CP198" s="70"/>
      <c r="CQ198" s="70"/>
      <c r="CR198" s="10">
        <f t="shared" si="239"/>
        <v>0</v>
      </c>
      <c r="CS198" s="10">
        <f t="shared" si="240"/>
        <v>19.23076923076923</v>
      </c>
      <c r="CT198" s="10">
        <f t="shared" si="241"/>
        <v>0</v>
      </c>
      <c r="CU198" s="39">
        <f>IF($CH198="Нет",0,IF(CI198=0,30/MIN(CJ198:CK198),IF(Исходн.данные.!$AG198=$BV$11,CR198,IF(OR(Исходн.данные.!$AH198=$BQ$7,Исходн.данные.!$AH198=$BQ$8),90/CI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0,IF(Исходн.данные.!$AI198=$BU$11,"Нет",30/CI198))))))</f>
        <v>250</v>
      </c>
      <c r="CV198" s="39">
        <f>IF($CH198="Нет",0,IF(Исходн.данные.!AH198=0,0,IF(CJ198=0,60/MIN(CI198,CK198),IF(Исходн.данные.!$AG198=$BV$11,CS198,IF(OR(Исходн.данные.!$AH198=$BQ$7,Исходн.данные.!$AH198=$BQ$8),90/CJ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10/CJ198,IF(Исходн.данные.!$AI198=$BU$11,"Нет",60/CJ198)))))))</f>
        <v>0</v>
      </c>
      <c r="CW198" s="39">
        <f>IF($CH198="Нет",0,IF(Исходн.данные.!AH198=0,0,IF(CK198=0,30/MIN(CI198:CJ198),IF(Исходн.данные.!$AG198=$BV$11,CT198,IF(OR(Исходн.данные.!$AH198=$BQ$7,Исходн.данные.!$AH198=$BQ$8),90/CK198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0,IF(Исходн.данные.!$AI198=$BU$11,"Нет",30/CK198)))))))</f>
        <v>0</v>
      </c>
      <c r="CX198" s="133">
        <f>IF(Исходн.данные.!$AG198=$BV$11,MAX(CU198:CW198),IF(OR(Исходн.данные.!$AH198=$BS$8,Исходн.данные.!$AH198=$BQ$9,Исходн.данные.!$AH198=$BQ$10,Исходн.данные.!$AH198=$BQ$11,Исходн.данные.!$AH198=$BQ$12,Исходн.данные.!$AH198=$BP$3,Исходн.данные.!$AH198=$BT$8,$FM198="Да"),CV198,MIN(CU198:CW198)))</f>
        <v>0</v>
      </c>
      <c r="CY198" s="133">
        <f>IF(Исходн.данные.!AH198=0,0,IF(CR198&gt;$CX198,$CX198,CR198))</f>
        <v>0</v>
      </c>
      <c r="CZ198" s="133">
        <f>IF(Исходн.данные.!AH198=0,0,IF(CS198&gt;$CX198,$CX198,CS198))</f>
        <v>0</v>
      </c>
      <c r="DA198" s="133">
        <f>IF(Исходн.данные.!AH198=0,0,IF(CT198&gt;$CX198,$CX198,CT198))</f>
        <v>0</v>
      </c>
      <c r="DB198" s="10">
        <f t="shared" si="242"/>
        <v>0</v>
      </c>
      <c r="DC198" s="39">
        <f>DB198*Исходн.данные.!AJ198/1000</f>
        <v>0</v>
      </c>
      <c r="DD198" s="71">
        <f t="shared" si="243"/>
        <v>0</v>
      </c>
      <c r="DE198" s="9">
        <f t="shared" si="244"/>
        <v>0</v>
      </c>
      <c r="DF198" s="9">
        <f t="shared" si="245"/>
        <v>0</v>
      </c>
      <c r="DG198" s="39">
        <f>IF(BL198&lt;0,0,IF($CH198="Нет",BL198,IF(OR(Исходн.данные.!$AH198=$BP$1,Исходн.данные.!$AH198=$BP$2),0,IF(Исходн.данные.!AI198=$BU$11,BL198,IF(BL198-DD198&lt;0,0,BL198-DD198)))))</f>
        <v>0</v>
      </c>
      <c r="DH198" s="39">
        <f>IF(BM198&lt;0,0,IF($CH198="Нет",BM198,IF(OR(Исходн.данные.!$AH198=$BP$1,Исходн.данные.!$AH198=$BP$2),0,IF(Исходн.данные.!AJ198=$BU$11,BM198,IF(BM198-DE198&lt;0,0,BM198-DE198)))))</f>
        <v>0</v>
      </c>
      <c r="DI198" s="39">
        <f>IF(BN198&lt;0,0,IF($CH198="Нет",BN198,IF(OR(Исходн.данные.!$AH198=$BP$1,Исходн.данные.!$AH198=$BP$2),0,IF(Исходн.данные.!AK198=$BU$11,BN198,IF(BN198-DF198&lt;0,0,BN198-DF198)))))</f>
        <v>0</v>
      </c>
      <c r="DJ198" s="12">
        <f t="shared" si="246"/>
        <v>0</v>
      </c>
      <c r="DK198" s="9">
        <f t="shared" si="247"/>
        <v>0</v>
      </c>
      <c r="DL198" s="39">
        <f>IF(Исходн.данные.!AM198&gt;0,Исходн.данные.!AM198,IF(EG198&gt;0,$BH$10,0))</f>
        <v>0</v>
      </c>
      <c r="DM198" s="186">
        <f>IF($DL198=0,0,IF(Исходн.данные.!AM198&gt;0,VLOOKUP($DL198,АшламаДВ_Irekle,2,FALSE),VLOOKUP($DL198,АшламаДВ_Gomumy,2,FALSE)))</f>
        <v>0</v>
      </c>
      <c r="DN198" s="10">
        <f t="shared" si="225"/>
        <v>0</v>
      </c>
      <c r="DO198" s="9" t="str">
        <f>IF(Исходн.данные.!AN198&gt;0,Исходн.данные.!AN198,Удобрения!$B$37 )</f>
        <v>Хлор.калий</v>
      </c>
      <c r="DP198" s="9">
        <f>IF(Исходн.данные.!AN198&gt;0,VLOOKUP(Исходн.данные.!AN198,АшламаДВ_Irekle,4,FALSE),VLOOKUP(DO198,АшламаДВ_Gomumy,4,FALSE))</f>
        <v>0.6</v>
      </c>
      <c r="DQ198" s="10">
        <f t="shared" si="226"/>
        <v>0</v>
      </c>
      <c r="DR198" s="132" t="str">
        <f>IF(Исходн.данные.!AO198&gt;0,Исходн.данные.!AO198,IF(DH198=0,BS$17,IF(AND($DK198=0,$DJ198&gt;0),EJ198,EN198)))</f>
        <v>Нет</v>
      </c>
      <c r="DS198" s="70" t="str">
        <f>IF($DR198="Нет","Нет",IF(Исходн.данные.!$AO198&gt;0,VLOOKUP($DR198,АшламаДВ_Irekle,2,FALSE),VLOOKUP($DR198,АшламаДВ_Gomumy,2,FALSE)))</f>
        <v>Нет</v>
      </c>
      <c r="DT198" s="70" t="str">
        <f>IF($DR198="Нет","Нет",IF(Исходн.данные.!$AO198&gt;0,VLOOKUP($DR198,АшламаДВ_Irekle,3,FALSE),VLOOKUP($DR198,АшламаДВ_Gomumy,3,FALSE)))</f>
        <v>Нет</v>
      </c>
      <c r="DU198" s="70" t="str">
        <f>IF($DR198="Нет","Нет",IF(Исходн.данные.!$AO198&gt;0,VLOOKUP($DR198,АшламаДВ_Irekle,4,FALSE),VLOOKUP($DR198,АшламаДВ_Gomumy,4,FALSE)))</f>
        <v>Нет</v>
      </c>
      <c r="DV198" s="70"/>
      <c r="DW198" s="70"/>
      <c r="DX198" s="70"/>
      <c r="DY198" s="10">
        <f t="shared" si="248"/>
        <v>0</v>
      </c>
      <c r="DZ198" s="10">
        <f t="shared" si="249"/>
        <v>0</v>
      </c>
      <c r="EA198" s="10">
        <f t="shared" si="250"/>
        <v>0</v>
      </c>
      <c r="EB198" s="10">
        <f t="shared" si="251"/>
        <v>0</v>
      </c>
      <c r="EC198" s="10">
        <f t="shared" si="252"/>
        <v>0</v>
      </c>
      <c r="ED198" s="10">
        <f t="shared" si="253"/>
        <v>0</v>
      </c>
      <c r="EE198" s="10">
        <f t="shared" si="254"/>
        <v>0</v>
      </c>
      <c r="EF198" s="39">
        <f>EB198*Исходн.данные.!AJ198/1000</f>
        <v>0</v>
      </c>
      <c r="EG198" s="9">
        <f t="shared" si="255"/>
        <v>0</v>
      </c>
      <c r="EH198" s="9">
        <f t="shared" si="256"/>
        <v>0</v>
      </c>
      <c r="EI198" s="39" t="e">
        <f t="shared" si="206"/>
        <v>#DIV/0!</v>
      </c>
      <c r="EJ198" s="9" t="str">
        <f t="shared" si="227"/>
        <v>Азопреципитат</v>
      </c>
      <c r="EK198" s="12">
        <f t="shared" si="207"/>
        <v>0.26</v>
      </c>
      <c r="EL198" s="12">
        <f t="shared" si="208"/>
        <v>0.13</v>
      </c>
      <c r="EM198" s="12">
        <f t="shared" si="209"/>
        <v>0</v>
      </c>
      <c r="EN198" s="12" t="str">
        <f t="shared" si="228"/>
        <v>Нет</v>
      </c>
      <c r="EO198" s="12">
        <f t="shared" si="210"/>
        <v>0</v>
      </c>
      <c r="EP198" s="12">
        <f t="shared" si="211"/>
        <v>0</v>
      </c>
      <c r="EQ198" s="12">
        <f t="shared" si="212"/>
        <v>0</v>
      </c>
      <c r="ER198" s="12" t="str">
        <f t="shared" si="257"/>
        <v>Диаммофоска</v>
      </c>
      <c r="ES198" s="12">
        <f t="shared" si="213"/>
        <v>0.1</v>
      </c>
      <c r="ET198" s="12">
        <f t="shared" si="214"/>
        <v>0.26</v>
      </c>
      <c r="EU198" s="12">
        <f t="shared" si="215"/>
        <v>0.26</v>
      </c>
      <c r="EV198" s="12" t="str">
        <f t="shared" si="258"/>
        <v>Аммофос 12:52:00</v>
      </c>
      <c r="EW198" s="12" t="str">
        <f t="shared" si="259"/>
        <v>Кемира Свекловичное-6</v>
      </c>
      <c r="EX198" s="12">
        <f t="shared" si="216"/>
        <v>0.16</v>
      </c>
      <c r="EY198" s="12">
        <f t="shared" si="217"/>
        <v>0.12</v>
      </c>
      <c r="EZ198" s="12">
        <f t="shared" si="218"/>
        <v>0.17</v>
      </c>
      <c r="FA198" s="38" t="e">
        <f>IF(AND(OR(FJ198=$FD$1,FM198=$FD$1,FO198=$FD$1,FQ198=$FD$1,FS198=$FD$1),FD198=$FD$1,Исходн.данные.!J198&lt;2,FU198=$FD$1),"Бор,Кобальт",IF(AND(FO198=$FD$1,FH198=$FD$1,Исходн.данные.!J198&lt;2,FU198=$FD$1),"Бор,Кобальт",IF(AND(OR(FJ198=$FD$1,FM198=$FD$1,FQ198=$FD$1),FE198=$FD$1,Исходн.данные.!J198&lt;2,FT198=$FD$1,FU198=$FD$1),"Бор,Медь,Цинк",IF(AND(OR(FJ198=$FD$1,FR198="Да"),FI198="Да",Исходн.данные.!J198&lt;2,FT198="Да",FU198="Да"),"Бор,Цинк,Медь",IF(AND(OR(FM198="Да",FQ198="Да"),FI198="Да",Исходн.данные.!J198&lt;2,FT198="Да",FU198="Да"),"Бор,Цинк",IF(AND(FN198="Да",OR(FD198="Да",FE198="Да")),"Бор",FB198))))))</f>
        <v>#N/A</v>
      </c>
      <c r="FB198" s="134" t="e">
        <f>IF(AND(OR(FD198="Да",FE198="Да",FF198="Да",FG198="Да",FH198="Да"),FO198="Да"),"Бор",IF(AND(FP198="Да",OR(FD198="Да",FE198="Да",FI198="Да")),"Бор",IF(AND(FS198="Да",FE198="Да"),"Бор,Медь",IF(AND(OR(FJ198="Да",FK198="Да",FL198="Да"),FE198="Да",Исходн.данные.!I198&lt;5,FT198="Да",FU198="Да"),"Молибден,Цинк",IF(AND(FM198="Да",OR(FE198="Да",FF198="Да",FG198="Да",FH198="Да",FI198="Да")),"Молибден,Цинк",IF(AND(OR(FJ198="Да",FK198="Да",FL198="Да",FM198="Да",FQ198="Да"),OR(FE198="Да",FF198="Да"),FT198="Да",FU198="Да",Исходн.данные.!I198&gt;5.5),"Медь,Цинк",FC198))))))</f>
        <v>#N/A</v>
      </c>
      <c r="FC198" s="23" t="e">
        <f t="shared" si="260"/>
        <v>#N/A</v>
      </c>
      <c r="FD198" s="38" t="str">
        <f>IF(OR(Исходн.данные.!F198=$CC$1,Исходн.данные.!F198=$CC$2,Исходн.данные.!F198=$CC$3,Исходн.данные.!F198=$CC$4),"Да","Нет")</f>
        <v>Нет</v>
      </c>
      <c r="FE198" s="38" t="str">
        <f>IF(Исходн.данные.!F198=$CC$5,"Да","Нет")</f>
        <v>Нет</v>
      </c>
      <c r="FF198" s="38" t="str">
        <f>IF(OR(Исходн.данные.!F198=$CC$6,Исходн.данные.!F198=$CC$7),"Да","Нет")</f>
        <v>Нет</v>
      </c>
      <c r="FG198" s="38" t="str">
        <f>IF(OR(Исходн.данные.!F198=$CC$8,Исходн.данные.!F198=$CC$9),"Да","Нет")</f>
        <v>Нет</v>
      </c>
      <c r="FH198" s="38" t="str">
        <f>IF(Исходн.данные.!F198=$CC$10,"Да","Нет")</f>
        <v>Нет</v>
      </c>
      <c r="FI198" s="38" t="str">
        <f>IF(OR(Исходн.данные.!F198=$CC$11,Исходн.данные.!F198=$CC$12),"Да","Нет")</f>
        <v>Нет</v>
      </c>
      <c r="FJ198" s="38" t="str">
        <f>IF(OR(Исходн.данные.!AH198=$BS$1,Исходн.данные.!AH198=$BQ$11,Исходн.данные.!AH198=$BQ$12),"Да","Нет")</f>
        <v>Нет</v>
      </c>
      <c r="FK198" s="38" t="str">
        <f>IF(OR(Исходн.данные.!AH198=$BS$2,Исходн.данные.!AH198=$BS$4),"Да","Нет")</f>
        <v>Нет</v>
      </c>
      <c r="FL198" s="38" t="str">
        <f>IF(OR(Исходн.данные.!AH198=$BS$3,Исходн.данные.!AH198=$BS$5),"Да","Нет")</f>
        <v>Нет</v>
      </c>
      <c r="FM198" s="38" t="str">
        <f>IF(OR(Исходн.данные.!AH198=$BS$9,Исходн.данные.!AH198=$BS$10,Исходн.данные.!AH198=$BS$11,Исходн.данные.!AH198=$BS$12),"Да","Нет")</f>
        <v>Нет</v>
      </c>
      <c r="FN198" s="38" t="str">
        <f>IF(OR(Исходн.данные.!AH198=$BS$6,Исходн.данные.!AH198=$BP$3),"Да","Нет")</f>
        <v>Нет</v>
      </c>
      <c r="FO198" s="38" t="str">
        <f>IF(Исходн.данные.!AH198=$BQ$9,"Да","Нет")</f>
        <v>Нет</v>
      </c>
      <c r="FP198" s="38" t="str">
        <f>IF(OR(Исходн.данные.!AH198=$BS$8,Исходн.данные.!AH198=$BT$8),"Да","Нет")</f>
        <v>Нет</v>
      </c>
      <c r="FQ198" s="38" t="str">
        <f>IF(OR(Исходн.данные.!AH198=$BQ$7,Исходн.данные.!AH198=$BQ$8),"Да","Нет")</f>
        <v>Нет</v>
      </c>
      <c r="FR198" s="38" t="str">
        <f>IF(Исходн.данные.!AI198=$BU$9,"Да","Нет")</f>
        <v>Нет</v>
      </c>
      <c r="FS198" s="38" t="str">
        <f>IF(OR(Исходн.данные.!AH198=$BP$1,Исходн.данные.!AH198=$BP$2),"Да","Нет")</f>
        <v>Нет</v>
      </c>
      <c r="FT198" s="38" t="e">
        <f>IF((Исходн.данные.!K198*GO198*GS198*GW198+BL198*0.6+Исходн.данные.!Q198*4.5*0.275)&gt;90,"Да","Нет")</f>
        <v>#N/A</v>
      </c>
      <c r="FU198" s="38" t="e">
        <f>IF((Исходн.данные.!M198*GS198*GZ198+BM198*0.225)&gt;35,"Да","Нет")</f>
        <v>#N/A</v>
      </c>
      <c r="FV198" s="38" t="str">
        <f>IF(Исходн.данные.!O198&gt;175,"Да","Нет")</f>
        <v>Нет</v>
      </c>
      <c r="FW198" s="39" t="str">
        <f>IF(Исходн.данные.!I198&gt;5.5,"Да","Нет")</f>
        <v>Нет</v>
      </c>
      <c r="FX198" s="39" t="str">
        <f>IF(Исходн.данные.!J198&lt;2,"Да","Нет")</f>
        <v>Да</v>
      </c>
      <c r="FY198" s="39" t="e">
        <f>IF(HF198=$FY$16,0,Исходн.данные.!K198*GO198*GS198*GW198/HF198)</f>
        <v>#N/A</v>
      </c>
      <c r="FZ198" s="39" t="e">
        <f>Исходн.данные.!M198*GS198*GZ198/HG198</f>
        <v>#N/A</v>
      </c>
      <c r="GA198" s="39" t="e">
        <f>IF(K_Wyn=$FY$16,0,IF(Исходн.данные.!N198=Исходн.данные.!$L$10,Исходн.данные.!O198/1.1*GS198*HC198/HH198,IF(Исходн.данные.!N198=Исходн.данные.!$L$12,Исходн.данные.!O198/1.5*GS198*HC198/HH198,Исходн.данные.!O198*GS198*HC198/HH198)))</f>
        <v>#N/A</v>
      </c>
      <c r="GB198" s="39" t="e">
        <f>IF(HF198=$FY$16,0,((Исходн.данные.!Q198*N_Org+Исходн.данные.!R198*N_Sider+Исходн.данные.!S198*N_Soloma)*AO198+Расчет!BC198*VLOOKUP(Исходн.данные.!T198,Справ!$A$3:$O$57,15)*AO198+BB198*VLOOKUP(Исходн.данные.!T198,Справ!$A$3:$O$57,15)*AL198+(Исходн.данные.!V198*N_Rizotorf+Исходн.данные.!W198*N_Rizoagr))/HF198)</f>
        <v>#N/A</v>
      </c>
      <c r="GC198" s="39" t="e">
        <f>IF(HG198=$FY$16,0,((Исходн.данные.!Q198*Р_Org+Исходн.данные.!R198*P_Sider+Исходн.данные.!S198*P_Soloma)*AP198+Расчет!BC198*VLOOKUP(Исходн.данные.!T198,Справ!$A$3:$P$57,16)*AP198+BB198*VLOOKUP(Исходн.данные.!T198,Справ!$A$3:$P$57,16)*AM198)/HG198)</f>
        <v>#N/A</v>
      </c>
      <c r="GD198" s="39" t="e">
        <f>IF(HH198=$FY$16,0,((Исходн.данные.!Q198*К_Org+Исходн.данные.!R198*K_Sider+Исходн.данные.!S198*K_Soloma)*AQ198+Расчет!BC198*VLOOKUP(Исходн.данные.!T198,Справ!$A$3:$Q$57,17)*AQ198+BB198*VLOOKUP(Исходн.данные.!T198,Справ!$A$3:$Q$57,17)*AN198)/HH198)</f>
        <v>#N/A</v>
      </c>
      <c r="GE198" s="39" t="e">
        <f>IF(HF198=$FY$16,0,(Исходн.данные.!X198*AR198+Исходн.данные.!AA198*N_Org*AL198+Исходн.данные.!AB198*N_Sider*AL198+Исходн.данные.!AC198*N_Soloma*AL198)/HF198)</f>
        <v>#N/A</v>
      </c>
      <c r="GF198" s="39" t="e">
        <f>IF(HG198=$FY$16,0,(Исходн.данные.!Y198*AS198+Исходн.данные.!AA198*Р_Org*AM198+Исходн.данные.!AB198*P_Sider*AM198+Исходн.данные.!AC198*P_Soloma*AM198)/HG198)</f>
        <v>#N/A</v>
      </c>
      <c r="GG198" s="39" t="e">
        <f>IF(HH198=$FY$16,0,(Исходн.данные.!Z198*AT198+Исходн.данные.!AA198*К_Org*AN198+Исходн.данные.!AB198*K_Sider*AN198+Исходн.данные.!AC198*K_Soloma*AN198)/HH198)</f>
        <v>#N/A</v>
      </c>
      <c r="GH198" s="39" t="e">
        <f>Исходн.данные.!AD198*AU198/HF198</f>
        <v>#N/A</v>
      </c>
      <c r="GI198" s="39" t="e">
        <f>Исходн.данные.!AE198*AV198/HG198</f>
        <v>#N/A</v>
      </c>
      <c r="GJ198" s="39" t="e">
        <f>Исходн.данные.!AF198*AW198/HH198</f>
        <v>#N/A</v>
      </c>
      <c r="GK198" s="55">
        <f>Исходн.данные.!AK198</f>
        <v>0</v>
      </c>
      <c r="GL198" s="11" t="e">
        <f t="shared" si="261"/>
        <v>#N/A</v>
      </c>
      <c r="GM198" s="11" t="e">
        <f t="shared" si="262"/>
        <v>#N/A</v>
      </c>
      <c r="GN198" s="11" t="e">
        <f t="shared" si="263"/>
        <v>#N/A</v>
      </c>
      <c r="GO198" s="57">
        <f t="shared" si="264"/>
        <v>19</v>
      </c>
      <c r="GP198" s="55">
        <f>IF(OR(Исходн.данные.!F198=$CE$1,Исходн.данные.!F198=$CE$2,Исходн.данные.!F198=$CE$3,Исходн.данные.!F198=$CE$4,Исходн.данные.!F198=$CE$5),GQ198,GR198)</f>
        <v>19</v>
      </c>
      <c r="GQ198" s="55">
        <f>IF(Исходн.данные.!F198=$CE$1,28,IF(Исходн.данные.!F198=$CE$2,26,IF(Исходн.данные.!F198=$CE$3,24,IF(Исходн.данные.!F198=$CE$4,22,IF(Исходн.данные.!F198=$CE$5,20,GR198)))))</f>
        <v>19</v>
      </c>
      <c r="GR198" s="55">
        <f>IF(Исходн.данные.!F198=$CE$6,18,IF(Исходн.данные.!F198=$CE$7,16,IF(Исходн.данные.!F198=$CE$8,14,IF(Исходн.данные.!F198=$CE$9,13,IF(Исходн.данные.!F198=$CE$10,12,19)))))</f>
        <v>19</v>
      </c>
      <c r="GS198" s="55">
        <f>IF(Исходн.данные.!G198="Пес",0.035*(40+2*Исходн.данные.!H198),IF(Исходн.данные.!G198="Суп",0.0325*(40+2*Исходн.данные.!H198),0.03*(40+2*Исходн.данные.!H198)))</f>
        <v>1.2</v>
      </c>
      <c r="GT198" s="55">
        <f>IF(Исходн.данные.!H198&lt;23,2.6,IF(AND(Исходн.данные.!H198&gt;22,Исходн.данные.!H198&lt;26),3,IF(AND(Исходн.данные.!H198&gt;25,Исходн.данные.!H198&lt;29),3.4,3.6)))</f>
        <v>2.6</v>
      </c>
      <c r="GU198" s="55">
        <f>IF(Исходн.данные.!H198&lt;23,2.8,IF(AND(Исходн.данные.!H198&gt;22,Исходн.данные.!H198&lt;26),3.2,IF(AND(Исходн.данные.!H198&gt;25,Исходн.данные.!H198&lt;29),3.6,3.9)))</f>
        <v>2.8</v>
      </c>
      <c r="GV198" s="55">
        <f>IF(Исходн.данные.!H198&lt;23,3,IF(AND(Исходн.данные.!H198&gt;22,Исходн.данные.!H198&lt;26),3.5,IF(AND(Исходн.данные.!H198&gt;25,Исходн.данные.!H198&lt;29),3.9,4.2)))</f>
        <v>3</v>
      </c>
      <c r="GW198" s="55" t="e">
        <f>IF(Исходн.данные.!P198="Ум",GX198,GY198)</f>
        <v>#N/A</v>
      </c>
      <c r="GX198" s="55" t="e">
        <f>VLOOKUP(Исходн.данные.!AI198,Коэффициенты!$J$7:$L$13,2,FALSE)</f>
        <v>#N/A</v>
      </c>
      <c r="GY198" s="55" t="e">
        <f>VLOOKUP(Исходн.данные.!AI198,Коэффициенты!$J$7:$L$13,3,FALSE)</f>
        <v>#N/A</v>
      </c>
      <c r="GZ198" s="55" t="e">
        <f>(IF(Исходн.данные.!M198&lt;50,0.11*VLOOKUP(Исходн.данные.!AH198,Культуры.Информация,7,FALSE),IF(Исходн.данные.!M198&gt;250,0.05*VLOOKUP(Исходн.данные.!AH198,Культуры.Информация,7,FALSE),VLOOKUP(Исходн.данные.!AH198,Культуры.Информация,5,FALSE)/100*($GX$6+$GY$6*Исходн.данные.!M198))))*Расчет2!AI198</f>
        <v>#N/A</v>
      </c>
      <c r="HA198" s="211"/>
      <c r="HB198" s="211"/>
      <c r="HC198" s="55" t="e">
        <f>(IF(Исходн.данные.!O198&lt;80,0.2*VLOOKUP(Исходн.данные.!AH198,Культуры.Информация,8,FALSE),IF(Исходн.данные.!O198&gt;240,0.09*VLOOKUP(Исходн.данные.!AH198,Культуры.Информация,8,FALSE),VLOOKUP(Исходн.данные.!AH198,Культуры.Информация,6,FALSE)/100*($HB$6+$HC$6*Исходн.данные.!O198))))*Расчет2!AJ198</f>
        <v>#N/A</v>
      </c>
      <c r="HD198" s="55">
        <f>IF(Исходн.данные.!O198&gt;240,0.09,IF(Исходн.данные.!O198&lt;30,0.3,$HE$10+$HD$10*Исходн.данные.!O198))</f>
        <v>0.3</v>
      </c>
      <c r="HE198" s="55">
        <f>IF(Исходн.данные.!O198&gt;240,0.17,IF(Исходн.данные.!O198&lt;30,0.5,$HF$12+$HE$12*Исходн.данные.!O198))</f>
        <v>0.5</v>
      </c>
      <c r="HF198" s="55" t="e">
        <f>VLOOKUP(Исходн.данные.!AH198,Справ!$A$3:$D$58,2,FALSE)</f>
        <v>#N/A</v>
      </c>
      <c r="HG198" s="55" t="e">
        <f>VLOOKUP(Исходн.данные.!AH198,Справ!$A$3:$D$58,3,FALSE)</f>
        <v>#N/A</v>
      </c>
      <c r="HH198" s="55" t="e">
        <f>VLOOKUP(Исходн.данные.!AH198,Справ!$A$3:$D$58,4,FALSE)</f>
        <v>#N/A</v>
      </c>
      <c r="HI198" s="11" t="e">
        <f t="shared" si="265"/>
        <v>#N/A</v>
      </c>
      <c r="HJ198" s="11" t="e">
        <f t="shared" si="266"/>
        <v>#N/A</v>
      </c>
      <c r="HK198" s="11" t="e">
        <f t="shared" si="267"/>
        <v>#N/A</v>
      </c>
      <c r="HL198" s="55">
        <f>IF(OR(Исходн.данные.!G198="Глин",Исходн.данные.!G198="Т_суг"),1.1,IF(Исходн.данные.!G198="Ср_суг",1,1))</f>
        <v>1</v>
      </c>
      <c r="HM198" s="55">
        <f>IF(OR(Исходн.данные.!G198="Глин",Исходн.данные.!G198="Т_суг"),0.9,IF(Исходн.данные.!G198="Ср_суг",1,1.2))</f>
        <v>1.2</v>
      </c>
      <c r="HN198" s="11" t="e">
        <f t="shared" si="268"/>
        <v>#N/A</v>
      </c>
      <c r="HO198" s="11" t="e">
        <f t="shared" si="269"/>
        <v>#N/A</v>
      </c>
      <c r="HP198" s="11" t="e">
        <f t="shared" si="270"/>
        <v>#N/A</v>
      </c>
      <c r="HQ198" t="e">
        <f t="shared" si="271"/>
        <v>#N/A</v>
      </c>
      <c r="HR198" t="e">
        <f t="shared" si="272"/>
        <v>#N/A</v>
      </c>
      <c r="HS198" t="e">
        <f t="shared" si="273"/>
        <v>#N/A</v>
      </c>
      <c r="HT198" t="e">
        <f t="shared" si="219"/>
        <v>#N/A</v>
      </c>
      <c r="HU198" t="e">
        <f t="shared" si="220"/>
        <v>#N/A</v>
      </c>
      <c r="HV198" t="e">
        <f t="shared" si="221"/>
        <v>#N/A</v>
      </c>
      <c r="HW198" t="e">
        <f t="shared" si="222"/>
        <v>#N/A</v>
      </c>
      <c r="HX198" t="e">
        <f t="shared" si="223"/>
        <v>#N/A</v>
      </c>
      <c r="HY198" t="e">
        <f t="shared" si="224"/>
        <v>#N/A</v>
      </c>
      <c r="HZ198" s="55">
        <f>IF(OR(Исходн.данные.!AI198="Оз_Ч_П",Исходн.данные.!AI198="Оз_З_П",Исходн.данные.!AI198="Яр_зер"),12,30)</f>
        <v>30</v>
      </c>
      <c r="IA198" t="e">
        <f t="shared" si="274"/>
        <v>#N/A</v>
      </c>
      <c r="IB198" t="e">
        <f t="shared" si="275"/>
        <v>#N/A</v>
      </c>
      <c r="IC198" t="e">
        <f t="shared" si="276"/>
        <v>#N/A</v>
      </c>
      <c r="ID198" s="11" t="e">
        <f t="shared" si="277"/>
        <v>#N/A</v>
      </c>
      <c r="IE198" s="11" t="e">
        <f t="shared" si="278"/>
        <v>#N/A</v>
      </c>
      <c r="IF198" s="11" t="e">
        <f t="shared" si="279"/>
        <v>#N/A</v>
      </c>
    </row>
    <row r="199" spans="35:240" x14ac:dyDescent="0.2">
      <c r="AI199">
        <f>IF(Исходн.данные.!I199&gt;6,1,1.85-(0.148*Исходн.данные.!I199))</f>
        <v>1.85</v>
      </c>
      <c r="AJ199">
        <f>IF(Исходн.данные.!I199&gt;6,1,2.434-(0.246*Исходн.данные.!I199))</f>
        <v>2.4340000000000002</v>
      </c>
      <c r="AL199" s="148" t="b">
        <f>IF(Исходн.данные.!$P199="Ум",N_OrgUd_2g_um,IF(Исходн.данные.!$P199="Об",N_OrgUd_2g_ob))</f>
        <v>0</v>
      </c>
      <c r="AM199" s="148" t="b">
        <f>IF(Исходн.данные.!$P199="Ум",P_OrgUd_2g_um,IF(Исходн.данные.!$P199="Об",P_OrgUd_2g_ob))</f>
        <v>0</v>
      </c>
      <c r="AN199" s="148" t="b">
        <f>IF(Исходн.данные.!$P199="Ум",K_OrgUd_2g_um,IF(Исходн.данные.!$P199="Об",K_OrgUd_2g_ob))</f>
        <v>0</v>
      </c>
      <c r="AO199" s="148" t="b">
        <f>IF(Исходн.данные.!$P199="Ум",N_OrgUd_1g_um,IF(Исходн.данные.!$P199="Об",N_OrgUd_1g_ob))</f>
        <v>0</v>
      </c>
      <c r="AP199" s="148" t="b">
        <f>IF(Исходн.данные.!$P199="Ум",P_OrgUd_1g_um,IF(Исходн.данные.!$P199="Об",P_OrgUd_1g_ob))</f>
        <v>0</v>
      </c>
      <c r="AQ199" s="148" t="b">
        <f>IF(Исходн.данные.!$P199="Ум",K_OrgUd_1g_um,IF(Исходн.данные.!$P199="Об",K_OrgUd_1g_ob))</f>
        <v>0</v>
      </c>
      <c r="AR199" t="b">
        <f>IF(Исходн.данные.!$P199="Ум",N_MinUd_2g_um,IF(Исходн.данные.!$P199="Об",N_MinUd_2g_ob))</f>
        <v>0</v>
      </c>
      <c r="AS199" t="b">
        <f>IF(Исходн.данные.!$P199="Ум",P_MinUd_2g_um,IF(Исходн.данные.!$P199="Об",P_MinUd_2g_ob))</f>
        <v>0</v>
      </c>
      <c r="AT199" t="b">
        <f>IF(Исходн.данные.!$P199="Ум",K_MinUd_2g_um,IF(Исходн.данные.!$P199="Об",K_MinUd_2g_ob))</f>
        <v>0</v>
      </c>
      <c r="AU199" t="b">
        <f>IF(Исходн.данные.!$P199="Ум",N_MinUd_1g_um,IF(Исходн.данные.!$P199="Об",N_MinUd_1g_ob))</f>
        <v>0</v>
      </c>
      <c r="AV199" t="b">
        <f>IF(Исходн.данные.!P199="Ум",P_MinUd_1g_um,IF(Исходн.данные.!P199="Об",P_MinUd_1g_ob))</f>
        <v>0</v>
      </c>
      <c r="AW199" t="b">
        <f>IF(Исходн.данные.!P199="Ум",K_MinUd_1g_um,IF(Исходн.данные.!P199="Об",K_MinUd_1g_ob))</f>
        <v>0</v>
      </c>
      <c r="AY199" t="e">
        <f>VLOOKUP(Исходн.данные.!T199,Справ!$A$3:$N$57,12)</f>
        <v>#N/A</v>
      </c>
      <c r="AZ199" t="e">
        <f>VLOOKUP(Исходн.данные.!T199,Справ!$A$3:$N$57,13)</f>
        <v>#N/A</v>
      </c>
      <c r="BA199" t="e">
        <f>VLOOKUP(Исходн.данные.!T199,Справ!$A$3:$N$57,14)</f>
        <v>#N/A</v>
      </c>
      <c r="BB199">
        <f>IF(Исходн.данные.!AH199=0,0,25)</f>
        <v>0</v>
      </c>
      <c r="BC199" s="141">
        <f>IF(Исходн.данные.!AH199=0,0,IF(Исходн.данные.!T199=0,25,BD199))</f>
        <v>0</v>
      </c>
      <c r="BD199" s="168" t="e">
        <f>AY199+AZ199*Исходн.данные.!U199-POWER(BA199,2)*Исходн.данные.!U199</f>
        <v>#N/A</v>
      </c>
      <c r="BE19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199" s="25">
        <f>IF(Исходн.данные.!AH199=0,0,MIN(HN199:HP199))</f>
        <v>0</v>
      </c>
      <c r="BG199" s="9">
        <f>IF(Исходн.данные.!AH199=0,0,IF((HO199+10*0.25/HG199/HL199)&lt;17,17,HO199+10*0.25/HG199/HL199))</f>
        <v>0</v>
      </c>
      <c r="BH199" s="181">
        <f>IF(Исходн.данные.!AH199=0,0,HW199*HF199*HL199/AU199*AI199+Исходн.данные.!S199*10)</f>
        <v>0</v>
      </c>
      <c r="BI199" s="10"/>
      <c r="BJ199" s="182">
        <f>IF(Исходн.данные.!AH199=0,0,IF(HX199*HG199*HL199/AV199&lt;0,0,HX199*HG199*HL199/AV199*AJ199))</f>
        <v>0</v>
      </c>
      <c r="BK199" s="182">
        <f>IF(Исходн.данные.!AH199=0,0,HY199*HH199*HM199/AW199)</f>
        <v>0</v>
      </c>
      <c r="BL199" s="10">
        <f>IF(OR(Исходн.данные.!$AH199=$BP$1,Исходн.данные.!$AH199=$BP$2),0,IF(BH199&lt;0,0,IF(OR(Исходн.данные.!T199=Расчет!$BP$1,Исходн.данные.!T199=Расчет!$BP$2,Исходн.данные.!T199=Расчет!$BT$5,Исходн.данные.!T199=Расчет!$BT$6),BH199*0.5,IF(OR(Исходн.данные.!T199=Расчет!$BS$9,Исходн.данные.!T199=Расчет!$BS$10,Исходн.данные.!T199=Расчет!$BS$11,Исходн.данные.!T199=Расчет!$BS$12,Исходн.данные.!T199=Расчет!$BP$5),BH199*0.8,BH199))))</f>
        <v>0</v>
      </c>
      <c r="BM199" s="10">
        <f>IF(OR(Исходн.данные.!$AH199=$BP$1,Исходн.данные.!$AH199=$BP$2),0,IF(BJ199&lt;0,0,IF(Исходн.данные.!I199&lt;4.5,BJ199*1.2,IF(Исходн.данные.!I199&gt;5.1,BJ199,BJ199*((5.1-Исходн.данные.!I199)*0.333+1)))))</f>
        <v>0</v>
      </c>
      <c r="BN199" s="10">
        <f>IF(OR(Исходн.данные.!$AH199=$BP$1,Исходн.данные.!$AH199=$BP$2),60-Исходн.данные.!AF199,IF(BK199&lt;0,0,IF(Исходн.данные.!I199&lt;4.5,BK199*1.2,IF(Исходн.данные.!I199&gt;5.1,BK199,BK199*((5.1-Исходн.данные.!I199)*0.333+1)))))</f>
        <v>0</v>
      </c>
      <c r="BO199" s="9">
        <f>IF(BL199&lt;0,0,BL199*Исходн.данные.!$AJ199/1000)</f>
        <v>0</v>
      </c>
      <c r="BP199" s="9">
        <f>IF(BM199&lt;0,0,BM199*Исходн.данные.!$AJ199/1000)</f>
        <v>0</v>
      </c>
      <c r="BQ199" s="9">
        <f>IF(BN199&lt;0,0,BN199*Исходн.данные.!$AJ199/1000)</f>
        <v>0</v>
      </c>
      <c r="BR199" s="9">
        <f t="shared" si="229"/>
        <v>0</v>
      </c>
      <c r="BS199" s="10" t="str">
        <f t="shared" si="230"/>
        <v>Аммофос 12:52:00</v>
      </c>
      <c r="BT199" s="10" t="str">
        <f t="shared" si="231"/>
        <v>Аммофос 12:52:00</v>
      </c>
      <c r="BU199" s="10" t="str">
        <f t="shared" si="232"/>
        <v>Диаммофоска</v>
      </c>
      <c r="BV199" s="10">
        <f t="shared" si="233"/>
        <v>0</v>
      </c>
      <c r="BW199" s="10"/>
      <c r="BX199" s="10"/>
      <c r="BY199" s="9">
        <f>IF(BL199&lt;0,0,IF(OR(Исходн.данные.!AI199=Расчет!$BU$6,Исходн.данные.!AI199=Расчет!$BU$7),Расчет!BV199,IF(Исходн.данные.!$AG199=$BV$11,BL199,IF(OR(Исходн.данные.!$AH199=$BQ$7,Исходн.данные.!$AH199=$BQ$8),CB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0,IF(Исходн.данные.!$AI199=$BU$11,"Нет",IF(BL199&gt;30,30,BL199)))))))</f>
        <v>0</v>
      </c>
      <c r="BZ199" s="9">
        <f>IF(AND(Исходн.данные.!$AG199=$BV$11,BM199&lt;10),10,IF(Исходн.данные.!$AG199=$BV$11,BM199,IF(OR(Исходн.данные.!$AH199=$BQ$7,Исходн.данные.!$AH199=$BQ$8),CC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10,IF(Исходн.данные.!$AI199=$BU$11,"Нет",IF(BM199&gt;60,60,IF(BM199&lt;10,10,BM199)))))))</f>
        <v>10</v>
      </c>
      <c r="CA199" s="39">
        <f>IF(BN199&lt;0,0,IF(Исходн.данные.!$AG199=$BV$11,BN199,IF(OR(Исходн.данные.!$AH199=$BQ$7,Исходн.данные.!$AH199=$BQ$8),CD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0,IF(Исходн.данные.!$AI199=$BU$11,"Нет",IF(BN199&gt;30,30,BN199))))))</f>
        <v>0</v>
      </c>
      <c r="CB199" s="9">
        <f t="shared" si="234"/>
        <v>0</v>
      </c>
      <c r="CC199" s="9">
        <f t="shared" si="235"/>
        <v>0</v>
      </c>
      <c r="CD199" s="9">
        <f t="shared" si="236"/>
        <v>0</v>
      </c>
      <c r="CE199" s="12">
        <f t="shared" si="237"/>
        <v>10</v>
      </c>
      <c r="CF199" s="9">
        <f t="shared" si="238"/>
        <v>0</v>
      </c>
      <c r="CG199" s="9" t="s">
        <v>231</v>
      </c>
      <c r="CH199" s="132" t="str">
        <f>IF(Исходн.данные.!AP199=Расчет!$CI$16,"Нет",IF(Исходн.данные.!AL199&gt;0,Исходн.данные.!AL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BH$4,IF(OR(Исходн.данные.!AI199=Исходн.данные.!$AI$6,Исходн.данные.!AI199=Исходн.данные.!$AI$7),Расчет!BS199,IF(AND($CF199=0,$CE199&gt;0),EV199,ER199)))))</f>
        <v>Аммофос 12:52:00</v>
      </c>
      <c r="CI199" s="274">
        <f>IF(Расчет!$CH199="Нет","Нет",IF(Исходн.данные.!$AL199&gt;0,VLOOKUP(Расчет!$CH199,АшламаДВ_Irekle,2,FALSE),VLOOKUP(Расчет!$CH199,АшламаДВ_Gomumy,2,FALSE)))</f>
        <v>0.12</v>
      </c>
      <c r="CJ199" s="274">
        <f>IF(Расчет!$CH199="Нет","Нет",IF(Исходн.данные.!$AL199&gt;0,VLOOKUP(Расчет!$CH199,АшламаДВ_Irekle,3,FALSE),VLOOKUP(Расчет!$CH199,АшламаДВ_Gomumy,3,FALSE)))</f>
        <v>0.52</v>
      </c>
      <c r="CK199" s="274">
        <f>IF(Расчет!$CH199="Нет","Нет",IF(Исходн.данные.!$AL199&gt;0,VLOOKUP(Расчет!$CH199,АшламаДВ_Irekle,4,FALSE),VLOOKUP(Расчет!$CH199,АшламаДВ_Gomumy,4,FALSE)))</f>
        <v>0</v>
      </c>
      <c r="CL199" s="70"/>
      <c r="CM199" s="70"/>
      <c r="CN199" s="70"/>
      <c r="CO199" s="70"/>
      <c r="CP199" s="70"/>
      <c r="CQ199" s="70"/>
      <c r="CR199" s="10">
        <f t="shared" si="239"/>
        <v>0</v>
      </c>
      <c r="CS199" s="10">
        <f t="shared" si="240"/>
        <v>19.23076923076923</v>
      </c>
      <c r="CT199" s="10">
        <f t="shared" si="241"/>
        <v>0</v>
      </c>
      <c r="CU199" s="39">
        <f>IF($CH199="Нет",0,IF(CI199=0,30/MIN(CJ199:CK199),IF(Исходн.данные.!$AG199=$BV$11,CR199,IF(OR(Исходн.данные.!$AH199=$BQ$7,Исходн.данные.!$AH199=$BQ$8),90/CI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0,IF(Исходн.данные.!$AI199=$BU$11,"Нет",30/CI199))))))</f>
        <v>250</v>
      </c>
      <c r="CV199" s="39">
        <f>IF($CH199="Нет",0,IF(Исходн.данные.!AH199=0,0,IF(CJ199=0,60/MIN(CI199,CK199),IF(Исходн.данные.!$AG199=$BV$11,CS199,IF(OR(Исходн.данные.!$AH199=$BQ$7,Исходн.данные.!$AH199=$BQ$8),90/CJ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10/CJ199,IF(Исходн.данные.!$AI199=$BU$11,"Нет",60/CJ199)))))))</f>
        <v>0</v>
      </c>
      <c r="CW199" s="39">
        <f>IF($CH199="Нет",0,IF(Исходн.данные.!AH199=0,0,IF(CK199=0,30/MIN(CI199:CJ199),IF(Исходн.данные.!$AG199=$BV$11,CT199,IF(OR(Исходн.данные.!$AH199=$BQ$7,Исходн.данные.!$AH199=$BQ$8),90/CK199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0,IF(Исходн.данные.!$AI199=$BU$11,"Нет",30/CK199)))))))</f>
        <v>0</v>
      </c>
      <c r="CX199" s="133">
        <f>IF(Исходн.данные.!$AG199=$BV$11,MAX(CU199:CW199),IF(OR(Исходн.данные.!$AH199=$BS$8,Исходн.данные.!$AH199=$BQ$9,Исходн.данные.!$AH199=$BQ$10,Исходн.данные.!$AH199=$BQ$11,Исходн.данные.!$AH199=$BQ$12,Исходн.данные.!$AH199=$BP$3,Исходн.данные.!$AH199=$BT$8,$FM199="Да"),CV199,MIN(CU199:CW199)))</f>
        <v>0</v>
      </c>
      <c r="CY199" s="133">
        <f>IF(Исходн.данные.!AH199=0,0,IF(CR199&gt;$CX199,$CX199,CR199))</f>
        <v>0</v>
      </c>
      <c r="CZ199" s="133">
        <f>IF(Исходн.данные.!AH199=0,0,IF(CS199&gt;$CX199,$CX199,CS199))</f>
        <v>0</v>
      </c>
      <c r="DA199" s="133">
        <f>IF(Исходн.данные.!AH199=0,0,IF(CT199&gt;$CX199,$CX199,CT199))</f>
        <v>0</v>
      </c>
      <c r="DB199" s="10">
        <f t="shared" si="242"/>
        <v>0</v>
      </c>
      <c r="DC199" s="39">
        <f>DB199*Исходн.данные.!AJ199/1000</f>
        <v>0</v>
      </c>
      <c r="DD199" s="71">
        <f t="shared" si="243"/>
        <v>0</v>
      </c>
      <c r="DE199" s="9">
        <f t="shared" si="244"/>
        <v>0</v>
      </c>
      <c r="DF199" s="9">
        <f t="shared" si="245"/>
        <v>0</v>
      </c>
      <c r="DG199" s="39">
        <f>IF(BL199&lt;0,0,IF($CH199="Нет",BL199,IF(OR(Исходн.данные.!$AH199=$BP$1,Исходн.данные.!$AH199=$BP$2),0,IF(Исходн.данные.!AI199=$BU$11,BL199,IF(BL199-DD199&lt;0,0,BL199-DD199)))))</f>
        <v>0</v>
      </c>
      <c r="DH199" s="39">
        <f>IF(BM199&lt;0,0,IF($CH199="Нет",BM199,IF(OR(Исходн.данные.!$AH199=$BP$1,Исходн.данные.!$AH199=$BP$2),0,IF(Исходн.данные.!AJ199=$BU$11,BM199,IF(BM199-DE199&lt;0,0,BM199-DE199)))))</f>
        <v>0</v>
      </c>
      <c r="DI199" s="39">
        <f>IF(BN199&lt;0,0,IF($CH199="Нет",BN199,IF(OR(Исходн.данные.!$AH199=$BP$1,Исходн.данные.!$AH199=$BP$2),0,IF(Исходн.данные.!AK199=$BU$11,BN199,IF(BN199-DF199&lt;0,0,BN199-DF199)))))</f>
        <v>0</v>
      </c>
      <c r="DJ199" s="12">
        <f t="shared" si="246"/>
        <v>0</v>
      </c>
      <c r="DK199" s="9">
        <f t="shared" si="247"/>
        <v>0</v>
      </c>
      <c r="DL199" s="39">
        <f>IF(Исходн.данные.!AM199&gt;0,Исходн.данные.!AM199,IF(EG199&gt;0,$BH$10,0))</f>
        <v>0</v>
      </c>
      <c r="DM199" s="186">
        <f>IF($DL199=0,0,IF(Исходн.данные.!AM199&gt;0,VLOOKUP($DL199,АшламаДВ_Irekle,2,FALSE),VLOOKUP($DL199,АшламаДВ_Gomumy,2,FALSE)))</f>
        <v>0</v>
      </c>
      <c r="DN199" s="10">
        <f t="shared" si="225"/>
        <v>0</v>
      </c>
      <c r="DO199" s="9" t="str">
        <f>IF(Исходн.данные.!AN199&gt;0,Исходн.данные.!AN199,Удобрения!$B$37 )</f>
        <v>Хлор.калий</v>
      </c>
      <c r="DP199" s="9">
        <f>IF(Исходн.данные.!AN199&gt;0,VLOOKUP(Исходн.данные.!AN199,АшламаДВ_Irekle,4,FALSE),VLOOKUP(DO199,АшламаДВ_Gomumy,4,FALSE))</f>
        <v>0.6</v>
      </c>
      <c r="DQ199" s="10">
        <f t="shared" si="226"/>
        <v>0</v>
      </c>
      <c r="DR199" s="132" t="str">
        <f>IF(Исходн.данные.!AO199&gt;0,Исходн.данные.!AO199,IF(DH199=0,BS$17,IF(AND($DK199=0,$DJ199&gt;0),EJ199,EN199)))</f>
        <v>Нет</v>
      </c>
      <c r="DS199" s="70" t="str">
        <f>IF($DR199="Нет","Нет",IF(Исходн.данные.!$AO199&gt;0,VLOOKUP($DR199,АшламаДВ_Irekle,2,FALSE),VLOOKUP($DR199,АшламаДВ_Gomumy,2,FALSE)))</f>
        <v>Нет</v>
      </c>
      <c r="DT199" s="70" t="str">
        <f>IF($DR199="Нет","Нет",IF(Исходн.данные.!$AO199&gt;0,VLOOKUP($DR199,АшламаДВ_Irekle,3,FALSE),VLOOKUP($DR199,АшламаДВ_Gomumy,3,FALSE)))</f>
        <v>Нет</v>
      </c>
      <c r="DU199" s="70" t="str">
        <f>IF($DR199="Нет","Нет",IF(Исходн.данные.!$AO199&gt;0,VLOOKUP($DR199,АшламаДВ_Irekle,4,FALSE),VLOOKUP($DR199,АшламаДВ_Gomumy,4,FALSE)))</f>
        <v>Нет</v>
      </c>
      <c r="DV199" s="70"/>
      <c r="DW199" s="70"/>
      <c r="DX199" s="70"/>
      <c r="DY199" s="10">
        <f t="shared" si="248"/>
        <v>0</v>
      </c>
      <c r="DZ199" s="10">
        <f t="shared" si="249"/>
        <v>0</v>
      </c>
      <c r="EA199" s="10">
        <f t="shared" si="250"/>
        <v>0</v>
      </c>
      <c r="EB199" s="10">
        <f t="shared" si="251"/>
        <v>0</v>
      </c>
      <c r="EC199" s="10">
        <f t="shared" si="252"/>
        <v>0</v>
      </c>
      <c r="ED199" s="10">
        <f t="shared" si="253"/>
        <v>0</v>
      </c>
      <c r="EE199" s="10">
        <f t="shared" si="254"/>
        <v>0</v>
      </c>
      <c r="EF199" s="39">
        <f>EB199*Исходн.данные.!AJ199/1000</f>
        <v>0</v>
      </c>
      <c r="EG199" s="9">
        <f t="shared" si="255"/>
        <v>0</v>
      </c>
      <c r="EH199" s="9">
        <f t="shared" si="256"/>
        <v>0</v>
      </c>
      <c r="EI199" s="39" t="e">
        <f t="shared" si="206"/>
        <v>#DIV/0!</v>
      </c>
      <c r="EJ199" s="9" t="str">
        <f t="shared" si="227"/>
        <v>Азопреципитат</v>
      </c>
      <c r="EK199" s="12">
        <f t="shared" si="207"/>
        <v>0.26</v>
      </c>
      <c r="EL199" s="12">
        <f t="shared" si="208"/>
        <v>0.13</v>
      </c>
      <c r="EM199" s="12">
        <f t="shared" si="209"/>
        <v>0</v>
      </c>
      <c r="EN199" s="12" t="str">
        <f t="shared" si="228"/>
        <v>Нет</v>
      </c>
      <c r="EO199" s="12">
        <f t="shared" si="210"/>
        <v>0</v>
      </c>
      <c r="EP199" s="12">
        <f t="shared" si="211"/>
        <v>0</v>
      </c>
      <c r="EQ199" s="12">
        <f t="shared" si="212"/>
        <v>0</v>
      </c>
      <c r="ER199" s="12" t="str">
        <f t="shared" si="257"/>
        <v>Диаммофоска</v>
      </c>
      <c r="ES199" s="12">
        <f t="shared" si="213"/>
        <v>0.1</v>
      </c>
      <c r="ET199" s="12">
        <f t="shared" si="214"/>
        <v>0.26</v>
      </c>
      <c r="EU199" s="12">
        <f t="shared" si="215"/>
        <v>0.26</v>
      </c>
      <c r="EV199" s="12" t="str">
        <f t="shared" si="258"/>
        <v>Аммофос 12:52:00</v>
      </c>
      <c r="EW199" s="12" t="str">
        <f t="shared" si="259"/>
        <v>Кемира Свекловичное-6</v>
      </c>
      <c r="EX199" s="12">
        <f t="shared" si="216"/>
        <v>0.16</v>
      </c>
      <c r="EY199" s="12">
        <f t="shared" si="217"/>
        <v>0.12</v>
      </c>
      <c r="EZ199" s="12">
        <f t="shared" si="218"/>
        <v>0.17</v>
      </c>
      <c r="FA199" s="38" t="e">
        <f>IF(AND(OR(FJ199=$FD$1,FM199=$FD$1,FO199=$FD$1,FQ199=$FD$1,FS199=$FD$1),FD199=$FD$1,Исходн.данные.!J199&lt;2,FU199=$FD$1),"Бор,Кобальт",IF(AND(FO199=$FD$1,FH199=$FD$1,Исходн.данные.!J199&lt;2,FU199=$FD$1),"Бор,Кобальт",IF(AND(OR(FJ199=$FD$1,FM199=$FD$1,FQ199=$FD$1),FE199=$FD$1,Исходн.данные.!J199&lt;2,FT199=$FD$1,FU199=$FD$1),"Бор,Медь,Цинк",IF(AND(OR(FJ199=$FD$1,FR199="Да"),FI199="Да",Исходн.данные.!J199&lt;2,FT199="Да",FU199="Да"),"Бор,Цинк,Медь",IF(AND(OR(FM199="Да",FQ199="Да"),FI199="Да",Исходн.данные.!J199&lt;2,FT199="Да",FU199="Да"),"Бор,Цинк",IF(AND(FN199="Да",OR(FD199="Да",FE199="Да")),"Бор",FB199))))))</f>
        <v>#N/A</v>
      </c>
      <c r="FB199" s="134" t="e">
        <f>IF(AND(OR(FD199="Да",FE199="Да",FF199="Да",FG199="Да",FH199="Да"),FO199="Да"),"Бор",IF(AND(FP199="Да",OR(FD199="Да",FE199="Да",FI199="Да")),"Бор",IF(AND(FS199="Да",FE199="Да"),"Бор,Медь",IF(AND(OR(FJ199="Да",FK199="Да",FL199="Да"),FE199="Да",Исходн.данные.!I199&lt;5,FT199="Да",FU199="Да"),"Молибден,Цинк",IF(AND(FM199="Да",OR(FE199="Да",FF199="Да",FG199="Да",FH199="Да",FI199="Да")),"Молибден,Цинк",IF(AND(OR(FJ199="Да",FK199="Да",FL199="Да",FM199="Да",FQ199="Да"),OR(FE199="Да",FF199="Да"),FT199="Да",FU199="Да",Исходн.данные.!I199&gt;5.5),"Медь,Цинк",FC199))))))</f>
        <v>#N/A</v>
      </c>
      <c r="FC199" s="23" t="e">
        <f t="shared" si="260"/>
        <v>#N/A</v>
      </c>
      <c r="FD199" s="38" t="str">
        <f>IF(OR(Исходн.данные.!F199=$CC$1,Исходн.данные.!F199=$CC$2,Исходн.данные.!F199=$CC$3,Исходн.данные.!F199=$CC$4),"Да","Нет")</f>
        <v>Нет</v>
      </c>
      <c r="FE199" s="38" t="str">
        <f>IF(Исходн.данные.!F199=$CC$5,"Да","Нет")</f>
        <v>Нет</v>
      </c>
      <c r="FF199" s="38" t="str">
        <f>IF(OR(Исходн.данные.!F199=$CC$6,Исходн.данные.!F199=$CC$7),"Да","Нет")</f>
        <v>Нет</v>
      </c>
      <c r="FG199" s="38" t="str">
        <f>IF(OR(Исходн.данные.!F199=$CC$8,Исходн.данные.!F199=$CC$9),"Да","Нет")</f>
        <v>Нет</v>
      </c>
      <c r="FH199" s="38" t="str">
        <f>IF(Исходн.данные.!F199=$CC$10,"Да","Нет")</f>
        <v>Нет</v>
      </c>
      <c r="FI199" s="38" t="str">
        <f>IF(OR(Исходн.данные.!F199=$CC$11,Исходн.данные.!F199=$CC$12),"Да","Нет")</f>
        <v>Нет</v>
      </c>
      <c r="FJ199" s="38" t="str">
        <f>IF(OR(Исходн.данные.!AH199=$BS$1,Исходн.данные.!AH199=$BQ$11,Исходн.данные.!AH199=$BQ$12),"Да","Нет")</f>
        <v>Нет</v>
      </c>
      <c r="FK199" s="38" t="str">
        <f>IF(OR(Исходн.данные.!AH199=$BS$2,Исходн.данные.!AH199=$BS$4),"Да","Нет")</f>
        <v>Нет</v>
      </c>
      <c r="FL199" s="38" t="str">
        <f>IF(OR(Исходн.данные.!AH199=$BS$3,Исходн.данные.!AH199=$BS$5),"Да","Нет")</f>
        <v>Нет</v>
      </c>
      <c r="FM199" s="38" t="str">
        <f>IF(OR(Исходн.данные.!AH199=$BS$9,Исходн.данные.!AH199=$BS$10,Исходн.данные.!AH199=$BS$11,Исходн.данные.!AH199=$BS$12),"Да","Нет")</f>
        <v>Нет</v>
      </c>
      <c r="FN199" s="38" t="str">
        <f>IF(OR(Исходн.данные.!AH199=$BS$6,Исходн.данные.!AH199=$BP$3),"Да","Нет")</f>
        <v>Нет</v>
      </c>
      <c r="FO199" s="38" t="str">
        <f>IF(Исходн.данные.!AH199=$BQ$9,"Да","Нет")</f>
        <v>Нет</v>
      </c>
      <c r="FP199" s="38" t="str">
        <f>IF(OR(Исходн.данные.!AH199=$BS$8,Исходн.данные.!AH199=$BT$8),"Да","Нет")</f>
        <v>Нет</v>
      </c>
      <c r="FQ199" s="38" t="str">
        <f>IF(OR(Исходн.данные.!AH199=$BQ$7,Исходн.данные.!AH199=$BQ$8),"Да","Нет")</f>
        <v>Нет</v>
      </c>
      <c r="FR199" s="38" t="str">
        <f>IF(Исходн.данные.!AI199=$BU$9,"Да","Нет")</f>
        <v>Нет</v>
      </c>
      <c r="FS199" s="38" t="str">
        <f>IF(OR(Исходн.данные.!AH199=$BP$1,Исходн.данные.!AH199=$BP$2),"Да","Нет")</f>
        <v>Нет</v>
      </c>
      <c r="FT199" s="38" t="e">
        <f>IF((Исходн.данные.!K199*GO199*GS199*GW199+BL199*0.6+Исходн.данные.!Q199*4.5*0.275)&gt;90,"Да","Нет")</f>
        <v>#N/A</v>
      </c>
      <c r="FU199" s="38" t="e">
        <f>IF((Исходн.данные.!M199*GS199*GZ199+BM199*0.225)&gt;35,"Да","Нет")</f>
        <v>#N/A</v>
      </c>
      <c r="FV199" s="38" t="str">
        <f>IF(Исходн.данные.!O199&gt;175,"Да","Нет")</f>
        <v>Нет</v>
      </c>
      <c r="FW199" s="39" t="str">
        <f>IF(Исходн.данные.!I199&gt;5.5,"Да","Нет")</f>
        <v>Нет</v>
      </c>
      <c r="FX199" s="39" t="str">
        <f>IF(Исходн.данные.!J199&lt;2,"Да","Нет")</f>
        <v>Да</v>
      </c>
      <c r="FY199" s="39" t="e">
        <f>IF(HF199=$FY$16,0,Исходн.данные.!K199*GO199*GS199*GW199/HF199)</f>
        <v>#N/A</v>
      </c>
      <c r="FZ199" s="39" t="e">
        <f>Исходн.данные.!M199*GS199*GZ199/HG199</f>
        <v>#N/A</v>
      </c>
      <c r="GA199" s="39" t="e">
        <f>IF(K_Wyn=$FY$16,0,IF(Исходн.данные.!N199=Исходн.данные.!$L$10,Исходн.данные.!O199/1.1*GS199*HC199/HH199,IF(Исходн.данные.!N199=Исходн.данные.!$L$12,Исходн.данные.!O199/1.5*GS199*HC199/HH199,Исходн.данные.!O199*GS199*HC199/HH199)))</f>
        <v>#N/A</v>
      </c>
      <c r="GB199" s="39" t="e">
        <f>IF(HF199=$FY$16,0,((Исходн.данные.!Q199*N_Org+Исходн.данные.!R199*N_Sider+Исходн.данные.!S199*N_Soloma)*AO199+Расчет!BC199*VLOOKUP(Исходн.данные.!T199,Справ!$A$3:$O$57,15)*AO199+BB199*VLOOKUP(Исходн.данные.!T199,Справ!$A$3:$O$57,15)*AL199+(Исходн.данные.!V199*N_Rizotorf+Исходн.данные.!W199*N_Rizoagr))/HF199)</f>
        <v>#N/A</v>
      </c>
      <c r="GC199" s="39" t="e">
        <f>IF(HG199=$FY$16,0,((Исходн.данные.!Q199*Р_Org+Исходн.данные.!R199*P_Sider+Исходн.данные.!S199*P_Soloma)*AP199+Расчет!BC199*VLOOKUP(Исходн.данные.!T199,Справ!$A$3:$P$57,16)*AP199+BB199*VLOOKUP(Исходн.данные.!T199,Справ!$A$3:$P$57,16)*AM199)/HG199)</f>
        <v>#N/A</v>
      </c>
      <c r="GD199" s="39" t="e">
        <f>IF(HH199=$FY$16,0,((Исходн.данные.!Q199*К_Org+Исходн.данные.!R199*K_Sider+Исходн.данные.!S199*K_Soloma)*AQ199+Расчет!BC199*VLOOKUP(Исходн.данные.!T199,Справ!$A$3:$Q$57,17)*AQ199+BB199*VLOOKUP(Исходн.данные.!T199,Справ!$A$3:$Q$57,17)*AN199)/HH199)</f>
        <v>#N/A</v>
      </c>
      <c r="GE199" s="39" t="e">
        <f>IF(HF199=$FY$16,0,(Исходн.данные.!X199*AR199+Исходн.данные.!AA199*N_Org*AL199+Исходн.данные.!AB199*N_Sider*AL199+Исходн.данные.!AC199*N_Soloma*AL199)/HF199)</f>
        <v>#N/A</v>
      </c>
      <c r="GF199" s="39" t="e">
        <f>IF(HG199=$FY$16,0,(Исходн.данные.!Y199*AS199+Исходн.данные.!AA199*Р_Org*AM199+Исходн.данные.!AB199*P_Sider*AM199+Исходн.данные.!AC199*P_Soloma*AM199)/HG199)</f>
        <v>#N/A</v>
      </c>
      <c r="GG199" s="39" t="e">
        <f>IF(HH199=$FY$16,0,(Исходн.данные.!Z199*AT199+Исходн.данные.!AA199*К_Org*AN199+Исходн.данные.!AB199*K_Sider*AN199+Исходн.данные.!AC199*K_Soloma*AN199)/HH199)</f>
        <v>#N/A</v>
      </c>
      <c r="GH199" s="39" t="e">
        <f>Исходн.данные.!AD199*AU199/HF199</f>
        <v>#N/A</v>
      </c>
      <c r="GI199" s="39" t="e">
        <f>Исходн.данные.!AE199*AV199/HG199</f>
        <v>#N/A</v>
      </c>
      <c r="GJ199" s="39" t="e">
        <f>Исходн.данные.!AF199*AW199/HH199</f>
        <v>#N/A</v>
      </c>
      <c r="GK199" s="55">
        <f>Исходн.данные.!AK199</f>
        <v>0</v>
      </c>
      <c r="GL199" s="11" t="e">
        <f t="shared" si="261"/>
        <v>#N/A</v>
      </c>
      <c r="GM199" s="11" t="e">
        <f t="shared" si="262"/>
        <v>#N/A</v>
      </c>
      <c r="GN199" s="11" t="e">
        <f t="shared" si="263"/>
        <v>#N/A</v>
      </c>
      <c r="GO199" s="57">
        <f t="shared" si="264"/>
        <v>19</v>
      </c>
      <c r="GP199" s="55">
        <f>IF(OR(Исходн.данные.!F199=$CE$1,Исходн.данные.!F199=$CE$2,Исходн.данные.!F199=$CE$3,Исходн.данные.!F199=$CE$4,Исходн.данные.!F199=$CE$5),GQ199,GR199)</f>
        <v>19</v>
      </c>
      <c r="GQ199" s="55">
        <f>IF(Исходн.данные.!F199=$CE$1,28,IF(Исходн.данные.!F199=$CE$2,26,IF(Исходн.данные.!F199=$CE$3,24,IF(Исходн.данные.!F199=$CE$4,22,IF(Исходн.данные.!F199=$CE$5,20,GR199)))))</f>
        <v>19</v>
      </c>
      <c r="GR199" s="55">
        <f>IF(Исходн.данные.!F199=$CE$6,18,IF(Исходн.данные.!F199=$CE$7,16,IF(Исходн.данные.!F199=$CE$8,14,IF(Исходн.данные.!F199=$CE$9,13,IF(Исходн.данные.!F199=$CE$10,12,19)))))</f>
        <v>19</v>
      </c>
      <c r="GS199" s="55">
        <f>IF(Исходн.данные.!G199="Пес",0.035*(40+2*Исходн.данные.!H199),IF(Исходн.данные.!G199="Суп",0.0325*(40+2*Исходн.данные.!H199),0.03*(40+2*Исходн.данные.!H199)))</f>
        <v>1.2</v>
      </c>
      <c r="GT199" s="55">
        <f>IF(Исходн.данные.!H199&lt;23,2.6,IF(AND(Исходн.данные.!H199&gt;22,Исходн.данные.!H199&lt;26),3,IF(AND(Исходн.данные.!H199&gt;25,Исходн.данные.!H199&lt;29),3.4,3.6)))</f>
        <v>2.6</v>
      </c>
      <c r="GU199" s="55">
        <f>IF(Исходн.данные.!H199&lt;23,2.8,IF(AND(Исходн.данные.!H199&gt;22,Исходн.данные.!H199&lt;26),3.2,IF(AND(Исходн.данные.!H199&gt;25,Исходн.данные.!H199&lt;29),3.6,3.9)))</f>
        <v>2.8</v>
      </c>
      <c r="GV199" s="55">
        <f>IF(Исходн.данные.!H199&lt;23,3,IF(AND(Исходн.данные.!H199&gt;22,Исходн.данные.!H199&lt;26),3.5,IF(AND(Исходн.данные.!H199&gt;25,Исходн.данные.!H199&lt;29),3.9,4.2)))</f>
        <v>3</v>
      </c>
      <c r="GW199" s="55" t="e">
        <f>IF(Исходн.данные.!P199="Ум",GX199,GY199)</f>
        <v>#N/A</v>
      </c>
      <c r="GX199" s="55" t="e">
        <f>VLOOKUP(Исходн.данные.!AI199,Коэффициенты!$J$7:$L$13,2,FALSE)</f>
        <v>#N/A</v>
      </c>
      <c r="GY199" s="55" t="e">
        <f>VLOOKUP(Исходн.данные.!AI199,Коэффициенты!$J$7:$L$13,3,FALSE)</f>
        <v>#N/A</v>
      </c>
      <c r="GZ199" s="55" t="e">
        <f>(IF(Исходн.данные.!M199&lt;50,0.11*VLOOKUP(Исходн.данные.!AH199,Культуры.Информация,7,FALSE),IF(Исходн.данные.!M199&gt;250,0.05*VLOOKUP(Исходн.данные.!AH199,Культуры.Информация,7,FALSE),VLOOKUP(Исходн.данные.!AH199,Культуры.Информация,5,FALSE)/100*($GX$6+$GY$6*Исходн.данные.!M199))))*Расчет2!AI199</f>
        <v>#N/A</v>
      </c>
      <c r="HA199" s="211"/>
      <c r="HB199" s="211"/>
      <c r="HC199" s="55" t="e">
        <f>(IF(Исходн.данные.!O199&lt;80,0.2*VLOOKUP(Исходн.данные.!AH199,Культуры.Информация,8,FALSE),IF(Исходн.данные.!O199&gt;240,0.09*VLOOKUP(Исходн.данные.!AH199,Культуры.Информация,8,FALSE),VLOOKUP(Исходн.данные.!AH199,Культуры.Информация,6,FALSE)/100*($HB$6+$HC$6*Исходн.данные.!O199))))*Расчет2!AJ199</f>
        <v>#N/A</v>
      </c>
      <c r="HD199" s="55">
        <f>IF(Исходн.данные.!O199&gt;240,0.09,IF(Исходн.данные.!O199&lt;30,0.3,$HE$10+$HD$10*Исходн.данные.!O199))</f>
        <v>0.3</v>
      </c>
      <c r="HE199" s="55">
        <f>IF(Исходн.данные.!O199&gt;240,0.17,IF(Исходн.данные.!O199&lt;30,0.5,$HF$12+$HE$12*Исходн.данные.!O199))</f>
        <v>0.5</v>
      </c>
      <c r="HF199" s="55" t="e">
        <f>VLOOKUP(Исходн.данные.!AH199,Справ!$A$3:$D$58,2,FALSE)</f>
        <v>#N/A</v>
      </c>
      <c r="HG199" s="55" t="e">
        <f>VLOOKUP(Исходн.данные.!AH199,Справ!$A$3:$D$58,3,FALSE)</f>
        <v>#N/A</v>
      </c>
      <c r="HH199" s="55" t="e">
        <f>VLOOKUP(Исходн.данные.!AH199,Справ!$A$3:$D$58,4,FALSE)</f>
        <v>#N/A</v>
      </c>
      <c r="HI199" s="11" t="e">
        <f t="shared" si="265"/>
        <v>#N/A</v>
      </c>
      <c r="HJ199" s="11" t="e">
        <f t="shared" si="266"/>
        <v>#N/A</v>
      </c>
      <c r="HK199" s="11" t="e">
        <f t="shared" si="267"/>
        <v>#N/A</v>
      </c>
      <c r="HL199" s="55">
        <f>IF(OR(Исходн.данные.!G199="Глин",Исходн.данные.!G199="Т_суг"),1.1,IF(Исходн.данные.!G199="Ср_суг",1,1))</f>
        <v>1</v>
      </c>
      <c r="HM199" s="55">
        <f>IF(OR(Исходн.данные.!G199="Глин",Исходн.данные.!G199="Т_суг"),0.9,IF(Исходн.данные.!G199="Ср_суг",1,1.2))</f>
        <v>1.2</v>
      </c>
      <c r="HN199" s="11" t="e">
        <f t="shared" si="268"/>
        <v>#N/A</v>
      </c>
      <c r="HO199" s="11" t="e">
        <f t="shared" si="269"/>
        <v>#N/A</v>
      </c>
      <c r="HP199" s="11" t="e">
        <f t="shared" si="270"/>
        <v>#N/A</v>
      </c>
      <c r="HQ199" t="e">
        <f t="shared" si="271"/>
        <v>#N/A</v>
      </c>
      <c r="HR199" t="e">
        <f t="shared" si="272"/>
        <v>#N/A</v>
      </c>
      <c r="HS199" t="e">
        <f t="shared" si="273"/>
        <v>#N/A</v>
      </c>
      <c r="HT199" t="e">
        <f t="shared" si="219"/>
        <v>#N/A</v>
      </c>
      <c r="HU199" t="e">
        <f t="shared" si="220"/>
        <v>#N/A</v>
      </c>
      <c r="HV199" t="e">
        <f t="shared" si="221"/>
        <v>#N/A</v>
      </c>
      <c r="HW199" t="e">
        <f t="shared" si="222"/>
        <v>#N/A</v>
      </c>
      <c r="HX199" t="e">
        <f t="shared" si="223"/>
        <v>#N/A</v>
      </c>
      <c r="HY199" t="e">
        <f t="shared" si="224"/>
        <v>#N/A</v>
      </c>
      <c r="HZ199" s="55">
        <f>IF(OR(Исходн.данные.!AI199="Оз_Ч_П",Исходн.данные.!AI199="Оз_З_П",Исходн.данные.!AI199="Яр_зер"),12,30)</f>
        <v>30</v>
      </c>
      <c r="IA199" t="e">
        <f t="shared" si="274"/>
        <v>#N/A</v>
      </c>
      <c r="IB199" t="e">
        <f t="shared" si="275"/>
        <v>#N/A</v>
      </c>
      <c r="IC199" t="e">
        <f t="shared" si="276"/>
        <v>#N/A</v>
      </c>
      <c r="ID199" s="11" t="e">
        <f t="shared" si="277"/>
        <v>#N/A</v>
      </c>
      <c r="IE199" s="11" t="e">
        <f t="shared" si="278"/>
        <v>#N/A</v>
      </c>
      <c r="IF199" s="11" t="e">
        <f t="shared" si="279"/>
        <v>#N/A</v>
      </c>
    </row>
    <row r="200" spans="35:240" x14ac:dyDescent="0.2">
      <c r="AI200">
        <f>IF(Исходн.данные.!I200&gt;6,1,1.85-(0.148*Исходн.данные.!I200))</f>
        <v>1.85</v>
      </c>
      <c r="AJ200">
        <f>IF(Исходн.данные.!I200&gt;6,1,2.434-(0.246*Исходн.данные.!I200))</f>
        <v>2.4340000000000002</v>
      </c>
      <c r="AL200" s="148" t="b">
        <f>IF(Исходн.данные.!$P200="Ум",N_OrgUd_2g_um,IF(Исходн.данные.!$P200="Об",N_OrgUd_2g_ob))</f>
        <v>0</v>
      </c>
      <c r="AM200" s="148" t="b">
        <f>IF(Исходн.данные.!$P200="Ум",P_OrgUd_2g_um,IF(Исходн.данные.!$P200="Об",P_OrgUd_2g_ob))</f>
        <v>0</v>
      </c>
      <c r="AN200" s="148" t="b">
        <f>IF(Исходн.данные.!$P200="Ум",K_OrgUd_2g_um,IF(Исходн.данные.!$P200="Об",K_OrgUd_2g_ob))</f>
        <v>0</v>
      </c>
      <c r="AO200" s="148" t="b">
        <f>IF(Исходн.данные.!$P200="Ум",N_OrgUd_1g_um,IF(Исходн.данные.!$P200="Об",N_OrgUd_1g_ob))</f>
        <v>0</v>
      </c>
      <c r="AP200" s="148" t="b">
        <f>IF(Исходн.данные.!$P200="Ум",P_OrgUd_1g_um,IF(Исходн.данные.!$P200="Об",P_OrgUd_1g_ob))</f>
        <v>0</v>
      </c>
      <c r="AQ200" s="148" t="b">
        <f>IF(Исходн.данные.!$P200="Ум",K_OrgUd_1g_um,IF(Исходн.данные.!$P200="Об",K_OrgUd_1g_ob))</f>
        <v>0</v>
      </c>
      <c r="AR200" t="b">
        <f>IF(Исходн.данные.!$P200="Ум",N_MinUd_2g_um,IF(Исходн.данные.!$P200="Об",N_MinUd_2g_ob))</f>
        <v>0</v>
      </c>
      <c r="AS200" t="b">
        <f>IF(Исходн.данные.!$P200="Ум",P_MinUd_2g_um,IF(Исходн.данные.!$P200="Об",P_MinUd_2g_ob))</f>
        <v>0</v>
      </c>
      <c r="AT200" t="b">
        <f>IF(Исходн.данные.!$P200="Ум",K_MinUd_2g_um,IF(Исходн.данные.!$P200="Об",K_MinUd_2g_ob))</f>
        <v>0</v>
      </c>
      <c r="AU200" t="b">
        <f>IF(Исходн.данные.!$P200="Ум",N_MinUd_1g_um,IF(Исходн.данные.!$P200="Об",N_MinUd_1g_ob))</f>
        <v>0</v>
      </c>
      <c r="AV200" t="b">
        <f>IF(Исходн.данные.!P200="Ум",P_MinUd_1g_um,IF(Исходн.данные.!P200="Об",P_MinUd_1g_ob))</f>
        <v>0</v>
      </c>
      <c r="AW200" t="b">
        <f>IF(Исходн.данные.!P200="Ум",K_MinUd_1g_um,IF(Исходн.данные.!P200="Об",K_MinUd_1g_ob))</f>
        <v>0</v>
      </c>
      <c r="AY200" t="e">
        <f>VLOOKUP(Исходн.данные.!T200,Справ!$A$3:$N$57,12)</f>
        <v>#N/A</v>
      </c>
      <c r="AZ200" t="e">
        <f>VLOOKUP(Исходн.данные.!T200,Справ!$A$3:$N$57,13)</f>
        <v>#N/A</v>
      </c>
      <c r="BA200" t="e">
        <f>VLOOKUP(Исходн.данные.!T200,Справ!$A$3:$N$57,14)</f>
        <v>#N/A</v>
      </c>
      <c r="BB200">
        <f>IF(Исходн.данные.!AH200=0,0,25)</f>
        <v>0</v>
      </c>
      <c r="BC200" s="141">
        <f>IF(Исходн.данные.!AH200=0,0,IF(Исходн.данные.!T200=0,25,BD200))</f>
        <v>0</v>
      </c>
      <c r="BD200" s="168" t="e">
        <f>AY200+AZ200*Исходн.данные.!U200-POWER(BA200,2)*Исходн.данные.!U200</f>
        <v>#N/A</v>
      </c>
      <c r="BE20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0" s="25">
        <f>IF(Исходн.данные.!AH200=0,0,MIN(HN200:HP200))</f>
        <v>0</v>
      </c>
      <c r="BG200" s="9">
        <f>IF(Исходн.данные.!AH200=0,0,IF((HO200+10*0.25/HG200/HL200)&lt;17,17,HO200+10*0.25/HG200/HL200))</f>
        <v>0</v>
      </c>
      <c r="BH200" s="181">
        <f>IF(Исходн.данные.!AH200=0,0,HW200*HF200*HL200/AU200*AI200+Исходн.данные.!S200*10)</f>
        <v>0</v>
      </c>
      <c r="BI200" s="10"/>
      <c r="BJ200" s="182">
        <f>IF(Исходн.данные.!AH200=0,0,IF(HX200*HG200*HL200/AV200&lt;0,0,HX200*HG200*HL200/AV200*AJ200))</f>
        <v>0</v>
      </c>
      <c r="BK200" s="182">
        <f>IF(Исходн.данные.!AH200=0,0,HY200*HH200*HM200/AW200)</f>
        <v>0</v>
      </c>
      <c r="BL200" s="10">
        <f>IF(OR(Исходн.данные.!$AH200=$BP$1,Исходн.данные.!$AH200=$BP$2),0,IF(BH200&lt;0,0,IF(OR(Исходн.данные.!T200=Расчет!$BP$1,Исходн.данные.!T200=Расчет!$BP$2,Исходн.данные.!T200=Расчет!$BT$5,Исходн.данные.!T200=Расчет!$BT$6),BH200*0.5,IF(OR(Исходн.данные.!T200=Расчет!$BS$9,Исходн.данные.!T200=Расчет!$BS$10,Исходн.данные.!T200=Расчет!$BS$11,Исходн.данные.!T200=Расчет!$BS$12,Исходн.данные.!T200=Расчет!$BP$5),BH200*0.8,BH200))))</f>
        <v>0</v>
      </c>
      <c r="BM200" s="10">
        <f>IF(OR(Исходн.данные.!$AH200=$BP$1,Исходн.данные.!$AH200=$BP$2),0,IF(BJ200&lt;0,0,IF(Исходн.данные.!I200&lt;4.5,BJ200*1.2,IF(Исходн.данные.!I200&gt;5.1,BJ200,BJ200*((5.1-Исходн.данные.!I200)*0.333+1)))))</f>
        <v>0</v>
      </c>
      <c r="BN200" s="10">
        <f>IF(OR(Исходн.данные.!$AH200=$BP$1,Исходн.данные.!$AH200=$BP$2),60-Исходн.данные.!AF200,IF(BK200&lt;0,0,IF(Исходн.данные.!I200&lt;4.5,BK200*1.2,IF(Исходн.данные.!I200&gt;5.1,BK200,BK200*((5.1-Исходн.данные.!I200)*0.333+1)))))</f>
        <v>0</v>
      </c>
      <c r="BO200" s="9">
        <f>IF(BL200&lt;0,0,BL200*Исходн.данные.!$AJ200/1000)</f>
        <v>0</v>
      </c>
      <c r="BP200" s="9">
        <f>IF(BM200&lt;0,0,BM200*Исходн.данные.!$AJ200/1000)</f>
        <v>0</v>
      </c>
      <c r="BQ200" s="9">
        <f>IF(BN200&lt;0,0,BN200*Исходн.данные.!$AJ200/1000)</f>
        <v>0</v>
      </c>
      <c r="BR200" s="9">
        <f t="shared" si="229"/>
        <v>0</v>
      </c>
      <c r="BS200" s="10" t="str">
        <f t="shared" si="230"/>
        <v>Аммофос 12:52:00</v>
      </c>
      <c r="BT200" s="10" t="str">
        <f t="shared" si="231"/>
        <v>Аммофос 12:52:00</v>
      </c>
      <c r="BU200" s="10" t="str">
        <f t="shared" si="232"/>
        <v>Диаммофоска</v>
      </c>
      <c r="BV200" s="10">
        <f t="shared" si="233"/>
        <v>0</v>
      </c>
      <c r="BW200" s="10"/>
      <c r="BX200" s="10"/>
      <c r="BY200" s="9">
        <f>IF(BL200&lt;0,0,IF(OR(Исходн.данные.!AI200=Расчет!$BU$6,Исходн.данные.!AI200=Расчет!$BU$7),Расчет!BV200,IF(Исходн.данные.!$AG200=$BV$11,BL200,IF(OR(Исходн.данные.!$AH200=$BQ$7,Исходн.данные.!$AH200=$BQ$8),CB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0,IF(Исходн.данные.!$AI200=$BU$11,"Нет",IF(BL200&gt;30,30,BL200)))))))</f>
        <v>0</v>
      </c>
      <c r="BZ200" s="9">
        <f>IF(AND(Исходн.данные.!$AG200=$BV$11,BM200&lt;10),10,IF(Исходн.данные.!$AG200=$BV$11,BM200,IF(OR(Исходн.данные.!$AH200=$BQ$7,Исходн.данные.!$AH200=$BQ$8),CC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10,IF(Исходн.данные.!$AI200=$BU$11,"Нет",IF(BM200&gt;60,60,IF(BM200&lt;10,10,BM200)))))))</f>
        <v>10</v>
      </c>
      <c r="CA200" s="39">
        <f>IF(BN200&lt;0,0,IF(Исходн.данные.!$AG200=$BV$11,BN200,IF(OR(Исходн.данные.!$AH200=$BQ$7,Исходн.данные.!$AH200=$BQ$8),CD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0,IF(Исходн.данные.!$AI200=$BU$11,"Нет",IF(BN200&gt;30,30,BN200))))))</f>
        <v>0</v>
      </c>
      <c r="CB200" s="9">
        <f t="shared" si="234"/>
        <v>0</v>
      </c>
      <c r="CC200" s="9">
        <f t="shared" si="235"/>
        <v>0</v>
      </c>
      <c r="CD200" s="9">
        <f t="shared" si="236"/>
        <v>0</v>
      </c>
      <c r="CE200" s="12">
        <f t="shared" si="237"/>
        <v>10</v>
      </c>
      <c r="CF200" s="9">
        <f t="shared" si="238"/>
        <v>0</v>
      </c>
      <c r="CG200" s="9" t="s">
        <v>231</v>
      </c>
      <c r="CH200" s="132" t="str">
        <f>IF(Исходн.данные.!AP200=Расчет!$CI$16,"Нет",IF(Исходн.данные.!AL200&gt;0,Исходн.данные.!AL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BH$4,IF(OR(Исходн.данные.!AI200=Исходн.данные.!$AI$6,Исходн.данные.!AI200=Исходн.данные.!$AI$7),Расчет!BS200,IF(AND($CF200=0,$CE200&gt;0),EV200,ER200)))))</f>
        <v>Аммофос 12:52:00</v>
      </c>
      <c r="CI200" s="274">
        <f>IF(Расчет!$CH200="Нет","Нет",IF(Исходн.данные.!$AL200&gt;0,VLOOKUP(Расчет!$CH200,АшламаДВ_Irekle,2,FALSE),VLOOKUP(Расчет!$CH200,АшламаДВ_Gomumy,2,FALSE)))</f>
        <v>0.12</v>
      </c>
      <c r="CJ200" s="274">
        <f>IF(Расчет!$CH200="Нет","Нет",IF(Исходн.данные.!$AL200&gt;0,VLOOKUP(Расчет!$CH200,АшламаДВ_Irekle,3,FALSE),VLOOKUP(Расчет!$CH200,АшламаДВ_Gomumy,3,FALSE)))</f>
        <v>0.52</v>
      </c>
      <c r="CK200" s="274">
        <f>IF(Расчет!$CH200="Нет","Нет",IF(Исходн.данные.!$AL200&gt;0,VLOOKUP(Расчет!$CH200,АшламаДВ_Irekle,4,FALSE),VLOOKUP(Расчет!$CH200,АшламаДВ_Gomumy,4,FALSE)))</f>
        <v>0</v>
      </c>
      <c r="CL200" s="70"/>
      <c r="CM200" s="70"/>
      <c r="CN200" s="70"/>
      <c r="CO200" s="70"/>
      <c r="CP200" s="70"/>
      <c r="CQ200" s="70"/>
      <c r="CR200" s="10">
        <f t="shared" si="239"/>
        <v>0</v>
      </c>
      <c r="CS200" s="10">
        <f t="shared" si="240"/>
        <v>19.23076923076923</v>
      </c>
      <c r="CT200" s="10">
        <f t="shared" si="241"/>
        <v>0</v>
      </c>
      <c r="CU200" s="39">
        <f>IF($CH200="Нет",0,IF(CI200=0,30/MIN(CJ200:CK200),IF(Исходн.данные.!$AG200=$BV$11,CR200,IF(OR(Исходн.данные.!$AH200=$BQ$7,Исходн.данные.!$AH200=$BQ$8),90/CI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0,IF(Исходн.данные.!$AI200=$BU$11,"Нет",30/CI200))))))</f>
        <v>250</v>
      </c>
      <c r="CV200" s="39">
        <f>IF($CH200="Нет",0,IF(Исходн.данные.!AH200=0,0,IF(CJ200=0,60/MIN(CI200,CK200),IF(Исходн.данные.!$AG200=$BV$11,CS200,IF(OR(Исходн.данные.!$AH200=$BQ$7,Исходн.данные.!$AH200=$BQ$8),90/CJ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10/CJ200,IF(Исходн.данные.!$AI200=$BU$11,"Нет",60/CJ200)))))))</f>
        <v>0</v>
      </c>
      <c r="CW200" s="39">
        <f>IF($CH200="Нет",0,IF(Исходн.данные.!AH200=0,0,IF(CK200=0,30/MIN(CI200:CJ200),IF(Исходн.данные.!$AG200=$BV$11,CT200,IF(OR(Исходн.данные.!$AH200=$BQ$7,Исходн.данные.!$AH200=$BQ$8),90/CK200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0,IF(Исходн.данные.!$AI200=$BU$11,"Нет",30/CK200)))))))</f>
        <v>0</v>
      </c>
      <c r="CX200" s="133">
        <f>IF(Исходн.данные.!$AG200=$BV$11,MAX(CU200:CW200),IF(OR(Исходн.данные.!$AH200=$BS$8,Исходн.данные.!$AH200=$BQ$9,Исходн.данные.!$AH200=$BQ$10,Исходн.данные.!$AH200=$BQ$11,Исходн.данные.!$AH200=$BQ$12,Исходн.данные.!$AH200=$BP$3,Исходн.данные.!$AH200=$BT$8,$FM200="Да"),CV200,MIN(CU200:CW200)))</f>
        <v>0</v>
      </c>
      <c r="CY200" s="133">
        <f>IF(Исходн.данные.!AH200=0,0,IF(CR200&gt;$CX200,$CX200,CR200))</f>
        <v>0</v>
      </c>
      <c r="CZ200" s="133">
        <f>IF(Исходн.данные.!AH200=0,0,IF(CS200&gt;$CX200,$CX200,CS200))</f>
        <v>0</v>
      </c>
      <c r="DA200" s="133">
        <f>IF(Исходн.данные.!AH200=0,0,IF(CT200&gt;$CX200,$CX200,CT200))</f>
        <v>0</v>
      </c>
      <c r="DB200" s="10">
        <f t="shared" si="242"/>
        <v>0</v>
      </c>
      <c r="DC200" s="39">
        <f>DB200*Исходн.данные.!AJ200/1000</f>
        <v>0</v>
      </c>
      <c r="DD200" s="71">
        <f t="shared" si="243"/>
        <v>0</v>
      </c>
      <c r="DE200" s="9">
        <f t="shared" si="244"/>
        <v>0</v>
      </c>
      <c r="DF200" s="9">
        <f t="shared" si="245"/>
        <v>0</v>
      </c>
      <c r="DG200" s="39">
        <f>IF(BL200&lt;0,0,IF($CH200="Нет",BL200,IF(OR(Исходн.данные.!$AH200=$BP$1,Исходн.данные.!$AH200=$BP$2),0,IF(Исходн.данные.!AI200=$BU$11,BL200,IF(BL200-DD200&lt;0,0,BL200-DD200)))))</f>
        <v>0</v>
      </c>
      <c r="DH200" s="39">
        <f>IF(BM200&lt;0,0,IF($CH200="Нет",BM200,IF(OR(Исходн.данные.!$AH200=$BP$1,Исходн.данные.!$AH200=$BP$2),0,IF(Исходн.данные.!AJ200=$BU$11,BM200,IF(BM200-DE200&lt;0,0,BM200-DE200)))))</f>
        <v>0</v>
      </c>
      <c r="DI200" s="39">
        <f>IF(BN200&lt;0,0,IF($CH200="Нет",BN200,IF(OR(Исходн.данные.!$AH200=$BP$1,Исходн.данные.!$AH200=$BP$2),0,IF(Исходн.данные.!AK200=$BU$11,BN200,IF(BN200-DF200&lt;0,0,BN200-DF200)))))</f>
        <v>0</v>
      </c>
      <c r="DJ200" s="12">
        <f t="shared" si="246"/>
        <v>0</v>
      </c>
      <c r="DK200" s="9">
        <f t="shared" si="247"/>
        <v>0</v>
      </c>
      <c r="DL200" s="39">
        <f>IF(Исходн.данные.!AM200&gt;0,Исходн.данные.!AM200,IF(EG200&gt;0,$BH$10,0))</f>
        <v>0</v>
      </c>
      <c r="DM200" s="186">
        <f>IF($DL200=0,0,IF(Исходн.данные.!AM200&gt;0,VLOOKUP($DL200,АшламаДВ_Irekle,2,FALSE),VLOOKUP($DL200,АшламаДВ_Gomumy,2,FALSE)))</f>
        <v>0</v>
      </c>
      <c r="DN200" s="10">
        <f t="shared" si="225"/>
        <v>0</v>
      </c>
      <c r="DO200" s="9" t="str">
        <f>IF(Исходн.данные.!AN200&gt;0,Исходн.данные.!AN200,Удобрения!$B$37 )</f>
        <v>Хлор.калий</v>
      </c>
      <c r="DP200" s="9">
        <f>IF(Исходн.данные.!AN200&gt;0,VLOOKUP(Исходн.данные.!AN200,АшламаДВ_Irekle,4,FALSE),VLOOKUP(DO200,АшламаДВ_Gomumy,4,FALSE))</f>
        <v>0.6</v>
      </c>
      <c r="DQ200" s="10">
        <f t="shared" si="226"/>
        <v>0</v>
      </c>
      <c r="DR200" s="132" t="str">
        <f>IF(Исходн.данные.!AO200&gt;0,Исходн.данные.!AO200,IF(DH200=0,BS$17,IF(AND($DK200=0,$DJ200&gt;0),EJ200,EN200)))</f>
        <v>Нет</v>
      </c>
      <c r="DS200" s="70" t="str">
        <f>IF($DR200="Нет","Нет",IF(Исходн.данные.!$AO200&gt;0,VLOOKUP($DR200,АшламаДВ_Irekle,2,FALSE),VLOOKUP($DR200,АшламаДВ_Gomumy,2,FALSE)))</f>
        <v>Нет</v>
      </c>
      <c r="DT200" s="70" t="str">
        <f>IF($DR200="Нет","Нет",IF(Исходн.данные.!$AO200&gt;0,VLOOKUP($DR200,АшламаДВ_Irekle,3,FALSE),VLOOKUP($DR200,АшламаДВ_Gomumy,3,FALSE)))</f>
        <v>Нет</v>
      </c>
      <c r="DU200" s="70" t="str">
        <f>IF($DR200="Нет","Нет",IF(Исходн.данные.!$AO200&gt;0,VLOOKUP($DR200,АшламаДВ_Irekle,4,FALSE),VLOOKUP($DR200,АшламаДВ_Gomumy,4,FALSE)))</f>
        <v>Нет</v>
      </c>
      <c r="DV200" s="70"/>
      <c r="DW200" s="70"/>
      <c r="DX200" s="70"/>
      <c r="DY200" s="10">
        <f t="shared" si="248"/>
        <v>0</v>
      </c>
      <c r="DZ200" s="10">
        <f t="shared" si="249"/>
        <v>0</v>
      </c>
      <c r="EA200" s="10">
        <f t="shared" si="250"/>
        <v>0</v>
      </c>
      <c r="EB200" s="10">
        <f t="shared" si="251"/>
        <v>0</v>
      </c>
      <c r="EC200" s="10">
        <f t="shared" si="252"/>
        <v>0</v>
      </c>
      <c r="ED200" s="10">
        <f t="shared" si="253"/>
        <v>0</v>
      </c>
      <c r="EE200" s="10">
        <f t="shared" si="254"/>
        <v>0</v>
      </c>
      <c r="EF200" s="39">
        <f>EB200*Исходн.данные.!AJ200/1000</f>
        <v>0</v>
      </c>
      <c r="EG200" s="9">
        <f t="shared" si="255"/>
        <v>0</v>
      </c>
      <c r="EH200" s="9">
        <f t="shared" si="256"/>
        <v>0</v>
      </c>
      <c r="EI200" s="39" t="e">
        <f t="shared" si="206"/>
        <v>#DIV/0!</v>
      </c>
      <c r="EJ200" s="9" t="str">
        <f t="shared" si="227"/>
        <v>Азопреципитат</v>
      </c>
      <c r="EK200" s="12">
        <f t="shared" si="207"/>
        <v>0.26</v>
      </c>
      <c r="EL200" s="12">
        <f t="shared" si="208"/>
        <v>0.13</v>
      </c>
      <c r="EM200" s="12">
        <f t="shared" si="209"/>
        <v>0</v>
      </c>
      <c r="EN200" s="12" t="str">
        <f t="shared" si="228"/>
        <v>Нет</v>
      </c>
      <c r="EO200" s="12">
        <f t="shared" si="210"/>
        <v>0</v>
      </c>
      <c r="EP200" s="12">
        <f t="shared" si="211"/>
        <v>0</v>
      </c>
      <c r="EQ200" s="12">
        <f t="shared" si="212"/>
        <v>0</v>
      </c>
      <c r="ER200" s="12" t="str">
        <f t="shared" si="257"/>
        <v>Диаммофоска</v>
      </c>
      <c r="ES200" s="12">
        <f t="shared" si="213"/>
        <v>0.1</v>
      </c>
      <c r="ET200" s="12">
        <f t="shared" si="214"/>
        <v>0.26</v>
      </c>
      <c r="EU200" s="12">
        <f t="shared" si="215"/>
        <v>0.26</v>
      </c>
      <c r="EV200" s="12" t="str">
        <f t="shared" si="258"/>
        <v>Аммофос 12:52:00</v>
      </c>
      <c r="EW200" s="12" t="str">
        <f t="shared" si="259"/>
        <v>Кемира Свекловичное-6</v>
      </c>
      <c r="EX200" s="12">
        <f t="shared" si="216"/>
        <v>0.16</v>
      </c>
      <c r="EY200" s="12">
        <f t="shared" si="217"/>
        <v>0.12</v>
      </c>
      <c r="EZ200" s="12">
        <f t="shared" si="218"/>
        <v>0.17</v>
      </c>
      <c r="FA200" s="38" t="e">
        <f>IF(AND(OR(FJ200=$FD$1,FM200=$FD$1,FO200=$FD$1,FQ200=$FD$1,FS200=$FD$1),FD200=$FD$1,Исходн.данные.!J200&lt;2,FU200=$FD$1),"Бор,Кобальт",IF(AND(FO200=$FD$1,FH200=$FD$1,Исходн.данные.!J200&lt;2,FU200=$FD$1),"Бор,Кобальт",IF(AND(OR(FJ200=$FD$1,FM200=$FD$1,FQ200=$FD$1),FE200=$FD$1,Исходн.данные.!J200&lt;2,FT200=$FD$1,FU200=$FD$1),"Бор,Медь,Цинк",IF(AND(OR(FJ200=$FD$1,FR200="Да"),FI200="Да",Исходн.данные.!J200&lt;2,FT200="Да",FU200="Да"),"Бор,Цинк,Медь",IF(AND(OR(FM200="Да",FQ200="Да"),FI200="Да",Исходн.данные.!J200&lt;2,FT200="Да",FU200="Да"),"Бор,Цинк",IF(AND(FN200="Да",OR(FD200="Да",FE200="Да")),"Бор",FB200))))))</f>
        <v>#N/A</v>
      </c>
      <c r="FB200" s="134" t="e">
        <f>IF(AND(OR(FD200="Да",FE200="Да",FF200="Да",FG200="Да",FH200="Да"),FO200="Да"),"Бор",IF(AND(FP200="Да",OR(FD200="Да",FE200="Да",FI200="Да")),"Бор",IF(AND(FS200="Да",FE200="Да"),"Бор,Медь",IF(AND(OR(FJ200="Да",FK200="Да",FL200="Да"),FE200="Да",Исходн.данные.!I200&lt;5,FT200="Да",FU200="Да"),"Молибден,Цинк",IF(AND(FM200="Да",OR(FE200="Да",FF200="Да",FG200="Да",FH200="Да",FI200="Да")),"Молибден,Цинк",IF(AND(OR(FJ200="Да",FK200="Да",FL200="Да",FM200="Да",FQ200="Да"),OR(FE200="Да",FF200="Да"),FT200="Да",FU200="Да",Исходн.данные.!I200&gt;5.5),"Медь,Цинк",FC200))))))</f>
        <v>#N/A</v>
      </c>
      <c r="FC200" s="23" t="e">
        <f t="shared" si="260"/>
        <v>#N/A</v>
      </c>
      <c r="FD200" s="38" t="str">
        <f>IF(OR(Исходн.данные.!F200=$CC$1,Исходн.данные.!F200=$CC$2,Исходн.данные.!F200=$CC$3,Исходн.данные.!F200=$CC$4),"Да","Нет")</f>
        <v>Нет</v>
      </c>
      <c r="FE200" s="38" t="str">
        <f>IF(Исходн.данные.!F200=$CC$5,"Да","Нет")</f>
        <v>Нет</v>
      </c>
      <c r="FF200" s="38" t="str">
        <f>IF(OR(Исходн.данные.!F200=$CC$6,Исходн.данные.!F200=$CC$7),"Да","Нет")</f>
        <v>Нет</v>
      </c>
      <c r="FG200" s="38" t="str">
        <f>IF(OR(Исходн.данные.!F200=$CC$8,Исходн.данные.!F200=$CC$9),"Да","Нет")</f>
        <v>Нет</v>
      </c>
      <c r="FH200" s="38" t="str">
        <f>IF(Исходн.данные.!F200=$CC$10,"Да","Нет")</f>
        <v>Нет</v>
      </c>
      <c r="FI200" s="38" t="str">
        <f>IF(OR(Исходн.данные.!F200=$CC$11,Исходн.данные.!F200=$CC$12),"Да","Нет")</f>
        <v>Нет</v>
      </c>
      <c r="FJ200" s="38" t="str">
        <f>IF(OR(Исходн.данные.!AH200=$BS$1,Исходн.данные.!AH200=$BQ$11,Исходн.данные.!AH200=$BQ$12),"Да","Нет")</f>
        <v>Нет</v>
      </c>
      <c r="FK200" s="38" t="str">
        <f>IF(OR(Исходн.данные.!AH200=$BS$2,Исходн.данные.!AH200=$BS$4),"Да","Нет")</f>
        <v>Нет</v>
      </c>
      <c r="FL200" s="38" t="str">
        <f>IF(OR(Исходн.данные.!AH200=$BS$3,Исходн.данные.!AH200=$BS$5),"Да","Нет")</f>
        <v>Нет</v>
      </c>
      <c r="FM200" s="38" t="str">
        <f>IF(OR(Исходн.данные.!AH200=$BS$9,Исходн.данные.!AH200=$BS$10,Исходн.данные.!AH200=$BS$11,Исходн.данные.!AH200=$BS$12),"Да","Нет")</f>
        <v>Нет</v>
      </c>
      <c r="FN200" s="38" t="str">
        <f>IF(OR(Исходн.данные.!AH200=$BS$6,Исходн.данные.!AH200=$BP$3),"Да","Нет")</f>
        <v>Нет</v>
      </c>
      <c r="FO200" s="38" t="str">
        <f>IF(Исходн.данные.!AH200=$BQ$9,"Да","Нет")</f>
        <v>Нет</v>
      </c>
      <c r="FP200" s="38" t="str">
        <f>IF(OR(Исходн.данные.!AH200=$BS$8,Исходн.данные.!AH200=$BT$8),"Да","Нет")</f>
        <v>Нет</v>
      </c>
      <c r="FQ200" s="38" t="str">
        <f>IF(OR(Исходн.данные.!AH200=$BQ$7,Исходн.данные.!AH200=$BQ$8),"Да","Нет")</f>
        <v>Нет</v>
      </c>
      <c r="FR200" s="38" t="str">
        <f>IF(Исходн.данные.!AI200=$BU$9,"Да","Нет")</f>
        <v>Нет</v>
      </c>
      <c r="FS200" s="38" t="str">
        <f>IF(OR(Исходн.данные.!AH200=$BP$1,Исходн.данные.!AH200=$BP$2),"Да","Нет")</f>
        <v>Нет</v>
      </c>
      <c r="FT200" s="38" t="e">
        <f>IF((Исходн.данные.!K200*GO200*GS200*GW200+BL200*0.6+Исходн.данные.!Q200*4.5*0.275)&gt;90,"Да","Нет")</f>
        <v>#N/A</v>
      </c>
      <c r="FU200" s="38" t="e">
        <f>IF((Исходн.данные.!M200*GS200*GZ200+BM200*0.225)&gt;35,"Да","Нет")</f>
        <v>#N/A</v>
      </c>
      <c r="FV200" s="38" t="str">
        <f>IF(Исходн.данные.!O200&gt;175,"Да","Нет")</f>
        <v>Нет</v>
      </c>
      <c r="FW200" s="39" t="str">
        <f>IF(Исходн.данные.!I200&gt;5.5,"Да","Нет")</f>
        <v>Нет</v>
      </c>
      <c r="FX200" s="39" t="str">
        <f>IF(Исходн.данные.!J200&lt;2,"Да","Нет")</f>
        <v>Да</v>
      </c>
      <c r="FY200" s="39" t="e">
        <f>IF(HF200=$FY$16,0,Исходн.данные.!K200*GO200*GS200*GW200/HF200)</f>
        <v>#N/A</v>
      </c>
      <c r="FZ200" s="39" t="e">
        <f>Исходн.данные.!M200*GS200*GZ200/HG200</f>
        <v>#N/A</v>
      </c>
      <c r="GA200" s="39" t="e">
        <f>IF(K_Wyn=$FY$16,0,IF(Исходн.данные.!N200=Исходн.данные.!$L$10,Исходн.данные.!O200/1.1*GS200*HC200/HH200,IF(Исходн.данные.!N200=Исходн.данные.!$L$12,Исходн.данные.!O200/1.5*GS200*HC200/HH200,Исходн.данные.!O200*GS200*HC200/HH200)))</f>
        <v>#N/A</v>
      </c>
      <c r="GB200" s="39" t="e">
        <f>IF(HF200=$FY$16,0,((Исходн.данные.!Q200*N_Org+Исходн.данные.!R200*N_Sider+Исходн.данные.!S200*N_Soloma)*AO200+Расчет!BC200*VLOOKUP(Исходн.данные.!T200,Справ!$A$3:$O$57,15)*AO200+BB200*VLOOKUP(Исходн.данные.!T200,Справ!$A$3:$O$57,15)*AL200+(Исходн.данные.!V200*N_Rizotorf+Исходн.данные.!W200*N_Rizoagr))/HF200)</f>
        <v>#N/A</v>
      </c>
      <c r="GC200" s="39" t="e">
        <f>IF(HG200=$FY$16,0,((Исходн.данные.!Q200*Р_Org+Исходн.данные.!R200*P_Sider+Исходн.данные.!S200*P_Soloma)*AP200+Расчет!BC200*VLOOKUP(Исходн.данные.!T200,Справ!$A$3:$P$57,16)*AP200+BB200*VLOOKUP(Исходн.данные.!T200,Справ!$A$3:$P$57,16)*AM200)/HG200)</f>
        <v>#N/A</v>
      </c>
      <c r="GD200" s="39" t="e">
        <f>IF(HH200=$FY$16,0,((Исходн.данные.!Q200*К_Org+Исходн.данные.!R200*K_Sider+Исходн.данные.!S200*K_Soloma)*AQ200+Расчет!BC200*VLOOKUP(Исходн.данные.!T200,Справ!$A$3:$Q$57,17)*AQ200+BB200*VLOOKUP(Исходн.данные.!T200,Справ!$A$3:$Q$57,17)*AN200)/HH200)</f>
        <v>#N/A</v>
      </c>
      <c r="GE200" s="39" t="e">
        <f>IF(HF200=$FY$16,0,(Исходн.данные.!X200*AR200+Исходн.данные.!AA200*N_Org*AL200+Исходн.данные.!AB200*N_Sider*AL200+Исходн.данные.!AC200*N_Soloma*AL200)/HF200)</f>
        <v>#N/A</v>
      </c>
      <c r="GF200" s="39" t="e">
        <f>IF(HG200=$FY$16,0,(Исходн.данные.!Y200*AS200+Исходн.данные.!AA200*Р_Org*AM200+Исходн.данные.!AB200*P_Sider*AM200+Исходн.данные.!AC200*P_Soloma*AM200)/HG200)</f>
        <v>#N/A</v>
      </c>
      <c r="GG200" s="39" t="e">
        <f>IF(HH200=$FY$16,0,(Исходн.данные.!Z200*AT200+Исходн.данные.!AA200*К_Org*AN200+Исходн.данные.!AB200*K_Sider*AN200+Исходн.данные.!AC200*K_Soloma*AN200)/HH200)</f>
        <v>#N/A</v>
      </c>
      <c r="GH200" s="39" t="e">
        <f>Исходн.данные.!AD200*AU200/HF200</f>
        <v>#N/A</v>
      </c>
      <c r="GI200" s="39" t="e">
        <f>Исходн.данные.!AE200*AV200/HG200</f>
        <v>#N/A</v>
      </c>
      <c r="GJ200" s="39" t="e">
        <f>Исходн.данные.!AF200*AW200/HH200</f>
        <v>#N/A</v>
      </c>
      <c r="GK200" s="55">
        <f>Исходн.данные.!AK200</f>
        <v>0</v>
      </c>
      <c r="GL200" s="11" t="e">
        <f t="shared" si="261"/>
        <v>#N/A</v>
      </c>
      <c r="GM200" s="11" t="e">
        <f t="shared" si="262"/>
        <v>#N/A</v>
      </c>
      <c r="GN200" s="11" t="e">
        <f t="shared" si="263"/>
        <v>#N/A</v>
      </c>
      <c r="GO200" s="57">
        <f t="shared" si="264"/>
        <v>19</v>
      </c>
      <c r="GP200" s="55">
        <f>IF(OR(Исходн.данные.!F200=$CE$1,Исходн.данные.!F200=$CE$2,Исходн.данные.!F200=$CE$3,Исходн.данные.!F200=$CE$4,Исходн.данные.!F200=$CE$5),GQ200,GR200)</f>
        <v>19</v>
      </c>
      <c r="GQ200" s="55">
        <f>IF(Исходн.данные.!F200=$CE$1,28,IF(Исходн.данные.!F200=$CE$2,26,IF(Исходн.данные.!F200=$CE$3,24,IF(Исходн.данные.!F200=$CE$4,22,IF(Исходн.данные.!F200=$CE$5,20,GR200)))))</f>
        <v>19</v>
      </c>
      <c r="GR200" s="55">
        <f>IF(Исходн.данные.!F200=$CE$6,18,IF(Исходн.данные.!F200=$CE$7,16,IF(Исходн.данные.!F200=$CE$8,14,IF(Исходн.данные.!F200=$CE$9,13,IF(Исходн.данные.!F200=$CE$10,12,19)))))</f>
        <v>19</v>
      </c>
      <c r="GS200" s="55">
        <f>IF(Исходн.данные.!G200="Пес",0.035*(40+2*Исходн.данные.!H200),IF(Исходн.данные.!G200="Суп",0.0325*(40+2*Исходн.данные.!H200),0.03*(40+2*Исходн.данные.!H200)))</f>
        <v>1.2</v>
      </c>
      <c r="GT200" s="55">
        <f>IF(Исходн.данные.!H200&lt;23,2.6,IF(AND(Исходн.данные.!H200&gt;22,Исходн.данные.!H200&lt;26),3,IF(AND(Исходн.данные.!H200&gt;25,Исходн.данные.!H200&lt;29),3.4,3.6)))</f>
        <v>2.6</v>
      </c>
      <c r="GU200" s="55">
        <f>IF(Исходн.данные.!H200&lt;23,2.8,IF(AND(Исходн.данные.!H200&gt;22,Исходн.данные.!H200&lt;26),3.2,IF(AND(Исходн.данные.!H200&gt;25,Исходн.данные.!H200&lt;29),3.6,3.9)))</f>
        <v>2.8</v>
      </c>
      <c r="GV200" s="55">
        <f>IF(Исходн.данные.!H200&lt;23,3,IF(AND(Исходн.данные.!H200&gt;22,Исходн.данные.!H200&lt;26),3.5,IF(AND(Исходн.данные.!H200&gt;25,Исходн.данные.!H200&lt;29),3.9,4.2)))</f>
        <v>3</v>
      </c>
      <c r="GW200" s="55" t="e">
        <f>IF(Исходн.данные.!P200="Ум",GX200,GY200)</f>
        <v>#N/A</v>
      </c>
      <c r="GX200" s="55" t="e">
        <f>VLOOKUP(Исходн.данные.!AI200,Коэффициенты!$J$7:$L$13,2,FALSE)</f>
        <v>#N/A</v>
      </c>
      <c r="GY200" s="55" t="e">
        <f>VLOOKUP(Исходн.данные.!AI200,Коэффициенты!$J$7:$L$13,3,FALSE)</f>
        <v>#N/A</v>
      </c>
      <c r="GZ200" s="55" t="e">
        <f>(IF(Исходн.данные.!M200&lt;50,0.11*VLOOKUP(Исходн.данные.!AH200,Культуры.Информация,7,FALSE),IF(Исходн.данные.!M200&gt;250,0.05*VLOOKUP(Исходн.данные.!AH200,Культуры.Информация,7,FALSE),VLOOKUP(Исходн.данные.!AH200,Культуры.Информация,5,FALSE)/100*($GX$6+$GY$6*Исходн.данные.!M200))))*Расчет2!AI200</f>
        <v>#N/A</v>
      </c>
      <c r="HA200" s="211"/>
      <c r="HB200" s="211"/>
      <c r="HC200" s="55" t="e">
        <f>(IF(Исходн.данные.!O200&lt;80,0.2*VLOOKUP(Исходн.данные.!AH200,Культуры.Информация,8,FALSE),IF(Исходн.данные.!O200&gt;240,0.09*VLOOKUP(Исходн.данные.!AH200,Культуры.Информация,8,FALSE),VLOOKUP(Исходн.данные.!AH200,Культуры.Информация,6,FALSE)/100*($HB$6+$HC$6*Исходн.данные.!O200))))*Расчет2!AJ200</f>
        <v>#N/A</v>
      </c>
      <c r="HD200" s="55">
        <f>IF(Исходн.данные.!O200&gt;240,0.09,IF(Исходн.данные.!O200&lt;30,0.3,$HE$10+$HD$10*Исходн.данные.!O200))</f>
        <v>0.3</v>
      </c>
      <c r="HE200" s="55">
        <f>IF(Исходн.данные.!O200&gt;240,0.17,IF(Исходн.данные.!O200&lt;30,0.5,$HF$12+$HE$12*Исходн.данные.!O200))</f>
        <v>0.5</v>
      </c>
      <c r="HF200" s="55" t="e">
        <f>VLOOKUP(Исходн.данные.!AH200,Справ!$A$3:$D$58,2,FALSE)</f>
        <v>#N/A</v>
      </c>
      <c r="HG200" s="55" t="e">
        <f>VLOOKUP(Исходн.данные.!AH200,Справ!$A$3:$D$58,3,FALSE)</f>
        <v>#N/A</v>
      </c>
      <c r="HH200" s="55" t="e">
        <f>VLOOKUP(Исходн.данные.!AH200,Справ!$A$3:$D$58,4,FALSE)</f>
        <v>#N/A</v>
      </c>
      <c r="HI200" s="11" t="e">
        <f t="shared" si="265"/>
        <v>#N/A</v>
      </c>
      <c r="HJ200" s="11" t="e">
        <f t="shared" si="266"/>
        <v>#N/A</v>
      </c>
      <c r="HK200" s="11" t="e">
        <f t="shared" si="267"/>
        <v>#N/A</v>
      </c>
      <c r="HL200" s="55">
        <f>IF(OR(Исходн.данные.!G200="Глин",Исходн.данные.!G200="Т_суг"),1.1,IF(Исходн.данные.!G200="Ср_суг",1,1))</f>
        <v>1</v>
      </c>
      <c r="HM200" s="55">
        <f>IF(OR(Исходн.данные.!G200="Глин",Исходн.данные.!G200="Т_суг"),0.9,IF(Исходн.данные.!G200="Ср_суг",1,1.2))</f>
        <v>1.2</v>
      </c>
      <c r="HN200" s="11" t="e">
        <f t="shared" si="268"/>
        <v>#N/A</v>
      </c>
      <c r="HO200" s="11" t="e">
        <f t="shared" si="269"/>
        <v>#N/A</v>
      </c>
      <c r="HP200" s="11" t="e">
        <f t="shared" si="270"/>
        <v>#N/A</v>
      </c>
      <c r="HQ200" t="e">
        <f t="shared" si="271"/>
        <v>#N/A</v>
      </c>
      <c r="HR200" t="e">
        <f t="shared" si="272"/>
        <v>#N/A</v>
      </c>
      <c r="HS200" t="e">
        <f t="shared" si="273"/>
        <v>#N/A</v>
      </c>
      <c r="HT200" t="e">
        <f t="shared" si="219"/>
        <v>#N/A</v>
      </c>
      <c r="HU200" t="e">
        <f t="shared" si="220"/>
        <v>#N/A</v>
      </c>
      <c r="HV200" t="e">
        <f t="shared" si="221"/>
        <v>#N/A</v>
      </c>
      <c r="HW200" t="e">
        <f t="shared" si="222"/>
        <v>#N/A</v>
      </c>
      <c r="HX200" t="e">
        <f t="shared" si="223"/>
        <v>#N/A</v>
      </c>
      <c r="HY200" t="e">
        <f t="shared" si="224"/>
        <v>#N/A</v>
      </c>
      <c r="HZ200" s="55">
        <f>IF(OR(Исходн.данные.!AI200="Оз_Ч_П",Исходн.данные.!AI200="Оз_З_П",Исходн.данные.!AI200="Яр_зер"),12,30)</f>
        <v>30</v>
      </c>
      <c r="IA200" t="e">
        <f t="shared" si="274"/>
        <v>#N/A</v>
      </c>
      <c r="IB200" t="e">
        <f t="shared" si="275"/>
        <v>#N/A</v>
      </c>
      <c r="IC200" t="e">
        <f t="shared" si="276"/>
        <v>#N/A</v>
      </c>
      <c r="ID200" s="11" t="e">
        <f t="shared" si="277"/>
        <v>#N/A</v>
      </c>
      <c r="IE200" s="11" t="e">
        <f t="shared" si="278"/>
        <v>#N/A</v>
      </c>
      <c r="IF200" s="11" t="e">
        <f t="shared" si="279"/>
        <v>#N/A</v>
      </c>
    </row>
    <row r="201" spans="35:240" x14ac:dyDescent="0.2">
      <c r="AI201">
        <f>IF(Исходн.данные.!I201&gt;6,1,1.85-(0.148*Исходн.данные.!I201))</f>
        <v>1.85</v>
      </c>
      <c r="AJ201">
        <f>IF(Исходн.данные.!I201&gt;6,1,2.434-(0.246*Исходн.данные.!I201))</f>
        <v>2.4340000000000002</v>
      </c>
      <c r="AL201" s="148" t="b">
        <f>IF(Исходн.данные.!$P201="Ум",N_OrgUd_2g_um,IF(Исходн.данные.!$P201="Об",N_OrgUd_2g_ob))</f>
        <v>0</v>
      </c>
      <c r="AM201" s="148" t="b">
        <f>IF(Исходн.данные.!$P201="Ум",P_OrgUd_2g_um,IF(Исходн.данные.!$P201="Об",P_OrgUd_2g_ob))</f>
        <v>0</v>
      </c>
      <c r="AN201" s="148" t="b">
        <f>IF(Исходн.данные.!$P201="Ум",K_OrgUd_2g_um,IF(Исходн.данные.!$P201="Об",K_OrgUd_2g_ob))</f>
        <v>0</v>
      </c>
      <c r="AO201" s="148" t="b">
        <f>IF(Исходн.данные.!$P201="Ум",N_OrgUd_1g_um,IF(Исходн.данные.!$P201="Об",N_OrgUd_1g_ob))</f>
        <v>0</v>
      </c>
      <c r="AP201" s="148" t="b">
        <f>IF(Исходн.данные.!$P201="Ум",P_OrgUd_1g_um,IF(Исходн.данные.!$P201="Об",P_OrgUd_1g_ob))</f>
        <v>0</v>
      </c>
      <c r="AQ201" s="148" t="b">
        <f>IF(Исходн.данные.!$P201="Ум",K_OrgUd_1g_um,IF(Исходн.данные.!$P201="Об",K_OrgUd_1g_ob))</f>
        <v>0</v>
      </c>
      <c r="AR201" t="b">
        <f>IF(Исходн.данные.!$P201="Ум",N_MinUd_2g_um,IF(Исходн.данные.!$P201="Об",N_MinUd_2g_ob))</f>
        <v>0</v>
      </c>
      <c r="AS201" t="b">
        <f>IF(Исходн.данные.!$P201="Ум",P_MinUd_2g_um,IF(Исходн.данные.!$P201="Об",P_MinUd_2g_ob))</f>
        <v>0</v>
      </c>
      <c r="AT201" t="b">
        <f>IF(Исходн.данные.!$P201="Ум",K_MinUd_2g_um,IF(Исходн.данные.!$P201="Об",K_MinUd_2g_ob))</f>
        <v>0</v>
      </c>
      <c r="AU201" t="b">
        <f>IF(Исходн.данные.!$P201="Ум",N_MinUd_1g_um,IF(Исходн.данные.!$P201="Об",N_MinUd_1g_ob))</f>
        <v>0</v>
      </c>
      <c r="AV201" t="b">
        <f>IF(Исходн.данные.!P201="Ум",P_MinUd_1g_um,IF(Исходн.данные.!P201="Об",P_MinUd_1g_ob))</f>
        <v>0</v>
      </c>
      <c r="AW201" t="b">
        <f>IF(Исходн.данные.!P201="Ум",K_MinUd_1g_um,IF(Исходн.данные.!P201="Об",K_MinUd_1g_ob))</f>
        <v>0</v>
      </c>
      <c r="AY201" t="e">
        <f>VLOOKUP(Исходн.данные.!T201,Справ!$A$3:$N$57,12)</f>
        <v>#N/A</v>
      </c>
      <c r="AZ201" t="e">
        <f>VLOOKUP(Исходн.данные.!T201,Справ!$A$3:$N$57,13)</f>
        <v>#N/A</v>
      </c>
      <c r="BA201" t="e">
        <f>VLOOKUP(Исходн.данные.!T201,Справ!$A$3:$N$57,14)</f>
        <v>#N/A</v>
      </c>
      <c r="BB201">
        <f>IF(Исходн.данные.!AH201=0,0,25)</f>
        <v>0</v>
      </c>
      <c r="BC201" s="141">
        <f>IF(Исходн.данные.!AH201=0,0,IF(Исходн.данные.!T201=0,25,BD201))</f>
        <v>0</v>
      </c>
      <c r="BD201" s="168" t="e">
        <f>AY201+AZ201*Исходн.данные.!U201-POWER(BA201,2)*Исходн.данные.!U201</f>
        <v>#N/A</v>
      </c>
      <c r="BE20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1" s="25">
        <f>IF(Исходн.данные.!AH201=0,0,MIN(HN201:HP201))</f>
        <v>0</v>
      </c>
      <c r="BG201" s="9">
        <f>IF(Исходн.данные.!AH201=0,0,IF((HO201+10*0.25/HG201/HL201)&lt;17,17,HO201+10*0.25/HG201/HL201))</f>
        <v>0</v>
      </c>
      <c r="BH201" s="181">
        <f>IF(Исходн.данные.!AH201=0,0,HW201*HF201*HL201/AU201*AI201+Исходн.данные.!S201*10)</f>
        <v>0</v>
      </c>
      <c r="BI201" s="10"/>
      <c r="BJ201" s="182">
        <f>IF(Исходн.данные.!AH201=0,0,IF(HX201*HG201*HL201/AV201&lt;0,0,HX201*HG201*HL201/AV201*AJ201))</f>
        <v>0</v>
      </c>
      <c r="BK201" s="182">
        <f>IF(Исходн.данные.!AH201=0,0,HY201*HH201*HM201/AW201)</f>
        <v>0</v>
      </c>
      <c r="BL201" s="10">
        <f>IF(OR(Исходн.данные.!$AH201=$BP$1,Исходн.данные.!$AH201=$BP$2),0,IF(BH201&lt;0,0,IF(OR(Исходн.данные.!T201=Расчет!$BP$1,Исходн.данные.!T201=Расчет!$BP$2,Исходн.данные.!T201=Расчет!$BT$5,Исходн.данные.!T201=Расчет!$BT$6),BH201*0.5,IF(OR(Исходн.данные.!T201=Расчет!$BS$9,Исходн.данные.!T201=Расчет!$BS$10,Исходн.данные.!T201=Расчет!$BS$11,Исходн.данные.!T201=Расчет!$BS$12,Исходн.данные.!T201=Расчет!$BP$5),BH201*0.8,BH201))))</f>
        <v>0</v>
      </c>
      <c r="BM201" s="10">
        <f>IF(OR(Исходн.данные.!$AH201=$BP$1,Исходн.данные.!$AH201=$BP$2),0,IF(BJ201&lt;0,0,IF(Исходн.данные.!I201&lt;4.5,BJ201*1.2,IF(Исходн.данные.!I201&gt;5.1,BJ201,BJ201*((5.1-Исходн.данные.!I201)*0.333+1)))))</f>
        <v>0</v>
      </c>
      <c r="BN201" s="10">
        <f>IF(OR(Исходн.данные.!$AH201=$BP$1,Исходн.данные.!$AH201=$BP$2),60-Исходн.данные.!AF201,IF(BK201&lt;0,0,IF(Исходн.данные.!I201&lt;4.5,BK201*1.2,IF(Исходн.данные.!I201&gt;5.1,BK201,BK201*((5.1-Исходн.данные.!I201)*0.333+1)))))</f>
        <v>0</v>
      </c>
      <c r="BO201" s="9">
        <f>IF(BL201&lt;0,0,BL201*Исходн.данные.!$AJ201/1000)</f>
        <v>0</v>
      </c>
      <c r="BP201" s="9">
        <f>IF(BM201&lt;0,0,BM201*Исходн.данные.!$AJ201/1000)</f>
        <v>0</v>
      </c>
      <c r="BQ201" s="9">
        <f>IF(BN201&lt;0,0,BN201*Исходн.данные.!$AJ201/1000)</f>
        <v>0</v>
      </c>
      <c r="BR201" s="9">
        <f t="shared" si="229"/>
        <v>0</v>
      </c>
      <c r="BS201" s="10" t="str">
        <f t="shared" si="230"/>
        <v>Аммофос 12:52:00</v>
      </c>
      <c r="BT201" s="10" t="str">
        <f t="shared" si="231"/>
        <v>Аммофос 12:52:00</v>
      </c>
      <c r="BU201" s="10" t="str">
        <f t="shared" si="232"/>
        <v>Диаммофоска</v>
      </c>
      <c r="BV201" s="10">
        <f t="shared" si="233"/>
        <v>0</v>
      </c>
      <c r="BW201" s="10"/>
      <c r="BX201" s="10"/>
      <c r="BY201" s="9">
        <f>IF(BL201&lt;0,0,IF(OR(Исходн.данные.!AI201=Расчет!$BU$6,Исходн.данные.!AI201=Расчет!$BU$7),Расчет!BV201,IF(Исходн.данные.!$AG201=$BV$11,BL201,IF(OR(Исходн.данные.!$AH201=$BQ$7,Исходн.данные.!$AH201=$BQ$8),CB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0,IF(Исходн.данные.!$AI201=$BU$11,"Нет",IF(BL201&gt;30,30,BL201)))))))</f>
        <v>0</v>
      </c>
      <c r="BZ201" s="9">
        <f>IF(AND(Исходн.данные.!$AG201=$BV$11,BM201&lt;10),10,IF(Исходн.данные.!$AG201=$BV$11,BM201,IF(OR(Исходн.данные.!$AH201=$BQ$7,Исходн.данные.!$AH201=$BQ$8),CC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10,IF(Исходн.данные.!$AI201=$BU$11,"Нет",IF(BM201&gt;60,60,IF(BM201&lt;10,10,BM201)))))))</f>
        <v>10</v>
      </c>
      <c r="CA201" s="39">
        <f>IF(BN201&lt;0,0,IF(Исходн.данные.!$AG201=$BV$11,BN201,IF(OR(Исходн.данные.!$AH201=$BQ$7,Исходн.данные.!$AH201=$BQ$8),CD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0,IF(Исходн.данные.!$AI201=$BU$11,"Нет",IF(BN201&gt;30,30,BN201))))))</f>
        <v>0</v>
      </c>
      <c r="CB201" s="9">
        <f t="shared" si="234"/>
        <v>0</v>
      </c>
      <c r="CC201" s="9">
        <f t="shared" si="235"/>
        <v>0</v>
      </c>
      <c r="CD201" s="9">
        <f t="shared" si="236"/>
        <v>0</v>
      </c>
      <c r="CE201" s="12">
        <f t="shared" si="237"/>
        <v>10</v>
      </c>
      <c r="CF201" s="9">
        <f t="shared" si="238"/>
        <v>0</v>
      </c>
      <c r="CG201" s="9" t="s">
        <v>231</v>
      </c>
      <c r="CH201" s="132" t="str">
        <f>IF(Исходн.данные.!AP201=Расчет!$CI$16,"Нет",IF(Исходн.данные.!AL201&gt;0,Исходн.данные.!AL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BH$4,IF(OR(Исходн.данные.!AI201=Исходн.данные.!$AI$6,Исходн.данные.!AI201=Исходн.данные.!$AI$7),Расчет!BS201,IF(AND($CF201=0,$CE201&gt;0),EV201,ER201)))))</f>
        <v>Аммофос 12:52:00</v>
      </c>
      <c r="CI201" s="274">
        <f>IF(Расчет!$CH201="Нет","Нет",IF(Исходн.данные.!$AL201&gt;0,VLOOKUP(Расчет!$CH201,АшламаДВ_Irekle,2,FALSE),VLOOKUP(Расчет!$CH201,АшламаДВ_Gomumy,2,FALSE)))</f>
        <v>0.12</v>
      </c>
      <c r="CJ201" s="274">
        <f>IF(Расчет!$CH201="Нет","Нет",IF(Исходн.данные.!$AL201&gt;0,VLOOKUP(Расчет!$CH201,АшламаДВ_Irekle,3,FALSE),VLOOKUP(Расчет!$CH201,АшламаДВ_Gomumy,3,FALSE)))</f>
        <v>0.52</v>
      </c>
      <c r="CK201" s="274">
        <f>IF(Расчет!$CH201="Нет","Нет",IF(Исходн.данные.!$AL201&gt;0,VLOOKUP(Расчет!$CH201,АшламаДВ_Irekle,4,FALSE),VLOOKUP(Расчет!$CH201,АшламаДВ_Gomumy,4,FALSE)))</f>
        <v>0</v>
      </c>
      <c r="CL201" s="70"/>
      <c r="CM201" s="70"/>
      <c r="CN201" s="70"/>
      <c r="CO201" s="70"/>
      <c r="CP201" s="70"/>
      <c r="CQ201" s="70"/>
      <c r="CR201" s="10">
        <f t="shared" si="239"/>
        <v>0</v>
      </c>
      <c r="CS201" s="10">
        <f t="shared" si="240"/>
        <v>19.23076923076923</v>
      </c>
      <c r="CT201" s="10">
        <f t="shared" si="241"/>
        <v>0</v>
      </c>
      <c r="CU201" s="39">
        <f>IF($CH201="Нет",0,IF(CI201=0,30/MIN(CJ201:CK201),IF(Исходн.данные.!$AG201=$BV$11,CR201,IF(OR(Исходн.данные.!$AH201=$BQ$7,Исходн.данные.!$AH201=$BQ$8),90/CI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0,IF(Исходн.данные.!$AI201=$BU$11,"Нет",30/CI201))))))</f>
        <v>250</v>
      </c>
      <c r="CV201" s="39">
        <f>IF($CH201="Нет",0,IF(Исходн.данные.!AH201=0,0,IF(CJ201=0,60/MIN(CI201,CK201),IF(Исходн.данные.!$AG201=$BV$11,CS201,IF(OR(Исходн.данные.!$AH201=$BQ$7,Исходн.данные.!$AH201=$BQ$8),90/CJ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10/CJ201,IF(Исходн.данные.!$AI201=$BU$11,"Нет",60/CJ201)))))))</f>
        <v>0</v>
      </c>
      <c r="CW201" s="39">
        <f>IF($CH201="Нет",0,IF(Исходн.данные.!AH201=0,0,IF(CK201=0,30/MIN(CI201:CJ201),IF(Исходн.данные.!$AG201=$BV$11,CT201,IF(OR(Исходн.данные.!$AH201=$BQ$7,Исходн.данные.!$AH201=$BQ$8),90/CK201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0,IF(Исходн.данные.!$AI201=$BU$11,"Нет",30/CK201)))))))</f>
        <v>0</v>
      </c>
      <c r="CX201" s="133">
        <f>IF(Исходн.данные.!$AG201=$BV$11,MAX(CU201:CW201),IF(OR(Исходн.данные.!$AH201=$BS$8,Исходн.данные.!$AH201=$BQ$9,Исходн.данные.!$AH201=$BQ$10,Исходн.данные.!$AH201=$BQ$11,Исходн.данные.!$AH201=$BQ$12,Исходн.данные.!$AH201=$BP$3,Исходн.данные.!$AH201=$BT$8,$FM201="Да"),CV201,MIN(CU201:CW201)))</f>
        <v>0</v>
      </c>
      <c r="CY201" s="133">
        <f>IF(Исходн.данные.!AH201=0,0,IF(CR201&gt;$CX201,$CX201,CR201))</f>
        <v>0</v>
      </c>
      <c r="CZ201" s="133">
        <f>IF(Исходн.данные.!AH201=0,0,IF(CS201&gt;$CX201,$CX201,CS201))</f>
        <v>0</v>
      </c>
      <c r="DA201" s="133">
        <f>IF(Исходн.данные.!AH201=0,0,IF(CT201&gt;$CX201,$CX201,CT201))</f>
        <v>0</v>
      </c>
      <c r="DB201" s="10">
        <f t="shared" si="242"/>
        <v>0</v>
      </c>
      <c r="DC201" s="39">
        <f>DB201*Исходн.данные.!AJ201/1000</f>
        <v>0</v>
      </c>
      <c r="DD201" s="71">
        <f t="shared" si="243"/>
        <v>0</v>
      </c>
      <c r="DE201" s="9">
        <f t="shared" si="244"/>
        <v>0</v>
      </c>
      <c r="DF201" s="9">
        <f t="shared" si="245"/>
        <v>0</v>
      </c>
      <c r="DG201" s="39">
        <f>IF(BL201&lt;0,0,IF($CH201="Нет",BL201,IF(OR(Исходн.данные.!$AH201=$BP$1,Исходн.данные.!$AH201=$BP$2),0,IF(Исходн.данные.!AI201=$BU$11,BL201,IF(BL201-DD201&lt;0,0,BL201-DD201)))))</f>
        <v>0</v>
      </c>
      <c r="DH201" s="39">
        <f>IF(BM201&lt;0,0,IF($CH201="Нет",BM201,IF(OR(Исходн.данные.!$AH201=$BP$1,Исходн.данные.!$AH201=$BP$2),0,IF(Исходн.данные.!AJ201=$BU$11,BM201,IF(BM201-DE201&lt;0,0,BM201-DE201)))))</f>
        <v>0</v>
      </c>
      <c r="DI201" s="39">
        <f>IF(BN201&lt;0,0,IF($CH201="Нет",BN201,IF(OR(Исходн.данные.!$AH201=$BP$1,Исходн.данные.!$AH201=$BP$2),0,IF(Исходн.данные.!AK201=$BU$11,BN201,IF(BN201-DF201&lt;0,0,BN201-DF201)))))</f>
        <v>0</v>
      </c>
      <c r="DJ201" s="12">
        <f t="shared" si="246"/>
        <v>0</v>
      </c>
      <c r="DK201" s="9">
        <f t="shared" si="247"/>
        <v>0</v>
      </c>
      <c r="DL201" s="39">
        <f>IF(Исходн.данные.!AM201&gt;0,Исходн.данные.!AM201,IF(EG201&gt;0,$BH$10,0))</f>
        <v>0</v>
      </c>
      <c r="DM201" s="186">
        <f>IF($DL201=0,0,IF(Исходн.данные.!AM201&gt;0,VLOOKUP($DL201,АшламаДВ_Irekle,2,FALSE),VLOOKUP($DL201,АшламаДВ_Gomumy,2,FALSE)))</f>
        <v>0</v>
      </c>
      <c r="DN201" s="10">
        <f t="shared" si="225"/>
        <v>0</v>
      </c>
      <c r="DO201" s="9" t="str">
        <f>IF(Исходн.данные.!AN201&gt;0,Исходн.данные.!AN201,Удобрения!$B$37 )</f>
        <v>Хлор.калий</v>
      </c>
      <c r="DP201" s="9">
        <f>IF(Исходн.данные.!AN201&gt;0,VLOOKUP(Исходн.данные.!AN201,АшламаДВ_Irekle,4,FALSE),VLOOKUP(DO201,АшламаДВ_Gomumy,4,FALSE))</f>
        <v>0.6</v>
      </c>
      <c r="DQ201" s="10">
        <f t="shared" si="226"/>
        <v>0</v>
      </c>
      <c r="DR201" s="132" t="str">
        <f>IF(Исходн.данные.!AO201&gt;0,Исходн.данные.!AO201,IF(DH201=0,BS$17,IF(AND($DK201=0,$DJ201&gt;0),EJ201,EN201)))</f>
        <v>Нет</v>
      </c>
      <c r="DS201" s="70" t="str">
        <f>IF($DR201="Нет","Нет",IF(Исходн.данные.!$AO201&gt;0,VLOOKUP($DR201,АшламаДВ_Irekle,2,FALSE),VLOOKUP($DR201,АшламаДВ_Gomumy,2,FALSE)))</f>
        <v>Нет</v>
      </c>
      <c r="DT201" s="70" t="str">
        <f>IF($DR201="Нет","Нет",IF(Исходн.данные.!$AO201&gt;0,VLOOKUP($DR201,АшламаДВ_Irekle,3,FALSE),VLOOKUP($DR201,АшламаДВ_Gomumy,3,FALSE)))</f>
        <v>Нет</v>
      </c>
      <c r="DU201" s="70" t="str">
        <f>IF($DR201="Нет","Нет",IF(Исходн.данные.!$AO201&gt;0,VLOOKUP($DR201,АшламаДВ_Irekle,4,FALSE),VLOOKUP($DR201,АшламаДВ_Gomumy,4,FALSE)))</f>
        <v>Нет</v>
      </c>
      <c r="DV201" s="70"/>
      <c r="DW201" s="70"/>
      <c r="DX201" s="70"/>
      <c r="DY201" s="10">
        <f t="shared" si="248"/>
        <v>0</v>
      </c>
      <c r="DZ201" s="10">
        <f t="shared" si="249"/>
        <v>0</v>
      </c>
      <c r="EA201" s="10">
        <f t="shared" si="250"/>
        <v>0</v>
      </c>
      <c r="EB201" s="10">
        <f t="shared" si="251"/>
        <v>0</v>
      </c>
      <c r="EC201" s="10">
        <f t="shared" si="252"/>
        <v>0</v>
      </c>
      <c r="ED201" s="10">
        <f t="shared" si="253"/>
        <v>0</v>
      </c>
      <c r="EE201" s="10">
        <f t="shared" si="254"/>
        <v>0</v>
      </c>
      <c r="EF201" s="39">
        <f>EB201*Исходн.данные.!AJ201/1000</f>
        <v>0</v>
      </c>
      <c r="EG201" s="9">
        <f t="shared" si="255"/>
        <v>0</v>
      </c>
      <c r="EH201" s="9">
        <f t="shared" si="256"/>
        <v>0</v>
      </c>
      <c r="EI201" s="39" t="e">
        <f t="shared" si="206"/>
        <v>#DIV/0!</v>
      </c>
      <c r="EJ201" s="9" t="str">
        <f t="shared" si="227"/>
        <v>Азопреципитат</v>
      </c>
      <c r="EK201" s="12">
        <f t="shared" si="207"/>
        <v>0.26</v>
      </c>
      <c r="EL201" s="12">
        <f t="shared" si="208"/>
        <v>0.13</v>
      </c>
      <c r="EM201" s="12">
        <f t="shared" si="209"/>
        <v>0</v>
      </c>
      <c r="EN201" s="12" t="str">
        <f t="shared" si="228"/>
        <v>Нет</v>
      </c>
      <c r="EO201" s="12">
        <f t="shared" si="210"/>
        <v>0</v>
      </c>
      <c r="EP201" s="12">
        <f t="shared" si="211"/>
        <v>0</v>
      </c>
      <c r="EQ201" s="12">
        <f t="shared" si="212"/>
        <v>0</v>
      </c>
      <c r="ER201" s="12" t="str">
        <f t="shared" si="257"/>
        <v>Диаммофоска</v>
      </c>
      <c r="ES201" s="12">
        <f t="shared" si="213"/>
        <v>0.1</v>
      </c>
      <c r="ET201" s="12">
        <f t="shared" si="214"/>
        <v>0.26</v>
      </c>
      <c r="EU201" s="12">
        <f t="shared" si="215"/>
        <v>0.26</v>
      </c>
      <c r="EV201" s="12" t="str">
        <f t="shared" si="258"/>
        <v>Аммофос 12:52:00</v>
      </c>
      <c r="EW201" s="12" t="str">
        <f t="shared" si="259"/>
        <v>Кемира Свекловичное-6</v>
      </c>
      <c r="EX201" s="12">
        <f t="shared" si="216"/>
        <v>0.16</v>
      </c>
      <c r="EY201" s="12">
        <f t="shared" si="217"/>
        <v>0.12</v>
      </c>
      <c r="EZ201" s="12">
        <f t="shared" si="218"/>
        <v>0.17</v>
      </c>
      <c r="FA201" s="38" t="e">
        <f>IF(AND(OR(FJ201=$FD$1,FM201=$FD$1,FO201=$FD$1,FQ201=$FD$1,FS201=$FD$1),FD201=$FD$1,Исходн.данные.!J201&lt;2,FU201=$FD$1),"Бор,Кобальт",IF(AND(FO201=$FD$1,FH201=$FD$1,Исходн.данные.!J201&lt;2,FU201=$FD$1),"Бор,Кобальт",IF(AND(OR(FJ201=$FD$1,FM201=$FD$1,FQ201=$FD$1),FE201=$FD$1,Исходн.данные.!J201&lt;2,FT201=$FD$1,FU201=$FD$1),"Бор,Медь,Цинк",IF(AND(OR(FJ201=$FD$1,FR201="Да"),FI201="Да",Исходн.данные.!J201&lt;2,FT201="Да",FU201="Да"),"Бор,Цинк,Медь",IF(AND(OR(FM201="Да",FQ201="Да"),FI201="Да",Исходн.данные.!J201&lt;2,FT201="Да",FU201="Да"),"Бор,Цинк",IF(AND(FN201="Да",OR(FD201="Да",FE201="Да")),"Бор",FB201))))))</f>
        <v>#N/A</v>
      </c>
      <c r="FB201" s="134" t="e">
        <f>IF(AND(OR(FD201="Да",FE201="Да",FF201="Да",FG201="Да",FH201="Да"),FO201="Да"),"Бор",IF(AND(FP201="Да",OR(FD201="Да",FE201="Да",FI201="Да")),"Бор",IF(AND(FS201="Да",FE201="Да"),"Бор,Медь",IF(AND(OR(FJ201="Да",FK201="Да",FL201="Да"),FE201="Да",Исходн.данные.!I201&lt;5,FT201="Да",FU201="Да"),"Молибден,Цинк",IF(AND(FM201="Да",OR(FE201="Да",FF201="Да",FG201="Да",FH201="Да",FI201="Да")),"Молибден,Цинк",IF(AND(OR(FJ201="Да",FK201="Да",FL201="Да",FM201="Да",FQ201="Да"),OR(FE201="Да",FF201="Да"),FT201="Да",FU201="Да",Исходн.данные.!I201&gt;5.5),"Медь,Цинк",FC201))))))</f>
        <v>#N/A</v>
      </c>
      <c r="FC201" s="23" t="e">
        <f t="shared" si="260"/>
        <v>#N/A</v>
      </c>
      <c r="FD201" s="38" t="str">
        <f>IF(OR(Исходн.данные.!F201=$CC$1,Исходн.данные.!F201=$CC$2,Исходн.данные.!F201=$CC$3,Исходн.данные.!F201=$CC$4),"Да","Нет")</f>
        <v>Нет</v>
      </c>
      <c r="FE201" s="38" t="str">
        <f>IF(Исходн.данные.!F201=$CC$5,"Да","Нет")</f>
        <v>Нет</v>
      </c>
      <c r="FF201" s="38" t="str">
        <f>IF(OR(Исходн.данные.!F201=$CC$6,Исходн.данные.!F201=$CC$7),"Да","Нет")</f>
        <v>Нет</v>
      </c>
      <c r="FG201" s="38" t="str">
        <f>IF(OR(Исходн.данные.!F201=$CC$8,Исходн.данные.!F201=$CC$9),"Да","Нет")</f>
        <v>Нет</v>
      </c>
      <c r="FH201" s="38" t="str">
        <f>IF(Исходн.данные.!F201=$CC$10,"Да","Нет")</f>
        <v>Нет</v>
      </c>
      <c r="FI201" s="38" t="str">
        <f>IF(OR(Исходн.данные.!F201=$CC$11,Исходн.данные.!F201=$CC$12),"Да","Нет")</f>
        <v>Нет</v>
      </c>
      <c r="FJ201" s="38" t="str">
        <f>IF(OR(Исходн.данные.!AH201=$BS$1,Исходн.данные.!AH201=$BQ$11,Исходн.данные.!AH201=$BQ$12),"Да","Нет")</f>
        <v>Нет</v>
      </c>
      <c r="FK201" s="38" t="str">
        <f>IF(OR(Исходн.данные.!AH201=$BS$2,Исходн.данные.!AH201=$BS$4),"Да","Нет")</f>
        <v>Нет</v>
      </c>
      <c r="FL201" s="38" t="str">
        <f>IF(OR(Исходн.данные.!AH201=$BS$3,Исходн.данные.!AH201=$BS$5),"Да","Нет")</f>
        <v>Нет</v>
      </c>
      <c r="FM201" s="38" t="str">
        <f>IF(OR(Исходн.данные.!AH201=$BS$9,Исходн.данные.!AH201=$BS$10,Исходн.данные.!AH201=$BS$11,Исходн.данные.!AH201=$BS$12),"Да","Нет")</f>
        <v>Нет</v>
      </c>
      <c r="FN201" s="38" t="str">
        <f>IF(OR(Исходн.данные.!AH201=$BS$6,Исходн.данные.!AH201=$BP$3),"Да","Нет")</f>
        <v>Нет</v>
      </c>
      <c r="FO201" s="38" t="str">
        <f>IF(Исходн.данные.!AH201=$BQ$9,"Да","Нет")</f>
        <v>Нет</v>
      </c>
      <c r="FP201" s="38" t="str">
        <f>IF(OR(Исходн.данные.!AH201=$BS$8,Исходн.данные.!AH201=$BT$8),"Да","Нет")</f>
        <v>Нет</v>
      </c>
      <c r="FQ201" s="38" t="str">
        <f>IF(OR(Исходн.данные.!AH201=$BQ$7,Исходн.данные.!AH201=$BQ$8),"Да","Нет")</f>
        <v>Нет</v>
      </c>
      <c r="FR201" s="38" t="str">
        <f>IF(Исходн.данные.!AI201=$BU$9,"Да","Нет")</f>
        <v>Нет</v>
      </c>
      <c r="FS201" s="38" t="str">
        <f>IF(OR(Исходн.данные.!AH201=$BP$1,Исходн.данные.!AH201=$BP$2),"Да","Нет")</f>
        <v>Нет</v>
      </c>
      <c r="FT201" s="38" t="e">
        <f>IF((Исходн.данные.!K201*GO201*GS201*GW201+BL201*0.6+Исходн.данные.!Q201*4.5*0.275)&gt;90,"Да","Нет")</f>
        <v>#N/A</v>
      </c>
      <c r="FU201" s="38" t="e">
        <f>IF((Исходн.данные.!M201*GS201*GZ201+BM201*0.225)&gt;35,"Да","Нет")</f>
        <v>#N/A</v>
      </c>
      <c r="FV201" s="38" t="str">
        <f>IF(Исходн.данные.!O201&gt;175,"Да","Нет")</f>
        <v>Нет</v>
      </c>
      <c r="FW201" s="39" t="str">
        <f>IF(Исходн.данные.!I201&gt;5.5,"Да","Нет")</f>
        <v>Нет</v>
      </c>
      <c r="FX201" s="39" t="str">
        <f>IF(Исходн.данные.!J201&lt;2,"Да","Нет")</f>
        <v>Да</v>
      </c>
      <c r="FY201" s="39" t="e">
        <f>IF(HF201=$FY$16,0,Исходн.данные.!K201*GO201*GS201*GW201/HF201)</f>
        <v>#N/A</v>
      </c>
      <c r="FZ201" s="39" t="e">
        <f>Исходн.данные.!M201*GS201*GZ201/HG201</f>
        <v>#N/A</v>
      </c>
      <c r="GA201" s="39" t="e">
        <f>IF(K_Wyn=$FY$16,0,IF(Исходн.данные.!N201=Исходн.данные.!$L$10,Исходн.данные.!O201/1.1*GS201*HC201/HH201,IF(Исходн.данные.!N201=Исходн.данные.!$L$12,Исходн.данные.!O201/1.5*GS201*HC201/HH201,Исходн.данные.!O201*GS201*HC201/HH201)))</f>
        <v>#N/A</v>
      </c>
      <c r="GB201" s="39" t="e">
        <f>IF(HF201=$FY$16,0,((Исходн.данные.!Q201*N_Org+Исходн.данные.!R201*N_Sider+Исходн.данные.!S201*N_Soloma)*AO201+Расчет!BC201*VLOOKUP(Исходн.данные.!T201,Справ!$A$3:$O$57,15)*AO201+BB201*VLOOKUP(Исходн.данные.!T201,Справ!$A$3:$O$57,15)*AL201+(Исходн.данные.!V201*N_Rizotorf+Исходн.данные.!W201*N_Rizoagr))/HF201)</f>
        <v>#N/A</v>
      </c>
      <c r="GC201" s="39" t="e">
        <f>IF(HG201=$FY$16,0,((Исходн.данные.!Q201*Р_Org+Исходн.данные.!R201*P_Sider+Исходн.данные.!S201*P_Soloma)*AP201+Расчет!BC201*VLOOKUP(Исходн.данные.!T201,Справ!$A$3:$P$57,16)*AP201+BB201*VLOOKUP(Исходн.данные.!T201,Справ!$A$3:$P$57,16)*AM201)/HG201)</f>
        <v>#N/A</v>
      </c>
      <c r="GD201" s="39" t="e">
        <f>IF(HH201=$FY$16,0,((Исходн.данные.!Q201*К_Org+Исходн.данные.!R201*K_Sider+Исходн.данные.!S201*K_Soloma)*AQ201+Расчет!BC201*VLOOKUP(Исходн.данные.!T201,Справ!$A$3:$Q$57,17)*AQ201+BB201*VLOOKUP(Исходн.данные.!T201,Справ!$A$3:$Q$57,17)*AN201)/HH201)</f>
        <v>#N/A</v>
      </c>
      <c r="GE201" s="39" t="e">
        <f>IF(HF201=$FY$16,0,(Исходн.данные.!X201*AR201+Исходн.данные.!AA201*N_Org*AL201+Исходн.данные.!AB201*N_Sider*AL201+Исходн.данные.!AC201*N_Soloma*AL201)/HF201)</f>
        <v>#N/A</v>
      </c>
      <c r="GF201" s="39" t="e">
        <f>IF(HG201=$FY$16,0,(Исходн.данные.!Y201*AS201+Исходн.данные.!AA201*Р_Org*AM201+Исходн.данные.!AB201*P_Sider*AM201+Исходн.данные.!AC201*P_Soloma*AM201)/HG201)</f>
        <v>#N/A</v>
      </c>
      <c r="GG201" s="39" t="e">
        <f>IF(HH201=$FY$16,0,(Исходн.данные.!Z201*AT201+Исходн.данные.!AA201*К_Org*AN201+Исходн.данные.!AB201*K_Sider*AN201+Исходн.данные.!AC201*K_Soloma*AN201)/HH201)</f>
        <v>#N/A</v>
      </c>
      <c r="GH201" s="39" t="e">
        <f>Исходн.данные.!AD201*AU201/HF201</f>
        <v>#N/A</v>
      </c>
      <c r="GI201" s="39" t="e">
        <f>Исходн.данные.!AE201*AV201/HG201</f>
        <v>#N/A</v>
      </c>
      <c r="GJ201" s="39" t="e">
        <f>Исходн.данные.!AF201*AW201/HH201</f>
        <v>#N/A</v>
      </c>
      <c r="GK201" s="55">
        <f>Исходн.данные.!AK201</f>
        <v>0</v>
      </c>
      <c r="GL201" s="11" t="e">
        <f t="shared" si="261"/>
        <v>#N/A</v>
      </c>
      <c r="GM201" s="11" t="e">
        <f t="shared" si="262"/>
        <v>#N/A</v>
      </c>
      <c r="GN201" s="11" t="e">
        <f t="shared" si="263"/>
        <v>#N/A</v>
      </c>
      <c r="GO201" s="57">
        <f t="shared" si="264"/>
        <v>19</v>
      </c>
      <c r="GP201" s="55">
        <f>IF(OR(Исходн.данные.!F201=$CE$1,Исходн.данные.!F201=$CE$2,Исходн.данные.!F201=$CE$3,Исходн.данные.!F201=$CE$4,Исходн.данные.!F201=$CE$5),GQ201,GR201)</f>
        <v>19</v>
      </c>
      <c r="GQ201" s="55">
        <f>IF(Исходн.данные.!F201=$CE$1,28,IF(Исходн.данные.!F201=$CE$2,26,IF(Исходн.данные.!F201=$CE$3,24,IF(Исходн.данные.!F201=$CE$4,22,IF(Исходн.данные.!F201=$CE$5,20,GR201)))))</f>
        <v>19</v>
      </c>
      <c r="GR201" s="55">
        <f>IF(Исходн.данные.!F201=$CE$6,18,IF(Исходн.данные.!F201=$CE$7,16,IF(Исходн.данные.!F201=$CE$8,14,IF(Исходн.данные.!F201=$CE$9,13,IF(Исходн.данные.!F201=$CE$10,12,19)))))</f>
        <v>19</v>
      </c>
      <c r="GS201" s="55">
        <f>IF(Исходн.данные.!G201="Пес",0.035*(40+2*Исходн.данные.!H201),IF(Исходн.данные.!G201="Суп",0.0325*(40+2*Исходн.данные.!H201),0.03*(40+2*Исходн.данные.!H201)))</f>
        <v>1.2</v>
      </c>
      <c r="GT201" s="55">
        <f>IF(Исходн.данные.!H201&lt;23,2.6,IF(AND(Исходн.данные.!H201&gt;22,Исходн.данные.!H201&lt;26),3,IF(AND(Исходн.данные.!H201&gt;25,Исходн.данные.!H201&lt;29),3.4,3.6)))</f>
        <v>2.6</v>
      </c>
      <c r="GU201" s="55">
        <f>IF(Исходн.данные.!H201&lt;23,2.8,IF(AND(Исходн.данные.!H201&gt;22,Исходн.данные.!H201&lt;26),3.2,IF(AND(Исходн.данные.!H201&gt;25,Исходн.данные.!H201&lt;29),3.6,3.9)))</f>
        <v>2.8</v>
      </c>
      <c r="GV201" s="55">
        <f>IF(Исходн.данные.!H201&lt;23,3,IF(AND(Исходн.данные.!H201&gt;22,Исходн.данные.!H201&lt;26),3.5,IF(AND(Исходн.данные.!H201&gt;25,Исходн.данные.!H201&lt;29),3.9,4.2)))</f>
        <v>3</v>
      </c>
      <c r="GW201" s="55" t="e">
        <f>IF(Исходн.данные.!P201="Ум",GX201,GY201)</f>
        <v>#N/A</v>
      </c>
      <c r="GX201" s="55" t="e">
        <f>VLOOKUP(Исходн.данные.!AI201,Коэффициенты!$J$7:$L$13,2,FALSE)</f>
        <v>#N/A</v>
      </c>
      <c r="GY201" s="55" t="e">
        <f>VLOOKUP(Исходн.данные.!AI201,Коэффициенты!$J$7:$L$13,3,FALSE)</f>
        <v>#N/A</v>
      </c>
      <c r="GZ201" s="55" t="e">
        <f>(IF(Исходн.данные.!M201&lt;50,0.11*VLOOKUP(Исходн.данные.!AH201,Культуры.Информация,7,FALSE),IF(Исходн.данные.!M201&gt;250,0.05*VLOOKUP(Исходн.данные.!AH201,Культуры.Информация,7,FALSE),VLOOKUP(Исходн.данные.!AH201,Культуры.Информация,5,FALSE)/100*($GX$6+$GY$6*Исходн.данные.!M201))))*Расчет2!AI201</f>
        <v>#N/A</v>
      </c>
      <c r="HA201" s="211"/>
      <c r="HB201" s="211"/>
      <c r="HC201" s="55" t="e">
        <f>(IF(Исходн.данные.!O201&lt;80,0.2*VLOOKUP(Исходн.данные.!AH201,Культуры.Информация,8,FALSE),IF(Исходн.данные.!O201&gt;240,0.09*VLOOKUP(Исходн.данные.!AH201,Культуры.Информация,8,FALSE),VLOOKUP(Исходн.данные.!AH201,Культуры.Информация,6,FALSE)/100*($HB$6+$HC$6*Исходн.данные.!O201))))*Расчет2!AJ201</f>
        <v>#N/A</v>
      </c>
      <c r="HD201" s="55">
        <f>IF(Исходн.данные.!O201&gt;240,0.09,IF(Исходн.данные.!O201&lt;30,0.3,$HE$10+$HD$10*Исходн.данные.!O201))</f>
        <v>0.3</v>
      </c>
      <c r="HE201" s="55">
        <f>IF(Исходн.данные.!O201&gt;240,0.17,IF(Исходн.данные.!O201&lt;30,0.5,$HF$12+$HE$12*Исходн.данные.!O201))</f>
        <v>0.5</v>
      </c>
      <c r="HF201" s="55" t="e">
        <f>VLOOKUP(Исходн.данные.!AH201,Справ!$A$3:$D$58,2,FALSE)</f>
        <v>#N/A</v>
      </c>
      <c r="HG201" s="55" t="e">
        <f>VLOOKUP(Исходн.данные.!AH201,Справ!$A$3:$D$58,3,FALSE)</f>
        <v>#N/A</v>
      </c>
      <c r="HH201" s="55" t="e">
        <f>VLOOKUP(Исходн.данные.!AH201,Справ!$A$3:$D$58,4,FALSE)</f>
        <v>#N/A</v>
      </c>
      <c r="HI201" s="11" t="e">
        <f t="shared" si="265"/>
        <v>#N/A</v>
      </c>
      <c r="HJ201" s="11" t="e">
        <f t="shared" si="266"/>
        <v>#N/A</v>
      </c>
      <c r="HK201" s="11" t="e">
        <f t="shared" si="267"/>
        <v>#N/A</v>
      </c>
      <c r="HL201" s="55">
        <f>IF(OR(Исходн.данные.!G201="Глин",Исходн.данные.!G201="Т_суг"),1.1,IF(Исходн.данные.!G201="Ср_суг",1,1))</f>
        <v>1</v>
      </c>
      <c r="HM201" s="55">
        <f>IF(OR(Исходн.данные.!G201="Глин",Исходн.данные.!G201="Т_суг"),0.9,IF(Исходн.данные.!G201="Ср_суг",1,1.2))</f>
        <v>1.2</v>
      </c>
      <c r="HN201" s="11" t="e">
        <f t="shared" si="268"/>
        <v>#N/A</v>
      </c>
      <c r="HO201" s="11" t="e">
        <f t="shared" si="269"/>
        <v>#N/A</v>
      </c>
      <c r="HP201" s="11" t="e">
        <f t="shared" si="270"/>
        <v>#N/A</v>
      </c>
      <c r="HQ201" t="e">
        <f t="shared" si="271"/>
        <v>#N/A</v>
      </c>
      <c r="HR201" t="e">
        <f t="shared" si="272"/>
        <v>#N/A</v>
      </c>
      <c r="HS201" t="e">
        <f t="shared" si="273"/>
        <v>#N/A</v>
      </c>
      <c r="HT201" t="e">
        <f t="shared" si="219"/>
        <v>#N/A</v>
      </c>
      <c r="HU201" t="e">
        <f t="shared" si="220"/>
        <v>#N/A</v>
      </c>
      <c r="HV201" t="e">
        <f t="shared" si="221"/>
        <v>#N/A</v>
      </c>
      <c r="HW201" t="e">
        <f t="shared" si="222"/>
        <v>#N/A</v>
      </c>
      <c r="HX201" t="e">
        <f t="shared" si="223"/>
        <v>#N/A</v>
      </c>
      <c r="HY201" t="e">
        <f t="shared" si="224"/>
        <v>#N/A</v>
      </c>
      <c r="HZ201" s="55">
        <f>IF(OR(Исходн.данные.!AI201="Оз_Ч_П",Исходн.данные.!AI201="Оз_З_П",Исходн.данные.!AI201="Яр_зер"),12,30)</f>
        <v>30</v>
      </c>
      <c r="IA201" t="e">
        <f t="shared" si="274"/>
        <v>#N/A</v>
      </c>
      <c r="IB201" t="e">
        <f t="shared" si="275"/>
        <v>#N/A</v>
      </c>
      <c r="IC201" t="e">
        <f t="shared" si="276"/>
        <v>#N/A</v>
      </c>
      <c r="ID201" s="11" t="e">
        <f t="shared" si="277"/>
        <v>#N/A</v>
      </c>
      <c r="IE201" s="11" t="e">
        <f t="shared" si="278"/>
        <v>#N/A</v>
      </c>
      <c r="IF201" s="11" t="e">
        <f t="shared" si="279"/>
        <v>#N/A</v>
      </c>
    </row>
    <row r="202" spans="35:240" x14ac:dyDescent="0.2">
      <c r="AI202">
        <f>IF(Исходн.данные.!I202&gt;6,1,1.85-(0.148*Исходн.данные.!I202))</f>
        <v>1.85</v>
      </c>
      <c r="AJ202">
        <f>IF(Исходн.данные.!I202&gt;6,1,2.434-(0.246*Исходн.данные.!I202))</f>
        <v>2.4340000000000002</v>
      </c>
      <c r="AL202" s="148" t="b">
        <f>IF(Исходн.данные.!$P202="Ум",N_OrgUd_2g_um,IF(Исходн.данные.!$P202="Об",N_OrgUd_2g_ob))</f>
        <v>0</v>
      </c>
      <c r="AM202" s="148" t="b">
        <f>IF(Исходн.данные.!$P202="Ум",P_OrgUd_2g_um,IF(Исходн.данные.!$P202="Об",P_OrgUd_2g_ob))</f>
        <v>0</v>
      </c>
      <c r="AN202" s="148" t="b">
        <f>IF(Исходн.данные.!$P202="Ум",K_OrgUd_2g_um,IF(Исходн.данные.!$P202="Об",K_OrgUd_2g_ob))</f>
        <v>0</v>
      </c>
      <c r="AO202" s="148" t="b">
        <f>IF(Исходн.данные.!$P202="Ум",N_OrgUd_1g_um,IF(Исходн.данные.!$P202="Об",N_OrgUd_1g_ob))</f>
        <v>0</v>
      </c>
      <c r="AP202" s="148" t="b">
        <f>IF(Исходн.данные.!$P202="Ум",P_OrgUd_1g_um,IF(Исходн.данные.!$P202="Об",P_OrgUd_1g_ob))</f>
        <v>0</v>
      </c>
      <c r="AQ202" s="148" t="b">
        <f>IF(Исходн.данные.!$P202="Ум",K_OrgUd_1g_um,IF(Исходн.данные.!$P202="Об",K_OrgUd_1g_ob))</f>
        <v>0</v>
      </c>
      <c r="AR202" t="b">
        <f>IF(Исходн.данные.!$P202="Ум",N_MinUd_2g_um,IF(Исходн.данные.!$P202="Об",N_MinUd_2g_ob))</f>
        <v>0</v>
      </c>
      <c r="AS202" t="b">
        <f>IF(Исходн.данные.!$P202="Ум",P_MinUd_2g_um,IF(Исходн.данные.!$P202="Об",P_MinUd_2g_ob))</f>
        <v>0</v>
      </c>
      <c r="AT202" t="b">
        <f>IF(Исходн.данные.!$P202="Ум",K_MinUd_2g_um,IF(Исходн.данные.!$P202="Об",K_MinUd_2g_ob))</f>
        <v>0</v>
      </c>
      <c r="AU202" t="b">
        <f>IF(Исходн.данные.!$P202="Ум",N_MinUd_1g_um,IF(Исходн.данные.!$P202="Об",N_MinUd_1g_ob))</f>
        <v>0</v>
      </c>
      <c r="AV202" t="b">
        <f>IF(Исходн.данные.!P202="Ум",P_MinUd_1g_um,IF(Исходн.данные.!P202="Об",P_MinUd_1g_ob))</f>
        <v>0</v>
      </c>
      <c r="AW202" t="b">
        <f>IF(Исходн.данные.!P202="Ум",K_MinUd_1g_um,IF(Исходн.данные.!P202="Об",K_MinUd_1g_ob))</f>
        <v>0</v>
      </c>
      <c r="AY202" t="e">
        <f>VLOOKUP(Исходн.данные.!T202,Справ!$A$3:$N$57,12)</f>
        <v>#N/A</v>
      </c>
      <c r="AZ202" t="e">
        <f>VLOOKUP(Исходн.данные.!T202,Справ!$A$3:$N$57,13)</f>
        <v>#N/A</v>
      </c>
      <c r="BA202" t="e">
        <f>VLOOKUP(Исходн.данные.!T202,Справ!$A$3:$N$57,14)</f>
        <v>#N/A</v>
      </c>
      <c r="BB202">
        <f>IF(Исходн.данные.!AH202=0,0,25)</f>
        <v>0</v>
      </c>
      <c r="BC202" s="141">
        <f>IF(Исходн.данные.!AH202=0,0,IF(Исходн.данные.!T202=0,25,BD202))</f>
        <v>0</v>
      </c>
      <c r="BD202" s="168" t="e">
        <f>AY202+AZ202*Исходн.данные.!U202-POWER(BA202,2)*Исходн.данные.!U202</f>
        <v>#N/A</v>
      </c>
      <c r="BE20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2" s="25">
        <f>IF(Исходн.данные.!AH202=0,0,MIN(HN202:HP202))</f>
        <v>0</v>
      </c>
      <c r="BG202" s="9">
        <f>IF(Исходн.данные.!AH202=0,0,IF((HO202+10*0.25/HG202/HL202)&lt;17,17,HO202+10*0.25/HG202/HL202))</f>
        <v>0</v>
      </c>
      <c r="BH202" s="181">
        <f>IF(Исходн.данные.!AH202=0,0,HW202*HF202*HL202/AU202*AI202+Исходн.данные.!S202*10)</f>
        <v>0</v>
      </c>
      <c r="BI202" s="10"/>
      <c r="BJ202" s="182">
        <f>IF(Исходн.данные.!AH202=0,0,IF(HX202*HG202*HL202/AV202&lt;0,0,HX202*HG202*HL202/AV202*AJ202))</f>
        <v>0</v>
      </c>
      <c r="BK202" s="182">
        <f>IF(Исходн.данные.!AH202=0,0,HY202*HH202*HM202/AW202)</f>
        <v>0</v>
      </c>
      <c r="BL202" s="10">
        <f>IF(OR(Исходн.данные.!$AH202=$BP$1,Исходн.данные.!$AH202=$BP$2),0,IF(BH202&lt;0,0,IF(OR(Исходн.данные.!T202=Расчет!$BP$1,Исходн.данные.!T202=Расчет!$BP$2,Исходн.данные.!T202=Расчет!$BT$5,Исходн.данные.!T202=Расчет!$BT$6),BH202*0.5,IF(OR(Исходн.данные.!T202=Расчет!$BS$9,Исходн.данные.!T202=Расчет!$BS$10,Исходн.данные.!T202=Расчет!$BS$11,Исходн.данные.!T202=Расчет!$BS$12,Исходн.данные.!T202=Расчет!$BP$5),BH202*0.8,BH202))))</f>
        <v>0</v>
      </c>
      <c r="BM202" s="10">
        <f>IF(OR(Исходн.данные.!$AH202=$BP$1,Исходн.данные.!$AH202=$BP$2),0,IF(BJ202&lt;0,0,IF(Исходн.данные.!I202&lt;4.5,BJ202*1.2,IF(Исходн.данные.!I202&gt;5.1,BJ202,BJ202*((5.1-Исходн.данные.!I202)*0.333+1)))))</f>
        <v>0</v>
      </c>
      <c r="BN202" s="10">
        <f>IF(OR(Исходн.данные.!$AH202=$BP$1,Исходн.данные.!$AH202=$BP$2),60-Исходн.данные.!AF202,IF(BK202&lt;0,0,IF(Исходн.данные.!I202&lt;4.5,BK202*1.2,IF(Исходн.данные.!I202&gt;5.1,BK202,BK202*((5.1-Исходн.данные.!I202)*0.333+1)))))</f>
        <v>0</v>
      </c>
      <c r="BO202" s="9">
        <f>IF(BL202&lt;0,0,BL202*Исходн.данные.!$AJ202/1000)</f>
        <v>0</v>
      </c>
      <c r="BP202" s="9">
        <f>IF(BM202&lt;0,0,BM202*Исходн.данные.!$AJ202/1000)</f>
        <v>0</v>
      </c>
      <c r="BQ202" s="9">
        <f>IF(BN202&lt;0,0,BN202*Исходн.данные.!$AJ202/1000)</f>
        <v>0</v>
      </c>
      <c r="BR202" s="9">
        <f t="shared" si="229"/>
        <v>0</v>
      </c>
      <c r="BS202" s="10" t="str">
        <f t="shared" si="230"/>
        <v>Аммофос 12:52:00</v>
      </c>
      <c r="BT202" s="10" t="str">
        <f t="shared" si="231"/>
        <v>Аммофос 12:52:00</v>
      </c>
      <c r="BU202" s="10" t="str">
        <f t="shared" si="232"/>
        <v>Диаммофоска</v>
      </c>
      <c r="BV202" s="10">
        <f t="shared" si="233"/>
        <v>0</v>
      </c>
      <c r="BW202" s="10"/>
      <c r="BX202" s="10"/>
      <c r="BY202" s="9">
        <f>IF(BL202&lt;0,0,IF(OR(Исходн.данные.!AI202=Расчет!$BU$6,Исходн.данные.!AI202=Расчет!$BU$7),Расчет!BV202,IF(Исходн.данные.!$AG202=$BV$11,BL202,IF(OR(Исходн.данные.!$AH202=$BQ$7,Исходн.данные.!$AH202=$BQ$8),CB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0,IF(Исходн.данные.!$AI202=$BU$11,"Нет",IF(BL202&gt;30,30,BL202)))))))</f>
        <v>0</v>
      </c>
      <c r="BZ202" s="9">
        <f>IF(AND(Исходн.данные.!$AG202=$BV$11,BM202&lt;10),10,IF(Исходн.данные.!$AG202=$BV$11,BM202,IF(OR(Исходн.данные.!$AH202=$BQ$7,Исходн.данные.!$AH202=$BQ$8),CC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10,IF(Исходн.данные.!$AI202=$BU$11,"Нет",IF(BM202&gt;60,60,IF(BM202&lt;10,10,BM202)))))))</f>
        <v>10</v>
      </c>
      <c r="CA202" s="39">
        <f>IF(BN202&lt;0,0,IF(Исходн.данные.!$AG202=$BV$11,BN202,IF(OR(Исходн.данные.!$AH202=$BQ$7,Исходн.данные.!$AH202=$BQ$8),CD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0,IF(Исходн.данные.!$AI202=$BU$11,"Нет",IF(BN202&gt;30,30,BN202))))))</f>
        <v>0</v>
      </c>
      <c r="CB202" s="9">
        <f t="shared" si="234"/>
        <v>0</v>
      </c>
      <c r="CC202" s="9">
        <f t="shared" si="235"/>
        <v>0</v>
      </c>
      <c r="CD202" s="9">
        <f t="shared" si="236"/>
        <v>0</v>
      </c>
      <c r="CE202" s="12">
        <f t="shared" si="237"/>
        <v>10</v>
      </c>
      <c r="CF202" s="9">
        <f t="shared" si="238"/>
        <v>0</v>
      </c>
      <c r="CG202" s="9" t="s">
        <v>231</v>
      </c>
      <c r="CH202" s="132" t="str">
        <f>IF(Исходн.данные.!AP202=Расчет!$CI$16,"Нет",IF(Исходн.данные.!AL202&gt;0,Исходн.данные.!AL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BH$4,IF(OR(Исходн.данные.!AI202=Исходн.данные.!$AI$6,Исходн.данные.!AI202=Исходн.данные.!$AI$7),Расчет!BS202,IF(AND($CF202=0,$CE202&gt;0),EV202,ER202)))))</f>
        <v>Аммофос 12:52:00</v>
      </c>
      <c r="CI202" s="274">
        <f>IF(Расчет!$CH202="Нет","Нет",IF(Исходн.данные.!$AL202&gt;0,VLOOKUP(Расчет!$CH202,АшламаДВ_Irekle,2,FALSE),VLOOKUP(Расчет!$CH202,АшламаДВ_Gomumy,2,FALSE)))</f>
        <v>0.12</v>
      </c>
      <c r="CJ202" s="274">
        <f>IF(Расчет!$CH202="Нет","Нет",IF(Исходн.данные.!$AL202&gt;0,VLOOKUP(Расчет!$CH202,АшламаДВ_Irekle,3,FALSE),VLOOKUP(Расчет!$CH202,АшламаДВ_Gomumy,3,FALSE)))</f>
        <v>0.52</v>
      </c>
      <c r="CK202" s="274">
        <f>IF(Расчет!$CH202="Нет","Нет",IF(Исходн.данные.!$AL202&gt;0,VLOOKUP(Расчет!$CH202,АшламаДВ_Irekle,4,FALSE),VLOOKUP(Расчет!$CH202,АшламаДВ_Gomumy,4,FALSE)))</f>
        <v>0</v>
      </c>
      <c r="CL202" s="70"/>
      <c r="CM202" s="70"/>
      <c r="CN202" s="70"/>
      <c r="CO202" s="70"/>
      <c r="CP202" s="70"/>
      <c r="CQ202" s="70"/>
      <c r="CR202" s="10">
        <f t="shared" si="239"/>
        <v>0</v>
      </c>
      <c r="CS202" s="10">
        <f t="shared" si="240"/>
        <v>19.23076923076923</v>
      </c>
      <c r="CT202" s="10">
        <f t="shared" si="241"/>
        <v>0</v>
      </c>
      <c r="CU202" s="39">
        <f>IF($CH202="Нет",0,IF(CI202=0,30/MIN(CJ202:CK202),IF(Исходн.данные.!$AG202=$BV$11,CR202,IF(OR(Исходн.данные.!$AH202=$BQ$7,Исходн.данные.!$AH202=$BQ$8),90/CI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0,IF(Исходн.данные.!$AI202=$BU$11,"Нет",30/CI202))))))</f>
        <v>250</v>
      </c>
      <c r="CV202" s="39">
        <f>IF($CH202="Нет",0,IF(Исходн.данные.!AH202=0,0,IF(CJ202=0,60/MIN(CI202,CK202),IF(Исходн.данные.!$AG202=$BV$11,CS202,IF(OR(Исходн.данные.!$AH202=$BQ$7,Исходн.данные.!$AH202=$BQ$8),90/CJ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10/CJ202,IF(Исходн.данные.!$AI202=$BU$11,"Нет",60/CJ202)))))))</f>
        <v>0</v>
      </c>
      <c r="CW202" s="39">
        <f>IF($CH202="Нет",0,IF(Исходн.данные.!AH202=0,0,IF(CK202=0,30/MIN(CI202:CJ202),IF(Исходн.данные.!$AG202=$BV$11,CT202,IF(OR(Исходн.данные.!$AH202=$BQ$7,Исходн.данные.!$AH202=$BQ$8),90/CK202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0,IF(Исходн.данные.!$AI202=$BU$11,"Нет",30/CK202)))))))</f>
        <v>0</v>
      </c>
      <c r="CX202" s="133">
        <f>IF(Исходн.данные.!$AG202=$BV$11,MAX(CU202:CW202),IF(OR(Исходн.данные.!$AH202=$BS$8,Исходн.данные.!$AH202=$BQ$9,Исходн.данные.!$AH202=$BQ$10,Исходн.данные.!$AH202=$BQ$11,Исходн.данные.!$AH202=$BQ$12,Исходн.данные.!$AH202=$BP$3,Исходн.данные.!$AH202=$BT$8,$FM202="Да"),CV202,MIN(CU202:CW202)))</f>
        <v>0</v>
      </c>
      <c r="CY202" s="133">
        <f>IF(Исходн.данные.!AH202=0,0,IF(CR202&gt;$CX202,$CX202,CR202))</f>
        <v>0</v>
      </c>
      <c r="CZ202" s="133">
        <f>IF(Исходн.данные.!AH202=0,0,IF(CS202&gt;$CX202,$CX202,CS202))</f>
        <v>0</v>
      </c>
      <c r="DA202" s="133">
        <f>IF(Исходн.данные.!AH202=0,0,IF(CT202&gt;$CX202,$CX202,CT202))</f>
        <v>0</v>
      </c>
      <c r="DB202" s="10">
        <f t="shared" si="242"/>
        <v>0</v>
      </c>
      <c r="DC202" s="39">
        <f>DB202*Исходн.данные.!AJ202/1000</f>
        <v>0</v>
      </c>
      <c r="DD202" s="71">
        <f t="shared" si="243"/>
        <v>0</v>
      </c>
      <c r="DE202" s="9">
        <f t="shared" si="244"/>
        <v>0</v>
      </c>
      <c r="DF202" s="9">
        <f t="shared" si="245"/>
        <v>0</v>
      </c>
      <c r="DG202" s="39">
        <f>IF(BL202&lt;0,0,IF($CH202="Нет",BL202,IF(OR(Исходн.данные.!$AH202=$BP$1,Исходн.данные.!$AH202=$BP$2),0,IF(Исходн.данные.!AI202=$BU$11,BL202,IF(BL202-DD202&lt;0,0,BL202-DD202)))))</f>
        <v>0</v>
      </c>
      <c r="DH202" s="39">
        <f>IF(BM202&lt;0,0,IF($CH202="Нет",BM202,IF(OR(Исходн.данные.!$AH202=$BP$1,Исходн.данные.!$AH202=$BP$2),0,IF(Исходн.данные.!AJ202=$BU$11,BM202,IF(BM202-DE202&lt;0,0,BM202-DE202)))))</f>
        <v>0</v>
      </c>
      <c r="DI202" s="39">
        <f>IF(BN202&lt;0,0,IF($CH202="Нет",BN202,IF(OR(Исходн.данные.!$AH202=$BP$1,Исходн.данные.!$AH202=$BP$2),0,IF(Исходн.данные.!AK202=$BU$11,BN202,IF(BN202-DF202&lt;0,0,BN202-DF202)))))</f>
        <v>0</v>
      </c>
      <c r="DJ202" s="12">
        <f t="shared" si="246"/>
        <v>0</v>
      </c>
      <c r="DK202" s="9">
        <f t="shared" si="247"/>
        <v>0</v>
      </c>
      <c r="DL202" s="39">
        <f>IF(Исходн.данные.!AM202&gt;0,Исходн.данные.!AM202,IF(EG202&gt;0,$BH$10,0))</f>
        <v>0</v>
      </c>
      <c r="DM202" s="186">
        <f>IF($DL202=0,0,IF(Исходн.данные.!AM202&gt;0,VLOOKUP($DL202,АшламаДВ_Irekle,2,FALSE),VLOOKUP($DL202,АшламаДВ_Gomumy,2,FALSE)))</f>
        <v>0</v>
      </c>
      <c r="DN202" s="10">
        <f t="shared" si="225"/>
        <v>0</v>
      </c>
      <c r="DO202" s="9" t="str">
        <f>IF(Исходн.данные.!AN202&gt;0,Исходн.данные.!AN202,Удобрения!$B$37 )</f>
        <v>Хлор.калий</v>
      </c>
      <c r="DP202" s="9">
        <f>IF(Исходн.данные.!AN202&gt;0,VLOOKUP(Исходн.данные.!AN202,АшламаДВ_Irekle,4,FALSE),VLOOKUP(DO202,АшламаДВ_Gomumy,4,FALSE))</f>
        <v>0.6</v>
      </c>
      <c r="DQ202" s="10">
        <f t="shared" si="226"/>
        <v>0</v>
      </c>
      <c r="DR202" s="132" t="str">
        <f>IF(Исходн.данные.!AO202&gt;0,Исходн.данные.!AO202,IF(DH202=0,BS$17,IF(AND($DK202=0,$DJ202&gt;0),EJ202,EN202)))</f>
        <v>Нет</v>
      </c>
      <c r="DS202" s="70" t="str">
        <f>IF($DR202="Нет","Нет",IF(Исходн.данные.!$AO202&gt;0,VLOOKUP($DR202,АшламаДВ_Irekle,2,FALSE),VLOOKUP($DR202,АшламаДВ_Gomumy,2,FALSE)))</f>
        <v>Нет</v>
      </c>
      <c r="DT202" s="70" t="str">
        <f>IF($DR202="Нет","Нет",IF(Исходн.данные.!$AO202&gt;0,VLOOKUP($DR202,АшламаДВ_Irekle,3,FALSE),VLOOKUP($DR202,АшламаДВ_Gomumy,3,FALSE)))</f>
        <v>Нет</v>
      </c>
      <c r="DU202" s="70" t="str">
        <f>IF($DR202="Нет","Нет",IF(Исходн.данные.!$AO202&gt;0,VLOOKUP($DR202,АшламаДВ_Irekle,4,FALSE),VLOOKUP($DR202,АшламаДВ_Gomumy,4,FALSE)))</f>
        <v>Нет</v>
      </c>
      <c r="DV202" s="70"/>
      <c r="DW202" s="70"/>
      <c r="DX202" s="70"/>
      <c r="DY202" s="10">
        <f t="shared" si="248"/>
        <v>0</v>
      </c>
      <c r="DZ202" s="10">
        <f t="shared" si="249"/>
        <v>0</v>
      </c>
      <c r="EA202" s="10">
        <f t="shared" si="250"/>
        <v>0</v>
      </c>
      <c r="EB202" s="10">
        <f t="shared" si="251"/>
        <v>0</v>
      </c>
      <c r="EC202" s="10">
        <f t="shared" si="252"/>
        <v>0</v>
      </c>
      <c r="ED202" s="10">
        <f t="shared" si="253"/>
        <v>0</v>
      </c>
      <c r="EE202" s="10">
        <f t="shared" si="254"/>
        <v>0</v>
      </c>
      <c r="EF202" s="39">
        <f>EB202*Исходн.данные.!AJ202/1000</f>
        <v>0</v>
      </c>
      <c r="EG202" s="9">
        <f t="shared" si="255"/>
        <v>0</v>
      </c>
      <c r="EH202" s="9">
        <f t="shared" si="256"/>
        <v>0</v>
      </c>
      <c r="EI202" s="39" t="e">
        <f t="shared" si="206"/>
        <v>#DIV/0!</v>
      </c>
      <c r="EJ202" s="9" t="str">
        <f t="shared" si="227"/>
        <v>Азопреципитат</v>
      </c>
      <c r="EK202" s="12">
        <f t="shared" si="207"/>
        <v>0.26</v>
      </c>
      <c r="EL202" s="12">
        <f t="shared" si="208"/>
        <v>0.13</v>
      </c>
      <c r="EM202" s="12">
        <f t="shared" si="209"/>
        <v>0</v>
      </c>
      <c r="EN202" s="12" t="str">
        <f t="shared" si="228"/>
        <v>Нет</v>
      </c>
      <c r="EO202" s="12">
        <f t="shared" si="210"/>
        <v>0</v>
      </c>
      <c r="EP202" s="12">
        <f t="shared" si="211"/>
        <v>0</v>
      </c>
      <c r="EQ202" s="12">
        <f t="shared" si="212"/>
        <v>0</v>
      </c>
      <c r="ER202" s="12" t="str">
        <f t="shared" si="257"/>
        <v>Диаммофоска</v>
      </c>
      <c r="ES202" s="12">
        <f t="shared" si="213"/>
        <v>0.1</v>
      </c>
      <c r="ET202" s="12">
        <f t="shared" si="214"/>
        <v>0.26</v>
      </c>
      <c r="EU202" s="12">
        <f t="shared" si="215"/>
        <v>0.26</v>
      </c>
      <c r="EV202" s="12" t="str">
        <f t="shared" si="258"/>
        <v>Аммофос 12:52:00</v>
      </c>
      <c r="EW202" s="12" t="str">
        <f t="shared" si="259"/>
        <v>Кемира Свекловичное-6</v>
      </c>
      <c r="EX202" s="12">
        <f t="shared" si="216"/>
        <v>0.16</v>
      </c>
      <c r="EY202" s="12">
        <f t="shared" si="217"/>
        <v>0.12</v>
      </c>
      <c r="EZ202" s="12">
        <f t="shared" si="218"/>
        <v>0.17</v>
      </c>
      <c r="FA202" s="38" t="e">
        <f>IF(AND(OR(FJ202=$FD$1,FM202=$FD$1,FO202=$FD$1,FQ202=$FD$1,FS202=$FD$1),FD202=$FD$1,Исходн.данные.!J202&lt;2,FU202=$FD$1),"Бор,Кобальт",IF(AND(FO202=$FD$1,FH202=$FD$1,Исходн.данные.!J202&lt;2,FU202=$FD$1),"Бор,Кобальт",IF(AND(OR(FJ202=$FD$1,FM202=$FD$1,FQ202=$FD$1),FE202=$FD$1,Исходн.данные.!J202&lt;2,FT202=$FD$1,FU202=$FD$1),"Бор,Медь,Цинк",IF(AND(OR(FJ202=$FD$1,FR202="Да"),FI202="Да",Исходн.данные.!J202&lt;2,FT202="Да",FU202="Да"),"Бор,Цинк,Медь",IF(AND(OR(FM202="Да",FQ202="Да"),FI202="Да",Исходн.данные.!J202&lt;2,FT202="Да",FU202="Да"),"Бор,Цинк",IF(AND(FN202="Да",OR(FD202="Да",FE202="Да")),"Бор",FB202))))))</f>
        <v>#N/A</v>
      </c>
      <c r="FB202" s="134" t="e">
        <f>IF(AND(OR(FD202="Да",FE202="Да",FF202="Да",FG202="Да",FH202="Да"),FO202="Да"),"Бор",IF(AND(FP202="Да",OR(FD202="Да",FE202="Да",FI202="Да")),"Бор",IF(AND(FS202="Да",FE202="Да"),"Бор,Медь",IF(AND(OR(FJ202="Да",FK202="Да",FL202="Да"),FE202="Да",Исходн.данные.!I202&lt;5,FT202="Да",FU202="Да"),"Молибден,Цинк",IF(AND(FM202="Да",OR(FE202="Да",FF202="Да",FG202="Да",FH202="Да",FI202="Да")),"Молибден,Цинк",IF(AND(OR(FJ202="Да",FK202="Да",FL202="Да",FM202="Да",FQ202="Да"),OR(FE202="Да",FF202="Да"),FT202="Да",FU202="Да",Исходн.данные.!I202&gt;5.5),"Медь,Цинк",FC202))))))</f>
        <v>#N/A</v>
      </c>
      <c r="FC202" s="23" t="e">
        <f t="shared" si="260"/>
        <v>#N/A</v>
      </c>
      <c r="FD202" s="38" t="str">
        <f>IF(OR(Исходн.данные.!F202=$CC$1,Исходн.данные.!F202=$CC$2,Исходн.данные.!F202=$CC$3,Исходн.данные.!F202=$CC$4),"Да","Нет")</f>
        <v>Нет</v>
      </c>
      <c r="FE202" s="38" t="str">
        <f>IF(Исходн.данные.!F202=$CC$5,"Да","Нет")</f>
        <v>Нет</v>
      </c>
      <c r="FF202" s="38" t="str">
        <f>IF(OR(Исходн.данные.!F202=$CC$6,Исходн.данные.!F202=$CC$7),"Да","Нет")</f>
        <v>Нет</v>
      </c>
      <c r="FG202" s="38" t="str">
        <f>IF(OR(Исходн.данные.!F202=$CC$8,Исходн.данные.!F202=$CC$9),"Да","Нет")</f>
        <v>Нет</v>
      </c>
      <c r="FH202" s="38" t="str">
        <f>IF(Исходн.данные.!F202=$CC$10,"Да","Нет")</f>
        <v>Нет</v>
      </c>
      <c r="FI202" s="38" t="str">
        <f>IF(OR(Исходн.данные.!F202=$CC$11,Исходн.данные.!F202=$CC$12),"Да","Нет")</f>
        <v>Нет</v>
      </c>
      <c r="FJ202" s="38" t="str">
        <f>IF(OR(Исходн.данные.!AH202=$BS$1,Исходн.данные.!AH202=$BQ$11,Исходн.данные.!AH202=$BQ$12),"Да","Нет")</f>
        <v>Нет</v>
      </c>
      <c r="FK202" s="38" t="str">
        <f>IF(OR(Исходн.данные.!AH202=$BS$2,Исходн.данные.!AH202=$BS$4),"Да","Нет")</f>
        <v>Нет</v>
      </c>
      <c r="FL202" s="38" t="str">
        <f>IF(OR(Исходн.данные.!AH202=$BS$3,Исходн.данные.!AH202=$BS$5),"Да","Нет")</f>
        <v>Нет</v>
      </c>
      <c r="FM202" s="38" t="str">
        <f>IF(OR(Исходн.данные.!AH202=$BS$9,Исходн.данные.!AH202=$BS$10,Исходн.данные.!AH202=$BS$11,Исходн.данные.!AH202=$BS$12),"Да","Нет")</f>
        <v>Нет</v>
      </c>
      <c r="FN202" s="38" t="str">
        <f>IF(OR(Исходн.данные.!AH202=$BS$6,Исходн.данные.!AH202=$BP$3),"Да","Нет")</f>
        <v>Нет</v>
      </c>
      <c r="FO202" s="38" t="str">
        <f>IF(Исходн.данные.!AH202=$BQ$9,"Да","Нет")</f>
        <v>Нет</v>
      </c>
      <c r="FP202" s="38" t="str">
        <f>IF(OR(Исходн.данные.!AH202=$BS$8,Исходн.данные.!AH202=$BT$8),"Да","Нет")</f>
        <v>Нет</v>
      </c>
      <c r="FQ202" s="38" t="str">
        <f>IF(OR(Исходн.данные.!AH202=$BQ$7,Исходн.данные.!AH202=$BQ$8),"Да","Нет")</f>
        <v>Нет</v>
      </c>
      <c r="FR202" s="38" t="str">
        <f>IF(Исходн.данные.!AI202=$BU$9,"Да","Нет")</f>
        <v>Нет</v>
      </c>
      <c r="FS202" s="38" t="str">
        <f>IF(OR(Исходн.данные.!AH202=$BP$1,Исходн.данные.!AH202=$BP$2),"Да","Нет")</f>
        <v>Нет</v>
      </c>
      <c r="FT202" s="38" t="e">
        <f>IF((Исходн.данные.!K202*GO202*GS202*GW202+BL202*0.6+Исходн.данные.!Q202*4.5*0.275)&gt;90,"Да","Нет")</f>
        <v>#N/A</v>
      </c>
      <c r="FU202" s="38" t="e">
        <f>IF((Исходн.данные.!M202*GS202*GZ202+BM202*0.225)&gt;35,"Да","Нет")</f>
        <v>#N/A</v>
      </c>
      <c r="FV202" s="38" t="str">
        <f>IF(Исходн.данные.!O202&gt;175,"Да","Нет")</f>
        <v>Нет</v>
      </c>
      <c r="FW202" s="39" t="str">
        <f>IF(Исходн.данные.!I202&gt;5.5,"Да","Нет")</f>
        <v>Нет</v>
      </c>
      <c r="FX202" s="39" t="str">
        <f>IF(Исходн.данные.!J202&lt;2,"Да","Нет")</f>
        <v>Да</v>
      </c>
      <c r="FY202" s="39" t="e">
        <f>IF(HF202=$FY$16,0,Исходн.данные.!K202*GO202*GS202*GW202/HF202)</f>
        <v>#N/A</v>
      </c>
      <c r="FZ202" s="39" t="e">
        <f>Исходн.данные.!M202*GS202*GZ202/HG202</f>
        <v>#N/A</v>
      </c>
      <c r="GA202" s="39" t="e">
        <f>IF(K_Wyn=$FY$16,0,IF(Исходн.данные.!N202=Исходн.данные.!$L$10,Исходн.данные.!O202/1.1*GS202*HC202/HH202,IF(Исходн.данные.!N202=Исходн.данные.!$L$12,Исходн.данные.!O202/1.5*GS202*HC202/HH202,Исходн.данные.!O202*GS202*HC202/HH202)))</f>
        <v>#N/A</v>
      </c>
      <c r="GB202" s="39" t="e">
        <f>IF(HF202=$FY$16,0,((Исходн.данные.!Q202*N_Org+Исходн.данные.!R202*N_Sider+Исходн.данные.!S202*N_Soloma)*AO202+Расчет!BC202*VLOOKUP(Исходн.данные.!T202,Справ!$A$3:$O$57,15)*AO202+BB202*VLOOKUP(Исходн.данные.!T202,Справ!$A$3:$O$57,15)*AL202+(Исходн.данные.!V202*N_Rizotorf+Исходн.данные.!W202*N_Rizoagr))/HF202)</f>
        <v>#N/A</v>
      </c>
      <c r="GC202" s="39" t="e">
        <f>IF(HG202=$FY$16,0,((Исходн.данные.!Q202*Р_Org+Исходн.данные.!R202*P_Sider+Исходн.данные.!S202*P_Soloma)*AP202+Расчет!BC202*VLOOKUP(Исходн.данные.!T202,Справ!$A$3:$P$57,16)*AP202+BB202*VLOOKUP(Исходн.данные.!T202,Справ!$A$3:$P$57,16)*AM202)/HG202)</f>
        <v>#N/A</v>
      </c>
      <c r="GD202" s="39" t="e">
        <f>IF(HH202=$FY$16,0,((Исходн.данные.!Q202*К_Org+Исходн.данные.!R202*K_Sider+Исходн.данные.!S202*K_Soloma)*AQ202+Расчет!BC202*VLOOKUP(Исходн.данные.!T202,Справ!$A$3:$Q$57,17)*AQ202+BB202*VLOOKUP(Исходн.данные.!T202,Справ!$A$3:$Q$57,17)*AN202)/HH202)</f>
        <v>#N/A</v>
      </c>
      <c r="GE202" s="39" t="e">
        <f>IF(HF202=$FY$16,0,(Исходн.данные.!X202*AR202+Исходн.данные.!AA202*N_Org*AL202+Исходн.данные.!AB202*N_Sider*AL202+Исходн.данные.!AC202*N_Soloma*AL202)/HF202)</f>
        <v>#N/A</v>
      </c>
      <c r="GF202" s="39" t="e">
        <f>IF(HG202=$FY$16,0,(Исходн.данные.!Y202*AS202+Исходн.данные.!AA202*Р_Org*AM202+Исходн.данные.!AB202*P_Sider*AM202+Исходн.данные.!AC202*P_Soloma*AM202)/HG202)</f>
        <v>#N/A</v>
      </c>
      <c r="GG202" s="39" t="e">
        <f>IF(HH202=$FY$16,0,(Исходн.данные.!Z202*AT202+Исходн.данные.!AA202*К_Org*AN202+Исходн.данные.!AB202*K_Sider*AN202+Исходн.данные.!AC202*K_Soloma*AN202)/HH202)</f>
        <v>#N/A</v>
      </c>
      <c r="GH202" s="39" t="e">
        <f>Исходн.данные.!AD202*AU202/HF202</f>
        <v>#N/A</v>
      </c>
      <c r="GI202" s="39" t="e">
        <f>Исходн.данные.!AE202*AV202/HG202</f>
        <v>#N/A</v>
      </c>
      <c r="GJ202" s="39" t="e">
        <f>Исходн.данные.!AF202*AW202/HH202</f>
        <v>#N/A</v>
      </c>
      <c r="GK202" s="55">
        <f>Исходн.данные.!AK202</f>
        <v>0</v>
      </c>
      <c r="GL202" s="11" t="e">
        <f t="shared" si="261"/>
        <v>#N/A</v>
      </c>
      <c r="GM202" s="11" t="e">
        <f t="shared" si="262"/>
        <v>#N/A</v>
      </c>
      <c r="GN202" s="11" t="e">
        <f t="shared" si="263"/>
        <v>#N/A</v>
      </c>
      <c r="GO202" s="57">
        <f t="shared" si="264"/>
        <v>19</v>
      </c>
      <c r="GP202" s="55">
        <f>IF(OR(Исходн.данные.!F202=$CE$1,Исходн.данные.!F202=$CE$2,Исходн.данные.!F202=$CE$3,Исходн.данные.!F202=$CE$4,Исходн.данные.!F202=$CE$5),GQ202,GR202)</f>
        <v>19</v>
      </c>
      <c r="GQ202" s="55">
        <f>IF(Исходн.данные.!F202=$CE$1,28,IF(Исходн.данные.!F202=$CE$2,26,IF(Исходн.данные.!F202=$CE$3,24,IF(Исходн.данные.!F202=$CE$4,22,IF(Исходн.данные.!F202=$CE$5,20,GR202)))))</f>
        <v>19</v>
      </c>
      <c r="GR202" s="55">
        <f>IF(Исходн.данные.!F202=$CE$6,18,IF(Исходн.данные.!F202=$CE$7,16,IF(Исходн.данные.!F202=$CE$8,14,IF(Исходн.данные.!F202=$CE$9,13,IF(Исходн.данные.!F202=$CE$10,12,19)))))</f>
        <v>19</v>
      </c>
      <c r="GS202" s="55">
        <f>IF(Исходн.данные.!G202="Пес",0.035*(40+2*Исходн.данные.!H202),IF(Исходн.данные.!G202="Суп",0.0325*(40+2*Исходн.данные.!H202),0.03*(40+2*Исходн.данные.!H202)))</f>
        <v>1.2</v>
      </c>
      <c r="GT202" s="55">
        <f>IF(Исходн.данные.!H202&lt;23,2.6,IF(AND(Исходн.данные.!H202&gt;22,Исходн.данные.!H202&lt;26),3,IF(AND(Исходн.данные.!H202&gt;25,Исходн.данные.!H202&lt;29),3.4,3.6)))</f>
        <v>2.6</v>
      </c>
      <c r="GU202" s="55">
        <f>IF(Исходн.данные.!H202&lt;23,2.8,IF(AND(Исходн.данные.!H202&gt;22,Исходн.данные.!H202&lt;26),3.2,IF(AND(Исходн.данные.!H202&gt;25,Исходн.данные.!H202&lt;29),3.6,3.9)))</f>
        <v>2.8</v>
      </c>
      <c r="GV202" s="55">
        <f>IF(Исходн.данные.!H202&lt;23,3,IF(AND(Исходн.данные.!H202&gt;22,Исходн.данные.!H202&lt;26),3.5,IF(AND(Исходн.данные.!H202&gt;25,Исходн.данные.!H202&lt;29),3.9,4.2)))</f>
        <v>3</v>
      </c>
      <c r="GW202" s="55" t="e">
        <f>IF(Исходн.данные.!P202="Ум",GX202,GY202)</f>
        <v>#N/A</v>
      </c>
      <c r="GX202" s="55" t="e">
        <f>VLOOKUP(Исходн.данные.!AI202,Коэффициенты!$J$7:$L$13,2,FALSE)</f>
        <v>#N/A</v>
      </c>
      <c r="GY202" s="55" t="e">
        <f>VLOOKUP(Исходн.данные.!AI202,Коэффициенты!$J$7:$L$13,3,FALSE)</f>
        <v>#N/A</v>
      </c>
      <c r="GZ202" s="55" t="e">
        <f>(IF(Исходн.данные.!M202&lt;50,0.11*VLOOKUP(Исходн.данные.!AH202,Культуры.Информация,7,FALSE),IF(Исходн.данные.!M202&gt;250,0.05*VLOOKUP(Исходн.данные.!AH202,Культуры.Информация,7,FALSE),VLOOKUP(Исходн.данные.!AH202,Культуры.Информация,5,FALSE)/100*($GX$6+$GY$6*Исходн.данные.!M202))))*Расчет2!AI202</f>
        <v>#N/A</v>
      </c>
      <c r="HA202" s="211"/>
      <c r="HB202" s="211"/>
      <c r="HC202" s="55" t="e">
        <f>(IF(Исходн.данные.!O202&lt;80,0.2*VLOOKUP(Исходн.данные.!AH202,Культуры.Информация,8,FALSE),IF(Исходн.данные.!O202&gt;240,0.09*VLOOKUP(Исходн.данные.!AH202,Культуры.Информация,8,FALSE),VLOOKUP(Исходн.данные.!AH202,Культуры.Информация,6,FALSE)/100*($HB$6+$HC$6*Исходн.данные.!O202))))*Расчет2!AJ202</f>
        <v>#N/A</v>
      </c>
      <c r="HD202" s="55">
        <f>IF(Исходн.данные.!O202&gt;240,0.09,IF(Исходн.данные.!O202&lt;30,0.3,$HE$10+$HD$10*Исходн.данные.!O202))</f>
        <v>0.3</v>
      </c>
      <c r="HE202" s="55">
        <f>IF(Исходн.данные.!O202&gt;240,0.17,IF(Исходн.данные.!O202&lt;30,0.5,$HF$12+$HE$12*Исходн.данные.!O202))</f>
        <v>0.5</v>
      </c>
      <c r="HF202" s="55" t="e">
        <f>VLOOKUP(Исходн.данные.!AH202,Справ!$A$3:$D$58,2,FALSE)</f>
        <v>#N/A</v>
      </c>
      <c r="HG202" s="55" t="e">
        <f>VLOOKUP(Исходн.данные.!AH202,Справ!$A$3:$D$58,3,FALSE)</f>
        <v>#N/A</v>
      </c>
      <c r="HH202" s="55" t="e">
        <f>VLOOKUP(Исходн.данные.!AH202,Справ!$A$3:$D$58,4,FALSE)</f>
        <v>#N/A</v>
      </c>
      <c r="HI202" s="11" t="e">
        <f t="shared" si="265"/>
        <v>#N/A</v>
      </c>
      <c r="HJ202" s="11" t="e">
        <f t="shared" si="266"/>
        <v>#N/A</v>
      </c>
      <c r="HK202" s="11" t="e">
        <f t="shared" si="267"/>
        <v>#N/A</v>
      </c>
      <c r="HL202" s="55">
        <f>IF(OR(Исходн.данные.!G202="Глин",Исходн.данные.!G202="Т_суг"),1.1,IF(Исходн.данные.!G202="Ср_суг",1,1))</f>
        <v>1</v>
      </c>
      <c r="HM202" s="55">
        <f>IF(OR(Исходн.данные.!G202="Глин",Исходн.данные.!G202="Т_суг"),0.9,IF(Исходн.данные.!G202="Ср_суг",1,1.2))</f>
        <v>1.2</v>
      </c>
      <c r="HN202" s="11" t="e">
        <f t="shared" si="268"/>
        <v>#N/A</v>
      </c>
      <c r="HO202" s="11" t="e">
        <f t="shared" si="269"/>
        <v>#N/A</v>
      </c>
      <c r="HP202" s="11" t="e">
        <f t="shared" si="270"/>
        <v>#N/A</v>
      </c>
      <c r="HQ202" t="e">
        <f t="shared" si="271"/>
        <v>#N/A</v>
      </c>
      <c r="HR202" t="e">
        <f t="shared" si="272"/>
        <v>#N/A</v>
      </c>
      <c r="HS202" t="e">
        <f t="shared" si="273"/>
        <v>#N/A</v>
      </c>
      <c r="HT202" t="e">
        <f t="shared" si="219"/>
        <v>#N/A</v>
      </c>
      <c r="HU202" t="e">
        <f t="shared" si="220"/>
        <v>#N/A</v>
      </c>
      <c r="HV202" t="e">
        <f t="shared" si="221"/>
        <v>#N/A</v>
      </c>
      <c r="HW202" t="e">
        <f t="shared" si="222"/>
        <v>#N/A</v>
      </c>
      <c r="HX202" t="e">
        <f t="shared" si="223"/>
        <v>#N/A</v>
      </c>
      <c r="HY202" t="e">
        <f t="shared" si="224"/>
        <v>#N/A</v>
      </c>
      <c r="HZ202" s="55">
        <f>IF(OR(Исходн.данные.!AI202="Оз_Ч_П",Исходн.данные.!AI202="Оз_З_П",Исходн.данные.!AI202="Яр_зер"),12,30)</f>
        <v>30</v>
      </c>
      <c r="IA202" t="e">
        <f t="shared" si="274"/>
        <v>#N/A</v>
      </c>
      <c r="IB202" t="e">
        <f t="shared" si="275"/>
        <v>#N/A</v>
      </c>
      <c r="IC202" t="e">
        <f t="shared" si="276"/>
        <v>#N/A</v>
      </c>
      <c r="ID202" s="11" t="e">
        <f t="shared" si="277"/>
        <v>#N/A</v>
      </c>
      <c r="IE202" s="11" t="e">
        <f t="shared" si="278"/>
        <v>#N/A</v>
      </c>
      <c r="IF202" s="11" t="e">
        <f t="shared" si="279"/>
        <v>#N/A</v>
      </c>
    </row>
    <row r="203" spans="35:240" x14ac:dyDescent="0.2">
      <c r="AI203">
        <f>IF(Исходн.данные.!I203&gt;6,1,1.85-(0.148*Исходн.данные.!I203))</f>
        <v>1.85</v>
      </c>
      <c r="AJ203">
        <f>IF(Исходн.данные.!I203&gt;6,1,2.434-(0.246*Исходн.данные.!I203))</f>
        <v>2.4340000000000002</v>
      </c>
      <c r="AL203" s="148" t="b">
        <f>IF(Исходн.данные.!$P203="Ум",N_OrgUd_2g_um,IF(Исходн.данные.!$P203="Об",N_OrgUd_2g_ob))</f>
        <v>0</v>
      </c>
      <c r="AM203" s="148" t="b">
        <f>IF(Исходн.данные.!$P203="Ум",P_OrgUd_2g_um,IF(Исходн.данные.!$P203="Об",P_OrgUd_2g_ob))</f>
        <v>0</v>
      </c>
      <c r="AN203" s="148" t="b">
        <f>IF(Исходн.данные.!$P203="Ум",K_OrgUd_2g_um,IF(Исходн.данные.!$P203="Об",K_OrgUd_2g_ob))</f>
        <v>0</v>
      </c>
      <c r="AO203" s="148" t="b">
        <f>IF(Исходн.данные.!$P203="Ум",N_OrgUd_1g_um,IF(Исходн.данные.!$P203="Об",N_OrgUd_1g_ob))</f>
        <v>0</v>
      </c>
      <c r="AP203" s="148" t="b">
        <f>IF(Исходн.данные.!$P203="Ум",P_OrgUd_1g_um,IF(Исходн.данные.!$P203="Об",P_OrgUd_1g_ob))</f>
        <v>0</v>
      </c>
      <c r="AQ203" s="148" t="b">
        <f>IF(Исходн.данные.!$P203="Ум",K_OrgUd_1g_um,IF(Исходн.данные.!$P203="Об",K_OrgUd_1g_ob))</f>
        <v>0</v>
      </c>
      <c r="AR203" t="b">
        <f>IF(Исходн.данные.!$P203="Ум",N_MinUd_2g_um,IF(Исходн.данные.!$P203="Об",N_MinUd_2g_ob))</f>
        <v>0</v>
      </c>
      <c r="AS203" t="b">
        <f>IF(Исходн.данные.!$P203="Ум",P_MinUd_2g_um,IF(Исходн.данные.!$P203="Об",P_MinUd_2g_ob))</f>
        <v>0</v>
      </c>
      <c r="AT203" t="b">
        <f>IF(Исходн.данные.!$P203="Ум",K_MinUd_2g_um,IF(Исходн.данные.!$P203="Об",K_MinUd_2g_ob))</f>
        <v>0</v>
      </c>
      <c r="AU203" t="b">
        <f>IF(Исходн.данные.!$P203="Ум",N_MinUd_1g_um,IF(Исходн.данные.!$P203="Об",N_MinUd_1g_ob))</f>
        <v>0</v>
      </c>
      <c r="AV203" t="b">
        <f>IF(Исходн.данные.!P203="Ум",P_MinUd_1g_um,IF(Исходн.данные.!P203="Об",P_MinUd_1g_ob))</f>
        <v>0</v>
      </c>
      <c r="AW203" t="b">
        <f>IF(Исходн.данные.!P203="Ум",K_MinUd_1g_um,IF(Исходн.данные.!P203="Об",K_MinUd_1g_ob))</f>
        <v>0</v>
      </c>
      <c r="AY203" t="e">
        <f>VLOOKUP(Исходн.данные.!T203,Справ!$A$3:$N$57,12)</f>
        <v>#N/A</v>
      </c>
      <c r="AZ203" t="e">
        <f>VLOOKUP(Исходн.данные.!T203,Справ!$A$3:$N$57,13)</f>
        <v>#N/A</v>
      </c>
      <c r="BA203" t="e">
        <f>VLOOKUP(Исходн.данные.!T203,Справ!$A$3:$N$57,14)</f>
        <v>#N/A</v>
      </c>
      <c r="BB203">
        <f>IF(Исходн.данные.!AH203=0,0,25)</f>
        <v>0</v>
      </c>
      <c r="BC203" s="141">
        <f>IF(Исходн.данные.!AH203=0,0,IF(Исходн.данные.!T203=0,25,BD203))</f>
        <v>0</v>
      </c>
      <c r="BD203" s="168" t="e">
        <f>AY203+AZ203*Исходн.данные.!U203-POWER(BA203,2)*Исходн.данные.!U203</f>
        <v>#N/A</v>
      </c>
      <c r="BE20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3" s="25">
        <f>IF(Исходн.данные.!AH203=0,0,MIN(HN203:HP203))</f>
        <v>0</v>
      </c>
      <c r="BG203" s="9">
        <f>IF(Исходн.данные.!AH203=0,0,IF((HO203+10*0.25/HG203/HL203)&lt;17,17,HO203+10*0.25/HG203/HL203))</f>
        <v>0</v>
      </c>
      <c r="BH203" s="181">
        <f>IF(Исходн.данные.!AH203=0,0,HW203*HF203*HL203/AU203*AI203+Исходн.данные.!S203*10)</f>
        <v>0</v>
      </c>
      <c r="BI203" s="10"/>
      <c r="BJ203" s="182">
        <f>IF(Исходн.данные.!AH203=0,0,IF(HX203*HG203*HL203/AV203&lt;0,0,HX203*HG203*HL203/AV203*AJ203))</f>
        <v>0</v>
      </c>
      <c r="BK203" s="182">
        <f>IF(Исходн.данные.!AH203=0,0,HY203*HH203*HM203/AW203)</f>
        <v>0</v>
      </c>
      <c r="BL203" s="10">
        <f>IF(OR(Исходн.данные.!$AH203=$BP$1,Исходн.данные.!$AH203=$BP$2),0,IF(BH203&lt;0,0,IF(OR(Исходн.данные.!T203=Расчет!$BP$1,Исходн.данные.!T203=Расчет!$BP$2,Исходн.данные.!T203=Расчет!$BT$5,Исходн.данные.!T203=Расчет!$BT$6),BH203*0.5,IF(OR(Исходн.данные.!T203=Расчет!$BS$9,Исходн.данные.!T203=Расчет!$BS$10,Исходн.данные.!T203=Расчет!$BS$11,Исходн.данные.!T203=Расчет!$BS$12,Исходн.данные.!T203=Расчет!$BP$5),BH203*0.8,BH203))))</f>
        <v>0</v>
      </c>
      <c r="BM203" s="10">
        <f>IF(OR(Исходн.данные.!$AH203=$BP$1,Исходн.данные.!$AH203=$BP$2),0,IF(BJ203&lt;0,0,IF(Исходн.данные.!I203&lt;4.5,BJ203*1.2,IF(Исходн.данные.!I203&gt;5.1,BJ203,BJ203*((5.1-Исходн.данные.!I203)*0.333+1)))))</f>
        <v>0</v>
      </c>
      <c r="BN203" s="10">
        <f>IF(OR(Исходн.данные.!$AH203=$BP$1,Исходн.данные.!$AH203=$BP$2),60-Исходн.данные.!AF203,IF(BK203&lt;0,0,IF(Исходн.данные.!I203&lt;4.5,BK203*1.2,IF(Исходн.данные.!I203&gt;5.1,BK203,BK203*((5.1-Исходн.данные.!I203)*0.333+1)))))</f>
        <v>0</v>
      </c>
      <c r="BO203" s="9">
        <f>IF(BL203&lt;0,0,BL203*Исходн.данные.!$AJ203/1000)</f>
        <v>0</v>
      </c>
      <c r="BP203" s="9">
        <f>IF(BM203&lt;0,0,BM203*Исходн.данные.!$AJ203/1000)</f>
        <v>0</v>
      </c>
      <c r="BQ203" s="9">
        <f>IF(BN203&lt;0,0,BN203*Исходн.данные.!$AJ203/1000)</f>
        <v>0</v>
      </c>
      <c r="BR203" s="9">
        <f t="shared" si="229"/>
        <v>0</v>
      </c>
      <c r="BS203" s="10" t="str">
        <f t="shared" si="230"/>
        <v>Аммофос 12:52:00</v>
      </c>
      <c r="BT203" s="10" t="str">
        <f t="shared" si="231"/>
        <v>Аммофос 12:52:00</v>
      </c>
      <c r="BU203" s="10" t="str">
        <f t="shared" si="232"/>
        <v>Диаммофоска</v>
      </c>
      <c r="BV203" s="10">
        <f t="shared" si="233"/>
        <v>0</v>
      </c>
      <c r="BW203" s="10"/>
      <c r="BX203" s="10"/>
      <c r="BY203" s="9">
        <f>IF(BL203&lt;0,0,IF(OR(Исходн.данные.!AI203=Расчет!$BU$6,Исходн.данные.!AI203=Расчет!$BU$7),Расчет!BV203,IF(Исходн.данные.!$AG203=$BV$11,BL203,IF(OR(Исходн.данные.!$AH203=$BQ$7,Исходн.данные.!$AH203=$BQ$8),CB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0,IF(Исходн.данные.!$AI203=$BU$11,"Нет",IF(BL203&gt;30,30,BL203)))))))</f>
        <v>0</v>
      </c>
      <c r="BZ203" s="9">
        <f>IF(AND(Исходн.данные.!$AG203=$BV$11,BM203&lt;10),10,IF(Исходн.данные.!$AG203=$BV$11,BM203,IF(OR(Исходн.данные.!$AH203=$BQ$7,Исходн.данные.!$AH203=$BQ$8),CC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10,IF(Исходн.данные.!$AI203=$BU$11,"Нет",IF(BM203&gt;60,60,IF(BM203&lt;10,10,BM203)))))))</f>
        <v>10</v>
      </c>
      <c r="CA203" s="39">
        <f>IF(BN203&lt;0,0,IF(Исходн.данные.!$AG203=$BV$11,BN203,IF(OR(Исходн.данные.!$AH203=$BQ$7,Исходн.данные.!$AH203=$BQ$8),CD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0,IF(Исходн.данные.!$AI203=$BU$11,"Нет",IF(BN203&gt;30,30,BN203))))))</f>
        <v>0</v>
      </c>
      <c r="CB203" s="9">
        <f t="shared" si="234"/>
        <v>0</v>
      </c>
      <c r="CC203" s="9">
        <f t="shared" si="235"/>
        <v>0</v>
      </c>
      <c r="CD203" s="9">
        <f t="shared" si="236"/>
        <v>0</v>
      </c>
      <c r="CE203" s="12">
        <f t="shared" si="237"/>
        <v>10</v>
      </c>
      <c r="CF203" s="9">
        <f t="shared" si="238"/>
        <v>0</v>
      </c>
      <c r="CG203" s="9" t="s">
        <v>231</v>
      </c>
      <c r="CH203" s="132" t="str">
        <f>IF(Исходн.данные.!AP203=Расчет!$CI$16,"Нет",IF(Исходн.данные.!AL203&gt;0,Исходн.данные.!AL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BH$4,IF(OR(Исходн.данные.!AI203=Исходн.данные.!$AI$6,Исходн.данные.!AI203=Исходн.данные.!$AI$7),Расчет!BS203,IF(AND($CF203=0,$CE203&gt;0),EV203,ER203)))))</f>
        <v>Аммофос 12:52:00</v>
      </c>
      <c r="CI203" s="274">
        <f>IF(Расчет!$CH203="Нет","Нет",IF(Исходн.данные.!$AL203&gt;0,VLOOKUP(Расчет!$CH203,АшламаДВ_Irekle,2,FALSE),VLOOKUP(Расчет!$CH203,АшламаДВ_Gomumy,2,FALSE)))</f>
        <v>0.12</v>
      </c>
      <c r="CJ203" s="274">
        <f>IF(Расчет!$CH203="Нет","Нет",IF(Исходн.данные.!$AL203&gt;0,VLOOKUP(Расчет!$CH203,АшламаДВ_Irekle,3,FALSE),VLOOKUP(Расчет!$CH203,АшламаДВ_Gomumy,3,FALSE)))</f>
        <v>0.52</v>
      </c>
      <c r="CK203" s="274">
        <f>IF(Расчет!$CH203="Нет","Нет",IF(Исходн.данные.!$AL203&gt;0,VLOOKUP(Расчет!$CH203,АшламаДВ_Irekle,4,FALSE),VLOOKUP(Расчет!$CH203,АшламаДВ_Gomumy,4,FALSE)))</f>
        <v>0</v>
      </c>
      <c r="CL203" s="70"/>
      <c r="CM203" s="70"/>
      <c r="CN203" s="70"/>
      <c r="CO203" s="70"/>
      <c r="CP203" s="70"/>
      <c r="CQ203" s="70"/>
      <c r="CR203" s="10">
        <f t="shared" si="239"/>
        <v>0</v>
      </c>
      <c r="CS203" s="10">
        <f t="shared" si="240"/>
        <v>19.23076923076923</v>
      </c>
      <c r="CT203" s="10">
        <f t="shared" si="241"/>
        <v>0</v>
      </c>
      <c r="CU203" s="39">
        <f>IF($CH203="Нет",0,IF(CI203=0,30/MIN(CJ203:CK203),IF(Исходн.данные.!$AG203=$BV$11,CR203,IF(OR(Исходн.данные.!$AH203=$BQ$7,Исходн.данные.!$AH203=$BQ$8),90/CI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0,IF(Исходн.данные.!$AI203=$BU$11,"Нет",30/CI203))))))</f>
        <v>250</v>
      </c>
      <c r="CV203" s="39">
        <f>IF($CH203="Нет",0,IF(Исходн.данные.!AH203=0,0,IF(CJ203=0,60/MIN(CI203,CK203),IF(Исходн.данные.!$AG203=$BV$11,CS203,IF(OR(Исходн.данные.!$AH203=$BQ$7,Исходн.данные.!$AH203=$BQ$8),90/CJ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10/CJ203,IF(Исходн.данные.!$AI203=$BU$11,"Нет",60/CJ203)))))))</f>
        <v>0</v>
      </c>
      <c r="CW203" s="39">
        <f>IF($CH203="Нет",0,IF(Исходн.данные.!AH203=0,0,IF(CK203=0,30/MIN(CI203:CJ203),IF(Исходн.данные.!$AG203=$BV$11,CT203,IF(OR(Исходн.данные.!$AH203=$BQ$7,Исходн.данные.!$AH203=$BQ$8),90/CK203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0,IF(Исходн.данные.!$AI203=$BU$11,"Нет",30/CK203)))))))</f>
        <v>0</v>
      </c>
      <c r="CX203" s="133">
        <f>IF(Исходн.данные.!$AG203=$BV$11,MAX(CU203:CW203),IF(OR(Исходн.данные.!$AH203=$BS$8,Исходн.данные.!$AH203=$BQ$9,Исходн.данные.!$AH203=$BQ$10,Исходн.данные.!$AH203=$BQ$11,Исходн.данные.!$AH203=$BQ$12,Исходн.данные.!$AH203=$BP$3,Исходн.данные.!$AH203=$BT$8,$FM203="Да"),CV203,MIN(CU203:CW203)))</f>
        <v>0</v>
      </c>
      <c r="CY203" s="133">
        <f>IF(Исходн.данные.!AH203=0,0,IF(CR203&gt;$CX203,$CX203,CR203))</f>
        <v>0</v>
      </c>
      <c r="CZ203" s="133">
        <f>IF(Исходн.данные.!AH203=0,0,IF(CS203&gt;$CX203,$CX203,CS203))</f>
        <v>0</v>
      </c>
      <c r="DA203" s="133">
        <f>IF(Исходн.данные.!AH203=0,0,IF(CT203&gt;$CX203,$CX203,CT203))</f>
        <v>0</v>
      </c>
      <c r="DB203" s="10">
        <f t="shared" si="242"/>
        <v>0</v>
      </c>
      <c r="DC203" s="39">
        <f>DB203*Исходн.данные.!AJ203/1000</f>
        <v>0</v>
      </c>
      <c r="DD203" s="71">
        <f t="shared" si="243"/>
        <v>0</v>
      </c>
      <c r="DE203" s="9">
        <f t="shared" si="244"/>
        <v>0</v>
      </c>
      <c r="DF203" s="9">
        <f t="shared" si="245"/>
        <v>0</v>
      </c>
      <c r="DG203" s="39">
        <f>IF(BL203&lt;0,0,IF($CH203="Нет",BL203,IF(OR(Исходн.данные.!$AH203=$BP$1,Исходн.данные.!$AH203=$BP$2),0,IF(Исходн.данные.!AI203=$BU$11,BL203,IF(BL203-DD203&lt;0,0,BL203-DD203)))))</f>
        <v>0</v>
      </c>
      <c r="DH203" s="39">
        <f>IF(BM203&lt;0,0,IF($CH203="Нет",BM203,IF(OR(Исходн.данные.!$AH203=$BP$1,Исходн.данные.!$AH203=$BP$2),0,IF(Исходн.данные.!AJ203=$BU$11,BM203,IF(BM203-DE203&lt;0,0,BM203-DE203)))))</f>
        <v>0</v>
      </c>
      <c r="DI203" s="39">
        <f>IF(BN203&lt;0,0,IF($CH203="Нет",BN203,IF(OR(Исходн.данные.!$AH203=$BP$1,Исходн.данные.!$AH203=$BP$2),0,IF(Исходн.данные.!AK203=$BU$11,BN203,IF(BN203-DF203&lt;0,0,BN203-DF203)))))</f>
        <v>0</v>
      </c>
      <c r="DJ203" s="12">
        <f t="shared" si="246"/>
        <v>0</v>
      </c>
      <c r="DK203" s="9">
        <f t="shared" si="247"/>
        <v>0</v>
      </c>
      <c r="DL203" s="39">
        <f>IF(Исходн.данные.!AM203&gt;0,Исходн.данные.!AM203,IF(EG203&gt;0,$BH$10,0))</f>
        <v>0</v>
      </c>
      <c r="DM203" s="186">
        <f>IF($DL203=0,0,IF(Исходн.данные.!AM203&gt;0,VLOOKUP($DL203,АшламаДВ_Irekle,2,FALSE),VLOOKUP($DL203,АшламаДВ_Gomumy,2,FALSE)))</f>
        <v>0</v>
      </c>
      <c r="DN203" s="10">
        <f t="shared" si="225"/>
        <v>0</v>
      </c>
      <c r="DO203" s="9" t="str">
        <f>IF(Исходн.данные.!AN203&gt;0,Исходн.данные.!AN203,Удобрения!$B$37 )</f>
        <v>Хлор.калий</v>
      </c>
      <c r="DP203" s="9">
        <f>IF(Исходн.данные.!AN203&gt;0,VLOOKUP(Исходн.данные.!AN203,АшламаДВ_Irekle,4,FALSE),VLOOKUP(DO203,АшламаДВ_Gomumy,4,FALSE))</f>
        <v>0.6</v>
      </c>
      <c r="DQ203" s="10">
        <f t="shared" si="226"/>
        <v>0</v>
      </c>
      <c r="DR203" s="132" t="str">
        <f>IF(Исходн.данные.!AO203&gt;0,Исходн.данные.!AO203,IF(DH203=0,BS$17,IF(AND($DK203=0,$DJ203&gt;0),EJ203,EN203)))</f>
        <v>Нет</v>
      </c>
      <c r="DS203" s="70" t="str">
        <f>IF($DR203="Нет","Нет",IF(Исходн.данные.!$AO203&gt;0,VLOOKUP($DR203,АшламаДВ_Irekle,2,FALSE),VLOOKUP($DR203,АшламаДВ_Gomumy,2,FALSE)))</f>
        <v>Нет</v>
      </c>
      <c r="DT203" s="70" t="str">
        <f>IF($DR203="Нет","Нет",IF(Исходн.данные.!$AO203&gt;0,VLOOKUP($DR203,АшламаДВ_Irekle,3,FALSE),VLOOKUP($DR203,АшламаДВ_Gomumy,3,FALSE)))</f>
        <v>Нет</v>
      </c>
      <c r="DU203" s="70" t="str">
        <f>IF($DR203="Нет","Нет",IF(Исходн.данные.!$AO203&gt;0,VLOOKUP($DR203,АшламаДВ_Irekle,4,FALSE),VLOOKUP($DR203,АшламаДВ_Gomumy,4,FALSE)))</f>
        <v>Нет</v>
      </c>
      <c r="DV203" s="70"/>
      <c r="DW203" s="70"/>
      <c r="DX203" s="70"/>
      <c r="DY203" s="10">
        <f t="shared" si="248"/>
        <v>0</v>
      </c>
      <c r="DZ203" s="10">
        <f t="shared" si="249"/>
        <v>0</v>
      </c>
      <c r="EA203" s="10">
        <f t="shared" si="250"/>
        <v>0</v>
      </c>
      <c r="EB203" s="10">
        <f t="shared" si="251"/>
        <v>0</v>
      </c>
      <c r="EC203" s="10">
        <f t="shared" si="252"/>
        <v>0</v>
      </c>
      <c r="ED203" s="10">
        <f t="shared" si="253"/>
        <v>0</v>
      </c>
      <c r="EE203" s="10">
        <f t="shared" si="254"/>
        <v>0</v>
      </c>
      <c r="EF203" s="39">
        <f>EB203*Исходн.данные.!AJ203/1000</f>
        <v>0</v>
      </c>
      <c r="EG203" s="9">
        <f t="shared" si="255"/>
        <v>0</v>
      </c>
      <c r="EH203" s="9">
        <f t="shared" si="256"/>
        <v>0</v>
      </c>
      <c r="EI203" s="39" t="e">
        <f t="shared" si="206"/>
        <v>#DIV/0!</v>
      </c>
      <c r="EJ203" s="9" t="str">
        <f t="shared" si="227"/>
        <v>Азопреципитат</v>
      </c>
      <c r="EK203" s="12">
        <f t="shared" si="207"/>
        <v>0.26</v>
      </c>
      <c r="EL203" s="12">
        <f t="shared" si="208"/>
        <v>0.13</v>
      </c>
      <c r="EM203" s="12">
        <f t="shared" si="209"/>
        <v>0</v>
      </c>
      <c r="EN203" s="12" t="str">
        <f t="shared" si="228"/>
        <v>Нет</v>
      </c>
      <c r="EO203" s="12">
        <f t="shared" si="210"/>
        <v>0</v>
      </c>
      <c r="EP203" s="12">
        <f t="shared" si="211"/>
        <v>0</v>
      </c>
      <c r="EQ203" s="12">
        <f t="shared" si="212"/>
        <v>0</v>
      </c>
      <c r="ER203" s="12" t="str">
        <f t="shared" si="257"/>
        <v>Диаммофоска</v>
      </c>
      <c r="ES203" s="12">
        <f t="shared" si="213"/>
        <v>0.1</v>
      </c>
      <c r="ET203" s="12">
        <f t="shared" si="214"/>
        <v>0.26</v>
      </c>
      <c r="EU203" s="12">
        <f t="shared" si="215"/>
        <v>0.26</v>
      </c>
      <c r="EV203" s="12" t="str">
        <f t="shared" si="258"/>
        <v>Аммофос 12:52:00</v>
      </c>
      <c r="EW203" s="12" t="str">
        <f t="shared" si="259"/>
        <v>Кемира Свекловичное-6</v>
      </c>
      <c r="EX203" s="12">
        <f t="shared" si="216"/>
        <v>0.16</v>
      </c>
      <c r="EY203" s="12">
        <f t="shared" si="217"/>
        <v>0.12</v>
      </c>
      <c r="EZ203" s="12">
        <f t="shared" si="218"/>
        <v>0.17</v>
      </c>
      <c r="FA203" s="38" t="e">
        <f>IF(AND(OR(FJ203=$FD$1,FM203=$FD$1,FO203=$FD$1,FQ203=$FD$1,FS203=$FD$1),FD203=$FD$1,Исходн.данные.!J203&lt;2,FU203=$FD$1),"Бор,Кобальт",IF(AND(FO203=$FD$1,FH203=$FD$1,Исходн.данные.!J203&lt;2,FU203=$FD$1),"Бор,Кобальт",IF(AND(OR(FJ203=$FD$1,FM203=$FD$1,FQ203=$FD$1),FE203=$FD$1,Исходн.данные.!J203&lt;2,FT203=$FD$1,FU203=$FD$1),"Бор,Медь,Цинк",IF(AND(OR(FJ203=$FD$1,FR203="Да"),FI203="Да",Исходн.данные.!J203&lt;2,FT203="Да",FU203="Да"),"Бор,Цинк,Медь",IF(AND(OR(FM203="Да",FQ203="Да"),FI203="Да",Исходн.данные.!J203&lt;2,FT203="Да",FU203="Да"),"Бор,Цинк",IF(AND(FN203="Да",OR(FD203="Да",FE203="Да")),"Бор",FB203))))))</f>
        <v>#N/A</v>
      </c>
      <c r="FB203" s="134" t="e">
        <f>IF(AND(OR(FD203="Да",FE203="Да",FF203="Да",FG203="Да",FH203="Да"),FO203="Да"),"Бор",IF(AND(FP203="Да",OR(FD203="Да",FE203="Да",FI203="Да")),"Бор",IF(AND(FS203="Да",FE203="Да"),"Бор,Медь",IF(AND(OR(FJ203="Да",FK203="Да",FL203="Да"),FE203="Да",Исходн.данные.!I203&lt;5,FT203="Да",FU203="Да"),"Молибден,Цинк",IF(AND(FM203="Да",OR(FE203="Да",FF203="Да",FG203="Да",FH203="Да",FI203="Да")),"Молибден,Цинк",IF(AND(OR(FJ203="Да",FK203="Да",FL203="Да",FM203="Да",FQ203="Да"),OR(FE203="Да",FF203="Да"),FT203="Да",FU203="Да",Исходн.данные.!I203&gt;5.5),"Медь,Цинк",FC203))))))</f>
        <v>#N/A</v>
      </c>
      <c r="FC203" s="23" t="e">
        <f t="shared" si="260"/>
        <v>#N/A</v>
      </c>
      <c r="FD203" s="38" t="str">
        <f>IF(OR(Исходн.данные.!F203=$CC$1,Исходн.данные.!F203=$CC$2,Исходн.данные.!F203=$CC$3,Исходн.данные.!F203=$CC$4),"Да","Нет")</f>
        <v>Нет</v>
      </c>
      <c r="FE203" s="38" t="str">
        <f>IF(Исходн.данные.!F203=$CC$5,"Да","Нет")</f>
        <v>Нет</v>
      </c>
      <c r="FF203" s="38" t="str">
        <f>IF(OR(Исходн.данные.!F203=$CC$6,Исходн.данные.!F203=$CC$7),"Да","Нет")</f>
        <v>Нет</v>
      </c>
      <c r="FG203" s="38" t="str">
        <f>IF(OR(Исходн.данные.!F203=$CC$8,Исходн.данные.!F203=$CC$9),"Да","Нет")</f>
        <v>Нет</v>
      </c>
      <c r="FH203" s="38" t="str">
        <f>IF(Исходн.данные.!F203=$CC$10,"Да","Нет")</f>
        <v>Нет</v>
      </c>
      <c r="FI203" s="38" t="str">
        <f>IF(OR(Исходн.данные.!F203=$CC$11,Исходн.данные.!F203=$CC$12),"Да","Нет")</f>
        <v>Нет</v>
      </c>
      <c r="FJ203" s="38" t="str">
        <f>IF(OR(Исходн.данные.!AH203=$BS$1,Исходн.данные.!AH203=$BQ$11,Исходн.данные.!AH203=$BQ$12),"Да","Нет")</f>
        <v>Нет</v>
      </c>
      <c r="FK203" s="38" t="str">
        <f>IF(OR(Исходн.данные.!AH203=$BS$2,Исходн.данные.!AH203=$BS$4),"Да","Нет")</f>
        <v>Нет</v>
      </c>
      <c r="FL203" s="38" t="str">
        <f>IF(OR(Исходн.данные.!AH203=$BS$3,Исходн.данные.!AH203=$BS$5),"Да","Нет")</f>
        <v>Нет</v>
      </c>
      <c r="FM203" s="38" t="str">
        <f>IF(OR(Исходн.данные.!AH203=$BS$9,Исходн.данные.!AH203=$BS$10,Исходн.данные.!AH203=$BS$11,Исходн.данные.!AH203=$BS$12),"Да","Нет")</f>
        <v>Нет</v>
      </c>
      <c r="FN203" s="38" t="str">
        <f>IF(OR(Исходн.данные.!AH203=$BS$6,Исходн.данные.!AH203=$BP$3),"Да","Нет")</f>
        <v>Нет</v>
      </c>
      <c r="FO203" s="38" t="str">
        <f>IF(Исходн.данные.!AH203=$BQ$9,"Да","Нет")</f>
        <v>Нет</v>
      </c>
      <c r="FP203" s="38" t="str">
        <f>IF(OR(Исходн.данные.!AH203=$BS$8,Исходн.данные.!AH203=$BT$8),"Да","Нет")</f>
        <v>Нет</v>
      </c>
      <c r="FQ203" s="38" t="str">
        <f>IF(OR(Исходн.данные.!AH203=$BQ$7,Исходн.данные.!AH203=$BQ$8),"Да","Нет")</f>
        <v>Нет</v>
      </c>
      <c r="FR203" s="38" t="str">
        <f>IF(Исходн.данные.!AI203=$BU$9,"Да","Нет")</f>
        <v>Нет</v>
      </c>
      <c r="FS203" s="38" t="str">
        <f>IF(OR(Исходн.данные.!AH203=$BP$1,Исходн.данные.!AH203=$BP$2),"Да","Нет")</f>
        <v>Нет</v>
      </c>
      <c r="FT203" s="38" t="e">
        <f>IF((Исходн.данные.!K203*GO203*GS203*GW203+BL203*0.6+Исходн.данные.!Q203*4.5*0.275)&gt;90,"Да","Нет")</f>
        <v>#N/A</v>
      </c>
      <c r="FU203" s="38" t="e">
        <f>IF((Исходн.данные.!M203*GS203*GZ203+BM203*0.225)&gt;35,"Да","Нет")</f>
        <v>#N/A</v>
      </c>
      <c r="FV203" s="38" t="str">
        <f>IF(Исходн.данные.!O203&gt;175,"Да","Нет")</f>
        <v>Нет</v>
      </c>
      <c r="FW203" s="39" t="str">
        <f>IF(Исходн.данные.!I203&gt;5.5,"Да","Нет")</f>
        <v>Нет</v>
      </c>
      <c r="FX203" s="39" t="str">
        <f>IF(Исходн.данные.!J203&lt;2,"Да","Нет")</f>
        <v>Да</v>
      </c>
      <c r="FY203" s="39" t="e">
        <f>IF(HF203=$FY$16,0,Исходн.данные.!K203*GO203*GS203*GW203/HF203)</f>
        <v>#N/A</v>
      </c>
      <c r="FZ203" s="39" t="e">
        <f>Исходн.данные.!M203*GS203*GZ203/HG203</f>
        <v>#N/A</v>
      </c>
      <c r="GA203" s="39" t="e">
        <f>IF(K_Wyn=$FY$16,0,IF(Исходн.данные.!N203=Исходн.данные.!$L$10,Исходн.данные.!O203/1.1*GS203*HC203/HH203,IF(Исходн.данные.!N203=Исходн.данные.!$L$12,Исходн.данные.!O203/1.5*GS203*HC203/HH203,Исходн.данные.!O203*GS203*HC203/HH203)))</f>
        <v>#N/A</v>
      </c>
      <c r="GB203" s="39" t="e">
        <f>IF(HF203=$FY$16,0,((Исходн.данные.!Q203*N_Org+Исходн.данные.!R203*N_Sider+Исходн.данные.!S203*N_Soloma)*AO203+Расчет!BC203*VLOOKUP(Исходн.данные.!T203,Справ!$A$3:$O$57,15)*AO203+BB203*VLOOKUP(Исходн.данные.!T203,Справ!$A$3:$O$57,15)*AL203+(Исходн.данные.!V203*N_Rizotorf+Исходн.данные.!W203*N_Rizoagr))/HF203)</f>
        <v>#N/A</v>
      </c>
      <c r="GC203" s="39" t="e">
        <f>IF(HG203=$FY$16,0,((Исходн.данные.!Q203*Р_Org+Исходн.данные.!R203*P_Sider+Исходн.данные.!S203*P_Soloma)*AP203+Расчет!BC203*VLOOKUP(Исходн.данные.!T203,Справ!$A$3:$P$57,16)*AP203+BB203*VLOOKUP(Исходн.данные.!T203,Справ!$A$3:$P$57,16)*AM203)/HG203)</f>
        <v>#N/A</v>
      </c>
      <c r="GD203" s="39" t="e">
        <f>IF(HH203=$FY$16,0,((Исходн.данные.!Q203*К_Org+Исходн.данные.!R203*K_Sider+Исходн.данные.!S203*K_Soloma)*AQ203+Расчет!BC203*VLOOKUP(Исходн.данные.!T203,Справ!$A$3:$Q$57,17)*AQ203+BB203*VLOOKUP(Исходн.данные.!T203,Справ!$A$3:$Q$57,17)*AN203)/HH203)</f>
        <v>#N/A</v>
      </c>
      <c r="GE203" s="39" t="e">
        <f>IF(HF203=$FY$16,0,(Исходн.данные.!X203*AR203+Исходн.данные.!AA203*N_Org*AL203+Исходн.данные.!AB203*N_Sider*AL203+Исходн.данные.!AC203*N_Soloma*AL203)/HF203)</f>
        <v>#N/A</v>
      </c>
      <c r="GF203" s="39" t="e">
        <f>IF(HG203=$FY$16,0,(Исходн.данные.!Y203*AS203+Исходн.данные.!AA203*Р_Org*AM203+Исходн.данные.!AB203*P_Sider*AM203+Исходн.данные.!AC203*P_Soloma*AM203)/HG203)</f>
        <v>#N/A</v>
      </c>
      <c r="GG203" s="39" t="e">
        <f>IF(HH203=$FY$16,0,(Исходн.данные.!Z203*AT203+Исходн.данные.!AA203*К_Org*AN203+Исходн.данные.!AB203*K_Sider*AN203+Исходн.данные.!AC203*K_Soloma*AN203)/HH203)</f>
        <v>#N/A</v>
      </c>
      <c r="GH203" s="39" t="e">
        <f>Исходн.данные.!AD203*AU203/HF203</f>
        <v>#N/A</v>
      </c>
      <c r="GI203" s="39" t="e">
        <f>Исходн.данные.!AE203*AV203/HG203</f>
        <v>#N/A</v>
      </c>
      <c r="GJ203" s="39" t="e">
        <f>Исходн.данные.!AF203*AW203/HH203</f>
        <v>#N/A</v>
      </c>
      <c r="GK203" s="55">
        <f>Исходн.данные.!AK203</f>
        <v>0</v>
      </c>
      <c r="GL203" s="11" t="e">
        <f t="shared" si="261"/>
        <v>#N/A</v>
      </c>
      <c r="GM203" s="11" t="e">
        <f t="shared" si="262"/>
        <v>#N/A</v>
      </c>
      <c r="GN203" s="11" t="e">
        <f t="shared" si="263"/>
        <v>#N/A</v>
      </c>
      <c r="GO203" s="57">
        <f t="shared" si="264"/>
        <v>19</v>
      </c>
      <c r="GP203" s="55">
        <f>IF(OR(Исходн.данные.!F203=$CE$1,Исходн.данные.!F203=$CE$2,Исходн.данные.!F203=$CE$3,Исходн.данные.!F203=$CE$4,Исходн.данные.!F203=$CE$5),GQ203,GR203)</f>
        <v>19</v>
      </c>
      <c r="GQ203" s="55">
        <f>IF(Исходн.данные.!F203=$CE$1,28,IF(Исходн.данные.!F203=$CE$2,26,IF(Исходн.данные.!F203=$CE$3,24,IF(Исходн.данные.!F203=$CE$4,22,IF(Исходн.данные.!F203=$CE$5,20,GR203)))))</f>
        <v>19</v>
      </c>
      <c r="GR203" s="55">
        <f>IF(Исходн.данные.!F203=$CE$6,18,IF(Исходн.данные.!F203=$CE$7,16,IF(Исходн.данные.!F203=$CE$8,14,IF(Исходн.данные.!F203=$CE$9,13,IF(Исходн.данные.!F203=$CE$10,12,19)))))</f>
        <v>19</v>
      </c>
      <c r="GS203" s="55">
        <f>IF(Исходн.данные.!G203="Пес",0.035*(40+2*Исходн.данные.!H203),IF(Исходн.данные.!G203="Суп",0.0325*(40+2*Исходн.данные.!H203),0.03*(40+2*Исходн.данные.!H203)))</f>
        <v>1.2</v>
      </c>
      <c r="GT203" s="55">
        <f>IF(Исходн.данные.!H203&lt;23,2.6,IF(AND(Исходн.данные.!H203&gt;22,Исходн.данные.!H203&lt;26),3,IF(AND(Исходн.данные.!H203&gt;25,Исходн.данные.!H203&lt;29),3.4,3.6)))</f>
        <v>2.6</v>
      </c>
      <c r="GU203" s="55">
        <f>IF(Исходн.данные.!H203&lt;23,2.8,IF(AND(Исходн.данные.!H203&gt;22,Исходн.данные.!H203&lt;26),3.2,IF(AND(Исходн.данные.!H203&gt;25,Исходн.данные.!H203&lt;29),3.6,3.9)))</f>
        <v>2.8</v>
      </c>
      <c r="GV203" s="55">
        <f>IF(Исходн.данные.!H203&lt;23,3,IF(AND(Исходн.данные.!H203&gt;22,Исходн.данные.!H203&lt;26),3.5,IF(AND(Исходн.данные.!H203&gt;25,Исходн.данные.!H203&lt;29),3.9,4.2)))</f>
        <v>3</v>
      </c>
      <c r="GW203" s="55" t="e">
        <f>IF(Исходн.данные.!P203="Ум",GX203,GY203)</f>
        <v>#N/A</v>
      </c>
      <c r="GX203" s="55" t="e">
        <f>VLOOKUP(Исходн.данные.!AI203,Коэффициенты!$J$7:$L$13,2,FALSE)</f>
        <v>#N/A</v>
      </c>
      <c r="GY203" s="55" t="e">
        <f>VLOOKUP(Исходн.данные.!AI203,Коэффициенты!$J$7:$L$13,3,FALSE)</f>
        <v>#N/A</v>
      </c>
      <c r="GZ203" s="55" t="e">
        <f>(IF(Исходн.данные.!M203&lt;50,0.11*VLOOKUP(Исходн.данные.!AH203,Культуры.Информация,7,FALSE),IF(Исходн.данные.!M203&gt;250,0.05*VLOOKUP(Исходн.данные.!AH203,Культуры.Информация,7,FALSE),VLOOKUP(Исходн.данные.!AH203,Культуры.Информация,5,FALSE)/100*($GX$6+$GY$6*Исходн.данные.!M203))))*Расчет2!AI203</f>
        <v>#N/A</v>
      </c>
      <c r="HA203" s="211"/>
      <c r="HB203" s="211"/>
      <c r="HC203" s="55" t="e">
        <f>(IF(Исходн.данные.!O203&lt;80,0.2*VLOOKUP(Исходн.данные.!AH203,Культуры.Информация,8,FALSE),IF(Исходн.данные.!O203&gt;240,0.09*VLOOKUP(Исходн.данные.!AH203,Культуры.Информация,8,FALSE),VLOOKUP(Исходн.данные.!AH203,Культуры.Информация,6,FALSE)/100*($HB$6+$HC$6*Исходн.данные.!O203))))*Расчет2!AJ203</f>
        <v>#N/A</v>
      </c>
      <c r="HD203" s="55">
        <f>IF(Исходн.данные.!O203&gt;240,0.09,IF(Исходн.данные.!O203&lt;30,0.3,$HE$10+$HD$10*Исходн.данные.!O203))</f>
        <v>0.3</v>
      </c>
      <c r="HE203" s="55">
        <f>IF(Исходн.данные.!O203&gt;240,0.17,IF(Исходн.данные.!O203&lt;30,0.5,$HF$12+$HE$12*Исходн.данные.!O203))</f>
        <v>0.5</v>
      </c>
      <c r="HF203" s="55" t="e">
        <f>VLOOKUP(Исходн.данные.!AH203,Справ!$A$3:$D$58,2,FALSE)</f>
        <v>#N/A</v>
      </c>
      <c r="HG203" s="55" t="e">
        <f>VLOOKUP(Исходн.данные.!AH203,Справ!$A$3:$D$58,3,FALSE)</f>
        <v>#N/A</v>
      </c>
      <c r="HH203" s="55" t="e">
        <f>VLOOKUP(Исходн.данные.!AH203,Справ!$A$3:$D$58,4,FALSE)</f>
        <v>#N/A</v>
      </c>
      <c r="HI203" s="11" t="e">
        <f t="shared" si="265"/>
        <v>#N/A</v>
      </c>
      <c r="HJ203" s="11" t="e">
        <f t="shared" si="266"/>
        <v>#N/A</v>
      </c>
      <c r="HK203" s="11" t="e">
        <f t="shared" si="267"/>
        <v>#N/A</v>
      </c>
      <c r="HL203" s="55">
        <f>IF(OR(Исходн.данные.!G203="Глин",Исходн.данные.!G203="Т_суг"),1.1,IF(Исходн.данные.!G203="Ср_суг",1,1))</f>
        <v>1</v>
      </c>
      <c r="HM203" s="55">
        <f>IF(OR(Исходн.данные.!G203="Глин",Исходн.данные.!G203="Т_суг"),0.9,IF(Исходн.данные.!G203="Ср_суг",1,1.2))</f>
        <v>1.2</v>
      </c>
      <c r="HN203" s="11" t="e">
        <f t="shared" si="268"/>
        <v>#N/A</v>
      </c>
      <c r="HO203" s="11" t="e">
        <f t="shared" si="269"/>
        <v>#N/A</v>
      </c>
      <c r="HP203" s="11" t="e">
        <f t="shared" si="270"/>
        <v>#N/A</v>
      </c>
      <c r="HQ203" t="e">
        <f t="shared" si="271"/>
        <v>#N/A</v>
      </c>
      <c r="HR203" t="e">
        <f t="shared" si="272"/>
        <v>#N/A</v>
      </c>
      <c r="HS203" t="e">
        <f t="shared" si="273"/>
        <v>#N/A</v>
      </c>
      <c r="HT203" t="e">
        <f t="shared" si="219"/>
        <v>#N/A</v>
      </c>
      <c r="HU203" t="e">
        <f t="shared" si="220"/>
        <v>#N/A</v>
      </c>
      <c r="HV203" t="e">
        <f t="shared" si="221"/>
        <v>#N/A</v>
      </c>
      <c r="HW203" t="e">
        <f t="shared" si="222"/>
        <v>#N/A</v>
      </c>
      <c r="HX203" t="e">
        <f t="shared" si="223"/>
        <v>#N/A</v>
      </c>
      <c r="HY203" t="e">
        <f t="shared" si="224"/>
        <v>#N/A</v>
      </c>
      <c r="HZ203" s="55">
        <f>IF(OR(Исходн.данные.!AI203="Оз_Ч_П",Исходн.данные.!AI203="Оз_З_П",Исходн.данные.!AI203="Яр_зер"),12,30)</f>
        <v>30</v>
      </c>
      <c r="IA203" t="e">
        <f t="shared" si="274"/>
        <v>#N/A</v>
      </c>
      <c r="IB203" t="e">
        <f t="shared" si="275"/>
        <v>#N/A</v>
      </c>
      <c r="IC203" t="e">
        <f t="shared" si="276"/>
        <v>#N/A</v>
      </c>
      <c r="ID203" s="11" t="e">
        <f t="shared" si="277"/>
        <v>#N/A</v>
      </c>
      <c r="IE203" s="11" t="e">
        <f t="shared" si="278"/>
        <v>#N/A</v>
      </c>
      <c r="IF203" s="11" t="e">
        <f t="shared" si="279"/>
        <v>#N/A</v>
      </c>
    </row>
    <row r="204" spans="35:240" x14ac:dyDescent="0.2">
      <c r="AI204">
        <f>IF(Исходн.данные.!I204&gt;6,1,1.85-(0.148*Исходн.данные.!I204))</f>
        <v>1.85</v>
      </c>
      <c r="AJ204">
        <f>IF(Исходн.данные.!I204&gt;6,1,2.434-(0.246*Исходн.данные.!I204))</f>
        <v>2.4340000000000002</v>
      </c>
      <c r="AL204" s="148" t="b">
        <f>IF(Исходн.данные.!$P204="Ум",N_OrgUd_2g_um,IF(Исходн.данные.!$P204="Об",N_OrgUd_2g_ob))</f>
        <v>0</v>
      </c>
      <c r="AM204" s="148" t="b">
        <f>IF(Исходн.данные.!$P204="Ум",P_OrgUd_2g_um,IF(Исходн.данные.!$P204="Об",P_OrgUd_2g_ob))</f>
        <v>0</v>
      </c>
      <c r="AN204" s="148" t="b">
        <f>IF(Исходн.данные.!$P204="Ум",K_OrgUd_2g_um,IF(Исходн.данные.!$P204="Об",K_OrgUd_2g_ob))</f>
        <v>0</v>
      </c>
      <c r="AO204" s="148" t="b">
        <f>IF(Исходн.данные.!$P204="Ум",N_OrgUd_1g_um,IF(Исходн.данные.!$P204="Об",N_OrgUd_1g_ob))</f>
        <v>0</v>
      </c>
      <c r="AP204" s="148" t="b">
        <f>IF(Исходн.данные.!$P204="Ум",P_OrgUd_1g_um,IF(Исходн.данные.!$P204="Об",P_OrgUd_1g_ob))</f>
        <v>0</v>
      </c>
      <c r="AQ204" s="148" t="b">
        <f>IF(Исходн.данные.!$P204="Ум",K_OrgUd_1g_um,IF(Исходн.данные.!$P204="Об",K_OrgUd_1g_ob))</f>
        <v>0</v>
      </c>
      <c r="AR204" t="b">
        <f>IF(Исходн.данные.!$P204="Ум",N_MinUd_2g_um,IF(Исходн.данные.!$P204="Об",N_MinUd_2g_ob))</f>
        <v>0</v>
      </c>
      <c r="AS204" t="b">
        <f>IF(Исходн.данные.!$P204="Ум",P_MinUd_2g_um,IF(Исходн.данные.!$P204="Об",P_MinUd_2g_ob))</f>
        <v>0</v>
      </c>
      <c r="AT204" t="b">
        <f>IF(Исходн.данные.!$P204="Ум",K_MinUd_2g_um,IF(Исходн.данные.!$P204="Об",K_MinUd_2g_ob))</f>
        <v>0</v>
      </c>
      <c r="AU204" t="b">
        <f>IF(Исходн.данные.!$P204="Ум",N_MinUd_1g_um,IF(Исходн.данные.!$P204="Об",N_MinUd_1g_ob))</f>
        <v>0</v>
      </c>
      <c r="AV204" t="b">
        <f>IF(Исходн.данные.!P204="Ум",P_MinUd_1g_um,IF(Исходн.данные.!P204="Об",P_MinUd_1g_ob))</f>
        <v>0</v>
      </c>
      <c r="AW204" t="b">
        <f>IF(Исходн.данные.!P204="Ум",K_MinUd_1g_um,IF(Исходн.данные.!P204="Об",K_MinUd_1g_ob))</f>
        <v>0</v>
      </c>
      <c r="AY204" t="e">
        <f>VLOOKUP(Исходн.данные.!T204,Справ!$A$3:$N$57,12)</f>
        <v>#N/A</v>
      </c>
      <c r="AZ204" t="e">
        <f>VLOOKUP(Исходн.данные.!T204,Справ!$A$3:$N$57,13)</f>
        <v>#N/A</v>
      </c>
      <c r="BA204" t="e">
        <f>VLOOKUP(Исходн.данные.!T204,Справ!$A$3:$N$57,14)</f>
        <v>#N/A</v>
      </c>
      <c r="BB204">
        <f>IF(Исходн.данные.!AH204=0,0,25)</f>
        <v>0</v>
      </c>
      <c r="BC204" s="141">
        <f>IF(Исходн.данные.!AH204=0,0,IF(Исходн.данные.!T204=0,25,BD204))</f>
        <v>0</v>
      </c>
      <c r="BD204" s="168" t="e">
        <f>AY204+AZ204*Исходн.данные.!U204-POWER(BA204,2)*Исходн.данные.!U204</f>
        <v>#N/A</v>
      </c>
      <c r="BE20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4" s="25">
        <f>IF(Исходн.данные.!AH204=0,0,MIN(HN204:HP204))</f>
        <v>0</v>
      </c>
      <c r="BG204" s="9">
        <f>IF(Исходн.данные.!AH204=0,0,IF((HO204+10*0.25/HG204/HL204)&lt;17,17,HO204+10*0.25/HG204/HL204))</f>
        <v>0</v>
      </c>
      <c r="BH204" s="181">
        <f>IF(Исходн.данные.!AH204=0,0,HW204*HF204*HL204/AU204*AI204+Исходн.данные.!S204*10)</f>
        <v>0</v>
      </c>
      <c r="BI204" s="10"/>
      <c r="BJ204" s="182">
        <f>IF(Исходн.данные.!AH204=0,0,IF(HX204*HG204*HL204/AV204&lt;0,0,HX204*HG204*HL204/AV204*AJ204))</f>
        <v>0</v>
      </c>
      <c r="BK204" s="182">
        <f>IF(Исходн.данные.!AH204=0,0,HY204*HH204*HM204/AW204)</f>
        <v>0</v>
      </c>
      <c r="BL204" s="10">
        <f>IF(OR(Исходн.данные.!$AH204=$BP$1,Исходн.данные.!$AH204=$BP$2),0,IF(BH204&lt;0,0,IF(OR(Исходн.данные.!T204=Расчет!$BP$1,Исходн.данные.!T204=Расчет!$BP$2,Исходн.данные.!T204=Расчет!$BT$5,Исходн.данные.!T204=Расчет!$BT$6),BH204*0.5,IF(OR(Исходн.данные.!T204=Расчет!$BS$9,Исходн.данные.!T204=Расчет!$BS$10,Исходн.данные.!T204=Расчет!$BS$11,Исходн.данные.!T204=Расчет!$BS$12,Исходн.данные.!T204=Расчет!$BP$5),BH204*0.8,BH204))))</f>
        <v>0</v>
      </c>
      <c r="BM204" s="10">
        <f>IF(OR(Исходн.данные.!$AH204=$BP$1,Исходн.данные.!$AH204=$BP$2),0,IF(BJ204&lt;0,0,IF(Исходн.данные.!I204&lt;4.5,BJ204*1.2,IF(Исходн.данные.!I204&gt;5.1,BJ204,BJ204*((5.1-Исходн.данные.!I204)*0.333+1)))))</f>
        <v>0</v>
      </c>
      <c r="BN204" s="10">
        <f>IF(OR(Исходн.данные.!$AH204=$BP$1,Исходн.данные.!$AH204=$BP$2),60-Исходн.данные.!AF204,IF(BK204&lt;0,0,IF(Исходн.данные.!I204&lt;4.5,BK204*1.2,IF(Исходн.данные.!I204&gt;5.1,BK204,BK204*((5.1-Исходн.данные.!I204)*0.333+1)))))</f>
        <v>0</v>
      </c>
      <c r="BO204" s="9">
        <f>IF(BL204&lt;0,0,BL204*Исходн.данные.!$AJ204/1000)</f>
        <v>0</v>
      </c>
      <c r="BP204" s="9">
        <f>IF(BM204&lt;0,0,BM204*Исходн.данные.!$AJ204/1000)</f>
        <v>0</v>
      </c>
      <c r="BQ204" s="9">
        <f>IF(BN204&lt;0,0,BN204*Исходн.данные.!$AJ204/1000)</f>
        <v>0</v>
      </c>
      <c r="BR204" s="9">
        <f t="shared" si="229"/>
        <v>0</v>
      </c>
      <c r="BS204" s="10" t="str">
        <f t="shared" si="230"/>
        <v>Аммофос 12:52:00</v>
      </c>
      <c r="BT204" s="10" t="str">
        <f t="shared" si="231"/>
        <v>Аммофос 12:52:00</v>
      </c>
      <c r="BU204" s="10" t="str">
        <f t="shared" si="232"/>
        <v>Диаммофоска</v>
      </c>
      <c r="BV204" s="10">
        <f t="shared" si="233"/>
        <v>0</v>
      </c>
      <c r="BW204" s="10"/>
      <c r="BX204" s="10"/>
      <c r="BY204" s="9">
        <f>IF(BL204&lt;0,0,IF(OR(Исходн.данные.!AI204=Расчет!$BU$6,Исходн.данные.!AI204=Расчет!$BU$7),Расчет!BV204,IF(Исходн.данные.!$AG204=$BV$11,BL204,IF(OR(Исходн.данные.!$AH204=$BQ$7,Исходн.данные.!$AH204=$BQ$8),CB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0,IF(Исходн.данные.!$AI204=$BU$11,"Нет",IF(BL204&gt;30,30,BL204)))))))</f>
        <v>0</v>
      </c>
      <c r="BZ204" s="9">
        <f>IF(AND(Исходн.данные.!$AG204=$BV$11,BM204&lt;10),10,IF(Исходн.данные.!$AG204=$BV$11,BM204,IF(OR(Исходн.данные.!$AH204=$BQ$7,Исходн.данные.!$AH204=$BQ$8),CC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10,IF(Исходн.данные.!$AI204=$BU$11,"Нет",IF(BM204&gt;60,60,IF(BM204&lt;10,10,BM204)))))))</f>
        <v>10</v>
      </c>
      <c r="CA204" s="39">
        <f>IF(BN204&lt;0,0,IF(Исходн.данные.!$AG204=$BV$11,BN204,IF(OR(Исходн.данные.!$AH204=$BQ$7,Исходн.данные.!$AH204=$BQ$8),CD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0,IF(Исходн.данные.!$AI204=$BU$11,"Нет",IF(BN204&gt;30,30,BN204))))))</f>
        <v>0</v>
      </c>
      <c r="CB204" s="9">
        <f t="shared" si="234"/>
        <v>0</v>
      </c>
      <c r="CC204" s="9">
        <f t="shared" si="235"/>
        <v>0</v>
      </c>
      <c r="CD204" s="9">
        <f t="shared" si="236"/>
        <v>0</v>
      </c>
      <c r="CE204" s="12">
        <f t="shared" si="237"/>
        <v>10</v>
      </c>
      <c r="CF204" s="9">
        <f t="shared" si="238"/>
        <v>0</v>
      </c>
      <c r="CG204" s="9" t="s">
        <v>231</v>
      </c>
      <c r="CH204" s="132" t="str">
        <f>IF(Исходн.данные.!AP204=Расчет!$CI$16,"Нет",IF(Исходн.данные.!AL204&gt;0,Исходн.данные.!AL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BH$4,IF(OR(Исходн.данные.!AI204=Исходн.данные.!$AI$6,Исходн.данные.!AI204=Исходн.данные.!$AI$7),Расчет!BS204,IF(AND($CF204=0,$CE204&gt;0),EV204,ER204)))))</f>
        <v>Аммофос 12:52:00</v>
      </c>
      <c r="CI204" s="274">
        <f>IF(Расчет!$CH204="Нет","Нет",IF(Исходн.данные.!$AL204&gt;0,VLOOKUP(Расчет!$CH204,АшламаДВ_Irekle,2,FALSE),VLOOKUP(Расчет!$CH204,АшламаДВ_Gomumy,2,FALSE)))</f>
        <v>0.12</v>
      </c>
      <c r="CJ204" s="274">
        <f>IF(Расчет!$CH204="Нет","Нет",IF(Исходн.данные.!$AL204&gt;0,VLOOKUP(Расчет!$CH204,АшламаДВ_Irekle,3,FALSE),VLOOKUP(Расчет!$CH204,АшламаДВ_Gomumy,3,FALSE)))</f>
        <v>0.52</v>
      </c>
      <c r="CK204" s="274">
        <f>IF(Расчет!$CH204="Нет","Нет",IF(Исходн.данные.!$AL204&gt;0,VLOOKUP(Расчет!$CH204,АшламаДВ_Irekle,4,FALSE),VLOOKUP(Расчет!$CH204,АшламаДВ_Gomumy,4,FALSE)))</f>
        <v>0</v>
      </c>
      <c r="CL204" s="70"/>
      <c r="CM204" s="70"/>
      <c r="CN204" s="70"/>
      <c r="CO204" s="70"/>
      <c r="CP204" s="70"/>
      <c r="CQ204" s="70"/>
      <c r="CR204" s="10">
        <f t="shared" si="239"/>
        <v>0</v>
      </c>
      <c r="CS204" s="10">
        <f t="shared" si="240"/>
        <v>19.23076923076923</v>
      </c>
      <c r="CT204" s="10">
        <f t="shared" si="241"/>
        <v>0</v>
      </c>
      <c r="CU204" s="39">
        <f>IF($CH204="Нет",0,IF(CI204=0,30/MIN(CJ204:CK204),IF(Исходн.данные.!$AG204=$BV$11,CR204,IF(OR(Исходн.данные.!$AH204=$BQ$7,Исходн.данные.!$AH204=$BQ$8),90/CI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0,IF(Исходн.данные.!$AI204=$BU$11,"Нет",30/CI204))))))</f>
        <v>250</v>
      </c>
      <c r="CV204" s="39">
        <f>IF($CH204="Нет",0,IF(Исходн.данные.!AH204=0,0,IF(CJ204=0,60/MIN(CI204,CK204),IF(Исходн.данные.!$AG204=$BV$11,CS204,IF(OR(Исходн.данные.!$AH204=$BQ$7,Исходн.данные.!$AH204=$BQ$8),90/CJ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10/CJ204,IF(Исходн.данные.!$AI204=$BU$11,"Нет",60/CJ204)))))))</f>
        <v>0</v>
      </c>
      <c r="CW204" s="39">
        <f>IF($CH204="Нет",0,IF(Исходн.данные.!AH204=0,0,IF(CK204=0,30/MIN(CI204:CJ204),IF(Исходн.данные.!$AG204=$BV$11,CT204,IF(OR(Исходн.данные.!$AH204=$BQ$7,Исходн.данные.!$AH204=$BQ$8),90/CK204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0,IF(Исходн.данные.!$AI204=$BU$11,"Нет",30/CK204)))))))</f>
        <v>0</v>
      </c>
      <c r="CX204" s="133">
        <f>IF(Исходн.данные.!$AG204=$BV$11,MAX(CU204:CW204),IF(OR(Исходн.данные.!$AH204=$BS$8,Исходн.данные.!$AH204=$BQ$9,Исходн.данные.!$AH204=$BQ$10,Исходн.данные.!$AH204=$BQ$11,Исходн.данные.!$AH204=$BQ$12,Исходн.данные.!$AH204=$BP$3,Исходн.данные.!$AH204=$BT$8,$FM204="Да"),CV204,MIN(CU204:CW204)))</f>
        <v>0</v>
      </c>
      <c r="CY204" s="133">
        <f>IF(Исходн.данные.!AH204=0,0,IF(CR204&gt;$CX204,$CX204,CR204))</f>
        <v>0</v>
      </c>
      <c r="CZ204" s="133">
        <f>IF(Исходн.данные.!AH204=0,0,IF(CS204&gt;$CX204,$CX204,CS204))</f>
        <v>0</v>
      </c>
      <c r="DA204" s="133">
        <f>IF(Исходн.данные.!AH204=0,0,IF(CT204&gt;$CX204,$CX204,CT204))</f>
        <v>0</v>
      </c>
      <c r="DB204" s="10">
        <f t="shared" si="242"/>
        <v>0</v>
      </c>
      <c r="DC204" s="39">
        <f>DB204*Исходн.данные.!AJ204/1000</f>
        <v>0</v>
      </c>
      <c r="DD204" s="71">
        <f t="shared" si="243"/>
        <v>0</v>
      </c>
      <c r="DE204" s="9">
        <f t="shared" si="244"/>
        <v>0</v>
      </c>
      <c r="DF204" s="9">
        <f t="shared" si="245"/>
        <v>0</v>
      </c>
      <c r="DG204" s="39">
        <f>IF(BL204&lt;0,0,IF($CH204="Нет",BL204,IF(OR(Исходн.данные.!$AH204=$BP$1,Исходн.данные.!$AH204=$BP$2),0,IF(Исходн.данные.!AI204=$BU$11,BL204,IF(BL204-DD204&lt;0,0,BL204-DD204)))))</f>
        <v>0</v>
      </c>
      <c r="DH204" s="39">
        <f>IF(BM204&lt;0,0,IF($CH204="Нет",BM204,IF(OR(Исходн.данные.!$AH204=$BP$1,Исходн.данные.!$AH204=$BP$2),0,IF(Исходн.данные.!AJ204=$BU$11,BM204,IF(BM204-DE204&lt;0,0,BM204-DE204)))))</f>
        <v>0</v>
      </c>
      <c r="DI204" s="39">
        <f>IF(BN204&lt;0,0,IF($CH204="Нет",BN204,IF(OR(Исходн.данные.!$AH204=$BP$1,Исходн.данные.!$AH204=$BP$2),0,IF(Исходн.данные.!AK204=$BU$11,BN204,IF(BN204-DF204&lt;0,0,BN204-DF204)))))</f>
        <v>0</v>
      </c>
      <c r="DJ204" s="12">
        <f t="shared" si="246"/>
        <v>0</v>
      </c>
      <c r="DK204" s="9">
        <f t="shared" si="247"/>
        <v>0</v>
      </c>
      <c r="DL204" s="39">
        <f>IF(Исходн.данные.!AM204&gt;0,Исходн.данные.!AM204,IF(EG204&gt;0,$BH$10,0))</f>
        <v>0</v>
      </c>
      <c r="DM204" s="186">
        <f>IF($DL204=0,0,IF(Исходн.данные.!AM204&gt;0,VLOOKUP($DL204,АшламаДВ_Irekle,2,FALSE),VLOOKUP($DL204,АшламаДВ_Gomumy,2,FALSE)))</f>
        <v>0</v>
      </c>
      <c r="DN204" s="10">
        <f t="shared" si="225"/>
        <v>0</v>
      </c>
      <c r="DO204" s="9" t="str">
        <f>IF(Исходн.данные.!AN204&gt;0,Исходн.данные.!AN204,Удобрения!$B$37 )</f>
        <v>Хлор.калий</v>
      </c>
      <c r="DP204" s="9">
        <f>IF(Исходн.данные.!AN204&gt;0,VLOOKUP(Исходн.данные.!AN204,АшламаДВ_Irekle,4,FALSE),VLOOKUP(DO204,АшламаДВ_Gomumy,4,FALSE))</f>
        <v>0.6</v>
      </c>
      <c r="DQ204" s="10">
        <f t="shared" si="226"/>
        <v>0</v>
      </c>
      <c r="DR204" s="132" t="str">
        <f>IF(Исходн.данные.!AO204&gt;0,Исходн.данные.!AO204,IF(DH204=0,BS$17,IF(AND($DK204=0,$DJ204&gt;0),EJ204,EN204)))</f>
        <v>Нет</v>
      </c>
      <c r="DS204" s="70" t="str">
        <f>IF($DR204="Нет","Нет",IF(Исходн.данные.!$AO204&gt;0,VLOOKUP($DR204,АшламаДВ_Irekle,2,FALSE),VLOOKUP($DR204,АшламаДВ_Gomumy,2,FALSE)))</f>
        <v>Нет</v>
      </c>
      <c r="DT204" s="70" t="str">
        <f>IF($DR204="Нет","Нет",IF(Исходн.данные.!$AO204&gt;0,VLOOKUP($DR204,АшламаДВ_Irekle,3,FALSE),VLOOKUP($DR204,АшламаДВ_Gomumy,3,FALSE)))</f>
        <v>Нет</v>
      </c>
      <c r="DU204" s="70" t="str">
        <f>IF($DR204="Нет","Нет",IF(Исходн.данные.!$AO204&gt;0,VLOOKUP($DR204,АшламаДВ_Irekle,4,FALSE),VLOOKUP($DR204,АшламаДВ_Gomumy,4,FALSE)))</f>
        <v>Нет</v>
      </c>
      <c r="DV204" s="70"/>
      <c r="DW204" s="70"/>
      <c r="DX204" s="70"/>
      <c r="DY204" s="10">
        <f t="shared" si="248"/>
        <v>0</v>
      </c>
      <c r="DZ204" s="10">
        <f t="shared" si="249"/>
        <v>0</v>
      </c>
      <c r="EA204" s="10">
        <f t="shared" si="250"/>
        <v>0</v>
      </c>
      <c r="EB204" s="10">
        <f t="shared" si="251"/>
        <v>0</v>
      </c>
      <c r="EC204" s="10">
        <f t="shared" si="252"/>
        <v>0</v>
      </c>
      <c r="ED204" s="10">
        <f t="shared" si="253"/>
        <v>0</v>
      </c>
      <c r="EE204" s="10">
        <f t="shared" si="254"/>
        <v>0</v>
      </c>
      <c r="EF204" s="39">
        <f>EB204*Исходн.данные.!AJ204/1000</f>
        <v>0</v>
      </c>
      <c r="EG204" s="9">
        <f t="shared" si="255"/>
        <v>0</v>
      </c>
      <c r="EH204" s="9">
        <f t="shared" si="256"/>
        <v>0</v>
      </c>
      <c r="EI204" s="39" t="e">
        <f t="shared" si="206"/>
        <v>#DIV/0!</v>
      </c>
      <c r="EJ204" s="9" t="str">
        <f t="shared" si="227"/>
        <v>Азопреципитат</v>
      </c>
      <c r="EK204" s="12">
        <f t="shared" si="207"/>
        <v>0.26</v>
      </c>
      <c r="EL204" s="12">
        <f t="shared" si="208"/>
        <v>0.13</v>
      </c>
      <c r="EM204" s="12">
        <f t="shared" si="209"/>
        <v>0</v>
      </c>
      <c r="EN204" s="12" t="str">
        <f t="shared" si="228"/>
        <v>Нет</v>
      </c>
      <c r="EO204" s="12">
        <f t="shared" si="210"/>
        <v>0</v>
      </c>
      <c r="EP204" s="12">
        <f t="shared" si="211"/>
        <v>0</v>
      </c>
      <c r="EQ204" s="12">
        <f t="shared" si="212"/>
        <v>0</v>
      </c>
      <c r="ER204" s="12" t="str">
        <f t="shared" si="257"/>
        <v>Диаммофоска</v>
      </c>
      <c r="ES204" s="12">
        <f t="shared" si="213"/>
        <v>0.1</v>
      </c>
      <c r="ET204" s="12">
        <f t="shared" si="214"/>
        <v>0.26</v>
      </c>
      <c r="EU204" s="12">
        <f t="shared" si="215"/>
        <v>0.26</v>
      </c>
      <c r="EV204" s="12" t="str">
        <f t="shared" si="258"/>
        <v>Аммофос 12:52:00</v>
      </c>
      <c r="EW204" s="12" t="str">
        <f t="shared" si="259"/>
        <v>Кемира Свекловичное-6</v>
      </c>
      <c r="EX204" s="12">
        <f t="shared" si="216"/>
        <v>0.16</v>
      </c>
      <c r="EY204" s="12">
        <f t="shared" si="217"/>
        <v>0.12</v>
      </c>
      <c r="EZ204" s="12">
        <f t="shared" si="218"/>
        <v>0.17</v>
      </c>
      <c r="FA204" s="38" t="e">
        <f>IF(AND(OR(FJ204=$FD$1,FM204=$FD$1,FO204=$FD$1,FQ204=$FD$1,FS204=$FD$1),FD204=$FD$1,Исходн.данные.!J204&lt;2,FU204=$FD$1),"Бор,Кобальт",IF(AND(FO204=$FD$1,FH204=$FD$1,Исходн.данные.!J204&lt;2,FU204=$FD$1),"Бор,Кобальт",IF(AND(OR(FJ204=$FD$1,FM204=$FD$1,FQ204=$FD$1),FE204=$FD$1,Исходн.данные.!J204&lt;2,FT204=$FD$1,FU204=$FD$1),"Бор,Медь,Цинк",IF(AND(OR(FJ204=$FD$1,FR204="Да"),FI204="Да",Исходн.данные.!J204&lt;2,FT204="Да",FU204="Да"),"Бор,Цинк,Медь",IF(AND(OR(FM204="Да",FQ204="Да"),FI204="Да",Исходн.данные.!J204&lt;2,FT204="Да",FU204="Да"),"Бор,Цинк",IF(AND(FN204="Да",OR(FD204="Да",FE204="Да")),"Бор",FB204))))))</f>
        <v>#N/A</v>
      </c>
      <c r="FB204" s="134" t="e">
        <f>IF(AND(OR(FD204="Да",FE204="Да",FF204="Да",FG204="Да",FH204="Да"),FO204="Да"),"Бор",IF(AND(FP204="Да",OR(FD204="Да",FE204="Да",FI204="Да")),"Бор",IF(AND(FS204="Да",FE204="Да"),"Бор,Медь",IF(AND(OR(FJ204="Да",FK204="Да",FL204="Да"),FE204="Да",Исходн.данные.!I204&lt;5,FT204="Да",FU204="Да"),"Молибден,Цинк",IF(AND(FM204="Да",OR(FE204="Да",FF204="Да",FG204="Да",FH204="Да",FI204="Да")),"Молибден,Цинк",IF(AND(OR(FJ204="Да",FK204="Да",FL204="Да",FM204="Да",FQ204="Да"),OR(FE204="Да",FF204="Да"),FT204="Да",FU204="Да",Исходн.данные.!I204&gt;5.5),"Медь,Цинк",FC204))))))</f>
        <v>#N/A</v>
      </c>
      <c r="FC204" s="23" t="e">
        <f t="shared" si="260"/>
        <v>#N/A</v>
      </c>
      <c r="FD204" s="38" t="str">
        <f>IF(OR(Исходн.данные.!F204=$CC$1,Исходн.данные.!F204=$CC$2,Исходн.данные.!F204=$CC$3,Исходн.данные.!F204=$CC$4),"Да","Нет")</f>
        <v>Нет</v>
      </c>
      <c r="FE204" s="38" t="str">
        <f>IF(Исходн.данные.!F204=$CC$5,"Да","Нет")</f>
        <v>Нет</v>
      </c>
      <c r="FF204" s="38" t="str">
        <f>IF(OR(Исходн.данные.!F204=$CC$6,Исходн.данные.!F204=$CC$7),"Да","Нет")</f>
        <v>Нет</v>
      </c>
      <c r="FG204" s="38" t="str">
        <f>IF(OR(Исходн.данные.!F204=$CC$8,Исходн.данные.!F204=$CC$9),"Да","Нет")</f>
        <v>Нет</v>
      </c>
      <c r="FH204" s="38" t="str">
        <f>IF(Исходн.данные.!F204=$CC$10,"Да","Нет")</f>
        <v>Нет</v>
      </c>
      <c r="FI204" s="38" t="str">
        <f>IF(OR(Исходн.данные.!F204=$CC$11,Исходн.данные.!F204=$CC$12),"Да","Нет")</f>
        <v>Нет</v>
      </c>
      <c r="FJ204" s="38" t="str">
        <f>IF(OR(Исходн.данные.!AH204=$BS$1,Исходн.данные.!AH204=$BQ$11,Исходн.данные.!AH204=$BQ$12),"Да","Нет")</f>
        <v>Нет</v>
      </c>
      <c r="FK204" s="38" t="str">
        <f>IF(OR(Исходн.данные.!AH204=$BS$2,Исходн.данные.!AH204=$BS$4),"Да","Нет")</f>
        <v>Нет</v>
      </c>
      <c r="FL204" s="38" t="str">
        <f>IF(OR(Исходн.данные.!AH204=$BS$3,Исходн.данные.!AH204=$BS$5),"Да","Нет")</f>
        <v>Нет</v>
      </c>
      <c r="FM204" s="38" t="str">
        <f>IF(OR(Исходн.данные.!AH204=$BS$9,Исходн.данные.!AH204=$BS$10,Исходн.данные.!AH204=$BS$11,Исходн.данные.!AH204=$BS$12),"Да","Нет")</f>
        <v>Нет</v>
      </c>
      <c r="FN204" s="38" t="str">
        <f>IF(OR(Исходн.данные.!AH204=$BS$6,Исходн.данные.!AH204=$BP$3),"Да","Нет")</f>
        <v>Нет</v>
      </c>
      <c r="FO204" s="38" t="str">
        <f>IF(Исходн.данные.!AH204=$BQ$9,"Да","Нет")</f>
        <v>Нет</v>
      </c>
      <c r="FP204" s="38" t="str">
        <f>IF(OR(Исходн.данные.!AH204=$BS$8,Исходн.данные.!AH204=$BT$8),"Да","Нет")</f>
        <v>Нет</v>
      </c>
      <c r="FQ204" s="38" t="str">
        <f>IF(OR(Исходн.данные.!AH204=$BQ$7,Исходн.данные.!AH204=$BQ$8),"Да","Нет")</f>
        <v>Нет</v>
      </c>
      <c r="FR204" s="38" t="str">
        <f>IF(Исходн.данные.!AI204=$BU$9,"Да","Нет")</f>
        <v>Нет</v>
      </c>
      <c r="FS204" s="38" t="str">
        <f>IF(OR(Исходн.данные.!AH204=$BP$1,Исходн.данные.!AH204=$BP$2),"Да","Нет")</f>
        <v>Нет</v>
      </c>
      <c r="FT204" s="38" t="e">
        <f>IF((Исходн.данные.!K204*GO204*GS204*GW204+BL204*0.6+Исходн.данные.!Q204*4.5*0.275)&gt;90,"Да","Нет")</f>
        <v>#N/A</v>
      </c>
      <c r="FU204" s="38" t="e">
        <f>IF((Исходн.данные.!M204*GS204*GZ204+BM204*0.225)&gt;35,"Да","Нет")</f>
        <v>#N/A</v>
      </c>
      <c r="FV204" s="38" t="str">
        <f>IF(Исходн.данные.!O204&gt;175,"Да","Нет")</f>
        <v>Нет</v>
      </c>
      <c r="FW204" s="39" t="str">
        <f>IF(Исходн.данные.!I204&gt;5.5,"Да","Нет")</f>
        <v>Нет</v>
      </c>
      <c r="FX204" s="39" t="str">
        <f>IF(Исходн.данные.!J204&lt;2,"Да","Нет")</f>
        <v>Да</v>
      </c>
      <c r="FY204" s="39" t="e">
        <f>IF(HF204=$FY$16,0,Исходн.данные.!K204*GO204*GS204*GW204/HF204)</f>
        <v>#N/A</v>
      </c>
      <c r="FZ204" s="39" t="e">
        <f>Исходн.данные.!M204*GS204*GZ204/HG204</f>
        <v>#N/A</v>
      </c>
      <c r="GA204" s="39" t="e">
        <f>IF(K_Wyn=$FY$16,0,IF(Исходн.данные.!N204=Исходн.данные.!$L$10,Исходн.данные.!O204/1.1*GS204*HC204/HH204,IF(Исходн.данные.!N204=Исходн.данные.!$L$12,Исходн.данные.!O204/1.5*GS204*HC204/HH204,Исходн.данные.!O204*GS204*HC204/HH204)))</f>
        <v>#N/A</v>
      </c>
      <c r="GB204" s="39" t="e">
        <f>IF(HF204=$FY$16,0,((Исходн.данные.!Q204*N_Org+Исходн.данные.!R204*N_Sider+Исходн.данные.!S204*N_Soloma)*AO204+Расчет!BC204*VLOOKUP(Исходн.данные.!T204,Справ!$A$3:$O$57,15)*AO204+BB204*VLOOKUP(Исходн.данные.!T204,Справ!$A$3:$O$57,15)*AL204+(Исходн.данные.!V204*N_Rizotorf+Исходн.данные.!W204*N_Rizoagr))/HF204)</f>
        <v>#N/A</v>
      </c>
      <c r="GC204" s="39" t="e">
        <f>IF(HG204=$FY$16,0,((Исходн.данные.!Q204*Р_Org+Исходн.данные.!R204*P_Sider+Исходн.данные.!S204*P_Soloma)*AP204+Расчет!BC204*VLOOKUP(Исходн.данные.!T204,Справ!$A$3:$P$57,16)*AP204+BB204*VLOOKUP(Исходн.данные.!T204,Справ!$A$3:$P$57,16)*AM204)/HG204)</f>
        <v>#N/A</v>
      </c>
      <c r="GD204" s="39" t="e">
        <f>IF(HH204=$FY$16,0,((Исходн.данные.!Q204*К_Org+Исходн.данные.!R204*K_Sider+Исходн.данные.!S204*K_Soloma)*AQ204+Расчет!BC204*VLOOKUP(Исходн.данные.!T204,Справ!$A$3:$Q$57,17)*AQ204+BB204*VLOOKUP(Исходн.данные.!T204,Справ!$A$3:$Q$57,17)*AN204)/HH204)</f>
        <v>#N/A</v>
      </c>
      <c r="GE204" s="39" t="e">
        <f>IF(HF204=$FY$16,0,(Исходн.данные.!X204*AR204+Исходн.данные.!AA204*N_Org*AL204+Исходн.данные.!AB204*N_Sider*AL204+Исходн.данные.!AC204*N_Soloma*AL204)/HF204)</f>
        <v>#N/A</v>
      </c>
      <c r="GF204" s="39" t="e">
        <f>IF(HG204=$FY$16,0,(Исходн.данные.!Y204*AS204+Исходн.данные.!AA204*Р_Org*AM204+Исходн.данные.!AB204*P_Sider*AM204+Исходн.данные.!AC204*P_Soloma*AM204)/HG204)</f>
        <v>#N/A</v>
      </c>
      <c r="GG204" s="39" t="e">
        <f>IF(HH204=$FY$16,0,(Исходн.данные.!Z204*AT204+Исходн.данные.!AA204*К_Org*AN204+Исходн.данные.!AB204*K_Sider*AN204+Исходн.данные.!AC204*K_Soloma*AN204)/HH204)</f>
        <v>#N/A</v>
      </c>
      <c r="GH204" s="39" t="e">
        <f>Исходн.данные.!AD204*AU204/HF204</f>
        <v>#N/A</v>
      </c>
      <c r="GI204" s="39" t="e">
        <f>Исходн.данные.!AE204*AV204/HG204</f>
        <v>#N/A</v>
      </c>
      <c r="GJ204" s="39" t="e">
        <f>Исходн.данные.!AF204*AW204/HH204</f>
        <v>#N/A</v>
      </c>
      <c r="GK204" s="55">
        <f>Исходн.данные.!AK204</f>
        <v>0</v>
      </c>
      <c r="GL204" s="11" t="e">
        <f t="shared" si="261"/>
        <v>#N/A</v>
      </c>
      <c r="GM204" s="11" t="e">
        <f t="shared" si="262"/>
        <v>#N/A</v>
      </c>
      <c r="GN204" s="11" t="e">
        <f t="shared" si="263"/>
        <v>#N/A</v>
      </c>
      <c r="GO204" s="57">
        <f t="shared" si="264"/>
        <v>19</v>
      </c>
      <c r="GP204" s="55">
        <f>IF(OR(Исходн.данные.!F204=$CE$1,Исходн.данные.!F204=$CE$2,Исходн.данные.!F204=$CE$3,Исходн.данные.!F204=$CE$4,Исходн.данные.!F204=$CE$5),GQ204,GR204)</f>
        <v>19</v>
      </c>
      <c r="GQ204" s="55">
        <f>IF(Исходн.данные.!F204=$CE$1,28,IF(Исходн.данные.!F204=$CE$2,26,IF(Исходн.данные.!F204=$CE$3,24,IF(Исходн.данные.!F204=$CE$4,22,IF(Исходн.данные.!F204=$CE$5,20,GR204)))))</f>
        <v>19</v>
      </c>
      <c r="GR204" s="55">
        <f>IF(Исходн.данные.!F204=$CE$6,18,IF(Исходн.данные.!F204=$CE$7,16,IF(Исходн.данные.!F204=$CE$8,14,IF(Исходн.данные.!F204=$CE$9,13,IF(Исходн.данные.!F204=$CE$10,12,19)))))</f>
        <v>19</v>
      </c>
      <c r="GS204" s="55">
        <f>IF(Исходн.данные.!G204="Пес",0.035*(40+2*Исходн.данные.!H204),IF(Исходн.данные.!G204="Суп",0.0325*(40+2*Исходн.данные.!H204),0.03*(40+2*Исходн.данные.!H204)))</f>
        <v>1.2</v>
      </c>
      <c r="GT204" s="55">
        <f>IF(Исходн.данные.!H204&lt;23,2.6,IF(AND(Исходн.данные.!H204&gt;22,Исходн.данные.!H204&lt;26),3,IF(AND(Исходн.данные.!H204&gt;25,Исходн.данные.!H204&lt;29),3.4,3.6)))</f>
        <v>2.6</v>
      </c>
      <c r="GU204" s="55">
        <f>IF(Исходн.данные.!H204&lt;23,2.8,IF(AND(Исходн.данные.!H204&gt;22,Исходн.данные.!H204&lt;26),3.2,IF(AND(Исходн.данные.!H204&gt;25,Исходн.данные.!H204&lt;29),3.6,3.9)))</f>
        <v>2.8</v>
      </c>
      <c r="GV204" s="55">
        <f>IF(Исходн.данные.!H204&lt;23,3,IF(AND(Исходн.данные.!H204&gt;22,Исходн.данные.!H204&lt;26),3.5,IF(AND(Исходн.данные.!H204&gt;25,Исходн.данные.!H204&lt;29),3.9,4.2)))</f>
        <v>3</v>
      </c>
      <c r="GW204" s="55" t="e">
        <f>IF(Исходн.данные.!P204="Ум",GX204,GY204)</f>
        <v>#N/A</v>
      </c>
      <c r="GX204" s="55" t="e">
        <f>VLOOKUP(Исходн.данные.!AI204,Коэффициенты!$J$7:$L$13,2,FALSE)</f>
        <v>#N/A</v>
      </c>
      <c r="GY204" s="55" t="e">
        <f>VLOOKUP(Исходн.данные.!AI204,Коэффициенты!$J$7:$L$13,3,FALSE)</f>
        <v>#N/A</v>
      </c>
      <c r="GZ204" s="55" t="e">
        <f>(IF(Исходн.данные.!M204&lt;50,0.11*VLOOKUP(Исходн.данные.!AH204,Культуры.Информация,7,FALSE),IF(Исходн.данные.!M204&gt;250,0.05*VLOOKUP(Исходн.данные.!AH204,Культуры.Информация,7,FALSE),VLOOKUP(Исходн.данные.!AH204,Культуры.Информация,5,FALSE)/100*($GX$6+$GY$6*Исходн.данные.!M204))))*Расчет2!AI204</f>
        <v>#N/A</v>
      </c>
      <c r="HA204" s="211"/>
      <c r="HB204" s="211"/>
      <c r="HC204" s="55" t="e">
        <f>(IF(Исходн.данные.!O204&lt;80,0.2*VLOOKUP(Исходн.данные.!AH204,Культуры.Информация,8,FALSE),IF(Исходн.данные.!O204&gt;240,0.09*VLOOKUP(Исходн.данные.!AH204,Культуры.Информация,8,FALSE),VLOOKUP(Исходн.данные.!AH204,Культуры.Информация,6,FALSE)/100*($HB$6+$HC$6*Исходн.данные.!O204))))*Расчет2!AJ204</f>
        <v>#N/A</v>
      </c>
      <c r="HD204" s="55">
        <f>IF(Исходн.данные.!O204&gt;240,0.09,IF(Исходн.данные.!O204&lt;30,0.3,$HE$10+$HD$10*Исходн.данные.!O204))</f>
        <v>0.3</v>
      </c>
      <c r="HE204" s="55">
        <f>IF(Исходн.данные.!O204&gt;240,0.17,IF(Исходн.данные.!O204&lt;30,0.5,$HF$12+$HE$12*Исходн.данные.!O204))</f>
        <v>0.5</v>
      </c>
      <c r="HF204" s="55" t="e">
        <f>VLOOKUP(Исходн.данные.!AH204,Справ!$A$3:$D$58,2,FALSE)</f>
        <v>#N/A</v>
      </c>
      <c r="HG204" s="55" t="e">
        <f>VLOOKUP(Исходн.данные.!AH204,Справ!$A$3:$D$58,3,FALSE)</f>
        <v>#N/A</v>
      </c>
      <c r="HH204" s="55" t="e">
        <f>VLOOKUP(Исходн.данные.!AH204,Справ!$A$3:$D$58,4,FALSE)</f>
        <v>#N/A</v>
      </c>
      <c r="HI204" s="11" t="e">
        <f t="shared" si="265"/>
        <v>#N/A</v>
      </c>
      <c r="HJ204" s="11" t="e">
        <f t="shared" si="266"/>
        <v>#N/A</v>
      </c>
      <c r="HK204" s="11" t="e">
        <f t="shared" si="267"/>
        <v>#N/A</v>
      </c>
      <c r="HL204" s="55">
        <f>IF(OR(Исходн.данные.!G204="Глин",Исходн.данные.!G204="Т_суг"),1.1,IF(Исходн.данные.!G204="Ср_суг",1,1))</f>
        <v>1</v>
      </c>
      <c r="HM204" s="55">
        <f>IF(OR(Исходн.данные.!G204="Глин",Исходн.данные.!G204="Т_суг"),0.9,IF(Исходн.данные.!G204="Ср_суг",1,1.2))</f>
        <v>1.2</v>
      </c>
      <c r="HN204" s="11" t="e">
        <f t="shared" si="268"/>
        <v>#N/A</v>
      </c>
      <c r="HO204" s="11" t="e">
        <f t="shared" si="269"/>
        <v>#N/A</v>
      </c>
      <c r="HP204" s="11" t="e">
        <f t="shared" si="270"/>
        <v>#N/A</v>
      </c>
      <c r="HQ204" t="e">
        <f t="shared" si="271"/>
        <v>#N/A</v>
      </c>
      <c r="HR204" t="e">
        <f t="shared" si="272"/>
        <v>#N/A</v>
      </c>
      <c r="HS204" t="e">
        <f t="shared" si="273"/>
        <v>#N/A</v>
      </c>
      <c r="HT204" t="e">
        <f t="shared" si="219"/>
        <v>#N/A</v>
      </c>
      <c r="HU204" t="e">
        <f t="shared" si="220"/>
        <v>#N/A</v>
      </c>
      <c r="HV204" t="e">
        <f t="shared" si="221"/>
        <v>#N/A</v>
      </c>
      <c r="HW204" t="e">
        <f t="shared" si="222"/>
        <v>#N/A</v>
      </c>
      <c r="HX204" t="e">
        <f t="shared" si="223"/>
        <v>#N/A</v>
      </c>
      <c r="HY204" t="e">
        <f t="shared" si="224"/>
        <v>#N/A</v>
      </c>
      <c r="HZ204" s="55">
        <f>IF(OR(Исходн.данные.!AI204="Оз_Ч_П",Исходн.данные.!AI204="Оз_З_П",Исходн.данные.!AI204="Яр_зер"),12,30)</f>
        <v>30</v>
      </c>
      <c r="IA204" t="e">
        <f t="shared" si="274"/>
        <v>#N/A</v>
      </c>
      <c r="IB204" t="e">
        <f t="shared" si="275"/>
        <v>#N/A</v>
      </c>
      <c r="IC204" t="e">
        <f t="shared" si="276"/>
        <v>#N/A</v>
      </c>
      <c r="ID204" s="11" t="e">
        <f t="shared" si="277"/>
        <v>#N/A</v>
      </c>
      <c r="IE204" s="11" t="e">
        <f t="shared" si="278"/>
        <v>#N/A</v>
      </c>
      <c r="IF204" s="11" t="e">
        <f t="shared" si="279"/>
        <v>#N/A</v>
      </c>
    </row>
    <row r="205" spans="35:240" x14ac:dyDescent="0.2">
      <c r="AI205">
        <f>IF(Исходн.данные.!I205&gt;6,1,1.85-(0.148*Исходн.данные.!I205))</f>
        <v>1.85</v>
      </c>
      <c r="AJ205">
        <f>IF(Исходн.данные.!I205&gt;6,1,2.434-(0.246*Исходн.данные.!I205))</f>
        <v>2.4340000000000002</v>
      </c>
      <c r="AL205" s="148" t="b">
        <f>IF(Исходн.данные.!$P205="Ум",N_OrgUd_2g_um,IF(Исходн.данные.!$P205="Об",N_OrgUd_2g_ob))</f>
        <v>0</v>
      </c>
      <c r="AM205" s="148" t="b">
        <f>IF(Исходн.данные.!$P205="Ум",P_OrgUd_2g_um,IF(Исходн.данные.!$P205="Об",P_OrgUd_2g_ob))</f>
        <v>0</v>
      </c>
      <c r="AN205" s="148" t="b">
        <f>IF(Исходн.данные.!$P205="Ум",K_OrgUd_2g_um,IF(Исходн.данные.!$P205="Об",K_OrgUd_2g_ob))</f>
        <v>0</v>
      </c>
      <c r="AO205" s="148" t="b">
        <f>IF(Исходн.данные.!$P205="Ум",N_OrgUd_1g_um,IF(Исходн.данные.!$P205="Об",N_OrgUd_1g_ob))</f>
        <v>0</v>
      </c>
      <c r="AP205" s="148" t="b">
        <f>IF(Исходн.данные.!$P205="Ум",P_OrgUd_1g_um,IF(Исходн.данные.!$P205="Об",P_OrgUd_1g_ob))</f>
        <v>0</v>
      </c>
      <c r="AQ205" s="148" t="b">
        <f>IF(Исходн.данные.!$P205="Ум",K_OrgUd_1g_um,IF(Исходн.данные.!$P205="Об",K_OrgUd_1g_ob))</f>
        <v>0</v>
      </c>
      <c r="AR205" t="b">
        <f>IF(Исходн.данные.!$P205="Ум",N_MinUd_2g_um,IF(Исходн.данные.!$P205="Об",N_MinUd_2g_ob))</f>
        <v>0</v>
      </c>
      <c r="AS205" t="b">
        <f>IF(Исходн.данные.!$P205="Ум",P_MinUd_2g_um,IF(Исходн.данные.!$P205="Об",P_MinUd_2g_ob))</f>
        <v>0</v>
      </c>
      <c r="AT205" t="b">
        <f>IF(Исходн.данные.!$P205="Ум",K_MinUd_2g_um,IF(Исходн.данные.!$P205="Об",K_MinUd_2g_ob))</f>
        <v>0</v>
      </c>
      <c r="AU205" t="b">
        <f>IF(Исходн.данные.!$P205="Ум",N_MinUd_1g_um,IF(Исходн.данные.!$P205="Об",N_MinUd_1g_ob))</f>
        <v>0</v>
      </c>
      <c r="AV205" t="b">
        <f>IF(Исходн.данные.!P205="Ум",P_MinUd_1g_um,IF(Исходн.данные.!P205="Об",P_MinUd_1g_ob))</f>
        <v>0</v>
      </c>
      <c r="AW205" t="b">
        <f>IF(Исходн.данные.!P205="Ум",K_MinUd_1g_um,IF(Исходн.данные.!P205="Об",K_MinUd_1g_ob))</f>
        <v>0</v>
      </c>
      <c r="AY205" t="e">
        <f>VLOOKUP(Исходн.данные.!T205,Справ!$A$3:$N$57,12)</f>
        <v>#N/A</v>
      </c>
      <c r="AZ205" t="e">
        <f>VLOOKUP(Исходн.данные.!T205,Справ!$A$3:$N$57,13)</f>
        <v>#N/A</v>
      </c>
      <c r="BA205" t="e">
        <f>VLOOKUP(Исходн.данные.!T205,Справ!$A$3:$N$57,14)</f>
        <v>#N/A</v>
      </c>
      <c r="BB205">
        <f>IF(Исходн.данные.!AH205=0,0,25)</f>
        <v>0</v>
      </c>
      <c r="BC205" s="141">
        <f>IF(Исходн.данные.!AH205=0,0,IF(Исходн.данные.!T205=0,25,BD205))</f>
        <v>0</v>
      </c>
      <c r="BD205" s="168" t="e">
        <f>AY205+AZ205*Исходн.данные.!U205-POWER(BA205,2)*Исходн.данные.!U205</f>
        <v>#N/A</v>
      </c>
      <c r="BE20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5" s="25">
        <f>IF(Исходн.данные.!AH205=0,0,MIN(HN205:HP205))</f>
        <v>0</v>
      </c>
      <c r="BG205" s="9">
        <f>IF(Исходн.данные.!AH205=0,0,IF((HO205+10*0.25/HG205/HL205)&lt;17,17,HO205+10*0.25/HG205/HL205))</f>
        <v>0</v>
      </c>
      <c r="BH205" s="181">
        <f>IF(Исходн.данные.!AH205=0,0,HW205*HF205*HL205/AU205*AI205+Исходн.данные.!S205*10)</f>
        <v>0</v>
      </c>
      <c r="BI205" s="10"/>
      <c r="BJ205" s="182">
        <f>IF(Исходн.данные.!AH205=0,0,IF(HX205*HG205*HL205/AV205&lt;0,0,HX205*HG205*HL205/AV205*AJ205))</f>
        <v>0</v>
      </c>
      <c r="BK205" s="182">
        <f>IF(Исходн.данные.!AH205=0,0,HY205*HH205*HM205/AW205)</f>
        <v>0</v>
      </c>
      <c r="BL205" s="10">
        <f>IF(OR(Исходн.данные.!$AH205=$BP$1,Исходн.данные.!$AH205=$BP$2),0,IF(BH205&lt;0,0,IF(OR(Исходн.данные.!T205=Расчет!$BP$1,Исходн.данные.!T205=Расчет!$BP$2,Исходн.данные.!T205=Расчет!$BT$5,Исходн.данные.!T205=Расчет!$BT$6),BH205*0.5,IF(OR(Исходн.данные.!T205=Расчет!$BS$9,Исходн.данные.!T205=Расчет!$BS$10,Исходн.данные.!T205=Расчет!$BS$11,Исходн.данные.!T205=Расчет!$BS$12,Исходн.данные.!T205=Расчет!$BP$5),BH205*0.8,BH205))))</f>
        <v>0</v>
      </c>
      <c r="BM205" s="10">
        <f>IF(OR(Исходн.данные.!$AH205=$BP$1,Исходн.данные.!$AH205=$BP$2),0,IF(BJ205&lt;0,0,IF(Исходн.данные.!I205&lt;4.5,BJ205*1.2,IF(Исходн.данные.!I205&gt;5.1,BJ205,BJ205*((5.1-Исходн.данные.!I205)*0.333+1)))))</f>
        <v>0</v>
      </c>
      <c r="BN205" s="10">
        <f>IF(OR(Исходн.данные.!$AH205=$BP$1,Исходн.данные.!$AH205=$BP$2),60-Исходн.данные.!AF205,IF(BK205&lt;0,0,IF(Исходн.данные.!I205&lt;4.5,BK205*1.2,IF(Исходн.данные.!I205&gt;5.1,BK205,BK205*((5.1-Исходн.данные.!I205)*0.333+1)))))</f>
        <v>0</v>
      </c>
      <c r="BO205" s="9">
        <f>IF(BL205&lt;0,0,BL205*Исходн.данные.!$AJ205/1000)</f>
        <v>0</v>
      </c>
      <c r="BP205" s="9">
        <f>IF(BM205&lt;0,0,BM205*Исходн.данные.!$AJ205/1000)</f>
        <v>0</v>
      </c>
      <c r="BQ205" s="9">
        <f>IF(BN205&lt;0,0,BN205*Исходн.данные.!$AJ205/1000)</f>
        <v>0</v>
      </c>
      <c r="BR205" s="9">
        <f t="shared" si="229"/>
        <v>0</v>
      </c>
      <c r="BS205" s="10" t="str">
        <f t="shared" si="230"/>
        <v>Аммофос 12:52:00</v>
      </c>
      <c r="BT205" s="10" t="str">
        <f t="shared" si="231"/>
        <v>Аммофос 12:52:00</v>
      </c>
      <c r="BU205" s="10" t="str">
        <f t="shared" si="232"/>
        <v>Диаммофоска</v>
      </c>
      <c r="BV205" s="10">
        <f t="shared" si="233"/>
        <v>0</v>
      </c>
      <c r="BW205" s="10"/>
      <c r="BX205" s="10"/>
      <c r="BY205" s="9">
        <f>IF(BL205&lt;0,0,IF(OR(Исходн.данные.!AI205=Расчет!$BU$6,Исходн.данные.!AI205=Расчет!$BU$7),Расчет!BV205,IF(Исходн.данные.!$AG205=$BV$11,BL205,IF(OR(Исходн.данные.!$AH205=$BQ$7,Исходн.данные.!$AH205=$BQ$8),CB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0,IF(Исходн.данные.!$AI205=$BU$11,"Нет",IF(BL205&gt;30,30,BL205)))))))</f>
        <v>0</v>
      </c>
      <c r="BZ205" s="9">
        <f>IF(AND(Исходн.данные.!$AG205=$BV$11,BM205&lt;10),10,IF(Исходн.данные.!$AG205=$BV$11,BM205,IF(OR(Исходн.данные.!$AH205=$BQ$7,Исходн.данные.!$AH205=$BQ$8),CC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10,IF(Исходн.данные.!$AI205=$BU$11,"Нет",IF(BM205&gt;60,60,IF(BM205&lt;10,10,BM205)))))))</f>
        <v>10</v>
      </c>
      <c r="CA205" s="39">
        <f>IF(BN205&lt;0,0,IF(Исходн.данные.!$AG205=$BV$11,BN205,IF(OR(Исходн.данные.!$AH205=$BQ$7,Исходн.данные.!$AH205=$BQ$8),CD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0,IF(Исходн.данные.!$AI205=$BU$11,"Нет",IF(BN205&gt;30,30,BN205))))))</f>
        <v>0</v>
      </c>
      <c r="CB205" s="9">
        <f t="shared" si="234"/>
        <v>0</v>
      </c>
      <c r="CC205" s="9">
        <f t="shared" si="235"/>
        <v>0</v>
      </c>
      <c r="CD205" s="9">
        <f t="shared" si="236"/>
        <v>0</v>
      </c>
      <c r="CE205" s="12">
        <f t="shared" si="237"/>
        <v>10</v>
      </c>
      <c r="CF205" s="9">
        <f t="shared" si="238"/>
        <v>0</v>
      </c>
      <c r="CG205" s="9" t="s">
        <v>231</v>
      </c>
      <c r="CH205" s="132" t="str">
        <f>IF(Исходн.данные.!AP205=Расчет!$CI$16,"Нет",IF(Исходн.данные.!AL205&gt;0,Исходн.данные.!AL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BH$4,IF(OR(Исходн.данные.!AI205=Исходн.данные.!$AI$6,Исходн.данные.!AI205=Исходн.данные.!$AI$7),Расчет!BS205,IF(AND($CF205=0,$CE205&gt;0),EV205,ER205)))))</f>
        <v>Аммофос 12:52:00</v>
      </c>
      <c r="CI205" s="274">
        <f>IF(Расчет!$CH205="Нет","Нет",IF(Исходн.данные.!$AL205&gt;0,VLOOKUP(Расчет!$CH205,АшламаДВ_Irekle,2,FALSE),VLOOKUP(Расчет!$CH205,АшламаДВ_Gomumy,2,FALSE)))</f>
        <v>0.12</v>
      </c>
      <c r="CJ205" s="274">
        <f>IF(Расчет!$CH205="Нет","Нет",IF(Исходн.данные.!$AL205&gt;0,VLOOKUP(Расчет!$CH205,АшламаДВ_Irekle,3,FALSE),VLOOKUP(Расчет!$CH205,АшламаДВ_Gomumy,3,FALSE)))</f>
        <v>0.52</v>
      </c>
      <c r="CK205" s="274">
        <f>IF(Расчет!$CH205="Нет","Нет",IF(Исходн.данные.!$AL205&gt;0,VLOOKUP(Расчет!$CH205,АшламаДВ_Irekle,4,FALSE),VLOOKUP(Расчет!$CH205,АшламаДВ_Gomumy,4,FALSE)))</f>
        <v>0</v>
      </c>
      <c r="CL205" s="70"/>
      <c r="CM205" s="70"/>
      <c r="CN205" s="70"/>
      <c r="CO205" s="70"/>
      <c r="CP205" s="70"/>
      <c r="CQ205" s="70"/>
      <c r="CR205" s="10">
        <f t="shared" si="239"/>
        <v>0</v>
      </c>
      <c r="CS205" s="10">
        <f t="shared" si="240"/>
        <v>19.23076923076923</v>
      </c>
      <c r="CT205" s="10">
        <f t="shared" si="241"/>
        <v>0</v>
      </c>
      <c r="CU205" s="39">
        <f>IF($CH205="Нет",0,IF(CI205=0,30/MIN(CJ205:CK205),IF(Исходн.данные.!$AG205=$BV$11,CR205,IF(OR(Исходн.данные.!$AH205=$BQ$7,Исходн.данные.!$AH205=$BQ$8),90/CI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0,IF(Исходн.данные.!$AI205=$BU$11,"Нет",30/CI205))))))</f>
        <v>250</v>
      </c>
      <c r="CV205" s="39">
        <f>IF($CH205="Нет",0,IF(Исходн.данные.!AH205=0,0,IF(CJ205=0,60/MIN(CI205,CK205),IF(Исходн.данные.!$AG205=$BV$11,CS205,IF(OR(Исходн.данные.!$AH205=$BQ$7,Исходн.данные.!$AH205=$BQ$8),90/CJ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10/CJ205,IF(Исходн.данные.!$AI205=$BU$11,"Нет",60/CJ205)))))))</f>
        <v>0</v>
      </c>
      <c r="CW205" s="39">
        <f>IF($CH205="Нет",0,IF(Исходн.данные.!AH205=0,0,IF(CK205=0,30/MIN(CI205:CJ205),IF(Исходн.данные.!$AG205=$BV$11,CT205,IF(OR(Исходн.данные.!$AH205=$BQ$7,Исходн.данные.!$AH205=$BQ$8),90/CK205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0,IF(Исходн.данные.!$AI205=$BU$11,"Нет",30/CK205)))))))</f>
        <v>0</v>
      </c>
      <c r="CX205" s="133">
        <f>IF(Исходн.данные.!$AG205=$BV$11,MAX(CU205:CW205),IF(OR(Исходн.данные.!$AH205=$BS$8,Исходн.данные.!$AH205=$BQ$9,Исходн.данные.!$AH205=$BQ$10,Исходн.данные.!$AH205=$BQ$11,Исходн.данные.!$AH205=$BQ$12,Исходн.данные.!$AH205=$BP$3,Исходн.данные.!$AH205=$BT$8,$FM205="Да"),CV205,MIN(CU205:CW205)))</f>
        <v>0</v>
      </c>
      <c r="CY205" s="133">
        <f>IF(Исходн.данные.!AH205=0,0,IF(CR205&gt;$CX205,$CX205,CR205))</f>
        <v>0</v>
      </c>
      <c r="CZ205" s="133">
        <f>IF(Исходн.данные.!AH205=0,0,IF(CS205&gt;$CX205,$CX205,CS205))</f>
        <v>0</v>
      </c>
      <c r="DA205" s="133">
        <f>IF(Исходн.данные.!AH205=0,0,IF(CT205&gt;$CX205,$CX205,CT205))</f>
        <v>0</v>
      </c>
      <c r="DB205" s="10">
        <f t="shared" si="242"/>
        <v>0</v>
      </c>
      <c r="DC205" s="39">
        <f>DB205*Исходн.данные.!AJ205/1000</f>
        <v>0</v>
      </c>
      <c r="DD205" s="71">
        <f t="shared" si="243"/>
        <v>0</v>
      </c>
      <c r="DE205" s="9">
        <f t="shared" si="244"/>
        <v>0</v>
      </c>
      <c r="DF205" s="9">
        <f t="shared" si="245"/>
        <v>0</v>
      </c>
      <c r="DG205" s="39">
        <f>IF(BL205&lt;0,0,IF($CH205="Нет",BL205,IF(OR(Исходн.данные.!$AH205=$BP$1,Исходн.данные.!$AH205=$BP$2),0,IF(Исходн.данные.!AI205=$BU$11,BL205,IF(BL205-DD205&lt;0,0,BL205-DD205)))))</f>
        <v>0</v>
      </c>
      <c r="DH205" s="39">
        <f>IF(BM205&lt;0,0,IF($CH205="Нет",BM205,IF(OR(Исходн.данные.!$AH205=$BP$1,Исходн.данные.!$AH205=$BP$2),0,IF(Исходн.данные.!AJ205=$BU$11,BM205,IF(BM205-DE205&lt;0,0,BM205-DE205)))))</f>
        <v>0</v>
      </c>
      <c r="DI205" s="39">
        <f>IF(BN205&lt;0,0,IF($CH205="Нет",BN205,IF(OR(Исходн.данные.!$AH205=$BP$1,Исходн.данные.!$AH205=$BP$2),0,IF(Исходн.данные.!AK205=$BU$11,BN205,IF(BN205-DF205&lt;0,0,BN205-DF205)))))</f>
        <v>0</v>
      </c>
      <c r="DJ205" s="12">
        <f t="shared" si="246"/>
        <v>0</v>
      </c>
      <c r="DK205" s="9">
        <f t="shared" si="247"/>
        <v>0</v>
      </c>
      <c r="DL205" s="39">
        <f>IF(Исходн.данные.!AM205&gt;0,Исходн.данные.!AM205,IF(EG205&gt;0,$BH$10,0))</f>
        <v>0</v>
      </c>
      <c r="DM205" s="186">
        <f>IF($DL205=0,0,IF(Исходн.данные.!AM205&gt;0,VLOOKUP($DL205,АшламаДВ_Irekle,2,FALSE),VLOOKUP($DL205,АшламаДВ_Gomumy,2,FALSE)))</f>
        <v>0</v>
      </c>
      <c r="DN205" s="10">
        <f t="shared" si="225"/>
        <v>0</v>
      </c>
      <c r="DO205" s="9" t="str">
        <f>IF(Исходн.данные.!AN205&gt;0,Исходн.данные.!AN205,Удобрения!$B$37 )</f>
        <v>Хлор.калий</v>
      </c>
      <c r="DP205" s="9">
        <f>IF(Исходн.данные.!AN205&gt;0,VLOOKUP(Исходн.данные.!AN205,АшламаДВ_Irekle,4,FALSE),VLOOKUP(DO205,АшламаДВ_Gomumy,4,FALSE))</f>
        <v>0.6</v>
      </c>
      <c r="DQ205" s="10">
        <f t="shared" si="226"/>
        <v>0</v>
      </c>
      <c r="DR205" s="132" t="str">
        <f>IF(Исходн.данные.!AO205&gt;0,Исходн.данные.!AO205,IF(DH205=0,BS$17,IF(AND($DK205=0,$DJ205&gt;0),EJ205,EN205)))</f>
        <v>Нет</v>
      </c>
      <c r="DS205" s="70" t="str">
        <f>IF($DR205="Нет","Нет",IF(Исходн.данные.!$AO205&gt;0,VLOOKUP($DR205,АшламаДВ_Irekle,2,FALSE),VLOOKUP($DR205,АшламаДВ_Gomumy,2,FALSE)))</f>
        <v>Нет</v>
      </c>
      <c r="DT205" s="70" t="str">
        <f>IF($DR205="Нет","Нет",IF(Исходн.данные.!$AO205&gt;0,VLOOKUP($DR205,АшламаДВ_Irekle,3,FALSE),VLOOKUP($DR205,АшламаДВ_Gomumy,3,FALSE)))</f>
        <v>Нет</v>
      </c>
      <c r="DU205" s="70" t="str">
        <f>IF($DR205="Нет","Нет",IF(Исходн.данные.!$AO205&gt;0,VLOOKUP($DR205,АшламаДВ_Irekle,4,FALSE),VLOOKUP($DR205,АшламаДВ_Gomumy,4,FALSE)))</f>
        <v>Нет</v>
      </c>
      <c r="DV205" s="70"/>
      <c r="DW205" s="70"/>
      <c r="DX205" s="70"/>
      <c r="DY205" s="10">
        <f t="shared" si="248"/>
        <v>0</v>
      </c>
      <c r="DZ205" s="10">
        <f t="shared" si="249"/>
        <v>0</v>
      </c>
      <c r="EA205" s="10">
        <f t="shared" si="250"/>
        <v>0</v>
      </c>
      <c r="EB205" s="10">
        <f t="shared" si="251"/>
        <v>0</v>
      </c>
      <c r="EC205" s="10">
        <f t="shared" si="252"/>
        <v>0</v>
      </c>
      <c r="ED205" s="10">
        <f t="shared" si="253"/>
        <v>0</v>
      </c>
      <c r="EE205" s="10">
        <f t="shared" si="254"/>
        <v>0</v>
      </c>
      <c r="EF205" s="39">
        <f>EB205*Исходн.данные.!AJ205/1000</f>
        <v>0</v>
      </c>
      <c r="EG205" s="9">
        <f t="shared" si="255"/>
        <v>0</v>
      </c>
      <c r="EH205" s="9">
        <f t="shared" si="256"/>
        <v>0</v>
      </c>
      <c r="EI205" s="39" t="e">
        <f t="shared" si="206"/>
        <v>#DIV/0!</v>
      </c>
      <c r="EJ205" s="9" t="str">
        <f t="shared" si="227"/>
        <v>Азопреципитат</v>
      </c>
      <c r="EK205" s="12">
        <f t="shared" si="207"/>
        <v>0.26</v>
      </c>
      <c r="EL205" s="12">
        <f t="shared" si="208"/>
        <v>0.13</v>
      </c>
      <c r="EM205" s="12">
        <f t="shared" si="209"/>
        <v>0</v>
      </c>
      <c r="EN205" s="12" t="str">
        <f t="shared" si="228"/>
        <v>Нет</v>
      </c>
      <c r="EO205" s="12">
        <f t="shared" si="210"/>
        <v>0</v>
      </c>
      <c r="EP205" s="12">
        <f t="shared" si="211"/>
        <v>0</v>
      </c>
      <c r="EQ205" s="12">
        <f t="shared" si="212"/>
        <v>0</v>
      </c>
      <c r="ER205" s="12" t="str">
        <f t="shared" si="257"/>
        <v>Диаммофоска</v>
      </c>
      <c r="ES205" s="12">
        <f t="shared" si="213"/>
        <v>0.1</v>
      </c>
      <c r="ET205" s="12">
        <f t="shared" si="214"/>
        <v>0.26</v>
      </c>
      <c r="EU205" s="12">
        <f t="shared" si="215"/>
        <v>0.26</v>
      </c>
      <c r="EV205" s="12" t="str">
        <f t="shared" si="258"/>
        <v>Аммофос 12:52:00</v>
      </c>
      <c r="EW205" s="12" t="str">
        <f t="shared" si="259"/>
        <v>Кемира Свекловичное-6</v>
      </c>
      <c r="EX205" s="12">
        <f t="shared" si="216"/>
        <v>0.16</v>
      </c>
      <c r="EY205" s="12">
        <f t="shared" si="217"/>
        <v>0.12</v>
      </c>
      <c r="EZ205" s="12">
        <f t="shared" si="218"/>
        <v>0.17</v>
      </c>
      <c r="FA205" s="38" t="e">
        <f>IF(AND(OR(FJ205=$FD$1,FM205=$FD$1,FO205=$FD$1,FQ205=$FD$1,FS205=$FD$1),FD205=$FD$1,Исходн.данные.!J205&lt;2,FU205=$FD$1),"Бор,Кобальт",IF(AND(FO205=$FD$1,FH205=$FD$1,Исходн.данные.!J205&lt;2,FU205=$FD$1),"Бор,Кобальт",IF(AND(OR(FJ205=$FD$1,FM205=$FD$1,FQ205=$FD$1),FE205=$FD$1,Исходн.данные.!J205&lt;2,FT205=$FD$1,FU205=$FD$1),"Бор,Медь,Цинк",IF(AND(OR(FJ205=$FD$1,FR205="Да"),FI205="Да",Исходн.данные.!J205&lt;2,FT205="Да",FU205="Да"),"Бор,Цинк,Медь",IF(AND(OR(FM205="Да",FQ205="Да"),FI205="Да",Исходн.данные.!J205&lt;2,FT205="Да",FU205="Да"),"Бор,Цинк",IF(AND(FN205="Да",OR(FD205="Да",FE205="Да")),"Бор",FB205))))))</f>
        <v>#N/A</v>
      </c>
      <c r="FB205" s="134" t="e">
        <f>IF(AND(OR(FD205="Да",FE205="Да",FF205="Да",FG205="Да",FH205="Да"),FO205="Да"),"Бор",IF(AND(FP205="Да",OR(FD205="Да",FE205="Да",FI205="Да")),"Бор",IF(AND(FS205="Да",FE205="Да"),"Бор,Медь",IF(AND(OR(FJ205="Да",FK205="Да",FL205="Да"),FE205="Да",Исходн.данные.!I205&lt;5,FT205="Да",FU205="Да"),"Молибден,Цинк",IF(AND(FM205="Да",OR(FE205="Да",FF205="Да",FG205="Да",FH205="Да",FI205="Да")),"Молибден,Цинк",IF(AND(OR(FJ205="Да",FK205="Да",FL205="Да",FM205="Да",FQ205="Да"),OR(FE205="Да",FF205="Да"),FT205="Да",FU205="Да",Исходн.данные.!I205&gt;5.5),"Медь,Цинк",FC205))))))</f>
        <v>#N/A</v>
      </c>
      <c r="FC205" s="23" t="e">
        <f t="shared" si="260"/>
        <v>#N/A</v>
      </c>
      <c r="FD205" s="38" t="str">
        <f>IF(OR(Исходн.данные.!F205=$CC$1,Исходн.данные.!F205=$CC$2,Исходн.данные.!F205=$CC$3,Исходн.данные.!F205=$CC$4),"Да","Нет")</f>
        <v>Нет</v>
      </c>
      <c r="FE205" s="38" t="str">
        <f>IF(Исходн.данные.!F205=$CC$5,"Да","Нет")</f>
        <v>Нет</v>
      </c>
      <c r="FF205" s="38" t="str">
        <f>IF(OR(Исходн.данные.!F205=$CC$6,Исходн.данные.!F205=$CC$7),"Да","Нет")</f>
        <v>Нет</v>
      </c>
      <c r="FG205" s="38" t="str">
        <f>IF(OR(Исходн.данные.!F205=$CC$8,Исходн.данные.!F205=$CC$9),"Да","Нет")</f>
        <v>Нет</v>
      </c>
      <c r="FH205" s="38" t="str">
        <f>IF(Исходн.данные.!F205=$CC$10,"Да","Нет")</f>
        <v>Нет</v>
      </c>
      <c r="FI205" s="38" t="str">
        <f>IF(OR(Исходн.данные.!F205=$CC$11,Исходн.данные.!F205=$CC$12),"Да","Нет")</f>
        <v>Нет</v>
      </c>
      <c r="FJ205" s="38" t="str">
        <f>IF(OR(Исходн.данные.!AH205=$BS$1,Исходн.данные.!AH205=$BQ$11,Исходн.данные.!AH205=$BQ$12),"Да","Нет")</f>
        <v>Нет</v>
      </c>
      <c r="FK205" s="38" t="str">
        <f>IF(OR(Исходн.данные.!AH205=$BS$2,Исходн.данные.!AH205=$BS$4),"Да","Нет")</f>
        <v>Нет</v>
      </c>
      <c r="FL205" s="38" t="str">
        <f>IF(OR(Исходн.данные.!AH205=$BS$3,Исходн.данные.!AH205=$BS$5),"Да","Нет")</f>
        <v>Нет</v>
      </c>
      <c r="FM205" s="38" t="str">
        <f>IF(OR(Исходн.данные.!AH205=$BS$9,Исходн.данные.!AH205=$BS$10,Исходн.данные.!AH205=$BS$11,Исходн.данные.!AH205=$BS$12),"Да","Нет")</f>
        <v>Нет</v>
      </c>
      <c r="FN205" s="38" t="str">
        <f>IF(OR(Исходн.данные.!AH205=$BS$6,Исходн.данные.!AH205=$BP$3),"Да","Нет")</f>
        <v>Нет</v>
      </c>
      <c r="FO205" s="38" t="str">
        <f>IF(Исходн.данные.!AH205=$BQ$9,"Да","Нет")</f>
        <v>Нет</v>
      </c>
      <c r="FP205" s="38" t="str">
        <f>IF(OR(Исходн.данные.!AH205=$BS$8,Исходн.данные.!AH205=$BT$8),"Да","Нет")</f>
        <v>Нет</v>
      </c>
      <c r="FQ205" s="38" t="str">
        <f>IF(OR(Исходн.данные.!AH205=$BQ$7,Исходн.данные.!AH205=$BQ$8),"Да","Нет")</f>
        <v>Нет</v>
      </c>
      <c r="FR205" s="38" t="str">
        <f>IF(Исходн.данные.!AI205=$BU$9,"Да","Нет")</f>
        <v>Нет</v>
      </c>
      <c r="FS205" s="38" t="str">
        <f>IF(OR(Исходн.данные.!AH205=$BP$1,Исходн.данные.!AH205=$BP$2),"Да","Нет")</f>
        <v>Нет</v>
      </c>
      <c r="FT205" s="38" t="e">
        <f>IF((Исходн.данные.!K205*GO205*GS205*GW205+BL205*0.6+Исходн.данные.!Q205*4.5*0.275)&gt;90,"Да","Нет")</f>
        <v>#N/A</v>
      </c>
      <c r="FU205" s="38" t="e">
        <f>IF((Исходн.данные.!M205*GS205*GZ205+BM205*0.225)&gt;35,"Да","Нет")</f>
        <v>#N/A</v>
      </c>
      <c r="FV205" s="38" t="str">
        <f>IF(Исходн.данные.!O205&gt;175,"Да","Нет")</f>
        <v>Нет</v>
      </c>
      <c r="FW205" s="39" t="str">
        <f>IF(Исходн.данные.!I205&gt;5.5,"Да","Нет")</f>
        <v>Нет</v>
      </c>
      <c r="FX205" s="39" t="str">
        <f>IF(Исходн.данные.!J205&lt;2,"Да","Нет")</f>
        <v>Да</v>
      </c>
      <c r="FY205" s="39" t="e">
        <f>IF(HF205=$FY$16,0,Исходн.данные.!K205*GO205*GS205*GW205/HF205)</f>
        <v>#N/A</v>
      </c>
      <c r="FZ205" s="39" t="e">
        <f>Исходн.данные.!M205*GS205*GZ205/HG205</f>
        <v>#N/A</v>
      </c>
      <c r="GA205" s="39" t="e">
        <f>IF(K_Wyn=$FY$16,0,IF(Исходн.данные.!N205=Исходн.данные.!$L$10,Исходн.данные.!O205/1.1*GS205*HC205/HH205,IF(Исходн.данные.!N205=Исходн.данные.!$L$12,Исходн.данные.!O205/1.5*GS205*HC205/HH205,Исходн.данные.!O205*GS205*HC205/HH205)))</f>
        <v>#N/A</v>
      </c>
      <c r="GB205" s="39" t="e">
        <f>IF(HF205=$FY$16,0,((Исходн.данные.!Q205*N_Org+Исходн.данные.!R205*N_Sider+Исходн.данные.!S205*N_Soloma)*AO205+Расчет!BC205*VLOOKUP(Исходн.данные.!T205,Справ!$A$3:$O$57,15)*AO205+BB205*VLOOKUP(Исходн.данные.!T205,Справ!$A$3:$O$57,15)*AL205+(Исходн.данные.!V205*N_Rizotorf+Исходн.данные.!W205*N_Rizoagr))/HF205)</f>
        <v>#N/A</v>
      </c>
      <c r="GC205" s="39" t="e">
        <f>IF(HG205=$FY$16,0,((Исходн.данные.!Q205*Р_Org+Исходн.данные.!R205*P_Sider+Исходн.данные.!S205*P_Soloma)*AP205+Расчет!BC205*VLOOKUP(Исходн.данные.!T205,Справ!$A$3:$P$57,16)*AP205+BB205*VLOOKUP(Исходн.данные.!T205,Справ!$A$3:$P$57,16)*AM205)/HG205)</f>
        <v>#N/A</v>
      </c>
      <c r="GD205" s="39" t="e">
        <f>IF(HH205=$FY$16,0,((Исходн.данные.!Q205*К_Org+Исходн.данные.!R205*K_Sider+Исходн.данные.!S205*K_Soloma)*AQ205+Расчет!BC205*VLOOKUP(Исходн.данные.!T205,Справ!$A$3:$Q$57,17)*AQ205+BB205*VLOOKUP(Исходн.данные.!T205,Справ!$A$3:$Q$57,17)*AN205)/HH205)</f>
        <v>#N/A</v>
      </c>
      <c r="GE205" s="39" t="e">
        <f>IF(HF205=$FY$16,0,(Исходн.данные.!X205*AR205+Исходн.данные.!AA205*N_Org*AL205+Исходн.данные.!AB205*N_Sider*AL205+Исходн.данные.!AC205*N_Soloma*AL205)/HF205)</f>
        <v>#N/A</v>
      </c>
      <c r="GF205" s="39" t="e">
        <f>IF(HG205=$FY$16,0,(Исходн.данные.!Y205*AS205+Исходн.данные.!AA205*Р_Org*AM205+Исходн.данные.!AB205*P_Sider*AM205+Исходн.данные.!AC205*P_Soloma*AM205)/HG205)</f>
        <v>#N/A</v>
      </c>
      <c r="GG205" s="39" t="e">
        <f>IF(HH205=$FY$16,0,(Исходн.данные.!Z205*AT205+Исходн.данные.!AA205*К_Org*AN205+Исходн.данные.!AB205*K_Sider*AN205+Исходн.данные.!AC205*K_Soloma*AN205)/HH205)</f>
        <v>#N/A</v>
      </c>
      <c r="GH205" s="39" t="e">
        <f>Исходн.данные.!AD205*AU205/HF205</f>
        <v>#N/A</v>
      </c>
      <c r="GI205" s="39" t="e">
        <f>Исходн.данные.!AE205*AV205/HG205</f>
        <v>#N/A</v>
      </c>
      <c r="GJ205" s="39" t="e">
        <f>Исходн.данные.!AF205*AW205/HH205</f>
        <v>#N/A</v>
      </c>
      <c r="GK205" s="55">
        <f>Исходн.данные.!AK205</f>
        <v>0</v>
      </c>
      <c r="GL205" s="11" t="e">
        <f t="shared" si="261"/>
        <v>#N/A</v>
      </c>
      <c r="GM205" s="11" t="e">
        <f t="shared" si="262"/>
        <v>#N/A</v>
      </c>
      <c r="GN205" s="11" t="e">
        <f t="shared" si="263"/>
        <v>#N/A</v>
      </c>
      <c r="GO205" s="57">
        <f t="shared" si="264"/>
        <v>19</v>
      </c>
      <c r="GP205" s="55">
        <f>IF(OR(Исходн.данные.!F205=$CE$1,Исходн.данные.!F205=$CE$2,Исходн.данные.!F205=$CE$3,Исходн.данные.!F205=$CE$4,Исходн.данные.!F205=$CE$5),GQ205,GR205)</f>
        <v>19</v>
      </c>
      <c r="GQ205" s="55">
        <f>IF(Исходн.данные.!F205=$CE$1,28,IF(Исходн.данные.!F205=$CE$2,26,IF(Исходн.данные.!F205=$CE$3,24,IF(Исходн.данные.!F205=$CE$4,22,IF(Исходн.данные.!F205=$CE$5,20,GR205)))))</f>
        <v>19</v>
      </c>
      <c r="GR205" s="55">
        <f>IF(Исходн.данные.!F205=$CE$6,18,IF(Исходн.данные.!F205=$CE$7,16,IF(Исходн.данные.!F205=$CE$8,14,IF(Исходн.данные.!F205=$CE$9,13,IF(Исходн.данные.!F205=$CE$10,12,19)))))</f>
        <v>19</v>
      </c>
      <c r="GS205" s="55">
        <f>IF(Исходн.данные.!G205="Пес",0.035*(40+2*Исходн.данные.!H205),IF(Исходн.данные.!G205="Суп",0.0325*(40+2*Исходн.данные.!H205),0.03*(40+2*Исходн.данные.!H205)))</f>
        <v>1.2</v>
      </c>
      <c r="GT205" s="55">
        <f>IF(Исходн.данные.!H205&lt;23,2.6,IF(AND(Исходн.данные.!H205&gt;22,Исходн.данные.!H205&lt;26),3,IF(AND(Исходн.данные.!H205&gt;25,Исходн.данные.!H205&lt;29),3.4,3.6)))</f>
        <v>2.6</v>
      </c>
      <c r="GU205" s="55">
        <f>IF(Исходн.данные.!H205&lt;23,2.8,IF(AND(Исходн.данные.!H205&gt;22,Исходн.данные.!H205&lt;26),3.2,IF(AND(Исходн.данные.!H205&gt;25,Исходн.данные.!H205&lt;29),3.6,3.9)))</f>
        <v>2.8</v>
      </c>
      <c r="GV205" s="55">
        <f>IF(Исходн.данные.!H205&lt;23,3,IF(AND(Исходн.данные.!H205&gt;22,Исходн.данные.!H205&lt;26),3.5,IF(AND(Исходн.данные.!H205&gt;25,Исходн.данные.!H205&lt;29),3.9,4.2)))</f>
        <v>3</v>
      </c>
      <c r="GW205" s="55" t="e">
        <f>IF(Исходн.данные.!P205="Ум",GX205,GY205)</f>
        <v>#N/A</v>
      </c>
      <c r="GX205" s="55" t="e">
        <f>VLOOKUP(Исходн.данные.!AI205,Коэффициенты!$J$7:$L$13,2,FALSE)</f>
        <v>#N/A</v>
      </c>
      <c r="GY205" s="55" t="e">
        <f>VLOOKUP(Исходн.данные.!AI205,Коэффициенты!$J$7:$L$13,3,FALSE)</f>
        <v>#N/A</v>
      </c>
      <c r="GZ205" s="55" t="e">
        <f>(IF(Исходн.данные.!M205&lt;50,0.11*VLOOKUP(Исходн.данные.!AH205,Культуры.Информация,7,FALSE),IF(Исходн.данные.!M205&gt;250,0.05*VLOOKUP(Исходн.данные.!AH205,Культуры.Информация,7,FALSE),VLOOKUP(Исходн.данные.!AH205,Культуры.Информация,5,FALSE)/100*($GX$6+$GY$6*Исходн.данные.!M205))))*Расчет2!AI205</f>
        <v>#N/A</v>
      </c>
      <c r="HA205" s="211"/>
      <c r="HB205" s="211"/>
      <c r="HC205" s="55" t="e">
        <f>(IF(Исходн.данные.!O205&lt;80,0.2*VLOOKUP(Исходн.данные.!AH205,Культуры.Информация,8,FALSE),IF(Исходн.данные.!O205&gt;240,0.09*VLOOKUP(Исходн.данные.!AH205,Культуры.Информация,8,FALSE),VLOOKUP(Исходн.данные.!AH205,Культуры.Информация,6,FALSE)/100*($HB$6+$HC$6*Исходн.данные.!O205))))*Расчет2!AJ205</f>
        <v>#N/A</v>
      </c>
      <c r="HD205" s="55">
        <f>IF(Исходн.данные.!O205&gt;240,0.09,IF(Исходн.данные.!O205&lt;30,0.3,$HE$10+$HD$10*Исходн.данные.!O205))</f>
        <v>0.3</v>
      </c>
      <c r="HE205" s="55">
        <f>IF(Исходн.данные.!O205&gt;240,0.17,IF(Исходн.данные.!O205&lt;30,0.5,$HF$12+$HE$12*Исходн.данные.!O205))</f>
        <v>0.5</v>
      </c>
      <c r="HF205" s="55" t="e">
        <f>VLOOKUP(Исходн.данные.!AH205,Справ!$A$3:$D$58,2,FALSE)</f>
        <v>#N/A</v>
      </c>
      <c r="HG205" s="55" t="e">
        <f>VLOOKUP(Исходн.данные.!AH205,Справ!$A$3:$D$58,3,FALSE)</f>
        <v>#N/A</v>
      </c>
      <c r="HH205" s="55" t="e">
        <f>VLOOKUP(Исходн.данные.!AH205,Справ!$A$3:$D$58,4,FALSE)</f>
        <v>#N/A</v>
      </c>
      <c r="HI205" s="11" t="e">
        <f t="shared" si="265"/>
        <v>#N/A</v>
      </c>
      <c r="HJ205" s="11" t="e">
        <f t="shared" si="266"/>
        <v>#N/A</v>
      </c>
      <c r="HK205" s="11" t="e">
        <f t="shared" si="267"/>
        <v>#N/A</v>
      </c>
      <c r="HL205" s="55">
        <f>IF(OR(Исходн.данные.!G205="Глин",Исходн.данные.!G205="Т_суг"),1.1,IF(Исходн.данные.!G205="Ср_суг",1,1))</f>
        <v>1</v>
      </c>
      <c r="HM205" s="55">
        <f>IF(OR(Исходн.данные.!G205="Глин",Исходн.данные.!G205="Т_суг"),0.9,IF(Исходн.данные.!G205="Ср_суг",1,1.2))</f>
        <v>1.2</v>
      </c>
      <c r="HN205" s="11" t="e">
        <f t="shared" si="268"/>
        <v>#N/A</v>
      </c>
      <c r="HO205" s="11" t="e">
        <f t="shared" si="269"/>
        <v>#N/A</v>
      </c>
      <c r="HP205" s="11" t="e">
        <f t="shared" si="270"/>
        <v>#N/A</v>
      </c>
      <c r="HQ205" t="e">
        <f t="shared" si="271"/>
        <v>#N/A</v>
      </c>
      <c r="HR205" t="e">
        <f t="shared" si="272"/>
        <v>#N/A</v>
      </c>
      <c r="HS205" t="e">
        <f t="shared" si="273"/>
        <v>#N/A</v>
      </c>
      <c r="HT205" t="e">
        <f t="shared" si="219"/>
        <v>#N/A</v>
      </c>
      <c r="HU205" t="e">
        <f t="shared" si="220"/>
        <v>#N/A</v>
      </c>
      <c r="HV205" t="e">
        <f t="shared" si="221"/>
        <v>#N/A</v>
      </c>
      <c r="HW205" t="e">
        <f t="shared" si="222"/>
        <v>#N/A</v>
      </c>
      <c r="HX205" t="e">
        <f t="shared" si="223"/>
        <v>#N/A</v>
      </c>
      <c r="HY205" t="e">
        <f t="shared" si="224"/>
        <v>#N/A</v>
      </c>
      <c r="HZ205" s="55">
        <f>IF(OR(Исходн.данные.!AI205="Оз_Ч_П",Исходн.данные.!AI205="Оз_З_П",Исходн.данные.!AI205="Яр_зер"),12,30)</f>
        <v>30</v>
      </c>
      <c r="IA205" t="e">
        <f t="shared" si="274"/>
        <v>#N/A</v>
      </c>
      <c r="IB205" t="e">
        <f t="shared" si="275"/>
        <v>#N/A</v>
      </c>
      <c r="IC205" t="e">
        <f t="shared" si="276"/>
        <v>#N/A</v>
      </c>
      <c r="ID205" s="11" t="e">
        <f t="shared" si="277"/>
        <v>#N/A</v>
      </c>
      <c r="IE205" s="11" t="e">
        <f t="shared" si="278"/>
        <v>#N/A</v>
      </c>
      <c r="IF205" s="11" t="e">
        <f t="shared" si="279"/>
        <v>#N/A</v>
      </c>
    </row>
    <row r="206" spans="35:240" x14ac:dyDescent="0.2">
      <c r="AI206">
        <f>IF(Исходн.данные.!I206&gt;6,1,1.85-(0.148*Исходн.данные.!I206))</f>
        <v>1.85</v>
      </c>
      <c r="AJ206">
        <f>IF(Исходн.данные.!I206&gt;6,1,2.434-(0.246*Исходн.данные.!I206))</f>
        <v>2.4340000000000002</v>
      </c>
      <c r="AL206" s="148" t="b">
        <f>IF(Исходн.данные.!$P206="Ум",N_OrgUd_2g_um,IF(Исходн.данные.!$P206="Об",N_OrgUd_2g_ob))</f>
        <v>0</v>
      </c>
      <c r="AM206" s="148" t="b">
        <f>IF(Исходн.данные.!$P206="Ум",P_OrgUd_2g_um,IF(Исходн.данные.!$P206="Об",P_OrgUd_2g_ob))</f>
        <v>0</v>
      </c>
      <c r="AN206" s="148" t="b">
        <f>IF(Исходн.данные.!$P206="Ум",K_OrgUd_2g_um,IF(Исходн.данные.!$P206="Об",K_OrgUd_2g_ob))</f>
        <v>0</v>
      </c>
      <c r="AO206" s="148" t="b">
        <f>IF(Исходн.данные.!$P206="Ум",N_OrgUd_1g_um,IF(Исходн.данные.!$P206="Об",N_OrgUd_1g_ob))</f>
        <v>0</v>
      </c>
      <c r="AP206" s="148" t="b">
        <f>IF(Исходн.данные.!$P206="Ум",P_OrgUd_1g_um,IF(Исходн.данные.!$P206="Об",P_OrgUd_1g_ob))</f>
        <v>0</v>
      </c>
      <c r="AQ206" s="148" t="b">
        <f>IF(Исходн.данные.!$P206="Ум",K_OrgUd_1g_um,IF(Исходн.данные.!$P206="Об",K_OrgUd_1g_ob))</f>
        <v>0</v>
      </c>
      <c r="AR206" t="b">
        <f>IF(Исходн.данные.!$P206="Ум",N_MinUd_2g_um,IF(Исходн.данные.!$P206="Об",N_MinUd_2g_ob))</f>
        <v>0</v>
      </c>
      <c r="AS206" t="b">
        <f>IF(Исходн.данные.!$P206="Ум",P_MinUd_2g_um,IF(Исходн.данные.!$P206="Об",P_MinUd_2g_ob))</f>
        <v>0</v>
      </c>
      <c r="AT206" t="b">
        <f>IF(Исходн.данные.!$P206="Ум",K_MinUd_2g_um,IF(Исходн.данные.!$P206="Об",K_MinUd_2g_ob))</f>
        <v>0</v>
      </c>
      <c r="AU206" t="b">
        <f>IF(Исходн.данные.!$P206="Ум",N_MinUd_1g_um,IF(Исходн.данные.!$P206="Об",N_MinUd_1g_ob))</f>
        <v>0</v>
      </c>
      <c r="AV206" t="b">
        <f>IF(Исходн.данные.!P206="Ум",P_MinUd_1g_um,IF(Исходн.данные.!P206="Об",P_MinUd_1g_ob))</f>
        <v>0</v>
      </c>
      <c r="AW206" t="b">
        <f>IF(Исходн.данные.!P206="Ум",K_MinUd_1g_um,IF(Исходн.данные.!P206="Об",K_MinUd_1g_ob))</f>
        <v>0</v>
      </c>
      <c r="AY206" t="e">
        <f>VLOOKUP(Исходн.данные.!T206,Справ!$A$3:$N$57,12)</f>
        <v>#N/A</v>
      </c>
      <c r="AZ206" t="e">
        <f>VLOOKUP(Исходн.данные.!T206,Справ!$A$3:$N$57,13)</f>
        <v>#N/A</v>
      </c>
      <c r="BA206" t="e">
        <f>VLOOKUP(Исходн.данные.!T206,Справ!$A$3:$N$57,14)</f>
        <v>#N/A</v>
      </c>
      <c r="BB206">
        <f>IF(Исходн.данные.!AH206=0,0,25)</f>
        <v>0</v>
      </c>
      <c r="BC206" s="141">
        <f>IF(Исходн.данные.!AH206=0,0,IF(Исходн.данные.!T206=0,25,BD206))</f>
        <v>0</v>
      </c>
      <c r="BD206" s="168" t="e">
        <f>AY206+AZ206*Исходн.данные.!U206-POWER(BA206,2)*Исходн.данные.!U206</f>
        <v>#N/A</v>
      </c>
      <c r="BE20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6" s="25">
        <f>IF(Исходн.данные.!AH206=0,0,MIN(HN206:HP206))</f>
        <v>0</v>
      </c>
      <c r="BG206" s="9">
        <f>IF(Исходн.данные.!AH206=0,0,IF((HO206+10*0.25/HG206/HL206)&lt;17,17,HO206+10*0.25/HG206/HL206))</f>
        <v>0</v>
      </c>
      <c r="BH206" s="181">
        <f>IF(Исходн.данные.!AH206=0,0,HW206*HF206*HL206/AU206*AI206+Исходн.данные.!S206*10)</f>
        <v>0</v>
      </c>
      <c r="BI206" s="10"/>
      <c r="BJ206" s="182">
        <f>IF(Исходн.данные.!AH206=0,0,IF(HX206*HG206*HL206/AV206&lt;0,0,HX206*HG206*HL206/AV206*AJ206))</f>
        <v>0</v>
      </c>
      <c r="BK206" s="182">
        <f>IF(Исходн.данные.!AH206=0,0,HY206*HH206*HM206/AW206)</f>
        <v>0</v>
      </c>
      <c r="BL206" s="10">
        <f>IF(OR(Исходн.данные.!$AH206=$BP$1,Исходн.данные.!$AH206=$BP$2),0,IF(BH206&lt;0,0,IF(OR(Исходн.данные.!T206=Расчет!$BP$1,Исходн.данные.!T206=Расчет!$BP$2,Исходн.данные.!T206=Расчет!$BT$5,Исходн.данные.!T206=Расчет!$BT$6),BH206*0.5,IF(OR(Исходн.данные.!T206=Расчет!$BS$9,Исходн.данные.!T206=Расчет!$BS$10,Исходн.данные.!T206=Расчет!$BS$11,Исходн.данные.!T206=Расчет!$BS$12,Исходн.данные.!T206=Расчет!$BP$5),BH206*0.8,BH206))))</f>
        <v>0</v>
      </c>
      <c r="BM206" s="10">
        <f>IF(OR(Исходн.данные.!$AH206=$BP$1,Исходн.данные.!$AH206=$BP$2),0,IF(BJ206&lt;0,0,IF(Исходн.данные.!I206&lt;4.5,BJ206*1.2,IF(Исходн.данные.!I206&gt;5.1,BJ206,BJ206*((5.1-Исходн.данные.!I206)*0.333+1)))))</f>
        <v>0</v>
      </c>
      <c r="BN206" s="10">
        <f>IF(OR(Исходн.данные.!$AH206=$BP$1,Исходн.данные.!$AH206=$BP$2),60-Исходн.данные.!AF206,IF(BK206&lt;0,0,IF(Исходн.данные.!I206&lt;4.5,BK206*1.2,IF(Исходн.данные.!I206&gt;5.1,BK206,BK206*((5.1-Исходн.данные.!I206)*0.333+1)))))</f>
        <v>0</v>
      </c>
      <c r="BO206" s="9">
        <f>IF(BL206&lt;0,0,BL206*Исходн.данные.!$AJ206/1000)</f>
        <v>0</v>
      </c>
      <c r="BP206" s="9">
        <f>IF(BM206&lt;0,0,BM206*Исходн.данные.!$AJ206/1000)</f>
        <v>0</v>
      </c>
      <c r="BQ206" s="9">
        <f>IF(BN206&lt;0,0,BN206*Исходн.данные.!$AJ206/1000)</f>
        <v>0</v>
      </c>
      <c r="BR206" s="9">
        <f t="shared" si="229"/>
        <v>0</v>
      </c>
      <c r="BS206" s="10" t="str">
        <f t="shared" si="230"/>
        <v>Аммофос 12:52:00</v>
      </c>
      <c r="BT206" s="10" t="str">
        <f t="shared" si="231"/>
        <v>Аммофос 12:52:00</v>
      </c>
      <c r="BU206" s="10" t="str">
        <f t="shared" si="232"/>
        <v>Диаммофоска</v>
      </c>
      <c r="BV206" s="10">
        <f t="shared" si="233"/>
        <v>0</v>
      </c>
      <c r="BW206" s="10"/>
      <c r="BX206" s="10"/>
      <c r="BY206" s="9">
        <f>IF(BL206&lt;0,0,IF(OR(Исходн.данные.!AI206=Расчет!$BU$6,Исходн.данные.!AI206=Расчет!$BU$7),Расчет!BV206,IF(Исходн.данные.!$AG206=$BV$11,BL206,IF(OR(Исходн.данные.!$AH206=$BQ$7,Исходн.данные.!$AH206=$BQ$8),CB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0,IF(Исходн.данные.!$AI206=$BU$11,"Нет",IF(BL206&gt;30,30,BL206)))))))</f>
        <v>0</v>
      </c>
      <c r="BZ206" s="9">
        <f>IF(AND(Исходн.данные.!$AG206=$BV$11,BM206&lt;10),10,IF(Исходн.данные.!$AG206=$BV$11,BM206,IF(OR(Исходн.данные.!$AH206=$BQ$7,Исходн.данные.!$AH206=$BQ$8),CC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10,IF(Исходн.данные.!$AI206=$BU$11,"Нет",IF(BM206&gt;60,60,IF(BM206&lt;10,10,BM206)))))))</f>
        <v>10</v>
      </c>
      <c r="CA206" s="39">
        <f>IF(BN206&lt;0,0,IF(Исходн.данные.!$AG206=$BV$11,BN206,IF(OR(Исходн.данные.!$AH206=$BQ$7,Исходн.данные.!$AH206=$BQ$8),CD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0,IF(Исходн.данные.!$AI206=$BU$11,"Нет",IF(BN206&gt;30,30,BN206))))))</f>
        <v>0</v>
      </c>
      <c r="CB206" s="9">
        <f t="shared" si="234"/>
        <v>0</v>
      </c>
      <c r="CC206" s="9">
        <f t="shared" si="235"/>
        <v>0</v>
      </c>
      <c r="CD206" s="9">
        <f t="shared" si="236"/>
        <v>0</v>
      </c>
      <c r="CE206" s="12">
        <f t="shared" si="237"/>
        <v>10</v>
      </c>
      <c r="CF206" s="9">
        <f t="shared" si="238"/>
        <v>0</v>
      </c>
      <c r="CG206" s="9" t="s">
        <v>231</v>
      </c>
      <c r="CH206" s="132" t="str">
        <f>IF(Исходн.данные.!AP206=Расчет!$CI$16,"Нет",IF(Исходн.данные.!AL206&gt;0,Исходн.данные.!AL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BH$4,IF(OR(Исходн.данные.!AI206=Исходн.данные.!$AI$6,Исходн.данные.!AI206=Исходн.данные.!$AI$7),Расчет!BS206,IF(AND($CF206=0,$CE206&gt;0),EV206,ER206)))))</f>
        <v>Аммофос 12:52:00</v>
      </c>
      <c r="CI206" s="274">
        <f>IF(Расчет!$CH206="Нет","Нет",IF(Исходн.данные.!$AL206&gt;0,VLOOKUP(Расчет!$CH206,АшламаДВ_Irekle,2,FALSE),VLOOKUP(Расчет!$CH206,АшламаДВ_Gomumy,2,FALSE)))</f>
        <v>0.12</v>
      </c>
      <c r="CJ206" s="274">
        <f>IF(Расчет!$CH206="Нет","Нет",IF(Исходн.данные.!$AL206&gt;0,VLOOKUP(Расчет!$CH206,АшламаДВ_Irekle,3,FALSE),VLOOKUP(Расчет!$CH206,АшламаДВ_Gomumy,3,FALSE)))</f>
        <v>0.52</v>
      </c>
      <c r="CK206" s="274">
        <f>IF(Расчет!$CH206="Нет","Нет",IF(Исходн.данные.!$AL206&gt;0,VLOOKUP(Расчет!$CH206,АшламаДВ_Irekle,4,FALSE),VLOOKUP(Расчет!$CH206,АшламаДВ_Gomumy,4,FALSE)))</f>
        <v>0</v>
      </c>
      <c r="CL206" s="70"/>
      <c r="CM206" s="70"/>
      <c r="CN206" s="70"/>
      <c r="CO206" s="70"/>
      <c r="CP206" s="70"/>
      <c r="CQ206" s="70"/>
      <c r="CR206" s="10">
        <f t="shared" si="239"/>
        <v>0</v>
      </c>
      <c r="CS206" s="10">
        <f t="shared" si="240"/>
        <v>19.23076923076923</v>
      </c>
      <c r="CT206" s="10">
        <f t="shared" si="241"/>
        <v>0</v>
      </c>
      <c r="CU206" s="39">
        <f>IF($CH206="Нет",0,IF(CI206=0,30/MIN(CJ206:CK206),IF(Исходн.данные.!$AG206=$BV$11,CR206,IF(OR(Исходн.данные.!$AH206=$BQ$7,Исходн.данные.!$AH206=$BQ$8),90/CI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0,IF(Исходн.данные.!$AI206=$BU$11,"Нет",30/CI206))))))</f>
        <v>250</v>
      </c>
      <c r="CV206" s="39">
        <f>IF($CH206="Нет",0,IF(Исходн.данные.!AH206=0,0,IF(CJ206=0,60/MIN(CI206,CK206),IF(Исходн.данные.!$AG206=$BV$11,CS206,IF(OR(Исходн.данные.!$AH206=$BQ$7,Исходн.данные.!$AH206=$BQ$8),90/CJ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10/CJ206,IF(Исходн.данные.!$AI206=$BU$11,"Нет",60/CJ206)))))))</f>
        <v>0</v>
      </c>
      <c r="CW206" s="39">
        <f>IF($CH206="Нет",0,IF(Исходн.данные.!AH206=0,0,IF(CK206=0,30/MIN(CI206:CJ206),IF(Исходн.данные.!$AG206=$BV$11,CT206,IF(OR(Исходн.данные.!$AH206=$BQ$7,Исходн.данные.!$AH206=$BQ$8),90/CK206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0,IF(Исходн.данные.!$AI206=$BU$11,"Нет",30/CK206)))))))</f>
        <v>0</v>
      </c>
      <c r="CX206" s="133">
        <f>IF(Исходн.данные.!$AG206=$BV$11,MAX(CU206:CW206),IF(OR(Исходн.данные.!$AH206=$BS$8,Исходн.данные.!$AH206=$BQ$9,Исходн.данные.!$AH206=$BQ$10,Исходн.данные.!$AH206=$BQ$11,Исходн.данные.!$AH206=$BQ$12,Исходн.данные.!$AH206=$BP$3,Исходн.данные.!$AH206=$BT$8,$FM206="Да"),CV206,MIN(CU206:CW206)))</f>
        <v>0</v>
      </c>
      <c r="CY206" s="133">
        <f>IF(Исходн.данные.!AH206=0,0,IF(CR206&gt;$CX206,$CX206,CR206))</f>
        <v>0</v>
      </c>
      <c r="CZ206" s="133">
        <f>IF(Исходн.данные.!AH206=0,0,IF(CS206&gt;$CX206,$CX206,CS206))</f>
        <v>0</v>
      </c>
      <c r="DA206" s="133">
        <f>IF(Исходн.данные.!AH206=0,0,IF(CT206&gt;$CX206,$CX206,CT206))</f>
        <v>0</v>
      </c>
      <c r="DB206" s="10">
        <f t="shared" si="242"/>
        <v>0</v>
      </c>
      <c r="DC206" s="39">
        <f>DB206*Исходн.данные.!AJ206/1000</f>
        <v>0</v>
      </c>
      <c r="DD206" s="71">
        <f t="shared" si="243"/>
        <v>0</v>
      </c>
      <c r="DE206" s="9">
        <f t="shared" si="244"/>
        <v>0</v>
      </c>
      <c r="DF206" s="9">
        <f t="shared" si="245"/>
        <v>0</v>
      </c>
      <c r="DG206" s="39">
        <f>IF(BL206&lt;0,0,IF($CH206="Нет",BL206,IF(OR(Исходн.данные.!$AH206=$BP$1,Исходн.данные.!$AH206=$BP$2),0,IF(Исходн.данные.!AI206=$BU$11,BL206,IF(BL206-DD206&lt;0,0,BL206-DD206)))))</f>
        <v>0</v>
      </c>
      <c r="DH206" s="39">
        <f>IF(BM206&lt;0,0,IF($CH206="Нет",BM206,IF(OR(Исходн.данные.!$AH206=$BP$1,Исходн.данные.!$AH206=$BP$2),0,IF(Исходн.данные.!AJ206=$BU$11,BM206,IF(BM206-DE206&lt;0,0,BM206-DE206)))))</f>
        <v>0</v>
      </c>
      <c r="DI206" s="39">
        <f>IF(BN206&lt;0,0,IF($CH206="Нет",BN206,IF(OR(Исходн.данные.!$AH206=$BP$1,Исходн.данные.!$AH206=$BP$2),0,IF(Исходн.данные.!AK206=$BU$11,BN206,IF(BN206-DF206&lt;0,0,BN206-DF206)))))</f>
        <v>0</v>
      </c>
      <c r="DJ206" s="12">
        <f t="shared" si="246"/>
        <v>0</v>
      </c>
      <c r="DK206" s="9">
        <f t="shared" si="247"/>
        <v>0</v>
      </c>
      <c r="DL206" s="39">
        <f>IF(Исходн.данные.!AM206&gt;0,Исходн.данные.!AM206,IF(EG206&gt;0,$BH$10,0))</f>
        <v>0</v>
      </c>
      <c r="DM206" s="186">
        <f>IF($DL206=0,0,IF(Исходн.данные.!AM206&gt;0,VLOOKUP($DL206,АшламаДВ_Irekle,2,FALSE),VLOOKUP($DL206,АшламаДВ_Gomumy,2,FALSE)))</f>
        <v>0</v>
      </c>
      <c r="DN206" s="10">
        <f t="shared" si="225"/>
        <v>0</v>
      </c>
      <c r="DO206" s="9" t="str">
        <f>IF(Исходн.данные.!AN206&gt;0,Исходн.данные.!AN206,Удобрения!$B$37 )</f>
        <v>Хлор.калий</v>
      </c>
      <c r="DP206" s="9">
        <f>IF(Исходн.данные.!AN206&gt;0,VLOOKUP(Исходн.данные.!AN206,АшламаДВ_Irekle,4,FALSE),VLOOKUP(DO206,АшламаДВ_Gomumy,4,FALSE))</f>
        <v>0.6</v>
      </c>
      <c r="DQ206" s="10">
        <f t="shared" si="226"/>
        <v>0</v>
      </c>
      <c r="DR206" s="132" t="str">
        <f>IF(Исходн.данные.!AO206&gt;0,Исходн.данные.!AO206,IF(DH206=0,BS$17,IF(AND($DK206=0,$DJ206&gt;0),EJ206,EN206)))</f>
        <v>Нет</v>
      </c>
      <c r="DS206" s="70" t="str">
        <f>IF($DR206="Нет","Нет",IF(Исходн.данные.!$AO206&gt;0,VLOOKUP($DR206,АшламаДВ_Irekle,2,FALSE),VLOOKUP($DR206,АшламаДВ_Gomumy,2,FALSE)))</f>
        <v>Нет</v>
      </c>
      <c r="DT206" s="70" t="str">
        <f>IF($DR206="Нет","Нет",IF(Исходн.данные.!$AO206&gt;0,VLOOKUP($DR206,АшламаДВ_Irekle,3,FALSE),VLOOKUP($DR206,АшламаДВ_Gomumy,3,FALSE)))</f>
        <v>Нет</v>
      </c>
      <c r="DU206" s="70" t="str">
        <f>IF($DR206="Нет","Нет",IF(Исходн.данные.!$AO206&gt;0,VLOOKUP($DR206,АшламаДВ_Irekle,4,FALSE),VLOOKUP($DR206,АшламаДВ_Gomumy,4,FALSE)))</f>
        <v>Нет</v>
      </c>
      <c r="DV206" s="70"/>
      <c r="DW206" s="70"/>
      <c r="DX206" s="70"/>
      <c r="DY206" s="10">
        <f t="shared" si="248"/>
        <v>0</v>
      </c>
      <c r="DZ206" s="10">
        <f t="shared" si="249"/>
        <v>0</v>
      </c>
      <c r="EA206" s="10">
        <f t="shared" si="250"/>
        <v>0</v>
      </c>
      <c r="EB206" s="10">
        <f t="shared" si="251"/>
        <v>0</v>
      </c>
      <c r="EC206" s="10">
        <f t="shared" si="252"/>
        <v>0</v>
      </c>
      <c r="ED206" s="10">
        <f t="shared" si="253"/>
        <v>0</v>
      </c>
      <c r="EE206" s="10">
        <f t="shared" si="254"/>
        <v>0</v>
      </c>
      <c r="EF206" s="39">
        <f>EB206*Исходн.данные.!AJ206/1000</f>
        <v>0</v>
      </c>
      <c r="EG206" s="9">
        <f t="shared" si="255"/>
        <v>0</v>
      </c>
      <c r="EH206" s="9">
        <f t="shared" si="256"/>
        <v>0</v>
      </c>
      <c r="EI206" s="39" t="e">
        <f t="shared" si="206"/>
        <v>#DIV/0!</v>
      </c>
      <c r="EJ206" s="9" t="str">
        <f t="shared" si="227"/>
        <v>Азопреципитат</v>
      </c>
      <c r="EK206" s="12">
        <f t="shared" si="207"/>
        <v>0.26</v>
      </c>
      <c r="EL206" s="12">
        <f t="shared" si="208"/>
        <v>0.13</v>
      </c>
      <c r="EM206" s="12">
        <f t="shared" si="209"/>
        <v>0</v>
      </c>
      <c r="EN206" s="12" t="str">
        <f t="shared" si="228"/>
        <v>Нет</v>
      </c>
      <c r="EO206" s="12">
        <f t="shared" si="210"/>
        <v>0</v>
      </c>
      <c r="EP206" s="12">
        <f t="shared" si="211"/>
        <v>0</v>
      </c>
      <c r="EQ206" s="12">
        <f t="shared" si="212"/>
        <v>0</v>
      </c>
      <c r="ER206" s="12" t="str">
        <f t="shared" si="257"/>
        <v>Диаммофоска</v>
      </c>
      <c r="ES206" s="12">
        <f t="shared" si="213"/>
        <v>0.1</v>
      </c>
      <c r="ET206" s="12">
        <f t="shared" si="214"/>
        <v>0.26</v>
      </c>
      <c r="EU206" s="12">
        <f t="shared" si="215"/>
        <v>0.26</v>
      </c>
      <c r="EV206" s="12" t="str">
        <f t="shared" si="258"/>
        <v>Аммофос 12:52:00</v>
      </c>
      <c r="EW206" s="12" t="str">
        <f t="shared" si="259"/>
        <v>Кемира Свекловичное-6</v>
      </c>
      <c r="EX206" s="12">
        <f t="shared" si="216"/>
        <v>0.16</v>
      </c>
      <c r="EY206" s="12">
        <f t="shared" si="217"/>
        <v>0.12</v>
      </c>
      <c r="EZ206" s="12">
        <f t="shared" si="218"/>
        <v>0.17</v>
      </c>
      <c r="FA206" s="38" t="e">
        <f>IF(AND(OR(FJ206=$FD$1,FM206=$FD$1,FO206=$FD$1,FQ206=$FD$1,FS206=$FD$1),FD206=$FD$1,Исходн.данные.!J206&lt;2,FU206=$FD$1),"Бор,Кобальт",IF(AND(FO206=$FD$1,FH206=$FD$1,Исходн.данные.!J206&lt;2,FU206=$FD$1),"Бор,Кобальт",IF(AND(OR(FJ206=$FD$1,FM206=$FD$1,FQ206=$FD$1),FE206=$FD$1,Исходн.данные.!J206&lt;2,FT206=$FD$1,FU206=$FD$1),"Бор,Медь,Цинк",IF(AND(OR(FJ206=$FD$1,FR206="Да"),FI206="Да",Исходн.данные.!J206&lt;2,FT206="Да",FU206="Да"),"Бор,Цинк,Медь",IF(AND(OR(FM206="Да",FQ206="Да"),FI206="Да",Исходн.данные.!J206&lt;2,FT206="Да",FU206="Да"),"Бор,Цинк",IF(AND(FN206="Да",OR(FD206="Да",FE206="Да")),"Бор",FB206))))))</f>
        <v>#N/A</v>
      </c>
      <c r="FB206" s="134" t="e">
        <f>IF(AND(OR(FD206="Да",FE206="Да",FF206="Да",FG206="Да",FH206="Да"),FO206="Да"),"Бор",IF(AND(FP206="Да",OR(FD206="Да",FE206="Да",FI206="Да")),"Бор",IF(AND(FS206="Да",FE206="Да"),"Бор,Медь",IF(AND(OR(FJ206="Да",FK206="Да",FL206="Да"),FE206="Да",Исходн.данные.!I206&lt;5,FT206="Да",FU206="Да"),"Молибден,Цинк",IF(AND(FM206="Да",OR(FE206="Да",FF206="Да",FG206="Да",FH206="Да",FI206="Да")),"Молибден,Цинк",IF(AND(OR(FJ206="Да",FK206="Да",FL206="Да",FM206="Да",FQ206="Да"),OR(FE206="Да",FF206="Да"),FT206="Да",FU206="Да",Исходн.данные.!I206&gt;5.5),"Медь,Цинк",FC206))))))</f>
        <v>#N/A</v>
      </c>
      <c r="FC206" s="23" t="e">
        <f t="shared" si="260"/>
        <v>#N/A</v>
      </c>
      <c r="FD206" s="38" t="str">
        <f>IF(OR(Исходн.данные.!F206=$CC$1,Исходн.данные.!F206=$CC$2,Исходн.данные.!F206=$CC$3,Исходн.данные.!F206=$CC$4),"Да","Нет")</f>
        <v>Нет</v>
      </c>
      <c r="FE206" s="38" t="str">
        <f>IF(Исходн.данные.!F206=$CC$5,"Да","Нет")</f>
        <v>Нет</v>
      </c>
      <c r="FF206" s="38" t="str">
        <f>IF(OR(Исходн.данные.!F206=$CC$6,Исходн.данные.!F206=$CC$7),"Да","Нет")</f>
        <v>Нет</v>
      </c>
      <c r="FG206" s="38" t="str">
        <f>IF(OR(Исходн.данные.!F206=$CC$8,Исходн.данные.!F206=$CC$9),"Да","Нет")</f>
        <v>Нет</v>
      </c>
      <c r="FH206" s="38" t="str">
        <f>IF(Исходн.данные.!F206=$CC$10,"Да","Нет")</f>
        <v>Нет</v>
      </c>
      <c r="FI206" s="38" t="str">
        <f>IF(OR(Исходн.данные.!F206=$CC$11,Исходн.данные.!F206=$CC$12),"Да","Нет")</f>
        <v>Нет</v>
      </c>
      <c r="FJ206" s="38" t="str">
        <f>IF(OR(Исходн.данные.!AH206=$BS$1,Исходн.данные.!AH206=$BQ$11,Исходн.данные.!AH206=$BQ$12),"Да","Нет")</f>
        <v>Нет</v>
      </c>
      <c r="FK206" s="38" t="str">
        <f>IF(OR(Исходн.данные.!AH206=$BS$2,Исходн.данные.!AH206=$BS$4),"Да","Нет")</f>
        <v>Нет</v>
      </c>
      <c r="FL206" s="38" t="str">
        <f>IF(OR(Исходн.данные.!AH206=$BS$3,Исходн.данные.!AH206=$BS$5),"Да","Нет")</f>
        <v>Нет</v>
      </c>
      <c r="FM206" s="38" t="str">
        <f>IF(OR(Исходн.данные.!AH206=$BS$9,Исходн.данные.!AH206=$BS$10,Исходн.данные.!AH206=$BS$11,Исходн.данные.!AH206=$BS$12),"Да","Нет")</f>
        <v>Нет</v>
      </c>
      <c r="FN206" s="38" t="str">
        <f>IF(OR(Исходн.данные.!AH206=$BS$6,Исходн.данные.!AH206=$BP$3),"Да","Нет")</f>
        <v>Нет</v>
      </c>
      <c r="FO206" s="38" t="str">
        <f>IF(Исходн.данные.!AH206=$BQ$9,"Да","Нет")</f>
        <v>Нет</v>
      </c>
      <c r="FP206" s="38" t="str">
        <f>IF(OR(Исходн.данные.!AH206=$BS$8,Исходн.данные.!AH206=$BT$8),"Да","Нет")</f>
        <v>Нет</v>
      </c>
      <c r="FQ206" s="38" t="str">
        <f>IF(OR(Исходн.данные.!AH206=$BQ$7,Исходн.данные.!AH206=$BQ$8),"Да","Нет")</f>
        <v>Нет</v>
      </c>
      <c r="FR206" s="38" t="str">
        <f>IF(Исходн.данные.!AI206=$BU$9,"Да","Нет")</f>
        <v>Нет</v>
      </c>
      <c r="FS206" s="38" t="str">
        <f>IF(OR(Исходн.данные.!AH206=$BP$1,Исходн.данные.!AH206=$BP$2),"Да","Нет")</f>
        <v>Нет</v>
      </c>
      <c r="FT206" s="38" t="e">
        <f>IF((Исходн.данные.!K206*GO206*GS206*GW206+BL206*0.6+Исходн.данные.!Q206*4.5*0.275)&gt;90,"Да","Нет")</f>
        <v>#N/A</v>
      </c>
      <c r="FU206" s="38" t="e">
        <f>IF((Исходн.данные.!M206*GS206*GZ206+BM206*0.225)&gt;35,"Да","Нет")</f>
        <v>#N/A</v>
      </c>
      <c r="FV206" s="38" t="str">
        <f>IF(Исходн.данные.!O206&gt;175,"Да","Нет")</f>
        <v>Нет</v>
      </c>
      <c r="FW206" s="39" t="str">
        <f>IF(Исходн.данные.!I206&gt;5.5,"Да","Нет")</f>
        <v>Нет</v>
      </c>
      <c r="FX206" s="39" t="str">
        <f>IF(Исходн.данные.!J206&lt;2,"Да","Нет")</f>
        <v>Да</v>
      </c>
      <c r="FY206" s="39" t="e">
        <f>IF(HF206=$FY$16,0,Исходн.данные.!K206*GO206*GS206*GW206/HF206)</f>
        <v>#N/A</v>
      </c>
      <c r="FZ206" s="39" t="e">
        <f>Исходн.данные.!M206*GS206*GZ206/HG206</f>
        <v>#N/A</v>
      </c>
      <c r="GA206" s="39" t="e">
        <f>IF(K_Wyn=$FY$16,0,IF(Исходн.данные.!N206=Исходн.данные.!$L$10,Исходн.данные.!O206/1.1*GS206*HC206/HH206,IF(Исходн.данные.!N206=Исходн.данные.!$L$12,Исходн.данные.!O206/1.5*GS206*HC206/HH206,Исходн.данные.!O206*GS206*HC206/HH206)))</f>
        <v>#N/A</v>
      </c>
      <c r="GB206" s="39" t="e">
        <f>IF(HF206=$FY$16,0,((Исходн.данные.!Q206*N_Org+Исходн.данные.!R206*N_Sider+Исходн.данные.!S206*N_Soloma)*AO206+Расчет!BC206*VLOOKUP(Исходн.данные.!T206,Справ!$A$3:$O$57,15)*AO206+BB206*VLOOKUP(Исходн.данные.!T206,Справ!$A$3:$O$57,15)*AL206+(Исходн.данные.!V206*N_Rizotorf+Исходн.данные.!W206*N_Rizoagr))/HF206)</f>
        <v>#N/A</v>
      </c>
      <c r="GC206" s="39" t="e">
        <f>IF(HG206=$FY$16,0,((Исходн.данные.!Q206*Р_Org+Исходн.данные.!R206*P_Sider+Исходн.данные.!S206*P_Soloma)*AP206+Расчет!BC206*VLOOKUP(Исходн.данные.!T206,Справ!$A$3:$P$57,16)*AP206+BB206*VLOOKUP(Исходн.данные.!T206,Справ!$A$3:$P$57,16)*AM206)/HG206)</f>
        <v>#N/A</v>
      </c>
      <c r="GD206" s="39" t="e">
        <f>IF(HH206=$FY$16,0,((Исходн.данные.!Q206*К_Org+Исходн.данные.!R206*K_Sider+Исходн.данные.!S206*K_Soloma)*AQ206+Расчет!BC206*VLOOKUP(Исходн.данные.!T206,Справ!$A$3:$Q$57,17)*AQ206+BB206*VLOOKUP(Исходн.данные.!T206,Справ!$A$3:$Q$57,17)*AN206)/HH206)</f>
        <v>#N/A</v>
      </c>
      <c r="GE206" s="39" t="e">
        <f>IF(HF206=$FY$16,0,(Исходн.данные.!X206*AR206+Исходн.данные.!AA206*N_Org*AL206+Исходн.данные.!AB206*N_Sider*AL206+Исходн.данные.!AC206*N_Soloma*AL206)/HF206)</f>
        <v>#N/A</v>
      </c>
      <c r="GF206" s="39" t="e">
        <f>IF(HG206=$FY$16,0,(Исходн.данные.!Y206*AS206+Исходн.данные.!AA206*Р_Org*AM206+Исходн.данные.!AB206*P_Sider*AM206+Исходн.данные.!AC206*P_Soloma*AM206)/HG206)</f>
        <v>#N/A</v>
      </c>
      <c r="GG206" s="39" t="e">
        <f>IF(HH206=$FY$16,0,(Исходн.данные.!Z206*AT206+Исходн.данные.!AA206*К_Org*AN206+Исходн.данные.!AB206*K_Sider*AN206+Исходн.данные.!AC206*K_Soloma*AN206)/HH206)</f>
        <v>#N/A</v>
      </c>
      <c r="GH206" s="39" t="e">
        <f>Исходн.данные.!AD206*AU206/HF206</f>
        <v>#N/A</v>
      </c>
      <c r="GI206" s="39" t="e">
        <f>Исходн.данные.!AE206*AV206/HG206</f>
        <v>#N/A</v>
      </c>
      <c r="GJ206" s="39" t="e">
        <f>Исходн.данные.!AF206*AW206/HH206</f>
        <v>#N/A</v>
      </c>
      <c r="GK206" s="55">
        <f>Исходн.данные.!AK206</f>
        <v>0</v>
      </c>
      <c r="GL206" s="11" t="e">
        <f t="shared" si="261"/>
        <v>#N/A</v>
      </c>
      <c r="GM206" s="11" t="e">
        <f t="shared" si="262"/>
        <v>#N/A</v>
      </c>
      <c r="GN206" s="11" t="e">
        <f t="shared" si="263"/>
        <v>#N/A</v>
      </c>
      <c r="GO206" s="57">
        <f t="shared" si="264"/>
        <v>19</v>
      </c>
      <c r="GP206" s="55">
        <f>IF(OR(Исходн.данные.!F206=$CE$1,Исходн.данные.!F206=$CE$2,Исходн.данные.!F206=$CE$3,Исходн.данные.!F206=$CE$4,Исходн.данные.!F206=$CE$5),GQ206,GR206)</f>
        <v>19</v>
      </c>
      <c r="GQ206" s="55">
        <f>IF(Исходн.данные.!F206=$CE$1,28,IF(Исходн.данные.!F206=$CE$2,26,IF(Исходн.данные.!F206=$CE$3,24,IF(Исходн.данные.!F206=$CE$4,22,IF(Исходн.данные.!F206=$CE$5,20,GR206)))))</f>
        <v>19</v>
      </c>
      <c r="GR206" s="55">
        <f>IF(Исходн.данные.!F206=$CE$6,18,IF(Исходн.данные.!F206=$CE$7,16,IF(Исходн.данные.!F206=$CE$8,14,IF(Исходн.данные.!F206=$CE$9,13,IF(Исходн.данные.!F206=$CE$10,12,19)))))</f>
        <v>19</v>
      </c>
      <c r="GS206" s="55">
        <f>IF(Исходн.данные.!G206="Пес",0.035*(40+2*Исходн.данные.!H206),IF(Исходн.данные.!G206="Суп",0.0325*(40+2*Исходн.данные.!H206),0.03*(40+2*Исходн.данные.!H206)))</f>
        <v>1.2</v>
      </c>
      <c r="GT206" s="55">
        <f>IF(Исходн.данные.!H206&lt;23,2.6,IF(AND(Исходн.данные.!H206&gt;22,Исходн.данные.!H206&lt;26),3,IF(AND(Исходн.данные.!H206&gt;25,Исходн.данные.!H206&lt;29),3.4,3.6)))</f>
        <v>2.6</v>
      </c>
      <c r="GU206" s="55">
        <f>IF(Исходн.данные.!H206&lt;23,2.8,IF(AND(Исходн.данные.!H206&gt;22,Исходн.данные.!H206&lt;26),3.2,IF(AND(Исходн.данные.!H206&gt;25,Исходн.данные.!H206&lt;29),3.6,3.9)))</f>
        <v>2.8</v>
      </c>
      <c r="GV206" s="55">
        <f>IF(Исходн.данные.!H206&lt;23,3,IF(AND(Исходн.данные.!H206&gt;22,Исходн.данные.!H206&lt;26),3.5,IF(AND(Исходн.данные.!H206&gt;25,Исходн.данные.!H206&lt;29),3.9,4.2)))</f>
        <v>3</v>
      </c>
      <c r="GW206" s="55" t="e">
        <f>IF(Исходн.данные.!P206="Ум",GX206,GY206)</f>
        <v>#N/A</v>
      </c>
      <c r="GX206" s="55" t="e">
        <f>VLOOKUP(Исходн.данные.!AI206,Коэффициенты!$J$7:$L$13,2,FALSE)</f>
        <v>#N/A</v>
      </c>
      <c r="GY206" s="55" t="e">
        <f>VLOOKUP(Исходн.данные.!AI206,Коэффициенты!$J$7:$L$13,3,FALSE)</f>
        <v>#N/A</v>
      </c>
      <c r="GZ206" s="55" t="e">
        <f>(IF(Исходн.данные.!M206&lt;50,0.11*VLOOKUP(Исходн.данные.!AH206,Культуры.Информация,7,FALSE),IF(Исходн.данные.!M206&gt;250,0.05*VLOOKUP(Исходн.данные.!AH206,Культуры.Информация,7,FALSE),VLOOKUP(Исходн.данные.!AH206,Культуры.Информация,5,FALSE)/100*($GX$6+$GY$6*Исходн.данные.!M206))))*Расчет2!AI206</f>
        <v>#N/A</v>
      </c>
      <c r="HA206" s="211"/>
      <c r="HB206" s="211"/>
      <c r="HC206" s="55" t="e">
        <f>(IF(Исходн.данные.!O206&lt;80,0.2*VLOOKUP(Исходн.данные.!AH206,Культуры.Информация,8,FALSE),IF(Исходн.данные.!O206&gt;240,0.09*VLOOKUP(Исходн.данные.!AH206,Культуры.Информация,8,FALSE),VLOOKUP(Исходн.данные.!AH206,Культуры.Информация,6,FALSE)/100*($HB$6+$HC$6*Исходн.данные.!O206))))*Расчет2!AJ206</f>
        <v>#N/A</v>
      </c>
      <c r="HD206" s="55">
        <f>IF(Исходн.данные.!O206&gt;240,0.09,IF(Исходн.данные.!O206&lt;30,0.3,$HE$10+$HD$10*Исходн.данные.!O206))</f>
        <v>0.3</v>
      </c>
      <c r="HE206" s="55">
        <f>IF(Исходн.данные.!O206&gt;240,0.17,IF(Исходн.данные.!O206&lt;30,0.5,$HF$12+$HE$12*Исходн.данные.!O206))</f>
        <v>0.5</v>
      </c>
      <c r="HF206" s="55" t="e">
        <f>VLOOKUP(Исходн.данные.!AH206,Справ!$A$3:$D$58,2,FALSE)</f>
        <v>#N/A</v>
      </c>
      <c r="HG206" s="55" t="e">
        <f>VLOOKUP(Исходн.данные.!AH206,Справ!$A$3:$D$58,3,FALSE)</f>
        <v>#N/A</v>
      </c>
      <c r="HH206" s="55" t="e">
        <f>VLOOKUP(Исходн.данные.!AH206,Справ!$A$3:$D$58,4,FALSE)</f>
        <v>#N/A</v>
      </c>
      <c r="HI206" s="11" t="e">
        <f t="shared" si="265"/>
        <v>#N/A</v>
      </c>
      <c r="HJ206" s="11" t="e">
        <f t="shared" si="266"/>
        <v>#N/A</v>
      </c>
      <c r="HK206" s="11" t="e">
        <f t="shared" si="267"/>
        <v>#N/A</v>
      </c>
      <c r="HL206" s="55">
        <f>IF(OR(Исходн.данные.!G206="Глин",Исходн.данные.!G206="Т_суг"),1.1,IF(Исходн.данные.!G206="Ср_суг",1,1))</f>
        <v>1</v>
      </c>
      <c r="HM206" s="55">
        <f>IF(OR(Исходн.данные.!G206="Глин",Исходн.данные.!G206="Т_суг"),0.9,IF(Исходн.данные.!G206="Ср_суг",1,1.2))</f>
        <v>1.2</v>
      </c>
      <c r="HN206" s="11" t="e">
        <f t="shared" si="268"/>
        <v>#N/A</v>
      </c>
      <c r="HO206" s="11" t="e">
        <f t="shared" si="269"/>
        <v>#N/A</v>
      </c>
      <c r="HP206" s="11" t="e">
        <f t="shared" si="270"/>
        <v>#N/A</v>
      </c>
      <c r="HQ206" t="e">
        <f t="shared" si="271"/>
        <v>#N/A</v>
      </c>
      <c r="HR206" t="e">
        <f t="shared" si="272"/>
        <v>#N/A</v>
      </c>
      <c r="HS206" t="e">
        <f t="shared" si="273"/>
        <v>#N/A</v>
      </c>
      <c r="HT206" t="e">
        <f t="shared" si="219"/>
        <v>#N/A</v>
      </c>
      <c r="HU206" t="e">
        <f t="shared" si="220"/>
        <v>#N/A</v>
      </c>
      <c r="HV206" t="e">
        <f t="shared" si="221"/>
        <v>#N/A</v>
      </c>
      <c r="HW206" t="e">
        <f t="shared" si="222"/>
        <v>#N/A</v>
      </c>
      <c r="HX206" t="e">
        <f t="shared" si="223"/>
        <v>#N/A</v>
      </c>
      <c r="HY206" t="e">
        <f t="shared" si="224"/>
        <v>#N/A</v>
      </c>
      <c r="HZ206" s="55">
        <f>IF(OR(Исходн.данные.!AI206="Оз_Ч_П",Исходн.данные.!AI206="Оз_З_П",Исходн.данные.!AI206="Яр_зер"),12,30)</f>
        <v>30</v>
      </c>
      <c r="IA206" t="e">
        <f t="shared" si="274"/>
        <v>#N/A</v>
      </c>
      <c r="IB206" t="e">
        <f t="shared" si="275"/>
        <v>#N/A</v>
      </c>
      <c r="IC206" t="e">
        <f t="shared" si="276"/>
        <v>#N/A</v>
      </c>
      <c r="ID206" s="11" t="e">
        <f t="shared" si="277"/>
        <v>#N/A</v>
      </c>
      <c r="IE206" s="11" t="e">
        <f t="shared" si="278"/>
        <v>#N/A</v>
      </c>
      <c r="IF206" s="11" t="e">
        <f t="shared" si="279"/>
        <v>#N/A</v>
      </c>
    </row>
    <row r="207" spans="35:240" x14ac:dyDescent="0.2">
      <c r="AI207">
        <f>IF(Исходн.данные.!I207&gt;6,1,1.85-(0.148*Исходн.данные.!I207))</f>
        <v>1.85</v>
      </c>
      <c r="AJ207">
        <f>IF(Исходн.данные.!I207&gt;6,1,2.434-(0.246*Исходн.данные.!I207))</f>
        <v>2.4340000000000002</v>
      </c>
      <c r="AL207" s="148" t="b">
        <f>IF(Исходн.данные.!$P207="Ум",N_OrgUd_2g_um,IF(Исходн.данные.!$P207="Об",N_OrgUd_2g_ob))</f>
        <v>0</v>
      </c>
      <c r="AM207" s="148" t="b">
        <f>IF(Исходн.данные.!$P207="Ум",P_OrgUd_2g_um,IF(Исходн.данные.!$P207="Об",P_OrgUd_2g_ob))</f>
        <v>0</v>
      </c>
      <c r="AN207" s="148" t="b">
        <f>IF(Исходн.данные.!$P207="Ум",K_OrgUd_2g_um,IF(Исходн.данные.!$P207="Об",K_OrgUd_2g_ob))</f>
        <v>0</v>
      </c>
      <c r="AO207" s="148" t="b">
        <f>IF(Исходн.данные.!$P207="Ум",N_OrgUd_1g_um,IF(Исходн.данные.!$P207="Об",N_OrgUd_1g_ob))</f>
        <v>0</v>
      </c>
      <c r="AP207" s="148" t="b">
        <f>IF(Исходн.данные.!$P207="Ум",P_OrgUd_1g_um,IF(Исходн.данные.!$P207="Об",P_OrgUd_1g_ob))</f>
        <v>0</v>
      </c>
      <c r="AQ207" s="148" t="b">
        <f>IF(Исходн.данные.!$P207="Ум",K_OrgUd_1g_um,IF(Исходн.данные.!$P207="Об",K_OrgUd_1g_ob))</f>
        <v>0</v>
      </c>
      <c r="AR207" t="b">
        <f>IF(Исходн.данные.!$P207="Ум",N_MinUd_2g_um,IF(Исходн.данные.!$P207="Об",N_MinUd_2g_ob))</f>
        <v>0</v>
      </c>
      <c r="AS207" t="b">
        <f>IF(Исходн.данные.!$P207="Ум",P_MinUd_2g_um,IF(Исходн.данные.!$P207="Об",P_MinUd_2g_ob))</f>
        <v>0</v>
      </c>
      <c r="AT207" t="b">
        <f>IF(Исходн.данные.!$P207="Ум",K_MinUd_2g_um,IF(Исходн.данные.!$P207="Об",K_MinUd_2g_ob))</f>
        <v>0</v>
      </c>
      <c r="AU207" t="b">
        <f>IF(Исходн.данные.!$P207="Ум",N_MinUd_1g_um,IF(Исходн.данные.!$P207="Об",N_MinUd_1g_ob))</f>
        <v>0</v>
      </c>
      <c r="AV207" t="b">
        <f>IF(Исходн.данные.!P207="Ум",P_MinUd_1g_um,IF(Исходн.данные.!P207="Об",P_MinUd_1g_ob))</f>
        <v>0</v>
      </c>
      <c r="AW207" t="b">
        <f>IF(Исходн.данные.!P207="Ум",K_MinUd_1g_um,IF(Исходн.данные.!P207="Об",K_MinUd_1g_ob))</f>
        <v>0</v>
      </c>
      <c r="AY207" t="e">
        <f>VLOOKUP(Исходн.данные.!T207,Справ!$A$3:$N$57,12)</f>
        <v>#N/A</v>
      </c>
      <c r="AZ207" t="e">
        <f>VLOOKUP(Исходн.данные.!T207,Справ!$A$3:$N$57,13)</f>
        <v>#N/A</v>
      </c>
      <c r="BA207" t="e">
        <f>VLOOKUP(Исходн.данные.!T207,Справ!$A$3:$N$57,14)</f>
        <v>#N/A</v>
      </c>
      <c r="BB207">
        <f>IF(Исходн.данные.!AH207=0,0,25)</f>
        <v>0</v>
      </c>
      <c r="BC207" s="141">
        <f>IF(Исходн.данные.!AH207=0,0,IF(Исходн.данные.!T207=0,25,BD207))</f>
        <v>0</v>
      </c>
      <c r="BD207" s="168" t="e">
        <f>AY207+AZ207*Исходн.данные.!U207-POWER(BA207,2)*Исходн.данные.!U207</f>
        <v>#N/A</v>
      </c>
      <c r="BE20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7" s="25">
        <f>IF(Исходн.данные.!AH207=0,0,MIN(HN207:HP207))</f>
        <v>0</v>
      </c>
      <c r="BG207" s="9">
        <f>IF(Исходн.данные.!AH207=0,0,IF((HO207+10*0.25/HG207/HL207)&lt;17,17,HO207+10*0.25/HG207/HL207))</f>
        <v>0</v>
      </c>
      <c r="BH207" s="181">
        <f>IF(Исходн.данные.!AH207=0,0,HW207*HF207*HL207/AU207*AI207+Исходн.данные.!S207*10)</f>
        <v>0</v>
      </c>
      <c r="BI207" s="10"/>
      <c r="BJ207" s="182">
        <f>IF(Исходн.данные.!AH207=0,0,IF(HX207*HG207*HL207/AV207&lt;0,0,HX207*HG207*HL207/AV207*AJ207))</f>
        <v>0</v>
      </c>
      <c r="BK207" s="182">
        <f>IF(Исходн.данные.!AH207=0,0,HY207*HH207*HM207/AW207)</f>
        <v>0</v>
      </c>
      <c r="BL207" s="10">
        <f>IF(OR(Исходн.данные.!$AH207=$BP$1,Исходн.данные.!$AH207=$BP$2),0,IF(BH207&lt;0,0,IF(OR(Исходн.данные.!T207=Расчет!$BP$1,Исходн.данные.!T207=Расчет!$BP$2,Исходн.данные.!T207=Расчет!$BT$5,Исходн.данные.!T207=Расчет!$BT$6),BH207*0.5,IF(OR(Исходн.данные.!T207=Расчет!$BS$9,Исходн.данные.!T207=Расчет!$BS$10,Исходн.данные.!T207=Расчет!$BS$11,Исходн.данные.!T207=Расчет!$BS$12,Исходн.данные.!T207=Расчет!$BP$5),BH207*0.8,BH207))))</f>
        <v>0</v>
      </c>
      <c r="BM207" s="10">
        <f>IF(OR(Исходн.данные.!$AH207=$BP$1,Исходн.данные.!$AH207=$BP$2),0,IF(BJ207&lt;0,0,IF(Исходн.данные.!I207&lt;4.5,BJ207*1.2,IF(Исходн.данные.!I207&gt;5.1,BJ207,BJ207*((5.1-Исходн.данные.!I207)*0.333+1)))))</f>
        <v>0</v>
      </c>
      <c r="BN207" s="10">
        <f>IF(OR(Исходн.данные.!$AH207=$BP$1,Исходн.данные.!$AH207=$BP$2),60-Исходн.данные.!AF207,IF(BK207&lt;0,0,IF(Исходн.данные.!I207&lt;4.5,BK207*1.2,IF(Исходн.данные.!I207&gt;5.1,BK207,BK207*((5.1-Исходн.данные.!I207)*0.333+1)))))</f>
        <v>0</v>
      </c>
      <c r="BO207" s="9">
        <f>IF(BL207&lt;0,0,BL207*Исходн.данные.!$AJ207/1000)</f>
        <v>0</v>
      </c>
      <c r="BP207" s="9">
        <f>IF(BM207&lt;0,0,BM207*Исходн.данные.!$AJ207/1000)</f>
        <v>0</v>
      </c>
      <c r="BQ207" s="9">
        <f>IF(BN207&lt;0,0,BN207*Исходн.данные.!$AJ207/1000)</f>
        <v>0</v>
      </c>
      <c r="BR207" s="9">
        <f t="shared" si="229"/>
        <v>0</v>
      </c>
      <c r="BS207" s="10" t="str">
        <f t="shared" si="230"/>
        <v>Аммофос 12:52:00</v>
      </c>
      <c r="BT207" s="10" t="str">
        <f t="shared" si="231"/>
        <v>Аммофос 12:52:00</v>
      </c>
      <c r="BU207" s="10" t="str">
        <f t="shared" si="232"/>
        <v>Диаммофоска</v>
      </c>
      <c r="BV207" s="10">
        <f t="shared" si="233"/>
        <v>0</v>
      </c>
      <c r="BW207" s="10"/>
      <c r="BX207" s="10"/>
      <c r="BY207" s="9">
        <f>IF(BL207&lt;0,0,IF(OR(Исходн.данные.!AI207=Расчет!$BU$6,Исходн.данные.!AI207=Расчет!$BU$7),Расчет!BV207,IF(Исходн.данные.!$AG207=$BV$11,BL207,IF(OR(Исходн.данные.!$AH207=$BQ$7,Исходн.данные.!$AH207=$BQ$8),CB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0,IF(Исходн.данные.!$AI207=$BU$11,"Нет",IF(BL207&gt;30,30,BL207)))))))</f>
        <v>0</v>
      </c>
      <c r="BZ207" s="9">
        <f>IF(AND(Исходн.данные.!$AG207=$BV$11,BM207&lt;10),10,IF(Исходн.данные.!$AG207=$BV$11,BM207,IF(OR(Исходн.данные.!$AH207=$BQ$7,Исходн.данные.!$AH207=$BQ$8),CC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10,IF(Исходн.данные.!$AI207=$BU$11,"Нет",IF(BM207&gt;60,60,IF(BM207&lt;10,10,BM207)))))))</f>
        <v>10</v>
      </c>
      <c r="CA207" s="39">
        <f>IF(BN207&lt;0,0,IF(Исходн.данные.!$AG207=$BV$11,BN207,IF(OR(Исходн.данные.!$AH207=$BQ$7,Исходн.данные.!$AH207=$BQ$8),CD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0,IF(Исходн.данные.!$AI207=$BU$11,"Нет",IF(BN207&gt;30,30,BN207))))))</f>
        <v>0</v>
      </c>
      <c r="CB207" s="9">
        <f t="shared" si="234"/>
        <v>0</v>
      </c>
      <c r="CC207" s="9">
        <f t="shared" si="235"/>
        <v>0</v>
      </c>
      <c r="CD207" s="9">
        <f t="shared" si="236"/>
        <v>0</v>
      </c>
      <c r="CE207" s="12">
        <f t="shared" si="237"/>
        <v>10</v>
      </c>
      <c r="CF207" s="9">
        <f t="shared" si="238"/>
        <v>0</v>
      </c>
      <c r="CG207" s="9" t="s">
        <v>231</v>
      </c>
      <c r="CH207" s="132" t="str">
        <f>IF(Исходн.данные.!AP207=Расчет!$CI$16,"Нет",IF(Исходн.данные.!AL207&gt;0,Исходн.данные.!AL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BH$4,IF(OR(Исходн.данные.!AI207=Исходн.данные.!$AI$6,Исходн.данные.!AI207=Исходн.данные.!$AI$7),Расчет!BS207,IF(AND($CF207=0,$CE207&gt;0),EV207,ER207)))))</f>
        <v>Аммофос 12:52:00</v>
      </c>
      <c r="CI207" s="274">
        <f>IF(Расчет!$CH207="Нет","Нет",IF(Исходн.данные.!$AL207&gt;0,VLOOKUP(Расчет!$CH207,АшламаДВ_Irekle,2,FALSE),VLOOKUP(Расчет!$CH207,АшламаДВ_Gomumy,2,FALSE)))</f>
        <v>0.12</v>
      </c>
      <c r="CJ207" s="274">
        <f>IF(Расчет!$CH207="Нет","Нет",IF(Исходн.данные.!$AL207&gt;0,VLOOKUP(Расчет!$CH207,АшламаДВ_Irekle,3,FALSE),VLOOKUP(Расчет!$CH207,АшламаДВ_Gomumy,3,FALSE)))</f>
        <v>0.52</v>
      </c>
      <c r="CK207" s="274">
        <f>IF(Расчет!$CH207="Нет","Нет",IF(Исходн.данные.!$AL207&gt;0,VLOOKUP(Расчет!$CH207,АшламаДВ_Irekle,4,FALSE),VLOOKUP(Расчет!$CH207,АшламаДВ_Gomumy,4,FALSE)))</f>
        <v>0</v>
      </c>
      <c r="CL207" s="70"/>
      <c r="CM207" s="70"/>
      <c r="CN207" s="70"/>
      <c r="CO207" s="70"/>
      <c r="CP207" s="70"/>
      <c r="CQ207" s="70"/>
      <c r="CR207" s="10">
        <f t="shared" si="239"/>
        <v>0</v>
      </c>
      <c r="CS207" s="10">
        <f t="shared" si="240"/>
        <v>19.23076923076923</v>
      </c>
      <c r="CT207" s="10">
        <f t="shared" si="241"/>
        <v>0</v>
      </c>
      <c r="CU207" s="39">
        <f>IF($CH207="Нет",0,IF(CI207=0,30/MIN(CJ207:CK207),IF(Исходн.данные.!$AG207=$BV$11,CR207,IF(OR(Исходн.данные.!$AH207=$BQ$7,Исходн.данные.!$AH207=$BQ$8),90/CI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0,IF(Исходн.данные.!$AI207=$BU$11,"Нет",30/CI207))))))</f>
        <v>250</v>
      </c>
      <c r="CV207" s="39">
        <f>IF($CH207="Нет",0,IF(Исходн.данные.!AH207=0,0,IF(CJ207=0,60/MIN(CI207,CK207),IF(Исходн.данные.!$AG207=$BV$11,CS207,IF(OR(Исходн.данные.!$AH207=$BQ$7,Исходн.данные.!$AH207=$BQ$8),90/CJ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10/CJ207,IF(Исходн.данные.!$AI207=$BU$11,"Нет",60/CJ207)))))))</f>
        <v>0</v>
      </c>
      <c r="CW207" s="39">
        <f>IF($CH207="Нет",0,IF(Исходн.данные.!AH207=0,0,IF(CK207=0,30/MIN(CI207:CJ207),IF(Исходн.данные.!$AG207=$BV$11,CT207,IF(OR(Исходн.данные.!$AH207=$BQ$7,Исходн.данные.!$AH207=$BQ$8),90/CK207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0,IF(Исходн.данные.!$AI207=$BU$11,"Нет",30/CK207)))))))</f>
        <v>0</v>
      </c>
      <c r="CX207" s="133">
        <f>IF(Исходн.данные.!$AG207=$BV$11,MAX(CU207:CW207),IF(OR(Исходн.данные.!$AH207=$BS$8,Исходн.данные.!$AH207=$BQ$9,Исходн.данные.!$AH207=$BQ$10,Исходн.данные.!$AH207=$BQ$11,Исходн.данные.!$AH207=$BQ$12,Исходн.данные.!$AH207=$BP$3,Исходн.данные.!$AH207=$BT$8,$FM207="Да"),CV207,MIN(CU207:CW207)))</f>
        <v>0</v>
      </c>
      <c r="CY207" s="133">
        <f>IF(Исходн.данные.!AH207=0,0,IF(CR207&gt;$CX207,$CX207,CR207))</f>
        <v>0</v>
      </c>
      <c r="CZ207" s="133">
        <f>IF(Исходн.данные.!AH207=0,0,IF(CS207&gt;$CX207,$CX207,CS207))</f>
        <v>0</v>
      </c>
      <c r="DA207" s="133">
        <f>IF(Исходн.данные.!AH207=0,0,IF(CT207&gt;$CX207,$CX207,CT207))</f>
        <v>0</v>
      </c>
      <c r="DB207" s="10">
        <f t="shared" si="242"/>
        <v>0</v>
      </c>
      <c r="DC207" s="39">
        <f>DB207*Исходн.данные.!AJ207/1000</f>
        <v>0</v>
      </c>
      <c r="DD207" s="71">
        <f t="shared" si="243"/>
        <v>0</v>
      </c>
      <c r="DE207" s="9">
        <f t="shared" si="244"/>
        <v>0</v>
      </c>
      <c r="DF207" s="9">
        <f t="shared" si="245"/>
        <v>0</v>
      </c>
      <c r="DG207" s="39">
        <f>IF(BL207&lt;0,0,IF($CH207="Нет",BL207,IF(OR(Исходн.данные.!$AH207=$BP$1,Исходн.данные.!$AH207=$BP$2),0,IF(Исходн.данные.!AI207=$BU$11,BL207,IF(BL207-DD207&lt;0,0,BL207-DD207)))))</f>
        <v>0</v>
      </c>
      <c r="DH207" s="39">
        <f>IF(BM207&lt;0,0,IF($CH207="Нет",BM207,IF(OR(Исходн.данные.!$AH207=$BP$1,Исходн.данные.!$AH207=$BP$2),0,IF(Исходн.данные.!AJ207=$BU$11,BM207,IF(BM207-DE207&lt;0,0,BM207-DE207)))))</f>
        <v>0</v>
      </c>
      <c r="DI207" s="39">
        <f>IF(BN207&lt;0,0,IF($CH207="Нет",BN207,IF(OR(Исходн.данные.!$AH207=$BP$1,Исходн.данные.!$AH207=$BP$2),0,IF(Исходн.данные.!AK207=$BU$11,BN207,IF(BN207-DF207&lt;0,0,BN207-DF207)))))</f>
        <v>0</v>
      </c>
      <c r="DJ207" s="12">
        <f t="shared" si="246"/>
        <v>0</v>
      </c>
      <c r="DK207" s="9">
        <f t="shared" si="247"/>
        <v>0</v>
      </c>
      <c r="DL207" s="39">
        <f>IF(Исходн.данные.!AM207&gt;0,Исходн.данные.!AM207,IF(EG207&gt;0,$BH$10,0))</f>
        <v>0</v>
      </c>
      <c r="DM207" s="186">
        <f>IF($DL207=0,0,IF(Исходн.данные.!AM207&gt;0,VLOOKUP($DL207,АшламаДВ_Irekle,2,FALSE),VLOOKUP($DL207,АшламаДВ_Gomumy,2,FALSE)))</f>
        <v>0</v>
      </c>
      <c r="DN207" s="10">
        <f t="shared" si="225"/>
        <v>0</v>
      </c>
      <c r="DO207" s="9" t="str">
        <f>IF(Исходн.данные.!AN207&gt;0,Исходн.данные.!AN207,Удобрения!$B$37 )</f>
        <v>Хлор.калий</v>
      </c>
      <c r="DP207" s="9">
        <f>IF(Исходн.данные.!AN207&gt;0,VLOOKUP(Исходн.данные.!AN207,АшламаДВ_Irekle,4,FALSE),VLOOKUP(DO207,АшламаДВ_Gomumy,4,FALSE))</f>
        <v>0.6</v>
      </c>
      <c r="DQ207" s="10">
        <f t="shared" si="226"/>
        <v>0</v>
      </c>
      <c r="DR207" s="132" t="str">
        <f>IF(Исходн.данные.!AO207&gt;0,Исходн.данные.!AO207,IF(DH207=0,BS$17,IF(AND($DK207=0,$DJ207&gt;0),EJ207,EN207)))</f>
        <v>Нет</v>
      </c>
      <c r="DS207" s="70" t="str">
        <f>IF($DR207="Нет","Нет",IF(Исходн.данные.!$AO207&gt;0,VLOOKUP($DR207,АшламаДВ_Irekle,2,FALSE),VLOOKUP($DR207,АшламаДВ_Gomumy,2,FALSE)))</f>
        <v>Нет</v>
      </c>
      <c r="DT207" s="70" t="str">
        <f>IF($DR207="Нет","Нет",IF(Исходн.данные.!$AO207&gt;0,VLOOKUP($DR207,АшламаДВ_Irekle,3,FALSE),VLOOKUP($DR207,АшламаДВ_Gomumy,3,FALSE)))</f>
        <v>Нет</v>
      </c>
      <c r="DU207" s="70" t="str">
        <f>IF($DR207="Нет","Нет",IF(Исходн.данные.!$AO207&gt;0,VLOOKUP($DR207,АшламаДВ_Irekle,4,FALSE),VLOOKUP($DR207,АшламаДВ_Gomumy,4,FALSE)))</f>
        <v>Нет</v>
      </c>
      <c r="DV207" s="70"/>
      <c r="DW207" s="70"/>
      <c r="DX207" s="70"/>
      <c r="DY207" s="10">
        <f t="shared" si="248"/>
        <v>0</v>
      </c>
      <c r="DZ207" s="10">
        <f t="shared" si="249"/>
        <v>0</v>
      </c>
      <c r="EA207" s="10">
        <f t="shared" si="250"/>
        <v>0</v>
      </c>
      <c r="EB207" s="10">
        <f t="shared" si="251"/>
        <v>0</v>
      </c>
      <c r="EC207" s="10">
        <f t="shared" si="252"/>
        <v>0</v>
      </c>
      <c r="ED207" s="10">
        <f t="shared" si="253"/>
        <v>0</v>
      </c>
      <c r="EE207" s="10">
        <f t="shared" si="254"/>
        <v>0</v>
      </c>
      <c r="EF207" s="39">
        <f>EB207*Исходн.данные.!AJ207/1000</f>
        <v>0</v>
      </c>
      <c r="EG207" s="9">
        <f t="shared" si="255"/>
        <v>0</v>
      </c>
      <c r="EH207" s="9">
        <f t="shared" si="256"/>
        <v>0</v>
      </c>
      <c r="EI207" s="39" t="e">
        <f t="shared" si="206"/>
        <v>#DIV/0!</v>
      </c>
      <c r="EJ207" s="9" t="str">
        <f t="shared" si="227"/>
        <v>Азопреципитат</v>
      </c>
      <c r="EK207" s="12">
        <f t="shared" si="207"/>
        <v>0.26</v>
      </c>
      <c r="EL207" s="12">
        <f t="shared" si="208"/>
        <v>0.13</v>
      </c>
      <c r="EM207" s="12">
        <f t="shared" si="209"/>
        <v>0</v>
      </c>
      <c r="EN207" s="12" t="str">
        <f t="shared" si="228"/>
        <v>Нет</v>
      </c>
      <c r="EO207" s="12">
        <f t="shared" si="210"/>
        <v>0</v>
      </c>
      <c r="EP207" s="12">
        <f t="shared" si="211"/>
        <v>0</v>
      </c>
      <c r="EQ207" s="12">
        <f t="shared" si="212"/>
        <v>0</v>
      </c>
      <c r="ER207" s="12" t="str">
        <f t="shared" si="257"/>
        <v>Диаммофоска</v>
      </c>
      <c r="ES207" s="12">
        <f t="shared" si="213"/>
        <v>0.1</v>
      </c>
      <c r="ET207" s="12">
        <f t="shared" si="214"/>
        <v>0.26</v>
      </c>
      <c r="EU207" s="12">
        <f t="shared" si="215"/>
        <v>0.26</v>
      </c>
      <c r="EV207" s="12" t="str">
        <f t="shared" si="258"/>
        <v>Аммофос 12:52:00</v>
      </c>
      <c r="EW207" s="12" t="str">
        <f t="shared" si="259"/>
        <v>Кемира Свекловичное-6</v>
      </c>
      <c r="EX207" s="12">
        <f t="shared" si="216"/>
        <v>0.16</v>
      </c>
      <c r="EY207" s="12">
        <f t="shared" si="217"/>
        <v>0.12</v>
      </c>
      <c r="EZ207" s="12">
        <f t="shared" si="218"/>
        <v>0.17</v>
      </c>
      <c r="FA207" s="38" t="e">
        <f>IF(AND(OR(FJ207=$FD$1,FM207=$FD$1,FO207=$FD$1,FQ207=$FD$1,FS207=$FD$1),FD207=$FD$1,Исходн.данные.!J207&lt;2,FU207=$FD$1),"Бор,Кобальт",IF(AND(FO207=$FD$1,FH207=$FD$1,Исходн.данные.!J207&lt;2,FU207=$FD$1),"Бор,Кобальт",IF(AND(OR(FJ207=$FD$1,FM207=$FD$1,FQ207=$FD$1),FE207=$FD$1,Исходн.данные.!J207&lt;2,FT207=$FD$1,FU207=$FD$1),"Бор,Медь,Цинк",IF(AND(OR(FJ207=$FD$1,FR207="Да"),FI207="Да",Исходн.данные.!J207&lt;2,FT207="Да",FU207="Да"),"Бор,Цинк,Медь",IF(AND(OR(FM207="Да",FQ207="Да"),FI207="Да",Исходн.данные.!J207&lt;2,FT207="Да",FU207="Да"),"Бор,Цинк",IF(AND(FN207="Да",OR(FD207="Да",FE207="Да")),"Бор",FB207))))))</f>
        <v>#N/A</v>
      </c>
      <c r="FB207" s="134" t="e">
        <f>IF(AND(OR(FD207="Да",FE207="Да",FF207="Да",FG207="Да",FH207="Да"),FO207="Да"),"Бор",IF(AND(FP207="Да",OR(FD207="Да",FE207="Да",FI207="Да")),"Бор",IF(AND(FS207="Да",FE207="Да"),"Бор,Медь",IF(AND(OR(FJ207="Да",FK207="Да",FL207="Да"),FE207="Да",Исходн.данные.!I207&lt;5,FT207="Да",FU207="Да"),"Молибден,Цинк",IF(AND(FM207="Да",OR(FE207="Да",FF207="Да",FG207="Да",FH207="Да",FI207="Да")),"Молибден,Цинк",IF(AND(OR(FJ207="Да",FK207="Да",FL207="Да",FM207="Да",FQ207="Да"),OR(FE207="Да",FF207="Да"),FT207="Да",FU207="Да",Исходн.данные.!I207&gt;5.5),"Медь,Цинк",FC207))))))</f>
        <v>#N/A</v>
      </c>
      <c r="FC207" s="23" t="e">
        <f t="shared" si="260"/>
        <v>#N/A</v>
      </c>
      <c r="FD207" s="38" t="str">
        <f>IF(OR(Исходн.данные.!F207=$CC$1,Исходн.данные.!F207=$CC$2,Исходн.данные.!F207=$CC$3,Исходн.данные.!F207=$CC$4),"Да","Нет")</f>
        <v>Нет</v>
      </c>
      <c r="FE207" s="38" t="str">
        <f>IF(Исходн.данные.!F207=$CC$5,"Да","Нет")</f>
        <v>Нет</v>
      </c>
      <c r="FF207" s="38" t="str">
        <f>IF(OR(Исходн.данные.!F207=$CC$6,Исходн.данные.!F207=$CC$7),"Да","Нет")</f>
        <v>Нет</v>
      </c>
      <c r="FG207" s="38" t="str">
        <f>IF(OR(Исходн.данные.!F207=$CC$8,Исходн.данные.!F207=$CC$9),"Да","Нет")</f>
        <v>Нет</v>
      </c>
      <c r="FH207" s="38" t="str">
        <f>IF(Исходн.данные.!F207=$CC$10,"Да","Нет")</f>
        <v>Нет</v>
      </c>
      <c r="FI207" s="38" t="str">
        <f>IF(OR(Исходн.данные.!F207=$CC$11,Исходн.данные.!F207=$CC$12),"Да","Нет")</f>
        <v>Нет</v>
      </c>
      <c r="FJ207" s="38" t="str">
        <f>IF(OR(Исходн.данные.!AH207=$BS$1,Исходн.данные.!AH207=$BQ$11,Исходн.данные.!AH207=$BQ$12),"Да","Нет")</f>
        <v>Нет</v>
      </c>
      <c r="FK207" s="38" t="str">
        <f>IF(OR(Исходн.данные.!AH207=$BS$2,Исходн.данные.!AH207=$BS$4),"Да","Нет")</f>
        <v>Нет</v>
      </c>
      <c r="FL207" s="38" t="str">
        <f>IF(OR(Исходн.данные.!AH207=$BS$3,Исходн.данные.!AH207=$BS$5),"Да","Нет")</f>
        <v>Нет</v>
      </c>
      <c r="FM207" s="38" t="str">
        <f>IF(OR(Исходн.данные.!AH207=$BS$9,Исходн.данные.!AH207=$BS$10,Исходн.данные.!AH207=$BS$11,Исходн.данные.!AH207=$BS$12),"Да","Нет")</f>
        <v>Нет</v>
      </c>
      <c r="FN207" s="38" t="str">
        <f>IF(OR(Исходн.данные.!AH207=$BS$6,Исходн.данные.!AH207=$BP$3),"Да","Нет")</f>
        <v>Нет</v>
      </c>
      <c r="FO207" s="38" t="str">
        <f>IF(Исходн.данные.!AH207=$BQ$9,"Да","Нет")</f>
        <v>Нет</v>
      </c>
      <c r="FP207" s="38" t="str">
        <f>IF(OR(Исходн.данные.!AH207=$BS$8,Исходн.данные.!AH207=$BT$8),"Да","Нет")</f>
        <v>Нет</v>
      </c>
      <c r="FQ207" s="38" t="str">
        <f>IF(OR(Исходн.данные.!AH207=$BQ$7,Исходн.данные.!AH207=$BQ$8),"Да","Нет")</f>
        <v>Нет</v>
      </c>
      <c r="FR207" s="38" t="str">
        <f>IF(Исходн.данные.!AI207=$BU$9,"Да","Нет")</f>
        <v>Нет</v>
      </c>
      <c r="FS207" s="38" t="str">
        <f>IF(OR(Исходн.данные.!AH207=$BP$1,Исходн.данные.!AH207=$BP$2),"Да","Нет")</f>
        <v>Нет</v>
      </c>
      <c r="FT207" s="38" t="e">
        <f>IF((Исходн.данные.!K207*GO207*GS207*GW207+BL207*0.6+Исходн.данные.!Q207*4.5*0.275)&gt;90,"Да","Нет")</f>
        <v>#N/A</v>
      </c>
      <c r="FU207" s="38" t="e">
        <f>IF((Исходн.данные.!M207*GS207*GZ207+BM207*0.225)&gt;35,"Да","Нет")</f>
        <v>#N/A</v>
      </c>
      <c r="FV207" s="38" t="str">
        <f>IF(Исходн.данные.!O207&gt;175,"Да","Нет")</f>
        <v>Нет</v>
      </c>
      <c r="FW207" s="39" t="str">
        <f>IF(Исходн.данные.!I207&gt;5.5,"Да","Нет")</f>
        <v>Нет</v>
      </c>
      <c r="FX207" s="39" t="str">
        <f>IF(Исходн.данные.!J207&lt;2,"Да","Нет")</f>
        <v>Да</v>
      </c>
      <c r="FY207" s="39" t="e">
        <f>IF(HF207=$FY$16,0,Исходн.данные.!K207*GO207*GS207*GW207/HF207)</f>
        <v>#N/A</v>
      </c>
      <c r="FZ207" s="39" t="e">
        <f>Исходн.данные.!M207*GS207*GZ207/HG207</f>
        <v>#N/A</v>
      </c>
      <c r="GA207" s="39" t="e">
        <f>IF(K_Wyn=$FY$16,0,IF(Исходн.данные.!N207=Исходн.данные.!$L$10,Исходн.данные.!O207/1.1*GS207*HC207/HH207,IF(Исходн.данные.!N207=Исходн.данные.!$L$12,Исходн.данные.!O207/1.5*GS207*HC207/HH207,Исходн.данные.!O207*GS207*HC207/HH207)))</f>
        <v>#N/A</v>
      </c>
      <c r="GB207" s="39" t="e">
        <f>IF(HF207=$FY$16,0,((Исходн.данные.!Q207*N_Org+Исходн.данные.!R207*N_Sider+Исходн.данные.!S207*N_Soloma)*AO207+Расчет!BC207*VLOOKUP(Исходн.данные.!T207,Справ!$A$3:$O$57,15)*AO207+BB207*VLOOKUP(Исходн.данные.!T207,Справ!$A$3:$O$57,15)*AL207+(Исходн.данные.!V207*N_Rizotorf+Исходн.данные.!W207*N_Rizoagr))/HF207)</f>
        <v>#N/A</v>
      </c>
      <c r="GC207" s="39" t="e">
        <f>IF(HG207=$FY$16,0,((Исходн.данные.!Q207*Р_Org+Исходн.данные.!R207*P_Sider+Исходн.данные.!S207*P_Soloma)*AP207+Расчет!BC207*VLOOKUP(Исходн.данные.!T207,Справ!$A$3:$P$57,16)*AP207+BB207*VLOOKUP(Исходн.данные.!T207,Справ!$A$3:$P$57,16)*AM207)/HG207)</f>
        <v>#N/A</v>
      </c>
      <c r="GD207" s="39" t="e">
        <f>IF(HH207=$FY$16,0,((Исходн.данные.!Q207*К_Org+Исходн.данные.!R207*K_Sider+Исходн.данные.!S207*K_Soloma)*AQ207+Расчет!BC207*VLOOKUP(Исходн.данные.!T207,Справ!$A$3:$Q$57,17)*AQ207+BB207*VLOOKUP(Исходн.данные.!T207,Справ!$A$3:$Q$57,17)*AN207)/HH207)</f>
        <v>#N/A</v>
      </c>
      <c r="GE207" s="39" t="e">
        <f>IF(HF207=$FY$16,0,(Исходн.данные.!X207*AR207+Исходн.данные.!AA207*N_Org*AL207+Исходн.данные.!AB207*N_Sider*AL207+Исходн.данные.!AC207*N_Soloma*AL207)/HF207)</f>
        <v>#N/A</v>
      </c>
      <c r="GF207" s="39" t="e">
        <f>IF(HG207=$FY$16,0,(Исходн.данные.!Y207*AS207+Исходн.данные.!AA207*Р_Org*AM207+Исходн.данные.!AB207*P_Sider*AM207+Исходн.данные.!AC207*P_Soloma*AM207)/HG207)</f>
        <v>#N/A</v>
      </c>
      <c r="GG207" s="39" t="e">
        <f>IF(HH207=$FY$16,0,(Исходн.данные.!Z207*AT207+Исходн.данные.!AA207*К_Org*AN207+Исходн.данные.!AB207*K_Sider*AN207+Исходн.данные.!AC207*K_Soloma*AN207)/HH207)</f>
        <v>#N/A</v>
      </c>
      <c r="GH207" s="39" t="e">
        <f>Исходн.данные.!AD207*AU207/HF207</f>
        <v>#N/A</v>
      </c>
      <c r="GI207" s="39" t="e">
        <f>Исходн.данные.!AE207*AV207/HG207</f>
        <v>#N/A</v>
      </c>
      <c r="GJ207" s="39" t="e">
        <f>Исходн.данные.!AF207*AW207/HH207</f>
        <v>#N/A</v>
      </c>
      <c r="GK207" s="55">
        <f>Исходн.данные.!AK207</f>
        <v>0</v>
      </c>
      <c r="GL207" s="11" t="e">
        <f t="shared" si="261"/>
        <v>#N/A</v>
      </c>
      <c r="GM207" s="11" t="e">
        <f t="shared" si="262"/>
        <v>#N/A</v>
      </c>
      <c r="GN207" s="11" t="e">
        <f t="shared" si="263"/>
        <v>#N/A</v>
      </c>
      <c r="GO207" s="57">
        <f t="shared" si="264"/>
        <v>19</v>
      </c>
      <c r="GP207" s="55">
        <f>IF(OR(Исходн.данные.!F207=$CE$1,Исходн.данные.!F207=$CE$2,Исходн.данные.!F207=$CE$3,Исходн.данные.!F207=$CE$4,Исходн.данные.!F207=$CE$5),GQ207,GR207)</f>
        <v>19</v>
      </c>
      <c r="GQ207" s="55">
        <f>IF(Исходн.данные.!F207=$CE$1,28,IF(Исходн.данные.!F207=$CE$2,26,IF(Исходн.данные.!F207=$CE$3,24,IF(Исходн.данные.!F207=$CE$4,22,IF(Исходн.данные.!F207=$CE$5,20,GR207)))))</f>
        <v>19</v>
      </c>
      <c r="GR207" s="55">
        <f>IF(Исходн.данные.!F207=$CE$6,18,IF(Исходн.данные.!F207=$CE$7,16,IF(Исходн.данные.!F207=$CE$8,14,IF(Исходн.данные.!F207=$CE$9,13,IF(Исходн.данные.!F207=$CE$10,12,19)))))</f>
        <v>19</v>
      </c>
      <c r="GS207" s="55">
        <f>IF(Исходн.данные.!G207="Пес",0.035*(40+2*Исходн.данные.!H207),IF(Исходн.данные.!G207="Суп",0.0325*(40+2*Исходн.данные.!H207),0.03*(40+2*Исходн.данные.!H207)))</f>
        <v>1.2</v>
      </c>
      <c r="GT207" s="55">
        <f>IF(Исходн.данные.!H207&lt;23,2.6,IF(AND(Исходн.данные.!H207&gt;22,Исходн.данные.!H207&lt;26),3,IF(AND(Исходн.данные.!H207&gt;25,Исходн.данные.!H207&lt;29),3.4,3.6)))</f>
        <v>2.6</v>
      </c>
      <c r="GU207" s="55">
        <f>IF(Исходн.данные.!H207&lt;23,2.8,IF(AND(Исходн.данные.!H207&gt;22,Исходн.данные.!H207&lt;26),3.2,IF(AND(Исходн.данные.!H207&gt;25,Исходн.данные.!H207&lt;29),3.6,3.9)))</f>
        <v>2.8</v>
      </c>
      <c r="GV207" s="55">
        <f>IF(Исходн.данные.!H207&lt;23,3,IF(AND(Исходн.данные.!H207&gt;22,Исходн.данные.!H207&lt;26),3.5,IF(AND(Исходн.данные.!H207&gt;25,Исходн.данные.!H207&lt;29),3.9,4.2)))</f>
        <v>3</v>
      </c>
      <c r="GW207" s="55" t="e">
        <f>IF(Исходн.данные.!P207="Ум",GX207,GY207)</f>
        <v>#N/A</v>
      </c>
      <c r="GX207" s="55" t="e">
        <f>VLOOKUP(Исходн.данные.!AI207,Коэффициенты!$J$7:$L$13,2,FALSE)</f>
        <v>#N/A</v>
      </c>
      <c r="GY207" s="55" t="e">
        <f>VLOOKUP(Исходн.данные.!AI207,Коэффициенты!$J$7:$L$13,3,FALSE)</f>
        <v>#N/A</v>
      </c>
      <c r="GZ207" s="55" t="e">
        <f>(IF(Исходн.данные.!M207&lt;50,0.11*VLOOKUP(Исходн.данные.!AH207,Культуры.Информация,7,FALSE),IF(Исходн.данные.!M207&gt;250,0.05*VLOOKUP(Исходн.данные.!AH207,Культуры.Информация,7,FALSE),VLOOKUP(Исходн.данные.!AH207,Культуры.Информация,5,FALSE)/100*($GX$6+$GY$6*Исходн.данные.!M207))))*Расчет2!AI207</f>
        <v>#N/A</v>
      </c>
      <c r="HA207" s="211"/>
      <c r="HB207" s="211"/>
      <c r="HC207" s="55" t="e">
        <f>(IF(Исходн.данные.!O207&lt;80,0.2*VLOOKUP(Исходн.данные.!AH207,Культуры.Информация,8,FALSE),IF(Исходн.данные.!O207&gt;240,0.09*VLOOKUP(Исходн.данные.!AH207,Культуры.Информация,8,FALSE),VLOOKUP(Исходн.данные.!AH207,Культуры.Информация,6,FALSE)/100*($HB$6+$HC$6*Исходн.данные.!O207))))*Расчет2!AJ207</f>
        <v>#N/A</v>
      </c>
      <c r="HD207" s="55">
        <f>IF(Исходн.данные.!O207&gt;240,0.09,IF(Исходн.данные.!O207&lt;30,0.3,$HE$10+$HD$10*Исходн.данные.!O207))</f>
        <v>0.3</v>
      </c>
      <c r="HE207" s="55">
        <f>IF(Исходн.данные.!O207&gt;240,0.17,IF(Исходн.данные.!O207&lt;30,0.5,$HF$12+$HE$12*Исходн.данные.!O207))</f>
        <v>0.5</v>
      </c>
      <c r="HF207" s="55" t="e">
        <f>VLOOKUP(Исходн.данные.!AH207,Справ!$A$3:$D$58,2,FALSE)</f>
        <v>#N/A</v>
      </c>
      <c r="HG207" s="55" t="e">
        <f>VLOOKUP(Исходн.данные.!AH207,Справ!$A$3:$D$58,3,FALSE)</f>
        <v>#N/A</v>
      </c>
      <c r="HH207" s="55" t="e">
        <f>VLOOKUP(Исходн.данные.!AH207,Справ!$A$3:$D$58,4,FALSE)</f>
        <v>#N/A</v>
      </c>
      <c r="HI207" s="11" t="e">
        <f t="shared" si="265"/>
        <v>#N/A</v>
      </c>
      <c r="HJ207" s="11" t="e">
        <f t="shared" si="266"/>
        <v>#N/A</v>
      </c>
      <c r="HK207" s="11" t="e">
        <f t="shared" si="267"/>
        <v>#N/A</v>
      </c>
      <c r="HL207" s="55">
        <f>IF(OR(Исходн.данные.!G207="Глин",Исходн.данные.!G207="Т_суг"),1.1,IF(Исходн.данные.!G207="Ср_суг",1,1))</f>
        <v>1</v>
      </c>
      <c r="HM207" s="55">
        <f>IF(OR(Исходн.данные.!G207="Глин",Исходн.данные.!G207="Т_суг"),0.9,IF(Исходн.данные.!G207="Ср_суг",1,1.2))</f>
        <v>1.2</v>
      </c>
      <c r="HN207" s="11" t="e">
        <f t="shared" si="268"/>
        <v>#N/A</v>
      </c>
      <c r="HO207" s="11" t="e">
        <f t="shared" si="269"/>
        <v>#N/A</v>
      </c>
      <c r="HP207" s="11" t="e">
        <f t="shared" si="270"/>
        <v>#N/A</v>
      </c>
      <c r="HQ207" t="e">
        <f t="shared" si="271"/>
        <v>#N/A</v>
      </c>
      <c r="HR207" t="e">
        <f t="shared" si="272"/>
        <v>#N/A</v>
      </c>
      <c r="HS207" t="e">
        <f t="shared" si="273"/>
        <v>#N/A</v>
      </c>
      <c r="HT207" t="e">
        <f t="shared" si="219"/>
        <v>#N/A</v>
      </c>
      <c r="HU207" t="e">
        <f t="shared" si="220"/>
        <v>#N/A</v>
      </c>
      <c r="HV207" t="e">
        <f t="shared" si="221"/>
        <v>#N/A</v>
      </c>
      <c r="HW207" t="e">
        <f t="shared" si="222"/>
        <v>#N/A</v>
      </c>
      <c r="HX207" t="e">
        <f t="shared" si="223"/>
        <v>#N/A</v>
      </c>
      <c r="HY207" t="e">
        <f t="shared" si="224"/>
        <v>#N/A</v>
      </c>
      <c r="HZ207" s="55">
        <f>IF(OR(Исходн.данные.!AI207="Оз_Ч_П",Исходн.данные.!AI207="Оз_З_П",Исходн.данные.!AI207="Яр_зер"),12,30)</f>
        <v>30</v>
      </c>
      <c r="IA207" t="e">
        <f t="shared" si="274"/>
        <v>#N/A</v>
      </c>
      <c r="IB207" t="e">
        <f t="shared" si="275"/>
        <v>#N/A</v>
      </c>
      <c r="IC207" t="e">
        <f t="shared" si="276"/>
        <v>#N/A</v>
      </c>
      <c r="ID207" s="11" t="e">
        <f t="shared" si="277"/>
        <v>#N/A</v>
      </c>
      <c r="IE207" s="11" t="e">
        <f t="shared" si="278"/>
        <v>#N/A</v>
      </c>
      <c r="IF207" s="11" t="e">
        <f t="shared" si="279"/>
        <v>#N/A</v>
      </c>
    </row>
    <row r="208" spans="35:240" x14ac:dyDescent="0.2">
      <c r="AI208">
        <f>IF(Исходн.данные.!I208&gt;6,1,1.85-(0.148*Исходн.данные.!I208))</f>
        <v>1.85</v>
      </c>
      <c r="AJ208">
        <f>IF(Исходн.данные.!I208&gt;6,1,2.434-(0.246*Исходн.данные.!I208))</f>
        <v>2.4340000000000002</v>
      </c>
      <c r="AL208" s="148" t="b">
        <f>IF(Исходн.данные.!$P208="Ум",N_OrgUd_2g_um,IF(Исходн.данные.!$P208="Об",N_OrgUd_2g_ob))</f>
        <v>0</v>
      </c>
      <c r="AM208" s="148" t="b">
        <f>IF(Исходн.данные.!$P208="Ум",P_OrgUd_2g_um,IF(Исходн.данные.!$P208="Об",P_OrgUd_2g_ob))</f>
        <v>0</v>
      </c>
      <c r="AN208" s="148" t="b">
        <f>IF(Исходн.данные.!$P208="Ум",K_OrgUd_2g_um,IF(Исходн.данные.!$P208="Об",K_OrgUd_2g_ob))</f>
        <v>0</v>
      </c>
      <c r="AO208" s="148" t="b">
        <f>IF(Исходн.данные.!$P208="Ум",N_OrgUd_1g_um,IF(Исходн.данные.!$P208="Об",N_OrgUd_1g_ob))</f>
        <v>0</v>
      </c>
      <c r="AP208" s="148" t="b">
        <f>IF(Исходн.данные.!$P208="Ум",P_OrgUd_1g_um,IF(Исходн.данные.!$P208="Об",P_OrgUd_1g_ob))</f>
        <v>0</v>
      </c>
      <c r="AQ208" s="148" t="b">
        <f>IF(Исходн.данные.!$P208="Ум",K_OrgUd_1g_um,IF(Исходн.данные.!$P208="Об",K_OrgUd_1g_ob))</f>
        <v>0</v>
      </c>
      <c r="AR208" t="b">
        <f>IF(Исходн.данные.!$P208="Ум",N_MinUd_2g_um,IF(Исходн.данные.!$P208="Об",N_MinUd_2g_ob))</f>
        <v>0</v>
      </c>
      <c r="AS208" t="b">
        <f>IF(Исходн.данные.!$P208="Ум",P_MinUd_2g_um,IF(Исходн.данные.!$P208="Об",P_MinUd_2g_ob))</f>
        <v>0</v>
      </c>
      <c r="AT208" t="b">
        <f>IF(Исходн.данные.!$P208="Ум",K_MinUd_2g_um,IF(Исходн.данные.!$P208="Об",K_MinUd_2g_ob))</f>
        <v>0</v>
      </c>
      <c r="AU208" t="b">
        <f>IF(Исходн.данные.!$P208="Ум",N_MinUd_1g_um,IF(Исходн.данные.!$P208="Об",N_MinUd_1g_ob))</f>
        <v>0</v>
      </c>
      <c r="AV208" t="b">
        <f>IF(Исходн.данные.!P208="Ум",P_MinUd_1g_um,IF(Исходн.данные.!P208="Об",P_MinUd_1g_ob))</f>
        <v>0</v>
      </c>
      <c r="AW208" t="b">
        <f>IF(Исходн.данные.!P208="Ум",K_MinUd_1g_um,IF(Исходн.данные.!P208="Об",K_MinUd_1g_ob))</f>
        <v>0</v>
      </c>
      <c r="AY208" t="e">
        <f>VLOOKUP(Исходн.данные.!T208,Справ!$A$3:$N$57,12)</f>
        <v>#N/A</v>
      </c>
      <c r="AZ208" t="e">
        <f>VLOOKUP(Исходн.данные.!T208,Справ!$A$3:$N$57,13)</f>
        <v>#N/A</v>
      </c>
      <c r="BA208" t="e">
        <f>VLOOKUP(Исходн.данные.!T208,Справ!$A$3:$N$57,14)</f>
        <v>#N/A</v>
      </c>
      <c r="BB208">
        <f>IF(Исходн.данные.!AH208=0,0,25)</f>
        <v>0</v>
      </c>
      <c r="BC208" s="141">
        <f>IF(Исходн.данные.!AH208=0,0,IF(Исходн.данные.!T208=0,25,BD208))</f>
        <v>0</v>
      </c>
      <c r="BD208" s="168" t="e">
        <f>AY208+AZ208*Исходн.данные.!U208-POWER(BA208,2)*Исходн.данные.!U208</f>
        <v>#N/A</v>
      </c>
      <c r="BE20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8" s="25">
        <f>IF(Исходн.данные.!AH208=0,0,MIN(HN208:HP208))</f>
        <v>0</v>
      </c>
      <c r="BG208" s="9">
        <f>IF(Исходн.данные.!AH208=0,0,IF((HO208+10*0.25/HG208/HL208)&lt;17,17,HO208+10*0.25/HG208/HL208))</f>
        <v>0</v>
      </c>
      <c r="BH208" s="181">
        <f>IF(Исходн.данные.!AH208=0,0,HW208*HF208*HL208/AU208*AI208+Исходн.данные.!S208*10)</f>
        <v>0</v>
      </c>
      <c r="BI208" s="10"/>
      <c r="BJ208" s="182">
        <f>IF(Исходн.данные.!AH208=0,0,IF(HX208*HG208*HL208/AV208&lt;0,0,HX208*HG208*HL208/AV208*AJ208))</f>
        <v>0</v>
      </c>
      <c r="BK208" s="182">
        <f>IF(Исходн.данные.!AH208=0,0,HY208*HH208*HM208/AW208)</f>
        <v>0</v>
      </c>
      <c r="BL208" s="10">
        <f>IF(OR(Исходн.данные.!$AH208=$BP$1,Исходн.данные.!$AH208=$BP$2),0,IF(BH208&lt;0,0,IF(OR(Исходн.данные.!T208=Расчет!$BP$1,Исходн.данные.!T208=Расчет!$BP$2,Исходн.данные.!T208=Расчет!$BT$5,Исходн.данные.!T208=Расчет!$BT$6),BH208*0.5,IF(OR(Исходн.данные.!T208=Расчет!$BS$9,Исходн.данные.!T208=Расчет!$BS$10,Исходн.данные.!T208=Расчет!$BS$11,Исходн.данные.!T208=Расчет!$BS$12,Исходн.данные.!T208=Расчет!$BP$5),BH208*0.8,BH208))))</f>
        <v>0</v>
      </c>
      <c r="BM208" s="10">
        <f>IF(OR(Исходн.данные.!$AH208=$BP$1,Исходн.данные.!$AH208=$BP$2),0,IF(BJ208&lt;0,0,IF(Исходн.данные.!I208&lt;4.5,BJ208*1.2,IF(Исходн.данные.!I208&gt;5.1,BJ208,BJ208*((5.1-Исходн.данные.!I208)*0.333+1)))))</f>
        <v>0</v>
      </c>
      <c r="BN208" s="10">
        <f>IF(OR(Исходн.данные.!$AH208=$BP$1,Исходн.данные.!$AH208=$BP$2),60-Исходн.данные.!AF208,IF(BK208&lt;0,0,IF(Исходн.данные.!I208&lt;4.5,BK208*1.2,IF(Исходн.данные.!I208&gt;5.1,BK208,BK208*((5.1-Исходн.данные.!I208)*0.333+1)))))</f>
        <v>0</v>
      </c>
      <c r="BO208" s="9">
        <f>IF(BL208&lt;0,0,BL208*Исходн.данные.!$AJ208/1000)</f>
        <v>0</v>
      </c>
      <c r="BP208" s="9">
        <f>IF(BM208&lt;0,0,BM208*Исходн.данные.!$AJ208/1000)</f>
        <v>0</v>
      </c>
      <c r="BQ208" s="9">
        <f>IF(BN208&lt;0,0,BN208*Исходн.данные.!$AJ208/1000)</f>
        <v>0</v>
      </c>
      <c r="BR208" s="9">
        <f t="shared" si="229"/>
        <v>0</v>
      </c>
      <c r="BS208" s="10" t="str">
        <f t="shared" si="230"/>
        <v>Аммофос 12:52:00</v>
      </c>
      <c r="BT208" s="10" t="str">
        <f t="shared" si="231"/>
        <v>Аммофос 12:52:00</v>
      </c>
      <c r="BU208" s="10" t="str">
        <f t="shared" si="232"/>
        <v>Диаммофоска</v>
      </c>
      <c r="BV208" s="10">
        <f t="shared" si="233"/>
        <v>0</v>
      </c>
      <c r="BW208" s="10"/>
      <c r="BX208" s="10"/>
      <c r="BY208" s="9">
        <f>IF(BL208&lt;0,0,IF(OR(Исходн.данные.!AI208=Расчет!$BU$6,Исходн.данные.!AI208=Расчет!$BU$7),Расчет!BV208,IF(Исходн.данные.!$AG208=$BV$11,BL208,IF(OR(Исходн.данные.!$AH208=$BQ$7,Исходн.данные.!$AH208=$BQ$8),CB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0,IF(Исходн.данные.!$AI208=$BU$11,"Нет",IF(BL208&gt;30,30,BL208)))))))</f>
        <v>0</v>
      </c>
      <c r="BZ208" s="9">
        <f>IF(AND(Исходн.данные.!$AG208=$BV$11,BM208&lt;10),10,IF(Исходн.данные.!$AG208=$BV$11,BM208,IF(OR(Исходн.данные.!$AH208=$BQ$7,Исходн.данные.!$AH208=$BQ$8),CC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10,IF(Исходн.данные.!$AI208=$BU$11,"Нет",IF(BM208&gt;60,60,IF(BM208&lt;10,10,BM208)))))))</f>
        <v>10</v>
      </c>
      <c r="CA208" s="39">
        <f>IF(BN208&lt;0,0,IF(Исходн.данные.!$AG208=$BV$11,BN208,IF(OR(Исходн.данные.!$AH208=$BQ$7,Исходн.данные.!$AH208=$BQ$8),CD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0,IF(Исходн.данные.!$AI208=$BU$11,"Нет",IF(BN208&gt;30,30,BN208))))))</f>
        <v>0</v>
      </c>
      <c r="CB208" s="9">
        <f t="shared" si="234"/>
        <v>0</v>
      </c>
      <c r="CC208" s="9">
        <f t="shared" si="235"/>
        <v>0</v>
      </c>
      <c r="CD208" s="9">
        <f t="shared" si="236"/>
        <v>0</v>
      </c>
      <c r="CE208" s="12">
        <f t="shared" si="237"/>
        <v>10</v>
      </c>
      <c r="CF208" s="9">
        <f t="shared" si="238"/>
        <v>0</v>
      </c>
      <c r="CG208" s="9" t="s">
        <v>231</v>
      </c>
      <c r="CH208" s="132" t="str">
        <f>IF(Исходн.данные.!AP208=Расчет!$CI$16,"Нет",IF(Исходн.данные.!AL208&gt;0,Исходн.данные.!AL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BH$4,IF(OR(Исходн.данные.!AI208=Исходн.данные.!$AI$6,Исходн.данные.!AI208=Исходн.данные.!$AI$7),Расчет!BS208,IF(AND($CF208=0,$CE208&gt;0),EV208,ER208)))))</f>
        <v>Аммофос 12:52:00</v>
      </c>
      <c r="CI208" s="274">
        <f>IF(Расчет!$CH208="Нет","Нет",IF(Исходн.данные.!$AL208&gt;0,VLOOKUP(Расчет!$CH208,АшламаДВ_Irekle,2,FALSE),VLOOKUP(Расчет!$CH208,АшламаДВ_Gomumy,2,FALSE)))</f>
        <v>0.12</v>
      </c>
      <c r="CJ208" s="274">
        <f>IF(Расчет!$CH208="Нет","Нет",IF(Исходн.данные.!$AL208&gt;0,VLOOKUP(Расчет!$CH208,АшламаДВ_Irekle,3,FALSE),VLOOKUP(Расчет!$CH208,АшламаДВ_Gomumy,3,FALSE)))</f>
        <v>0.52</v>
      </c>
      <c r="CK208" s="274">
        <f>IF(Расчет!$CH208="Нет","Нет",IF(Исходн.данные.!$AL208&gt;0,VLOOKUP(Расчет!$CH208,АшламаДВ_Irekle,4,FALSE),VLOOKUP(Расчет!$CH208,АшламаДВ_Gomumy,4,FALSE)))</f>
        <v>0</v>
      </c>
      <c r="CL208" s="70"/>
      <c r="CM208" s="70"/>
      <c r="CN208" s="70"/>
      <c r="CO208" s="70"/>
      <c r="CP208" s="70"/>
      <c r="CQ208" s="70"/>
      <c r="CR208" s="10">
        <f t="shared" si="239"/>
        <v>0</v>
      </c>
      <c r="CS208" s="10">
        <f t="shared" si="240"/>
        <v>19.23076923076923</v>
      </c>
      <c r="CT208" s="10">
        <f t="shared" si="241"/>
        <v>0</v>
      </c>
      <c r="CU208" s="39">
        <f>IF($CH208="Нет",0,IF(CI208=0,30/MIN(CJ208:CK208),IF(Исходн.данные.!$AG208=$BV$11,CR208,IF(OR(Исходн.данные.!$AH208=$BQ$7,Исходн.данные.!$AH208=$BQ$8),90/CI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0,IF(Исходн.данные.!$AI208=$BU$11,"Нет",30/CI208))))))</f>
        <v>250</v>
      </c>
      <c r="CV208" s="39">
        <f>IF($CH208="Нет",0,IF(Исходн.данные.!AH208=0,0,IF(CJ208=0,60/MIN(CI208,CK208),IF(Исходн.данные.!$AG208=$BV$11,CS208,IF(OR(Исходн.данные.!$AH208=$BQ$7,Исходн.данные.!$AH208=$BQ$8),90/CJ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10/CJ208,IF(Исходн.данные.!$AI208=$BU$11,"Нет",60/CJ208)))))))</f>
        <v>0</v>
      </c>
      <c r="CW208" s="39">
        <f>IF($CH208="Нет",0,IF(Исходн.данные.!AH208=0,0,IF(CK208=0,30/MIN(CI208:CJ208),IF(Исходн.данные.!$AG208=$BV$11,CT208,IF(OR(Исходн.данные.!$AH208=$BQ$7,Исходн.данные.!$AH208=$BQ$8),90/CK208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0,IF(Исходн.данные.!$AI208=$BU$11,"Нет",30/CK208)))))))</f>
        <v>0</v>
      </c>
      <c r="CX208" s="133">
        <f>IF(Исходн.данные.!$AG208=$BV$11,MAX(CU208:CW208),IF(OR(Исходн.данные.!$AH208=$BS$8,Исходн.данные.!$AH208=$BQ$9,Исходн.данные.!$AH208=$BQ$10,Исходн.данные.!$AH208=$BQ$11,Исходн.данные.!$AH208=$BQ$12,Исходн.данные.!$AH208=$BP$3,Исходн.данные.!$AH208=$BT$8,$FM208="Да"),CV208,MIN(CU208:CW208)))</f>
        <v>0</v>
      </c>
      <c r="CY208" s="133">
        <f>IF(Исходн.данные.!AH208=0,0,IF(CR208&gt;$CX208,$CX208,CR208))</f>
        <v>0</v>
      </c>
      <c r="CZ208" s="133">
        <f>IF(Исходн.данные.!AH208=0,0,IF(CS208&gt;$CX208,$CX208,CS208))</f>
        <v>0</v>
      </c>
      <c r="DA208" s="133">
        <f>IF(Исходн.данные.!AH208=0,0,IF(CT208&gt;$CX208,$CX208,CT208))</f>
        <v>0</v>
      </c>
      <c r="DB208" s="10">
        <f t="shared" si="242"/>
        <v>0</v>
      </c>
      <c r="DC208" s="39">
        <f>DB208*Исходн.данные.!AJ208/1000</f>
        <v>0</v>
      </c>
      <c r="DD208" s="71">
        <f t="shared" si="243"/>
        <v>0</v>
      </c>
      <c r="DE208" s="9">
        <f t="shared" si="244"/>
        <v>0</v>
      </c>
      <c r="DF208" s="9">
        <f t="shared" si="245"/>
        <v>0</v>
      </c>
      <c r="DG208" s="39">
        <f>IF(BL208&lt;0,0,IF($CH208="Нет",BL208,IF(OR(Исходн.данные.!$AH208=$BP$1,Исходн.данные.!$AH208=$BP$2),0,IF(Исходн.данные.!AI208=$BU$11,BL208,IF(BL208-DD208&lt;0,0,BL208-DD208)))))</f>
        <v>0</v>
      </c>
      <c r="DH208" s="39">
        <f>IF(BM208&lt;0,0,IF($CH208="Нет",BM208,IF(OR(Исходн.данные.!$AH208=$BP$1,Исходн.данные.!$AH208=$BP$2),0,IF(Исходн.данные.!AJ208=$BU$11,BM208,IF(BM208-DE208&lt;0,0,BM208-DE208)))))</f>
        <v>0</v>
      </c>
      <c r="DI208" s="39">
        <f>IF(BN208&lt;0,0,IF($CH208="Нет",BN208,IF(OR(Исходн.данные.!$AH208=$BP$1,Исходн.данные.!$AH208=$BP$2),0,IF(Исходн.данные.!AK208=$BU$11,BN208,IF(BN208-DF208&lt;0,0,BN208-DF208)))))</f>
        <v>0</v>
      </c>
      <c r="DJ208" s="12">
        <f t="shared" si="246"/>
        <v>0</v>
      </c>
      <c r="DK208" s="9">
        <f t="shared" si="247"/>
        <v>0</v>
      </c>
      <c r="DL208" s="39">
        <f>IF(Исходн.данные.!AM208&gt;0,Исходн.данные.!AM208,IF(EG208&gt;0,$BH$10,0))</f>
        <v>0</v>
      </c>
      <c r="DM208" s="186">
        <f>IF($DL208=0,0,IF(Исходн.данные.!AM208&gt;0,VLOOKUP($DL208,АшламаДВ_Irekle,2,FALSE),VLOOKUP($DL208,АшламаДВ_Gomumy,2,FALSE)))</f>
        <v>0</v>
      </c>
      <c r="DN208" s="10">
        <f t="shared" si="225"/>
        <v>0</v>
      </c>
      <c r="DO208" s="9" t="str">
        <f>IF(Исходн.данные.!AN208&gt;0,Исходн.данные.!AN208,Удобрения!$B$37 )</f>
        <v>Хлор.калий</v>
      </c>
      <c r="DP208" s="9">
        <f>IF(Исходн.данные.!AN208&gt;0,VLOOKUP(Исходн.данные.!AN208,АшламаДВ_Irekle,4,FALSE),VLOOKUP(DO208,АшламаДВ_Gomumy,4,FALSE))</f>
        <v>0.6</v>
      </c>
      <c r="DQ208" s="10">
        <f t="shared" si="226"/>
        <v>0</v>
      </c>
      <c r="DR208" s="132" t="str">
        <f>IF(Исходн.данные.!AO208&gt;0,Исходн.данные.!AO208,IF(DH208=0,BS$17,IF(AND($DK208=0,$DJ208&gt;0),EJ208,EN208)))</f>
        <v>Нет</v>
      </c>
      <c r="DS208" s="70" t="str">
        <f>IF($DR208="Нет","Нет",IF(Исходн.данные.!$AO208&gt;0,VLOOKUP($DR208,АшламаДВ_Irekle,2,FALSE),VLOOKUP($DR208,АшламаДВ_Gomumy,2,FALSE)))</f>
        <v>Нет</v>
      </c>
      <c r="DT208" s="70" t="str">
        <f>IF($DR208="Нет","Нет",IF(Исходн.данные.!$AO208&gt;0,VLOOKUP($DR208,АшламаДВ_Irekle,3,FALSE),VLOOKUP($DR208,АшламаДВ_Gomumy,3,FALSE)))</f>
        <v>Нет</v>
      </c>
      <c r="DU208" s="70" t="str">
        <f>IF($DR208="Нет","Нет",IF(Исходн.данные.!$AO208&gt;0,VLOOKUP($DR208,АшламаДВ_Irekle,4,FALSE),VLOOKUP($DR208,АшламаДВ_Gomumy,4,FALSE)))</f>
        <v>Нет</v>
      </c>
      <c r="DV208" s="70"/>
      <c r="DW208" s="70"/>
      <c r="DX208" s="70"/>
      <c r="DY208" s="10">
        <f t="shared" si="248"/>
        <v>0</v>
      </c>
      <c r="DZ208" s="10">
        <f t="shared" si="249"/>
        <v>0</v>
      </c>
      <c r="EA208" s="10">
        <f t="shared" si="250"/>
        <v>0</v>
      </c>
      <c r="EB208" s="10">
        <f t="shared" si="251"/>
        <v>0</v>
      </c>
      <c r="EC208" s="10">
        <f t="shared" si="252"/>
        <v>0</v>
      </c>
      <c r="ED208" s="10">
        <f t="shared" si="253"/>
        <v>0</v>
      </c>
      <c r="EE208" s="10">
        <f t="shared" si="254"/>
        <v>0</v>
      </c>
      <c r="EF208" s="39">
        <f>EB208*Исходн.данные.!AJ208/1000</f>
        <v>0</v>
      </c>
      <c r="EG208" s="9">
        <f t="shared" si="255"/>
        <v>0</v>
      </c>
      <c r="EH208" s="9">
        <f t="shared" si="256"/>
        <v>0</v>
      </c>
      <c r="EI208" s="39" t="e">
        <f t="shared" si="206"/>
        <v>#DIV/0!</v>
      </c>
      <c r="EJ208" s="9" t="str">
        <f t="shared" si="227"/>
        <v>Азопреципитат</v>
      </c>
      <c r="EK208" s="12">
        <f t="shared" si="207"/>
        <v>0.26</v>
      </c>
      <c r="EL208" s="12">
        <f t="shared" si="208"/>
        <v>0.13</v>
      </c>
      <c r="EM208" s="12">
        <f t="shared" si="209"/>
        <v>0</v>
      </c>
      <c r="EN208" s="12" t="str">
        <f t="shared" si="228"/>
        <v>Нет</v>
      </c>
      <c r="EO208" s="12">
        <f t="shared" si="210"/>
        <v>0</v>
      </c>
      <c r="EP208" s="12">
        <f t="shared" si="211"/>
        <v>0</v>
      </c>
      <c r="EQ208" s="12">
        <f t="shared" si="212"/>
        <v>0</v>
      </c>
      <c r="ER208" s="12" t="str">
        <f t="shared" si="257"/>
        <v>Диаммофоска</v>
      </c>
      <c r="ES208" s="12">
        <f t="shared" si="213"/>
        <v>0.1</v>
      </c>
      <c r="ET208" s="12">
        <f t="shared" si="214"/>
        <v>0.26</v>
      </c>
      <c r="EU208" s="12">
        <f t="shared" si="215"/>
        <v>0.26</v>
      </c>
      <c r="EV208" s="12" t="str">
        <f t="shared" si="258"/>
        <v>Аммофос 12:52:00</v>
      </c>
      <c r="EW208" s="12" t="str">
        <f t="shared" si="259"/>
        <v>Кемира Свекловичное-6</v>
      </c>
      <c r="EX208" s="12">
        <f t="shared" si="216"/>
        <v>0.16</v>
      </c>
      <c r="EY208" s="12">
        <f t="shared" si="217"/>
        <v>0.12</v>
      </c>
      <c r="EZ208" s="12">
        <f t="shared" si="218"/>
        <v>0.17</v>
      </c>
      <c r="FA208" s="38" t="e">
        <f>IF(AND(OR(FJ208=$FD$1,FM208=$FD$1,FO208=$FD$1,FQ208=$FD$1,FS208=$FD$1),FD208=$FD$1,Исходн.данные.!J208&lt;2,FU208=$FD$1),"Бор,Кобальт",IF(AND(FO208=$FD$1,FH208=$FD$1,Исходн.данные.!J208&lt;2,FU208=$FD$1),"Бор,Кобальт",IF(AND(OR(FJ208=$FD$1,FM208=$FD$1,FQ208=$FD$1),FE208=$FD$1,Исходн.данные.!J208&lt;2,FT208=$FD$1,FU208=$FD$1),"Бор,Медь,Цинк",IF(AND(OR(FJ208=$FD$1,FR208="Да"),FI208="Да",Исходн.данные.!J208&lt;2,FT208="Да",FU208="Да"),"Бор,Цинк,Медь",IF(AND(OR(FM208="Да",FQ208="Да"),FI208="Да",Исходн.данные.!J208&lt;2,FT208="Да",FU208="Да"),"Бор,Цинк",IF(AND(FN208="Да",OR(FD208="Да",FE208="Да")),"Бор",FB208))))))</f>
        <v>#N/A</v>
      </c>
      <c r="FB208" s="134" t="e">
        <f>IF(AND(OR(FD208="Да",FE208="Да",FF208="Да",FG208="Да",FH208="Да"),FO208="Да"),"Бор",IF(AND(FP208="Да",OR(FD208="Да",FE208="Да",FI208="Да")),"Бор",IF(AND(FS208="Да",FE208="Да"),"Бор,Медь",IF(AND(OR(FJ208="Да",FK208="Да",FL208="Да"),FE208="Да",Исходн.данные.!I208&lt;5,FT208="Да",FU208="Да"),"Молибден,Цинк",IF(AND(FM208="Да",OR(FE208="Да",FF208="Да",FG208="Да",FH208="Да",FI208="Да")),"Молибден,Цинк",IF(AND(OR(FJ208="Да",FK208="Да",FL208="Да",FM208="Да",FQ208="Да"),OR(FE208="Да",FF208="Да"),FT208="Да",FU208="Да",Исходн.данные.!I208&gt;5.5),"Медь,Цинк",FC208))))))</f>
        <v>#N/A</v>
      </c>
      <c r="FC208" s="23" t="e">
        <f t="shared" si="260"/>
        <v>#N/A</v>
      </c>
      <c r="FD208" s="38" t="str">
        <f>IF(OR(Исходн.данные.!F208=$CC$1,Исходн.данные.!F208=$CC$2,Исходн.данные.!F208=$CC$3,Исходн.данные.!F208=$CC$4),"Да","Нет")</f>
        <v>Нет</v>
      </c>
      <c r="FE208" s="38" t="str">
        <f>IF(Исходн.данные.!F208=$CC$5,"Да","Нет")</f>
        <v>Нет</v>
      </c>
      <c r="FF208" s="38" t="str">
        <f>IF(OR(Исходн.данные.!F208=$CC$6,Исходн.данные.!F208=$CC$7),"Да","Нет")</f>
        <v>Нет</v>
      </c>
      <c r="FG208" s="38" t="str">
        <f>IF(OR(Исходн.данные.!F208=$CC$8,Исходн.данные.!F208=$CC$9),"Да","Нет")</f>
        <v>Нет</v>
      </c>
      <c r="FH208" s="38" t="str">
        <f>IF(Исходн.данные.!F208=$CC$10,"Да","Нет")</f>
        <v>Нет</v>
      </c>
      <c r="FI208" s="38" t="str">
        <f>IF(OR(Исходн.данные.!F208=$CC$11,Исходн.данные.!F208=$CC$12),"Да","Нет")</f>
        <v>Нет</v>
      </c>
      <c r="FJ208" s="38" t="str">
        <f>IF(OR(Исходн.данные.!AH208=$BS$1,Исходн.данные.!AH208=$BQ$11,Исходн.данные.!AH208=$BQ$12),"Да","Нет")</f>
        <v>Нет</v>
      </c>
      <c r="FK208" s="38" t="str">
        <f>IF(OR(Исходн.данные.!AH208=$BS$2,Исходн.данные.!AH208=$BS$4),"Да","Нет")</f>
        <v>Нет</v>
      </c>
      <c r="FL208" s="38" t="str">
        <f>IF(OR(Исходн.данные.!AH208=$BS$3,Исходн.данные.!AH208=$BS$5),"Да","Нет")</f>
        <v>Нет</v>
      </c>
      <c r="FM208" s="38" t="str">
        <f>IF(OR(Исходн.данные.!AH208=$BS$9,Исходн.данные.!AH208=$BS$10,Исходн.данные.!AH208=$BS$11,Исходн.данные.!AH208=$BS$12),"Да","Нет")</f>
        <v>Нет</v>
      </c>
      <c r="FN208" s="38" t="str">
        <f>IF(OR(Исходн.данные.!AH208=$BS$6,Исходн.данные.!AH208=$BP$3),"Да","Нет")</f>
        <v>Нет</v>
      </c>
      <c r="FO208" s="38" t="str">
        <f>IF(Исходн.данные.!AH208=$BQ$9,"Да","Нет")</f>
        <v>Нет</v>
      </c>
      <c r="FP208" s="38" t="str">
        <f>IF(OR(Исходн.данные.!AH208=$BS$8,Исходн.данные.!AH208=$BT$8),"Да","Нет")</f>
        <v>Нет</v>
      </c>
      <c r="FQ208" s="38" t="str">
        <f>IF(OR(Исходн.данные.!AH208=$BQ$7,Исходн.данные.!AH208=$BQ$8),"Да","Нет")</f>
        <v>Нет</v>
      </c>
      <c r="FR208" s="38" t="str">
        <f>IF(Исходн.данные.!AI208=$BU$9,"Да","Нет")</f>
        <v>Нет</v>
      </c>
      <c r="FS208" s="38" t="str">
        <f>IF(OR(Исходн.данные.!AH208=$BP$1,Исходн.данные.!AH208=$BP$2),"Да","Нет")</f>
        <v>Нет</v>
      </c>
      <c r="FT208" s="38" t="e">
        <f>IF((Исходн.данные.!K208*GO208*GS208*GW208+BL208*0.6+Исходн.данные.!Q208*4.5*0.275)&gt;90,"Да","Нет")</f>
        <v>#N/A</v>
      </c>
      <c r="FU208" s="38" t="e">
        <f>IF((Исходн.данные.!M208*GS208*GZ208+BM208*0.225)&gt;35,"Да","Нет")</f>
        <v>#N/A</v>
      </c>
      <c r="FV208" s="38" t="str">
        <f>IF(Исходн.данные.!O208&gt;175,"Да","Нет")</f>
        <v>Нет</v>
      </c>
      <c r="FW208" s="39" t="str">
        <f>IF(Исходн.данные.!I208&gt;5.5,"Да","Нет")</f>
        <v>Нет</v>
      </c>
      <c r="FX208" s="39" t="str">
        <f>IF(Исходн.данные.!J208&lt;2,"Да","Нет")</f>
        <v>Да</v>
      </c>
      <c r="FY208" s="39" t="e">
        <f>IF(HF208=$FY$16,0,Исходн.данные.!K208*GO208*GS208*GW208/HF208)</f>
        <v>#N/A</v>
      </c>
      <c r="FZ208" s="39" t="e">
        <f>Исходн.данные.!M208*GS208*GZ208/HG208</f>
        <v>#N/A</v>
      </c>
      <c r="GA208" s="39" t="e">
        <f>IF(K_Wyn=$FY$16,0,IF(Исходн.данные.!N208=Исходн.данные.!$L$10,Исходн.данные.!O208/1.1*GS208*HC208/HH208,IF(Исходн.данные.!N208=Исходн.данные.!$L$12,Исходн.данные.!O208/1.5*GS208*HC208/HH208,Исходн.данные.!O208*GS208*HC208/HH208)))</f>
        <v>#N/A</v>
      </c>
      <c r="GB208" s="39" t="e">
        <f>IF(HF208=$FY$16,0,((Исходн.данные.!Q208*N_Org+Исходн.данные.!R208*N_Sider+Исходн.данные.!S208*N_Soloma)*AO208+Расчет!BC208*VLOOKUP(Исходн.данные.!T208,Справ!$A$3:$O$57,15)*AO208+BB208*VLOOKUP(Исходн.данные.!T208,Справ!$A$3:$O$57,15)*AL208+(Исходн.данные.!V208*N_Rizotorf+Исходн.данные.!W208*N_Rizoagr))/HF208)</f>
        <v>#N/A</v>
      </c>
      <c r="GC208" s="39" t="e">
        <f>IF(HG208=$FY$16,0,((Исходн.данные.!Q208*Р_Org+Исходн.данные.!R208*P_Sider+Исходн.данные.!S208*P_Soloma)*AP208+Расчет!BC208*VLOOKUP(Исходн.данные.!T208,Справ!$A$3:$P$57,16)*AP208+BB208*VLOOKUP(Исходн.данные.!T208,Справ!$A$3:$P$57,16)*AM208)/HG208)</f>
        <v>#N/A</v>
      </c>
      <c r="GD208" s="39" t="e">
        <f>IF(HH208=$FY$16,0,((Исходн.данные.!Q208*К_Org+Исходн.данные.!R208*K_Sider+Исходн.данные.!S208*K_Soloma)*AQ208+Расчет!BC208*VLOOKUP(Исходн.данные.!T208,Справ!$A$3:$Q$57,17)*AQ208+BB208*VLOOKUP(Исходн.данные.!T208,Справ!$A$3:$Q$57,17)*AN208)/HH208)</f>
        <v>#N/A</v>
      </c>
      <c r="GE208" s="39" t="e">
        <f>IF(HF208=$FY$16,0,(Исходн.данные.!X208*AR208+Исходн.данные.!AA208*N_Org*AL208+Исходн.данные.!AB208*N_Sider*AL208+Исходн.данные.!AC208*N_Soloma*AL208)/HF208)</f>
        <v>#N/A</v>
      </c>
      <c r="GF208" s="39" t="e">
        <f>IF(HG208=$FY$16,0,(Исходн.данные.!Y208*AS208+Исходн.данные.!AA208*Р_Org*AM208+Исходн.данные.!AB208*P_Sider*AM208+Исходн.данные.!AC208*P_Soloma*AM208)/HG208)</f>
        <v>#N/A</v>
      </c>
      <c r="GG208" s="39" t="e">
        <f>IF(HH208=$FY$16,0,(Исходн.данные.!Z208*AT208+Исходн.данные.!AA208*К_Org*AN208+Исходн.данные.!AB208*K_Sider*AN208+Исходн.данные.!AC208*K_Soloma*AN208)/HH208)</f>
        <v>#N/A</v>
      </c>
      <c r="GH208" s="39" t="e">
        <f>Исходн.данные.!AD208*AU208/HF208</f>
        <v>#N/A</v>
      </c>
      <c r="GI208" s="39" t="e">
        <f>Исходн.данные.!AE208*AV208/HG208</f>
        <v>#N/A</v>
      </c>
      <c r="GJ208" s="39" t="e">
        <f>Исходн.данные.!AF208*AW208/HH208</f>
        <v>#N/A</v>
      </c>
      <c r="GK208" s="55">
        <f>Исходн.данные.!AK208</f>
        <v>0</v>
      </c>
      <c r="GL208" s="11" t="e">
        <f t="shared" si="261"/>
        <v>#N/A</v>
      </c>
      <c r="GM208" s="11" t="e">
        <f t="shared" si="262"/>
        <v>#N/A</v>
      </c>
      <c r="GN208" s="11" t="e">
        <f t="shared" si="263"/>
        <v>#N/A</v>
      </c>
      <c r="GO208" s="57">
        <f t="shared" si="264"/>
        <v>19</v>
      </c>
      <c r="GP208" s="55">
        <f>IF(OR(Исходн.данные.!F208=$CE$1,Исходн.данные.!F208=$CE$2,Исходн.данные.!F208=$CE$3,Исходн.данные.!F208=$CE$4,Исходн.данные.!F208=$CE$5),GQ208,GR208)</f>
        <v>19</v>
      </c>
      <c r="GQ208" s="55">
        <f>IF(Исходн.данные.!F208=$CE$1,28,IF(Исходн.данные.!F208=$CE$2,26,IF(Исходн.данные.!F208=$CE$3,24,IF(Исходн.данные.!F208=$CE$4,22,IF(Исходн.данные.!F208=$CE$5,20,GR208)))))</f>
        <v>19</v>
      </c>
      <c r="GR208" s="55">
        <f>IF(Исходн.данные.!F208=$CE$6,18,IF(Исходн.данные.!F208=$CE$7,16,IF(Исходн.данные.!F208=$CE$8,14,IF(Исходн.данные.!F208=$CE$9,13,IF(Исходн.данные.!F208=$CE$10,12,19)))))</f>
        <v>19</v>
      </c>
      <c r="GS208" s="55">
        <f>IF(Исходн.данные.!G208="Пес",0.035*(40+2*Исходн.данные.!H208),IF(Исходн.данные.!G208="Суп",0.0325*(40+2*Исходн.данные.!H208),0.03*(40+2*Исходн.данные.!H208)))</f>
        <v>1.2</v>
      </c>
      <c r="GT208" s="55">
        <f>IF(Исходн.данные.!H208&lt;23,2.6,IF(AND(Исходн.данные.!H208&gt;22,Исходн.данные.!H208&lt;26),3,IF(AND(Исходн.данные.!H208&gt;25,Исходн.данные.!H208&lt;29),3.4,3.6)))</f>
        <v>2.6</v>
      </c>
      <c r="GU208" s="55">
        <f>IF(Исходн.данные.!H208&lt;23,2.8,IF(AND(Исходн.данные.!H208&gt;22,Исходн.данные.!H208&lt;26),3.2,IF(AND(Исходн.данные.!H208&gt;25,Исходн.данные.!H208&lt;29),3.6,3.9)))</f>
        <v>2.8</v>
      </c>
      <c r="GV208" s="55">
        <f>IF(Исходн.данные.!H208&lt;23,3,IF(AND(Исходн.данные.!H208&gt;22,Исходн.данные.!H208&lt;26),3.5,IF(AND(Исходн.данные.!H208&gt;25,Исходн.данные.!H208&lt;29),3.9,4.2)))</f>
        <v>3</v>
      </c>
      <c r="GW208" s="55" t="e">
        <f>IF(Исходн.данные.!P208="Ум",GX208,GY208)</f>
        <v>#N/A</v>
      </c>
      <c r="GX208" s="55" t="e">
        <f>VLOOKUP(Исходн.данные.!AI208,Коэффициенты!$J$7:$L$13,2,FALSE)</f>
        <v>#N/A</v>
      </c>
      <c r="GY208" s="55" t="e">
        <f>VLOOKUP(Исходн.данные.!AI208,Коэффициенты!$J$7:$L$13,3,FALSE)</f>
        <v>#N/A</v>
      </c>
      <c r="GZ208" s="55" t="e">
        <f>(IF(Исходн.данные.!M208&lt;50,0.11*VLOOKUP(Исходн.данные.!AH208,Культуры.Информация,7,FALSE),IF(Исходн.данные.!M208&gt;250,0.05*VLOOKUP(Исходн.данные.!AH208,Культуры.Информация,7,FALSE),VLOOKUP(Исходн.данные.!AH208,Культуры.Информация,5,FALSE)/100*($GX$6+$GY$6*Исходн.данные.!M208))))*Расчет2!AI208</f>
        <v>#N/A</v>
      </c>
      <c r="HA208" s="211"/>
      <c r="HB208" s="211"/>
      <c r="HC208" s="55" t="e">
        <f>(IF(Исходн.данные.!O208&lt;80,0.2*VLOOKUP(Исходн.данные.!AH208,Культуры.Информация,8,FALSE),IF(Исходн.данные.!O208&gt;240,0.09*VLOOKUP(Исходн.данные.!AH208,Культуры.Информация,8,FALSE),VLOOKUP(Исходн.данные.!AH208,Культуры.Информация,6,FALSE)/100*($HB$6+$HC$6*Исходн.данные.!O208))))*Расчет2!AJ208</f>
        <v>#N/A</v>
      </c>
      <c r="HD208" s="55">
        <f>IF(Исходн.данные.!O208&gt;240,0.09,IF(Исходн.данные.!O208&lt;30,0.3,$HE$10+$HD$10*Исходн.данные.!O208))</f>
        <v>0.3</v>
      </c>
      <c r="HE208" s="55">
        <f>IF(Исходн.данные.!O208&gt;240,0.17,IF(Исходн.данные.!O208&lt;30,0.5,$HF$12+$HE$12*Исходн.данные.!O208))</f>
        <v>0.5</v>
      </c>
      <c r="HF208" s="55" t="e">
        <f>VLOOKUP(Исходн.данные.!AH208,Справ!$A$3:$D$58,2,FALSE)</f>
        <v>#N/A</v>
      </c>
      <c r="HG208" s="55" t="e">
        <f>VLOOKUP(Исходн.данные.!AH208,Справ!$A$3:$D$58,3,FALSE)</f>
        <v>#N/A</v>
      </c>
      <c r="HH208" s="55" t="e">
        <f>VLOOKUP(Исходн.данные.!AH208,Справ!$A$3:$D$58,4,FALSE)</f>
        <v>#N/A</v>
      </c>
      <c r="HI208" s="11" t="e">
        <f t="shared" si="265"/>
        <v>#N/A</v>
      </c>
      <c r="HJ208" s="11" t="e">
        <f t="shared" si="266"/>
        <v>#N/A</v>
      </c>
      <c r="HK208" s="11" t="e">
        <f t="shared" si="267"/>
        <v>#N/A</v>
      </c>
      <c r="HL208" s="55">
        <f>IF(OR(Исходн.данные.!G208="Глин",Исходн.данные.!G208="Т_суг"),1.1,IF(Исходн.данные.!G208="Ср_суг",1,1))</f>
        <v>1</v>
      </c>
      <c r="HM208" s="55">
        <f>IF(OR(Исходн.данные.!G208="Глин",Исходн.данные.!G208="Т_суг"),0.9,IF(Исходн.данные.!G208="Ср_суг",1,1.2))</f>
        <v>1.2</v>
      </c>
      <c r="HN208" s="11" t="e">
        <f t="shared" si="268"/>
        <v>#N/A</v>
      </c>
      <c r="HO208" s="11" t="e">
        <f t="shared" si="269"/>
        <v>#N/A</v>
      </c>
      <c r="HP208" s="11" t="e">
        <f t="shared" si="270"/>
        <v>#N/A</v>
      </c>
      <c r="HQ208" t="e">
        <f t="shared" si="271"/>
        <v>#N/A</v>
      </c>
      <c r="HR208" t="e">
        <f t="shared" si="272"/>
        <v>#N/A</v>
      </c>
      <c r="HS208" t="e">
        <f t="shared" si="273"/>
        <v>#N/A</v>
      </c>
      <c r="HT208" t="e">
        <f t="shared" si="219"/>
        <v>#N/A</v>
      </c>
      <c r="HU208" t="e">
        <f t="shared" si="220"/>
        <v>#N/A</v>
      </c>
      <c r="HV208" t="e">
        <f t="shared" si="221"/>
        <v>#N/A</v>
      </c>
      <c r="HW208" t="e">
        <f t="shared" si="222"/>
        <v>#N/A</v>
      </c>
      <c r="HX208" t="e">
        <f t="shared" si="223"/>
        <v>#N/A</v>
      </c>
      <c r="HY208" t="e">
        <f t="shared" si="224"/>
        <v>#N/A</v>
      </c>
      <c r="HZ208" s="55">
        <f>IF(OR(Исходн.данные.!AI208="Оз_Ч_П",Исходн.данные.!AI208="Оз_З_П",Исходн.данные.!AI208="Яр_зер"),12,30)</f>
        <v>30</v>
      </c>
      <c r="IA208" t="e">
        <f t="shared" si="274"/>
        <v>#N/A</v>
      </c>
      <c r="IB208" t="e">
        <f t="shared" si="275"/>
        <v>#N/A</v>
      </c>
      <c r="IC208" t="e">
        <f t="shared" si="276"/>
        <v>#N/A</v>
      </c>
      <c r="ID208" s="11" t="e">
        <f t="shared" si="277"/>
        <v>#N/A</v>
      </c>
      <c r="IE208" s="11" t="e">
        <f t="shared" si="278"/>
        <v>#N/A</v>
      </c>
      <c r="IF208" s="11" t="e">
        <f t="shared" si="279"/>
        <v>#N/A</v>
      </c>
    </row>
    <row r="209" spans="35:240" x14ac:dyDescent="0.2">
      <c r="AI209">
        <f>IF(Исходн.данные.!I209&gt;6,1,1.85-(0.148*Исходн.данные.!I209))</f>
        <v>1.85</v>
      </c>
      <c r="AJ209">
        <f>IF(Исходн.данные.!I209&gt;6,1,2.434-(0.246*Исходн.данные.!I209))</f>
        <v>2.4340000000000002</v>
      </c>
      <c r="AL209" s="148" t="b">
        <f>IF(Исходн.данные.!$P209="Ум",N_OrgUd_2g_um,IF(Исходн.данные.!$P209="Об",N_OrgUd_2g_ob))</f>
        <v>0</v>
      </c>
      <c r="AM209" s="148" t="b">
        <f>IF(Исходн.данные.!$P209="Ум",P_OrgUd_2g_um,IF(Исходн.данные.!$P209="Об",P_OrgUd_2g_ob))</f>
        <v>0</v>
      </c>
      <c r="AN209" s="148" t="b">
        <f>IF(Исходн.данные.!$P209="Ум",K_OrgUd_2g_um,IF(Исходн.данные.!$P209="Об",K_OrgUd_2g_ob))</f>
        <v>0</v>
      </c>
      <c r="AO209" s="148" t="b">
        <f>IF(Исходн.данные.!$P209="Ум",N_OrgUd_1g_um,IF(Исходн.данные.!$P209="Об",N_OrgUd_1g_ob))</f>
        <v>0</v>
      </c>
      <c r="AP209" s="148" t="b">
        <f>IF(Исходн.данные.!$P209="Ум",P_OrgUd_1g_um,IF(Исходн.данные.!$P209="Об",P_OrgUd_1g_ob))</f>
        <v>0</v>
      </c>
      <c r="AQ209" s="148" t="b">
        <f>IF(Исходн.данные.!$P209="Ум",K_OrgUd_1g_um,IF(Исходн.данные.!$P209="Об",K_OrgUd_1g_ob))</f>
        <v>0</v>
      </c>
      <c r="AR209" t="b">
        <f>IF(Исходн.данные.!$P209="Ум",N_MinUd_2g_um,IF(Исходн.данные.!$P209="Об",N_MinUd_2g_ob))</f>
        <v>0</v>
      </c>
      <c r="AS209" t="b">
        <f>IF(Исходн.данные.!$P209="Ум",P_MinUd_2g_um,IF(Исходн.данные.!$P209="Об",P_MinUd_2g_ob))</f>
        <v>0</v>
      </c>
      <c r="AT209" t="b">
        <f>IF(Исходн.данные.!$P209="Ум",K_MinUd_2g_um,IF(Исходн.данные.!$P209="Об",K_MinUd_2g_ob))</f>
        <v>0</v>
      </c>
      <c r="AU209" t="b">
        <f>IF(Исходн.данные.!$P209="Ум",N_MinUd_1g_um,IF(Исходн.данные.!$P209="Об",N_MinUd_1g_ob))</f>
        <v>0</v>
      </c>
      <c r="AV209" t="b">
        <f>IF(Исходн.данные.!P209="Ум",P_MinUd_1g_um,IF(Исходн.данные.!P209="Об",P_MinUd_1g_ob))</f>
        <v>0</v>
      </c>
      <c r="AW209" t="b">
        <f>IF(Исходн.данные.!P209="Ум",K_MinUd_1g_um,IF(Исходн.данные.!P209="Об",K_MinUd_1g_ob))</f>
        <v>0</v>
      </c>
      <c r="AY209" t="e">
        <f>VLOOKUP(Исходн.данные.!T209,Справ!$A$3:$N$57,12)</f>
        <v>#N/A</v>
      </c>
      <c r="AZ209" t="e">
        <f>VLOOKUP(Исходн.данные.!T209,Справ!$A$3:$N$57,13)</f>
        <v>#N/A</v>
      </c>
      <c r="BA209" t="e">
        <f>VLOOKUP(Исходн.данные.!T209,Справ!$A$3:$N$57,14)</f>
        <v>#N/A</v>
      </c>
      <c r="BB209">
        <f>IF(Исходн.данные.!AH209=0,0,25)</f>
        <v>0</v>
      </c>
      <c r="BC209" s="141">
        <f>IF(Исходн.данные.!AH209=0,0,IF(Исходн.данные.!T209=0,25,BD209))</f>
        <v>0</v>
      </c>
      <c r="BD209" s="168" t="e">
        <f>AY209+AZ209*Исходн.данные.!U209-POWER(BA209,2)*Исходн.данные.!U209</f>
        <v>#N/A</v>
      </c>
      <c r="BE20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09" s="25">
        <f>IF(Исходн.данные.!AH209=0,0,MIN(HN209:HP209))</f>
        <v>0</v>
      </c>
      <c r="BG209" s="9">
        <f>IF(Исходн.данные.!AH209=0,0,IF((HO209+10*0.25/HG209/HL209)&lt;17,17,HO209+10*0.25/HG209/HL209))</f>
        <v>0</v>
      </c>
      <c r="BH209" s="181">
        <f>IF(Исходн.данные.!AH209=0,0,HW209*HF209*HL209/AU209*AI209+Исходн.данные.!S209*10)</f>
        <v>0</v>
      </c>
      <c r="BI209" s="10"/>
      <c r="BJ209" s="182">
        <f>IF(Исходн.данные.!AH209=0,0,IF(HX209*HG209*HL209/AV209&lt;0,0,HX209*HG209*HL209/AV209*AJ209))</f>
        <v>0</v>
      </c>
      <c r="BK209" s="182">
        <f>IF(Исходн.данные.!AH209=0,0,HY209*HH209*HM209/AW209)</f>
        <v>0</v>
      </c>
      <c r="BL209" s="10">
        <f>IF(OR(Исходн.данные.!$AH209=$BP$1,Исходн.данные.!$AH209=$BP$2),0,IF(BH209&lt;0,0,IF(OR(Исходн.данные.!T209=Расчет!$BP$1,Исходн.данные.!T209=Расчет!$BP$2,Исходн.данные.!T209=Расчет!$BT$5,Исходн.данные.!T209=Расчет!$BT$6),BH209*0.5,IF(OR(Исходн.данные.!T209=Расчет!$BS$9,Исходн.данные.!T209=Расчет!$BS$10,Исходн.данные.!T209=Расчет!$BS$11,Исходн.данные.!T209=Расчет!$BS$12,Исходн.данные.!T209=Расчет!$BP$5),BH209*0.8,BH209))))</f>
        <v>0</v>
      </c>
      <c r="BM209" s="10">
        <f>IF(OR(Исходн.данные.!$AH209=$BP$1,Исходн.данные.!$AH209=$BP$2),0,IF(BJ209&lt;0,0,IF(Исходн.данные.!I209&lt;4.5,BJ209*1.2,IF(Исходн.данные.!I209&gt;5.1,BJ209,BJ209*((5.1-Исходн.данные.!I209)*0.333+1)))))</f>
        <v>0</v>
      </c>
      <c r="BN209" s="10">
        <f>IF(OR(Исходн.данные.!$AH209=$BP$1,Исходн.данные.!$AH209=$BP$2),60-Исходн.данные.!AF209,IF(BK209&lt;0,0,IF(Исходн.данные.!I209&lt;4.5,BK209*1.2,IF(Исходн.данные.!I209&gt;5.1,BK209,BK209*((5.1-Исходн.данные.!I209)*0.333+1)))))</f>
        <v>0</v>
      </c>
      <c r="BO209" s="9">
        <f>IF(BL209&lt;0,0,BL209*Исходн.данные.!$AJ209/1000)</f>
        <v>0</v>
      </c>
      <c r="BP209" s="9">
        <f>IF(BM209&lt;0,0,BM209*Исходн.данные.!$AJ209/1000)</f>
        <v>0</v>
      </c>
      <c r="BQ209" s="9">
        <f>IF(BN209&lt;0,0,BN209*Исходн.данные.!$AJ209/1000)</f>
        <v>0</v>
      </c>
      <c r="BR209" s="9">
        <f t="shared" si="229"/>
        <v>0</v>
      </c>
      <c r="BS209" s="10" t="str">
        <f t="shared" si="230"/>
        <v>Аммофос 12:52:00</v>
      </c>
      <c r="BT209" s="10" t="str">
        <f t="shared" si="231"/>
        <v>Аммофос 12:52:00</v>
      </c>
      <c r="BU209" s="10" t="str">
        <f t="shared" si="232"/>
        <v>Диаммофоска</v>
      </c>
      <c r="BV209" s="10">
        <f t="shared" si="233"/>
        <v>0</v>
      </c>
      <c r="BW209" s="10"/>
      <c r="BX209" s="10"/>
      <c r="BY209" s="9">
        <f>IF(BL209&lt;0,0,IF(OR(Исходн.данные.!AI209=Расчет!$BU$6,Исходн.данные.!AI209=Расчет!$BU$7),Расчет!BV209,IF(Исходн.данные.!$AG209=$BV$11,BL209,IF(OR(Исходн.данные.!$AH209=$BQ$7,Исходн.данные.!$AH209=$BQ$8),CB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0,IF(Исходн.данные.!$AI209=$BU$11,"Нет",IF(BL209&gt;30,30,BL209)))))))</f>
        <v>0</v>
      </c>
      <c r="BZ209" s="9">
        <f>IF(AND(Исходн.данные.!$AG209=$BV$11,BM209&lt;10),10,IF(Исходн.данные.!$AG209=$BV$11,BM209,IF(OR(Исходн.данные.!$AH209=$BQ$7,Исходн.данные.!$AH209=$BQ$8),CC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10,IF(Исходн.данные.!$AI209=$BU$11,"Нет",IF(BM209&gt;60,60,IF(BM209&lt;10,10,BM209)))))))</f>
        <v>10</v>
      </c>
      <c r="CA209" s="39">
        <f>IF(BN209&lt;0,0,IF(Исходн.данные.!$AG209=$BV$11,BN209,IF(OR(Исходн.данные.!$AH209=$BQ$7,Исходн.данные.!$AH209=$BQ$8),CD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0,IF(Исходн.данные.!$AI209=$BU$11,"Нет",IF(BN209&gt;30,30,BN209))))))</f>
        <v>0</v>
      </c>
      <c r="CB209" s="9">
        <f t="shared" si="234"/>
        <v>0</v>
      </c>
      <c r="CC209" s="9">
        <f t="shared" si="235"/>
        <v>0</v>
      </c>
      <c r="CD209" s="9">
        <f t="shared" si="236"/>
        <v>0</v>
      </c>
      <c r="CE209" s="12">
        <f t="shared" si="237"/>
        <v>10</v>
      </c>
      <c r="CF209" s="9">
        <f t="shared" si="238"/>
        <v>0</v>
      </c>
      <c r="CG209" s="9" t="s">
        <v>231</v>
      </c>
      <c r="CH209" s="132" t="str">
        <f>IF(Исходн.данные.!AP209=Расчет!$CI$16,"Нет",IF(Исходн.данные.!AL209&gt;0,Исходн.данные.!AL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BH$4,IF(OR(Исходн.данные.!AI209=Исходн.данные.!$AI$6,Исходн.данные.!AI209=Исходн.данные.!$AI$7),Расчет!BS209,IF(AND($CF209=0,$CE209&gt;0),EV209,ER209)))))</f>
        <v>Аммофос 12:52:00</v>
      </c>
      <c r="CI209" s="274">
        <f>IF(Расчет!$CH209="Нет","Нет",IF(Исходн.данные.!$AL209&gt;0,VLOOKUP(Расчет!$CH209,АшламаДВ_Irekle,2,FALSE),VLOOKUP(Расчет!$CH209,АшламаДВ_Gomumy,2,FALSE)))</f>
        <v>0.12</v>
      </c>
      <c r="CJ209" s="274">
        <f>IF(Расчет!$CH209="Нет","Нет",IF(Исходн.данные.!$AL209&gt;0,VLOOKUP(Расчет!$CH209,АшламаДВ_Irekle,3,FALSE),VLOOKUP(Расчет!$CH209,АшламаДВ_Gomumy,3,FALSE)))</f>
        <v>0.52</v>
      </c>
      <c r="CK209" s="274">
        <f>IF(Расчет!$CH209="Нет","Нет",IF(Исходн.данные.!$AL209&gt;0,VLOOKUP(Расчет!$CH209,АшламаДВ_Irekle,4,FALSE),VLOOKUP(Расчет!$CH209,АшламаДВ_Gomumy,4,FALSE)))</f>
        <v>0</v>
      </c>
      <c r="CL209" s="70"/>
      <c r="CM209" s="70"/>
      <c r="CN209" s="70"/>
      <c r="CO209" s="70"/>
      <c r="CP209" s="70"/>
      <c r="CQ209" s="70"/>
      <c r="CR209" s="10">
        <f t="shared" si="239"/>
        <v>0</v>
      </c>
      <c r="CS209" s="10">
        <f t="shared" si="240"/>
        <v>19.23076923076923</v>
      </c>
      <c r="CT209" s="10">
        <f t="shared" si="241"/>
        <v>0</v>
      </c>
      <c r="CU209" s="39">
        <f>IF($CH209="Нет",0,IF(CI209=0,30/MIN(CJ209:CK209),IF(Исходн.данные.!$AG209=$BV$11,CR209,IF(OR(Исходн.данные.!$AH209=$BQ$7,Исходн.данные.!$AH209=$BQ$8),90/CI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0,IF(Исходн.данные.!$AI209=$BU$11,"Нет",30/CI209))))))</f>
        <v>250</v>
      </c>
      <c r="CV209" s="39">
        <f>IF($CH209="Нет",0,IF(Исходн.данные.!AH209=0,0,IF(CJ209=0,60/MIN(CI209,CK209),IF(Исходн.данные.!$AG209=$BV$11,CS209,IF(OR(Исходн.данные.!$AH209=$BQ$7,Исходн.данные.!$AH209=$BQ$8),90/CJ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10/CJ209,IF(Исходн.данные.!$AI209=$BU$11,"Нет",60/CJ209)))))))</f>
        <v>0</v>
      </c>
      <c r="CW209" s="39">
        <f>IF($CH209="Нет",0,IF(Исходн.данные.!AH209=0,0,IF(CK209=0,30/MIN(CI209:CJ209),IF(Исходн.данные.!$AG209=$BV$11,CT209,IF(OR(Исходн.данные.!$AH209=$BQ$7,Исходн.данные.!$AH209=$BQ$8),90/CK209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0,IF(Исходн.данные.!$AI209=$BU$11,"Нет",30/CK209)))))))</f>
        <v>0</v>
      </c>
      <c r="CX209" s="133">
        <f>IF(Исходн.данные.!$AG209=$BV$11,MAX(CU209:CW209),IF(OR(Исходн.данные.!$AH209=$BS$8,Исходн.данные.!$AH209=$BQ$9,Исходн.данные.!$AH209=$BQ$10,Исходн.данные.!$AH209=$BQ$11,Исходн.данные.!$AH209=$BQ$12,Исходн.данные.!$AH209=$BP$3,Исходн.данные.!$AH209=$BT$8,$FM209="Да"),CV209,MIN(CU209:CW209)))</f>
        <v>0</v>
      </c>
      <c r="CY209" s="133">
        <f>IF(Исходн.данные.!AH209=0,0,IF(CR209&gt;$CX209,$CX209,CR209))</f>
        <v>0</v>
      </c>
      <c r="CZ209" s="133">
        <f>IF(Исходн.данные.!AH209=0,0,IF(CS209&gt;$CX209,$CX209,CS209))</f>
        <v>0</v>
      </c>
      <c r="DA209" s="133">
        <f>IF(Исходн.данные.!AH209=0,0,IF(CT209&gt;$CX209,$CX209,CT209))</f>
        <v>0</v>
      </c>
      <c r="DB209" s="10">
        <f t="shared" si="242"/>
        <v>0</v>
      </c>
      <c r="DC209" s="39">
        <f>DB209*Исходн.данные.!AJ209/1000</f>
        <v>0</v>
      </c>
      <c r="DD209" s="71">
        <f t="shared" si="243"/>
        <v>0</v>
      </c>
      <c r="DE209" s="9">
        <f t="shared" si="244"/>
        <v>0</v>
      </c>
      <c r="DF209" s="9">
        <f t="shared" si="245"/>
        <v>0</v>
      </c>
      <c r="DG209" s="39">
        <f>IF(BL209&lt;0,0,IF($CH209="Нет",BL209,IF(OR(Исходн.данные.!$AH209=$BP$1,Исходн.данные.!$AH209=$BP$2),0,IF(Исходн.данные.!AI209=$BU$11,BL209,IF(BL209-DD209&lt;0,0,BL209-DD209)))))</f>
        <v>0</v>
      </c>
      <c r="DH209" s="39">
        <f>IF(BM209&lt;0,0,IF($CH209="Нет",BM209,IF(OR(Исходн.данные.!$AH209=$BP$1,Исходн.данные.!$AH209=$BP$2),0,IF(Исходн.данные.!AJ209=$BU$11,BM209,IF(BM209-DE209&lt;0,0,BM209-DE209)))))</f>
        <v>0</v>
      </c>
      <c r="DI209" s="39">
        <f>IF(BN209&lt;0,0,IF($CH209="Нет",BN209,IF(OR(Исходн.данные.!$AH209=$BP$1,Исходн.данные.!$AH209=$BP$2),0,IF(Исходн.данные.!AK209=$BU$11,BN209,IF(BN209-DF209&lt;0,0,BN209-DF209)))))</f>
        <v>0</v>
      </c>
      <c r="DJ209" s="12">
        <f t="shared" si="246"/>
        <v>0</v>
      </c>
      <c r="DK209" s="9">
        <f t="shared" si="247"/>
        <v>0</v>
      </c>
      <c r="DL209" s="39">
        <f>IF(Исходн.данные.!AM209&gt;0,Исходн.данные.!AM209,IF(EG209&gt;0,$BH$10,0))</f>
        <v>0</v>
      </c>
      <c r="DM209" s="186">
        <f>IF($DL209=0,0,IF(Исходн.данные.!AM209&gt;0,VLOOKUP($DL209,АшламаДВ_Irekle,2,FALSE),VLOOKUP($DL209,АшламаДВ_Gomumy,2,FALSE)))</f>
        <v>0</v>
      </c>
      <c r="DN209" s="10">
        <f t="shared" si="225"/>
        <v>0</v>
      </c>
      <c r="DO209" s="9" t="str">
        <f>IF(Исходн.данные.!AN209&gt;0,Исходн.данные.!AN209,Удобрения!$B$37 )</f>
        <v>Хлор.калий</v>
      </c>
      <c r="DP209" s="9">
        <f>IF(Исходн.данные.!AN209&gt;0,VLOOKUP(Исходн.данные.!AN209,АшламаДВ_Irekle,4,FALSE),VLOOKUP(DO209,АшламаДВ_Gomumy,4,FALSE))</f>
        <v>0.6</v>
      </c>
      <c r="DQ209" s="10">
        <f t="shared" si="226"/>
        <v>0</v>
      </c>
      <c r="DR209" s="132" t="str">
        <f>IF(Исходн.данные.!AO209&gt;0,Исходн.данные.!AO209,IF(DH209=0,BS$17,IF(AND($DK209=0,$DJ209&gt;0),EJ209,EN209)))</f>
        <v>Нет</v>
      </c>
      <c r="DS209" s="70" t="str">
        <f>IF($DR209="Нет","Нет",IF(Исходн.данные.!$AO209&gt;0,VLOOKUP($DR209,АшламаДВ_Irekle,2,FALSE),VLOOKUP($DR209,АшламаДВ_Gomumy,2,FALSE)))</f>
        <v>Нет</v>
      </c>
      <c r="DT209" s="70" t="str">
        <f>IF($DR209="Нет","Нет",IF(Исходн.данные.!$AO209&gt;0,VLOOKUP($DR209,АшламаДВ_Irekle,3,FALSE),VLOOKUP($DR209,АшламаДВ_Gomumy,3,FALSE)))</f>
        <v>Нет</v>
      </c>
      <c r="DU209" s="70" t="str">
        <f>IF($DR209="Нет","Нет",IF(Исходн.данные.!$AO209&gt;0,VLOOKUP($DR209,АшламаДВ_Irekle,4,FALSE),VLOOKUP($DR209,АшламаДВ_Gomumy,4,FALSE)))</f>
        <v>Нет</v>
      </c>
      <c r="DV209" s="70"/>
      <c r="DW209" s="70"/>
      <c r="DX209" s="70"/>
      <c r="DY209" s="10">
        <f t="shared" si="248"/>
        <v>0</v>
      </c>
      <c r="DZ209" s="10">
        <f t="shared" si="249"/>
        <v>0</v>
      </c>
      <c r="EA209" s="10">
        <f t="shared" si="250"/>
        <v>0</v>
      </c>
      <c r="EB209" s="10">
        <f t="shared" si="251"/>
        <v>0</v>
      </c>
      <c r="EC209" s="10">
        <f t="shared" si="252"/>
        <v>0</v>
      </c>
      <c r="ED209" s="10">
        <f t="shared" si="253"/>
        <v>0</v>
      </c>
      <c r="EE209" s="10">
        <f t="shared" si="254"/>
        <v>0</v>
      </c>
      <c r="EF209" s="39">
        <f>EB209*Исходн.данные.!AJ209/1000</f>
        <v>0</v>
      </c>
      <c r="EG209" s="9">
        <f t="shared" si="255"/>
        <v>0</v>
      </c>
      <c r="EH209" s="9">
        <f t="shared" si="256"/>
        <v>0</v>
      </c>
      <c r="EI209" s="39" t="e">
        <f t="shared" si="206"/>
        <v>#DIV/0!</v>
      </c>
      <c r="EJ209" s="9" t="str">
        <f t="shared" si="227"/>
        <v>Азопреципитат</v>
      </c>
      <c r="EK209" s="12">
        <f t="shared" si="207"/>
        <v>0.26</v>
      </c>
      <c r="EL209" s="12">
        <f t="shared" si="208"/>
        <v>0.13</v>
      </c>
      <c r="EM209" s="12">
        <f t="shared" si="209"/>
        <v>0</v>
      </c>
      <c r="EN209" s="12" t="str">
        <f t="shared" si="228"/>
        <v>Нет</v>
      </c>
      <c r="EO209" s="12">
        <f t="shared" si="210"/>
        <v>0</v>
      </c>
      <c r="EP209" s="12">
        <f t="shared" si="211"/>
        <v>0</v>
      </c>
      <c r="EQ209" s="12">
        <f t="shared" si="212"/>
        <v>0</v>
      </c>
      <c r="ER209" s="12" t="str">
        <f t="shared" si="257"/>
        <v>Диаммофоска</v>
      </c>
      <c r="ES209" s="12">
        <f t="shared" si="213"/>
        <v>0.1</v>
      </c>
      <c r="ET209" s="12">
        <f t="shared" si="214"/>
        <v>0.26</v>
      </c>
      <c r="EU209" s="12">
        <f t="shared" si="215"/>
        <v>0.26</v>
      </c>
      <c r="EV209" s="12" t="str">
        <f t="shared" si="258"/>
        <v>Аммофос 12:52:00</v>
      </c>
      <c r="EW209" s="12" t="str">
        <f t="shared" si="259"/>
        <v>Кемира Свекловичное-6</v>
      </c>
      <c r="EX209" s="12">
        <f t="shared" si="216"/>
        <v>0.16</v>
      </c>
      <c r="EY209" s="12">
        <f t="shared" si="217"/>
        <v>0.12</v>
      </c>
      <c r="EZ209" s="12">
        <f t="shared" si="218"/>
        <v>0.17</v>
      </c>
      <c r="FA209" s="38" t="e">
        <f>IF(AND(OR(FJ209=$FD$1,FM209=$FD$1,FO209=$FD$1,FQ209=$FD$1,FS209=$FD$1),FD209=$FD$1,Исходн.данные.!J209&lt;2,FU209=$FD$1),"Бор,Кобальт",IF(AND(FO209=$FD$1,FH209=$FD$1,Исходн.данные.!J209&lt;2,FU209=$FD$1),"Бор,Кобальт",IF(AND(OR(FJ209=$FD$1,FM209=$FD$1,FQ209=$FD$1),FE209=$FD$1,Исходн.данные.!J209&lt;2,FT209=$FD$1,FU209=$FD$1),"Бор,Медь,Цинк",IF(AND(OR(FJ209=$FD$1,FR209="Да"),FI209="Да",Исходн.данные.!J209&lt;2,FT209="Да",FU209="Да"),"Бор,Цинк,Медь",IF(AND(OR(FM209="Да",FQ209="Да"),FI209="Да",Исходн.данные.!J209&lt;2,FT209="Да",FU209="Да"),"Бор,Цинк",IF(AND(FN209="Да",OR(FD209="Да",FE209="Да")),"Бор",FB209))))))</f>
        <v>#N/A</v>
      </c>
      <c r="FB209" s="134" t="e">
        <f>IF(AND(OR(FD209="Да",FE209="Да",FF209="Да",FG209="Да",FH209="Да"),FO209="Да"),"Бор",IF(AND(FP209="Да",OR(FD209="Да",FE209="Да",FI209="Да")),"Бор",IF(AND(FS209="Да",FE209="Да"),"Бор,Медь",IF(AND(OR(FJ209="Да",FK209="Да",FL209="Да"),FE209="Да",Исходн.данные.!I209&lt;5,FT209="Да",FU209="Да"),"Молибден,Цинк",IF(AND(FM209="Да",OR(FE209="Да",FF209="Да",FG209="Да",FH209="Да",FI209="Да")),"Молибден,Цинк",IF(AND(OR(FJ209="Да",FK209="Да",FL209="Да",FM209="Да",FQ209="Да"),OR(FE209="Да",FF209="Да"),FT209="Да",FU209="Да",Исходн.данные.!I209&gt;5.5),"Медь,Цинк",FC209))))))</f>
        <v>#N/A</v>
      </c>
      <c r="FC209" s="23" t="e">
        <f t="shared" si="260"/>
        <v>#N/A</v>
      </c>
      <c r="FD209" s="38" t="str">
        <f>IF(OR(Исходн.данные.!F209=$CC$1,Исходн.данные.!F209=$CC$2,Исходн.данные.!F209=$CC$3,Исходн.данные.!F209=$CC$4),"Да","Нет")</f>
        <v>Нет</v>
      </c>
      <c r="FE209" s="38" t="str">
        <f>IF(Исходн.данные.!F209=$CC$5,"Да","Нет")</f>
        <v>Нет</v>
      </c>
      <c r="FF209" s="38" t="str">
        <f>IF(OR(Исходн.данные.!F209=$CC$6,Исходн.данные.!F209=$CC$7),"Да","Нет")</f>
        <v>Нет</v>
      </c>
      <c r="FG209" s="38" t="str">
        <f>IF(OR(Исходн.данные.!F209=$CC$8,Исходн.данные.!F209=$CC$9),"Да","Нет")</f>
        <v>Нет</v>
      </c>
      <c r="FH209" s="38" t="str">
        <f>IF(Исходн.данные.!F209=$CC$10,"Да","Нет")</f>
        <v>Нет</v>
      </c>
      <c r="FI209" s="38" t="str">
        <f>IF(OR(Исходн.данные.!F209=$CC$11,Исходн.данные.!F209=$CC$12),"Да","Нет")</f>
        <v>Нет</v>
      </c>
      <c r="FJ209" s="38" t="str">
        <f>IF(OR(Исходн.данные.!AH209=$BS$1,Исходн.данные.!AH209=$BQ$11,Исходн.данные.!AH209=$BQ$12),"Да","Нет")</f>
        <v>Нет</v>
      </c>
      <c r="FK209" s="38" t="str">
        <f>IF(OR(Исходн.данные.!AH209=$BS$2,Исходн.данные.!AH209=$BS$4),"Да","Нет")</f>
        <v>Нет</v>
      </c>
      <c r="FL209" s="38" t="str">
        <f>IF(OR(Исходн.данные.!AH209=$BS$3,Исходн.данные.!AH209=$BS$5),"Да","Нет")</f>
        <v>Нет</v>
      </c>
      <c r="FM209" s="38" t="str">
        <f>IF(OR(Исходн.данные.!AH209=$BS$9,Исходн.данные.!AH209=$BS$10,Исходн.данные.!AH209=$BS$11,Исходн.данные.!AH209=$BS$12),"Да","Нет")</f>
        <v>Нет</v>
      </c>
      <c r="FN209" s="38" t="str">
        <f>IF(OR(Исходн.данные.!AH209=$BS$6,Исходн.данные.!AH209=$BP$3),"Да","Нет")</f>
        <v>Нет</v>
      </c>
      <c r="FO209" s="38" t="str">
        <f>IF(Исходн.данные.!AH209=$BQ$9,"Да","Нет")</f>
        <v>Нет</v>
      </c>
      <c r="FP209" s="38" t="str">
        <f>IF(OR(Исходн.данные.!AH209=$BS$8,Исходн.данные.!AH209=$BT$8),"Да","Нет")</f>
        <v>Нет</v>
      </c>
      <c r="FQ209" s="38" t="str">
        <f>IF(OR(Исходн.данные.!AH209=$BQ$7,Исходн.данные.!AH209=$BQ$8),"Да","Нет")</f>
        <v>Нет</v>
      </c>
      <c r="FR209" s="38" t="str">
        <f>IF(Исходн.данные.!AI209=$BU$9,"Да","Нет")</f>
        <v>Нет</v>
      </c>
      <c r="FS209" s="38" t="str">
        <f>IF(OR(Исходн.данные.!AH209=$BP$1,Исходн.данные.!AH209=$BP$2),"Да","Нет")</f>
        <v>Нет</v>
      </c>
      <c r="FT209" s="38" t="e">
        <f>IF((Исходн.данные.!K209*GO209*GS209*GW209+BL209*0.6+Исходн.данные.!Q209*4.5*0.275)&gt;90,"Да","Нет")</f>
        <v>#N/A</v>
      </c>
      <c r="FU209" s="38" t="e">
        <f>IF((Исходн.данные.!M209*GS209*GZ209+BM209*0.225)&gt;35,"Да","Нет")</f>
        <v>#N/A</v>
      </c>
      <c r="FV209" s="38" t="str">
        <f>IF(Исходн.данные.!O209&gt;175,"Да","Нет")</f>
        <v>Нет</v>
      </c>
      <c r="FW209" s="39" t="str">
        <f>IF(Исходн.данные.!I209&gt;5.5,"Да","Нет")</f>
        <v>Нет</v>
      </c>
      <c r="FX209" s="39" t="str">
        <f>IF(Исходн.данные.!J209&lt;2,"Да","Нет")</f>
        <v>Да</v>
      </c>
      <c r="FY209" s="39" t="e">
        <f>IF(HF209=$FY$16,0,Исходн.данные.!K209*GO209*GS209*GW209/HF209)</f>
        <v>#N/A</v>
      </c>
      <c r="FZ209" s="39" t="e">
        <f>Исходн.данные.!M209*GS209*GZ209/HG209</f>
        <v>#N/A</v>
      </c>
      <c r="GA209" s="39" t="e">
        <f>IF(K_Wyn=$FY$16,0,IF(Исходн.данные.!N209=Исходн.данные.!$L$10,Исходн.данные.!O209/1.1*GS209*HC209/HH209,IF(Исходн.данные.!N209=Исходн.данные.!$L$12,Исходн.данные.!O209/1.5*GS209*HC209/HH209,Исходн.данные.!O209*GS209*HC209/HH209)))</f>
        <v>#N/A</v>
      </c>
      <c r="GB209" s="39" t="e">
        <f>IF(HF209=$FY$16,0,((Исходн.данные.!Q209*N_Org+Исходн.данные.!R209*N_Sider+Исходн.данные.!S209*N_Soloma)*AO209+Расчет!BC209*VLOOKUP(Исходн.данные.!T209,Справ!$A$3:$O$57,15)*AO209+BB209*VLOOKUP(Исходн.данные.!T209,Справ!$A$3:$O$57,15)*AL209+(Исходн.данные.!V209*N_Rizotorf+Исходн.данные.!W209*N_Rizoagr))/HF209)</f>
        <v>#N/A</v>
      </c>
      <c r="GC209" s="39" t="e">
        <f>IF(HG209=$FY$16,0,((Исходн.данные.!Q209*Р_Org+Исходн.данные.!R209*P_Sider+Исходн.данные.!S209*P_Soloma)*AP209+Расчет!BC209*VLOOKUP(Исходн.данные.!T209,Справ!$A$3:$P$57,16)*AP209+BB209*VLOOKUP(Исходн.данные.!T209,Справ!$A$3:$P$57,16)*AM209)/HG209)</f>
        <v>#N/A</v>
      </c>
      <c r="GD209" s="39" t="e">
        <f>IF(HH209=$FY$16,0,((Исходн.данные.!Q209*К_Org+Исходн.данные.!R209*K_Sider+Исходн.данные.!S209*K_Soloma)*AQ209+Расчет!BC209*VLOOKUP(Исходн.данные.!T209,Справ!$A$3:$Q$57,17)*AQ209+BB209*VLOOKUP(Исходн.данные.!T209,Справ!$A$3:$Q$57,17)*AN209)/HH209)</f>
        <v>#N/A</v>
      </c>
      <c r="GE209" s="39" t="e">
        <f>IF(HF209=$FY$16,0,(Исходн.данные.!X209*AR209+Исходн.данные.!AA209*N_Org*AL209+Исходн.данные.!AB209*N_Sider*AL209+Исходн.данные.!AC209*N_Soloma*AL209)/HF209)</f>
        <v>#N/A</v>
      </c>
      <c r="GF209" s="39" t="e">
        <f>IF(HG209=$FY$16,0,(Исходн.данные.!Y209*AS209+Исходн.данные.!AA209*Р_Org*AM209+Исходн.данные.!AB209*P_Sider*AM209+Исходн.данные.!AC209*P_Soloma*AM209)/HG209)</f>
        <v>#N/A</v>
      </c>
      <c r="GG209" s="39" t="e">
        <f>IF(HH209=$FY$16,0,(Исходн.данные.!Z209*AT209+Исходн.данные.!AA209*К_Org*AN209+Исходн.данные.!AB209*K_Sider*AN209+Исходн.данные.!AC209*K_Soloma*AN209)/HH209)</f>
        <v>#N/A</v>
      </c>
      <c r="GH209" s="39" t="e">
        <f>Исходн.данные.!AD209*AU209/HF209</f>
        <v>#N/A</v>
      </c>
      <c r="GI209" s="39" t="e">
        <f>Исходн.данные.!AE209*AV209/HG209</f>
        <v>#N/A</v>
      </c>
      <c r="GJ209" s="39" t="e">
        <f>Исходн.данные.!AF209*AW209/HH209</f>
        <v>#N/A</v>
      </c>
      <c r="GK209" s="55">
        <f>Исходн.данные.!AK209</f>
        <v>0</v>
      </c>
      <c r="GL209" s="11" t="e">
        <f t="shared" si="261"/>
        <v>#N/A</v>
      </c>
      <c r="GM209" s="11" t="e">
        <f t="shared" si="262"/>
        <v>#N/A</v>
      </c>
      <c r="GN209" s="11" t="e">
        <f t="shared" si="263"/>
        <v>#N/A</v>
      </c>
      <c r="GO209" s="57">
        <f t="shared" si="264"/>
        <v>19</v>
      </c>
      <c r="GP209" s="55">
        <f>IF(OR(Исходн.данные.!F209=$CE$1,Исходн.данные.!F209=$CE$2,Исходн.данные.!F209=$CE$3,Исходн.данные.!F209=$CE$4,Исходн.данные.!F209=$CE$5),GQ209,GR209)</f>
        <v>19</v>
      </c>
      <c r="GQ209" s="55">
        <f>IF(Исходн.данные.!F209=$CE$1,28,IF(Исходн.данные.!F209=$CE$2,26,IF(Исходн.данные.!F209=$CE$3,24,IF(Исходн.данные.!F209=$CE$4,22,IF(Исходн.данные.!F209=$CE$5,20,GR209)))))</f>
        <v>19</v>
      </c>
      <c r="GR209" s="55">
        <f>IF(Исходн.данные.!F209=$CE$6,18,IF(Исходн.данные.!F209=$CE$7,16,IF(Исходн.данные.!F209=$CE$8,14,IF(Исходн.данные.!F209=$CE$9,13,IF(Исходн.данные.!F209=$CE$10,12,19)))))</f>
        <v>19</v>
      </c>
      <c r="GS209" s="55">
        <f>IF(Исходн.данные.!G209="Пес",0.035*(40+2*Исходн.данные.!H209),IF(Исходн.данные.!G209="Суп",0.0325*(40+2*Исходн.данные.!H209),0.03*(40+2*Исходн.данные.!H209)))</f>
        <v>1.2</v>
      </c>
      <c r="GT209" s="55">
        <f>IF(Исходн.данные.!H209&lt;23,2.6,IF(AND(Исходн.данные.!H209&gt;22,Исходн.данные.!H209&lt;26),3,IF(AND(Исходн.данные.!H209&gt;25,Исходн.данные.!H209&lt;29),3.4,3.6)))</f>
        <v>2.6</v>
      </c>
      <c r="GU209" s="55">
        <f>IF(Исходн.данные.!H209&lt;23,2.8,IF(AND(Исходн.данные.!H209&gt;22,Исходн.данные.!H209&lt;26),3.2,IF(AND(Исходн.данные.!H209&gt;25,Исходн.данные.!H209&lt;29),3.6,3.9)))</f>
        <v>2.8</v>
      </c>
      <c r="GV209" s="55">
        <f>IF(Исходн.данные.!H209&lt;23,3,IF(AND(Исходн.данные.!H209&gt;22,Исходн.данные.!H209&lt;26),3.5,IF(AND(Исходн.данные.!H209&gt;25,Исходн.данные.!H209&lt;29),3.9,4.2)))</f>
        <v>3</v>
      </c>
      <c r="GW209" s="55" t="e">
        <f>IF(Исходн.данные.!P209="Ум",GX209,GY209)</f>
        <v>#N/A</v>
      </c>
      <c r="GX209" s="55" t="e">
        <f>VLOOKUP(Исходн.данные.!AI209,Коэффициенты!$J$7:$L$13,2,FALSE)</f>
        <v>#N/A</v>
      </c>
      <c r="GY209" s="55" t="e">
        <f>VLOOKUP(Исходн.данные.!AI209,Коэффициенты!$J$7:$L$13,3,FALSE)</f>
        <v>#N/A</v>
      </c>
      <c r="GZ209" s="55" t="e">
        <f>(IF(Исходн.данные.!M209&lt;50,0.11*VLOOKUP(Исходн.данные.!AH209,Культуры.Информация,7,FALSE),IF(Исходн.данные.!M209&gt;250,0.05*VLOOKUP(Исходн.данные.!AH209,Культуры.Информация,7,FALSE),VLOOKUP(Исходн.данные.!AH209,Культуры.Информация,5,FALSE)/100*($GX$6+$GY$6*Исходн.данные.!M209))))*Расчет2!AI209</f>
        <v>#N/A</v>
      </c>
      <c r="HA209" s="211"/>
      <c r="HB209" s="211"/>
      <c r="HC209" s="55" t="e">
        <f>(IF(Исходн.данные.!O209&lt;80,0.2*VLOOKUP(Исходн.данные.!AH209,Культуры.Информация,8,FALSE),IF(Исходн.данные.!O209&gt;240,0.09*VLOOKUP(Исходн.данные.!AH209,Культуры.Информация,8,FALSE),VLOOKUP(Исходн.данные.!AH209,Культуры.Информация,6,FALSE)/100*($HB$6+$HC$6*Исходн.данные.!O209))))*Расчет2!AJ209</f>
        <v>#N/A</v>
      </c>
      <c r="HD209" s="55">
        <f>IF(Исходн.данные.!O209&gt;240,0.09,IF(Исходн.данные.!O209&lt;30,0.3,$HE$10+$HD$10*Исходн.данные.!O209))</f>
        <v>0.3</v>
      </c>
      <c r="HE209" s="55">
        <f>IF(Исходн.данные.!O209&gt;240,0.17,IF(Исходн.данные.!O209&lt;30,0.5,$HF$12+$HE$12*Исходн.данные.!O209))</f>
        <v>0.5</v>
      </c>
      <c r="HF209" s="55" t="e">
        <f>VLOOKUP(Исходн.данные.!AH209,Справ!$A$3:$D$58,2,FALSE)</f>
        <v>#N/A</v>
      </c>
      <c r="HG209" s="55" t="e">
        <f>VLOOKUP(Исходн.данные.!AH209,Справ!$A$3:$D$58,3,FALSE)</f>
        <v>#N/A</v>
      </c>
      <c r="HH209" s="55" t="e">
        <f>VLOOKUP(Исходн.данные.!AH209,Справ!$A$3:$D$58,4,FALSE)</f>
        <v>#N/A</v>
      </c>
      <c r="HI209" s="11" t="e">
        <f t="shared" si="265"/>
        <v>#N/A</v>
      </c>
      <c r="HJ209" s="11" t="e">
        <f t="shared" si="266"/>
        <v>#N/A</v>
      </c>
      <c r="HK209" s="11" t="e">
        <f t="shared" si="267"/>
        <v>#N/A</v>
      </c>
      <c r="HL209" s="55">
        <f>IF(OR(Исходн.данные.!G209="Глин",Исходн.данные.!G209="Т_суг"),1.1,IF(Исходн.данные.!G209="Ср_суг",1,1))</f>
        <v>1</v>
      </c>
      <c r="HM209" s="55">
        <f>IF(OR(Исходн.данные.!G209="Глин",Исходн.данные.!G209="Т_суг"),0.9,IF(Исходн.данные.!G209="Ср_суг",1,1.2))</f>
        <v>1.2</v>
      </c>
      <c r="HN209" s="11" t="e">
        <f t="shared" si="268"/>
        <v>#N/A</v>
      </c>
      <c r="HO209" s="11" t="e">
        <f t="shared" si="269"/>
        <v>#N/A</v>
      </c>
      <c r="HP209" s="11" t="e">
        <f t="shared" si="270"/>
        <v>#N/A</v>
      </c>
      <c r="HQ209" t="e">
        <f t="shared" si="271"/>
        <v>#N/A</v>
      </c>
      <c r="HR209" t="e">
        <f t="shared" si="272"/>
        <v>#N/A</v>
      </c>
      <c r="HS209" t="e">
        <f t="shared" si="273"/>
        <v>#N/A</v>
      </c>
      <c r="HT209" t="e">
        <f t="shared" si="219"/>
        <v>#N/A</v>
      </c>
      <c r="HU209" t="e">
        <f t="shared" si="220"/>
        <v>#N/A</v>
      </c>
      <c r="HV209" t="e">
        <f t="shared" si="221"/>
        <v>#N/A</v>
      </c>
      <c r="HW209" t="e">
        <f t="shared" si="222"/>
        <v>#N/A</v>
      </c>
      <c r="HX209" t="e">
        <f t="shared" si="223"/>
        <v>#N/A</v>
      </c>
      <c r="HY209" t="e">
        <f t="shared" si="224"/>
        <v>#N/A</v>
      </c>
      <c r="HZ209" s="55">
        <f>IF(OR(Исходн.данные.!AI209="Оз_Ч_П",Исходн.данные.!AI209="Оз_З_П",Исходн.данные.!AI209="Яр_зер"),12,30)</f>
        <v>30</v>
      </c>
      <c r="IA209" t="e">
        <f t="shared" si="274"/>
        <v>#N/A</v>
      </c>
      <c r="IB209" t="e">
        <f t="shared" si="275"/>
        <v>#N/A</v>
      </c>
      <c r="IC209" t="e">
        <f t="shared" si="276"/>
        <v>#N/A</v>
      </c>
      <c r="ID209" s="11" t="e">
        <f t="shared" si="277"/>
        <v>#N/A</v>
      </c>
      <c r="IE209" s="11" t="e">
        <f t="shared" si="278"/>
        <v>#N/A</v>
      </c>
      <c r="IF209" s="11" t="e">
        <f t="shared" si="279"/>
        <v>#N/A</v>
      </c>
    </row>
    <row r="210" spans="35:240" x14ac:dyDescent="0.2">
      <c r="AI210">
        <f>IF(Исходн.данные.!I210&gt;6,1,1.85-(0.148*Исходн.данные.!I210))</f>
        <v>1.85</v>
      </c>
      <c r="AJ210">
        <f>IF(Исходн.данные.!I210&gt;6,1,2.434-(0.246*Исходн.данные.!I210))</f>
        <v>2.4340000000000002</v>
      </c>
      <c r="AL210" s="148" t="b">
        <f>IF(Исходн.данные.!$P210="Ум",N_OrgUd_2g_um,IF(Исходн.данные.!$P210="Об",N_OrgUd_2g_ob))</f>
        <v>0</v>
      </c>
      <c r="AM210" s="148" t="b">
        <f>IF(Исходн.данные.!$P210="Ум",P_OrgUd_2g_um,IF(Исходн.данные.!$P210="Об",P_OrgUd_2g_ob))</f>
        <v>0</v>
      </c>
      <c r="AN210" s="148" t="b">
        <f>IF(Исходн.данные.!$P210="Ум",K_OrgUd_2g_um,IF(Исходн.данные.!$P210="Об",K_OrgUd_2g_ob))</f>
        <v>0</v>
      </c>
      <c r="AO210" s="148" t="b">
        <f>IF(Исходн.данные.!$P210="Ум",N_OrgUd_1g_um,IF(Исходн.данные.!$P210="Об",N_OrgUd_1g_ob))</f>
        <v>0</v>
      </c>
      <c r="AP210" s="148" t="b">
        <f>IF(Исходн.данные.!$P210="Ум",P_OrgUd_1g_um,IF(Исходн.данные.!$P210="Об",P_OrgUd_1g_ob))</f>
        <v>0</v>
      </c>
      <c r="AQ210" s="148" t="b">
        <f>IF(Исходн.данные.!$P210="Ум",K_OrgUd_1g_um,IF(Исходн.данные.!$P210="Об",K_OrgUd_1g_ob))</f>
        <v>0</v>
      </c>
      <c r="AR210" t="b">
        <f>IF(Исходн.данные.!$P210="Ум",N_MinUd_2g_um,IF(Исходн.данные.!$P210="Об",N_MinUd_2g_ob))</f>
        <v>0</v>
      </c>
      <c r="AS210" t="b">
        <f>IF(Исходн.данные.!$P210="Ум",P_MinUd_2g_um,IF(Исходн.данные.!$P210="Об",P_MinUd_2g_ob))</f>
        <v>0</v>
      </c>
      <c r="AT210" t="b">
        <f>IF(Исходн.данные.!$P210="Ум",K_MinUd_2g_um,IF(Исходн.данные.!$P210="Об",K_MinUd_2g_ob))</f>
        <v>0</v>
      </c>
      <c r="AU210" t="b">
        <f>IF(Исходн.данные.!$P210="Ум",N_MinUd_1g_um,IF(Исходн.данные.!$P210="Об",N_MinUd_1g_ob))</f>
        <v>0</v>
      </c>
      <c r="AV210" t="b">
        <f>IF(Исходн.данные.!P210="Ум",P_MinUd_1g_um,IF(Исходн.данные.!P210="Об",P_MinUd_1g_ob))</f>
        <v>0</v>
      </c>
      <c r="AW210" t="b">
        <f>IF(Исходн.данные.!P210="Ум",K_MinUd_1g_um,IF(Исходн.данные.!P210="Об",K_MinUd_1g_ob))</f>
        <v>0</v>
      </c>
      <c r="AY210" t="e">
        <f>VLOOKUP(Исходн.данные.!T210,Справ!$A$3:$N$57,12)</f>
        <v>#N/A</v>
      </c>
      <c r="AZ210" t="e">
        <f>VLOOKUP(Исходн.данные.!T210,Справ!$A$3:$N$57,13)</f>
        <v>#N/A</v>
      </c>
      <c r="BA210" t="e">
        <f>VLOOKUP(Исходн.данные.!T210,Справ!$A$3:$N$57,14)</f>
        <v>#N/A</v>
      </c>
      <c r="BB210">
        <f>IF(Исходн.данные.!AH210=0,0,25)</f>
        <v>0</v>
      </c>
      <c r="BC210" s="141">
        <f>IF(Исходн.данные.!AH210=0,0,IF(Исходн.данные.!T210=0,25,BD210))</f>
        <v>0</v>
      </c>
      <c r="BD210" s="168" t="e">
        <f>AY210+AZ210*Исходн.данные.!U210-POWER(BA210,2)*Исходн.данные.!U210</f>
        <v>#N/A</v>
      </c>
      <c r="BE21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0" s="25">
        <f>IF(Исходн.данные.!AH210=0,0,MIN(HN210:HP210))</f>
        <v>0</v>
      </c>
      <c r="BG210" s="9">
        <f>IF(Исходн.данные.!AH210=0,0,IF((HO210+10*0.25/HG210/HL210)&lt;17,17,HO210+10*0.25/HG210/HL210))</f>
        <v>0</v>
      </c>
      <c r="BH210" s="181">
        <f>IF(Исходн.данные.!AH210=0,0,HW210*HF210*HL210/AU210*AI210+Исходн.данные.!S210*10)</f>
        <v>0</v>
      </c>
      <c r="BI210" s="10"/>
      <c r="BJ210" s="182">
        <f>IF(Исходн.данные.!AH210=0,0,IF(HX210*HG210*HL210/AV210&lt;0,0,HX210*HG210*HL210/AV210*AJ210))</f>
        <v>0</v>
      </c>
      <c r="BK210" s="182">
        <f>IF(Исходн.данные.!AH210=0,0,HY210*HH210*HM210/AW210)</f>
        <v>0</v>
      </c>
      <c r="BL210" s="10">
        <f>IF(OR(Исходн.данные.!$AH210=$BP$1,Исходн.данные.!$AH210=$BP$2),0,IF(BH210&lt;0,0,IF(OR(Исходн.данные.!T210=Расчет!$BP$1,Исходн.данные.!T210=Расчет!$BP$2,Исходн.данные.!T210=Расчет!$BT$5,Исходн.данные.!T210=Расчет!$BT$6),BH210*0.5,IF(OR(Исходн.данные.!T210=Расчет!$BS$9,Исходн.данные.!T210=Расчет!$BS$10,Исходн.данные.!T210=Расчет!$BS$11,Исходн.данные.!T210=Расчет!$BS$12,Исходн.данные.!T210=Расчет!$BP$5),BH210*0.8,BH210))))</f>
        <v>0</v>
      </c>
      <c r="BM210" s="10">
        <f>IF(OR(Исходн.данные.!$AH210=$BP$1,Исходн.данные.!$AH210=$BP$2),0,IF(BJ210&lt;0,0,IF(Исходн.данные.!I210&lt;4.5,BJ210*1.2,IF(Исходн.данные.!I210&gt;5.1,BJ210,BJ210*((5.1-Исходн.данные.!I210)*0.333+1)))))</f>
        <v>0</v>
      </c>
      <c r="BN210" s="10">
        <f>IF(OR(Исходн.данные.!$AH210=$BP$1,Исходн.данные.!$AH210=$BP$2),60-Исходн.данные.!AF210,IF(BK210&lt;0,0,IF(Исходн.данные.!I210&lt;4.5,BK210*1.2,IF(Исходн.данные.!I210&gt;5.1,BK210,BK210*((5.1-Исходн.данные.!I210)*0.333+1)))))</f>
        <v>0</v>
      </c>
      <c r="BO210" s="9">
        <f>IF(BL210&lt;0,0,BL210*Исходн.данные.!$AJ210/1000)</f>
        <v>0</v>
      </c>
      <c r="BP210" s="9">
        <f>IF(BM210&lt;0,0,BM210*Исходн.данные.!$AJ210/1000)</f>
        <v>0</v>
      </c>
      <c r="BQ210" s="9">
        <f>IF(BN210&lt;0,0,BN210*Исходн.данные.!$AJ210/1000)</f>
        <v>0</v>
      </c>
      <c r="BR210" s="9">
        <f t="shared" si="229"/>
        <v>0</v>
      </c>
      <c r="BS210" s="10" t="str">
        <f t="shared" si="230"/>
        <v>Аммофос 12:52:00</v>
      </c>
      <c r="BT210" s="10" t="str">
        <f t="shared" si="231"/>
        <v>Аммофос 12:52:00</v>
      </c>
      <c r="BU210" s="10" t="str">
        <f t="shared" si="232"/>
        <v>Диаммофоска</v>
      </c>
      <c r="BV210" s="10">
        <f t="shared" si="233"/>
        <v>0</v>
      </c>
      <c r="BW210" s="10"/>
      <c r="BX210" s="10"/>
      <c r="BY210" s="9">
        <f>IF(BL210&lt;0,0,IF(OR(Исходн.данные.!AI210=Расчет!$BU$6,Исходн.данные.!AI210=Расчет!$BU$7),Расчет!BV210,IF(Исходн.данные.!$AG210=$BV$11,BL210,IF(OR(Исходн.данные.!$AH210=$BQ$7,Исходн.данные.!$AH210=$BQ$8),CB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0,IF(Исходн.данные.!$AI210=$BU$11,"Нет",IF(BL210&gt;30,30,BL210)))))))</f>
        <v>0</v>
      </c>
      <c r="BZ210" s="9">
        <f>IF(AND(Исходн.данные.!$AG210=$BV$11,BM210&lt;10),10,IF(Исходн.данные.!$AG210=$BV$11,BM210,IF(OR(Исходн.данные.!$AH210=$BQ$7,Исходн.данные.!$AH210=$BQ$8),CC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10,IF(Исходн.данные.!$AI210=$BU$11,"Нет",IF(BM210&gt;60,60,IF(BM210&lt;10,10,BM210)))))))</f>
        <v>10</v>
      </c>
      <c r="CA210" s="39">
        <f>IF(BN210&lt;0,0,IF(Исходн.данные.!$AG210=$BV$11,BN210,IF(OR(Исходн.данные.!$AH210=$BQ$7,Исходн.данные.!$AH210=$BQ$8),CD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0,IF(Исходн.данные.!$AI210=$BU$11,"Нет",IF(BN210&gt;30,30,BN210))))))</f>
        <v>0</v>
      </c>
      <c r="CB210" s="9">
        <f t="shared" si="234"/>
        <v>0</v>
      </c>
      <c r="CC210" s="9">
        <f t="shared" si="235"/>
        <v>0</v>
      </c>
      <c r="CD210" s="9">
        <f t="shared" si="236"/>
        <v>0</v>
      </c>
      <c r="CE210" s="12">
        <f t="shared" si="237"/>
        <v>10</v>
      </c>
      <c r="CF210" s="9">
        <f t="shared" si="238"/>
        <v>0</v>
      </c>
      <c r="CG210" s="9" t="s">
        <v>231</v>
      </c>
      <c r="CH210" s="132" t="str">
        <f>IF(Исходн.данные.!AP210=Расчет!$CI$16,"Нет",IF(Исходн.данные.!AL210&gt;0,Исходн.данные.!AL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BH$4,IF(OR(Исходн.данные.!AI210=Исходн.данные.!$AI$6,Исходн.данные.!AI210=Исходн.данные.!$AI$7),Расчет!BS210,IF(AND($CF210=0,$CE210&gt;0),EV210,ER210)))))</f>
        <v>Аммофос 12:52:00</v>
      </c>
      <c r="CI210" s="274">
        <f>IF(Расчет!$CH210="Нет","Нет",IF(Исходн.данные.!$AL210&gt;0,VLOOKUP(Расчет!$CH210,АшламаДВ_Irekle,2,FALSE),VLOOKUP(Расчет!$CH210,АшламаДВ_Gomumy,2,FALSE)))</f>
        <v>0.12</v>
      </c>
      <c r="CJ210" s="274">
        <f>IF(Расчет!$CH210="Нет","Нет",IF(Исходн.данные.!$AL210&gt;0,VLOOKUP(Расчет!$CH210,АшламаДВ_Irekle,3,FALSE),VLOOKUP(Расчет!$CH210,АшламаДВ_Gomumy,3,FALSE)))</f>
        <v>0.52</v>
      </c>
      <c r="CK210" s="274">
        <f>IF(Расчет!$CH210="Нет","Нет",IF(Исходн.данные.!$AL210&gt;0,VLOOKUP(Расчет!$CH210,АшламаДВ_Irekle,4,FALSE),VLOOKUP(Расчет!$CH210,АшламаДВ_Gomumy,4,FALSE)))</f>
        <v>0</v>
      </c>
      <c r="CL210" s="70"/>
      <c r="CM210" s="70"/>
      <c r="CN210" s="70"/>
      <c r="CO210" s="70"/>
      <c r="CP210" s="70"/>
      <c r="CQ210" s="70"/>
      <c r="CR210" s="10">
        <f t="shared" si="239"/>
        <v>0</v>
      </c>
      <c r="CS210" s="10">
        <f t="shared" si="240"/>
        <v>19.23076923076923</v>
      </c>
      <c r="CT210" s="10">
        <f t="shared" si="241"/>
        <v>0</v>
      </c>
      <c r="CU210" s="39">
        <f>IF($CH210="Нет",0,IF(CI210=0,30/MIN(CJ210:CK210),IF(Исходн.данные.!$AG210=$BV$11,CR210,IF(OR(Исходн.данные.!$AH210=$BQ$7,Исходн.данные.!$AH210=$BQ$8),90/CI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0,IF(Исходн.данные.!$AI210=$BU$11,"Нет",30/CI210))))))</f>
        <v>250</v>
      </c>
      <c r="CV210" s="39">
        <f>IF($CH210="Нет",0,IF(Исходн.данные.!AH210=0,0,IF(CJ210=0,60/MIN(CI210,CK210),IF(Исходн.данные.!$AG210=$BV$11,CS210,IF(OR(Исходн.данные.!$AH210=$BQ$7,Исходн.данные.!$AH210=$BQ$8),90/CJ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10/CJ210,IF(Исходн.данные.!$AI210=$BU$11,"Нет",60/CJ210)))))))</f>
        <v>0</v>
      </c>
      <c r="CW210" s="39">
        <f>IF($CH210="Нет",0,IF(Исходн.данные.!AH210=0,0,IF(CK210=0,30/MIN(CI210:CJ210),IF(Исходн.данные.!$AG210=$BV$11,CT210,IF(OR(Исходн.данные.!$AH210=$BQ$7,Исходн.данные.!$AH210=$BQ$8),90/CK210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0,IF(Исходн.данные.!$AI210=$BU$11,"Нет",30/CK210)))))))</f>
        <v>0</v>
      </c>
      <c r="CX210" s="133">
        <f>IF(Исходн.данные.!$AG210=$BV$11,MAX(CU210:CW210),IF(OR(Исходн.данные.!$AH210=$BS$8,Исходн.данные.!$AH210=$BQ$9,Исходн.данные.!$AH210=$BQ$10,Исходн.данные.!$AH210=$BQ$11,Исходн.данные.!$AH210=$BQ$12,Исходн.данные.!$AH210=$BP$3,Исходн.данные.!$AH210=$BT$8,$FM210="Да"),CV210,MIN(CU210:CW210)))</f>
        <v>0</v>
      </c>
      <c r="CY210" s="133">
        <f>IF(Исходн.данные.!AH210=0,0,IF(CR210&gt;$CX210,$CX210,CR210))</f>
        <v>0</v>
      </c>
      <c r="CZ210" s="133">
        <f>IF(Исходн.данные.!AH210=0,0,IF(CS210&gt;$CX210,$CX210,CS210))</f>
        <v>0</v>
      </c>
      <c r="DA210" s="133">
        <f>IF(Исходн.данные.!AH210=0,0,IF(CT210&gt;$CX210,$CX210,CT210))</f>
        <v>0</v>
      </c>
      <c r="DB210" s="10">
        <f t="shared" si="242"/>
        <v>0</v>
      </c>
      <c r="DC210" s="39">
        <f>DB210*Исходн.данные.!AJ210/1000</f>
        <v>0</v>
      </c>
      <c r="DD210" s="71">
        <f t="shared" si="243"/>
        <v>0</v>
      </c>
      <c r="DE210" s="9">
        <f t="shared" si="244"/>
        <v>0</v>
      </c>
      <c r="DF210" s="9">
        <f t="shared" si="245"/>
        <v>0</v>
      </c>
      <c r="DG210" s="39">
        <f>IF(BL210&lt;0,0,IF($CH210="Нет",BL210,IF(OR(Исходн.данные.!$AH210=$BP$1,Исходн.данные.!$AH210=$BP$2),0,IF(Исходн.данные.!AI210=$BU$11,BL210,IF(BL210-DD210&lt;0,0,BL210-DD210)))))</f>
        <v>0</v>
      </c>
      <c r="DH210" s="39">
        <f>IF(BM210&lt;0,0,IF($CH210="Нет",BM210,IF(OR(Исходн.данные.!$AH210=$BP$1,Исходн.данные.!$AH210=$BP$2),0,IF(Исходн.данные.!AJ210=$BU$11,BM210,IF(BM210-DE210&lt;0,0,BM210-DE210)))))</f>
        <v>0</v>
      </c>
      <c r="DI210" s="39">
        <f>IF(BN210&lt;0,0,IF($CH210="Нет",BN210,IF(OR(Исходн.данные.!$AH210=$BP$1,Исходн.данные.!$AH210=$BP$2),0,IF(Исходн.данные.!AK210=$BU$11,BN210,IF(BN210-DF210&lt;0,0,BN210-DF210)))))</f>
        <v>0</v>
      </c>
      <c r="DJ210" s="12">
        <f t="shared" si="246"/>
        <v>0</v>
      </c>
      <c r="DK210" s="9">
        <f t="shared" si="247"/>
        <v>0</v>
      </c>
      <c r="DL210" s="39">
        <f>IF(Исходн.данные.!AM210&gt;0,Исходн.данные.!AM210,IF(EG210&gt;0,$BH$10,0))</f>
        <v>0</v>
      </c>
      <c r="DM210" s="186">
        <f>IF($DL210=0,0,IF(Исходн.данные.!AM210&gt;0,VLOOKUP($DL210,АшламаДВ_Irekle,2,FALSE),VLOOKUP($DL210,АшламаДВ_Gomumy,2,FALSE)))</f>
        <v>0</v>
      </c>
      <c r="DN210" s="10">
        <f t="shared" si="225"/>
        <v>0</v>
      </c>
      <c r="DO210" s="9" t="str">
        <f>IF(Исходн.данные.!AN210&gt;0,Исходн.данные.!AN210,Удобрения!$B$37 )</f>
        <v>Хлор.калий</v>
      </c>
      <c r="DP210" s="9">
        <f>IF(Исходн.данные.!AN210&gt;0,VLOOKUP(Исходн.данные.!AN210,АшламаДВ_Irekle,4,FALSE),VLOOKUP(DO210,АшламаДВ_Gomumy,4,FALSE))</f>
        <v>0.6</v>
      </c>
      <c r="DQ210" s="10">
        <f t="shared" si="226"/>
        <v>0</v>
      </c>
      <c r="DR210" s="132" t="str">
        <f>IF(Исходн.данные.!AO210&gt;0,Исходн.данные.!AO210,IF(DH210=0,BS$17,IF(AND($DK210=0,$DJ210&gt;0),EJ210,EN210)))</f>
        <v>Нет</v>
      </c>
      <c r="DS210" s="70" t="str">
        <f>IF($DR210="Нет","Нет",IF(Исходн.данные.!$AO210&gt;0,VLOOKUP($DR210,АшламаДВ_Irekle,2,FALSE),VLOOKUP($DR210,АшламаДВ_Gomumy,2,FALSE)))</f>
        <v>Нет</v>
      </c>
      <c r="DT210" s="70" t="str">
        <f>IF($DR210="Нет","Нет",IF(Исходн.данные.!$AO210&gt;0,VLOOKUP($DR210,АшламаДВ_Irekle,3,FALSE),VLOOKUP($DR210,АшламаДВ_Gomumy,3,FALSE)))</f>
        <v>Нет</v>
      </c>
      <c r="DU210" s="70" t="str">
        <f>IF($DR210="Нет","Нет",IF(Исходн.данные.!$AO210&gt;0,VLOOKUP($DR210,АшламаДВ_Irekle,4,FALSE),VLOOKUP($DR210,АшламаДВ_Gomumy,4,FALSE)))</f>
        <v>Нет</v>
      </c>
      <c r="DV210" s="70"/>
      <c r="DW210" s="70"/>
      <c r="DX210" s="70"/>
      <c r="DY210" s="10">
        <f t="shared" si="248"/>
        <v>0</v>
      </c>
      <c r="DZ210" s="10">
        <f t="shared" si="249"/>
        <v>0</v>
      </c>
      <c r="EA210" s="10">
        <f t="shared" si="250"/>
        <v>0</v>
      </c>
      <c r="EB210" s="10">
        <f t="shared" si="251"/>
        <v>0</v>
      </c>
      <c r="EC210" s="10">
        <f t="shared" si="252"/>
        <v>0</v>
      </c>
      <c r="ED210" s="10">
        <f t="shared" si="253"/>
        <v>0</v>
      </c>
      <c r="EE210" s="10">
        <f t="shared" si="254"/>
        <v>0</v>
      </c>
      <c r="EF210" s="39">
        <f>EB210*Исходн.данные.!AJ210/1000</f>
        <v>0</v>
      </c>
      <c r="EG210" s="9">
        <f t="shared" si="255"/>
        <v>0</v>
      </c>
      <c r="EH210" s="9">
        <f t="shared" si="256"/>
        <v>0</v>
      </c>
      <c r="EI210" s="39" t="e">
        <f t="shared" si="206"/>
        <v>#DIV/0!</v>
      </c>
      <c r="EJ210" s="9" t="str">
        <f t="shared" si="227"/>
        <v>Азопреципитат</v>
      </c>
      <c r="EK210" s="12">
        <f t="shared" si="207"/>
        <v>0.26</v>
      </c>
      <c r="EL210" s="12">
        <f t="shared" si="208"/>
        <v>0.13</v>
      </c>
      <c r="EM210" s="12">
        <f t="shared" si="209"/>
        <v>0</v>
      </c>
      <c r="EN210" s="12" t="str">
        <f t="shared" si="228"/>
        <v>Нет</v>
      </c>
      <c r="EO210" s="12">
        <f t="shared" si="210"/>
        <v>0</v>
      </c>
      <c r="EP210" s="12">
        <f t="shared" si="211"/>
        <v>0</v>
      </c>
      <c r="EQ210" s="12">
        <f t="shared" si="212"/>
        <v>0</v>
      </c>
      <c r="ER210" s="12" t="str">
        <f t="shared" si="257"/>
        <v>Диаммофоска</v>
      </c>
      <c r="ES210" s="12">
        <f t="shared" si="213"/>
        <v>0.1</v>
      </c>
      <c r="ET210" s="12">
        <f t="shared" si="214"/>
        <v>0.26</v>
      </c>
      <c r="EU210" s="12">
        <f t="shared" si="215"/>
        <v>0.26</v>
      </c>
      <c r="EV210" s="12" t="str">
        <f t="shared" si="258"/>
        <v>Аммофос 12:52:00</v>
      </c>
      <c r="EW210" s="12" t="str">
        <f t="shared" si="259"/>
        <v>Кемира Свекловичное-6</v>
      </c>
      <c r="EX210" s="12">
        <f t="shared" si="216"/>
        <v>0.16</v>
      </c>
      <c r="EY210" s="12">
        <f t="shared" si="217"/>
        <v>0.12</v>
      </c>
      <c r="EZ210" s="12">
        <f t="shared" si="218"/>
        <v>0.17</v>
      </c>
      <c r="FA210" s="38" t="e">
        <f>IF(AND(OR(FJ210=$FD$1,FM210=$FD$1,FO210=$FD$1,FQ210=$FD$1,FS210=$FD$1),FD210=$FD$1,Исходн.данные.!J210&lt;2,FU210=$FD$1),"Бор,Кобальт",IF(AND(FO210=$FD$1,FH210=$FD$1,Исходн.данные.!J210&lt;2,FU210=$FD$1),"Бор,Кобальт",IF(AND(OR(FJ210=$FD$1,FM210=$FD$1,FQ210=$FD$1),FE210=$FD$1,Исходн.данные.!J210&lt;2,FT210=$FD$1,FU210=$FD$1),"Бор,Медь,Цинк",IF(AND(OR(FJ210=$FD$1,FR210="Да"),FI210="Да",Исходн.данные.!J210&lt;2,FT210="Да",FU210="Да"),"Бор,Цинк,Медь",IF(AND(OR(FM210="Да",FQ210="Да"),FI210="Да",Исходн.данные.!J210&lt;2,FT210="Да",FU210="Да"),"Бор,Цинк",IF(AND(FN210="Да",OR(FD210="Да",FE210="Да")),"Бор",FB210))))))</f>
        <v>#N/A</v>
      </c>
      <c r="FB210" s="134" t="e">
        <f>IF(AND(OR(FD210="Да",FE210="Да",FF210="Да",FG210="Да",FH210="Да"),FO210="Да"),"Бор",IF(AND(FP210="Да",OR(FD210="Да",FE210="Да",FI210="Да")),"Бор",IF(AND(FS210="Да",FE210="Да"),"Бор,Медь",IF(AND(OR(FJ210="Да",FK210="Да",FL210="Да"),FE210="Да",Исходн.данные.!I210&lt;5,FT210="Да",FU210="Да"),"Молибден,Цинк",IF(AND(FM210="Да",OR(FE210="Да",FF210="Да",FG210="Да",FH210="Да",FI210="Да")),"Молибден,Цинк",IF(AND(OR(FJ210="Да",FK210="Да",FL210="Да",FM210="Да",FQ210="Да"),OR(FE210="Да",FF210="Да"),FT210="Да",FU210="Да",Исходн.данные.!I210&gt;5.5),"Медь,Цинк",FC210))))))</f>
        <v>#N/A</v>
      </c>
      <c r="FC210" s="23" t="e">
        <f t="shared" si="260"/>
        <v>#N/A</v>
      </c>
      <c r="FD210" s="38" t="str">
        <f>IF(OR(Исходн.данные.!F210=$CC$1,Исходн.данные.!F210=$CC$2,Исходн.данные.!F210=$CC$3,Исходн.данные.!F210=$CC$4),"Да","Нет")</f>
        <v>Нет</v>
      </c>
      <c r="FE210" s="38" t="str">
        <f>IF(Исходн.данные.!F210=$CC$5,"Да","Нет")</f>
        <v>Нет</v>
      </c>
      <c r="FF210" s="38" t="str">
        <f>IF(OR(Исходн.данные.!F210=$CC$6,Исходн.данные.!F210=$CC$7),"Да","Нет")</f>
        <v>Нет</v>
      </c>
      <c r="FG210" s="38" t="str">
        <f>IF(OR(Исходн.данные.!F210=$CC$8,Исходн.данные.!F210=$CC$9),"Да","Нет")</f>
        <v>Нет</v>
      </c>
      <c r="FH210" s="38" t="str">
        <f>IF(Исходн.данные.!F210=$CC$10,"Да","Нет")</f>
        <v>Нет</v>
      </c>
      <c r="FI210" s="38" t="str">
        <f>IF(OR(Исходн.данные.!F210=$CC$11,Исходн.данные.!F210=$CC$12),"Да","Нет")</f>
        <v>Нет</v>
      </c>
      <c r="FJ210" s="38" t="str">
        <f>IF(OR(Исходн.данные.!AH210=$BS$1,Исходн.данные.!AH210=$BQ$11,Исходн.данные.!AH210=$BQ$12),"Да","Нет")</f>
        <v>Нет</v>
      </c>
      <c r="FK210" s="38" t="str">
        <f>IF(OR(Исходн.данные.!AH210=$BS$2,Исходн.данные.!AH210=$BS$4),"Да","Нет")</f>
        <v>Нет</v>
      </c>
      <c r="FL210" s="38" t="str">
        <f>IF(OR(Исходн.данные.!AH210=$BS$3,Исходн.данные.!AH210=$BS$5),"Да","Нет")</f>
        <v>Нет</v>
      </c>
      <c r="FM210" s="38" t="str">
        <f>IF(OR(Исходн.данные.!AH210=$BS$9,Исходн.данные.!AH210=$BS$10,Исходн.данные.!AH210=$BS$11,Исходн.данные.!AH210=$BS$12),"Да","Нет")</f>
        <v>Нет</v>
      </c>
      <c r="FN210" s="38" t="str">
        <f>IF(OR(Исходн.данные.!AH210=$BS$6,Исходн.данные.!AH210=$BP$3),"Да","Нет")</f>
        <v>Нет</v>
      </c>
      <c r="FO210" s="38" t="str">
        <f>IF(Исходн.данные.!AH210=$BQ$9,"Да","Нет")</f>
        <v>Нет</v>
      </c>
      <c r="FP210" s="38" t="str">
        <f>IF(OR(Исходн.данные.!AH210=$BS$8,Исходн.данные.!AH210=$BT$8),"Да","Нет")</f>
        <v>Нет</v>
      </c>
      <c r="FQ210" s="38" t="str">
        <f>IF(OR(Исходн.данные.!AH210=$BQ$7,Исходн.данные.!AH210=$BQ$8),"Да","Нет")</f>
        <v>Нет</v>
      </c>
      <c r="FR210" s="38" t="str">
        <f>IF(Исходн.данные.!AI210=$BU$9,"Да","Нет")</f>
        <v>Нет</v>
      </c>
      <c r="FS210" s="38" t="str">
        <f>IF(OR(Исходн.данные.!AH210=$BP$1,Исходн.данные.!AH210=$BP$2),"Да","Нет")</f>
        <v>Нет</v>
      </c>
      <c r="FT210" s="38" t="e">
        <f>IF((Исходн.данные.!K210*GO210*GS210*GW210+BL210*0.6+Исходн.данные.!Q210*4.5*0.275)&gt;90,"Да","Нет")</f>
        <v>#N/A</v>
      </c>
      <c r="FU210" s="38" t="e">
        <f>IF((Исходн.данные.!M210*GS210*GZ210+BM210*0.225)&gt;35,"Да","Нет")</f>
        <v>#N/A</v>
      </c>
      <c r="FV210" s="38" t="str">
        <f>IF(Исходн.данные.!O210&gt;175,"Да","Нет")</f>
        <v>Нет</v>
      </c>
      <c r="FW210" s="39" t="str">
        <f>IF(Исходн.данные.!I210&gt;5.5,"Да","Нет")</f>
        <v>Нет</v>
      </c>
      <c r="FX210" s="39" t="str">
        <f>IF(Исходн.данные.!J210&lt;2,"Да","Нет")</f>
        <v>Да</v>
      </c>
      <c r="FY210" s="39" t="e">
        <f>IF(HF210=$FY$16,0,Исходн.данные.!K210*GO210*GS210*GW210/HF210)</f>
        <v>#N/A</v>
      </c>
      <c r="FZ210" s="39" t="e">
        <f>Исходн.данные.!M210*GS210*GZ210/HG210</f>
        <v>#N/A</v>
      </c>
      <c r="GA210" s="39" t="e">
        <f>IF(K_Wyn=$FY$16,0,IF(Исходн.данные.!N210=Исходн.данные.!$L$10,Исходн.данные.!O210/1.1*GS210*HC210/HH210,IF(Исходн.данные.!N210=Исходн.данные.!$L$12,Исходн.данные.!O210/1.5*GS210*HC210/HH210,Исходн.данные.!O210*GS210*HC210/HH210)))</f>
        <v>#N/A</v>
      </c>
      <c r="GB210" s="39" t="e">
        <f>IF(HF210=$FY$16,0,((Исходн.данные.!Q210*N_Org+Исходн.данные.!R210*N_Sider+Исходн.данные.!S210*N_Soloma)*AO210+Расчет!BC210*VLOOKUP(Исходн.данные.!T210,Справ!$A$3:$O$57,15)*AO210+BB210*VLOOKUP(Исходн.данные.!T210,Справ!$A$3:$O$57,15)*AL210+(Исходн.данные.!V210*N_Rizotorf+Исходн.данные.!W210*N_Rizoagr))/HF210)</f>
        <v>#N/A</v>
      </c>
      <c r="GC210" s="39" t="e">
        <f>IF(HG210=$FY$16,0,((Исходн.данные.!Q210*Р_Org+Исходн.данные.!R210*P_Sider+Исходн.данные.!S210*P_Soloma)*AP210+Расчет!BC210*VLOOKUP(Исходн.данные.!T210,Справ!$A$3:$P$57,16)*AP210+BB210*VLOOKUP(Исходн.данные.!T210,Справ!$A$3:$P$57,16)*AM210)/HG210)</f>
        <v>#N/A</v>
      </c>
      <c r="GD210" s="39" t="e">
        <f>IF(HH210=$FY$16,0,((Исходн.данные.!Q210*К_Org+Исходн.данные.!R210*K_Sider+Исходн.данные.!S210*K_Soloma)*AQ210+Расчет!BC210*VLOOKUP(Исходн.данные.!T210,Справ!$A$3:$Q$57,17)*AQ210+BB210*VLOOKUP(Исходн.данные.!T210,Справ!$A$3:$Q$57,17)*AN210)/HH210)</f>
        <v>#N/A</v>
      </c>
      <c r="GE210" s="39" t="e">
        <f>IF(HF210=$FY$16,0,(Исходн.данные.!X210*AR210+Исходн.данные.!AA210*N_Org*AL210+Исходн.данные.!AB210*N_Sider*AL210+Исходн.данные.!AC210*N_Soloma*AL210)/HF210)</f>
        <v>#N/A</v>
      </c>
      <c r="GF210" s="39" t="e">
        <f>IF(HG210=$FY$16,0,(Исходн.данные.!Y210*AS210+Исходн.данные.!AA210*Р_Org*AM210+Исходн.данные.!AB210*P_Sider*AM210+Исходн.данные.!AC210*P_Soloma*AM210)/HG210)</f>
        <v>#N/A</v>
      </c>
      <c r="GG210" s="39" t="e">
        <f>IF(HH210=$FY$16,0,(Исходн.данные.!Z210*AT210+Исходн.данные.!AA210*К_Org*AN210+Исходн.данные.!AB210*K_Sider*AN210+Исходн.данные.!AC210*K_Soloma*AN210)/HH210)</f>
        <v>#N/A</v>
      </c>
      <c r="GH210" s="39" t="e">
        <f>Исходн.данные.!AD210*AU210/HF210</f>
        <v>#N/A</v>
      </c>
      <c r="GI210" s="39" t="e">
        <f>Исходн.данные.!AE210*AV210/HG210</f>
        <v>#N/A</v>
      </c>
      <c r="GJ210" s="39" t="e">
        <f>Исходн.данные.!AF210*AW210/HH210</f>
        <v>#N/A</v>
      </c>
      <c r="GK210" s="55">
        <f>Исходн.данные.!AK210</f>
        <v>0</v>
      </c>
      <c r="GL210" s="11" t="e">
        <f t="shared" si="261"/>
        <v>#N/A</v>
      </c>
      <c r="GM210" s="11" t="e">
        <f t="shared" si="262"/>
        <v>#N/A</v>
      </c>
      <c r="GN210" s="11" t="e">
        <f t="shared" si="263"/>
        <v>#N/A</v>
      </c>
      <c r="GO210" s="57">
        <f t="shared" si="264"/>
        <v>19</v>
      </c>
      <c r="GP210" s="55">
        <f>IF(OR(Исходн.данные.!F210=$CE$1,Исходн.данные.!F210=$CE$2,Исходн.данные.!F210=$CE$3,Исходн.данные.!F210=$CE$4,Исходн.данные.!F210=$CE$5),GQ210,GR210)</f>
        <v>19</v>
      </c>
      <c r="GQ210" s="55">
        <f>IF(Исходн.данные.!F210=$CE$1,28,IF(Исходн.данные.!F210=$CE$2,26,IF(Исходн.данные.!F210=$CE$3,24,IF(Исходн.данные.!F210=$CE$4,22,IF(Исходн.данные.!F210=$CE$5,20,GR210)))))</f>
        <v>19</v>
      </c>
      <c r="GR210" s="55">
        <f>IF(Исходн.данные.!F210=$CE$6,18,IF(Исходн.данные.!F210=$CE$7,16,IF(Исходн.данные.!F210=$CE$8,14,IF(Исходн.данные.!F210=$CE$9,13,IF(Исходн.данные.!F210=$CE$10,12,19)))))</f>
        <v>19</v>
      </c>
      <c r="GS210" s="55">
        <f>IF(Исходн.данные.!G210="Пес",0.035*(40+2*Исходн.данные.!H210),IF(Исходн.данные.!G210="Суп",0.0325*(40+2*Исходн.данные.!H210),0.03*(40+2*Исходн.данные.!H210)))</f>
        <v>1.2</v>
      </c>
      <c r="GT210" s="55">
        <f>IF(Исходн.данные.!H210&lt;23,2.6,IF(AND(Исходн.данные.!H210&gt;22,Исходн.данные.!H210&lt;26),3,IF(AND(Исходн.данные.!H210&gt;25,Исходн.данные.!H210&lt;29),3.4,3.6)))</f>
        <v>2.6</v>
      </c>
      <c r="GU210" s="55">
        <f>IF(Исходн.данные.!H210&lt;23,2.8,IF(AND(Исходн.данные.!H210&gt;22,Исходн.данные.!H210&lt;26),3.2,IF(AND(Исходн.данные.!H210&gt;25,Исходн.данные.!H210&lt;29),3.6,3.9)))</f>
        <v>2.8</v>
      </c>
      <c r="GV210" s="55">
        <f>IF(Исходн.данные.!H210&lt;23,3,IF(AND(Исходн.данные.!H210&gt;22,Исходн.данные.!H210&lt;26),3.5,IF(AND(Исходн.данные.!H210&gt;25,Исходн.данные.!H210&lt;29),3.9,4.2)))</f>
        <v>3</v>
      </c>
      <c r="GW210" s="55" t="e">
        <f>IF(Исходн.данные.!P210="Ум",GX210,GY210)</f>
        <v>#N/A</v>
      </c>
      <c r="GX210" s="55" t="e">
        <f>VLOOKUP(Исходн.данные.!AI210,Коэффициенты!$J$7:$L$13,2,FALSE)</f>
        <v>#N/A</v>
      </c>
      <c r="GY210" s="55" t="e">
        <f>VLOOKUP(Исходн.данные.!AI210,Коэффициенты!$J$7:$L$13,3,FALSE)</f>
        <v>#N/A</v>
      </c>
      <c r="GZ210" s="55" t="e">
        <f>(IF(Исходн.данные.!M210&lt;50,0.11*VLOOKUP(Исходн.данные.!AH210,Культуры.Информация,7,FALSE),IF(Исходн.данные.!M210&gt;250,0.05*VLOOKUP(Исходн.данные.!AH210,Культуры.Информация,7,FALSE),VLOOKUP(Исходн.данные.!AH210,Культуры.Информация,5,FALSE)/100*($GX$6+$GY$6*Исходн.данные.!M210))))*Расчет2!AI210</f>
        <v>#N/A</v>
      </c>
      <c r="HA210" s="211"/>
      <c r="HB210" s="211"/>
      <c r="HC210" s="55" t="e">
        <f>(IF(Исходн.данные.!O210&lt;80,0.2*VLOOKUP(Исходн.данные.!AH210,Культуры.Информация,8,FALSE),IF(Исходн.данные.!O210&gt;240,0.09*VLOOKUP(Исходн.данные.!AH210,Культуры.Информация,8,FALSE),VLOOKUP(Исходн.данные.!AH210,Культуры.Информация,6,FALSE)/100*($HB$6+$HC$6*Исходн.данные.!O210))))*Расчет2!AJ210</f>
        <v>#N/A</v>
      </c>
      <c r="HD210" s="55">
        <f>IF(Исходн.данные.!O210&gt;240,0.09,IF(Исходн.данные.!O210&lt;30,0.3,$HE$10+$HD$10*Исходн.данные.!O210))</f>
        <v>0.3</v>
      </c>
      <c r="HE210" s="55">
        <f>IF(Исходн.данные.!O210&gt;240,0.17,IF(Исходн.данные.!O210&lt;30,0.5,$HF$12+$HE$12*Исходн.данные.!O210))</f>
        <v>0.5</v>
      </c>
      <c r="HF210" s="55" t="e">
        <f>VLOOKUP(Исходн.данные.!AH210,Справ!$A$3:$D$58,2,FALSE)</f>
        <v>#N/A</v>
      </c>
      <c r="HG210" s="55" t="e">
        <f>VLOOKUP(Исходн.данные.!AH210,Справ!$A$3:$D$58,3,FALSE)</f>
        <v>#N/A</v>
      </c>
      <c r="HH210" s="55" t="e">
        <f>VLOOKUP(Исходн.данные.!AH210,Справ!$A$3:$D$58,4,FALSE)</f>
        <v>#N/A</v>
      </c>
      <c r="HI210" s="11" t="e">
        <f t="shared" si="265"/>
        <v>#N/A</v>
      </c>
      <c r="HJ210" s="11" t="e">
        <f t="shared" si="266"/>
        <v>#N/A</v>
      </c>
      <c r="HK210" s="11" t="e">
        <f t="shared" si="267"/>
        <v>#N/A</v>
      </c>
      <c r="HL210" s="55">
        <f>IF(OR(Исходн.данные.!G210="Глин",Исходн.данные.!G210="Т_суг"),1.1,IF(Исходн.данные.!G210="Ср_суг",1,1))</f>
        <v>1</v>
      </c>
      <c r="HM210" s="55">
        <f>IF(OR(Исходн.данные.!G210="Глин",Исходн.данные.!G210="Т_суг"),0.9,IF(Исходн.данные.!G210="Ср_суг",1,1.2))</f>
        <v>1.2</v>
      </c>
      <c r="HN210" s="11" t="e">
        <f t="shared" si="268"/>
        <v>#N/A</v>
      </c>
      <c r="HO210" s="11" t="e">
        <f t="shared" si="269"/>
        <v>#N/A</v>
      </c>
      <c r="HP210" s="11" t="e">
        <f t="shared" si="270"/>
        <v>#N/A</v>
      </c>
      <c r="HQ210" t="e">
        <f t="shared" si="271"/>
        <v>#N/A</v>
      </c>
      <c r="HR210" t="e">
        <f t="shared" si="272"/>
        <v>#N/A</v>
      </c>
      <c r="HS210" t="e">
        <f t="shared" si="273"/>
        <v>#N/A</v>
      </c>
      <c r="HT210" t="e">
        <f t="shared" si="219"/>
        <v>#N/A</v>
      </c>
      <c r="HU210" t="e">
        <f t="shared" si="220"/>
        <v>#N/A</v>
      </c>
      <c r="HV210" t="e">
        <f t="shared" si="221"/>
        <v>#N/A</v>
      </c>
      <c r="HW210" t="e">
        <f t="shared" si="222"/>
        <v>#N/A</v>
      </c>
      <c r="HX210" t="e">
        <f t="shared" si="223"/>
        <v>#N/A</v>
      </c>
      <c r="HY210" t="e">
        <f t="shared" si="224"/>
        <v>#N/A</v>
      </c>
      <c r="HZ210" s="55">
        <f>IF(OR(Исходн.данные.!AI210="Оз_Ч_П",Исходн.данные.!AI210="Оз_З_П",Исходн.данные.!AI210="Яр_зер"),12,30)</f>
        <v>30</v>
      </c>
      <c r="IA210" t="e">
        <f t="shared" si="274"/>
        <v>#N/A</v>
      </c>
      <c r="IB210" t="e">
        <f t="shared" si="275"/>
        <v>#N/A</v>
      </c>
      <c r="IC210" t="e">
        <f t="shared" si="276"/>
        <v>#N/A</v>
      </c>
      <c r="ID210" s="11" t="e">
        <f t="shared" si="277"/>
        <v>#N/A</v>
      </c>
      <c r="IE210" s="11" t="e">
        <f t="shared" si="278"/>
        <v>#N/A</v>
      </c>
      <c r="IF210" s="11" t="e">
        <f t="shared" si="279"/>
        <v>#N/A</v>
      </c>
    </row>
    <row r="211" spans="35:240" x14ac:dyDescent="0.2">
      <c r="AI211">
        <f>IF(Исходн.данные.!I211&gt;6,1,1.85-(0.148*Исходн.данные.!I211))</f>
        <v>1.85</v>
      </c>
      <c r="AJ211">
        <f>IF(Исходн.данные.!I211&gt;6,1,2.434-(0.246*Исходн.данные.!I211))</f>
        <v>2.4340000000000002</v>
      </c>
      <c r="AL211" s="148" t="b">
        <f>IF(Исходн.данные.!$P211="Ум",N_OrgUd_2g_um,IF(Исходн.данные.!$P211="Об",N_OrgUd_2g_ob))</f>
        <v>0</v>
      </c>
      <c r="AM211" s="148" t="b">
        <f>IF(Исходн.данные.!$P211="Ум",P_OrgUd_2g_um,IF(Исходн.данные.!$P211="Об",P_OrgUd_2g_ob))</f>
        <v>0</v>
      </c>
      <c r="AN211" s="148" t="b">
        <f>IF(Исходн.данные.!$P211="Ум",K_OrgUd_2g_um,IF(Исходн.данные.!$P211="Об",K_OrgUd_2g_ob))</f>
        <v>0</v>
      </c>
      <c r="AO211" s="148" t="b">
        <f>IF(Исходн.данные.!$P211="Ум",N_OrgUd_1g_um,IF(Исходн.данные.!$P211="Об",N_OrgUd_1g_ob))</f>
        <v>0</v>
      </c>
      <c r="AP211" s="148" t="b">
        <f>IF(Исходн.данные.!$P211="Ум",P_OrgUd_1g_um,IF(Исходн.данные.!$P211="Об",P_OrgUd_1g_ob))</f>
        <v>0</v>
      </c>
      <c r="AQ211" s="148" t="b">
        <f>IF(Исходн.данные.!$P211="Ум",K_OrgUd_1g_um,IF(Исходн.данные.!$P211="Об",K_OrgUd_1g_ob))</f>
        <v>0</v>
      </c>
      <c r="AR211" t="b">
        <f>IF(Исходн.данные.!$P211="Ум",N_MinUd_2g_um,IF(Исходн.данные.!$P211="Об",N_MinUd_2g_ob))</f>
        <v>0</v>
      </c>
      <c r="AS211" t="b">
        <f>IF(Исходн.данные.!$P211="Ум",P_MinUd_2g_um,IF(Исходн.данные.!$P211="Об",P_MinUd_2g_ob))</f>
        <v>0</v>
      </c>
      <c r="AT211" t="b">
        <f>IF(Исходн.данные.!$P211="Ум",K_MinUd_2g_um,IF(Исходн.данные.!$P211="Об",K_MinUd_2g_ob))</f>
        <v>0</v>
      </c>
      <c r="AU211" t="b">
        <f>IF(Исходн.данные.!$P211="Ум",N_MinUd_1g_um,IF(Исходн.данные.!$P211="Об",N_MinUd_1g_ob))</f>
        <v>0</v>
      </c>
      <c r="AV211" t="b">
        <f>IF(Исходн.данные.!P211="Ум",P_MinUd_1g_um,IF(Исходн.данные.!P211="Об",P_MinUd_1g_ob))</f>
        <v>0</v>
      </c>
      <c r="AW211" t="b">
        <f>IF(Исходн.данные.!P211="Ум",K_MinUd_1g_um,IF(Исходн.данные.!P211="Об",K_MinUd_1g_ob))</f>
        <v>0</v>
      </c>
      <c r="AY211" t="e">
        <f>VLOOKUP(Исходн.данные.!T211,Справ!$A$3:$N$57,12)</f>
        <v>#N/A</v>
      </c>
      <c r="AZ211" t="e">
        <f>VLOOKUP(Исходн.данные.!T211,Справ!$A$3:$N$57,13)</f>
        <v>#N/A</v>
      </c>
      <c r="BA211" t="e">
        <f>VLOOKUP(Исходн.данные.!T211,Справ!$A$3:$N$57,14)</f>
        <v>#N/A</v>
      </c>
      <c r="BB211">
        <f>IF(Исходн.данные.!AH211=0,0,25)</f>
        <v>0</v>
      </c>
      <c r="BC211" s="141">
        <f>IF(Исходн.данные.!AH211=0,0,IF(Исходн.данные.!T211=0,25,BD211))</f>
        <v>0</v>
      </c>
      <c r="BD211" s="168" t="e">
        <f>AY211+AZ211*Исходн.данные.!U211-POWER(BA211,2)*Исходн.данные.!U211</f>
        <v>#N/A</v>
      </c>
      <c r="BE21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1" s="25">
        <f>IF(Исходн.данные.!AH211=0,0,MIN(HN211:HP211))</f>
        <v>0</v>
      </c>
      <c r="BG211" s="9">
        <f>IF(Исходн.данные.!AH211=0,0,IF((HO211+10*0.25/HG211/HL211)&lt;17,17,HO211+10*0.25/HG211/HL211))</f>
        <v>0</v>
      </c>
      <c r="BH211" s="181">
        <f>IF(Исходн.данные.!AH211=0,0,HW211*HF211*HL211/AU211*AI211+Исходн.данные.!S211*10)</f>
        <v>0</v>
      </c>
      <c r="BI211" s="10"/>
      <c r="BJ211" s="182">
        <f>IF(Исходн.данные.!AH211=0,0,IF(HX211*HG211*HL211/AV211&lt;0,0,HX211*HG211*HL211/AV211*AJ211))</f>
        <v>0</v>
      </c>
      <c r="BK211" s="182">
        <f>IF(Исходн.данные.!AH211=0,0,HY211*HH211*HM211/AW211)</f>
        <v>0</v>
      </c>
      <c r="BL211" s="10">
        <f>IF(OR(Исходн.данные.!$AH211=$BP$1,Исходн.данные.!$AH211=$BP$2),0,IF(BH211&lt;0,0,IF(OR(Исходн.данные.!T211=Расчет!$BP$1,Исходн.данные.!T211=Расчет!$BP$2,Исходн.данные.!T211=Расчет!$BT$5,Исходн.данные.!T211=Расчет!$BT$6),BH211*0.5,IF(OR(Исходн.данные.!T211=Расчет!$BS$9,Исходн.данные.!T211=Расчет!$BS$10,Исходн.данные.!T211=Расчет!$BS$11,Исходн.данные.!T211=Расчет!$BS$12,Исходн.данные.!T211=Расчет!$BP$5),BH211*0.8,BH211))))</f>
        <v>0</v>
      </c>
      <c r="BM211" s="10">
        <f>IF(OR(Исходн.данные.!$AH211=$BP$1,Исходн.данные.!$AH211=$BP$2),0,IF(BJ211&lt;0,0,IF(Исходн.данные.!I211&lt;4.5,BJ211*1.2,IF(Исходн.данные.!I211&gt;5.1,BJ211,BJ211*((5.1-Исходн.данные.!I211)*0.333+1)))))</f>
        <v>0</v>
      </c>
      <c r="BN211" s="10">
        <f>IF(OR(Исходн.данные.!$AH211=$BP$1,Исходн.данные.!$AH211=$BP$2),60-Исходн.данные.!AF211,IF(BK211&lt;0,0,IF(Исходн.данные.!I211&lt;4.5,BK211*1.2,IF(Исходн.данные.!I211&gt;5.1,BK211,BK211*((5.1-Исходн.данные.!I211)*0.333+1)))))</f>
        <v>0</v>
      </c>
      <c r="BO211" s="9">
        <f>IF(BL211&lt;0,0,BL211*Исходн.данные.!$AJ211/1000)</f>
        <v>0</v>
      </c>
      <c r="BP211" s="9">
        <f>IF(BM211&lt;0,0,BM211*Исходн.данные.!$AJ211/1000)</f>
        <v>0</v>
      </c>
      <c r="BQ211" s="9">
        <f>IF(BN211&lt;0,0,BN211*Исходн.данные.!$AJ211/1000)</f>
        <v>0</v>
      </c>
      <c r="BR211" s="9">
        <f t="shared" si="229"/>
        <v>0</v>
      </c>
      <c r="BS211" s="10" t="str">
        <f t="shared" si="230"/>
        <v>Аммофос 12:52:00</v>
      </c>
      <c r="BT211" s="10" t="str">
        <f t="shared" si="231"/>
        <v>Аммофос 12:52:00</v>
      </c>
      <c r="BU211" s="10" t="str">
        <f t="shared" si="232"/>
        <v>Диаммофоска</v>
      </c>
      <c r="BV211" s="10">
        <f t="shared" si="233"/>
        <v>0</v>
      </c>
      <c r="BW211" s="10"/>
      <c r="BX211" s="10"/>
      <c r="BY211" s="9">
        <f>IF(BL211&lt;0,0,IF(OR(Исходн.данные.!AI211=Расчет!$BU$6,Исходн.данные.!AI211=Расчет!$BU$7),Расчет!BV211,IF(Исходн.данные.!$AG211=$BV$11,BL211,IF(OR(Исходн.данные.!$AH211=$BQ$7,Исходн.данные.!$AH211=$BQ$8),CB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0,IF(Исходн.данные.!$AI211=$BU$11,"Нет",IF(BL211&gt;30,30,BL211)))))))</f>
        <v>0</v>
      </c>
      <c r="BZ211" s="9">
        <f>IF(AND(Исходн.данные.!$AG211=$BV$11,BM211&lt;10),10,IF(Исходн.данные.!$AG211=$BV$11,BM211,IF(OR(Исходн.данные.!$AH211=$BQ$7,Исходн.данные.!$AH211=$BQ$8),CC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10,IF(Исходн.данные.!$AI211=$BU$11,"Нет",IF(BM211&gt;60,60,IF(BM211&lt;10,10,BM211)))))))</f>
        <v>10</v>
      </c>
      <c r="CA211" s="39">
        <f>IF(BN211&lt;0,0,IF(Исходн.данные.!$AG211=$BV$11,BN211,IF(OR(Исходн.данные.!$AH211=$BQ$7,Исходн.данные.!$AH211=$BQ$8),CD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0,IF(Исходн.данные.!$AI211=$BU$11,"Нет",IF(BN211&gt;30,30,BN211))))))</f>
        <v>0</v>
      </c>
      <c r="CB211" s="9">
        <f t="shared" si="234"/>
        <v>0</v>
      </c>
      <c r="CC211" s="9">
        <f t="shared" si="235"/>
        <v>0</v>
      </c>
      <c r="CD211" s="9">
        <f t="shared" si="236"/>
        <v>0</v>
      </c>
      <c r="CE211" s="12">
        <f t="shared" si="237"/>
        <v>10</v>
      </c>
      <c r="CF211" s="9">
        <f t="shared" si="238"/>
        <v>0</v>
      </c>
      <c r="CG211" s="9" t="s">
        <v>231</v>
      </c>
      <c r="CH211" s="132" t="str">
        <f>IF(Исходн.данные.!AP211=Расчет!$CI$16,"Нет",IF(Исходн.данные.!AL211&gt;0,Исходн.данные.!AL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BH$4,IF(OR(Исходн.данные.!AI211=Исходн.данные.!$AI$6,Исходн.данные.!AI211=Исходн.данные.!$AI$7),Расчет!BS211,IF(AND($CF211=0,$CE211&gt;0),EV211,ER211)))))</f>
        <v>Аммофос 12:52:00</v>
      </c>
      <c r="CI211" s="274">
        <f>IF(Расчет!$CH211="Нет","Нет",IF(Исходн.данные.!$AL211&gt;0,VLOOKUP(Расчет!$CH211,АшламаДВ_Irekle,2,FALSE),VLOOKUP(Расчет!$CH211,АшламаДВ_Gomumy,2,FALSE)))</f>
        <v>0.12</v>
      </c>
      <c r="CJ211" s="274">
        <f>IF(Расчет!$CH211="Нет","Нет",IF(Исходн.данные.!$AL211&gt;0,VLOOKUP(Расчет!$CH211,АшламаДВ_Irekle,3,FALSE),VLOOKUP(Расчет!$CH211,АшламаДВ_Gomumy,3,FALSE)))</f>
        <v>0.52</v>
      </c>
      <c r="CK211" s="274">
        <f>IF(Расчет!$CH211="Нет","Нет",IF(Исходн.данные.!$AL211&gt;0,VLOOKUP(Расчет!$CH211,АшламаДВ_Irekle,4,FALSE),VLOOKUP(Расчет!$CH211,АшламаДВ_Gomumy,4,FALSE)))</f>
        <v>0</v>
      </c>
      <c r="CL211" s="70"/>
      <c r="CM211" s="70"/>
      <c r="CN211" s="70"/>
      <c r="CO211" s="70"/>
      <c r="CP211" s="70"/>
      <c r="CQ211" s="70"/>
      <c r="CR211" s="10">
        <f t="shared" si="239"/>
        <v>0</v>
      </c>
      <c r="CS211" s="10">
        <f t="shared" si="240"/>
        <v>19.23076923076923</v>
      </c>
      <c r="CT211" s="10">
        <f t="shared" si="241"/>
        <v>0</v>
      </c>
      <c r="CU211" s="39">
        <f>IF($CH211="Нет",0,IF(CI211=0,30/MIN(CJ211:CK211),IF(Исходн.данные.!$AG211=$BV$11,CR211,IF(OR(Исходн.данные.!$AH211=$BQ$7,Исходн.данные.!$AH211=$BQ$8),90/CI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0,IF(Исходн.данные.!$AI211=$BU$11,"Нет",30/CI211))))))</f>
        <v>250</v>
      </c>
      <c r="CV211" s="39">
        <f>IF($CH211="Нет",0,IF(Исходн.данные.!AH211=0,0,IF(CJ211=0,60/MIN(CI211,CK211),IF(Исходн.данные.!$AG211=$BV$11,CS211,IF(OR(Исходн.данные.!$AH211=$BQ$7,Исходн.данные.!$AH211=$BQ$8),90/CJ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10/CJ211,IF(Исходн.данные.!$AI211=$BU$11,"Нет",60/CJ211)))))))</f>
        <v>0</v>
      </c>
      <c r="CW211" s="39">
        <f>IF($CH211="Нет",0,IF(Исходн.данные.!AH211=0,0,IF(CK211=0,30/MIN(CI211:CJ211),IF(Исходн.данные.!$AG211=$BV$11,CT211,IF(OR(Исходн.данные.!$AH211=$BQ$7,Исходн.данные.!$AH211=$BQ$8),90/CK211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0,IF(Исходн.данные.!$AI211=$BU$11,"Нет",30/CK211)))))))</f>
        <v>0</v>
      </c>
      <c r="CX211" s="133">
        <f>IF(Исходн.данные.!$AG211=$BV$11,MAX(CU211:CW211),IF(OR(Исходн.данные.!$AH211=$BS$8,Исходн.данные.!$AH211=$BQ$9,Исходн.данные.!$AH211=$BQ$10,Исходн.данные.!$AH211=$BQ$11,Исходн.данные.!$AH211=$BQ$12,Исходн.данные.!$AH211=$BP$3,Исходн.данные.!$AH211=$BT$8,$FM211="Да"),CV211,MIN(CU211:CW211)))</f>
        <v>0</v>
      </c>
      <c r="CY211" s="133">
        <f>IF(Исходн.данные.!AH211=0,0,IF(CR211&gt;$CX211,$CX211,CR211))</f>
        <v>0</v>
      </c>
      <c r="CZ211" s="133">
        <f>IF(Исходн.данные.!AH211=0,0,IF(CS211&gt;$CX211,$CX211,CS211))</f>
        <v>0</v>
      </c>
      <c r="DA211" s="133">
        <f>IF(Исходн.данные.!AH211=0,0,IF(CT211&gt;$CX211,$CX211,CT211))</f>
        <v>0</v>
      </c>
      <c r="DB211" s="10">
        <f t="shared" si="242"/>
        <v>0</v>
      </c>
      <c r="DC211" s="39">
        <f>DB211*Исходн.данные.!AJ211/1000</f>
        <v>0</v>
      </c>
      <c r="DD211" s="71">
        <f t="shared" si="243"/>
        <v>0</v>
      </c>
      <c r="DE211" s="9">
        <f t="shared" si="244"/>
        <v>0</v>
      </c>
      <c r="DF211" s="9">
        <f t="shared" si="245"/>
        <v>0</v>
      </c>
      <c r="DG211" s="39">
        <f>IF(BL211&lt;0,0,IF($CH211="Нет",BL211,IF(OR(Исходн.данные.!$AH211=$BP$1,Исходн.данные.!$AH211=$BP$2),0,IF(Исходн.данные.!AI211=$BU$11,BL211,IF(BL211-DD211&lt;0,0,BL211-DD211)))))</f>
        <v>0</v>
      </c>
      <c r="DH211" s="39">
        <f>IF(BM211&lt;0,0,IF($CH211="Нет",BM211,IF(OR(Исходн.данные.!$AH211=$BP$1,Исходн.данные.!$AH211=$BP$2),0,IF(Исходн.данные.!AJ211=$BU$11,BM211,IF(BM211-DE211&lt;0,0,BM211-DE211)))))</f>
        <v>0</v>
      </c>
      <c r="DI211" s="39">
        <f>IF(BN211&lt;0,0,IF($CH211="Нет",BN211,IF(OR(Исходн.данные.!$AH211=$BP$1,Исходн.данные.!$AH211=$BP$2),0,IF(Исходн.данные.!AK211=$BU$11,BN211,IF(BN211-DF211&lt;0,0,BN211-DF211)))))</f>
        <v>0</v>
      </c>
      <c r="DJ211" s="12">
        <f t="shared" si="246"/>
        <v>0</v>
      </c>
      <c r="DK211" s="9">
        <f t="shared" si="247"/>
        <v>0</v>
      </c>
      <c r="DL211" s="39">
        <f>IF(Исходн.данные.!AM211&gt;0,Исходн.данные.!AM211,IF(EG211&gt;0,$BH$10,0))</f>
        <v>0</v>
      </c>
      <c r="DM211" s="186">
        <f>IF($DL211=0,0,IF(Исходн.данные.!AM211&gt;0,VLOOKUP($DL211,АшламаДВ_Irekle,2,FALSE),VLOOKUP($DL211,АшламаДВ_Gomumy,2,FALSE)))</f>
        <v>0</v>
      </c>
      <c r="DN211" s="10">
        <f t="shared" si="225"/>
        <v>0</v>
      </c>
      <c r="DO211" s="9" t="str">
        <f>IF(Исходн.данные.!AN211&gt;0,Исходн.данные.!AN211,Удобрения!$B$37 )</f>
        <v>Хлор.калий</v>
      </c>
      <c r="DP211" s="9">
        <f>IF(Исходн.данные.!AN211&gt;0,VLOOKUP(Исходн.данные.!AN211,АшламаДВ_Irekle,4,FALSE),VLOOKUP(DO211,АшламаДВ_Gomumy,4,FALSE))</f>
        <v>0.6</v>
      </c>
      <c r="DQ211" s="10">
        <f t="shared" si="226"/>
        <v>0</v>
      </c>
      <c r="DR211" s="132" t="str">
        <f>IF(Исходн.данные.!AO211&gt;0,Исходн.данные.!AO211,IF(DH211=0,BS$17,IF(AND($DK211=0,$DJ211&gt;0),EJ211,EN211)))</f>
        <v>Нет</v>
      </c>
      <c r="DS211" s="70" t="str">
        <f>IF($DR211="Нет","Нет",IF(Исходн.данные.!$AO211&gt;0,VLOOKUP($DR211,АшламаДВ_Irekle,2,FALSE),VLOOKUP($DR211,АшламаДВ_Gomumy,2,FALSE)))</f>
        <v>Нет</v>
      </c>
      <c r="DT211" s="70" t="str">
        <f>IF($DR211="Нет","Нет",IF(Исходн.данные.!$AO211&gt;0,VLOOKUP($DR211,АшламаДВ_Irekle,3,FALSE),VLOOKUP($DR211,АшламаДВ_Gomumy,3,FALSE)))</f>
        <v>Нет</v>
      </c>
      <c r="DU211" s="70" t="str">
        <f>IF($DR211="Нет","Нет",IF(Исходн.данные.!$AO211&gt;0,VLOOKUP($DR211,АшламаДВ_Irekle,4,FALSE),VLOOKUP($DR211,АшламаДВ_Gomumy,4,FALSE)))</f>
        <v>Нет</v>
      </c>
      <c r="DV211" s="70"/>
      <c r="DW211" s="70"/>
      <c r="DX211" s="70"/>
      <c r="DY211" s="10">
        <f t="shared" si="248"/>
        <v>0</v>
      </c>
      <c r="DZ211" s="10">
        <f t="shared" si="249"/>
        <v>0</v>
      </c>
      <c r="EA211" s="10">
        <f t="shared" si="250"/>
        <v>0</v>
      </c>
      <c r="EB211" s="10">
        <f t="shared" si="251"/>
        <v>0</v>
      </c>
      <c r="EC211" s="10">
        <f t="shared" si="252"/>
        <v>0</v>
      </c>
      <c r="ED211" s="10">
        <f t="shared" si="253"/>
        <v>0</v>
      </c>
      <c r="EE211" s="10">
        <f t="shared" si="254"/>
        <v>0</v>
      </c>
      <c r="EF211" s="39">
        <f>EB211*Исходн.данные.!AJ211/1000</f>
        <v>0</v>
      </c>
      <c r="EG211" s="9">
        <f t="shared" si="255"/>
        <v>0</v>
      </c>
      <c r="EH211" s="9">
        <f t="shared" si="256"/>
        <v>0</v>
      </c>
      <c r="EI211" s="39" t="e">
        <f t="shared" si="206"/>
        <v>#DIV/0!</v>
      </c>
      <c r="EJ211" s="9" t="str">
        <f t="shared" si="227"/>
        <v>Азопреципитат</v>
      </c>
      <c r="EK211" s="12">
        <f t="shared" si="207"/>
        <v>0.26</v>
      </c>
      <c r="EL211" s="12">
        <f t="shared" si="208"/>
        <v>0.13</v>
      </c>
      <c r="EM211" s="12">
        <f t="shared" si="209"/>
        <v>0</v>
      </c>
      <c r="EN211" s="12" t="str">
        <f t="shared" si="228"/>
        <v>Нет</v>
      </c>
      <c r="EO211" s="12">
        <f t="shared" si="210"/>
        <v>0</v>
      </c>
      <c r="EP211" s="12">
        <f t="shared" si="211"/>
        <v>0</v>
      </c>
      <c r="EQ211" s="12">
        <f t="shared" si="212"/>
        <v>0</v>
      </c>
      <c r="ER211" s="12" t="str">
        <f t="shared" si="257"/>
        <v>Диаммофоска</v>
      </c>
      <c r="ES211" s="12">
        <f t="shared" si="213"/>
        <v>0.1</v>
      </c>
      <c r="ET211" s="12">
        <f t="shared" si="214"/>
        <v>0.26</v>
      </c>
      <c r="EU211" s="12">
        <f t="shared" si="215"/>
        <v>0.26</v>
      </c>
      <c r="EV211" s="12" t="str">
        <f t="shared" si="258"/>
        <v>Аммофос 12:52:00</v>
      </c>
      <c r="EW211" s="12" t="str">
        <f t="shared" si="259"/>
        <v>Кемира Свекловичное-6</v>
      </c>
      <c r="EX211" s="12">
        <f t="shared" si="216"/>
        <v>0.16</v>
      </c>
      <c r="EY211" s="12">
        <f t="shared" si="217"/>
        <v>0.12</v>
      </c>
      <c r="EZ211" s="12">
        <f t="shared" si="218"/>
        <v>0.17</v>
      </c>
      <c r="FA211" s="38" t="e">
        <f>IF(AND(OR(FJ211=$FD$1,FM211=$FD$1,FO211=$FD$1,FQ211=$FD$1,FS211=$FD$1),FD211=$FD$1,Исходн.данные.!J211&lt;2,FU211=$FD$1),"Бор,Кобальт",IF(AND(FO211=$FD$1,FH211=$FD$1,Исходн.данные.!J211&lt;2,FU211=$FD$1),"Бор,Кобальт",IF(AND(OR(FJ211=$FD$1,FM211=$FD$1,FQ211=$FD$1),FE211=$FD$1,Исходн.данные.!J211&lt;2,FT211=$FD$1,FU211=$FD$1),"Бор,Медь,Цинк",IF(AND(OR(FJ211=$FD$1,FR211="Да"),FI211="Да",Исходн.данные.!J211&lt;2,FT211="Да",FU211="Да"),"Бор,Цинк,Медь",IF(AND(OR(FM211="Да",FQ211="Да"),FI211="Да",Исходн.данные.!J211&lt;2,FT211="Да",FU211="Да"),"Бор,Цинк",IF(AND(FN211="Да",OR(FD211="Да",FE211="Да")),"Бор",FB211))))))</f>
        <v>#N/A</v>
      </c>
      <c r="FB211" s="134" t="e">
        <f>IF(AND(OR(FD211="Да",FE211="Да",FF211="Да",FG211="Да",FH211="Да"),FO211="Да"),"Бор",IF(AND(FP211="Да",OR(FD211="Да",FE211="Да",FI211="Да")),"Бор",IF(AND(FS211="Да",FE211="Да"),"Бор,Медь",IF(AND(OR(FJ211="Да",FK211="Да",FL211="Да"),FE211="Да",Исходн.данные.!I211&lt;5,FT211="Да",FU211="Да"),"Молибден,Цинк",IF(AND(FM211="Да",OR(FE211="Да",FF211="Да",FG211="Да",FH211="Да",FI211="Да")),"Молибден,Цинк",IF(AND(OR(FJ211="Да",FK211="Да",FL211="Да",FM211="Да",FQ211="Да"),OR(FE211="Да",FF211="Да"),FT211="Да",FU211="Да",Исходн.данные.!I211&gt;5.5),"Медь,Цинк",FC211))))))</f>
        <v>#N/A</v>
      </c>
      <c r="FC211" s="23" t="e">
        <f t="shared" si="260"/>
        <v>#N/A</v>
      </c>
      <c r="FD211" s="38" t="str">
        <f>IF(OR(Исходн.данные.!F211=$CC$1,Исходн.данные.!F211=$CC$2,Исходн.данные.!F211=$CC$3,Исходн.данные.!F211=$CC$4),"Да","Нет")</f>
        <v>Нет</v>
      </c>
      <c r="FE211" s="38" t="str">
        <f>IF(Исходн.данные.!F211=$CC$5,"Да","Нет")</f>
        <v>Нет</v>
      </c>
      <c r="FF211" s="38" t="str">
        <f>IF(OR(Исходн.данные.!F211=$CC$6,Исходн.данные.!F211=$CC$7),"Да","Нет")</f>
        <v>Нет</v>
      </c>
      <c r="FG211" s="38" t="str">
        <f>IF(OR(Исходн.данные.!F211=$CC$8,Исходн.данные.!F211=$CC$9),"Да","Нет")</f>
        <v>Нет</v>
      </c>
      <c r="FH211" s="38" t="str">
        <f>IF(Исходн.данные.!F211=$CC$10,"Да","Нет")</f>
        <v>Нет</v>
      </c>
      <c r="FI211" s="38" t="str">
        <f>IF(OR(Исходн.данные.!F211=$CC$11,Исходн.данные.!F211=$CC$12),"Да","Нет")</f>
        <v>Нет</v>
      </c>
      <c r="FJ211" s="38" t="str">
        <f>IF(OR(Исходн.данные.!AH211=$BS$1,Исходн.данные.!AH211=$BQ$11,Исходн.данные.!AH211=$BQ$12),"Да","Нет")</f>
        <v>Нет</v>
      </c>
      <c r="FK211" s="38" t="str">
        <f>IF(OR(Исходн.данные.!AH211=$BS$2,Исходн.данные.!AH211=$BS$4),"Да","Нет")</f>
        <v>Нет</v>
      </c>
      <c r="FL211" s="38" t="str">
        <f>IF(OR(Исходн.данные.!AH211=$BS$3,Исходн.данные.!AH211=$BS$5),"Да","Нет")</f>
        <v>Нет</v>
      </c>
      <c r="FM211" s="38" t="str">
        <f>IF(OR(Исходн.данные.!AH211=$BS$9,Исходн.данные.!AH211=$BS$10,Исходн.данные.!AH211=$BS$11,Исходн.данные.!AH211=$BS$12),"Да","Нет")</f>
        <v>Нет</v>
      </c>
      <c r="FN211" s="38" t="str">
        <f>IF(OR(Исходн.данные.!AH211=$BS$6,Исходн.данные.!AH211=$BP$3),"Да","Нет")</f>
        <v>Нет</v>
      </c>
      <c r="FO211" s="38" t="str">
        <f>IF(Исходн.данные.!AH211=$BQ$9,"Да","Нет")</f>
        <v>Нет</v>
      </c>
      <c r="FP211" s="38" t="str">
        <f>IF(OR(Исходн.данные.!AH211=$BS$8,Исходн.данные.!AH211=$BT$8),"Да","Нет")</f>
        <v>Нет</v>
      </c>
      <c r="FQ211" s="38" t="str">
        <f>IF(OR(Исходн.данные.!AH211=$BQ$7,Исходн.данные.!AH211=$BQ$8),"Да","Нет")</f>
        <v>Нет</v>
      </c>
      <c r="FR211" s="38" t="str">
        <f>IF(Исходн.данные.!AI211=$BU$9,"Да","Нет")</f>
        <v>Нет</v>
      </c>
      <c r="FS211" s="38" t="str">
        <f>IF(OR(Исходн.данные.!AH211=$BP$1,Исходн.данные.!AH211=$BP$2),"Да","Нет")</f>
        <v>Нет</v>
      </c>
      <c r="FT211" s="38" t="e">
        <f>IF((Исходн.данные.!K211*GO211*GS211*GW211+BL211*0.6+Исходн.данные.!Q211*4.5*0.275)&gt;90,"Да","Нет")</f>
        <v>#N/A</v>
      </c>
      <c r="FU211" s="38" t="e">
        <f>IF((Исходн.данные.!M211*GS211*GZ211+BM211*0.225)&gt;35,"Да","Нет")</f>
        <v>#N/A</v>
      </c>
      <c r="FV211" s="38" t="str">
        <f>IF(Исходн.данные.!O211&gt;175,"Да","Нет")</f>
        <v>Нет</v>
      </c>
      <c r="FW211" s="39" t="str">
        <f>IF(Исходн.данные.!I211&gt;5.5,"Да","Нет")</f>
        <v>Нет</v>
      </c>
      <c r="FX211" s="39" t="str">
        <f>IF(Исходн.данные.!J211&lt;2,"Да","Нет")</f>
        <v>Да</v>
      </c>
      <c r="FY211" s="39" t="e">
        <f>IF(HF211=$FY$16,0,Исходн.данные.!K211*GO211*GS211*GW211/HF211)</f>
        <v>#N/A</v>
      </c>
      <c r="FZ211" s="39" t="e">
        <f>Исходн.данные.!M211*GS211*GZ211/HG211</f>
        <v>#N/A</v>
      </c>
      <c r="GA211" s="39" t="e">
        <f>IF(K_Wyn=$FY$16,0,IF(Исходн.данные.!N211=Исходн.данные.!$L$10,Исходн.данные.!O211/1.1*GS211*HC211/HH211,IF(Исходн.данные.!N211=Исходн.данные.!$L$12,Исходн.данные.!O211/1.5*GS211*HC211/HH211,Исходн.данные.!O211*GS211*HC211/HH211)))</f>
        <v>#N/A</v>
      </c>
      <c r="GB211" s="39" t="e">
        <f>IF(HF211=$FY$16,0,((Исходн.данные.!Q211*N_Org+Исходн.данные.!R211*N_Sider+Исходн.данные.!S211*N_Soloma)*AO211+Расчет!BC211*VLOOKUP(Исходн.данные.!T211,Справ!$A$3:$O$57,15)*AO211+BB211*VLOOKUP(Исходн.данные.!T211,Справ!$A$3:$O$57,15)*AL211+(Исходн.данные.!V211*N_Rizotorf+Исходн.данные.!W211*N_Rizoagr))/HF211)</f>
        <v>#N/A</v>
      </c>
      <c r="GC211" s="39" t="e">
        <f>IF(HG211=$FY$16,0,((Исходн.данные.!Q211*Р_Org+Исходн.данные.!R211*P_Sider+Исходн.данные.!S211*P_Soloma)*AP211+Расчет!BC211*VLOOKUP(Исходн.данные.!T211,Справ!$A$3:$P$57,16)*AP211+BB211*VLOOKUP(Исходн.данные.!T211,Справ!$A$3:$P$57,16)*AM211)/HG211)</f>
        <v>#N/A</v>
      </c>
      <c r="GD211" s="39" t="e">
        <f>IF(HH211=$FY$16,0,((Исходн.данные.!Q211*К_Org+Исходн.данные.!R211*K_Sider+Исходн.данные.!S211*K_Soloma)*AQ211+Расчет!BC211*VLOOKUP(Исходн.данные.!T211,Справ!$A$3:$Q$57,17)*AQ211+BB211*VLOOKUP(Исходн.данные.!T211,Справ!$A$3:$Q$57,17)*AN211)/HH211)</f>
        <v>#N/A</v>
      </c>
      <c r="GE211" s="39" t="e">
        <f>IF(HF211=$FY$16,0,(Исходн.данные.!X211*AR211+Исходн.данные.!AA211*N_Org*AL211+Исходн.данные.!AB211*N_Sider*AL211+Исходн.данные.!AC211*N_Soloma*AL211)/HF211)</f>
        <v>#N/A</v>
      </c>
      <c r="GF211" s="39" t="e">
        <f>IF(HG211=$FY$16,0,(Исходн.данные.!Y211*AS211+Исходн.данные.!AA211*Р_Org*AM211+Исходн.данные.!AB211*P_Sider*AM211+Исходн.данные.!AC211*P_Soloma*AM211)/HG211)</f>
        <v>#N/A</v>
      </c>
      <c r="GG211" s="39" t="e">
        <f>IF(HH211=$FY$16,0,(Исходн.данные.!Z211*AT211+Исходн.данные.!AA211*К_Org*AN211+Исходн.данные.!AB211*K_Sider*AN211+Исходн.данные.!AC211*K_Soloma*AN211)/HH211)</f>
        <v>#N/A</v>
      </c>
      <c r="GH211" s="39" t="e">
        <f>Исходн.данные.!AD211*AU211/HF211</f>
        <v>#N/A</v>
      </c>
      <c r="GI211" s="39" t="e">
        <f>Исходн.данные.!AE211*AV211/HG211</f>
        <v>#N/A</v>
      </c>
      <c r="GJ211" s="39" t="e">
        <f>Исходн.данные.!AF211*AW211/HH211</f>
        <v>#N/A</v>
      </c>
      <c r="GK211" s="55">
        <f>Исходн.данные.!AK211</f>
        <v>0</v>
      </c>
      <c r="GL211" s="11" t="e">
        <f t="shared" si="261"/>
        <v>#N/A</v>
      </c>
      <c r="GM211" s="11" t="e">
        <f t="shared" si="262"/>
        <v>#N/A</v>
      </c>
      <c r="GN211" s="11" t="e">
        <f t="shared" si="263"/>
        <v>#N/A</v>
      </c>
      <c r="GO211" s="57">
        <f t="shared" si="264"/>
        <v>19</v>
      </c>
      <c r="GP211" s="55">
        <f>IF(OR(Исходн.данные.!F211=$CE$1,Исходн.данные.!F211=$CE$2,Исходн.данные.!F211=$CE$3,Исходн.данные.!F211=$CE$4,Исходн.данные.!F211=$CE$5),GQ211,GR211)</f>
        <v>19</v>
      </c>
      <c r="GQ211" s="55">
        <f>IF(Исходн.данные.!F211=$CE$1,28,IF(Исходн.данные.!F211=$CE$2,26,IF(Исходн.данные.!F211=$CE$3,24,IF(Исходн.данные.!F211=$CE$4,22,IF(Исходн.данные.!F211=$CE$5,20,GR211)))))</f>
        <v>19</v>
      </c>
      <c r="GR211" s="55">
        <f>IF(Исходн.данные.!F211=$CE$6,18,IF(Исходн.данные.!F211=$CE$7,16,IF(Исходн.данные.!F211=$CE$8,14,IF(Исходн.данные.!F211=$CE$9,13,IF(Исходн.данные.!F211=$CE$10,12,19)))))</f>
        <v>19</v>
      </c>
      <c r="GS211" s="55">
        <f>IF(Исходн.данные.!G211="Пес",0.035*(40+2*Исходн.данные.!H211),IF(Исходн.данные.!G211="Суп",0.0325*(40+2*Исходн.данные.!H211),0.03*(40+2*Исходн.данные.!H211)))</f>
        <v>1.2</v>
      </c>
      <c r="GT211" s="55">
        <f>IF(Исходн.данные.!H211&lt;23,2.6,IF(AND(Исходн.данные.!H211&gt;22,Исходн.данные.!H211&lt;26),3,IF(AND(Исходн.данные.!H211&gt;25,Исходн.данные.!H211&lt;29),3.4,3.6)))</f>
        <v>2.6</v>
      </c>
      <c r="GU211" s="55">
        <f>IF(Исходн.данные.!H211&lt;23,2.8,IF(AND(Исходн.данные.!H211&gt;22,Исходн.данные.!H211&lt;26),3.2,IF(AND(Исходн.данные.!H211&gt;25,Исходн.данные.!H211&lt;29),3.6,3.9)))</f>
        <v>2.8</v>
      </c>
      <c r="GV211" s="55">
        <f>IF(Исходн.данные.!H211&lt;23,3,IF(AND(Исходн.данные.!H211&gt;22,Исходн.данные.!H211&lt;26),3.5,IF(AND(Исходн.данные.!H211&gt;25,Исходн.данные.!H211&lt;29),3.9,4.2)))</f>
        <v>3</v>
      </c>
      <c r="GW211" s="55" t="e">
        <f>IF(Исходн.данные.!P211="Ум",GX211,GY211)</f>
        <v>#N/A</v>
      </c>
      <c r="GX211" s="55" t="e">
        <f>VLOOKUP(Исходн.данные.!AI211,Коэффициенты!$J$7:$L$13,2,FALSE)</f>
        <v>#N/A</v>
      </c>
      <c r="GY211" s="55" t="e">
        <f>VLOOKUP(Исходн.данные.!AI211,Коэффициенты!$J$7:$L$13,3,FALSE)</f>
        <v>#N/A</v>
      </c>
      <c r="GZ211" s="55" t="e">
        <f>(IF(Исходн.данные.!M211&lt;50,0.11*VLOOKUP(Исходн.данные.!AH211,Культуры.Информация,7,FALSE),IF(Исходн.данные.!M211&gt;250,0.05*VLOOKUP(Исходн.данные.!AH211,Культуры.Информация,7,FALSE),VLOOKUP(Исходн.данные.!AH211,Культуры.Информация,5,FALSE)/100*($GX$6+$GY$6*Исходн.данные.!M211))))*Расчет2!AI211</f>
        <v>#N/A</v>
      </c>
      <c r="HA211" s="211"/>
      <c r="HB211" s="211"/>
      <c r="HC211" s="55" t="e">
        <f>(IF(Исходн.данные.!O211&lt;80,0.2*VLOOKUP(Исходн.данные.!AH211,Культуры.Информация,8,FALSE),IF(Исходн.данные.!O211&gt;240,0.09*VLOOKUP(Исходн.данные.!AH211,Культуры.Информация,8,FALSE),VLOOKUP(Исходн.данные.!AH211,Культуры.Информация,6,FALSE)/100*($HB$6+$HC$6*Исходн.данные.!O211))))*Расчет2!AJ211</f>
        <v>#N/A</v>
      </c>
      <c r="HD211" s="55">
        <f>IF(Исходн.данные.!O211&gt;240,0.09,IF(Исходн.данные.!O211&lt;30,0.3,$HE$10+$HD$10*Исходн.данные.!O211))</f>
        <v>0.3</v>
      </c>
      <c r="HE211" s="55">
        <f>IF(Исходн.данные.!O211&gt;240,0.17,IF(Исходн.данные.!O211&lt;30,0.5,$HF$12+$HE$12*Исходн.данные.!O211))</f>
        <v>0.5</v>
      </c>
      <c r="HF211" s="55" t="e">
        <f>VLOOKUP(Исходн.данные.!AH211,Справ!$A$3:$D$58,2,FALSE)</f>
        <v>#N/A</v>
      </c>
      <c r="HG211" s="55" t="e">
        <f>VLOOKUP(Исходн.данные.!AH211,Справ!$A$3:$D$58,3,FALSE)</f>
        <v>#N/A</v>
      </c>
      <c r="HH211" s="55" t="e">
        <f>VLOOKUP(Исходн.данные.!AH211,Справ!$A$3:$D$58,4,FALSE)</f>
        <v>#N/A</v>
      </c>
      <c r="HI211" s="11" t="e">
        <f t="shared" si="265"/>
        <v>#N/A</v>
      </c>
      <c r="HJ211" s="11" t="e">
        <f t="shared" si="266"/>
        <v>#N/A</v>
      </c>
      <c r="HK211" s="11" t="e">
        <f t="shared" si="267"/>
        <v>#N/A</v>
      </c>
      <c r="HL211" s="55">
        <f>IF(OR(Исходн.данные.!G211="Глин",Исходн.данные.!G211="Т_суг"),1.1,IF(Исходн.данные.!G211="Ср_суг",1,1))</f>
        <v>1</v>
      </c>
      <c r="HM211" s="55">
        <f>IF(OR(Исходн.данные.!G211="Глин",Исходн.данные.!G211="Т_суг"),0.9,IF(Исходн.данные.!G211="Ср_суг",1,1.2))</f>
        <v>1.2</v>
      </c>
      <c r="HN211" s="11" t="e">
        <f t="shared" si="268"/>
        <v>#N/A</v>
      </c>
      <c r="HO211" s="11" t="e">
        <f t="shared" si="269"/>
        <v>#N/A</v>
      </c>
      <c r="HP211" s="11" t="e">
        <f t="shared" si="270"/>
        <v>#N/A</v>
      </c>
      <c r="HQ211" t="e">
        <f t="shared" si="271"/>
        <v>#N/A</v>
      </c>
      <c r="HR211" t="e">
        <f t="shared" si="272"/>
        <v>#N/A</v>
      </c>
      <c r="HS211" t="e">
        <f t="shared" si="273"/>
        <v>#N/A</v>
      </c>
      <c r="HT211" t="e">
        <f t="shared" si="219"/>
        <v>#N/A</v>
      </c>
      <c r="HU211" t="e">
        <f t="shared" si="220"/>
        <v>#N/A</v>
      </c>
      <c r="HV211" t="e">
        <f t="shared" si="221"/>
        <v>#N/A</v>
      </c>
      <c r="HW211" t="e">
        <f t="shared" si="222"/>
        <v>#N/A</v>
      </c>
      <c r="HX211" t="e">
        <f t="shared" si="223"/>
        <v>#N/A</v>
      </c>
      <c r="HY211" t="e">
        <f t="shared" si="224"/>
        <v>#N/A</v>
      </c>
      <c r="HZ211" s="55">
        <f>IF(OR(Исходн.данные.!AI211="Оз_Ч_П",Исходн.данные.!AI211="Оз_З_П",Исходн.данные.!AI211="Яр_зер"),12,30)</f>
        <v>30</v>
      </c>
      <c r="IA211" t="e">
        <f t="shared" si="274"/>
        <v>#N/A</v>
      </c>
      <c r="IB211" t="e">
        <f t="shared" si="275"/>
        <v>#N/A</v>
      </c>
      <c r="IC211" t="e">
        <f t="shared" si="276"/>
        <v>#N/A</v>
      </c>
      <c r="ID211" s="11" t="e">
        <f t="shared" si="277"/>
        <v>#N/A</v>
      </c>
      <c r="IE211" s="11" t="e">
        <f t="shared" si="278"/>
        <v>#N/A</v>
      </c>
      <c r="IF211" s="11" t="e">
        <f t="shared" si="279"/>
        <v>#N/A</v>
      </c>
    </row>
    <row r="212" spans="35:240" x14ac:dyDescent="0.2">
      <c r="AI212">
        <f>IF(Исходн.данные.!I212&gt;6,1,1.85-(0.148*Исходн.данные.!I212))</f>
        <v>1.85</v>
      </c>
      <c r="AJ212">
        <f>IF(Исходн.данные.!I212&gt;6,1,2.434-(0.246*Исходн.данные.!I212))</f>
        <v>2.4340000000000002</v>
      </c>
      <c r="AL212" s="148" t="b">
        <f>IF(Исходн.данные.!$P212="Ум",N_OrgUd_2g_um,IF(Исходн.данные.!$P212="Об",N_OrgUd_2g_ob))</f>
        <v>0</v>
      </c>
      <c r="AM212" s="148" t="b">
        <f>IF(Исходн.данные.!$P212="Ум",P_OrgUd_2g_um,IF(Исходн.данные.!$P212="Об",P_OrgUd_2g_ob))</f>
        <v>0</v>
      </c>
      <c r="AN212" s="148" t="b">
        <f>IF(Исходн.данные.!$P212="Ум",K_OrgUd_2g_um,IF(Исходн.данные.!$P212="Об",K_OrgUd_2g_ob))</f>
        <v>0</v>
      </c>
      <c r="AO212" s="148" t="b">
        <f>IF(Исходн.данные.!$P212="Ум",N_OrgUd_1g_um,IF(Исходн.данные.!$P212="Об",N_OrgUd_1g_ob))</f>
        <v>0</v>
      </c>
      <c r="AP212" s="148" t="b">
        <f>IF(Исходн.данные.!$P212="Ум",P_OrgUd_1g_um,IF(Исходн.данные.!$P212="Об",P_OrgUd_1g_ob))</f>
        <v>0</v>
      </c>
      <c r="AQ212" s="148" t="b">
        <f>IF(Исходн.данные.!$P212="Ум",K_OrgUd_1g_um,IF(Исходн.данные.!$P212="Об",K_OrgUd_1g_ob))</f>
        <v>0</v>
      </c>
      <c r="AR212" t="b">
        <f>IF(Исходн.данные.!$P212="Ум",N_MinUd_2g_um,IF(Исходн.данные.!$P212="Об",N_MinUd_2g_ob))</f>
        <v>0</v>
      </c>
      <c r="AS212" t="b">
        <f>IF(Исходн.данные.!$P212="Ум",P_MinUd_2g_um,IF(Исходн.данные.!$P212="Об",P_MinUd_2g_ob))</f>
        <v>0</v>
      </c>
      <c r="AT212" t="b">
        <f>IF(Исходн.данные.!$P212="Ум",K_MinUd_2g_um,IF(Исходн.данные.!$P212="Об",K_MinUd_2g_ob))</f>
        <v>0</v>
      </c>
      <c r="AU212" t="b">
        <f>IF(Исходн.данные.!$P212="Ум",N_MinUd_1g_um,IF(Исходн.данные.!$P212="Об",N_MinUd_1g_ob))</f>
        <v>0</v>
      </c>
      <c r="AV212" t="b">
        <f>IF(Исходн.данные.!P212="Ум",P_MinUd_1g_um,IF(Исходн.данные.!P212="Об",P_MinUd_1g_ob))</f>
        <v>0</v>
      </c>
      <c r="AW212" t="b">
        <f>IF(Исходн.данные.!P212="Ум",K_MinUd_1g_um,IF(Исходн.данные.!P212="Об",K_MinUd_1g_ob))</f>
        <v>0</v>
      </c>
      <c r="AY212" t="e">
        <f>VLOOKUP(Исходн.данные.!T212,Справ!$A$3:$N$57,12)</f>
        <v>#N/A</v>
      </c>
      <c r="AZ212" t="e">
        <f>VLOOKUP(Исходн.данные.!T212,Справ!$A$3:$N$57,13)</f>
        <v>#N/A</v>
      </c>
      <c r="BA212" t="e">
        <f>VLOOKUP(Исходн.данные.!T212,Справ!$A$3:$N$57,14)</f>
        <v>#N/A</v>
      </c>
      <c r="BB212">
        <f>IF(Исходн.данные.!AH212=0,0,25)</f>
        <v>0</v>
      </c>
      <c r="BC212" s="141">
        <f>IF(Исходн.данные.!AH212=0,0,IF(Исходн.данные.!T212=0,25,BD212))</f>
        <v>0</v>
      </c>
      <c r="BD212" s="168" t="e">
        <f>AY212+AZ212*Исходн.данные.!U212-POWER(BA212,2)*Исходн.данные.!U212</f>
        <v>#N/A</v>
      </c>
      <c r="BE21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2" s="25">
        <f>IF(Исходн.данные.!AH212=0,0,MIN(HN212:HP212))</f>
        <v>0</v>
      </c>
      <c r="BG212" s="9">
        <f>IF(Исходн.данные.!AH212=0,0,IF((HO212+10*0.25/HG212/HL212)&lt;17,17,HO212+10*0.25/HG212/HL212))</f>
        <v>0</v>
      </c>
      <c r="BH212" s="181">
        <f>IF(Исходн.данные.!AH212=0,0,HW212*HF212*HL212/AU212*AI212+Исходн.данные.!S212*10)</f>
        <v>0</v>
      </c>
      <c r="BI212" s="10"/>
      <c r="BJ212" s="182">
        <f>IF(Исходн.данные.!AH212=0,0,IF(HX212*HG212*HL212/AV212&lt;0,0,HX212*HG212*HL212/AV212*AJ212))</f>
        <v>0</v>
      </c>
      <c r="BK212" s="182">
        <f>IF(Исходн.данные.!AH212=0,0,HY212*HH212*HM212/AW212)</f>
        <v>0</v>
      </c>
      <c r="BL212" s="10">
        <f>IF(OR(Исходн.данные.!$AH212=$BP$1,Исходн.данные.!$AH212=$BP$2),0,IF(BH212&lt;0,0,IF(OR(Исходн.данные.!T212=Расчет!$BP$1,Исходн.данные.!T212=Расчет!$BP$2,Исходн.данные.!T212=Расчет!$BT$5,Исходн.данные.!T212=Расчет!$BT$6),BH212*0.5,IF(OR(Исходн.данные.!T212=Расчет!$BS$9,Исходн.данные.!T212=Расчет!$BS$10,Исходн.данные.!T212=Расчет!$BS$11,Исходн.данные.!T212=Расчет!$BS$12,Исходн.данные.!T212=Расчет!$BP$5),BH212*0.8,BH212))))</f>
        <v>0</v>
      </c>
      <c r="BM212" s="10">
        <f>IF(OR(Исходн.данные.!$AH212=$BP$1,Исходн.данные.!$AH212=$BP$2),0,IF(BJ212&lt;0,0,IF(Исходн.данные.!I212&lt;4.5,BJ212*1.2,IF(Исходн.данные.!I212&gt;5.1,BJ212,BJ212*((5.1-Исходн.данные.!I212)*0.333+1)))))</f>
        <v>0</v>
      </c>
      <c r="BN212" s="10">
        <f>IF(OR(Исходн.данные.!$AH212=$BP$1,Исходн.данные.!$AH212=$BP$2),60-Исходн.данные.!AF212,IF(BK212&lt;0,0,IF(Исходн.данные.!I212&lt;4.5,BK212*1.2,IF(Исходн.данные.!I212&gt;5.1,BK212,BK212*((5.1-Исходн.данные.!I212)*0.333+1)))))</f>
        <v>0</v>
      </c>
      <c r="BO212" s="9">
        <f>IF(BL212&lt;0,0,BL212*Исходн.данные.!$AJ212/1000)</f>
        <v>0</v>
      </c>
      <c r="BP212" s="9">
        <f>IF(BM212&lt;0,0,BM212*Исходн.данные.!$AJ212/1000)</f>
        <v>0</v>
      </c>
      <c r="BQ212" s="9">
        <f>IF(BN212&lt;0,0,BN212*Исходн.данные.!$AJ212/1000)</f>
        <v>0</v>
      </c>
      <c r="BR212" s="9">
        <f t="shared" si="229"/>
        <v>0</v>
      </c>
      <c r="BS212" s="10" t="str">
        <f t="shared" si="230"/>
        <v>Аммофос 12:52:00</v>
      </c>
      <c r="BT212" s="10" t="str">
        <f t="shared" si="231"/>
        <v>Аммофос 12:52:00</v>
      </c>
      <c r="BU212" s="10" t="str">
        <f t="shared" si="232"/>
        <v>Диаммофоска</v>
      </c>
      <c r="BV212" s="10">
        <f t="shared" si="233"/>
        <v>0</v>
      </c>
      <c r="BW212" s="10"/>
      <c r="BX212" s="10"/>
      <c r="BY212" s="9">
        <f>IF(BL212&lt;0,0,IF(OR(Исходн.данные.!AI212=Расчет!$BU$6,Исходн.данные.!AI212=Расчет!$BU$7),Расчет!BV212,IF(Исходн.данные.!$AG212=$BV$11,BL212,IF(OR(Исходн.данные.!$AH212=$BQ$7,Исходн.данные.!$AH212=$BQ$8),CB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0,IF(Исходн.данные.!$AI212=$BU$11,"Нет",IF(BL212&gt;30,30,BL212)))))))</f>
        <v>0</v>
      </c>
      <c r="BZ212" s="9">
        <f>IF(AND(Исходн.данные.!$AG212=$BV$11,BM212&lt;10),10,IF(Исходн.данные.!$AG212=$BV$11,BM212,IF(OR(Исходн.данные.!$AH212=$BQ$7,Исходн.данные.!$AH212=$BQ$8),CC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10,IF(Исходн.данные.!$AI212=$BU$11,"Нет",IF(BM212&gt;60,60,IF(BM212&lt;10,10,BM212)))))))</f>
        <v>10</v>
      </c>
      <c r="CA212" s="39">
        <f>IF(BN212&lt;0,0,IF(Исходн.данные.!$AG212=$BV$11,BN212,IF(OR(Исходн.данные.!$AH212=$BQ$7,Исходн.данные.!$AH212=$BQ$8),CD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0,IF(Исходн.данные.!$AI212=$BU$11,"Нет",IF(BN212&gt;30,30,BN212))))))</f>
        <v>0</v>
      </c>
      <c r="CB212" s="9">
        <f t="shared" si="234"/>
        <v>0</v>
      </c>
      <c r="CC212" s="9">
        <f t="shared" si="235"/>
        <v>0</v>
      </c>
      <c r="CD212" s="9">
        <f t="shared" si="236"/>
        <v>0</v>
      </c>
      <c r="CE212" s="12">
        <f t="shared" si="237"/>
        <v>10</v>
      </c>
      <c r="CF212" s="9">
        <f t="shared" si="238"/>
        <v>0</v>
      </c>
      <c r="CG212" s="9" t="s">
        <v>231</v>
      </c>
      <c r="CH212" s="132" t="str">
        <f>IF(Исходн.данные.!AP212=Расчет!$CI$16,"Нет",IF(Исходн.данные.!AL212&gt;0,Исходн.данные.!AL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BH$4,IF(OR(Исходн.данные.!AI212=Исходн.данные.!$AI$6,Исходн.данные.!AI212=Исходн.данные.!$AI$7),Расчет!BS212,IF(AND($CF212=0,$CE212&gt;0),EV212,ER212)))))</f>
        <v>Аммофос 12:52:00</v>
      </c>
      <c r="CI212" s="274">
        <f>IF(Расчет!$CH212="Нет","Нет",IF(Исходн.данные.!$AL212&gt;0,VLOOKUP(Расчет!$CH212,АшламаДВ_Irekle,2,FALSE),VLOOKUP(Расчет!$CH212,АшламаДВ_Gomumy,2,FALSE)))</f>
        <v>0.12</v>
      </c>
      <c r="CJ212" s="274">
        <f>IF(Расчет!$CH212="Нет","Нет",IF(Исходн.данные.!$AL212&gt;0,VLOOKUP(Расчет!$CH212,АшламаДВ_Irekle,3,FALSE),VLOOKUP(Расчет!$CH212,АшламаДВ_Gomumy,3,FALSE)))</f>
        <v>0.52</v>
      </c>
      <c r="CK212" s="274">
        <f>IF(Расчет!$CH212="Нет","Нет",IF(Исходн.данные.!$AL212&gt;0,VLOOKUP(Расчет!$CH212,АшламаДВ_Irekle,4,FALSE),VLOOKUP(Расчет!$CH212,АшламаДВ_Gomumy,4,FALSE)))</f>
        <v>0</v>
      </c>
      <c r="CL212" s="70"/>
      <c r="CM212" s="70"/>
      <c r="CN212" s="70"/>
      <c r="CO212" s="70"/>
      <c r="CP212" s="70"/>
      <c r="CQ212" s="70"/>
      <c r="CR212" s="10">
        <f t="shared" si="239"/>
        <v>0</v>
      </c>
      <c r="CS212" s="10">
        <f t="shared" si="240"/>
        <v>19.23076923076923</v>
      </c>
      <c r="CT212" s="10">
        <f t="shared" si="241"/>
        <v>0</v>
      </c>
      <c r="CU212" s="39">
        <f>IF($CH212="Нет",0,IF(CI212=0,30/MIN(CJ212:CK212),IF(Исходн.данные.!$AG212=$BV$11,CR212,IF(OR(Исходн.данные.!$AH212=$BQ$7,Исходн.данные.!$AH212=$BQ$8),90/CI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0,IF(Исходн.данные.!$AI212=$BU$11,"Нет",30/CI212))))))</f>
        <v>250</v>
      </c>
      <c r="CV212" s="39">
        <f>IF($CH212="Нет",0,IF(Исходн.данные.!AH212=0,0,IF(CJ212=0,60/MIN(CI212,CK212),IF(Исходн.данные.!$AG212=$BV$11,CS212,IF(OR(Исходн.данные.!$AH212=$BQ$7,Исходн.данные.!$AH212=$BQ$8),90/CJ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10/CJ212,IF(Исходн.данные.!$AI212=$BU$11,"Нет",60/CJ212)))))))</f>
        <v>0</v>
      </c>
      <c r="CW212" s="39">
        <f>IF($CH212="Нет",0,IF(Исходн.данные.!AH212=0,0,IF(CK212=0,30/MIN(CI212:CJ212),IF(Исходн.данные.!$AG212=$BV$11,CT212,IF(OR(Исходн.данные.!$AH212=$BQ$7,Исходн.данные.!$AH212=$BQ$8),90/CK212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0,IF(Исходн.данные.!$AI212=$BU$11,"Нет",30/CK212)))))))</f>
        <v>0</v>
      </c>
      <c r="CX212" s="133">
        <f>IF(Исходн.данные.!$AG212=$BV$11,MAX(CU212:CW212),IF(OR(Исходн.данные.!$AH212=$BS$8,Исходн.данные.!$AH212=$BQ$9,Исходн.данные.!$AH212=$BQ$10,Исходн.данные.!$AH212=$BQ$11,Исходн.данные.!$AH212=$BQ$12,Исходн.данные.!$AH212=$BP$3,Исходн.данные.!$AH212=$BT$8,$FM212="Да"),CV212,MIN(CU212:CW212)))</f>
        <v>0</v>
      </c>
      <c r="CY212" s="133">
        <f>IF(Исходн.данные.!AH212=0,0,IF(CR212&gt;$CX212,$CX212,CR212))</f>
        <v>0</v>
      </c>
      <c r="CZ212" s="133">
        <f>IF(Исходн.данные.!AH212=0,0,IF(CS212&gt;$CX212,$CX212,CS212))</f>
        <v>0</v>
      </c>
      <c r="DA212" s="133">
        <f>IF(Исходн.данные.!AH212=0,0,IF(CT212&gt;$CX212,$CX212,CT212))</f>
        <v>0</v>
      </c>
      <c r="DB212" s="10">
        <f t="shared" si="242"/>
        <v>0</v>
      </c>
      <c r="DC212" s="39">
        <f>DB212*Исходн.данные.!AJ212/1000</f>
        <v>0</v>
      </c>
      <c r="DD212" s="71">
        <f t="shared" si="243"/>
        <v>0</v>
      </c>
      <c r="DE212" s="9">
        <f t="shared" si="244"/>
        <v>0</v>
      </c>
      <c r="DF212" s="9">
        <f t="shared" si="245"/>
        <v>0</v>
      </c>
      <c r="DG212" s="39">
        <f>IF(BL212&lt;0,0,IF($CH212="Нет",BL212,IF(OR(Исходн.данные.!$AH212=$BP$1,Исходн.данные.!$AH212=$BP$2),0,IF(Исходн.данные.!AI212=$BU$11,BL212,IF(BL212-DD212&lt;0,0,BL212-DD212)))))</f>
        <v>0</v>
      </c>
      <c r="DH212" s="39">
        <f>IF(BM212&lt;0,0,IF($CH212="Нет",BM212,IF(OR(Исходн.данные.!$AH212=$BP$1,Исходн.данные.!$AH212=$BP$2),0,IF(Исходн.данные.!AJ212=$BU$11,BM212,IF(BM212-DE212&lt;0,0,BM212-DE212)))))</f>
        <v>0</v>
      </c>
      <c r="DI212" s="39">
        <f>IF(BN212&lt;0,0,IF($CH212="Нет",BN212,IF(OR(Исходн.данные.!$AH212=$BP$1,Исходн.данные.!$AH212=$BP$2),0,IF(Исходн.данные.!AK212=$BU$11,BN212,IF(BN212-DF212&lt;0,0,BN212-DF212)))))</f>
        <v>0</v>
      </c>
      <c r="DJ212" s="12">
        <f t="shared" si="246"/>
        <v>0</v>
      </c>
      <c r="DK212" s="9">
        <f t="shared" si="247"/>
        <v>0</v>
      </c>
      <c r="DL212" s="39">
        <f>IF(Исходн.данные.!AM212&gt;0,Исходн.данные.!AM212,IF(EG212&gt;0,$BH$10,0))</f>
        <v>0</v>
      </c>
      <c r="DM212" s="186">
        <f>IF($DL212=0,0,IF(Исходн.данные.!AM212&gt;0,VLOOKUP($DL212,АшламаДВ_Irekle,2,FALSE),VLOOKUP($DL212,АшламаДВ_Gomumy,2,FALSE)))</f>
        <v>0</v>
      </c>
      <c r="DN212" s="10">
        <f t="shared" si="225"/>
        <v>0</v>
      </c>
      <c r="DO212" s="9" t="str">
        <f>IF(Исходн.данные.!AN212&gt;0,Исходн.данные.!AN212,Удобрения!$B$37 )</f>
        <v>Хлор.калий</v>
      </c>
      <c r="DP212" s="9">
        <f>IF(Исходн.данные.!AN212&gt;0,VLOOKUP(Исходн.данные.!AN212,АшламаДВ_Irekle,4,FALSE),VLOOKUP(DO212,АшламаДВ_Gomumy,4,FALSE))</f>
        <v>0.6</v>
      </c>
      <c r="DQ212" s="10">
        <f t="shared" si="226"/>
        <v>0</v>
      </c>
      <c r="DR212" s="132" t="str">
        <f>IF(Исходн.данные.!AO212&gt;0,Исходн.данные.!AO212,IF(DH212=0,BS$17,IF(AND($DK212=0,$DJ212&gt;0),EJ212,EN212)))</f>
        <v>Нет</v>
      </c>
      <c r="DS212" s="70" t="str">
        <f>IF($DR212="Нет","Нет",IF(Исходн.данные.!$AO212&gt;0,VLOOKUP($DR212,АшламаДВ_Irekle,2,FALSE),VLOOKUP($DR212,АшламаДВ_Gomumy,2,FALSE)))</f>
        <v>Нет</v>
      </c>
      <c r="DT212" s="70" t="str">
        <f>IF($DR212="Нет","Нет",IF(Исходн.данные.!$AO212&gt;0,VLOOKUP($DR212,АшламаДВ_Irekle,3,FALSE),VLOOKUP($DR212,АшламаДВ_Gomumy,3,FALSE)))</f>
        <v>Нет</v>
      </c>
      <c r="DU212" s="70" t="str">
        <f>IF($DR212="Нет","Нет",IF(Исходн.данные.!$AO212&gt;0,VLOOKUP($DR212,АшламаДВ_Irekle,4,FALSE),VLOOKUP($DR212,АшламаДВ_Gomumy,4,FALSE)))</f>
        <v>Нет</v>
      </c>
      <c r="DV212" s="70"/>
      <c r="DW212" s="70"/>
      <c r="DX212" s="70"/>
      <c r="DY212" s="10">
        <f t="shared" si="248"/>
        <v>0</v>
      </c>
      <c r="DZ212" s="10">
        <f t="shared" si="249"/>
        <v>0</v>
      </c>
      <c r="EA212" s="10">
        <f t="shared" si="250"/>
        <v>0</v>
      </c>
      <c r="EB212" s="10">
        <f t="shared" si="251"/>
        <v>0</v>
      </c>
      <c r="EC212" s="10">
        <f t="shared" si="252"/>
        <v>0</v>
      </c>
      <c r="ED212" s="10">
        <f t="shared" si="253"/>
        <v>0</v>
      </c>
      <c r="EE212" s="10">
        <f t="shared" si="254"/>
        <v>0</v>
      </c>
      <c r="EF212" s="39">
        <f>EB212*Исходн.данные.!AJ212/1000</f>
        <v>0</v>
      </c>
      <c r="EG212" s="9">
        <f t="shared" si="255"/>
        <v>0</v>
      </c>
      <c r="EH212" s="9">
        <f t="shared" si="256"/>
        <v>0</v>
      </c>
      <c r="EI212" s="39" t="e">
        <f t="shared" si="206"/>
        <v>#DIV/0!</v>
      </c>
      <c r="EJ212" s="9" t="str">
        <f t="shared" si="227"/>
        <v>Азопреципитат</v>
      </c>
      <c r="EK212" s="12">
        <f t="shared" si="207"/>
        <v>0.26</v>
      </c>
      <c r="EL212" s="12">
        <f t="shared" si="208"/>
        <v>0.13</v>
      </c>
      <c r="EM212" s="12">
        <f t="shared" si="209"/>
        <v>0</v>
      </c>
      <c r="EN212" s="12" t="str">
        <f t="shared" si="228"/>
        <v>Нет</v>
      </c>
      <c r="EO212" s="12">
        <f t="shared" si="210"/>
        <v>0</v>
      </c>
      <c r="EP212" s="12">
        <f t="shared" si="211"/>
        <v>0</v>
      </c>
      <c r="EQ212" s="12">
        <f t="shared" si="212"/>
        <v>0</v>
      </c>
      <c r="ER212" s="12" t="str">
        <f t="shared" si="257"/>
        <v>Диаммофоска</v>
      </c>
      <c r="ES212" s="12">
        <f t="shared" si="213"/>
        <v>0.1</v>
      </c>
      <c r="ET212" s="12">
        <f t="shared" si="214"/>
        <v>0.26</v>
      </c>
      <c r="EU212" s="12">
        <f t="shared" si="215"/>
        <v>0.26</v>
      </c>
      <c r="EV212" s="12" t="str">
        <f t="shared" si="258"/>
        <v>Аммофос 12:52:00</v>
      </c>
      <c r="EW212" s="12" t="str">
        <f t="shared" si="259"/>
        <v>Кемира Свекловичное-6</v>
      </c>
      <c r="EX212" s="12">
        <f t="shared" si="216"/>
        <v>0.16</v>
      </c>
      <c r="EY212" s="12">
        <f t="shared" si="217"/>
        <v>0.12</v>
      </c>
      <c r="EZ212" s="12">
        <f t="shared" si="218"/>
        <v>0.17</v>
      </c>
      <c r="FA212" s="38" t="e">
        <f>IF(AND(OR(FJ212=$FD$1,FM212=$FD$1,FO212=$FD$1,FQ212=$FD$1,FS212=$FD$1),FD212=$FD$1,Исходн.данные.!J212&lt;2,FU212=$FD$1),"Бор,Кобальт",IF(AND(FO212=$FD$1,FH212=$FD$1,Исходн.данные.!J212&lt;2,FU212=$FD$1),"Бор,Кобальт",IF(AND(OR(FJ212=$FD$1,FM212=$FD$1,FQ212=$FD$1),FE212=$FD$1,Исходн.данные.!J212&lt;2,FT212=$FD$1,FU212=$FD$1),"Бор,Медь,Цинк",IF(AND(OR(FJ212=$FD$1,FR212="Да"),FI212="Да",Исходн.данные.!J212&lt;2,FT212="Да",FU212="Да"),"Бор,Цинк,Медь",IF(AND(OR(FM212="Да",FQ212="Да"),FI212="Да",Исходн.данные.!J212&lt;2,FT212="Да",FU212="Да"),"Бор,Цинк",IF(AND(FN212="Да",OR(FD212="Да",FE212="Да")),"Бор",FB212))))))</f>
        <v>#N/A</v>
      </c>
      <c r="FB212" s="134" t="e">
        <f>IF(AND(OR(FD212="Да",FE212="Да",FF212="Да",FG212="Да",FH212="Да"),FO212="Да"),"Бор",IF(AND(FP212="Да",OR(FD212="Да",FE212="Да",FI212="Да")),"Бор",IF(AND(FS212="Да",FE212="Да"),"Бор,Медь",IF(AND(OR(FJ212="Да",FK212="Да",FL212="Да"),FE212="Да",Исходн.данные.!I212&lt;5,FT212="Да",FU212="Да"),"Молибден,Цинк",IF(AND(FM212="Да",OR(FE212="Да",FF212="Да",FG212="Да",FH212="Да",FI212="Да")),"Молибден,Цинк",IF(AND(OR(FJ212="Да",FK212="Да",FL212="Да",FM212="Да",FQ212="Да"),OR(FE212="Да",FF212="Да"),FT212="Да",FU212="Да",Исходн.данные.!I212&gt;5.5),"Медь,Цинк",FC212))))))</f>
        <v>#N/A</v>
      </c>
      <c r="FC212" s="23" t="e">
        <f t="shared" si="260"/>
        <v>#N/A</v>
      </c>
      <c r="FD212" s="38" t="str">
        <f>IF(OR(Исходн.данные.!F212=$CC$1,Исходн.данные.!F212=$CC$2,Исходн.данные.!F212=$CC$3,Исходн.данные.!F212=$CC$4),"Да","Нет")</f>
        <v>Нет</v>
      </c>
      <c r="FE212" s="38" t="str">
        <f>IF(Исходн.данные.!F212=$CC$5,"Да","Нет")</f>
        <v>Нет</v>
      </c>
      <c r="FF212" s="38" t="str">
        <f>IF(OR(Исходн.данные.!F212=$CC$6,Исходн.данные.!F212=$CC$7),"Да","Нет")</f>
        <v>Нет</v>
      </c>
      <c r="FG212" s="38" t="str">
        <f>IF(OR(Исходн.данные.!F212=$CC$8,Исходн.данные.!F212=$CC$9),"Да","Нет")</f>
        <v>Нет</v>
      </c>
      <c r="FH212" s="38" t="str">
        <f>IF(Исходн.данные.!F212=$CC$10,"Да","Нет")</f>
        <v>Нет</v>
      </c>
      <c r="FI212" s="38" t="str">
        <f>IF(OR(Исходн.данные.!F212=$CC$11,Исходн.данные.!F212=$CC$12),"Да","Нет")</f>
        <v>Нет</v>
      </c>
      <c r="FJ212" s="38" t="str">
        <f>IF(OR(Исходн.данные.!AH212=$BS$1,Исходн.данные.!AH212=$BQ$11,Исходн.данные.!AH212=$BQ$12),"Да","Нет")</f>
        <v>Нет</v>
      </c>
      <c r="FK212" s="38" t="str">
        <f>IF(OR(Исходн.данные.!AH212=$BS$2,Исходн.данные.!AH212=$BS$4),"Да","Нет")</f>
        <v>Нет</v>
      </c>
      <c r="FL212" s="38" t="str">
        <f>IF(OR(Исходн.данные.!AH212=$BS$3,Исходн.данные.!AH212=$BS$5),"Да","Нет")</f>
        <v>Нет</v>
      </c>
      <c r="FM212" s="38" t="str">
        <f>IF(OR(Исходн.данные.!AH212=$BS$9,Исходн.данные.!AH212=$BS$10,Исходн.данные.!AH212=$BS$11,Исходн.данные.!AH212=$BS$12),"Да","Нет")</f>
        <v>Нет</v>
      </c>
      <c r="FN212" s="38" t="str">
        <f>IF(OR(Исходн.данные.!AH212=$BS$6,Исходн.данные.!AH212=$BP$3),"Да","Нет")</f>
        <v>Нет</v>
      </c>
      <c r="FO212" s="38" t="str">
        <f>IF(Исходн.данные.!AH212=$BQ$9,"Да","Нет")</f>
        <v>Нет</v>
      </c>
      <c r="FP212" s="38" t="str">
        <f>IF(OR(Исходн.данные.!AH212=$BS$8,Исходн.данные.!AH212=$BT$8),"Да","Нет")</f>
        <v>Нет</v>
      </c>
      <c r="FQ212" s="38" t="str">
        <f>IF(OR(Исходн.данные.!AH212=$BQ$7,Исходн.данные.!AH212=$BQ$8),"Да","Нет")</f>
        <v>Нет</v>
      </c>
      <c r="FR212" s="38" t="str">
        <f>IF(Исходн.данные.!AI212=$BU$9,"Да","Нет")</f>
        <v>Нет</v>
      </c>
      <c r="FS212" s="38" t="str">
        <f>IF(OR(Исходн.данные.!AH212=$BP$1,Исходн.данные.!AH212=$BP$2),"Да","Нет")</f>
        <v>Нет</v>
      </c>
      <c r="FT212" s="38" t="e">
        <f>IF((Исходн.данные.!K212*GO212*GS212*GW212+BL212*0.6+Исходн.данные.!Q212*4.5*0.275)&gt;90,"Да","Нет")</f>
        <v>#N/A</v>
      </c>
      <c r="FU212" s="38" t="e">
        <f>IF((Исходн.данные.!M212*GS212*GZ212+BM212*0.225)&gt;35,"Да","Нет")</f>
        <v>#N/A</v>
      </c>
      <c r="FV212" s="38" t="str">
        <f>IF(Исходн.данные.!O212&gt;175,"Да","Нет")</f>
        <v>Нет</v>
      </c>
      <c r="FW212" s="39" t="str">
        <f>IF(Исходн.данные.!I212&gt;5.5,"Да","Нет")</f>
        <v>Нет</v>
      </c>
      <c r="FX212" s="39" t="str">
        <f>IF(Исходн.данные.!J212&lt;2,"Да","Нет")</f>
        <v>Да</v>
      </c>
      <c r="FY212" s="39" t="e">
        <f>IF(HF212=$FY$16,0,Исходн.данные.!K212*GO212*GS212*GW212/HF212)</f>
        <v>#N/A</v>
      </c>
      <c r="FZ212" s="39" t="e">
        <f>Исходн.данные.!M212*GS212*GZ212/HG212</f>
        <v>#N/A</v>
      </c>
      <c r="GA212" s="39" t="e">
        <f>IF(K_Wyn=$FY$16,0,IF(Исходн.данные.!N212=Исходн.данные.!$L$10,Исходн.данные.!O212/1.1*GS212*HC212/HH212,IF(Исходн.данные.!N212=Исходн.данные.!$L$12,Исходн.данные.!O212/1.5*GS212*HC212/HH212,Исходн.данные.!O212*GS212*HC212/HH212)))</f>
        <v>#N/A</v>
      </c>
      <c r="GB212" s="39" t="e">
        <f>IF(HF212=$FY$16,0,((Исходн.данные.!Q212*N_Org+Исходн.данные.!R212*N_Sider+Исходн.данные.!S212*N_Soloma)*AO212+Расчет!BC212*VLOOKUP(Исходн.данные.!T212,Справ!$A$3:$O$57,15)*AO212+BB212*VLOOKUP(Исходн.данные.!T212,Справ!$A$3:$O$57,15)*AL212+(Исходн.данные.!V212*N_Rizotorf+Исходн.данные.!W212*N_Rizoagr))/HF212)</f>
        <v>#N/A</v>
      </c>
      <c r="GC212" s="39" t="e">
        <f>IF(HG212=$FY$16,0,((Исходн.данные.!Q212*Р_Org+Исходн.данные.!R212*P_Sider+Исходн.данные.!S212*P_Soloma)*AP212+Расчет!BC212*VLOOKUP(Исходн.данные.!T212,Справ!$A$3:$P$57,16)*AP212+BB212*VLOOKUP(Исходн.данные.!T212,Справ!$A$3:$P$57,16)*AM212)/HG212)</f>
        <v>#N/A</v>
      </c>
      <c r="GD212" s="39" t="e">
        <f>IF(HH212=$FY$16,0,((Исходн.данные.!Q212*К_Org+Исходн.данные.!R212*K_Sider+Исходн.данные.!S212*K_Soloma)*AQ212+Расчет!BC212*VLOOKUP(Исходн.данные.!T212,Справ!$A$3:$Q$57,17)*AQ212+BB212*VLOOKUP(Исходн.данные.!T212,Справ!$A$3:$Q$57,17)*AN212)/HH212)</f>
        <v>#N/A</v>
      </c>
      <c r="GE212" s="39" t="e">
        <f>IF(HF212=$FY$16,0,(Исходн.данные.!X212*AR212+Исходн.данные.!AA212*N_Org*AL212+Исходн.данные.!AB212*N_Sider*AL212+Исходн.данные.!AC212*N_Soloma*AL212)/HF212)</f>
        <v>#N/A</v>
      </c>
      <c r="GF212" s="39" t="e">
        <f>IF(HG212=$FY$16,0,(Исходн.данные.!Y212*AS212+Исходн.данные.!AA212*Р_Org*AM212+Исходн.данные.!AB212*P_Sider*AM212+Исходн.данные.!AC212*P_Soloma*AM212)/HG212)</f>
        <v>#N/A</v>
      </c>
      <c r="GG212" s="39" t="e">
        <f>IF(HH212=$FY$16,0,(Исходн.данные.!Z212*AT212+Исходн.данные.!AA212*К_Org*AN212+Исходн.данные.!AB212*K_Sider*AN212+Исходн.данные.!AC212*K_Soloma*AN212)/HH212)</f>
        <v>#N/A</v>
      </c>
      <c r="GH212" s="39" t="e">
        <f>Исходн.данные.!AD212*AU212/HF212</f>
        <v>#N/A</v>
      </c>
      <c r="GI212" s="39" t="e">
        <f>Исходн.данные.!AE212*AV212/HG212</f>
        <v>#N/A</v>
      </c>
      <c r="GJ212" s="39" t="e">
        <f>Исходн.данные.!AF212*AW212/HH212</f>
        <v>#N/A</v>
      </c>
      <c r="GK212" s="55">
        <f>Исходн.данные.!AK212</f>
        <v>0</v>
      </c>
      <c r="GL212" s="11" t="e">
        <f t="shared" si="261"/>
        <v>#N/A</v>
      </c>
      <c r="GM212" s="11" t="e">
        <f t="shared" si="262"/>
        <v>#N/A</v>
      </c>
      <c r="GN212" s="11" t="e">
        <f t="shared" si="263"/>
        <v>#N/A</v>
      </c>
      <c r="GO212" s="57">
        <f t="shared" si="264"/>
        <v>19</v>
      </c>
      <c r="GP212" s="55">
        <f>IF(OR(Исходн.данные.!F212=$CE$1,Исходн.данные.!F212=$CE$2,Исходн.данные.!F212=$CE$3,Исходн.данные.!F212=$CE$4,Исходн.данные.!F212=$CE$5),GQ212,GR212)</f>
        <v>19</v>
      </c>
      <c r="GQ212" s="55">
        <f>IF(Исходн.данные.!F212=$CE$1,28,IF(Исходн.данные.!F212=$CE$2,26,IF(Исходн.данные.!F212=$CE$3,24,IF(Исходн.данные.!F212=$CE$4,22,IF(Исходн.данные.!F212=$CE$5,20,GR212)))))</f>
        <v>19</v>
      </c>
      <c r="GR212" s="55">
        <f>IF(Исходн.данные.!F212=$CE$6,18,IF(Исходн.данные.!F212=$CE$7,16,IF(Исходн.данные.!F212=$CE$8,14,IF(Исходн.данные.!F212=$CE$9,13,IF(Исходн.данные.!F212=$CE$10,12,19)))))</f>
        <v>19</v>
      </c>
      <c r="GS212" s="55">
        <f>IF(Исходн.данные.!G212="Пес",0.035*(40+2*Исходн.данные.!H212),IF(Исходн.данные.!G212="Суп",0.0325*(40+2*Исходн.данные.!H212),0.03*(40+2*Исходн.данные.!H212)))</f>
        <v>1.2</v>
      </c>
      <c r="GT212" s="55">
        <f>IF(Исходн.данные.!H212&lt;23,2.6,IF(AND(Исходн.данные.!H212&gt;22,Исходн.данные.!H212&lt;26),3,IF(AND(Исходн.данные.!H212&gt;25,Исходн.данные.!H212&lt;29),3.4,3.6)))</f>
        <v>2.6</v>
      </c>
      <c r="GU212" s="55">
        <f>IF(Исходн.данные.!H212&lt;23,2.8,IF(AND(Исходн.данные.!H212&gt;22,Исходн.данные.!H212&lt;26),3.2,IF(AND(Исходн.данные.!H212&gt;25,Исходн.данные.!H212&lt;29),3.6,3.9)))</f>
        <v>2.8</v>
      </c>
      <c r="GV212" s="55">
        <f>IF(Исходн.данные.!H212&lt;23,3,IF(AND(Исходн.данные.!H212&gt;22,Исходн.данные.!H212&lt;26),3.5,IF(AND(Исходн.данные.!H212&gt;25,Исходн.данные.!H212&lt;29),3.9,4.2)))</f>
        <v>3</v>
      </c>
      <c r="GW212" s="55" t="e">
        <f>IF(Исходн.данные.!P212="Ум",GX212,GY212)</f>
        <v>#N/A</v>
      </c>
      <c r="GX212" s="55" t="e">
        <f>VLOOKUP(Исходн.данные.!AI212,Коэффициенты!$J$7:$L$13,2,FALSE)</f>
        <v>#N/A</v>
      </c>
      <c r="GY212" s="55" t="e">
        <f>VLOOKUP(Исходн.данные.!AI212,Коэффициенты!$J$7:$L$13,3,FALSE)</f>
        <v>#N/A</v>
      </c>
      <c r="GZ212" s="55" t="e">
        <f>(IF(Исходн.данные.!M212&lt;50,0.11*VLOOKUP(Исходн.данные.!AH212,Культуры.Информация,7,FALSE),IF(Исходн.данные.!M212&gt;250,0.05*VLOOKUP(Исходн.данные.!AH212,Культуры.Информация,7,FALSE),VLOOKUP(Исходн.данные.!AH212,Культуры.Информация,5,FALSE)/100*($GX$6+$GY$6*Исходн.данные.!M212))))*Расчет2!AI212</f>
        <v>#N/A</v>
      </c>
      <c r="HA212" s="211"/>
      <c r="HB212" s="211"/>
      <c r="HC212" s="55" t="e">
        <f>(IF(Исходн.данные.!O212&lt;80,0.2*VLOOKUP(Исходн.данные.!AH212,Культуры.Информация,8,FALSE),IF(Исходн.данные.!O212&gt;240,0.09*VLOOKUP(Исходн.данные.!AH212,Культуры.Информация,8,FALSE),VLOOKUP(Исходн.данные.!AH212,Культуры.Информация,6,FALSE)/100*($HB$6+$HC$6*Исходн.данные.!O212))))*Расчет2!AJ212</f>
        <v>#N/A</v>
      </c>
      <c r="HD212" s="55">
        <f>IF(Исходн.данные.!O212&gt;240,0.09,IF(Исходн.данные.!O212&lt;30,0.3,$HE$10+$HD$10*Исходн.данные.!O212))</f>
        <v>0.3</v>
      </c>
      <c r="HE212" s="55">
        <f>IF(Исходн.данные.!O212&gt;240,0.17,IF(Исходн.данные.!O212&lt;30,0.5,$HF$12+$HE$12*Исходн.данные.!O212))</f>
        <v>0.5</v>
      </c>
      <c r="HF212" s="55" t="e">
        <f>VLOOKUP(Исходн.данные.!AH212,Справ!$A$3:$D$58,2,FALSE)</f>
        <v>#N/A</v>
      </c>
      <c r="HG212" s="55" t="e">
        <f>VLOOKUP(Исходн.данные.!AH212,Справ!$A$3:$D$58,3,FALSE)</f>
        <v>#N/A</v>
      </c>
      <c r="HH212" s="55" t="e">
        <f>VLOOKUP(Исходн.данные.!AH212,Справ!$A$3:$D$58,4,FALSE)</f>
        <v>#N/A</v>
      </c>
      <c r="HI212" s="11" t="e">
        <f t="shared" si="265"/>
        <v>#N/A</v>
      </c>
      <c r="HJ212" s="11" t="e">
        <f t="shared" si="266"/>
        <v>#N/A</v>
      </c>
      <c r="HK212" s="11" t="e">
        <f t="shared" si="267"/>
        <v>#N/A</v>
      </c>
      <c r="HL212" s="55">
        <f>IF(OR(Исходн.данные.!G212="Глин",Исходн.данные.!G212="Т_суг"),1.1,IF(Исходн.данные.!G212="Ср_суг",1,1))</f>
        <v>1</v>
      </c>
      <c r="HM212" s="55">
        <f>IF(OR(Исходн.данные.!G212="Глин",Исходн.данные.!G212="Т_суг"),0.9,IF(Исходн.данные.!G212="Ср_суг",1,1.2))</f>
        <v>1.2</v>
      </c>
      <c r="HN212" s="11" t="e">
        <f t="shared" si="268"/>
        <v>#N/A</v>
      </c>
      <c r="HO212" s="11" t="e">
        <f t="shared" si="269"/>
        <v>#N/A</v>
      </c>
      <c r="HP212" s="11" t="e">
        <f t="shared" si="270"/>
        <v>#N/A</v>
      </c>
      <c r="HQ212" t="e">
        <f t="shared" si="271"/>
        <v>#N/A</v>
      </c>
      <c r="HR212" t="e">
        <f t="shared" si="272"/>
        <v>#N/A</v>
      </c>
      <c r="HS212" t="e">
        <f t="shared" si="273"/>
        <v>#N/A</v>
      </c>
      <c r="HT212" t="e">
        <f t="shared" si="219"/>
        <v>#N/A</v>
      </c>
      <c r="HU212" t="e">
        <f t="shared" si="220"/>
        <v>#N/A</v>
      </c>
      <c r="HV212" t="e">
        <f t="shared" si="221"/>
        <v>#N/A</v>
      </c>
      <c r="HW212" t="e">
        <f t="shared" si="222"/>
        <v>#N/A</v>
      </c>
      <c r="HX212" t="e">
        <f t="shared" si="223"/>
        <v>#N/A</v>
      </c>
      <c r="HY212" t="e">
        <f t="shared" si="224"/>
        <v>#N/A</v>
      </c>
      <c r="HZ212" s="55">
        <f>IF(OR(Исходн.данные.!AI212="Оз_Ч_П",Исходн.данные.!AI212="Оз_З_П",Исходн.данные.!AI212="Яр_зер"),12,30)</f>
        <v>30</v>
      </c>
      <c r="IA212" t="e">
        <f t="shared" si="274"/>
        <v>#N/A</v>
      </c>
      <c r="IB212" t="e">
        <f t="shared" si="275"/>
        <v>#N/A</v>
      </c>
      <c r="IC212" t="e">
        <f t="shared" si="276"/>
        <v>#N/A</v>
      </c>
      <c r="ID212" s="11" t="e">
        <f t="shared" si="277"/>
        <v>#N/A</v>
      </c>
      <c r="IE212" s="11" t="e">
        <f t="shared" si="278"/>
        <v>#N/A</v>
      </c>
      <c r="IF212" s="11" t="e">
        <f t="shared" si="279"/>
        <v>#N/A</v>
      </c>
    </row>
    <row r="213" spans="35:240" x14ac:dyDescent="0.2">
      <c r="AI213">
        <f>IF(Исходн.данные.!I213&gt;6,1,1.85-(0.148*Исходн.данные.!I213))</f>
        <v>1.85</v>
      </c>
      <c r="AJ213">
        <f>IF(Исходн.данные.!I213&gt;6,1,2.434-(0.246*Исходн.данные.!I213))</f>
        <v>2.4340000000000002</v>
      </c>
      <c r="AL213" s="148" t="b">
        <f>IF(Исходн.данные.!$P213="Ум",N_OrgUd_2g_um,IF(Исходн.данные.!$P213="Об",N_OrgUd_2g_ob))</f>
        <v>0</v>
      </c>
      <c r="AM213" s="148" t="b">
        <f>IF(Исходн.данные.!$P213="Ум",P_OrgUd_2g_um,IF(Исходн.данные.!$P213="Об",P_OrgUd_2g_ob))</f>
        <v>0</v>
      </c>
      <c r="AN213" s="148" t="b">
        <f>IF(Исходн.данные.!$P213="Ум",K_OrgUd_2g_um,IF(Исходн.данные.!$P213="Об",K_OrgUd_2g_ob))</f>
        <v>0</v>
      </c>
      <c r="AO213" s="148" t="b">
        <f>IF(Исходн.данные.!$P213="Ум",N_OrgUd_1g_um,IF(Исходн.данные.!$P213="Об",N_OrgUd_1g_ob))</f>
        <v>0</v>
      </c>
      <c r="AP213" s="148" t="b">
        <f>IF(Исходн.данные.!$P213="Ум",P_OrgUd_1g_um,IF(Исходн.данные.!$P213="Об",P_OrgUd_1g_ob))</f>
        <v>0</v>
      </c>
      <c r="AQ213" s="148" t="b">
        <f>IF(Исходн.данные.!$P213="Ум",K_OrgUd_1g_um,IF(Исходн.данные.!$P213="Об",K_OrgUd_1g_ob))</f>
        <v>0</v>
      </c>
      <c r="AR213" t="b">
        <f>IF(Исходн.данные.!$P213="Ум",N_MinUd_2g_um,IF(Исходн.данные.!$P213="Об",N_MinUd_2g_ob))</f>
        <v>0</v>
      </c>
      <c r="AS213" t="b">
        <f>IF(Исходн.данные.!$P213="Ум",P_MinUd_2g_um,IF(Исходн.данные.!$P213="Об",P_MinUd_2g_ob))</f>
        <v>0</v>
      </c>
      <c r="AT213" t="b">
        <f>IF(Исходн.данные.!$P213="Ум",K_MinUd_2g_um,IF(Исходн.данные.!$P213="Об",K_MinUd_2g_ob))</f>
        <v>0</v>
      </c>
      <c r="AU213" t="b">
        <f>IF(Исходн.данные.!$P213="Ум",N_MinUd_1g_um,IF(Исходн.данные.!$P213="Об",N_MinUd_1g_ob))</f>
        <v>0</v>
      </c>
      <c r="AV213" t="b">
        <f>IF(Исходн.данные.!P213="Ум",P_MinUd_1g_um,IF(Исходн.данные.!P213="Об",P_MinUd_1g_ob))</f>
        <v>0</v>
      </c>
      <c r="AW213" t="b">
        <f>IF(Исходн.данные.!P213="Ум",K_MinUd_1g_um,IF(Исходн.данные.!P213="Об",K_MinUd_1g_ob))</f>
        <v>0</v>
      </c>
      <c r="AY213" t="e">
        <f>VLOOKUP(Исходн.данные.!T213,Справ!$A$3:$N$57,12)</f>
        <v>#N/A</v>
      </c>
      <c r="AZ213" t="e">
        <f>VLOOKUP(Исходн.данные.!T213,Справ!$A$3:$N$57,13)</f>
        <v>#N/A</v>
      </c>
      <c r="BA213" t="e">
        <f>VLOOKUP(Исходн.данные.!T213,Справ!$A$3:$N$57,14)</f>
        <v>#N/A</v>
      </c>
      <c r="BB213">
        <f>IF(Исходн.данные.!AH213=0,0,25)</f>
        <v>0</v>
      </c>
      <c r="BC213" s="141">
        <f>IF(Исходн.данные.!AH213=0,0,IF(Исходн.данные.!T213=0,25,BD213))</f>
        <v>0</v>
      </c>
      <c r="BD213" s="168" t="e">
        <f>AY213+AZ213*Исходн.данные.!U213-POWER(BA213,2)*Исходн.данные.!U213</f>
        <v>#N/A</v>
      </c>
      <c r="BE21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3" s="25">
        <f>IF(Исходн.данные.!AH213=0,0,MIN(HN213:HP213))</f>
        <v>0</v>
      </c>
      <c r="BG213" s="9">
        <f>IF(Исходн.данные.!AH213=0,0,IF((HO213+10*0.25/HG213/HL213)&lt;17,17,HO213+10*0.25/HG213/HL213))</f>
        <v>0</v>
      </c>
      <c r="BH213" s="181">
        <f>IF(Исходн.данные.!AH213=0,0,HW213*HF213*HL213/AU213*AI213+Исходн.данные.!S213*10)</f>
        <v>0</v>
      </c>
      <c r="BI213" s="10"/>
      <c r="BJ213" s="182">
        <f>IF(Исходн.данные.!AH213=0,0,IF(HX213*HG213*HL213/AV213&lt;0,0,HX213*HG213*HL213/AV213*AJ213))</f>
        <v>0</v>
      </c>
      <c r="BK213" s="182">
        <f>IF(Исходн.данные.!AH213=0,0,HY213*HH213*HM213/AW213)</f>
        <v>0</v>
      </c>
      <c r="BL213" s="10">
        <f>IF(OR(Исходн.данные.!$AH213=$BP$1,Исходн.данные.!$AH213=$BP$2),0,IF(BH213&lt;0,0,IF(OR(Исходн.данные.!T213=Расчет!$BP$1,Исходн.данные.!T213=Расчет!$BP$2,Исходн.данные.!T213=Расчет!$BT$5,Исходн.данные.!T213=Расчет!$BT$6),BH213*0.5,IF(OR(Исходн.данные.!T213=Расчет!$BS$9,Исходн.данные.!T213=Расчет!$BS$10,Исходн.данные.!T213=Расчет!$BS$11,Исходн.данные.!T213=Расчет!$BS$12,Исходн.данные.!T213=Расчет!$BP$5),BH213*0.8,BH213))))</f>
        <v>0</v>
      </c>
      <c r="BM213" s="10">
        <f>IF(OR(Исходн.данные.!$AH213=$BP$1,Исходн.данные.!$AH213=$BP$2),0,IF(BJ213&lt;0,0,IF(Исходн.данные.!I213&lt;4.5,BJ213*1.2,IF(Исходн.данные.!I213&gt;5.1,BJ213,BJ213*((5.1-Исходн.данные.!I213)*0.333+1)))))</f>
        <v>0</v>
      </c>
      <c r="BN213" s="10">
        <f>IF(OR(Исходн.данные.!$AH213=$BP$1,Исходн.данные.!$AH213=$BP$2),60-Исходн.данные.!AF213,IF(BK213&lt;0,0,IF(Исходн.данные.!I213&lt;4.5,BK213*1.2,IF(Исходн.данные.!I213&gt;5.1,BK213,BK213*((5.1-Исходн.данные.!I213)*0.333+1)))))</f>
        <v>0</v>
      </c>
      <c r="BO213" s="9">
        <f>IF(BL213&lt;0,0,BL213*Исходн.данные.!$AJ213/1000)</f>
        <v>0</v>
      </c>
      <c r="BP213" s="9">
        <f>IF(BM213&lt;0,0,BM213*Исходн.данные.!$AJ213/1000)</f>
        <v>0</v>
      </c>
      <c r="BQ213" s="9">
        <f>IF(BN213&lt;0,0,BN213*Исходн.данные.!$AJ213/1000)</f>
        <v>0</v>
      </c>
      <c r="BR213" s="9">
        <f t="shared" si="229"/>
        <v>0</v>
      </c>
      <c r="BS213" s="10" t="str">
        <f t="shared" si="230"/>
        <v>Аммофос 12:52:00</v>
      </c>
      <c r="BT213" s="10" t="str">
        <f t="shared" si="231"/>
        <v>Аммофос 12:52:00</v>
      </c>
      <c r="BU213" s="10" t="str">
        <f t="shared" si="232"/>
        <v>Диаммофоска</v>
      </c>
      <c r="BV213" s="10">
        <f t="shared" si="233"/>
        <v>0</v>
      </c>
      <c r="BW213" s="10"/>
      <c r="BX213" s="10"/>
      <c r="BY213" s="9">
        <f>IF(BL213&lt;0,0,IF(OR(Исходн.данные.!AI213=Расчет!$BU$6,Исходн.данные.!AI213=Расчет!$BU$7),Расчет!BV213,IF(Исходн.данные.!$AG213=$BV$11,BL213,IF(OR(Исходн.данные.!$AH213=$BQ$7,Исходн.данные.!$AH213=$BQ$8),CB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0,IF(Исходн.данные.!$AI213=$BU$11,"Нет",IF(BL213&gt;30,30,BL213)))))))</f>
        <v>0</v>
      </c>
      <c r="BZ213" s="9">
        <f>IF(AND(Исходн.данные.!$AG213=$BV$11,BM213&lt;10),10,IF(Исходн.данные.!$AG213=$BV$11,BM213,IF(OR(Исходн.данные.!$AH213=$BQ$7,Исходн.данные.!$AH213=$BQ$8),CC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10,IF(Исходн.данные.!$AI213=$BU$11,"Нет",IF(BM213&gt;60,60,IF(BM213&lt;10,10,BM213)))))))</f>
        <v>10</v>
      </c>
      <c r="CA213" s="39">
        <f>IF(BN213&lt;0,0,IF(Исходн.данные.!$AG213=$BV$11,BN213,IF(OR(Исходн.данные.!$AH213=$BQ$7,Исходн.данные.!$AH213=$BQ$8),CD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0,IF(Исходн.данные.!$AI213=$BU$11,"Нет",IF(BN213&gt;30,30,BN213))))))</f>
        <v>0</v>
      </c>
      <c r="CB213" s="9">
        <f t="shared" si="234"/>
        <v>0</v>
      </c>
      <c r="CC213" s="9">
        <f t="shared" si="235"/>
        <v>0</v>
      </c>
      <c r="CD213" s="9">
        <f t="shared" si="236"/>
        <v>0</v>
      </c>
      <c r="CE213" s="12">
        <f t="shared" si="237"/>
        <v>10</v>
      </c>
      <c r="CF213" s="9">
        <f t="shared" si="238"/>
        <v>0</v>
      </c>
      <c r="CG213" s="9" t="s">
        <v>231</v>
      </c>
      <c r="CH213" s="132" t="str">
        <f>IF(Исходн.данные.!AP213=Расчет!$CI$16,"Нет",IF(Исходн.данные.!AL213&gt;0,Исходн.данные.!AL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BH$4,IF(OR(Исходн.данные.!AI213=Исходн.данные.!$AI$6,Исходн.данные.!AI213=Исходн.данные.!$AI$7),Расчет!BS213,IF(AND($CF213=0,$CE213&gt;0),EV213,ER213)))))</f>
        <v>Аммофос 12:52:00</v>
      </c>
      <c r="CI213" s="274">
        <f>IF(Расчет!$CH213="Нет","Нет",IF(Исходн.данные.!$AL213&gt;0,VLOOKUP(Расчет!$CH213,АшламаДВ_Irekle,2,FALSE),VLOOKUP(Расчет!$CH213,АшламаДВ_Gomumy,2,FALSE)))</f>
        <v>0.12</v>
      </c>
      <c r="CJ213" s="274">
        <f>IF(Расчет!$CH213="Нет","Нет",IF(Исходн.данные.!$AL213&gt;0,VLOOKUP(Расчет!$CH213,АшламаДВ_Irekle,3,FALSE),VLOOKUP(Расчет!$CH213,АшламаДВ_Gomumy,3,FALSE)))</f>
        <v>0.52</v>
      </c>
      <c r="CK213" s="274">
        <f>IF(Расчет!$CH213="Нет","Нет",IF(Исходн.данные.!$AL213&gt;0,VLOOKUP(Расчет!$CH213,АшламаДВ_Irekle,4,FALSE),VLOOKUP(Расчет!$CH213,АшламаДВ_Gomumy,4,FALSE)))</f>
        <v>0</v>
      </c>
      <c r="CL213" s="70"/>
      <c r="CM213" s="70"/>
      <c r="CN213" s="70"/>
      <c r="CO213" s="70"/>
      <c r="CP213" s="70"/>
      <c r="CQ213" s="70"/>
      <c r="CR213" s="10">
        <f t="shared" si="239"/>
        <v>0</v>
      </c>
      <c r="CS213" s="10">
        <f t="shared" si="240"/>
        <v>19.23076923076923</v>
      </c>
      <c r="CT213" s="10">
        <f t="shared" si="241"/>
        <v>0</v>
      </c>
      <c r="CU213" s="39">
        <f>IF($CH213="Нет",0,IF(CI213=0,30/MIN(CJ213:CK213),IF(Исходн.данные.!$AG213=$BV$11,CR213,IF(OR(Исходн.данные.!$AH213=$BQ$7,Исходн.данные.!$AH213=$BQ$8),90/CI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0,IF(Исходн.данные.!$AI213=$BU$11,"Нет",30/CI213))))))</f>
        <v>250</v>
      </c>
      <c r="CV213" s="39">
        <f>IF($CH213="Нет",0,IF(Исходн.данные.!AH213=0,0,IF(CJ213=0,60/MIN(CI213,CK213),IF(Исходн.данные.!$AG213=$BV$11,CS213,IF(OR(Исходн.данные.!$AH213=$BQ$7,Исходн.данные.!$AH213=$BQ$8),90/CJ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10/CJ213,IF(Исходн.данные.!$AI213=$BU$11,"Нет",60/CJ213)))))))</f>
        <v>0</v>
      </c>
      <c r="CW213" s="39">
        <f>IF($CH213="Нет",0,IF(Исходн.данные.!AH213=0,0,IF(CK213=0,30/MIN(CI213:CJ213),IF(Исходн.данные.!$AG213=$BV$11,CT213,IF(OR(Исходн.данные.!$AH213=$BQ$7,Исходн.данные.!$AH213=$BQ$8),90/CK213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0,IF(Исходн.данные.!$AI213=$BU$11,"Нет",30/CK213)))))))</f>
        <v>0</v>
      </c>
      <c r="CX213" s="133">
        <f>IF(Исходн.данные.!$AG213=$BV$11,MAX(CU213:CW213),IF(OR(Исходн.данные.!$AH213=$BS$8,Исходн.данные.!$AH213=$BQ$9,Исходн.данные.!$AH213=$BQ$10,Исходн.данные.!$AH213=$BQ$11,Исходн.данные.!$AH213=$BQ$12,Исходн.данные.!$AH213=$BP$3,Исходн.данные.!$AH213=$BT$8,$FM213="Да"),CV213,MIN(CU213:CW213)))</f>
        <v>0</v>
      </c>
      <c r="CY213" s="133">
        <f>IF(Исходн.данные.!AH213=0,0,IF(CR213&gt;$CX213,$CX213,CR213))</f>
        <v>0</v>
      </c>
      <c r="CZ213" s="133">
        <f>IF(Исходн.данные.!AH213=0,0,IF(CS213&gt;$CX213,$CX213,CS213))</f>
        <v>0</v>
      </c>
      <c r="DA213" s="133">
        <f>IF(Исходн.данные.!AH213=0,0,IF(CT213&gt;$CX213,$CX213,CT213))</f>
        <v>0</v>
      </c>
      <c r="DB213" s="10">
        <f t="shared" si="242"/>
        <v>0</v>
      </c>
      <c r="DC213" s="39">
        <f>DB213*Исходн.данные.!AJ213/1000</f>
        <v>0</v>
      </c>
      <c r="DD213" s="71">
        <f t="shared" si="243"/>
        <v>0</v>
      </c>
      <c r="DE213" s="9">
        <f t="shared" si="244"/>
        <v>0</v>
      </c>
      <c r="DF213" s="9">
        <f t="shared" si="245"/>
        <v>0</v>
      </c>
      <c r="DG213" s="39">
        <f>IF(BL213&lt;0,0,IF($CH213="Нет",BL213,IF(OR(Исходн.данные.!$AH213=$BP$1,Исходн.данные.!$AH213=$BP$2),0,IF(Исходн.данные.!AI213=$BU$11,BL213,IF(BL213-DD213&lt;0,0,BL213-DD213)))))</f>
        <v>0</v>
      </c>
      <c r="DH213" s="39">
        <f>IF(BM213&lt;0,0,IF($CH213="Нет",BM213,IF(OR(Исходн.данные.!$AH213=$BP$1,Исходн.данные.!$AH213=$BP$2),0,IF(Исходн.данные.!AJ213=$BU$11,BM213,IF(BM213-DE213&lt;0,0,BM213-DE213)))))</f>
        <v>0</v>
      </c>
      <c r="DI213" s="39">
        <f>IF(BN213&lt;0,0,IF($CH213="Нет",BN213,IF(OR(Исходн.данные.!$AH213=$BP$1,Исходн.данные.!$AH213=$BP$2),0,IF(Исходн.данные.!AK213=$BU$11,BN213,IF(BN213-DF213&lt;0,0,BN213-DF213)))))</f>
        <v>0</v>
      </c>
      <c r="DJ213" s="12">
        <f t="shared" si="246"/>
        <v>0</v>
      </c>
      <c r="DK213" s="9">
        <f t="shared" si="247"/>
        <v>0</v>
      </c>
      <c r="DL213" s="39">
        <f>IF(Исходн.данные.!AM213&gt;0,Исходн.данные.!AM213,IF(EG213&gt;0,$BH$10,0))</f>
        <v>0</v>
      </c>
      <c r="DM213" s="186">
        <f>IF($DL213=0,0,IF(Исходн.данные.!AM213&gt;0,VLOOKUP($DL213,АшламаДВ_Irekle,2,FALSE),VLOOKUP($DL213,АшламаДВ_Gomumy,2,FALSE)))</f>
        <v>0</v>
      </c>
      <c r="DN213" s="10">
        <f t="shared" si="225"/>
        <v>0</v>
      </c>
      <c r="DO213" s="9" t="str">
        <f>IF(Исходн.данные.!AN213&gt;0,Исходн.данные.!AN213,Удобрения!$B$37 )</f>
        <v>Хлор.калий</v>
      </c>
      <c r="DP213" s="9">
        <f>IF(Исходн.данные.!AN213&gt;0,VLOOKUP(Исходн.данные.!AN213,АшламаДВ_Irekle,4,FALSE),VLOOKUP(DO213,АшламаДВ_Gomumy,4,FALSE))</f>
        <v>0.6</v>
      </c>
      <c r="DQ213" s="10">
        <f t="shared" si="226"/>
        <v>0</v>
      </c>
      <c r="DR213" s="132" t="str">
        <f>IF(Исходн.данные.!AO213&gt;0,Исходн.данные.!AO213,IF(DH213=0,BS$17,IF(AND($DK213=0,$DJ213&gt;0),EJ213,EN213)))</f>
        <v>Нет</v>
      </c>
      <c r="DS213" s="70" t="str">
        <f>IF($DR213="Нет","Нет",IF(Исходн.данные.!$AO213&gt;0,VLOOKUP($DR213,АшламаДВ_Irekle,2,FALSE),VLOOKUP($DR213,АшламаДВ_Gomumy,2,FALSE)))</f>
        <v>Нет</v>
      </c>
      <c r="DT213" s="70" t="str">
        <f>IF($DR213="Нет","Нет",IF(Исходн.данные.!$AO213&gt;0,VLOOKUP($DR213,АшламаДВ_Irekle,3,FALSE),VLOOKUP($DR213,АшламаДВ_Gomumy,3,FALSE)))</f>
        <v>Нет</v>
      </c>
      <c r="DU213" s="70" t="str">
        <f>IF($DR213="Нет","Нет",IF(Исходн.данные.!$AO213&gt;0,VLOOKUP($DR213,АшламаДВ_Irekle,4,FALSE),VLOOKUP($DR213,АшламаДВ_Gomumy,4,FALSE)))</f>
        <v>Нет</v>
      </c>
      <c r="DV213" s="70"/>
      <c r="DW213" s="70"/>
      <c r="DX213" s="70"/>
      <c r="DY213" s="10">
        <f t="shared" si="248"/>
        <v>0</v>
      </c>
      <c r="DZ213" s="10">
        <f t="shared" si="249"/>
        <v>0</v>
      </c>
      <c r="EA213" s="10">
        <f t="shared" si="250"/>
        <v>0</v>
      </c>
      <c r="EB213" s="10">
        <f t="shared" si="251"/>
        <v>0</v>
      </c>
      <c r="EC213" s="10">
        <f t="shared" si="252"/>
        <v>0</v>
      </c>
      <c r="ED213" s="10">
        <f t="shared" si="253"/>
        <v>0</v>
      </c>
      <c r="EE213" s="10">
        <f t="shared" si="254"/>
        <v>0</v>
      </c>
      <c r="EF213" s="39">
        <f>EB213*Исходн.данные.!AJ213/1000</f>
        <v>0</v>
      </c>
      <c r="EG213" s="9">
        <f t="shared" si="255"/>
        <v>0</v>
      </c>
      <c r="EH213" s="9">
        <f t="shared" si="256"/>
        <v>0</v>
      </c>
      <c r="EI213" s="39" t="e">
        <f t="shared" si="206"/>
        <v>#DIV/0!</v>
      </c>
      <c r="EJ213" s="9" t="str">
        <f t="shared" si="227"/>
        <v>Азопреципитат</v>
      </c>
      <c r="EK213" s="12">
        <f t="shared" si="207"/>
        <v>0.26</v>
      </c>
      <c r="EL213" s="12">
        <f t="shared" si="208"/>
        <v>0.13</v>
      </c>
      <c r="EM213" s="12">
        <f t="shared" si="209"/>
        <v>0</v>
      </c>
      <c r="EN213" s="12" t="str">
        <f t="shared" si="228"/>
        <v>Нет</v>
      </c>
      <c r="EO213" s="12">
        <f t="shared" si="210"/>
        <v>0</v>
      </c>
      <c r="EP213" s="12">
        <f t="shared" si="211"/>
        <v>0</v>
      </c>
      <c r="EQ213" s="12">
        <f t="shared" si="212"/>
        <v>0</v>
      </c>
      <c r="ER213" s="12" t="str">
        <f t="shared" si="257"/>
        <v>Диаммофоска</v>
      </c>
      <c r="ES213" s="12">
        <f t="shared" si="213"/>
        <v>0.1</v>
      </c>
      <c r="ET213" s="12">
        <f t="shared" si="214"/>
        <v>0.26</v>
      </c>
      <c r="EU213" s="12">
        <f t="shared" si="215"/>
        <v>0.26</v>
      </c>
      <c r="EV213" s="12" t="str">
        <f t="shared" si="258"/>
        <v>Аммофос 12:52:00</v>
      </c>
      <c r="EW213" s="12" t="str">
        <f t="shared" si="259"/>
        <v>Кемира Свекловичное-6</v>
      </c>
      <c r="EX213" s="12">
        <f t="shared" si="216"/>
        <v>0.16</v>
      </c>
      <c r="EY213" s="12">
        <f t="shared" si="217"/>
        <v>0.12</v>
      </c>
      <c r="EZ213" s="12">
        <f t="shared" si="218"/>
        <v>0.17</v>
      </c>
      <c r="FA213" s="38" t="e">
        <f>IF(AND(OR(FJ213=$FD$1,FM213=$FD$1,FO213=$FD$1,FQ213=$FD$1,FS213=$FD$1),FD213=$FD$1,Исходн.данные.!J213&lt;2,FU213=$FD$1),"Бор,Кобальт",IF(AND(FO213=$FD$1,FH213=$FD$1,Исходн.данные.!J213&lt;2,FU213=$FD$1),"Бор,Кобальт",IF(AND(OR(FJ213=$FD$1,FM213=$FD$1,FQ213=$FD$1),FE213=$FD$1,Исходн.данные.!J213&lt;2,FT213=$FD$1,FU213=$FD$1),"Бор,Медь,Цинк",IF(AND(OR(FJ213=$FD$1,FR213="Да"),FI213="Да",Исходн.данные.!J213&lt;2,FT213="Да",FU213="Да"),"Бор,Цинк,Медь",IF(AND(OR(FM213="Да",FQ213="Да"),FI213="Да",Исходн.данные.!J213&lt;2,FT213="Да",FU213="Да"),"Бор,Цинк",IF(AND(FN213="Да",OR(FD213="Да",FE213="Да")),"Бор",FB213))))))</f>
        <v>#N/A</v>
      </c>
      <c r="FB213" s="134" t="e">
        <f>IF(AND(OR(FD213="Да",FE213="Да",FF213="Да",FG213="Да",FH213="Да"),FO213="Да"),"Бор",IF(AND(FP213="Да",OR(FD213="Да",FE213="Да",FI213="Да")),"Бор",IF(AND(FS213="Да",FE213="Да"),"Бор,Медь",IF(AND(OR(FJ213="Да",FK213="Да",FL213="Да"),FE213="Да",Исходн.данные.!I213&lt;5,FT213="Да",FU213="Да"),"Молибден,Цинк",IF(AND(FM213="Да",OR(FE213="Да",FF213="Да",FG213="Да",FH213="Да",FI213="Да")),"Молибден,Цинк",IF(AND(OR(FJ213="Да",FK213="Да",FL213="Да",FM213="Да",FQ213="Да"),OR(FE213="Да",FF213="Да"),FT213="Да",FU213="Да",Исходн.данные.!I213&gt;5.5),"Медь,Цинк",FC213))))))</f>
        <v>#N/A</v>
      </c>
      <c r="FC213" s="23" t="e">
        <f t="shared" si="260"/>
        <v>#N/A</v>
      </c>
      <c r="FD213" s="38" t="str">
        <f>IF(OR(Исходн.данные.!F213=$CC$1,Исходн.данные.!F213=$CC$2,Исходн.данные.!F213=$CC$3,Исходн.данные.!F213=$CC$4),"Да","Нет")</f>
        <v>Нет</v>
      </c>
      <c r="FE213" s="38" t="str">
        <f>IF(Исходн.данные.!F213=$CC$5,"Да","Нет")</f>
        <v>Нет</v>
      </c>
      <c r="FF213" s="38" t="str">
        <f>IF(OR(Исходн.данные.!F213=$CC$6,Исходн.данные.!F213=$CC$7),"Да","Нет")</f>
        <v>Нет</v>
      </c>
      <c r="FG213" s="38" t="str">
        <f>IF(OR(Исходн.данные.!F213=$CC$8,Исходн.данные.!F213=$CC$9),"Да","Нет")</f>
        <v>Нет</v>
      </c>
      <c r="FH213" s="38" t="str">
        <f>IF(Исходн.данные.!F213=$CC$10,"Да","Нет")</f>
        <v>Нет</v>
      </c>
      <c r="FI213" s="38" t="str">
        <f>IF(OR(Исходн.данные.!F213=$CC$11,Исходн.данные.!F213=$CC$12),"Да","Нет")</f>
        <v>Нет</v>
      </c>
      <c r="FJ213" s="38" t="str">
        <f>IF(OR(Исходн.данные.!AH213=$BS$1,Исходн.данные.!AH213=$BQ$11,Исходн.данные.!AH213=$BQ$12),"Да","Нет")</f>
        <v>Нет</v>
      </c>
      <c r="FK213" s="38" t="str">
        <f>IF(OR(Исходн.данные.!AH213=$BS$2,Исходн.данные.!AH213=$BS$4),"Да","Нет")</f>
        <v>Нет</v>
      </c>
      <c r="FL213" s="38" t="str">
        <f>IF(OR(Исходн.данные.!AH213=$BS$3,Исходн.данные.!AH213=$BS$5),"Да","Нет")</f>
        <v>Нет</v>
      </c>
      <c r="FM213" s="38" t="str">
        <f>IF(OR(Исходн.данные.!AH213=$BS$9,Исходн.данные.!AH213=$BS$10,Исходн.данные.!AH213=$BS$11,Исходн.данные.!AH213=$BS$12),"Да","Нет")</f>
        <v>Нет</v>
      </c>
      <c r="FN213" s="38" t="str">
        <f>IF(OR(Исходн.данные.!AH213=$BS$6,Исходн.данные.!AH213=$BP$3),"Да","Нет")</f>
        <v>Нет</v>
      </c>
      <c r="FO213" s="38" t="str">
        <f>IF(Исходн.данные.!AH213=$BQ$9,"Да","Нет")</f>
        <v>Нет</v>
      </c>
      <c r="FP213" s="38" t="str">
        <f>IF(OR(Исходн.данные.!AH213=$BS$8,Исходн.данные.!AH213=$BT$8),"Да","Нет")</f>
        <v>Нет</v>
      </c>
      <c r="FQ213" s="38" t="str">
        <f>IF(OR(Исходн.данные.!AH213=$BQ$7,Исходн.данные.!AH213=$BQ$8),"Да","Нет")</f>
        <v>Нет</v>
      </c>
      <c r="FR213" s="38" t="str">
        <f>IF(Исходн.данные.!AI213=$BU$9,"Да","Нет")</f>
        <v>Нет</v>
      </c>
      <c r="FS213" s="38" t="str">
        <f>IF(OR(Исходн.данные.!AH213=$BP$1,Исходн.данные.!AH213=$BP$2),"Да","Нет")</f>
        <v>Нет</v>
      </c>
      <c r="FT213" s="38" t="e">
        <f>IF((Исходн.данные.!K213*GO213*GS213*GW213+BL213*0.6+Исходн.данные.!Q213*4.5*0.275)&gt;90,"Да","Нет")</f>
        <v>#N/A</v>
      </c>
      <c r="FU213" s="38" t="e">
        <f>IF((Исходн.данные.!M213*GS213*GZ213+BM213*0.225)&gt;35,"Да","Нет")</f>
        <v>#N/A</v>
      </c>
      <c r="FV213" s="38" t="str">
        <f>IF(Исходн.данные.!O213&gt;175,"Да","Нет")</f>
        <v>Нет</v>
      </c>
      <c r="FW213" s="39" t="str">
        <f>IF(Исходн.данные.!I213&gt;5.5,"Да","Нет")</f>
        <v>Нет</v>
      </c>
      <c r="FX213" s="39" t="str">
        <f>IF(Исходн.данные.!J213&lt;2,"Да","Нет")</f>
        <v>Да</v>
      </c>
      <c r="FY213" s="39" t="e">
        <f>IF(HF213=$FY$16,0,Исходн.данные.!K213*GO213*GS213*GW213/HF213)</f>
        <v>#N/A</v>
      </c>
      <c r="FZ213" s="39" t="e">
        <f>Исходн.данные.!M213*GS213*GZ213/HG213</f>
        <v>#N/A</v>
      </c>
      <c r="GA213" s="39" t="e">
        <f>IF(K_Wyn=$FY$16,0,IF(Исходн.данные.!N213=Исходн.данные.!$L$10,Исходн.данные.!O213/1.1*GS213*HC213/HH213,IF(Исходн.данные.!N213=Исходн.данные.!$L$12,Исходн.данные.!O213/1.5*GS213*HC213/HH213,Исходн.данные.!O213*GS213*HC213/HH213)))</f>
        <v>#N/A</v>
      </c>
      <c r="GB213" s="39" t="e">
        <f>IF(HF213=$FY$16,0,((Исходн.данные.!Q213*N_Org+Исходн.данные.!R213*N_Sider+Исходн.данные.!S213*N_Soloma)*AO213+Расчет!BC213*VLOOKUP(Исходн.данные.!T213,Справ!$A$3:$O$57,15)*AO213+BB213*VLOOKUP(Исходн.данные.!T213,Справ!$A$3:$O$57,15)*AL213+(Исходн.данные.!V213*N_Rizotorf+Исходн.данные.!W213*N_Rizoagr))/HF213)</f>
        <v>#N/A</v>
      </c>
      <c r="GC213" s="39" t="e">
        <f>IF(HG213=$FY$16,0,((Исходн.данные.!Q213*Р_Org+Исходн.данные.!R213*P_Sider+Исходн.данные.!S213*P_Soloma)*AP213+Расчет!BC213*VLOOKUP(Исходн.данные.!T213,Справ!$A$3:$P$57,16)*AP213+BB213*VLOOKUP(Исходн.данные.!T213,Справ!$A$3:$P$57,16)*AM213)/HG213)</f>
        <v>#N/A</v>
      </c>
      <c r="GD213" s="39" t="e">
        <f>IF(HH213=$FY$16,0,((Исходн.данные.!Q213*К_Org+Исходн.данные.!R213*K_Sider+Исходн.данные.!S213*K_Soloma)*AQ213+Расчет!BC213*VLOOKUP(Исходн.данные.!T213,Справ!$A$3:$Q$57,17)*AQ213+BB213*VLOOKUP(Исходн.данные.!T213,Справ!$A$3:$Q$57,17)*AN213)/HH213)</f>
        <v>#N/A</v>
      </c>
      <c r="GE213" s="39" t="e">
        <f>IF(HF213=$FY$16,0,(Исходн.данные.!X213*AR213+Исходн.данные.!AA213*N_Org*AL213+Исходн.данные.!AB213*N_Sider*AL213+Исходн.данные.!AC213*N_Soloma*AL213)/HF213)</f>
        <v>#N/A</v>
      </c>
      <c r="GF213" s="39" t="e">
        <f>IF(HG213=$FY$16,0,(Исходн.данные.!Y213*AS213+Исходн.данные.!AA213*Р_Org*AM213+Исходн.данные.!AB213*P_Sider*AM213+Исходн.данные.!AC213*P_Soloma*AM213)/HG213)</f>
        <v>#N/A</v>
      </c>
      <c r="GG213" s="39" t="e">
        <f>IF(HH213=$FY$16,0,(Исходн.данные.!Z213*AT213+Исходн.данные.!AA213*К_Org*AN213+Исходн.данные.!AB213*K_Sider*AN213+Исходн.данные.!AC213*K_Soloma*AN213)/HH213)</f>
        <v>#N/A</v>
      </c>
      <c r="GH213" s="39" t="e">
        <f>Исходн.данные.!AD213*AU213/HF213</f>
        <v>#N/A</v>
      </c>
      <c r="GI213" s="39" t="e">
        <f>Исходн.данные.!AE213*AV213/HG213</f>
        <v>#N/A</v>
      </c>
      <c r="GJ213" s="39" t="e">
        <f>Исходн.данные.!AF213*AW213/HH213</f>
        <v>#N/A</v>
      </c>
      <c r="GK213" s="55">
        <f>Исходн.данные.!AK213</f>
        <v>0</v>
      </c>
      <c r="GL213" s="11" t="e">
        <f t="shared" si="261"/>
        <v>#N/A</v>
      </c>
      <c r="GM213" s="11" t="e">
        <f t="shared" si="262"/>
        <v>#N/A</v>
      </c>
      <c r="GN213" s="11" t="e">
        <f t="shared" si="263"/>
        <v>#N/A</v>
      </c>
      <c r="GO213" s="57">
        <f t="shared" si="264"/>
        <v>19</v>
      </c>
      <c r="GP213" s="55">
        <f>IF(OR(Исходн.данные.!F213=$CE$1,Исходн.данные.!F213=$CE$2,Исходн.данные.!F213=$CE$3,Исходн.данные.!F213=$CE$4,Исходн.данные.!F213=$CE$5),GQ213,GR213)</f>
        <v>19</v>
      </c>
      <c r="GQ213" s="55">
        <f>IF(Исходн.данные.!F213=$CE$1,28,IF(Исходн.данные.!F213=$CE$2,26,IF(Исходн.данные.!F213=$CE$3,24,IF(Исходн.данные.!F213=$CE$4,22,IF(Исходн.данные.!F213=$CE$5,20,GR213)))))</f>
        <v>19</v>
      </c>
      <c r="GR213" s="55">
        <f>IF(Исходн.данные.!F213=$CE$6,18,IF(Исходн.данные.!F213=$CE$7,16,IF(Исходн.данные.!F213=$CE$8,14,IF(Исходн.данные.!F213=$CE$9,13,IF(Исходн.данные.!F213=$CE$10,12,19)))))</f>
        <v>19</v>
      </c>
      <c r="GS213" s="55">
        <f>IF(Исходн.данные.!G213="Пес",0.035*(40+2*Исходн.данные.!H213),IF(Исходн.данные.!G213="Суп",0.0325*(40+2*Исходн.данные.!H213),0.03*(40+2*Исходн.данные.!H213)))</f>
        <v>1.2</v>
      </c>
      <c r="GT213" s="55">
        <f>IF(Исходн.данные.!H213&lt;23,2.6,IF(AND(Исходн.данные.!H213&gt;22,Исходн.данные.!H213&lt;26),3,IF(AND(Исходн.данные.!H213&gt;25,Исходн.данные.!H213&lt;29),3.4,3.6)))</f>
        <v>2.6</v>
      </c>
      <c r="GU213" s="55">
        <f>IF(Исходн.данные.!H213&lt;23,2.8,IF(AND(Исходн.данные.!H213&gt;22,Исходн.данные.!H213&lt;26),3.2,IF(AND(Исходн.данные.!H213&gt;25,Исходн.данные.!H213&lt;29),3.6,3.9)))</f>
        <v>2.8</v>
      </c>
      <c r="GV213" s="55">
        <f>IF(Исходн.данные.!H213&lt;23,3,IF(AND(Исходн.данные.!H213&gt;22,Исходн.данные.!H213&lt;26),3.5,IF(AND(Исходн.данные.!H213&gt;25,Исходн.данные.!H213&lt;29),3.9,4.2)))</f>
        <v>3</v>
      </c>
      <c r="GW213" s="55" t="e">
        <f>IF(Исходн.данные.!P213="Ум",GX213,GY213)</f>
        <v>#N/A</v>
      </c>
      <c r="GX213" s="55" t="e">
        <f>VLOOKUP(Исходн.данные.!AI213,Коэффициенты!$J$7:$L$13,2,FALSE)</f>
        <v>#N/A</v>
      </c>
      <c r="GY213" s="55" t="e">
        <f>VLOOKUP(Исходн.данные.!AI213,Коэффициенты!$J$7:$L$13,3,FALSE)</f>
        <v>#N/A</v>
      </c>
      <c r="GZ213" s="55" t="e">
        <f>(IF(Исходн.данные.!M213&lt;50,0.11*VLOOKUP(Исходн.данные.!AH213,Культуры.Информация,7,FALSE),IF(Исходн.данные.!M213&gt;250,0.05*VLOOKUP(Исходн.данные.!AH213,Культуры.Информация,7,FALSE),VLOOKUP(Исходн.данные.!AH213,Культуры.Информация,5,FALSE)/100*($GX$6+$GY$6*Исходн.данные.!M213))))*Расчет2!AI213</f>
        <v>#N/A</v>
      </c>
      <c r="HA213" s="211"/>
      <c r="HB213" s="211"/>
      <c r="HC213" s="55" t="e">
        <f>(IF(Исходн.данные.!O213&lt;80,0.2*VLOOKUP(Исходн.данные.!AH213,Культуры.Информация,8,FALSE),IF(Исходн.данные.!O213&gt;240,0.09*VLOOKUP(Исходн.данные.!AH213,Культуры.Информация,8,FALSE),VLOOKUP(Исходн.данные.!AH213,Культуры.Информация,6,FALSE)/100*($HB$6+$HC$6*Исходн.данные.!O213))))*Расчет2!AJ213</f>
        <v>#N/A</v>
      </c>
      <c r="HD213" s="55">
        <f>IF(Исходн.данные.!O213&gt;240,0.09,IF(Исходн.данные.!O213&lt;30,0.3,$HE$10+$HD$10*Исходн.данные.!O213))</f>
        <v>0.3</v>
      </c>
      <c r="HE213" s="55">
        <f>IF(Исходн.данные.!O213&gt;240,0.17,IF(Исходн.данные.!O213&lt;30,0.5,$HF$12+$HE$12*Исходн.данные.!O213))</f>
        <v>0.5</v>
      </c>
      <c r="HF213" s="55" t="e">
        <f>VLOOKUP(Исходн.данные.!AH213,Справ!$A$3:$D$58,2,FALSE)</f>
        <v>#N/A</v>
      </c>
      <c r="HG213" s="55" t="e">
        <f>VLOOKUP(Исходн.данные.!AH213,Справ!$A$3:$D$58,3,FALSE)</f>
        <v>#N/A</v>
      </c>
      <c r="HH213" s="55" t="e">
        <f>VLOOKUP(Исходн.данные.!AH213,Справ!$A$3:$D$58,4,FALSE)</f>
        <v>#N/A</v>
      </c>
      <c r="HI213" s="11" t="e">
        <f t="shared" si="265"/>
        <v>#N/A</v>
      </c>
      <c r="HJ213" s="11" t="e">
        <f t="shared" si="266"/>
        <v>#N/A</v>
      </c>
      <c r="HK213" s="11" t="e">
        <f t="shared" si="267"/>
        <v>#N/A</v>
      </c>
      <c r="HL213" s="55">
        <f>IF(OR(Исходн.данные.!G213="Глин",Исходн.данные.!G213="Т_суг"),1.1,IF(Исходн.данные.!G213="Ср_суг",1,1))</f>
        <v>1</v>
      </c>
      <c r="HM213" s="55">
        <f>IF(OR(Исходн.данные.!G213="Глин",Исходн.данные.!G213="Т_суг"),0.9,IF(Исходн.данные.!G213="Ср_суг",1,1.2))</f>
        <v>1.2</v>
      </c>
      <c r="HN213" s="11" t="e">
        <f t="shared" si="268"/>
        <v>#N/A</v>
      </c>
      <c r="HO213" s="11" t="e">
        <f t="shared" si="269"/>
        <v>#N/A</v>
      </c>
      <c r="HP213" s="11" t="e">
        <f t="shared" si="270"/>
        <v>#N/A</v>
      </c>
      <c r="HQ213" t="e">
        <f t="shared" si="271"/>
        <v>#N/A</v>
      </c>
      <c r="HR213" t="e">
        <f t="shared" si="272"/>
        <v>#N/A</v>
      </c>
      <c r="HS213" t="e">
        <f t="shared" si="273"/>
        <v>#N/A</v>
      </c>
      <c r="HT213" t="e">
        <f t="shared" si="219"/>
        <v>#N/A</v>
      </c>
      <c r="HU213" t="e">
        <f t="shared" si="220"/>
        <v>#N/A</v>
      </c>
      <c r="HV213" t="e">
        <f t="shared" si="221"/>
        <v>#N/A</v>
      </c>
      <c r="HW213" t="e">
        <f t="shared" si="222"/>
        <v>#N/A</v>
      </c>
      <c r="HX213" t="e">
        <f t="shared" si="223"/>
        <v>#N/A</v>
      </c>
      <c r="HY213" t="e">
        <f t="shared" si="224"/>
        <v>#N/A</v>
      </c>
      <c r="HZ213" s="55">
        <f>IF(OR(Исходн.данные.!AI213="Оз_Ч_П",Исходн.данные.!AI213="Оз_З_П",Исходн.данные.!AI213="Яр_зер"),12,30)</f>
        <v>30</v>
      </c>
      <c r="IA213" t="e">
        <f t="shared" si="274"/>
        <v>#N/A</v>
      </c>
      <c r="IB213" t="e">
        <f t="shared" si="275"/>
        <v>#N/A</v>
      </c>
      <c r="IC213" t="e">
        <f t="shared" si="276"/>
        <v>#N/A</v>
      </c>
      <c r="ID213" s="11" t="e">
        <f t="shared" si="277"/>
        <v>#N/A</v>
      </c>
      <c r="IE213" s="11" t="e">
        <f t="shared" si="278"/>
        <v>#N/A</v>
      </c>
      <c r="IF213" s="11" t="e">
        <f t="shared" si="279"/>
        <v>#N/A</v>
      </c>
    </row>
    <row r="214" spans="35:240" x14ac:dyDescent="0.2">
      <c r="AI214">
        <f>IF(Исходн.данные.!I214&gt;6,1,1.85-(0.148*Исходн.данные.!I214))</f>
        <v>1.85</v>
      </c>
      <c r="AJ214">
        <f>IF(Исходн.данные.!I214&gt;6,1,2.434-(0.246*Исходн.данные.!I214))</f>
        <v>2.4340000000000002</v>
      </c>
      <c r="AL214" s="148" t="b">
        <f>IF(Исходн.данные.!$P214="Ум",N_OrgUd_2g_um,IF(Исходн.данные.!$P214="Об",N_OrgUd_2g_ob))</f>
        <v>0</v>
      </c>
      <c r="AM214" s="148" t="b">
        <f>IF(Исходн.данные.!$P214="Ум",P_OrgUd_2g_um,IF(Исходн.данные.!$P214="Об",P_OrgUd_2g_ob))</f>
        <v>0</v>
      </c>
      <c r="AN214" s="148" t="b">
        <f>IF(Исходн.данные.!$P214="Ум",K_OrgUd_2g_um,IF(Исходн.данные.!$P214="Об",K_OrgUd_2g_ob))</f>
        <v>0</v>
      </c>
      <c r="AO214" s="148" t="b">
        <f>IF(Исходн.данные.!$P214="Ум",N_OrgUd_1g_um,IF(Исходн.данные.!$P214="Об",N_OrgUd_1g_ob))</f>
        <v>0</v>
      </c>
      <c r="AP214" s="148" t="b">
        <f>IF(Исходн.данные.!$P214="Ум",P_OrgUd_1g_um,IF(Исходн.данные.!$P214="Об",P_OrgUd_1g_ob))</f>
        <v>0</v>
      </c>
      <c r="AQ214" s="148" t="b">
        <f>IF(Исходн.данные.!$P214="Ум",K_OrgUd_1g_um,IF(Исходн.данные.!$P214="Об",K_OrgUd_1g_ob))</f>
        <v>0</v>
      </c>
      <c r="AR214" t="b">
        <f>IF(Исходн.данные.!$P214="Ум",N_MinUd_2g_um,IF(Исходн.данные.!$P214="Об",N_MinUd_2g_ob))</f>
        <v>0</v>
      </c>
      <c r="AS214" t="b">
        <f>IF(Исходн.данные.!$P214="Ум",P_MinUd_2g_um,IF(Исходн.данные.!$P214="Об",P_MinUd_2g_ob))</f>
        <v>0</v>
      </c>
      <c r="AT214" t="b">
        <f>IF(Исходн.данные.!$P214="Ум",K_MinUd_2g_um,IF(Исходн.данные.!$P214="Об",K_MinUd_2g_ob))</f>
        <v>0</v>
      </c>
      <c r="AU214" t="b">
        <f>IF(Исходн.данные.!$P214="Ум",N_MinUd_1g_um,IF(Исходн.данные.!$P214="Об",N_MinUd_1g_ob))</f>
        <v>0</v>
      </c>
      <c r="AV214" t="b">
        <f>IF(Исходн.данные.!P214="Ум",P_MinUd_1g_um,IF(Исходн.данные.!P214="Об",P_MinUd_1g_ob))</f>
        <v>0</v>
      </c>
      <c r="AW214" t="b">
        <f>IF(Исходн.данные.!P214="Ум",K_MinUd_1g_um,IF(Исходн.данные.!P214="Об",K_MinUd_1g_ob))</f>
        <v>0</v>
      </c>
      <c r="AY214" t="e">
        <f>VLOOKUP(Исходн.данные.!T214,Справ!$A$3:$N$57,12)</f>
        <v>#N/A</v>
      </c>
      <c r="AZ214" t="e">
        <f>VLOOKUP(Исходн.данные.!T214,Справ!$A$3:$N$57,13)</f>
        <v>#N/A</v>
      </c>
      <c r="BA214" t="e">
        <f>VLOOKUP(Исходн.данные.!T214,Справ!$A$3:$N$57,14)</f>
        <v>#N/A</v>
      </c>
      <c r="BB214">
        <f>IF(Исходн.данные.!AH214=0,0,25)</f>
        <v>0</v>
      </c>
      <c r="BC214" s="141">
        <f>IF(Исходн.данные.!AH214=0,0,IF(Исходн.данные.!T214=0,25,BD214))</f>
        <v>0</v>
      </c>
      <c r="BD214" s="168" t="e">
        <f>AY214+AZ214*Исходн.данные.!U214-POWER(BA214,2)*Исходн.данные.!U214</f>
        <v>#N/A</v>
      </c>
      <c r="BE21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4" s="25">
        <f>IF(Исходн.данные.!AH214=0,0,MIN(HN214:HP214))</f>
        <v>0</v>
      </c>
      <c r="BG214" s="9">
        <f>IF(Исходн.данные.!AH214=0,0,IF((HO214+10*0.25/HG214/HL214)&lt;17,17,HO214+10*0.25/HG214/HL214))</f>
        <v>0</v>
      </c>
      <c r="BH214" s="181">
        <f>IF(Исходн.данные.!AH214=0,0,HW214*HF214*HL214/AU214*AI214+Исходн.данные.!S214*10)</f>
        <v>0</v>
      </c>
      <c r="BI214" s="10"/>
      <c r="BJ214" s="182">
        <f>IF(Исходн.данные.!AH214=0,0,IF(HX214*HG214*HL214/AV214&lt;0,0,HX214*HG214*HL214/AV214*AJ214))</f>
        <v>0</v>
      </c>
      <c r="BK214" s="182">
        <f>IF(Исходн.данные.!AH214=0,0,HY214*HH214*HM214/AW214)</f>
        <v>0</v>
      </c>
      <c r="BL214" s="10">
        <f>IF(OR(Исходн.данные.!$AH214=$BP$1,Исходн.данные.!$AH214=$BP$2),0,IF(BH214&lt;0,0,IF(OR(Исходн.данные.!T214=Расчет!$BP$1,Исходн.данные.!T214=Расчет!$BP$2,Исходн.данные.!T214=Расчет!$BT$5,Исходн.данные.!T214=Расчет!$BT$6),BH214*0.5,IF(OR(Исходн.данные.!T214=Расчет!$BS$9,Исходн.данные.!T214=Расчет!$BS$10,Исходн.данные.!T214=Расчет!$BS$11,Исходн.данные.!T214=Расчет!$BS$12,Исходн.данные.!T214=Расчет!$BP$5),BH214*0.8,BH214))))</f>
        <v>0</v>
      </c>
      <c r="BM214" s="10">
        <f>IF(OR(Исходн.данные.!$AH214=$BP$1,Исходн.данные.!$AH214=$BP$2),0,IF(BJ214&lt;0,0,IF(Исходн.данные.!I214&lt;4.5,BJ214*1.2,IF(Исходн.данные.!I214&gt;5.1,BJ214,BJ214*((5.1-Исходн.данные.!I214)*0.333+1)))))</f>
        <v>0</v>
      </c>
      <c r="BN214" s="10">
        <f>IF(OR(Исходн.данные.!$AH214=$BP$1,Исходн.данные.!$AH214=$BP$2),60-Исходн.данные.!AF214,IF(BK214&lt;0,0,IF(Исходн.данные.!I214&lt;4.5,BK214*1.2,IF(Исходн.данные.!I214&gt;5.1,BK214,BK214*((5.1-Исходн.данные.!I214)*0.333+1)))))</f>
        <v>0</v>
      </c>
      <c r="BO214" s="9">
        <f>IF(BL214&lt;0,0,BL214*Исходн.данные.!$AJ214/1000)</f>
        <v>0</v>
      </c>
      <c r="BP214" s="9">
        <f>IF(BM214&lt;0,0,BM214*Исходн.данные.!$AJ214/1000)</f>
        <v>0</v>
      </c>
      <c r="BQ214" s="9">
        <f>IF(BN214&lt;0,0,BN214*Исходн.данные.!$AJ214/1000)</f>
        <v>0</v>
      </c>
      <c r="BR214" s="9">
        <f t="shared" si="229"/>
        <v>0</v>
      </c>
      <c r="BS214" s="10" t="str">
        <f t="shared" si="230"/>
        <v>Аммофос 12:52:00</v>
      </c>
      <c r="BT214" s="10" t="str">
        <f t="shared" si="231"/>
        <v>Аммофос 12:52:00</v>
      </c>
      <c r="BU214" s="10" t="str">
        <f t="shared" si="232"/>
        <v>Диаммофоска</v>
      </c>
      <c r="BV214" s="10">
        <f t="shared" si="233"/>
        <v>0</v>
      </c>
      <c r="BW214" s="10"/>
      <c r="BX214" s="10"/>
      <c r="BY214" s="9">
        <f>IF(BL214&lt;0,0,IF(OR(Исходн.данные.!AI214=Расчет!$BU$6,Исходн.данные.!AI214=Расчет!$BU$7),Расчет!BV214,IF(Исходн.данные.!$AG214=$BV$11,BL214,IF(OR(Исходн.данные.!$AH214=$BQ$7,Исходн.данные.!$AH214=$BQ$8),CB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0,IF(Исходн.данные.!$AI214=$BU$11,"Нет",IF(BL214&gt;30,30,BL214)))))))</f>
        <v>0</v>
      </c>
      <c r="BZ214" s="9">
        <f>IF(AND(Исходн.данные.!$AG214=$BV$11,BM214&lt;10),10,IF(Исходн.данные.!$AG214=$BV$11,BM214,IF(OR(Исходн.данные.!$AH214=$BQ$7,Исходн.данные.!$AH214=$BQ$8),CC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10,IF(Исходн.данные.!$AI214=$BU$11,"Нет",IF(BM214&gt;60,60,IF(BM214&lt;10,10,BM214)))))))</f>
        <v>10</v>
      </c>
      <c r="CA214" s="39">
        <f>IF(BN214&lt;0,0,IF(Исходн.данные.!$AG214=$BV$11,BN214,IF(OR(Исходн.данные.!$AH214=$BQ$7,Исходн.данные.!$AH214=$BQ$8),CD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0,IF(Исходн.данные.!$AI214=$BU$11,"Нет",IF(BN214&gt;30,30,BN214))))))</f>
        <v>0</v>
      </c>
      <c r="CB214" s="9">
        <f t="shared" si="234"/>
        <v>0</v>
      </c>
      <c r="CC214" s="9">
        <f t="shared" si="235"/>
        <v>0</v>
      </c>
      <c r="CD214" s="9">
        <f t="shared" si="236"/>
        <v>0</v>
      </c>
      <c r="CE214" s="12">
        <f t="shared" si="237"/>
        <v>10</v>
      </c>
      <c r="CF214" s="9">
        <f t="shared" si="238"/>
        <v>0</v>
      </c>
      <c r="CG214" s="9" t="s">
        <v>231</v>
      </c>
      <c r="CH214" s="132" t="str">
        <f>IF(Исходн.данные.!AP214=Расчет!$CI$16,"Нет",IF(Исходн.данные.!AL214&gt;0,Исходн.данные.!AL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BH$4,IF(OR(Исходн.данные.!AI214=Исходн.данные.!$AI$6,Исходн.данные.!AI214=Исходн.данные.!$AI$7),Расчет!BS214,IF(AND($CF214=0,$CE214&gt;0),EV214,ER214)))))</f>
        <v>Аммофос 12:52:00</v>
      </c>
      <c r="CI214" s="274">
        <f>IF(Расчет!$CH214="Нет","Нет",IF(Исходн.данные.!$AL214&gt;0,VLOOKUP(Расчет!$CH214,АшламаДВ_Irekle,2,FALSE),VLOOKUP(Расчет!$CH214,АшламаДВ_Gomumy,2,FALSE)))</f>
        <v>0.12</v>
      </c>
      <c r="CJ214" s="274">
        <f>IF(Расчет!$CH214="Нет","Нет",IF(Исходн.данные.!$AL214&gt;0,VLOOKUP(Расчет!$CH214,АшламаДВ_Irekle,3,FALSE),VLOOKUP(Расчет!$CH214,АшламаДВ_Gomumy,3,FALSE)))</f>
        <v>0.52</v>
      </c>
      <c r="CK214" s="274">
        <f>IF(Расчет!$CH214="Нет","Нет",IF(Исходн.данные.!$AL214&gt;0,VLOOKUP(Расчет!$CH214,АшламаДВ_Irekle,4,FALSE),VLOOKUP(Расчет!$CH214,АшламаДВ_Gomumy,4,FALSE)))</f>
        <v>0</v>
      </c>
      <c r="CL214" s="70"/>
      <c r="CM214" s="70"/>
      <c r="CN214" s="70"/>
      <c r="CO214" s="70"/>
      <c r="CP214" s="70"/>
      <c r="CQ214" s="70"/>
      <c r="CR214" s="10">
        <f t="shared" si="239"/>
        <v>0</v>
      </c>
      <c r="CS214" s="10">
        <f t="shared" si="240"/>
        <v>19.23076923076923</v>
      </c>
      <c r="CT214" s="10">
        <f t="shared" si="241"/>
        <v>0</v>
      </c>
      <c r="CU214" s="39">
        <f>IF($CH214="Нет",0,IF(CI214=0,30/MIN(CJ214:CK214),IF(Исходн.данные.!$AG214=$BV$11,CR214,IF(OR(Исходн.данные.!$AH214=$BQ$7,Исходн.данные.!$AH214=$BQ$8),90/CI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0,IF(Исходн.данные.!$AI214=$BU$11,"Нет",30/CI214))))))</f>
        <v>250</v>
      </c>
      <c r="CV214" s="39">
        <f>IF($CH214="Нет",0,IF(Исходн.данные.!AH214=0,0,IF(CJ214=0,60/MIN(CI214,CK214),IF(Исходн.данные.!$AG214=$BV$11,CS214,IF(OR(Исходн.данные.!$AH214=$BQ$7,Исходн.данные.!$AH214=$BQ$8),90/CJ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10/CJ214,IF(Исходн.данные.!$AI214=$BU$11,"Нет",60/CJ214)))))))</f>
        <v>0</v>
      </c>
      <c r="CW214" s="39">
        <f>IF($CH214="Нет",0,IF(Исходн.данные.!AH214=0,0,IF(CK214=0,30/MIN(CI214:CJ214),IF(Исходн.данные.!$AG214=$BV$11,CT214,IF(OR(Исходн.данные.!$AH214=$BQ$7,Исходн.данные.!$AH214=$BQ$8),90/CK214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0,IF(Исходн.данные.!$AI214=$BU$11,"Нет",30/CK214)))))))</f>
        <v>0</v>
      </c>
      <c r="CX214" s="133">
        <f>IF(Исходн.данные.!$AG214=$BV$11,MAX(CU214:CW214),IF(OR(Исходн.данные.!$AH214=$BS$8,Исходн.данные.!$AH214=$BQ$9,Исходн.данные.!$AH214=$BQ$10,Исходн.данные.!$AH214=$BQ$11,Исходн.данные.!$AH214=$BQ$12,Исходн.данные.!$AH214=$BP$3,Исходн.данные.!$AH214=$BT$8,$FM214="Да"),CV214,MIN(CU214:CW214)))</f>
        <v>0</v>
      </c>
      <c r="CY214" s="133">
        <f>IF(Исходн.данные.!AH214=0,0,IF(CR214&gt;$CX214,$CX214,CR214))</f>
        <v>0</v>
      </c>
      <c r="CZ214" s="133">
        <f>IF(Исходн.данные.!AH214=0,0,IF(CS214&gt;$CX214,$CX214,CS214))</f>
        <v>0</v>
      </c>
      <c r="DA214" s="133">
        <f>IF(Исходн.данные.!AH214=0,0,IF(CT214&gt;$CX214,$CX214,CT214))</f>
        <v>0</v>
      </c>
      <c r="DB214" s="10">
        <f t="shared" si="242"/>
        <v>0</v>
      </c>
      <c r="DC214" s="39">
        <f>DB214*Исходн.данные.!AJ214/1000</f>
        <v>0</v>
      </c>
      <c r="DD214" s="71">
        <f t="shared" si="243"/>
        <v>0</v>
      </c>
      <c r="DE214" s="9">
        <f t="shared" si="244"/>
        <v>0</v>
      </c>
      <c r="DF214" s="9">
        <f t="shared" si="245"/>
        <v>0</v>
      </c>
      <c r="DG214" s="39">
        <f>IF(BL214&lt;0,0,IF($CH214="Нет",BL214,IF(OR(Исходн.данные.!$AH214=$BP$1,Исходн.данные.!$AH214=$BP$2),0,IF(Исходн.данные.!AI214=$BU$11,BL214,IF(BL214-DD214&lt;0,0,BL214-DD214)))))</f>
        <v>0</v>
      </c>
      <c r="DH214" s="39">
        <f>IF(BM214&lt;0,0,IF($CH214="Нет",BM214,IF(OR(Исходн.данные.!$AH214=$BP$1,Исходн.данные.!$AH214=$BP$2),0,IF(Исходн.данные.!AJ214=$BU$11,BM214,IF(BM214-DE214&lt;0,0,BM214-DE214)))))</f>
        <v>0</v>
      </c>
      <c r="DI214" s="39">
        <f>IF(BN214&lt;0,0,IF($CH214="Нет",BN214,IF(OR(Исходн.данные.!$AH214=$BP$1,Исходн.данные.!$AH214=$BP$2),0,IF(Исходн.данные.!AK214=$BU$11,BN214,IF(BN214-DF214&lt;0,0,BN214-DF214)))))</f>
        <v>0</v>
      </c>
      <c r="DJ214" s="12">
        <f t="shared" si="246"/>
        <v>0</v>
      </c>
      <c r="DK214" s="9">
        <f t="shared" si="247"/>
        <v>0</v>
      </c>
      <c r="DL214" s="39">
        <f>IF(Исходн.данные.!AM214&gt;0,Исходн.данные.!AM214,IF(EG214&gt;0,$BH$10,0))</f>
        <v>0</v>
      </c>
      <c r="DM214" s="186">
        <f>IF($DL214=0,0,IF(Исходн.данные.!AM214&gt;0,VLOOKUP($DL214,АшламаДВ_Irekle,2,FALSE),VLOOKUP($DL214,АшламаДВ_Gomumy,2,FALSE)))</f>
        <v>0</v>
      </c>
      <c r="DN214" s="10">
        <f t="shared" si="225"/>
        <v>0</v>
      </c>
      <c r="DO214" s="9" t="str">
        <f>IF(Исходн.данные.!AN214&gt;0,Исходн.данные.!AN214,Удобрения!$B$37 )</f>
        <v>Хлор.калий</v>
      </c>
      <c r="DP214" s="9">
        <f>IF(Исходн.данные.!AN214&gt;0,VLOOKUP(Исходн.данные.!AN214,АшламаДВ_Irekle,4,FALSE),VLOOKUP(DO214,АшламаДВ_Gomumy,4,FALSE))</f>
        <v>0.6</v>
      </c>
      <c r="DQ214" s="10">
        <f t="shared" si="226"/>
        <v>0</v>
      </c>
      <c r="DR214" s="132" t="str">
        <f>IF(Исходн.данные.!AO214&gt;0,Исходн.данные.!AO214,IF(DH214=0,BS$17,IF(AND($DK214=0,$DJ214&gt;0),EJ214,EN214)))</f>
        <v>Нет</v>
      </c>
      <c r="DS214" s="70" t="str">
        <f>IF($DR214="Нет","Нет",IF(Исходн.данные.!$AO214&gt;0,VLOOKUP($DR214,АшламаДВ_Irekle,2,FALSE),VLOOKUP($DR214,АшламаДВ_Gomumy,2,FALSE)))</f>
        <v>Нет</v>
      </c>
      <c r="DT214" s="70" t="str">
        <f>IF($DR214="Нет","Нет",IF(Исходн.данные.!$AO214&gt;0,VLOOKUP($DR214,АшламаДВ_Irekle,3,FALSE),VLOOKUP($DR214,АшламаДВ_Gomumy,3,FALSE)))</f>
        <v>Нет</v>
      </c>
      <c r="DU214" s="70" t="str">
        <f>IF($DR214="Нет","Нет",IF(Исходн.данные.!$AO214&gt;0,VLOOKUP($DR214,АшламаДВ_Irekle,4,FALSE),VLOOKUP($DR214,АшламаДВ_Gomumy,4,FALSE)))</f>
        <v>Нет</v>
      </c>
      <c r="DV214" s="70"/>
      <c r="DW214" s="70"/>
      <c r="DX214" s="70"/>
      <c r="DY214" s="10">
        <f t="shared" si="248"/>
        <v>0</v>
      </c>
      <c r="DZ214" s="10">
        <f t="shared" si="249"/>
        <v>0</v>
      </c>
      <c r="EA214" s="10">
        <f t="shared" si="250"/>
        <v>0</v>
      </c>
      <c r="EB214" s="10">
        <f t="shared" si="251"/>
        <v>0</v>
      </c>
      <c r="EC214" s="10">
        <f t="shared" si="252"/>
        <v>0</v>
      </c>
      <c r="ED214" s="10">
        <f t="shared" si="253"/>
        <v>0</v>
      </c>
      <c r="EE214" s="10">
        <f t="shared" si="254"/>
        <v>0</v>
      </c>
      <c r="EF214" s="39">
        <f>EB214*Исходн.данные.!AJ214/1000</f>
        <v>0</v>
      </c>
      <c r="EG214" s="9">
        <f t="shared" si="255"/>
        <v>0</v>
      </c>
      <c r="EH214" s="9">
        <f t="shared" si="256"/>
        <v>0</v>
      </c>
      <c r="EI214" s="39" t="e">
        <f t="shared" ref="EI214:EI277" si="280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#DIV/0!</v>
      </c>
      <c r="EJ214" s="9" t="str">
        <f t="shared" si="227"/>
        <v>Азопреципитат</v>
      </c>
      <c r="EK214" s="12">
        <f t="shared" ref="EK214:EK277" si="281">VLOOKUP($EJ214,АшламаДВ_Gomumy,2,FALSE)</f>
        <v>0.26</v>
      </c>
      <c r="EL214" s="12">
        <f t="shared" ref="EL214:EL277" si="282">VLOOKUP($EJ214,АшламаДВ_Gomumy,3,FALSE)</f>
        <v>0.13</v>
      </c>
      <c r="EM214" s="12">
        <f t="shared" ref="EM214:EM277" si="283">VLOOKUP($EJ214,АшламаДВ_Gomumy,4,FALSE)</f>
        <v>0</v>
      </c>
      <c r="EN214" s="12" t="str">
        <f t="shared" si="228"/>
        <v>Нет</v>
      </c>
      <c r="EO214" s="12">
        <f t="shared" ref="EO214:EO277" si="284">IF($EN214="Нет",0,VLOOKUP($EN214,АшламаДВ_Gomumy,2,FALSE))</f>
        <v>0</v>
      </c>
      <c r="EP214" s="12">
        <f t="shared" ref="EP214:EP277" si="285">IF($EN214="Нет",0,VLOOKUP($EN214,АшламаДВ_Gomumy,3,FALSE))</f>
        <v>0</v>
      </c>
      <c r="EQ214" s="12">
        <f t="shared" ref="EQ214:EQ277" si="286">IF($EN214="Нет",0,VLOOKUP($EN214,АшламаДВ_Gomumy,4,FALSE))</f>
        <v>0</v>
      </c>
      <c r="ER214" s="12" t="str">
        <f t="shared" si="257"/>
        <v>Диаммофоска</v>
      </c>
      <c r="ES214" s="12">
        <f t="shared" ref="ES214:ES277" si="287">VLOOKUP(ER214,АшламаДВ_Gomumy,2,FALSE)</f>
        <v>0.1</v>
      </c>
      <c r="ET214" s="12">
        <f t="shared" ref="ET214:ET277" si="288">VLOOKUP(ER214,АшламаДВ_Gomumy,3,FALSE)</f>
        <v>0.26</v>
      </c>
      <c r="EU214" s="12">
        <f t="shared" ref="EU214:EU277" si="289">VLOOKUP(ER214,АшламаДВ_Gomumy,4,FALSE)</f>
        <v>0.26</v>
      </c>
      <c r="EV214" s="12" t="str">
        <f t="shared" si="258"/>
        <v>Аммофос 12:52:00</v>
      </c>
      <c r="EW214" s="12" t="str">
        <f t="shared" si="259"/>
        <v>Кемира Свекловичное-6</v>
      </c>
      <c r="EX214" s="12">
        <f t="shared" ref="EX214:EX277" si="290">VLOOKUP($EW214,АшламаДВ_Gomumy,2,FALSE)</f>
        <v>0.16</v>
      </c>
      <c r="EY214" s="12">
        <f t="shared" ref="EY214:EY277" si="291">VLOOKUP($EW214,АшламаДВ_Gomumy,3,FALSE)</f>
        <v>0.12</v>
      </c>
      <c r="EZ214" s="12">
        <f t="shared" ref="EZ214:EZ277" si="292">VLOOKUP($EW214,АшламаДВ_Gomumy,4,FALSE)</f>
        <v>0.17</v>
      </c>
      <c r="FA214" s="38" t="e">
        <f>IF(AND(OR(FJ214=$FD$1,FM214=$FD$1,FO214=$FD$1,FQ214=$FD$1,FS214=$FD$1),FD214=$FD$1,Исходн.данные.!J214&lt;2,FU214=$FD$1),"Бор,Кобальт",IF(AND(FO214=$FD$1,FH214=$FD$1,Исходн.данные.!J214&lt;2,FU214=$FD$1),"Бор,Кобальт",IF(AND(OR(FJ214=$FD$1,FM214=$FD$1,FQ214=$FD$1),FE214=$FD$1,Исходн.данные.!J214&lt;2,FT214=$FD$1,FU214=$FD$1),"Бор,Медь,Цинк",IF(AND(OR(FJ214=$FD$1,FR214="Да"),FI214="Да",Исходн.данные.!J214&lt;2,FT214="Да",FU214="Да"),"Бор,Цинк,Медь",IF(AND(OR(FM214="Да",FQ214="Да"),FI214="Да",Исходн.данные.!J214&lt;2,FT214="Да",FU214="Да"),"Бор,Цинк",IF(AND(FN214="Да",OR(FD214="Да",FE214="Да")),"Бор",FB214))))))</f>
        <v>#N/A</v>
      </c>
      <c r="FB214" s="134" t="e">
        <f>IF(AND(OR(FD214="Да",FE214="Да",FF214="Да",FG214="Да",FH214="Да"),FO214="Да"),"Бор",IF(AND(FP214="Да",OR(FD214="Да",FE214="Да",FI214="Да")),"Бор",IF(AND(FS214="Да",FE214="Да"),"Бор,Медь",IF(AND(OR(FJ214="Да",FK214="Да",FL214="Да"),FE214="Да",Исходн.данные.!I214&lt;5,FT214="Да",FU214="Да"),"Молибден,Цинк",IF(AND(FM214="Да",OR(FE214="Да",FF214="Да",FG214="Да",FH214="Да",FI214="Да")),"Молибден,Цинк",IF(AND(OR(FJ214="Да",FK214="Да",FL214="Да",FM214="Да",FQ214="Да"),OR(FE214="Да",FF214="Да"),FT214="Да",FU214="Да",Исходн.данные.!I214&gt;5.5),"Медь,Цинк",FC214))))))</f>
        <v>#N/A</v>
      </c>
      <c r="FC214" s="23" t="e">
        <f t="shared" si="260"/>
        <v>#N/A</v>
      </c>
      <c r="FD214" s="38" t="str">
        <f>IF(OR(Исходн.данные.!F214=$CC$1,Исходн.данные.!F214=$CC$2,Исходн.данные.!F214=$CC$3,Исходн.данные.!F214=$CC$4),"Да","Нет")</f>
        <v>Нет</v>
      </c>
      <c r="FE214" s="38" t="str">
        <f>IF(Исходн.данные.!F214=$CC$5,"Да","Нет")</f>
        <v>Нет</v>
      </c>
      <c r="FF214" s="38" t="str">
        <f>IF(OR(Исходн.данные.!F214=$CC$6,Исходн.данные.!F214=$CC$7),"Да","Нет")</f>
        <v>Нет</v>
      </c>
      <c r="FG214" s="38" t="str">
        <f>IF(OR(Исходн.данные.!F214=$CC$8,Исходн.данные.!F214=$CC$9),"Да","Нет")</f>
        <v>Нет</v>
      </c>
      <c r="FH214" s="38" t="str">
        <f>IF(Исходн.данные.!F214=$CC$10,"Да","Нет")</f>
        <v>Нет</v>
      </c>
      <c r="FI214" s="38" t="str">
        <f>IF(OR(Исходн.данные.!F214=$CC$11,Исходн.данные.!F214=$CC$12),"Да","Нет")</f>
        <v>Нет</v>
      </c>
      <c r="FJ214" s="38" t="str">
        <f>IF(OR(Исходн.данные.!AH214=$BS$1,Исходн.данные.!AH214=$BQ$11,Исходн.данные.!AH214=$BQ$12),"Да","Нет")</f>
        <v>Нет</v>
      </c>
      <c r="FK214" s="38" t="str">
        <f>IF(OR(Исходн.данные.!AH214=$BS$2,Исходн.данные.!AH214=$BS$4),"Да","Нет")</f>
        <v>Нет</v>
      </c>
      <c r="FL214" s="38" t="str">
        <f>IF(OR(Исходн.данные.!AH214=$BS$3,Исходн.данные.!AH214=$BS$5),"Да","Нет")</f>
        <v>Нет</v>
      </c>
      <c r="FM214" s="38" t="str">
        <f>IF(OR(Исходн.данные.!AH214=$BS$9,Исходн.данные.!AH214=$BS$10,Исходн.данные.!AH214=$BS$11,Исходн.данные.!AH214=$BS$12),"Да","Нет")</f>
        <v>Нет</v>
      </c>
      <c r="FN214" s="38" t="str">
        <f>IF(OR(Исходн.данные.!AH214=$BS$6,Исходн.данные.!AH214=$BP$3),"Да","Нет")</f>
        <v>Нет</v>
      </c>
      <c r="FO214" s="38" t="str">
        <f>IF(Исходн.данные.!AH214=$BQ$9,"Да","Нет")</f>
        <v>Нет</v>
      </c>
      <c r="FP214" s="38" t="str">
        <f>IF(OR(Исходн.данные.!AH214=$BS$8,Исходн.данные.!AH214=$BT$8),"Да","Нет")</f>
        <v>Нет</v>
      </c>
      <c r="FQ214" s="38" t="str">
        <f>IF(OR(Исходн.данные.!AH214=$BQ$7,Исходн.данные.!AH214=$BQ$8),"Да","Нет")</f>
        <v>Нет</v>
      </c>
      <c r="FR214" s="38" t="str">
        <f>IF(Исходн.данные.!AI214=$BU$9,"Да","Нет")</f>
        <v>Нет</v>
      </c>
      <c r="FS214" s="38" t="str">
        <f>IF(OR(Исходн.данные.!AH214=$BP$1,Исходн.данные.!AH214=$BP$2),"Да","Нет")</f>
        <v>Нет</v>
      </c>
      <c r="FT214" s="38" t="e">
        <f>IF((Исходн.данные.!K214*GO214*GS214*GW214+BL214*0.6+Исходн.данные.!Q214*4.5*0.275)&gt;90,"Да","Нет")</f>
        <v>#N/A</v>
      </c>
      <c r="FU214" s="38" t="e">
        <f>IF((Исходн.данные.!M214*GS214*GZ214+BM214*0.225)&gt;35,"Да","Нет")</f>
        <v>#N/A</v>
      </c>
      <c r="FV214" s="38" t="str">
        <f>IF(Исходн.данные.!O214&gt;175,"Да","Нет")</f>
        <v>Нет</v>
      </c>
      <c r="FW214" s="39" t="str">
        <f>IF(Исходн.данные.!I214&gt;5.5,"Да","Нет")</f>
        <v>Нет</v>
      </c>
      <c r="FX214" s="39" t="str">
        <f>IF(Исходн.данные.!J214&lt;2,"Да","Нет")</f>
        <v>Да</v>
      </c>
      <c r="FY214" s="39" t="e">
        <f>IF(HF214=$FY$16,0,Исходн.данные.!K214*GO214*GS214*GW214/HF214)</f>
        <v>#N/A</v>
      </c>
      <c r="FZ214" s="39" t="e">
        <f>Исходн.данные.!M214*GS214*GZ214/HG214</f>
        <v>#N/A</v>
      </c>
      <c r="GA214" s="39" t="e">
        <f>IF(K_Wyn=$FY$16,0,IF(Исходн.данные.!N214=Исходн.данные.!$L$10,Исходн.данные.!O214/1.1*GS214*HC214/HH214,IF(Исходн.данные.!N214=Исходн.данные.!$L$12,Исходн.данные.!O214/1.5*GS214*HC214/HH214,Исходн.данные.!O214*GS214*HC214/HH214)))</f>
        <v>#N/A</v>
      </c>
      <c r="GB214" s="39" t="e">
        <f>IF(HF214=$FY$16,0,((Исходн.данные.!Q214*N_Org+Исходн.данные.!R214*N_Sider+Исходн.данные.!S214*N_Soloma)*AO214+Расчет!BC214*VLOOKUP(Исходн.данные.!T214,Справ!$A$3:$O$57,15)*AO214+BB214*VLOOKUP(Исходн.данные.!T214,Справ!$A$3:$O$57,15)*AL214+(Исходн.данные.!V214*N_Rizotorf+Исходн.данные.!W214*N_Rizoagr))/HF214)</f>
        <v>#N/A</v>
      </c>
      <c r="GC214" s="39" t="e">
        <f>IF(HG214=$FY$16,0,((Исходн.данные.!Q214*Р_Org+Исходн.данные.!R214*P_Sider+Исходн.данные.!S214*P_Soloma)*AP214+Расчет!BC214*VLOOKUP(Исходн.данные.!T214,Справ!$A$3:$P$57,16)*AP214+BB214*VLOOKUP(Исходн.данные.!T214,Справ!$A$3:$P$57,16)*AM214)/HG214)</f>
        <v>#N/A</v>
      </c>
      <c r="GD214" s="39" t="e">
        <f>IF(HH214=$FY$16,0,((Исходн.данные.!Q214*К_Org+Исходн.данные.!R214*K_Sider+Исходн.данные.!S214*K_Soloma)*AQ214+Расчет!BC214*VLOOKUP(Исходн.данные.!T214,Справ!$A$3:$Q$57,17)*AQ214+BB214*VLOOKUP(Исходн.данные.!T214,Справ!$A$3:$Q$57,17)*AN214)/HH214)</f>
        <v>#N/A</v>
      </c>
      <c r="GE214" s="39" t="e">
        <f>IF(HF214=$FY$16,0,(Исходн.данные.!X214*AR214+Исходн.данные.!AA214*N_Org*AL214+Исходн.данные.!AB214*N_Sider*AL214+Исходн.данные.!AC214*N_Soloma*AL214)/HF214)</f>
        <v>#N/A</v>
      </c>
      <c r="GF214" s="39" t="e">
        <f>IF(HG214=$FY$16,0,(Исходн.данные.!Y214*AS214+Исходн.данные.!AA214*Р_Org*AM214+Исходн.данные.!AB214*P_Sider*AM214+Исходн.данные.!AC214*P_Soloma*AM214)/HG214)</f>
        <v>#N/A</v>
      </c>
      <c r="GG214" s="39" t="e">
        <f>IF(HH214=$FY$16,0,(Исходн.данные.!Z214*AT214+Исходн.данные.!AA214*К_Org*AN214+Исходн.данные.!AB214*K_Sider*AN214+Исходн.данные.!AC214*K_Soloma*AN214)/HH214)</f>
        <v>#N/A</v>
      </c>
      <c r="GH214" s="39" t="e">
        <f>Исходн.данные.!AD214*AU214/HF214</f>
        <v>#N/A</v>
      </c>
      <c r="GI214" s="39" t="e">
        <f>Исходн.данные.!AE214*AV214/HG214</f>
        <v>#N/A</v>
      </c>
      <c r="GJ214" s="39" t="e">
        <f>Исходн.данные.!AF214*AW214/HH214</f>
        <v>#N/A</v>
      </c>
      <c r="GK214" s="55">
        <f>Исходн.данные.!AK214</f>
        <v>0</v>
      </c>
      <c r="GL214" s="11" t="e">
        <f t="shared" si="261"/>
        <v>#N/A</v>
      </c>
      <c r="GM214" s="11" t="e">
        <f t="shared" si="262"/>
        <v>#N/A</v>
      </c>
      <c r="GN214" s="11" t="e">
        <f t="shared" si="263"/>
        <v>#N/A</v>
      </c>
      <c r="GO214" s="57">
        <f t="shared" si="264"/>
        <v>19</v>
      </c>
      <c r="GP214" s="55">
        <f>IF(OR(Исходн.данные.!F214=$CE$1,Исходн.данные.!F214=$CE$2,Исходн.данные.!F214=$CE$3,Исходн.данные.!F214=$CE$4,Исходн.данные.!F214=$CE$5),GQ214,GR214)</f>
        <v>19</v>
      </c>
      <c r="GQ214" s="55">
        <f>IF(Исходн.данные.!F214=$CE$1,28,IF(Исходн.данные.!F214=$CE$2,26,IF(Исходн.данные.!F214=$CE$3,24,IF(Исходн.данные.!F214=$CE$4,22,IF(Исходн.данные.!F214=$CE$5,20,GR214)))))</f>
        <v>19</v>
      </c>
      <c r="GR214" s="55">
        <f>IF(Исходн.данные.!F214=$CE$6,18,IF(Исходн.данные.!F214=$CE$7,16,IF(Исходн.данные.!F214=$CE$8,14,IF(Исходн.данные.!F214=$CE$9,13,IF(Исходн.данные.!F214=$CE$10,12,19)))))</f>
        <v>19</v>
      </c>
      <c r="GS214" s="55">
        <f>IF(Исходн.данные.!G214="Пес",0.035*(40+2*Исходн.данные.!H214),IF(Исходн.данные.!G214="Суп",0.0325*(40+2*Исходн.данные.!H214),0.03*(40+2*Исходн.данные.!H214)))</f>
        <v>1.2</v>
      </c>
      <c r="GT214" s="55">
        <f>IF(Исходн.данные.!H214&lt;23,2.6,IF(AND(Исходн.данные.!H214&gt;22,Исходн.данные.!H214&lt;26),3,IF(AND(Исходн.данные.!H214&gt;25,Исходн.данные.!H214&lt;29),3.4,3.6)))</f>
        <v>2.6</v>
      </c>
      <c r="GU214" s="55">
        <f>IF(Исходн.данные.!H214&lt;23,2.8,IF(AND(Исходн.данные.!H214&gt;22,Исходн.данные.!H214&lt;26),3.2,IF(AND(Исходн.данные.!H214&gt;25,Исходн.данные.!H214&lt;29),3.6,3.9)))</f>
        <v>2.8</v>
      </c>
      <c r="GV214" s="55">
        <f>IF(Исходн.данные.!H214&lt;23,3,IF(AND(Исходн.данные.!H214&gt;22,Исходн.данные.!H214&lt;26),3.5,IF(AND(Исходн.данные.!H214&gt;25,Исходн.данные.!H214&lt;29),3.9,4.2)))</f>
        <v>3</v>
      </c>
      <c r="GW214" s="55" t="e">
        <f>IF(Исходн.данные.!P214="Ум",GX214,GY214)</f>
        <v>#N/A</v>
      </c>
      <c r="GX214" s="55" t="e">
        <f>VLOOKUP(Исходн.данные.!AI214,Коэффициенты!$J$7:$L$13,2,FALSE)</f>
        <v>#N/A</v>
      </c>
      <c r="GY214" s="55" t="e">
        <f>VLOOKUP(Исходн.данные.!AI214,Коэффициенты!$J$7:$L$13,3,FALSE)</f>
        <v>#N/A</v>
      </c>
      <c r="GZ214" s="55" t="e">
        <f>(IF(Исходн.данные.!M214&lt;50,0.11*VLOOKUP(Исходн.данные.!AH214,Культуры.Информация,7,FALSE),IF(Исходн.данные.!M214&gt;250,0.05*VLOOKUP(Исходн.данные.!AH214,Культуры.Информация,7,FALSE),VLOOKUP(Исходн.данные.!AH214,Культуры.Информация,5,FALSE)/100*($GX$6+$GY$6*Исходн.данные.!M214))))*Расчет2!AI214</f>
        <v>#N/A</v>
      </c>
      <c r="HA214" s="211"/>
      <c r="HB214" s="211"/>
      <c r="HC214" s="55" t="e">
        <f>(IF(Исходн.данные.!O214&lt;80,0.2*VLOOKUP(Исходн.данные.!AH214,Культуры.Информация,8,FALSE),IF(Исходн.данные.!O214&gt;240,0.09*VLOOKUP(Исходн.данные.!AH214,Культуры.Информация,8,FALSE),VLOOKUP(Исходн.данные.!AH214,Культуры.Информация,6,FALSE)/100*($HB$6+$HC$6*Исходн.данные.!O214))))*Расчет2!AJ214</f>
        <v>#N/A</v>
      </c>
      <c r="HD214" s="55">
        <f>IF(Исходн.данные.!O214&gt;240,0.09,IF(Исходн.данные.!O214&lt;30,0.3,$HE$10+$HD$10*Исходн.данные.!O214))</f>
        <v>0.3</v>
      </c>
      <c r="HE214" s="55">
        <f>IF(Исходн.данные.!O214&gt;240,0.17,IF(Исходн.данные.!O214&lt;30,0.5,$HF$12+$HE$12*Исходн.данные.!O214))</f>
        <v>0.5</v>
      </c>
      <c r="HF214" s="55" t="e">
        <f>VLOOKUP(Исходн.данные.!AH214,Справ!$A$3:$D$58,2,FALSE)</f>
        <v>#N/A</v>
      </c>
      <c r="HG214" s="55" t="e">
        <f>VLOOKUP(Исходн.данные.!AH214,Справ!$A$3:$D$58,3,FALSE)</f>
        <v>#N/A</v>
      </c>
      <c r="HH214" s="55" t="e">
        <f>VLOOKUP(Исходн.данные.!AH214,Справ!$A$3:$D$58,4,FALSE)</f>
        <v>#N/A</v>
      </c>
      <c r="HI214" s="11" t="e">
        <f t="shared" si="265"/>
        <v>#N/A</v>
      </c>
      <c r="HJ214" s="11" t="e">
        <f t="shared" si="266"/>
        <v>#N/A</v>
      </c>
      <c r="HK214" s="11" t="e">
        <f t="shared" si="267"/>
        <v>#N/A</v>
      </c>
      <c r="HL214" s="55">
        <f>IF(OR(Исходн.данные.!G214="Глин",Исходн.данные.!G214="Т_суг"),1.1,IF(Исходн.данные.!G214="Ср_суг",1,1))</f>
        <v>1</v>
      </c>
      <c r="HM214" s="55">
        <f>IF(OR(Исходн.данные.!G214="Глин",Исходн.данные.!G214="Т_суг"),0.9,IF(Исходн.данные.!G214="Ср_суг",1,1.2))</f>
        <v>1.2</v>
      </c>
      <c r="HN214" s="11" t="e">
        <f t="shared" si="268"/>
        <v>#N/A</v>
      </c>
      <c r="HO214" s="11" t="e">
        <f t="shared" si="269"/>
        <v>#N/A</v>
      </c>
      <c r="HP214" s="11" t="e">
        <f t="shared" si="270"/>
        <v>#N/A</v>
      </c>
      <c r="HQ214" t="e">
        <f t="shared" si="271"/>
        <v>#N/A</v>
      </c>
      <c r="HR214" t="e">
        <f t="shared" si="272"/>
        <v>#N/A</v>
      </c>
      <c r="HS214" t="e">
        <f t="shared" si="273"/>
        <v>#N/A</v>
      </c>
      <c r="HT214" t="e">
        <f t="shared" ref="HT214:HT277" si="293">GK214-HN214</f>
        <v>#N/A</v>
      </c>
      <c r="HU214" t="e">
        <f t="shared" ref="HU214:HU277" si="294">GK214-HO214</f>
        <v>#N/A</v>
      </c>
      <c r="HV214" t="e">
        <f t="shared" ref="HV214:HV277" si="295">GK214-HP214</f>
        <v>#N/A</v>
      </c>
      <c r="HW214" t="e">
        <f t="shared" ref="HW214:HW277" si="296">IF(GK214=0,HI214,HT214)</f>
        <v>#N/A</v>
      </c>
      <c r="HX214" t="e">
        <f t="shared" ref="HX214:HX277" si="297">IF(GK214=0,HJ214,HU214)</f>
        <v>#N/A</v>
      </c>
      <c r="HY214" t="e">
        <f t="shared" ref="HY214:HY277" si="298">IF(GK214=0,HK214,HV214)</f>
        <v>#N/A</v>
      </c>
      <c r="HZ214" s="55">
        <f>IF(OR(Исходн.данные.!AI214="Оз_Ч_П",Исходн.данные.!AI214="Оз_З_П",Исходн.данные.!AI214="Яр_зер"),12,30)</f>
        <v>30</v>
      </c>
      <c r="IA214" t="e">
        <f t="shared" si="274"/>
        <v>#N/A</v>
      </c>
      <c r="IB214" t="e">
        <f t="shared" si="275"/>
        <v>#N/A</v>
      </c>
      <c r="IC214" t="e">
        <f t="shared" si="276"/>
        <v>#N/A</v>
      </c>
      <c r="ID214" s="11" t="e">
        <f t="shared" si="277"/>
        <v>#N/A</v>
      </c>
      <c r="IE214" s="11" t="e">
        <f t="shared" si="278"/>
        <v>#N/A</v>
      </c>
      <c r="IF214" s="11" t="e">
        <f t="shared" si="279"/>
        <v>#N/A</v>
      </c>
    </row>
    <row r="215" spans="35:240" x14ac:dyDescent="0.2">
      <c r="AI215">
        <f>IF(Исходн.данные.!I215&gt;6,1,1.85-(0.148*Исходн.данные.!I215))</f>
        <v>1.85</v>
      </c>
      <c r="AJ215">
        <f>IF(Исходн.данные.!I215&gt;6,1,2.434-(0.246*Исходн.данные.!I215))</f>
        <v>2.4340000000000002</v>
      </c>
      <c r="AL215" s="148" t="b">
        <f>IF(Исходн.данные.!$P215="Ум",N_OrgUd_2g_um,IF(Исходн.данные.!$P215="Об",N_OrgUd_2g_ob))</f>
        <v>0</v>
      </c>
      <c r="AM215" s="148" t="b">
        <f>IF(Исходн.данные.!$P215="Ум",P_OrgUd_2g_um,IF(Исходн.данные.!$P215="Об",P_OrgUd_2g_ob))</f>
        <v>0</v>
      </c>
      <c r="AN215" s="148" t="b">
        <f>IF(Исходн.данные.!$P215="Ум",K_OrgUd_2g_um,IF(Исходн.данные.!$P215="Об",K_OrgUd_2g_ob))</f>
        <v>0</v>
      </c>
      <c r="AO215" s="148" t="b">
        <f>IF(Исходн.данные.!$P215="Ум",N_OrgUd_1g_um,IF(Исходн.данные.!$P215="Об",N_OrgUd_1g_ob))</f>
        <v>0</v>
      </c>
      <c r="AP215" s="148" t="b">
        <f>IF(Исходн.данные.!$P215="Ум",P_OrgUd_1g_um,IF(Исходн.данные.!$P215="Об",P_OrgUd_1g_ob))</f>
        <v>0</v>
      </c>
      <c r="AQ215" s="148" t="b">
        <f>IF(Исходн.данные.!$P215="Ум",K_OrgUd_1g_um,IF(Исходн.данные.!$P215="Об",K_OrgUd_1g_ob))</f>
        <v>0</v>
      </c>
      <c r="AR215" t="b">
        <f>IF(Исходн.данные.!$P215="Ум",N_MinUd_2g_um,IF(Исходн.данные.!$P215="Об",N_MinUd_2g_ob))</f>
        <v>0</v>
      </c>
      <c r="AS215" t="b">
        <f>IF(Исходн.данные.!$P215="Ум",P_MinUd_2g_um,IF(Исходн.данные.!$P215="Об",P_MinUd_2g_ob))</f>
        <v>0</v>
      </c>
      <c r="AT215" t="b">
        <f>IF(Исходн.данные.!$P215="Ум",K_MinUd_2g_um,IF(Исходн.данные.!$P215="Об",K_MinUd_2g_ob))</f>
        <v>0</v>
      </c>
      <c r="AU215" t="b">
        <f>IF(Исходн.данные.!$P215="Ум",N_MinUd_1g_um,IF(Исходн.данные.!$P215="Об",N_MinUd_1g_ob))</f>
        <v>0</v>
      </c>
      <c r="AV215" t="b">
        <f>IF(Исходн.данные.!P215="Ум",P_MinUd_1g_um,IF(Исходн.данные.!P215="Об",P_MinUd_1g_ob))</f>
        <v>0</v>
      </c>
      <c r="AW215" t="b">
        <f>IF(Исходн.данные.!P215="Ум",K_MinUd_1g_um,IF(Исходн.данные.!P215="Об",K_MinUd_1g_ob))</f>
        <v>0</v>
      </c>
      <c r="AY215" t="e">
        <f>VLOOKUP(Исходн.данные.!T215,Справ!$A$3:$N$57,12)</f>
        <v>#N/A</v>
      </c>
      <c r="AZ215" t="e">
        <f>VLOOKUP(Исходн.данные.!T215,Справ!$A$3:$N$57,13)</f>
        <v>#N/A</v>
      </c>
      <c r="BA215" t="e">
        <f>VLOOKUP(Исходн.данные.!T215,Справ!$A$3:$N$57,14)</f>
        <v>#N/A</v>
      </c>
      <c r="BB215">
        <f>IF(Исходн.данные.!AH215=0,0,25)</f>
        <v>0</v>
      </c>
      <c r="BC215" s="141">
        <f>IF(Исходн.данные.!AH215=0,0,IF(Исходн.данные.!T215=0,25,BD215))</f>
        <v>0</v>
      </c>
      <c r="BD215" s="168" t="e">
        <f>AY215+AZ215*Исходн.данные.!U215-POWER(BA215,2)*Исходн.данные.!U215</f>
        <v>#N/A</v>
      </c>
      <c r="BE21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5" s="25">
        <f>IF(Исходн.данные.!AH215=0,0,MIN(HN215:HP215))</f>
        <v>0</v>
      </c>
      <c r="BG215" s="9">
        <f>IF(Исходн.данные.!AH215=0,0,IF((HO215+10*0.25/HG215/HL215)&lt;17,17,HO215+10*0.25/HG215/HL215))</f>
        <v>0</v>
      </c>
      <c r="BH215" s="181">
        <f>IF(Исходн.данные.!AH215=0,0,HW215*HF215*HL215/AU215*AI215+Исходн.данные.!S215*10)</f>
        <v>0</v>
      </c>
      <c r="BI215" s="10"/>
      <c r="BJ215" s="182">
        <f>IF(Исходн.данные.!AH215=0,0,IF(HX215*HG215*HL215/AV215&lt;0,0,HX215*HG215*HL215/AV215*AJ215))</f>
        <v>0</v>
      </c>
      <c r="BK215" s="182">
        <f>IF(Исходн.данные.!AH215=0,0,HY215*HH215*HM215/AW215)</f>
        <v>0</v>
      </c>
      <c r="BL215" s="10">
        <f>IF(OR(Исходн.данные.!$AH215=$BP$1,Исходн.данные.!$AH215=$BP$2),0,IF(BH215&lt;0,0,IF(OR(Исходн.данные.!T215=Расчет!$BP$1,Исходн.данные.!T215=Расчет!$BP$2,Исходн.данные.!T215=Расчет!$BT$5,Исходн.данные.!T215=Расчет!$BT$6),BH215*0.5,IF(OR(Исходн.данные.!T215=Расчет!$BS$9,Исходн.данные.!T215=Расчет!$BS$10,Исходн.данные.!T215=Расчет!$BS$11,Исходн.данные.!T215=Расчет!$BS$12,Исходн.данные.!T215=Расчет!$BP$5),BH215*0.8,BH215))))</f>
        <v>0</v>
      </c>
      <c r="BM215" s="10">
        <f>IF(OR(Исходн.данные.!$AH215=$BP$1,Исходн.данные.!$AH215=$BP$2),0,IF(BJ215&lt;0,0,IF(Исходн.данные.!I215&lt;4.5,BJ215*1.2,IF(Исходн.данные.!I215&gt;5.1,BJ215,BJ215*((5.1-Исходн.данные.!I215)*0.333+1)))))</f>
        <v>0</v>
      </c>
      <c r="BN215" s="10">
        <f>IF(OR(Исходн.данные.!$AH215=$BP$1,Исходн.данные.!$AH215=$BP$2),60-Исходн.данные.!AF215,IF(BK215&lt;0,0,IF(Исходн.данные.!I215&lt;4.5,BK215*1.2,IF(Исходн.данные.!I215&gt;5.1,BK215,BK215*((5.1-Исходн.данные.!I215)*0.333+1)))))</f>
        <v>0</v>
      </c>
      <c r="BO215" s="9">
        <f>IF(BL215&lt;0,0,BL215*Исходн.данные.!$AJ215/1000)</f>
        <v>0</v>
      </c>
      <c r="BP215" s="9">
        <f>IF(BM215&lt;0,0,BM215*Исходн.данные.!$AJ215/1000)</f>
        <v>0</v>
      </c>
      <c r="BQ215" s="9">
        <f>IF(BN215&lt;0,0,BN215*Исходн.данные.!$AJ215/1000)</f>
        <v>0</v>
      </c>
      <c r="BR215" s="9">
        <f t="shared" si="229"/>
        <v>0</v>
      </c>
      <c r="BS215" s="10" t="str">
        <f t="shared" si="230"/>
        <v>Аммофос 12:52:00</v>
      </c>
      <c r="BT215" s="10" t="str">
        <f t="shared" si="231"/>
        <v>Аммофос 12:52:00</v>
      </c>
      <c r="BU215" s="10" t="str">
        <f t="shared" si="232"/>
        <v>Диаммофоска</v>
      </c>
      <c r="BV215" s="10">
        <f t="shared" si="233"/>
        <v>0</v>
      </c>
      <c r="BW215" s="10"/>
      <c r="BX215" s="10"/>
      <c r="BY215" s="9">
        <f>IF(BL215&lt;0,0,IF(OR(Исходн.данные.!AI215=Расчет!$BU$6,Исходн.данные.!AI215=Расчет!$BU$7),Расчет!BV215,IF(Исходн.данные.!$AG215=$BV$11,BL215,IF(OR(Исходн.данные.!$AH215=$BQ$7,Исходн.данные.!$AH215=$BQ$8),CB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0,IF(Исходн.данные.!$AI215=$BU$11,"Нет",IF(BL215&gt;30,30,BL215)))))))</f>
        <v>0</v>
      </c>
      <c r="BZ215" s="9">
        <f>IF(AND(Исходн.данные.!$AG215=$BV$11,BM215&lt;10),10,IF(Исходн.данные.!$AG215=$BV$11,BM215,IF(OR(Исходн.данные.!$AH215=$BQ$7,Исходн.данные.!$AH215=$BQ$8),CC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10,IF(Исходн.данные.!$AI215=$BU$11,"Нет",IF(BM215&gt;60,60,IF(BM215&lt;10,10,BM215)))))))</f>
        <v>10</v>
      </c>
      <c r="CA215" s="39">
        <f>IF(BN215&lt;0,0,IF(Исходн.данные.!$AG215=$BV$11,BN215,IF(OR(Исходн.данные.!$AH215=$BQ$7,Исходн.данные.!$AH215=$BQ$8),CD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0,IF(Исходн.данные.!$AI215=$BU$11,"Нет",IF(BN215&gt;30,30,BN215))))))</f>
        <v>0</v>
      </c>
      <c r="CB215" s="9">
        <f t="shared" si="234"/>
        <v>0</v>
      </c>
      <c r="CC215" s="9">
        <f t="shared" si="235"/>
        <v>0</v>
      </c>
      <c r="CD215" s="9">
        <f t="shared" si="236"/>
        <v>0</v>
      </c>
      <c r="CE215" s="12">
        <f t="shared" si="237"/>
        <v>10</v>
      </c>
      <c r="CF215" s="9">
        <f t="shared" si="238"/>
        <v>0</v>
      </c>
      <c r="CG215" s="9" t="s">
        <v>231</v>
      </c>
      <c r="CH215" s="132" t="str">
        <f>IF(Исходн.данные.!AP215=Расчет!$CI$16,"Нет",IF(Исходн.данные.!AL215&gt;0,Исходн.данные.!AL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BH$4,IF(OR(Исходн.данные.!AI215=Исходн.данные.!$AI$6,Исходн.данные.!AI215=Исходн.данные.!$AI$7),Расчет!BS215,IF(AND($CF215=0,$CE215&gt;0),EV215,ER215)))))</f>
        <v>Аммофос 12:52:00</v>
      </c>
      <c r="CI215" s="274">
        <f>IF(Расчет!$CH215="Нет","Нет",IF(Исходн.данные.!$AL215&gt;0,VLOOKUP(Расчет!$CH215,АшламаДВ_Irekle,2,FALSE),VLOOKUP(Расчет!$CH215,АшламаДВ_Gomumy,2,FALSE)))</f>
        <v>0.12</v>
      </c>
      <c r="CJ215" s="274">
        <f>IF(Расчет!$CH215="Нет","Нет",IF(Исходн.данные.!$AL215&gt;0,VLOOKUP(Расчет!$CH215,АшламаДВ_Irekle,3,FALSE),VLOOKUP(Расчет!$CH215,АшламаДВ_Gomumy,3,FALSE)))</f>
        <v>0.52</v>
      </c>
      <c r="CK215" s="274">
        <f>IF(Расчет!$CH215="Нет","Нет",IF(Исходн.данные.!$AL215&gt;0,VLOOKUP(Расчет!$CH215,АшламаДВ_Irekle,4,FALSE),VLOOKUP(Расчет!$CH215,АшламаДВ_Gomumy,4,FALSE)))</f>
        <v>0</v>
      </c>
      <c r="CL215" s="70"/>
      <c r="CM215" s="70"/>
      <c r="CN215" s="70"/>
      <c r="CO215" s="70"/>
      <c r="CP215" s="70"/>
      <c r="CQ215" s="70"/>
      <c r="CR215" s="10">
        <f t="shared" si="239"/>
        <v>0</v>
      </c>
      <c r="CS215" s="10">
        <f t="shared" si="240"/>
        <v>19.23076923076923</v>
      </c>
      <c r="CT215" s="10">
        <f t="shared" si="241"/>
        <v>0</v>
      </c>
      <c r="CU215" s="39">
        <f>IF($CH215="Нет",0,IF(CI215=0,30/MIN(CJ215:CK215),IF(Исходн.данные.!$AG215=$BV$11,CR215,IF(OR(Исходн.данные.!$AH215=$BQ$7,Исходн.данные.!$AH215=$BQ$8),90/CI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0,IF(Исходн.данные.!$AI215=$BU$11,"Нет",30/CI215))))))</f>
        <v>250</v>
      </c>
      <c r="CV215" s="39">
        <f>IF($CH215="Нет",0,IF(Исходн.данные.!AH215=0,0,IF(CJ215=0,60/MIN(CI215,CK215),IF(Исходн.данные.!$AG215=$BV$11,CS215,IF(OR(Исходн.данные.!$AH215=$BQ$7,Исходн.данные.!$AH215=$BQ$8),90/CJ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10/CJ215,IF(Исходн.данные.!$AI215=$BU$11,"Нет",60/CJ215)))))))</f>
        <v>0</v>
      </c>
      <c r="CW215" s="39">
        <f>IF($CH215="Нет",0,IF(Исходн.данные.!AH215=0,0,IF(CK215=0,30/MIN(CI215:CJ215),IF(Исходн.данные.!$AG215=$BV$11,CT215,IF(OR(Исходн.данные.!$AH215=$BQ$7,Исходн.данные.!$AH215=$BQ$8),90/CK215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0,IF(Исходн.данные.!$AI215=$BU$11,"Нет",30/CK215)))))))</f>
        <v>0</v>
      </c>
      <c r="CX215" s="133">
        <f>IF(Исходн.данные.!$AG215=$BV$11,MAX(CU215:CW215),IF(OR(Исходн.данные.!$AH215=$BS$8,Исходн.данные.!$AH215=$BQ$9,Исходн.данные.!$AH215=$BQ$10,Исходн.данные.!$AH215=$BQ$11,Исходн.данные.!$AH215=$BQ$12,Исходн.данные.!$AH215=$BP$3,Исходн.данные.!$AH215=$BT$8,$FM215="Да"),CV215,MIN(CU215:CW215)))</f>
        <v>0</v>
      </c>
      <c r="CY215" s="133">
        <f>IF(Исходн.данные.!AH215=0,0,IF(CR215&gt;$CX215,$CX215,CR215))</f>
        <v>0</v>
      </c>
      <c r="CZ215" s="133">
        <f>IF(Исходн.данные.!AH215=0,0,IF(CS215&gt;$CX215,$CX215,CS215))</f>
        <v>0</v>
      </c>
      <c r="DA215" s="133">
        <f>IF(Исходн.данные.!AH215=0,0,IF(CT215&gt;$CX215,$CX215,CT215))</f>
        <v>0</v>
      </c>
      <c r="DB215" s="10">
        <f t="shared" si="242"/>
        <v>0</v>
      </c>
      <c r="DC215" s="39">
        <f>DB215*Исходн.данные.!AJ215/1000</f>
        <v>0</v>
      </c>
      <c r="DD215" s="71">
        <f t="shared" si="243"/>
        <v>0</v>
      </c>
      <c r="DE215" s="9">
        <f t="shared" si="244"/>
        <v>0</v>
      </c>
      <c r="DF215" s="9">
        <f t="shared" si="245"/>
        <v>0</v>
      </c>
      <c r="DG215" s="39">
        <f>IF(BL215&lt;0,0,IF($CH215="Нет",BL215,IF(OR(Исходн.данные.!$AH215=$BP$1,Исходн.данные.!$AH215=$BP$2),0,IF(Исходн.данные.!AI215=$BU$11,BL215,IF(BL215-DD215&lt;0,0,BL215-DD215)))))</f>
        <v>0</v>
      </c>
      <c r="DH215" s="39">
        <f>IF(BM215&lt;0,0,IF($CH215="Нет",BM215,IF(OR(Исходн.данные.!$AH215=$BP$1,Исходн.данные.!$AH215=$BP$2),0,IF(Исходн.данные.!AJ215=$BU$11,BM215,IF(BM215-DE215&lt;0,0,BM215-DE215)))))</f>
        <v>0</v>
      </c>
      <c r="DI215" s="39">
        <f>IF(BN215&lt;0,0,IF($CH215="Нет",BN215,IF(OR(Исходн.данные.!$AH215=$BP$1,Исходн.данные.!$AH215=$BP$2),0,IF(Исходн.данные.!AK215=$BU$11,BN215,IF(BN215-DF215&lt;0,0,BN215-DF215)))))</f>
        <v>0</v>
      </c>
      <c r="DJ215" s="12">
        <f t="shared" si="246"/>
        <v>0</v>
      </c>
      <c r="DK215" s="9">
        <f t="shared" si="247"/>
        <v>0</v>
      </c>
      <c r="DL215" s="39">
        <f>IF(Исходн.данные.!AM215&gt;0,Исходн.данные.!AM215,IF(EG215&gt;0,$BH$10,0))</f>
        <v>0</v>
      </c>
      <c r="DM215" s="186">
        <f>IF($DL215=0,0,IF(Исходн.данные.!AM215&gt;0,VLOOKUP($DL215,АшламаДВ_Irekle,2,FALSE),VLOOKUP($DL215,АшламаДВ_Gomumy,2,FALSE)))</f>
        <v>0</v>
      </c>
      <c r="DN215" s="10">
        <f t="shared" ref="DN215:DN278" si="299">IF(DL215=0,0,EG215/DM215)</f>
        <v>0</v>
      </c>
      <c r="DO215" s="9" t="str">
        <f>IF(Исходн.данные.!AN215&gt;0,Исходн.данные.!AN215,Удобрения!$B$37 )</f>
        <v>Хлор.калий</v>
      </c>
      <c r="DP215" s="9">
        <f>IF(Исходн.данные.!AN215&gt;0,VLOOKUP(Исходн.данные.!AN215,АшламаДВ_Irekle,4,FALSE),VLOOKUP(DO215,АшламаДВ_Gomumy,4,FALSE))</f>
        <v>0.6</v>
      </c>
      <c r="DQ215" s="10">
        <f t="shared" ref="DQ215:DQ278" si="300">IF(OR(EH215=0,EH215&lt;0),0,EH215/DP215)</f>
        <v>0</v>
      </c>
      <c r="DR215" s="132" t="str">
        <f>IF(Исходн.данные.!AO215&gt;0,Исходн.данные.!AO215,IF(DH215=0,BS$17,IF(AND($DK215=0,$DJ215&gt;0),EJ215,EN215)))</f>
        <v>Нет</v>
      </c>
      <c r="DS215" s="70" t="str">
        <f>IF($DR215="Нет","Нет",IF(Исходн.данные.!$AO215&gt;0,VLOOKUP($DR215,АшламаДВ_Irekle,2,FALSE),VLOOKUP($DR215,АшламаДВ_Gomumy,2,FALSE)))</f>
        <v>Нет</v>
      </c>
      <c r="DT215" s="70" t="str">
        <f>IF($DR215="Нет","Нет",IF(Исходн.данные.!$AO215&gt;0,VLOOKUP($DR215,АшламаДВ_Irekle,3,FALSE),VLOOKUP($DR215,АшламаДВ_Gomumy,3,FALSE)))</f>
        <v>Нет</v>
      </c>
      <c r="DU215" s="70" t="str">
        <f>IF($DR215="Нет","Нет",IF(Исходн.данные.!$AO215&gt;0,VLOOKUP($DR215,АшламаДВ_Irekle,4,FALSE),VLOOKUP($DR215,АшламаДВ_Gomumy,4,FALSE)))</f>
        <v>Нет</v>
      </c>
      <c r="DV215" s="70"/>
      <c r="DW215" s="70"/>
      <c r="DX215" s="70"/>
      <c r="DY215" s="10">
        <f t="shared" si="248"/>
        <v>0</v>
      </c>
      <c r="DZ215" s="10">
        <f t="shared" si="249"/>
        <v>0</v>
      </c>
      <c r="EA215" s="10">
        <f t="shared" si="250"/>
        <v>0</v>
      </c>
      <c r="EB215" s="10">
        <f t="shared" si="251"/>
        <v>0</v>
      </c>
      <c r="EC215" s="10">
        <f t="shared" si="252"/>
        <v>0</v>
      </c>
      <c r="ED215" s="10">
        <f t="shared" si="253"/>
        <v>0</v>
      </c>
      <c r="EE215" s="10">
        <f t="shared" si="254"/>
        <v>0</v>
      </c>
      <c r="EF215" s="39">
        <f>EB215*Исходн.данные.!AJ215/1000</f>
        <v>0</v>
      </c>
      <c r="EG215" s="9">
        <f t="shared" si="255"/>
        <v>0</v>
      </c>
      <c r="EH215" s="9">
        <f t="shared" si="256"/>
        <v>0</v>
      </c>
      <c r="EI215" s="39" t="e">
        <f t="shared" si="280"/>
        <v>#DIV/0!</v>
      </c>
      <c r="EJ215" s="9" t="str">
        <f t="shared" ref="EJ215:EJ278" si="301">IF($DJ215&gt;2.6,BH$4,IF($DJ215&gt;0.9,BH$3,IF($DJ215&gt;0.5,BH$2,BH$1)))</f>
        <v>Азопреципитат</v>
      </c>
      <c r="EK215" s="12">
        <f t="shared" si="281"/>
        <v>0.26</v>
      </c>
      <c r="EL215" s="12">
        <f t="shared" si="282"/>
        <v>0.13</v>
      </c>
      <c r="EM215" s="12">
        <f t="shared" si="283"/>
        <v>0</v>
      </c>
      <c r="EN215" s="12" t="str">
        <f t="shared" ref="EN215:EN278" si="302">IF(DH215=0,"Нет",IF($DK215&gt;1.4,BS$14,IF($DJ215&gt;2.2,BH$9,IF($DJ215&gt;1.5,BH$8,IF($DJ215&gt;1,BH$7,IF($DJ215&gt;0.5,BH$6,BH$5))))))</f>
        <v>Нет</v>
      </c>
      <c r="EO215" s="12">
        <f t="shared" si="284"/>
        <v>0</v>
      </c>
      <c r="EP215" s="12">
        <f t="shared" si="285"/>
        <v>0</v>
      </c>
      <c r="EQ215" s="12">
        <f t="shared" si="286"/>
        <v>0</v>
      </c>
      <c r="ER215" s="12" t="str">
        <f t="shared" si="257"/>
        <v>Диаммофоска</v>
      </c>
      <c r="ES215" s="12">
        <f t="shared" si="287"/>
        <v>0.1</v>
      </c>
      <c r="ET215" s="12">
        <f t="shared" si="288"/>
        <v>0.26</v>
      </c>
      <c r="EU215" s="12">
        <f t="shared" si="289"/>
        <v>0.26</v>
      </c>
      <c r="EV215" s="12" t="str">
        <f t="shared" si="258"/>
        <v>Аммофос 12:52:00</v>
      </c>
      <c r="EW215" s="12" t="str">
        <f t="shared" si="259"/>
        <v>Кемира Свекловичное-6</v>
      </c>
      <c r="EX215" s="12">
        <f t="shared" si="290"/>
        <v>0.16</v>
      </c>
      <c r="EY215" s="12">
        <f t="shared" si="291"/>
        <v>0.12</v>
      </c>
      <c r="EZ215" s="12">
        <f t="shared" si="292"/>
        <v>0.17</v>
      </c>
      <c r="FA215" s="38" t="e">
        <f>IF(AND(OR(FJ215=$FD$1,FM215=$FD$1,FO215=$FD$1,FQ215=$FD$1,FS215=$FD$1),FD215=$FD$1,Исходн.данные.!J215&lt;2,FU215=$FD$1),"Бор,Кобальт",IF(AND(FO215=$FD$1,FH215=$FD$1,Исходн.данные.!J215&lt;2,FU215=$FD$1),"Бор,Кобальт",IF(AND(OR(FJ215=$FD$1,FM215=$FD$1,FQ215=$FD$1),FE215=$FD$1,Исходн.данные.!J215&lt;2,FT215=$FD$1,FU215=$FD$1),"Бор,Медь,Цинк",IF(AND(OR(FJ215=$FD$1,FR215="Да"),FI215="Да",Исходн.данные.!J215&lt;2,FT215="Да",FU215="Да"),"Бор,Цинк,Медь",IF(AND(OR(FM215="Да",FQ215="Да"),FI215="Да",Исходн.данные.!J215&lt;2,FT215="Да",FU215="Да"),"Бор,Цинк",IF(AND(FN215="Да",OR(FD215="Да",FE215="Да")),"Бор",FB215))))))</f>
        <v>#N/A</v>
      </c>
      <c r="FB215" s="134" t="e">
        <f>IF(AND(OR(FD215="Да",FE215="Да",FF215="Да",FG215="Да",FH215="Да"),FO215="Да"),"Бор",IF(AND(FP215="Да",OR(FD215="Да",FE215="Да",FI215="Да")),"Бор",IF(AND(FS215="Да",FE215="Да"),"Бор,Медь",IF(AND(OR(FJ215="Да",FK215="Да",FL215="Да"),FE215="Да",Исходн.данные.!I215&lt;5,FT215="Да",FU215="Да"),"Молибден,Цинк",IF(AND(FM215="Да",OR(FE215="Да",FF215="Да",FG215="Да",FH215="Да",FI215="Да")),"Молибден,Цинк",IF(AND(OR(FJ215="Да",FK215="Да",FL215="Да",FM215="Да",FQ215="Да"),OR(FE215="Да",FF215="Да"),FT215="Да",FU215="Да",Исходн.данные.!I215&gt;5.5),"Медь,Цинк",FC215))))))</f>
        <v>#N/A</v>
      </c>
      <c r="FC215" s="23" t="e">
        <f t="shared" si="260"/>
        <v>#N/A</v>
      </c>
      <c r="FD215" s="38" t="str">
        <f>IF(OR(Исходн.данные.!F215=$CC$1,Исходн.данные.!F215=$CC$2,Исходн.данные.!F215=$CC$3,Исходн.данные.!F215=$CC$4),"Да","Нет")</f>
        <v>Нет</v>
      </c>
      <c r="FE215" s="38" t="str">
        <f>IF(Исходн.данные.!F215=$CC$5,"Да","Нет")</f>
        <v>Нет</v>
      </c>
      <c r="FF215" s="38" t="str">
        <f>IF(OR(Исходн.данные.!F215=$CC$6,Исходн.данные.!F215=$CC$7),"Да","Нет")</f>
        <v>Нет</v>
      </c>
      <c r="FG215" s="38" t="str">
        <f>IF(OR(Исходн.данные.!F215=$CC$8,Исходн.данные.!F215=$CC$9),"Да","Нет")</f>
        <v>Нет</v>
      </c>
      <c r="FH215" s="38" t="str">
        <f>IF(Исходн.данные.!F215=$CC$10,"Да","Нет")</f>
        <v>Нет</v>
      </c>
      <c r="FI215" s="38" t="str">
        <f>IF(OR(Исходн.данные.!F215=$CC$11,Исходн.данные.!F215=$CC$12),"Да","Нет")</f>
        <v>Нет</v>
      </c>
      <c r="FJ215" s="38" t="str">
        <f>IF(OR(Исходн.данные.!AH215=$BS$1,Исходн.данные.!AH215=$BQ$11,Исходн.данные.!AH215=$BQ$12),"Да","Нет")</f>
        <v>Нет</v>
      </c>
      <c r="FK215" s="38" t="str">
        <f>IF(OR(Исходн.данные.!AH215=$BS$2,Исходн.данные.!AH215=$BS$4),"Да","Нет")</f>
        <v>Нет</v>
      </c>
      <c r="FL215" s="38" t="str">
        <f>IF(OR(Исходн.данные.!AH215=$BS$3,Исходн.данные.!AH215=$BS$5),"Да","Нет")</f>
        <v>Нет</v>
      </c>
      <c r="FM215" s="38" t="str">
        <f>IF(OR(Исходн.данные.!AH215=$BS$9,Исходн.данные.!AH215=$BS$10,Исходн.данные.!AH215=$BS$11,Исходн.данные.!AH215=$BS$12),"Да","Нет")</f>
        <v>Нет</v>
      </c>
      <c r="FN215" s="38" t="str">
        <f>IF(OR(Исходн.данные.!AH215=$BS$6,Исходн.данные.!AH215=$BP$3),"Да","Нет")</f>
        <v>Нет</v>
      </c>
      <c r="FO215" s="38" t="str">
        <f>IF(Исходн.данные.!AH215=$BQ$9,"Да","Нет")</f>
        <v>Нет</v>
      </c>
      <c r="FP215" s="38" t="str">
        <f>IF(OR(Исходн.данные.!AH215=$BS$8,Исходн.данные.!AH215=$BT$8),"Да","Нет")</f>
        <v>Нет</v>
      </c>
      <c r="FQ215" s="38" t="str">
        <f>IF(OR(Исходн.данные.!AH215=$BQ$7,Исходн.данные.!AH215=$BQ$8),"Да","Нет")</f>
        <v>Нет</v>
      </c>
      <c r="FR215" s="38" t="str">
        <f>IF(Исходн.данные.!AI215=$BU$9,"Да","Нет")</f>
        <v>Нет</v>
      </c>
      <c r="FS215" s="38" t="str">
        <f>IF(OR(Исходн.данные.!AH215=$BP$1,Исходн.данные.!AH215=$BP$2),"Да","Нет")</f>
        <v>Нет</v>
      </c>
      <c r="FT215" s="38" t="e">
        <f>IF((Исходн.данные.!K215*GO215*GS215*GW215+BL215*0.6+Исходн.данные.!Q215*4.5*0.275)&gt;90,"Да","Нет")</f>
        <v>#N/A</v>
      </c>
      <c r="FU215" s="38" t="e">
        <f>IF((Исходн.данные.!M215*GS215*GZ215+BM215*0.225)&gt;35,"Да","Нет")</f>
        <v>#N/A</v>
      </c>
      <c r="FV215" s="38" t="str">
        <f>IF(Исходн.данные.!O215&gt;175,"Да","Нет")</f>
        <v>Нет</v>
      </c>
      <c r="FW215" s="39" t="str">
        <f>IF(Исходн.данные.!I215&gt;5.5,"Да","Нет")</f>
        <v>Нет</v>
      </c>
      <c r="FX215" s="39" t="str">
        <f>IF(Исходн.данные.!J215&lt;2,"Да","Нет")</f>
        <v>Да</v>
      </c>
      <c r="FY215" s="39" t="e">
        <f>IF(HF215=$FY$16,0,Исходн.данные.!K215*GO215*GS215*GW215/HF215)</f>
        <v>#N/A</v>
      </c>
      <c r="FZ215" s="39" t="e">
        <f>Исходн.данные.!M215*GS215*GZ215/HG215</f>
        <v>#N/A</v>
      </c>
      <c r="GA215" s="39" t="e">
        <f>IF(K_Wyn=$FY$16,0,IF(Исходн.данные.!N215=Исходн.данные.!$L$10,Исходн.данные.!O215/1.1*GS215*HC215/HH215,IF(Исходн.данные.!N215=Исходн.данные.!$L$12,Исходн.данные.!O215/1.5*GS215*HC215/HH215,Исходн.данные.!O215*GS215*HC215/HH215)))</f>
        <v>#N/A</v>
      </c>
      <c r="GB215" s="39" t="e">
        <f>IF(HF215=$FY$16,0,((Исходн.данные.!Q215*N_Org+Исходн.данные.!R215*N_Sider+Исходн.данные.!S215*N_Soloma)*AO215+Расчет!BC215*VLOOKUP(Исходн.данные.!T215,Справ!$A$3:$O$57,15)*AO215+BB215*VLOOKUP(Исходн.данные.!T215,Справ!$A$3:$O$57,15)*AL215+(Исходн.данные.!V215*N_Rizotorf+Исходн.данные.!W215*N_Rizoagr))/HF215)</f>
        <v>#N/A</v>
      </c>
      <c r="GC215" s="39" t="e">
        <f>IF(HG215=$FY$16,0,((Исходн.данные.!Q215*Р_Org+Исходн.данные.!R215*P_Sider+Исходн.данные.!S215*P_Soloma)*AP215+Расчет!BC215*VLOOKUP(Исходн.данные.!T215,Справ!$A$3:$P$57,16)*AP215+BB215*VLOOKUP(Исходн.данные.!T215,Справ!$A$3:$P$57,16)*AM215)/HG215)</f>
        <v>#N/A</v>
      </c>
      <c r="GD215" s="39" t="e">
        <f>IF(HH215=$FY$16,0,((Исходн.данные.!Q215*К_Org+Исходн.данные.!R215*K_Sider+Исходн.данные.!S215*K_Soloma)*AQ215+Расчет!BC215*VLOOKUP(Исходн.данные.!T215,Справ!$A$3:$Q$57,17)*AQ215+BB215*VLOOKUP(Исходн.данные.!T215,Справ!$A$3:$Q$57,17)*AN215)/HH215)</f>
        <v>#N/A</v>
      </c>
      <c r="GE215" s="39" t="e">
        <f>IF(HF215=$FY$16,0,(Исходн.данные.!X215*AR215+Исходн.данные.!AA215*N_Org*AL215+Исходн.данные.!AB215*N_Sider*AL215+Исходн.данные.!AC215*N_Soloma*AL215)/HF215)</f>
        <v>#N/A</v>
      </c>
      <c r="GF215" s="39" t="e">
        <f>IF(HG215=$FY$16,0,(Исходн.данные.!Y215*AS215+Исходн.данные.!AA215*Р_Org*AM215+Исходн.данные.!AB215*P_Sider*AM215+Исходн.данные.!AC215*P_Soloma*AM215)/HG215)</f>
        <v>#N/A</v>
      </c>
      <c r="GG215" s="39" t="e">
        <f>IF(HH215=$FY$16,0,(Исходн.данные.!Z215*AT215+Исходн.данные.!AA215*К_Org*AN215+Исходн.данные.!AB215*K_Sider*AN215+Исходн.данные.!AC215*K_Soloma*AN215)/HH215)</f>
        <v>#N/A</v>
      </c>
      <c r="GH215" s="39" t="e">
        <f>Исходн.данные.!AD215*AU215/HF215</f>
        <v>#N/A</v>
      </c>
      <c r="GI215" s="39" t="e">
        <f>Исходн.данные.!AE215*AV215/HG215</f>
        <v>#N/A</v>
      </c>
      <c r="GJ215" s="39" t="e">
        <f>Исходн.данные.!AF215*AW215/HH215</f>
        <v>#N/A</v>
      </c>
      <c r="GK215" s="55">
        <f>Исходн.данные.!AK215</f>
        <v>0</v>
      </c>
      <c r="GL215" s="11" t="e">
        <f t="shared" si="261"/>
        <v>#N/A</v>
      </c>
      <c r="GM215" s="11" t="e">
        <f t="shared" si="262"/>
        <v>#N/A</v>
      </c>
      <c r="GN215" s="11" t="e">
        <f t="shared" si="263"/>
        <v>#N/A</v>
      </c>
      <c r="GO215" s="57">
        <f t="shared" si="264"/>
        <v>19</v>
      </c>
      <c r="GP215" s="55">
        <f>IF(OR(Исходн.данные.!F215=$CE$1,Исходн.данные.!F215=$CE$2,Исходн.данные.!F215=$CE$3,Исходн.данные.!F215=$CE$4,Исходн.данные.!F215=$CE$5),GQ215,GR215)</f>
        <v>19</v>
      </c>
      <c r="GQ215" s="55">
        <f>IF(Исходн.данные.!F215=$CE$1,28,IF(Исходн.данные.!F215=$CE$2,26,IF(Исходн.данные.!F215=$CE$3,24,IF(Исходн.данные.!F215=$CE$4,22,IF(Исходн.данные.!F215=$CE$5,20,GR215)))))</f>
        <v>19</v>
      </c>
      <c r="GR215" s="55">
        <f>IF(Исходн.данные.!F215=$CE$6,18,IF(Исходн.данные.!F215=$CE$7,16,IF(Исходн.данные.!F215=$CE$8,14,IF(Исходн.данные.!F215=$CE$9,13,IF(Исходн.данные.!F215=$CE$10,12,19)))))</f>
        <v>19</v>
      </c>
      <c r="GS215" s="55">
        <f>IF(Исходн.данные.!G215="Пес",0.035*(40+2*Исходн.данные.!H215),IF(Исходн.данные.!G215="Суп",0.0325*(40+2*Исходн.данные.!H215),0.03*(40+2*Исходн.данные.!H215)))</f>
        <v>1.2</v>
      </c>
      <c r="GT215" s="55">
        <f>IF(Исходн.данные.!H215&lt;23,2.6,IF(AND(Исходн.данные.!H215&gt;22,Исходн.данные.!H215&lt;26),3,IF(AND(Исходн.данные.!H215&gt;25,Исходн.данные.!H215&lt;29),3.4,3.6)))</f>
        <v>2.6</v>
      </c>
      <c r="GU215" s="55">
        <f>IF(Исходн.данные.!H215&lt;23,2.8,IF(AND(Исходн.данные.!H215&gt;22,Исходн.данные.!H215&lt;26),3.2,IF(AND(Исходн.данные.!H215&gt;25,Исходн.данные.!H215&lt;29),3.6,3.9)))</f>
        <v>2.8</v>
      </c>
      <c r="GV215" s="55">
        <f>IF(Исходн.данные.!H215&lt;23,3,IF(AND(Исходн.данные.!H215&gt;22,Исходн.данные.!H215&lt;26),3.5,IF(AND(Исходн.данные.!H215&gt;25,Исходн.данные.!H215&lt;29),3.9,4.2)))</f>
        <v>3</v>
      </c>
      <c r="GW215" s="55" t="e">
        <f>IF(Исходн.данные.!P215="Ум",GX215,GY215)</f>
        <v>#N/A</v>
      </c>
      <c r="GX215" s="55" t="e">
        <f>VLOOKUP(Исходн.данные.!AI215,Коэффициенты!$J$7:$L$13,2,FALSE)</f>
        <v>#N/A</v>
      </c>
      <c r="GY215" s="55" t="e">
        <f>VLOOKUP(Исходн.данные.!AI215,Коэффициенты!$J$7:$L$13,3,FALSE)</f>
        <v>#N/A</v>
      </c>
      <c r="GZ215" s="55" t="e">
        <f>(IF(Исходн.данные.!M215&lt;50,0.11*VLOOKUP(Исходн.данные.!AH215,Культуры.Информация,7,FALSE),IF(Исходн.данные.!M215&gt;250,0.05*VLOOKUP(Исходн.данные.!AH215,Культуры.Информация,7,FALSE),VLOOKUP(Исходн.данные.!AH215,Культуры.Информация,5,FALSE)/100*($GX$6+$GY$6*Исходн.данные.!M215))))*Расчет2!AI215</f>
        <v>#N/A</v>
      </c>
      <c r="HA215" s="211"/>
      <c r="HB215" s="211"/>
      <c r="HC215" s="55" t="e">
        <f>(IF(Исходн.данные.!O215&lt;80,0.2*VLOOKUP(Исходн.данные.!AH215,Культуры.Информация,8,FALSE),IF(Исходн.данные.!O215&gt;240,0.09*VLOOKUP(Исходн.данные.!AH215,Культуры.Информация,8,FALSE),VLOOKUP(Исходн.данные.!AH215,Культуры.Информация,6,FALSE)/100*($HB$6+$HC$6*Исходн.данные.!O215))))*Расчет2!AJ215</f>
        <v>#N/A</v>
      </c>
      <c r="HD215" s="55">
        <f>IF(Исходн.данные.!O215&gt;240,0.09,IF(Исходн.данные.!O215&lt;30,0.3,$HE$10+$HD$10*Исходн.данные.!O215))</f>
        <v>0.3</v>
      </c>
      <c r="HE215" s="55">
        <f>IF(Исходн.данные.!O215&gt;240,0.17,IF(Исходн.данные.!O215&lt;30,0.5,$HF$12+$HE$12*Исходн.данные.!O215))</f>
        <v>0.5</v>
      </c>
      <c r="HF215" s="55" t="e">
        <f>VLOOKUP(Исходн.данные.!AH215,Справ!$A$3:$D$58,2,FALSE)</f>
        <v>#N/A</v>
      </c>
      <c r="HG215" s="55" t="e">
        <f>VLOOKUP(Исходн.данные.!AH215,Справ!$A$3:$D$58,3,FALSE)</f>
        <v>#N/A</v>
      </c>
      <c r="HH215" s="55" t="e">
        <f>VLOOKUP(Исходн.данные.!AH215,Справ!$A$3:$D$58,4,FALSE)</f>
        <v>#N/A</v>
      </c>
      <c r="HI215" s="11" t="e">
        <f t="shared" si="265"/>
        <v>#N/A</v>
      </c>
      <c r="HJ215" s="11" t="e">
        <f t="shared" si="266"/>
        <v>#N/A</v>
      </c>
      <c r="HK215" s="11" t="e">
        <f t="shared" si="267"/>
        <v>#N/A</v>
      </c>
      <c r="HL215" s="55">
        <f>IF(OR(Исходн.данные.!G215="Глин",Исходн.данные.!G215="Т_суг"),1.1,IF(Исходн.данные.!G215="Ср_суг",1,1))</f>
        <v>1</v>
      </c>
      <c r="HM215" s="55">
        <f>IF(OR(Исходн.данные.!G215="Глин",Исходн.данные.!G215="Т_суг"),0.9,IF(Исходн.данные.!G215="Ср_суг",1,1.2))</f>
        <v>1.2</v>
      </c>
      <c r="HN215" s="11" t="e">
        <f t="shared" si="268"/>
        <v>#N/A</v>
      </c>
      <c r="HO215" s="11" t="e">
        <f t="shared" si="269"/>
        <v>#N/A</v>
      </c>
      <c r="HP215" s="11" t="e">
        <f t="shared" si="270"/>
        <v>#N/A</v>
      </c>
      <c r="HQ215" t="e">
        <f t="shared" si="271"/>
        <v>#N/A</v>
      </c>
      <c r="HR215" t="e">
        <f t="shared" si="272"/>
        <v>#N/A</v>
      </c>
      <c r="HS215" t="e">
        <f t="shared" si="273"/>
        <v>#N/A</v>
      </c>
      <c r="HT215" t="e">
        <f t="shared" si="293"/>
        <v>#N/A</v>
      </c>
      <c r="HU215" t="e">
        <f t="shared" si="294"/>
        <v>#N/A</v>
      </c>
      <c r="HV215" t="e">
        <f t="shared" si="295"/>
        <v>#N/A</v>
      </c>
      <c r="HW215" t="e">
        <f t="shared" si="296"/>
        <v>#N/A</v>
      </c>
      <c r="HX215" t="e">
        <f t="shared" si="297"/>
        <v>#N/A</v>
      </c>
      <c r="HY215" t="e">
        <f t="shared" si="298"/>
        <v>#N/A</v>
      </c>
      <c r="HZ215" s="55">
        <f>IF(OR(Исходн.данные.!AI215="Оз_Ч_П",Исходн.данные.!AI215="Оз_З_П",Исходн.данные.!AI215="Яр_зер"),12,30)</f>
        <v>30</v>
      </c>
      <c r="IA215" t="e">
        <f t="shared" si="274"/>
        <v>#N/A</v>
      </c>
      <c r="IB215" t="e">
        <f t="shared" si="275"/>
        <v>#N/A</v>
      </c>
      <c r="IC215" t="e">
        <f t="shared" si="276"/>
        <v>#N/A</v>
      </c>
      <c r="ID215" s="11" t="e">
        <f t="shared" si="277"/>
        <v>#N/A</v>
      </c>
      <c r="IE215" s="11" t="e">
        <f t="shared" si="278"/>
        <v>#N/A</v>
      </c>
      <c r="IF215" s="11" t="e">
        <f t="shared" si="279"/>
        <v>#N/A</v>
      </c>
    </row>
    <row r="216" spans="35:240" x14ac:dyDescent="0.2">
      <c r="AI216">
        <f>IF(Исходн.данные.!I216&gt;6,1,1.85-(0.148*Исходн.данные.!I216))</f>
        <v>1.85</v>
      </c>
      <c r="AJ216">
        <f>IF(Исходн.данные.!I216&gt;6,1,2.434-(0.246*Исходн.данные.!I216))</f>
        <v>2.4340000000000002</v>
      </c>
      <c r="AL216" s="148" t="b">
        <f>IF(Исходн.данные.!$P216="Ум",N_OrgUd_2g_um,IF(Исходн.данные.!$P216="Об",N_OrgUd_2g_ob))</f>
        <v>0</v>
      </c>
      <c r="AM216" s="148" t="b">
        <f>IF(Исходн.данные.!$P216="Ум",P_OrgUd_2g_um,IF(Исходн.данные.!$P216="Об",P_OrgUd_2g_ob))</f>
        <v>0</v>
      </c>
      <c r="AN216" s="148" t="b">
        <f>IF(Исходн.данные.!$P216="Ум",K_OrgUd_2g_um,IF(Исходн.данные.!$P216="Об",K_OrgUd_2g_ob))</f>
        <v>0</v>
      </c>
      <c r="AO216" s="148" t="b">
        <f>IF(Исходн.данные.!$P216="Ум",N_OrgUd_1g_um,IF(Исходн.данные.!$P216="Об",N_OrgUd_1g_ob))</f>
        <v>0</v>
      </c>
      <c r="AP216" s="148" t="b">
        <f>IF(Исходн.данные.!$P216="Ум",P_OrgUd_1g_um,IF(Исходн.данные.!$P216="Об",P_OrgUd_1g_ob))</f>
        <v>0</v>
      </c>
      <c r="AQ216" s="148" t="b">
        <f>IF(Исходн.данные.!$P216="Ум",K_OrgUd_1g_um,IF(Исходн.данные.!$P216="Об",K_OrgUd_1g_ob))</f>
        <v>0</v>
      </c>
      <c r="AR216" t="b">
        <f>IF(Исходн.данные.!$P216="Ум",N_MinUd_2g_um,IF(Исходн.данные.!$P216="Об",N_MinUd_2g_ob))</f>
        <v>0</v>
      </c>
      <c r="AS216" t="b">
        <f>IF(Исходн.данные.!$P216="Ум",P_MinUd_2g_um,IF(Исходн.данные.!$P216="Об",P_MinUd_2g_ob))</f>
        <v>0</v>
      </c>
      <c r="AT216" t="b">
        <f>IF(Исходн.данные.!$P216="Ум",K_MinUd_2g_um,IF(Исходн.данные.!$P216="Об",K_MinUd_2g_ob))</f>
        <v>0</v>
      </c>
      <c r="AU216" t="b">
        <f>IF(Исходн.данные.!$P216="Ум",N_MinUd_1g_um,IF(Исходн.данные.!$P216="Об",N_MinUd_1g_ob))</f>
        <v>0</v>
      </c>
      <c r="AV216" t="b">
        <f>IF(Исходн.данные.!P216="Ум",P_MinUd_1g_um,IF(Исходн.данные.!P216="Об",P_MinUd_1g_ob))</f>
        <v>0</v>
      </c>
      <c r="AW216" t="b">
        <f>IF(Исходн.данные.!P216="Ум",K_MinUd_1g_um,IF(Исходн.данные.!P216="Об",K_MinUd_1g_ob))</f>
        <v>0</v>
      </c>
      <c r="AY216" t="e">
        <f>VLOOKUP(Исходн.данные.!T216,Справ!$A$3:$N$57,12)</f>
        <v>#N/A</v>
      </c>
      <c r="AZ216" t="e">
        <f>VLOOKUP(Исходн.данные.!T216,Справ!$A$3:$N$57,13)</f>
        <v>#N/A</v>
      </c>
      <c r="BA216" t="e">
        <f>VLOOKUP(Исходн.данные.!T216,Справ!$A$3:$N$57,14)</f>
        <v>#N/A</v>
      </c>
      <c r="BB216">
        <f>IF(Исходн.данные.!AH216=0,0,25)</f>
        <v>0</v>
      </c>
      <c r="BC216" s="141">
        <f>IF(Исходн.данные.!AH216=0,0,IF(Исходн.данные.!T216=0,25,BD216))</f>
        <v>0</v>
      </c>
      <c r="BD216" s="168" t="e">
        <f>AY216+AZ216*Исходн.данные.!U216-POWER(BA216,2)*Исходн.данные.!U216</f>
        <v>#N/A</v>
      </c>
      <c r="BE21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6" s="25">
        <f>IF(Исходн.данные.!AH216=0,0,MIN(HN216:HP216))</f>
        <v>0</v>
      </c>
      <c r="BG216" s="9">
        <f>IF(Исходн.данные.!AH216=0,0,IF((HO216+10*0.25/HG216/HL216)&lt;17,17,HO216+10*0.25/HG216/HL216))</f>
        <v>0</v>
      </c>
      <c r="BH216" s="181">
        <f>IF(Исходн.данные.!AH216=0,0,HW216*HF216*HL216/AU216*AI216+Исходн.данные.!S216*10)</f>
        <v>0</v>
      </c>
      <c r="BI216" s="10"/>
      <c r="BJ216" s="182">
        <f>IF(Исходн.данные.!AH216=0,0,IF(HX216*HG216*HL216/AV216&lt;0,0,HX216*HG216*HL216/AV216*AJ216))</f>
        <v>0</v>
      </c>
      <c r="BK216" s="182">
        <f>IF(Исходн.данные.!AH216=0,0,HY216*HH216*HM216/AW216)</f>
        <v>0</v>
      </c>
      <c r="BL216" s="10">
        <f>IF(OR(Исходн.данные.!$AH216=$BP$1,Исходн.данные.!$AH216=$BP$2),0,IF(BH216&lt;0,0,IF(OR(Исходн.данные.!T216=Расчет!$BP$1,Исходн.данные.!T216=Расчет!$BP$2,Исходн.данные.!T216=Расчет!$BT$5,Исходн.данные.!T216=Расчет!$BT$6),BH216*0.5,IF(OR(Исходн.данные.!T216=Расчет!$BS$9,Исходн.данные.!T216=Расчет!$BS$10,Исходн.данные.!T216=Расчет!$BS$11,Исходн.данные.!T216=Расчет!$BS$12,Исходн.данные.!T216=Расчет!$BP$5),BH216*0.8,BH216))))</f>
        <v>0</v>
      </c>
      <c r="BM216" s="10">
        <f>IF(OR(Исходн.данные.!$AH216=$BP$1,Исходн.данные.!$AH216=$BP$2),0,IF(BJ216&lt;0,0,IF(Исходн.данные.!I216&lt;4.5,BJ216*1.2,IF(Исходн.данные.!I216&gt;5.1,BJ216,BJ216*((5.1-Исходн.данные.!I216)*0.333+1)))))</f>
        <v>0</v>
      </c>
      <c r="BN216" s="10">
        <f>IF(OR(Исходн.данные.!$AH216=$BP$1,Исходн.данные.!$AH216=$BP$2),60-Исходн.данные.!AF216,IF(BK216&lt;0,0,IF(Исходн.данные.!I216&lt;4.5,BK216*1.2,IF(Исходн.данные.!I216&gt;5.1,BK216,BK216*((5.1-Исходн.данные.!I216)*0.333+1)))))</f>
        <v>0</v>
      </c>
      <c r="BO216" s="9">
        <f>IF(BL216&lt;0,0,BL216*Исходн.данные.!$AJ216/1000)</f>
        <v>0</v>
      </c>
      <c r="BP216" s="9">
        <f>IF(BM216&lt;0,0,BM216*Исходн.данные.!$AJ216/1000)</f>
        <v>0</v>
      </c>
      <c r="BQ216" s="9">
        <f>IF(BN216&lt;0,0,BN216*Исходн.данные.!$AJ216/1000)</f>
        <v>0</v>
      </c>
      <c r="BR216" s="9">
        <f t="shared" si="229"/>
        <v>0</v>
      </c>
      <c r="BS216" s="10" t="str">
        <f t="shared" si="230"/>
        <v>Аммофос 12:52:00</v>
      </c>
      <c r="BT216" s="10" t="str">
        <f t="shared" si="231"/>
        <v>Аммофос 12:52:00</v>
      </c>
      <c r="BU216" s="10" t="str">
        <f t="shared" si="232"/>
        <v>Диаммофоска</v>
      </c>
      <c r="BV216" s="10">
        <f t="shared" si="233"/>
        <v>0</v>
      </c>
      <c r="BW216" s="10"/>
      <c r="BX216" s="10"/>
      <c r="BY216" s="9">
        <f>IF(BL216&lt;0,0,IF(OR(Исходн.данные.!AI216=Расчет!$BU$6,Исходн.данные.!AI216=Расчет!$BU$7),Расчет!BV216,IF(Исходн.данные.!$AG216=$BV$11,BL216,IF(OR(Исходн.данные.!$AH216=$BQ$7,Исходн.данные.!$AH216=$BQ$8),CB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0,IF(Исходн.данные.!$AI216=$BU$11,"Нет",IF(BL216&gt;30,30,BL216)))))))</f>
        <v>0</v>
      </c>
      <c r="BZ216" s="9">
        <f>IF(AND(Исходн.данные.!$AG216=$BV$11,BM216&lt;10),10,IF(Исходн.данные.!$AG216=$BV$11,BM216,IF(OR(Исходн.данные.!$AH216=$BQ$7,Исходн.данные.!$AH216=$BQ$8),CC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10,IF(Исходн.данные.!$AI216=$BU$11,"Нет",IF(BM216&gt;60,60,IF(BM216&lt;10,10,BM216)))))))</f>
        <v>10</v>
      </c>
      <c r="CA216" s="39">
        <f>IF(BN216&lt;0,0,IF(Исходн.данные.!$AG216=$BV$11,BN216,IF(OR(Исходн.данные.!$AH216=$BQ$7,Исходн.данные.!$AH216=$BQ$8),CD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0,IF(Исходн.данные.!$AI216=$BU$11,"Нет",IF(BN216&gt;30,30,BN216))))))</f>
        <v>0</v>
      </c>
      <c r="CB216" s="9">
        <f t="shared" si="234"/>
        <v>0</v>
      </c>
      <c r="CC216" s="9">
        <f t="shared" si="235"/>
        <v>0</v>
      </c>
      <c r="CD216" s="9">
        <f t="shared" si="236"/>
        <v>0</v>
      </c>
      <c r="CE216" s="12">
        <f t="shared" si="237"/>
        <v>10</v>
      </c>
      <c r="CF216" s="9">
        <f t="shared" si="238"/>
        <v>0</v>
      </c>
      <c r="CG216" s="9" t="s">
        <v>231</v>
      </c>
      <c r="CH216" s="132" t="str">
        <f>IF(Исходн.данные.!AP216=Расчет!$CI$16,"Нет",IF(Исходн.данные.!AL216&gt;0,Исходн.данные.!AL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BH$4,IF(OR(Исходн.данные.!AI216=Исходн.данные.!$AI$6,Исходн.данные.!AI216=Исходн.данные.!$AI$7),Расчет!BS216,IF(AND($CF216=0,$CE216&gt;0),EV216,ER216)))))</f>
        <v>Аммофос 12:52:00</v>
      </c>
      <c r="CI216" s="274">
        <f>IF(Расчет!$CH216="Нет","Нет",IF(Исходн.данные.!$AL216&gt;0,VLOOKUP(Расчет!$CH216,АшламаДВ_Irekle,2,FALSE),VLOOKUP(Расчет!$CH216,АшламаДВ_Gomumy,2,FALSE)))</f>
        <v>0.12</v>
      </c>
      <c r="CJ216" s="274">
        <f>IF(Расчет!$CH216="Нет","Нет",IF(Исходн.данные.!$AL216&gt;0,VLOOKUP(Расчет!$CH216,АшламаДВ_Irekle,3,FALSE),VLOOKUP(Расчет!$CH216,АшламаДВ_Gomumy,3,FALSE)))</f>
        <v>0.52</v>
      </c>
      <c r="CK216" s="274">
        <f>IF(Расчет!$CH216="Нет","Нет",IF(Исходн.данные.!$AL216&gt;0,VLOOKUP(Расчет!$CH216,АшламаДВ_Irekle,4,FALSE),VLOOKUP(Расчет!$CH216,АшламаДВ_Gomumy,4,FALSE)))</f>
        <v>0</v>
      </c>
      <c r="CL216" s="70"/>
      <c r="CM216" s="70"/>
      <c r="CN216" s="70"/>
      <c r="CO216" s="70"/>
      <c r="CP216" s="70"/>
      <c r="CQ216" s="70"/>
      <c r="CR216" s="10">
        <f t="shared" si="239"/>
        <v>0</v>
      </c>
      <c r="CS216" s="10">
        <f t="shared" si="240"/>
        <v>19.23076923076923</v>
      </c>
      <c r="CT216" s="10">
        <f t="shared" si="241"/>
        <v>0</v>
      </c>
      <c r="CU216" s="39">
        <f>IF($CH216="Нет",0,IF(CI216=0,30/MIN(CJ216:CK216),IF(Исходн.данные.!$AG216=$BV$11,CR216,IF(OR(Исходн.данные.!$AH216=$BQ$7,Исходн.данные.!$AH216=$BQ$8),90/CI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0,IF(Исходн.данные.!$AI216=$BU$11,"Нет",30/CI216))))))</f>
        <v>250</v>
      </c>
      <c r="CV216" s="39">
        <f>IF($CH216="Нет",0,IF(Исходн.данные.!AH216=0,0,IF(CJ216=0,60/MIN(CI216,CK216),IF(Исходн.данные.!$AG216=$BV$11,CS216,IF(OR(Исходн.данные.!$AH216=$BQ$7,Исходн.данные.!$AH216=$BQ$8),90/CJ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10/CJ216,IF(Исходн.данные.!$AI216=$BU$11,"Нет",60/CJ216)))))))</f>
        <v>0</v>
      </c>
      <c r="CW216" s="39">
        <f>IF($CH216="Нет",0,IF(Исходн.данные.!AH216=0,0,IF(CK216=0,30/MIN(CI216:CJ216),IF(Исходн.данные.!$AG216=$BV$11,CT216,IF(OR(Исходн.данные.!$AH216=$BQ$7,Исходн.данные.!$AH216=$BQ$8),90/CK216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0,IF(Исходн.данные.!$AI216=$BU$11,"Нет",30/CK216)))))))</f>
        <v>0</v>
      </c>
      <c r="CX216" s="133">
        <f>IF(Исходн.данные.!$AG216=$BV$11,MAX(CU216:CW216),IF(OR(Исходн.данные.!$AH216=$BS$8,Исходн.данные.!$AH216=$BQ$9,Исходн.данные.!$AH216=$BQ$10,Исходн.данные.!$AH216=$BQ$11,Исходн.данные.!$AH216=$BQ$12,Исходн.данные.!$AH216=$BP$3,Исходн.данные.!$AH216=$BT$8,$FM216="Да"),CV216,MIN(CU216:CW216)))</f>
        <v>0</v>
      </c>
      <c r="CY216" s="133">
        <f>IF(Исходн.данные.!AH216=0,0,IF(CR216&gt;$CX216,$CX216,CR216))</f>
        <v>0</v>
      </c>
      <c r="CZ216" s="133">
        <f>IF(Исходн.данные.!AH216=0,0,IF(CS216&gt;$CX216,$CX216,CS216))</f>
        <v>0</v>
      </c>
      <c r="DA216" s="133">
        <f>IF(Исходн.данные.!AH216=0,0,IF(CT216&gt;$CX216,$CX216,CT216))</f>
        <v>0</v>
      </c>
      <c r="DB216" s="10">
        <f t="shared" si="242"/>
        <v>0</v>
      </c>
      <c r="DC216" s="39">
        <f>DB216*Исходн.данные.!AJ216/1000</f>
        <v>0</v>
      </c>
      <c r="DD216" s="71">
        <f t="shared" si="243"/>
        <v>0</v>
      </c>
      <c r="DE216" s="9">
        <f t="shared" si="244"/>
        <v>0</v>
      </c>
      <c r="DF216" s="9">
        <f t="shared" si="245"/>
        <v>0</v>
      </c>
      <c r="DG216" s="39">
        <f>IF(BL216&lt;0,0,IF($CH216="Нет",BL216,IF(OR(Исходн.данные.!$AH216=$BP$1,Исходн.данные.!$AH216=$BP$2),0,IF(Исходн.данные.!AI216=$BU$11,BL216,IF(BL216-DD216&lt;0,0,BL216-DD216)))))</f>
        <v>0</v>
      </c>
      <c r="DH216" s="39">
        <f>IF(BM216&lt;0,0,IF($CH216="Нет",BM216,IF(OR(Исходн.данные.!$AH216=$BP$1,Исходн.данные.!$AH216=$BP$2),0,IF(Исходн.данные.!AJ216=$BU$11,BM216,IF(BM216-DE216&lt;0,0,BM216-DE216)))))</f>
        <v>0</v>
      </c>
      <c r="DI216" s="39">
        <f>IF(BN216&lt;0,0,IF($CH216="Нет",BN216,IF(OR(Исходн.данные.!$AH216=$BP$1,Исходн.данные.!$AH216=$BP$2),0,IF(Исходн.данные.!AK216=$BU$11,BN216,IF(BN216-DF216&lt;0,0,BN216-DF216)))))</f>
        <v>0</v>
      </c>
      <c r="DJ216" s="12">
        <f t="shared" si="246"/>
        <v>0</v>
      </c>
      <c r="DK216" s="9">
        <f t="shared" si="247"/>
        <v>0</v>
      </c>
      <c r="DL216" s="39">
        <f>IF(Исходн.данные.!AM216&gt;0,Исходн.данные.!AM216,IF(EG216&gt;0,$BH$10,0))</f>
        <v>0</v>
      </c>
      <c r="DM216" s="186">
        <f>IF($DL216=0,0,IF(Исходн.данные.!AM216&gt;0,VLOOKUP($DL216,АшламаДВ_Irekle,2,FALSE),VLOOKUP($DL216,АшламаДВ_Gomumy,2,FALSE)))</f>
        <v>0</v>
      </c>
      <c r="DN216" s="10">
        <f t="shared" si="299"/>
        <v>0</v>
      </c>
      <c r="DO216" s="9" t="str">
        <f>IF(Исходн.данные.!AN216&gt;0,Исходн.данные.!AN216,Удобрения!$B$37 )</f>
        <v>Хлор.калий</v>
      </c>
      <c r="DP216" s="9">
        <f>IF(Исходн.данные.!AN216&gt;0,VLOOKUP(Исходн.данные.!AN216,АшламаДВ_Irekle,4,FALSE),VLOOKUP(DO216,АшламаДВ_Gomumy,4,FALSE))</f>
        <v>0.6</v>
      </c>
      <c r="DQ216" s="10">
        <f t="shared" si="300"/>
        <v>0</v>
      </c>
      <c r="DR216" s="132" t="str">
        <f>IF(Исходн.данные.!AO216&gt;0,Исходн.данные.!AO216,IF(DH216=0,BS$17,IF(AND($DK216=0,$DJ216&gt;0),EJ216,EN216)))</f>
        <v>Нет</v>
      </c>
      <c r="DS216" s="70" t="str">
        <f>IF($DR216="Нет","Нет",IF(Исходн.данные.!$AO216&gt;0,VLOOKUP($DR216,АшламаДВ_Irekle,2,FALSE),VLOOKUP($DR216,АшламаДВ_Gomumy,2,FALSE)))</f>
        <v>Нет</v>
      </c>
      <c r="DT216" s="70" t="str">
        <f>IF($DR216="Нет","Нет",IF(Исходн.данные.!$AO216&gt;0,VLOOKUP($DR216,АшламаДВ_Irekle,3,FALSE),VLOOKUP($DR216,АшламаДВ_Gomumy,3,FALSE)))</f>
        <v>Нет</v>
      </c>
      <c r="DU216" s="70" t="str">
        <f>IF($DR216="Нет","Нет",IF(Исходн.данные.!$AO216&gt;0,VLOOKUP($DR216,АшламаДВ_Irekle,4,FALSE),VLOOKUP($DR216,АшламаДВ_Gomumy,4,FALSE)))</f>
        <v>Нет</v>
      </c>
      <c r="DV216" s="70"/>
      <c r="DW216" s="70"/>
      <c r="DX216" s="70"/>
      <c r="DY216" s="10">
        <f t="shared" si="248"/>
        <v>0</v>
      </c>
      <c r="DZ216" s="10">
        <f t="shared" si="249"/>
        <v>0</v>
      </c>
      <c r="EA216" s="10">
        <f t="shared" si="250"/>
        <v>0</v>
      </c>
      <c r="EB216" s="10">
        <f t="shared" si="251"/>
        <v>0</v>
      </c>
      <c r="EC216" s="10">
        <f t="shared" si="252"/>
        <v>0</v>
      </c>
      <c r="ED216" s="10">
        <f t="shared" si="253"/>
        <v>0</v>
      </c>
      <c r="EE216" s="10">
        <f t="shared" si="254"/>
        <v>0</v>
      </c>
      <c r="EF216" s="39">
        <f>EB216*Исходн.данные.!AJ216/1000</f>
        <v>0</v>
      </c>
      <c r="EG216" s="9">
        <f t="shared" si="255"/>
        <v>0</v>
      </c>
      <c r="EH216" s="9">
        <f t="shared" si="256"/>
        <v>0</v>
      </c>
      <c r="EI216" s="39" t="e">
        <f t="shared" si="280"/>
        <v>#DIV/0!</v>
      </c>
      <c r="EJ216" s="9" t="str">
        <f t="shared" si="301"/>
        <v>Азопреципитат</v>
      </c>
      <c r="EK216" s="12">
        <f t="shared" si="281"/>
        <v>0.26</v>
      </c>
      <c r="EL216" s="12">
        <f t="shared" si="282"/>
        <v>0.13</v>
      </c>
      <c r="EM216" s="12">
        <f t="shared" si="283"/>
        <v>0</v>
      </c>
      <c r="EN216" s="12" t="str">
        <f t="shared" si="302"/>
        <v>Нет</v>
      </c>
      <c r="EO216" s="12">
        <f t="shared" si="284"/>
        <v>0</v>
      </c>
      <c r="EP216" s="12">
        <f t="shared" si="285"/>
        <v>0</v>
      </c>
      <c r="EQ216" s="12">
        <f t="shared" si="286"/>
        <v>0</v>
      </c>
      <c r="ER216" s="12" t="str">
        <f t="shared" si="257"/>
        <v>Диаммофоска</v>
      </c>
      <c r="ES216" s="12">
        <f t="shared" si="287"/>
        <v>0.1</v>
      </c>
      <c r="ET216" s="12">
        <f t="shared" si="288"/>
        <v>0.26</v>
      </c>
      <c r="EU216" s="12">
        <f t="shared" si="289"/>
        <v>0.26</v>
      </c>
      <c r="EV216" s="12" t="str">
        <f t="shared" si="258"/>
        <v>Аммофос 12:52:00</v>
      </c>
      <c r="EW216" s="12" t="str">
        <f t="shared" si="259"/>
        <v>Кемира Свекловичное-6</v>
      </c>
      <c r="EX216" s="12">
        <f t="shared" si="290"/>
        <v>0.16</v>
      </c>
      <c r="EY216" s="12">
        <f t="shared" si="291"/>
        <v>0.12</v>
      </c>
      <c r="EZ216" s="12">
        <f t="shared" si="292"/>
        <v>0.17</v>
      </c>
      <c r="FA216" s="38" t="e">
        <f>IF(AND(OR(FJ216=$FD$1,FM216=$FD$1,FO216=$FD$1,FQ216=$FD$1,FS216=$FD$1),FD216=$FD$1,Исходн.данные.!J216&lt;2,FU216=$FD$1),"Бор,Кобальт",IF(AND(FO216=$FD$1,FH216=$FD$1,Исходн.данные.!J216&lt;2,FU216=$FD$1),"Бор,Кобальт",IF(AND(OR(FJ216=$FD$1,FM216=$FD$1,FQ216=$FD$1),FE216=$FD$1,Исходн.данные.!J216&lt;2,FT216=$FD$1,FU216=$FD$1),"Бор,Медь,Цинк",IF(AND(OR(FJ216=$FD$1,FR216="Да"),FI216="Да",Исходн.данные.!J216&lt;2,FT216="Да",FU216="Да"),"Бор,Цинк,Медь",IF(AND(OR(FM216="Да",FQ216="Да"),FI216="Да",Исходн.данные.!J216&lt;2,FT216="Да",FU216="Да"),"Бор,Цинк",IF(AND(FN216="Да",OR(FD216="Да",FE216="Да")),"Бор",FB216))))))</f>
        <v>#N/A</v>
      </c>
      <c r="FB216" s="134" t="e">
        <f>IF(AND(OR(FD216="Да",FE216="Да",FF216="Да",FG216="Да",FH216="Да"),FO216="Да"),"Бор",IF(AND(FP216="Да",OR(FD216="Да",FE216="Да",FI216="Да")),"Бор",IF(AND(FS216="Да",FE216="Да"),"Бор,Медь",IF(AND(OR(FJ216="Да",FK216="Да",FL216="Да"),FE216="Да",Исходн.данные.!I216&lt;5,FT216="Да",FU216="Да"),"Молибден,Цинк",IF(AND(FM216="Да",OR(FE216="Да",FF216="Да",FG216="Да",FH216="Да",FI216="Да")),"Молибден,Цинк",IF(AND(OR(FJ216="Да",FK216="Да",FL216="Да",FM216="Да",FQ216="Да"),OR(FE216="Да",FF216="Да"),FT216="Да",FU216="Да",Исходн.данные.!I216&gt;5.5),"Медь,Цинк",FC216))))))</f>
        <v>#N/A</v>
      </c>
      <c r="FC216" s="23" t="e">
        <f t="shared" si="260"/>
        <v>#N/A</v>
      </c>
      <c r="FD216" s="38" t="str">
        <f>IF(OR(Исходн.данные.!F216=$CC$1,Исходн.данные.!F216=$CC$2,Исходн.данные.!F216=$CC$3,Исходн.данные.!F216=$CC$4),"Да","Нет")</f>
        <v>Нет</v>
      </c>
      <c r="FE216" s="38" t="str">
        <f>IF(Исходн.данные.!F216=$CC$5,"Да","Нет")</f>
        <v>Нет</v>
      </c>
      <c r="FF216" s="38" t="str">
        <f>IF(OR(Исходн.данные.!F216=$CC$6,Исходн.данные.!F216=$CC$7),"Да","Нет")</f>
        <v>Нет</v>
      </c>
      <c r="FG216" s="38" t="str">
        <f>IF(OR(Исходн.данные.!F216=$CC$8,Исходн.данные.!F216=$CC$9),"Да","Нет")</f>
        <v>Нет</v>
      </c>
      <c r="FH216" s="38" t="str">
        <f>IF(Исходн.данные.!F216=$CC$10,"Да","Нет")</f>
        <v>Нет</v>
      </c>
      <c r="FI216" s="38" t="str">
        <f>IF(OR(Исходн.данные.!F216=$CC$11,Исходн.данные.!F216=$CC$12),"Да","Нет")</f>
        <v>Нет</v>
      </c>
      <c r="FJ216" s="38" t="str">
        <f>IF(OR(Исходн.данные.!AH216=$BS$1,Исходн.данные.!AH216=$BQ$11,Исходн.данные.!AH216=$BQ$12),"Да","Нет")</f>
        <v>Нет</v>
      </c>
      <c r="FK216" s="38" t="str">
        <f>IF(OR(Исходн.данные.!AH216=$BS$2,Исходн.данные.!AH216=$BS$4),"Да","Нет")</f>
        <v>Нет</v>
      </c>
      <c r="FL216" s="38" t="str">
        <f>IF(OR(Исходн.данные.!AH216=$BS$3,Исходн.данные.!AH216=$BS$5),"Да","Нет")</f>
        <v>Нет</v>
      </c>
      <c r="FM216" s="38" t="str">
        <f>IF(OR(Исходн.данные.!AH216=$BS$9,Исходн.данные.!AH216=$BS$10,Исходн.данные.!AH216=$BS$11,Исходн.данные.!AH216=$BS$12),"Да","Нет")</f>
        <v>Нет</v>
      </c>
      <c r="FN216" s="38" t="str">
        <f>IF(OR(Исходн.данные.!AH216=$BS$6,Исходн.данные.!AH216=$BP$3),"Да","Нет")</f>
        <v>Нет</v>
      </c>
      <c r="FO216" s="38" t="str">
        <f>IF(Исходн.данные.!AH216=$BQ$9,"Да","Нет")</f>
        <v>Нет</v>
      </c>
      <c r="FP216" s="38" t="str">
        <f>IF(OR(Исходн.данные.!AH216=$BS$8,Исходн.данные.!AH216=$BT$8),"Да","Нет")</f>
        <v>Нет</v>
      </c>
      <c r="FQ216" s="38" t="str">
        <f>IF(OR(Исходн.данные.!AH216=$BQ$7,Исходн.данные.!AH216=$BQ$8),"Да","Нет")</f>
        <v>Нет</v>
      </c>
      <c r="FR216" s="38" t="str">
        <f>IF(Исходн.данные.!AI216=$BU$9,"Да","Нет")</f>
        <v>Нет</v>
      </c>
      <c r="FS216" s="38" t="str">
        <f>IF(OR(Исходн.данные.!AH216=$BP$1,Исходн.данные.!AH216=$BP$2),"Да","Нет")</f>
        <v>Нет</v>
      </c>
      <c r="FT216" s="38" t="e">
        <f>IF((Исходн.данные.!K216*GO216*GS216*GW216+BL216*0.6+Исходн.данные.!Q216*4.5*0.275)&gt;90,"Да","Нет")</f>
        <v>#N/A</v>
      </c>
      <c r="FU216" s="38" t="e">
        <f>IF((Исходн.данные.!M216*GS216*GZ216+BM216*0.225)&gt;35,"Да","Нет")</f>
        <v>#N/A</v>
      </c>
      <c r="FV216" s="38" t="str">
        <f>IF(Исходн.данные.!O216&gt;175,"Да","Нет")</f>
        <v>Нет</v>
      </c>
      <c r="FW216" s="39" t="str">
        <f>IF(Исходн.данные.!I216&gt;5.5,"Да","Нет")</f>
        <v>Нет</v>
      </c>
      <c r="FX216" s="39" t="str">
        <f>IF(Исходн.данные.!J216&lt;2,"Да","Нет")</f>
        <v>Да</v>
      </c>
      <c r="FY216" s="39" t="e">
        <f>IF(HF216=$FY$16,0,Исходн.данные.!K216*GO216*GS216*GW216/HF216)</f>
        <v>#N/A</v>
      </c>
      <c r="FZ216" s="39" t="e">
        <f>Исходн.данные.!M216*GS216*GZ216/HG216</f>
        <v>#N/A</v>
      </c>
      <c r="GA216" s="39" t="e">
        <f>IF(K_Wyn=$FY$16,0,IF(Исходн.данные.!N216=Исходн.данные.!$L$10,Исходн.данные.!O216/1.1*GS216*HC216/HH216,IF(Исходн.данные.!N216=Исходн.данные.!$L$12,Исходн.данные.!O216/1.5*GS216*HC216/HH216,Исходн.данные.!O216*GS216*HC216/HH216)))</f>
        <v>#N/A</v>
      </c>
      <c r="GB216" s="39" t="e">
        <f>IF(HF216=$FY$16,0,((Исходн.данные.!Q216*N_Org+Исходн.данные.!R216*N_Sider+Исходн.данные.!S216*N_Soloma)*AO216+Расчет!BC216*VLOOKUP(Исходн.данные.!T216,Справ!$A$3:$O$57,15)*AO216+BB216*VLOOKUP(Исходн.данные.!T216,Справ!$A$3:$O$57,15)*AL216+(Исходн.данные.!V216*N_Rizotorf+Исходн.данные.!W216*N_Rizoagr))/HF216)</f>
        <v>#N/A</v>
      </c>
      <c r="GC216" s="39" t="e">
        <f>IF(HG216=$FY$16,0,((Исходн.данные.!Q216*Р_Org+Исходн.данные.!R216*P_Sider+Исходн.данные.!S216*P_Soloma)*AP216+Расчет!BC216*VLOOKUP(Исходн.данные.!T216,Справ!$A$3:$P$57,16)*AP216+BB216*VLOOKUP(Исходн.данные.!T216,Справ!$A$3:$P$57,16)*AM216)/HG216)</f>
        <v>#N/A</v>
      </c>
      <c r="GD216" s="39" t="e">
        <f>IF(HH216=$FY$16,0,((Исходн.данные.!Q216*К_Org+Исходн.данные.!R216*K_Sider+Исходн.данные.!S216*K_Soloma)*AQ216+Расчет!BC216*VLOOKUP(Исходн.данные.!T216,Справ!$A$3:$Q$57,17)*AQ216+BB216*VLOOKUP(Исходн.данные.!T216,Справ!$A$3:$Q$57,17)*AN216)/HH216)</f>
        <v>#N/A</v>
      </c>
      <c r="GE216" s="39" t="e">
        <f>IF(HF216=$FY$16,0,(Исходн.данные.!X216*AR216+Исходн.данные.!AA216*N_Org*AL216+Исходн.данные.!AB216*N_Sider*AL216+Исходн.данные.!AC216*N_Soloma*AL216)/HF216)</f>
        <v>#N/A</v>
      </c>
      <c r="GF216" s="39" t="e">
        <f>IF(HG216=$FY$16,0,(Исходн.данные.!Y216*AS216+Исходн.данные.!AA216*Р_Org*AM216+Исходн.данные.!AB216*P_Sider*AM216+Исходн.данные.!AC216*P_Soloma*AM216)/HG216)</f>
        <v>#N/A</v>
      </c>
      <c r="GG216" s="39" t="e">
        <f>IF(HH216=$FY$16,0,(Исходн.данные.!Z216*AT216+Исходн.данные.!AA216*К_Org*AN216+Исходн.данные.!AB216*K_Sider*AN216+Исходн.данные.!AC216*K_Soloma*AN216)/HH216)</f>
        <v>#N/A</v>
      </c>
      <c r="GH216" s="39" t="e">
        <f>Исходн.данные.!AD216*AU216/HF216</f>
        <v>#N/A</v>
      </c>
      <c r="GI216" s="39" t="e">
        <f>Исходн.данные.!AE216*AV216/HG216</f>
        <v>#N/A</v>
      </c>
      <c r="GJ216" s="39" t="e">
        <f>Исходн.данные.!AF216*AW216/HH216</f>
        <v>#N/A</v>
      </c>
      <c r="GK216" s="55">
        <f>Исходн.данные.!AK216</f>
        <v>0</v>
      </c>
      <c r="GL216" s="11" t="e">
        <f t="shared" si="261"/>
        <v>#N/A</v>
      </c>
      <c r="GM216" s="11" t="e">
        <f t="shared" si="262"/>
        <v>#N/A</v>
      </c>
      <c r="GN216" s="11" t="e">
        <f t="shared" si="263"/>
        <v>#N/A</v>
      </c>
      <c r="GO216" s="57">
        <f t="shared" si="264"/>
        <v>19</v>
      </c>
      <c r="GP216" s="55">
        <f>IF(OR(Исходн.данные.!F216=$CE$1,Исходн.данные.!F216=$CE$2,Исходн.данные.!F216=$CE$3,Исходн.данные.!F216=$CE$4,Исходн.данные.!F216=$CE$5),GQ216,GR216)</f>
        <v>19</v>
      </c>
      <c r="GQ216" s="55">
        <f>IF(Исходн.данные.!F216=$CE$1,28,IF(Исходн.данные.!F216=$CE$2,26,IF(Исходн.данные.!F216=$CE$3,24,IF(Исходн.данные.!F216=$CE$4,22,IF(Исходн.данные.!F216=$CE$5,20,GR216)))))</f>
        <v>19</v>
      </c>
      <c r="GR216" s="55">
        <f>IF(Исходн.данные.!F216=$CE$6,18,IF(Исходн.данные.!F216=$CE$7,16,IF(Исходн.данные.!F216=$CE$8,14,IF(Исходн.данные.!F216=$CE$9,13,IF(Исходн.данные.!F216=$CE$10,12,19)))))</f>
        <v>19</v>
      </c>
      <c r="GS216" s="55">
        <f>IF(Исходн.данные.!G216="Пес",0.035*(40+2*Исходн.данные.!H216),IF(Исходн.данные.!G216="Суп",0.0325*(40+2*Исходн.данные.!H216),0.03*(40+2*Исходн.данные.!H216)))</f>
        <v>1.2</v>
      </c>
      <c r="GT216" s="55">
        <f>IF(Исходн.данные.!H216&lt;23,2.6,IF(AND(Исходн.данные.!H216&gt;22,Исходн.данные.!H216&lt;26),3,IF(AND(Исходн.данные.!H216&gt;25,Исходн.данные.!H216&lt;29),3.4,3.6)))</f>
        <v>2.6</v>
      </c>
      <c r="GU216" s="55">
        <f>IF(Исходн.данные.!H216&lt;23,2.8,IF(AND(Исходн.данные.!H216&gt;22,Исходн.данные.!H216&lt;26),3.2,IF(AND(Исходн.данные.!H216&gt;25,Исходн.данные.!H216&lt;29),3.6,3.9)))</f>
        <v>2.8</v>
      </c>
      <c r="GV216" s="55">
        <f>IF(Исходн.данные.!H216&lt;23,3,IF(AND(Исходн.данные.!H216&gt;22,Исходн.данные.!H216&lt;26),3.5,IF(AND(Исходн.данные.!H216&gt;25,Исходн.данные.!H216&lt;29),3.9,4.2)))</f>
        <v>3</v>
      </c>
      <c r="GW216" s="55" t="e">
        <f>IF(Исходн.данные.!P216="Ум",GX216,GY216)</f>
        <v>#N/A</v>
      </c>
      <c r="GX216" s="55" t="e">
        <f>VLOOKUP(Исходн.данные.!AI216,Коэффициенты!$J$7:$L$13,2,FALSE)</f>
        <v>#N/A</v>
      </c>
      <c r="GY216" s="55" t="e">
        <f>VLOOKUP(Исходн.данные.!AI216,Коэффициенты!$J$7:$L$13,3,FALSE)</f>
        <v>#N/A</v>
      </c>
      <c r="GZ216" s="55" t="e">
        <f>(IF(Исходн.данные.!M216&lt;50,0.11*VLOOKUP(Исходн.данные.!AH216,Культуры.Информация,7,FALSE),IF(Исходн.данные.!M216&gt;250,0.05*VLOOKUP(Исходн.данные.!AH216,Культуры.Информация,7,FALSE),VLOOKUP(Исходн.данные.!AH216,Культуры.Информация,5,FALSE)/100*($GX$6+$GY$6*Исходн.данные.!M216))))*Расчет2!AI216</f>
        <v>#N/A</v>
      </c>
      <c r="HA216" s="211"/>
      <c r="HB216" s="211"/>
      <c r="HC216" s="55" t="e">
        <f>(IF(Исходн.данные.!O216&lt;80,0.2*VLOOKUP(Исходн.данные.!AH216,Культуры.Информация,8,FALSE),IF(Исходн.данные.!O216&gt;240,0.09*VLOOKUP(Исходн.данные.!AH216,Культуры.Информация,8,FALSE),VLOOKUP(Исходн.данные.!AH216,Культуры.Информация,6,FALSE)/100*($HB$6+$HC$6*Исходн.данные.!O216))))*Расчет2!AJ216</f>
        <v>#N/A</v>
      </c>
      <c r="HD216" s="55">
        <f>IF(Исходн.данные.!O216&gt;240,0.09,IF(Исходн.данные.!O216&lt;30,0.3,$HE$10+$HD$10*Исходн.данные.!O216))</f>
        <v>0.3</v>
      </c>
      <c r="HE216" s="55">
        <f>IF(Исходн.данные.!O216&gt;240,0.17,IF(Исходн.данные.!O216&lt;30,0.5,$HF$12+$HE$12*Исходн.данные.!O216))</f>
        <v>0.5</v>
      </c>
      <c r="HF216" s="55" t="e">
        <f>VLOOKUP(Исходн.данные.!AH216,Справ!$A$3:$D$58,2,FALSE)</f>
        <v>#N/A</v>
      </c>
      <c r="HG216" s="55" t="e">
        <f>VLOOKUP(Исходн.данные.!AH216,Справ!$A$3:$D$58,3,FALSE)</f>
        <v>#N/A</v>
      </c>
      <c r="HH216" s="55" t="e">
        <f>VLOOKUP(Исходн.данные.!AH216,Справ!$A$3:$D$58,4,FALSE)</f>
        <v>#N/A</v>
      </c>
      <c r="HI216" s="11" t="e">
        <f t="shared" si="265"/>
        <v>#N/A</v>
      </c>
      <c r="HJ216" s="11" t="e">
        <f t="shared" si="266"/>
        <v>#N/A</v>
      </c>
      <c r="HK216" s="11" t="e">
        <f t="shared" si="267"/>
        <v>#N/A</v>
      </c>
      <c r="HL216" s="55">
        <f>IF(OR(Исходн.данные.!G216="Глин",Исходн.данные.!G216="Т_суг"),1.1,IF(Исходн.данные.!G216="Ср_суг",1,1))</f>
        <v>1</v>
      </c>
      <c r="HM216" s="55">
        <f>IF(OR(Исходн.данные.!G216="Глин",Исходн.данные.!G216="Т_суг"),0.9,IF(Исходн.данные.!G216="Ср_суг",1,1.2))</f>
        <v>1.2</v>
      </c>
      <c r="HN216" s="11" t="e">
        <f t="shared" si="268"/>
        <v>#N/A</v>
      </c>
      <c r="HO216" s="11" t="e">
        <f t="shared" si="269"/>
        <v>#N/A</v>
      </c>
      <c r="HP216" s="11" t="e">
        <f t="shared" si="270"/>
        <v>#N/A</v>
      </c>
      <c r="HQ216" t="e">
        <f t="shared" si="271"/>
        <v>#N/A</v>
      </c>
      <c r="HR216" t="e">
        <f t="shared" si="272"/>
        <v>#N/A</v>
      </c>
      <c r="HS216" t="e">
        <f t="shared" si="273"/>
        <v>#N/A</v>
      </c>
      <c r="HT216" t="e">
        <f t="shared" si="293"/>
        <v>#N/A</v>
      </c>
      <c r="HU216" t="e">
        <f t="shared" si="294"/>
        <v>#N/A</v>
      </c>
      <c r="HV216" t="e">
        <f t="shared" si="295"/>
        <v>#N/A</v>
      </c>
      <c r="HW216" t="e">
        <f t="shared" si="296"/>
        <v>#N/A</v>
      </c>
      <c r="HX216" t="e">
        <f t="shared" si="297"/>
        <v>#N/A</v>
      </c>
      <c r="HY216" t="e">
        <f t="shared" si="298"/>
        <v>#N/A</v>
      </c>
      <c r="HZ216" s="55">
        <f>IF(OR(Исходн.данные.!AI216="Оз_Ч_П",Исходн.данные.!AI216="Оз_З_П",Исходн.данные.!AI216="Яр_зер"),12,30)</f>
        <v>30</v>
      </c>
      <c r="IA216" t="e">
        <f t="shared" si="274"/>
        <v>#N/A</v>
      </c>
      <c r="IB216" t="e">
        <f t="shared" si="275"/>
        <v>#N/A</v>
      </c>
      <c r="IC216" t="e">
        <f t="shared" si="276"/>
        <v>#N/A</v>
      </c>
      <c r="ID216" s="11" t="e">
        <f t="shared" si="277"/>
        <v>#N/A</v>
      </c>
      <c r="IE216" s="11" t="e">
        <f t="shared" si="278"/>
        <v>#N/A</v>
      </c>
      <c r="IF216" s="11" t="e">
        <f t="shared" si="279"/>
        <v>#N/A</v>
      </c>
    </row>
    <row r="217" spans="35:240" x14ac:dyDescent="0.2">
      <c r="AI217">
        <f>IF(Исходн.данные.!I217&gt;6,1,1.85-(0.148*Исходн.данные.!I217))</f>
        <v>1.85</v>
      </c>
      <c r="AJ217">
        <f>IF(Исходн.данные.!I217&gt;6,1,2.434-(0.246*Исходн.данные.!I217))</f>
        <v>2.4340000000000002</v>
      </c>
      <c r="AL217" s="148" t="b">
        <f>IF(Исходн.данные.!$P217="Ум",N_OrgUd_2g_um,IF(Исходн.данные.!$P217="Об",N_OrgUd_2g_ob))</f>
        <v>0</v>
      </c>
      <c r="AM217" s="148" t="b">
        <f>IF(Исходн.данные.!$P217="Ум",P_OrgUd_2g_um,IF(Исходн.данные.!$P217="Об",P_OrgUd_2g_ob))</f>
        <v>0</v>
      </c>
      <c r="AN217" s="148" t="b">
        <f>IF(Исходн.данные.!$P217="Ум",K_OrgUd_2g_um,IF(Исходн.данные.!$P217="Об",K_OrgUd_2g_ob))</f>
        <v>0</v>
      </c>
      <c r="AO217" s="148" t="b">
        <f>IF(Исходн.данные.!$P217="Ум",N_OrgUd_1g_um,IF(Исходн.данные.!$P217="Об",N_OrgUd_1g_ob))</f>
        <v>0</v>
      </c>
      <c r="AP217" s="148" t="b">
        <f>IF(Исходн.данные.!$P217="Ум",P_OrgUd_1g_um,IF(Исходн.данные.!$P217="Об",P_OrgUd_1g_ob))</f>
        <v>0</v>
      </c>
      <c r="AQ217" s="148" t="b">
        <f>IF(Исходн.данные.!$P217="Ум",K_OrgUd_1g_um,IF(Исходн.данные.!$P217="Об",K_OrgUd_1g_ob))</f>
        <v>0</v>
      </c>
      <c r="AR217" t="b">
        <f>IF(Исходн.данные.!$P217="Ум",N_MinUd_2g_um,IF(Исходн.данные.!$P217="Об",N_MinUd_2g_ob))</f>
        <v>0</v>
      </c>
      <c r="AS217" t="b">
        <f>IF(Исходн.данные.!$P217="Ум",P_MinUd_2g_um,IF(Исходн.данные.!$P217="Об",P_MinUd_2g_ob))</f>
        <v>0</v>
      </c>
      <c r="AT217" t="b">
        <f>IF(Исходн.данные.!$P217="Ум",K_MinUd_2g_um,IF(Исходн.данные.!$P217="Об",K_MinUd_2g_ob))</f>
        <v>0</v>
      </c>
      <c r="AU217" t="b">
        <f>IF(Исходн.данные.!$P217="Ум",N_MinUd_1g_um,IF(Исходн.данные.!$P217="Об",N_MinUd_1g_ob))</f>
        <v>0</v>
      </c>
      <c r="AV217" t="b">
        <f>IF(Исходн.данные.!P217="Ум",P_MinUd_1g_um,IF(Исходн.данные.!P217="Об",P_MinUd_1g_ob))</f>
        <v>0</v>
      </c>
      <c r="AW217" t="b">
        <f>IF(Исходн.данные.!P217="Ум",K_MinUd_1g_um,IF(Исходн.данные.!P217="Об",K_MinUd_1g_ob))</f>
        <v>0</v>
      </c>
      <c r="AY217" t="e">
        <f>VLOOKUP(Исходн.данные.!T217,Справ!$A$3:$N$57,12)</f>
        <v>#N/A</v>
      </c>
      <c r="AZ217" t="e">
        <f>VLOOKUP(Исходн.данные.!T217,Справ!$A$3:$N$57,13)</f>
        <v>#N/A</v>
      </c>
      <c r="BA217" t="e">
        <f>VLOOKUP(Исходн.данные.!T217,Справ!$A$3:$N$57,14)</f>
        <v>#N/A</v>
      </c>
      <c r="BB217">
        <f>IF(Исходн.данные.!AH217=0,0,25)</f>
        <v>0</v>
      </c>
      <c r="BC217" s="141">
        <f>IF(Исходн.данные.!AH217=0,0,IF(Исходн.данные.!T217=0,25,BD217))</f>
        <v>0</v>
      </c>
      <c r="BD217" s="168" t="e">
        <f>AY217+AZ217*Исходн.данные.!U217-POWER(BA217,2)*Исходн.данные.!U217</f>
        <v>#N/A</v>
      </c>
      <c r="BE21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7" s="25">
        <f>IF(Исходн.данные.!AH217=0,0,MIN(HN217:HP217))</f>
        <v>0</v>
      </c>
      <c r="BG217" s="9">
        <f>IF(Исходн.данные.!AH217=0,0,IF((HO217+10*0.25/HG217/HL217)&lt;17,17,HO217+10*0.25/HG217/HL217))</f>
        <v>0</v>
      </c>
      <c r="BH217" s="181">
        <f>IF(Исходн.данные.!AH217=0,0,HW217*HF217*HL217/AU217*AI217+Исходн.данные.!S217*10)</f>
        <v>0</v>
      </c>
      <c r="BI217" s="10"/>
      <c r="BJ217" s="182">
        <f>IF(Исходн.данные.!AH217=0,0,IF(HX217*HG217*HL217/AV217&lt;0,0,HX217*HG217*HL217/AV217*AJ217))</f>
        <v>0</v>
      </c>
      <c r="BK217" s="182">
        <f>IF(Исходн.данные.!AH217=0,0,HY217*HH217*HM217/AW217)</f>
        <v>0</v>
      </c>
      <c r="BL217" s="10">
        <f>IF(OR(Исходн.данные.!$AH217=$BP$1,Исходн.данные.!$AH217=$BP$2),0,IF(BH217&lt;0,0,IF(OR(Исходн.данные.!T217=Расчет!$BP$1,Исходн.данные.!T217=Расчет!$BP$2,Исходн.данные.!T217=Расчет!$BT$5,Исходн.данные.!T217=Расчет!$BT$6),BH217*0.5,IF(OR(Исходн.данные.!T217=Расчет!$BS$9,Исходн.данные.!T217=Расчет!$BS$10,Исходн.данные.!T217=Расчет!$BS$11,Исходн.данные.!T217=Расчет!$BS$12,Исходн.данные.!T217=Расчет!$BP$5),BH217*0.8,BH217))))</f>
        <v>0</v>
      </c>
      <c r="BM217" s="10">
        <f>IF(OR(Исходн.данные.!$AH217=$BP$1,Исходн.данные.!$AH217=$BP$2),0,IF(BJ217&lt;0,0,IF(Исходн.данные.!I217&lt;4.5,BJ217*1.2,IF(Исходн.данные.!I217&gt;5.1,BJ217,BJ217*((5.1-Исходн.данные.!I217)*0.333+1)))))</f>
        <v>0</v>
      </c>
      <c r="BN217" s="10">
        <f>IF(OR(Исходн.данные.!$AH217=$BP$1,Исходн.данные.!$AH217=$BP$2),60-Исходн.данные.!AF217,IF(BK217&lt;0,0,IF(Исходн.данные.!I217&lt;4.5,BK217*1.2,IF(Исходн.данные.!I217&gt;5.1,BK217,BK217*((5.1-Исходн.данные.!I217)*0.333+1)))))</f>
        <v>0</v>
      </c>
      <c r="BO217" s="9">
        <f>IF(BL217&lt;0,0,BL217*Исходн.данные.!$AJ217/1000)</f>
        <v>0</v>
      </c>
      <c r="BP217" s="9">
        <f>IF(BM217&lt;0,0,BM217*Исходн.данные.!$AJ217/1000)</f>
        <v>0</v>
      </c>
      <c r="BQ217" s="9">
        <f>IF(BN217&lt;0,0,BN217*Исходн.данные.!$AJ217/1000)</f>
        <v>0</v>
      </c>
      <c r="BR217" s="9">
        <f t="shared" si="229"/>
        <v>0</v>
      </c>
      <c r="BS217" s="10" t="str">
        <f t="shared" si="230"/>
        <v>Аммофос 12:52:00</v>
      </c>
      <c r="BT217" s="10" t="str">
        <f t="shared" si="231"/>
        <v>Аммофос 12:52:00</v>
      </c>
      <c r="BU217" s="10" t="str">
        <f t="shared" si="232"/>
        <v>Диаммофоска</v>
      </c>
      <c r="BV217" s="10">
        <f t="shared" si="233"/>
        <v>0</v>
      </c>
      <c r="BW217" s="10"/>
      <c r="BX217" s="10"/>
      <c r="BY217" s="9">
        <f>IF(BL217&lt;0,0,IF(OR(Исходн.данные.!AI217=Расчет!$BU$6,Исходн.данные.!AI217=Расчет!$BU$7),Расчет!BV217,IF(Исходн.данные.!$AG217=$BV$11,BL217,IF(OR(Исходн.данные.!$AH217=$BQ$7,Исходн.данные.!$AH217=$BQ$8),CB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0,IF(Исходн.данные.!$AI217=$BU$11,"Нет",IF(BL217&gt;30,30,BL217)))))))</f>
        <v>0</v>
      </c>
      <c r="BZ217" s="9">
        <f>IF(AND(Исходн.данные.!$AG217=$BV$11,BM217&lt;10),10,IF(Исходн.данные.!$AG217=$BV$11,BM217,IF(OR(Исходн.данные.!$AH217=$BQ$7,Исходн.данные.!$AH217=$BQ$8),CC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10,IF(Исходн.данные.!$AI217=$BU$11,"Нет",IF(BM217&gt;60,60,IF(BM217&lt;10,10,BM217)))))))</f>
        <v>10</v>
      </c>
      <c r="CA217" s="39">
        <f>IF(BN217&lt;0,0,IF(Исходн.данные.!$AG217=$BV$11,BN217,IF(OR(Исходн.данные.!$AH217=$BQ$7,Исходн.данные.!$AH217=$BQ$8),CD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0,IF(Исходн.данные.!$AI217=$BU$11,"Нет",IF(BN217&gt;30,30,BN217))))))</f>
        <v>0</v>
      </c>
      <c r="CB217" s="9">
        <f t="shared" si="234"/>
        <v>0</v>
      </c>
      <c r="CC217" s="9">
        <f t="shared" si="235"/>
        <v>0</v>
      </c>
      <c r="CD217" s="9">
        <f t="shared" si="236"/>
        <v>0</v>
      </c>
      <c r="CE217" s="12">
        <f t="shared" si="237"/>
        <v>10</v>
      </c>
      <c r="CF217" s="9">
        <f t="shared" si="238"/>
        <v>0</v>
      </c>
      <c r="CG217" s="9" t="s">
        <v>231</v>
      </c>
      <c r="CH217" s="132" t="str">
        <f>IF(Исходн.данные.!AP217=Расчет!$CI$16,"Нет",IF(Исходн.данные.!AL217&gt;0,Исходн.данные.!AL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BH$4,IF(OR(Исходн.данные.!AI217=Исходн.данные.!$AI$6,Исходн.данные.!AI217=Исходн.данные.!$AI$7),Расчет!BS217,IF(AND($CF217=0,$CE217&gt;0),EV217,ER217)))))</f>
        <v>Аммофос 12:52:00</v>
      </c>
      <c r="CI217" s="274">
        <f>IF(Расчет!$CH217="Нет","Нет",IF(Исходн.данные.!$AL217&gt;0,VLOOKUP(Расчет!$CH217,АшламаДВ_Irekle,2,FALSE),VLOOKUP(Расчет!$CH217,АшламаДВ_Gomumy,2,FALSE)))</f>
        <v>0.12</v>
      </c>
      <c r="CJ217" s="274">
        <f>IF(Расчет!$CH217="Нет","Нет",IF(Исходн.данные.!$AL217&gt;0,VLOOKUP(Расчет!$CH217,АшламаДВ_Irekle,3,FALSE),VLOOKUP(Расчет!$CH217,АшламаДВ_Gomumy,3,FALSE)))</f>
        <v>0.52</v>
      </c>
      <c r="CK217" s="274">
        <f>IF(Расчет!$CH217="Нет","Нет",IF(Исходн.данные.!$AL217&gt;0,VLOOKUP(Расчет!$CH217,АшламаДВ_Irekle,4,FALSE),VLOOKUP(Расчет!$CH217,АшламаДВ_Gomumy,4,FALSE)))</f>
        <v>0</v>
      </c>
      <c r="CL217" s="70"/>
      <c r="CM217" s="70"/>
      <c r="CN217" s="70"/>
      <c r="CO217" s="70"/>
      <c r="CP217" s="70"/>
      <c r="CQ217" s="70"/>
      <c r="CR217" s="10">
        <f t="shared" si="239"/>
        <v>0</v>
      </c>
      <c r="CS217" s="10">
        <f t="shared" si="240"/>
        <v>19.23076923076923</v>
      </c>
      <c r="CT217" s="10">
        <f t="shared" si="241"/>
        <v>0</v>
      </c>
      <c r="CU217" s="39">
        <f>IF($CH217="Нет",0,IF(CI217=0,30/MIN(CJ217:CK217),IF(Исходн.данные.!$AG217=$BV$11,CR217,IF(OR(Исходн.данные.!$AH217=$BQ$7,Исходн.данные.!$AH217=$BQ$8),90/CI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0,IF(Исходн.данные.!$AI217=$BU$11,"Нет",30/CI217))))))</f>
        <v>250</v>
      </c>
      <c r="CV217" s="39">
        <f>IF($CH217="Нет",0,IF(Исходн.данные.!AH217=0,0,IF(CJ217=0,60/MIN(CI217,CK217),IF(Исходн.данные.!$AG217=$BV$11,CS217,IF(OR(Исходн.данные.!$AH217=$BQ$7,Исходн.данные.!$AH217=$BQ$8),90/CJ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10/CJ217,IF(Исходн.данные.!$AI217=$BU$11,"Нет",60/CJ217)))))))</f>
        <v>0</v>
      </c>
      <c r="CW217" s="39">
        <f>IF($CH217="Нет",0,IF(Исходн.данные.!AH217=0,0,IF(CK217=0,30/MIN(CI217:CJ217),IF(Исходн.данные.!$AG217=$BV$11,CT217,IF(OR(Исходн.данные.!$AH217=$BQ$7,Исходн.данные.!$AH217=$BQ$8),90/CK217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0,IF(Исходн.данные.!$AI217=$BU$11,"Нет",30/CK217)))))))</f>
        <v>0</v>
      </c>
      <c r="CX217" s="133">
        <f>IF(Исходн.данные.!$AG217=$BV$11,MAX(CU217:CW217),IF(OR(Исходн.данные.!$AH217=$BS$8,Исходн.данные.!$AH217=$BQ$9,Исходн.данные.!$AH217=$BQ$10,Исходн.данные.!$AH217=$BQ$11,Исходн.данные.!$AH217=$BQ$12,Исходн.данные.!$AH217=$BP$3,Исходн.данные.!$AH217=$BT$8,$FM217="Да"),CV217,MIN(CU217:CW217)))</f>
        <v>0</v>
      </c>
      <c r="CY217" s="133">
        <f>IF(Исходн.данные.!AH217=0,0,IF(CR217&gt;$CX217,$CX217,CR217))</f>
        <v>0</v>
      </c>
      <c r="CZ217" s="133">
        <f>IF(Исходн.данные.!AH217=0,0,IF(CS217&gt;$CX217,$CX217,CS217))</f>
        <v>0</v>
      </c>
      <c r="DA217" s="133">
        <f>IF(Исходн.данные.!AH217=0,0,IF(CT217&gt;$CX217,$CX217,CT217))</f>
        <v>0</v>
      </c>
      <c r="DB217" s="10">
        <f t="shared" si="242"/>
        <v>0</v>
      </c>
      <c r="DC217" s="39">
        <f>DB217*Исходн.данные.!AJ217/1000</f>
        <v>0</v>
      </c>
      <c r="DD217" s="71">
        <f t="shared" si="243"/>
        <v>0</v>
      </c>
      <c r="DE217" s="9">
        <f t="shared" si="244"/>
        <v>0</v>
      </c>
      <c r="DF217" s="9">
        <f t="shared" si="245"/>
        <v>0</v>
      </c>
      <c r="DG217" s="39">
        <f>IF(BL217&lt;0,0,IF($CH217="Нет",BL217,IF(OR(Исходн.данные.!$AH217=$BP$1,Исходн.данные.!$AH217=$BP$2),0,IF(Исходн.данные.!AI217=$BU$11,BL217,IF(BL217-DD217&lt;0,0,BL217-DD217)))))</f>
        <v>0</v>
      </c>
      <c r="DH217" s="39">
        <f>IF(BM217&lt;0,0,IF($CH217="Нет",BM217,IF(OR(Исходн.данные.!$AH217=$BP$1,Исходн.данные.!$AH217=$BP$2),0,IF(Исходн.данные.!AJ217=$BU$11,BM217,IF(BM217-DE217&lt;0,0,BM217-DE217)))))</f>
        <v>0</v>
      </c>
      <c r="DI217" s="39">
        <f>IF(BN217&lt;0,0,IF($CH217="Нет",BN217,IF(OR(Исходн.данные.!$AH217=$BP$1,Исходн.данные.!$AH217=$BP$2),0,IF(Исходн.данные.!AK217=$BU$11,BN217,IF(BN217-DF217&lt;0,0,BN217-DF217)))))</f>
        <v>0</v>
      </c>
      <c r="DJ217" s="12">
        <f t="shared" si="246"/>
        <v>0</v>
      </c>
      <c r="DK217" s="9">
        <f t="shared" si="247"/>
        <v>0</v>
      </c>
      <c r="DL217" s="39">
        <f>IF(Исходн.данные.!AM217&gt;0,Исходн.данные.!AM217,IF(EG217&gt;0,$BH$10,0))</f>
        <v>0</v>
      </c>
      <c r="DM217" s="186">
        <f>IF($DL217=0,0,IF(Исходн.данные.!AM217&gt;0,VLOOKUP($DL217,АшламаДВ_Irekle,2,FALSE),VLOOKUP($DL217,АшламаДВ_Gomumy,2,FALSE)))</f>
        <v>0</v>
      </c>
      <c r="DN217" s="10">
        <f t="shared" si="299"/>
        <v>0</v>
      </c>
      <c r="DO217" s="9" t="str">
        <f>IF(Исходн.данные.!AN217&gt;0,Исходн.данные.!AN217,Удобрения!$B$37 )</f>
        <v>Хлор.калий</v>
      </c>
      <c r="DP217" s="9">
        <f>IF(Исходн.данные.!AN217&gt;0,VLOOKUP(Исходн.данные.!AN217,АшламаДВ_Irekle,4,FALSE),VLOOKUP(DO217,АшламаДВ_Gomumy,4,FALSE))</f>
        <v>0.6</v>
      </c>
      <c r="DQ217" s="10">
        <f t="shared" si="300"/>
        <v>0</v>
      </c>
      <c r="DR217" s="132" t="str">
        <f>IF(Исходн.данные.!AO217&gt;0,Исходн.данные.!AO217,IF(DH217=0,BS$17,IF(AND($DK217=0,$DJ217&gt;0),EJ217,EN217)))</f>
        <v>Нет</v>
      </c>
      <c r="DS217" s="70" t="str">
        <f>IF($DR217="Нет","Нет",IF(Исходн.данные.!$AO217&gt;0,VLOOKUP($DR217,АшламаДВ_Irekle,2,FALSE),VLOOKUP($DR217,АшламаДВ_Gomumy,2,FALSE)))</f>
        <v>Нет</v>
      </c>
      <c r="DT217" s="70" t="str">
        <f>IF($DR217="Нет","Нет",IF(Исходн.данные.!$AO217&gt;0,VLOOKUP($DR217,АшламаДВ_Irekle,3,FALSE),VLOOKUP($DR217,АшламаДВ_Gomumy,3,FALSE)))</f>
        <v>Нет</v>
      </c>
      <c r="DU217" s="70" t="str">
        <f>IF($DR217="Нет","Нет",IF(Исходн.данные.!$AO217&gt;0,VLOOKUP($DR217,АшламаДВ_Irekle,4,FALSE),VLOOKUP($DR217,АшламаДВ_Gomumy,4,FALSE)))</f>
        <v>Нет</v>
      </c>
      <c r="DV217" s="70"/>
      <c r="DW217" s="70"/>
      <c r="DX217" s="70"/>
      <c r="DY217" s="10">
        <f t="shared" si="248"/>
        <v>0</v>
      </c>
      <c r="DZ217" s="10">
        <f t="shared" si="249"/>
        <v>0</v>
      </c>
      <c r="EA217" s="10">
        <f t="shared" si="250"/>
        <v>0</v>
      </c>
      <c r="EB217" s="10">
        <f t="shared" si="251"/>
        <v>0</v>
      </c>
      <c r="EC217" s="10">
        <f t="shared" si="252"/>
        <v>0</v>
      </c>
      <c r="ED217" s="10">
        <f t="shared" si="253"/>
        <v>0</v>
      </c>
      <c r="EE217" s="10">
        <f t="shared" si="254"/>
        <v>0</v>
      </c>
      <c r="EF217" s="39">
        <f>EB217*Исходн.данные.!AJ217/1000</f>
        <v>0</v>
      </c>
      <c r="EG217" s="9">
        <f t="shared" si="255"/>
        <v>0</v>
      </c>
      <c r="EH217" s="9">
        <f t="shared" si="256"/>
        <v>0</v>
      </c>
      <c r="EI217" s="39" t="e">
        <f t="shared" si="280"/>
        <v>#DIV/0!</v>
      </c>
      <c r="EJ217" s="9" t="str">
        <f t="shared" si="301"/>
        <v>Азопреципитат</v>
      </c>
      <c r="EK217" s="12">
        <f t="shared" si="281"/>
        <v>0.26</v>
      </c>
      <c r="EL217" s="12">
        <f t="shared" si="282"/>
        <v>0.13</v>
      </c>
      <c r="EM217" s="12">
        <f t="shared" si="283"/>
        <v>0</v>
      </c>
      <c r="EN217" s="12" t="str">
        <f t="shared" si="302"/>
        <v>Нет</v>
      </c>
      <c r="EO217" s="12">
        <f t="shared" si="284"/>
        <v>0</v>
      </c>
      <c r="EP217" s="12">
        <f t="shared" si="285"/>
        <v>0</v>
      </c>
      <c r="EQ217" s="12">
        <f t="shared" si="286"/>
        <v>0</v>
      </c>
      <c r="ER217" s="12" t="str">
        <f t="shared" si="257"/>
        <v>Диаммофоска</v>
      </c>
      <c r="ES217" s="12">
        <f t="shared" si="287"/>
        <v>0.1</v>
      </c>
      <c r="ET217" s="12">
        <f t="shared" si="288"/>
        <v>0.26</v>
      </c>
      <c r="EU217" s="12">
        <f t="shared" si="289"/>
        <v>0.26</v>
      </c>
      <c r="EV217" s="12" t="str">
        <f t="shared" si="258"/>
        <v>Аммофос 12:52:00</v>
      </c>
      <c r="EW217" s="12" t="str">
        <f t="shared" si="259"/>
        <v>Кемира Свекловичное-6</v>
      </c>
      <c r="EX217" s="12">
        <f t="shared" si="290"/>
        <v>0.16</v>
      </c>
      <c r="EY217" s="12">
        <f t="shared" si="291"/>
        <v>0.12</v>
      </c>
      <c r="EZ217" s="12">
        <f t="shared" si="292"/>
        <v>0.17</v>
      </c>
      <c r="FA217" s="38" t="e">
        <f>IF(AND(OR(FJ217=$FD$1,FM217=$FD$1,FO217=$FD$1,FQ217=$FD$1,FS217=$FD$1),FD217=$FD$1,Исходн.данные.!J217&lt;2,FU217=$FD$1),"Бор,Кобальт",IF(AND(FO217=$FD$1,FH217=$FD$1,Исходн.данные.!J217&lt;2,FU217=$FD$1),"Бор,Кобальт",IF(AND(OR(FJ217=$FD$1,FM217=$FD$1,FQ217=$FD$1),FE217=$FD$1,Исходн.данные.!J217&lt;2,FT217=$FD$1,FU217=$FD$1),"Бор,Медь,Цинк",IF(AND(OR(FJ217=$FD$1,FR217="Да"),FI217="Да",Исходн.данные.!J217&lt;2,FT217="Да",FU217="Да"),"Бор,Цинк,Медь",IF(AND(OR(FM217="Да",FQ217="Да"),FI217="Да",Исходн.данные.!J217&lt;2,FT217="Да",FU217="Да"),"Бор,Цинк",IF(AND(FN217="Да",OR(FD217="Да",FE217="Да")),"Бор",FB217))))))</f>
        <v>#N/A</v>
      </c>
      <c r="FB217" s="134" t="e">
        <f>IF(AND(OR(FD217="Да",FE217="Да",FF217="Да",FG217="Да",FH217="Да"),FO217="Да"),"Бор",IF(AND(FP217="Да",OR(FD217="Да",FE217="Да",FI217="Да")),"Бор",IF(AND(FS217="Да",FE217="Да"),"Бор,Медь",IF(AND(OR(FJ217="Да",FK217="Да",FL217="Да"),FE217="Да",Исходн.данные.!I217&lt;5,FT217="Да",FU217="Да"),"Молибден,Цинк",IF(AND(FM217="Да",OR(FE217="Да",FF217="Да",FG217="Да",FH217="Да",FI217="Да")),"Молибден,Цинк",IF(AND(OR(FJ217="Да",FK217="Да",FL217="Да",FM217="Да",FQ217="Да"),OR(FE217="Да",FF217="Да"),FT217="Да",FU217="Да",Исходн.данные.!I217&gt;5.5),"Медь,Цинк",FC217))))))</f>
        <v>#N/A</v>
      </c>
      <c r="FC217" s="23" t="e">
        <f t="shared" si="260"/>
        <v>#N/A</v>
      </c>
      <c r="FD217" s="38" t="str">
        <f>IF(OR(Исходн.данные.!F217=$CC$1,Исходн.данные.!F217=$CC$2,Исходн.данные.!F217=$CC$3,Исходн.данные.!F217=$CC$4),"Да","Нет")</f>
        <v>Нет</v>
      </c>
      <c r="FE217" s="38" t="str">
        <f>IF(Исходн.данные.!F217=$CC$5,"Да","Нет")</f>
        <v>Нет</v>
      </c>
      <c r="FF217" s="38" t="str">
        <f>IF(OR(Исходн.данные.!F217=$CC$6,Исходн.данные.!F217=$CC$7),"Да","Нет")</f>
        <v>Нет</v>
      </c>
      <c r="FG217" s="38" t="str">
        <f>IF(OR(Исходн.данные.!F217=$CC$8,Исходн.данные.!F217=$CC$9),"Да","Нет")</f>
        <v>Нет</v>
      </c>
      <c r="FH217" s="38" t="str">
        <f>IF(Исходн.данные.!F217=$CC$10,"Да","Нет")</f>
        <v>Нет</v>
      </c>
      <c r="FI217" s="38" t="str">
        <f>IF(OR(Исходн.данные.!F217=$CC$11,Исходн.данные.!F217=$CC$12),"Да","Нет")</f>
        <v>Нет</v>
      </c>
      <c r="FJ217" s="38" t="str">
        <f>IF(OR(Исходн.данные.!AH217=$BS$1,Исходн.данные.!AH217=$BQ$11,Исходн.данные.!AH217=$BQ$12),"Да","Нет")</f>
        <v>Нет</v>
      </c>
      <c r="FK217" s="38" t="str">
        <f>IF(OR(Исходн.данные.!AH217=$BS$2,Исходн.данные.!AH217=$BS$4),"Да","Нет")</f>
        <v>Нет</v>
      </c>
      <c r="FL217" s="38" t="str">
        <f>IF(OR(Исходн.данные.!AH217=$BS$3,Исходн.данные.!AH217=$BS$5),"Да","Нет")</f>
        <v>Нет</v>
      </c>
      <c r="FM217" s="38" t="str">
        <f>IF(OR(Исходн.данные.!AH217=$BS$9,Исходн.данные.!AH217=$BS$10,Исходн.данные.!AH217=$BS$11,Исходн.данные.!AH217=$BS$12),"Да","Нет")</f>
        <v>Нет</v>
      </c>
      <c r="FN217" s="38" t="str">
        <f>IF(OR(Исходн.данные.!AH217=$BS$6,Исходн.данные.!AH217=$BP$3),"Да","Нет")</f>
        <v>Нет</v>
      </c>
      <c r="FO217" s="38" t="str">
        <f>IF(Исходн.данные.!AH217=$BQ$9,"Да","Нет")</f>
        <v>Нет</v>
      </c>
      <c r="FP217" s="38" t="str">
        <f>IF(OR(Исходн.данные.!AH217=$BS$8,Исходн.данные.!AH217=$BT$8),"Да","Нет")</f>
        <v>Нет</v>
      </c>
      <c r="FQ217" s="38" t="str">
        <f>IF(OR(Исходн.данные.!AH217=$BQ$7,Исходн.данные.!AH217=$BQ$8),"Да","Нет")</f>
        <v>Нет</v>
      </c>
      <c r="FR217" s="38" t="str">
        <f>IF(Исходн.данные.!AI217=$BU$9,"Да","Нет")</f>
        <v>Нет</v>
      </c>
      <c r="FS217" s="38" t="str">
        <f>IF(OR(Исходн.данные.!AH217=$BP$1,Исходн.данные.!AH217=$BP$2),"Да","Нет")</f>
        <v>Нет</v>
      </c>
      <c r="FT217" s="38" t="e">
        <f>IF((Исходн.данные.!K217*GO217*GS217*GW217+BL217*0.6+Исходн.данные.!Q217*4.5*0.275)&gt;90,"Да","Нет")</f>
        <v>#N/A</v>
      </c>
      <c r="FU217" s="38" t="e">
        <f>IF((Исходн.данные.!M217*GS217*GZ217+BM217*0.225)&gt;35,"Да","Нет")</f>
        <v>#N/A</v>
      </c>
      <c r="FV217" s="38" t="str">
        <f>IF(Исходн.данные.!O217&gt;175,"Да","Нет")</f>
        <v>Нет</v>
      </c>
      <c r="FW217" s="39" t="str">
        <f>IF(Исходн.данные.!I217&gt;5.5,"Да","Нет")</f>
        <v>Нет</v>
      </c>
      <c r="FX217" s="39" t="str">
        <f>IF(Исходн.данные.!J217&lt;2,"Да","Нет")</f>
        <v>Да</v>
      </c>
      <c r="FY217" s="39" t="e">
        <f>IF(HF217=$FY$16,0,Исходн.данные.!K217*GO217*GS217*GW217/HF217)</f>
        <v>#N/A</v>
      </c>
      <c r="FZ217" s="39" t="e">
        <f>Исходн.данные.!M217*GS217*GZ217/HG217</f>
        <v>#N/A</v>
      </c>
      <c r="GA217" s="39" t="e">
        <f>IF(K_Wyn=$FY$16,0,IF(Исходн.данные.!N217=Исходн.данные.!$L$10,Исходн.данные.!O217/1.1*GS217*HC217/HH217,IF(Исходн.данные.!N217=Исходн.данные.!$L$12,Исходн.данные.!O217/1.5*GS217*HC217/HH217,Исходн.данные.!O217*GS217*HC217/HH217)))</f>
        <v>#N/A</v>
      </c>
      <c r="GB217" s="39" t="e">
        <f>IF(HF217=$FY$16,0,((Исходн.данные.!Q217*N_Org+Исходн.данные.!R217*N_Sider+Исходн.данные.!S217*N_Soloma)*AO217+Расчет!BC217*VLOOKUP(Исходн.данные.!T217,Справ!$A$3:$O$57,15)*AO217+BB217*VLOOKUP(Исходн.данные.!T217,Справ!$A$3:$O$57,15)*AL217+(Исходн.данные.!V217*N_Rizotorf+Исходн.данные.!W217*N_Rizoagr))/HF217)</f>
        <v>#N/A</v>
      </c>
      <c r="GC217" s="39" t="e">
        <f>IF(HG217=$FY$16,0,((Исходн.данные.!Q217*Р_Org+Исходн.данные.!R217*P_Sider+Исходн.данные.!S217*P_Soloma)*AP217+Расчет!BC217*VLOOKUP(Исходн.данные.!T217,Справ!$A$3:$P$57,16)*AP217+BB217*VLOOKUP(Исходн.данные.!T217,Справ!$A$3:$P$57,16)*AM217)/HG217)</f>
        <v>#N/A</v>
      </c>
      <c r="GD217" s="39" t="e">
        <f>IF(HH217=$FY$16,0,((Исходн.данные.!Q217*К_Org+Исходн.данные.!R217*K_Sider+Исходн.данные.!S217*K_Soloma)*AQ217+Расчет!BC217*VLOOKUP(Исходн.данные.!T217,Справ!$A$3:$Q$57,17)*AQ217+BB217*VLOOKUP(Исходн.данные.!T217,Справ!$A$3:$Q$57,17)*AN217)/HH217)</f>
        <v>#N/A</v>
      </c>
      <c r="GE217" s="39" t="e">
        <f>IF(HF217=$FY$16,0,(Исходн.данные.!X217*AR217+Исходн.данные.!AA217*N_Org*AL217+Исходн.данные.!AB217*N_Sider*AL217+Исходн.данные.!AC217*N_Soloma*AL217)/HF217)</f>
        <v>#N/A</v>
      </c>
      <c r="GF217" s="39" t="e">
        <f>IF(HG217=$FY$16,0,(Исходн.данные.!Y217*AS217+Исходн.данные.!AA217*Р_Org*AM217+Исходн.данные.!AB217*P_Sider*AM217+Исходн.данные.!AC217*P_Soloma*AM217)/HG217)</f>
        <v>#N/A</v>
      </c>
      <c r="GG217" s="39" t="e">
        <f>IF(HH217=$FY$16,0,(Исходн.данные.!Z217*AT217+Исходн.данные.!AA217*К_Org*AN217+Исходн.данные.!AB217*K_Sider*AN217+Исходн.данные.!AC217*K_Soloma*AN217)/HH217)</f>
        <v>#N/A</v>
      </c>
      <c r="GH217" s="39" t="e">
        <f>Исходн.данные.!AD217*AU217/HF217</f>
        <v>#N/A</v>
      </c>
      <c r="GI217" s="39" t="e">
        <f>Исходн.данные.!AE217*AV217/HG217</f>
        <v>#N/A</v>
      </c>
      <c r="GJ217" s="39" t="e">
        <f>Исходн.данные.!AF217*AW217/HH217</f>
        <v>#N/A</v>
      </c>
      <c r="GK217" s="55">
        <f>Исходн.данные.!AK217</f>
        <v>0</v>
      </c>
      <c r="GL217" s="11" t="e">
        <f t="shared" si="261"/>
        <v>#N/A</v>
      </c>
      <c r="GM217" s="11" t="e">
        <f t="shared" si="262"/>
        <v>#N/A</v>
      </c>
      <c r="GN217" s="11" t="e">
        <f t="shared" si="263"/>
        <v>#N/A</v>
      </c>
      <c r="GO217" s="57">
        <f t="shared" si="264"/>
        <v>19</v>
      </c>
      <c r="GP217" s="55">
        <f>IF(OR(Исходн.данные.!F217=$CE$1,Исходн.данные.!F217=$CE$2,Исходн.данные.!F217=$CE$3,Исходн.данные.!F217=$CE$4,Исходн.данные.!F217=$CE$5),GQ217,GR217)</f>
        <v>19</v>
      </c>
      <c r="GQ217" s="55">
        <f>IF(Исходн.данные.!F217=$CE$1,28,IF(Исходн.данные.!F217=$CE$2,26,IF(Исходн.данные.!F217=$CE$3,24,IF(Исходн.данные.!F217=$CE$4,22,IF(Исходн.данные.!F217=$CE$5,20,GR217)))))</f>
        <v>19</v>
      </c>
      <c r="GR217" s="55">
        <f>IF(Исходн.данные.!F217=$CE$6,18,IF(Исходн.данные.!F217=$CE$7,16,IF(Исходн.данные.!F217=$CE$8,14,IF(Исходн.данные.!F217=$CE$9,13,IF(Исходн.данные.!F217=$CE$10,12,19)))))</f>
        <v>19</v>
      </c>
      <c r="GS217" s="55">
        <f>IF(Исходн.данные.!G217="Пес",0.035*(40+2*Исходн.данные.!H217),IF(Исходн.данные.!G217="Суп",0.0325*(40+2*Исходн.данные.!H217),0.03*(40+2*Исходн.данные.!H217)))</f>
        <v>1.2</v>
      </c>
      <c r="GT217" s="55">
        <f>IF(Исходн.данные.!H217&lt;23,2.6,IF(AND(Исходн.данные.!H217&gt;22,Исходн.данные.!H217&lt;26),3,IF(AND(Исходн.данные.!H217&gt;25,Исходн.данные.!H217&lt;29),3.4,3.6)))</f>
        <v>2.6</v>
      </c>
      <c r="GU217" s="55">
        <f>IF(Исходн.данные.!H217&lt;23,2.8,IF(AND(Исходн.данные.!H217&gt;22,Исходн.данные.!H217&lt;26),3.2,IF(AND(Исходн.данные.!H217&gt;25,Исходн.данные.!H217&lt;29),3.6,3.9)))</f>
        <v>2.8</v>
      </c>
      <c r="GV217" s="55">
        <f>IF(Исходн.данные.!H217&lt;23,3,IF(AND(Исходн.данные.!H217&gt;22,Исходн.данные.!H217&lt;26),3.5,IF(AND(Исходн.данные.!H217&gt;25,Исходн.данные.!H217&lt;29),3.9,4.2)))</f>
        <v>3</v>
      </c>
      <c r="GW217" s="55" t="e">
        <f>IF(Исходн.данные.!P217="Ум",GX217,GY217)</f>
        <v>#N/A</v>
      </c>
      <c r="GX217" s="55" t="e">
        <f>VLOOKUP(Исходн.данные.!AI217,Коэффициенты!$J$7:$L$13,2,FALSE)</f>
        <v>#N/A</v>
      </c>
      <c r="GY217" s="55" t="e">
        <f>VLOOKUP(Исходн.данные.!AI217,Коэффициенты!$J$7:$L$13,3,FALSE)</f>
        <v>#N/A</v>
      </c>
      <c r="GZ217" s="55" t="e">
        <f>(IF(Исходн.данные.!M217&lt;50,0.11*VLOOKUP(Исходн.данные.!AH217,Культуры.Информация,7,FALSE),IF(Исходн.данные.!M217&gt;250,0.05*VLOOKUP(Исходн.данные.!AH217,Культуры.Информация,7,FALSE),VLOOKUP(Исходн.данные.!AH217,Культуры.Информация,5,FALSE)/100*($GX$6+$GY$6*Исходн.данные.!M217))))*Расчет2!AI217</f>
        <v>#N/A</v>
      </c>
      <c r="HA217" s="211"/>
      <c r="HB217" s="211"/>
      <c r="HC217" s="55" t="e">
        <f>(IF(Исходн.данные.!O217&lt;80,0.2*VLOOKUP(Исходн.данные.!AH217,Культуры.Информация,8,FALSE),IF(Исходн.данные.!O217&gt;240,0.09*VLOOKUP(Исходн.данные.!AH217,Культуры.Информация,8,FALSE),VLOOKUP(Исходн.данные.!AH217,Культуры.Информация,6,FALSE)/100*($HB$6+$HC$6*Исходн.данные.!O217))))*Расчет2!AJ217</f>
        <v>#N/A</v>
      </c>
      <c r="HD217" s="55">
        <f>IF(Исходн.данные.!O217&gt;240,0.09,IF(Исходн.данные.!O217&lt;30,0.3,$HE$10+$HD$10*Исходн.данные.!O217))</f>
        <v>0.3</v>
      </c>
      <c r="HE217" s="55">
        <f>IF(Исходн.данные.!O217&gt;240,0.17,IF(Исходн.данные.!O217&lt;30,0.5,$HF$12+$HE$12*Исходн.данные.!O217))</f>
        <v>0.5</v>
      </c>
      <c r="HF217" s="55" t="e">
        <f>VLOOKUP(Исходн.данные.!AH217,Справ!$A$3:$D$58,2,FALSE)</f>
        <v>#N/A</v>
      </c>
      <c r="HG217" s="55" t="e">
        <f>VLOOKUP(Исходн.данные.!AH217,Справ!$A$3:$D$58,3,FALSE)</f>
        <v>#N/A</v>
      </c>
      <c r="HH217" s="55" t="e">
        <f>VLOOKUP(Исходн.данные.!AH217,Справ!$A$3:$D$58,4,FALSE)</f>
        <v>#N/A</v>
      </c>
      <c r="HI217" s="11" t="e">
        <f t="shared" si="265"/>
        <v>#N/A</v>
      </c>
      <c r="HJ217" s="11" t="e">
        <f t="shared" si="266"/>
        <v>#N/A</v>
      </c>
      <c r="HK217" s="11" t="e">
        <f t="shared" si="267"/>
        <v>#N/A</v>
      </c>
      <c r="HL217" s="55">
        <f>IF(OR(Исходн.данные.!G217="Глин",Исходн.данные.!G217="Т_суг"),1.1,IF(Исходн.данные.!G217="Ср_суг",1,1))</f>
        <v>1</v>
      </c>
      <c r="HM217" s="55">
        <f>IF(OR(Исходн.данные.!G217="Глин",Исходн.данные.!G217="Т_суг"),0.9,IF(Исходн.данные.!G217="Ср_суг",1,1.2))</f>
        <v>1.2</v>
      </c>
      <c r="HN217" s="11" t="e">
        <f t="shared" si="268"/>
        <v>#N/A</v>
      </c>
      <c r="HO217" s="11" t="e">
        <f t="shared" si="269"/>
        <v>#N/A</v>
      </c>
      <c r="HP217" s="11" t="e">
        <f t="shared" si="270"/>
        <v>#N/A</v>
      </c>
      <c r="HQ217" t="e">
        <f t="shared" si="271"/>
        <v>#N/A</v>
      </c>
      <c r="HR217" t="e">
        <f t="shared" si="272"/>
        <v>#N/A</v>
      </c>
      <c r="HS217" t="e">
        <f t="shared" si="273"/>
        <v>#N/A</v>
      </c>
      <c r="HT217" t="e">
        <f t="shared" si="293"/>
        <v>#N/A</v>
      </c>
      <c r="HU217" t="e">
        <f t="shared" si="294"/>
        <v>#N/A</v>
      </c>
      <c r="HV217" t="e">
        <f t="shared" si="295"/>
        <v>#N/A</v>
      </c>
      <c r="HW217" t="e">
        <f t="shared" si="296"/>
        <v>#N/A</v>
      </c>
      <c r="HX217" t="e">
        <f t="shared" si="297"/>
        <v>#N/A</v>
      </c>
      <c r="HY217" t="e">
        <f t="shared" si="298"/>
        <v>#N/A</v>
      </c>
      <c r="HZ217" s="55">
        <f>IF(OR(Исходн.данные.!AI217="Оз_Ч_П",Исходн.данные.!AI217="Оз_З_П",Исходн.данные.!AI217="Яр_зер"),12,30)</f>
        <v>30</v>
      </c>
      <c r="IA217" t="e">
        <f t="shared" si="274"/>
        <v>#N/A</v>
      </c>
      <c r="IB217" t="e">
        <f t="shared" si="275"/>
        <v>#N/A</v>
      </c>
      <c r="IC217" t="e">
        <f t="shared" si="276"/>
        <v>#N/A</v>
      </c>
      <c r="ID217" s="11" t="e">
        <f t="shared" si="277"/>
        <v>#N/A</v>
      </c>
      <c r="IE217" s="11" t="e">
        <f t="shared" si="278"/>
        <v>#N/A</v>
      </c>
      <c r="IF217" s="11" t="e">
        <f t="shared" si="279"/>
        <v>#N/A</v>
      </c>
    </row>
    <row r="218" spans="35:240" x14ac:dyDescent="0.2">
      <c r="AI218">
        <f>IF(Исходн.данные.!I218&gt;6,1,1.85-(0.148*Исходн.данные.!I218))</f>
        <v>1.85</v>
      </c>
      <c r="AJ218">
        <f>IF(Исходн.данные.!I218&gt;6,1,2.434-(0.246*Исходн.данные.!I218))</f>
        <v>2.4340000000000002</v>
      </c>
      <c r="AL218" s="148" t="b">
        <f>IF(Исходн.данные.!$P218="Ум",N_OrgUd_2g_um,IF(Исходн.данные.!$P218="Об",N_OrgUd_2g_ob))</f>
        <v>0</v>
      </c>
      <c r="AM218" s="148" t="b">
        <f>IF(Исходн.данные.!$P218="Ум",P_OrgUd_2g_um,IF(Исходн.данные.!$P218="Об",P_OrgUd_2g_ob))</f>
        <v>0</v>
      </c>
      <c r="AN218" s="148" t="b">
        <f>IF(Исходн.данные.!$P218="Ум",K_OrgUd_2g_um,IF(Исходн.данные.!$P218="Об",K_OrgUd_2g_ob))</f>
        <v>0</v>
      </c>
      <c r="AO218" s="148" t="b">
        <f>IF(Исходн.данные.!$P218="Ум",N_OrgUd_1g_um,IF(Исходн.данные.!$P218="Об",N_OrgUd_1g_ob))</f>
        <v>0</v>
      </c>
      <c r="AP218" s="148" t="b">
        <f>IF(Исходн.данные.!$P218="Ум",P_OrgUd_1g_um,IF(Исходн.данные.!$P218="Об",P_OrgUd_1g_ob))</f>
        <v>0</v>
      </c>
      <c r="AQ218" s="148" t="b">
        <f>IF(Исходн.данные.!$P218="Ум",K_OrgUd_1g_um,IF(Исходн.данные.!$P218="Об",K_OrgUd_1g_ob))</f>
        <v>0</v>
      </c>
      <c r="AR218" t="b">
        <f>IF(Исходн.данные.!$P218="Ум",N_MinUd_2g_um,IF(Исходн.данные.!$P218="Об",N_MinUd_2g_ob))</f>
        <v>0</v>
      </c>
      <c r="AS218" t="b">
        <f>IF(Исходн.данные.!$P218="Ум",P_MinUd_2g_um,IF(Исходн.данные.!$P218="Об",P_MinUd_2g_ob))</f>
        <v>0</v>
      </c>
      <c r="AT218" t="b">
        <f>IF(Исходн.данные.!$P218="Ум",K_MinUd_2g_um,IF(Исходн.данные.!$P218="Об",K_MinUd_2g_ob))</f>
        <v>0</v>
      </c>
      <c r="AU218" t="b">
        <f>IF(Исходн.данные.!$P218="Ум",N_MinUd_1g_um,IF(Исходн.данные.!$P218="Об",N_MinUd_1g_ob))</f>
        <v>0</v>
      </c>
      <c r="AV218" t="b">
        <f>IF(Исходн.данные.!P218="Ум",P_MinUd_1g_um,IF(Исходн.данные.!P218="Об",P_MinUd_1g_ob))</f>
        <v>0</v>
      </c>
      <c r="AW218" t="b">
        <f>IF(Исходн.данные.!P218="Ум",K_MinUd_1g_um,IF(Исходн.данные.!P218="Об",K_MinUd_1g_ob))</f>
        <v>0</v>
      </c>
      <c r="AY218" t="e">
        <f>VLOOKUP(Исходн.данные.!T218,Справ!$A$3:$N$57,12)</f>
        <v>#N/A</v>
      </c>
      <c r="AZ218" t="e">
        <f>VLOOKUP(Исходн.данные.!T218,Справ!$A$3:$N$57,13)</f>
        <v>#N/A</v>
      </c>
      <c r="BA218" t="e">
        <f>VLOOKUP(Исходн.данные.!T218,Справ!$A$3:$N$57,14)</f>
        <v>#N/A</v>
      </c>
      <c r="BB218">
        <f>IF(Исходн.данные.!AH218=0,0,25)</f>
        <v>0</v>
      </c>
      <c r="BC218" s="141">
        <f>IF(Исходн.данные.!AH218=0,0,IF(Исходн.данные.!T218=0,25,BD218))</f>
        <v>0</v>
      </c>
      <c r="BD218" s="168" t="e">
        <f>AY218+AZ218*Исходн.данные.!U218-POWER(BA218,2)*Исходн.данные.!U218</f>
        <v>#N/A</v>
      </c>
      <c r="BE21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8" s="25">
        <f>IF(Исходн.данные.!AH218=0,0,MIN(HN218:HP218))</f>
        <v>0</v>
      </c>
      <c r="BG218" s="9">
        <f>IF(Исходн.данные.!AH218=0,0,IF((HO218+10*0.25/HG218/HL218)&lt;17,17,HO218+10*0.25/HG218/HL218))</f>
        <v>0</v>
      </c>
      <c r="BH218" s="181">
        <f>IF(Исходн.данные.!AH218=0,0,HW218*HF218*HL218/AU218*AI218+Исходн.данные.!S218*10)</f>
        <v>0</v>
      </c>
      <c r="BI218" s="10"/>
      <c r="BJ218" s="182">
        <f>IF(Исходн.данные.!AH218=0,0,IF(HX218*HG218*HL218/AV218&lt;0,0,HX218*HG218*HL218/AV218*AJ218))</f>
        <v>0</v>
      </c>
      <c r="BK218" s="182">
        <f>IF(Исходн.данные.!AH218=0,0,HY218*HH218*HM218/AW218)</f>
        <v>0</v>
      </c>
      <c r="BL218" s="10">
        <f>IF(OR(Исходн.данные.!$AH218=$BP$1,Исходн.данные.!$AH218=$BP$2),0,IF(BH218&lt;0,0,IF(OR(Исходн.данные.!T218=Расчет!$BP$1,Исходн.данные.!T218=Расчет!$BP$2,Исходн.данные.!T218=Расчет!$BT$5,Исходн.данные.!T218=Расчет!$BT$6),BH218*0.5,IF(OR(Исходн.данные.!T218=Расчет!$BS$9,Исходн.данные.!T218=Расчет!$BS$10,Исходн.данные.!T218=Расчет!$BS$11,Исходн.данные.!T218=Расчет!$BS$12,Исходн.данные.!T218=Расчет!$BP$5),BH218*0.8,BH218))))</f>
        <v>0</v>
      </c>
      <c r="BM218" s="10">
        <f>IF(OR(Исходн.данные.!$AH218=$BP$1,Исходн.данные.!$AH218=$BP$2),0,IF(BJ218&lt;0,0,IF(Исходн.данные.!I218&lt;4.5,BJ218*1.2,IF(Исходн.данные.!I218&gt;5.1,BJ218,BJ218*((5.1-Исходн.данные.!I218)*0.333+1)))))</f>
        <v>0</v>
      </c>
      <c r="BN218" s="10">
        <f>IF(OR(Исходн.данные.!$AH218=$BP$1,Исходн.данные.!$AH218=$BP$2),60-Исходн.данные.!AF218,IF(BK218&lt;0,0,IF(Исходн.данные.!I218&lt;4.5,BK218*1.2,IF(Исходн.данные.!I218&gt;5.1,BK218,BK218*((5.1-Исходн.данные.!I218)*0.333+1)))))</f>
        <v>0</v>
      </c>
      <c r="BO218" s="9">
        <f>IF(BL218&lt;0,0,BL218*Исходн.данные.!$AJ218/1000)</f>
        <v>0</v>
      </c>
      <c r="BP218" s="9">
        <f>IF(BM218&lt;0,0,BM218*Исходн.данные.!$AJ218/1000)</f>
        <v>0</v>
      </c>
      <c r="BQ218" s="9">
        <f>IF(BN218&lt;0,0,BN218*Исходн.данные.!$AJ218/1000)</f>
        <v>0</v>
      </c>
      <c r="BR218" s="9">
        <f t="shared" si="229"/>
        <v>0</v>
      </c>
      <c r="BS218" s="10" t="str">
        <f t="shared" si="230"/>
        <v>Аммофос 12:52:00</v>
      </c>
      <c r="BT218" s="10" t="str">
        <f t="shared" si="231"/>
        <v>Аммофос 12:52:00</v>
      </c>
      <c r="BU218" s="10" t="str">
        <f t="shared" si="232"/>
        <v>Диаммофоска</v>
      </c>
      <c r="BV218" s="10">
        <f t="shared" si="233"/>
        <v>0</v>
      </c>
      <c r="BW218" s="10"/>
      <c r="BX218" s="10"/>
      <c r="BY218" s="9">
        <f>IF(BL218&lt;0,0,IF(OR(Исходн.данные.!AI218=Расчет!$BU$6,Исходн.данные.!AI218=Расчет!$BU$7),Расчет!BV218,IF(Исходн.данные.!$AG218=$BV$11,BL218,IF(OR(Исходн.данные.!$AH218=$BQ$7,Исходн.данные.!$AH218=$BQ$8),CB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0,IF(Исходн.данные.!$AI218=$BU$11,"Нет",IF(BL218&gt;30,30,BL218)))))))</f>
        <v>0</v>
      </c>
      <c r="BZ218" s="9">
        <f>IF(AND(Исходн.данные.!$AG218=$BV$11,BM218&lt;10),10,IF(Исходн.данные.!$AG218=$BV$11,BM218,IF(OR(Исходн.данные.!$AH218=$BQ$7,Исходн.данные.!$AH218=$BQ$8),CC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10,IF(Исходн.данные.!$AI218=$BU$11,"Нет",IF(BM218&gt;60,60,IF(BM218&lt;10,10,BM218)))))))</f>
        <v>10</v>
      </c>
      <c r="CA218" s="39">
        <f>IF(BN218&lt;0,0,IF(Исходн.данные.!$AG218=$BV$11,BN218,IF(OR(Исходн.данные.!$AH218=$BQ$7,Исходн.данные.!$AH218=$BQ$8),CD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0,IF(Исходн.данные.!$AI218=$BU$11,"Нет",IF(BN218&gt;30,30,BN218))))))</f>
        <v>0</v>
      </c>
      <c r="CB218" s="9">
        <f t="shared" si="234"/>
        <v>0</v>
      </c>
      <c r="CC218" s="9">
        <f t="shared" si="235"/>
        <v>0</v>
      </c>
      <c r="CD218" s="9">
        <f t="shared" si="236"/>
        <v>0</v>
      </c>
      <c r="CE218" s="12">
        <f t="shared" si="237"/>
        <v>10</v>
      </c>
      <c r="CF218" s="9">
        <f t="shared" si="238"/>
        <v>0</v>
      </c>
      <c r="CG218" s="9" t="s">
        <v>231</v>
      </c>
      <c r="CH218" s="132" t="str">
        <f>IF(Исходн.данные.!AP218=Расчет!$CI$16,"Нет",IF(Исходн.данные.!AL218&gt;0,Исходн.данные.!AL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BH$4,IF(OR(Исходн.данные.!AI218=Исходн.данные.!$AI$6,Исходн.данные.!AI218=Исходн.данные.!$AI$7),Расчет!BS218,IF(AND($CF218=0,$CE218&gt;0),EV218,ER218)))))</f>
        <v>Аммофос 12:52:00</v>
      </c>
      <c r="CI218" s="274">
        <f>IF(Расчет!$CH218="Нет","Нет",IF(Исходн.данные.!$AL218&gt;0,VLOOKUP(Расчет!$CH218,АшламаДВ_Irekle,2,FALSE),VLOOKUP(Расчет!$CH218,АшламаДВ_Gomumy,2,FALSE)))</f>
        <v>0.12</v>
      </c>
      <c r="CJ218" s="274">
        <f>IF(Расчет!$CH218="Нет","Нет",IF(Исходн.данные.!$AL218&gt;0,VLOOKUP(Расчет!$CH218,АшламаДВ_Irekle,3,FALSE),VLOOKUP(Расчет!$CH218,АшламаДВ_Gomumy,3,FALSE)))</f>
        <v>0.52</v>
      </c>
      <c r="CK218" s="274">
        <f>IF(Расчет!$CH218="Нет","Нет",IF(Исходн.данные.!$AL218&gt;0,VLOOKUP(Расчет!$CH218,АшламаДВ_Irekle,4,FALSE),VLOOKUP(Расчет!$CH218,АшламаДВ_Gomumy,4,FALSE)))</f>
        <v>0</v>
      </c>
      <c r="CL218" s="70"/>
      <c r="CM218" s="70"/>
      <c r="CN218" s="70"/>
      <c r="CO218" s="70"/>
      <c r="CP218" s="70"/>
      <c r="CQ218" s="70"/>
      <c r="CR218" s="10">
        <f t="shared" si="239"/>
        <v>0</v>
      </c>
      <c r="CS218" s="10">
        <f t="shared" si="240"/>
        <v>19.23076923076923</v>
      </c>
      <c r="CT218" s="10">
        <f t="shared" si="241"/>
        <v>0</v>
      </c>
      <c r="CU218" s="39">
        <f>IF($CH218="Нет",0,IF(CI218=0,30/MIN(CJ218:CK218),IF(Исходн.данные.!$AG218=$BV$11,CR218,IF(OR(Исходн.данные.!$AH218=$BQ$7,Исходн.данные.!$AH218=$BQ$8),90/CI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0,IF(Исходн.данные.!$AI218=$BU$11,"Нет",30/CI218))))))</f>
        <v>250</v>
      </c>
      <c r="CV218" s="39">
        <f>IF($CH218="Нет",0,IF(Исходн.данные.!AH218=0,0,IF(CJ218=0,60/MIN(CI218,CK218),IF(Исходн.данные.!$AG218=$BV$11,CS218,IF(OR(Исходн.данные.!$AH218=$BQ$7,Исходн.данные.!$AH218=$BQ$8),90/CJ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10/CJ218,IF(Исходн.данные.!$AI218=$BU$11,"Нет",60/CJ218)))))))</f>
        <v>0</v>
      </c>
      <c r="CW218" s="39">
        <f>IF($CH218="Нет",0,IF(Исходн.данные.!AH218=0,0,IF(CK218=0,30/MIN(CI218:CJ218),IF(Исходн.данные.!$AG218=$BV$11,CT218,IF(OR(Исходн.данные.!$AH218=$BQ$7,Исходн.данные.!$AH218=$BQ$8),90/CK218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0,IF(Исходн.данные.!$AI218=$BU$11,"Нет",30/CK218)))))))</f>
        <v>0</v>
      </c>
      <c r="CX218" s="133">
        <f>IF(Исходн.данные.!$AG218=$BV$11,MAX(CU218:CW218),IF(OR(Исходн.данные.!$AH218=$BS$8,Исходн.данные.!$AH218=$BQ$9,Исходн.данные.!$AH218=$BQ$10,Исходн.данные.!$AH218=$BQ$11,Исходн.данные.!$AH218=$BQ$12,Исходн.данные.!$AH218=$BP$3,Исходн.данные.!$AH218=$BT$8,$FM218="Да"),CV218,MIN(CU218:CW218)))</f>
        <v>0</v>
      </c>
      <c r="CY218" s="133">
        <f>IF(Исходн.данные.!AH218=0,0,IF(CR218&gt;$CX218,$CX218,CR218))</f>
        <v>0</v>
      </c>
      <c r="CZ218" s="133">
        <f>IF(Исходн.данные.!AH218=0,0,IF(CS218&gt;$CX218,$CX218,CS218))</f>
        <v>0</v>
      </c>
      <c r="DA218" s="133">
        <f>IF(Исходн.данные.!AH218=0,0,IF(CT218&gt;$CX218,$CX218,CT218))</f>
        <v>0</v>
      </c>
      <c r="DB218" s="10">
        <f t="shared" si="242"/>
        <v>0</v>
      </c>
      <c r="DC218" s="39">
        <f>DB218*Исходн.данные.!AJ218/1000</f>
        <v>0</v>
      </c>
      <c r="DD218" s="71">
        <f t="shared" si="243"/>
        <v>0</v>
      </c>
      <c r="DE218" s="9">
        <f t="shared" si="244"/>
        <v>0</v>
      </c>
      <c r="DF218" s="9">
        <f t="shared" si="245"/>
        <v>0</v>
      </c>
      <c r="DG218" s="39">
        <f>IF(BL218&lt;0,0,IF($CH218="Нет",BL218,IF(OR(Исходн.данные.!$AH218=$BP$1,Исходн.данные.!$AH218=$BP$2),0,IF(Исходн.данные.!AI218=$BU$11,BL218,IF(BL218-DD218&lt;0,0,BL218-DD218)))))</f>
        <v>0</v>
      </c>
      <c r="DH218" s="39">
        <f>IF(BM218&lt;0,0,IF($CH218="Нет",BM218,IF(OR(Исходн.данные.!$AH218=$BP$1,Исходн.данные.!$AH218=$BP$2),0,IF(Исходн.данные.!AJ218=$BU$11,BM218,IF(BM218-DE218&lt;0,0,BM218-DE218)))))</f>
        <v>0</v>
      </c>
      <c r="DI218" s="39">
        <f>IF(BN218&lt;0,0,IF($CH218="Нет",BN218,IF(OR(Исходн.данные.!$AH218=$BP$1,Исходн.данные.!$AH218=$BP$2),0,IF(Исходн.данные.!AK218=$BU$11,BN218,IF(BN218-DF218&lt;0,0,BN218-DF218)))))</f>
        <v>0</v>
      </c>
      <c r="DJ218" s="12">
        <f t="shared" si="246"/>
        <v>0</v>
      </c>
      <c r="DK218" s="9">
        <f t="shared" si="247"/>
        <v>0</v>
      </c>
      <c r="DL218" s="39">
        <f>IF(Исходн.данные.!AM218&gt;0,Исходн.данные.!AM218,IF(EG218&gt;0,$BH$10,0))</f>
        <v>0</v>
      </c>
      <c r="DM218" s="186">
        <f>IF($DL218=0,0,IF(Исходн.данные.!AM218&gt;0,VLOOKUP($DL218,АшламаДВ_Irekle,2,FALSE),VLOOKUP($DL218,АшламаДВ_Gomumy,2,FALSE)))</f>
        <v>0</v>
      </c>
      <c r="DN218" s="10">
        <f t="shared" si="299"/>
        <v>0</v>
      </c>
      <c r="DO218" s="9" t="str">
        <f>IF(Исходн.данные.!AN218&gt;0,Исходн.данные.!AN218,Удобрения!$B$37 )</f>
        <v>Хлор.калий</v>
      </c>
      <c r="DP218" s="9">
        <f>IF(Исходн.данные.!AN218&gt;0,VLOOKUP(Исходн.данные.!AN218,АшламаДВ_Irekle,4,FALSE),VLOOKUP(DO218,АшламаДВ_Gomumy,4,FALSE))</f>
        <v>0.6</v>
      </c>
      <c r="DQ218" s="10">
        <f t="shared" si="300"/>
        <v>0</v>
      </c>
      <c r="DR218" s="132" t="str">
        <f>IF(Исходн.данные.!AO218&gt;0,Исходн.данные.!AO218,IF(DH218=0,BS$17,IF(AND($DK218=0,$DJ218&gt;0),EJ218,EN218)))</f>
        <v>Нет</v>
      </c>
      <c r="DS218" s="70" t="str">
        <f>IF($DR218="Нет","Нет",IF(Исходн.данные.!$AO218&gt;0,VLOOKUP($DR218,АшламаДВ_Irekle,2,FALSE),VLOOKUP($DR218,АшламаДВ_Gomumy,2,FALSE)))</f>
        <v>Нет</v>
      </c>
      <c r="DT218" s="70" t="str">
        <f>IF($DR218="Нет","Нет",IF(Исходн.данные.!$AO218&gt;0,VLOOKUP($DR218,АшламаДВ_Irekle,3,FALSE),VLOOKUP($DR218,АшламаДВ_Gomumy,3,FALSE)))</f>
        <v>Нет</v>
      </c>
      <c r="DU218" s="70" t="str">
        <f>IF($DR218="Нет","Нет",IF(Исходн.данные.!$AO218&gt;0,VLOOKUP($DR218,АшламаДВ_Irekle,4,FALSE),VLOOKUP($DR218,АшламаДВ_Gomumy,4,FALSE)))</f>
        <v>Нет</v>
      </c>
      <c r="DV218" s="70"/>
      <c r="DW218" s="70"/>
      <c r="DX218" s="70"/>
      <c r="DY218" s="10">
        <f t="shared" si="248"/>
        <v>0</v>
      </c>
      <c r="DZ218" s="10">
        <f t="shared" si="249"/>
        <v>0</v>
      </c>
      <c r="EA218" s="10">
        <f t="shared" si="250"/>
        <v>0</v>
      </c>
      <c r="EB218" s="10">
        <f t="shared" si="251"/>
        <v>0</v>
      </c>
      <c r="EC218" s="10">
        <f t="shared" si="252"/>
        <v>0</v>
      </c>
      <c r="ED218" s="10">
        <f t="shared" si="253"/>
        <v>0</v>
      </c>
      <c r="EE218" s="10">
        <f t="shared" si="254"/>
        <v>0</v>
      </c>
      <c r="EF218" s="39">
        <f>EB218*Исходн.данные.!AJ218/1000</f>
        <v>0</v>
      </c>
      <c r="EG218" s="9">
        <f t="shared" si="255"/>
        <v>0</v>
      </c>
      <c r="EH218" s="9">
        <f t="shared" si="256"/>
        <v>0</v>
      </c>
      <c r="EI218" s="39" t="e">
        <f t="shared" si="280"/>
        <v>#DIV/0!</v>
      </c>
      <c r="EJ218" s="9" t="str">
        <f t="shared" si="301"/>
        <v>Азопреципитат</v>
      </c>
      <c r="EK218" s="12">
        <f t="shared" si="281"/>
        <v>0.26</v>
      </c>
      <c r="EL218" s="12">
        <f t="shared" si="282"/>
        <v>0.13</v>
      </c>
      <c r="EM218" s="12">
        <f t="shared" si="283"/>
        <v>0</v>
      </c>
      <c r="EN218" s="12" t="str">
        <f t="shared" si="302"/>
        <v>Нет</v>
      </c>
      <c r="EO218" s="12">
        <f t="shared" si="284"/>
        <v>0</v>
      </c>
      <c r="EP218" s="12">
        <f t="shared" si="285"/>
        <v>0</v>
      </c>
      <c r="EQ218" s="12">
        <f t="shared" si="286"/>
        <v>0</v>
      </c>
      <c r="ER218" s="12" t="str">
        <f t="shared" si="257"/>
        <v>Диаммофоска</v>
      </c>
      <c r="ES218" s="12">
        <f t="shared" si="287"/>
        <v>0.1</v>
      </c>
      <c r="ET218" s="12">
        <f t="shared" si="288"/>
        <v>0.26</v>
      </c>
      <c r="EU218" s="12">
        <f t="shared" si="289"/>
        <v>0.26</v>
      </c>
      <c r="EV218" s="12" t="str">
        <f t="shared" si="258"/>
        <v>Аммофос 12:52:00</v>
      </c>
      <c r="EW218" s="12" t="str">
        <f t="shared" si="259"/>
        <v>Кемира Свекловичное-6</v>
      </c>
      <c r="EX218" s="12">
        <f t="shared" si="290"/>
        <v>0.16</v>
      </c>
      <c r="EY218" s="12">
        <f t="shared" si="291"/>
        <v>0.12</v>
      </c>
      <c r="EZ218" s="12">
        <f t="shared" si="292"/>
        <v>0.17</v>
      </c>
      <c r="FA218" s="38" t="e">
        <f>IF(AND(OR(FJ218=$FD$1,FM218=$FD$1,FO218=$FD$1,FQ218=$FD$1,FS218=$FD$1),FD218=$FD$1,Исходн.данные.!J218&lt;2,FU218=$FD$1),"Бор,Кобальт",IF(AND(FO218=$FD$1,FH218=$FD$1,Исходн.данные.!J218&lt;2,FU218=$FD$1),"Бор,Кобальт",IF(AND(OR(FJ218=$FD$1,FM218=$FD$1,FQ218=$FD$1),FE218=$FD$1,Исходн.данные.!J218&lt;2,FT218=$FD$1,FU218=$FD$1),"Бор,Медь,Цинк",IF(AND(OR(FJ218=$FD$1,FR218="Да"),FI218="Да",Исходн.данные.!J218&lt;2,FT218="Да",FU218="Да"),"Бор,Цинк,Медь",IF(AND(OR(FM218="Да",FQ218="Да"),FI218="Да",Исходн.данные.!J218&lt;2,FT218="Да",FU218="Да"),"Бор,Цинк",IF(AND(FN218="Да",OR(FD218="Да",FE218="Да")),"Бор",FB218))))))</f>
        <v>#N/A</v>
      </c>
      <c r="FB218" s="134" t="e">
        <f>IF(AND(OR(FD218="Да",FE218="Да",FF218="Да",FG218="Да",FH218="Да"),FO218="Да"),"Бор",IF(AND(FP218="Да",OR(FD218="Да",FE218="Да",FI218="Да")),"Бор",IF(AND(FS218="Да",FE218="Да"),"Бор,Медь",IF(AND(OR(FJ218="Да",FK218="Да",FL218="Да"),FE218="Да",Исходн.данные.!I218&lt;5,FT218="Да",FU218="Да"),"Молибден,Цинк",IF(AND(FM218="Да",OR(FE218="Да",FF218="Да",FG218="Да",FH218="Да",FI218="Да")),"Молибден,Цинк",IF(AND(OR(FJ218="Да",FK218="Да",FL218="Да",FM218="Да",FQ218="Да"),OR(FE218="Да",FF218="Да"),FT218="Да",FU218="Да",Исходн.данные.!I218&gt;5.5),"Медь,Цинк",FC218))))))</f>
        <v>#N/A</v>
      </c>
      <c r="FC218" s="23" t="e">
        <f t="shared" si="260"/>
        <v>#N/A</v>
      </c>
      <c r="FD218" s="38" t="str">
        <f>IF(OR(Исходн.данные.!F218=$CC$1,Исходн.данные.!F218=$CC$2,Исходн.данные.!F218=$CC$3,Исходн.данные.!F218=$CC$4),"Да","Нет")</f>
        <v>Нет</v>
      </c>
      <c r="FE218" s="38" t="str">
        <f>IF(Исходн.данные.!F218=$CC$5,"Да","Нет")</f>
        <v>Нет</v>
      </c>
      <c r="FF218" s="38" t="str">
        <f>IF(OR(Исходн.данные.!F218=$CC$6,Исходн.данные.!F218=$CC$7),"Да","Нет")</f>
        <v>Нет</v>
      </c>
      <c r="FG218" s="38" t="str">
        <f>IF(OR(Исходн.данные.!F218=$CC$8,Исходн.данные.!F218=$CC$9),"Да","Нет")</f>
        <v>Нет</v>
      </c>
      <c r="FH218" s="38" t="str">
        <f>IF(Исходн.данные.!F218=$CC$10,"Да","Нет")</f>
        <v>Нет</v>
      </c>
      <c r="FI218" s="38" t="str">
        <f>IF(OR(Исходн.данные.!F218=$CC$11,Исходн.данные.!F218=$CC$12),"Да","Нет")</f>
        <v>Нет</v>
      </c>
      <c r="FJ218" s="38" t="str">
        <f>IF(OR(Исходн.данные.!AH218=$BS$1,Исходн.данные.!AH218=$BQ$11,Исходн.данные.!AH218=$BQ$12),"Да","Нет")</f>
        <v>Нет</v>
      </c>
      <c r="FK218" s="38" t="str">
        <f>IF(OR(Исходн.данные.!AH218=$BS$2,Исходн.данные.!AH218=$BS$4),"Да","Нет")</f>
        <v>Нет</v>
      </c>
      <c r="FL218" s="38" t="str">
        <f>IF(OR(Исходн.данные.!AH218=$BS$3,Исходн.данные.!AH218=$BS$5),"Да","Нет")</f>
        <v>Нет</v>
      </c>
      <c r="FM218" s="38" t="str">
        <f>IF(OR(Исходн.данные.!AH218=$BS$9,Исходн.данные.!AH218=$BS$10,Исходн.данные.!AH218=$BS$11,Исходн.данные.!AH218=$BS$12),"Да","Нет")</f>
        <v>Нет</v>
      </c>
      <c r="FN218" s="38" t="str">
        <f>IF(OR(Исходн.данные.!AH218=$BS$6,Исходн.данные.!AH218=$BP$3),"Да","Нет")</f>
        <v>Нет</v>
      </c>
      <c r="FO218" s="38" t="str">
        <f>IF(Исходн.данные.!AH218=$BQ$9,"Да","Нет")</f>
        <v>Нет</v>
      </c>
      <c r="FP218" s="38" t="str">
        <f>IF(OR(Исходн.данные.!AH218=$BS$8,Исходн.данные.!AH218=$BT$8),"Да","Нет")</f>
        <v>Нет</v>
      </c>
      <c r="FQ218" s="38" t="str">
        <f>IF(OR(Исходн.данные.!AH218=$BQ$7,Исходн.данные.!AH218=$BQ$8),"Да","Нет")</f>
        <v>Нет</v>
      </c>
      <c r="FR218" s="38" t="str">
        <f>IF(Исходн.данные.!AI218=$BU$9,"Да","Нет")</f>
        <v>Нет</v>
      </c>
      <c r="FS218" s="38" t="str">
        <f>IF(OR(Исходн.данные.!AH218=$BP$1,Исходн.данные.!AH218=$BP$2),"Да","Нет")</f>
        <v>Нет</v>
      </c>
      <c r="FT218" s="38" t="e">
        <f>IF((Исходн.данные.!K218*GO218*GS218*GW218+BL218*0.6+Исходн.данные.!Q218*4.5*0.275)&gt;90,"Да","Нет")</f>
        <v>#N/A</v>
      </c>
      <c r="FU218" s="38" t="e">
        <f>IF((Исходн.данные.!M218*GS218*GZ218+BM218*0.225)&gt;35,"Да","Нет")</f>
        <v>#N/A</v>
      </c>
      <c r="FV218" s="38" t="str">
        <f>IF(Исходн.данные.!O218&gt;175,"Да","Нет")</f>
        <v>Нет</v>
      </c>
      <c r="FW218" s="39" t="str">
        <f>IF(Исходн.данные.!I218&gt;5.5,"Да","Нет")</f>
        <v>Нет</v>
      </c>
      <c r="FX218" s="39" t="str">
        <f>IF(Исходн.данные.!J218&lt;2,"Да","Нет")</f>
        <v>Да</v>
      </c>
      <c r="FY218" s="39" t="e">
        <f>IF(HF218=$FY$16,0,Исходн.данные.!K218*GO218*GS218*GW218/HF218)</f>
        <v>#N/A</v>
      </c>
      <c r="FZ218" s="39" t="e">
        <f>Исходн.данные.!M218*GS218*GZ218/HG218</f>
        <v>#N/A</v>
      </c>
      <c r="GA218" s="39" t="e">
        <f>IF(K_Wyn=$FY$16,0,IF(Исходн.данные.!N218=Исходн.данные.!$L$10,Исходн.данные.!O218/1.1*GS218*HC218/HH218,IF(Исходн.данные.!N218=Исходн.данные.!$L$12,Исходн.данные.!O218/1.5*GS218*HC218/HH218,Исходн.данные.!O218*GS218*HC218/HH218)))</f>
        <v>#N/A</v>
      </c>
      <c r="GB218" s="39" t="e">
        <f>IF(HF218=$FY$16,0,((Исходн.данные.!Q218*N_Org+Исходн.данные.!R218*N_Sider+Исходн.данные.!S218*N_Soloma)*AO218+Расчет!BC218*VLOOKUP(Исходн.данные.!T218,Справ!$A$3:$O$57,15)*AO218+BB218*VLOOKUP(Исходн.данные.!T218,Справ!$A$3:$O$57,15)*AL218+(Исходн.данные.!V218*N_Rizotorf+Исходн.данные.!W218*N_Rizoagr))/HF218)</f>
        <v>#N/A</v>
      </c>
      <c r="GC218" s="39" t="e">
        <f>IF(HG218=$FY$16,0,((Исходн.данные.!Q218*Р_Org+Исходн.данные.!R218*P_Sider+Исходн.данные.!S218*P_Soloma)*AP218+Расчет!BC218*VLOOKUP(Исходн.данные.!T218,Справ!$A$3:$P$57,16)*AP218+BB218*VLOOKUP(Исходн.данные.!T218,Справ!$A$3:$P$57,16)*AM218)/HG218)</f>
        <v>#N/A</v>
      </c>
      <c r="GD218" s="39" t="e">
        <f>IF(HH218=$FY$16,0,((Исходн.данные.!Q218*К_Org+Исходн.данные.!R218*K_Sider+Исходн.данные.!S218*K_Soloma)*AQ218+Расчет!BC218*VLOOKUP(Исходн.данные.!T218,Справ!$A$3:$Q$57,17)*AQ218+BB218*VLOOKUP(Исходн.данные.!T218,Справ!$A$3:$Q$57,17)*AN218)/HH218)</f>
        <v>#N/A</v>
      </c>
      <c r="GE218" s="39" t="e">
        <f>IF(HF218=$FY$16,0,(Исходн.данные.!X218*AR218+Исходн.данные.!AA218*N_Org*AL218+Исходн.данные.!AB218*N_Sider*AL218+Исходн.данные.!AC218*N_Soloma*AL218)/HF218)</f>
        <v>#N/A</v>
      </c>
      <c r="GF218" s="39" t="e">
        <f>IF(HG218=$FY$16,0,(Исходн.данные.!Y218*AS218+Исходн.данные.!AA218*Р_Org*AM218+Исходн.данные.!AB218*P_Sider*AM218+Исходн.данные.!AC218*P_Soloma*AM218)/HG218)</f>
        <v>#N/A</v>
      </c>
      <c r="GG218" s="39" t="e">
        <f>IF(HH218=$FY$16,0,(Исходн.данные.!Z218*AT218+Исходн.данные.!AA218*К_Org*AN218+Исходн.данные.!AB218*K_Sider*AN218+Исходн.данные.!AC218*K_Soloma*AN218)/HH218)</f>
        <v>#N/A</v>
      </c>
      <c r="GH218" s="39" t="e">
        <f>Исходн.данные.!AD218*AU218/HF218</f>
        <v>#N/A</v>
      </c>
      <c r="GI218" s="39" t="e">
        <f>Исходн.данные.!AE218*AV218/HG218</f>
        <v>#N/A</v>
      </c>
      <c r="GJ218" s="39" t="e">
        <f>Исходн.данные.!AF218*AW218/HH218</f>
        <v>#N/A</v>
      </c>
      <c r="GK218" s="55">
        <f>Исходн.данные.!AK218</f>
        <v>0</v>
      </c>
      <c r="GL218" s="11" t="e">
        <f t="shared" si="261"/>
        <v>#N/A</v>
      </c>
      <c r="GM218" s="11" t="e">
        <f t="shared" si="262"/>
        <v>#N/A</v>
      </c>
      <c r="GN218" s="11" t="e">
        <f t="shared" si="263"/>
        <v>#N/A</v>
      </c>
      <c r="GO218" s="57">
        <f t="shared" si="264"/>
        <v>19</v>
      </c>
      <c r="GP218" s="55">
        <f>IF(OR(Исходн.данные.!F218=$CE$1,Исходн.данные.!F218=$CE$2,Исходн.данные.!F218=$CE$3,Исходн.данные.!F218=$CE$4,Исходн.данные.!F218=$CE$5),GQ218,GR218)</f>
        <v>19</v>
      </c>
      <c r="GQ218" s="55">
        <f>IF(Исходн.данные.!F218=$CE$1,28,IF(Исходн.данные.!F218=$CE$2,26,IF(Исходн.данные.!F218=$CE$3,24,IF(Исходн.данные.!F218=$CE$4,22,IF(Исходн.данные.!F218=$CE$5,20,GR218)))))</f>
        <v>19</v>
      </c>
      <c r="GR218" s="55">
        <f>IF(Исходн.данные.!F218=$CE$6,18,IF(Исходн.данные.!F218=$CE$7,16,IF(Исходн.данные.!F218=$CE$8,14,IF(Исходн.данные.!F218=$CE$9,13,IF(Исходн.данные.!F218=$CE$10,12,19)))))</f>
        <v>19</v>
      </c>
      <c r="GS218" s="55">
        <f>IF(Исходн.данные.!G218="Пес",0.035*(40+2*Исходн.данные.!H218),IF(Исходн.данные.!G218="Суп",0.0325*(40+2*Исходн.данные.!H218),0.03*(40+2*Исходн.данные.!H218)))</f>
        <v>1.2</v>
      </c>
      <c r="GT218" s="55">
        <f>IF(Исходн.данные.!H218&lt;23,2.6,IF(AND(Исходн.данные.!H218&gt;22,Исходн.данные.!H218&lt;26),3,IF(AND(Исходн.данные.!H218&gt;25,Исходн.данные.!H218&lt;29),3.4,3.6)))</f>
        <v>2.6</v>
      </c>
      <c r="GU218" s="55">
        <f>IF(Исходн.данные.!H218&lt;23,2.8,IF(AND(Исходн.данные.!H218&gt;22,Исходн.данные.!H218&lt;26),3.2,IF(AND(Исходн.данные.!H218&gt;25,Исходн.данные.!H218&lt;29),3.6,3.9)))</f>
        <v>2.8</v>
      </c>
      <c r="GV218" s="55">
        <f>IF(Исходн.данные.!H218&lt;23,3,IF(AND(Исходн.данные.!H218&gt;22,Исходн.данные.!H218&lt;26),3.5,IF(AND(Исходн.данные.!H218&gt;25,Исходн.данные.!H218&lt;29),3.9,4.2)))</f>
        <v>3</v>
      </c>
      <c r="GW218" s="55" t="e">
        <f>IF(Исходн.данные.!P218="Ум",GX218,GY218)</f>
        <v>#N/A</v>
      </c>
      <c r="GX218" s="55" t="e">
        <f>VLOOKUP(Исходн.данные.!AI218,Коэффициенты!$J$7:$L$13,2,FALSE)</f>
        <v>#N/A</v>
      </c>
      <c r="GY218" s="55" t="e">
        <f>VLOOKUP(Исходн.данные.!AI218,Коэффициенты!$J$7:$L$13,3,FALSE)</f>
        <v>#N/A</v>
      </c>
      <c r="GZ218" s="55" t="e">
        <f>(IF(Исходн.данные.!M218&lt;50,0.11*VLOOKUP(Исходн.данные.!AH218,Культуры.Информация,7,FALSE),IF(Исходн.данные.!M218&gt;250,0.05*VLOOKUP(Исходн.данные.!AH218,Культуры.Информация,7,FALSE),VLOOKUP(Исходн.данные.!AH218,Культуры.Информация,5,FALSE)/100*($GX$6+$GY$6*Исходн.данные.!M218))))*Расчет2!AI218</f>
        <v>#N/A</v>
      </c>
      <c r="HA218" s="211"/>
      <c r="HB218" s="211"/>
      <c r="HC218" s="55" t="e">
        <f>(IF(Исходн.данные.!O218&lt;80,0.2*VLOOKUP(Исходн.данные.!AH218,Культуры.Информация,8,FALSE),IF(Исходн.данные.!O218&gt;240,0.09*VLOOKUP(Исходн.данные.!AH218,Культуры.Информация,8,FALSE),VLOOKUP(Исходн.данные.!AH218,Культуры.Информация,6,FALSE)/100*($HB$6+$HC$6*Исходн.данные.!O218))))*Расчет2!AJ218</f>
        <v>#N/A</v>
      </c>
      <c r="HD218" s="55">
        <f>IF(Исходн.данные.!O218&gt;240,0.09,IF(Исходн.данные.!O218&lt;30,0.3,$HE$10+$HD$10*Исходн.данные.!O218))</f>
        <v>0.3</v>
      </c>
      <c r="HE218" s="55">
        <f>IF(Исходн.данные.!O218&gt;240,0.17,IF(Исходн.данные.!O218&lt;30,0.5,$HF$12+$HE$12*Исходн.данные.!O218))</f>
        <v>0.5</v>
      </c>
      <c r="HF218" s="55" t="e">
        <f>VLOOKUP(Исходн.данные.!AH218,Справ!$A$3:$D$58,2,FALSE)</f>
        <v>#N/A</v>
      </c>
      <c r="HG218" s="55" t="e">
        <f>VLOOKUP(Исходн.данные.!AH218,Справ!$A$3:$D$58,3,FALSE)</f>
        <v>#N/A</v>
      </c>
      <c r="HH218" s="55" t="e">
        <f>VLOOKUP(Исходн.данные.!AH218,Справ!$A$3:$D$58,4,FALSE)</f>
        <v>#N/A</v>
      </c>
      <c r="HI218" s="11" t="e">
        <f t="shared" si="265"/>
        <v>#N/A</v>
      </c>
      <c r="HJ218" s="11" t="e">
        <f t="shared" si="266"/>
        <v>#N/A</v>
      </c>
      <c r="HK218" s="11" t="e">
        <f t="shared" si="267"/>
        <v>#N/A</v>
      </c>
      <c r="HL218" s="55">
        <f>IF(OR(Исходн.данные.!G218="Глин",Исходн.данные.!G218="Т_суг"),1.1,IF(Исходн.данные.!G218="Ср_суг",1,1))</f>
        <v>1</v>
      </c>
      <c r="HM218" s="55">
        <f>IF(OR(Исходн.данные.!G218="Глин",Исходн.данные.!G218="Т_суг"),0.9,IF(Исходн.данные.!G218="Ср_суг",1,1.2))</f>
        <v>1.2</v>
      </c>
      <c r="HN218" s="11" t="e">
        <f t="shared" si="268"/>
        <v>#N/A</v>
      </c>
      <c r="HO218" s="11" t="e">
        <f t="shared" si="269"/>
        <v>#N/A</v>
      </c>
      <c r="HP218" s="11" t="e">
        <f t="shared" si="270"/>
        <v>#N/A</v>
      </c>
      <c r="HQ218" t="e">
        <f t="shared" si="271"/>
        <v>#N/A</v>
      </c>
      <c r="HR218" t="e">
        <f t="shared" si="272"/>
        <v>#N/A</v>
      </c>
      <c r="HS218" t="e">
        <f t="shared" si="273"/>
        <v>#N/A</v>
      </c>
      <c r="HT218" t="e">
        <f t="shared" si="293"/>
        <v>#N/A</v>
      </c>
      <c r="HU218" t="e">
        <f t="shared" si="294"/>
        <v>#N/A</v>
      </c>
      <c r="HV218" t="e">
        <f t="shared" si="295"/>
        <v>#N/A</v>
      </c>
      <c r="HW218" t="e">
        <f t="shared" si="296"/>
        <v>#N/A</v>
      </c>
      <c r="HX218" t="e">
        <f t="shared" si="297"/>
        <v>#N/A</v>
      </c>
      <c r="HY218" t="e">
        <f t="shared" si="298"/>
        <v>#N/A</v>
      </c>
      <c r="HZ218" s="55">
        <f>IF(OR(Исходн.данные.!AI218="Оз_Ч_П",Исходн.данные.!AI218="Оз_З_П",Исходн.данные.!AI218="Яр_зер"),12,30)</f>
        <v>30</v>
      </c>
      <c r="IA218" t="e">
        <f t="shared" si="274"/>
        <v>#N/A</v>
      </c>
      <c r="IB218" t="e">
        <f t="shared" si="275"/>
        <v>#N/A</v>
      </c>
      <c r="IC218" t="e">
        <f t="shared" si="276"/>
        <v>#N/A</v>
      </c>
      <c r="ID218" s="11" t="e">
        <f t="shared" si="277"/>
        <v>#N/A</v>
      </c>
      <c r="IE218" s="11" t="e">
        <f t="shared" si="278"/>
        <v>#N/A</v>
      </c>
      <c r="IF218" s="11" t="e">
        <f t="shared" si="279"/>
        <v>#N/A</v>
      </c>
    </row>
    <row r="219" spans="35:240" x14ac:dyDescent="0.2">
      <c r="AI219">
        <f>IF(Исходн.данные.!I219&gt;6,1,1.85-(0.148*Исходн.данные.!I219))</f>
        <v>1.85</v>
      </c>
      <c r="AJ219">
        <f>IF(Исходн.данные.!I219&gt;6,1,2.434-(0.246*Исходн.данные.!I219))</f>
        <v>2.4340000000000002</v>
      </c>
      <c r="AL219" s="148" t="b">
        <f>IF(Исходн.данные.!$P219="Ум",N_OrgUd_2g_um,IF(Исходн.данные.!$P219="Об",N_OrgUd_2g_ob))</f>
        <v>0</v>
      </c>
      <c r="AM219" s="148" t="b">
        <f>IF(Исходн.данные.!$P219="Ум",P_OrgUd_2g_um,IF(Исходн.данные.!$P219="Об",P_OrgUd_2g_ob))</f>
        <v>0</v>
      </c>
      <c r="AN219" s="148" t="b">
        <f>IF(Исходн.данные.!$P219="Ум",K_OrgUd_2g_um,IF(Исходн.данные.!$P219="Об",K_OrgUd_2g_ob))</f>
        <v>0</v>
      </c>
      <c r="AO219" s="148" t="b">
        <f>IF(Исходн.данные.!$P219="Ум",N_OrgUd_1g_um,IF(Исходн.данные.!$P219="Об",N_OrgUd_1g_ob))</f>
        <v>0</v>
      </c>
      <c r="AP219" s="148" t="b">
        <f>IF(Исходн.данные.!$P219="Ум",P_OrgUd_1g_um,IF(Исходн.данные.!$P219="Об",P_OrgUd_1g_ob))</f>
        <v>0</v>
      </c>
      <c r="AQ219" s="148" t="b">
        <f>IF(Исходн.данные.!$P219="Ум",K_OrgUd_1g_um,IF(Исходн.данные.!$P219="Об",K_OrgUd_1g_ob))</f>
        <v>0</v>
      </c>
      <c r="AR219" t="b">
        <f>IF(Исходн.данные.!$P219="Ум",N_MinUd_2g_um,IF(Исходн.данные.!$P219="Об",N_MinUd_2g_ob))</f>
        <v>0</v>
      </c>
      <c r="AS219" t="b">
        <f>IF(Исходн.данные.!$P219="Ум",P_MinUd_2g_um,IF(Исходн.данные.!$P219="Об",P_MinUd_2g_ob))</f>
        <v>0</v>
      </c>
      <c r="AT219" t="b">
        <f>IF(Исходн.данные.!$P219="Ум",K_MinUd_2g_um,IF(Исходн.данные.!$P219="Об",K_MinUd_2g_ob))</f>
        <v>0</v>
      </c>
      <c r="AU219" t="b">
        <f>IF(Исходн.данные.!$P219="Ум",N_MinUd_1g_um,IF(Исходн.данные.!$P219="Об",N_MinUd_1g_ob))</f>
        <v>0</v>
      </c>
      <c r="AV219" t="b">
        <f>IF(Исходн.данные.!P219="Ум",P_MinUd_1g_um,IF(Исходн.данные.!P219="Об",P_MinUd_1g_ob))</f>
        <v>0</v>
      </c>
      <c r="AW219" t="b">
        <f>IF(Исходн.данные.!P219="Ум",K_MinUd_1g_um,IF(Исходн.данные.!P219="Об",K_MinUd_1g_ob))</f>
        <v>0</v>
      </c>
      <c r="AY219" t="e">
        <f>VLOOKUP(Исходн.данные.!T219,Справ!$A$3:$N$57,12)</f>
        <v>#N/A</v>
      </c>
      <c r="AZ219" t="e">
        <f>VLOOKUP(Исходн.данные.!T219,Справ!$A$3:$N$57,13)</f>
        <v>#N/A</v>
      </c>
      <c r="BA219" t="e">
        <f>VLOOKUP(Исходн.данные.!T219,Справ!$A$3:$N$57,14)</f>
        <v>#N/A</v>
      </c>
      <c r="BB219">
        <f>IF(Исходн.данные.!AH219=0,0,25)</f>
        <v>0</v>
      </c>
      <c r="BC219" s="141">
        <f>IF(Исходн.данные.!AH219=0,0,IF(Исходн.данные.!T219=0,25,BD219))</f>
        <v>0</v>
      </c>
      <c r="BD219" s="168" t="e">
        <f>AY219+AZ219*Исходн.данные.!U219-POWER(BA219,2)*Исходн.данные.!U219</f>
        <v>#N/A</v>
      </c>
      <c r="BE21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19" s="25">
        <f>IF(Исходн.данные.!AH219=0,0,MIN(HN219:HP219))</f>
        <v>0</v>
      </c>
      <c r="BG219" s="9">
        <f>IF(Исходн.данные.!AH219=0,0,IF((HO219+10*0.25/HG219/HL219)&lt;17,17,HO219+10*0.25/HG219/HL219))</f>
        <v>0</v>
      </c>
      <c r="BH219" s="181">
        <f>IF(Исходн.данные.!AH219=0,0,HW219*HF219*HL219/AU219*AI219+Исходн.данные.!S219*10)</f>
        <v>0</v>
      </c>
      <c r="BI219" s="10"/>
      <c r="BJ219" s="182">
        <f>IF(Исходн.данные.!AH219=0,0,IF(HX219*HG219*HL219/AV219&lt;0,0,HX219*HG219*HL219/AV219*AJ219))</f>
        <v>0</v>
      </c>
      <c r="BK219" s="182">
        <f>IF(Исходн.данные.!AH219=0,0,HY219*HH219*HM219/AW219)</f>
        <v>0</v>
      </c>
      <c r="BL219" s="10">
        <f>IF(OR(Исходн.данные.!$AH219=$BP$1,Исходн.данные.!$AH219=$BP$2),0,IF(BH219&lt;0,0,IF(OR(Исходн.данные.!T219=Расчет!$BP$1,Исходн.данные.!T219=Расчет!$BP$2,Исходн.данные.!T219=Расчет!$BT$5,Исходн.данные.!T219=Расчет!$BT$6),BH219*0.5,IF(OR(Исходн.данные.!T219=Расчет!$BS$9,Исходн.данные.!T219=Расчет!$BS$10,Исходн.данные.!T219=Расчет!$BS$11,Исходн.данные.!T219=Расчет!$BS$12,Исходн.данные.!T219=Расчет!$BP$5),BH219*0.8,BH219))))</f>
        <v>0</v>
      </c>
      <c r="BM219" s="10">
        <f>IF(OR(Исходн.данные.!$AH219=$BP$1,Исходн.данные.!$AH219=$BP$2),0,IF(BJ219&lt;0,0,IF(Исходн.данные.!I219&lt;4.5,BJ219*1.2,IF(Исходн.данные.!I219&gt;5.1,BJ219,BJ219*((5.1-Исходн.данные.!I219)*0.333+1)))))</f>
        <v>0</v>
      </c>
      <c r="BN219" s="10">
        <f>IF(OR(Исходн.данные.!$AH219=$BP$1,Исходн.данные.!$AH219=$BP$2),60-Исходн.данные.!AF219,IF(BK219&lt;0,0,IF(Исходн.данные.!I219&lt;4.5,BK219*1.2,IF(Исходн.данные.!I219&gt;5.1,BK219,BK219*((5.1-Исходн.данные.!I219)*0.333+1)))))</f>
        <v>0</v>
      </c>
      <c r="BO219" s="9">
        <f>IF(BL219&lt;0,0,BL219*Исходн.данные.!$AJ219/1000)</f>
        <v>0</v>
      </c>
      <c r="BP219" s="9">
        <f>IF(BM219&lt;0,0,BM219*Исходн.данные.!$AJ219/1000)</f>
        <v>0</v>
      </c>
      <c r="BQ219" s="9">
        <f>IF(BN219&lt;0,0,BN219*Исходн.данные.!$AJ219/1000)</f>
        <v>0</v>
      </c>
      <c r="BR219" s="9">
        <f t="shared" si="229"/>
        <v>0</v>
      </c>
      <c r="BS219" s="10" t="str">
        <f t="shared" si="230"/>
        <v>Аммофос 12:52:00</v>
      </c>
      <c r="BT219" s="10" t="str">
        <f t="shared" si="231"/>
        <v>Аммофос 12:52:00</v>
      </c>
      <c r="BU219" s="10" t="str">
        <f t="shared" si="232"/>
        <v>Диаммофоска</v>
      </c>
      <c r="BV219" s="10">
        <f t="shared" si="233"/>
        <v>0</v>
      </c>
      <c r="BW219" s="10"/>
      <c r="BX219" s="10"/>
      <c r="BY219" s="9">
        <f>IF(BL219&lt;0,0,IF(OR(Исходн.данные.!AI219=Расчет!$BU$6,Исходн.данные.!AI219=Расчет!$BU$7),Расчет!BV219,IF(Исходн.данные.!$AG219=$BV$11,BL219,IF(OR(Исходн.данные.!$AH219=$BQ$7,Исходн.данные.!$AH219=$BQ$8),CB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0,IF(Исходн.данные.!$AI219=$BU$11,"Нет",IF(BL219&gt;30,30,BL219)))))))</f>
        <v>0</v>
      </c>
      <c r="BZ219" s="9">
        <f>IF(AND(Исходн.данные.!$AG219=$BV$11,BM219&lt;10),10,IF(Исходн.данные.!$AG219=$BV$11,BM219,IF(OR(Исходн.данные.!$AH219=$BQ$7,Исходн.данные.!$AH219=$BQ$8),CC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10,IF(Исходн.данные.!$AI219=$BU$11,"Нет",IF(BM219&gt;60,60,IF(BM219&lt;10,10,BM219)))))))</f>
        <v>10</v>
      </c>
      <c r="CA219" s="39">
        <f>IF(BN219&lt;0,0,IF(Исходн.данные.!$AG219=$BV$11,BN219,IF(OR(Исходн.данные.!$AH219=$BQ$7,Исходн.данные.!$AH219=$BQ$8),CD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0,IF(Исходн.данные.!$AI219=$BU$11,"Нет",IF(BN219&gt;30,30,BN219))))))</f>
        <v>0</v>
      </c>
      <c r="CB219" s="9">
        <f t="shared" si="234"/>
        <v>0</v>
      </c>
      <c r="CC219" s="9">
        <f t="shared" si="235"/>
        <v>0</v>
      </c>
      <c r="CD219" s="9">
        <f t="shared" si="236"/>
        <v>0</v>
      </c>
      <c r="CE219" s="12">
        <f t="shared" si="237"/>
        <v>10</v>
      </c>
      <c r="CF219" s="9">
        <f t="shared" si="238"/>
        <v>0</v>
      </c>
      <c r="CG219" s="9" t="s">
        <v>231</v>
      </c>
      <c r="CH219" s="132" t="str">
        <f>IF(Исходн.данные.!AP219=Расчет!$CI$16,"Нет",IF(Исходн.данные.!AL219&gt;0,Исходн.данные.!AL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BH$4,IF(OR(Исходн.данные.!AI219=Исходн.данные.!$AI$6,Исходн.данные.!AI219=Исходн.данные.!$AI$7),Расчет!BS219,IF(AND($CF219=0,$CE219&gt;0),EV219,ER219)))))</f>
        <v>Аммофос 12:52:00</v>
      </c>
      <c r="CI219" s="274">
        <f>IF(Расчет!$CH219="Нет","Нет",IF(Исходн.данные.!$AL219&gt;0,VLOOKUP(Расчет!$CH219,АшламаДВ_Irekle,2,FALSE),VLOOKUP(Расчет!$CH219,АшламаДВ_Gomumy,2,FALSE)))</f>
        <v>0.12</v>
      </c>
      <c r="CJ219" s="274">
        <f>IF(Расчет!$CH219="Нет","Нет",IF(Исходн.данные.!$AL219&gt;0,VLOOKUP(Расчет!$CH219,АшламаДВ_Irekle,3,FALSE),VLOOKUP(Расчет!$CH219,АшламаДВ_Gomumy,3,FALSE)))</f>
        <v>0.52</v>
      </c>
      <c r="CK219" s="274">
        <f>IF(Расчет!$CH219="Нет","Нет",IF(Исходн.данные.!$AL219&gt;0,VLOOKUP(Расчет!$CH219,АшламаДВ_Irekle,4,FALSE),VLOOKUP(Расчет!$CH219,АшламаДВ_Gomumy,4,FALSE)))</f>
        <v>0</v>
      </c>
      <c r="CL219" s="70"/>
      <c r="CM219" s="70"/>
      <c r="CN219" s="70"/>
      <c r="CO219" s="70"/>
      <c r="CP219" s="70"/>
      <c r="CQ219" s="70"/>
      <c r="CR219" s="10">
        <f t="shared" si="239"/>
        <v>0</v>
      </c>
      <c r="CS219" s="10">
        <f t="shared" si="240"/>
        <v>19.23076923076923</v>
      </c>
      <c r="CT219" s="10">
        <f t="shared" si="241"/>
        <v>0</v>
      </c>
      <c r="CU219" s="39">
        <f>IF($CH219="Нет",0,IF(CI219=0,30/MIN(CJ219:CK219),IF(Исходн.данные.!$AG219=$BV$11,CR219,IF(OR(Исходн.данные.!$AH219=$BQ$7,Исходн.данные.!$AH219=$BQ$8),90/CI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0,IF(Исходн.данные.!$AI219=$BU$11,"Нет",30/CI219))))))</f>
        <v>250</v>
      </c>
      <c r="CV219" s="39">
        <f>IF($CH219="Нет",0,IF(Исходн.данные.!AH219=0,0,IF(CJ219=0,60/MIN(CI219,CK219),IF(Исходн.данные.!$AG219=$BV$11,CS219,IF(OR(Исходн.данные.!$AH219=$BQ$7,Исходн.данные.!$AH219=$BQ$8),90/CJ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10/CJ219,IF(Исходн.данные.!$AI219=$BU$11,"Нет",60/CJ219)))))))</f>
        <v>0</v>
      </c>
      <c r="CW219" s="39">
        <f>IF($CH219="Нет",0,IF(Исходн.данные.!AH219=0,0,IF(CK219=0,30/MIN(CI219:CJ219),IF(Исходн.данные.!$AG219=$BV$11,CT219,IF(OR(Исходн.данные.!$AH219=$BQ$7,Исходн.данные.!$AH219=$BQ$8),90/CK219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0,IF(Исходн.данные.!$AI219=$BU$11,"Нет",30/CK219)))))))</f>
        <v>0</v>
      </c>
      <c r="CX219" s="133">
        <f>IF(Исходн.данные.!$AG219=$BV$11,MAX(CU219:CW219),IF(OR(Исходн.данные.!$AH219=$BS$8,Исходн.данные.!$AH219=$BQ$9,Исходн.данные.!$AH219=$BQ$10,Исходн.данные.!$AH219=$BQ$11,Исходн.данные.!$AH219=$BQ$12,Исходн.данные.!$AH219=$BP$3,Исходн.данные.!$AH219=$BT$8,$FM219="Да"),CV219,MIN(CU219:CW219)))</f>
        <v>0</v>
      </c>
      <c r="CY219" s="133">
        <f>IF(Исходн.данные.!AH219=0,0,IF(CR219&gt;$CX219,$CX219,CR219))</f>
        <v>0</v>
      </c>
      <c r="CZ219" s="133">
        <f>IF(Исходн.данные.!AH219=0,0,IF(CS219&gt;$CX219,$CX219,CS219))</f>
        <v>0</v>
      </c>
      <c r="DA219" s="133">
        <f>IF(Исходн.данные.!AH219=0,0,IF(CT219&gt;$CX219,$CX219,CT219))</f>
        <v>0</v>
      </c>
      <c r="DB219" s="10">
        <f t="shared" si="242"/>
        <v>0</v>
      </c>
      <c r="DC219" s="39">
        <f>DB219*Исходн.данные.!AJ219/1000</f>
        <v>0</v>
      </c>
      <c r="DD219" s="71">
        <f t="shared" si="243"/>
        <v>0</v>
      </c>
      <c r="DE219" s="9">
        <f t="shared" si="244"/>
        <v>0</v>
      </c>
      <c r="DF219" s="9">
        <f t="shared" si="245"/>
        <v>0</v>
      </c>
      <c r="DG219" s="39">
        <f>IF(BL219&lt;0,0,IF($CH219="Нет",BL219,IF(OR(Исходн.данные.!$AH219=$BP$1,Исходн.данные.!$AH219=$BP$2),0,IF(Исходн.данные.!AI219=$BU$11,BL219,IF(BL219-DD219&lt;0,0,BL219-DD219)))))</f>
        <v>0</v>
      </c>
      <c r="DH219" s="39">
        <f>IF(BM219&lt;0,0,IF($CH219="Нет",BM219,IF(OR(Исходн.данные.!$AH219=$BP$1,Исходн.данные.!$AH219=$BP$2),0,IF(Исходн.данные.!AJ219=$BU$11,BM219,IF(BM219-DE219&lt;0,0,BM219-DE219)))))</f>
        <v>0</v>
      </c>
      <c r="DI219" s="39">
        <f>IF(BN219&lt;0,0,IF($CH219="Нет",BN219,IF(OR(Исходн.данные.!$AH219=$BP$1,Исходн.данные.!$AH219=$BP$2),0,IF(Исходн.данные.!AK219=$BU$11,BN219,IF(BN219-DF219&lt;0,0,BN219-DF219)))))</f>
        <v>0</v>
      </c>
      <c r="DJ219" s="12">
        <f t="shared" si="246"/>
        <v>0</v>
      </c>
      <c r="DK219" s="9">
        <f t="shared" si="247"/>
        <v>0</v>
      </c>
      <c r="DL219" s="39">
        <f>IF(Исходн.данные.!AM219&gt;0,Исходн.данные.!AM219,IF(EG219&gt;0,$BH$10,0))</f>
        <v>0</v>
      </c>
      <c r="DM219" s="186">
        <f>IF($DL219=0,0,IF(Исходн.данные.!AM219&gt;0,VLOOKUP($DL219,АшламаДВ_Irekle,2,FALSE),VLOOKUP($DL219,АшламаДВ_Gomumy,2,FALSE)))</f>
        <v>0</v>
      </c>
      <c r="DN219" s="10">
        <f t="shared" si="299"/>
        <v>0</v>
      </c>
      <c r="DO219" s="9" t="str">
        <f>IF(Исходн.данные.!AN219&gt;0,Исходн.данные.!AN219,Удобрения!$B$37 )</f>
        <v>Хлор.калий</v>
      </c>
      <c r="DP219" s="9">
        <f>IF(Исходн.данные.!AN219&gt;0,VLOOKUP(Исходн.данные.!AN219,АшламаДВ_Irekle,4,FALSE),VLOOKUP(DO219,АшламаДВ_Gomumy,4,FALSE))</f>
        <v>0.6</v>
      </c>
      <c r="DQ219" s="10">
        <f t="shared" si="300"/>
        <v>0</v>
      </c>
      <c r="DR219" s="132" t="str">
        <f>IF(Исходн.данные.!AO219&gt;0,Исходн.данные.!AO219,IF(DH219=0,BS$17,IF(AND($DK219=0,$DJ219&gt;0),EJ219,EN219)))</f>
        <v>Нет</v>
      </c>
      <c r="DS219" s="70" t="str">
        <f>IF($DR219="Нет","Нет",IF(Исходн.данные.!$AO219&gt;0,VLOOKUP($DR219,АшламаДВ_Irekle,2,FALSE),VLOOKUP($DR219,АшламаДВ_Gomumy,2,FALSE)))</f>
        <v>Нет</v>
      </c>
      <c r="DT219" s="70" t="str">
        <f>IF($DR219="Нет","Нет",IF(Исходн.данные.!$AO219&gt;0,VLOOKUP($DR219,АшламаДВ_Irekle,3,FALSE),VLOOKUP($DR219,АшламаДВ_Gomumy,3,FALSE)))</f>
        <v>Нет</v>
      </c>
      <c r="DU219" s="70" t="str">
        <f>IF($DR219="Нет","Нет",IF(Исходн.данные.!$AO219&gt;0,VLOOKUP($DR219,АшламаДВ_Irekle,4,FALSE),VLOOKUP($DR219,АшламаДВ_Gomumy,4,FALSE)))</f>
        <v>Нет</v>
      </c>
      <c r="DV219" s="70"/>
      <c r="DW219" s="70"/>
      <c r="DX219" s="70"/>
      <c r="DY219" s="10">
        <f t="shared" si="248"/>
        <v>0</v>
      </c>
      <c r="DZ219" s="10">
        <f t="shared" si="249"/>
        <v>0</v>
      </c>
      <c r="EA219" s="10">
        <f t="shared" si="250"/>
        <v>0</v>
      </c>
      <c r="EB219" s="10">
        <f t="shared" si="251"/>
        <v>0</v>
      </c>
      <c r="EC219" s="10">
        <f t="shared" si="252"/>
        <v>0</v>
      </c>
      <c r="ED219" s="10">
        <f t="shared" si="253"/>
        <v>0</v>
      </c>
      <c r="EE219" s="10">
        <f t="shared" si="254"/>
        <v>0</v>
      </c>
      <c r="EF219" s="39">
        <f>EB219*Исходн.данные.!AJ219/1000</f>
        <v>0</v>
      </c>
      <c r="EG219" s="9">
        <f t="shared" si="255"/>
        <v>0</v>
      </c>
      <c r="EH219" s="9">
        <f t="shared" si="256"/>
        <v>0</v>
      </c>
      <c r="EI219" s="39" t="e">
        <f t="shared" si="280"/>
        <v>#DIV/0!</v>
      </c>
      <c r="EJ219" s="9" t="str">
        <f t="shared" si="301"/>
        <v>Азопреципитат</v>
      </c>
      <c r="EK219" s="12">
        <f t="shared" si="281"/>
        <v>0.26</v>
      </c>
      <c r="EL219" s="12">
        <f t="shared" si="282"/>
        <v>0.13</v>
      </c>
      <c r="EM219" s="12">
        <f t="shared" si="283"/>
        <v>0</v>
      </c>
      <c r="EN219" s="12" t="str">
        <f t="shared" si="302"/>
        <v>Нет</v>
      </c>
      <c r="EO219" s="12">
        <f t="shared" si="284"/>
        <v>0</v>
      </c>
      <c r="EP219" s="12">
        <f t="shared" si="285"/>
        <v>0</v>
      </c>
      <c r="EQ219" s="12">
        <f t="shared" si="286"/>
        <v>0</v>
      </c>
      <c r="ER219" s="12" t="str">
        <f t="shared" si="257"/>
        <v>Диаммофоска</v>
      </c>
      <c r="ES219" s="12">
        <f t="shared" si="287"/>
        <v>0.1</v>
      </c>
      <c r="ET219" s="12">
        <f t="shared" si="288"/>
        <v>0.26</v>
      </c>
      <c r="EU219" s="12">
        <f t="shared" si="289"/>
        <v>0.26</v>
      </c>
      <c r="EV219" s="12" t="str">
        <f t="shared" si="258"/>
        <v>Аммофос 12:52:00</v>
      </c>
      <c r="EW219" s="12" t="str">
        <f t="shared" si="259"/>
        <v>Кемира Свекловичное-6</v>
      </c>
      <c r="EX219" s="12">
        <f t="shared" si="290"/>
        <v>0.16</v>
      </c>
      <c r="EY219" s="12">
        <f t="shared" si="291"/>
        <v>0.12</v>
      </c>
      <c r="EZ219" s="12">
        <f t="shared" si="292"/>
        <v>0.17</v>
      </c>
      <c r="FA219" s="38" t="e">
        <f>IF(AND(OR(FJ219=$FD$1,FM219=$FD$1,FO219=$FD$1,FQ219=$FD$1,FS219=$FD$1),FD219=$FD$1,Исходн.данные.!J219&lt;2,FU219=$FD$1),"Бор,Кобальт",IF(AND(FO219=$FD$1,FH219=$FD$1,Исходн.данные.!J219&lt;2,FU219=$FD$1),"Бор,Кобальт",IF(AND(OR(FJ219=$FD$1,FM219=$FD$1,FQ219=$FD$1),FE219=$FD$1,Исходн.данные.!J219&lt;2,FT219=$FD$1,FU219=$FD$1),"Бор,Медь,Цинк",IF(AND(OR(FJ219=$FD$1,FR219="Да"),FI219="Да",Исходн.данные.!J219&lt;2,FT219="Да",FU219="Да"),"Бор,Цинк,Медь",IF(AND(OR(FM219="Да",FQ219="Да"),FI219="Да",Исходн.данные.!J219&lt;2,FT219="Да",FU219="Да"),"Бор,Цинк",IF(AND(FN219="Да",OR(FD219="Да",FE219="Да")),"Бор",FB219))))))</f>
        <v>#N/A</v>
      </c>
      <c r="FB219" s="134" t="e">
        <f>IF(AND(OR(FD219="Да",FE219="Да",FF219="Да",FG219="Да",FH219="Да"),FO219="Да"),"Бор",IF(AND(FP219="Да",OR(FD219="Да",FE219="Да",FI219="Да")),"Бор",IF(AND(FS219="Да",FE219="Да"),"Бор,Медь",IF(AND(OR(FJ219="Да",FK219="Да",FL219="Да"),FE219="Да",Исходн.данные.!I219&lt;5,FT219="Да",FU219="Да"),"Молибден,Цинк",IF(AND(FM219="Да",OR(FE219="Да",FF219="Да",FG219="Да",FH219="Да",FI219="Да")),"Молибден,Цинк",IF(AND(OR(FJ219="Да",FK219="Да",FL219="Да",FM219="Да",FQ219="Да"),OR(FE219="Да",FF219="Да"),FT219="Да",FU219="Да",Исходн.данные.!I219&gt;5.5),"Медь,Цинк",FC219))))))</f>
        <v>#N/A</v>
      </c>
      <c r="FC219" s="23" t="e">
        <f t="shared" si="260"/>
        <v>#N/A</v>
      </c>
      <c r="FD219" s="38" t="str">
        <f>IF(OR(Исходн.данные.!F219=$CC$1,Исходн.данные.!F219=$CC$2,Исходн.данные.!F219=$CC$3,Исходн.данные.!F219=$CC$4),"Да","Нет")</f>
        <v>Нет</v>
      </c>
      <c r="FE219" s="38" t="str">
        <f>IF(Исходн.данные.!F219=$CC$5,"Да","Нет")</f>
        <v>Нет</v>
      </c>
      <c r="FF219" s="38" t="str">
        <f>IF(OR(Исходн.данные.!F219=$CC$6,Исходн.данные.!F219=$CC$7),"Да","Нет")</f>
        <v>Нет</v>
      </c>
      <c r="FG219" s="38" t="str">
        <f>IF(OR(Исходн.данные.!F219=$CC$8,Исходн.данные.!F219=$CC$9),"Да","Нет")</f>
        <v>Нет</v>
      </c>
      <c r="FH219" s="38" t="str">
        <f>IF(Исходн.данные.!F219=$CC$10,"Да","Нет")</f>
        <v>Нет</v>
      </c>
      <c r="FI219" s="38" t="str">
        <f>IF(OR(Исходн.данные.!F219=$CC$11,Исходн.данные.!F219=$CC$12),"Да","Нет")</f>
        <v>Нет</v>
      </c>
      <c r="FJ219" s="38" t="str">
        <f>IF(OR(Исходн.данные.!AH219=$BS$1,Исходн.данные.!AH219=$BQ$11,Исходн.данные.!AH219=$BQ$12),"Да","Нет")</f>
        <v>Нет</v>
      </c>
      <c r="FK219" s="38" t="str">
        <f>IF(OR(Исходн.данные.!AH219=$BS$2,Исходн.данные.!AH219=$BS$4),"Да","Нет")</f>
        <v>Нет</v>
      </c>
      <c r="FL219" s="38" t="str">
        <f>IF(OR(Исходн.данные.!AH219=$BS$3,Исходн.данные.!AH219=$BS$5),"Да","Нет")</f>
        <v>Нет</v>
      </c>
      <c r="FM219" s="38" t="str">
        <f>IF(OR(Исходн.данные.!AH219=$BS$9,Исходн.данные.!AH219=$BS$10,Исходн.данные.!AH219=$BS$11,Исходн.данные.!AH219=$BS$12),"Да","Нет")</f>
        <v>Нет</v>
      </c>
      <c r="FN219" s="38" t="str">
        <f>IF(OR(Исходн.данные.!AH219=$BS$6,Исходн.данные.!AH219=$BP$3),"Да","Нет")</f>
        <v>Нет</v>
      </c>
      <c r="FO219" s="38" t="str">
        <f>IF(Исходн.данные.!AH219=$BQ$9,"Да","Нет")</f>
        <v>Нет</v>
      </c>
      <c r="FP219" s="38" t="str">
        <f>IF(OR(Исходн.данные.!AH219=$BS$8,Исходн.данные.!AH219=$BT$8),"Да","Нет")</f>
        <v>Нет</v>
      </c>
      <c r="FQ219" s="38" t="str">
        <f>IF(OR(Исходн.данные.!AH219=$BQ$7,Исходн.данные.!AH219=$BQ$8),"Да","Нет")</f>
        <v>Нет</v>
      </c>
      <c r="FR219" s="38" t="str">
        <f>IF(Исходн.данные.!AI219=$BU$9,"Да","Нет")</f>
        <v>Нет</v>
      </c>
      <c r="FS219" s="38" t="str">
        <f>IF(OR(Исходн.данные.!AH219=$BP$1,Исходн.данные.!AH219=$BP$2),"Да","Нет")</f>
        <v>Нет</v>
      </c>
      <c r="FT219" s="38" t="e">
        <f>IF((Исходн.данные.!K219*GO219*GS219*GW219+BL219*0.6+Исходн.данные.!Q219*4.5*0.275)&gt;90,"Да","Нет")</f>
        <v>#N/A</v>
      </c>
      <c r="FU219" s="38" t="e">
        <f>IF((Исходн.данные.!M219*GS219*GZ219+BM219*0.225)&gt;35,"Да","Нет")</f>
        <v>#N/A</v>
      </c>
      <c r="FV219" s="38" t="str">
        <f>IF(Исходн.данные.!O219&gt;175,"Да","Нет")</f>
        <v>Нет</v>
      </c>
      <c r="FW219" s="39" t="str">
        <f>IF(Исходн.данные.!I219&gt;5.5,"Да","Нет")</f>
        <v>Нет</v>
      </c>
      <c r="FX219" s="39" t="str">
        <f>IF(Исходн.данные.!J219&lt;2,"Да","Нет")</f>
        <v>Да</v>
      </c>
      <c r="FY219" s="39" t="e">
        <f>IF(HF219=$FY$16,0,Исходн.данные.!K219*GO219*GS219*GW219/HF219)</f>
        <v>#N/A</v>
      </c>
      <c r="FZ219" s="39" t="e">
        <f>Исходн.данные.!M219*GS219*GZ219/HG219</f>
        <v>#N/A</v>
      </c>
      <c r="GA219" s="39" t="e">
        <f>IF(K_Wyn=$FY$16,0,IF(Исходн.данные.!N219=Исходн.данные.!$L$10,Исходн.данные.!O219/1.1*GS219*HC219/HH219,IF(Исходн.данные.!N219=Исходн.данные.!$L$12,Исходн.данные.!O219/1.5*GS219*HC219/HH219,Исходн.данные.!O219*GS219*HC219/HH219)))</f>
        <v>#N/A</v>
      </c>
      <c r="GB219" s="39" t="e">
        <f>IF(HF219=$FY$16,0,((Исходн.данные.!Q219*N_Org+Исходн.данные.!R219*N_Sider+Исходн.данные.!S219*N_Soloma)*AO219+Расчет!BC219*VLOOKUP(Исходн.данные.!T219,Справ!$A$3:$O$57,15)*AO219+BB219*VLOOKUP(Исходн.данные.!T219,Справ!$A$3:$O$57,15)*AL219+(Исходн.данные.!V219*N_Rizotorf+Исходн.данные.!W219*N_Rizoagr))/HF219)</f>
        <v>#N/A</v>
      </c>
      <c r="GC219" s="39" t="e">
        <f>IF(HG219=$FY$16,0,((Исходн.данные.!Q219*Р_Org+Исходн.данные.!R219*P_Sider+Исходн.данные.!S219*P_Soloma)*AP219+Расчет!BC219*VLOOKUP(Исходн.данные.!T219,Справ!$A$3:$P$57,16)*AP219+BB219*VLOOKUP(Исходн.данные.!T219,Справ!$A$3:$P$57,16)*AM219)/HG219)</f>
        <v>#N/A</v>
      </c>
      <c r="GD219" s="39" t="e">
        <f>IF(HH219=$FY$16,0,((Исходн.данные.!Q219*К_Org+Исходн.данные.!R219*K_Sider+Исходн.данные.!S219*K_Soloma)*AQ219+Расчет!BC219*VLOOKUP(Исходн.данные.!T219,Справ!$A$3:$Q$57,17)*AQ219+BB219*VLOOKUP(Исходн.данные.!T219,Справ!$A$3:$Q$57,17)*AN219)/HH219)</f>
        <v>#N/A</v>
      </c>
      <c r="GE219" s="39" t="e">
        <f>IF(HF219=$FY$16,0,(Исходн.данные.!X219*AR219+Исходн.данные.!AA219*N_Org*AL219+Исходн.данные.!AB219*N_Sider*AL219+Исходн.данные.!AC219*N_Soloma*AL219)/HF219)</f>
        <v>#N/A</v>
      </c>
      <c r="GF219" s="39" t="e">
        <f>IF(HG219=$FY$16,0,(Исходн.данные.!Y219*AS219+Исходн.данные.!AA219*Р_Org*AM219+Исходн.данные.!AB219*P_Sider*AM219+Исходн.данные.!AC219*P_Soloma*AM219)/HG219)</f>
        <v>#N/A</v>
      </c>
      <c r="GG219" s="39" t="e">
        <f>IF(HH219=$FY$16,0,(Исходн.данные.!Z219*AT219+Исходн.данные.!AA219*К_Org*AN219+Исходн.данные.!AB219*K_Sider*AN219+Исходн.данные.!AC219*K_Soloma*AN219)/HH219)</f>
        <v>#N/A</v>
      </c>
      <c r="GH219" s="39" t="e">
        <f>Исходн.данные.!AD219*AU219/HF219</f>
        <v>#N/A</v>
      </c>
      <c r="GI219" s="39" t="e">
        <f>Исходн.данные.!AE219*AV219/HG219</f>
        <v>#N/A</v>
      </c>
      <c r="GJ219" s="39" t="e">
        <f>Исходн.данные.!AF219*AW219/HH219</f>
        <v>#N/A</v>
      </c>
      <c r="GK219" s="55">
        <f>Исходн.данные.!AK219</f>
        <v>0</v>
      </c>
      <c r="GL219" s="11" t="e">
        <f t="shared" si="261"/>
        <v>#N/A</v>
      </c>
      <c r="GM219" s="11" t="e">
        <f t="shared" si="262"/>
        <v>#N/A</v>
      </c>
      <c r="GN219" s="11" t="e">
        <f t="shared" si="263"/>
        <v>#N/A</v>
      </c>
      <c r="GO219" s="57">
        <f t="shared" si="264"/>
        <v>19</v>
      </c>
      <c r="GP219" s="55">
        <f>IF(OR(Исходн.данные.!F219=$CE$1,Исходн.данные.!F219=$CE$2,Исходн.данные.!F219=$CE$3,Исходн.данные.!F219=$CE$4,Исходн.данные.!F219=$CE$5),GQ219,GR219)</f>
        <v>19</v>
      </c>
      <c r="GQ219" s="55">
        <f>IF(Исходн.данные.!F219=$CE$1,28,IF(Исходн.данные.!F219=$CE$2,26,IF(Исходн.данные.!F219=$CE$3,24,IF(Исходн.данные.!F219=$CE$4,22,IF(Исходн.данные.!F219=$CE$5,20,GR219)))))</f>
        <v>19</v>
      </c>
      <c r="GR219" s="55">
        <f>IF(Исходн.данные.!F219=$CE$6,18,IF(Исходн.данные.!F219=$CE$7,16,IF(Исходн.данные.!F219=$CE$8,14,IF(Исходн.данные.!F219=$CE$9,13,IF(Исходн.данные.!F219=$CE$10,12,19)))))</f>
        <v>19</v>
      </c>
      <c r="GS219" s="55">
        <f>IF(Исходн.данные.!G219="Пес",0.035*(40+2*Исходн.данные.!H219),IF(Исходн.данные.!G219="Суп",0.0325*(40+2*Исходн.данные.!H219),0.03*(40+2*Исходн.данные.!H219)))</f>
        <v>1.2</v>
      </c>
      <c r="GT219" s="55">
        <f>IF(Исходн.данные.!H219&lt;23,2.6,IF(AND(Исходн.данные.!H219&gt;22,Исходн.данные.!H219&lt;26),3,IF(AND(Исходн.данные.!H219&gt;25,Исходн.данные.!H219&lt;29),3.4,3.6)))</f>
        <v>2.6</v>
      </c>
      <c r="GU219" s="55">
        <f>IF(Исходн.данные.!H219&lt;23,2.8,IF(AND(Исходн.данные.!H219&gt;22,Исходн.данные.!H219&lt;26),3.2,IF(AND(Исходн.данные.!H219&gt;25,Исходн.данные.!H219&lt;29),3.6,3.9)))</f>
        <v>2.8</v>
      </c>
      <c r="GV219" s="55">
        <f>IF(Исходн.данные.!H219&lt;23,3,IF(AND(Исходн.данные.!H219&gt;22,Исходн.данные.!H219&lt;26),3.5,IF(AND(Исходн.данные.!H219&gt;25,Исходн.данные.!H219&lt;29),3.9,4.2)))</f>
        <v>3</v>
      </c>
      <c r="GW219" s="55" t="e">
        <f>IF(Исходн.данные.!P219="Ум",GX219,GY219)</f>
        <v>#N/A</v>
      </c>
      <c r="GX219" s="55" t="e">
        <f>VLOOKUP(Исходн.данные.!AI219,Коэффициенты!$J$7:$L$13,2,FALSE)</f>
        <v>#N/A</v>
      </c>
      <c r="GY219" s="55" t="e">
        <f>VLOOKUP(Исходн.данные.!AI219,Коэффициенты!$J$7:$L$13,3,FALSE)</f>
        <v>#N/A</v>
      </c>
      <c r="GZ219" s="55" t="e">
        <f>(IF(Исходн.данные.!M219&lt;50,0.11*VLOOKUP(Исходн.данные.!AH219,Культуры.Информация,7,FALSE),IF(Исходн.данные.!M219&gt;250,0.05*VLOOKUP(Исходн.данные.!AH219,Культуры.Информация,7,FALSE),VLOOKUP(Исходн.данные.!AH219,Культуры.Информация,5,FALSE)/100*($GX$6+$GY$6*Исходн.данные.!M219))))*Расчет2!AI219</f>
        <v>#N/A</v>
      </c>
      <c r="HA219" s="211"/>
      <c r="HB219" s="211"/>
      <c r="HC219" s="55" t="e">
        <f>(IF(Исходн.данные.!O219&lt;80,0.2*VLOOKUP(Исходн.данные.!AH219,Культуры.Информация,8,FALSE),IF(Исходн.данные.!O219&gt;240,0.09*VLOOKUP(Исходн.данные.!AH219,Культуры.Информация,8,FALSE),VLOOKUP(Исходн.данные.!AH219,Культуры.Информация,6,FALSE)/100*($HB$6+$HC$6*Исходн.данные.!O219))))*Расчет2!AJ219</f>
        <v>#N/A</v>
      </c>
      <c r="HD219" s="55">
        <f>IF(Исходн.данные.!O219&gt;240,0.09,IF(Исходн.данные.!O219&lt;30,0.3,$HE$10+$HD$10*Исходн.данные.!O219))</f>
        <v>0.3</v>
      </c>
      <c r="HE219" s="55">
        <f>IF(Исходн.данные.!O219&gt;240,0.17,IF(Исходн.данные.!O219&lt;30,0.5,$HF$12+$HE$12*Исходн.данные.!O219))</f>
        <v>0.5</v>
      </c>
      <c r="HF219" s="55" t="e">
        <f>VLOOKUP(Исходн.данные.!AH219,Справ!$A$3:$D$58,2,FALSE)</f>
        <v>#N/A</v>
      </c>
      <c r="HG219" s="55" t="e">
        <f>VLOOKUP(Исходн.данные.!AH219,Справ!$A$3:$D$58,3,FALSE)</f>
        <v>#N/A</v>
      </c>
      <c r="HH219" s="55" t="e">
        <f>VLOOKUP(Исходн.данные.!AH219,Справ!$A$3:$D$58,4,FALSE)</f>
        <v>#N/A</v>
      </c>
      <c r="HI219" s="11" t="e">
        <f t="shared" si="265"/>
        <v>#N/A</v>
      </c>
      <c r="HJ219" s="11" t="e">
        <f t="shared" si="266"/>
        <v>#N/A</v>
      </c>
      <c r="HK219" s="11" t="e">
        <f t="shared" si="267"/>
        <v>#N/A</v>
      </c>
      <c r="HL219" s="55">
        <f>IF(OR(Исходн.данные.!G219="Глин",Исходн.данные.!G219="Т_суг"),1.1,IF(Исходн.данные.!G219="Ср_суг",1,1))</f>
        <v>1</v>
      </c>
      <c r="HM219" s="55">
        <f>IF(OR(Исходн.данные.!G219="Глин",Исходн.данные.!G219="Т_суг"),0.9,IF(Исходн.данные.!G219="Ср_суг",1,1.2))</f>
        <v>1.2</v>
      </c>
      <c r="HN219" s="11" t="e">
        <f t="shared" si="268"/>
        <v>#N/A</v>
      </c>
      <c r="HO219" s="11" t="e">
        <f t="shared" si="269"/>
        <v>#N/A</v>
      </c>
      <c r="HP219" s="11" t="e">
        <f t="shared" si="270"/>
        <v>#N/A</v>
      </c>
      <c r="HQ219" t="e">
        <f t="shared" si="271"/>
        <v>#N/A</v>
      </c>
      <c r="HR219" t="e">
        <f t="shared" si="272"/>
        <v>#N/A</v>
      </c>
      <c r="HS219" t="e">
        <f t="shared" si="273"/>
        <v>#N/A</v>
      </c>
      <c r="HT219" t="e">
        <f t="shared" si="293"/>
        <v>#N/A</v>
      </c>
      <c r="HU219" t="e">
        <f t="shared" si="294"/>
        <v>#N/A</v>
      </c>
      <c r="HV219" t="e">
        <f t="shared" si="295"/>
        <v>#N/A</v>
      </c>
      <c r="HW219" t="e">
        <f t="shared" si="296"/>
        <v>#N/A</v>
      </c>
      <c r="HX219" t="e">
        <f t="shared" si="297"/>
        <v>#N/A</v>
      </c>
      <c r="HY219" t="e">
        <f t="shared" si="298"/>
        <v>#N/A</v>
      </c>
      <c r="HZ219" s="55">
        <f>IF(OR(Исходн.данные.!AI219="Оз_Ч_П",Исходн.данные.!AI219="Оз_З_П",Исходн.данные.!AI219="Яр_зер"),12,30)</f>
        <v>30</v>
      </c>
      <c r="IA219" t="e">
        <f t="shared" si="274"/>
        <v>#N/A</v>
      </c>
      <c r="IB219" t="e">
        <f t="shared" si="275"/>
        <v>#N/A</v>
      </c>
      <c r="IC219" t="e">
        <f t="shared" si="276"/>
        <v>#N/A</v>
      </c>
      <c r="ID219" s="11" t="e">
        <f t="shared" si="277"/>
        <v>#N/A</v>
      </c>
      <c r="IE219" s="11" t="e">
        <f t="shared" si="278"/>
        <v>#N/A</v>
      </c>
      <c r="IF219" s="11" t="e">
        <f t="shared" si="279"/>
        <v>#N/A</v>
      </c>
    </row>
    <row r="220" spans="35:240" x14ac:dyDescent="0.2">
      <c r="AI220">
        <f>IF(Исходн.данные.!I220&gt;6,1,1.85-(0.148*Исходн.данные.!I220))</f>
        <v>1.85</v>
      </c>
      <c r="AJ220">
        <f>IF(Исходн.данные.!I220&gt;6,1,2.434-(0.246*Исходн.данные.!I220))</f>
        <v>2.4340000000000002</v>
      </c>
      <c r="AL220" s="148" t="b">
        <f>IF(Исходн.данные.!$P220="Ум",N_OrgUd_2g_um,IF(Исходн.данные.!$P220="Об",N_OrgUd_2g_ob))</f>
        <v>0</v>
      </c>
      <c r="AM220" s="148" t="b">
        <f>IF(Исходн.данные.!$P220="Ум",P_OrgUd_2g_um,IF(Исходн.данные.!$P220="Об",P_OrgUd_2g_ob))</f>
        <v>0</v>
      </c>
      <c r="AN220" s="148" t="b">
        <f>IF(Исходн.данные.!$P220="Ум",K_OrgUd_2g_um,IF(Исходн.данные.!$P220="Об",K_OrgUd_2g_ob))</f>
        <v>0</v>
      </c>
      <c r="AO220" s="148" t="b">
        <f>IF(Исходн.данные.!$P220="Ум",N_OrgUd_1g_um,IF(Исходн.данные.!$P220="Об",N_OrgUd_1g_ob))</f>
        <v>0</v>
      </c>
      <c r="AP220" s="148" t="b">
        <f>IF(Исходн.данные.!$P220="Ум",P_OrgUd_1g_um,IF(Исходн.данные.!$P220="Об",P_OrgUd_1g_ob))</f>
        <v>0</v>
      </c>
      <c r="AQ220" s="148" t="b">
        <f>IF(Исходн.данные.!$P220="Ум",K_OrgUd_1g_um,IF(Исходн.данные.!$P220="Об",K_OrgUd_1g_ob))</f>
        <v>0</v>
      </c>
      <c r="AR220" t="b">
        <f>IF(Исходн.данные.!$P220="Ум",N_MinUd_2g_um,IF(Исходн.данные.!$P220="Об",N_MinUd_2g_ob))</f>
        <v>0</v>
      </c>
      <c r="AS220" t="b">
        <f>IF(Исходн.данные.!$P220="Ум",P_MinUd_2g_um,IF(Исходн.данные.!$P220="Об",P_MinUd_2g_ob))</f>
        <v>0</v>
      </c>
      <c r="AT220" t="b">
        <f>IF(Исходн.данные.!$P220="Ум",K_MinUd_2g_um,IF(Исходн.данные.!$P220="Об",K_MinUd_2g_ob))</f>
        <v>0</v>
      </c>
      <c r="AU220" t="b">
        <f>IF(Исходн.данные.!$P220="Ум",N_MinUd_1g_um,IF(Исходн.данные.!$P220="Об",N_MinUd_1g_ob))</f>
        <v>0</v>
      </c>
      <c r="AV220" t="b">
        <f>IF(Исходн.данные.!P220="Ум",P_MinUd_1g_um,IF(Исходн.данные.!P220="Об",P_MinUd_1g_ob))</f>
        <v>0</v>
      </c>
      <c r="AW220" t="b">
        <f>IF(Исходн.данные.!P220="Ум",K_MinUd_1g_um,IF(Исходн.данные.!P220="Об",K_MinUd_1g_ob))</f>
        <v>0</v>
      </c>
      <c r="AY220" t="e">
        <f>VLOOKUP(Исходн.данные.!T220,Справ!$A$3:$N$57,12)</f>
        <v>#N/A</v>
      </c>
      <c r="AZ220" t="e">
        <f>VLOOKUP(Исходн.данные.!T220,Справ!$A$3:$N$57,13)</f>
        <v>#N/A</v>
      </c>
      <c r="BA220" t="e">
        <f>VLOOKUP(Исходн.данные.!T220,Справ!$A$3:$N$57,14)</f>
        <v>#N/A</v>
      </c>
      <c r="BB220">
        <f>IF(Исходн.данные.!AH220=0,0,25)</f>
        <v>0</v>
      </c>
      <c r="BC220" s="141">
        <f>IF(Исходн.данные.!AH220=0,0,IF(Исходн.данные.!T220=0,25,BD220))</f>
        <v>0</v>
      </c>
      <c r="BD220" s="168" t="e">
        <f>AY220+AZ220*Исходн.данные.!U220-POWER(BA220,2)*Исходн.данные.!U220</f>
        <v>#N/A</v>
      </c>
      <c r="BE22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0" s="25">
        <f>IF(Исходн.данные.!AH220=0,0,MIN(HN220:HP220))</f>
        <v>0</v>
      </c>
      <c r="BG220" s="9">
        <f>IF(Исходн.данные.!AH220=0,0,IF((HO220+10*0.25/HG220/HL220)&lt;17,17,HO220+10*0.25/HG220/HL220))</f>
        <v>0</v>
      </c>
      <c r="BH220" s="181">
        <f>IF(Исходн.данные.!AH220=0,0,HW220*HF220*HL220/AU220*AI220+Исходн.данные.!S220*10)</f>
        <v>0</v>
      </c>
      <c r="BI220" s="10"/>
      <c r="BJ220" s="182">
        <f>IF(Исходн.данные.!AH220=0,0,IF(HX220*HG220*HL220/AV220&lt;0,0,HX220*HG220*HL220/AV220*AJ220))</f>
        <v>0</v>
      </c>
      <c r="BK220" s="182">
        <f>IF(Исходн.данные.!AH220=0,0,HY220*HH220*HM220/AW220)</f>
        <v>0</v>
      </c>
      <c r="BL220" s="10">
        <f>IF(OR(Исходн.данные.!$AH220=$BP$1,Исходн.данные.!$AH220=$BP$2),0,IF(BH220&lt;0,0,IF(OR(Исходн.данные.!T220=Расчет!$BP$1,Исходн.данные.!T220=Расчет!$BP$2,Исходн.данные.!T220=Расчет!$BT$5,Исходн.данные.!T220=Расчет!$BT$6),BH220*0.5,IF(OR(Исходн.данные.!T220=Расчет!$BS$9,Исходн.данные.!T220=Расчет!$BS$10,Исходн.данные.!T220=Расчет!$BS$11,Исходн.данные.!T220=Расчет!$BS$12,Исходн.данные.!T220=Расчет!$BP$5),BH220*0.8,BH220))))</f>
        <v>0</v>
      </c>
      <c r="BM220" s="10">
        <f>IF(OR(Исходн.данные.!$AH220=$BP$1,Исходн.данные.!$AH220=$BP$2),0,IF(BJ220&lt;0,0,IF(Исходн.данные.!I220&lt;4.5,BJ220*1.2,IF(Исходн.данные.!I220&gt;5.1,BJ220,BJ220*((5.1-Исходн.данные.!I220)*0.333+1)))))</f>
        <v>0</v>
      </c>
      <c r="BN220" s="10">
        <f>IF(OR(Исходн.данные.!$AH220=$BP$1,Исходн.данные.!$AH220=$BP$2),60-Исходн.данные.!AF220,IF(BK220&lt;0,0,IF(Исходн.данные.!I220&lt;4.5,BK220*1.2,IF(Исходн.данные.!I220&gt;5.1,BK220,BK220*((5.1-Исходн.данные.!I220)*0.333+1)))))</f>
        <v>0</v>
      </c>
      <c r="BO220" s="9">
        <f>IF(BL220&lt;0,0,BL220*Исходн.данные.!$AJ220/1000)</f>
        <v>0</v>
      </c>
      <c r="BP220" s="9">
        <f>IF(BM220&lt;0,0,BM220*Исходн.данные.!$AJ220/1000)</f>
        <v>0</v>
      </c>
      <c r="BQ220" s="9">
        <f>IF(BN220&lt;0,0,BN220*Исходн.данные.!$AJ220/1000)</f>
        <v>0</v>
      </c>
      <c r="BR220" s="9">
        <f t="shared" si="229"/>
        <v>0</v>
      </c>
      <c r="BS220" s="10" t="str">
        <f t="shared" si="230"/>
        <v>Аммофос 12:52:00</v>
      </c>
      <c r="BT220" s="10" t="str">
        <f t="shared" si="231"/>
        <v>Аммофос 12:52:00</v>
      </c>
      <c r="BU220" s="10" t="str">
        <f t="shared" si="232"/>
        <v>Диаммофоска</v>
      </c>
      <c r="BV220" s="10">
        <f t="shared" si="233"/>
        <v>0</v>
      </c>
      <c r="BW220" s="10"/>
      <c r="BX220" s="10"/>
      <c r="BY220" s="9">
        <f>IF(BL220&lt;0,0,IF(OR(Исходн.данные.!AI220=Расчет!$BU$6,Исходн.данные.!AI220=Расчет!$BU$7),Расчет!BV220,IF(Исходн.данные.!$AG220=$BV$11,BL220,IF(OR(Исходн.данные.!$AH220=$BQ$7,Исходн.данные.!$AH220=$BQ$8),CB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0,IF(Исходн.данные.!$AI220=$BU$11,"Нет",IF(BL220&gt;30,30,BL220)))))))</f>
        <v>0</v>
      </c>
      <c r="BZ220" s="9">
        <f>IF(AND(Исходн.данные.!$AG220=$BV$11,BM220&lt;10),10,IF(Исходн.данные.!$AG220=$BV$11,BM220,IF(OR(Исходн.данные.!$AH220=$BQ$7,Исходн.данные.!$AH220=$BQ$8),CC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10,IF(Исходн.данные.!$AI220=$BU$11,"Нет",IF(BM220&gt;60,60,IF(BM220&lt;10,10,BM220)))))))</f>
        <v>10</v>
      </c>
      <c r="CA220" s="39">
        <f>IF(BN220&lt;0,0,IF(Исходн.данные.!$AG220=$BV$11,BN220,IF(OR(Исходн.данные.!$AH220=$BQ$7,Исходн.данные.!$AH220=$BQ$8),CD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0,IF(Исходн.данные.!$AI220=$BU$11,"Нет",IF(BN220&gt;30,30,BN220))))))</f>
        <v>0</v>
      </c>
      <c r="CB220" s="9">
        <f t="shared" si="234"/>
        <v>0</v>
      </c>
      <c r="CC220" s="9">
        <f t="shared" si="235"/>
        <v>0</v>
      </c>
      <c r="CD220" s="9">
        <f t="shared" si="236"/>
        <v>0</v>
      </c>
      <c r="CE220" s="12">
        <f t="shared" si="237"/>
        <v>10</v>
      </c>
      <c r="CF220" s="9">
        <f t="shared" si="238"/>
        <v>0</v>
      </c>
      <c r="CG220" s="9" t="s">
        <v>231</v>
      </c>
      <c r="CH220" s="132" t="str">
        <f>IF(Исходн.данные.!AP220=Расчет!$CI$16,"Нет",IF(Исходн.данные.!AL220&gt;0,Исходн.данные.!AL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BH$4,IF(OR(Исходн.данные.!AI220=Исходн.данные.!$AI$6,Исходн.данные.!AI220=Исходн.данные.!$AI$7),Расчет!BS220,IF(AND($CF220=0,$CE220&gt;0),EV220,ER220)))))</f>
        <v>Аммофос 12:52:00</v>
      </c>
      <c r="CI220" s="274">
        <f>IF(Расчет!$CH220="Нет","Нет",IF(Исходн.данные.!$AL220&gt;0,VLOOKUP(Расчет!$CH220,АшламаДВ_Irekle,2,FALSE),VLOOKUP(Расчет!$CH220,АшламаДВ_Gomumy,2,FALSE)))</f>
        <v>0.12</v>
      </c>
      <c r="CJ220" s="274">
        <f>IF(Расчет!$CH220="Нет","Нет",IF(Исходн.данные.!$AL220&gt;0,VLOOKUP(Расчет!$CH220,АшламаДВ_Irekle,3,FALSE),VLOOKUP(Расчет!$CH220,АшламаДВ_Gomumy,3,FALSE)))</f>
        <v>0.52</v>
      </c>
      <c r="CK220" s="274">
        <f>IF(Расчет!$CH220="Нет","Нет",IF(Исходн.данные.!$AL220&gt;0,VLOOKUP(Расчет!$CH220,АшламаДВ_Irekle,4,FALSE),VLOOKUP(Расчет!$CH220,АшламаДВ_Gomumy,4,FALSE)))</f>
        <v>0</v>
      </c>
      <c r="CL220" s="70"/>
      <c r="CM220" s="70"/>
      <c r="CN220" s="70"/>
      <c r="CO220" s="70"/>
      <c r="CP220" s="70"/>
      <c r="CQ220" s="70"/>
      <c r="CR220" s="10">
        <f t="shared" si="239"/>
        <v>0</v>
      </c>
      <c r="CS220" s="10">
        <f t="shared" si="240"/>
        <v>19.23076923076923</v>
      </c>
      <c r="CT220" s="10">
        <f t="shared" si="241"/>
        <v>0</v>
      </c>
      <c r="CU220" s="39">
        <f>IF($CH220="Нет",0,IF(CI220=0,30/MIN(CJ220:CK220),IF(Исходн.данные.!$AG220=$BV$11,CR220,IF(OR(Исходн.данные.!$AH220=$BQ$7,Исходн.данные.!$AH220=$BQ$8),90/CI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0,IF(Исходн.данные.!$AI220=$BU$11,"Нет",30/CI220))))))</f>
        <v>250</v>
      </c>
      <c r="CV220" s="39">
        <f>IF($CH220="Нет",0,IF(Исходн.данные.!AH220=0,0,IF(CJ220=0,60/MIN(CI220,CK220),IF(Исходн.данные.!$AG220=$BV$11,CS220,IF(OR(Исходн.данные.!$AH220=$BQ$7,Исходн.данные.!$AH220=$BQ$8),90/CJ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10/CJ220,IF(Исходн.данные.!$AI220=$BU$11,"Нет",60/CJ220)))))))</f>
        <v>0</v>
      </c>
      <c r="CW220" s="39">
        <f>IF($CH220="Нет",0,IF(Исходн.данные.!AH220=0,0,IF(CK220=0,30/MIN(CI220:CJ220),IF(Исходн.данные.!$AG220=$BV$11,CT220,IF(OR(Исходн.данные.!$AH220=$BQ$7,Исходн.данные.!$AH220=$BQ$8),90/CK220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0,IF(Исходн.данные.!$AI220=$BU$11,"Нет",30/CK220)))))))</f>
        <v>0</v>
      </c>
      <c r="CX220" s="133">
        <f>IF(Исходн.данные.!$AG220=$BV$11,MAX(CU220:CW220),IF(OR(Исходн.данные.!$AH220=$BS$8,Исходн.данные.!$AH220=$BQ$9,Исходн.данные.!$AH220=$BQ$10,Исходн.данные.!$AH220=$BQ$11,Исходн.данные.!$AH220=$BQ$12,Исходн.данные.!$AH220=$BP$3,Исходн.данные.!$AH220=$BT$8,$FM220="Да"),CV220,MIN(CU220:CW220)))</f>
        <v>0</v>
      </c>
      <c r="CY220" s="133">
        <f>IF(Исходн.данные.!AH220=0,0,IF(CR220&gt;$CX220,$CX220,CR220))</f>
        <v>0</v>
      </c>
      <c r="CZ220" s="133">
        <f>IF(Исходн.данные.!AH220=0,0,IF(CS220&gt;$CX220,$CX220,CS220))</f>
        <v>0</v>
      </c>
      <c r="DA220" s="133">
        <f>IF(Исходн.данные.!AH220=0,0,IF(CT220&gt;$CX220,$CX220,CT220))</f>
        <v>0</v>
      </c>
      <c r="DB220" s="10">
        <f t="shared" si="242"/>
        <v>0</v>
      </c>
      <c r="DC220" s="39">
        <f>DB220*Исходн.данные.!AJ220/1000</f>
        <v>0</v>
      </c>
      <c r="DD220" s="71">
        <f t="shared" si="243"/>
        <v>0</v>
      </c>
      <c r="DE220" s="9">
        <f t="shared" si="244"/>
        <v>0</v>
      </c>
      <c r="DF220" s="9">
        <f t="shared" si="245"/>
        <v>0</v>
      </c>
      <c r="DG220" s="39">
        <f>IF(BL220&lt;0,0,IF($CH220="Нет",BL220,IF(OR(Исходн.данные.!$AH220=$BP$1,Исходн.данные.!$AH220=$BP$2),0,IF(Исходн.данные.!AI220=$BU$11,BL220,IF(BL220-DD220&lt;0,0,BL220-DD220)))))</f>
        <v>0</v>
      </c>
      <c r="DH220" s="39">
        <f>IF(BM220&lt;0,0,IF($CH220="Нет",BM220,IF(OR(Исходн.данные.!$AH220=$BP$1,Исходн.данные.!$AH220=$BP$2),0,IF(Исходн.данные.!AJ220=$BU$11,BM220,IF(BM220-DE220&lt;0,0,BM220-DE220)))))</f>
        <v>0</v>
      </c>
      <c r="DI220" s="39">
        <f>IF(BN220&lt;0,0,IF($CH220="Нет",BN220,IF(OR(Исходн.данные.!$AH220=$BP$1,Исходн.данные.!$AH220=$BP$2),0,IF(Исходн.данные.!AK220=$BU$11,BN220,IF(BN220-DF220&lt;0,0,BN220-DF220)))))</f>
        <v>0</v>
      </c>
      <c r="DJ220" s="12">
        <f t="shared" si="246"/>
        <v>0</v>
      </c>
      <c r="DK220" s="9">
        <f t="shared" si="247"/>
        <v>0</v>
      </c>
      <c r="DL220" s="39">
        <f>IF(Исходн.данные.!AM220&gt;0,Исходн.данные.!AM220,IF(EG220&gt;0,$BH$10,0))</f>
        <v>0</v>
      </c>
      <c r="DM220" s="186">
        <f>IF($DL220=0,0,IF(Исходн.данные.!AM220&gt;0,VLOOKUP($DL220,АшламаДВ_Irekle,2,FALSE),VLOOKUP($DL220,АшламаДВ_Gomumy,2,FALSE)))</f>
        <v>0</v>
      </c>
      <c r="DN220" s="10">
        <f t="shared" si="299"/>
        <v>0</v>
      </c>
      <c r="DO220" s="9" t="str">
        <f>IF(Исходн.данные.!AN220&gt;0,Исходн.данные.!AN220,Удобрения!$B$37 )</f>
        <v>Хлор.калий</v>
      </c>
      <c r="DP220" s="9">
        <f>IF(Исходн.данные.!AN220&gt;0,VLOOKUP(Исходн.данные.!AN220,АшламаДВ_Irekle,4,FALSE),VLOOKUP(DO220,АшламаДВ_Gomumy,4,FALSE))</f>
        <v>0.6</v>
      </c>
      <c r="DQ220" s="10">
        <f t="shared" si="300"/>
        <v>0</v>
      </c>
      <c r="DR220" s="132" t="str">
        <f>IF(Исходн.данные.!AO220&gt;0,Исходн.данные.!AO220,IF(DH220=0,BS$17,IF(AND($DK220=0,$DJ220&gt;0),EJ220,EN220)))</f>
        <v>Нет</v>
      </c>
      <c r="DS220" s="70" t="str">
        <f>IF($DR220="Нет","Нет",IF(Исходн.данные.!$AO220&gt;0,VLOOKUP($DR220,АшламаДВ_Irekle,2,FALSE),VLOOKUP($DR220,АшламаДВ_Gomumy,2,FALSE)))</f>
        <v>Нет</v>
      </c>
      <c r="DT220" s="70" t="str">
        <f>IF($DR220="Нет","Нет",IF(Исходн.данные.!$AO220&gt;0,VLOOKUP($DR220,АшламаДВ_Irekle,3,FALSE),VLOOKUP($DR220,АшламаДВ_Gomumy,3,FALSE)))</f>
        <v>Нет</v>
      </c>
      <c r="DU220" s="70" t="str">
        <f>IF($DR220="Нет","Нет",IF(Исходн.данные.!$AO220&gt;0,VLOOKUP($DR220,АшламаДВ_Irekle,4,FALSE),VLOOKUP($DR220,АшламаДВ_Gomumy,4,FALSE)))</f>
        <v>Нет</v>
      </c>
      <c r="DV220" s="70"/>
      <c r="DW220" s="70"/>
      <c r="DX220" s="70"/>
      <c r="DY220" s="10">
        <f t="shared" si="248"/>
        <v>0</v>
      </c>
      <c r="DZ220" s="10">
        <f t="shared" si="249"/>
        <v>0</v>
      </c>
      <c r="EA220" s="10">
        <f t="shared" si="250"/>
        <v>0</v>
      </c>
      <c r="EB220" s="10">
        <f t="shared" si="251"/>
        <v>0</v>
      </c>
      <c r="EC220" s="10">
        <f t="shared" si="252"/>
        <v>0</v>
      </c>
      <c r="ED220" s="10">
        <f t="shared" si="253"/>
        <v>0</v>
      </c>
      <c r="EE220" s="10">
        <f t="shared" si="254"/>
        <v>0</v>
      </c>
      <c r="EF220" s="39">
        <f>EB220*Исходн.данные.!AJ220/1000</f>
        <v>0</v>
      </c>
      <c r="EG220" s="9">
        <f t="shared" si="255"/>
        <v>0</v>
      </c>
      <c r="EH220" s="9">
        <f t="shared" si="256"/>
        <v>0</v>
      </c>
      <c r="EI220" s="39" t="e">
        <f t="shared" si="280"/>
        <v>#DIV/0!</v>
      </c>
      <c r="EJ220" s="9" t="str">
        <f t="shared" si="301"/>
        <v>Азопреципитат</v>
      </c>
      <c r="EK220" s="12">
        <f t="shared" si="281"/>
        <v>0.26</v>
      </c>
      <c r="EL220" s="12">
        <f t="shared" si="282"/>
        <v>0.13</v>
      </c>
      <c r="EM220" s="12">
        <f t="shared" si="283"/>
        <v>0</v>
      </c>
      <c r="EN220" s="12" t="str">
        <f t="shared" si="302"/>
        <v>Нет</v>
      </c>
      <c r="EO220" s="12">
        <f t="shared" si="284"/>
        <v>0</v>
      </c>
      <c r="EP220" s="12">
        <f t="shared" si="285"/>
        <v>0</v>
      </c>
      <c r="EQ220" s="12">
        <f t="shared" si="286"/>
        <v>0</v>
      </c>
      <c r="ER220" s="12" t="str">
        <f t="shared" si="257"/>
        <v>Диаммофоска</v>
      </c>
      <c r="ES220" s="12">
        <f t="shared" si="287"/>
        <v>0.1</v>
      </c>
      <c r="ET220" s="12">
        <f t="shared" si="288"/>
        <v>0.26</v>
      </c>
      <c r="EU220" s="12">
        <f t="shared" si="289"/>
        <v>0.26</v>
      </c>
      <c r="EV220" s="12" t="str">
        <f t="shared" si="258"/>
        <v>Аммофос 12:52:00</v>
      </c>
      <c r="EW220" s="12" t="str">
        <f t="shared" si="259"/>
        <v>Кемира Свекловичное-6</v>
      </c>
      <c r="EX220" s="12">
        <f t="shared" si="290"/>
        <v>0.16</v>
      </c>
      <c r="EY220" s="12">
        <f t="shared" si="291"/>
        <v>0.12</v>
      </c>
      <c r="EZ220" s="12">
        <f t="shared" si="292"/>
        <v>0.17</v>
      </c>
      <c r="FA220" s="38" t="e">
        <f>IF(AND(OR(FJ220=$FD$1,FM220=$FD$1,FO220=$FD$1,FQ220=$FD$1,FS220=$FD$1),FD220=$FD$1,Исходн.данные.!J220&lt;2,FU220=$FD$1),"Бор,Кобальт",IF(AND(FO220=$FD$1,FH220=$FD$1,Исходн.данные.!J220&lt;2,FU220=$FD$1),"Бор,Кобальт",IF(AND(OR(FJ220=$FD$1,FM220=$FD$1,FQ220=$FD$1),FE220=$FD$1,Исходн.данные.!J220&lt;2,FT220=$FD$1,FU220=$FD$1),"Бор,Медь,Цинк",IF(AND(OR(FJ220=$FD$1,FR220="Да"),FI220="Да",Исходн.данные.!J220&lt;2,FT220="Да",FU220="Да"),"Бор,Цинк,Медь",IF(AND(OR(FM220="Да",FQ220="Да"),FI220="Да",Исходн.данные.!J220&lt;2,FT220="Да",FU220="Да"),"Бор,Цинк",IF(AND(FN220="Да",OR(FD220="Да",FE220="Да")),"Бор",FB220))))))</f>
        <v>#N/A</v>
      </c>
      <c r="FB220" s="134" t="e">
        <f>IF(AND(OR(FD220="Да",FE220="Да",FF220="Да",FG220="Да",FH220="Да"),FO220="Да"),"Бор",IF(AND(FP220="Да",OR(FD220="Да",FE220="Да",FI220="Да")),"Бор",IF(AND(FS220="Да",FE220="Да"),"Бор,Медь",IF(AND(OR(FJ220="Да",FK220="Да",FL220="Да"),FE220="Да",Исходн.данные.!I220&lt;5,FT220="Да",FU220="Да"),"Молибден,Цинк",IF(AND(FM220="Да",OR(FE220="Да",FF220="Да",FG220="Да",FH220="Да",FI220="Да")),"Молибден,Цинк",IF(AND(OR(FJ220="Да",FK220="Да",FL220="Да",FM220="Да",FQ220="Да"),OR(FE220="Да",FF220="Да"),FT220="Да",FU220="Да",Исходн.данные.!I220&gt;5.5),"Медь,Цинк",FC220))))))</f>
        <v>#N/A</v>
      </c>
      <c r="FC220" s="23" t="e">
        <f t="shared" si="260"/>
        <v>#N/A</v>
      </c>
      <c r="FD220" s="38" t="str">
        <f>IF(OR(Исходн.данные.!F220=$CC$1,Исходн.данные.!F220=$CC$2,Исходн.данные.!F220=$CC$3,Исходн.данные.!F220=$CC$4),"Да","Нет")</f>
        <v>Нет</v>
      </c>
      <c r="FE220" s="38" t="str">
        <f>IF(Исходн.данные.!F220=$CC$5,"Да","Нет")</f>
        <v>Нет</v>
      </c>
      <c r="FF220" s="38" t="str">
        <f>IF(OR(Исходн.данные.!F220=$CC$6,Исходн.данные.!F220=$CC$7),"Да","Нет")</f>
        <v>Нет</v>
      </c>
      <c r="FG220" s="38" t="str">
        <f>IF(OR(Исходн.данные.!F220=$CC$8,Исходн.данные.!F220=$CC$9),"Да","Нет")</f>
        <v>Нет</v>
      </c>
      <c r="FH220" s="38" t="str">
        <f>IF(Исходн.данные.!F220=$CC$10,"Да","Нет")</f>
        <v>Нет</v>
      </c>
      <c r="FI220" s="38" t="str">
        <f>IF(OR(Исходн.данные.!F220=$CC$11,Исходн.данные.!F220=$CC$12),"Да","Нет")</f>
        <v>Нет</v>
      </c>
      <c r="FJ220" s="38" t="str">
        <f>IF(OR(Исходн.данные.!AH220=$BS$1,Исходн.данные.!AH220=$BQ$11,Исходн.данные.!AH220=$BQ$12),"Да","Нет")</f>
        <v>Нет</v>
      </c>
      <c r="FK220" s="38" t="str">
        <f>IF(OR(Исходн.данные.!AH220=$BS$2,Исходн.данные.!AH220=$BS$4),"Да","Нет")</f>
        <v>Нет</v>
      </c>
      <c r="FL220" s="38" t="str">
        <f>IF(OR(Исходн.данные.!AH220=$BS$3,Исходн.данные.!AH220=$BS$5),"Да","Нет")</f>
        <v>Нет</v>
      </c>
      <c r="FM220" s="38" t="str">
        <f>IF(OR(Исходн.данные.!AH220=$BS$9,Исходн.данные.!AH220=$BS$10,Исходн.данные.!AH220=$BS$11,Исходн.данные.!AH220=$BS$12),"Да","Нет")</f>
        <v>Нет</v>
      </c>
      <c r="FN220" s="38" t="str">
        <f>IF(OR(Исходн.данные.!AH220=$BS$6,Исходн.данные.!AH220=$BP$3),"Да","Нет")</f>
        <v>Нет</v>
      </c>
      <c r="FO220" s="38" t="str">
        <f>IF(Исходн.данные.!AH220=$BQ$9,"Да","Нет")</f>
        <v>Нет</v>
      </c>
      <c r="FP220" s="38" t="str">
        <f>IF(OR(Исходн.данные.!AH220=$BS$8,Исходн.данные.!AH220=$BT$8),"Да","Нет")</f>
        <v>Нет</v>
      </c>
      <c r="FQ220" s="38" t="str">
        <f>IF(OR(Исходн.данные.!AH220=$BQ$7,Исходн.данные.!AH220=$BQ$8),"Да","Нет")</f>
        <v>Нет</v>
      </c>
      <c r="FR220" s="38" t="str">
        <f>IF(Исходн.данные.!AI220=$BU$9,"Да","Нет")</f>
        <v>Нет</v>
      </c>
      <c r="FS220" s="38" t="str">
        <f>IF(OR(Исходн.данные.!AH220=$BP$1,Исходн.данные.!AH220=$BP$2),"Да","Нет")</f>
        <v>Нет</v>
      </c>
      <c r="FT220" s="38" t="e">
        <f>IF((Исходн.данные.!K220*GO220*GS220*GW220+BL220*0.6+Исходн.данные.!Q220*4.5*0.275)&gt;90,"Да","Нет")</f>
        <v>#N/A</v>
      </c>
      <c r="FU220" s="38" t="e">
        <f>IF((Исходн.данные.!M220*GS220*GZ220+BM220*0.225)&gt;35,"Да","Нет")</f>
        <v>#N/A</v>
      </c>
      <c r="FV220" s="38" t="str">
        <f>IF(Исходн.данные.!O220&gt;175,"Да","Нет")</f>
        <v>Нет</v>
      </c>
      <c r="FW220" s="39" t="str">
        <f>IF(Исходн.данные.!I220&gt;5.5,"Да","Нет")</f>
        <v>Нет</v>
      </c>
      <c r="FX220" s="39" t="str">
        <f>IF(Исходн.данные.!J220&lt;2,"Да","Нет")</f>
        <v>Да</v>
      </c>
      <c r="FY220" s="39" t="e">
        <f>IF(HF220=$FY$16,0,Исходн.данные.!K220*GO220*GS220*GW220/HF220)</f>
        <v>#N/A</v>
      </c>
      <c r="FZ220" s="39" t="e">
        <f>Исходн.данные.!M220*GS220*GZ220/HG220</f>
        <v>#N/A</v>
      </c>
      <c r="GA220" s="39" t="e">
        <f>IF(K_Wyn=$FY$16,0,IF(Исходн.данные.!N220=Исходн.данные.!$L$10,Исходн.данные.!O220/1.1*GS220*HC220/HH220,IF(Исходн.данные.!N220=Исходн.данные.!$L$12,Исходн.данные.!O220/1.5*GS220*HC220/HH220,Исходн.данные.!O220*GS220*HC220/HH220)))</f>
        <v>#N/A</v>
      </c>
      <c r="GB220" s="39" t="e">
        <f>IF(HF220=$FY$16,0,((Исходн.данные.!Q220*N_Org+Исходн.данные.!R220*N_Sider+Исходн.данные.!S220*N_Soloma)*AO220+Расчет!BC220*VLOOKUP(Исходн.данные.!T220,Справ!$A$3:$O$57,15)*AO220+BB220*VLOOKUP(Исходн.данные.!T220,Справ!$A$3:$O$57,15)*AL220+(Исходн.данные.!V220*N_Rizotorf+Исходн.данные.!W220*N_Rizoagr))/HF220)</f>
        <v>#N/A</v>
      </c>
      <c r="GC220" s="39" t="e">
        <f>IF(HG220=$FY$16,0,((Исходн.данные.!Q220*Р_Org+Исходн.данные.!R220*P_Sider+Исходн.данные.!S220*P_Soloma)*AP220+Расчет!BC220*VLOOKUP(Исходн.данные.!T220,Справ!$A$3:$P$57,16)*AP220+BB220*VLOOKUP(Исходн.данные.!T220,Справ!$A$3:$P$57,16)*AM220)/HG220)</f>
        <v>#N/A</v>
      </c>
      <c r="GD220" s="39" t="e">
        <f>IF(HH220=$FY$16,0,((Исходн.данные.!Q220*К_Org+Исходн.данные.!R220*K_Sider+Исходн.данные.!S220*K_Soloma)*AQ220+Расчет!BC220*VLOOKUP(Исходн.данные.!T220,Справ!$A$3:$Q$57,17)*AQ220+BB220*VLOOKUP(Исходн.данные.!T220,Справ!$A$3:$Q$57,17)*AN220)/HH220)</f>
        <v>#N/A</v>
      </c>
      <c r="GE220" s="39" t="e">
        <f>IF(HF220=$FY$16,0,(Исходн.данные.!X220*AR220+Исходн.данные.!AA220*N_Org*AL220+Исходн.данные.!AB220*N_Sider*AL220+Исходн.данные.!AC220*N_Soloma*AL220)/HF220)</f>
        <v>#N/A</v>
      </c>
      <c r="GF220" s="39" t="e">
        <f>IF(HG220=$FY$16,0,(Исходн.данные.!Y220*AS220+Исходн.данные.!AA220*Р_Org*AM220+Исходн.данные.!AB220*P_Sider*AM220+Исходн.данные.!AC220*P_Soloma*AM220)/HG220)</f>
        <v>#N/A</v>
      </c>
      <c r="GG220" s="39" t="e">
        <f>IF(HH220=$FY$16,0,(Исходн.данные.!Z220*AT220+Исходн.данные.!AA220*К_Org*AN220+Исходн.данные.!AB220*K_Sider*AN220+Исходн.данные.!AC220*K_Soloma*AN220)/HH220)</f>
        <v>#N/A</v>
      </c>
      <c r="GH220" s="39" t="e">
        <f>Исходн.данные.!AD220*AU220/HF220</f>
        <v>#N/A</v>
      </c>
      <c r="GI220" s="39" t="e">
        <f>Исходн.данные.!AE220*AV220/HG220</f>
        <v>#N/A</v>
      </c>
      <c r="GJ220" s="39" t="e">
        <f>Исходн.данные.!AF220*AW220/HH220</f>
        <v>#N/A</v>
      </c>
      <c r="GK220" s="55">
        <f>Исходн.данные.!AK220</f>
        <v>0</v>
      </c>
      <c r="GL220" s="11" t="e">
        <f t="shared" si="261"/>
        <v>#N/A</v>
      </c>
      <c r="GM220" s="11" t="e">
        <f t="shared" si="262"/>
        <v>#N/A</v>
      </c>
      <c r="GN220" s="11" t="e">
        <f t="shared" si="263"/>
        <v>#N/A</v>
      </c>
      <c r="GO220" s="57">
        <f t="shared" si="264"/>
        <v>19</v>
      </c>
      <c r="GP220" s="55">
        <f>IF(OR(Исходн.данные.!F220=$CE$1,Исходн.данные.!F220=$CE$2,Исходн.данные.!F220=$CE$3,Исходн.данные.!F220=$CE$4,Исходн.данные.!F220=$CE$5),GQ220,GR220)</f>
        <v>19</v>
      </c>
      <c r="GQ220" s="55">
        <f>IF(Исходн.данные.!F220=$CE$1,28,IF(Исходн.данные.!F220=$CE$2,26,IF(Исходн.данные.!F220=$CE$3,24,IF(Исходн.данные.!F220=$CE$4,22,IF(Исходн.данные.!F220=$CE$5,20,GR220)))))</f>
        <v>19</v>
      </c>
      <c r="GR220" s="55">
        <f>IF(Исходн.данные.!F220=$CE$6,18,IF(Исходн.данные.!F220=$CE$7,16,IF(Исходн.данные.!F220=$CE$8,14,IF(Исходн.данные.!F220=$CE$9,13,IF(Исходн.данные.!F220=$CE$10,12,19)))))</f>
        <v>19</v>
      </c>
      <c r="GS220" s="55">
        <f>IF(Исходн.данные.!G220="Пес",0.035*(40+2*Исходн.данные.!H220),IF(Исходн.данные.!G220="Суп",0.0325*(40+2*Исходн.данные.!H220),0.03*(40+2*Исходн.данные.!H220)))</f>
        <v>1.2</v>
      </c>
      <c r="GT220" s="55">
        <f>IF(Исходн.данные.!H220&lt;23,2.6,IF(AND(Исходн.данные.!H220&gt;22,Исходн.данные.!H220&lt;26),3,IF(AND(Исходн.данные.!H220&gt;25,Исходн.данные.!H220&lt;29),3.4,3.6)))</f>
        <v>2.6</v>
      </c>
      <c r="GU220" s="55">
        <f>IF(Исходн.данные.!H220&lt;23,2.8,IF(AND(Исходн.данные.!H220&gt;22,Исходн.данные.!H220&lt;26),3.2,IF(AND(Исходн.данные.!H220&gt;25,Исходн.данные.!H220&lt;29),3.6,3.9)))</f>
        <v>2.8</v>
      </c>
      <c r="GV220" s="55">
        <f>IF(Исходн.данные.!H220&lt;23,3,IF(AND(Исходн.данные.!H220&gt;22,Исходн.данные.!H220&lt;26),3.5,IF(AND(Исходн.данные.!H220&gt;25,Исходн.данные.!H220&lt;29),3.9,4.2)))</f>
        <v>3</v>
      </c>
      <c r="GW220" s="55" t="e">
        <f>IF(Исходн.данные.!P220="Ум",GX220,GY220)</f>
        <v>#N/A</v>
      </c>
      <c r="GX220" s="55" t="e">
        <f>VLOOKUP(Исходн.данные.!AI220,Коэффициенты!$J$7:$L$13,2,FALSE)</f>
        <v>#N/A</v>
      </c>
      <c r="GY220" s="55" t="e">
        <f>VLOOKUP(Исходн.данные.!AI220,Коэффициенты!$J$7:$L$13,3,FALSE)</f>
        <v>#N/A</v>
      </c>
      <c r="GZ220" s="55" t="e">
        <f>(IF(Исходн.данные.!M220&lt;50,0.11*VLOOKUP(Исходн.данные.!AH220,Культуры.Информация,7,FALSE),IF(Исходн.данные.!M220&gt;250,0.05*VLOOKUP(Исходн.данные.!AH220,Культуры.Информация,7,FALSE),VLOOKUP(Исходн.данные.!AH220,Культуры.Информация,5,FALSE)/100*($GX$6+$GY$6*Исходн.данные.!M220))))*Расчет2!AI220</f>
        <v>#N/A</v>
      </c>
      <c r="HA220" s="211"/>
      <c r="HB220" s="211"/>
      <c r="HC220" s="55" t="e">
        <f>(IF(Исходн.данные.!O220&lt;80,0.2*VLOOKUP(Исходн.данные.!AH220,Культуры.Информация,8,FALSE),IF(Исходн.данные.!O220&gt;240,0.09*VLOOKUP(Исходн.данные.!AH220,Культуры.Информация,8,FALSE),VLOOKUP(Исходн.данные.!AH220,Культуры.Информация,6,FALSE)/100*($HB$6+$HC$6*Исходн.данные.!O220))))*Расчет2!AJ220</f>
        <v>#N/A</v>
      </c>
      <c r="HD220" s="55">
        <f>IF(Исходн.данные.!O220&gt;240,0.09,IF(Исходн.данные.!O220&lt;30,0.3,$HE$10+$HD$10*Исходн.данные.!O220))</f>
        <v>0.3</v>
      </c>
      <c r="HE220" s="55">
        <f>IF(Исходн.данные.!O220&gt;240,0.17,IF(Исходн.данные.!O220&lt;30,0.5,$HF$12+$HE$12*Исходн.данные.!O220))</f>
        <v>0.5</v>
      </c>
      <c r="HF220" s="55" t="e">
        <f>VLOOKUP(Исходн.данные.!AH220,Справ!$A$3:$D$58,2,FALSE)</f>
        <v>#N/A</v>
      </c>
      <c r="HG220" s="55" t="e">
        <f>VLOOKUP(Исходн.данные.!AH220,Справ!$A$3:$D$58,3,FALSE)</f>
        <v>#N/A</v>
      </c>
      <c r="HH220" s="55" t="e">
        <f>VLOOKUP(Исходн.данные.!AH220,Справ!$A$3:$D$58,4,FALSE)</f>
        <v>#N/A</v>
      </c>
      <c r="HI220" s="11" t="e">
        <f t="shared" si="265"/>
        <v>#N/A</v>
      </c>
      <c r="HJ220" s="11" t="e">
        <f t="shared" si="266"/>
        <v>#N/A</v>
      </c>
      <c r="HK220" s="11" t="e">
        <f t="shared" si="267"/>
        <v>#N/A</v>
      </c>
      <c r="HL220" s="55">
        <f>IF(OR(Исходн.данные.!G220="Глин",Исходн.данные.!G220="Т_суг"),1.1,IF(Исходн.данные.!G220="Ср_суг",1,1))</f>
        <v>1</v>
      </c>
      <c r="HM220" s="55">
        <f>IF(OR(Исходн.данные.!G220="Глин",Исходн.данные.!G220="Т_суг"),0.9,IF(Исходн.данные.!G220="Ср_суг",1,1.2))</f>
        <v>1.2</v>
      </c>
      <c r="HN220" s="11" t="e">
        <f t="shared" si="268"/>
        <v>#N/A</v>
      </c>
      <c r="HO220" s="11" t="e">
        <f t="shared" si="269"/>
        <v>#N/A</v>
      </c>
      <c r="HP220" s="11" t="e">
        <f t="shared" si="270"/>
        <v>#N/A</v>
      </c>
      <c r="HQ220" t="e">
        <f t="shared" si="271"/>
        <v>#N/A</v>
      </c>
      <c r="HR220" t="e">
        <f t="shared" si="272"/>
        <v>#N/A</v>
      </c>
      <c r="HS220" t="e">
        <f t="shared" si="273"/>
        <v>#N/A</v>
      </c>
      <c r="HT220" t="e">
        <f t="shared" si="293"/>
        <v>#N/A</v>
      </c>
      <c r="HU220" t="e">
        <f t="shared" si="294"/>
        <v>#N/A</v>
      </c>
      <c r="HV220" t="e">
        <f t="shared" si="295"/>
        <v>#N/A</v>
      </c>
      <c r="HW220" t="e">
        <f t="shared" si="296"/>
        <v>#N/A</v>
      </c>
      <c r="HX220" t="e">
        <f t="shared" si="297"/>
        <v>#N/A</v>
      </c>
      <c r="HY220" t="e">
        <f t="shared" si="298"/>
        <v>#N/A</v>
      </c>
      <c r="HZ220" s="55">
        <f>IF(OR(Исходн.данные.!AI220="Оз_Ч_П",Исходн.данные.!AI220="Оз_З_П",Исходн.данные.!AI220="Яр_зер"),12,30)</f>
        <v>30</v>
      </c>
      <c r="IA220" t="e">
        <f t="shared" si="274"/>
        <v>#N/A</v>
      </c>
      <c r="IB220" t="e">
        <f t="shared" si="275"/>
        <v>#N/A</v>
      </c>
      <c r="IC220" t="e">
        <f t="shared" si="276"/>
        <v>#N/A</v>
      </c>
      <c r="ID220" s="11" t="e">
        <f t="shared" si="277"/>
        <v>#N/A</v>
      </c>
      <c r="IE220" s="11" t="e">
        <f t="shared" si="278"/>
        <v>#N/A</v>
      </c>
      <c r="IF220" s="11" t="e">
        <f t="shared" si="279"/>
        <v>#N/A</v>
      </c>
    </row>
    <row r="221" spans="35:240" x14ac:dyDescent="0.2">
      <c r="AI221">
        <f>IF(Исходн.данные.!I221&gt;6,1,1.85-(0.148*Исходн.данные.!I221))</f>
        <v>1.85</v>
      </c>
      <c r="AJ221">
        <f>IF(Исходн.данные.!I221&gt;6,1,2.434-(0.246*Исходн.данные.!I221))</f>
        <v>2.4340000000000002</v>
      </c>
      <c r="AL221" s="148" t="b">
        <f>IF(Исходн.данные.!$P221="Ум",N_OrgUd_2g_um,IF(Исходн.данные.!$P221="Об",N_OrgUd_2g_ob))</f>
        <v>0</v>
      </c>
      <c r="AM221" s="148" t="b">
        <f>IF(Исходн.данные.!$P221="Ум",P_OrgUd_2g_um,IF(Исходн.данные.!$P221="Об",P_OrgUd_2g_ob))</f>
        <v>0</v>
      </c>
      <c r="AN221" s="148" t="b">
        <f>IF(Исходн.данные.!$P221="Ум",K_OrgUd_2g_um,IF(Исходн.данные.!$P221="Об",K_OrgUd_2g_ob))</f>
        <v>0</v>
      </c>
      <c r="AO221" s="148" t="b">
        <f>IF(Исходн.данные.!$P221="Ум",N_OrgUd_1g_um,IF(Исходн.данные.!$P221="Об",N_OrgUd_1g_ob))</f>
        <v>0</v>
      </c>
      <c r="AP221" s="148" t="b">
        <f>IF(Исходн.данные.!$P221="Ум",P_OrgUd_1g_um,IF(Исходн.данные.!$P221="Об",P_OrgUd_1g_ob))</f>
        <v>0</v>
      </c>
      <c r="AQ221" s="148" t="b">
        <f>IF(Исходн.данные.!$P221="Ум",K_OrgUd_1g_um,IF(Исходн.данные.!$P221="Об",K_OrgUd_1g_ob))</f>
        <v>0</v>
      </c>
      <c r="AR221" t="b">
        <f>IF(Исходн.данные.!$P221="Ум",N_MinUd_2g_um,IF(Исходн.данные.!$P221="Об",N_MinUd_2g_ob))</f>
        <v>0</v>
      </c>
      <c r="AS221" t="b">
        <f>IF(Исходн.данные.!$P221="Ум",P_MinUd_2g_um,IF(Исходн.данные.!$P221="Об",P_MinUd_2g_ob))</f>
        <v>0</v>
      </c>
      <c r="AT221" t="b">
        <f>IF(Исходн.данные.!$P221="Ум",K_MinUd_2g_um,IF(Исходн.данные.!$P221="Об",K_MinUd_2g_ob))</f>
        <v>0</v>
      </c>
      <c r="AU221" t="b">
        <f>IF(Исходн.данные.!$P221="Ум",N_MinUd_1g_um,IF(Исходн.данные.!$P221="Об",N_MinUd_1g_ob))</f>
        <v>0</v>
      </c>
      <c r="AV221" t="b">
        <f>IF(Исходн.данные.!P221="Ум",P_MinUd_1g_um,IF(Исходн.данные.!P221="Об",P_MinUd_1g_ob))</f>
        <v>0</v>
      </c>
      <c r="AW221" t="b">
        <f>IF(Исходн.данные.!P221="Ум",K_MinUd_1g_um,IF(Исходн.данные.!P221="Об",K_MinUd_1g_ob))</f>
        <v>0</v>
      </c>
      <c r="AY221" t="e">
        <f>VLOOKUP(Исходн.данные.!T221,Справ!$A$3:$N$57,12)</f>
        <v>#N/A</v>
      </c>
      <c r="AZ221" t="e">
        <f>VLOOKUP(Исходн.данные.!T221,Справ!$A$3:$N$57,13)</f>
        <v>#N/A</v>
      </c>
      <c r="BA221" t="e">
        <f>VLOOKUP(Исходн.данные.!T221,Справ!$A$3:$N$57,14)</f>
        <v>#N/A</v>
      </c>
      <c r="BB221">
        <f>IF(Исходн.данные.!AH221=0,0,25)</f>
        <v>0</v>
      </c>
      <c r="BC221" s="141">
        <f>IF(Исходн.данные.!AH221=0,0,IF(Исходн.данные.!T221=0,25,BD221))</f>
        <v>0</v>
      </c>
      <c r="BD221" s="168" t="e">
        <f>AY221+AZ221*Исходн.данные.!U221-POWER(BA221,2)*Исходн.данные.!U221</f>
        <v>#N/A</v>
      </c>
      <c r="BE22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1" s="25">
        <f>IF(Исходн.данные.!AH221=0,0,MIN(HN221:HP221))</f>
        <v>0</v>
      </c>
      <c r="BG221" s="9">
        <f>IF(Исходн.данные.!AH221=0,0,IF((HO221+10*0.25/HG221/HL221)&lt;17,17,HO221+10*0.25/HG221/HL221))</f>
        <v>0</v>
      </c>
      <c r="BH221" s="181">
        <f>IF(Исходн.данные.!AH221=0,0,HW221*HF221*HL221/AU221*AI221+Исходн.данные.!S221*10)</f>
        <v>0</v>
      </c>
      <c r="BI221" s="10"/>
      <c r="BJ221" s="182">
        <f>IF(Исходн.данные.!AH221=0,0,IF(HX221*HG221*HL221/AV221&lt;0,0,HX221*HG221*HL221/AV221*AJ221))</f>
        <v>0</v>
      </c>
      <c r="BK221" s="182">
        <f>IF(Исходн.данные.!AH221=0,0,HY221*HH221*HM221/AW221)</f>
        <v>0</v>
      </c>
      <c r="BL221" s="10">
        <f>IF(OR(Исходн.данные.!$AH221=$BP$1,Исходн.данные.!$AH221=$BP$2),0,IF(BH221&lt;0,0,IF(OR(Исходн.данные.!T221=Расчет!$BP$1,Исходн.данные.!T221=Расчет!$BP$2,Исходн.данные.!T221=Расчет!$BT$5,Исходн.данные.!T221=Расчет!$BT$6),BH221*0.5,IF(OR(Исходн.данные.!T221=Расчет!$BS$9,Исходн.данные.!T221=Расчет!$BS$10,Исходн.данные.!T221=Расчет!$BS$11,Исходн.данные.!T221=Расчет!$BS$12,Исходн.данные.!T221=Расчет!$BP$5),BH221*0.8,BH221))))</f>
        <v>0</v>
      </c>
      <c r="BM221" s="10">
        <f>IF(OR(Исходн.данные.!$AH221=$BP$1,Исходн.данные.!$AH221=$BP$2),0,IF(BJ221&lt;0,0,IF(Исходн.данные.!I221&lt;4.5,BJ221*1.2,IF(Исходн.данные.!I221&gt;5.1,BJ221,BJ221*((5.1-Исходн.данные.!I221)*0.333+1)))))</f>
        <v>0</v>
      </c>
      <c r="BN221" s="10">
        <f>IF(OR(Исходн.данные.!$AH221=$BP$1,Исходн.данные.!$AH221=$BP$2),60-Исходн.данные.!AF221,IF(BK221&lt;0,0,IF(Исходн.данные.!I221&lt;4.5,BK221*1.2,IF(Исходн.данные.!I221&gt;5.1,BK221,BK221*((5.1-Исходн.данные.!I221)*0.333+1)))))</f>
        <v>0</v>
      </c>
      <c r="BO221" s="9">
        <f>IF(BL221&lt;0,0,BL221*Исходн.данные.!$AJ221/1000)</f>
        <v>0</v>
      </c>
      <c r="BP221" s="9">
        <f>IF(BM221&lt;0,0,BM221*Исходн.данные.!$AJ221/1000)</f>
        <v>0</v>
      </c>
      <c r="BQ221" s="9">
        <f>IF(BN221&lt;0,0,BN221*Исходн.данные.!$AJ221/1000)</f>
        <v>0</v>
      </c>
      <c r="BR221" s="9">
        <f t="shared" si="229"/>
        <v>0</v>
      </c>
      <c r="BS221" s="10" t="str">
        <f t="shared" si="230"/>
        <v>Аммофос 12:52:00</v>
      </c>
      <c r="BT221" s="10" t="str">
        <f t="shared" si="231"/>
        <v>Аммофос 12:52:00</v>
      </c>
      <c r="BU221" s="10" t="str">
        <f t="shared" si="232"/>
        <v>Диаммофоска</v>
      </c>
      <c r="BV221" s="10">
        <f t="shared" si="233"/>
        <v>0</v>
      </c>
      <c r="BW221" s="10"/>
      <c r="BX221" s="10"/>
      <c r="BY221" s="9">
        <f>IF(BL221&lt;0,0,IF(OR(Исходн.данные.!AI221=Расчет!$BU$6,Исходн.данные.!AI221=Расчет!$BU$7),Расчет!BV221,IF(Исходн.данные.!$AG221=$BV$11,BL221,IF(OR(Исходн.данные.!$AH221=$BQ$7,Исходн.данные.!$AH221=$BQ$8),CB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0,IF(Исходн.данные.!$AI221=$BU$11,"Нет",IF(BL221&gt;30,30,BL221)))))))</f>
        <v>0</v>
      </c>
      <c r="BZ221" s="9">
        <f>IF(AND(Исходн.данные.!$AG221=$BV$11,BM221&lt;10),10,IF(Исходн.данные.!$AG221=$BV$11,BM221,IF(OR(Исходн.данные.!$AH221=$BQ$7,Исходн.данные.!$AH221=$BQ$8),CC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10,IF(Исходн.данные.!$AI221=$BU$11,"Нет",IF(BM221&gt;60,60,IF(BM221&lt;10,10,BM221)))))))</f>
        <v>10</v>
      </c>
      <c r="CA221" s="39">
        <f>IF(BN221&lt;0,0,IF(Исходн.данные.!$AG221=$BV$11,BN221,IF(OR(Исходн.данные.!$AH221=$BQ$7,Исходн.данные.!$AH221=$BQ$8),CD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0,IF(Исходн.данные.!$AI221=$BU$11,"Нет",IF(BN221&gt;30,30,BN221))))))</f>
        <v>0</v>
      </c>
      <c r="CB221" s="9">
        <f t="shared" si="234"/>
        <v>0</v>
      </c>
      <c r="CC221" s="9">
        <f t="shared" si="235"/>
        <v>0</v>
      </c>
      <c r="CD221" s="9">
        <f t="shared" si="236"/>
        <v>0</v>
      </c>
      <c r="CE221" s="12">
        <f t="shared" si="237"/>
        <v>10</v>
      </c>
      <c r="CF221" s="9">
        <f t="shared" si="238"/>
        <v>0</v>
      </c>
      <c r="CG221" s="9" t="s">
        <v>231</v>
      </c>
      <c r="CH221" s="132" t="str">
        <f>IF(Исходн.данные.!AP221=Расчет!$CI$16,"Нет",IF(Исходн.данные.!AL221&gt;0,Исходн.данные.!AL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BH$4,IF(OR(Исходн.данные.!AI221=Исходн.данные.!$AI$6,Исходн.данные.!AI221=Исходн.данные.!$AI$7),Расчет!BS221,IF(AND($CF221=0,$CE221&gt;0),EV221,ER221)))))</f>
        <v>Аммофос 12:52:00</v>
      </c>
      <c r="CI221" s="274">
        <f>IF(Расчет!$CH221="Нет","Нет",IF(Исходн.данные.!$AL221&gt;0,VLOOKUP(Расчет!$CH221,АшламаДВ_Irekle,2,FALSE),VLOOKUP(Расчет!$CH221,АшламаДВ_Gomumy,2,FALSE)))</f>
        <v>0.12</v>
      </c>
      <c r="CJ221" s="274">
        <f>IF(Расчет!$CH221="Нет","Нет",IF(Исходн.данные.!$AL221&gt;0,VLOOKUP(Расчет!$CH221,АшламаДВ_Irekle,3,FALSE),VLOOKUP(Расчет!$CH221,АшламаДВ_Gomumy,3,FALSE)))</f>
        <v>0.52</v>
      </c>
      <c r="CK221" s="274">
        <f>IF(Расчет!$CH221="Нет","Нет",IF(Исходн.данные.!$AL221&gt;0,VLOOKUP(Расчет!$CH221,АшламаДВ_Irekle,4,FALSE),VLOOKUP(Расчет!$CH221,АшламаДВ_Gomumy,4,FALSE)))</f>
        <v>0</v>
      </c>
      <c r="CL221" s="70"/>
      <c r="CM221" s="70"/>
      <c r="CN221" s="70"/>
      <c r="CO221" s="70"/>
      <c r="CP221" s="70"/>
      <c r="CQ221" s="70"/>
      <c r="CR221" s="10">
        <f t="shared" si="239"/>
        <v>0</v>
      </c>
      <c r="CS221" s="10">
        <f t="shared" si="240"/>
        <v>19.23076923076923</v>
      </c>
      <c r="CT221" s="10">
        <f t="shared" si="241"/>
        <v>0</v>
      </c>
      <c r="CU221" s="39">
        <f>IF($CH221="Нет",0,IF(CI221=0,30/MIN(CJ221:CK221),IF(Исходн.данные.!$AG221=$BV$11,CR221,IF(OR(Исходн.данные.!$AH221=$BQ$7,Исходн.данные.!$AH221=$BQ$8),90/CI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0,IF(Исходн.данные.!$AI221=$BU$11,"Нет",30/CI221))))))</f>
        <v>250</v>
      </c>
      <c r="CV221" s="39">
        <f>IF($CH221="Нет",0,IF(Исходн.данные.!AH221=0,0,IF(CJ221=0,60/MIN(CI221,CK221),IF(Исходн.данные.!$AG221=$BV$11,CS221,IF(OR(Исходн.данные.!$AH221=$BQ$7,Исходн.данные.!$AH221=$BQ$8),90/CJ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10/CJ221,IF(Исходн.данные.!$AI221=$BU$11,"Нет",60/CJ221)))))))</f>
        <v>0</v>
      </c>
      <c r="CW221" s="39">
        <f>IF($CH221="Нет",0,IF(Исходн.данные.!AH221=0,0,IF(CK221=0,30/MIN(CI221:CJ221),IF(Исходн.данные.!$AG221=$BV$11,CT221,IF(OR(Исходн.данные.!$AH221=$BQ$7,Исходн.данные.!$AH221=$BQ$8),90/CK221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0,IF(Исходн.данные.!$AI221=$BU$11,"Нет",30/CK221)))))))</f>
        <v>0</v>
      </c>
      <c r="CX221" s="133">
        <f>IF(Исходн.данные.!$AG221=$BV$11,MAX(CU221:CW221),IF(OR(Исходн.данные.!$AH221=$BS$8,Исходн.данные.!$AH221=$BQ$9,Исходн.данные.!$AH221=$BQ$10,Исходн.данные.!$AH221=$BQ$11,Исходн.данные.!$AH221=$BQ$12,Исходн.данные.!$AH221=$BP$3,Исходн.данные.!$AH221=$BT$8,$FM221="Да"),CV221,MIN(CU221:CW221)))</f>
        <v>0</v>
      </c>
      <c r="CY221" s="133">
        <f>IF(Исходн.данные.!AH221=0,0,IF(CR221&gt;$CX221,$CX221,CR221))</f>
        <v>0</v>
      </c>
      <c r="CZ221" s="133">
        <f>IF(Исходн.данные.!AH221=0,0,IF(CS221&gt;$CX221,$CX221,CS221))</f>
        <v>0</v>
      </c>
      <c r="DA221" s="133">
        <f>IF(Исходн.данные.!AH221=0,0,IF(CT221&gt;$CX221,$CX221,CT221))</f>
        <v>0</v>
      </c>
      <c r="DB221" s="10">
        <f t="shared" si="242"/>
        <v>0</v>
      </c>
      <c r="DC221" s="39">
        <f>DB221*Исходн.данные.!AJ221/1000</f>
        <v>0</v>
      </c>
      <c r="DD221" s="71">
        <f t="shared" si="243"/>
        <v>0</v>
      </c>
      <c r="DE221" s="9">
        <f t="shared" si="244"/>
        <v>0</v>
      </c>
      <c r="DF221" s="9">
        <f t="shared" si="245"/>
        <v>0</v>
      </c>
      <c r="DG221" s="39">
        <f>IF(BL221&lt;0,0,IF($CH221="Нет",BL221,IF(OR(Исходн.данные.!$AH221=$BP$1,Исходн.данные.!$AH221=$BP$2),0,IF(Исходн.данные.!AI221=$BU$11,BL221,IF(BL221-DD221&lt;0,0,BL221-DD221)))))</f>
        <v>0</v>
      </c>
      <c r="DH221" s="39">
        <f>IF(BM221&lt;0,0,IF($CH221="Нет",BM221,IF(OR(Исходн.данные.!$AH221=$BP$1,Исходн.данные.!$AH221=$BP$2),0,IF(Исходн.данные.!AJ221=$BU$11,BM221,IF(BM221-DE221&lt;0,0,BM221-DE221)))))</f>
        <v>0</v>
      </c>
      <c r="DI221" s="39">
        <f>IF(BN221&lt;0,0,IF($CH221="Нет",BN221,IF(OR(Исходн.данные.!$AH221=$BP$1,Исходн.данные.!$AH221=$BP$2),0,IF(Исходн.данные.!AK221=$BU$11,BN221,IF(BN221-DF221&lt;0,0,BN221-DF221)))))</f>
        <v>0</v>
      </c>
      <c r="DJ221" s="12">
        <f t="shared" si="246"/>
        <v>0</v>
      </c>
      <c r="DK221" s="9">
        <f t="shared" si="247"/>
        <v>0</v>
      </c>
      <c r="DL221" s="39">
        <f>IF(Исходн.данные.!AM221&gt;0,Исходн.данные.!AM221,IF(EG221&gt;0,$BH$10,0))</f>
        <v>0</v>
      </c>
      <c r="DM221" s="186">
        <f>IF($DL221=0,0,IF(Исходн.данные.!AM221&gt;0,VLOOKUP($DL221,АшламаДВ_Irekle,2,FALSE),VLOOKUP($DL221,АшламаДВ_Gomumy,2,FALSE)))</f>
        <v>0</v>
      </c>
      <c r="DN221" s="10">
        <f t="shared" si="299"/>
        <v>0</v>
      </c>
      <c r="DO221" s="9" t="str">
        <f>IF(Исходн.данные.!AN221&gt;0,Исходн.данные.!AN221,Удобрения!$B$37 )</f>
        <v>Хлор.калий</v>
      </c>
      <c r="DP221" s="9">
        <f>IF(Исходн.данные.!AN221&gt;0,VLOOKUP(Исходн.данные.!AN221,АшламаДВ_Irekle,4,FALSE),VLOOKUP(DO221,АшламаДВ_Gomumy,4,FALSE))</f>
        <v>0.6</v>
      </c>
      <c r="DQ221" s="10">
        <f t="shared" si="300"/>
        <v>0</v>
      </c>
      <c r="DR221" s="132" t="str">
        <f>IF(Исходн.данные.!AO221&gt;0,Исходн.данные.!AO221,IF(DH221=0,BS$17,IF(AND($DK221=0,$DJ221&gt;0),EJ221,EN221)))</f>
        <v>Нет</v>
      </c>
      <c r="DS221" s="70" t="str">
        <f>IF($DR221="Нет","Нет",IF(Исходн.данные.!$AO221&gt;0,VLOOKUP($DR221,АшламаДВ_Irekle,2,FALSE),VLOOKUP($DR221,АшламаДВ_Gomumy,2,FALSE)))</f>
        <v>Нет</v>
      </c>
      <c r="DT221" s="70" t="str">
        <f>IF($DR221="Нет","Нет",IF(Исходн.данные.!$AO221&gt;0,VLOOKUP($DR221,АшламаДВ_Irekle,3,FALSE),VLOOKUP($DR221,АшламаДВ_Gomumy,3,FALSE)))</f>
        <v>Нет</v>
      </c>
      <c r="DU221" s="70" t="str">
        <f>IF($DR221="Нет","Нет",IF(Исходн.данные.!$AO221&gt;0,VLOOKUP($DR221,АшламаДВ_Irekle,4,FALSE),VLOOKUP($DR221,АшламаДВ_Gomumy,4,FALSE)))</f>
        <v>Нет</v>
      </c>
      <c r="DV221" s="70"/>
      <c r="DW221" s="70"/>
      <c r="DX221" s="70"/>
      <c r="DY221" s="10">
        <f t="shared" si="248"/>
        <v>0</v>
      </c>
      <c r="DZ221" s="10">
        <f t="shared" si="249"/>
        <v>0</v>
      </c>
      <c r="EA221" s="10">
        <f t="shared" si="250"/>
        <v>0</v>
      </c>
      <c r="EB221" s="10">
        <f t="shared" si="251"/>
        <v>0</v>
      </c>
      <c r="EC221" s="10">
        <f t="shared" si="252"/>
        <v>0</v>
      </c>
      <c r="ED221" s="10">
        <f t="shared" si="253"/>
        <v>0</v>
      </c>
      <c r="EE221" s="10">
        <f t="shared" si="254"/>
        <v>0</v>
      </c>
      <c r="EF221" s="39">
        <f>EB221*Исходн.данные.!AJ221/1000</f>
        <v>0</v>
      </c>
      <c r="EG221" s="9">
        <f t="shared" si="255"/>
        <v>0</v>
      </c>
      <c r="EH221" s="9">
        <f t="shared" si="256"/>
        <v>0</v>
      </c>
      <c r="EI221" s="39" t="e">
        <f t="shared" si="280"/>
        <v>#DIV/0!</v>
      </c>
      <c r="EJ221" s="9" t="str">
        <f t="shared" si="301"/>
        <v>Азопреципитат</v>
      </c>
      <c r="EK221" s="12">
        <f t="shared" si="281"/>
        <v>0.26</v>
      </c>
      <c r="EL221" s="12">
        <f t="shared" si="282"/>
        <v>0.13</v>
      </c>
      <c r="EM221" s="12">
        <f t="shared" si="283"/>
        <v>0</v>
      </c>
      <c r="EN221" s="12" t="str">
        <f t="shared" si="302"/>
        <v>Нет</v>
      </c>
      <c r="EO221" s="12">
        <f t="shared" si="284"/>
        <v>0</v>
      </c>
      <c r="EP221" s="12">
        <f t="shared" si="285"/>
        <v>0</v>
      </c>
      <c r="EQ221" s="12">
        <f t="shared" si="286"/>
        <v>0</v>
      </c>
      <c r="ER221" s="12" t="str">
        <f t="shared" si="257"/>
        <v>Диаммофоска</v>
      </c>
      <c r="ES221" s="12">
        <f t="shared" si="287"/>
        <v>0.1</v>
      </c>
      <c r="ET221" s="12">
        <f t="shared" si="288"/>
        <v>0.26</v>
      </c>
      <c r="EU221" s="12">
        <f t="shared" si="289"/>
        <v>0.26</v>
      </c>
      <c r="EV221" s="12" t="str">
        <f t="shared" si="258"/>
        <v>Аммофос 12:52:00</v>
      </c>
      <c r="EW221" s="12" t="str">
        <f t="shared" si="259"/>
        <v>Кемира Свекловичное-6</v>
      </c>
      <c r="EX221" s="12">
        <f t="shared" si="290"/>
        <v>0.16</v>
      </c>
      <c r="EY221" s="12">
        <f t="shared" si="291"/>
        <v>0.12</v>
      </c>
      <c r="EZ221" s="12">
        <f t="shared" si="292"/>
        <v>0.17</v>
      </c>
      <c r="FA221" s="38" t="e">
        <f>IF(AND(OR(FJ221=$FD$1,FM221=$FD$1,FO221=$FD$1,FQ221=$FD$1,FS221=$FD$1),FD221=$FD$1,Исходн.данные.!J221&lt;2,FU221=$FD$1),"Бор,Кобальт",IF(AND(FO221=$FD$1,FH221=$FD$1,Исходн.данные.!J221&lt;2,FU221=$FD$1),"Бор,Кобальт",IF(AND(OR(FJ221=$FD$1,FM221=$FD$1,FQ221=$FD$1),FE221=$FD$1,Исходн.данные.!J221&lt;2,FT221=$FD$1,FU221=$FD$1),"Бор,Медь,Цинк",IF(AND(OR(FJ221=$FD$1,FR221="Да"),FI221="Да",Исходн.данные.!J221&lt;2,FT221="Да",FU221="Да"),"Бор,Цинк,Медь",IF(AND(OR(FM221="Да",FQ221="Да"),FI221="Да",Исходн.данные.!J221&lt;2,FT221="Да",FU221="Да"),"Бор,Цинк",IF(AND(FN221="Да",OR(FD221="Да",FE221="Да")),"Бор",FB221))))))</f>
        <v>#N/A</v>
      </c>
      <c r="FB221" s="134" t="e">
        <f>IF(AND(OR(FD221="Да",FE221="Да",FF221="Да",FG221="Да",FH221="Да"),FO221="Да"),"Бор",IF(AND(FP221="Да",OR(FD221="Да",FE221="Да",FI221="Да")),"Бор",IF(AND(FS221="Да",FE221="Да"),"Бор,Медь",IF(AND(OR(FJ221="Да",FK221="Да",FL221="Да"),FE221="Да",Исходн.данные.!I221&lt;5,FT221="Да",FU221="Да"),"Молибден,Цинк",IF(AND(FM221="Да",OR(FE221="Да",FF221="Да",FG221="Да",FH221="Да",FI221="Да")),"Молибден,Цинк",IF(AND(OR(FJ221="Да",FK221="Да",FL221="Да",FM221="Да",FQ221="Да"),OR(FE221="Да",FF221="Да"),FT221="Да",FU221="Да",Исходн.данные.!I221&gt;5.5),"Медь,Цинк",FC221))))))</f>
        <v>#N/A</v>
      </c>
      <c r="FC221" s="23" t="e">
        <f t="shared" si="260"/>
        <v>#N/A</v>
      </c>
      <c r="FD221" s="38" t="str">
        <f>IF(OR(Исходн.данные.!F221=$CC$1,Исходн.данные.!F221=$CC$2,Исходн.данные.!F221=$CC$3,Исходн.данные.!F221=$CC$4),"Да","Нет")</f>
        <v>Нет</v>
      </c>
      <c r="FE221" s="38" t="str">
        <f>IF(Исходн.данные.!F221=$CC$5,"Да","Нет")</f>
        <v>Нет</v>
      </c>
      <c r="FF221" s="38" t="str">
        <f>IF(OR(Исходн.данные.!F221=$CC$6,Исходн.данные.!F221=$CC$7),"Да","Нет")</f>
        <v>Нет</v>
      </c>
      <c r="FG221" s="38" t="str">
        <f>IF(OR(Исходн.данные.!F221=$CC$8,Исходн.данные.!F221=$CC$9),"Да","Нет")</f>
        <v>Нет</v>
      </c>
      <c r="FH221" s="38" t="str">
        <f>IF(Исходн.данные.!F221=$CC$10,"Да","Нет")</f>
        <v>Нет</v>
      </c>
      <c r="FI221" s="38" t="str">
        <f>IF(OR(Исходн.данные.!F221=$CC$11,Исходн.данные.!F221=$CC$12),"Да","Нет")</f>
        <v>Нет</v>
      </c>
      <c r="FJ221" s="38" t="str">
        <f>IF(OR(Исходн.данные.!AH221=$BS$1,Исходн.данные.!AH221=$BQ$11,Исходн.данные.!AH221=$BQ$12),"Да","Нет")</f>
        <v>Нет</v>
      </c>
      <c r="FK221" s="38" t="str">
        <f>IF(OR(Исходн.данные.!AH221=$BS$2,Исходн.данные.!AH221=$BS$4),"Да","Нет")</f>
        <v>Нет</v>
      </c>
      <c r="FL221" s="38" t="str">
        <f>IF(OR(Исходн.данные.!AH221=$BS$3,Исходн.данные.!AH221=$BS$5),"Да","Нет")</f>
        <v>Нет</v>
      </c>
      <c r="FM221" s="38" t="str">
        <f>IF(OR(Исходн.данные.!AH221=$BS$9,Исходн.данные.!AH221=$BS$10,Исходн.данные.!AH221=$BS$11,Исходн.данные.!AH221=$BS$12),"Да","Нет")</f>
        <v>Нет</v>
      </c>
      <c r="FN221" s="38" t="str">
        <f>IF(OR(Исходн.данные.!AH221=$BS$6,Исходн.данные.!AH221=$BP$3),"Да","Нет")</f>
        <v>Нет</v>
      </c>
      <c r="FO221" s="38" t="str">
        <f>IF(Исходн.данные.!AH221=$BQ$9,"Да","Нет")</f>
        <v>Нет</v>
      </c>
      <c r="FP221" s="38" t="str">
        <f>IF(OR(Исходн.данные.!AH221=$BS$8,Исходн.данные.!AH221=$BT$8),"Да","Нет")</f>
        <v>Нет</v>
      </c>
      <c r="FQ221" s="38" t="str">
        <f>IF(OR(Исходн.данные.!AH221=$BQ$7,Исходн.данные.!AH221=$BQ$8),"Да","Нет")</f>
        <v>Нет</v>
      </c>
      <c r="FR221" s="38" t="str">
        <f>IF(Исходн.данные.!AI221=$BU$9,"Да","Нет")</f>
        <v>Нет</v>
      </c>
      <c r="FS221" s="38" t="str">
        <f>IF(OR(Исходн.данные.!AH221=$BP$1,Исходн.данные.!AH221=$BP$2),"Да","Нет")</f>
        <v>Нет</v>
      </c>
      <c r="FT221" s="38" t="e">
        <f>IF((Исходн.данные.!K221*GO221*GS221*GW221+BL221*0.6+Исходн.данные.!Q221*4.5*0.275)&gt;90,"Да","Нет")</f>
        <v>#N/A</v>
      </c>
      <c r="FU221" s="38" t="e">
        <f>IF((Исходн.данные.!M221*GS221*GZ221+BM221*0.225)&gt;35,"Да","Нет")</f>
        <v>#N/A</v>
      </c>
      <c r="FV221" s="38" t="str">
        <f>IF(Исходн.данные.!O221&gt;175,"Да","Нет")</f>
        <v>Нет</v>
      </c>
      <c r="FW221" s="39" t="str">
        <f>IF(Исходн.данные.!I221&gt;5.5,"Да","Нет")</f>
        <v>Нет</v>
      </c>
      <c r="FX221" s="39" t="str">
        <f>IF(Исходн.данные.!J221&lt;2,"Да","Нет")</f>
        <v>Да</v>
      </c>
      <c r="FY221" s="39" t="e">
        <f>IF(HF221=$FY$16,0,Исходн.данные.!K221*GO221*GS221*GW221/HF221)</f>
        <v>#N/A</v>
      </c>
      <c r="FZ221" s="39" t="e">
        <f>Исходн.данные.!M221*GS221*GZ221/HG221</f>
        <v>#N/A</v>
      </c>
      <c r="GA221" s="39" t="e">
        <f>IF(K_Wyn=$FY$16,0,IF(Исходн.данные.!N221=Исходн.данные.!$L$10,Исходн.данные.!O221/1.1*GS221*HC221/HH221,IF(Исходн.данные.!N221=Исходн.данные.!$L$12,Исходн.данные.!O221/1.5*GS221*HC221/HH221,Исходн.данные.!O221*GS221*HC221/HH221)))</f>
        <v>#N/A</v>
      </c>
      <c r="GB221" s="39" t="e">
        <f>IF(HF221=$FY$16,0,((Исходн.данные.!Q221*N_Org+Исходн.данные.!R221*N_Sider+Исходн.данные.!S221*N_Soloma)*AO221+Расчет!BC221*VLOOKUP(Исходн.данные.!T221,Справ!$A$3:$O$57,15)*AO221+BB221*VLOOKUP(Исходн.данные.!T221,Справ!$A$3:$O$57,15)*AL221+(Исходн.данные.!V221*N_Rizotorf+Исходн.данные.!W221*N_Rizoagr))/HF221)</f>
        <v>#N/A</v>
      </c>
      <c r="GC221" s="39" t="e">
        <f>IF(HG221=$FY$16,0,((Исходн.данные.!Q221*Р_Org+Исходн.данные.!R221*P_Sider+Исходн.данные.!S221*P_Soloma)*AP221+Расчет!BC221*VLOOKUP(Исходн.данные.!T221,Справ!$A$3:$P$57,16)*AP221+BB221*VLOOKUP(Исходн.данные.!T221,Справ!$A$3:$P$57,16)*AM221)/HG221)</f>
        <v>#N/A</v>
      </c>
      <c r="GD221" s="39" t="e">
        <f>IF(HH221=$FY$16,0,((Исходн.данные.!Q221*К_Org+Исходн.данные.!R221*K_Sider+Исходн.данные.!S221*K_Soloma)*AQ221+Расчет!BC221*VLOOKUP(Исходн.данные.!T221,Справ!$A$3:$Q$57,17)*AQ221+BB221*VLOOKUP(Исходн.данные.!T221,Справ!$A$3:$Q$57,17)*AN221)/HH221)</f>
        <v>#N/A</v>
      </c>
      <c r="GE221" s="39" t="e">
        <f>IF(HF221=$FY$16,0,(Исходн.данные.!X221*AR221+Исходн.данные.!AA221*N_Org*AL221+Исходн.данные.!AB221*N_Sider*AL221+Исходн.данные.!AC221*N_Soloma*AL221)/HF221)</f>
        <v>#N/A</v>
      </c>
      <c r="GF221" s="39" t="e">
        <f>IF(HG221=$FY$16,0,(Исходн.данные.!Y221*AS221+Исходн.данные.!AA221*Р_Org*AM221+Исходн.данные.!AB221*P_Sider*AM221+Исходн.данные.!AC221*P_Soloma*AM221)/HG221)</f>
        <v>#N/A</v>
      </c>
      <c r="GG221" s="39" t="e">
        <f>IF(HH221=$FY$16,0,(Исходн.данные.!Z221*AT221+Исходн.данные.!AA221*К_Org*AN221+Исходн.данные.!AB221*K_Sider*AN221+Исходн.данные.!AC221*K_Soloma*AN221)/HH221)</f>
        <v>#N/A</v>
      </c>
      <c r="GH221" s="39" t="e">
        <f>Исходн.данные.!AD221*AU221/HF221</f>
        <v>#N/A</v>
      </c>
      <c r="GI221" s="39" t="e">
        <f>Исходн.данные.!AE221*AV221/HG221</f>
        <v>#N/A</v>
      </c>
      <c r="GJ221" s="39" t="e">
        <f>Исходн.данные.!AF221*AW221/HH221</f>
        <v>#N/A</v>
      </c>
      <c r="GK221" s="55">
        <f>Исходн.данные.!AK221</f>
        <v>0</v>
      </c>
      <c r="GL221" s="11" t="e">
        <f t="shared" si="261"/>
        <v>#N/A</v>
      </c>
      <c r="GM221" s="11" t="e">
        <f t="shared" si="262"/>
        <v>#N/A</v>
      </c>
      <c r="GN221" s="11" t="e">
        <f t="shared" si="263"/>
        <v>#N/A</v>
      </c>
      <c r="GO221" s="57">
        <f t="shared" si="264"/>
        <v>19</v>
      </c>
      <c r="GP221" s="55">
        <f>IF(OR(Исходн.данные.!F221=$CE$1,Исходн.данные.!F221=$CE$2,Исходн.данные.!F221=$CE$3,Исходн.данные.!F221=$CE$4,Исходн.данные.!F221=$CE$5),GQ221,GR221)</f>
        <v>19</v>
      </c>
      <c r="GQ221" s="55">
        <f>IF(Исходн.данные.!F221=$CE$1,28,IF(Исходн.данные.!F221=$CE$2,26,IF(Исходн.данные.!F221=$CE$3,24,IF(Исходн.данные.!F221=$CE$4,22,IF(Исходн.данные.!F221=$CE$5,20,GR221)))))</f>
        <v>19</v>
      </c>
      <c r="GR221" s="55">
        <f>IF(Исходн.данные.!F221=$CE$6,18,IF(Исходн.данные.!F221=$CE$7,16,IF(Исходн.данные.!F221=$CE$8,14,IF(Исходн.данные.!F221=$CE$9,13,IF(Исходн.данные.!F221=$CE$10,12,19)))))</f>
        <v>19</v>
      </c>
      <c r="GS221" s="55">
        <f>IF(Исходн.данные.!G221="Пес",0.035*(40+2*Исходн.данные.!H221),IF(Исходн.данные.!G221="Суп",0.0325*(40+2*Исходн.данные.!H221),0.03*(40+2*Исходн.данные.!H221)))</f>
        <v>1.2</v>
      </c>
      <c r="GT221" s="55">
        <f>IF(Исходн.данные.!H221&lt;23,2.6,IF(AND(Исходн.данные.!H221&gt;22,Исходн.данные.!H221&lt;26),3,IF(AND(Исходн.данные.!H221&gt;25,Исходн.данные.!H221&lt;29),3.4,3.6)))</f>
        <v>2.6</v>
      </c>
      <c r="GU221" s="55">
        <f>IF(Исходн.данные.!H221&lt;23,2.8,IF(AND(Исходн.данные.!H221&gt;22,Исходн.данные.!H221&lt;26),3.2,IF(AND(Исходн.данные.!H221&gt;25,Исходн.данные.!H221&lt;29),3.6,3.9)))</f>
        <v>2.8</v>
      </c>
      <c r="GV221" s="55">
        <f>IF(Исходн.данные.!H221&lt;23,3,IF(AND(Исходн.данные.!H221&gt;22,Исходн.данные.!H221&lt;26),3.5,IF(AND(Исходн.данные.!H221&gt;25,Исходн.данные.!H221&lt;29),3.9,4.2)))</f>
        <v>3</v>
      </c>
      <c r="GW221" s="55" t="e">
        <f>IF(Исходн.данные.!P221="Ум",GX221,GY221)</f>
        <v>#N/A</v>
      </c>
      <c r="GX221" s="55" t="e">
        <f>VLOOKUP(Исходн.данные.!AI221,Коэффициенты!$J$7:$L$13,2,FALSE)</f>
        <v>#N/A</v>
      </c>
      <c r="GY221" s="55" t="e">
        <f>VLOOKUP(Исходн.данные.!AI221,Коэффициенты!$J$7:$L$13,3,FALSE)</f>
        <v>#N/A</v>
      </c>
      <c r="GZ221" s="55" t="e">
        <f>(IF(Исходн.данные.!M221&lt;50,0.11*VLOOKUP(Исходн.данные.!AH221,Культуры.Информация,7,FALSE),IF(Исходн.данные.!M221&gt;250,0.05*VLOOKUP(Исходн.данные.!AH221,Культуры.Информация,7,FALSE),VLOOKUP(Исходн.данные.!AH221,Культуры.Информация,5,FALSE)/100*($GX$6+$GY$6*Исходн.данные.!M221))))*Расчет2!AI221</f>
        <v>#N/A</v>
      </c>
      <c r="HA221" s="211"/>
      <c r="HB221" s="211"/>
      <c r="HC221" s="55" t="e">
        <f>(IF(Исходн.данные.!O221&lt;80,0.2*VLOOKUP(Исходн.данные.!AH221,Культуры.Информация,8,FALSE),IF(Исходн.данные.!O221&gt;240,0.09*VLOOKUP(Исходн.данные.!AH221,Культуры.Информация,8,FALSE),VLOOKUP(Исходн.данные.!AH221,Культуры.Информация,6,FALSE)/100*($HB$6+$HC$6*Исходн.данные.!O221))))*Расчет2!AJ221</f>
        <v>#N/A</v>
      </c>
      <c r="HD221" s="55">
        <f>IF(Исходн.данные.!O221&gt;240,0.09,IF(Исходн.данные.!O221&lt;30,0.3,$HE$10+$HD$10*Исходн.данные.!O221))</f>
        <v>0.3</v>
      </c>
      <c r="HE221" s="55">
        <f>IF(Исходн.данные.!O221&gt;240,0.17,IF(Исходн.данные.!O221&lt;30,0.5,$HF$12+$HE$12*Исходн.данные.!O221))</f>
        <v>0.5</v>
      </c>
      <c r="HF221" s="55" t="e">
        <f>VLOOKUP(Исходн.данные.!AH221,Справ!$A$3:$D$58,2,FALSE)</f>
        <v>#N/A</v>
      </c>
      <c r="HG221" s="55" t="e">
        <f>VLOOKUP(Исходн.данные.!AH221,Справ!$A$3:$D$58,3,FALSE)</f>
        <v>#N/A</v>
      </c>
      <c r="HH221" s="55" t="e">
        <f>VLOOKUP(Исходн.данные.!AH221,Справ!$A$3:$D$58,4,FALSE)</f>
        <v>#N/A</v>
      </c>
      <c r="HI221" s="11" t="e">
        <f t="shared" si="265"/>
        <v>#N/A</v>
      </c>
      <c r="HJ221" s="11" t="e">
        <f t="shared" si="266"/>
        <v>#N/A</v>
      </c>
      <c r="HK221" s="11" t="e">
        <f t="shared" si="267"/>
        <v>#N/A</v>
      </c>
      <c r="HL221" s="55">
        <f>IF(OR(Исходн.данные.!G221="Глин",Исходн.данные.!G221="Т_суг"),1.1,IF(Исходн.данные.!G221="Ср_суг",1,1))</f>
        <v>1</v>
      </c>
      <c r="HM221" s="55">
        <f>IF(OR(Исходн.данные.!G221="Глин",Исходн.данные.!G221="Т_суг"),0.9,IF(Исходн.данные.!G221="Ср_суг",1,1.2))</f>
        <v>1.2</v>
      </c>
      <c r="HN221" s="11" t="e">
        <f t="shared" si="268"/>
        <v>#N/A</v>
      </c>
      <c r="HO221" s="11" t="e">
        <f t="shared" si="269"/>
        <v>#N/A</v>
      </c>
      <c r="HP221" s="11" t="e">
        <f t="shared" si="270"/>
        <v>#N/A</v>
      </c>
      <c r="HQ221" t="e">
        <f t="shared" si="271"/>
        <v>#N/A</v>
      </c>
      <c r="HR221" t="e">
        <f t="shared" si="272"/>
        <v>#N/A</v>
      </c>
      <c r="HS221" t="e">
        <f t="shared" si="273"/>
        <v>#N/A</v>
      </c>
      <c r="HT221" t="e">
        <f t="shared" si="293"/>
        <v>#N/A</v>
      </c>
      <c r="HU221" t="e">
        <f t="shared" si="294"/>
        <v>#N/A</v>
      </c>
      <c r="HV221" t="e">
        <f t="shared" si="295"/>
        <v>#N/A</v>
      </c>
      <c r="HW221" t="e">
        <f t="shared" si="296"/>
        <v>#N/A</v>
      </c>
      <c r="HX221" t="e">
        <f t="shared" si="297"/>
        <v>#N/A</v>
      </c>
      <c r="HY221" t="e">
        <f t="shared" si="298"/>
        <v>#N/A</v>
      </c>
      <c r="HZ221" s="55">
        <f>IF(OR(Исходн.данные.!AI221="Оз_Ч_П",Исходн.данные.!AI221="Оз_З_П",Исходн.данные.!AI221="Яр_зер"),12,30)</f>
        <v>30</v>
      </c>
      <c r="IA221" t="e">
        <f t="shared" si="274"/>
        <v>#N/A</v>
      </c>
      <c r="IB221" t="e">
        <f t="shared" si="275"/>
        <v>#N/A</v>
      </c>
      <c r="IC221" t="e">
        <f t="shared" si="276"/>
        <v>#N/A</v>
      </c>
      <c r="ID221" s="11" t="e">
        <f t="shared" si="277"/>
        <v>#N/A</v>
      </c>
      <c r="IE221" s="11" t="e">
        <f t="shared" si="278"/>
        <v>#N/A</v>
      </c>
      <c r="IF221" s="11" t="e">
        <f t="shared" si="279"/>
        <v>#N/A</v>
      </c>
    </row>
    <row r="222" spans="35:240" x14ac:dyDescent="0.2">
      <c r="AI222">
        <f>IF(Исходн.данные.!I222&gt;6,1,1.85-(0.148*Исходн.данные.!I222))</f>
        <v>1.85</v>
      </c>
      <c r="AJ222">
        <f>IF(Исходн.данные.!I222&gt;6,1,2.434-(0.246*Исходн.данные.!I222))</f>
        <v>2.4340000000000002</v>
      </c>
      <c r="AL222" s="148" t="b">
        <f>IF(Исходн.данные.!$P222="Ум",N_OrgUd_2g_um,IF(Исходн.данные.!$P222="Об",N_OrgUd_2g_ob))</f>
        <v>0</v>
      </c>
      <c r="AM222" s="148" t="b">
        <f>IF(Исходн.данные.!$P222="Ум",P_OrgUd_2g_um,IF(Исходн.данные.!$P222="Об",P_OrgUd_2g_ob))</f>
        <v>0</v>
      </c>
      <c r="AN222" s="148" t="b">
        <f>IF(Исходн.данные.!$P222="Ум",K_OrgUd_2g_um,IF(Исходн.данные.!$P222="Об",K_OrgUd_2g_ob))</f>
        <v>0</v>
      </c>
      <c r="AO222" s="148" t="b">
        <f>IF(Исходн.данные.!$P222="Ум",N_OrgUd_1g_um,IF(Исходн.данные.!$P222="Об",N_OrgUd_1g_ob))</f>
        <v>0</v>
      </c>
      <c r="AP222" s="148" t="b">
        <f>IF(Исходн.данные.!$P222="Ум",P_OrgUd_1g_um,IF(Исходн.данные.!$P222="Об",P_OrgUd_1g_ob))</f>
        <v>0</v>
      </c>
      <c r="AQ222" s="148" t="b">
        <f>IF(Исходн.данные.!$P222="Ум",K_OrgUd_1g_um,IF(Исходн.данные.!$P222="Об",K_OrgUd_1g_ob))</f>
        <v>0</v>
      </c>
      <c r="AR222" t="b">
        <f>IF(Исходн.данные.!$P222="Ум",N_MinUd_2g_um,IF(Исходн.данные.!$P222="Об",N_MinUd_2g_ob))</f>
        <v>0</v>
      </c>
      <c r="AS222" t="b">
        <f>IF(Исходн.данные.!$P222="Ум",P_MinUd_2g_um,IF(Исходн.данные.!$P222="Об",P_MinUd_2g_ob))</f>
        <v>0</v>
      </c>
      <c r="AT222" t="b">
        <f>IF(Исходн.данные.!$P222="Ум",K_MinUd_2g_um,IF(Исходн.данные.!$P222="Об",K_MinUd_2g_ob))</f>
        <v>0</v>
      </c>
      <c r="AU222" t="b">
        <f>IF(Исходн.данные.!$P222="Ум",N_MinUd_1g_um,IF(Исходн.данные.!$P222="Об",N_MinUd_1g_ob))</f>
        <v>0</v>
      </c>
      <c r="AV222" t="b">
        <f>IF(Исходн.данные.!P222="Ум",P_MinUd_1g_um,IF(Исходн.данные.!P222="Об",P_MinUd_1g_ob))</f>
        <v>0</v>
      </c>
      <c r="AW222" t="b">
        <f>IF(Исходн.данные.!P222="Ум",K_MinUd_1g_um,IF(Исходн.данные.!P222="Об",K_MinUd_1g_ob))</f>
        <v>0</v>
      </c>
      <c r="AY222" t="e">
        <f>VLOOKUP(Исходн.данные.!T222,Справ!$A$3:$N$57,12)</f>
        <v>#N/A</v>
      </c>
      <c r="AZ222" t="e">
        <f>VLOOKUP(Исходн.данные.!T222,Справ!$A$3:$N$57,13)</f>
        <v>#N/A</v>
      </c>
      <c r="BA222" t="e">
        <f>VLOOKUP(Исходн.данные.!T222,Справ!$A$3:$N$57,14)</f>
        <v>#N/A</v>
      </c>
      <c r="BB222">
        <f>IF(Исходн.данные.!AH222=0,0,25)</f>
        <v>0</v>
      </c>
      <c r="BC222" s="141">
        <f>IF(Исходн.данные.!AH222=0,0,IF(Исходн.данные.!T222=0,25,BD222))</f>
        <v>0</v>
      </c>
      <c r="BD222" s="168" t="e">
        <f>AY222+AZ222*Исходн.данные.!U222-POWER(BA222,2)*Исходн.данные.!U222</f>
        <v>#N/A</v>
      </c>
      <c r="BE22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2" s="25">
        <f>IF(Исходн.данные.!AH222=0,0,MIN(HN222:HP222))</f>
        <v>0</v>
      </c>
      <c r="BG222" s="9">
        <f>IF(Исходн.данные.!AH222=0,0,IF((HO222+10*0.25/HG222/HL222)&lt;17,17,HO222+10*0.25/HG222/HL222))</f>
        <v>0</v>
      </c>
      <c r="BH222" s="181">
        <f>IF(Исходн.данные.!AH222=0,0,HW222*HF222*HL222/AU222*AI222+Исходн.данные.!S222*10)</f>
        <v>0</v>
      </c>
      <c r="BI222" s="10"/>
      <c r="BJ222" s="182">
        <f>IF(Исходн.данные.!AH222=0,0,IF(HX222*HG222*HL222/AV222&lt;0,0,HX222*HG222*HL222/AV222*AJ222))</f>
        <v>0</v>
      </c>
      <c r="BK222" s="182">
        <f>IF(Исходн.данные.!AH222=0,0,HY222*HH222*HM222/AW222)</f>
        <v>0</v>
      </c>
      <c r="BL222" s="10">
        <f>IF(OR(Исходн.данные.!$AH222=$BP$1,Исходн.данные.!$AH222=$BP$2),0,IF(BH222&lt;0,0,IF(OR(Исходн.данные.!T222=Расчет!$BP$1,Исходн.данные.!T222=Расчет!$BP$2,Исходн.данные.!T222=Расчет!$BT$5,Исходн.данные.!T222=Расчет!$BT$6),BH222*0.5,IF(OR(Исходн.данные.!T222=Расчет!$BS$9,Исходн.данные.!T222=Расчет!$BS$10,Исходн.данные.!T222=Расчет!$BS$11,Исходн.данные.!T222=Расчет!$BS$12,Исходн.данные.!T222=Расчет!$BP$5),BH222*0.8,BH222))))</f>
        <v>0</v>
      </c>
      <c r="BM222" s="10">
        <f>IF(OR(Исходн.данные.!$AH222=$BP$1,Исходн.данные.!$AH222=$BP$2),0,IF(BJ222&lt;0,0,IF(Исходн.данные.!I222&lt;4.5,BJ222*1.2,IF(Исходн.данные.!I222&gt;5.1,BJ222,BJ222*((5.1-Исходн.данные.!I222)*0.333+1)))))</f>
        <v>0</v>
      </c>
      <c r="BN222" s="10">
        <f>IF(OR(Исходн.данные.!$AH222=$BP$1,Исходн.данные.!$AH222=$BP$2),60-Исходн.данные.!AF222,IF(BK222&lt;0,0,IF(Исходн.данные.!I222&lt;4.5,BK222*1.2,IF(Исходн.данные.!I222&gt;5.1,BK222,BK222*((5.1-Исходн.данные.!I222)*0.333+1)))))</f>
        <v>0</v>
      </c>
      <c r="BO222" s="9">
        <f>IF(BL222&lt;0,0,BL222*Исходн.данные.!$AJ222/1000)</f>
        <v>0</v>
      </c>
      <c r="BP222" s="9">
        <f>IF(BM222&lt;0,0,BM222*Исходн.данные.!$AJ222/1000)</f>
        <v>0</v>
      </c>
      <c r="BQ222" s="9">
        <f>IF(BN222&lt;0,0,BN222*Исходн.данные.!$AJ222/1000)</f>
        <v>0</v>
      </c>
      <c r="BR222" s="9">
        <f t="shared" ref="BR222:BR285" si="303">SUMIF(BO222:BQ222,"&gt;0")</f>
        <v>0</v>
      </c>
      <c r="BS222" s="10" t="str">
        <f t="shared" ref="BS222:BS285" si="304">IF(AND($CF222=0,$CE222&gt;0),BT222,BU222)</f>
        <v>Аммофос 12:52:00</v>
      </c>
      <c r="BT222" s="10" t="str">
        <f t="shared" ref="BT222:BT285" si="305">IF(CE222&gt;3.3,$BH$4,IF(CE222&gt;1.5,$BH$3,IF(CE222&gt;0.75,$BH$2,$BH$1)))</f>
        <v>Аммофос 12:52:00</v>
      </c>
      <c r="BU222" s="10" t="str">
        <f t="shared" ref="BU222:BU285" si="306">IF(CE222&gt;2.4,$BH$9,IF(CE222&gt;1.8,$BH$8,IF(CE222&gt;1.1,$BH$7,IF(CE222&gt;0.65,$BH$6,$BH$5))))</f>
        <v>Диаммофоска</v>
      </c>
      <c r="BV222" s="10">
        <f t="shared" ref="BV222:BV285" si="307">IF(BL222&lt;0,0,IF(BL222*0.3&gt;30,30,BL222*0.3))</f>
        <v>0</v>
      </c>
      <c r="BW222" s="10"/>
      <c r="BX222" s="10"/>
      <c r="BY222" s="9">
        <f>IF(BL222&lt;0,0,IF(OR(Исходн.данные.!AI222=Расчет!$BU$6,Исходн.данные.!AI222=Расчет!$BU$7),Расчет!BV222,IF(Исходн.данные.!$AG222=$BV$11,BL222,IF(OR(Исходн.данные.!$AH222=$BQ$7,Исходн.данные.!$AH222=$BQ$8),CB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0,IF(Исходн.данные.!$AI222=$BU$11,"Нет",IF(BL222&gt;30,30,BL222)))))))</f>
        <v>0</v>
      </c>
      <c r="BZ222" s="9">
        <f>IF(AND(Исходн.данные.!$AG222=$BV$11,BM222&lt;10),10,IF(Исходн.данные.!$AG222=$BV$11,BM222,IF(OR(Исходн.данные.!$AH222=$BQ$7,Исходн.данные.!$AH222=$BQ$8),CC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10,IF(Исходн.данные.!$AI222=$BU$11,"Нет",IF(BM222&gt;60,60,IF(BM222&lt;10,10,BM222)))))))</f>
        <v>10</v>
      </c>
      <c r="CA222" s="39">
        <f>IF(BN222&lt;0,0,IF(Исходн.данные.!$AG222=$BV$11,BN222,IF(OR(Исходн.данные.!$AH222=$BQ$7,Исходн.данные.!$AH222=$BQ$8),CD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0,IF(Исходн.данные.!$AI222=$BU$11,"Нет",IF(BN222&gt;30,30,BN222))))))</f>
        <v>0</v>
      </c>
      <c r="CB222" s="9">
        <f t="shared" ref="CB222:CB285" si="308">IF(BL222&lt;0,0,IF(BL222&gt;90,90,BL222))</f>
        <v>0</v>
      </c>
      <c r="CC222" s="9">
        <f t="shared" ref="CC222:CC285" si="309">IF(BM222&lt;0,0,IF(BM222&gt;90,90,BM222))</f>
        <v>0</v>
      </c>
      <c r="CD222" s="9">
        <f t="shared" ref="CD222:CD285" si="310">IF(BN222&lt;0,0,IF(BN222&gt;90,90,BN222))</f>
        <v>0</v>
      </c>
      <c r="CE222" s="12">
        <f t="shared" ref="CE222:CE285" si="311">IF(BZ222="Нет",0,IF($BY222&gt;0,BZ222/$BY222,BZ222/1))</f>
        <v>10</v>
      </c>
      <c r="CF222" s="9">
        <f t="shared" ref="CF222:CF285" si="312">IF(BZ222="Нет",0,IF($BZ222&gt;0,CA222/$BZ222,CA222/1))</f>
        <v>0</v>
      </c>
      <c r="CG222" s="9" t="s">
        <v>231</v>
      </c>
      <c r="CH222" s="132" t="str">
        <f>IF(Исходн.данные.!AP222=Расчет!$CI$16,"Нет",IF(Исходн.данные.!AL222&gt;0,Исходн.данные.!AL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BH$4,IF(OR(Исходн.данные.!AI222=Исходн.данные.!$AI$6,Исходн.данные.!AI222=Исходн.данные.!$AI$7),Расчет!BS222,IF(AND($CF222=0,$CE222&gt;0),EV222,ER222)))))</f>
        <v>Аммофос 12:52:00</v>
      </c>
      <c r="CI222" s="274">
        <f>IF(Расчет!$CH222="Нет","Нет",IF(Исходн.данные.!$AL222&gt;0,VLOOKUP(Расчет!$CH222,АшламаДВ_Irekle,2,FALSE),VLOOKUP(Расчет!$CH222,АшламаДВ_Gomumy,2,FALSE)))</f>
        <v>0.12</v>
      </c>
      <c r="CJ222" s="274">
        <f>IF(Расчет!$CH222="Нет","Нет",IF(Исходн.данные.!$AL222&gt;0,VLOOKUP(Расчет!$CH222,АшламаДВ_Irekle,3,FALSE),VLOOKUP(Расчет!$CH222,АшламаДВ_Gomumy,3,FALSE)))</f>
        <v>0.52</v>
      </c>
      <c r="CK222" s="274">
        <f>IF(Расчет!$CH222="Нет","Нет",IF(Исходн.данные.!$AL222&gt;0,VLOOKUP(Расчет!$CH222,АшламаДВ_Irekle,4,FALSE),VLOOKUP(Расчет!$CH222,АшламаДВ_Gomumy,4,FALSE)))</f>
        <v>0</v>
      </c>
      <c r="CL222" s="70"/>
      <c r="CM222" s="70"/>
      <c r="CN222" s="70"/>
      <c r="CO222" s="70"/>
      <c r="CP222" s="70"/>
      <c r="CQ222" s="70"/>
      <c r="CR222" s="10">
        <f t="shared" ref="CR222:CR285" si="313">IF($CH222="Нет",0,IF(BY222&gt;0,BY222/CI222,0))</f>
        <v>0</v>
      </c>
      <c r="CS222" s="10">
        <f t="shared" ref="CS222:CS285" si="314">IF($CH222="Нет",0,IF(BZ222&gt;0,BZ222/CJ222,0))</f>
        <v>19.23076923076923</v>
      </c>
      <c r="CT222" s="10">
        <f t="shared" ref="CT222:CT285" si="315">IF($CH222="Нет",0,IF(CA222&gt;0,CA222/CK222,0))</f>
        <v>0</v>
      </c>
      <c r="CU222" s="39">
        <f>IF($CH222="Нет",0,IF(CI222=0,30/MIN(CJ222:CK222),IF(Исходн.данные.!$AG222=$BV$11,CR222,IF(OR(Исходн.данные.!$AH222=$BQ$7,Исходн.данные.!$AH222=$BQ$8),90/CI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0,IF(Исходн.данные.!$AI222=$BU$11,"Нет",30/CI222))))))</f>
        <v>250</v>
      </c>
      <c r="CV222" s="39">
        <f>IF($CH222="Нет",0,IF(Исходн.данные.!AH222=0,0,IF(CJ222=0,60/MIN(CI222,CK222),IF(Исходн.данные.!$AG222=$BV$11,CS222,IF(OR(Исходн.данные.!$AH222=$BQ$7,Исходн.данные.!$AH222=$BQ$8),90/CJ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10/CJ222,IF(Исходн.данные.!$AI222=$BU$11,"Нет",60/CJ222)))))))</f>
        <v>0</v>
      </c>
      <c r="CW222" s="39">
        <f>IF($CH222="Нет",0,IF(Исходн.данные.!AH222=0,0,IF(CK222=0,30/MIN(CI222:CJ222),IF(Исходн.данные.!$AG222=$BV$11,CT222,IF(OR(Исходн.данные.!$AH222=$BQ$7,Исходн.данные.!$AH222=$BQ$8),90/CK222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0,IF(Исходн.данные.!$AI222=$BU$11,"Нет",30/CK222)))))))</f>
        <v>0</v>
      </c>
      <c r="CX222" s="133">
        <f>IF(Исходн.данные.!$AG222=$BV$11,MAX(CU222:CW222),IF(OR(Исходн.данные.!$AH222=$BS$8,Исходн.данные.!$AH222=$BQ$9,Исходн.данные.!$AH222=$BQ$10,Исходн.данные.!$AH222=$BQ$11,Исходн.данные.!$AH222=$BQ$12,Исходн.данные.!$AH222=$BP$3,Исходн.данные.!$AH222=$BT$8,$FM222="Да"),CV222,MIN(CU222:CW222)))</f>
        <v>0</v>
      </c>
      <c r="CY222" s="133">
        <f>IF(Исходн.данные.!AH222=0,0,IF(CR222&gt;$CX222,$CX222,CR222))</f>
        <v>0</v>
      </c>
      <c r="CZ222" s="133">
        <f>IF(Исходн.данные.!AH222=0,0,IF(CS222&gt;$CX222,$CX222,CS222))</f>
        <v>0</v>
      </c>
      <c r="DA222" s="133">
        <f>IF(Исходн.данные.!AH222=0,0,IF(CT222&gt;$CX222,$CX222,CT222))</f>
        <v>0</v>
      </c>
      <c r="DB222" s="10">
        <f t="shared" ref="DB222:DB285" si="316">IF(BY222="Нет",0,CZ222)</f>
        <v>0</v>
      </c>
      <c r="DC222" s="39">
        <f>DB222*Исходн.данные.!AJ222/1000</f>
        <v>0</v>
      </c>
      <c r="DD222" s="71">
        <f t="shared" ref="DD222:DD285" si="317">$DB222*CI222</f>
        <v>0</v>
      </c>
      <c r="DE222" s="9">
        <f t="shared" ref="DE222:DE285" si="318">$DB222*CJ222</f>
        <v>0</v>
      </c>
      <c r="DF222" s="9">
        <f t="shared" ref="DF222:DF285" si="319">$DB222*CK222</f>
        <v>0</v>
      </c>
      <c r="DG222" s="39">
        <f>IF(BL222&lt;0,0,IF($CH222="Нет",BL222,IF(OR(Исходн.данные.!$AH222=$BP$1,Исходн.данные.!$AH222=$BP$2),0,IF(Исходн.данные.!AI222=$BU$11,BL222,IF(BL222-DD222&lt;0,0,BL222-DD222)))))</f>
        <v>0</v>
      </c>
      <c r="DH222" s="39">
        <f>IF(BM222&lt;0,0,IF($CH222="Нет",BM222,IF(OR(Исходн.данные.!$AH222=$BP$1,Исходн.данные.!$AH222=$BP$2),0,IF(Исходн.данные.!AJ222=$BU$11,BM222,IF(BM222-DE222&lt;0,0,BM222-DE222)))))</f>
        <v>0</v>
      </c>
      <c r="DI222" s="39">
        <f>IF(BN222&lt;0,0,IF($CH222="Нет",BN222,IF(OR(Исходн.данные.!$AH222=$BP$1,Исходн.данные.!$AH222=$BP$2),0,IF(Исходн.данные.!AK222=$BU$11,BN222,IF(BN222-DF222&lt;0,0,BN222-DF222)))))</f>
        <v>0</v>
      </c>
      <c r="DJ222" s="12">
        <f t="shared" ref="DJ222:DJ285" si="320">IF(DG222&gt;0,DH222/DG222,DH222)</f>
        <v>0</v>
      </c>
      <c r="DK222" s="9">
        <f t="shared" ref="DK222:DK285" si="321">IF(DH222&gt;0,DI222/DH222,DI222)</f>
        <v>0</v>
      </c>
      <c r="DL222" s="39">
        <f>IF(Исходн.данные.!AM222&gt;0,Исходн.данные.!AM222,IF(EG222&gt;0,$BH$10,0))</f>
        <v>0</v>
      </c>
      <c r="DM222" s="186">
        <f>IF($DL222=0,0,IF(Исходн.данные.!AM222&gt;0,VLOOKUP($DL222,АшламаДВ_Irekle,2,FALSE),VLOOKUP($DL222,АшламаДВ_Gomumy,2,FALSE)))</f>
        <v>0</v>
      </c>
      <c r="DN222" s="10">
        <f t="shared" si="299"/>
        <v>0</v>
      </c>
      <c r="DO222" s="9" t="str">
        <f>IF(Исходн.данные.!AN222&gt;0,Исходн.данные.!AN222,Удобрения!$B$37 )</f>
        <v>Хлор.калий</v>
      </c>
      <c r="DP222" s="9">
        <f>IF(Исходн.данные.!AN222&gt;0,VLOOKUP(Исходн.данные.!AN222,АшламаДВ_Irekle,4,FALSE),VLOOKUP(DO222,АшламаДВ_Gomumy,4,FALSE))</f>
        <v>0.6</v>
      </c>
      <c r="DQ222" s="10">
        <f t="shared" si="300"/>
        <v>0</v>
      </c>
      <c r="DR222" s="132" t="str">
        <f>IF(Исходн.данные.!AO222&gt;0,Исходн.данные.!AO222,IF(DH222=0,BS$17,IF(AND($DK222=0,$DJ222&gt;0),EJ222,EN222)))</f>
        <v>Нет</v>
      </c>
      <c r="DS222" s="70" t="str">
        <f>IF($DR222="Нет","Нет",IF(Исходн.данные.!$AO222&gt;0,VLOOKUP($DR222,АшламаДВ_Irekle,2,FALSE),VLOOKUP($DR222,АшламаДВ_Gomumy,2,FALSE)))</f>
        <v>Нет</v>
      </c>
      <c r="DT222" s="70" t="str">
        <f>IF($DR222="Нет","Нет",IF(Исходн.данные.!$AO222&gt;0,VLOOKUP($DR222,АшламаДВ_Irekle,3,FALSE),VLOOKUP($DR222,АшламаДВ_Gomumy,3,FALSE)))</f>
        <v>Нет</v>
      </c>
      <c r="DU222" s="70" t="str">
        <f>IF($DR222="Нет","Нет",IF(Исходн.данные.!$AO222&gt;0,VLOOKUP($DR222,АшламаДВ_Irekle,4,FALSE),VLOOKUP($DR222,АшламаДВ_Gomumy,4,FALSE)))</f>
        <v>Нет</v>
      </c>
      <c r="DV222" s="70"/>
      <c r="DW222" s="70"/>
      <c r="DX222" s="70"/>
      <c r="DY222" s="10">
        <f t="shared" ref="DY222:DY285" si="322">IF(DS222="Нет",0,IF(DS222=0,0,IF(DG222&gt;0,DG222/DS222,0)))</f>
        <v>0</v>
      </c>
      <c r="DZ222" s="10">
        <f t="shared" ref="DZ222:DZ285" si="323">IF(DT222="Нет",0,IF(DT222=0,0,IF(DH222&gt;0,DH222/DT222,0)))</f>
        <v>0</v>
      </c>
      <c r="EA222" s="10">
        <f t="shared" ref="EA222:EA285" si="324">IF(DU222="Нет",0,IF(DU222=0,0,IF(DI222&gt;0,DI222/DU222,0)))</f>
        <v>0</v>
      </c>
      <c r="EB222" s="10">
        <f t="shared" ref="EB222:EB285" si="325">DZ222</f>
        <v>0</v>
      </c>
      <c r="EC222" s="10">
        <f t="shared" ref="EC222:EC285" si="326">IF(DS222="Нет",0,$EB222*DS222)</f>
        <v>0</v>
      </c>
      <c r="ED222" s="10">
        <f t="shared" ref="ED222:ED285" si="327">IF(DT222="Нет",0,$EB222*DT222)</f>
        <v>0</v>
      </c>
      <c r="EE222" s="10">
        <f t="shared" ref="EE222:EE285" si="328">IF(DU222="Нет",0,$EB222*DU222)</f>
        <v>0</v>
      </c>
      <c r="EF222" s="39">
        <f>EB222*Исходн.данные.!AJ222/1000</f>
        <v>0</v>
      </c>
      <c r="EG222" s="9">
        <f t="shared" ref="EG222:EG285" si="329">DG222-EC222</f>
        <v>0</v>
      </c>
      <c r="EH222" s="9">
        <f t="shared" ref="EH222:EH285" si="330">DI222-EE222</f>
        <v>0</v>
      </c>
      <c r="EI222" s="39" t="e">
        <f t="shared" si="280"/>
        <v>#DIV/0!</v>
      </c>
      <c r="EJ222" s="9" t="str">
        <f t="shared" si="301"/>
        <v>Азопреципитат</v>
      </c>
      <c r="EK222" s="12">
        <f t="shared" si="281"/>
        <v>0.26</v>
      </c>
      <c r="EL222" s="12">
        <f t="shared" si="282"/>
        <v>0.13</v>
      </c>
      <c r="EM222" s="12">
        <f t="shared" si="283"/>
        <v>0</v>
      </c>
      <c r="EN222" s="12" t="str">
        <f t="shared" si="302"/>
        <v>Нет</v>
      </c>
      <c r="EO222" s="12">
        <f t="shared" si="284"/>
        <v>0</v>
      </c>
      <c r="EP222" s="12">
        <f t="shared" si="285"/>
        <v>0</v>
      </c>
      <c r="EQ222" s="12">
        <f t="shared" si="286"/>
        <v>0</v>
      </c>
      <c r="ER222" s="12" t="str">
        <f t="shared" ref="ER222:ER285" si="331">IF($BZ222=0,"Нет",IF($CA222/$BZ222&gt;1.4,BS$14,IF($CE222&gt;2.2,BH$9,IF($CE222&gt;1.5,BH$8,IF($CE222&gt;1,BH$7,IF($CE222&gt;0.5,BH$6,BH$5))))))</f>
        <v>Диаммофоска</v>
      </c>
      <c r="ES222" s="12">
        <f t="shared" si="287"/>
        <v>0.1</v>
      </c>
      <c r="ET222" s="12">
        <f t="shared" si="288"/>
        <v>0.26</v>
      </c>
      <c r="EU222" s="12">
        <f t="shared" si="289"/>
        <v>0.26</v>
      </c>
      <c r="EV222" s="12" t="str">
        <f t="shared" ref="EV222:EV285" si="332">IF(CE222&gt;2.6,$BH$4,IF(CE222&gt;0.9,$BH$3,IF(CE222&gt;0.5,$BH$2,$BH$1)))</f>
        <v>Аммофос 12:52:00</v>
      </c>
      <c r="EW222" s="12" t="str">
        <f t="shared" ref="EW222:EW285" si="333">IF($CF222&lt;0.14,BH$17,IF($CF222&lt;0.25,BH$16,IF($CF222&lt;0.51,BH$15,IF($CF222&lt;0.7,BH$14,IF($CF222&lt;1,BH$13,BH$12)))))</f>
        <v>Кемира Свекловичное-6</v>
      </c>
      <c r="EX222" s="12">
        <f t="shared" si="290"/>
        <v>0.16</v>
      </c>
      <c r="EY222" s="12">
        <f t="shared" si="291"/>
        <v>0.12</v>
      </c>
      <c r="EZ222" s="12">
        <f t="shared" si="292"/>
        <v>0.17</v>
      </c>
      <c r="FA222" s="38" t="e">
        <f>IF(AND(OR(FJ222=$FD$1,FM222=$FD$1,FO222=$FD$1,FQ222=$FD$1,FS222=$FD$1),FD222=$FD$1,Исходн.данные.!J222&lt;2,FU222=$FD$1),"Бор,Кобальт",IF(AND(FO222=$FD$1,FH222=$FD$1,Исходн.данные.!J222&lt;2,FU222=$FD$1),"Бор,Кобальт",IF(AND(OR(FJ222=$FD$1,FM222=$FD$1,FQ222=$FD$1),FE222=$FD$1,Исходн.данные.!J222&lt;2,FT222=$FD$1,FU222=$FD$1),"Бор,Медь,Цинк",IF(AND(OR(FJ222=$FD$1,FR222="Да"),FI222="Да",Исходн.данные.!J222&lt;2,FT222="Да",FU222="Да"),"Бор,Цинк,Медь",IF(AND(OR(FM222="Да",FQ222="Да"),FI222="Да",Исходн.данные.!J222&lt;2,FT222="Да",FU222="Да"),"Бор,Цинк",IF(AND(FN222="Да",OR(FD222="Да",FE222="Да")),"Бор",FB222))))))</f>
        <v>#N/A</v>
      </c>
      <c r="FB222" s="134" t="e">
        <f>IF(AND(OR(FD222="Да",FE222="Да",FF222="Да",FG222="Да",FH222="Да"),FO222="Да"),"Бор",IF(AND(FP222="Да",OR(FD222="Да",FE222="Да",FI222="Да")),"Бор",IF(AND(FS222="Да",FE222="Да"),"Бор,Медь",IF(AND(OR(FJ222="Да",FK222="Да",FL222="Да"),FE222="Да",Исходн.данные.!I222&lt;5,FT222="Да",FU222="Да"),"Молибден,Цинк",IF(AND(FM222="Да",OR(FE222="Да",FF222="Да",FG222="Да",FH222="Да",FI222="Да")),"Молибден,Цинк",IF(AND(OR(FJ222="Да",FK222="Да",FL222="Да",FM222="Да",FQ222="Да"),OR(FE222="Да",FF222="Да"),FT222="Да",FU222="Да",Исходн.данные.!I222&gt;5.5),"Медь,Цинк",FC222))))))</f>
        <v>#N/A</v>
      </c>
      <c r="FC222" s="23" t="e">
        <f t="shared" ref="FC222:FC285" si="334">IF(AND(OR(FJ222="Да",FL222="Да"),OR(FG222=$DF$12,FH222=$DF$12),FT222=$DF$12,FU222=$DF$12,FW222=$DF$12),"Медь,Цинк,Марганец",IF(AND(OR(FK222=$DF$12,FM222=$DF$12,FQ222=$DF$12),OR(FG222=$DF$12,FH222=$DF$12),FT222=$DF$12,FU222=$DF$12,FW222=$DF$12),"Медь,Цинк",IF(AND(FS222=$DF$12,OR(FE222=$DF$12,FF222=$DF$12,FG222=$DF$12,FH222=$DF$12),FT222=$DF$12,FW222=$DF$12),"Медь",IF(AND(OR(FJ222=$DF$12,FL222=$DF$12,FR222=$DF$12),FI222=$DF$12,FT222=$DF$12,FU221=$DF$12,FV222=$DF$12,FW222=$DF$12),"Цинк,Марганец","Не требуется"))))</f>
        <v>#N/A</v>
      </c>
      <c r="FD222" s="38" t="str">
        <f>IF(OR(Исходн.данные.!F222=$CC$1,Исходн.данные.!F222=$CC$2,Исходн.данные.!F222=$CC$3,Исходн.данные.!F222=$CC$4),"Да","Нет")</f>
        <v>Нет</v>
      </c>
      <c r="FE222" s="38" t="str">
        <f>IF(Исходн.данные.!F222=$CC$5,"Да","Нет")</f>
        <v>Нет</v>
      </c>
      <c r="FF222" s="38" t="str">
        <f>IF(OR(Исходн.данные.!F222=$CC$6,Исходн.данные.!F222=$CC$7),"Да","Нет")</f>
        <v>Нет</v>
      </c>
      <c r="FG222" s="38" t="str">
        <f>IF(OR(Исходн.данные.!F222=$CC$8,Исходн.данные.!F222=$CC$9),"Да","Нет")</f>
        <v>Нет</v>
      </c>
      <c r="FH222" s="38" t="str">
        <f>IF(Исходн.данные.!F222=$CC$10,"Да","Нет")</f>
        <v>Нет</v>
      </c>
      <c r="FI222" s="38" t="str">
        <f>IF(OR(Исходн.данные.!F222=$CC$11,Исходн.данные.!F222=$CC$12),"Да","Нет")</f>
        <v>Нет</v>
      </c>
      <c r="FJ222" s="38" t="str">
        <f>IF(OR(Исходн.данные.!AH222=$BS$1,Исходн.данные.!AH222=$BQ$11,Исходн.данные.!AH222=$BQ$12),"Да","Нет")</f>
        <v>Нет</v>
      </c>
      <c r="FK222" s="38" t="str">
        <f>IF(OR(Исходн.данные.!AH222=$BS$2,Исходн.данные.!AH222=$BS$4),"Да","Нет")</f>
        <v>Нет</v>
      </c>
      <c r="FL222" s="38" t="str">
        <f>IF(OR(Исходн.данные.!AH222=$BS$3,Исходн.данные.!AH222=$BS$5),"Да","Нет")</f>
        <v>Нет</v>
      </c>
      <c r="FM222" s="38" t="str">
        <f>IF(OR(Исходн.данные.!AH222=$BS$9,Исходн.данные.!AH222=$BS$10,Исходн.данные.!AH222=$BS$11,Исходн.данные.!AH222=$BS$12),"Да","Нет")</f>
        <v>Нет</v>
      </c>
      <c r="FN222" s="38" t="str">
        <f>IF(OR(Исходн.данные.!AH222=$BS$6,Исходн.данные.!AH222=$BP$3),"Да","Нет")</f>
        <v>Нет</v>
      </c>
      <c r="FO222" s="38" t="str">
        <f>IF(Исходн.данные.!AH222=$BQ$9,"Да","Нет")</f>
        <v>Нет</v>
      </c>
      <c r="FP222" s="38" t="str">
        <f>IF(OR(Исходн.данные.!AH222=$BS$8,Исходн.данные.!AH222=$BT$8),"Да","Нет")</f>
        <v>Нет</v>
      </c>
      <c r="FQ222" s="38" t="str">
        <f>IF(OR(Исходн.данные.!AH222=$BQ$7,Исходн.данные.!AH222=$BQ$8),"Да","Нет")</f>
        <v>Нет</v>
      </c>
      <c r="FR222" s="38" t="str">
        <f>IF(Исходн.данные.!AI222=$BU$9,"Да","Нет")</f>
        <v>Нет</v>
      </c>
      <c r="FS222" s="38" t="str">
        <f>IF(OR(Исходн.данные.!AH222=$BP$1,Исходн.данные.!AH222=$BP$2),"Да","Нет")</f>
        <v>Нет</v>
      </c>
      <c r="FT222" s="38" t="e">
        <f>IF((Исходн.данные.!K222*GO222*GS222*GW222+BL222*0.6+Исходн.данные.!Q222*4.5*0.275)&gt;90,"Да","Нет")</f>
        <v>#N/A</v>
      </c>
      <c r="FU222" s="38" t="e">
        <f>IF((Исходн.данные.!M222*GS222*GZ222+BM222*0.225)&gt;35,"Да","Нет")</f>
        <v>#N/A</v>
      </c>
      <c r="FV222" s="38" t="str">
        <f>IF(Исходн.данные.!O222&gt;175,"Да","Нет")</f>
        <v>Нет</v>
      </c>
      <c r="FW222" s="39" t="str">
        <f>IF(Исходн.данные.!I222&gt;5.5,"Да","Нет")</f>
        <v>Нет</v>
      </c>
      <c r="FX222" s="39" t="str">
        <f>IF(Исходн.данные.!J222&lt;2,"Да","Нет")</f>
        <v>Да</v>
      </c>
      <c r="FY222" s="39" t="e">
        <f>IF(HF222=$FY$16,0,Исходн.данные.!K222*GO222*GS222*GW222/HF222)</f>
        <v>#N/A</v>
      </c>
      <c r="FZ222" s="39" t="e">
        <f>Исходн.данные.!M222*GS222*GZ222/HG222</f>
        <v>#N/A</v>
      </c>
      <c r="GA222" s="39" t="e">
        <f>IF(K_Wyn=$FY$16,0,IF(Исходн.данные.!N222=Исходн.данные.!$L$10,Исходн.данные.!O222/1.1*GS222*HC222/HH222,IF(Исходн.данные.!N222=Исходн.данные.!$L$12,Исходн.данные.!O222/1.5*GS222*HC222/HH222,Исходн.данные.!O222*GS222*HC222/HH222)))</f>
        <v>#N/A</v>
      </c>
      <c r="GB222" s="39" t="e">
        <f>IF(HF222=$FY$16,0,((Исходн.данные.!Q222*N_Org+Исходн.данные.!R222*N_Sider+Исходн.данные.!S222*N_Soloma)*AO222+Расчет!BC222*VLOOKUP(Исходн.данные.!T222,Справ!$A$3:$O$57,15)*AO222+BB222*VLOOKUP(Исходн.данные.!T222,Справ!$A$3:$O$57,15)*AL222+(Исходн.данные.!V222*N_Rizotorf+Исходн.данные.!W222*N_Rizoagr))/HF222)</f>
        <v>#N/A</v>
      </c>
      <c r="GC222" s="39" t="e">
        <f>IF(HG222=$FY$16,0,((Исходн.данные.!Q222*Р_Org+Исходн.данные.!R222*P_Sider+Исходн.данные.!S222*P_Soloma)*AP222+Расчет!BC222*VLOOKUP(Исходн.данные.!T222,Справ!$A$3:$P$57,16)*AP222+BB222*VLOOKUP(Исходн.данные.!T222,Справ!$A$3:$P$57,16)*AM222)/HG222)</f>
        <v>#N/A</v>
      </c>
      <c r="GD222" s="39" t="e">
        <f>IF(HH222=$FY$16,0,((Исходн.данные.!Q222*К_Org+Исходн.данные.!R222*K_Sider+Исходн.данные.!S222*K_Soloma)*AQ222+Расчет!BC222*VLOOKUP(Исходн.данные.!T222,Справ!$A$3:$Q$57,17)*AQ222+BB222*VLOOKUP(Исходн.данные.!T222,Справ!$A$3:$Q$57,17)*AN222)/HH222)</f>
        <v>#N/A</v>
      </c>
      <c r="GE222" s="39" t="e">
        <f>IF(HF222=$FY$16,0,(Исходн.данные.!X222*AR222+Исходн.данные.!AA222*N_Org*AL222+Исходн.данные.!AB222*N_Sider*AL222+Исходн.данные.!AC222*N_Soloma*AL222)/HF222)</f>
        <v>#N/A</v>
      </c>
      <c r="GF222" s="39" t="e">
        <f>IF(HG222=$FY$16,0,(Исходн.данные.!Y222*AS222+Исходн.данные.!AA222*Р_Org*AM222+Исходн.данные.!AB222*P_Sider*AM222+Исходн.данные.!AC222*P_Soloma*AM222)/HG222)</f>
        <v>#N/A</v>
      </c>
      <c r="GG222" s="39" t="e">
        <f>IF(HH222=$FY$16,0,(Исходн.данные.!Z222*AT222+Исходн.данные.!AA222*К_Org*AN222+Исходн.данные.!AB222*K_Sider*AN222+Исходн.данные.!AC222*K_Soloma*AN222)/HH222)</f>
        <v>#N/A</v>
      </c>
      <c r="GH222" s="39" t="e">
        <f>Исходн.данные.!AD222*AU222/HF222</f>
        <v>#N/A</v>
      </c>
      <c r="GI222" s="39" t="e">
        <f>Исходн.данные.!AE222*AV222/HG222</f>
        <v>#N/A</v>
      </c>
      <c r="GJ222" s="39" t="e">
        <f>Исходн.данные.!AF222*AW222/HH222</f>
        <v>#N/A</v>
      </c>
      <c r="GK222" s="55">
        <f>Исходн.данные.!AK222</f>
        <v>0</v>
      </c>
      <c r="GL222" s="11" t="e">
        <f t="shared" ref="GL222:GL285" si="335">FY222</f>
        <v>#N/A</v>
      </c>
      <c r="GM222" s="11" t="e">
        <f t="shared" ref="GM222:GM285" si="336">FZ222</f>
        <v>#N/A</v>
      </c>
      <c r="GN222" s="11" t="e">
        <f t="shared" ref="GN222:GN285" si="337">GA222</f>
        <v>#N/A</v>
      </c>
      <c r="GO222" s="57">
        <f t="shared" ref="GO222:GO285" si="338">GP222</f>
        <v>19</v>
      </c>
      <c r="GP222" s="55">
        <f>IF(OR(Исходн.данные.!F222=$CE$1,Исходн.данные.!F222=$CE$2,Исходн.данные.!F222=$CE$3,Исходн.данные.!F222=$CE$4,Исходн.данные.!F222=$CE$5),GQ222,GR222)</f>
        <v>19</v>
      </c>
      <c r="GQ222" s="55">
        <f>IF(Исходн.данные.!F222=$CE$1,28,IF(Исходн.данные.!F222=$CE$2,26,IF(Исходн.данные.!F222=$CE$3,24,IF(Исходн.данные.!F222=$CE$4,22,IF(Исходн.данные.!F222=$CE$5,20,GR222)))))</f>
        <v>19</v>
      </c>
      <c r="GR222" s="55">
        <f>IF(Исходн.данные.!F222=$CE$6,18,IF(Исходн.данные.!F222=$CE$7,16,IF(Исходн.данные.!F222=$CE$8,14,IF(Исходн.данные.!F222=$CE$9,13,IF(Исходн.данные.!F222=$CE$10,12,19)))))</f>
        <v>19</v>
      </c>
      <c r="GS222" s="55">
        <f>IF(Исходн.данные.!G222="Пес",0.035*(40+2*Исходн.данные.!H222),IF(Исходн.данные.!G222="Суп",0.0325*(40+2*Исходн.данные.!H222),0.03*(40+2*Исходн.данные.!H222)))</f>
        <v>1.2</v>
      </c>
      <c r="GT222" s="55">
        <f>IF(Исходн.данные.!H222&lt;23,2.6,IF(AND(Исходн.данные.!H222&gt;22,Исходн.данные.!H222&lt;26),3,IF(AND(Исходн.данные.!H222&gt;25,Исходн.данные.!H222&lt;29),3.4,3.6)))</f>
        <v>2.6</v>
      </c>
      <c r="GU222" s="55">
        <f>IF(Исходн.данные.!H222&lt;23,2.8,IF(AND(Исходн.данные.!H222&gt;22,Исходн.данные.!H222&lt;26),3.2,IF(AND(Исходн.данные.!H222&gt;25,Исходн.данные.!H222&lt;29),3.6,3.9)))</f>
        <v>2.8</v>
      </c>
      <c r="GV222" s="55">
        <f>IF(Исходн.данные.!H222&lt;23,3,IF(AND(Исходн.данные.!H222&gt;22,Исходн.данные.!H222&lt;26),3.5,IF(AND(Исходн.данные.!H222&gt;25,Исходн.данные.!H222&lt;29),3.9,4.2)))</f>
        <v>3</v>
      </c>
      <c r="GW222" s="55" t="e">
        <f>IF(Исходн.данные.!P222="Ум",GX222,GY222)</f>
        <v>#N/A</v>
      </c>
      <c r="GX222" s="55" t="e">
        <f>VLOOKUP(Исходн.данные.!AI222,Коэффициенты!$J$7:$L$13,2,FALSE)</f>
        <v>#N/A</v>
      </c>
      <c r="GY222" s="55" t="e">
        <f>VLOOKUP(Исходн.данные.!AI222,Коэффициенты!$J$7:$L$13,3,FALSE)</f>
        <v>#N/A</v>
      </c>
      <c r="GZ222" s="55" t="e">
        <f>(IF(Исходн.данные.!M222&lt;50,0.11*VLOOKUP(Исходн.данные.!AH222,Культуры.Информация,7,FALSE),IF(Исходн.данные.!M222&gt;250,0.05*VLOOKUP(Исходн.данные.!AH222,Культуры.Информация,7,FALSE),VLOOKUP(Исходн.данные.!AH222,Культуры.Информация,5,FALSE)/100*($GX$6+$GY$6*Исходн.данные.!M222))))*Расчет2!AI222</f>
        <v>#N/A</v>
      </c>
      <c r="HA222" s="211"/>
      <c r="HB222" s="211"/>
      <c r="HC222" s="55" t="e">
        <f>(IF(Исходн.данные.!O222&lt;80,0.2*VLOOKUP(Исходн.данные.!AH222,Культуры.Информация,8,FALSE),IF(Исходн.данные.!O222&gt;240,0.09*VLOOKUP(Исходн.данные.!AH222,Культуры.Информация,8,FALSE),VLOOKUP(Исходн.данные.!AH222,Культуры.Информация,6,FALSE)/100*($HB$6+$HC$6*Исходн.данные.!O222))))*Расчет2!AJ222</f>
        <v>#N/A</v>
      </c>
      <c r="HD222" s="55">
        <f>IF(Исходн.данные.!O222&gt;240,0.09,IF(Исходн.данные.!O222&lt;30,0.3,$HE$10+$HD$10*Исходн.данные.!O222))</f>
        <v>0.3</v>
      </c>
      <c r="HE222" s="55">
        <f>IF(Исходн.данные.!O222&gt;240,0.17,IF(Исходн.данные.!O222&lt;30,0.5,$HF$12+$HE$12*Исходн.данные.!O222))</f>
        <v>0.5</v>
      </c>
      <c r="HF222" s="55" t="e">
        <f>VLOOKUP(Исходн.данные.!AH222,Справ!$A$3:$D$58,2,FALSE)</f>
        <v>#N/A</v>
      </c>
      <c r="HG222" s="55" t="e">
        <f>VLOOKUP(Исходн.данные.!AH222,Справ!$A$3:$D$58,3,FALSE)</f>
        <v>#N/A</v>
      </c>
      <c r="HH222" s="55" t="e">
        <f>VLOOKUP(Исходн.данные.!AH222,Справ!$A$3:$D$58,4,FALSE)</f>
        <v>#N/A</v>
      </c>
      <c r="HI222" s="11" t="e">
        <f t="shared" ref="HI222:HI285" si="339">$BG222-HQ222</f>
        <v>#N/A</v>
      </c>
      <c r="HJ222" s="11" t="e">
        <f t="shared" ref="HJ222:HJ285" si="340">$BG222-HR222</f>
        <v>#N/A</v>
      </c>
      <c r="HK222" s="11" t="e">
        <f t="shared" ref="HK222:HK285" si="341">$BG222-HS222</f>
        <v>#N/A</v>
      </c>
      <c r="HL222" s="55">
        <f>IF(OR(Исходн.данные.!G222="Глин",Исходн.данные.!G222="Т_суг"),1.1,IF(Исходн.данные.!G222="Ср_суг",1,1))</f>
        <v>1</v>
      </c>
      <c r="HM222" s="55">
        <f>IF(OR(Исходн.данные.!G222="Глин",Исходн.данные.!G222="Т_суг"),0.9,IF(Исходн.данные.!G222="Ср_суг",1,1.2))</f>
        <v>1.2</v>
      </c>
      <c r="HN222" s="11" t="e">
        <f t="shared" ref="HN222:HN285" si="342">FY222+GB222+GE222+GH222</f>
        <v>#N/A</v>
      </c>
      <c r="HO222" s="11" t="e">
        <f t="shared" ref="HO222:HO285" si="343">FZ222+GC222+GF222+GI222</f>
        <v>#N/A</v>
      </c>
      <c r="HP222" s="11" t="e">
        <f t="shared" ref="HP222:HP285" si="344">GA222+GD222+GG222+GJ222</f>
        <v>#N/A</v>
      </c>
      <c r="HQ222" t="e">
        <f t="shared" ref="HQ222:HQ285" si="345">HN222</f>
        <v>#N/A</v>
      </c>
      <c r="HR222" t="e">
        <f t="shared" ref="HR222:HR285" si="346">HO222</f>
        <v>#N/A</v>
      </c>
      <c r="HS222" t="e">
        <f t="shared" ref="HS222:HS285" si="347">HP222</f>
        <v>#N/A</v>
      </c>
      <c r="HT222" t="e">
        <f t="shared" si="293"/>
        <v>#N/A</v>
      </c>
      <c r="HU222" t="e">
        <f t="shared" si="294"/>
        <v>#N/A</v>
      </c>
      <c r="HV222" t="e">
        <f t="shared" si="295"/>
        <v>#N/A</v>
      </c>
      <c r="HW222" t="e">
        <f t="shared" si="296"/>
        <v>#N/A</v>
      </c>
      <c r="HX222" t="e">
        <f t="shared" si="297"/>
        <v>#N/A</v>
      </c>
      <c r="HY222" t="e">
        <f t="shared" si="298"/>
        <v>#N/A</v>
      </c>
      <c r="HZ222" s="55">
        <f>IF(OR(Исходн.данные.!AI222="Оз_Ч_П",Исходн.данные.!AI222="Оз_З_П",Исходн.данные.!AI222="Яр_зер"),12,30)</f>
        <v>30</v>
      </c>
      <c r="IA222" t="e">
        <f t="shared" ref="IA222:IA285" si="348">ABS(AVERAGE(HN222:HP222)-HN222)</f>
        <v>#N/A</v>
      </c>
      <c r="IB222" t="e">
        <f t="shared" ref="IB222:IB285" si="349">ABS(AVERAGE(HN222:HP222)-HO222)</f>
        <v>#N/A</v>
      </c>
      <c r="IC222" t="e">
        <f t="shared" ref="IC222:IC285" si="350">ABS(AVERAGE(HN222:HP222)-HP222)</f>
        <v>#N/A</v>
      </c>
      <c r="ID222" s="11" t="e">
        <f t="shared" ref="ID222:ID285" si="351">MAX(HN222:HP222)</f>
        <v>#N/A</v>
      </c>
      <c r="IE222" s="11" t="e">
        <f t="shared" ref="IE222:IE285" si="352">AVERAGE(HN222:HP222)</f>
        <v>#N/A</v>
      </c>
      <c r="IF222" s="11" t="e">
        <f t="shared" ref="IF222:IF285" si="353">MIN(HN222:HP222)</f>
        <v>#N/A</v>
      </c>
    </row>
    <row r="223" spans="35:240" x14ac:dyDescent="0.2">
      <c r="AI223">
        <f>IF(Исходн.данные.!I223&gt;6,1,1.85-(0.148*Исходн.данные.!I223))</f>
        <v>1.85</v>
      </c>
      <c r="AJ223">
        <f>IF(Исходн.данные.!I223&gt;6,1,2.434-(0.246*Исходн.данные.!I223))</f>
        <v>2.4340000000000002</v>
      </c>
      <c r="AL223" s="148" t="b">
        <f>IF(Исходн.данные.!$P223="Ум",N_OrgUd_2g_um,IF(Исходн.данные.!$P223="Об",N_OrgUd_2g_ob))</f>
        <v>0</v>
      </c>
      <c r="AM223" s="148" t="b">
        <f>IF(Исходн.данные.!$P223="Ум",P_OrgUd_2g_um,IF(Исходн.данные.!$P223="Об",P_OrgUd_2g_ob))</f>
        <v>0</v>
      </c>
      <c r="AN223" s="148" t="b">
        <f>IF(Исходн.данные.!$P223="Ум",K_OrgUd_2g_um,IF(Исходн.данные.!$P223="Об",K_OrgUd_2g_ob))</f>
        <v>0</v>
      </c>
      <c r="AO223" s="148" t="b">
        <f>IF(Исходн.данные.!$P223="Ум",N_OrgUd_1g_um,IF(Исходн.данные.!$P223="Об",N_OrgUd_1g_ob))</f>
        <v>0</v>
      </c>
      <c r="AP223" s="148" t="b">
        <f>IF(Исходн.данные.!$P223="Ум",P_OrgUd_1g_um,IF(Исходн.данные.!$P223="Об",P_OrgUd_1g_ob))</f>
        <v>0</v>
      </c>
      <c r="AQ223" s="148" t="b">
        <f>IF(Исходн.данные.!$P223="Ум",K_OrgUd_1g_um,IF(Исходн.данные.!$P223="Об",K_OrgUd_1g_ob))</f>
        <v>0</v>
      </c>
      <c r="AR223" t="b">
        <f>IF(Исходн.данные.!$P223="Ум",N_MinUd_2g_um,IF(Исходн.данные.!$P223="Об",N_MinUd_2g_ob))</f>
        <v>0</v>
      </c>
      <c r="AS223" t="b">
        <f>IF(Исходн.данные.!$P223="Ум",P_MinUd_2g_um,IF(Исходн.данные.!$P223="Об",P_MinUd_2g_ob))</f>
        <v>0</v>
      </c>
      <c r="AT223" t="b">
        <f>IF(Исходн.данные.!$P223="Ум",K_MinUd_2g_um,IF(Исходн.данные.!$P223="Об",K_MinUd_2g_ob))</f>
        <v>0</v>
      </c>
      <c r="AU223" t="b">
        <f>IF(Исходн.данные.!$P223="Ум",N_MinUd_1g_um,IF(Исходн.данные.!$P223="Об",N_MinUd_1g_ob))</f>
        <v>0</v>
      </c>
      <c r="AV223" t="b">
        <f>IF(Исходн.данные.!P223="Ум",P_MinUd_1g_um,IF(Исходн.данные.!P223="Об",P_MinUd_1g_ob))</f>
        <v>0</v>
      </c>
      <c r="AW223" t="b">
        <f>IF(Исходн.данные.!P223="Ум",K_MinUd_1g_um,IF(Исходн.данные.!P223="Об",K_MinUd_1g_ob))</f>
        <v>0</v>
      </c>
      <c r="AY223" t="e">
        <f>VLOOKUP(Исходн.данные.!T223,Справ!$A$3:$N$57,12)</f>
        <v>#N/A</v>
      </c>
      <c r="AZ223" t="e">
        <f>VLOOKUP(Исходн.данные.!T223,Справ!$A$3:$N$57,13)</f>
        <v>#N/A</v>
      </c>
      <c r="BA223" t="e">
        <f>VLOOKUP(Исходн.данные.!T223,Справ!$A$3:$N$57,14)</f>
        <v>#N/A</v>
      </c>
      <c r="BB223">
        <f>IF(Исходн.данные.!AH223=0,0,25)</f>
        <v>0</v>
      </c>
      <c r="BC223" s="141">
        <f>IF(Исходн.данные.!AH223=0,0,IF(Исходн.данные.!T223=0,25,BD223))</f>
        <v>0</v>
      </c>
      <c r="BD223" s="168" t="e">
        <f>AY223+AZ223*Исходн.данные.!U223-POWER(BA223,2)*Исходн.данные.!U223</f>
        <v>#N/A</v>
      </c>
      <c r="BE22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3" s="25">
        <f>IF(Исходн.данные.!AH223=0,0,MIN(HN223:HP223))</f>
        <v>0</v>
      </c>
      <c r="BG223" s="9">
        <f>IF(Исходн.данные.!AH223=0,0,IF((HO223+10*0.25/HG223/HL223)&lt;17,17,HO223+10*0.25/HG223/HL223))</f>
        <v>0</v>
      </c>
      <c r="BH223" s="181">
        <f>IF(Исходн.данные.!AH223=0,0,HW223*HF223*HL223/AU223*AI223+Исходн.данные.!S223*10)</f>
        <v>0</v>
      </c>
      <c r="BI223" s="10"/>
      <c r="BJ223" s="182">
        <f>IF(Исходн.данные.!AH223=0,0,IF(HX223*HG223*HL223/AV223&lt;0,0,HX223*HG223*HL223/AV223*AJ223))</f>
        <v>0</v>
      </c>
      <c r="BK223" s="182">
        <f>IF(Исходн.данные.!AH223=0,0,HY223*HH223*HM223/AW223)</f>
        <v>0</v>
      </c>
      <c r="BL223" s="10">
        <f>IF(OR(Исходн.данные.!$AH223=$BP$1,Исходн.данные.!$AH223=$BP$2),0,IF(BH223&lt;0,0,IF(OR(Исходн.данные.!T223=Расчет!$BP$1,Исходн.данные.!T223=Расчет!$BP$2,Исходн.данные.!T223=Расчет!$BT$5,Исходн.данные.!T223=Расчет!$BT$6),BH223*0.5,IF(OR(Исходн.данные.!T223=Расчет!$BS$9,Исходн.данные.!T223=Расчет!$BS$10,Исходн.данные.!T223=Расчет!$BS$11,Исходн.данные.!T223=Расчет!$BS$12,Исходн.данные.!T223=Расчет!$BP$5),BH223*0.8,BH223))))</f>
        <v>0</v>
      </c>
      <c r="BM223" s="10">
        <f>IF(OR(Исходн.данные.!$AH223=$BP$1,Исходн.данные.!$AH223=$BP$2),0,IF(BJ223&lt;0,0,IF(Исходн.данные.!I223&lt;4.5,BJ223*1.2,IF(Исходн.данные.!I223&gt;5.1,BJ223,BJ223*((5.1-Исходн.данные.!I223)*0.333+1)))))</f>
        <v>0</v>
      </c>
      <c r="BN223" s="10">
        <f>IF(OR(Исходн.данные.!$AH223=$BP$1,Исходн.данные.!$AH223=$BP$2),60-Исходн.данные.!AF223,IF(BK223&lt;0,0,IF(Исходн.данные.!I223&lt;4.5,BK223*1.2,IF(Исходн.данные.!I223&gt;5.1,BK223,BK223*((5.1-Исходн.данные.!I223)*0.333+1)))))</f>
        <v>0</v>
      </c>
      <c r="BO223" s="9">
        <f>IF(BL223&lt;0,0,BL223*Исходн.данные.!$AJ223/1000)</f>
        <v>0</v>
      </c>
      <c r="BP223" s="9">
        <f>IF(BM223&lt;0,0,BM223*Исходн.данные.!$AJ223/1000)</f>
        <v>0</v>
      </c>
      <c r="BQ223" s="9">
        <f>IF(BN223&lt;0,0,BN223*Исходн.данные.!$AJ223/1000)</f>
        <v>0</v>
      </c>
      <c r="BR223" s="9">
        <f t="shared" si="303"/>
        <v>0</v>
      </c>
      <c r="BS223" s="10" t="str">
        <f t="shared" si="304"/>
        <v>Аммофос 12:52:00</v>
      </c>
      <c r="BT223" s="10" t="str">
        <f t="shared" si="305"/>
        <v>Аммофос 12:52:00</v>
      </c>
      <c r="BU223" s="10" t="str">
        <f t="shared" si="306"/>
        <v>Диаммофоска</v>
      </c>
      <c r="BV223" s="10">
        <f t="shared" si="307"/>
        <v>0</v>
      </c>
      <c r="BW223" s="10"/>
      <c r="BX223" s="10"/>
      <c r="BY223" s="9">
        <f>IF(BL223&lt;0,0,IF(OR(Исходн.данные.!AI223=Расчет!$BU$6,Исходн.данные.!AI223=Расчет!$BU$7),Расчет!BV223,IF(Исходн.данные.!$AG223=$BV$11,BL223,IF(OR(Исходн.данные.!$AH223=$BQ$7,Исходн.данные.!$AH223=$BQ$8),CB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0,IF(Исходн.данные.!$AI223=$BU$11,"Нет",IF(BL223&gt;30,30,BL223)))))))</f>
        <v>0</v>
      </c>
      <c r="BZ223" s="9">
        <f>IF(AND(Исходн.данные.!$AG223=$BV$11,BM223&lt;10),10,IF(Исходн.данные.!$AG223=$BV$11,BM223,IF(OR(Исходн.данные.!$AH223=$BQ$7,Исходн.данные.!$AH223=$BQ$8),CC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10,IF(Исходн.данные.!$AI223=$BU$11,"Нет",IF(BM223&gt;60,60,IF(BM223&lt;10,10,BM223)))))))</f>
        <v>10</v>
      </c>
      <c r="CA223" s="39">
        <f>IF(BN223&lt;0,0,IF(Исходн.данные.!$AG223=$BV$11,BN223,IF(OR(Исходн.данные.!$AH223=$BQ$7,Исходн.данные.!$AH223=$BQ$8),CD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0,IF(Исходн.данные.!$AI223=$BU$11,"Нет",IF(BN223&gt;30,30,BN223))))))</f>
        <v>0</v>
      </c>
      <c r="CB223" s="9">
        <f t="shared" si="308"/>
        <v>0</v>
      </c>
      <c r="CC223" s="9">
        <f t="shared" si="309"/>
        <v>0</v>
      </c>
      <c r="CD223" s="9">
        <f t="shared" si="310"/>
        <v>0</v>
      </c>
      <c r="CE223" s="12">
        <f t="shared" si="311"/>
        <v>10</v>
      </c>
      <c r="CF223" s="9">
        <f t="shared" si="312"/>
        <v>0</v>
      </c>
      <c r="CG223" s="9" t="s">
        <v>231</v>
      </c>
      <c r="CH223" s="132" t="str">
        <f>IF(Исходн.данные.!AP223=Расчет!$CI$16,"Нет",IF(Исходн.данные.!AL223&gt;0,Исходн.данные.!AL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BH$4,IF(OR(Исходн.данные.!AI223=Исходн.данные.!$AI$6,Исходн.данные.!AI223=Исходн.данные.!$AI$7),Расчет!BS223,IF(AND($CF223=0,$CE223&gt;0),EV223,ER223)))))</f>
        <v>Аммофос 12:52:00</v>
      </c>
      <c r="CI223" s="274">
        <f>IF(Расчет!$CH223="Нет","Нет",IF(Исходн.данные.!$AL223&gt;0,VLOOKUP(Расчет!$CH223,АшламаДВ_Irekle,2,FALSE),VLOOKUP(Расчет!$CH223,АшламаДВ_Gomumy,2,FALSE)))</f>
        <v>0.12</v>
      </c>
      <c r="CJ223" s="274">
        <f>IF(Расчет!$CH223="Нет","Нет",IF(Исходн.данные.!$AL223&gt;0,VLOOKUP(Расчет!$CH223,АшламаДВ_Irekle,3,FALSE),VLOOKUP(Расчет!$CH223,АшламаДВ_Gomumy,3,FALSE)))</f>
        <v>0.52</v>
      </c>
      <c r="CK223" s="274">
        <f>IF(Расчет!$CH223="Нет","Нет",IF(Исходн.данные.!$AL223&gt;0,VLOOKUP(Расчет!$CH223,АшламаДВ_Irekle,4,FALSE),VLOOKUP(Расчет!$CH223,АшламаДВ_Gomumy,4,FALSE)))</f>
        <v>0</v>
      </c>
      <c r="CL223" s="70"/>
      <c r="CM223" s="70"/>
      <c r="CN223" s="70"/>
      <c r="CO223" s="70"/>
      <c r="CP223" s="70"/>
      <c r="CQ223" s="70"/>
      <c r="CR223" s="10">
        <f t="shared" si="313"/>
        <v>0</v>
      </c>
      <c r="CS223" s="10">
        <f t="shared" si="314"/>
        <v>19.23076923076923</v>
      </c>
      <c r="CT223" s="10">
        <f t="shared" si="315"/>
        <v>0</v>
      </c>
      <c r="CU223" s="39">
        <f>IF($CH223="Нет",0,IF(CI223=0,30/MIN(CJ223:CK223),IF(Исходн.данные.!$AG223=$BV$11,CR223,IF(OR(Исходн.данные.!$AH223=$BQ$7,Исходн.данные.!$AH223=$BQ$8),90/CI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0,IF(Исходн.данные.!$AI223=$BU$11,"Нет",30/CI223))))))</f>
        <v>250</v>
      </c>
      <c r="CV223" s="39">
        <f>IF($CH223="Нет",0,IF(Исходн.данные.!AH223=0,0,IF(CJ223=0,60/MIN(CI223,CK223),IF(Исходн.данные.!$AG223=$BV$11,CS223,IF(OR(Исходн.данные.!$AH223=$BQ$7,Исходн.данные.!$AH223=$BQ$8),90/CJ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10/CJ223,IF(Исходн.данные.!$AI223=$BU$11,"Нет",60/CJ223)))))))</f>
        <v>0</v>
      </c>
      <c r="CW223" s="39">
        <f>IF($CH223="Нет",0,IF(Исходн.данные.!AH223=0,0,IF(CK223=0,30/MIN(CI223:CJ223),IF(Исходн.данные.!$AG223=$BV$11,CT223,IF(OR(Исходн.данные.!$AH223=$BQ$7,Исходн.данные.!$AH223=$BQ$8),90/CK223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0,IF(Исходн.данные.!$AI223=$BU$11,"Нет",30/CK223)))))))</f>
        <v>0</v>
      </c>
      <c r="CX223" s="133">
        <f>IF(Исходн.данные.!$AG223=$BV$11,MAX(CU223:CW223),IF(OR(Исходн.данные.!$AH223=$BS$8,Исходн.данные.!$AH223=$BQ$9,Исходн.данные.!$AH223=$BQ$10,Исходн.данные.!$AH223=$BQ$11,Исходн.данные.!$AH223=$BQ$12,Исходн.данные.!$AH223=$BP$3,Исходн.данные.!$AH223=$BT$8,$FM223="Да"),CV223,MIN(CU223:CW223)))</f>
        <v>0</v>
      </c>
      <c r="CY223" s="133">
        <f>IF(Исходн.данные.!AH223=0,0,IF(CR223&gt;$CX223,$CX223,CR223))</f>
        <v>0</v>
      </c>
      <c r="CZ223" s="133">
        <f>IF(Исходн.данные.!AH223=0,0,IF(CS223&gt;$CX223,$CX223,CS223))</f>
        <v>0</v>
      </c>
      <c r="DA223" s="133">
        <f>IF(Исходн.данные.!AH223=0,0,IF(CT223&gt;$CX223,$CX223,CT223))</f>
        <v>0</v>
      </c>
      <c r="DB223" s="10">
        <f t="shared" si="316"/>
        <v>0</v>
      </c>
      <c r="DC223" s="39">
        <f>DB223*Исходн.данные.!AJ223/1000</f>
        <v>0</v>
      </c>
      <c r="DD223" s="71">
        <f t="shared" si="317"/>
        <v>0</v>
      </c>
      <c r="DE223" s="9">
        <f t="shared" si="318"/>
        <v>0</v>
      </c>
      <c r="DF223" s="9">
        <f t="shared" si="319"/>
        <v>0</v>
      </c>
      <c r="DG223" s="39">
        <f>IF(BL223&lt;0,0,IF($CH223="Нет",BL223,IF(OR(Исходн.данные.!$AH223=$BP$1,Исходн.данные.!$AH223=$BP$2),0,IF(Исходн.данные.!AI223=$BU$11,BL223,IF(BL223-DD223&lt;0,0,BL223-DD223)))))</f>
        <v>0</v>
      </c>
      <c r="DH223" s="39">
        <f>IF(BM223&lt;0,0,IF($CH223="Нет",BM223,IF(OR(Исходн.данные.!$AH223=$BP$1,Исходн.данные.!$AH223=$BP$2),0,IF(Исходн.данные.!AJ223=$BU$11,BM223,IF(BM223-DE223&lt;0,0,BM223-DE223)))))</f>
        <v>0</v>
      </c>
      <c r="DI223" s="39">
        <f>IF(BN223&lt;0,0,IF($CH223="Нет",BN223,IF(OR(Исходн.данные.!$AH223=$BP$1,Исходн.данные.!$AH223=$BP$2),0,IF(Исходн.данные.!AK223=$BU$11,BN223,IF(BN223-DF223&lt;0,0,BN223-DF223)))))</f>
        <v>0</v>
      </c>
      <c r="DJ223" s="12">
        <f t="shared" si="320"/>
        <v>0</v>
      </c>
      <c r="DK223" s="9">
        <f t="shared" si="321"/>
        <v>0</v>
      </c>
      <c r="DL223" s="39">
        <f>IF(Исходн.данные.!AM223&gt;0,Исходн.данные.!AM223,IF(EG223&gt;0,$BH$10,0))</f>
        <v>0</v>
      </c>
      <c r="DM223" s="186">
        <f>IF($DL223=0,0,IF(Исходн.данные.!AM223&gt;0,VLOOKUP($DL223,АшламаДВ_Irekle,2,FALSE),VLOOKUP($DL223,АшламаДВ_Gomumy,2,FALSE)))</f>
        <v>0</v>
      </c>
      <c r="DN223" s="10">
        <f t="shared" si="299"/>
        <v>0</v>
      </c>
      <c r="DO223" s="9" t="str">
        <f>IF(Исходн.данные.!AN223&gt;0,Исходн.данные.!AN223,Удобрения!$B$37 )</f>
        <v>Хлор.калий</v>
      </c>
      <c r="DP223" s="9">
        <f>IF(Исходн.данные.!AN223&gt;0,VLOOKUP(Исходн.данные.!AN223,АшламаДВ_Irekle,4,FALSE),VLOOKUP(DO223,АшламаДВ_Gomumy,4,FALSE))</f>
        <v>0.6</v>
      </c>
      <c r="DQ223" s="10">
        <f t="shared" si="300"/>
        <v>0</v>
      </c>
      <c r="DR223" s="132" t="str">
        <f>IF(Исходн.данные.!AO223&gt;0,Исходн.данные.!AO223,IF(DH223=0,BS$17,IF(AND($DK223=0,$DJ223&gt;0),EJ223,EN223)))</f>
        <v>Нет</v>
      </c>
      <c r="DS223" s="70" t="str">
        <f>IF($DR223="Нет","Нет",IF(Исходн.данные.!$AO223&gt;0,VLOOKUP($DR223,АшламаДВ_Irekle,2,FALSE),VLOOKUP($DR223,АшламаДВ_Gomumy,2,FALSE)))</f>
        <v>Нет</v>
      </c>
      <c r="DT223" s="70" t="str">
        <f>IF($DR223="Нет","Нет",IF(Исходн.данные.!$AO223&gt;0,VLOOKUP($DR223,АшламаДВ_Irekle,3,FALSE),VLOOKUP($DR223,АшламаДВ_Gomumy,3,FALSE)))</f>
        <v>Нет</v>
      </c>
      <c r="DU223" s="70" t="str">
        <f>IF($DR223="Нет","Нет",IF(Исходн.данные.!$AO223&gt;0,VLOOKUP($DR223,АшламаДВ_Irekle,4,FALSE),VLOOKUP($DR223,АшламаДВ_Gomumy,4,FALSE)))</f>
        <v>Нет</v>
      </c>
      <c r="DV223" s="70"/>
      <c r="DW223" s="70"/>
      <c r="DX223" s="70"/>
      <c r="DY223" s="10">
        <f t="shared" si="322"/>
        <v>0</v>
      </c>
      <c r="DZ223" s="10">
        <f t="shared" si="323"/>
        <v>0</v>
      </c>
      <c r="EA223" s="10">
        <f t="shared" si="324"/>
        <v>0</v>
      </c>
      <c r="EB223" s="10">
        <f t="shared" si="325"/>
        <v>0</v>
      </c>
      <c r="EC223" s="10">
        <f t="shared" si="326"/>
        <v>0</v>
      </c>
      <c r="ED223" s="10">
        <f t="shared" si="327"/>
        <v>0</v>
      </c>
      <c r="EE223" s="10">
        <f t="shared" si="328"/>
        <v>0</v>
      </c>
      <c r="EF223" s="39">
        <f>EB223*Исходн.данные.!AJ223/1000</f>
        <v>0</v>
      </c>
      <c r="EG223" s="9">
        <f t="shared" si="329"/>
        <v>0</v>
      </c>
      <c r="EH223" s="9">
        <f t="shared" si="330"/>
        <v>0</v>
      </c>
      <c r="EI223" s="39" t="e">
        <f t="shared" si="280"/>
        <v>#DIV/0!</v>
      </c>
      <c r="EJ223" s="9" t="str">
        <f t="shared" si="301"/>
        <v>Азопреципитат</v>
      </c>
      <c r="EK223" s="12">
        <f t="shared" si="281"/>
        <v>0.26</v>
      </c>
      <c r="EL223" s="12">
        <f t="shared" si="282"/>
        <v>0.13</v>
      </c>
      <c r="EM223" s="12">
        <f t="shared" si="283"/>
        <v>0</v>
      </c>
      <c r="EN223" s="12" t="str">
        <f t="shared" si="302"/>
        <v>Нет</v>
      </c>
      <c r="EO223" s="12">
        <f t="shared" si="284"/>
        <v>0</v>
      </c>
      <c r="EP223" s="12">
        <f t="shared" si="285"/>
        <v>0</v>
      </c>
      <c r="EQ223" s="12">
        <f t="shared" si="286"/>
        <v>0</v>
      </c>
      <c r="ER223" s="12" t="str">
        <f t="shared" si="331"/>
        <v>Диаммофоска</v>
      </c>
      <c r="ES223" s="12">
        <f t="shared" si="287"/>
        <v>0.1</v>
      </c>
      <c r="ET223" s="12">
        <f t="shared" si="288"/>
        <v>0.26</v>
      </c>
      <c r="EU223" s="12">
        <f t="shared" si="289"/>
        <v>0.26</v>
      </c>
      <c r="EV223" s="12" t="str">
        <f t="shared" si="332"/>
        <v>Аммофос 12:52:00</v>
      </c>
      <c r="EW223" s="12" t="str">
        <f t="shared" si="333"/>
        <v>Кемира Свекловичное-6</v>
      </c>
      <c r="EX223" s="12">
        <f t="shared" si="290"/>
        <v>0.16</v>
      </c>
      <c r="EY223" s="12">
        <f t="shared" si="291"/>
        <v>0.12</v>
      </c>
      <c r="EZ223" s="12">
        <f t="shared" si="292"/>
        <v>0.17</v>
      </c>
      <c r="FA223" s="38" t="e">
        <f>IF(AND(OR(FJ223=$FD$1,FM223=$FD$1,FO223=$FD$1,FQ223=$FD$1,FS223=$FD$1),FD223=$FD$1,Исходн.данные.!J223&lt;2,FU223=$FD$1),"Бор,Кобальт",IF(AND(FO223=$FD$1,FH223=$FD$1,Исходн.данные.!J223&lt;2,FU223=$FD$1),"Бор,Кобальт",IF(AND(OR(FJ223=$FD$1,FM223=$FD$1,FQ223=$FD$1),FE223=$FD$1,Исходн.данные.!J223&lt;2,FT223=$FD$1,FU223=$FD$1),"Бор,Медь,Цинк",IF(AND(OR(FJ223=$FD$1,FR223="Да"),FI223="Да",Исходн.данные.!J223&lt;2,FT223="Да",FU223="Да"),"Бор,Цинк,Медь",IF(AND(OR(FM223="Да",FQ223="Да"),FI223="Да",Исходн.данные.!J223&lt;2,FT223="Да",FU223="Да"),"Бор,Цинк",IF(AND(FN223="Да",OR(FD223="Да",FE223="Да")),"Бор",FB223))))))</f>
        <v>#N/A</v>
      </c>
      <c r="FB223" s="134" t="e">
        <f>IF(AND(OR(FD223="Да",FE223="Да",FF223="Да",FG223="Да",FH223="Да"),FO223="Да"),"Бор",IF(AND(FP223="Да",OR(FD223="Да",FE223="Да",FI223="Да")),"Бор",IF(AND(FS223="Да",FE223="Да"),"Бор,Медь",IF(AND(OR(FJ223="Да",FK223="Да",FL223="Да"),FE223="Да",Исходн.данные.!I223&lt;5,FT223="Да",FU223="Да"),"Молибден,Цинк",IF(AND(FM223="Да",OR(FE223="Да",FF223="Да",FG223="Да",FH223="Да",FI223="Да")),"Молибден,Цинк",IF(AND(OR(FJ223="Да",FK223="Да",FL223="Да",FM223="Да",FQ223="Да"),OR(FE223="Да",FF223="Да"),FT223="Да",FU223="Да",Исходн.данные.!I223&gt;5.5),"Медь,Цинк",FC223))))))</f>
        <v>#N/A</v>
      </c>
      <c r="FC223" s="23" t="e">
        <f t="shared" si="334"/>
        <v>#N/A</v>
      </c>
      <c r="FD223" s="38" t="str">
        <f>IF(OR(Исходн.данные.!F223=$CC$1,Исходн.данные.!F223=$CC$2,Исходн.данные.!F223=$CC$3,Исходн.данные.!F223=$CC$4),"Да","Нет")</f>
        <v>Нет</v>
      </c>
      <c r="FE223" s="38" t="str">
        <f>IF(Исходн.данные.!F223=$CC$5,"Да","Нет")</f>
        <v>Нет</v>
      </c>
      <c r="FF223" s="38" t="str">
        <f>IF(OR(Исходн.данные.!F223=$CC$6,Исходн.данные.!F223=$CC$7),"Да","Нет")</f>
        <v>Нет</v>
      </c>
      <c r="FG223" s="38" t="str">
        <f>IF(OR(Исходн.данные.!F223=$CC$8,Исходн.данные.!F223=$CC$9),"Да","Нет")</f>
        <v>Нет</v>
      </c>
      <c r="FH223" s="38" t="str">
        <f>IF(Исходн.данные.!F223=$CC$10,"Да","Нет")</f>
        <v>Нет</v>
      </c>
      <c r="FI223" s="38" t="str">
        <f>IF(OR(Исходн.данные.!F223=$CC$11,Исходн.данные.!F223=$CC$12),"Да","Нет")</f>
        <v>Нет</v>
      </c>
      <c r="FJ223" s="38" t="str">
        <f>IF(OR(Исходн.данные.!AH223=$BS$1,Исходн.данные.!AH223=$BQ$11,Исходн.данные.!AH223=$BQ$12),"Да","Нет")</f>
        <v>Нет</v>
      </c>
      <c r="FK223" s="38" t="str">
        <f>IF(OR(Исходн.данные.!AH223=$BS$2,Исходн.данные.!AH223=$BS$4),"Да","Нет")</f>
        <v>Нет</v>
      </c>
      <c r="FL223" s="38" t="str">
        <f>IF(OR(Исходн.данные.!AH223=$BS$3,Исходн.данные.!AH223=$BS$5),"Да","Нет")</f>
        <v>Нет</v>
      </c>
      <c r="FM223" s="38" t="str">
        <f>IF(OR(Исходн.данные.!AH223=$BS$9,Исходн.данные.!AH223=$BS$10,Исходн.данные.!AH223=$BS$11,Исходн.данные.!AH223=$BS$12),"Да","Нет")</f>
        <v>Нет</v>
      </c>
      <c r="FN223" s="38" t="str">
        <f>IF(OR(Исходн.данные.!AH223=$BS$6,Исходн.данные.!AH223=$BP$3),"Да","Нет")</f>
        <v>Нет</v>
      </c>
      <c r="FO223" s="38" t="str">
        <f>IF(Исходн.данные.!AH223=$BQ$9,"Да","Нет")</f>
        <v>Нет</v>
      </c>
      <c r="FP223" s="38" t="str">
        <f>IF(OR(Исходн.данные.!AH223=$BS$8,Исходн.данные.!AH223=$BT$8),"Да","Нет")</f>
        <v>Нет</v>
      </c>
      <c r="FQ223" s="38" t="str">
        <f>IF(OR(Исходн.данные.!AH223=$BQ$7,Исходн.данные.!AH223=$BQ$8),"Да","Нет")</f>
        <v>Нет</v>
      </c>
      <c r="FR223" s="38" t="str">
        <f>IF(Исходн.данные.!AI223=$BU$9,"Да","Нет")</f>
        <v>Нет</v>
      </c>
      <c r="FS223" s="38" t="str">
        <f>IF(OR(Исходн.данные.!AH223=$BP$1,Исходн.данные.!AH223=$BP$2),"Да","Нет")</f>
        <v>Нет</v>
      </c>
      <c r="FT223" s="38" t="e">
        <f>IF((Исходн.данные.!K223*GO223*GS223*GW223+BL223*0.6+Исходн.данные.!Q223*4.5*0.275)&gt;90,"Да","Нет")</f>
        <v>#N/A</v>
      </c>
      <c r="FU223" s="38" t="e">
        <f>IF((Исходн.данные.!M223*GS223*GZ223+BM223*0.225)&gt;35,"Да","Нет")</f>
        <v>#N/A</v>
      </c>
      <c r="FV223" s="38" t="str">
        <f>IF(Исходн.данные.!O223&gt;175,"Да","Нет")</f>
        <v>Нет</v>
      </c>
      <c r="FW223" s="39" t="str">
        <f>IF(Исходн.данные.!I223&gt;5.5,"Да","Нет")</f>
        <v>Нет</v>
      </c>
      <c r="FX223" s="39" t="str">
        <f>IF(Исходн.данные.!J223&lt;2,"Да","Нет")</f>
        <v>Да</v>
      </c>
      <c r="FY223" s="39" t="e">
        <f>IF(HF223=$FY$16,0,Исходн.данные.!K223*GO223*GS223*GW223/HF223)</f>
        <v>#N/A</v>
      </c>
      <c r="FZ223" s="39" t="e">
        <f>Исходн.данные.!M223*GS223*GZ223/HG223</f>
        <v>#N/A</v>
      </c>
      <c r="GA223" s="39" t="e">
        <f>IF(K_Wyn=$FY$16,0,IF(Исходн.данные.!N223=Исходн.данные.!$L$10,Исходн.данные.!O223/1.1*GS223*HC223/HH223,IF(Исходн.данные.!N223=Исходн.данные.!$L$12,Исходн.данные.!O223/1.5*GS223*HC223/HH223,Исходн.данные.!O223*GS223*HC223/HH223)))</f>
        <v>#N/A</v>
      </c>
      <c r="GB223" s="39" t="e">
        <f>IF(HF223=$FY$16,0,((Исходн.данные.!Q223*N_Org+Исходн.данные.!R223*N_Sider+Исходн.данные.!S223*N_Soloma)*AO223+Расчет!BC223*VLOOKUP(Исходн.данные.!T223,Справ!$A$3:$O$57,15)*AO223+BB223*VLOOKUP(Исходн.данные.!T223,Справ!$A$3:$O$57,15)*AL223+(Исходн.данные.!V223*N_Rizotorf+Исходн.данные.!W223*N_Rizoagr))/HF223)</f>
        <v>#N/A</v>
      </c>
      <c r="GC223" s="39" t="e">
        <f>IF(HG223=$FY$16,0,((Исходн.данные.!Q223*Р_Org+Исходн.данные.!R223*P_Sider+Исходн.данные.!S223*P_Soloma)*AP223+Расчет!BC223*VLOOKUP(Исходн.данные.!T223,Справ!$A$3:$P$57,16)*AP223+BB223*VLOOKUP(Исходн.данные.!T223,Справ!$A$3:$P$57,16)*AM223)/HG223)</f>
        <v>#N/A</v>
      </c>
      <c r="GD223" s="39" t="e">
        <f>IF(HH223=$FY$16,0,((Исходн.данные.!Q223*К_Org+Исходн.данные.!R223*K_Sider+Исходн.данные.!S223*K_Soloma)*AQ223+Расчет!BC223*VLOOKUP(Исходн.данные.!T223,Справ!$A$3:$Q$57,17)*AQ223+BB223*VLOOKUP(Исходн.данные.!T223,Справ!$A$3:$Q$57,17)*AN223)/HH223)</f>
        <v>#N/A</v>
      </c>
      <c r="GE223" s="39" t="e">
        <f>IF(HF223=$FY$16,0,(Исходн.данные.!X223*AR223+Исходн.данные.!AA223*N_Org*AL223+Исходн.данные.!AB223*N_Sider*AL223+Исходн.данные.!AC223*N_Soloma*AL223)/HF223)</f>
        <v>#N/A</v>
      </c>
      <c r="GF223" s="39" t="e">
        <f>IF(HG223=$FY$16,0,(Исходн.данные.!Y223*AS223+Исходн.данные.!AA223*Р_Org*AM223+Исходн.данные.!AB223*P_Sider*AM223+Исходн.данные.!AC223*P_Soloma*AM223)/HG223)</f>
        <v>#N/A</v>
      </c>
      <c r="GG223" s="39" t="e">
        <f>IF(HH223=$FY$16,0,(Исходн.данные.!Z223*AT223+Исходн.данные.!AA223*К_Org*AN223+Исходн.данные.!AB223*K_Sider*AN223+Исходн.данные.!AC223*K_Soloma*AN223)/HH223)</f>
        <v>#N/A</v>
      </c>
      <c r="GH223" s="39" t="e">
        <f>Исходн.данные.!AD223*AU223/HF223</f>
        <v>#N/A</v>
      </c>
      <c r="GI223" s="39" t="e">
        <f>Исходн.данные.!AE223*AV223/HG223</f>
        <v>#N/A</v>
      </c>
      <c r="GJ223" s="39" t="e">
        <f>Исходн.данные.!AF223*AW223/HH223</f>
        <v>#N/A</v>
      </c>
      <c r="GK223" s="55">
        <f>Исходн.данные.!AK223</f>
        <v>0</v>
      </c>
      <c r="GL223" s="11" t="e">
        <f t="shared" si="335"/>
        <v>#N/A</v>
      </c>
      <c r="GM223" s="11" t="e">
        <f t="shared" si="336"/>
        <v>#N/A</v>
      </c>
      <c r="GN223" s="11" t="e">
        <f t="shared" si="337"/>
        <v>#N/A</v>
      </c>
      <c r="GO223" s="57">
        <f t="shared" si="338"/>
        <v>19</v>
      </c>
      <c r="GP223" s="55">
        <f>IF(OR(Исходн.данные.!F223=$CE$1,Исходн.данные.!F223=$CE$2,Исходн.данные.!F223=$CE$3,Исходн.данные.!F223=$CE$4,Исходн.данные.!F223=$CE$5),GQ223,GR223)</f>
        <v>19</v>
      </c>
      <c r="GQ223" s="55">
        <f>IF(Исходн.данные.!F223=$CE$1,28,IF(Исходн.данные.!F223=$CE$2,26,IF(Исходн.данные.!F223=$CE$3,24,IF(Исходн.данные.!F223=$CE$4,22,IF(Исходн.данные.!F223=$CE$5,20,GR223)))))</f>
        <v>19</v>
      </c>
      <c r="GR223" s="55">
        <f>IF(Исходн.данные.!F223=$CE$6,18,IF(Исходн.данные.!F223=$CE$7,16,IF(Исходн.данные.!F223=$CE$8,14,IF(Исходн.данные.!F223=$CE$9,13,IF(Исходн.данные.!F223=$CE$10,12,19)))))</f>
        <v>19</v>
      </c>
      <c r="GS223" s="55">
        <f>IF(Исходн.данные.!G223="Пес",0.035*(40+2*Исходн.данные.!H223),IF(Исходн.данные.!G223="Суп",0.0325*(40+2*Исходн.данные.!H223),0.03*(40+2*Исходн.данные.!H223)))</f>
        <v>1.2</v>
      </c>
      <c r="GT223" s="55">
        <f>IF(Исходн.данные.!H223&lt;23,2.6,IF(AND(Исходн.данные.!H223&gt;22,Исходн.данные.!H223&lt;26),3,IF(AND(Исходн.данные.!H223&gt;25,Исходн.данные.!H223&lt;29),3.4,3.6)))</f>
        <v>2.6</v>
      </c>
      <c r="GU223" s="55">
        <f>IF(Исходн.данные.!H223&lt;23,2.8,IF(AND(Исходн.данные.!H223&gt;22,Исходн.данные.!H223&lt;26),3.2,IF(AND(Исходн.данные.!H223&gt;25,Исходн.данные.!H223&lt;29),3.6,3.9)))</f>
        <v>2.8</v>
      </c>
      <c r="GV223" s="55">
        <f>IF(Исходн.данные.!H223&lt;23,3,IF(AND(Исходн.данные.!H223&gt;22,Исходн.данные.!H223&lt;26),3.5,IF(AND(Исходн.данные.!H223&gt;25,Исходн.данные.!H223&lt;29),3.9,4.2)))</f>
        <v>3</v>
      </c>
      <c r="GW223" s="55" t="e">
        <f>IF(Исходн.данные.!P223="Ум",GX223,GY223)</f>
        <v>#N/A</v>
      </c>
      <c r="GX223" s="55" t="e">
        <f>VLOOKUP(Исходн.данные.!AI223,Коэффициенты!$J$7:$L$13,2,FALSE)</f>
        <v>#N/A</v>
      </c>
      <c r="GY223" s="55" t="e">
        <f>VLOOKUP(Исходн.данные.!AI223,Коэффициенты!$J$7:$L$13,3,FALSE)</f>
        <v>#N/A</v>
      </c>
      <c r="GZ223" s="55" t="e">
        <f>(IF(Исходн.данные.!M223&lt;50,0.11*VLOOKUP(Исходн.данные.!AH223,Культуры.Информация,7,FALSE),IF(Исходн.данные.!M223&gt;250,0.05*VLOOKUP(Исходн.данные.!AH223,Культуры.Информация,7,FALSE),VLOOKUP(Исходн.данные.!AH223,Культуры.Информация,5,FALSE)/100*($GX$6+$GY$6*Исходн.данные.!M223))))*Расчет2!AI223</f>
        <v>#N/A</v>
      </c>
      <c r="HA223" s="211"/>
      <c r="HB223" s="211"/>
      <c r="HC223" s="55" t="e">
        <f>(IF(Исходн.данные.!O223&lt;80,0.2*VLOOKUP(Исходн.данные.!AH223,Культуры.Информация,8,FALSE),IF(Исходн.данные.!O223&gt;240,0.09*VLOOKUP(Исходн.данные.!AH223,Культуры.Информация,8,FALSE),VLOOKUP(Исходн.данные.!AH223,Культуры.Информация,6,FALSE)/100*($HB$6+$HC$6*Исходн.данные.!O223))))*Расчет2!AJ223</f>
        <v>#N/A</v>
      </c>
      <c r="HD223" s="55">
        <f>IF(Исходн.данные.!O223&gt;240,0.09,IF(Исходн.данные.!O223&lt;30,0.3,$HE$10+$HD$10*Исходн.данные.!O223))</f>
        <v>0.3</v>
      </c>
      <c r="HE223" s="55">
        <f>IF(Исходн.данные.!O223&gt;240,0.17,IF(Исходн.данные.!O223&lt;30,0.5,$HF$12+$HE$12*Исходн.данные.!O223))</f>
        <v>0.5</v>
      </c>
      <c r="HF223" s="55" t="e">
        <f>VLOOKUP(Исходн.данные.!AH223,Справ!$A$3:$D$58,2,FALSE)</f>
        <v>#N/A</v>
      </c>
      <c r="HG223" s="55" t="e">
        <f>VLOOKUP(Исходн.данные.!AH223,Справ!$A$3:$D$58,3,FALSE)</f>
        <v>#N/A</v>
      </c>
      <c r="HH223" s="55" t="e">
        <f>VLOOKUP(Исходн.данные.!AH223,Справ!$A$3:$D$58,4,FALSE)</f>
        <v>#N/A</v>
      </c>
      <c r="HI223" s="11" t="e">
        <f t="shared" si="339"/>
        <v>#N/A</v>
      </c>
      <c r="HJ223" s="11" t="e">
        <f t="shared" si="340"/>
        <v>#N/A</v>
      </c>
      <c r="HK223" s="11" t="e">
        <f t="shared" si="341"/>
        <v>#N/A</v>
      </c>
      <c r="HL223" s="55">
        <f>IF(OR(Исходн.данные.!G223="Глин",Исходн.данные.!G223="Т_суг"),1.1,IF(Исходн.данные.!G223="Ср_суг",1,1))</f>
        <v>1</v>
      </c>
      <c r="HM223" s="55">
        <f>IF(OR(Исходн.данные.!G223="Глин",Исходн.данные.!G223="Т_суг"),0.9,IF(Исходн.данные.!G223="Ср_суг",1,1.2))</f>
        <v>1.2</v>
      </c>
      <c r="HN223" s="11" t="e">
        <f t="shared" si="342"/>
        <v>#N/A</v>
      </c>
      <c r="HO223" s="11" t="e">
        <f t="shared" si="343"/>
        <v>#N/A</v>
      </c>
      <c r="HP223" s="11" t="e">
        <f t="shared" si="344"/>
        <v>#N/A</v>
      </c>
      <c r="HQ223" t="e">
        <f t="shared" si="345"/>
        <v>#N/A</v>
      </c>
      <c r="HR223" t="e">
        <f t="shared" si="346"/>
        <v>#N/A</v>
      </c>
      <c r="HS223" t="e">
        <f t="shared" si="347"/>
        <v>#N/A</v>
      </c>
      <c r="HT223" t="e">
        <f t="shared" si="293"/>
        <v>#N/A</v>
      </c>
      <c r="HU223" t="e">
        <f t="shared" si="294"/>
        <v>#N/A</v>
      </c>
      <c r="HV223" t="e">
        <f t="shared" si="295"/>
        <v>#N/A</v>
      </c>
      <c r="HW223" t="e">
        <f t="shared" si="296"/>
        <v>#N/A</v>
      </c>
      <c r="HX223" t="e">
        <f t="shared" si="297"/>
        <v>#N/A</v>
      </c>
      <c r="HY223" t="e">
        <f t="shared" si="298"/>
        <v>#N/A</v>
      </c>
      <c r="HZ223" s="55">
        <f>IF(OR(Исходн.данные.!AI223="Оз_Ч_П",Исходн.данные.!AI223="Оз_З_П",Исходн.данные.!AI223="Яр_зер"),12,30)</f>
        <v>30</v>
      </c>
      <c r="IA223" t="e">
        <f t="shared" si="348"/>
        <v>#N/A</v>
      </c>
      <c r="IB223" t="e">
        <f t="shared" si="349"/>
        <v>#N/A</v>
      </c>
      <c r="IC223" t="e">
        <f t="shared" si="350"/>
        <v>#N/A</v>
      </c>
      <c r="ID223" s="11" t="e">
        <f t="shared" si="351"/>
        <v>#N/A</v>
      </c>
      <c r="IE223" s="11" t="e">
        <f t="shared" si="352"/>
        <v>#N/A</v>
      </c>
      <c r="IF223" s="11" t="e">
        <f t="shared" si="353"/>
        <v>#N/A</v>
      </c>
    </row>
    <row r="224" spans="35:240" x14ac:dyDescent="0.2">
      <c r="AI224">
        <f>IF(Исходн.данные.!I224&gt;6,1,1.85-(0.148*Исходн.данные.!I224))</f>
        <v>1.85</v>
      </c>
      <c r="AJ224">
        <f>IF(Исходн.данные.!I224&gt;6,1,2.434-(0.246*Исходн.данные.!I224))</f>
        <v>2.4340000000000002</v>
      </c>
      <c r="AL224" s="148" t="b">
        <f>IF(Исходн.данные.!$P224="Ум",N_OrgUd_2g_um,IF(Исходн.данные.!$P224="Об",N_OrgUd_2g_ob))</f>
        <v>0</v>
      </c>
      <c r="AM224" s="148" t="b">
        <f>IF(Исходн.данные.!$P224="Ум",P_OrgUd_2g_um,IF(Исходн.данные.!$P224="Об",P_OrgUd_2g_ob))</f>
        <v>0</v>
      </c>
      <c r="AN224" s="148" t="b">
        <f>IF(Исходн.данные.!$P224="Ум",K_OrgUd_2g_um,IF(Исходн.данные.!$P224="Об",K_OrgUd_2g_ob))</f>
        <v>0</v>
      </c>
      <c r="AO224" s="148" t="b">
        <f>IF(Исходн.данные.!$P224="Ум",N_OrgUd_1g_um,IF(Исходн.данные.!$P224="Об",N_OrgUd_1g_ob))</f>
        <v>0</v>
      </c>
      <c r="AP224" s="148" t="b">
        <f>IF(Исходн.данные.!$P224="Ум",P_OrgUd_1g_um,IF(Исходн.данные.!$P224="Об",P_OrgUd_1g_ob))</f>
        <v>0</v>
      </c>
      <c r="AQ224" s="148" t="b">
        <f>IF(Исходн.данные.!$P224="Ум",K_OrgUd_1g_um,IF(Исходн.данные.!$P224="Об",K_OrgUd_1g_ob))</f>
        <v>0</v>
      </c>
      <c r="AR224" t="b">
        <f>IF(Исходн.данные.!$P224="Ум",N_MinUd_2g_um,IF(Исходн.данные.!$P224="Об",N_MinUd_2g_ob))</f>
        <v>0</v>
      </c>
      <c r="AS224" t="b">
        <f>IF(Исходн.данные.!$P224="Ум",P_MinUd_2g_um,IF(Исходн.данные.!$P224="Об",P_MinUd_2g_ob))</f>
        <v>0</v>
      </c>
      <c r="AT224" t="b">
        <f>IF(Исходн.данные.!$P224="Ум",K_MinUd_2g_um,IF(Исходн.данные.!$P224="Об",K_MinUd_2g_ob))</f>
        <v>0</v>
      </c>
      <c r="AU224" t="b">
        <f>IF(Исходн.данные.!$P224="Ум",N_MinUd_1g_um,IF(Исходн.данные.!$P224="Об",N_MinUd_1g_ob))</f>
        <v>0</v>
      </c>
      <c r="AV224" t="b">
        <f>IF(Исходн.данные.!P224="Ум",P_MinUd_1g_um,IF(Исходн.данные.!P224="Об",P_MinUd_1g_ob))</f>
        <v>0</v>
      </c>
      <c r="AW224" t="b">
        <f>IF(Исходн.данные.!P224="Ум",K_MinUd_1g_um,IF(Исходн.данные.!P224="Об",K_MinUd_1g_ob))</f>
        <v>0</v>
      </c>
      <c r="AY224" t="e">
        <f>VLOOKUP(Исходн.данные.!T224,Справ!$A$3:$N$57,12)</f>
        <v>#N/A</v>
      </c>
      <c r="AZ224" t="e">
        <f>VLOOKUP(Исходн.данные.!T224,Справ!$A$3:$N$57,13)</f>
        <v>#N/A</v>
      </c>
      <c r="BA224" t="e">
        <f>VLOOKUP(Исходн.данные.!T224,Справ!$A$3:$N$57,14)</f>
        <v>#N/A</v>
      </c>
      <c r="BB224">
        <f>IF(Исходн.данные.!AH224=0,0,25)</f>
        <v>0</v>
      </c>
      <c r="BC224" s="141">
        <f>IF(Исходн.данные.!AH224=0,0,IF(Исходн.данные.!T224=0,25,BD224))</f>
        <v>0</v>
      </c>
      <c r="BD224" s="168" t="e">
        <f>AY224+AZ224*Исходн.данные.!U224-POWER(BA224,2)*Исходн.данные.!U224</f>
        <v>#N/A</v>
      </c>
      <c r="BE22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4" s="25">
        <f>IF(Исходн.данные.!AH224=0,0,MIN(HN224:HP224))</f>
        <v>0</v>
      </c>
      <c r="BG224" s="9">
        <f>IF(Исходн.данные.!AH224=0,0,IF((HO224+10*0.25/HG224/HL224)&lt;17,17,HO224+10*0.25/HG224/HL224))</f>
        <v>0</v>
      </c>
      <c r="BH224" s="181">
        <f>IF(Исходн.данные.!AH224=0,0,HW224*HF224*HL224/AU224*AI224+Исходн.данные.!S224*10)</f>
        <v>0</v>
      </c>
      <c r="BI224" s="10"/>
      <c r="BJ224" s="182">
        <f>IF(Исходн.данные.!AH224=0,0,IF(HX224*HG224*HL224/AV224&lt;0,0,HX224*HG224*HL224/AV224*AJ224))</f>
        <v>0</v>
      </c>
      <c r="BK224" s="182">
        <f>IF(Исходн.данные.!AH224=0,0,HY224*HH224*HM224/AW224)</f>
        <v>0</v>
      </c>
      <c r="BL224" s="10">
        <f>IF(OR(Исходн.данные.!$AH224=$BP$1,Исходн.данные.!$AH224=$BP$2),0,IF(BH224&lt;0,0,IF(OR(Исходн.данные.!T224=Расчет!$BP$1,Исходн.данные.!T224=Расчет!$BP$2,Исходн.данные.!T224=Расчет!$BT$5,Исходн.данные.!T224=Расчет!$BT$6),BH224*0.5,IF(OR(Исходн.данные.!T224=Расчет!$BS$9,Исходн.данные.!T224=Расчет!$BS$10,Исходн.данные.!T224=Расчет!$BS$11,Исходн.данные.!T224=Расчет!$BS$12,Исходн.данные.!T224=Расчет!$BP$5),BH224*0.8,BH224))))</f>
        <v>0</v>
      </c>
      <c r="BM224" s="10">
        <f>IF(OR(Исходн.данные.!$AH224=$BP$1,Исходн.данные.!$AH224=$BP$2),0,IF(BJ224&lt;0,0,IF(Исходн.данные.!I224&lt;4.5,BJ224*1.2,IF(Исходн.данные.!I224&gt;5.1,BJ224,BJ224*((5.1-Исходн.данные.!I224)*0.333+1)))))</f>
        <v>0</v>
      </c>
      <c r="BN224" s="10">
        <f>IF(OR(Исходн.данные.!$AH224=$BP$1,Исходн.данные.!$AH224=$BP$2),60-Исходн.данные.!AF224,IF(BK224&lt;0,0,IF(Исходн.данные.!I224&lt;4.5,BK224*1.2,IF(Исходн.данные.!I224&gt;5.1,BK224,BK224*((5.1-Исходн.данные.!I224)*0.333+1)))))</f>
        <v>0</v>
      </c>
      <c r="BO224" s="9">
        <f>IF(BL224&lt;0,0,BL224*Исходн.данные.!$AJ224/1000)</f>
        <v>0</v>
      </c>
      <c r="BP224" s="9">
        <f>IF(BM224&lt;0,0,BM224*Исходн.данные.!$AJ224/1000)</f>
        <v>0</v>
      </c>
      <c r="BQ224" s="9">
        <f>IF(BN224&lt;0,0,BN224*Исходн.данные.!$AJ224/1000)</f>
        <v>0</v>
      </c>
      <c r="BR224" s="9">
        <f t="shared" si="303"/>
        <v>0</v>
      </c>
      <c r="BS224" s="10" t="str">
        <f t="shared" si="304"/>
        <v>Аммофос 12:52:00</v>
      </c>
      <c r="BT224" s="10" t="str">
        <f t="shared" si="305"/>
        <v>Аммофос 12:52:00</v>
      </c>
      <c r="BU224" s="10" t="str">
        <f t="shared" si="306"/>
        <v>Диаммофоска</v>
      </c>
      <c r="BV224" s="10">
        <f t="shared" si="307"/>
        <v>0</v>
      </c>
      <c r="BW224" s="10"/>
      <c r="BX224" s="10"/>
      <c r="BY224" s="9">
        <f>IF(BL224&lt;0,0,IF(OR(Исходн.данные.!AI224=Расчет!$BU$6,Исходн.данные.!AI224=Расчет!$BU$7),Расчет!BV224,IF(Исходн.данные.!$AG224=$BV$11,BL224,IF(OR(Исходн.данные.!$AH224=$BQ$7,Исходн.данные.!$AH224=$BQ$8),CB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0,IF(Исходн.данные.!$AI224=$BU$11,"Нет",IF(BL224&gt;30,30,BL224)))))))</f>
        <v>0</v>
      </c>
      <c r="BZ224" s="9">
        <f>IF(AND(Исходн.данные.!$AG224=$BV$11,BM224&lt;10),10,IF(Исходн.данные.!$AG224=$BV$11,BM224,IF(OR(Исходн.данные.!$AH224=$BQ$7,Исходн.данные.!$AH224=$BQ$8),CC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10,IF(Исходн.данные.!$AI224=$BU$11,"Нет",IF(BM224&gt;60,60,IF(BM224&lt;10,10,BM224)))))))</f>
        <v>10</v>
      </c>
      <c r="CA224" s="39">
        <f>IF(BN224&lt;0,0,IF(Исходн.данные.!$AG224=$BV$11,BN224,IF(OR(Исходн.данные.!$AH224=$BQ$7,Исходн.данные.!$AH224=$BQ$8),CD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0,IF(Исходн.данные.!$AI224=$BU$11,"Нет",IF(BN224&gt;30,30,BN224))))))</f>
        <v>0</v>
      </c>
      <c r="CB224" s="9">
        <f t="shared" si="308"/>
        <v>0</v>
      </c>
      <c r="CC224" s="9">
        <f t="shared" si="309"/>
        <v>0</v>
      </c>
      <c r="CD224" s="9">
        <f t="shared" si="310"/>
        <v>0</v>
      </c>
      <c r="CE224" s="12">
        <f t="shared" si="311"/>
        <v>10</v>
      </c>
      <c r="CF224" s="9">
        <f t="shared" si="312"/>
        <v>0</v>
      </c>
      <c r="CG224" s="9" t="s">
        <v>231</v>
      </c>
      <c r="CH224" s="132" t="str">
        <f>IF(Исходн.данные.!AP224=Расчет!$CI$16,"Нет",IF(Исходн.данные.!AL224&gt;0,Исходн.данные.!AL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BH$4,IF(OR(Исходн.данные.!AI224=Исходн.данные.!$AI$6,Исходн.данные.!AI224=Исходн.данные.!$AI$7),Расчет!BS224,IF(AND($CF224=0,$CE224&gt;0),EV224,ER224)))))</f>
        <v>Аммофос 12:52:00</v>
      </c>
      <c r="CI224" s="274">
        <f>IF(Расчет!$CH224="Нет","Нет",IF(Исходн.данные.!$AL224&gt;0,VLOOKUP(Расчет!$CH224,АшламаДВ_Irekle,2,FALSE),VLOOKUP(Расчет!$CH224,АшламаДВ_Gomumy,2,FALSE)))</f>
        <v>0.12</v>
      </c>
      <c r="CJ224" s="274">
        <f>IF(Расчет!$CH224="Нет","Нет",IF(Исходн.данные.!$AL224&gt;0,VLOOKUP(Расчет!$CH224,АшламаДВ_Irekle,3,FALSE),VLOOKUP(Расчет!$CH224,АшламаДВ_Gomumy,3,FALSE)))</f>
        <v>0.52</v>
      </c>
      <c r="CK224" s="274">
        <f>IF(Расчет!$CH224="Нет","Нет",IF(Исходн.данные.!$AL224&gt;0,VLOOKUP(Расчет!$CH224,АшламаДВ_Irekle,4,FALSE),VLOOKUP(Расчет!$CH224,АшламаДВ_Gomumy,4,FALSE)))</f>
        <v>0</v>
      </c>
      <c r="CL224" s="70"/>
      <c r="CM224" s="70"/>
      <c r="CN224" s="70"/>
      <c r="CO224" s="70"/>
      <c r="CP224" s="70"/>
      <c r="CQ224" s="70"/>
      <c r="CR224" s="10">
        <f t="shared" si="313"/>
        <v>0</v>
      </c>
      <c r="CS224" s="10">
        <f t="shared" si="314"/>
        <v>19.23076923076923</v>
      </c>
      <c r="CT224" s="10">
        <f t="shared" si="315"/>
        <v>0</v>
      </c>
      <c r="CU224" s="39">
        <f>IF($CH224="Нет",0,IF(CI224=0,30/MIN(CJ224:CK224),IF(Исходн.данные.!$AG224=$BV$11,CR224,IF(OR(Исходн.данные.!$AH224=$BQ$7,Исходн.данные.!$AH224=$BQ$8),90/CI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0,IF(Исходн.данные.!$AI224=$BU$11,"Нет",30/CI224))))))</f>
        <v>250</v>
      </c>
      <c r="CV224" s="39">
        <f>IF($CH224="Нет",0,IF(Исходн.данные.!AH224=0,0,IF(CJ224=0,60/MIN(CI224,CK224),IF(Исходн.данные.!$AG224=$BV$11,CS224,IF(OR(Исходн.данные.!$AH224=$BQ$7,Исходн.данные.!$AH224=$BQ$8),90/CJ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10/CJ224,IF(Исходн.данные.!$AI224=$BU$11,"Нет",60/CJ224)))))))</f>
        <v>0</v>
      </c>
      <c r="CW224" s="39">
        <f>IF($CH224="Нет",0,IF(Исходн.данные.!AH224=0,0,IF(CK224=0,30/MIN(CI224:CJ224),IF(Исходн.данные.!$AG224=$BV$11,CT224,IF(OR(Исходн.данные.!$AH224=$BQ$7,Исходн.данные.!$AH224=$BQ$8),90/CK224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0,IF(Исходн.данные.!$AI224=$BU$11,"Нет",30/CK224)))))))</f>
        <v>0</v>
      </c>
      <c r="CX224" s="133">
        <f>IF(Исходн.данные.!$AG224=$BV$11,MAX(CU224:CW224),IF(OR(Исходн.данные.!$AH224=$BS$8,Исходн.данные.!$AH224=$BQ$9,Исходн.данные.!$AH224=$BQ$10,Исходн.данные.!$AH224=$BQ$11,Исходн.данные.!$AH224=$BQ$12,Исходн.данные.!$AH224=$BP$3,Исходн.данные.!$AH224=$BT$8,$FM224="Да"),CV224,MIN(CU224:CW224)))</f>
        <v>0</v>
      </c>
      <c r="CY224" s="133">
        <f>IF(Исходн.данные.!AH224=0,0,IF(CR224&gt;$CX224,$CX224,CR224))</f>
        <v>0</v>
      </c>
      <c r="CZ224" s="133">
        <f>IF(Исходн.данные.!AH224=0,0,IF(CS224&gt;$CX224,$CX224,CS224))</f>
        <v>0</v>
      </c>
      <c r="DA224" s="133">
        <f>IF(Исходн.данные.!AH224=0,0,IF(CT224&gt;$CX224,$CX224,CT224))</f>
        <v>0</v>
      </c>
      <c r="DB224" s="10">
        <f t="shared" si="316"/>
        <v>0</v>
      </c>
      <c r="DC224" s="39">
        <f>DB224*Исходн.данные.!AJ224/1000</f>
        <v>0</v>
      </c>
      <c r="DD224" s="71">
        <f t="shared" si="317"/>
        <v>0</v>
      </c>
      <c r="DE224" s="9">
        <f t="shared" si="318"/>
        <v>0</v>
      </c>
      <c r="DF224" s="9">
        <f t="shared" si="319"/>
        <v>0</v>
      </c>
      <c r="DG224" s="39">
        <f>IF(BL224&lt;0,0,IF($CH224="Нет",BL224,IF(OR(Исходн.данные.!$AH224=$BP$1,Исходн.данные.!$AH224=$BP$2),0,IF(Исходн.данные.!AI224=$BU$11,BL224,IF(BL224-DD224&lt;0,0,BL224-DD224)))))</f>
        <v>0</v>
      </c>
      <c r="DH224" s="39">
        <f>IF(BM224&lt;0,0,IF($CH224="Нет",BM224,IF(OR(Исходн.данные.!$AH224=$BP$1,Исходн.данные.!$AH224=$BP$2),0,IF(Исходн.данные.!AJ224=$BU$11,BM224,IF(BM224-DE224&lt;0,0,BM224-DE224)))))</f>
        <v>0</v>
      </c>
      <c r="DI224" s="39">
        <f>IF(BN224&lt;0,0,IF($CH224="Нет",BN224,IF(OR(Исходн.данные.!$AH224=$BP$1,Исходн.данные.!$AH224=$BP$2),0,IF(Исходн.данные.!AK224=$BU$11,BN224,IF(BN224-DF224&lt;0,0,BN224-DF224)))))</f>
        <v>0</v>
      </c>
      <c r="DJ224" s="12">
        <f t="shared" si="320"/>
        <v>0</v>
      </c>
      <c r="DK224" s="9">
        <f t="shared" si="321"/>
        <v>0</v>
      </c>
      <c r="DL224" s="39">
        <f>IF(Исходн.данные.!AM224&gt;0,Исходн.данные.!AM224,IF(EG224&gt;0,$BH$10,0))</f>
        <v>0</v>
      </c>
      <c r="DM224" s="186">
        <f>IF($DL224=0,0,IF(Исходн.данные.!AM224&gt;0,VLOOKUP($DL224,АшламаДВ_Irekle,2,FALSE),VLOOKUP($DL224,АшламаДВ_Gomumy,2,FALSE)))</f>
        <v>0</v>
      </c>
      <c r="DN224" s="10">
        <f t="shared" si="299"/>
        <v>0</v>
      </c>
      <c r="DO224" s="9" t="str">
        <f>IF(Исходн.данные.!AN224&gt;0,Исходн.данные.!AN224,Удобрения!$B$37 )</f>
        <v>Хлор.калий</v>
      </c>
      <c r="DP224" s="9">
        <f>IF(Исходн.данные.!AN224&gt;0,VLOOKUP(Исходн.данные.!AN224,АшламаДВ_Irekle,4,FALSE),VLOOKUP(DO224,АшламаДВ_Gomumy,4,FALSE))</f>
        <v>0.6</v>
      </c>
      <c r="DQ224" s="10">
        <f t="shared" si="300"/>
        <v>0</v>
      </c>
      <c r="DR224" s="132" t="str">
        <f>IF(Исходн.данные.!AO224&gt;0,Исходн.данные.!AO224,IF(DH224=0,BS$17,IF(AND($DK224=0,$DJ224&gt;0),EJ224,EN224)))</f>
        <v>Нет</v>
      </c>
      <c r="DS224" s="70" t="str">
        <f>IF($DR224="Нет","Нет",IF(Исходн.данные.!$AO224&gt;0,VLOOKUP($DR224,АшламаДВ_Irekle,2,FALSE),VLOOKUP($DR224,АшламаДВ_Gomumy,2,FALSE)))</f>
        <v>Нет</v>
      </c>
      <c r="DT224" s="70" t="str">
        <f>IF($DR224="Нет","Нет",IF(Исходн.данные.!$AO224&gt;0,VLOOKUP($DR224,АшламаДВ_Irekle,3,FALSE),VLOOKUP($DR224,АшламаДВ_Gomumy,3,FALSE)))</f>
        <v>Нет</v>
      </c>
      <c r="DU224" s="70" t="str">
        <f>IF($DR224="Нет","Нет",IF(Исходн.данные.!$AO224&gt;0,VLOOKUP($DR224,АшламаДВ_Irekle,4,FALSE),VLOOKUP($DR224,АшламаДВ_Gomumy,4,FALSE)))</f>
        <v>Нет</v>
      </c>
      <c r="DV224" s="70"/>
      <c r="DW224" s="70"/>
      <c r="DX224" s="70"/>
      <c r="DY224" s="10">
        <f t="shared" si="322"/>
        <v>0</v>
      </c>
      <c r="DZ224" s="10">
        <f t="shared" si="323"/>
        <v>0</v>
      </c>
      <c r="EA224" s="10">
        <f t="shared" si="324"/>
        <v>0</v>
      </c>
      <c r="EB224" s="10">
        <f t="shared" si="325"/>
        <v>0</v>
      </c>
      <c r="EC224" s="10">
        <f t="shared" si="326"/>
        <v>0</v>
      </c>
      <c r="ED224" s="10">
        <f t="shared" si="327"/>
        <v>0</v>
      </c>
      <c r="EE224" s="10">
        <f t="shared" si="328"/>
        <v>0</v>
      </c>
      <c r="EF224" s="39">
        <f>EB224*Исходн.данные.!AJ224/1000</f>
        <v>0</v>
      </c>
      <c r="EG224" s="9">
        <f t="shared" si="329"/>
        <v>0</v>
      </c>
      <c r="EH224" s="9">
        <f t="shared" si="330"/>
        <v>0</v>
      </c>
      <c r="EI224" s="39" t="e">
        <f t="shared" si="280"/>
        <v>#DIV/0!</v>
      </c>
      <c r="EJ224" s="9" t="str">
        <f t="shared" si="301"/>
        <v>Азопреципитат</v>
      </c>
      <c r="EK224" s="12">
        <f t="shared" si="281"/>
        <v>0.26</v>
      </c>
      <c r="EL224" s="12">
        <f t="shared" si="282"/>
        <v>0.13</v>
      </c>
      <c r="EM224" s="12">
        <f t="shared" si="283"/>
        <v>0</v>
      </c>
      <c r="EN224" s="12" t="str">
        <f t="shared" si="302"/>
        <v>Нет</v>
      </c>
      <c r="EO224" s="12">
        <f t="shared" si="284"/>
        <v>0</v>
      </c>
      <c r="EP224" s="12">
        <f t="shared" si="285"/>
        <v>0</v>
      </c>
      <c r="EQ224" s="12">
        <f t="shared" si="286"/>
        <v>0</v>
      </c>
      <c r="ER224" s="12" t="str">
        <f t="shared" si="331"/>
        <v>Диаммофоска</v>
      </c>
      <c r="ES224" s="12">
        <f t="shared" si="287"/>
        <v>0.1</v>
      </c>
      <c r="ET224" s="12">
        <f t="shared" si="288"/>
        <v>0.26</v>
      </c>
      <c r="EU224" s="12">
        <f t="shared" si="289"/>
        <v>0.26</v>
      </c>
      <c r="EV224" s="12" t="str">
        <f t="shared" si="332"/>
        <v>Аммофос 12:52:00</v>
      </c>
      <c r="EW224" s="12" t="str">
        <f t="shared" si="333"/>
        <v>Кемира Свекловичное-6</v>
      </c>
      <c r="EX224" s="12">
        <f t="shared" si="290"/>
        <v>0.16</v>
      </c>
      <c r="EY224" s="12">
        <f t="shared" si="291"/>
        <v>0.12</v>
      </c>
      <c r="EZ224" s="12">
        <f t="shared" si="292"/>
        <v>0.17</v>
      </c>
      <c r="FA224" s="38" t="e">
        <f>IF(AND(OR(FJ224=$FD$1,FM224=$FD$1,FO224=$FD$1,FQ224=$FD$1,FS224=$FD$1),FD224=$FD$1,Исходн.данные.!J224&lt;2,FU224=$FD$1),"Бор,Кобальт",IF(AND(FO224=$FD$1,FH224=$FD$1,Исходн.данные.!J224&lt;2,FU224=$FD$1),"Бор,Кобальт",IF(AND(OR(FJ224=$FD$1,FM224=$FD$1,FQ224=$FD$1),FE224=$FD$1,Исходн.данные.!J224&lt;2,FT224=$FD$1,FU224=$FD$1),"Бор,Медь,Цинк",IF(AND(OR(FJ224=$FD$1,FR224="Да"),FI224="Да",Исходн.данные.!J224&lt;2,FT224="Да",FU224="Да"),"Бор,Цинк,Медь",IF(AND(OR(FM224="Да",FQ224="Да"),FI224="Да",Исходн.данные.!J224&lt;2,FT224="Да",FU224="Да"),"Бор,Цинк",IF(AND(FN224="Да",OR(FD224="Да",FE224="Да")),"Бор",FB224))))))</f>
        <v>#N/A</v>
      </c>
      <c r="FB224" s="134" t="e">
        <f>IF(AND(OR(FD224="Да",FE224="Да",FF224="Да",FG224="Да",FH224="Да"),FO224="Да"),"Бор",IF(AND(FP224="Да",OR(FD224="Да",FE224="Да",FI224="Да")),"Бор",IF(AND(FS224="Да",FE224="Да"),"Бор,Медь",IF(AND(OR(FJ224="Да",FK224="Да",FL224="Да"),FE224="Да",Исходн.данные.!I224&lt;5,FT224="Да",FU224="Да"),"Молибден,Цинк",IF(AND(FM224="Да",OR(FE224="Да",FF224="Да",FG224="Да",FH224="Да",FI224="Да")),"Молибден,Цинк",IF(AND(OR(FJ224="Да",FK224="Да",FL224="Да",FM224="Да",FQ224="Да"),OR(FE224="Да",FF224="Да"),FT224="Да",FU224="Да",Исходн.данные.!I224&gt;5.5),"Медь,Цинк",FC224))))))</f>
        <v>#N/A</v>
      </c>
      <c r="FC224" s="23" t="e">
        <f t="shared" si="334"/>
        <v>#N/A</v>
      </c>
      <c r="FD224" s="38" t="str">
        <f>IF(OR(Исходн.данные.!F224=$CC$1,Исходн.данные.!F224=$CC$2,Исходн.данные.!F224=$CC$3,Исходн.данные.!F224=$CC$4),"Да","Нет")</f>
        <v>Нет</v>
      </c>
      <c r="FE224" s="38" t="str">
        <f>IF(Исходн.данные.!F224=$CC$5,"Да","Нет")</f>
        <v>Нет</v>
      </c>
      <c r="FF224" s="38" t="str">
        <f>IF(OR(Исходн.данные.!F224=$CC$6,Исходн.данные.!F224=$CC$7),"Да","Нет")</f>
        <v>Нет</v>
      </c>
      <c r="FG224" s="38" t="str">
        <f>IF(OR(Исходн.данные.!F224=$CC$8,Исходн.данные.!F224=$CC$9),"Да","Нет")</f>
        <v>Нет</v>
      </c>
      <c r="FH224" s="38" t="str">
        <f>IF(Исходн.данные.!F224=$CC$10,"Да","Нет")</f>
        <v>Нет</v>
      </c>
      <c r="FI224" s="38" t="str">
        <f>IF(OR(Исходн.данные.!F224=$CC$11,Исходн.данные.!F224=$CC$12),"Да","Нет")</f>
        <v>Нет</v>
      </c>
      <c r="FJ224" s="38" t="str">
        <f>IF(OR(Исходн.данные.!AH224=$BS$1,Исходн.данные.!AH224=$BQ$11,Исходн.данные.!AH224=$BQ$12),"Да","Нет")</f>
        <v>Нет</v>
      </c>
      <c r="FK224" s="38" t="str">
        <f>IF(OR(Исходн.данные.!AH224=$BS$2,Исходн.данные.!AH224=$BS$4),"Да","Нет")</f>
        <v>Нет</v>
      </c>
      <c r="FL224" s="38" t="str">
        <f>IF(OR(Исходн.данные.!AH224=$BS$3,Исходн.данные.!AH224=$BS$5),"Да","Нет")</f>
        <v>Нет</v>
      </c>
      <c r="FM224" s="38" t="str">
        <f>IF(OR(Исходн.данные.!AH224=$BS$9,Исходн.данные.!AH224=$BS$10,Исходн.данные.!AH224=$BS$11,Исходн.данные.!AH224=$BS$12),"Да","Нет")</f>
        <v>Нет</v>
      </c>
      <c r="FN224" s="38" t="str">
        <f>IF(OR(Исходн.данные.!AH224=$BS$6,Исходн.данные.!AH224=$BP$3),"Да","Нет")</f>
        <v>Нет</v>
      </c>
      <c r="FO224" s="38" t="str">
        <f>IF(Исходн.данные.!AH224=$BQ$9,"Да","Нет")</f>
        <v>Нет</v>
      </c>
      <c r="FP224" s="38" t="str">
        <f>IF(OR(Исходн.данные.!AH224=$BS$8,Исходн.данные.!AH224=$BT$8),"Да","Нет")</f>
        <v>Нет</v>
      </c>
      <c r="FQ224" s="38" t="str">
        <f>IF(OR(Исходн.данные.!AH224=$BQ$7,Исходн.данные.!AH224=$BQ$8),"Да","Нет")</f>
        <v>Нет</v>
      </c>
      <c r="FR224" s="38" t="str">
        <f>IF(Исходн.данные.!AI224=$BU$9,"Да","Нет")</f>
        <v>Нет</v>
      </c>
      <c r="FS224" s="38" t="str">
        <f>IF(OR(Исходн.данные.!AH224=$BP$1,Исходн.данные.!AH224=$BP$2),"Да","Нет")</f>
        <v>Нет</v>
      </c>
      <c r="FT224" s="38" t="e">
        <f>IF((Исходн.данные.!K224*GO224*GS224*GW224+BL224*0.6+Исходн.данные.!Q224*4.5*0.275)&gt;90,"Да","Нет")</f>
        <v>#N/A</v>
      </c>
      <c r="FU224" s="38" t="e">
        <f>IF((Исходн.данные.!M224*GS224*GZ224+BM224*0.225)&gt;35,"Да","Нет")</f>
        <v>#N/A</v>
      </c>
      <c r="FV224" s="38" t="str">
        <f>IF(Исходн.данные.!O224&gt;175,"Да","Нет")</f>
        <v>Нет</v>
      </c>
      <c r="FW224" s="39" t="str">
        <f>IF(Исходн.данные.!I224&gt;5.5,"Да","Нет")</f>
        <v>Нет</v>
      </c>
      <c r="FX224" s="39" t="str">
        <f>IF(Исходн.данные.!J224&lt;2,"Да","Нет")</f>
        <v>Да</v>
      </c>
      <c r="FY224" s="39" t="e">
        <f>IF(HF224=$FY$16,0,Исходн.данные.!K224*GO224*GS224*GW224/HF224)</f>
        <v>#N/A</v>
      </c>
      <c r="FZ224" s="39" t="e">
        <f>Исходн.данные.!M224*GS224*GZ224/HG224</f>
        <v>#N/A</v>
      </c>
      <c r="GA224" s="39" t="e">
        <f>IF(K_Wyn=$FY$16,0,IF(Исходн.данные.!N224=Исходн.данные.!$L$10,Исходн.данные.!O224/1.1*GS224*HC224/HH224,IF(Исходн.данные.!N224=Исходн.данные.!$L$12,Исходн.данные.!O224/1.5*GS224*HC224/HH224,Исходн.данные.!O224*GS224*HC224/HH224)))</f>
        <v>#N/A</v>
      </c>
      <c r="GB224" s="39" t="e">
        <f>IF(HF224=$FY$16,0,((Исходн.данные.!Q224*N_Org+Исходн.данные.!R224*N_Sider+Исходн.данные.!S224*N_Soloma)*AO224+Расчет!BC224*VLOOKUP(Исходн.данные.!T224,Справ!$A$3:$O$57,15)*AO224+BB224*VLOOKUP(Исходн.данные.!T224,Справ!$A$3:$O$57,15)*AL224+(Исходн.данные.!V224*N_Rizotorf+Исходн.данные.!W224*N_Rizoagr))/HF224)</f>
        <v>#N/A</v>
      </c>
      <c r="GC224" s="39" t="e">
        <f>IF(HG224=$FY$16,0,((Исходн.данные.!Q224*Р_Org+Исходн.данные.!R224*P_Sider+Исходн.данные.!S224*P_Soloma)*AP224+Расчет!BC224*VLOOKUP(Исходн.данные.!T224,Справ!$A$3:$P$57,16)*AP224+BB224*VLOOKUP(Исходн.данные.!T224,Справ!$A$3:$P$57,16)*AM224)/HG224)</f>
        <v>#N/A</v>
      </c>
      <c r="GD224" s="39" t="e">
        <f>IF(HH224=$FY$16,0,((Исходн.данные.!Q224*К_Org+Исходн.данные.!R224*K_Sider+Исходн.данные.!S224*K_Soloma)*AQ224+Расчет!BC224*VLOOKUP(Исходн.данные.!T224,Справ!$A$3:$Q$57,17)*AQ224+BB224*VLOOKUP(Исходн.данные.!T224,Справ!$A$3:$Q$57,17)*AN224)/HH224)</f>
        <v>#N/A</v>
      </c>
      <c r="GE224" s="39" t="e">
        <f>IF(HF224=$FY$16,0,(Исходн.данные.!X224*AR224+Исходн.данные.!AA224*N_Org*AL224+Исходн.данные.!AB224*N_Sider*AL224+Исходн.данные.!AC224*N_Soloma*AL224)/HF224)</f>
        <v>#N/A</v>
      </c>
      <c r="GF224" s="39" t="e">
        <f>IF(HG224=$FY$16,0,(Исходн.данные.!Y224*AS224+Исходн.данные.!AA224*Р_Org*AM224+Исходн.данные.!AB224*P_Sider*AM224+Исходн.данные.!AC224*P_Soloma*AM224)/HG224)</f>
        <v>#N/A</v>
      </c>
      <c r="GG224" s="39" t="e">
        <f>IF(HH224=$FY$16,0,(Исходн.данные.!Z224*AT224+Исходн.данные.!AA224*К_Org*AN224+Исходн.данные.!AB224*K_Sider*AN224+Исходн.данные.!AC224*K_Soloma*AN224)/HH224)</f>
        <v>#N/A</v>
      </c>
      <c r="GH224" s="39" t="e">
        <f>Исходн.данные.!AD224*AU224/HF224</f>
        <v>#N/A</v>
      </c>
      <c r="GI224" s="39" t="e">
        <f>Исходн.данные.!AE224*AV224/HG224</f>
        <v>#N/A</v>
      </c>
      <c r="GJ224" s="39" t="e">
        <f>Исходн.данные.!AF224*AW224/HH224</f>
        <v>#N/A</v>
      </c>
      <c r="GK224" s="55">
        <f>Исходн.данные.!AK224</f>
        <v>0</v>
      </c>
      <c r="GL224" s="11" t="e">
        <f t="shared" si="335"/>
        <v>#N/A</v>
      </c>
      <c r="GM224" s="11" t="e">
        <f t="shared" si="336"/>
        <v>#N/A</v>
      </c>
      <c r="GN224" s="11" t="e">
        <f t="shared" si="337"/>
        <v>#N/A</v>
      </c>
      <c r="GO224" s="57">
        <f t="shared" si="338"/>
        <v>19</v>
      </c>
      <c r="GP224" s="55">
        <f>IF(OR(Исходн.данные.!F224=$CE$1,Исходн.данные.!F224=$CE$2,Исходн.данные.!F224=$CE$3,Исходн.данные.!F224=$CE$4,Исходн.данные.!F224=$CE$5),GQ224,GR224)</f>
        <v>19</v>
      </c>
      <c r="GQ224" s="55">
        <f>IF(Исходн.данные.!F224=$CE$1,28,IF(Исходн.данные.!F224=$CE$2,26,IF(Исходн.данные.!F224=$CE$3,24,IF(Исходн.данные.!F224=$CE$4,22,IF(Исходн.данные.!F224=$CE$5,20,GR224)))))</f>
        <v>19</v>
      </c>
      <c r="GR224" s="55">
        <f>IF(Исходн.данные.!F224=$CE$6,18,IF(Исходн.данные.!F224=$CE$7,16,IF(Исходн.данные.!F224=$CE$8,14,IF(Исходн.данные.!F224=$CE$9,13,IF(Исходн.данные.!F224=$CE$10,12,19)))))</f>
        <v>19</v>
      </c>
      <c r="GS224" s="55">
        <f>IF(Исходн.данные.!G224="Пес",0.035*(40+2*Исходн.данные.!H224),IF(Исходн.данные.!G224="Суп",0.0325*(40+2*Исходн.данные.!H224),0.03*(40+2*Исходн.данные.!H224)))</f>
        <v>1.2</v>
      </c>
      <c r="GT224" s="55">
        <f>IF(Исходн.данные.!H224&lt;23,2.6,IF(AND(Исходн.данные.!H224&gt;22,Исходн.данные.!H224&lt;26),3,IF(AND(Исходн.данные.!H224&gt;25,Исходн.данные.!H224&lt;29),3.4,3.6)))</f>
        <v>2.6</v>
      </c>
      <c r="GU224" s="55">
        <f>IF(Исходн.данные.!H224&lt;23,2.8,IF(AND(Исходн.данные.!H224&gt;22,Исходн.данные.!H224&lt;26),3.2,IF(AND(Исходн.данные.!H224&gt;25,Исходн.данные.!H224&lt;29),3.6,3.9)))</f>
        <v>2.8</v>
      </c>
      <c r="GV224" s="55">
        <f>IF(Исходн.данные.!H224&lt;23,3,IF(AND(Исходн.данные.!H224&gt;22,Исходн.данные.!H224&lt;26),3.5,IF(AND(Исходн.данные.!H224&gt;25,Исходн.данные.!H224&lt;29),3.9,4.2)))</f>
        <v>3</v>
      </c>
      <c r="GW224" s="55" t="e">
        <f>IF(Исходн.данные.!P224="Ум",GX224,GY224)</f>
        <v>#N/A</v>
      </c>
      <c r="GX224" s="55" t="e">
        <f>VLOOKUP(Исходн.данные.!AI224,Коэффициенты!$J$7:$L$13,2,FALSE)</f>
        <v>#N/A</v>
      </c>
      <c r="GY224" s="55" t="e">
        <f>VLOOKUP(Исходн.данные.!AI224,Коэффициенты!$J$7:$L$13,3,FALSE)</f>
        <v>#N/A</v>
      </c>
      <c r="GZ224" s="55" t="e">
        <f>(IF(Исходн.данные.!M224&lt;50,0.11*VLOOKUP(Исходн.данные.!AH224,Культуры.Информация,7,FALSE),IF(Исходн.данные.!M224&gt;250,0.05*VLOOKUP(Исходн.данные.!AH224,Культуры.Информация,7,FALSE),VLOOKUP(Исходн.данные.!AH224,Культуры.Информация,5,FALSE)/100*($GX$6+$GY$6*Исходн.данные.!M224))))*Расчет2!AI224</f>
        <v>#N/A</v>
      </c>
      <c r="HA224" s="211"/>
      <c r="HB224" s="211"/>
      <c r="HC224" s="55" t="e">
        <f>(IF(Исходн.данные.!O224&lt;80,0.2*VLOOKUP(Исходн.данные.!AH224,Культуры.Информация,8,FALSE),IF(Исходн.данные.!O224&gt;240,0.09*VLOOKUP(Исходн.данные.!AH224,Культуры.Информация,8,FALSE),VLOOKUP(Исходн.данные.!AH224,Культуры.Информация,6,FALSE)/100*($HB$6+$HC$6*Исходн.данные.!O224))))*Расчет2!AJ224</f>
        <v>#N/A</v>
      </c>
      <c r="HD224" s="55">
        <f>IF(Исходн.данные.!O224&gt;240,0.09,IF(Исходн.данные.!O224&lt;30,0.3,$HE$10+$HD$10*Исходн.данные.!O224))</f>
        <v>0.3</v>
      </c>
      <c r="HE224" s="55">
        <f>IF(Исходн.данные.!O224&gt;240,0.17,IF(Исходн.данные.!O224&lt;30,0.5,$HF$12+$HE$12*Исходн.данные.!O224))</f>
        <v>0.5</v>
      </c>
      <c r="HF224" s="55" t="e">
        <f>VLOOKUP(Исходн.данные.!AH224,Справ!$A$3:$D$58,2,FALSE)</f>
        <v>#N/A</v>
      </c>
      <c r="HG224" s="55" t="e">
        <f>VLOOKUP(Исходн.данные.!AH224,Справ!$A$3:$D$58,3,FALSE)</f>
        <v>#N/A</v>
      </c>
      <c r="HH224" s="55" t="e">
        <f>VLOOKUP(Исходн.данные.!AH224,Справ!$A$3:$D$58,4,FALSE)</f>
        <v>#N/A</v>
      </c>
      <c r="HI224" s="11" t="e">
        <f t="shared" si="339"/>
        <v>#N/A</v>
      </c>
      <c r="HJ224" s="11" t="e">
        <f t="shared" si="340"/>
        <v>#N/A</v>
      </c>
      <c r="HK224" s="11" t="e">
        <f t="shared" si="341"/>
        <v>#N/A</v>
      </c>
      <c r="HL224" s="55">
        <f>IF(OR(Исходн.данные.!G224="Глин",Исходн.данные.!G224="Т_суг"),1.1,IF(Исходн.данные.!G224="Ср_суг",1,1))</f>
        <v>1</v>
      </c>
      <c r="HM224" s="55">
        <f>IF(OR(Исходн.данные.!G224="Глин",Исходн.данные.!G224="Т_суг"),0.9,IF(Исходн.данные.!G224="Ср_суг",1,1.2))</f>
        <v>1.2</v>
      </c>
      <c r="HN224" s="11" t="e">
        <f t="shared" si="342"/>
        <v>#N/A</v>
      </c>
      <c r="HO224" s="11" t="e">
        <f t="shared" si="343"/>
        <v>#N/A</v>
      </c>
      <c r="HP224" s="11" t="e">
        <f t="shared" si="344"/>
        <v>#N/A</v>
      </c>
      <c r="HQ224" t="e">
        <f t="shared" si="345"/>
        <v>#N/A</v>
      </c>
      <c r="HR224" t="e">
        <f t="shared" si="346"/>
        <v>#N/A</v>
      </c>
      <c r="HS224" t="e">
        <f t="shared" si="347"/>
        <v>#N/A</v>
      </c>
      <c r="HT224" t="e">
        <f t="shared" si="293"/>
        <v>#N/A</v>
      </c>
      <c r="HU224" t="e">
        <f t="shared" si="294"/>
        <v>#N/A</v>
      </c>
      <c r="HV224" t="e">
        <f t="shared" si="295"/>
        <v>#N/A</v>
      </c>
      <c r="HW224" t="e">
        <f t="shared" si="296"/>
        <v>#N/A</v>
      </c>
      <c r="HX224" t="e">
        <f t="shared" si="297"/>
        <v>#N/A</v>
      </c>
      <c r="HY224" t="e">
        <f t="shared" si="298"/>
        <v>#N/A</v>
      </c>
      <c r="HZ224" s="55">
        <f>IF(OR(Исходн.данные.!AI224="Оз_Ч_П",Исходн.данные.!AI224="Оз_З_П",Исходн.данные.!AI224="Яр_зер"),12,30)</f>
        <v>30</v>
      </c>
      <c r="IA224" t="e">
        <f t="shared" si="348"/>
        <v>#N/A</v>
      </c>
      <c r="IB224" t="e">
        <f t="shared" si="349"/>
        <v>#N/A</v>
      </c>
      <c r="IC224" t="e">
        <f t="shared" si="350"/>
        <v>#N/A</v>
      </c>
      <c r="ID224" s="11" t="e">
        <f t="shared" si="351"/>
        <v>#N/A</v>
      </c>
      <c r="IE224" s="11" t="e">
        <f t="shared" si="352"/>
        <v>#N/A</v>
      </c>
      <c r="IF224" s="11" t="e">
        <f t="shared" si="353"/>
        <v>#N/A</v>
      </c>
    </row>
    <row r="225" spans="35:240" x14ac:dyDescent="0.2">
      <c r="AI225">
        <f>IF(Исходн.данные.!I225&gt;6,1,1.85-(0.148*Исходн.данные.!I225))</f>
        <v>1.85</v>
      </c>
      <c r="AJ225">
        <f>IF(Исходн.данные.!I225&gt;6,1,2.434-(0.246*Исходн.данные.!I225))</f>
        <v>2.4340000000000002</v>
      </c>
      <c r="AL225" s="148" t="b">
        <f>IF(Исходн.данные.!$P225="Ум",N_OrgUd_2g_um,IF(Исходн.данные.!$P225="Об",N_OrgUd_2g_ob))</f>
        <v>0</v>
      </c>
      <c r="AM225" s="148" t="b">
        <f>IF(Исходн.данные.!$P225="Ум",P_OrgUd_2g_um,IF(Исходн.данные.!$P225="Об",P_OrgUd_2g_ob))</f>
        <v>0</v>
      </c>
      <c r="AN225" s="148" t="b">
        <f>IF(Исходн.данные.!$P225="Ум",K_OrgUd_2g_um,IF(Исходн.данные.!$P225="Об",K_OrgUd_2g_ob))</f>
        <v>0</v>
      </c>
      <c r="AO225" s="148" t="b">
        <f>IF(Исходн.данные.!$P225="Ум",N_OrgUd_1g_um,IF(Исходн.данные.!$P225="Об",N_OrgUd_1g_ob))</f>
        <v>0</v>
      </c>
      <c r="AP225" s="148" t="b">
        <f>IF(Исходн.данные.!$P225="Ум",P_OrgUd_1g_um,IF(Исходн.данные.!$P225="Об",P_OrgUd_1g_ob))</f>
        <v>0</v>
      </c>
      <c r="AQ225" s="148" t="b">
        <f>IF(Исходн.данные.!$P225="Ум",K_OrgUd_1g_um,IF(Исходн.данные.!$P225="Об",K_OrgUd_1g_ob))</f>
        <v>0</v>
      </c>
      <c r="AR225" t="b">
        <f>IF(Исходн.данные.!$P225="Ум",N_MinUd_2g_um,IF(Исходн.данные.!$P225="Об",N_MinUd_2g_ob))</f>
        <v>0</v>
      </c>
      <c r="AS225" t="b">
        <f>IF(Исходн.данные.!$P225="Ум",P_MinUd_2g_um,IF(Исходн.данные.!$P225="Об",P_MinUd_2g_ob))</f>
        <v>0</v>
      </c>
      <c r="AT225" t="b">
        <f>IF(Исходн.данные.!$P225="Ум",K_MinUd_2g_um,IF(Исходн.данные.!$P225="Об",K_MinUd_2g_ob))</f>
        <v>0</v>
      </c>
      <c r="AU225" t="b">
        <f>IF(Исходн.данные.!$P225="Ум",N_MinUd_1g_um,IF(Исходн.данные.!$P225="Об",N_MinUd_1g_ob))</f>
        <v>0</v>
      </c>
      <c r="AV225" t="b">
        <f>IF(Исходн.данные.!P225="Ум",P_MinUd_1g_um,IF(Исходн.данные.!P225="Об",P_MinUd_1g_ob))</f>
        <v>0</v>
      </c>
      <c r="AW225" t="b">
        <f>IF(Исходн.данные.!P225="Ум",K_MinUd_1g_um,IF(Исходн.данные.!P225="Об",K_MinUd_1g_ob))</f>
        <v>0</v>
      </c>
      <c r="AY225" t="e">
        <f>VLOOKUP(Исходн.данные.!T225,Справ!$A$3:$N$57,12)</f>
        <v>#N/A</v>
      </c>
      <c r="AZ225" t="e">
        <f>VLOOKUP(Исходн.данные.!T225,Справ!$A$3:$N$57,13)</f>
        <v>#N/A</v>
      </c>
      <c r="BA225" t="e">
        <f>VLOOKUP(Исходн.данные.!T225,Справ!$A$3:$N$57,14)</f>
        <v>#N/A</v>
      </c>
      <c r="BB225">
        <f>IF(Исходн.данные.!AH225=0,0,25)</f>
        <v>0</v>
      </c>
      <c r="BC225" s="141">
        <f>IF(Исходн.данные.!AH225=0,0,IF(Исходн.данные.!T225=0,25,BD225))</f>
        <v>0</v>
      </c>
      <c r="BD225" s="168" t="e">
        <f>AY225+AZ225*Исходн.данные.!U225-POWER(BA225,2)*Исходн.данные.!U225</f>
        <v>#N/A</v>
      </c>
      <c r="BE22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5" s="25">
        <f>IF(Исходн.данные.!AH225=0,0,MIN(HN225:HP225))</f>
        <v>0</v>
      </c>
      <c r="BG225" s="9">
        <f>IF(Исходн.данные.!AH225=0,0,IF((HO225+10*0.25/HG225/HL225)&lt;17,17,HO225+10*0.25/HG225/HL225))</f>
        <v>0</v>
      </c>
      <c r="BH225" s="181">
        <f>IF(Исходн.данные.!AH225=0,0,HW225*HF225*HL225/AU225*AI225+Исходн.данные.!S225*10)</f>
        <v>0</v>
      </c>
      <c r="BI225" s="10"/>
      <c r="BJ225" s="182">
        <f>IF(Исходн.данные.!AH225=0,0,IF(HX225*HG225*HL225/AV225&lt;0,0,HX225*HG225*HL225/AV225*AJ225))</f>
        <v>0</v>
      </c>
      <c r="BK225" s="182">
        <f>IF(Исходн.данные.!AH225=0,0,HY225*HH225*HM225/AW225)</f>
        <v>0</v>
      </c>
      <c r="BL225" s="10">
        <f>IF(OR(Исходн.данные.!$AH225=$BP$1,Исходн.данные.!$AH225=$BP$2),0,IF(BH225&lt;0,0,IF(OR(Исходн.данные.!T225=Расчет!$BP$1,Исходн.данные.!T225=Расчет!$BP$2,Исходн.данные.!T225=Расчет!$BT$5,Исходн.данные.!T225=Расчет!$BT$6),BH225*0.5,IF(OR(Исходн.данные.!T225=Расчет!$BS$9,Исходн.данные.!T225=Расчет!$BS$10,Исходн.данные.!T225=Расчет!$BS$11,Исходн.данные.!T225=Расчет!$BS$12,Исходн.данные.!T225=Расчет!$BP$5),BH225*0.8,BH225))))</f>
        <v>0</v>
      </c>
      <c r="BM225" s="10">
        <f>IF(OR(Исходн.данные.!$AH225=$BP$1,Исходн.данные.!$AH225=$BP$2),0,IF(BJ225&lt;0,0,IF(Исходн.данные.!I225&lt;4.5,BJ225*1.2,IF(Исходн.данные.!I225&gt;5.1,BJ225,BJ225*((5.1-Исходн.данные.!I225)*0.333+1)))))</f>
        <v>0</v>
      </c>
      <c r="BN225" s="10">
        <f>IF(OR(Исходн.данные.!$AH225=$BP$1,Исходн.данные.!$AH225=$BP$2),60-Исходн.данные.!AF225,IF(BK225&lt;0,0,IF(Исходн.данные.!I225&lt;4.5,BK225*1.2,IF(Исходн.данные.!I225&gt;5.1,BK225,BK225*((5.1-Исходн.данные.!I225)*0.333+1)))))</f>
        <v>0</v>
      </c>
      <c r="BO225" s="9">
        <f>IF(BL225&lt;0,0,BL225*Исходн.данные.!$AJ225/1000)</f>
        <v>0</v>
      </c>
      <c r="BP225" s="9">
        <f>IF(BM225&lt;0,0,BM225*Исходн.данные.!$AJ225/1000)</f>
        <v>0</v>
      </c>
      <c r="BQ225" s="9">
        <f>IF(BN225&lt;0,0,BN225*Исходн.данные.!$AJ225/1000)</f>
        <v>0</v>
      </c>
      <c r="BR225" s="9">
        <f t="shared" si="303"/>
        <v>0</v>
      </c>
      <c r="BS225" s="10" t="str">
        <f t="shared" si="304"/>
        <v>Аммофос 12:52:00</v>
      </c>
      <c r="BT225" s="10" t="str">
        <f t="shared" si="305"/>
        <v>Аммофос 12:52:00</v>
      </c>
      <c r="BU225" s="10" t="str">
        <f t="shared" si="306"/>
        <v>Диаммофоска</v>
      </c>
      <c r="BV225" s="10">
        <f t="shared" si="307"/>
        <v>0</v>
      </c>
      <c r="BW225" s="10"/>
      <c r="BX225" s="10"/>
      <c r="BY225" s="9">
        <f>IF(BL225&lt;0,0,IF(OR(Исходн.данные.!AI225=Расчет!$BU$6,Исходн.данные.!AI225=Расчет!$BU$7),Расчет!BV225,IF(Исходн.данные.!$AG225=$BV$11,BL225,IF(OR(Исходн.данные.!$AH225=$BQ$7,Исходн.данные.!$AH225=$BQ$8),CB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0,IF(Исходн.данные.!$AI225=$BU$11,"Нет",IF(BL225&gt;30,30,BL225)))))))</f>
        <v>0</v>
      </c>
      <c r="BZ225" s="9">
        <f>IF(AND(Исходн.данные.!$AG225=$BV$11,BM225&lt;10),10,IF(Исходн.данные.!$AG225=$BV$11,BM225,IF(OR(Исходн.данные.!$AH225=$BQ$7,Исходн.данные.!$AH225=$BQ$8),CC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10,IF(Исходн.данные.!$AI225=$BU$11,"Нет",IF(BM225&gt;60,60,IF(BM225&lt;10,10,BM225)))))))</f>
        <v>10</v>
      </c>
      <c r="CA225" s="39">
        <f>IF(BN225&lt;0,0,IF(Исходн.данные.!$AG225=$BV$11,BN225,IF(OR(Исходн.данные.!$AH225=$BQ$7,Исходн.данные.!$AH225=$BQ$8),CD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0,IF(Исходн.данные.!$AI225=$BU$11,"Нет",IF(BN225&gt;30,30,BN225))))))</f>
        <v>0</v>
      </c>
      <c r="CB225" s="9">
        <f t="shared" si="308"/>
        <v>0</v>
      </c>
      <c r="CC225" s="9">
        <f t="shared" si="309"/>
        <v>0</v>
      </c>
      <c r="CD225" s="9">
        <f t="shared" si="310"/>
        <v>0</v>
      </c>
      <c r="CE225" s="12">
        <f t="shared" si="311"/>
        <v>10</v>
      </c>
      <c r="CF225" s="9">
        <f t="shared" si="312"/>
        <v>0</v>
      </c>
      <c r="CG225" s="9" t="s">
        <v>231</v>
      </c>
      <c r="CH225" s="132" t="str">
        <f>IF(Исходн.данные.!AP225=Расчет!$CI$16,"Нет",IF(Исходн.данные.!AL225&gt;0,Исходн.данные.!AL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BH$4,IF(OR(Исходн.данные.!AI225=Исходн.данные.!$AI$6,Исходн.данные.!AI225=Исходн.данные.!$AI$7),Расчет!BS225,IF(AND($CF225=0,$CE225&gt;0),EV225,ER225)))))</f>
        <v>Аммофос 12:52:00</v>
      </c>
      <c r="CI225" s="274">
        <f>IF(Расчет!$CH225="Нет","Нет",IF(Исходн.данные.!$AL225&gt;0,VLOOKUP(Расчет!$CH225,АшламаДВ_Irekle,2,FALSE),VLOOKUP(Расчет!$CH225,АшламаДВ_Gomumy,2,FALSE)))</f>
        <v>0.12</v>
      </c>
      <c r="CJ225" s="274">
        <f>IF(Расчет!$CH225="Нет","Нет",IF(Исходн.данные.!$AL225&gt;0,VLOOKUP(Расчет!$CH225,АшламаДВ_Irekle,3,FALSE),VLOOKUP(Расчет!$CH225,АшламаДВ_Gomumy,3,FALSE)))</f>
        <v>0.52</v>
      </c>
      <c r="CK225" s="274">
        <f>IF(Расчет!$CH225="Нет","Нет",IF(Исходн.данные.!$AL225&gt;0,VLOOKUP(Расчет!$CH225,АшламаДВ_Irekle,4,FALSE),VLOOKUP(Расчет!$CH225,АшламаДВ_Gomumy,4,FALSE)))</f>
        <v>0</v>
      </c>
      <c r="CL225" s="70"/>
      <c r="CM225" s="70"/>
      <c r="CN225" s="70"/>
      <c r="CO225" s="70"/>
      <c r="CP225" s="70"/>
      <c r="CQ225" s="70"/>
      <c r="CR225" s="10">
        <f t="shared" si="313"/>
        <v>0</v>
      </c>
      <c r="CS225" s="10">
        <f t="shared" si="314"/>
        <v>19.23076923076923</v>
      </c>
      <c r="CT225" s="10">
        <f t="shared" si="315"/>
        <v>0</v>
      </c>
      <c r="CU225" s="39">
        <f>IF($CH225="Нет",0,IF(CI225=0,30/MIN(CJ225:CK225),IF(Исходн.данные.!$AG225=$BV$11,CR225,IF(OR(Исходн.данные.!$AH225=$BQ$7,Исходн.данные.!$AH225=$BQ$8),90/CI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0,IF(Исходн.данные.!$AI225=$BU$11,"Нет",30/CI225))))))</f>
        <v>250</v>
      </c>
      <c r="CV225" s="39">
        <f>IF($CH225="Нет",0,IF(Исходн.данные.!AH225=0,0,IF(CJ225=0,60/MIN(CI225,CK225),IF(Исходн.данные.!$AG225=$BV$11,CS225,IF(OR(Исходн.данные.!$AH225=$BQ$7,Исходн.данные.!$AH225=$BQ$8),90/CJ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10/CJ225,IF(Исходн.данные.!$AI225=$BU$11,"Нет",60/CJ225)))))))</f>
        <v>0</v>
      </c>
      <c r="CW225" s="39">
        <f>IF($CH225="Нет",0,IF(Исходн.данные.!AH225=0,0,IF(CK225=0,30/MIN(CI225:CJ225),IF(Исходн.данные.!$AG225=$BV$11,CT225,IF(OR(Исходн.данные.!$AH225=$BQ$7,Исходн.данные.!$AH225=$BQ$8),90/CK225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0,IF(Исходн.данные.!$AI225=$BU$11,"Нет",30/CK225)))))))</f>
        <v>0</v>
      </c>
      <c r="CX225" s="133">
        <f>IF(Исходн.данные.!$AG225=$BV$11,MAX(CU225:CW225),IF(OR(Исходн.данные.!$AH225=$BS$8,Исходн.данные.!$AH225=$BQ$9,Исходн.данные.!$AH225=$BQ$10,Исходн.данные.!$AH225=$BQ$11,Исходн.данные.!$AH225=$BQ$12,Исходн.данные.!$AH225=$BP$3,Исходн.данные.!$AH225=$BT$8,$FM225="Да"),CV225,MIN(CU225:CW225)))</f>
        <v>0</v>
      </c>
      <c r="CY225" s="133">
        <f>IF(Исходн.данные.!AH225=0,0,IF(CR225&gt;$CX225,$CX225,CR225))</f>
        <v>0</v>
      </c>
      <c r="CZ225" s="133">
        <f>IF(Исходн.данные.!AH225=0,0,IF(CS225&gt;$CX225,$CX225,CS225))</f>
        <v>0</v>
      </c>
      <c r="DA225" s="133">
        <f>IF(Исходн.данные.!AH225=0,0,IF(CT225&gt;$CX225,$CX225,CT225))</f>
        <v>0</v>
      </c>
      <c r="DB225" s="10">
        <f t="shared" si="316"/>
        <v>0</v>
      </c>
      <c r="DC225" s="39">
        <f>DB225*Исходн.данные.!AJ225/1000</f>
        <v>0</v>
      </c>
      <c r="DD225" s="71">
        <f t="shared" si="317"/>
        <v>0</v>
      </c>
      <c r="DE225" s="9">
        <f t="shared" si="318"/>
        <v>0</v>
      </c>
      <c r="DF225" s="9">
        <f t="shared" si="319"/>
        <v>0</v>
      </c>
      <c r="DG225" s="39">
        <f>IF(BL225&lt;0,0,IF($CH225="Нет",BL225,IF(OR(Исходн.данные.!$AH225=$BP$1,Исходн.данные.!$AH225=$BP$2),0,IF(Исходн.данные.!AI225=$BU$11,BL225,IF(BL225-DD225&lt;0,0,BL225-DD225)))))</f>
        <v>0</v>
      </c>
      <c r="DH225" s="39">
        <f>IF(BM225&lt;0,0,IF($CH225="Нет",BM225,IF(OR(Исходн.данные.!$AH225=$BP$1,Исходн.данные.!$AH225=$BP$2),0,IF(Исходн.данные.!AJ225=$BU$11,BM225,IF(BM225-DE225&lt;0,0,BM225-DE225)))))</f>
        <v>0</v>
      </c>
      <c r="DI225" s="39">
        <f>IF(BN225&lt;0,0,IF($CH225="Нет",BN225,IF(OR(Исходн.данные.!$AH225=$BP$1,Исходн.данные.!$AH225=$BP$2),0,IF(Исходн.данные.!AK225=$BU$11,BN225,IF(BN225-DF225&lt;0,0,BN225-DF225)))))</f>
        <v>0</v>
      </c>
      <c r="DJ225" s="12">
        <f t="shared" si="320"/>
        <v>0</v>
      </c>
      <c r="DK225" s="9">
        <f t="shared" si="321"/>
        <v>0</v>
      </c>
      <c r="DL225" s="39">
        <f>IF(Исходн.данные.!AM225&gt;0,Исходн.данные.!AM225,IF(EG225&gt;0,$BH$10,0))</f>
        <v>0</v>
      </c>
      <c r="DM225" s="186">
        <f>IF($DL225=0,0,IF(Исходн.данные.!AM225&gt;0,VLOOKUP($DL225,АшламаДВ_Irekle,2,FALSE),VLOOKUP($DL225,АшламаДВ_Gomumy,2,FALSE)))</f>
        <v>0</v>
      </c>
      <c r="DN225" s="10">
        <f t="shared" si="299"/>
        <v>0</v>
      </c>
      <c r="DO225" s="9" t="str">
        <f>IF(Исходн.данные.!AN225&gt;0,Исходн.данные.!AN225,Удобрения!$B$37 )</f>
        <v>Хлор.калий</v>
      </c>
      <c r="DP225" s="9">
        <f>IF(Исходн.данные.!AN225&gt;0,VLOOKUP(Исходн.данные.!AN225,АшламаДВ_Irekle,4,FALSE),VLOOKUP(DO225,АшламаДВ_Gomumy,4,FALSE))</f>
        <v>0.6</v>
      </c>
      <c r="DQ225" s="10">
        <f t="shared" si="300"/>
        <v>0</v>
      </c>
      <c r="DR225" s="132" t="str">
        <f>IF(Исходн.данные.!AO225&gt;0,Исходн.данные.!AO225,IF(DH225=0,BS$17,IF(AND($DK225=0,$DJ225&gt;0),EJ225,EN225)))</f>
        <v>Нет</v>
      </c>
      <c r="DS225" s="70" t="str">
        <f>IF($DR225="Нет","Нет",IF(Исходн.данные.!$AO225&gt;0,VLOOKUP($DR225,АшламаДВ_Irekle,2,FALSE),VLOOKUP($DR225,АшламаДВ_Gomumy,2,FALSE)))</f>
        <v>Нет</v>
      </c>
      <c r="DT225" s="70" t="str">
        <f>IF($DR225="Нет","Нет",IF(Исходн.данные.!$AO225&gt;0,VLOOKUP($DR225,АшламаДВ_Irekle,3,FALSE),VLOOKUP($DR225,АшламаДВ_Gomumy,3,FALSE)))</f>
        <v>Нет</v>
      </c>
      <c r="DU225" s="70" t="str">
        <f>IF($DR225="Нет","Нет",IF(Исходн.данные.!$AO225&gt;0,VLOOKUP($DR225,АшламаДВ_Irekle,4,FALSE),VLOOKUP($DR225,АшламаДВ_Gomumy,4,FALSE)))</f>
        <v>Нет</v>
      </c>
      <c r="DV225" s="70"/>
      <c r="DW225" s="70"/>
      <c r="DX225" s="70"/>
      <c r="DY225" s="10">
        <f t="shared" si="322"/>
        <v>0</v>
      </c>
      <c r="DZ225" s="10">
        <f t="shared" si="323"/>
        <v>0</v>
      </c>
      <c r="EA225" s="10">
        <f t="shared" si="324"/>
        <v>0</v>
      </c>
      <c r="EB225" s="10">
        <f t="shared" si="325"/>
        <v>0</v>
      </c>
      <c r="EC225" s="10">
        <f t="shared" si="326"/>
        <v>0</v>
      </c>
      <c r="ED225" s="10">
        <f t="shared" si="327"/>
        <v>0</v>
      </c>
      <c r="EE225" s="10">
        <f t="shared" si="328"/>
        <v>0</v>
      </c>
      <c r="EF225" s="39">
        <f>EB225*Исходн.данные.!AJ225/1000</f>
        <v>0</v>
      </c>
      <c r="EG225" s="9">
        <f t="shared" si="329"/>
        <v>0</v>
      </c>
      <c r="EH225" s="9">
        <f t="shared" si="330"/>
        <v>0</v>
      </c>
      <c r="EI225" s="39" t="e">
        <f t="shared" si="280"/>
        <v>#DIV/0!</v>
      </c>
      <c r="EJ225" s="9" t="str">
        <f t="shared" si="301"/>
        <v>Азопреципитат</v>
      </c>
      <c r="EK225" s="12">
        <f t="shared" si="281"/>
        <v>0.26</v>
      </c>
      <c r="EL225" s="12">
        <f t="shared" si="282"/>
        <v>0.13</v>
      </c>
      <c r="EM225" s="12">
        <f t="shared" si="283"/>
        <v>0</v>
      </c>
      <c r="EN225" s="12" t="str">
        <f t="shared" si="302"/>
        <v>Нет</v>
      </c>
      <c r="EO225" s="12">
        <f t="shared" si="284"/>
        <v>0</v>
      </c>
      <c r="EP225" s="12">
        <f t="shared" si="285"/>
        <v>0</v>
      </c>
      <c r="EQ225" s="12">
        <f t="shared" si="286"/>
        <v>0</v>
      </c>
      <c r="ER225" s="12" t="str">
        <f t="shared" si="331"/>
        <v>Диаммофоска</v>
      </c>
      <c r="ES225" s="12">
        <f t="shared" si="287"/>
        <v>0.1</v>
      </c>
      <c r="ET225" s="12">
        <f t="shared" si="288"/>
        <v>0.26</v>
      </c>
      <c r="EU225" s="12">
        <f t="shared" si="289"/>
        <v>0.26</v>
      </c>
      <c r="EV225" s="12" t="str">
        <f t="shared" si="332"/>
        <v>Аммофос 12:52:00</v>
      </c>
      <c r="EW225" s="12" t="str">
        <f t="shared" si="333"/>
        <v>Кемира Свекловичное-6</v>
      </c>
      <c r="EX225" s="12">
        <f t="shared" si="290"/>
        <v>0.16</v>
      </c>
      <c r="EY225" s="12">
        <f t="shared" si="291"/>
        <v>0.12</v>
      </c>
      <c r="EZ225" s="12">
        <f t="shared" si="292"/>
        <v>0.17</v>
      </c>
      <c r="FA225" s="38" t="e">
        <f>IF(AND(OR(FJ225=$FD$1,FM225=$FD$1,FO225=$FD$1,FQ225=$FD$1,FS225=$FD$1),FD225=$FD$1,Исходн.данные.!J225&lt;2,FU225=$FD$1),"Бор,Кобальт",IF(AND(FO225=$FD$1,FH225=$FD$1,Исходн.данные.!J225&lt;2,FU225=$FD$1),"Бор,Кобальт",IF(AND(OR(FJ225=$FD$1,FM225=$FD$1,FQ225=$FD$1),FE225=$FD$1,Исходн.данные.!J225&lt;2,FT225=$FD$1,FU225=$FD$1),"Бор,Медь,Цинк",IF(AND(OR(FJ225=$FD$1,FR225="Да"),FI225="Да",Исходн.данные.!J225&lt;2,FT225="Да",FU225="Да"),"Бор,Цинк,Медь",IF(AND(OR(FM225="Да",FQ225="Да"),FI225="Да",Исходн.данные.!J225&lt;2,FT225="Да",FU225="Да"),"Бор,Цинк",IF(AND(FN225="Да",OR(FD225="Да",FE225="Да")),"Бор",FB225))))))</f>
        <v>#N/A</v>
      </c>
      <c r="FB225" s="134" t="e">
        <f>IF(AND(OR(FD225="Да",FE225="Да",FF225="Да",FG225="Да",FH225="Да"),FO225="Да"),"Бор",IF(AND(FP225="Да",OR(FD225="Да",FE225="Да",FI225="Да")),"Бор",IF(AND(FS225="Да",FE225="Да"),"Бор,Медь",IF(AND(OR(FJ225="Да",FK225="Да",FL225="Да"),FE225="Да",Исходн.данные.!I225&lt;5,FT225="Да",FU225="Да"),"Молибден,Цинк",IF(AND(FM225="Да",OR(FE225="Да",FF225="Да",FG225="Да",FH225="Да",FI225="Да")),"Молибден,Цинк",IF(AND(OR(FJ225="Да",FK225="Да",FL225="Да",FM225="Да",FQ225="Да"),OR(FE225="Да",FF225="Да"),FT225="Да",FU225="Да",Исходн.данные.!I225&gt;5.5),"Медь,Цинк",FC225))))))</f>
        <v>#N/A</v>
      </c>
      <c r="FC225" s="23" t="e">
        <f t="shared" si="334"/>
        <v>#N/A</v>
      </c>
      <c r="FD225" s="38" t="str">
        <f>IF(OR(Исходн.данные.!F225=$CC$1,Исходн.данные.!F225=$CC$2,Исходн.данные.!F225=$CC$3,Исходн.данные.!F225=$CC$4),"Да","Нет")</f>
        <v>Нет</v>
      </c>
      <c r="FE225" s="38" t="str">
        <f>IF(Исходн.данные.!F225=$CC$5,"Да","Нет")</f>
        <v>Нет</v>
      </c>
      <c r="FF225" s="38" t="str">
        <f>IF(OR(Исходн.данные.!F225=$CC$6,Исходн.данные.!F225=$CC$7),"Да","Нет")</f>
        <v>Нет</v>
      </c>
      <c r="FG225" s="38" t="str">
        <f>IF(OR(Исходн.данные.!F225=$CC$8,Исходн.данные.!F225=$CC$9),"Да","Нет")</f>
        <v>Нет</v>
      </c>
      <c r="FH225" s="38" t="str">
        <f>IF(Исходн.данные.!F225=$CC$10,"Да","Нет")</f>
        <v>Нет</v>
      </c>
      <c r="FI225" s="38" t="str">
        <f>IF(OR(Исходн.данные.!F225=$CC$11,Исходн.данные.!F225=$CC$12),"Да","Нет")</f>
        <v>Нет</v>
      </c>
      <c r="FJ225" s="38" t="str">
        <f>IF(OR(Исходн.данные.!AH225=$BS$1,Исходн.данные.!AH225=$BQ$11,Исходн.данные.!AH225=$BQ$12),"Да","Нет")</f>
        <v>Нет</v>
      </c>
      <c r="FK225" s="38" t="str">
        <f>IF(OR(Исходн.данные.!AH225=$BS$2,Исходн.данные.!AH225=$BS$4),"Да","Нет")</f>
        <v>Нет</v>
      </c>
      <c r="FL225" s="38" t="str">
        <f>IF(OR(Исходн.данные.!AH225=$BS$3,Исходн.данные.!AH225=$BS$5),"Да","Нет")</f>
        <v>Нет</v>
      </c>
      <c r="FM225" s="38" t="str">
        <f>IF(OR(Исходн.данные.!AH225=$BS$9,Исходн.данные.!AH225=$BS$10,Исходн.данные.!AH225=$BS$11,Исходн.данные.!AH225=$BS$12),"Да","Нет")</f>
        <v>Нет</v>
      </c>
      <c r="FN225" s="38" t="str">
        <f>IF(OR(Исходн.данные.!AH225=$BS$6,Исходн.данные.!AH225=$BP$3),"Да","Нет")</f>
        <v>Нет</v>
      </c>
      <c r="FO225" s="38" t="str">
        <f>IF(Исходн.данные.!AH225=$BQ$9,"Да","Нет")</f>
        <v>Нет</v>
      </c>
      <c r="FP225" s="38" t="str">
        <f>IF(OR(Исходн.данные.!AH225=$BS$8,Исходн.данные.!AH225=$BT$8),"Да","Нет")</f>
        <v>Нет</v>
      </c>
      <c r="FQ225" s="38" t="str">
        <f>IF(OR(Исходн.данные.!AH225=$BQ$7,Исходн.данные.!AH225=$BQ$8),"Да","Нет")</f>
        <v>Нет</v>
      </c>
      <c r="FR225" s="38" t="str">
        <f>IF(Исходн.данные.!AI225=$BU$9,"Да","Нет")</f>
        <v>Нет</v>
      </c>
      <c r="FS225" s="38" t="str">
        <f>IF(OR(Исходн.данные.!AH225=$BP$1,Исходн.данные.!AH225=$BP$2),"Да","Нет")</f>
        <v>Нет</v>
      </c>
      <c r="FT225" s="38" t="e">
        <f>IF((Исходн.данные.!K225*GO225*GS225*GW225+BL225*0.6+Исходн.данные.!Q225*4.5*0.275)&gt;90,"Да","Нет")</f>
        <v>#N/A</v>
      </c>
      <c r="FU225" s="38" t="e">
        <f>IF((Исходн.данные.!M225*GS225*GZ225+BM225*0.225)&gt;35,"Да","Нет")</f>
        <v>#N/A</v>
      </c>
      <c r="FV225" s="38" t="str">
        <f>IF(Исходн.данные.!O225&gt;175,"Да","Нет")</f>
        <v>Нет</v>
      </c>
      <c r="FW225" s="39" t="str">
        <f>IF(Исходн.данные.!I225&gt;5.5,"Да","Нет")</f>
        <v>Нет</v>
      </c>
      <c r="FX225" s="39" t="str">
        <f>IF(Исходн.данные.!J225&lt;2,"Да","Нет")</f>
        <v>Да</v>
      </c>
      <c r="FY225" s="39" t="e">
        <f>IF(HF225=$FY$16,0,Исходн.данные.!K225*GO225*GS225*GW225/HF225)</f>
        <v>#N/A</v>
      </c>
      <c r="FZ225" s="39" t="e">
        <f>Исходн.данные.!M225*GS225*GZ225/HG225</f>
        <v>#N/A</v>
      </c>
      <c r="GA225" s="39" t="e">
        <f>IF(K_Wyn=$FY$16,0,IF(Исходн.данные.!N225=Исходн.данные.!$L$10,Исходн.данные.!O225/1.1*GS225*HC225/HH225,IF(Исходн.данные.!N225=Исходн.данные.!$L$12,Исходн.данные.!O225/1.5*GS225*HC225/HH225,Исходн.данные.!O225*GS225*HC225/HH225)))</f>
        <v>#N/A</v>
      </c>
      <c r="GB225" s="39" t="e">
        <f>IF(HF225=$FY$16,0,((Исходн.данные.!Q225*N_Org+Исходн.данные.!R225*N_Sider+Исходн.данные.!S225*N_Soloma)*AO225+Расчет!BC225*VLOOKUP(Исходн.данные.!T225,Справ!$A$3:$O$57,15)*AO225+BB225*VLOOKUP(Исходн.данные.!T225,Справ!$A$3:$O$57,15)*AL225+(Исходн.данные.!V225*N_Rizotorf+Исходн.данные.!W225*N_Rizoagr))/HF225)</f>
        <v>#N/A</v>
      </c>
      <c r="GC225" s="39" t="e">
        <f>IF(HG225=$FY$16,0,((Исходн.данные.!Q225*Р_Org+Исходн.данные.!R225*P_Sider+Исходн.данные.!S225*P_Soloma)*AP225+Расчет!BC225*VLOOKUP(Исходн.данные.!T225,Справ!$A$3:$P$57,16)*AP225+BB225*VLOOKUP(Исходн.данные.!T225,Справ!$A$3:$P$57,16)*AM225)/HG225)</f>
        <v>#N/A</v>
      </c>
      <c r="GD225" s="39" t="e">
        <f>IF(HH225=$FY$16,0,((Исходн.данные.!Q225*К_Org+Исходн.данные.!R225*K_Sider+Исходн.данные.!S225*K_Soloma)*AQ225+Расчет!BC225*VLOOKUP(Исходн.данные.!T225,Справ!$A$3:$Q$57,17)*AQ225+BB225*VLOOKUP(Исходн.данные.!T225,Справ!$A$3:$Q$57,17)*AN225)/HH225)</f>
        <v>#N/A</v>
      </c>
      <c r="GE225" s="39" t="e">
        <f>IF(HF225=$FY$16,0,(Исходн.данные.!X225*AR225+Исходн.данные.!AA225*N_Org*AL225+Исходн.данные.!AB225*N_Sider*AL225+Исходн.данные.!AC225*N_Soloma*AL225)/HF225)</f>
        <v>#N/A</v>
      </c>
      <c r="GF225" s="39" t="e">
        <f>IF(HG225=$FY$16,0,(Исходн.данные.!Y225*AS225+Исходн.данные.!AA225*Р_Org*AM225+Исходн.данные.!AB225*P_Sider*AM225+Исходн.данные.!AC225*P_Soloma*AM225)/HG225)</f>
        <v>#N/A</v>
      </c>
      <c r="GG225" s="39" t="e">
        <f>IF(HH225=$FY$16,0,(Исходн.данные.!Z225*AT225+Исходн.данные.!AA225*К_Org*AN225+Исходн.данные.!AB225*K_Sider*AN225+Исходн.данные.!AC225*K_Soloma*AN225)/HH225)</f>
        <v>#N/A</v>
      </c>
      <c r="GH225" s="39" t="e">
        <f>Исходн.данные.!AD225*AU225/HF225</f>
        <v>#N/A</v>
      </c>
      <c r="GI225" s="39" t="e">
        <f>Исходн.данные.!AE225*AV225/HG225</f>
        <v>#N/A</v>
      </c>
      <c r="GJ225" s="39" t="e">
        <f>Исходн.данные.!AF225*AW225/HH225</f>
        <v>#N/A</v>
      </c>
      <c r="GK225" s="55">
        <f>Исходн.данные.!AK225</f>
        <v>0</v>
      </c>
      <c r="GL225" s="11" t="e">
        <f t="shared" si="335"/>
        <v>#N/A</v>
      </c>
      <c r="GM225" s="11" t="e">
        <f t="shared" si="336"/>
        <v>#N/A</v>
      </c>
      <c r="GN225" s="11" t="e">
        <f t="shared" si="337"/>
        <v>#N/A</v>
      </c>
      <c r="GO225" s="57">
        <f t="shared" si="338"/>
        <v>19</v>
      </c>
      <c r="GP225" s="55">
        <f>IF(OR(Исходн.данные.!F225=$CE$1,Исходн.данные.!F225=$CE$2,Исходн.данные.!F225=$CE$3,Исходн.данные.!F225=$CE$4,Исходн.данные.!F225=$CE$5),GQ225,GR225)</f>
        <v>19</v>
      </c>
      <c r="GQ225" s="55">
        <f>IF(Исходн.данные.!F225=$CE$1,28,IF(Исходн.данные.!F225=$CE$2,26,IF(Исходн.данные.!F225=$CE$3,24,IF(Исходн.данные.!F225=$CE$4,22,IF(Исходн.данные.!F225=$CE$5,20,GR225)))))</f>
        <v>19</v>
      </c>
      <c r="GR225" s="55">
        <f>IF(Исходн.данные.!F225=$CE$6,18,IF(Исходн.данные.!F225=$CE$7,16,IF(Исходн.данные.!F225=$CE$8,14,IF(Исходн.данные.!F225=$CE$9,13,IF(Исходн.данные.!F225=$CE$10,12,19)))))</f>
        <v>19</v>
      </c>
      <c r="GS225" s="55">
        <f>IF(Исходн.данные.!G225="Пес",0.035*(40+2*Исходн.данные.!H225),IF(Исходн.данные.!G225="Суп",0.0325*(40+2*Исходн.данные.!H225),0.03*(40+2*Исходн.данные.!H225)))</f>
        <v>1.2</v>
      </c>
      <c r="GT225" s="55">
        <f>IF(Исходн.данные.!H225&lt;23,2.6,IF(AND(Исходн.данные.!H225&gt;22,Исходн.данные.!H225&lt;26),3,IF(AND(Исходн.данные.!H225&gt;25,Исходн.данные.!H225&lt;29),3.4,3.6)))</f>
        <v>2.6</v>
      </c>
      <c r="GU225" s="55">
        <f>IF(Исходн.данные.!H225&lt;23,2.8,IF(AND(Исходн.данные.!H225&gt;22,Исходн.данные.!H225&lt;26),3.2,IF(AND(Исходн.данные.!H225&gt;25,Исходн.данные.!H225&lt;29),3.6,3.9)))</f>
        <v>2.8</v>
      </c>
      <c r="GV225" s="55">
        <f>IF(Исходн.данные.!H225&lt;23,3,IF(AND(Исходн.данные.!H225&gt;22,Исходн.данные.!H225&lt;26),3.5,IF(AND(Исходн.данные.!H225&gt;25,Исходн.данные.!H225&lt;29),3.9,4.2)))</f>
        <v>3</v>
      </c>
      <c r="GW225" s="55" t="e">
        <f>IF(Исходн.данные.!P225="Ум",GX225,GY225)</f>
        <v>#N/A</v>
      </c>
      <c r="GX225" s="55" t="e">
        <f>VLOOKUP(Исходн.данные.!AI225,Коэффициенты!$J$7:$L$13,2,FALSE)</f>
        <v>#N/A</v>
      </c>
      <c r="GY225" s="55" t="e">
        <f>VLOOKUP(Исходн.данные.!AI225,Коэффициенты!$J$7:$L$13,3,FALSE)</f>
        <v>#N/A</v>
      </c>
      <c r="GZ225" s="55" t="e">
        <f>(IF(Исходн.данные.!M225&lt;50,0.11*VLOOKUP(Исходн.данные.!AH225,Культуры.Информация,7,FALSE),IF(Исходн.данные.!M225&gt;250,0.05*VLOOKUP(Исходн.данные.!AH225,Культуры.Информация,7,FALSE),VLOOKUP(Исходн.данные.!AH225,Культуры.Информация,5,FALSE)/100*($GX$6+$GY$6*Исходн.данные.!M225))))*Расчет2!AI225</f>
        <v>#N/A</v>
      </c>
      <c r="HA225" s="211"/>
      <c r="HB225" s="211"/>
      <c r="HC225" s="55" t="e">
        <f>(IF(Исходн.данные.!O225&lt;80,0.2*VLOOKUP(Исходн.данные.!AH225,Культуры.Информация,8,FALSE),IF(Исходн.данные.!O225&gt;240,0.09*VLOOKUP(Исходн.данные.!AH225,Культуры.Информация,8,FALSE),VLOOKUP(Исходн.данные.!AH225,Культуры.Информация,6,FALSE)/100*($HB$6+$HC$6*Исходн.данные.!O225))))*Расчет2!AJ225</f>
        <v>#N/A</v>
      </c>
      <c r="HD225" s="55">
        <f>IF(Исходн.данные.!O225&gt;240,0.09,IF(Исходн.данные.!O225&lt;30,0.3,$HE$10+$HD$10*Исходн.данные.!O225))</f>
        <v>0.3</v>
      </c>
      <c r="HE225" s="55">
        <f>IF(Исходн.данные.!O225&gt;240,0.17,IF(Исходн.данные.!O225&lt;30,0.5,$HF$12+$HE$12*Исходн.данные.!O225))</f>
        <v>0.5</v>
      </c>
      <c r="HF225" s="55" t="e">
        <f>VLOOKUP(Исходн.данные.!AH225,Справ!$A$3:$D$58,2,FALSE)</f>
        <v>#N/A</v>
      </c>
      <c r="HG225" s="55" t="e">
        <f>VLOOKUP(Исходн.данные.!AH225,Справ!$A$3:$D$58,3,FALSE)</f>
        <v>#N/A</v>
      </c>
      <c r="HH225" s="55" t="e">
        <f>VLOOKUP(Исходн.данные.!AH225,Справ!$A$3:$D$58,4,FALSE)</f>
        <v>#N/A</v>
      </c>
      <c r="HI225" s="11" t="e">
        <f t="shared" si="339"/>
        <v>#N/A</v>
      </c>
      <c r="HJ225" s="11" t="e">
        <f t="shared" si="340"/>
        <v>#N/A</v>
      </c>
      <c r="HK225" s="11" t="e">
        <f t="shared" si="341"/>
        <v>#N/A</v>
      </c>
      <c r="HL225" s="55">
        <f>IF(OR(Исходн.данные.!G225="Глин",Исходн.данные.!G225="Т_суг"),1.1,IF(Исходн.данные.!G225="Ср_суг",1,1))</f>
        <v>1</v>
      </c>
      <c r="HM225" s="55">
        <f>IF(OR(Исходн.данные.!G225="Глин",Исходн.данные.!G225="Т_суг"),0.9,IF(Исходн.данные.!G225="Ср_суг",1,1.2))</f>
        <v>1.2</v>
      </c>
      <c r="HN225" s="11" t="e">
        <f t="shared" si="342"/>
        <v>#N/A</v>
      </c>
      <c r="HO225" s="11" t="e">
        <f t="shared" si="343"/>
        <v>#N/A</v>
      </c>
      <c r="HP225" s="11" t="e">
        <f t="shared" si="344"/>
        <v>#N/A</v>
      </c>
      <c r="HQ225" t="e">
        <f t="shared" si="345"/>
        <v>#N/A</v>
      </c>
      <c r="HR225" t="e">
        <f t="shared" si="346"/>
        <v>#N/A</v>
      </c>
      <c r="HS225" t="e">
        <f t="shared" si="347"/>
        <v>#N/A</v>
      </c>
      <c r="HT225" t="e">
        <f t="shared" si="293"/>
        <v>#N/A</v>
      </c>
      <c r="HU225" t="e">
        <f t="shared" si="294"/>
        <v>#N/A</v>
      </c>
      <c r="HV225" t="e">
        <f t="shared" si="295"/>
        <v>#N/A</v>
      </c>
      <c r="HW225" t="e">
        <f t="shared" si="296"/>
        <v>#N/A</v>
      </c>
      <c r="HX225" t="e">
        <f t="shared" si="297"/>
        <v>#N/A</v>
      </c>
      <c r="HY225" t="e">
        <f t="shared" si="298"/>
        <v>#N/A</v>
      </c>
      <c r="HZ225" s="55">
        <f>IF(OR(Исходн.данные.!AI225="Оз_Ч_П",Исходн.данные.!AI225="Оз_З_П",Исходн.данные.!AI225="Яр_зер"),12,30)</f>
        <v>30</v>
      </c>
      <c r="IA225" t="e">
        <f t="shared" si="348"/>
        <v>#N/A</v>
      </c>
      <c r="IB225" t="e">
        <f t="shared" si="349"/>
        <v>#N/A</v>
      </c>
      <c r="IC225" t="e">
        <f t="shared" si="350"/>
        <v>#N/A</v>
      </c>
      <c r="ID225" s="11" t="e">
        <f t="shared" si="351"/>
        <v>#N/A</v>
      </c>
      <c r="IE225" s="11" t="e">
        <f t="shared" si="352"/>
        <v>#N/A</v>
      </c>
      <c r="IF225" s="11" t="e">
        <f t="shared" si="353"/>
        <v>#N/A</v>
      </c>
    </row>
    <row r="226" spans="35:240" x14ac:dyDescent="0.2">
      <c r="AI226">
        <f>IF(Исходн.данные.!I226&gt;6,1,1.85-(0.148*Исходн.данные.!I226))</f>
        <v>1.85</v>
      </c>
      <c r="AJ226">
        <f>IF(Исходн.данные.!I226&gt;6,1,2.434-(0.246*Исходн.данные.!I226))</f>
        <v>2.4340000000000002</v>
      </c>
      <c r="AL226" s="148" t="b">
        <f>IF(Исходн.данные.!$P226="Ум",N_OrgUd_2g_um,IF(Исходн.данные.!$P226="Об",N_OrgUd_2g_ob))</f>
        <v>0</v>
      </c>
      <c r="AM226" s="148" t="b">
        <f>IF(Исходн.данные.!$P226="Ум",P_OrgUd_2g_um,IF(Исходн.данные.!$P226="Об",P_OrgUd_2g_ob))</f>
        <v>0</v>
      </c>
      <c r="AN226" s="148" t="b">
        <f>IF(Исходн.данные.!$P226="Ум",K_OrgUd_2g_um,IF(Исходн.данные.!$P226="Об",K_OrgUd_2g_ob))</f>
        <v>0</v>
      </c>
      <c r="AO226" s="148" t="b">
        <f>IF(Исходн.данные.!$P226="Ум",N_OrgUd_1g_um,IF(Исходн.данные.!$P226="Об",N_OrgUd_1g_ob))</f>
        <v>0</v>
      </c>
      <c r="AP226" s="148" t="b">
        <f>IF(Исходн.данные.!$P226="Ум",P_OrgUd_1g_um,IF(Исходн.данные.!$P226="Об",P_OrgUd_1g_ob))</f>
        <v>0</v>
      </c>
      <c r="AQ226" s="148" t="b">
        <f>IF(Исходн.данные.!$P226="Ум",K_OrgUd_1g_um,IF(Исходн.данные.!$P226="Об",K_OrgUd_1g_ob))</f>
        <v>0</v>
      </c>
      <c r="AR226" t="b">
        <f>IF(Исходн.данные.!$P226="Ум",N_MinUd_2g_um,IF(Исходн.данные.!$P226="Об",N_MinUd_2g_ob))</f>
        <v>0</v>
      </c>
      <c r="AS226" t="b">
        <f>IF(Исходн.данные.!$P226="Ум",P_MinUd_2g_um,IF(Исходн.данные.!$P226="Об",P_MinUd_2g_ob))</f>
        <v>0</v>
      </c>
      <c r="AT226" t="b">
        <f>IF(Исходн.данные.!$P226="Ум",K_MinUd_2g_um,IF(Исходн.данные.!$P226="Об",K_MinUd_2g_ob))</f>
        <v>0</v>
      </c>
      <c r="AU226" t="b">
        <f>IF(Исходн.данные.!$P226="Ум",N_MinUd_1g_um,IF(Исходн.данные.!$P226="Об",N_MinUd_1g_ob))</f>
        <v>0</v>
      </c>
      <c r="AV226" t="b">
        <f>IF(Исходн.данные.!P226="Ум",P_MinUd_1g_um,IF(Исходн.данные.!P226="Об",P_MinUd_1g_ob))</f>
        <v>0</v>
      </c>
      <c r="AW226" t="b">
        <f>IF(Исходн.данные.!P226="Ум",K_MinUd_1g_um,IF(Исходн.данные.!P226="Об",K_MinUd_1g_ob))</f>
        <v>0</v>
      </c>
      <c r="AY226" t="e">
        <f>VLOOKUP(Исходн.данные.!T226,Справ!$A$3:$N$57,12)</f>
        <v>#N/A</v>
      </c>
      <c r="AZ226" t="e">
        <f>VLOOKUP(Исходн.данные.!T226,Справ!$A$3:$N$57,13)</f>
        <v>#N/A</v>
      </c>
      <c r="BA226" t="e">
        <f>VLOOKUP(Исходн.данные.!T226,Справ!$A$3:$N$57,14)</f>
        <v>#N/A</v>
      </c>
      <c r="BB226">
        <f>IF(Исходн.данные.!AH226=0,0,25)</f>
        <v>0</v>
      </c>
      <c r="BC226" s="141">
        <f>IF(Исходн.данные.!AH226=0,0,IF(Исходн.данные.!T226=0,25,BD226))</f>
        <v>0</v>
      </c>
      <c r="BD226" s="168" t="e">
        <f>AY226+AZ226*Исходн.данные.!U226-POWER(BA226,2)*Исходн.данные.!U226</f>
        <v>#N/A</v>
      </c>
      <c r="BE22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6" s="25">
        <f>IF(Исходн.данные.!AH226=0,0,MIN(HN226:HP226))</f>
        <v>0</v>
      </c>
      <c r="BG226" s="9">
        <f>IF(Исходн.данные.!AH226=0,0,IF((HO226+10*0.25/HG226/HL226)&lt;17,17,HO226+10*0.25/HG226/HL226))</f>
        <v>0</v>
      </c>
      <c r="BH226" s="181">
        <f>IF(Исходн.данные.!AH226=0,0,HW226*HF226*HL226/AU226*AI226+Исходн.данные.!S226*10)</f>
        <v>0</v>
      </c>
      <c r="BI226" s="10"/>
      <c r="BJ226" s="182">
        <f>IF(Исходн.данные.!AH226=0,0,IF(HX226*HG226*HL226/AV226&lt;0,0,HX226*HG226*HL226/AV226*AJ226))</f>
        <v>0</v>
      </c>
      <c r="BK226" s="182">
        <f>IF(Исходн.данные.!AH226=0,0,HY226*HH226*HM226/AW226)</f>
        <v>0</v>
      </c>
      <c r="BL226" s="10">
        <f>IF(OR(Исходн.данные.!$AH226=$BP$1,Исходн.данные.!$AH226=$BP$2),0,IF(BH226&lt;0,0,IF(OR(Исходн.данные.!T226=Расчет!$BP$1,Исходн.данные.!T226=Расчет!$BP$2,Исходн.данные.!T226=Расчет!$BT$5,Исходн.данные.!T226=Расчет!$BT$6),BH226*0.5,IF(OR(Исходн.данные.!T226=Расчет!$BS$9,Исходн.данные.!T226=Расчет!$BS$10,Исходн.данные.!T226=Расчет!$BS$11,Исходн.данные.!T226=Расчет!$BS$12,Исходн.данные.!T226=Расчет!$BP$5),BH226*0.8,BH226))))</f>
        <v>0</v>
      </c>
      <c r="BM226" s="10">
        <f>IF(OR(Исходн.данные.!$AH226=$BP$1,Исходн.данные.!$AH226=$BP$2),0,IF(BJ226&lt;0,0,IF(Исходн.данные.!I226&lt;4.5,BJ226*1.2,IF(Исходн.данные.!I226&gt;5.1,BJ226,BJ226*((5.1-Исходн.данные.!I226)*0.333+1)))))</f>
        <v>0</v>
      </c>
      <c r="BN226" s="10">
        <f>IF(OR(Исходн.данные.!$AH226=$BP$1,Исходн.данные.!$AH226=$BP$2),60-Исходн.данные.!AF226,IF(BK226&lt;0,0,IF(Исходн.данные.!I226&lt;4.5,BK226*1.2,IF(Исходн.данные.!I226&gt;5.1,BK226,BK226*((5.1-Исходн.данные.!I226)*0.333+1)))))</f>
        <v>0</v>
      </c>
      <c r="BO226" s="9">
        <f>IF(BL226&lt;0,0,BL226*Исходн.данные.!$AJ226/1000)</f>
        <v>0</v>
      </c>
      <c r="BP226" s="9">
        <f>IF(BM226&lt;0,0,BM226*Исходн.данные.!$AJ226/1000)</f>
        <v>0</v>
      </c>
      <c r="BQ226" s="9">
        <f>IF(BN226&lt;0,0,BN226*Исходн.данные.!$AJ226/1000)</f>
        <v>0</v>
      </c>
      <c r="BR226" s="9">
        <f t="shared" si="303"/>
        <v>0</v>
      </c>
      <c r="BS226" s="10" t="str">
        <f t="shared" si="304"/>
        <v>Аммофос 12:52:00</v>
      </c>
      <c r="BT226" s="10" t="str">
        <f t="shared" si="305"/>
        <v>Аммофос 12:52:00</v>
      </c>
      <c r="BU226" s="10" t="str">
        <f t="shared" si="306"/>
        <v>Диаммофоска</v>
      </c>
      <c r="BV226" s="10">
        <f t="shared" si="307"/>
        <v>0</v>
      </c>
      <c r="BW226" s="10"/>
      <c r="BX226" s="10"/>
      <c r="BY226" s="9">
        <f>IF(BL226&lt;0,0,IF(OR(Исходн.данные.!AI226=Расчет!$BU$6,Исходн.данные.!AI226=Расчет!$BU$7),Расчет!BV226,IF(Исходн.данные.!$AG226=$BV$11,BL226,IF(OR(Исходн.данные.!$AH226=$BQ$7,Исходн.данные.!$AH226=$BQ$8),CB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0,IF(Исходн.данные.!$AI226=$BU$11,"Нет",IF(BL226&gt;30,30,BL226)))))))</f>
        <v>0</v>
      </c>
      <c r="BZ226" s="9">
        <f>IF(AND(Исходн.данные.!$AG226=$BV$11,BM226&lt;10),10,IF(Исходн.данные.!$AG226=$BV$11,BM226,IF(OR(Исходн.данные.!$AH226=$BQ$7,Исходн.данные.!$AH226=$BQ$8),CC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10,IF(Исходн.данные.!$AI226=$BU$11,"Нет",IF(BM226&gt;60,60,IF(BM226&lt;10,10,BM226)))))))</f>
        <v>10</v>
      </c>
      <c r="CA226" s="39">
        <f>IF(BN226&lt;0,0,IF(Исходн.данные.!$AG226=$BV$11,BN226,IF(OR(Исходн.данные.!$AH226=$BQ$7,Исходн.данные.!$AH226=$BQ$8),CD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0,IF(Исходн.данные.!$AI226=$BU$11,"Нет",IF(BN226&gt;30,30,BN226))))))</f>
        <v>0</v>
      </c>
      <c r="CB226" s="9">
        <f t="shared" si="308"/>
        <v>0</v>
      </c>
      <c r="CC226" s="9">
        <f t="shared" si="309"/>
        <v>0</v>
      </c>
      <c r="CD226" s="9">
        <f t="shared" si="310"/>
        <v>0</v>
      </c>
      <c r="CE226" s="12">
        <f t="shared" si="311"/>
        <v>10</v>
      </c>
      <c r="CF226" s="9">
        <f t="shared" si="312"/>
        <v>0</v>
      </c>
      <c r="CG226" s="9" t="s">
        <v>231</v>
      </c>
      <c r="CH226" s="132" t="str">
        <f>IF(Исходн.данные.!AP226=Расчет!$CI$16,"Нет",IF(Исходн.данные.!AL226&gt;0,Исходн.данные.!AL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BH$4,IF(OR(Исходн.данные.!AI226=Исходн.данные.!$AI$6,Исходн.данные.!AI226=Исходн.данные.!$AI$7),Расчет!BS226,IF(AND($CF226=0,$CE226&gt;0),EV226,ER226)))))</f>
        <v>Аммофос 12:52:00</v>
      </c>
      <c r="CI226" s="274">
        <f>IF(Расчет!$CH226="Нет","Нет",IF(Исходн.данные.!$AL226&gt;0,VLOOKUP(Расчет!$CH226,АшламаДВ_Irekle,2,FALSE),VLOOKUP(Расчет!$CH226,АшламаДВ_Gomumy,2,FALSE)))</f>
        <v>0.12</v>
      </c>
      <c r="CJ226" s="274">
        <f>IF(Расчет!$CH226="Нет","Нет",IF(Исходн.данные.!$AL226&gt;0,VLOOKUP(Расчет!$CH226,АшламаДВ_Irekle,3,FALSE),VLOOKUP(Расчет!$CH226,АшламаДВ_Gomumy,3,FALSE)))</f>
        <v>0.52</v>
      </c>
      <c r="CK226" s="274">
        <f>IF(Расчет!$CH226="Нет","Нет",IF(Исходн.данные.!$AL226&gt;0,VLOOKUP(Расчет!$CH226,АшламаДВ_Irekle,4,FALSE),VLOOKUP(Расчет!$CH226,АшламаДВ_Gomumy,4,FALSE)))</f>
        <v>0</v>
      </c>
      <c r="CL226" s="70"/>
      <c r="CM226" s="70"/>
      <c r="CN226" s="70"/>
      <c r="CO226" s="70"/>
      <c r="CP226" s="70"/>
      <c r="CQ226" s="70"/>
      <c r="CR226" s="10">
        <f t="shared" si="313"/>
        <v>0</v>
      </c>
      <c r="CS226" s="10">
        <f t="shared" si="314"/>
        <v>19.23076923076923</v>
      </c>
      <c r="CT226" s="10">
        <f t="shared" si="315"/>
        <v>0</v>
      </c>
      <c r="CU226" s="39">
        <f>IF($CH226="Нет",0,IF(CI226=0,30/MIN(CJ226:CK226),IF(Исходн.данные.!$AG226=$BV$11,CR226,IF(OR(Исходн.данные.!$AH226=$BQ$7,Исходн.данные.!$AH226=$BQ$8),90/CI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0,IF(Исходн.данные.!$AI226=$BU$11,"Нет",30/CI226))))))</f>
        <v>250</v>
      </c>
      <c r="CV226" s="39">
        <f>IF($CH226="Нет",0,IF(Исходн.данные.!AH226=0,0,IF(CJ226=0,60/MIN(CI226,CK226),IF(Исходн.данные.!$AG226=$BV$11,CS226,IF(OR(Исходн.данные.!$AH226=$BQ$7,Исходн.данные.!$AH226=$BQ$8),90/CJ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10/CJ226,IF(Исходн.данные.!$AI226=$BU$11,"Нет",60/CJ226)))))))</f>
        <v>0</v>
      </c>
      <c r="CW226" s="39">
        <f>IF($CH226="Нет",0,IF(Исходн.данные.!AH226=0,0,IF(CK226=0,30/MIN(CI226:CJ226),IF(Исходн.данные.!$AG226=$BV$11,CT226,IF(OR(Исходн.данные.!$AH226=$BQ$7,Исходн.данные.!$AH226=$BQ$8),90/CK226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0,IF(Исходн.данные.!$AI226=$BU$11,"Нет",30/CK226)))))))</f>
        <v>0</v>
      </c>
      <c r="CX226" s="133">
        <f>IF(Исходн.данные.!$AG226=$BV$11,MAX(CU226:CW226),IF(OR(Исходн.данные.!$AH226=$BS$8,Исходн.данные.!$AH226=$BQ$9,Исходн.данные.!$AH226=$BQ$10,Исходн.данные.!$AH226=$BQ$11,Исходн.данные.!$AH226=$BQ$12,Исходн.данные.!$AH226=$BP$3,Исходн.данные.!$AH226=$BT$8,$FM226="Да"),CV226,MIN(CU226:CW226)))</f>
        <v>0</v>
      </c>
      <c r="CY226" s="133">
        <f>IF(Исходн.данные.!AH226=0,0,IF(CR226&gt;$CX226,$CX226,CR226))</f>
        <v>0</v>
      </c>
      <c r="CZ226" s="133">
        <f>IF(Исходн.данные.!AH226=0,0,IF(CS226&gt;$CX226,$CX226,CS226))</f>
        <v>0</v>
      </c>
      <c r="DA226" s="133">
        <f>IF(Исходн.данные.!AH226=0,0,IF(CT226&gt;$CX226,$CX226,CT226))</f>
        <v>0</v>
      </c>
      <c r="DB226" s="10">
        <f t="shared" si="316"/>
        <v>0</v>
      </c>
      <c r="DC226" s="39">
        <f>DB226*Исходн.данные.!AJ226/1000</f>
        <v>0</v>
      </c>
      <c r="DD226" s="71">
        <f t="shared" si="317"/>
        <v>0</v>
      </c>
      <c r="DE226" s="9">
        <f t="shared" si="318"/>
        <v>0</v>
      </c>
      <c r="DF226" s="9">
        <f t="shared" si="319"/>
        <v>0</v>
      </c>
      <c r="DG226" s="39">
        <f>IF(BL226&lt;0,0,IF($CH226="Нет",BL226,IF(OR(Исходн.данные.!$AH226=$BP$1,Исходн.данные.!$AH226=$BP$2),0,IF(Исходн.данные.!AI226=$BU$11,BL226,IF(BL226-DD226&lt;0,0,BL226-DD226)))))</f>
        <v>0</v>
      </c>
      <c r="DH226" s="39">
        <f>IF(BM226&lt;0,0,IF($CH226="Нет",BM226,IF(OR(Исходн.данные.!$AH226=$BP$1,Исходн.данные.!$AH226=$BP$2),0,IF(Исходн.данные.!AJ226=$BU$11,BM226,IF(BM226-DE226&lt;0,0,BM226-DE226)))))</f>
        <v>0</v>
      </c>
      <c r="DI226" s="39">
        <f>IF(BN226&lt;0,0,IF($CH226="Нет",BN226,IF(OR(Исходн.данные.!$AH226=$BP$1,Исходн.данные.!$AH226=$BP$2),0,IF(Исходн.данные.!AK226=$BU$11,BN226,IF(BN226-DF226&lt;0,0,BN226-DF226)))))</f>
        <v>0</v>
      </c>
      <c r="DJ226" s="12">
        <f t="shared" si="320"/>
        <v>0</v>
      </c>
      <c r="DK226" s="9">
        <f t="shared" si="321"/>
        <v>0</v>
      </c>
      <c r="DL226" s="39">
        <f>IF(Исходн.данные.!AM226&gt;0,Исходн.данные.!AM226,IF(EG226&gt;0,$BH$10,0))</f>
        <v>0</v>
      </c>
      <c r="DM226" s="186">
        <f>IF($DL226=0,0,IF(Исходн.данные.!AM226&gt;0,VLOOKUP($DL226,АшламаДВ_Irekle,2,FALSE),VLOOKUP($DL226,АшламаДВ_Gomumy,2,FALSE)))</f>
        <v>0</v>
      </c>
      <c r="DN226" s="10">
        <f t="shared" si="299"/>
        <v>0</v>
      </c>
      <c r="DO226" s="9" t="str">
        <f>IF(Исходн.данные.!AN226&gt;0,Исходн.данные.!AN226,Удобрения!$B$37 )</f>
        <v>Хлор.калий</v>
      </c>
      <c r="DP226" s="9">
        <f>IF(Исходн.данные.!AN226&gt;0,VLOOKUP(Исходн.данные.!AN226,АшламаДВ_Irekle,4,FALSE),VLOOKUP(DO226,АшламаДВ_Gomumy,4,FALSE))</f>
        <v>0.6</v>
      </c>
      <c r="DQ226" s="10">
        <f t="shared" si="300"/>
        <v>0</v>
      </c>
      <c r="DR226" s="132" t="str">
        <f>IF(Исходн.данные.!AO226&gt;0,Исходн.данные.!AO226,IF(DH226=0,BS$17,IF(AND($DK226=0,$DJ226&gt;0),EJ226,EN226)))</f>
        <v>Нет</v>
      </c>
      <c r="DS226" s="70" t="str">
        <f>IF($DR226="Нет","Нет",IF(Исходн.данные.!$AO226&gt;0,VLOOKUP($DR226,АшламаДВ_Irekle,2,FALSE),VLOOKUP($DR226,АшламаДВ_Gomumy,2,FALSE)))</f>
        <v>Нет</v>
      </c>
      <c r="DT226" s="70" t="str">
        <f>IF($DR226="Нет","Нет",IF(Исходн.данные.!$AO226&gt;0,VLOOKUP($DR226,АшламаДВ_Irekle,3,FALSE),VLOOKUP($DR226,АшламаДВ_Gomumy,3,FALSE)))</f>
        <v>Нет</v>
      </c>
      <c r="DU226" s="70" t="str">
        <f>IF($DR226="Нет","Нет",IF(Исходн.данные.!$AO226&gt;0,VLOOKUP($DR226,АшламаДВ_Irekle,4,FALSE),VLOOKUP($DR226,АшламаДВ_Gomumy,4,FALSE)))</f>
        <v>Нет</v>
      </c>
      <c r="DV226" s="70"/>
      <c r="DW226" s="70"/>
      <c r="DX226" s="70"/>
      <c r="DY226" s="10">
        <f t="shared" si="322"/>
        <v>0</v>
      </c>
      <c r="DZ226" s="10">
        <f t="shared" si="323"/>
        <v>0</v>
      </c>
      <c r="EA226" s="10">
        <f t="shared" si="324"/>
        <v>0</v>
      </c>
      <c r="EB226" s="10">
        <f t="shared" si="325"/>
        <v>0</v>
      </c>
      <c r="EC226" s="10">
        <f t="shared" si="326"/>
        <v>0</v>
      </c>
      <c r="ED226" s="10">
        <f t="shared" si="327"/>
        <v>0</v>
      </c>
      <c r="EE226" s="10">
        <f t="shared" si="328"/>
        <v>0</v>
      </c>
      <c r="EF226" s="39">
        <f>EB226*Исходн.данные.!AJ226/1000</f>
        <v>0</v>
      </c>
      <c r="EG226" s="9">
        <f t="shared" si="329"/>
        <v>0</v>
      </c>
      <c r="EH226" s="9">
        <f t="shared" si="330"/>
        <v>0</v>
      </c>
      <c r="EI226" s="39" t="e">
        <f t="shared" si="280"/>
        <v>#DIV/0!</v>
      </c>
      <c r="EJ226" s="9" t="str">
        <f t="shared" si="301"/>
        <v>Азопреципитат</v>
      </c>
      <c r="EK226" s="12">
        <f t="shared" si="281"/>
        <v>0.26</v>
      </c>
      <c r="EL226" s="12">
        <f t="shared" si="282"/>
        <v>0.13</v>
      </c>
      <c r="EM226" s="12">
        <f t="shared" si="283"/>
        <v>0</v>
      </c>
      <c r="EN226" s="12" t="str">
        <f t="shared" si="302"/>
        <v>Нет</v>
      </c>
      <c r="EO226" s="12">
        <f t="shared" si="284"/>
        <v>0</v>
      </c>
      <c r="EP226" s="12">
        <f t="shared" si="285"/>
        <v>0</v>
      </c>
      <c r="EQ226" s="12">
        <f t="shared" si="286"/>
        <v>0</v>
      </c>
      <c r="ER226" s="12" t="str">
        <f t="shared" si="331"/>
        <v>Диаммофоска</v>
      </c>
      <c r="ES226" s="12">
        <f t="shared" si="287"/>
        <v>0.1</v>
      </c>
      <c r="ET226" s="12">
        <f t="shared" si="288"/>
        <v>0.26</v>
      </c>
      <c r="EU226" s="12">
        <f t="shared" si="289"/>
        <v>0.26</v>
      </c>
      <c r="EV226" s="12" t="str">
        <f t="shared" si="332"/>
        <v>Аммофос 12:52:00</v>
      </c>
      <c r="EW226" s="12" t="str">
        <f t="shared" si="333"/>
        <v>Кемира Свекловичное-6</v>
      </c>
      <c r="EX226" s="12">
        <f t="shared" si="290"/>
        <v>0.16</v>
      </c>
      <c r="EY226" s="12">
        <f t="shared" si="291"/>
        <v>0.12</v>
      </c>
      <c r="EZ226" s="12">
        <f t="shared" si="292"/>
        <v>0.17</v>
      </c>
      <c r="FA226" s="38" t="e">
        <f>IF(AND(OR(FJ226=$FD$1,FM226=$FD$1,FO226=$FD$1,FQ226=$FD$1,FS226=$FD$1),FD226=$FD$1,Исходн.данные.!J226&lt;2,FU226=$FD$1),"Бор,Кобальт",IF(AND(FO226=$FD$1,FH226=$FD$1,Исходн.данные.!J226&lt;2,FU226=$FD$1),"Бор,Кобальт",IF(AND(OR(FJ226=$FD$1,FM226=$FD$1,FQ226=$FD$1),FE226=$FD$1,Исходн.данные.!J226&lt;2,FT226=$FD$1,FU226=$FD$1),"Бор,Медь,Цинк",IF(AND(OR(FJ226=$FD$1,FR226="Да"),FI226="Да",Исходн.данные.!J226&lt;2,FT226="Да",FU226="Да"),"Бор,Цинк,Медь",IF(AND(OR(FM226="Да",FQ226="Да"),FI226="Да",Исходн.данные.!J226&lt;2,FT226="Да",FU226="Да"),"Бор,Цинк",IF(AND(FN226="Да",OR(FD226="Да",FE226="Да")),"Бор",FB226))))))</f>
        <v>#N/A</v>
      </c>
      <c r="FB226" s="134" t="e">
        <f>IF(AND(OR(FD226="Да",FE226="Да",FF226="Да",FG226="Да",FH226="Да"),FO226="Да"),"Бор",IF(AND(FP226="Да",OR(FD226="Да",FE226="Да",FI226="Да")),"Бор",IF(AND(FS226="Да",FE226="Да"),"Бор,Медь",IF(AND(OR(FJ226="Да",FK226="Да",FL226="Да"),FE226="Да",Исходн.данные.!I226&lt;5,FT226="Да",FU226="Да"),"Молибден,Цинк",IF(AND(FM226="Да",OR(FE226="Да",FF226="Да",FG226="Да",FH226="Да",FI226="Да")),"Молибден,Цинк",IF(AND(OR(FJ226="Да",FK226="Да",FL226="Да",FM226="Да",FQ226="Да"),OR(FE226="Да",FF226="Да"),FT226="Да",FU226="Да",Исходн.данные.!I226&gt;5.5),"Медь,Цинк",FC226))))))</f>
        <v>#N/A</v>
      </c>
      <c r="FC226" s="23" t="e">
        <f t="shared" si="334"/>
        <v>#N/A</v>
      </c>
      <c r="FD226" s="38" t="str">
        <f>IF(OR(Исходн.данные.!F226=$CC$1,Исходн.данные.!F226=$CC$2,Исходн.данные.!F226=$CC$3,Исходн.данные.!F226=$CC$4),"Да","Нет")</f>
        <v>Нет</v>
      </c>
      <c r="FE226" s="38" t="str">
        <f>IF(Исходн.данные.!F226=$CC$5,"Да","Нет")</f>
        <v>Нет</v>
      </c>
      <c r="FF226" s="38" t="str">
        <f>IF(OR(Исходн.данные.!F226=$CC$6,Исходн.данные.!F226=$CC$7),"Да","Нет")</f>
        <v>Нет</v>
      </c>
      <c r="FG226" s="38" t="str">
        <f>IF(OR(Исходн.данные.!F226=$CC$8,Исходн.данные.!F226=$CC$9),"Да","Нет")</f>
        <v>Нет</v>
      </c>
      <c r="FH226" s="38" t="str">
        <f>IF(Исходн.данные.!F226=$CC$10,"Да","Нет")</f>
        <v>Нет</v>
      </c>
      <c r="FI226" s="38" t="str">
        <f>IF(OR(Исходн.данные.!F226=$CC$11,Исходн.данные.!F226=$CC$12),"Да","Нет")</f>
        <v>Нет</v>
      </c>
      <c r="FJ226" s="38" t="str">
        <f>IF(OR(Исходн.данные.!AH226=$BS$1,Исходн.данные.!AH226=$BQ$11,Исходн.данные.!AH226=$BQ$12),"Да","Нет")</f>
        <v>Нет</v>
      </c>
      <c r="FK226" s="38" t="str">
        <f>IF(OR(Исходн.данные.!AH226=$BS$2,Исходн.данные.!AH226=$BS$4),"Да","Нет")</f>
        <v>Нет</v>
      </c>
      <c r="FL226" s="38" t="str">
        <f>IF(OR(Исходн.данные.!AH226=$BS$3,Исходн.данные.!AH226=$BS$5),"Да","Нет")</f>
        <v>Нет</v>
      </c>
      <c r="FM226" s="38" t="str">
        <f>IF(OR(Исходн.данные.!AH226=$BS$9,Исходн.данные.!AH226=$BS$10,Исходн.данные.!AH226=$BS$11,Исходн.данные.!AH226=$BS$12),"Да","Нет")</f>
        <v>Нет</v>
      </c>
      <c r="FN226" s="38" t="str">
        <f>IF(OR(Исходн.данные.!AH226=$BS$6,Исходн.данные.!AH226=$BP$3),"Да","Нет")</f>
        <v>Нет</v>
      </c>
      <c r="FO226" s="38" t="str">
        <f>IF(Исходн.данные.!AH226=$BQ$9,"Да","Нет")</f>
        <v>Нет</v>
      </c>
      <c r="FP226" s="38" t="str">
        <f>IF(OR(Исходн.данные.!AH226=$BS$8,Исходн.данные.!AH226=$BT$8),"Да","Нет")</f>
        <v>Нет</v>
      </c>
      <c r="FQ226" s="38" t="str">
        <f>IF(OR(Исходн.данные.!AH226=$BQ$7,Исходн.данные.!AH226=$BQ$8),"Да","Нет")</f>
        <v>Нет</v>
      </c>
      <c r="FR226" s="38" t="str">
        <f>IF(Исходн.данные.!AI226=$BU$9,"Да","Нет")</f>
        <v>Нет</v>
      </c>
      <c r="FS226" s="38" t="str">
        <f>IF(OR(Исходн.данные.!AH226=$BP$1,Исходн.данные.!AH226=$BP$2),"Да","Нет")</f>
        <v>Нет</v>
      </c>
      <c r="FT226" s="38" t="e">
        <f>IF((Исходн.данные.!K226*GO226*GS226*GW226+BL226*0.6+Исходн.данные.!Q226*4.5*0.275)&gt;90,"Да","Нет")</f>
        <v>#N/A</v>
      </c>
      <c r="FU226" s="38" t="e">
        <f>IF((Исходн.данные.!M226*GS226*GZ226+BM226*0.225)&gt;35,"Да","Нет")</f>
        <v>#N/A</v>
      </c>
      <c r="FV226" s="38" t="str">
        <f>IF(Исходн.данные.!O226&gt;175,"Да","Нет")</f>
        <v>Нет</v>
      </c>
      <c r="FW226" s="39" t="str">
        <f>IF(Исходн.данные.!I226&gt;5.5,"Да","Нет")</f>
        <v>Нет</v>
      </c>
      <c r="FX226" s="39" t="str">
        <f>IF(Исходн.данные.!J226&lt;2,"Да","Нет")</f>
        <v>Да</v>
      </c>
      <c r="FY226" s="39" t="e">
        <f>IF(HF226=$FY$16,0,Исходн.данные.!K226*GO226*GS226*GW226/HF226)</f>
        <v>#N/A</v>
      </c>
      <c r="FZ226" s="39" t="e">
        <f>Исходн.данные.!M226*GS226*GZ226/HG226</f>
        <v>#N/A</v>
      </c>
      <c r="GA226" s="39" t="e">
        <f>IF(K_Wyn=$FY$16,0,IF(Исходн.данные.!N226=Исходн.данные.!$L$10,Исходн.данные.!O226/1.1*GS226*HC226/HH226,IF(Исходн.данные.!N226=Исходн.данные.!$L$12,Исходн.данные.!O226/1.5*GS226*HC226/HH226,Исходн.данные.!O226*GS226*HC226/HH226)))</f>
        <v>#N/A</v>
      </c>
      <c r="GB226" s="39" t="e">
        <f>IF(HF226=$FY$16,0,((Исходн.данные.!Q226*N_Org+Исходн.данные.!R226*N_Sider+Исходн.данные.!S226*N_Soloma)*AO226+Расчет!BC226*VLOOKUP(Исходн.данные.!T226,Справ!$A$3:$O$57,15)*AO226+BB226*VLOOKUP(Исходн.данные.!T226,Справ!$A$3:$O$57,15)*AL226+(Исходн.данные.!V226*N_Rizotorf+Исходн.данные.!W226*N_Rizoagr))/HF226)</f>
        <v>#N/A</v>
      </c>
      <c r="GC226" s="39" t="e">
        <f>IF(HG226=$FY$16,0,((Исходн.данные.!Q226*Р_Org+Исходн.данные.!R226*P_Sider+Исходн.данные.!S226*P_Soloma)*AP226+Расчет!BC226*VLOOKUP(Исходн.данные.!T226,Справ!$A$3:$P$57,16)*AP226+BB226*VLOOKUP(Исходн.данные.!T226,Справ!$A$3:$P$57,16)*AM226)/HG226)</f>
        <v>#N/A</v>
      </c>
      <c r="GD226" s="39" t="e">
        <f>IF(HH226=$FY$16,0,((Исходн.данные.!Q226*К_Org+Исходн.данные.!R226*K_Sider+Исходн.данные.!S226*K_Soloma)*AQ226+Расчет!BC226*VLOOKUP(Исходн.данные.!T226,Справ!$A$3:$Q$57,17)*AQ226+BB226*VLOOKUP(Исходн.данные.!T226,Справ!$A$3:$Q$57,17)*AN226)/HH226)</f>
        <v>#N/A</v>
      </c>
      <c r="GE226" s="39" t="e">
        <f>IF(HF226=$FY$16,0,(Исходн.данные.!X226*AR226+Исходн.данные.!AA226*N_Org*AL226+Исходн.данные.!AB226*N_Sider*AL226+Исходн.данные.!AC226*N_Soloma*AL226)/HF226)</f>
        <v>#N/A</v>
      </c>
      <c r="GF226" s="39" t="e">
        <f>IF(HG226=$FY$16,0,(Исходн.данные.!Y226*AS226+Исходн.данные.!AA226*Р_Org*AM226+Исходн.данные.!AB226*P_Sider*AM226+Исходн.данные.!AC226*P_Soloma*AM226)/HG226)</f>
        <v>#N/A</v>
      </c>
      <c r="GG226" s="39" t="e">
        <f>IF(HH226=$FY$16,0,(Исходн.данные.!Z226*AT226+Исходн.данные.!AA226*К_Org*AN226+Исходн.данные.!AB226*K_Sider*AN226+Исходн.данные.!AC226*K_Soloma*AN226)/HH226)</f>
        <v>#N/A</v>
      </c>
      <c r="GH226" s="39" t="e">
        <f>Исходн.данные.!AD226*AU226/HF226</f>
        <v>#N/A</v>
      </c>
      <c r="GI226" s="39" t="e">
        <f>Исходн.данные.!AE226*AV226/HG226</f>
        <v>#N/A</v>
      </c>
      <c r="GJ226" s="39" t="e">
        <f>Исходн.данные.!AF226*AW226/HH226</f>
        <v>#N/A</v>
      </c>
      <c r="GK226" s="55">
        <f>Исходн.данные.!AK226</f>
        <v>0</v>
      </c>
      <c r="GL226" s="11" t="e">
        <f t="shared" si="335"/>
        <v>#N/A</v>
      </c>
      <c r="GM226" s="11" t="e">
        <f t="shared" si="336"/>
        <v>#N/A</v>
      </c>
      <c r="GN226" s="11" t="e">
        <f t="shared" si="337"/>
        <v>#N/A</v>
      </c>
      <c r="GO226" s="57">
        <f t="shared" si="338"/>
        <v>19</v>
      </c>
      <c r="GP226" s="55">
        <f>IF(OR(Исходн.данные.!F226=$CE$1,Исходн.данные.!F226=$CE$2,Исходн.данные.!F226=$CE$3,Исходн.данные.!F226=$CE$4,Исходн.данные.!F226=$CE$5),GQ226,GR226)</f>
        <v>19</v>
      </c>
      <c r="GQ226" s="55">
        <f>IF(Исходн.данные.!F226=$CE$1,28,IF(Исходн.данные.!F226=$CE$2,26,IF(Исходн.данные.!F226=$CE$3,24,IF(Исходн.данные.!F226=$CE$4,22,IF(Исходн.данные.!F226=$CE$5,20,GR226)))))</f>
        <v>19</v>
      </c>
      <c r="GR226" s="55">
        <f>IF(Исходн.данные.!F226=$CE$6,18,IF(Исходн.данные.!F226=$CE$7,16,IF(Исходн.данные.!F226=$CE$8,14,IF(Исходн.данные.!F226=$CE$9,13,IF(Исходн.данные.!F226=$CE$10,12,19)))))</f>
        <v>19</v>
      </c>
      <c r="GS226" s="55">
        <f>IF(Исходн.данные.!G226="Пес",0.035*(40+2*Исходн.данные.!H226),IF(Исходн.данные.!G226="Суп",0.0325*(40+2*Исходн.данные.!H226),0.03*(40+2*Исходн.данные.!H226)))</f>
        <v>1.2</v>
      </c>
      <c r="GT226" s="55">
        <f>IF(Исходн.данные.!H226&lt;23,2.6,IF(AND(Исходн.данные.!H226&gt;22,Исходн.данные.!H226&lt;26),3,IF(AND(Исходн.данные.!H226&gt;25,Исходн.данные.!H226&lt;29),3.4,3.6)))</f>
        <v>2.6</v>
      </c>
      <c r="GU226" s="55">
        <f>IF(Исходн.данные.!H226&lt;23,2.8,IF(AND(Исходн.данные.!H226&gt;22,Исходн.данные.!H226&lt;26),3.2,IF(AND(Исходн.данные.!H226&gt;25,Исходн.данные.!H226&lt;29),3.6,3.9)))</f>
        <v>2.8</v>
      </c>
      <c r="GV226" s="55">
        <f>IF(Исходн.данные.!H226&lt;23,3,IF(AND(Исходн.данные.!H226&gt;22,Исходн.данные.!H226&lt;26),3.5,IF(AND(Исходн.данные.!H226&gt;25,Исходн.данные.!H226&lt;29),3.9,4.2)))</f>
        <v>3</v>
      </c>
      <c r="GW226" s="55" t="e">
        <f>IF(Исходн.данные.!P226="Ум",GX226,GY226)</f>
        <v>#N/A</v>
      </c>
      <c r="GX226" s="55" t="e">
        <f>VLOOKUP(Исходн.данные.!AI226,Коэффициенты!$J$7:$L$13,2,FALSE)</f>
        <v>#N/A</v>
      </c>
      <c r="GY226" s="55" t="e">
        <f>VLOOKUP(Исходн.данные.!AI226,Коэффициенты!$J$7:$L$13,3,FALSE)</f>
        <v>#N/A</v>
      </c>
      <c r="GZ226" s="55" t="e">
        <f>(IF(Исходн.данные.!M226&lt;50,0.11*VLOOKUP(Исходн.данные.!AH226,Культуры.Информация,7,FALSE),IF(Исходн.данные.!M226&gt;250,0.05*VLOOKUP(Исходн.данные.!AH226,Культуры.Информация,7,FALSE),VLOOKUP(Исходн.данные.!AH226,Культуры.Информация,5,FALSE)/100*($GX$6+$GY$6*Исходн.данные.!M226))))*Расчет2!AI226</f>
        <v>#N/A</v>
      </c>
      <c r="HA226" s="211"/>
      <c r="HB226" s="211"/>
      <c r="HC226" s="55" t="e">
        <f>(IF(Исходн.данные.!O226&lt;80,0.2*VLOOKUP(Исходн.данные.!AH226,Культуры.Информация,8,FALSE),IF(Исходн.данные.!O226&gt;240,0.09*VLOOKUP(Исходн.данные.!AH226,Культуры.Информация,8,FALSE),VLOOKUP(Исходн.данные.!AH226,Культуры.Информация,6,FALSE)/100*($HB$6+$HC$6*Исходн.данные.!O226))))*Расчет2!AJ226</f>
        <v>#N/A</v>
      </c>
      <c r="HD226" s="55">
        <f>IF(Исходн.данные.!O226&gt;240,0.09,IF(Исходн.данные.!O226&lt;30,0.3,$HE$10+$HD$10*Исходн.данные.!O226))</f>
        <v>0.3</v>
      </c>
      <c r="HE226" s="55">
        <f>IF(Исходн.данные.!O226&gt;240,0.17,IF(Исходн.данные.!O226&lt;30,0.5,$HF$12+$HE$12*Исходн.данные.!O226))</f>
        <v>0.5</v>
      </c>
      <c r="HF226" s="55" t="e">
        <f>VLOOKUP(Исходн.данные.!AH226,Справ!$A$3:$D$58,2,FALSE)</f>
        <v>#N/A</v>
      </c>
      <c r="HG226" s="55" t="e">
        <f>VLOOKUP(Исходн.данные.!AH226,Справ!$A$3:$D$58,3,FALSE)</f>
        <v>#N/A</v>
      </c>
      <c r="HH226" s="55" t="e">
        <f>VLOOKUP(Исходн.данные.!AH226,Справ!$A$3:$D$58,4,FALSE)</f>
        <v>#N/A</v>
      </c>
      <c r="HI226" s="11" t="e">
        <f t="shared" si="339"/>
        <v>#N/A</v>
      </c>
      <c r="HJ226" s="11" t="e">
        <f t="shared" si="340"/>
        <v>#N/A</v>
      </c>
      <c r="HK226" s="11" t="e">
        <f t="shared" si="341"/>
        <v>#N/A</v>
      </c>
      <c r="HL226" s="55">
        <f>IF(OR(Исходн.данные.!G226="Глин",Исходн.данные.!G226="Т_суг"),1.1,IF(Исходн.данные.!G226="Ср_суг",1,1))</f>
        <v>1</v>
      </c>
      <c r="HM226" s="55">
        <f>IF(OR(Исходн.данные.!G226="Глин",Исходн.данные.!G226="Т_суг"),0.9,IF(Исходн.данные.!G226="Ср_суг",1,1.2))</f>
        <v>1.2</v>
      </c>
      <c r="HN226" s="11" t="e">
        <f t="shared" si="342"/>
        <v>#N/A</v>
      </c>
      <c r="HO226" s="11" t="e">
        <f t="shared" si="343"/>
        <v>#N/A</v>
      </c>
      <c r="HP226" s="11" t="e">
        <f t="shared" si="344"/>
        <v>#N/A</v>
      </c>
      <c r="HQ226" t="e">
        <f t="shared" si="345"/>
        <v>#N/A</v>
      </c>
      <c r="HR226" t="e">
        <f t="shared" si="346"/>
        <v>#N/A</v>
      </c>
      <c r="HS226" t="e">
        <f t="shared" si="347"/>
        <v>#N/A</v>
      </c>
      <c r="HT226" t="e">
        <f t="shared" si="293"/>
        <v>#N/A</v>
      </c>
      <c r="HU226" t="e">
        <f t="shared" si="294"/>
        <v>#N/A</v>
      </c>
      <c r="HV226" t="e">
        <f t="shared" si="295"/>
        <v>#N/A</v>
      </c>
      <c r="HW226" t="e">
        <f t="shared" si="296"/>
        <v>#N/A</v>
      </c>
      <c r="HX226" t="e">
        <f t="shared" si="297"/>
        <v>#N/A</v>
      </c>
      <c r="HY226" t="e">
        <f t="shared" si="298"/>
        <v>#N/A</v>
      </c>
      <c r="HZ226" s="55">
        <f>IF(OR(Исходн.данные.!AI226="Оз_Ч_П",Исходн.данные.!AI226="Оз_З_П",Исходн.данные.!AI226="Яр_зер"),12,30)</f>
        <v>30</v>
      </c>
      <c r="IA226" t="e">
        <f t="shared" si="348"/>
        <v>#N/A</v>
      </c>
      <c r="IB226" t="e">
        <f t="shared" si="349"/>
        <v>#N/A</v>
      </c>
      <c r="IC226" t="e">
        <f t="shared" si="350"/>
        <v>#N/A</v>
      </c>
      <c r="ID226" s="11" t="e">
        <f t="shared" si="351"/>
        <v>#N/A</v>
      </c>
      <c r="IE226" s="11" t="e">
        <f t="shared" si="352"/>
        <v>#N/A</v>
      </c>
      <c r="IF226" s="11" t="e">
        <f t="shared" si="353"/>
        <v>#N/A</v>
      </c>
    </row>
    <row r="227" spans="35:240" x14ac:dyDescent="0.2">
      <c r="AI227">
        <f>IF(Исходн.данные.!I227&gt;6,1,1.85-(0.148*Исходн.данные.!I227))</f>
        <v>1.85</v>
      </c>
      <c r="AJ227">
        <f>IF(Исходн.данные.!I227&gt;6,1,2.434-(0.246*Исходн.данные.!I227))</f>
        <v>2.4340000000000002</v>
      </c>
      <c r="AL227" s="148" t="b">
        <f>IF(Исходн.данные.!$P227="Ум",N_OrgUd_2g_um,IF(Исходн.данные.!$P227="Об",N_OrgUd_2g_ob))</f>
        <v>0</v>
      </c>
      <c r="AM227" s="148" t="b">
        <f>IF(Исходн.данные.!$P227="Ум",P_OrgUd_2g_um,IF(Исходн.данные.!$P227="Об",P_OrgUd_2g_ob))</f>
        <v>0</v>
      </c>
      <c r="AN227" s="148" t="b">
        <f>IF(Исходн.данные.!$P227="Ум",K_OrgUd_2g_um,IF(Исходн.данные.!$P227="Об",K_OrgUd_2g_ob))</f>
        <v>0</v>
      </c>
      <c r="AO227" s="148" t="b">
        <f>IF(Исходн.данные.!$P227="Ум",N_OrgUd_1g_um,IF(Исходн.данные.!$P227="Об",N_OrgUd_1g_ob))</f>
        <v>0</v>
      </c>
      <c r="AP227" s="148" t="b">
        <f>IF(Исходн.данные.!$P227="Ум",P_OrgUd_1g_um,IF(Исходн.данные.!$P227="Об",P_OrgUd_1g_ob))</f>
        <v>0</v>
      </c>
      <c r="AQ227" s="148" t="b">
        <f>IF(Исходн.данные.!$P227="Ум",K_OrgUd_1g_um,IF(Исходн.данные.!$P227="Об",K_OrgUd_1g_ob))</f>
        <v>0</v>
      </c>
      <c r="AR227" t="b">
        <f>IF(Исходн.данные.!$P227="Ум",N_MinUd_2g_um,IF(Исходн.данные.!$P227="Об",N_MinUd_2g_ob))</f>
        <v>0</v>
      </c>
      <c r="AS227" t="b">
        <f>IF(Исходн.данные.!$P227="Ум",P_MinUd_2g_um,IF(Исходн.данные.!$P227="Об",P_MinUd_2g_ob))</f>
        <v>0</v>
      </c>
      <c r="AT227" t="b">
        <f>IF(Исходн.данные.!$P227="Ум",K_MinUd_2g_um,IF(Исходн.данные.!$P227="Об",K_MinUd_2g_ob))</f>
        <v>0</v>
      </c>
      <c r="AU227" t="b">
        <f>IF(Исходн.данные.!$P227="Ум",N_MinUd_1g_um,IF(Исходн.данные.!$P227="Об",N_MinUd_1g_ob))</f>
        <v>0</v>
      </c>
      <c r="AV227" t="b">
        <f>IF(Исходн.данные.!P227="Ум",P_MinUd_1g_um,IF(Исходн.данные.!P227="Об",P_MinUd_1g_ob))</f>
        <v>0</v>
      </c>
      <c r="AW227" t="b">
        <f>IF(Исходн.данные.!P227="Ум",K_MinUd_1g_um,IF(Исходн.данные.!P227="Об",K_MinUd_1g_ob))</f>
        <v>0</v>
      </c>
      <c r="AY227" t="e">
        <f>VLOOKUP(Исходн.данные.!T227,Справ!$A$3:$N$57,12)</f>
        <v>#N/A</v>
      </c>
      <c r="AZ227" t="e">
        <f>VLOOKUP(Исходн.данные.!T227,Справ!$A$3:$N$57,13)</f>
        <v>#N/A</v>
      </c>
      <c r="BA227" t="e">
        <f>VLOOKUP(Исходн.данные.!T227,Справ!$A$3:$N$57,14)</f>
        <v>#N/A</v>
      </c>
      <c r="BB227">
        <f>IF(Исходн.данные.!AH227=0,0,25)</f>
        <v>0</v>
      </c>
      <c r="BC227" s="141">
        <f>IF(Исходн.данные.!AH227=0,0,IF(Исходн.данные.!T227=0,25,BD227))</f>
        <v>0</v>
      </c>
      <c r="BD227" s="168" t="e">
        <f>AY227+AZ227*Исходн.данные.!U227-POWER(BA227,2)*Исходн.данные.!U227</f>
        <v>#N/A</v>
      </c>
      <c r="BE22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7" s="25">
        <f>IF(Исходн.данные.!AH227=0,0,MIN(HN227:HP227))</f>
        <v>0</v>
      </c>
      <c r="BG227" s="9">
        <f>IF(Исходн.данные.!AH227=0,0,IF((HO227+10*0.25/HG227/HL227)&lt;17,17,HO227+10*0.25/HG227/HL227))</f>
        <v>0</v>
      </c>
      <c r="BH227" s="181">
        <f>IF(Исходн.данные.!AH227=0,0,HW227*HF227*HL227/AU227*AI227+Исходн.данные.!S227*10)</f>
        <v>0</v>
      </c>
      <c r="BI227" s="10"/>
      <c r="BJ227" s="182">
        <f>IF(Исходн.данные.!AH227=0,0,IF(HX227*HG227*HL227/AV227&lt;0,0,HX227*HG227*HL227/AV227*AJ227))</f>
        <v>0</v>
      </c>
      <c r="BK227" s="182">
        <f>IF(Исходн.данные.!AH227=0,0,HY227*HH227*HM227/AW227)</f>
        <v>0</v>
      </c>
      <c r="BL227" s="10">
        <f>IF(OR(Исходн.данные.!$AH227=$BP$1,Исходн.данные.!$AH227=$BP$2),0,IF(BH227&lt;0,0,IF(OR(Исходн.данные.!T227=Расчет!$BP$1,Исходн.данные.!T227=Расчет!$BP$2,Исходн.данные.!T227=Расчет!$BT$5,Исходн.данные.!T227=Расчет!$BT$6),BH227*0.5,IF(OR(Исходн.данные.!T227=Расчет!$BS$9,Исходн.данные.!T227=Расчет!$BS$10,Исходн.данные.!T227=Расчет!$BS$11,Исходн.данные.!T227=Расчет!$BS$12,Исходн.данные.!T227=Расчет!$BP$5),BH227*0.8,BH227))))</f>
        <v>0</v>
      </c>
      <c r="BM227" s="10">
        <f>IF(OR(Исходн.данные.!$AH227=$BP$1,Исходн.данные.!$AH227=$BP$2),0,IF(BJ227&lt;0,0,IF(Исходн.данные.!I227&lt;4.5,BJ227*1.2,IF(Исходн.данные.!I227&gt;5.1,BJ227,BJ227*((5.1-Исходн.данные.!I227)*0.333+1)))))</f>
        <v>0</v>
      </c>
      <c r="BN227" s="10">
        <f>IF(OR(Исходн.данные.!$AH227=$BP$1,Исходн.данные.!$AH227=$BP$2),60-Исходн.данные.!AF227,IF(BK227&lt;0,0,IF(Исходн.данные.!I227&lt;4.5,BK227*1.2,IF(Исходн.данные.!I227&gt;5.1,BK227,BK227*((5.1-Исходн.данные.!I227)*0.333+1)))))</f>
        <v>0</v>
      </c>
      <c r="BO227" s="9">
        <f>IF(BL227&lt;0,0,BL227*Исходн.данные.!$AJ227/1000)</f>
        <v>0</v>
      </c>
      <c r="BP227" s="9">
        <f>IF(BM227&lt;0,0,BM227*Исходн.данные.!$AJ227/1000)</f>
        <v>0</v>
      </c>
      <c r="BQ227" s="9">
        <f>IF(BN227&lt;0,0,BN227*Исходн.данные.!$AJ227/1000)</f>
        <v>0</v>
      </c>
      <c r="BR227" s="9">
        <f t="shared" si="303"/>
        <v>0</v>
      </c>
      <c r="BS227" s="10" t="str">
        <f t="shared" si="304"/>
        <v>Аммофос 12:52:00</v>
      </c>
      <c r="BT227" s="10" t="str">
        <f t="shared" si="305"/>
        <v>Аммофос 12:52:00</v>
      </c>
      <c r="BU227" s="10" t="str">
        <f t="shared" si="306"/>
        <v>Диаммофоска</v>
      </c>
      <c r="BV227" s="10">
        <f t="shared" si="307"/>
        <v>0</v>
      </c>
      <c r="BW227" s="10"/>
      <c r="BX227" s="10"/>
      <c r="BY227" s="9">
        <f>IF(BL227&lt;0,0,IF(OR(Исходн.данные.!AI227=Расчет!$BU$6,Исходн.данные.!AI227=Расчет!$BU$7),Расчет!BV227,IF(Исходн.данные.!$AG227=$BV$11,BL227,IF(OR(Исходн.данные.!$AH227=$BQ$7,Исходн.данные.!$AH227=$BQ$8),CB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0,IF(Исходн.данные.!$AI227=$BU$11,"Нет",IF(BL227&gt;30,30,BL227)))))))</f>
        <v>0</v>
      </c>
      <c r="BZ227" s="9">
        <f>IF(AND(Исходн.данные.!$AG227=$BV$11,BM227&lt;10),10,IF(Исходн.данные.!$AG227=$BV$11,BM227,IF(OR(Исходн.данные.!$AH227=$BQ$7,Исходн.данные.!$AH227=$BQ$8),CC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10,IF(Исходн.данные.!$AI227=$BU$11,"Нет",IF(BM227&gt;60,60,IF(BM227&lt;10,10,BM227)))))))</f>
        <v>10</v>
      </c>
      <c r="CA227" s="39">
        <f>IF(BN227&lt;0,0,IF(Исходн.данные.!$AG227=$BV$11,BN227,IF(OR(Исходн.данные.!$AH227=$BQ$7,Исходн.данные.!$AH227=$BQ$8),CD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0,IF(Исходн.данные.!$AI227=$BU$11,"Нет",IF(BN227&gt;30,30,BN227))))))</f>
        <v>0</v>
      </c>
      <c r="CB227" s="9">
        <f t="shared" si="308"/>
        <v>0</v>
      </c>
      <c r="CC227" s="9">
        <f t="shared" si="309"/>
        <v>0</v>
      </c>
      <c r="CD227" s="9">
        <f t="shared" si="310"/>
        <v>0</v>
      </c>
      <c r="CE227" s="12">
        <f t="shared" si="311"/>
        <v>10</v>
      </c>
      <c r="CF227" s="9">
        <f t="shared" si="312"/>
        <v>0</v>
      </c>
      <c r="CG227" s="9" t="s">
        <v>231</v>
      </c>
      <c r="CH227" s="132" t="str">
        <f>IF(Исходн.данные.!AP227=Расчет!$CI$16,"Нет",IF(Исходн.данные.!AL227&gt;0,Исходн.данные.!AL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BH$4,IF(OR(Исходн.данные.!AI227=Исходн.данные.!$AI$6,Исходн.данные.!AI227=Исходн.данные.!$AI$7),Расчет!BS227,IF(AND($CF227=0,$CE227&gt;0),EV227,ER227)))))</f>
        <v>Аммофос 12:52:00</v>
      </c>
      <c r="CI227" s="274">
        <f>IF(Расчет!$CH227="Нет","Нет",IF(Исходн.данные.!$AL227&gt;0,VLOOKUP(Расчет!$CH227,АшламаДВ_Irekle,2,FALSE),VLOOKUP(Расчет!$CH227,АшламаДВ_Gomumy,2,FALSE)))</f>
        <v>0.12</v>
      </c>
      <c r="CJ227" s="274">
        <f>IF(Расчет!$CH227="Нет","Нет",IF(Исходн.данные.!$AL227&gt;0,VLOOKUP(Расчет!$CH227,АшламаДВ_Irekle,3,FALSE),VLOOKUP(Расчет!$CH227,АшламаДВ_Gomumy,3,FALSE)))</f>
        <v>0.52</v>
      </c>
      <c r="CK227" s="274">
        <f>IF(Расчет!$CH227="Нет","Нет",IF(Исходн.данные.!$AL227&gt;0,VLOOKUP(Расчет!$CH227,АшламаДВ_Irekle,4,FALSE),VLOOKUP(Расчет!$CH227,АшламаДВ_Gomumy,4,FALSE)))</f>
        <v>0</v>
      </c>
      <c r="CL227" s="70"/>
      <c r="CM227" s="70"/>
      <c r="CN227" s="70"/>
      <c r="CO227" s="70"/>
      <c r="CP227" s="70"/>
      <c r="CQ227" s="70"/>
      <c r="CR227" s="10">
        <f t="shared" si="313"/>
        <v>0</v>
      </c>
      <c r="CS227" s="10">
        <f t="shared" si="314"/>
        <v>19.23076923076923</v>
      </c>
      <c r="CT227" s="10">
        <f t="shared" si="315"/>
        <v>0</v>
      </c>
      <c r="CU227" s="39">
        <f>IF($CH227="Нет",0,IF(CI227=0,30/MIN(CJ227:CK227),IF(Исходн.данные.!$AG227=$BV$11,CR227,IF(OR(Исходн.данные.!$AH227=$BQ$7,Исходн.данные.!$AH227=$BQ$8),90/CI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0,IF(Исходн.данные.!$AI227=$BU$11,"Нет",30/CI227))))))</f>
        <v>250</v>
      </c>
      <c r="CV227" s="39">
        <f>IF($CH227="Нет",0,IF(Исходн.данные.!AH227=0,0,IF(CJ227=0,60/MIN(CI227,CK227),IF(Исходн.данные.!$AG227=$BV$11,CS227,IF(OR(Исходн.данные.!$AH227=$BQ$7,Исходн.данные.!$AH227=$BQ$8),90/CJ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10/CJ227,IF(Исходн.данные.!$AI227=$BU$11,"Нет",60/CJ227)))))))</f>
        <v>0</v>
      </c>
      <c r="CW227" s="39">
        <f>IF($CH227="Нет",0,IF(Исходн.данные.!AH227=0,0,IF(CK227=0,30/MIN(CI227:CJ227),IF(Исходн.данные.!$AG227=$BV$11,CT227,IF(OR(Исходн.данные.!$AH227=$BQ$7,Исходн.данные.!$AH227=$BQ$8),90/CK227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0,IF(Исходн.данные.!$AI227=$BU$11,"Нет",30/CK227)))))))</f>
        <v>0</v>
      </c>
      <c r="CX227" s="133">
        <f>IF(Исходн.данные.!$AG227=$BV$11,MAX(CU227:CW227),IF(OR(Исходн.данные.!$AH227=$BS$8,Исходн.данные.!$AH227=$BQ$9,Исходн.данные.!$AH227=$BQ$10,Исходн.данные.!$AH227=$BQ$11,Исходн.данные.!$AH227=$BQ$12,Исходн.данные.!$AH227=$BP$3,Исходн.данные.!$AH227=$BT$8,$FM227="Да"),CV227,MIN(CU227:CW227)))</f>
        <v>0</v>
      </c>
      <c r="CY227" s="133">
        <f>IF(Исходн.данные.!AH227=0,0,IF(CR227&gt;$CX227,$CX227,CR227))</f>
        <v>0</v>
      </c>
      <c r="CZ227" s="133">
        <f>IF(Исходн.данные.!AH227=0,0,IF(CS227&gt;$CX227,$CX227,CS227))</f>
        <v>0</v>
      </c>
      <c r="DA227" s="133">
        <f>IF(Исходн.данные.!AH227=0,0,IF(CT227&gt;$CX227,$CX227,CT227))</f>
        <v>0</v>
      </c>
      <c r="DB227" s="10">
        <f t="shared" si="316"/>
        <v>0</v>
      </c>
      <c r="DC227" s="39">
        <f>DB227*Исходн.данные.!AJ227/1000</f>
        <v>0</v>
      </c>
      <c r="DD227" s="71">
        <f t="shared" si="317"/>
        <v>0</v>
      </c>
      <c r="DE227" s="9">
        <f t="shared" si="318"/>
        <v>0</v>
      </c>
      <c r="DF227" s="9">
        <f t="shared" si="319"/>
        <v>0</v>
      </c>
      <c r="DG227" s="39">
        <f>IF(BL227&lt;0,0,IF($CH227="Нет",BL227,IF(OR(Исходн.данные.!$AH227=$BP$1,Исходн.данные.!$AH227=$BP$2),0,IF(Исходн.данные.!AI227=$BU$11,BL227,IF(BL227-DD227&lt;0,0,BL227-DD227)))))</f>
        <v>0</v>
      </c>
      <c r="DH227" s="39">
        <f>IF(BM227&lt;0,0,IF($CH227="Нет",BM227,IF(OR(Исходн.данные.!$AH227=$BP$1,Исходн.данные.!$AH227=$BP$2),0,IF(Исходн.данные.!AJ227=$BU$11,BM227,IF(BM227-DE227&lt;0,0,BM227-DE227)))))</f>
        <v>0</v>
      </c>
      <c r="DI227" s="39">
        <f>IF(BN227&lt;0,0,IF($CH227="Нет",BN227,IF(OR(Исходн.данные.!$AH227=$BP$1,Исходн.данные.!$AH227=$BP$2),0,IF(Исходн.данные.!AK227=$BU$11,BN227,IF(BN227-DF227&lt;0,0,BN227-DF227)))))</f>
        <v>0</v>
      </c>
      <c r="DJ227" s="12">
        <f t="shared" si="320"/>
        <v>0</v>
      </c>
      <c r="DK227" s="9">
        <f t="shared" si="321"/>
        <v>0</v>
      </c>
      <c r="DL227" s="39">
        <f>IF(Исходн.данные.!AM227&gt;0,Исходн.данные.!AM227,IF(EG227&gt;0,$BH$10,0))</f>
        <v>0</v>
      </c>
      <c r="DM227" s="186">
        <f>IF($DL227=0,0,IF(Исходн.данные.!AM227&gt;0,VLOOKUP($DL227,АшламаДВ_Irekle,2,FALSE),VLOOKUP($DL227,АшламаДВ_Gomumy,2,FALSE)))</f>
        <v>0</v>
      </c>
      <c r="DN227" s="10">
        <f t="shared" si="299"/>
        <v>0</v>
      </c>
      <c r="DO227" s="9" t="str">
        <f>IF(Исходн.данные.!AN227&gt;0,Исходн.данные.!AN227,Удобрения!$B$37 )</f>
        <v>Хлор.калий</v>
      </c>
      <c r="DP227" s="9">
        <f>IF(Исходн.данные.!AN227&gt;0,VLOOKUP(Исходн.данные.!AN227,АшламаДВ_Irekle,4,FALSE),VLOOKUP(DO227,АшламаДВ_Gomumy,4,FALSE))</f>
        <v>0.6</v>
      </c>
      <c r="DQ227" s="10">
        <f t="shared" si="300"/>
        <v>0</v>
      </c>
      <c r="DR227" s="132" t="str">
        <f>IF(Исходн.данные.!AO227&gt;0,Исходн.данные.!AO227,IF(DH227=0,BS$17,IF(AND($DK227=0,$DJ227&gt;0),EJ227,EN227)))</f>
        <v>Нет</v>
      </c>
      <c r="DS227" s="70" t="str">
        <f>IF($DR227="Нет","Нет",IF(Исходн.данные.!$AO227&gt;0,VLOOKUP($DR227,АшламаДВ_Irekle,2,FALSE),VLOOKUP($DR227,АшламаДВ_Gomumy,2,FALSE)))</f>
        <v>Нет</v>
      </c>
      <c r="DT227" s="70" t="str">
        <f>IF($DR227="Нет","Нет",IF(Исходн.данные.!$AO227&gt;0,VLOOKUP($DR227,АшламаДВ_Irekle,3,FALSE),VLOOKUP($DR227,АшламаДВ_Gomumy,3,FALSE)))</f>
        <v>Нет</v>
      </c>
      <c r="DU227" s="70" t="str">
        <f>IF($DR227="Нет","Нет",IF(Исходн.данные.!$AO227&gt;0,VLOOKUP($DR227,АшламаДВ_Irekle,4,FALSE),VLOOKUP($DR227,АшламаДВ_Gomumy,4,FALSE)))</f>
        <v>Нет</v>
      </c>
      <c r="DV227" s="70"/>
      <c r="DW227" s="70"/>
      <c r="DX227" s="70"/>
      <c r="DY227" s="10">
        <f t="shared" si="322"/>
        <v>0</v>
      </c>
      <c r="DZ227" s="10">
        <f t="shared" si="323"/>
        <v>0</v>
      </c>
      <c r="EA227" s="10">
        <f t="shared" si="324"/>
        <v>0</v>
      </c>
      <c r="EB227" s="10">
        <f t="shared" si="325"/>
        <v>0</v>
      </c>
      <c r="EC227" s="10">
        <f t="shared" si="326"/>
        <v>0</v>
      </c>
      <c r="ED227" s="10">
        <f t="shared" si="327"/>
        <v>0</v>
      </c>
      <c r="EE227" s="10">
        <f t="shared" si="328"/>
        <v>0</v>
      </c>
      <c r="EF227" s="39">
        <f>EB227*Исходн.данные.!AJ227/1000</f>
        <v>0</v>
      </c>
      <c r="EG227" s="9">
        <f t="shared" si="329"/>
        <v>0</v>
      </c>
      <c r="EH227" s="9">
        <f t="shared" si="330"/>
        <v>0</v>
      </c>
      <c r="EI227" s="39" t="e">
        <f t="shared" si="280"/>
        <v>#DIV/0!</v>
      </c>
      <c r="EJ227" s="9" t="str">
        <f t="shared" si="301"/>
        <v>Азопреципитат</v>
      </c>
      <c r="EK227" s="12">
        <f t="shared" si="281"/>
        <v>0.26</v>
      </c>
      <c r="EL227" s="12">
        <f t="shared" si="282"/>
        <v>0.13</v>
      </c>
      <c r="EM227" s="12">
        <f t="shared" si="283"/>
        <v>0</v>
      </c>
      <c r="EN227" s="12" t="str">
        <f t="shared" si="302"/>
        <v>Нет</v>
      </c>
      <c r="EO227" s="12">
        <f t="shared" si="284"/>
        <v>0</v>
      </c>
      <c r="EP227" s="12">
        <f t="shared" si="285"/>
        <v>0</v>
      </c>
      <c r="EQ227" s="12">
        <f t="shared" si="286"/>
        <v>0</v>
      </c>
      <c r="ER227" s="12" t="str">
        <f t="shared" si="331"/>
        <v>Диаммофоска</v>
      </c>
      <c r="ES227" s="12">
        <f t="shared" si="287"/>
        <v>0.1</v>
      </c>
      <c r="ET227" s="12">
        <f t="shared" si="288"/>
        <v>0.26</v>
      </c>
      <c r="EU227" s="12">
        <f t="shared" si="289"/>
        <v>0.26</v>
      </c>
      <c r="EV227" s="12" t="str">
        <f t="shared" si="332"/>
        <v>Аммофос 12:52:00</v>
      </c>
      <c r="EW227" s="12" t="str">
        <f t="shared" si="333"/>
        <v>Кемира Свекловичное-6</v>
      </c>
      <c r="EX227" s="12">
        <f t="shared" si="290"/>
        <v>0.16</v>
      </c>
      <c r="EY227" s="12">
        <f t="shared" si="291"/>
        <v>0.12</v>
      </c>
      <c r="EZ227" s="12">
        <f t="shared" si="292"/>
        <v>0.17</v>
      </c>
      <c r="FA227" s="38" t="e">
        <f>IF(AND(OR(FJ227=$FD$1,FM227=$FD$1,FO227=$FD$1,FQ227=$FD$1,FS227=$FD$1),FD227=$FD$1,Исходн.данные.!J227&lt;2,FU227=$FD$1),"Бор,Кобальт",IF(AND(FO227=$FD$1,FH227=$FD$1,Исходн.данные.!J227&lt;2,FU227=$FD$1),"Бор,Кобальт",IF(AND(OR(FJ227=$FD$1,FM227=$FD$1,FQ227=$FD$1),FE227=$FD$1,Исходн.данные.!J227&lt;2,FT227=$FD$1,FU227=$FD$1),"Бор,Медь,Цинк",IF(AND(OR(FJ227=$FD$1,FR227="Да"),FI227="Да",Исходн.данные.!J227&lt;2,FT227="Да",FU227="Да"),"Бор,Цинк,Медь",IF(AND(OR(FM227="Да",FQ227="Да"),FI227="Да",Исходн.данные.!J227&lt;2,FT227="Да",FU227="Да"),"Бор,Цинк",IF(AND(FN227="Да",OR(FD227="Да",FE227="Да")),"Бор",FB227))))))</f>
        <v>#N/A</v>
      </c>
      <c r="FB227" s="134" t="e">
        <f>IF(AND(OR(FD227="Да",FE227="Да",FF227="Да",FG227="Да",FH227="Да"),FO227="Да"),"Бор",IF(AND(FP227="Да",OR(FD227="Да",FE227="Да",FI227="Да")),"Бор",IF(AND(FS227="Да",FE227="Да"),"Бор,Медь",IF(AND(OR(FJ227="Да",FK227="Да",FL227="Да"),FE227="Да",Исходн.данные.!I227&lt;5,FT227="Да",FU227="Да"),"Молибден,Цинк",IF(AND(FM227="Да",OR(FE227="Да",FF227="Да",FG227="Да",FH227="Да",FI227="Да")),"Молибден,Цинк",IF(AND(OR(FJ227="Да",FK227="Да",FL227="Да",FM227="Да",FQ227="Да"),OR(FE227="Да",FF227="Да"),FT227="Да",FU227="Да",Исходн.данные.!I227&gt;5.5),"Медь,Цинк",FC227))))))</f>
        <v>#N/A</v>
      </c>
      <c r="FC227" s="23" t="e">
        <f t="shared" si="334"/>
        <v>#N/A</v>
      </c>
      <c r="FD227" s="38" t="str">
        <f>IF(OR(Исходн.данные.!F227=$CC$1,Исходн.данные.!F227=$CC$2,Исходн.данные.!F227=$CC$3,Исходн.данные.!F227=$CC$4),"Да","Нет")</f>
        <v>Нет</v>
      </c>
      <c r="FE227" s="38" t="str">
        <f>IF(Исходн.данные.!F227=$CC$5,"Да","Нет")</f>
        <v>Нет</v>
      </c>
      <c r="FF227" s="38" t="str">
        <f>IF(OR(Исходн.данные.!F227=$CC$6,Исходн.данные.!F227=$CC$7),"Да","Нет")</f>
        <v>Нет</v>
      </c>
      <c r="FG227" s="38" t="str">
        <f>IF(OR(Исходн.данные.!F227=$CC$8,Исходн.данные.!F227=$CC$9),"Да","Нет")</f>
        <v>Нет</v>
      </c>
      <c r="FH227" s="38" t="str">
        <f>IF(Исходн.данные.!F227=$CC$10,"Да","Нет")</f>
        <v>Нет</v>
      </c>
      <c r="FI227" s="38" t="str">
        <f>IF(OR(Исходн.данные.!F227=$CC$11,Исходн.данные.!F227=$CC$12),"Да","Нет")</f>
        <v>Нет</v>
      </c>
      <c r="FJ227" s="38" t="str">
        <f>IF(OR(Исходн.данные.!AH227=$BS$1,Исходн.данные.!AH227=$BQ$11,Исходн.данные.!AH227=$BQ$12),"Да","Нет")</f>
        <v>Нет</v>
      </c>
      <c r="FK227" s="38" t="str">
        <f>IF(OR(Исходн.данные.!AH227=$BS$2,Исходн.данные.!AH227=$BS$4),"Да","Нет")</f>
        <v>Нет</v>
      </c>
      <c r="FL227" s="38" t="str">
        <f>IF(OR(Исходн.данные.!AH227=$BS$3,Исходн.данные.!AH227=$BS$5),"Да","Нет")</f>
        <v>Нет</v>
      </c>
      <c r="FM227" s="38" t="str">
        <f>IF(OR(Исходн.данные.!AH227=$BS$9,Исходн.данные.!AH227=$BS$10,Исходн.данные.!AH227=$BS$11,Исходн.данные.!AH227=$BS$12),"Да","Нет")</f>
        <v>Нет</v>
      </c>
      <c r="FN227" s="38" t="str">
        <f>IF(OR(Исходн.данные.!AH227=$BS$6,Исходн.данные.!AH227=$BP$3),"Да","Нет")</f>
        <v>Нет</v>
      </c>
      <c r="FO227" s="38" t="str">
        <f>IF(Исходн.данные.!AH227=$BQ$9,"Да","Нет")</f>
        <v>Нет</v>
      </c>
      <c r="FP227" s="38" t="str">
        <f>IF(OR(Исходн.данные.!AH227=$BS$8,Исходн.данные.!AH227=$BT$8),"Да","Нет")</f>
        <v>Нет</v>
      </c>
      <c r="FQ227" s="38" t="str">
        <f>IF(OR(Исходн.данные.!AH227=$BQ$7,Исходн.данные.!AH227=$BQ$8),"Да","Нет")</f>
        <v>Нет</v>
      </c>
      <c r="FR227" s="38" t="str">
        <f>IF(Исходн.данные.!AI227=$BU$9,"Да","Нет")</f>
        <v>Нет</v>
      </c>
      <c r="FS227" s="38" t="str">
        <f>IF(OR(Исходн.данные.!AH227=$BP$1,Исходн.данные.!AH227=$BP$2),"Да","Нет")</f>
        <v>Нет</v>
      </c>
      <c r="FT227" s="38" t="e">
        <f>IF((Исходн.данные.!K227*GO227*GS227*GW227+BL227*0.6+Исходн.данные.!Q227*4.5*0.275)&gt;90,"Да","Нет")</f>
        <v>#N/A</v>
      </c>
      <c r="FU227" s="38" t="e">
        <f>IF((Исходн.данные.!M227*GS227*GZ227+BM227*0.225)&gt;35,"Да","Нет")</f>
        <v>#N/A</v>
      </c>
      <c r="FV227" s="38" t="str">
        <f>IF(Исходн.данные.!O227&gt;175,"Да","Нет")</f>
        <v>Нет</v>
      </c>
      <c r="FW227" s="39" t="str">
        <f>IF(Исходн.данные.!I227&gt;5.5,"Да","Нет")</f>
        <v>Нет</v>
      </c>
      <c r="FX227" s="39" t="str">
        <f>IF(Исходн.данные.!J227&lt;2,"Да","Нет")</f>
        <v>Да</v>
      </c>
      <c r="FY227" s="39" t="e">
        <f>IF(HF227=$FY$16,0,Исходн.данные.!K227*GO227*GS227*GW227/HF227)</f>
        <v>#N/A</v>
      </c>
      <c r="FZ227" s="39" t="e">
        <f>Исходн.данные.!M227*GS227*GZ227/HG227</f>
        <v>#N/A</v>
      </c>
      <c r="GA227" s="39" t="e">
        <f>IF(K_Wyn=$FY$16,0,IF(Исходн.данные.!N227=Исходн.данные.!$L$10,Исходн.данные.!O227/1.1*GS227*HC227/HH227,IF(Исходн.данные.!N227=Исходн.данные.!$L$12,Исходн.данные.!O227/1.5*GS227*HC227/HH227,Исходн.данные.!O227*GS227*HC227/HH227)))</f>
        <v>#N/A</v>
      </c>
      <c r="GB227" s="39" t="e">
        <f>IF(HF227=$FY$16,0,((Исходн.данные.!Q227*N_Org+Исходн.данные.!R227*N_Sider+Исходн.данные.!S227*N_Soloma)*AO227+Расчет!BC227*VLOOKUP(Исходн.данные.!T227,Справ!$A$3:$O$57,15)*AO227+BB227*VLOOKUP(Исходн.данные.!T227,Справ!$A$3:$O$57,15)*AL227+(Исходн.данные.!V227*N_Rizotorf+Исходн.данные.!W227*N_Rizoagr))/HF227)</f>
        <v>#N/A</v>
      </c>
      <c r="GC227" s="39" t="e">
        <f>IF(HG227=$FY$16,0,((Исходн.данные.!Q227*Р_Org+Исходн.данные.!R227*P_Sider+Исходн.данные.!S227*P_Soloma)*AP227+Расчет!BC227*VLOOKUP(Исходн.данные.!T227,Справ!$A$3:$P$57,16)*AP227+BB227*VLOOKUP(Исходн.данные.!T227,Справ!$A$3:$P$57,16)*AM227)/HG227)</f>
        <v>#N/A</v>
      </c>
      <c r="GD227" s="39" t="e">
        <f>IF(HH227=$FY$16,0,((Исходн.данные.!Q227*К_Org+Исходн.данные.!R227*K_Sider+Исходн.данные.!S227*K_Soloma)*AQ227+Расчет!BC227*VLOOKUP(Исходн.данные.!T227,Справ!$A$3:$Q$57,17)*AQ227+BB227*VLOOKUP(Исходн.данные.!T227,Справ!$A$3:$Q$57,17)*AN227)/HH227)</f>
        <v>#N/A</v>
      </c>
      <c r="GE227" s="39" t="e">
        <f>IF(HF227=$FY$16,0,(Исходн.данные.!X227*AR227+Исходн.данные.!AA227*N_Org*AL227+Исходн.данные.!AB227*N_Sider*AL227+Исходн.данные.!AC227*N_Soloma*AL227)/HF227)</f>
        <v>#N/A</v>
      </c>
      <c r="GF227" s="39" t="e">
        <f>IF(HG227=$FY$16,0,(Исходн.данные.!Y227*AS227+Исходн.данные.!AA227*Р_Org*AM227+Исходн.данные.!AB227*P_Sider*AM227+Исходн.данные.!AC227*P_Soloma*AM227)/HG227)</f>
        <v>#N/A</v>
      </c>
      <c r="GG227" s="39" t="e">
        <f>IF(HH227=$FY$16,0,(Исходн.данные.!Z227*AT227+Исходн.данные.!AA227*К_Org*AN227+Исходн.данные.!AB227*K_Sider*AN227+Исходн.данные.!AC227*K_Soloma*AN227)/HH227)</f>
        <v>#N/A</v>
      </c>
      <c r="GH227" s="39" t="e">
        <f>Исходн.данные.!AD227*AU227/HF227</f>
        <v>#N/A</v>
      </c>
      <c r="GI227" s="39" t="e">
        <f>Исходн.данные.!AE227*AV227/HG227</f>
        <v>#N/A</v>
      </c>
      <c r="GJ227" s="39" t="e">
        <f>Исходн.данные.!AF227*AW227/HH227</f>
        <v>#N/A</v>
      </c>
      <c r="GK227" s="55">
        <f>Исходн.данные.!AK227</f>
        <v>0</v>
      </c>
      <c r="GL227" s="11" t="e">
        <f t="shared" si="335"/>
        <v>#N/A</v>
      </c>
      <c r="GM227" s="11" t="e">
        <f t="shared" si="336"/>
        <v>#N/A</v>
      </c>
      <c r="GN227" s="11" t="e">
        <f t="shared" si="337"/>
        <v>#N/A</v>
      </c>
      <c r="GO227" s="57">
        <f t="shared" si="338"/>
        <v>19</v>
      </c>
      <c r="GP227" s="55">
        <f>IF(OR(Исходн.данные.!F227=$CE$1,Исходн.данные.!F227=$CE$2,Исходн.данные.!F227=$CE$3,Исходн.данные.!F227=$CE$4,Исходн.данные.!F227=$CE$5),GQ227,GR227)</f>
        <v>19</v>
      </c>
      <c r="GQ227" s="55">
        <f>IF(Исходн.данные.!F227=$CE$1,28,IF(Исходн.данные.!F227=$CE$2,26,IF(Исходн.данные.!F227=$CE$3,24,IF(Исходн.данные.!F227=$CE$4,22,IF(Исходн.данные.!F227=$CE$5,20,GR227)))))</f>
        <v>19</v>
      </c>
      <c r="GR227" s="55">
        <f>IF(Исходн.данные.!F227=$CE$6,18,IF(Исходн.данные.!F227=$CE$7,16,IF(Исходн.данные.!F227=$CE$8,14,IF(Исходн.данные.!F227=$CE$9,13,IF(Исходн.данные.!F227=$CE$10,12,19)))))</f>
        <v>19</v>
      </c>
      <c r="GS227" s="55">
        <f>IF(Исходн.данные.!G227="Пес",0.035*(40+2*Исходн.данные.!H227),IF(Исходн.данные.!G227="Суп",0.0325*(40+2*Исходн.данные.!H227),0.03*(40+2*Исходн.данные.!H227)))</f>
        <v>1.2</v>
      </c>
      <c r="GT227" s="55">
        <f>IF(Исходн.данные.!H227&lt;23,2.6,IF(AND(Исходн.данные.!H227&gt;22,Исходн.данные.!H227&lt;26),3,IF(AND(Исходн.данные.!H227&gt;25,Исходн.данные.!H227&lt;29),3.4,3.6)))</f>
        <v>2.6</v>
      </c>
      <c r="GU227" s="55">
        <f>IF(Исходн.данные.!H227&lt;23,2.8,IF(AND(Исходн.данные.!H227&gt;22,Исходн.данные.!H227&lt;26),3.2,IF(AND(Исходн.данные.!H227&gt;25,Исходн.данные.!H227&lt;29),3.6,3.9)))</f>
        <v>2.8</v>
      </c>
      <c r="GV227" s="55">
        <f>IF(Исходн.данные.!H227&lt;23,3,IF(AND(Исходн.данные.!H227&gt;22,Исходн.данные.!H227&lt;26),3.5,IF(AND(Исходн.данные.!H227&gt;25,Исходн.данные.!H227&lt;29),3.9,4.2)))</f>
        <v>3</v>
      </c>
      <c r="GW227" s="55" t="e">
        <f>IF(Исходн.данные.!P227="Ум",GX227,GY227)</f>
        <v>#N/A</v>
      </c>
      <c r="GX227" s="55" t="e">
        <f>VLOOKUP(Исходн.данные.!AI227,Коэффициенты!$J$7:$L$13,2,FALSE)</f>
        <v>#N/A</v>
      </c>
      <c r="GY227" s="55" t="e">
        <f>VLOOKUP(Исходн.данные.!AI227,Коэффициенты!$J$7:$L$13,3,FALSE)</f>
        <v>#N/A</v>
      </c>
      <c r="GZ227" s="55" t="e">
        <f>(IF(Исходн.данные.!M227&lt;50,0.11*VLOOKUP(Исходн.данные.!AH227,Культуры.Информация,7,FALSE),IF(Исходн.данные.!M227&gt;250,0.05*VLOOKUP(Исходн.данные.!AH227,Культуры.Информация,7,FALSE),VLOOKUP(Исходн.данные.!AH227,Культуры.Информация,5,FALSE)/100*($GX$6+$GY$6*Исходн.данные.!M227))))*Расчет2!AI227</f>
        <v>#N/A</v>
      </c>
      <c r="HA227" s="211"/>
      <c r="HB227" s="211"/>
      <c r="HC227" s="55" t="e">
        <f>(IF(Исходн.данные.!O227&lt;80,0.2*VLOOKUP(Исходн.данные.!AH227,Культуры.Информация,8,FALSE),IF(Исходн.данные.!O227&gt;240,0.09*VLOOKUP(Исходн.данные.!AH227,Культуры.Информация,8,FALSE),VLOOKUP(Исходн.данные.!AH227,Культуры.Информация,6,FALSE)/100*($HB$6+$HC$6*Исходн.данные.!O227))))*Расчет2!AJ227</f>
        <v>#N/A</v>
      </c>
      <c r="HD227" s="55">
        <f>IF(Исходн.данные.!O227&gt;240,0.09,IF(Исходн.данные.!O227&lt;30,0.3,$HE$10+$HD$10*Исходн.данные.!O227))</f>
        <v>0.3</v>
      </c>
      <c r="HE227" s="55">
        <f>IF(Исходн.данные.!O227&gt;240,0.17,IF(Исходн.данные.!O227&lt;30,0.5,$HF$12+$HE$12*Исходн.данные.!O227))</f>
        <v>0.5</v>
      </c>
      <c r="HF227" s="55" t="e">
        <f>VLOOKUP(Исходн.данные.!AH227,Справ!$A$3:$D$58,2,FALSE)</f>
        <v>#N/A</v>
      </c>
      <c r="HG227" s="55" t="e">
        <f>VLOOKUP(Исходн.данные.!AH227,Справ!$A$3:$D$58,3,FALSE)</f>
        <v>#N/A</v>
      </c>
      <c r="HH227" s="55" t="e">
        <f>VLOOKUP(Исходн.данные.!AH227,Справ!$A$3:$D$58,4,FALSE)</f>
        <v>#N/A</v>
      </c>
      <c r="HI227" s="11" t="e">
        <f t="shared" si="339"/>
        <v>#N/A</v>
      </c>
      <c r="HJ227" s="11" t="e">
        <f t="shared" si="340"/>
        <v>#N/A</v>
      </c>
      <c r="HK227" s="11" t="e">
        <f t="shared" si="341"/>
        <v>#N/A</v>
      </c>
      <c r="HL227" s="55">
        <f>IF(OR(Исходн.данные.!G227="Глин",Исходн.данные.!G227="Т_суг"),1.1,IF(Исходн.данные.!G227="Ср_суг",1,1))</f>
        <v>1</v>
      </c>
      <c r="HM227" s="55">
        <f>IF(OR(Исходн.данные.!G227="Глин",Исходн.данные.!G227="Т_суг"),0.9,IF(Исходн.данные.!G227="Ср_суг",1,1.2))</f>
        <v>1.2</v>
      </c>
      <c r="HN227" s="11" t="e">
        <f t="shared" si="342"/>
        <v>#N/A</v>
      </c>
      <c r="HO227" s="11" t="e">
        <f t="shared" si="343"/>
        <v>#N/A</v>
      </c>
      <c r="HP227" s="11" t="e">
        <f t="shared" si="344"/>
        <v>#N/A</v>
      </c>
      <c r="HQ227" t="e">
        <f t="shared" si="345"/>
        <v>#N/A</v>
      </c>
      <c r="HR227" t="e">
        <f t="shared" si="346"/>
        <v>#N/A</v>
      </c>
      <c r="HS227" t="e">
        <f t="shared" si="347"/>
        <v>#N/A</v>
      </c>
      <c r="HT227" t="e">
        <f t="shared" si="293"/>
        <v>#N/A</v>
      </c>
      <c r="HU227" t="e">
        <f t="shared" si="294"/>
        <v>#N/A</v>
      </c>
      <c r="HV227" t="e">
        <f t="shared" si="295"/>
        <v>#N/A</v>
      </c>
      <c r="HW227" t="e">
        <f t="shared" si="296"/>
        <v>#N/A</v>
      </c>
      <c r="HX227" t="e">
        <f t="shared" si="297"/>
        <v>#N/A</v>
      </c>
      <c r="HY227" t="e">
        <f t="shared" si="298"/>
        <v>#N/A</v>
      </c>
      <c r="HZ227" s="55">
        <f>IF(OR(Исходн.данные.!AI227="Оз_Ч_П",Исходн.данные.!AI227="Оз_З_П",Исходн.данные.!AI227="Яр_зер"),12,30)</f>
        <v>30</v>
      </c>
      <c r="IA227" t="e">
        <f t="shared" si="348"/>
        <v>#N/A</v>
      </c>
      <c r="IB227" t="e">
        <f t="shared" si="349"/>
        <v>#N/A</v>
      </c>
      <c r="IC227" t="e">
        <f t="shared" si="350"/>
        <v>#N/A</v>
      </c>
      <c r="ID227" s="11" t="e">
        <f t="shared" si="351"/>
        <v>#N/A</v>
      </c>
      <c r="IE227" s="11" t="e">
        <f t="shared" si="352"/>
        <v>#N/A</v>
      </c>
      <c r="IF227" s="11" t="e">
        <f t="shared" si="353"/>
        <v>#N/A</v>
      </c>
    </row>
    <row r="228" spans="35:240" x14ac:dyDescent="0.2">
      <c r="AI228">
        <f>IF(Исходн.данные.!I228&gt;6,1,1.85-(0.148*Исходн.данные.!I228))</f>
        <v>1.85</v>
      </c>
      <c r="AJ228">
        <f>IF(Исходн.данные.!I228&gt;6,1,2.434-(0.246*Исходн.данные.!I228))</f>
        <v>2.4340000000000002</v>
      </c>
      <c r="AL228" s="148" t="b">
        <f>IF(Исходн.данные.!$P228="Ум",N_OrgUd_2g_um,IF(Исходн.данные.!$P228="Об",N_OrgUd_2g_ob))</f>
        <v>0</v>
      </c>
      <c r="AM228" s="148" t="b">
        <f>IF(Исходн.данные.!$P228="Ум",P_OrgUd_2g_um,IF(Исходн.данные.!$P228="Об",P_OrgUd_2g_ob))</f>
        <v>0</v>
      </c>
      <c r="AN228" s="148" t="b">
        <f>IF(Исходн.данные.!$P228="Ум",K_OrgUd_2g_um,IF(Исходн.данные.!$P228="Об",K_OrgUd_2g_ob))</f>
        <v>0</v>
      </c>
      <c r="AO228" s="148" t="b">
        <f>IF(Исходн.данные.!$P228="Ум",N_OrgUd_1g_um,IF(Исходн.данные.!$P228="Об",N_OrgUd_1g_ob))</f>
        <v>0</v>
      </c>
      <c r="AP228" s="148" t="b">
        <f>IF(Исходн.данные.!$P228="Ум",P_OrgUd_1g_um,IF(Исходн.данные.!$P228="Об",P_OrgUd_1g_ob))</f>
        <v>0</v>
      </c>
      <c r="AQ228" s="148" t="b">
        <f>IF(Исходн.данные.!$P228="Ум",K_OrgUd_1g_um,IF(Исходн.данные.!$P228="Об",K_OrgUd_1g_ob))</f>
        <v>0</v>
      </c>
      <c r="AR228" t="b">
        <f>IF(Исходн.данные.!$P228="Ум",N_MinUd_2g_um,IF(Исходн.данные.!$P228="Об",N_MinUd_2g_ob))</f>
        <v>0</v>
      </c>
      <c r="AS228" t="b">
        <f>IF(Исходн.данные.!$P228="Ум",P_MinUd_2g_um,IF(Исходн.данные.!$P228="Об",P_MinUd_2g_ob))</f>
        <v>0</v>
      </c>
      <c r="AT228" t="b">
        <f>IF(Исходн.данные.!$P228="Ум",K_MinUd_2g_um,IF(Исходн.данные.!$P228="Об",K_MinUd_2g_ob))</f>
        <v>0</v>
      </c>
      <c r="AU228" t="b">
        <f>IF(Исходн.данные.!$P228="Ум",N_MinUd_1g_um,IF(Исходн.данные.!$P228="Об",N_MinUd_1g_ob))</f>
        <v>0</v>
      </c>
      <c r="AV228" t="b">
        <f>IF(Исходн.данные.!P228="Ум",P_MinUd_1g_um,IF(Исходн.данные.!P228="Об",P_MinUd_1g_ob))</f>
        <v>0</v>
      </c>
      <c r="AW228" t="b">
        <f>IF(Исходн.данные.!P228="Ум",K_MinUd_1g_um,IF(Исходн.данные.!P228="Об",K_MinUd_1g_ob))</f>
        <v>0</v>
      </c>
      <c r="AY228" t="e">
        <f>VLOOKUP(Исходн.данные.!T228,Справ!$A$3:$N$57,12)</f>
        <v>#N/A</v>
      </c>
      <c r="AZ228" t="e">
        <f>VLOOKUP(Исходн.данные.!T228,Справ!$A$3:$N$57,13)</f>
        <v>#N/A</v>
      </c>
      <c r="BA228" t="e">
        <f>VLOOKUP(Исходн.данные.!T228,Справ!$A$3:$N$57,14)</f>
        <v>#N/A</v>
      </c>
      <c r="BB228">
        <f>IF(Исходн.данные.!AH228=0,0,25)</f>
        <v>0</v>
      </c>
      <c r="BC228" s="141">
        <f>IF(Исходн.данные.!AH228=0,0,IF(Исходн.данные.!T228=0,25,BD228))</f>
        <v>0</v>
      </c>
      <c r="BD228" s="168" t="e">
        <f>AY228+AZ228*Исходн.данные.!U228-POWER(BA228,2)*Исходн.данные.!U228</f>
        <v>#N/A</v>
      </c>
      <c r="BE22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8" s="25">
        <f>IF(Исходн.данные.!AH228=0,0,MIN(HN228:HP228))</f>
        <v>0</v>
      </c>
      <c r="BG228" s="9">
        <f>IF(Исходн.данные.!AH228=0,0,IF((HO228+10*0.25/HG228/HL228)&lt;17,17,HO228+10*0.25/HG228/HL228))</f>
        <v>0</v>
      </c>
      <c r="BH228" s="181">
        <f>IF(Исходн.данные.!AH228=0,0,HW228*HF228*HL228/AU228*AI228+Исходн.данные.!S228*10)</f>
        <v>0</v>
      </c>
      <c r="BI228" s="10"/>
      <c r="BJ228" s="182">
        <f>IF(Исходн.данные.!AH228=0,0,IF(HX228*HG228*HL228/AV228&lt;0,0,HX228*HG228*HL228/AV228*AJ228))</f>
        <v>0</v>
      </c>
      <c r="BK228" s="182">
        <f>IF(Исходн.данные.!AH228=0,0,HY228*HH228*HM228/AW228)</f>
        <v>0</v>
      </c>
      <c r="BL228" s="10">
        <f>IF(OR(Исходн.данные.!$AH228=$BP$1,Исходн.данные.!$AH228=$BP$2),0,IF(BH228&lt;0,0,IF(OR(Исходн.данные.!T228=Расчет!$BP$1,Исходн.данные.!T228=Расчет!$BP$2,Исходн.данные.!T228=Расчет!$BT$5,Исходн.данные.!T228=Расчет!$BT$6),BH228*0.5,IF(OR(Исходн.данные.!T228=Расчет!$BS$9,Исходн.данные.!T228=Расчет!$BS$10,Исходн.данные.!T228=Расчет!$BS$11,Исходн.данные.!T228=Расчет!$BS$12,Исходн.данные.!T228=Расчет!$BP$5),BH228*0.8,BH228))))</f>
        <v>0</v>
      </c>
      <c r="BM228" s="10">
        <f>IF(OR(Исходн.данные.!$AH228=$BP$1,Исходн.данные.!$AH228=$BP$2),0,IF(BJ228&lt;0,0,IF(Исходн.данные.!I228&lt;4.5,BJ228*1.2,IF(Исходн.данные.!I228&gt;5.1,BJ228,BJ228*((5.1-Исходн.данные.!I228)*0.333+1)))))</f>
        <v>0</v>
      </c>
      <c r="BN228" s="10">
        <f>IF(OR(Исходн.данные.!$AH228=$BP$1,Исходн.данные.!$AH228=$BP$2),60-Исходн.данные.!AF228,IF(BK228&lt;0,0,IF(Исходн.данные.!I228&lt;4.5,BK228*1.2,IF(Исходн.данные.!I228&gt;5.1,BK228,BK228*((5.1-Исходн.данные.!I228)*0.333+1)))))</f>
        <v>0</v>
      </c>
      <c r="BO228" s="9">
        <f>IF(BL228&lt;0,0,BL228*Исходн.данные.!$AJ228/1000)</f>
        <v>0</v>
      </c>
      <c r="BP228" s="9">
        <f>IF(BM228&lt;0,0,BM228*Исходн.данные.!$AJ228/1000)</f>
        <v>0</v>
      </c>
      <c r="BQ228" s="9">
        <f>IF(BN228&lt;0,0,BN228*Исходн.данные.!$AJ228/1000)</f>
        <v>0</v>
      </c>
      <c r="BR228" s="9">
        <f t="shared" si="303"/>
        <v>0</v>
      </c>
      <c r="BS228" s="10" t="str">
        <f t="shared" si="304"/>
        <v>Аммофос 12:52:00</v>
      </c>
      <c r="BT228" s="10" t="str">
        <f t="shared" si="305"/>
        <v>Аммофос 12:52:00</v>
      </c>
      <c r="BU228" s="10" t="str">
        <f t="shared" si="306"/>
        <v>Диаммофоска</v>
      </c>
      <c r="BV228" s="10">
        <f t="shared" si="307"/>
        <v>0</v>
      </c>
      <c r="BW228" s="10"/>
      <c r="BX228" s="10"/>
      <c r="BY228" s="9">
        <f>IF(BL228&lt;0,0,IF(OR(Исходн.данные.!AI228=Расчет!$BU$6,Исходн.данные.!AI228=Расчет!$BU$7),Расчет!BV228,IF(Исходн.данные.!$AG228=$BV$11,BL228,IF(OR(Исходн.данные.!$AH228=$BQ$7,Исходн.данные.!$AH228=$BQ$8),CB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0,IF(Исходн.данные.!$AI228=$BU$11,"Нет",IF(BL228&gt;30,30,BL228)))))))</f>
        <v>0</v>
      </c>
      <c r="BZ228" s="9">
        <f>IF(AND(Исходн.данные.!$AG228=$BV$11,BM228&lt;10),10,IF(Исходн.данные.!$AG228=$BV$11,BM228,IF(OR(Исходн.данные.!$AH228=$BQ$7,Исходн.данные.!$AH228=$BQ$8),CC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10,IF(Исходн.данные.!$AI228=$BU$11,"Нет",IF(BM228&gt;60,60,IF(BM228&lt;10,10,BM228)))))))</f>
        <v>10</v>
      </c>
      <c r="CA228" s="39">
        <f>IF(BN228&lt;0,0,IF(Исходн.данные.!$AG228=$BV$11,BN228,IF(OR(Исходн.данные.!$AH228=$BQ$7,Исходн.данные.!$AH228=$BQ$8),CD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0,IF(Исходн.данные.!$AI228=$BU$11,"Нет",IF(BN228&gt;30,30,BN228))))))</f>
        <v>0</v>
      </c>
      <c r="CB228" s="9">
        <f t="shared" si="308"/>
        <v>0</v>
      </c>
      <c r="CC228" s="9">
        <f t="shared" si="309"/>
        <v>0</v>
      </c>
      <c r="CD228" s="9">
        <f t="shared" si="310"/>
        <v>0</v>
      </c>
      <c r="CE228" s="12">
        <f t="shared" si="311"/>
        <v>10</v>
      </c>
      <c r="CF228" s="9">
        <f t="shared" si="312"/>
        <v>0</v>
      </c>
      <c r="CG228" s="9" t="s">
        <v>231</v>
      </c>
      <c r="CH228" s="132" t="str">
        <f>IF(Исходн.данные.!AP228=Расчет!$CI$16,"Нет",IF(Исходн.данные.!AL228&gt;0,Исходн.данные.!AL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BH$4,IF(OR(Исходн.данные.!AI228=Исходн.данные.!$AI$6,Исходн.данные.!AI228=Исходн.данные.!$AI$7),Расчет!BS228,IF(AND($CF228=0,$CE228&gt;0),EV228,ER228)))))</f>
        <v>Аммофос 12:52:00</v>
      </c>
      <c r="CI228" s="274">
        <f>IF(Расчет!$CH228="Нет","Нет",IF(Исходн.данные.!$AL228&gt;0,VLOOKUP(Расчет!$CH228,АшламаДВ_Irekle,2,FALSE),VLOOKUP(Расчет!$CH228,АшламаДВ_Gomumy,2,FALSE)))</f>
        <v>0.12</v>
      </c>
      <c r="CJ228" s="274">
        <f>IF(Расчет!$CH228="Нет","Нет",IF(Исходн.данные.!$AL228&gt;0,VLOOKUP(Расчет!$CH228,АшламаДВ_Irekle,3,FALSE),VLOOKUP(Расчет!$CH228,АшламаДВ_Gomumy,3,FALSE)))</f>
        <v>0.52</v>
      </c>
      <c r="CK228" s="274">
        <f>IF(Расчет!$CH228="Нет","Нет",IF(Исходн.данные.!$AL228&gt;0,VLOOKUP(Расчет!$CH228,АшламаДВ_Irekle,4,FALSE),VLOOKUP(Расчет!$CH228,АшламаДВ_Gomumy,4,FALSE)))</f>
        <v>0</v>
      </c>
      <c r="CL228" s="70"/>
      <c r="CM228" s="70"/>
      <c r="CN228" s="70"/>
      <c r="CO228" s="70"/>
      <c r="CP228" s="70"/>
      <c r="CQ228" s="70"/>
      <c r="CR228" s="10">
        <f t="shared" si="313"/>
        <v>0</v>
      </c>
      <c r="CS228" s="10">
        <f t="shared" si="314"/>
        <v>19.23076923076923</v>
      </c>
      <c r="CT228" s="10">
        <f t="shared" si="315"/>
        <v>0</v>
      </c>
      <c r="CU228" s="39">
        <f>IF($CH228="Нет",0,IF(CI228=0,30/MIN(CJ228:CK228),IF(Исходн.данные.!$AG228=$BV$11,CR228,IF(OR(Исходн.данные.!$AH228=$BQ$7,Исходн.данные.!$AH228=$BQ$8),90/CI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0,IF(Исходн.данные.!$AI228=$BU$11,"Нет",30/CI228))))))</f>
        <v>250</v>
      </c>
      <c r="CV228" s="39">
        <f>IF($CH228="Нет",0,IF(Исходн.данные.!AH228=0,0,IF(CJ228=0,60/MIN(CI228,CK228),IF(Исходн.данные.!$AG228=$BV$11,CS228,IF(OR(Исходн.данные.!$AH228=$BQ$7,Исходн.данные.!$AH228=$BQ$8),90/CJ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10/CJ228,IF(Исходн.данные.!$AI228=$BU$11,"Нет",60/CJ228)))))))</f>
        <v>0</v>
      </c>
      <c r="CW228" s="39">
        <f>IF($CH228="Нет",0,IF(Исходн.данные.!AH228=0,0,IF(CK228=0,30/MIN(CI228:CJ228),IF(Исходн.данные.!$AG228=$BV$11,CT228,IF(OR(Исходн.данные.!$AH228=$BQ$7,Исходн.данные.!$AH228=$BQ$8),90/CK228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0,IF(Исходн.данные.!$AI228=$BU$11,"Нет",30/CK228)))))))</f>
        <v>0</v>
      </c>
      <c r="CX228" s="133">
        <f>IF(Исходн.данные.!$AG228=$BV$11,MAX(CU228:CW228),IF(OR(Исходн.данные.!$AH228=$BS$8,Исходн.данные.!$AH228=$BQ$9,Исходн.данные.!$AH228=$BQ$10,Исходн.данные.!$AH228=$BQ$11,Исходн.данные.!$AH228=$BQ$12,Исходн.данные.!$AH228=$BP$3,Исходн.данные.!$AH228=$BT$8,$FM228="Да"),CV228,MIN(CU228:CW228)))</f>
        <v>0</v>
      </c>
      <c r="CY228" s="133">
        <f>IF(Исходн.данные.!AH228=0,0,IF(CR228&gt;$CX228,$CX228,CR228))</f>
        <v>0</v>
      </c>
      <c r="CZ228" s="133">
        <f>IF(Исходн.данные.!AH228=0,0,IF(CS228&gt;$CX228,$CX228,CS228))</f>
        <v>0</v>
      </c>
      <c r="DA228" s="133">
        <f>IF(Исходн.данные.!AH228=0,0,IF(CT228&gt;$CX228,$CX228,CT228))</f>
        <v>0</v>
      </c>
      <c r="DB228" s="10">
        <f t="shared" si="316"/>
        <v>0</v>
      </c>
      <c r="DC228" s="39">
        <f>DB228*Исходн.данные.!AJ228/1000</f>
        <v>0</v>
      </c>
      <c r="DD228" s="71">
        <f t="shared" si="317"/>
        <v>0</v>
      </c>
      <c r="DE228" s="9">
        <f t="shared" si="318"/>
        <v>0</v>
      </c>
      <c r="DF228" s="9">
        <f t="shared" si="319"/>
        <v>0</v>
      </c>
      <c r="DG228" s="39">
        <f>IF(BL228&lt;0,0,IF($CH228="Нет",BL228,IF(OR(Исходн.данные.!$AH228=$BP$1,Исходн.данные.!$AH228=$BP$2),0,IF(Исходн.данные.!AI228=$BU$11,BL228,IF(BL228-DD228&lt;0,0,BL228-DD228)))))</f>
        <v>0</v>
      </c>
      <c r="DH228" s="39">
        <f>IF(BM228&lt;0,0,IF($CH228="Нет",BM228,IF(OR(Исходн.данные.!$AH228=$BP$1,Исходн.данные.!$AH228=$BP$2),0,IF(Исходн.данные.!AJ228=$BU$11,BM228,IF(BM228-DE228&lt;0,0,BM228-DE228)))))</f>
        <v>0</v>
      </c>
      <c r="DI228" s="39">
        <f>IF(BN228&lt;0,0,IF($CH228="Нет",BN228,IF(OR(Исходн.данные.!$AH228=$BP$1,Исходн.данные.!$AH228=$BP$2),0,IF(Исходн.данные.!AK228=$BU$11,BN228,IF(BN228-DF228&lt;0,0,BN228-DF228)))))</f>
        <v>0</v>
      </c>
      <c r="DJ228" s="12">
        <f t="shared" si="320"/>
        <v>0</v>
      </c>
      <c r="DK228" s="9">
        <f t="shared" si="321"/>
        <v>0</v>
      </c>
      <c r="DL228" s="39">
        <f>IF(Исходн.данные.!AM228&gt;0,Исходн.данные.!AM228,IF(EG228&gt;0,$BH$10,0))</f>
        <v>0</v>
      </c>
      <c r="DM228" s="186">
        <f>IF($DL228=0,0,IF(Исходн.данные.!AM228&gt;0,VLOOKUP($DL228,АшламаДВ_Irekle,2,FALSE),VLOOKUP($DL228,АшламаДВ_Gomumy,2,FALSE)))</f>
        <v>0</v>
      </c>
      <c r="DN228" s="10">
        <f t="shared" si="299"/>
        <v>0</v>
      </c>
      <c r="DO228" s="9" t="str">
        <f>IF(Исходн.данные.!AN228&gt;0,Исходн.данные.!AN228,Удобрения!$B$37 )</f>
        <v>Хлор.калий</v>
      </c>
      <c r="DP228" s="9">
        <f>IF(Исходн.данные.!AN228&gt;0,VLOOKUP(Исходн.данные.!AN228,АшламаДВ_Irekle,4,FALSE),VLOOKUP(DO228,АшламаДВ_Gomumy,4,FALSE))</f>
        <v>0.6</v>
      </c>
      <c r="DQ228" s="10">
        <f t="shared" si="300"/>
        <v>0</v>
      </c>
      <c r="DR228" s="132" t="str">
        <f>IF(Исходн.данные.!AO228&gt;0,Исходн.данные.!AO228,IF(DH228=0,BS$17,IF(AND($DK228=0,$DJ228&gt;0),EJ228,EN228)))</f>
        <v>Нет</v>
      </c>
      <c r="DS228" s="70" t="str">
        <f>IF($DR228="Нет","Нет",IF(Исходн.данные.!$AO228&gt;0,VLOOKUP($DR228,АшламаДВ_Irekle,2,FALSE),VLOOKUP($DR228,АшламаДВ_Gomumy,2,FALSE)))</f>
        <v>Нет</v>
      </c>
      <c r="DT228" s="70" t="str">
        <f>IF($DR228="Нет","Нет",IF(Исходн.данные.!$AO228&gt;0,VLOOKUP($DR228,АшламаДВ_Irekle,3,FALSE),VLOOKUP($DR228,АшламаДВ_Gomumy,3,FALSE)))</f>
        <v>Нет</v>
      </c>
      <c r="DU228" s="70" t="str">
        <f>IF($DR228="Нет","Нет",IF(Исходн.данные.!$AO228&gt;0,VLOOKUP($DR228,АшламаДВ_Irekle,4,FALSE),VLOOKUP($DR228,АшламаДВ_Gomumy,4,FALSE)))</f>
        <v>Нет</v>
      </c>
      <c r="DV228" s="70"/>
      <c r="DW228" s="70"/>
      <c r="DX228" s="70"/>
      <c r="DY228" s="10">
        <f t="shared" si="322"/>
        <v>0</v>
      </c>
      <c r="DZ228" s="10">
        <f t="shared" si="323"/>
        <v>0</v>
      </c>
      <c r="EA228" s="10">
        <f t="shared" si="324"/>
        <v>0</v>
      </c>
      <c r="EB228" s="10">
        <f t="shared" si="325"/>
        <v>0</v>
      </c>
      <c r="EC228" s="10">
        <f t="shared" si="326"/>
        <v>0</v>
      </c>
      <c r="ED228" s="10">
        <f t="shared" si="327"/>
        <v>0</v>
      </c>
      <c r="EE228" s="10">
        <f t="shared" si="328"/>
        <v>0</v>
      </c>
      <c r="EF228" s="39">
        <f>EB228*Исходн.данные.!AJ228/1000</f>
        <v>0</v>
      </c>
      <c r="EG228" s="9">
        <f t="shared" si="329"/>
        <v>0</v>
      </c>
      <c r="EH228" s="9">
        <f t="shared" si="330"/>
        <v>0</v>
      </c>
      <c r="EI228" s="39" t="e">
        <f t="shared" si="280"/>
        <v>#DIV/0!</v>
      </c>
      <c r="EJ228" s="9" t="str">
        <f t="shared" si="301"/>
        <v>Азопреципитат</v>
      </c>
      <c r="EK228" s="12">
        <f t="shared" si="281"/>
        <v>0.26</v>
      </c>
      <c r="EL228" s="12">
        <f t="shared" si="282"/>
        <v>0.13</v>
      </c>
      <c r="EM228" s="12">
        <f t="shared" si="283"/>
        <v>0</v>
      </c>
      <c r="EN228" s="12" t="str">
        <f t="shared" si="302"/>
        <v>Нет</v>
      </c>
      <c r="EO228" s="12">
        <f t="shared" si="284"/>
        <v>0</v>
      </c>
      <c r="EP228" s="12">
        <f t="shared" si="285"/>
        <v>0</v>
      </c>
      <c r="EQ228" s="12">
        <f t="shared" si="286"/>
        <v>0</v>
      </c>
      <c r="ER228" s="12" t="str">
        <f t="shared" si="331"/>
        <v>Диаммофоска</v>
      </c>
      <c r="ES228" s="12">
        <f t="shared" si="287"/>
        <v>0.1</v>
      </c>
      <c r="ET228" s="12">
        <f t="shared" si="288"/>
        <v>0.26</v>
      </c>
      <c r="EU228" s="12">
        <f t="shared" si="289"/>
        <v>0.26</v>
      </c>
      <c r="EV228" s="12" t="str">
        <f t="shared" si="332"/>
        <v>Аммофос 12:52:00</v>
      </c>
      <c r="EW228" s="12" t="str">
        <f t="shared" si="333"/>
        <v>Кемира Свекловичное-6</v>
      </c>
      <c r="EX228" s="12">
        <f t="shared" si="290"/>
        <v>0.16</v>
      </c>
      <c r="EY228" s="12">
        <f t="shared" si="291"/>
        <v>0.12</v>
      </c>
      <c r="EZ228" s="12">
        <f t="shared" si="292"/>
        <v>0.17</v>
      </c>
      <c r="FA228" s="38" t="e">
        <f>IF(AND(OR(FJ228=$FD$1,FM228=$FD$1,FO228=$FD$1,FQ228=$FD$1,FS228=$FD$1),FD228=$FD$1,Исходн.данные.!J228&lt;2,FU228=$FD$1),"Бор,Кобальт",IF(AND(FO228=$FD$1,FH228=$FD$1,Исходн.данные.!J228&lt;2,FU228=$FD$1),"Бор,Кобальт",IF(AND(OR(FJ228=$FD$1,FM228=$FD$1,FQ228=$FD$1),FE228=$FD$1,Исходн.данные.!J228&lt;2,FT228=$FD$1,FU228=$FD$1),"Бор,Медь,Цинк",IF(AND(OR(FJ228=$FD$1,FR228="Да"),FI228="Да",Исходн.данные.!J228&lt;2,FT228="Да",FU228="Да"),"Бор,Цинк,Медь",IF(AND(OR(FM228="Да",FQ228="Да"),FI228="Да",Исходн.данные.!J228&lt;2,FT228="Да",FU228="Да"),"Бор,Цинк",IF(AND(FN228="Да",OR(FD228="Да",FE228="Да")),"Бор",FB228))))))</f>
        <v>#N/A</v>
      </c>
      <c r="FB228" s="134" t="e">
        <f>IF(AND(OR(FD228="Да",FE228="Да",FF228="Да",FG228="Да",FH228="Да"),FO228="Да"),"Бор",IF(AND(FP228="Да",OR(FD228="Да",FE228="Да",FI228="Да")),"Бор",IF(AND(FS228="Да",FE228="Да"),"Бор,Медь",IF(AND(OR(FJ228="Да",FK228="Да",FL228="Да"),FE228="Да",Исходн.данные.!I228&lt;5,FT228="Да",FU228="Да"),"Молибден,Цинк",IF(AND(FM228="Да",OR(FE228="Да",FF228="Да",FG228="Да",FH228="Да",FI228="Да")),"Молибден,Цинк",IF(AND(OR(FJ228="Да",FK228="Да",FL228="Да",FM228="Да",FQ228="Да"),OR(FE228="Да",FF228="Да"),FT228="Да",FU228="Да",Исходн.данные.!I228&gt;5.5),"Медь,Цинк",FC228))))))</f>
        <v>#N/A</v>
      </c>
      <c r="FC228" s="23" t="e">
        <f t="shared" si="334"/>
        <v>#N/A</v>
      </c>
      <c r="FD228" s="38" t="str">
        <f>IF(OR(Исходн.данные.!F228=$CC$1,Исходн.данные.!F228=$CC$2,Исходн.данные.!F228=$CC$3,Исходн.данные.!F228=$CC$4),"Да","Нет")</f>
        <v>Нет</v>
      </c>
      <c r="FE228" s="38" t="str">
        <f>IF(Исходн.данные.!F228=$CC$5,"Да","Нет")</f>
        <v>Нет</v>
      </c>
      <c r="FF228" s="38" t="str">
        <f>IF(OR(Исходн.данные.!F228=$CC$6,Исходн.данные.!F228=$CC$7),"Да","Нет")</f>
        <v>Нет</v>
      </c>
      <c r="FG228" s="38" t="str">
        <f>IF(OR(Исходн.данные.!F228=$CC$8,Исходн.данные.!F228=$CC$9),"Да","Нет")</f>
        <v>Нет</v>
      </c>
      <c r="FH228" s="38" t="str">
        <f>IF(Исходн.данные.!F228=$CC$10,"Да","Нет")</f>
        <v>Нет</v>
      </c>
      <c r="FI228" s="38" t="str">
        <f>IF(OR(Исходн.данные.!F228=$CC$11,Исходн.данные.!F228=$CC$12),"Да","Нет")</f>
        <v>Нет</v>
      </c>
      <c r="FJ228" s="38" t="str">
        <f>IF(OR(Исходн.данные.!AH228=$BS$1,Исходн.данные.!AH228=$BQ$11,Исходн.данные.!AH228=$BQ$12),"Да","Нет")</f>
        <v>Нет</v>
      </c>
      <c r="FK228" s="38" t="str">
        <f>IF(OR(Исходн.данные.!AH228=$BS$2,Исходн.данные.!AH228=$BS$4),"Да","Нет")</f>
        <v>Нет</v>
      </c>
      <c r="FL228" s="38" t="str">
        <f>IF(OR(Исходн.данные.!AH228=$BS$3,Исходн.данные.!AH228=$BS$5),"Да","Нет")</f>
        <v>Нет</v>
      </c>
      <c r="FM228" s="38" t="str">
        <f>IF(OR(Исходн.данные.!AH228=$BS$9,Исходн.данные.!AH228=$BS$10,Исходн.данные.!AH228=$BS$11,Исходн.данные.!AH228=$BS$12),"Да","Нет")</f>
        <v>Нет</v>
      </c>
      <c r="FN228" s="38" t="str">
        <f>IF(OR(Исходн.данные.!AH228=$BS$6,Исходн.данные.!AH228=$BP$3),"Да","Нет")</f>
        <v>Нет</v>
      </c>
      <c r="FO228" s="38" t="str">
        <f>IF(Исходн.данные.!AH228=$BQ$9,"Да","Нет")</f>
        <v>Нет</v>
      </c>
      <c r="FP228" s="38" t="str">
        <f>IF(OR(Исходн.данные.!AH228=$BS$8,Исходн.данные.!AH228=$BT$8),"Да","Нет")</f>
        <v>Нет</v>
      </c>
      <c r="FQ228" s="38" t="str">
        <f>IF(OR(Исходн.данные.!AH228=$BQ$7,Исходн.данные.!AH228=$BQ$8),"Да","Нет")</f>
        <v>Нет</v>
      </c>
      <c r="FR228" s="38" t="str">
        <f>IF(Исходн.данные.!AI228=$BU$9,"Да","Нет")</f>
        <v>Нет</v>
      </c>
      <c r="FS228" s="38" t="str">
        <f>IF(OR(Исходн.данные.!AH228=$BP$1,Исходн.данные.!AH228=$BP$2),"Да","Нет")</f>
        <v>Нет</v>
      </c>
      <c r="FT228" s="38" t="e">
        <f>IF((Исходн.данные.!K228*GO228*GS228*GW228+BL228*0.6+Исходн.данные.!Q228*4.5*0.275)&gt;90,"Да","Нет")</f>
        <v>#N/A</v>
      </c>
      <c r="FU228" s="38" t="e">
        <f>IF((Исходн.данные.!M228*GS228*GZ228+BM228*0.225)&gt;35,"Да","Нет")</f>
        <v>#N/A</v>
      </c>
      <c r="FV228" s="38" t="str">
        <f>IF(Исходн.данные.!O228&gt;175,"Да","Нет")</f>
        <v>Нет</v>
      </c>
      <c r="FW228" s="39" t="str">
        <f>IF(Исходн.данные.!I228&gt;5.5,"Да","Нет")</f>
        <v>Нет</v>
      </c>
      <c r="FX228" s="39" t="str">
        <f>IF(Исходн.данные.!J228&lt;2,"Да","Нет")</f>
        <v>Да</v>
      </c>
      <c r="FY228" s="39" t="e">
        <f>IF(HF228=$FY$16,0,Исходн.данные.!K228*GO228*GS228*GW228/HF228)</f>
        <v>#N/A</v>
      </c>
      <c r="FZ228" s="39" t="e">
        <f>Исходн.данные.!M228*GS228*GZ228/HG228</f>
        <v>#N/A</v>
      </c>
      <c r="GA228" s="39" t="e">
        <f>IF(K_Wyn=$FY$16,0,IF(Исходн.данные.!N228=Исходн.данные.!$L$10,Исходн.данные.!O228/1.1*GS228*HC228/HH228,IF(Исходн.данные.!N228=Исходн.данные.!$L$12,Исходн.данные.!O228/1.5*GS228*HC228/HH228,Исходн.данные.!O228*GS228*HC228/HH228)))</f>
        <v>#N/A</v>
      </c>
      <c r="GB228" s="39" t="e">
        <f>IF(HF228=$FY$16,0,((Исходн.данные.!Q228*N_Org+Исходн.данные.!R228*N_Sider+Исходн.данные.!S228*N_Soloma)*AO228+Расчет!BC228*VLOOKUP(Исходн.данные.!T228,Справ!$A$3:$O$57,15)*AO228+BB228*VLOOKUP(Исходн.данные.!T228,Справ!$A$3:$O$57,15)*AL228+(Исходн.данные.!V228*N_Rizotorf+Исходн.данные.!W228*N_Rizoagr))/HF228)</f>
        <v>#N/A</v>
      </c>
      <c r="GC228" s="39" t="e">
        <f>IF(HG228=$FY$16,0,((Исходн.данные.!Q228*Р_Org+Исходн.данные.!R228*P_Sider+Исходн.данные.!S228*P_Soloma)*AP228+Расчет!BC228*VLOOKUP(Исходн.данные.!T228,Справ!$A$3:$P$57,16)*AP228+BB228*VLOOKUP(Исходн.данные.!T228,Справ!$A$3:$P$57,16)*AM228)/HG228)</f>
        <v>#N/A</v>
      </c>
      <c r="GD228" s="39" t="e">
        <f>IF(HH228=$FY$16,0,((Исходн.данные.!Q228*К_Org+Исходн.данные.!R228*K_Sider+Исходн.данные.!S228*K_Soloma)*AQ228+Расчет!BC228*VLOOKUP(Исходн.данные.!T228,Справ!$A$3:$Q$57,17)*AQ228+BB228*VLOOKUP(Исходн.данные.!T228,Справ!$A$3:$Q$57,17)*AN228)/HH228)</f>
        <v>#N/A</v>
      </c>
      <c r="GE228" s="39" t="e">
        <f>IF(HF228=$FY$16,0,(Исходн.данные.!X228*AR228+Исходн.данные.!AA228*N_Org*AL228+Исходн.данные.!AB228*N_Sider*AL228+Исходн.данные.!AC228*N_Soloma*AL228)/HF228)</f>
        <v>#N/A</v>
      </c>
      <c r="GF228" s="39" t="e">
        <f>IF(HG228=$FY$16,0,(Исходн.данные.!Y228*AS228+Исходн.данные.!AA228*Р_Org*AM228+Исходн.данные.!AB228*P_Sider*AM228+Исходн.данные.!AC228*P_Soloma*AM228)/HG228)</f>
        <v>#N/A</v>
      </c>
      <c r="GG228" s="39" t="e">
        <f>IF(HH228=$FY$16,0,(Исходн.данные.!Z228*AT228+Исходн.данные.!AA228*К_Org*AN228+Исходн.данные.!AB228*K_Sider*AN228+Исходн.данные.!AC228*K_Soloma*AN228)/HH228)</f>
        <v>#N/A</v>
      </c>
      <c r="GH228" s="39" t="e">
        <f>Исходн.данные.!AD228*AU228/HF228</f>
        <v>#N/A</v>
      </c>
      <c r="GI228" s="39" t="e">
        <f>Исходн.данные.!AE228*AV228/HG228</f>
        <v>#N/A</v>
      </c>
      <c r="GJ228" s="39" t="e">
        <f>Исходн.данные.!AF228*AW228/HH228</f>
        <v>#N/A</v>
      </c>
      <c r="GK228" s="55">
        <f>Исходн.данные.!AK228</f>
        <v>0</v>
      </c>
      <c r="GL228" s="11" t="e">
        <f t="shared" si="335"/>
        <v>#N/A</v>
      </c>
      <c r="GM228" s="11" t="e">
        <f t="shared" si="336"/>
        <v>#N/A</v>
      </c>
      <c r="GN228" s="11" t="e">
        <f t="shared" si="337"/>
        <v>#N/A</v>
      </c>
      <c r="GO228" s="57">
        <f t="shared" si="338"/>
        <v>19</v>
      </c>
      <c r="GP228" s="55">
        <f>IF(OR(Исходн.данные.!F228=$CE$1,Исходн.данные.!F228=$CE$2,Исходн.данные.!F228=$CE$3,Исходн.данные.!F228=$CE$4,Исходн.данные.!F228=$CE$5),GQ228,GR228)</f>
        <v>19</v>
      </c>
      <c r="GQ228" s="55">
        <f>IF(Исходн.данные.!F228=$CE$1,28,IF(Исходн.данные.!F228=$CE$2,26,IF(Исходн.данные.!F228=$CE$3,24,IF(Исходн.данные.!F228=$CE$4,22,IF(Исходн.данные.!F228=$CE$5,20,GR228)))))</f>
        <v>19</v>
      </c>
      <c r="GR228" s="55">
        <f>IF(Исходн.данные.!F228=$CE$6,18,IF(Исходн.данные.!F228=$CE$7,16,IF(Исходн.данные.!F228=$CE$8,14,IF(Исходн.данные.!F228=$CE$9,13,IF(Исходн.данные.!F228=$CE$10,12,19)))))</f>
        <v>19</v>
      </c>
      <c r="GS228" s="55">
        <f>IF(Исходн.данные.!G228="Пес",0.035*(40+2*Исходн.данные.!H228),IF(Исходн.данные.!G228="Суп",0.0325*(40+2*Исходн.данные.!H228),0.03*(40+2*Исходн.данные.!H228)))</f>
        <v>1.2</v>
      </c>
      <c r="GT228" s="55">
        <f>IF(Исходн.данные.!H228&lt;23,2.6,IF(AND(Исходн.данные.!H228&gt;22,Исходн.данные.!H228&lt;26),3,IF(AND(Исходн.данные.!H228&gt;25,Исходн.данные.!H228&lt;29),3.4,3.6)))</f>
        <v>2.6</v>
      </c>
      <c r="GU228" s="55">
        <f>IF(Исходн.данные.!H228&lt;23,2.8,IF(AND(Исходн.данные.!H228&gt;22,Исходн.данные.!H228&lt;26),3.2,IF(AND(Исходн.данные.!H228&gt;25,Исходн.данные.!H228&lt;29),3.6,3.9)))</f>
        <v>2.8</v>
      </c>
      <c r="GV228" s="55">
        <f>IF(Исходн.данные.!H228&lt;23,3,IF(AND(Исходн.данные.!H228&gt;22,Исходн.данные.!H228&lt;26),3.5,IF(AND(Исходн.данные.!H228&gt;25,Исходн.данные.!H228&lt;29),3.9,4.2)))</f>
        <v>3</v>
      </c>
      <c r="GW228" s="55" t="e">
        <f>IF(Исходн.данные.!P228="Ум",GX228,GY228)</f>
        <v>#N/A</v>
      </c>
      <c r="GX228" s="55" t="e">
        <f>VLOOKUP(Исходн.данные.!AI228,Коэффициенты!$J$7:$L$13,2,FALSE)</f>
        <v>#N/A</v>
      </c>
      <c r="GY228" s="55" t="e">
        <f>VLOOKUP(Исходн.данные.!AI228,Коэффициенты!$J$7:$L$13,3,FALSE)</f>
        <v>#N/A</v>
      </c>
      <c r="GZ228" s="55" t="e">
        <f>(IF(Исходн.данные.!M228&lt;50,0.11*VLOOKUP(Исходн.данные.!AH228,Культуры.Информация,7,FALSE),IF(Исходн.данные.!M228&gt;250,0.05*VLOOKUP(Исходн.данные.!AH228,Культуры.Информация,7,FALSE),VLOOKUP(Исходн.данные.!AH228,Культуры.Информация,5,FALSE)/100*($GX$6+$GY$6*Исходн.данные.!M228))))*Расчет2!AI228</f>
        <v>#N/A</v>
      </c>
      <c r="HA228" s="211"/>
      <c r="HB228" s="211"/>
      <c r="HC228" s="55" t="e">
        <f>(IF(Исходн.данные.!O228&lt;80,0.2*VLOOKUP(Исходн.данные.!AH228,Культуры.Информация,8,FALSE),IF(Исходн.данные.!O228&gt;240,0.09*VLOOKUP(Исходн.данные.!AH228,Культуры.Информация,8,FALSE),VLOOKUP(Исходн.данные.!AH228,Культуры.Информация,6,FALSE)/100*($HB$6+$HC$6*Исходн.данные.!O228))))*Расчет2!AJ228</f>
        <v>#N/A</v>
      </c>
      <c r="HD228" s="55">
        <f>IF(Исходн.данные.!O228&gt;240,0.09,IF(Исходн.данные.!O228&lt;30,0.3,$HE$10+$HD$10*Исходн.данные.!O228))</f>
        <v>0.3</v>
      </c>
      <c r="HE228" s="55">
        <f>IF(Исходн.данные.!O228&gt;240,0.17,IF(Исходн.данные.!O228&lt;30,0.5,$HF$12+$HE$12*Исходн.данные.!O228))</f>
        <v>0.5</v>
      </c>
      <c r="HF228" s="55" t="e">
        <f>VLOOKUP(Исходн.данные.!AH228,Справ!$A$3:$D$58,2,FALSE)</f>
        <v>#N/A</v>
      </c>
      <c r="HG228" s="55" t="e">
        <f>VLOOKUP(Исходн.данные.!AH228,Справ!$A$3:$D$58,3,FALSE)</f>
        <v>#N/A</v>
      </c>
      <c r="HH228" s="55" t="e">
        <f>VLOOKUP(Исходн.данные.!AH228,Справ!$A$3:$D$58,4,FALSE)</f>
        <v>#N/A</v>
      </c>
      <c r="HI228" s="11" t="e">
        <f t="shared" si="339"/>
        <v>#N/A</v>
      </c>
      <c r="HJ228" s="11" t="e">
        <f t="shared" si="340"/>
        <v>#N/A</v>
      </c>
      <c r="HK228" s="11" t="e">
        <f t="shared" si="341"/>
        <v>#N/A</v>
      </c>
      <c r="HL228" s="55">
        <f>IF(OR(Исходн.данные.!G228="Глин",Исходн.данные.!G228="Т_суг"),1.1,IF(Исходн.данные.!G228="Ср_суг",1,1))</f>
        <v>1</v>
      </c>
      <c r="HM228" s="55">
        <f>IF(OR(Исходн.данные.!G228="Глин",Исходн.данные.!G228="Т_суг"),0.9,IF(Исходн.данные.!G228="Ср_суг",1,1.2))</f>
        <v>1.2</v>
      </c>
      <c r="HN228" s="11" t="e">
        <f t="shared" si="342"/>
        <v>#N/A</v>
      </c>
      <c r="HO228" s="11" t="e">
        <f t="shared" si="343"/>
        <v>#N/A</v>
      </c>
      <c r="HP228" s="11" t="e">
        <f t="shared" si="344"/>
        <v>#N/A</v>
      </c>
      <c r="HQ228" t="e">
        <f t="shared" si="345"/>
        <v>#N/A</v>
      </c>
      <c r="HR228" t="e">
        <f t="shared" si="346"/>
        <v>#N/A</v>
      </c>
      <c r="HS228" t="e">
        <f t="shared" si="347"/>
        <v>#N/A</v>
      </c>
      <c r="HT228" t="e">
        <f t="shared" si="293"/>
        <v>#N/A</v>
      </c>
      <c r="HU228" t="e">
        <f t="shared" si="294"/>
        <v>#N/A</v>
      </c>
      <c r="HV228" t="e">
        <f t="shared" si="295"/>
        <v>#N/A</v>
      </c>
      <c r="HW228" t="e">
        <f t="shared" si="296"/>
        <v>#N/A</v>
      </c>
      <c r="HX228" t="e">
        <f t="shared" si="297"/>
        <v>#N/A</v>
      </c>
      <c r="HY228" t="e">
        <f t="shared" si="298"/>
        <v>#N/A</v>
      </c>
      <c r="HZ228" s="55">
        <f>IF(OR(Исходн.данные.!AI228="Оз_Ч_П",Исходн.данные.!AI228="Оз_З_П",Исходн.данные.!AI228="Яр_зер"),12,30)</f>
        <v>30</v>
      </c>
      <c r="IA228" t="e">
        <f t="shared" si="348"/>
        <v>#N/A</v>
      </c>
      <c r="IB228" t="e">
        <f t="shared" si="349"/>
        <v>#N/A</v>
      </c>
      <c r="IC228" t="e">
        <f t="shared" si="350"/>
        <v>#N/A</v>
      </c>
      <c r="ID228" s="11" t="e">
        <f t="shared" si="351"/>
        <v>#N/A</v>
      </c>
      <c r="IE228" s="11" t="e">
        <f t="shared" si="352"/>
        <v>#N/A</v>
      </c>
      <c r="IF228" s="11" t="e">
        <f t="shared" si="353"/>
        <v>#N/A</v>
      </c>
    </row>
    <row r="229" spans="35:240" x14ac:dyDescent="0.2">
      <c r="AI229">
        <f>IF(Исходн.данные.!I229&gt;6,1,1.85-(0.148*Исходн.данные.!I229))</f>
        <v>1.85</v>
      </c>
      <c r="AJ229">
        <f>IF(Исходн.данные.!I229&gt;6,1,2.434-(0.246*Исходн.данные.!I229))</f>
        <v>2.4340000000000002</v>
      </c>
      <c r="AL229" s="148" t="b">
        <f>IF(Исходн.данные.!$P229="Ум",N_OrgUd_2g_um,IF(Исходн.данные.!$P229="Об",N_OrgUd_2g_ob))</f>
        <v>0</v>
      </c>
      <c r="AM229" s="148" t="b">
        <f>IF(Исходн.данные.!$P229="Ум",P_OrgUd_2g_um,IF(Исходн.данные.!$P229="Об",P_OrgUd_2g_ob))</f>
        <v>0</v>
      </c>
      <c r="AN229" s="148" t="b">
        <f>IF(Исходн.данные.!$P229="Ум",K_OrgUd_2g_um,IF(Исходн.данные.!$P229="Об",K_OrgUd_2g_ob))</f>
        <v>0</v>
      </c>
      <c r="AO229" s="148" t="b">
        <f>IF(Исходн.данные.!$P229="Ум",N_OrgUd_1g_um,IF(Исходн.данные.!$P229="Об",N_OrgUd_1g_ob))</f>
        <v>0</v>
      </c>
      <c r="AP229" s="148" t="b">
        <f>IF(Исходн.данные.!$P229="Ум",P_OrgUd_1g_um,IF(Исходн.данные.!$P229="Об",P_OrgUd_1g_ob))</f>
        <v>0</v>
      </c>
      <c r="AQ229" s="148" t="b">
        <f>IF(Исходн.данные.!$P229="Ум",K_OrgUd_1g_um,IF(Исходн.данные.!$P229="Об",K_OrgUd_1g_ob))</f>
        <v>0</v>
      </c>
      <c r="AR229" t="b">
        <f>IF(Исходн.данные.!$P229="Ум",N_MinUd_2g_um,IF(Исходн.данные.!$P229="Об",N_MinUd_2g_ob))</f>
        <v>0</v>
      </c>
      <c r="AS229" t="b">
        <f>IF(Исходн.данные.!$P229="Ум",P_MinUd_2g_um,IF(Исходн.данные.!$P229="Об",P_MinUd_2g_ob))</f>
        <v>0</v>
      </c>
      <c r="AT229" t="b">
        <f>IF(Исходн.данные.!$P229="Ум",K_MinUd_2g_um,IF(Исходн.данные.!$P229="Об",K_MinUd_2g_ob))</f>
        <v>0</v>
      </c>
      <c r="AU229" t="b">
        <f>IF(Исходн.данные.!$P229="Ум",N_MinUd_1g_um,IF(Исходн.данные.!$P229="Об",N_MinUd_1g_ob))</f>
        <v>0</v>
      </c>
      <c r="AV229" t="b">
        <f>IF(Исходн.данные.!P229="Ум",P_MinUd_1g_um,IF(Исходн.данные.!P229="Об",P_MinUd_1g_ob))</f>
        <v>0</v>
      </c>
      <c r="AW229" t="b">
        <f>IF(Исходн.данные.!P229="Ум",K_MinUd_1g_um,IF(Исходн.данные.!P229="Об",K_MinUd_1g_ob))</f>
        <v>0</v>
      </c>
      <c r="AY229" t="e">
        <f>VLOOKUP(Исходн.данные.!T229,Справ!$A$3:$N$57,12)</f>
        <v>#N/A</v>
      </c>
      <c r="AZ229" t="e">
        <f>VLOOKUP(Исходн.данные.!T229,Справ!$A$3:$N$57,13)</f>
        <v>#N/A</v>
      </c>
      <c r="BA229" t="e">
        <f>VLOOKUP(Исходн.данные.!T229,Справ!$A$3:$N$57,14)</f>
        <v>#N/A</v>
      </c>
      <c r="BB229">
        <f>IF(Исходн.данные.!AH229=0,0,25)</f>
        <v>0</v>
      </c>
      <c r="BC229" s="141">
        <f>IF(Исходн.данные.!AH229=0,0,IF(Исходн.данные.!T229=0,25,BD229))</f>
        <v>0</v>
      </c>
      <c r="BD229" s="168" t="e">
        <f>AY229+AZ229*Исходн.данные.!U229-POWER(BA229,2)*Исходн.данные.!U229</f>
        <v>#N/A</v>
      </c>
      <c r="BE22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29" s="25">
        <f>IF(Исходн.данные.!AH229=0,0,MIN(HN229:HP229))</f>
        <v>0</v>
      </c>
      <c r="BG229" s="9">
        <f>IF(Исходн.данные.!AH229=0,0,IF((HO229+10*0.25/HG229/HL229)&lt;17,17,HO229+10*0.25/HG229/HL229))</f>
        <v>0</v>
      </c>
      <c r="BH229" s="181">
        <f>IF(Исходн.данные.!AH229=0,0,HW229*HF229*HL229/AU229*AI229+Исходн.данные.!S229*10)</f>
        <v>0</v>
      </c>
      <c r="BI229" s="10"/>
      <c r="BJ229" s="182">
        <f>IF(Исходн.данные.!AH229=0,0,IF(HX229*HG229*HL229/AV229&lt;0,0,HX229*HG229*HL229/AV229*AJ229))</f>
        <v>0</v>
      </c>
      <c r="BK229" s="182">
        <f>IF(Исходн.данные.!AH229=0,0,HY229*HH229*HM229/AW229)</f>
        <v>0</v>
      </c>
      <c r="BL229" s="10">
        <f>IF(OR(Исходн.данные.!$AH229=$BP$1,Исходн.данные.!$AH229=$BP$2),0,IF(BH229&lt;0,0,IF(OR(Исходн.данные.!T229=Расчет!$BP$1,Исходн.данные.!T229=Расчет!$BP$2,Исходн.данные.!T229=Расчет!$BT$5,Исходн.данные.!T229=Расчет!$BT$6),BH229*0.5,IF(OR(Исходн.данные.!T229=Расчет!$BS$9,Исходн.данные.!T229=Расчет!$BS$10,Исходн.данные.!T229=Расчет!$BS$11,Исходн.данные.!T229=Расчет!$BS$12,Исходн.данные.!T229=Расчет!$BP$5),BH229*0.8,BH229))))</f>
        <v>0</v>
      </c>
      <c r="BM229" s="10">
        <f>IF(OR(Исходн.данные.!$AH229=$BP$1,Исходн.данные.!$AH229=$BP$2),0,IF(BJ229&lt;0,0,IF(Исходн.данные.!I229&lt;4.5,BJ229*1.2,IF(Исходн.данные.!I229&gt;5.1,BJ229,BJ229*((5.1-Исходн.данные.!I229)*0.333+1)))))</f>
        <v>0</v>
      </c>
      <c r="BN229" s="10">
        <f>IF(OR(Исходн.данные.!$AH229=$BP$1,Исходн.данные.!$AH229=$BP$2),60-Исходн.данные.!AF229,IF(BK229&lt;0,0,IF(Исходн.данные.!I229&lt;4.5,BK229*1.2,IF(Исходн.данные.!I229&gt;5.1,BK229,BK229*((5.1-Исходн.данные.!I229)*0.333+1)))))</f>
        <v>0</v>
      </c>
      <c r="BO229" s="9">
        <f>IF(BL229&lt;0,0,BL229*Исходн.данные.!$AJ229/1000)</f>
        <v>0</v>
      </c>
      <c r="BP229" s="9">
        <f>IF(BM229&lt;0,0,BM229*Исходн.данные.!$AJ229/1000)</f>
        <v>0</v>
      </c>
      <c r="BQ229" s="9">
        <f>IF(BN229&lt;0,0,BN229*Исходн.данные.!$AJ229/1000)</f>
        <v>0</v>
      </c>
      <c r="BR229" s="9">
        <f t="shared" si="303"/>
        <v>0</v>
      </c>
      <c r="BS229" s="10" t="str">
        <f t="shared" si="304"/>
        <v>Аммофос 12:52:00</v>
      </c>
      <c r="BT229" s="10" t="str">
        <f t="shared" si="305"/>
        <v>Аммофос 12:52:00</v>
      </c>
      <c r="BU229" s="10" t="str">
        <f t="shared" si="306"/>
        <v>Диаммофоска</v>
      </c>
      <c r="BV229" s="10">
        <f t="shared" si="307"/>
        <v>0</v>
      </c>
      <c r="BW229" s="10"/>
      <c r="BX229" s="10"/>
      <c r="BY229" s="9">
        <f>IF(BL229&lt;0,0,IF(OR(Исходн.данные.!AI229=Расчет!$BU$6,Исходн.данные.!AI229=Расчет!$BU$7),Расчет!BV229,IF(Исходн.данные.!$AG229=$BV$11,BL229,IF(OR(Исходн.данные.!$AH229=$BQ$7,Исходн.данные.!$AH229=$BQ$8),CB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0,IF(Исходн.данные.!$AI229=$BU$11,"Нет",IF(BL229&gt;30,30,BL229)))))))</f>
        <v>0</v>
      </c>
      <c r="BZ229" s="9">
        <f>IF(AND(Исходн.данные.!$AG229=$BV$11,BM229&lt;10),10,IF(Исходн.данные.!$AG229=$BV$11,BM229,IF(OR(Исходн.данные.!$AH229=$BQ$7,Исходн.данные.!$AH229=$BQ$8),CC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10,IF(Исходн.данные.!$AI229=$BU$11,"Нет",IF(BM229&gt;60,60,IF(BM229&lt;10,10,BM229)))))))</f>
        <v>10</v>
      </c>
      <c r="CA229" s="39">
        <f>IF(BN229&lt;0,0,IF(Исходн.данные.!$AG229=$BV$11,BN229,IF(OR(Исходн.данные.!$AH229=$BQ$7,Исходн.данные.!$AH229=$BQ$8),CD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0,IF(Исходн.данные.!$AI229=$BU$11,"Нет",IF(BN229&gt;30,30,BN229))))))</f>
        <v>0</v>
      </c>
      <c r="CB229" s="9">
        <f t="shared" si="308"/>
        <v>0</v>
      </c>
      <c r="CC229" s="9">
        <f t="shared" si="309"/>
        <v>0</v>
      </c>
      <c r="CD229" s="9">
        <f t="shared" si="310"/>
        <v>0</v>
      </c>
      <c r="CE229" s="12">
        <f t="shared" si="311"/>
        <v>10</v>
      </c>
      <c r="CF229" s="9">
        <f t="shared" si="312"/>
        <v>0</v>
      </c>
      <c r="CG229" s="9" t="s">
        <v>231</v>
      </c>
      <c r="CH229" s="132" t="str">
        <f>IF(Исходн.данные.!AP229=Расчет!$CI$16,"Нет",IF(Исходн.данные.!AL229&gt;0,Исходн.данные.!AL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BH$4,IF(OR(Исходн.данные.!AI229=Исходн.данные.!$AI$6,Исходн.данные.!AI229=Исходн.данные.!$AI$7),Расчет!BS229,IF(AND($CF229=0,$CE229&gt;0),EV229,ER229)))))</f>
        <v>Аммофос 12:52:00</v>
      </c>
      <c r="CI229" s="274">
        <f>IF(Расчет!$CH229="Нет","Нет",IF(Исходн.данные.!$AL229&gt;0,VLOOKUP(Расчет!$CH229,АшламаДВ_Irekle,2,FALSE),VLOOKUP(Расчет!$CH229,АшламаДВ_Gomumy,2,FALSE)))</f>
        <v>0.12</v>
      </c>
      <c r="CJ229" s="274">
        <f>IF(Расчет!$CH229="Нет","Нет",IF(Исходн.данные.!$AL229&gt;0,VLOOKUP(Расчет!$CH229,АшламаДВ_Irekle,3,FALSE),VLOOKUP(Расчет!$CH229,АшламаДВ_Gomumy,3,FALSE)))</f>
        <v>0.52</v>
      </c>
      <c r="CK229" s="274">
        <f>IF(Расчет!$CH229="Нет","Нет",IF(Исходн.данные.!$AL229&gt;0,VLOOKUP(Расчет!$CH229,АшламаДВ_Irekle,4,FALSE),VLOOKUP(Расчет!$CH229,АшламаДВ_Gomumy,4,FALSE)))</f>
        <v>0</v>
      </c>
      <c r="CL229" s="70"/>
      <c r="CM229" s="70"/>
      <c r="CN229" s="70"/>
      <c r="CO229" s="70"/>
      <c r="CP229" s="70"/>
      <c r="CQ229" s="70"/>
      <c r="CR229" s="10">
        <f t="shared" si="313"/>
        <v>0</v>
      </c>
      <c r="CS229" s="10">
        <f t="shared" si="314"/>
        <v>19.23076923076923</v>
      </c>
      <c r="CT229" s="10">
        <f t="shared" si="315"/>
        <v>0</v>
      </c>
      <c r="CU229" s="39">
        <f>IF($CH229="Нет",0,IF(CI229=0,30/MIN(CJ229:CK229),IF(Исходн.данные.!$AG229=$BV$11,CR229,IF(OR(Исходн.данные.!$AH229=$BQ$7,Исходн.данные.!$AH229=$BQ$8),90/CI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0,IF(Исходн.данные.!$AI229=$BU$11,"Нет",30/CI229))))))</f>
        <v>250</v>
      </c>
      <c r="CV229" s="39">
        <f>IF($CH229="Нет",0,IF(Исходн.данные.!AH229=0,0,IF(CJ229=0,60/MIN(CI229,CK229),IF(Исходн.данные.!$AG229=$BV$11,CS229,IF(OR(Исходн.данные.!$AH229=$BQ$7,Исходн.данные.!$AH229=$BQ$8),90/CJ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10/CJ229,IF(Исходн.данные.!$AI229=$BU$11,"Нет",60/CJ229)))))))</f>
        <v>0</v>
      </c>
      <c r="CW229" s="39">
        <f>IF($CH229="Нет",0,IF(Исходн.данные.!AH229=0,0,IF(CK229=0,30/MIN(CI229:CJ229),IF(Исходн.данные.!$AG229=$BV$11,CT229,IF(OR(Исходн.данные.!$AH229=$BQ$7,Исходн.данные.!$AH229=$BQ$8),90/CK229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0,IF(Исходн.данные.!$AI229=$BU$11,"Нет",30/CK229)))))))</f>
        <v>0</v>
      </c>
      <c r="CX229" s="133">
        <f>IF(Исходн.данные.!$AG229=$BV$11,MAX(CU229:CW229),IF(OR(Исходн.данные.!$AH229=$BS$8,Исходн.данные.!$AH229=$BQ$9,Исходн.данные.!$AH229=$BQ$10,Исходн.данные.!$AH229=$BQ$11,Исходн.данные.!$AH229=$BQ$12,Исходн.данные.!$AH229=$BP$3,Исходн.данные.!$AH229=$BT$8,$FM229="Да"),CV229,MIN(CU229:CW229)))</f>
        <v>0</v>
      </c>
      <c r="CY229" s="133">
        <f>IF(Исходн.данные.!AH229=0,0,IF(CR229&gt;$CX229,$CX229,CR229))</f>
        <v>0</v>
      </c>
      <c r="CZ229" s="133">
        <f>IF(Исходн.данные.!AH229=0,0,IF(CS229&gt;$CX229,$CX229,CS229))</f>
        <v>0</v>
      </c>
      <c r="DA229" s="133">
        <f>IF(Исходн.данные.!AH229=0,0,IF(CT229&gt;$CX229,$CX229,CT229))</f>
        <v>0</v>
      </c>
      <c r="DB229" s="10">
        <f t="shared" si="316"/>
        <v>0</v>
      </c>
      <c r="DC229" s="39">
        <f>DB229*Исходн.данные.!AJ229/1000</f>
        <v>0</v>
      </c>
      <c r="DD229" s="71">
        <f t="shared" si="317"/>
        <v>0</v>
      </c>
      <c r="DE229" s="9">
        <f t="shared" si="318"/>
        <v>0</v>
      </c>
      <c r="DF229" s="9">
        <f t="shared" si="319"/>
        <v>0</v>
      </c>
      <c r="DG229" s="39">
        <f>IF(BL229&lt;0,0,IF($CH229="Нет",BL229,IF(OR(Исходн.данные.!$AH229=$BP$1,Исходн.данные.!$AH229=$BP$2),0,IF(Исходн.данные.!AI229=$BU$11,BL229,IF(BL229-DD229&lt;0,0,BL229-DD229)))))</f>
        <v>0</v>
      </c>
      <c r="DH229" s="39">
        <f>IF(BM229&lt;0,0,IF($CH229="Нет",BM229,IF(OR(Исходн.данные.!$AH229=$BP$1,Исходн.данные.!$AH229=$BP$2),0,IF(Исходн.данные.!AJ229=$BU$11,BM229,IF(BM229-DE229&lt;0,0,BM229-DE229)))))</f>
        <v>0</v>
      </c>
      <c r="DI229" s="39">
        <f>IF(BN229&lt;0,0,IF($CH229="Нет",BN229,IF(OR(Исходн.данные.!$AH229=$BP$1,Исходн.данные.!$AH229=$BP$2),0,IF(Исходн.данные.!AK229=$BU$11,BN229,IF(BN229-DF229&lt;0,0,BN229-DF229)))))</f>
        <v>0</v>
      </c>
      <c r="DJ229" s="12">
        <f t="shared" si="320"/>
        <v>0</v>
      </c>
      <c r="DK229" s="9">
        <f t="shared" si="321"/>
        <v>0</v>
      </c>
      <c r="DL229" s="39">
        <f>IF(Исходн.данные.!AM229&gt;0,Исходн.данные.!AM229,IF(EG229&gt;0,$BH$10,0))</f>
        <v>0</v>
      </c>
      <c r="DM229" s="186">
        <f>IF($DL229=0,0,IF(Исходн.данные.!AM229&gt;0,VLOOKUP($DL229,АшламаДВ_Irekle,2,FALSE),VLOOKUP($DL229,АшламаДВ_Gomumy,2,FALSE)))</f>
        <v>0</v>
      </c>
      <c r="DN229" s="10">
        <f t="shared" si="299"/>
        <v>0</v>
      </c>
      <c r="DO229" s="9" t="str">
        <f>IF(Исходн.данные.!AN229&gt;0,Исходн.данные.!AN229,Удобрения!$B$37 )</f>
        <v>Хлор.калий</v>
      </c>
      <c r="DP229" s="9">
        <f>IF(Исходн.данные.!AN229&gt;0,VLOOKUP(Исходн.данные.!AN229,АшламаДВ_Irekle,4,FALSE),VLOOKUP(DO229,АшламаДВ_Gomumy,4,FALSE))</f>
        <v>0.6</v>
      </c>
      <c r="DQ229" s="10">
        <f t="shared" si="300"/>
        <v>0</v>
      </c>
      <c r="DR229" s="132" t="str">
        <f>IF(Исходн.данные.!AO229&gt;0,Исходн.данные.!AO229,IF(DH229=0,BS$17,IF(AND($DK229=0,$DJ229&gt;0),EJ229,EN229)))</f>
        <v>Нет</v>
      </c>
      <c r="DS229" s="70" t="str">
        <f>IF($DR229="Нет","Нет",IF(Исходн.данные.!$AO229&gt;0,VLOOKUP($DR229,АшламаДВ_Irekle,2,FALSE),VLOOKUP($DR229,АшламаДВ_Gomumy,2,FALSE)))</f>
        <v>Нет</v>
      </c>
      <c r="DT229" s="70" t="str">
        <f>IF($DR229="Нет","Нет",IF(Исходн.данные.!$AO229&gt;0,VLOOKUP($DR229,АшламаДВ_Irekle,3,FALSE),VLOOKUP($DR229,АшламаДВ_Gomumy,3,FALSE)))</f>
        <v>Нет</v>
      </c>
      <c r="DU229" s="70" t="str">
        <f>IF($DR229="Нет","Нет",IF(Исходн.данные.!$AO229&gt;0,VLOOKUP($DR229,АшламаДВ_Irekle,4,FALSE),VLOOKUP($DR229,АшламаДВ_Gomumy,4,FALSE)))</f>
        <v>Нет</v>
      </c>
      <c r="DV229" s="70"/>
      <c r="DW229" s="70"/>
      <c r="DX229" s="70"/>
      <c r="DY229" s="10">
        <f t="shared" si="322"/>
        <v>0</v>
      </c>
      <c r="DZ229" s="10">
        <f t="shared" si="323"/>
        <v>0</v>
      </c>
      <c r="EA229" s="10">
        <f t="shared" si="324"/>
        <v>0</v>
      </c>
      <c r="EB229" s="10">
        <f t="shared" si="325"/>
        <v>0</v>
      </c>
      <c r="EC229" s="10">
        <f t="shared" si="326"/>
        <v>0</v>
      </c>
      <c r="ED229" s="10">
        <f t="shared" si="327"/>
        <v>0</v>
      </c>
      <c r="EE229" s="10">
        <f t="shared" si="328"/>
        <v>0</v>
      </c>
      <c r="EF229" s="39">
        <f>EB229*Исходн.данные.!AJ229/1000</f>
        <v>0</v>
      </c>
      <c r="EG229" s="9">
        <f t="shared" si="329"/>
        <v>0</v>
      </c>
      <c r="EH229" s="9">
        <f t="shared" si="330"/>
        <v>0</v>
      </c>
      <c r="EI229" s="39" t="e">
        <f t="shared" si="280"/>
        <v>#DIV/0!</v>
      </c>
      <c r="EJ229" s="9" t="str">
        <f t="shared" si="301"/>
        <v>Азопреципитат</v>
      </c>
      <c r="EK229" s="12">
        <f t="shared" si="281"/>
        <v>0.26</v>
      </c>
      <c r="EL229" s="12">
        <f t="shared" si="282"/>
        <v>0.13</v>
      </c>
      <c r="EM229" s="12">
        <f t="shared" si="283"/>
        <v>0</v>
      </c>
      <c r="EN229" s="12" t="str">
        <f t="shared" si="302"/>
        <v>Нет</v>
      </c>
      <c r="EO229" s="12">
        <f t="shared" si="284"/>
        <v>0</v>
      </c>
      <c r="EP229" s="12">
        <f t="shared" si="285"/>
        <v>0</v>
      </c>
      <c r="EQ229" s="12">
        <f t="shared" si="286"/>
        <v>0</v>
      </c>
      <c r="ER229" s="12" t="str">
        <f t="shared" si="331"/>
        <v>Диаммофоска</v>
      </c>
      <c r="ES229" s="12">
        <f t="shared" si="287"/>
        <v>0.1</v>
      </c>
      <c r="ET229" s="12">
        <f t="shared" si="288"/>
        <v>0.26</v>
      </c>
      <c r="EU229" s="12">
        <f t="shared" si="289"/>
        <v>0.26</v>
      </c>
      <c r="EV229" s="12" t="str">
        <f t="shared" si="332"/>
        <v>Аммофос 12:52:00</v>
      </c>
      <c r="EW229" s="12" t="str">
        <f t="shared" si="333"/>
        <v>Кемира Свекловичное-6</v>
      </c>
      <c r="EX229" s="12">
        <f t="shared" si="290"/>
        <v>0.16</v>
      </c>
      <c r="EY229" s="12">
        <f t="shared" si="291"/>
        <v>0.12</v>
      </c>
      <c r="EZ229" s="12">
        <f t="shared" si="292"/>
        <v>0.17</v>
      </c>
      <c r="FA229" s="38" t="e">
        <f>IF(AND(OR(FJ229=$FD$1,FM229=$FD$1,FO229=$FD$1,FQ229=$FD$1,FS229=$FD$1),FD229=$FD$1,Исходн.данные.!J229&lt;2,FU229=$FD$1),"Бор,Кобальт",IF(AND(FO229=$FD$1,FH229=$FD$1,Исходн.данные.!J229&lt;2,FU229=$FD$1),"Бор,Кобальт",IF(AND(OR(FJ229=$FD$1,FM229=$FD$1,FQ229=$FD$1),FE229=$FD$1,Исходн.данные.!J229&lt;2,FT229=$FD$1,FU229=$FD$1),"Бор,Медь,Цинк",IF(AND(OR(FJ229=$FD$1,FR229="Да"),FI229="Да",Исходн.данные.!J229&lt;2,FT229="Да",FU229="Да"),"Бор,Цинк,Медь",IF(AND(OR(FM229="Да",FQ229="Да"),FI229="Да",Исходн.данные.!J229&lt;2,FT229="Да",FU229="Да"),"Бор,Цинк",IF(AND(FN229="Да",OR(FD229="Да",FE229="Да")),"Бор",FB229))))))</f>
        <v>#N/A</v>
      </c>
      <c r="FB229" s="134" t="e">
        <f>IF(AND(OR(FD229="Да",FE229="Да",FF229="Да",FG229="Да",FH229="Да"),FO229="Да"),"Бор",IF(AND(FP229="Да",OR(FD229="Да",FE229="Да",FI229="Да")),"Бор",IF(AND(FS229="Да",FE229="Да"),"Бор,Медь",IF(AND(OR(FJ229="Да",FK229="Да",FL229="Да"),FE229="Да",Исходн.данные.!I229&lt;5,FT229="Да",FU229="Да"),"Молибден,Цинк",IF(AND(FM229="Да",OR(FE229="Да",FF229="Да",FG229="Да",FH229="Да",FI229="Да")),"Молибден,Цинк",IF(AND(OR(FJ229="Да",FK229="Да",FL229="Да",FM229="Да",FQ229="Да"),OR(FE229="Да",FF229="Да"),FT229="Да",FU229="Да",Исходн.данные.!I229&gt;5.5),"Медь,Цинк",FC229))))))</f>
        <v>#N/A</v>
      </c>
      <c r="FC229" s="23" t="e">
        <f t="shared" si="334"/>
        <v>#N/A</v>
      </c>
      <c r="FD229" s="38" t="str">
        <f>IF(OR(Исходн.данные.!F229=$CC$1,Исходн.данные.!F229=$CC$2,Исходн.данные.!F229=$CC$3,Исходн.данные.!F229=$CC$4),"Да","Нет")</f>
        <v>Нет</v>
      </c>
      <c r="FE229" s="38" t="str">
        <f>IF(Исходн.данные.!F229=$CC$5,"Да","Нет")</f>
        <v>Нет</v>
      </c>
      <c r="FF229" s="38" t="str">
        <f>IF(OR(Исходн.данные.!F229=$CC$6,Исходн.данные.!F229=$CC$7),"Да","Нет")</f>
        <v>Нет</v>
      </c>
      <c r="FG229" s="38" t="str">
        <f>IF(OR(Исходн.данные.!F229=$CC$8,Исходн.данные.!F229=$CC$9),"Да","Нет")</f>
        <v>Нет</v>
      </c>
      <c r="FH229" s="38" t="str">
        <f>IF(Исходн.данные.!F229=$CC$10,"Да","Нет")</f>
        <v>Нет</v>
      </c>
      <c r="FI229" s="38" t="str">
        <f>IF(OR(Исходн.данные.!F229=$CC$11,Исходн.данные.!F229=$CC$12),"Да","Нет")</f>
        <v>Нет</v>
      </c>
      <c r="FJ229" s="38" t="str">
        <f>IF(OR(Исходн.данные.!AH229=$BS$1,Исходн.данные.!AH229=$BQ$11,Исходн.данные.!AH229=$BQ$12),"Да","Нет")</f>
        <v>Нет</v>
      </c>
      <c r="FK229" s="38" t="str">
        <f>IF(OR(Исходн.данные.!AH229=$BS$2,Исходн.данные.!AH229=$BS$4),"Да","Нет")</f>
        <v>Нет</v>
      </c>
      <c r="FL229" s="38" t="str">
        <f>IF(OR(Исходн.данные.!AH229=$BS$3,Исходн.данные.!AH229=$BS$5),"Да","Нет")</f>
        <v>Нет</v>
      </c>
      <c r="FM229" s="38" t="str">
        <f>IF(OR(Исходн.данные.!AH229=$BS$9,Исходн.данные.!AH229=$BS$10,Исходн.данные.!AH229=$BS$11,Исходн.данные.!AH229=$BS$12),"Да","Нет")</f>
        <v>Нет</v>
      </c>
      <c r="FN229" s="38" t="str">
        <f>IF(OR(Исходн.данные.!AH229=$BS$6,Исходн.данные.!AH229=$BP$3),"Да","Нет")</f>
        <v>Нет</v>
      </c>
      <c r="FO229" s="38" t="str">
        <f>IF(Исходн.данные.!AH229=$BQ$9,"Да","Нет")</f>
        <v>Нет</v>
      </c>
      <c r="FP229" s="38" t="str">
        <f>IF(OR(Исходн.данные.!AH229=$BS$8,Исходн.данные.!AH229=$BT$8),"Да","Нет")</f>
        <v>Нет</v>
      </c>
      <c r="FQ229" s="38" t="str">
        <f>IF(OR(Исходн.данные.!AH229=$BQ$7,Исходн.данные.!AH229=$BQ$8),"Да","Нет")</f>
        <v>Нет</v>
      </c>
      <c r="FR229" s="38" t="str">
        <f>IF(Исходн.данные.!AI229=$BU$9,"Да","Нет")</f>
        <v>Нет</v>
      </c>
      <c r="FS229" s="38" t="str">
        <f>IF(OR(Исходн.данные.!AH229=$BP$1,Исходн.данные.!AH229=$BP$2),"Да","Нет")</f>
        <v>Нет</v>
      </c>
      <c r="FT229" s="38" t="e">
        <f>IF((Исходн.данные.!K229*GO229*GS229*GW229+BL229*0.6+Исходн.данные.!Q229*4.5*0.275)&gt;90,"Да","Нет")</f>
        <v>#N/A</v>
      </c>
      <c r="FU229" s="38" t="e">
        <f>IF((Исходн.данные.!M229*GS229*GZ229+BM229*0.225)&gt;35,"Да","Нет")</f>
        <v>#N/A</v>
      </c>
      <c r="FV229" s="38" t="str">
        <f>IF(Исходн.данные.!O229&gt;175,"Да","Нет")</f>
        <v>Нет</v>
      </c>
      <c r="FW229" s="39" t="str">
        <f>IF(Исходн.данные.!I229&gt;5.5,"Да","Нет")</f>
        <v>Нет</v>
      </c>
      <c r="FX229" s="39" t="str">
        <f>IF(Исходн.данные.!J229&lt;2,"Да","Нет")</f>
        <v>Да</v>
      </c>
      <c r="FY229" s="39" t="e">
        <f>IF(HF229=$FY$16,0,Исходн.данные.!K229*GO229*GS229*GW229/HF229)</f>
        <v>#N/A</v>
      </c>
      <c r="FZ229" s="39" t="e">
        <f>Исходн.данные.!M229*GS229*GZ229/HG229</f>
        <v>#N/A</v>
      </c>
      <c r="GA229" s="39" t="e">
        <f>IF(K_Wyn=$FY$16,0,IF(Исходн.данные.!N229=Исходн.данные.!$L$10,Исходн.данные.!O229/1.1*GS229*HC229/HH229,IF(Исходн.данные.!N229=Исходн.данные.!$L$12,Исходн.данные.!O229/1.5*GS229*HC229/HH229,Исходн.данные.!O229*GS229*HC229/HH229)))</f>
        <v>#N/A</v>
      </c>
      <c r="GB229" s="39" t="e">
        <f>IF(HF229=$FY$16,0,((Исходн.данные.!Q229*N_Org+Исходн.данные.!R229*N_Sider+Исходн.данные.!S229*N_Soloma)*AO229+Расчет!BC229*VLOOKUP(Исходн.данные.!T229,Справ!$A$3:$O$57,15)*AO229+BB229*VLOOKUP(Исходн.данные.!T229,Справ!$A$3:$O$57,15)*AL229+(Исходн.данные.!V229*N_Rizotorf+Исходн.данные.!W229*N_Rizoagr))/HF229)</f>
        <v>#N/A</v>
      </c>
      <c r="GC229" s="39" t="e">
        <f>IF(HG229=$FY$16,0,((Исходн.данные.!Q229*Р_Org+Исходн.данные.!R229*P_Sider+Исходн.данные.!S229*P_Soloma)*AP229+Расчет!BC229*VLOOKUP(Исходн.данные.!T229,Справ!$A$3:$P$57,16)*AP229+BB229*VLOOKUP(Исходн.данные.!T229,Справ!$A$3:$P$57,16)*AM229)/HG229)</f>
        <v>#N/A</v>
      </c>
      <c r="GD229" s="39" t="e">
        <f>IF(HH229=$FY$16,0,((Исходн.данные.!Q229*К_Org+Исходн.данные.!R229*K_Sider+Исходн.данные.!S229*K_Soloma)*AQ229+Расчет!BC229*VLOOKUP(Исходн.данные.!T229,Справ!$A$3:$Q$57,17)*AQ229+BB229*VLOOKUP(Исходн.данные.!T229,Справ!$A$3:$Q$57,17)*AN229)/HH229)</f>
        <v>#N/A</v>
      </c>
      <c r="GE229" s="39" t="e">
        <f>IF(HF229=$FY$16,0,(Исходн.данные.!X229*AR229+Исходн.данные.!AA229*N_Org*AL229+Исходн.данные.!AB229*N_Sider*AL229+Исходн.данные.!AC229*N_Soloma*AL229)/HF229)</f>
        <v>#N/A</v>
      </c>
      <c r="GF229" s="39" t="e">
        <f>IF(HG229=$FY$16,0,(Исходн.данные.!Y229*AS229+Исходн.данные.!AA229*Р_Org*AM229+Исходн.данные.!AB229*P_Sider*AM229+Исходн.данные.!AC229*P_Soloma*AM229)/HG229)</f>
        <v>#N/A</v>
      </c>
      <c r="GG229" s="39" t="e">
        <f>IF(HH229=$FY$16,0,(Исходн.данные.!Z229*AT229+Исходн.данные.!AA229*К_Org*AN229+Исходн.данные.!AB229*K_Sider*AN229+Исходн.данные.!AC229*K_Soloma*AN229)/HH229)</f>
        <v>#N/A</v>
      </c>
      <c r="GH229" s="39" t="e">
        <f>Исходн.данные.!AD229*AU229/HF229</f>
        <v>#N/A</v>
      </c>
      <c r="GI229" s="39" t="e">
        <f>Исходн.данные.!AE229*AV229/HG229</f>
        <v>#N/A</v>
      </c>
      <c r="GJ229" s="39" t="e">
        <f>Исходн.данные.!AF229*AW229/HH229</f>
        <v>#N/A</v>
      </c>
      <c r="GK229" s="55">
        <f>Исходн.данные.!AK229</f>
        <v>0</v>
      </c>
      <c r="GL229" s="11" t="e">
        <f t="shared" si="335"/>
        <v>#N/A</v>
      </c>
      <c r="GM229" s="11" t="e">
        <f t="shared" si="336"/>
        <v>#N/A</v>
      </c>
      <c r="GN229" s="11" t="e">
        <f t="shared" si="337"/>
        <v>#N/A</v>
      </c>
      <c r="GO229" s="57">
        <f t="shared" si="338"/>
        <v>19</v>
      </c>
      <c r="GP229" s="55">
        <f>IF(OR(Исходн.данные.!F229=$CE$1,Исходн.данные.!F229=$CE$2,Исходн.данные.!F229=$CE$3,Исходн.данные.!F229=$CE$4,Исходн.данные.!F229=$CE$5),GQ229,GR229)</f>
        <v>19</v>
      </c>
      <c r="GQ229" s="55">
        <f>IF(Исходн.данные.!F229=$CE$1,28,IF(Исходн.данные.!F229=$CE$2,26,IF(Исходн.данные.!F229=$CE$3,24,IF(Исходн.данные.!F229=$CE$4,22,IF(Исходн.данные.!F229=$CE$5,20,GR229)))))</f>
        <v>19</v>
      </c>
      <c r="GR229" s="55">
        <f>IF(Исходн.данные.!F229=$CE$6,18,IF(Исходн.данные.!F229=$CE$7,16,IF(Исходн.данные.!F229=$CE$8,14,IF(Исходн.данные.!F229=$CE$9,13,IF(Исходн.данные.!F229=$CE$10,12,19)))))</f>
        <v>19</v>
      </c>
      <c r="GS229" s="55">
        <f>IF(Исходн.данные.!G229="Пес",0.035*(40+2*Исходн.данные.!H229),IF(Исходн.данные.!G229="Суп",0.0325*(40+2*Исходн.данные.!H229),0.03*(40+2*Исходн.данные.!H229)))</f>
        <v>1.2</v>
      </c>
      <c r="GT229" s="55">
        <f>IF(Исходн.данные.!H229&lt;23,2.6,IF(AND(Исходн.данные.!H229&gt;22,Исходн.данные.!H229&lt;26),3,IF(AND(Исходн.данные.!H229&gt;25,Исходн.данные.!H229&lt;29),3.4,3.6)))</f>
        <v>2.6</v>
      </c>
      <c r="GU229" s="55">
        <f>IF(Исходн.данные.!H229&lt;23,2.8,IF(AND(Исходн.данные.!H229&gt;22,Исходн.данные.!H229&lt;26),3.2,IF(AND(Исходн.данные.!H229&gt;25,Исходн.данные.!H229&lt;29),3.6,3.9)))</f>
        <v>2.8</v>
      </c>
      <c r="GV229" s="55">
        <f>IF(Исходн.данные.!H229&lt;23,3,IF(AND(Исходн.данные.!H229&gt;22,Исходн.данные.!H229&lt;26),3.5,IF(AND(Исходн.данные.!H229&gt;25,Исходн.данные.!H229&lt;29),3.9,4.2)))</f>
        <v>3</v>
      </c>
      <c r="GW229" s="55" t="e">
        <f>IF(Исходн.данные.!P229="Ум",GX229,GY229)</f>
        <v>#N/A</v>
      </c>
      <c r="GX229" s="55" t="e">
        <f>VLOOKUP(Исходн.данные.!AI229,Коэффициенты!$J$7:$L$13,2,FALSE)</f>
        <v>#N/A</v>
      </c>
      <c r="GY229" s="55" t="e">
        <f>VLOOKUP(Исходн.данные.!AI229,Коэффициенты!$J$7:$L$13,3,FALSE)</f>
        <v>#N/A</v>
      </c>
      <c r="GZ229" s="55" t="e">
        <f>(IF(Исходн.данные.!M229&lt;50,0.11*VLOOKUP(Исходн.данные.!AH229,Культуры.Информация,7,FALSE),IF(Исходн.данные.!M229&gt;250,0.05*VLOOKUP(Исходн.данные.!AH229,Культуры.Информация,7,FALSE),VLOOKUP(Исходн.данные.!AH229,Культуры.Информация,5,FALSE)/100*($GX$6+$GY$6*Исходн.данные.!M229))))*Расчет2!AI229</f>
        <v>#N/A</v>
      </c>
      <c r="HA229" s="211"/>
      <c r="HB229" s="211"/>
      <c r="HC229" s="55" t="e">
        <f>(IF(Исходн.данные.!O229&lt;80,0.2*VLOOKUP(Исходн.данные.!AH229,Культуры.Информация,8,FALSE),IF(Исходн.данные.!O229&gt;240,0.09*VLOOKUP(Исходн.данные.!AH229,Культуры.Информация,8,FALSE),VLOOKUP(Исходн.данные.!AH229,Культуры.Информация,6,FALSE)/100*($HB$6+$HC$6*Исходн.данные.!O229))))*Расчет2!AJ229</f>
        <v>#N/A</v>
      </c>
      <c r="HD229" s="55">
        <f>IF(Исходн.данные.!O229&gt;240,0.09,IF(Исходн.данные.!O229&lt;30,0.3,$HE$10+$HD$10*Исходн.данные.!O229))</f>
        <v>0.3</v>
      </c>
      <c r="HE229" s="55">
        <f>IF(Исходн.данные.!O229&gt;240,0.17,IF(Исходн.данные.!O229&lt;30,0.5,$HF$12+$HE$12*Исходн.данные.!O229))</f>
        <v>0.5</v>
      </c>
      <c r="HF229" s="55" t="e">
        <f>VLOOKUP(Исходн.данные.!AH229,Справ!$A$3:$D$58,2,FALSE)</f>
        <v>#N/A</v>
      </c>
      <c r="HG229" s="55" t="e">
        <f>VLOOKUP(Исходн.данные.!AH229,Справ!$A$3:$D$58,3,FALSE)</f>
        <v>#N/A</v>
      </c>
      <c r="HH229" s="55" t="e">
        <f>VLOOKUP(Исходн.данные.!AH229,Справ!$A$3:$D$58,4,FALSE)</f>
        <v>#N/A</v>
      </c>
      <c r="HI229" s="11" t="e">
        <f t="shared" si="339"/>
        <v>#N/A</v>
      </c>
      <c r="HJ229" s="11" t="e">
        <f t="shared" si="340"/>
        <v>#N/A</v>
      </c>
      <c r="HK229" s="11" t="e">
        <f t="shared" si="341"/>
        <v>#N/A</v>
      </c>
      <c r="HL229" s="55">
        <f>IF(OR(Исходн.данные.!G229="Глин",Исходн.данные.!G229="Т_суг"),1.1,IF(Исходн.данные.!G229="Ср_суг",1,1))</f>
        <v>1</v>
      </c>
      <c r="HM229" s="55">
        <f>IF(OR(Исходн.данные.!G229="Глин",Исходн.данные.!G229="Т_суг"),0.9,IF(Исходн.данные.!G229="Ср_суг",1,1.2))</f>
        <v>1.2</v>
      </c>
      <c r="HN229" s="11" t="e">
        <f t="shared" si="342"/>
        <v>#N/A</v>
      </c>
      <c r="HO229" s="11" t="e">
        <f t="shared" si="343"/>
        <v>#N/A</v>
      </c>
      <c r="HP229" s="11" t="e">
        <f t="shared" si="344"/>
        <v>#N/A</v>
      </c>
      <c r="HQ229" t="e">
        <f t="shared" si="345"/>
        <v>#N/A</v>
      </c>
      <c r="HR229" t="e">
        <f t="shared" si="346"/>
        <v>#N/A</v>
      </c>
      <c r="HS229" t="e">
        <f t="shared" si="347"/>
        <v>#N/A</v>
      </c>
      <c r="HT229" t="e">
        <f t="shared" si="293"/>
        <v>#N/A</v>
      </c>
      <c r="HU229" t="e">
        <f t="shared" si="294"/>
        <v>#N/A</v>
      </c>
      <c r="HV229" t="e">
        <f t="shared" si="295"/>
        <v>#N/A</v>
      </c>
      <c r="HW229" t="e">
        <f t="shared" si="296"/>
        <v>#N/A</v>
      </c>
      <c r="HX229" t="e">
        <f t="shared" si="297"/>
        <v>#N/A</v>
      </c>
      <c r="HY229" t="e">
        <f t="shared" si="298"/>
        <v>#N/A</v>
      </c>
      <c r="HZ229" s="55">
        <f>IF(OR(Исходн.данные.!AI229="Оз_Ч_П",Исходн.данные.!AI229="Оз_З_П",Исходн.данные.!AI229="Яр_зер"),12,30)</f>
        <v>30</v>
      </c>
      <c r="IA229" t="e">
        <f t="shared" si="348"/>
        <v>#N/A</v>
      </c>
      <c r="IB229" t="e">
        <f t="shared" si="349"/>
        <v>#N/A</v>
      </c>
      <c r="IC229" t="e">
        <f t="shared" si="350"/>
        <v>#N/A</v>
      </c>
      <c r="ID229" s="11" t="e">
        <f t="shared" si="351"/>
        <v>#N/A</v>
      </c>
      <c r="IE229" s="11" t="e">
        <f t="shared" si="352"/>
        <v>#N/A</v>
      </c>
      <c r="IF229" s="11" t="e">
        <f t="shared" si="353"/>
        <v>#N/A</v>
      </c>
    </row>
    <row r="230" spans="35:240" x14ac:dyDescent="0.2">
      <c r="AI230">
        <f>IF(Исходн.данные.!I230&gt;6,1,1.85-(0.148*Исходн.данные.!I230))</f>
        <v>1.85</v>
      </c>
      <c r="AJ230">
        <f>IF(Исходн.данные.!I230&gt;6,1,2.434-(0.246*Исходн.данные.!I230))</f>
        <v>2.4340000000000002</v>
      </c>
      <c r="AL230" s="148" t="b">
        <f>IF(Исходн.данные.!$P230="Ум",N_OrgUd_2g_um,IF(Исходн.данные.!$P230="Об",N_OrgUd_2g_ob))</f>
        <v>0</v>
      </c>
      <c r="AM230" s="148" t="b">
        <f>IF(Исходн.данные.!$P230="Ум",P_OrgUd_2g_um,IF(Исходн.данные.!$P230="Об",P_OrgUd_2g_ob))</f>
        <v>0</v>
      </c>
      <c r="AN230" s="148" t="b">
        <f>IF(Исходн.данные.!$P230="Ум",K_OrgUd_2g_um,IF(Исходн.данные.!$P230="Об",K_OrgUd_2g_ob))</f>
        <v>0</v>
      </c>
      <c r="AO230" s="148" t="b">
        <f>IF(Исходн.данные.!$P230="Ум",N_OrgUd_1g_um,IF(Исходн.данные.!$P230="Об",N_OrgUd_1g_ob))</f>
        <v>0</v>
      </c>
      <c r="AP230" s="148" t="b">
        <f>IF(Исходн.данные.!$P230="Ум",P_OrgUd_1g_um,IF(Исходн.данные.!$P230="Об",P_OrgUd_1g_ob))</f>
        <v>0</v>
      </c>
      <c r="AQ230" s="148" t="b">
        <f>IF(Исходн.данные.!$P230="Ум",K_OrgUd_1g_um,IF(Исходн.данные.!$P230="Об",K_OrgUd_1g_ob))</f>
        <v>0</v>
      </c>
      <c r="AR230" t="b">
        <f>IF(Исходн.данные.!$P230="Ум",N_MinUd_2g_um,IF(Исходн.данные.!$P230="Об",N_MinUd_2g_ob))</f>
        <v>0</v>
      </c>
      <c r="AS230" t="b">
        <f>IF(Исходн.данные.!$P230="Ум",P_MinUd_2g_um,IF(Исходн.данные.!$P230="Об",P_MinUd_2g_ob))</f>
        <v>0</v>
      </c>
      <c r="AT230" t="b">
        <f>IF(Исходн.данные.!$P230="Ум",K_MinUd_2g_um,IF(Исходн.данные.!$P230="Об",K_MinUd_2g_ob))</f>
        <v>0</v>
      </c>
      <c r="AU230" t="b">
        <f>IF(Исходн.данные.!$P230="Ум",N_MinUd_1g_um,IF(Исходн.данные.!$P230="Об",N_MinUd_1g_ob))</f>
        <v>0</v>
      </c>
      <c r="AV230" t="b">
        <f>IF(Исходн.данные.!P230="Ум",P_MinUd_1g_um,IF(Исходн.данные.!P230="Об",P_MinUd_1g_ob))</f>
        <v>0</v>
      </c>
      <c r="AW230" t="b">
        <f>IF(Исходн.данные.!P230="Ум",K_MinUd_1g_um,IF(Исходн.данные.!P230="Об",K_MinUd_1g_ob))</f>
        <v>0</v>
      </c>
      <c r="AY230" t="e">
        <f>VLOOKUP(Исходн.данные.!T230,Справ!$A$3:$N$57,12)</f>
        <v>#N/A</v>
      </c>
      <c r="AZ230" t="e">
        <f>VLOOKUP(Исходн.данные.!T230,Справ!$A$3:$N$57,13)</f>
        <v>#N/A</v>
      </c>
      <c r="BA230" t="e">
        <f>VLOOKUP(Исходн.данные.!T230,Справ!$A$3:$N$57,14)</f>
        <v>#N/A</v>
      </c>
      <c r="BB230">
        <f>IF(Исходн.данные.!AH230=0,0,25)</f>
        <v>0</v>
      </c>
      <c r="BC230" s="141">
        <f>IF(Исходн.данные.!AH230=0,0,IF(Исходн.данные.!T230=0,25,BD230))</f>
        <v>0</v>
      </c>
      <c r="BD230" s="168" t="e">
        <f>AY230+AZ230*Исходн.данные.!U230-POWER(BA230,2)*Исходн.данные.!U230</f>
        <v>#N/A</v>
      </c>
      <c r="BE23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0" s="25">
        <f>IF(Исходн.данные.!AH230=0,0,MIN(HN230:HP230))</f>
        <v>0</v>
      </c>
      <c r="BG230" s="9">
        <f>IF(Исходн.данные.!AH230=0,0,IF((HO230+10*0.25/HG230/HL230)&lt;17,17,HO230+10*0.25/HG230/HL230))</f>
        <v>0</v>
      </c>
      <c r="BH230" s="181">
        <f>IF(Исходн.данные.!AH230=0,0,HW230*HF230*HL230/AU230*AI230+Исходн.данные.!S230*10)</f>
        <v>0</v>
      </c>
      <c r="BI230" s="10"/>
      <c r="BJ230" s="182">
        <f>IF(Исходн.данные.!AH230=0,0,IF(HX230*HG230*HL230/AV230&lt;0,0,HX230*HG230*HL230/AV230*AJ230))</f>
        <v>0</v>
      </c>
      <c r="BK230" s="182">
        <f>IF(Исходн.данные.!AH230=0,0,HY230*HH230*HM230/AW230)</f>
        <v>0</v>
      </c>
      <c r="BL230" s="10">
        <f>IF(OR(Исходн.данные.!$AH230=$BP$1,Исходн.данные.!$AH230=$BP$2),0,IF(BH230&lt;0,0,IF(OR(Исходн.данные.!T230=Расчет!$BP$1,Исходн.данные.!T230=Расчет!$BP$2,Исходн.данные.!T230=Расчет!$BT$5,Исходн.данные.!T230=Расчет!$BT$6),BH230*0.5,IF(OR(Исходн.данные.!T230=Расчет!$BS$9,Исходн.данные.!T230=Расчет!$BS$10,Исходн.данные.!T230=Расчет!$BS$11,Исходн.данные.!T230=Расчет!$BS$12,Исходн.данные.!T230=Расчет!$BP$5),BH230*0.8,BH230))))</f>
        <v>0</v>
      </c>
      <c r="BM230" s="10">
        <f>IF(OR(Исходн.данные.!$AH230=$BP$1,Исходн.данные.!$AH230=$BP$2),0,IF(BJ230&lt;0,0,IF(Исходн.данные.!I230&lt;4.5,BJ230*1.2,IF(Исходн.данные.!I230&gt;5.1,BJ230,BJ230*((5.1-Исходн.данные.!I230)*0.333+1)))))</f>
        <v>0</v>
      </c>
      <c r="BN230" s="10">
        <f>IF(OR(Исходн.данные.!$AH230=$BP$1,Исходн.данные.!$AH230=$BP$2),60-Исходн.данные.!AF230,IF(BK230&lt;0,0,IF(Исходн.данные.!I230&lt;4.5,BK230*1.2,IF(Исходн.данные.!I230&gt;5.1,BK230,BK230*((5.1-Исходн.данные.!I230)*0.333+1)))))</f>
        <v>0</v>
      </c>
      <c r="BO230" s="9">
        <f>IF(BL230&lt;0,0,BL230*Исходн.данные.!$AJ230/1000)</f>
        <v>0</v>
      </c>
      <c r="BP230" s="9">
        <f>IF(BM230&lt;0,0,BM230*Исходн.данные.!$AJ230/1000)</f>
        <v>0</v>
      </c>
      <c r="BQ230" s="9">
        <f>IF(BN230&lt;0,0,BN230*Исходн.данные.!$AJ230/1000)</f>
        <v>0</v>
      </c>
      <c r="BR230" s="9">
        <f t="shared" si="303"/>
        <v>0</v>
      </c>
      <c r="BS230" s="10" t="str">
        <f t="shared" si="304"/>
        <v>Аммофос 12:52:00</v>
      </c>
      <c r="BT230" s="10" t="str">
        <f t="shared" si="305"/>
        <v>Аммофос 12:52:00</v>
      </c>
      <c r="BU230" s="10" t="str">
        <f t="shared" si="306"/>
        <v>Диаммофоска</v>
      </c>
      <c r="BV230" s="10">
        <f t="shared" si="307"/>
        <v>0</v>
      </c>
      <c r="BW230" s="10"/>
      <c r="BX230" s="10"/>
      <c r="BY230" s="9">
        <f>IF(BL230&lt;0,0,IF(OR(Исходн.данные.!AI230=Расчет!$BU$6,Исходн.данные.!AI230=Расчет!$BU$7),Расчет!BV230,IF(Исходн.данные.!$AG230=$BV$11,BL230,IF(OR(Исходн.данные.!$AH230=$BQ$7,Исходн.данные.!$AH230=$BQ$8),CB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0,IF(Исходн.данные.!$AI230=$BU$11,"Нет",IF(BL230&gt;30,30,BL230)))))))</f>
        <v>0</v>
      </c>
      <c r="BZ230" s="9">
        <f>IF(AND(Исходн.данные.!$AG230=$BV$11,BM230&lt;10),10,IF(Исходн.данные.!$AG230=$BV$11,BM230,IF(OR(Исходн.данные.!$AH230=$BQ$7,Исходн.данные.!$AH230=$BQ$8),CC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10,IF(Исходн.данные.!$AI230=$BU$11,"Нет",IF(BM230&gt;60,60,IF(BM230&lt;10,10,BM230)))))))</f>
        <v>10</v>
      </c>
      <c r="CA230" s="39">
        <f>IF(BN230&lt;0,0,IF(Исходн.данные.!$AG230=$BV$11,BN230,IF(OR(Исходн.данные.!$AH230=$BQ$7,Исходн.данные.!$AH230=$BQ$8),CD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0,IF(Исходн.данные.!$AI230=$BU$11,"Нет",IF(BN230&gt;30,30,BN230))))))</f>
        <v>0</v>
      </c>
      <c r="CB230" s="9">
        <f t="shared" si="308"/>
        <v>0</v>
      </c>
      <c r="CC230" s="9">
        <f t="shared" si="309"/>
        <v>0</v>
      </c>
      <c r="CD230" s="9">
        <f t="shared" si="310"/>
        <v>0</v>
      </c>
      <c r="CE230" s="12">
        <f t="shared" si="311"/>
        <v>10</v>
      </c>
      <c r="CF230" s="9">
        <f t="shared" si="312"/>
        <v>0</v>
      </c>
      <c r="CG230" s="9" t="s">
        <v>231</v>
      </c>
      <c r="CH230" s="132" t="str">
        <f>IF(Исходн.данные.!AP230=Расчет!$CI$16,"Нет",IF(Исходн.данные.!AL230&gt;0,Исходн.данные.!AL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BH$4,IF(OR(Исходн.данные.!AI230=Исходн.данные.!$AI$6,Исходн.данные.!AI230=Исходн.данные.!$AI$7),Расчет!BS230,IF(AND($CF230=0,$CE230&gt;0),EV230,ER230)))))</f>
        <v>Аммофос 12:52:00</v>
      </c>
      <c r="CI230" s="274">
        <f>IF(Расчет!$CH230="Нет","Нет",IF(Исходн.данные.!$AL230&gt;0,VLOOKUP(Расчет!$CH230,АшламаДВ_Irekle,2,FALSE),VLOOKUP(Расчет!$CH230,АшламаДВ_Gomumy,2,FALSE)))</f>
        <v>0.12</v>
      </c>
      <c r="CJ230" s="274">
        <f>IF(Расчет!$CH230="Нет","Нет",IF(Исходн.данные.!$AL230&gt;0,VLOOKUP(Расчет!$CH230,АшламаДВ_Irekle,3,FALSE),VLOOKUP(Расчет!$CH230,АшламаДВ_Gomumy,3,FALSE)))</f>
        <v>0.52</v>
      </c>
      <c r="CK230" s="274">
        <f>IF(Расчет!$CH230="Нет","Нет",IF(Исходн.данные.!$AL230&gt;0,VLOOKUP(Расчет!$CH230,АшламаДВ_Irekle,4,FALSE),VLOOKUP(Расчет!$CH230,АшламаДВ_Gomumy,4,FALSE)))</f>
        <v>0</v>
      </c>
      <c r="CL230" s="70"/>
      <c r="CM230" s="70"/>
      <c r="CN230" s="70"/>
      <c r="CO230" s="70"/>
      <c r="CP230" s="70"/>
      <c r="CQ230" s="70"/>
      <c r="CR230" s="10">
        <f t="shared" si="313"/>
        <v>0</v>
      </c>
      <c r="CS230" s="10">
        <f t="shared" si="314"/>
        <v>19.23076923076923</v>
      </c>
      <c r="CT230" s="10">
        <f t="shared" si="315"/>
        <v>0</v>
      </c>
      <c r="CU230" s="39">
        <f>IF($CH230="Нет",0,IF(CI230=0,30/MIN(CJ230:CK230),IF(Исходн.данные.!$AG230=$BV$11,CR230,IF(OR(Исходн.данные.!$AH230=$BQ$7,Исходн.данные.!$AH230=$BQ$8),90/CI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0,IF(Исходн.данные.!$AI230=$BU$11,"Нет",30/CI230))))))</f>
        <v>250</v>
      </c>
      <c r="CV230" s="39">
        <f>IF($CH230="Нет",0,IF(Исходн.данные.!AH230=0,0,IF(CJ230=0,60/MIN(CI230,CK230),IF(Исходн.данные.!$AG230=$BV$11,CS230,IF(OR(Исходн.данные.!$AH230=$BQ$7,Исходн.данные.!$AH230=$BQ$8),90/CJ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10/CJ230,IF(Исходн.данные.!$AI230=$BU$11,"Нет",60/CJ230)))))))</f>
        <v>0</v>
      </c>
      <c r="CW230" s="39">
        <f>IF($CH230="Нет",0,IF(Исходн.данные.!AH230=0,0,IF(CK230=0,30/MIN(CI230:CJ230),IF(Исходн.данные.!$AG230=$BV$11,CT230,IF(OR(Исходн.данные.!$AH230=$BQ$7,Исходн.данные.!$AH230=$BQ$8),90/CK230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0,IF(Исходн.данные.!$AI230=$BU$11,"Нет",30/CK230)))))))</f>
        <v>0</v>
      </c>
      <c r="CX230" s="133">
        <f>IF(Исходн.данные.!$AG230=$BV$11,MAX(CU230:CW230),IF(OR(Исходн.данные.!$AH230=$BS$8,Исходн.данные.!$AH230=$BQ$9,Исходн.данные.!$AH230=$BQ$10,Исходн.данные.!$AH230=$BQ$11,Исходн.данные.!$AH230=$BQ$12,Исходн.данные.!$AH230=$BP$3,Исходн.данные.!$AH230=$BT$8,$FM230="Да"),CV230,MIN(CU230:CW230)))</f>
        <v>0</v>
      </c>
      <c r="CY230" s="133">
        <f>IF(Исходн.данные.!AH230=0,0,IF(CR230&gt;$CX230,$CX230,CR230))</f>
        <v>0</v>
      </c>
      <c r="CZ230" s="133">
        <f>IF(Исходн.данные.!AH230=0,0,IF(CS230&gt;$CX230,$CX230,CS230))</f>
        <v>0</v>
      </c>
      <c r="DA230" s="133">
        <f>IF(Исходн.данные.!AH230=0,0,IF(CT230&gt;$CX230,$CX230,CT230))</f>
        <v>0</v>
      </c>
      <c r="DB230" s="10">
        <f t="shared" si="316"/>
        <v>0</v>
      </c>
      <c r="DC230" s="39">
        <f>DB230*Исходн.данные.!AJ230/1000</f>
        <v>0</v>
      </c>
      <c r="DD230" s="71">
        <f t="shared" si="317"/>
        <v>0</v>
      </c>
      <c r="DE230" s="9">
        <f t="shared" si="318"/>
        <v>0</v>
      </c>
      <c r="DF230" s="9">
        <f t="shared" si="319"/>
        <v>0</v>
      </c>
      <c r="DG230" s="39">
        <f>IF(BL230&lt;0,0,IF($CH230="Нет",BL230,IF(OR(Исходн.данные.!$AH230=$BP$1,Исходн.данные.!$AH230=$BP$2),0,IF(Исходн.данные.!AI230=$BU$11,BL230,IF(BL230-DD230&lt;0,0,BL230-DD230)))))</f>
        <v>0</v>
      </c>
      <c r="DH230" s="39">
        <f>IF(BM230&lt;0,0,IF($CH230="Нет",BM230,IF(OR(Исходн.данные.!$AH230=$BP$1,Исходн.данные.!$AH230=$BP$2),0,IF(Исходн.данные.!AJ230=$BU$11,BM230,IF(BM230-DE230&lt;0,0,BM230-DE230)))))</f>
        <v>0</v>
      </c>
      <c r="DI230" s="39">
        <f>IF(BN230&lt;0,0,IF($CH230="Нет",BN230,IF(OR(Исходн.данные.!$AH230=$BP$1,Исходн.данные.!$AH230=$BP$2),0,IF(Исходн.данные.!AK230=$BU$11,BN230,IF(BN230-DF230&lt;0,0,BN230-DF230)))))</f>
        <v>0</v>
      </c>
      <c r="DJ230" s="12">
        <f t="shared" si="320"/>
        <v>0</v>
      </c>
      <c r="DK230" s="9">
        <f t="shared" si="321"/>
        <v>0</v>
      </c>
      <c r="DL230" s="39">
        <f>IF(Исходн.данные.!AM230&gt;0,Исходн.данные.!AM230,IF(EG230&gt;0,$BH$10,0))</f>
        <v>0</v>
      </c>
      <c r="DM230" s="186">
        <f>IF($DL230=0,0,IF(Исходн.данные.!AM230&gt;0,VLOOKUP($DL230,АшламаДВ_Irekle,2,FALSE),VLOOKUP($DL230,АшламаДВ_Gomumy,2,FALSE)))</f>
        <v>0</v>
      </c>
      <c r="DN230" s="10">
        <f t="shared" si="299"/>
        <v>0</v>
      </c>
      <c r="DO230" s="9" t="str">
        <f>IF(Исходн.данные.!AN230&gt;0,Исходн.данные.!AN230,Удобрения!$B$37 )</f>
        <v>Хлор.калий</v>
      </c>
      <c r="DP230" s="9">
        <f>IF(Исходн.данные.!AN230&gt;0,VLOOKUP(Исходн.данные.!AN230,АшламаДВ_Irekle,4,FALSE),VLOOKUP(DO230,АшламаДВ_Gomumy,4,FALSE))</f>
        <v>0.6</v>
      </c>
      <c r="DQ230" s="10">
        <f t="shared" si="300"/>
        <v>0</v>
      </c>
      <c r="DR230" s="132" t="str">
        <f>IF(Исходн.данные.!AO230&gt;0,Исходн.данные.!AO230,IF(DH230=0,BS$17,IF(AND($DK230=0,$DJ230&gt;0),EJ230,EN230)))</f>
        <v>Нет</v>
      </c>
      <c r="DS230" s="70" t="str">
        <f>IF($DR230="Нет","Нет",IF(Исходн.данные.!$AO230&gt;0,VLOOKUP($DR230,АшламаДВ_Irekle,2,FALSE),VLOOKUP($DR230,АшламаДВ_Gomumy,2,FALSE)))</f>
        <v>Нет</v>
      </c>
      <c r="DT230" s="70" t="str">
        <f>IF($DR230="Нет","Нет",IF(Исходн.данные.!$AO230&gt;0,VLOOKUP($DR230,АшламаДВ_Irekle,3,FALSE),VLOOKUP($DR230,АшламаДВ_Gomumy,3,FALSE)))</f>
        <v>Нет</v>
      </c>
      <c r="DU230" s="70" t="str">
        <f>IF($DR230="Нет","Нет",IF(Исходн.данные.!$AO230&gt;0,VLOOKUP($DR230,АшламаДВ_Irekle,4,FALSE),VLOOKUP($DR230,АшламаДВ_Gomumy,4,FALSE)))</f>
        <v>Нет</v>
      </c>
      <c r="DV230" s="70"/>
      <c r="DW230" s="70"/>
      <c r="DX230" s="70"/>
      <c r="DY230" s="10">
        <f t="shared" si="322"/>
        <v>0</v>
      </c>
      <c r="DZ230" s="10">
        <f t="shared" si="323"/>
        <v>0</v>
      </c>
      <c r="EA230" s="10">
        <f t="shared" si="324"/>
        <v>0</v>
      </c>
      <c r="EB230" s="10">
        <f t="shared" si="325"/>
        <v>0</v>
      </c>
      <c r="EC230" s="10">
        <f t="shared" si="326"/>
        <v>0</v>
      </c>
      <c r="ED230" s="10">
        <f t="shared" si="327"/>
        <v>0</v>
      </c>
      <c r="EE230" s="10">
        <f t="shared" si="328"/>
        <v>0</v>
      </c>
      <c r="EF230" s="39">
        <f>EB230*Исходн.данные.!AJ230/1000</f>
        <v>0</v>
      </c>
      <c r="EG230" s="9">
        <f t="shared" si="329"/>
        <v>0</v>
      </c>
      <c r="EH230" s="9">
        <f t="shared" si="330"/>
        <v>0</v>
      </c>
      <c r="EI230" s="39" t="e">
        <f t="shared" si="280"/>
        <v>#DIV/0!</v>
      </c>
      <c r="EJ230" s="9" t="str">
        <f t="shared" si="301"/>
        <v>Азопреципитат</v>
      </c>
      <c r="EK230" s="12">
        <f t="shared" si="281"/>
        <v>0.26</v>
      </c>
      <c r="EL230" s="12">
        <f t="shared" si="282"/>
        <v>0.13</v>
      </c>
      <c r="EM230" s="12">
        <f t="shared" si="283"/>
        <v>0</v>
      </c>
      <c r="EN230" s="12" t="str">
        <f t="shared" si="302"/>
        <v>Нет</v>
      </c>
      <c r="EO230" s="12">
        <f t="shared" si="284"/>
        <v>0</v>
      </c>
      <c r="EP230" s="12">
        <f t="shared" si="285"/>
        <v>0</v>
      </c>
      <c r="EQ230" s="12">
        <f t="shared" si="286"/>
        <v>0</v>
      </c>
      <c r="ER230" s="12" t="str">
        <f t="shared" si="331"/>
        <v>Диаммофоска</v>
      </c>
      <c r="ES230" s="12">
        <f t="shared" si="287"/>
        <v>0.1</v>
      </c>
      <c r="ET230" s="12">
        <f t="shared" si="288"/>
        <v>0.26</v>
      </c>
      <c r="EU230" s="12">
        <f t="shared" si="289"/>
        <v>0.26</v>
      </c>
      <c r="EV230" s="12" t="str">
        <f t="shared" si="332"/>
        <v>Аммофос 12:52:00</v>
      </c>
      <c r="EW230" s="12" t="str">
        <f t="shared" si="333"/>
        <v>Кемира Свекловичное-6</v>
      </c>
      <c r="EX230" s="12">
        <f t="shared" si="290"/>
        <v>0.16</v>
      </c>
      <c r="EY230" s="12">
        <f t="shared" si="291"/>
        <v>0.12</v>
      </c>
      <c r="EZ230" s="12">
        <f t="shared" si="292"/>
        <v>0.17</v>
      </c>
      <c r="FA230" s="38" t="e">
        <f>IF(AND(OR(FJ230=$FD$1,FM230=$FD$1,FO230=$FD$1,FQ230=$FD$1,FS230=$FD$1),FD230=$FD$1,Исходн.данные.!J230&lt;2,FU230=$FD$1),"Бор,Кобальт",IF(AND(FO230=$FD$1,FH230=$FD$1,Исходн.данные.!J230&lt;2,FU230=$FD$1),"Бор,Кобальт",IF(AND(OR(FJ230=$FD$1,FM230=$FD$1,FQ230=$FD$1),FE230=$FD$1,Исходн.данные.!J230&lt;2,FT230=$FD$1,FU230=$FD$1),"Бор,Медь,Цинк",IF(AND(OR(FJ230=$FD$1,FR230="Да"),FI230="Да",Исходн.данные.!J230&lt;2,FT230="Да",FU230="Да"),"Бор,Цинк,Медь",IF(AND(OR(FM230="Да",FQ230="Да"),FI230="Да",Исходн.данные.!J230&lt;2,FT230="Да",FU230="Да"),"Бор,Цинк",IF(AND(FN230="Да",OR(FD230="Да",FE230="Да")),"Бор",FB230))))))</f>
        <v>#N/A</v>
      </c>
      <c r="FB230" s="134" t="e">
        <f>IF(AND(OR(FD230="Да",FE230="Да",FF230="Да",FG230="Да",FH230="Да"),FO230="Да"),"Бор",IF(AND(FP230="Да",OR(FD230="Да",FE230="Да",FI230="Да")),"Бор",IF(AND(FS230="Да",FE230="Да"),"Бор,Медь",IF(AND(OR(FJ230="Да",FK230="Да",FL230="Да"),FE230="Да",Исходн.данные.!I230&lt;5,FT230="Да",FU230="Да"),"Молибден,Цинк",IF(AND(FM230="Да",OR(FE230="Да",FF230="Да",FG230="Да",FH230="Да",FI230="Да")),"Молибден,Цинк",IF(AND(OR(FJ230="Да",FK230="Да",FL230="Да",FM230="Да",FQ230="Да"),OR(FE230="Да",FF230="Да"),FT230="Да",FU230="Да",Исходн.данные.!I230&gt;5.5),"Медь,Цинк",FC230))))))</f>
        <v>#N/A</v>
      </c>
      <c r="FC230" s="23" t="e">
        <f t="shared" si="334"/>
        <v>#N/A</v>
      </c>
      <c r="FD230" s="38" t="str">
        <f>IF(OR(Исходн.данные.!F230=$CC$1,Исходн.данные.!F230=$CC$2,Исходн.данные.!F230=$CC$3,Исходн.данные.!F230=$CC$4),"Да","Нет")</f>
        <v>Нет</v>
      </c>
      <c r="FE230" s="38" t="str">
        <f>IF(Исходн.данные.!F230=$CC$5,"Да","Нет")</f>
        <v>Нет</v>
      </c>
      <c r="FF230" s="38" t="str">
        <f>IF(OR(Исходн.данные.!F230=$CC$6,Исходн.данные.!F230=$CC$7),"Да","Нет")</f>
        <v>Нет</v>
      </c>
      <c r="FG230" s="38" t="str">
        <f>IF(OR(Исходн.данные.!F230=$CC$8,Исходн.данные.!F230=$CC$9),"Да","Нет")</f>
        <v>Нет</v>
      </c>
      <c r="FH230" s="38" t="str">
        <f>IF(Исходн.данные.!F230=$CC$10,"Да","Нет")</f>
        <v>Нет</v>
      </c>
      <c r="FI230" s="38" t="str">
        <f>IF(OR(Исходн.данные.!F230=$CC$11,Исходн.данные.!F230=$CC$12),"Да","Нет")</f>
        <v>Нет</v>
      </c>
      <c r="FJ230" s="38" t="str">
        <f>IF(OR(Исходн.данные.!AH230=$BS$1,Исходн.данные.!AH230=$BQ$11,Исходн.данные.!AH230=$BQ$12),"Да","Нет")</f>
        <v>Нет</v>
      </c>
      <c r="FK230" s="38" t="str">
        <f>IF(OR(Исходн.данные.!AH230=$BS$2,Исходн.данные.!AH230=$BS$4),"Да","Нет")</f>
        <v>Нет</v>
      </c>
      <c r="FL230" s="38" t="str">
        <f>IF(OR(Исходн.данные.!AH230=$BS$3,Исходн.данные.!AH230=$BS$5),"Да","Нет")</f>
        <v>Нет</v>
      </c>
      <c r="FM230" s="38" t="str">
        <f>IF(OR(Исходн.данные.!AH230=$BS$9,Исходн.данные.!AH230=$BS$10,Исходн.данные.!AH230=$BS$11,Исходн.данные.!AH230=$BS$12),"Да","Нет")</f>
        <v>Нет</v>
      </c>
      <c r="FN230" s="38" t="str">
        <f>IF(OR(Исходн.данные.!AH230=$BS$6,Исходн.данные.!AH230=$BP$3),"Да","Нет")</f>
        <v>Нет</v>
      </c>
      <c r="FO230" s="38" t="str">
        <f>IF(Исходн.данные.!AH230=$BQ$9,"Да","Нет")</f>
        <v>Нет</v>
      </c>
      <c r="FP230" s="38" t="str">
        <f>IF(OR(Исходн.данные.!AH230=$BS$8,Исходн.данные.!AH230=$BT$8),"Да","Нет")</f>
        <v>Нет</v>
      </c>
      <c r="FQ230" s="38" t="str">
        <f>IF(OR(Исходн.данные.!AH230=$BQ$7,Исходн.данные.!AH230=$BQ$8),"Да","Нет")</f>
        <v>Нет</v>
      </c>
      <c r="FR230" s="38" t="str">
        <f>IF(Исходн.данные.!AI230=$BU$9,"Да","Нет")</f>
        <v>Нет</v>
      </c>
      <c r="FS230" s="38" t="str">
        <f>IF(OR(Исходн.данные.!AH230=$BP$1,Исходн.данные.!AH230=$BP$2),"Да","Нет")</f>
        <v>Нет</v>
      </c>
      <c r="FT230" s="38" t="e">
        <f>IF((Исходн.данные.!K230*GO230*GS230*GW230+BL230*0.6+Исходн.данные.!Q230*4.5*0.275)&gt;90,"Да","Нет")</f>
        <v>#N/A</v>
      </c>
      <c r="FU230" s="38" t="e">
        <f>IF((Исходн.данные.!M230*GS230*GZ230+BM230*0.225)&gt;35,"Да","Нет")</f>
        <v>#N/A</v>
      </c>
      <c r="FV230" s="38" t="str">
        <f>IF(Исходн.данные.!O230&gt;175,"Да","Нет")</f>
        <v>Нет</v>
      </c>
      <c r="FW230" s="39" t="str">
        <f>IF(Исходн.данные.!I230&gt;5.5,"Да","Нет")</f>
        <v>Нет</v>
      </c>
      <c r="FX230" s="39" t="str">
        <f>IF(Исходн.данные.!J230&lt;2,"Да","Нет")</f>
        <v>Да</v>
      </c>
      <c r="FY230" s="39" t="e">
        <f>IF(HF230=$FY$16,0,Исходн.данные.!K230*GO230*GS230*GW230/HF230)</f>
        <v>#N/A</v>
      </c>
      <c r="FZ230" s="39" t="e">
        <f>Исходн.данные.!M230*GS230*GZ230/HG230</f>
        <v>#N/A</v>
      </c>
      <c r="GA230" s="39" t="e">
        <f>IF(K_Wyn=$FY$16,0,IF(Исходн.данные.!N230=Исходн.данные.!$L$10,Исходн.данные.!O230/1.1*GS230*HC230/HH230,IF(Исходн.данные.!N230=Исходн.данные.!$L$12,Исходн.данные.!O230/1.5*GS230*HC230/HH230,Исходн.данные.!O230*GS230*HC230/HH230)))</f>
        <v>#N/A</v>
      </c>
      <c r="GB230" s="39" t="e">
        <f>IF(HF230=$FY$16,0,((Исходн.данные.!Q230*N_Org+Исходн.данные.!R230*N_Sider+Исходн.данные.!S230*N_Soloma)*AO230+Расчет!BC230*VLOOKUP(Исходн.данные.!T230,Справ!$A$3:$O$57,15)*AO230+BB230*VLOOKUP(Исходн.данные.!T230,Справ!$A$3:$O$57,15)*AL230+(Исходн.данные.!V230*N_Rizotorf+Исходн.данные.!W230*N_Rizoagr))/HF230)</f>
        <v>#N/A</v>
      </c>
      <c r="GC230" s="39" t="e">
        <f>IF(HG230=$FY$16,0,((Исходн.данные.!Q230*Р_Org+Исходн.данные.!R230*P_Sider+Исходн.данные.!S230*P_Soloma)*AP230+Расчет!BC230*VLOOKUP(Исходн.данные.!T230,Справ!$A$3:$P$57,16)*AP230+BB230*VLOOKUP(Исходн.данные.!T230,Справ!$A$3:$P$57,16)*AM230)/HG230)</f>
        <v>#N/A</v>
      </c>
      <c r="GD230" s="39" t="e">
        <f>IF(HH230=$FY$16,0,((Исходн.данные.!Q230*К_Org+Исходн.данные.!R230*K_Sider+Исходн.данные.!S230*K_Soloma)*AQ230+Расчет!BC230*VLOOKUP(Исходн.данные.!T230,Справ!$A$3:$Q$57,17)*AQ230+BB230*VLOOKUP(Исходн.данные.!T230,Справ!$A$3:$Q$57,17)*AN230)/HH230)</f>
        <v>#N/A</v>
      </c>
      <c r="GE230" s="39" t="e">
        <f>IF(HF230=$FY$16,0,(Исходн.данные.!X230*AR230+Исходн.данные.!AA230*N_Org*AL230+Исходн.данные.!AB230*N_Sider*AL230+Исходн.данные.!AC230*N_Soloma*AL230)/HF230)</f>
        <v>#N/A</v>
      </c>
      <c r="GF230" s="39" t="e">
        <f>IF(HG230=$FY$16,0,(Исходн.данные.!Y230*AS230+Исходн.данные.!AA230*Р_Org*AM230+Исходн.данные.!AB230*P_Sider*AM230+Исходн.данные.!AC230*P_Soloma*AM230)/HG230)</f>
        <v>#N/A</v>
      </c>
      <c r="GG230" s="39" t="e">
        <f>IF(HH230=$FY$16,0,(Исходн.данные.!Z230*AT230+Исходн.данные.!AA230*К_Org*AN230+Исходн.данные.!AB230*K_Sider*AN230+Исходн.данные.!AC230*K_Soloma*AN230)/HH230)</f>
        <v>#N/A</v>
      </c>
      <c r="GH230" s="39" t="e">
        <f>Исходн.данные.!AD230*AU230/HF230</f>
        <v>#N/A</v>
      </c>
      <c r="GI230" s="39" t="e">
        <f>Исходн.данные.!AE230*AV230/HG230</f>
        <v>#N/A</v>
      </c>
      <c r="GJ230" s="39" t="e">
        <f>Исходн.данные.!AF230*AW230/HH230</f>
        <v>#N/A</v>
      </c>
      <c r="GK230" s="55">
        <f>Исходн.данные.!AK230</f>
        <v>0</v>
      </c>
      <c r="GL230" s="11" t="e">
        <f t="shared" si="335"/>
        <v>#N/A</v>
      </c>
      <c r="GM230" s="11" t="e">
        <f t="shared" si="336"/>
        <v>#N/A</v>
      </c>
      <c r="GN230" s="11" t="e">
        <f t="shared" si="337"/>
        <v>#N/A</v>
      </c>
      <c r="GO230" s="57">
        <f t="shared" si="338"/>
        <v>19</v>
      </c>
      <c r="GP230" s="55">
        <f>IF(OR(Исходн.данные.!F230=$CE$1,Исходн.данные.!F230=$CE$2,Исходн.данные.!F230=$CE$3,Исходн.данные.!F230=$CE$4,Исходн.данные.!F230=$CE$5),GQ230,GR230)</f>
        <v>19</v>
      </c>
      <c r="GQ230" s="55">
        <f>IF(Исходн.данные.!F230=$CE$1,28,IF(Исходн.данные.!F230=$CE$2,26,IF(Исходн.данные.!F230=$CE$3,24,IF(Исходн.данные.!F230=$CE$4,22,IF(Исходн.данные.!F230=$CE$5,20,GR230)))))</f>
        <v>19</v>
      </c>
      <c r="GR230" s="55">
        <f>IF(Исходн.данные.!F230=$CE$6,18,IF(Исходн.данные.!F230=$CE$7,16,IF(Исходн.данные.!F230=$CE$8,14,IF(Исходн.данные.!F230=$CE$9,13,IF(Исходн.данные.!F230=$CE$10,12,19)))))</f>
        <v>19</v>
      </c>
      <c r="GS230" s="55">
        <f>IF(Исходн.данные.!G230="Пес",0.035*(40+2*Исходн.данные.!H230),IF(Исходн.данные.!G230="Суп",0.0325*(40+2*Исходн.данные.!H230),0.03*(40+2*Исходн.данные.!H230)))</f>
        <v>1.2</v>
      </c>
      <c r="GT230" s="55">
        <f>IF(Исходн.данные.!H230&lt;23,2.6,IF(AND(Исходн.данные.!H230&gt;22,Исходн.данные.!H230&lt;26),3,IF(AND(Исходн.данные.!H230&gt;25,Исходн.данные.!H230&lt;29),3.4,3.6)))</f>
        <v>2.6</v>
      </c>
      <c r="GU230" s="55">
        <f>IF(Исходн.данные.!H230&lt;23,2.8,IF(AND(Исходн.данные.!H230&gt;22,Исходн.данные.!H230&lt;26),3.2,IF(AND(Исходн.данные.!H230&gt;25,Исходн.данные.!H230&lt;29),3.6,3.9)))</f>
        <v>2.8</v>
      </c>
      <c r="GV230" s="55">
        <f>IF(Исходн.данные.!H230&lt;23,3,IF(AND(Исходн.данные.!H230&gt;22,Исходн.данные.!H230&lt;26),3.5,IF(AND(Исходн.данные.!H230&gt;25,Исходн.данные.!H230&lt;29),3.9,4.2)))</f>
        <v>3</v>
      </c>
      <c r="GW230" s="55" t="e">
        <f>IF(Исходн.данные.!P230="Ум",GX230,GY230)</f>
        <v>#N/A</v>
      </c>
      <c r="GX230" s="55" t="e">
        <f>VLOOKUP(Исходн.данные.!AI230,Коэффициенты!$J$7:$L$13,2,FALSE)</f>
        <v>#N/A</v>
      </c>
      <c r="GY230" s="55" t="e">
        <f>VLOOKUP(Исходн.данные.!AI230,Коэффициенты!$J$7:$L$13,3,FALSE)</f>
        <v>#N/A</v>
      </c>
      <c r="GZ230" s="55" t="e">
        <f>(IF(Исходн.данные.!M230&lt;50,0.11*VLOOKUP(Исходн.данные.!AH230,Культуры.Информация,7,FALSE),IF(Исходн.данные.!M230&gt;250,0.05*VLOOKUP(Исходн.данные.!AH230,Культуры.Информация,7,FALSE),VLOOKUP(Исходн.данные.!AH230,Культуры.Информация,5,FALSE)/100*($GX$6+$GY$6*Исходн.данные.!M230))))*Расчет2!AI230</f>
        <v>#N/A</v>
      </c>
      <c r="HA230" s="211"/>
      <c r="HB230" s="211"/>
      <c r="HC230" s="55" t="e">
        <f>(IF(Исходн.данные.!O230&lt;80,0.2*VLOOKUP(Исходн.данные.!AH230,Культуры.Информация,8,FALSE),IF(Исходн.данные.!O230&gt;240,0.09*VLOOKUP(Исходн.данные.!AH230,Культуры.Информация,8,FALSE),VLOOKUP(Исходн.данные.!AH230,Культуры.Информация,6,FALSE)/100*($HB$6+$HC$6*Исходн.данные.!O230))))*Расчет2!AJ230</f>
        <v>#N/A</v>
      </c>
      <c r="HD230" s="55">
        <f>IF(Исходн.данные.!O230&gt;240,0.09,IF(Исходн.данные.!O230&lt;30,0.3,$HE$10+$HD$10*Исходн.данные.!O230))</f>
        <v>0.3</v>
      </c>
      <c r="HE230" s="55">
        <f>IF(Исходн.данные.!O230&gt;240,0.17,IF(Исходн.данные.!O230&lt;30,0.5,$HF$12+$HE$12*Исходн.данные.!O230))</f>
        <v>0.5</v>
      </c>
      <c r="HF230" s="55" t="e">
        <f>VLOOKUP(Исходн.данные.!AH230,Справ!$A$3:$D$58,2,FALSE)</f>
        <v>#N/A</v>
      </c>
      <c r="HG230" s="55" t="e">
        <f>VLOOKUP(Исходн.данные.!AH230,Справ!$A$3:$D$58,3,FALSE)</f>
        <v>#N/A</v>
      </c>
      <c r="HH230" s="55" t="e">
        <f>VLOOKUP(Исходн.данные.!AH230,Справ!$A$3:$D$58,4,FALSE)</f>
        <v>#N/A</v>
      </c>
      <c r="HI230" s="11" t="e">
        <f t="shared" si="339"/>
        <v>#N/A</v>
      </c>
      <c r="HJ230" s="11" t="e">
        <f t="shared" si="340"/>
        <v>#N/A</v>
      </c>
      <c r="HK230" s="11" t="e">
        <f t="shared" si="341"/>
        <v>#N/A</v>
      </c>
      <c r="HL230" s="55">
        <f>IF(OR(Исходн.данные.!G230="Глин",Исходн.данные.!G230="Т_суг"),1.1,IF(Исходн.данные.!G230="Ср_суг",1,1))</f>
        <v>1</v>
      </c>
      <c r="HM230" s="55">
        <f>IF(OR(Исходн.данные.!G230="Глин",Исходн.данные.!G230="Т_суг"),0.9,IF(Исходн.данные.!G230="Ср_суг",1,1.2))</f>
        <v>1.2</v>
      </c>
      <c r="HN230" s="11" t="e">
        <f t="shared" si="342"/>
        <v>#N/A</v>
      </c>
      <c r="HO230" s="11" t="e">
        <f t="shared" si="343"/>
        <v>#N/A</v>
      </c>
      <c r="HP230" s="11" t="e">
        <f t="shared" si="344"/>
        <v>#N/A</v>
      </c>
      <c r="HQ230" t="e">
        <f t="shared" si="345"/>
        <v>#N/A</v>
      </c>
      <c r="HR230" t="e">
        <f t="shared" si="346"/>
        <v>#N/A</v>
      </c>
      <c r="HS230" t="e">
        <f t="shared" si="347"/>
        <v>#N/A</v>
      </c>
      <c r="HT230" t="e">
        <f t="shared" si="293"/>
        <v>#N/A</v>
      </c>
      <c r="HU230" t="e">
        <f t="shared" si="294"/>
        <v>#N/A</v>
      </c>
      <c r="HV230" t="e">
        <f t="shared" si="295"/>
        <v>#N/A</v>
      </c>
      <c r="HW230" t="e">
        <f t="shared" si="296"/>
        <v>#N/A</v>
      </c>
      <c r="HX230" t="e">
        <f t="shared" si="297"/>
        <v>#N/A</v>
      </c>
      <c r="HY230" t="e">
        <f t="shared" si="298"/>
        <v>#N/A</v>
      </c>
      <c r="HZ230" s="55">
        <f>IF(OR(Исходн.данные.!AI230="Оз_Ч_П",Исходн.данные.!AI230="Оз_З_П",Исходн.данные.!AI230="Яр_зер"),12,30)</f>
        <v>30</v>
      </c>
      <c r="IA230" t="e">
        <f t="shared" si="348"/>
        <v>#N/A</v>
      </c>
      <c r="IB230" t="e">
        <f t="shared" si="349"/>
        <v>#N/A</v>
      </c>
      <c r="IC230" t="e">
        <f t="shared" si="350"/>
        <v>#N/A</v>
      </c>
      <c r="ID230" s="11" t="e">
        <f t="shared" si="351"/>
        <v>#N/A</v>
      </c>
      <c r="IE230" s="11" t="e">
        <f t="shared" si="352"/>
        <v>#N/A</v>
      </c>
      <c r="IF230" s="11" t="e">
        <f t="shared" si="353"/>
        <v>#N/A</v>
      </c>
    </row>
    <row r="231" spans="35:240" x14ac:dyDescent="0.2">
      <c r="AI231">
        <f>IF(Исходн.данные.!I231&gt;6,1,1.85-(0.148*Исходн.данные.!I231))</f>
        <v>1.85</v>
      </c>
      <c r="AJ231">
        <f>IF(Исходн.данные.!I231&gt;6,1,2.434-(0.246*Исходн.данные.!I231))</f>
        <v>2.4340000000000002</v>
      </c>
      <c r="AL231" s="148" t="b">
        <f>IF(Исходн.данные.!$P231="Ум",N_OrgUd_2g_um,IF(Исходн.данные.!$P231="Об",N_OrgUd_2g_ob))</f>
        <v>0</v>
      </c>
      <c r="AM231" s="148" t="b">
        <f>IF(Исходн.данные.!$P231="Ум",P_OrgUd_2g_um,IF(Исходн.данные.!$P231="Об",P_OrgUd_2g_ob))</f>
        <v>0</v>
      </c>
      <c r="AN231" s="148" t="b">
        <f>IF(Исходн.данные.!$P231="Ум",K_OrgUd_2g_um,IF(Исходн.данные.!$P231="Об",K_OrgUd_2g_ob))</f>
        <v>0</v>
      </c>
      <c r="AO231" s="148" t="b">
        <f>IF(Исходн.данные.!$P231="Ум",N_OrgUd_1g_um,IF(Исходн.данные.!$P231="Об",N_OrgUd_1g_ob))</f>
        <v>0</v>
      </c>
      <c r="AP231" s="148" t="b">
        <f>IF(Исходн.данные.!$P231="Ум",P_OrgUd_1g_um,IF(Исходн.данные.!$P231="Об",P_OrgUd_1g_ob))</f>
        <v>0</v>
      </c>
      <c r="AQ231" s="148" t="b">
        <f>IF(Исходн.данные.!$P231="Ум",K_OrgUd_1g_um,IF(Исходн.данные.!$P231="Об",K_OrgUd_1g_ob))</f>
        <v>0</v>
      </c>
      <c r="AR231" t="b">
        <f>IF(Исходн.данные.!$P231="Ум",N_MinUd_2g_um,IF(Исходн.данные.!$P231="Об",N_MinUd_2g_ob))</f>
        <v>0</v>
      </c>
      <c r="AS231" t="b">
        <f>IF(Исходн.данные.!$P231="Ум",P_MinUd_2g_um,IF(Исходн.данные.!$P231="Об",P_MinUd_2g_ob))</f>
        <v>0</v>
      </c>
      <c r="AT231" t="b">
        <f>IF(Исходн.данные.!$P231="Ум",K_MinUd_2g_um,IF(Исходн.данные.!$P231="Об",K_MinUd_2g_ob))</f>
        <v>0</v>
      </c>
      <c r="AU231" t="b">
        <f>IF(Исходн.данные.!$P231="Ум",N_MinUd_1g_um,IF(Исходн.данные.!$P231="Об",N_MinUd_1g_ob))</f>
        <v>0</v>
      </c>
      <c r="AV231" t="b">
        <f>IF(Исходн.данные.!P231="Ум",P_MinUd_1g_um,IF(Исходн.данные.!P231="Об",P_MinUd_1g_ob))</f>
        <v>0</v>
      </c>
      <c r="AW231" t="b">
        <f>IF(Исходн.данные.!P231="Ум",K_MinUd_1g_um,IF(Исходн.данные.!P231="Об",K_MinUd_1g_ob))</f>
        <v>0</v>
      </c>
      <c r="AY231" t="e">
        <f>VLOOKUP(Исходн.данные.!T231,Справ!$A$3:$N$57,12)</f>
        <v>#N/A</v>
      </c>
      <c r="AZ231" t="e">
        <f>VLOOKUP(Исходн.данные.!T231,Справ!$A$3:$N$57,13)</f>
        <v>#N/A</v>
      </c>
      <c r="BA231" t="e">
        <f>VLOOKUP(Исходн.данные.!T231,Справ!$A$3:$N$57,14)</f>
        <v>#N/A</v>
      </c>
      <c r="BB231">
        <f>IF(Исходн.данные.!AH231=0,0,25)</f>
        <v>0</v>
      </c>
      <c r="BC231" s="141">
        <f>IF(Исходн.данные.!AH231=0,0,IF(Исходн.данные.!T231=0,25,BD231))</f>
        <v>0</v>
      </c>
      <c r="BD231" s="168" t="e">
        <f>AY231+AZ231*Исходн.данные.!U231-POWER(BA231,2)*Исходн.данные.!U231</f>
        <v>#N/A</v>
      </c>
      <c r="BE23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1" s="25">
        <f>IF(Исходн.данные.!AH231=0,0,MIN(HN231:HP231))</f>
        <v>0</v>
      </c>
      <c r="BG231" s="9">
        <f>IF(Исходн.данные.!AH231=0,0,IF((HO231+10*0.25/HG231/HL231)&lt;17,17,HO231+10*0.25/HG231/HL231))</f>
        <v>0</v>
      </c>
      <c r="BH231" s="181">
        <f>IF(Исходн.данные.!AH231=0,0,HW231*HF231*HL231/AU231*AI231+Исходн.данные.!S231*10)</f>
        <v>0</v>
      </c>
      <c r="BI231" s="10"/>
      <c r="BJ231" s="182">
        <f>IF(Исходн.данные.!AH231=0,0,IF(HX231*HG231*HL231/AV231&lt;0,0,HX231*HG231*HL231/AV231*AJ231))</f>
        <v>0</v>
      </c>
      <c r="BK231" s="182">
        <f>IF(Исходн.данные.!AH231=0,0,HY231*HH231*HM231/AW231)</f>
        <v>0</v>
      </c>
      <c r="BL231" s="10">
        <f>IF(OR(Исходн.данные.!$AH231=$BP$1,Исходн.данные.!$AH231=$BP$2),0,IF(BH231&lt;0,0,IF(OR(Исходн.данные.!T231=Расчет!$BP$1,Исходн.данные.!T231=Расчет!$BP$2,Исходн.данные.!T231=Расчет!$BT$5,Исходн.данные.!T231=Расчет!$BT$6),BH231*0.5,IF(OR(Исходн.данные.!T231=Расчет!$BS$9,Исходн.данные.!T231=Расчет!$BS$10,Исходн.данные.!T231=Расчет!$BS$11,Исходн.данные.!T231=Расчет!$BS$12,Исходн.данные.!T231=Расчет!$BP$5),BH231*0.8,BH231))))</f>
        <v>0</v>
      </c>
      <c r="BM231" s="10">
        <f>IF(OR(Исходн.данные.!$AH231=$BP$1,Исходн.данные.!$AH231=$BP$2),0,IF(BJ231&lt;0,0,IF(Исходн.данные.!I231&lt;4.5,BJ231*1.2,IF(Исходн.данные.!I231&gt;5.1,BJ231,BJ231*((5.1-Исходн.данные.!I231)*0.333+1)))))</f>
        <v>0</v>
      </c>
      <c r="BN231" s="10">
        <f>IF(OR(Исходн.данные.!$AH231=$BP$1,Исходн.данные.!$AH231=$BP$2),60-Исходн.данные.!AF231,IF(BK231&lt;0,0,IF(Исходн.данные.!I231&lt;4.5,BK231*1.2,IF(Исходн.данные.!I231&gt;5.1,BK231,BK231*((5.1-Исходн.данные.!I231)*0.333+1)))))</f>
        <v>0</v>
      </c>
      <c r="BO231" s="9">
        <f>IF(BL231&lt;0,0,BL231*Исходн.данные.!$AJ231/1000)</f>
        <v>0</v>
      </c>
      <c r="BP231" s="9">
        <f>IF(BM231&lt;0,0,BM231*Исходн.данные.!$AJ231/1000)</f>
        <v>0</v>
      </c>
      <c r="BQ231" s="9">
        <f>IF(BN231&lt;0,0,BN231*Исходн.данные.!$AJ231/1000)</f>
        <v>0</v>
      </c>
      <c r="BR231" s="9">
        <f t="shared" si="303"/>
        <v>0</v>
      </c>
      <c r="BS231" s="10" t="str">
        <f t="shared" si="304"/>
        <v>Аммофос 12:52:00</v>
      </c>
      <c r="BT231" s="10" t="str">
        <f t="shared" si="305"/>
        <v>Аммофос 12:52:00</v>
      </c>
      <c r="BU231" s="10" t="str">
        <f t="shared" si="306"/>
        <v>Диаммофоска</v>
      </c>
      <c r="BV231" s="10">
        <f t="shared" si="307"/>
        <v>0</v>
      </c>
      <c r="BW231" s="10"/>
      <c r="BX231" s="10"/>
      <c r="BY231" s="9">
        <f>IF(BL231&lt;0,0,IF(OR(Исходн.данные.!AI231=Расчет!$BU$6,Исходн.данные.!AI231=Расчет!$BU$7),Расчет!BV231,IF(Исходн.данные.!$AG231=$BV$11,BL231,IF(OR(Исходн.данные.!$AH231=$BQ$7,Исходн.данные.!$AH231=$BQ$8),CB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0,IF(Исходн.данные.!$AI231=$BU$11,"Нет",IF(BL231&gt;30,30,BL231)))))))</f>
        <v>0</v>
      </c>
      <c r="BZ231" s="9">
        <f>IF(AND(Исходн.данные.!$AG231=$BV$11,BM231&lt;10),10,IF(Исходн.данные.!$AG231=$BV$11,BM231,IF(OR(Исходн.данные.!$AH231=$BQ$7,Исходн.данные.!$AH231=$BQ$8),CC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10,IF(Исходн.данные.!$AI231=$BU$11,"Нет",IF(BM231&gt;60,60,IF(BM231&lt;10,10,BM231)))))))</f>
        <v>10</v>
      </c>
      <c r="CA231" s="39">
        <f>IF(BN231&lt;0,0,IF(Исходн.данные.!$AG231=$BV$11,BN231,IF(OR(Исходн.данные.!$AH231=$BQ$7,Исходн.данные.!$AH231=$BQ$8),CD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0,IF(Исходн.данные.!$AI231=$BU$11,"Нет",IF(BN231&gt;30,30,BN231))))))</f>
        <v>0</v>
      </c>
      <c r="CB231" s="9">
        <f t="shared" si="308"/>
        <v>0</v>
      </c>
      <c r="CC231" s="9">
        <f t="shared" si="309"/>
        <v>0</v>
      </c>
      <c r="CD231" s="9">
        <f t="shared" si="310"/>
        <v>0</v>
      </c>
      <c r="CE231" s="12">
        <f t="shared" si="311"/>
        <v>10</v>
      </c>
      <c r="CF231" s="9">
        <f t="shared" si="312"/>
        <v>0</v>
      </c>
      <c r="CG231" s="9" t="s">
        <v>231</v>
      </c>
      <c r="CH231" s="132" t="str">
        <f>IF(Исходн.данные.!AP231=Расчет!$CI$16,"Нет",IF(Исходн.данные.!AL231&gt;0,Исходн.данные.!AL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BH$4,IF(OR(Исходн.данные.!AI231=Исходн.данные.!$AI$6,Исходн.данные.!AI231=Исходн.данные.!$AI$7),Расчет!BS231,IF(AND($CF231=0,$CE231&gt;0),EV231,ER231)))))</f>
        <v>Аммофос 12:52:00</v>
      </c>
      <c r="CI231" s="274">
        <f>IF(Расчет!$CH231="Нет","Нет",IF(Исходн.данные.!$AL231&gt;0,VLOOKUP(Расчет!$CH231,АшламаДВ_Irekle,2,FALSE),VLOOKUP(Расчет!$CH231,АшламаДВ_Gomumy,2,FALSE)))</f>
        <v>0.12</v>
      </c>
      <c r="CJ231" s="274">
        <f>IF(Расчет!$CH231="Нет","Нет",IF(Исходн.данные.!$AL231&gt;0,VLOOKUP(Расчет!$CH231,АшламаДВ_Irekle,3,FALSE),VLOOKUP(Расчет!$CH231,АшламаДВ_Gomumy,3,FALSE)))</f>
        <v>0.52</v>
      </c>
      <c r="CK231" s="274">
        <f>IF(Расчет!$CH231="Нет","Нет",IF(Исходн.данные.!$AL231&gt;0,VLOOKUP(Расчет!$CH231,АшламаДВ_Irekle,4,FALSE),VLOOKUP(Расчет!$CH231,АшламаДВ_Gomumy,4,FALSE)))</f>
        <v>0</v>
      </c>
      <c r="CL231" s="70"/>
      <c r="CM231" s="70"/>
      <c r="CN231" s="70"/>
      <c r="CO231" s="70"/>
      <c r="CP231" s="70"/>
      <c r="CQ231" s="70"/>
      <c r="CR231" s="10">
        <f t="shared" si="313"/>
        <v>0</v>
      </c>
      <c r="CS231" s="10">
        <f t="shared" si="314"/>
        <v>19.23076923076923</v>
      </c>
      <c r="CT231" s="10">
        <f t="shared" si="315"/>
        <v>0</v>
      </c>
      <c r="CU231" s="39">
        <f>IF($CH231="Нет",0,IF(CI231=0,30/MIN(CJ231:CK231),IF(Исходн.данные.!$AG231=$BV$11,CR231,IF(OR(Исходн.данные.!$AH231=$BQ$7,Исходн.данные.!$AH231=$BQ$8),90/CI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0,IF(Исходн.данные.!$AI231=$BU$11,"Нет",30/CI231))))))</f>
        <v>250</v>
      </c>
      <c r="CV231" s="39">
        <f>IF($CH231="Нет",0,IF(Исходн.данные.!AH231=0,0,IF(CJ231=0,60/MIN(CI231,CK231),IF(Исходн.данные.!$AG231=$BV$11,CS231,IF(OR(Исходн.данные.!$AH231=$BQ$7,Исходн.данные.!$AH231=$BQ$8),90/CJ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10/CJ231,IF(Исходн.данные.!$AI231=$BU$11,"Нет",60/CJ231)))))))</f>
        <v>0</v>
      </c>
      <c r="CW231" s="39">
        <f>IF($CH231="Нет",0,IF(Исходн.данные.!AH231=0,0,IF(CK231=0,30/MIN(CI231:CJ231),IF(Исходн.данные.!$AG231=$BV$11,CT231,IF(OR(Исходн.данные.!$AH231=$BQ$7,Исходн.данные.!$AH231=$BQ$8),90/CK231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0,IF(Исходн.данные.!$AI231=$BU$11,"Нет",30/CK231)))))))</f>
        <v>0</v>
      </c>
      <c r="CX231" s="133">
        <f>IF(Исходн.данные.!$AG231=$BV$11,MAX(CU231:CW231),IF(OR(Исходн.данные.!$AH231=$BS$8,Исходн.данные.!$AH231=$BQ$9,Исходн.данные.!$AH231=$BQ$10,Исходн.данные.!$AH231=$BQ$11,Исходн.данные.!$AH231=$BQ$12,Исходн.данные.!$AH231=$BP$3,Исходн.данные.!$AH231=$BT$8,$FM231="Да"),CV231,MIN(CU231:CW231)))</f>
        <v>0</v>
      </c>
      <c r="CY231" s="133">
        <f>IF(Исходн.данные.!AH231=0,0,IF(CR231&gt;$CX231,$CX231,CR231))</f>
        <v>0</v>
      </c>
      <c r="CZ231" s="133">
        <f>IF(Исходн.данные.!AH231=0,0,IF(CS231&gt;$CX231,$CX231,CS231))</f>
        <v>0</v>
      </c>
      <c r="DA231" s="133">
        <f>IF(Исходн.данные.!AH231=0,0,IF(CT231&gt;$CX231,$CX231,CT231))</f>
        <v>0</v>
      </c>
      <c r="DB231" s="10">
        <f t="shared" si="316"/>
        <v>0</v>
      </c>
      <c r="DC231" s="39">
        <f>DB231*Исходн.данные.!AJ231/1000</f>
        <v>0</v>
      </c>
      <c r="DD231" s="71">
        <f t="shared" si="317"/>
        <v>0</v>
      </c>
      <c r="DE231" s="9">
        <f t="shared" si="318"/>
        <v>0</v>
      </c>
      <c r="DF231" s="9">
        <f t="shared" si="319"/>
        <v>0</v>
      </c>
      <c r="DG231" s="39">
        <f>IF(BL231&lt;0,0,IF($CH231="Нет",BL231,IF(OR(Исходн.данные.!$AH231=$BP$1,Исходн.данные.!$AH231=$BP$2),0,IF(Исходн.данные.!AI231=$BU$11,BL231,IF(BL231-DD231&lt;0,0,BL231-DD231)))))</f>
        <v>0</v>
      </c>
      <c r="DH231" s="39">
        <f>IF(BM231&lt;0,0,IF($CH231="Нет",BM231,IF(OR(Исходн.данные.!$AH231=$BP$1,Исходн.данные.!$AH231=$BP$2),0,IF(Исходн.данные.!AJ231=$BU$11,BM231,IF(BM231-DE231&lt;0,0,BM231-DE231)))))</f>
        <v>0</v>
      </c>
      <c r="DI231" s="39">
        <f>IF(BN231&lt;0,0,IF($CH231="Нет",BN231,IF(OR(Исходн.данные.!$AH231=$BP$1,Исходн.данные.!$AH231=$BP$2),0,IF(Исходн.данные.!AK231=$BU$11,BN231,IF(BN231-DF231&lt;0,0,BN231-DF231)))))</f>
        <v>0</v>
      </c>
      <c r="DJ231" s="12">
        <f t="shared" si="320"/>
        <v>0</v>
      </c>
      <c r="DK231" s="9">
        <f t="shared" si="321"/>
        <v>0</v>
      </c>
      <c r="DL231" s="39">
        <f>IF(Исходн.данные.!AM231&gt;0,Исходн.данные.!AM231,IF(EG231&gt;0,$BH$10,0))</f>
        <v>0</v>
      </c>
      <c r="DM231" s="186">
        <f>IF($DL231=0,0,IF(Исходн.данные.!AM231&gt;0,VLOOKUP($DL231,АшламаДВ_Irekle,2,FALSE),VLOOKUP($DL231,АшламаДВ_Gomumy,2,FALSE)))</f>
        <v>0</v>
      </c>
      <c r="DN231" s="10">
        <f t="shared" si="299"/>
        <v>0</v>
      </c>
      <c r="DO231" s="9" t="str">
        <f>IF(Исходн.данные.!AN231&gt;0,Исходн.данные.!AN231,Удобрения!$B$37 )</f>
        <v>Хлор.калий</v>
      </c>
      <c r="DP231" s="9">
        <f>IF(Исходн.данные.!AN231&gt;0,VLOOKUP(Исходн.данные.!AN231,АшламаДВ_Irekle,4,FALSE),VLOOKUP(DO231,АшламаДВ_Gomumy,4,FALSE))</f>
        <v>0.6</v>
      </c>
      <c r="DQ231" s="10">
        <f t="shared" si="300"/>
        <v>0</v>
      </c>
      <c r="DR231" s="132" t="str">
        <f>IF(Исходн.данные.!AO231&gt;0,Исходн.данные.!AO231,IF(DH231=0,BS$17,IF(AND($DK231=0,$DJ231&gt;0),EJ231,EN231)))</f>
        <v>Нет</v>
      </c>
      <c r="DS231" s="70" t="str">
        <f>IF($DR231="Нет","Нет",IF(Исходн.данные.!$AO231&gt;0,VLOOKUP($DR231,АшламаДВ_Irekle,2,FALSE),VLOOKUP($DR231,АшламаДВ_Gomumy,2,FALSE)))</f>
        <v>Нет</v>
      </c>
      <c r="DT231" s="70" t="str">
        <f>IF($DR231="Нет","Нет",IF(Исходн.данные.!$AO231&gt;0,VLOOKUP($DR231,АшламаДВ_Irekle,3,FALSE),VLOOKUP($DR231,АшламаДВ_Gomumy,3,FALSE)))</f>
        <v>Нет</v>
      </c>
      <c r="DU231" s="70" t="str">
        <f>IF($DR231="Нет","Нет",IF(Исходн.данные.!$AO231&gt;0,VLOOKUP($DR231,АшламаДВ_Irekle,4,FALSE),VLOOKUP($DR231,АшламаДВ_Gomumy,4,FALSE)))</f>
        <v>Нет</v>
      </c>
      <c r="DV231" s="70"/>
      <c r="DW231" s="70"/>
      <c r="DX231" s="70"/>
      <c r="DY231" s="10">
        <f t="shared" si="322"/>
        <v>0</v>
      </c>
      <c r="DZ231" s="10">
        <f t="shared" si="323"/>
        <v>0</v>
      </c>
      <c r="EA231" s="10">
        <f t="shared" si="324"/>
        <v>0</v>
      </c>
      <c r="EB231" s="10">
        <f t="shared" si="325"/>
        <v>0</v>
      </c>
      <c r="EC231" s="10">
        <f t="shared" si="326"/>
        <v>0</v>
      </c>
      <c r="ED231" s="10">
        <f t="shared" si="327"/>
        <v>0</v>
      </c>
      <c r="EE231" s="10">
        <f t="shared" si="328"/>
        <v>0</v>
      </c>
      <c r="EF231" s="39">
        <f>EB231*Исходн.данные.!AJ231/1000</f>
        <v>0</v>
      </c>
      <c r="EG231" s="9">
        <f t="shared" si="329"/>
        <v>0</v>
      </c>
      <c r="EH231" s="9">
        <f t="shared" si="330"/>
        <v>0</v>
      </c>
      <c r="EI231" s="39" t="e">
        <f t="shared" si="280"/>
        <v>#DIV/0!</v>
      </c>
      <c r="EJ231" s="9" t="str">
        <f t="shared" si="301"/>
        <v>Азопреципитат</v>
      </c>
      <c r="EK231" s="12">
        <f t="shared" si="281"/>
        <v>0.26</v>
      </c>
      <c r="EL231" s="12">
        <f t="shared" si="282"/>
        <v>0.13</v>
      </c>
      <c r="EM231" s="12">
        <f t="shared" si="283"/>
        <v>0</v>
      </c>
      <c r="EN231" s="12" t="str">
        <f t="shared" si="302"/>
        <v>Нет</v>
      </c>
      <c r="EO231" s="12">
        <f t="shared" si="284"/>
        <v>0</v>
      </c>
      <c r="EP231" s="12">
        <f t="shared" si="285"/>
        <v>0</v>
      </c>
      <c r="EQ231" s="12">
        <f t="shared" si="286"/>
        <v>0</v>
      </c>
      <c r="ER231" s="12" t="str">
        <f t="shared" si="331"/>
        <v>Диаммофоска</v>
      </c>
      <c r="ES231" s="12">
        <f t="shared" si="287"/>
        <v>0.1</v>
      </c>
      <c r="ET231" s="12">
        <f t="shared" si="288"/>
        <v>0.26</v>
      </c>
      <c r="EU231" s="12">
        <f t="shared" si="289"/>
        <v>0.26</v>
      </c>
      <c r="EV231" s="12" t="str">
        <f t="shared" si="332"/>
        <v>Аммофос 12:52:00</v>
      </c>
      <c r="EW231" s="12" t="str">
        <f t="shared" si="333"/>
        <v>Кемира Свекловичное-6</v>
      </c>
      <c r="EX231" s="12">
        <f t="shared" si="290"/>
        <v>0.16</v>
      </c>
      <c r="EY231" s="12">
        <f t="shared" si="291"/>
        <v>0.12</v>
      </c>
      <c r="EZ231" s="12">
        <f t="shared" si="292"/>
        <v>0.17</v>
      </c>
      <c r="FA231" s="38" t="e">
        <f>IF(AND(OR(FJ231=$FD$1,FM231=$FD$1,FO231=$FD$1,FQ231=$FD$1,FS231=$FD$1),FD231=$FD$1,Исходн.данные.!J231&lt;2,FU231=$FD$1),"Бор,Кобальт",IF(AND(FO231=$FD$1,FH231=$FD$1,Исходн.данные.!J231&lt;2,FU231=$FD$1),"Бор,Кобальт",IF(AND(OR(FJ231=$FD$1,FM231=$FD$1,FQ231=$FD$1),FE231=$FD$1,Исходн.данные.!J231&lt;2,FT231=$FD$1,FU231=$FD$1),"Бор,Медь,Цинк",IF(AND(OR(FJ231=$FD$1,FR231="Да"),FI231="Да",Исходн.данные.!J231&lt;2,FT231="Да",FU231="Да"),"Бор,Цинк,Медь",IF(AND(OR(FM231="Да",FQ231="Да"),FI231="Да",Исходн.данные.!J231&lt;2,FT231="Да",FU231="Да"),"Бор,Цинк",IF(AND(FN231="Да",OR(FD231="Да",FE231="Да")),"Бор",FB231))))))</f>
        <v>#N/A</v>
      </c>
      <c r="FB231" s="134" t="e">
        <f>IF(AND(OR(FD231="Да",FE231="Да",FF231="Да",FG231="Да",FH231="Да"),FO231="Да"),"Бор",IF(AND(FP231="Да",OR(FD231="Да",FE231="Да",FI231="Да")),"Бор",IF(AND(FS231="Да",FE231="Да"),"Бор,Медь",IF(AND(OR(FJ231="Да",FK231="Да",FL231="Да"),FE231="Да",Исходн.данные.!I231&lt;5,FT231="Да",FU231="Да"),"Молибден,Цинк",IF(AND(FM231="Да",OR(FE231="Да",FF231="Да",FG231="Да",FH231="Да",FI231="Да")),"Молибден,Цинк",IF(AND(OR(FJ231="Да",FK231="Да",FL231="Да",FM231="Да",FQ231="Да"),OR(FE231="Да",FF231="Да"),FT231="Да",FU231="Да",Исходн.данные.!I231&gt;5.5),"Медь,Цинк",FC231))))))</f>
        <v>#N/A</v>
      </c>
      <c r="FC231" s="23" t="e">
        <f t="shared" si="334"/>
        <v>#N/A</v>
      </c>
      <c r="FD231" s="38" t="str">
        <f>IF(OR(Исходн.данные.!F231=$CC$1,Исходн.данные.!F231=$CC$2,Исходн.данные.!F231=$CC$3,Исходн.данные.!F231=$CC$4),"Да","Нет")</f>
        <v>Нет</v>
      </c>
      <c r="FE231" s="38" t="str">
        <f>IF(Исходн.данные.!F231=$CC$5,"Да","Нет")</f>
        <v>Нет</v>
      </c>
      <c r="FF231" s="38" t="str">
        <f>IF(OR(Исходн.данные.!F231=$CC$6,Исходн.данные.!F231=$CC$7),"Да","Нет")</f>
        <v>Нет</v>
      </c>
      <c r="FG231" s="38" t="str">
        <f>IF(OR(Исходн.данные.!F231=$CC$8,Исходн.данные.!F231=$CC$9),"Да","Нет")</f>
        <v>Нет</v>
      </c>
      <c r="FH231" s="38" t="str">
        <f>IF(Исходн.данные.!F231=$CC$10,"Да","Нет")</f>
        <v>Нет</v>
      </c>
      <c r="FI231" s="38" t="str">
        <f>IF(OR(Исходн.данные.!F231=$CC$11,Исходн.данные.!F231=$CC$12),"Да","Нет")</f>
        <v>Нет</v>
      </c>
      <c r="FJ231" s="38" t="str">
        <f>IF(OR(Исходн.данные.!AH231=$BS$1,Исходн.данные.!AH231=$BQ$11,Исходн.данные.!AH231=$BQ$12),"Да","Нет")</f>
        <v>Нет</v>
      </c>
      <c r="FK231" s="38" t="str">
        <f>IF(OR(Исходн.данные.!AH231=$BS$2,Исходн.данные.!AH231=$BS$4),"Да","Нет")</f>
        <v>Нет</v>
      </c>
      <c r="FL231" s="38" t="str">
        <f>IF(OR(Исходн.данные.!AH231=$BS$3,Исходн.данные.!AH231=$BS$5),"Да","Нет")</f>
        <v>Нет</v>
      </c>
      <c r="FM231" s="38" t="str">
        <f>IF(OR(Исходн.данные.!AH231=$BS$9,Исходн.данные.!AH231=$BS$10,Исходн.данные.!AH231=$BS$11,Исходн.данные.!AH231=$BS$12),"Да","Нет")</f>
        <v>Нет</v>
      </c>
      <c r="FN231" s="38" t="str">
        <f>IF(OR(Исходн.данные.!AH231=$BS$6,Исходн.данные.!AH231=$BP$3),"Да","Нет")</f>
        <v>Нет</v>
      </c>
      <c r="FO231" s="38" t="str">
        <f>IF(Исходн.данные.!AH231=$BQ$9,"Да","Нет")</f>
        <v>Нет</v>
      </c>
      <c r="FP231" s="38" t="str">
        <f>IF(OR(Исходн.данные.!AH231=$BS$8,Исходн.данные.!AH231=$BT$8),"Да","Нет")</f>
        <v>Нет</v>
      </c>
      <c r="FQ231" s="38" t="str">
        <f>IF(OR(Исходн.данные.!AH231=$BQ$7,Исходн.данные.!AH231=$BQ$8),"Да","Нет")</f>
        <v>Нет</v>
      </c>
      <c r="FR231" s="38" t="str">
        <f>IF(Исходн.данные.!AI231=$BU$9,"Да","Нет")</f>
        <v>Нет</v>
      </c>
      <c r="FS231" s="38" t="str">
        <f>IF(OR(Исходн.данные.!AH231=$BP$1,Исходн.данные.!AH231=$BP$2),"Да","Нет")</f>
        <v>Нет</v>
      </c>
      <c r="FT231" s="38" t="e">
        <f>IF((Исходн.данные.!K231*GO231*GS231*GW231+BL231*0.6+Исходн.данные.!Q231*4.5*0.275)&gt;90,"Да","Нет")</f>
        <v>#N/A</v>
      </c>
      <c r="FU231" s="38" t="e">
        <f>IF((Исходн.данные.!M231*GS231*GZ231+BM231*0.225)&gt;35,"Да","Нет")</f>
        <v>#N/A</v>
      </c>
      <c r="FV231" s="38" t="str">
        <f>IF(Исходн.данные.!O231&gt;175,"Да","Нет")</f>
        <v>Нет</v>
      </c>
      <c r="FW231" s="39" t="str">
        <f>IF(Исходн.данные.!I231&gt;5.5,"Да","Нет")</f>
        <v>Нет</v>
      </c>
      <c r="FX231" s="39" t="str">
        <f>IF(Исходн.данные.!J231&lt;2,"Да","Нет")</f>
        <v>Да</v>
      </c>
      <c r="FY231" s="39" t="e">
        <f>IF(HF231=$FY$16,0,Исходн.данные.!K231*GO231*GS231*GW231/HF231)</f>
        <v>#N/A</v>
      </c>
      <c r="FZ231" s="39" t="e">
        <f>Исходн.данные.!M231*GS231*GZ231/HG231</f>
        <v>#N/A</v>
      </c>
      <c r="GA231" s="39" t="e">
        <f>IF(K_Wyn=$FY$16,0,IF(Исходн.данные.!N231=Исходн.данные.!$L$10,Исходн.данные.!O231/1.1*GS231*HC231/HH231,IF(Исходн.данные.!N231=Исходн.данные.!$L$12,Исходн.данные.!O231/1.5*GS231*HC231/HH231,Исходн.данные.!O231*GS231*HC231/HH231)))</f>
        <v>#N/A</v>
      </c>
      <c r="GB231" s="39" t="e">
        <f>IF(HF231=$FY$16,0,((Исходн.данные.!Q231*N_Org+Исходн.данные.!R231*N_Sider+Исходн.данные.!S231*N_Soloma)*AO231+Расчет!BC231*VLOOKUP(Исходн.данные.!T231,Справ!$A$3:$O$57,15)*AO231+BB231*VLOOKUP(Исходн.данные.!T231,Справ!$A$3:$O$57,15)*AL231+(Исходн.данные.!V231*N_Rizotorf+Исходн.данные.!W231*N_Rizoagr))/HF231)</f>
        <v>#N/A</v>
      </c>
      <c r="GC231" s="39" t="e">
        <f>IF(HG231=$FY$16,0,((Исходн.данные.!Q231*Р_Org+Исходн.данные.!R231*P_Sider+Исходн.данные.!S231*P_Soloma)*AP231+Расчет!BC231*VLOOKUP(Исходн.данные.!T231,Справ!$A$3:$P$57,16)*AP231+BB231*VLOOKUP(Исходн.данные.!T231,Справ!$A$3:$P$57,16)*AM231)/HG231)</f>
        <v>#N/A</v>
      </c>
      <c r="GD231" s="39" t="e">
        <f>IF(HH231=$FY$16,0,((Исходн.данные.!Q231*К_Org+Исходн.данные.!R231*K_Sider+Исходн.данные.!S231*K_Soloma)*AQ231+Расчет!BC231*VLOOKUP(Исходн.данные.!T231,Справ!$A$3:$Q$57,17)*AQ231+BB231*VLOOKUP(Исходн.данные.!T231,Справ!$A$3:$Q$57,17)*AN231)/HH231)</f>
        <v>#N/A</v>
      </c>
      <c r="GE231" s="39" t="e">
        <f>IF(HF231=$FY$16,0,(Исходн.данные.!X231*AR231+Исходн.данные.!AA231*N_Org*AL231+Исходн.данные.!AB231*N_Sider*AL231+Исходн.данные.!AC231*N_Soloma*AL231)/HF231)</f>
        <v>#N/A</v>
      </c>
      <c r="GF231" s="39" t="e">
        <f>IF(HG231=$FY$16,0,(Исходн.данные.!Y231*AS231+Исходн.данные.!AA231*Р_Org*AM231+Исходн.данные.!AB231*P_Sider*AM231+Исходн.данные.!AC231*P_Soloma*AM231)/HG231)</f>
        <v>#N/A</v>
      </c>
      <c r="GG231" s="39" t="e">
        <f>IF(HH231=$FY$16,0,(Исходн.данные.!Z231*AT231+Исходн.данные.!AA231*К_Org*AN231+Исходн.данные.!AB231*K_Sider*AN231+Исходн.данные.!AC231*K_Soloma*AN231)/HH231)</f>
        <v>#N/A</v>
      </c>
      <c r="GH231" s="39" t="e">
        <f>Исходн.данные.!AD231*AU231/HF231</f>
        <v>#N/A</v>
      </c>
      <c r="GI231" s="39" t="e">
        <f>Исходн.данные.!AE231*AV231/HG231</f>
        <v>#N/A</v>
      </c>
      <c r="GJ231" s="39" t="e">
        <f>Исходн.данные.!AF231*AW231/HH231</f>
        <v>#N/A</v>
      </c>
      <c r="GK231" s="55">
        <f>Исходн.данные.!AK231</f>
        <v>0</v>
      </c>
      <c r="GL231" s="11" t="e">
        <f t="shared" si="335"/>
        <v>#N/A</v>
      </c>
      <c r="GM231" s="11" t="e">
        <f t="shared" si="336"/>
        <v>#N/A</v>
      </c>
      <c r="GN231" s="11" t="e">
        <f t="shared" si="337"/>
        <v>#N/A</v>
      </c>
      <c r="GO231" s="57">
        <f t="shared" si="338"/>
        <v>19</v>
      </c>
      <c r="GP231" s="55">
        <f>IF(OR(Исходн.данные.!F231=$CE$1,Исходн.данные.!F231=$CE$2,Исходн.данные.!F231=$CE$3,Исходн.данные.!F231=$CE$4,Исходн.данные.!F231=$CE$5),GQ231,GR231)</f>
        <v>19</v>
      </c>
      <c r="GQ231" s="55">
        <f>IF(Исходн.данные.!F231=$CE$1,28,IF(Исходн.данные.!F231=$CE$2,26,IF(Исходн.данные.!F231=$CE$3,24,IF(Исходн.данные.!F231=$CE$4,22,IF(Исходн.данные.!F231=$CE$5,20,GR231)))))</f>
        <v>19</v>
      </c>
      <c r="GR231" s="55">
        <f>IF(Исходн.данные.!F231=$CE$6,18,IF(Исходн.данные.!F231=$CE$7,16,IF(Исходн.данные.!F231=$CE$8,14,IF(Исходн.данные.!F231=$CE$9,13,IF(Исходн.данные.!F231=$CE$10,12,19)))))</f>
        <v>19</v>
      </c>
      <c r="GS231" s="55">
        <f>IF(Исходн.данные.!G231="Пес",0.035*(40+2*Исходн.данные.!H231),IF(Исходн.данные.!G231="Суп",0.0325*(40+2*Исходн.данные.!H231),0.03*(40+2*Исходн.данные.!H231)))</f>
        <v>1.2</v>
      </c>
      <c r="GT231" s="55">
        <f>IF(Исходн.данные.!H231&lt;23,2.6,IF(AND(Исходн.данные.!H231&gt;22,Исходн.данные.!H231&lt;26),3,IF(AND(Исходн.данные.!H231&gt;25,Исходн.данные.!H231&lt;29),3.4,3.6)))</f>
        <v>2.6</v>
      </c>
      <c r="GU231" s="55">
        <f>IF(Исходн.данные.!H231&lt;23,2.8,IF(AND(Исходн.данные.!H231&gt;22,Исходн.данные.!H231&lt;26),3.2,IF(AND(Исходн.данные.!H231&gt;25,Исходн.данные.!H231&lt;29),3.6,3.9)))</f>
        <v>2.8</v>
      </c>
      <c r="GV231" s="55">
        <f>IF(Исходн.данные.!H231&lt;23,3,IF(AND(Исходн.данные.!H231&gt;22,Исходн.данные.!H231&lt;26),3.5,IF(AND(Исходн.данные.!H231&gt;25,Исходн.данные.!H231&lt;29),3.9,4.2)))</f>
        <v>3</v>
      </c>
      <c r="GW231" s="55" t="e">
        <f>IF(Исходн.данные.!P231="Ум",GX231,GY231)</f>
        <v>#N/A</v>
      </c>
      <c r="GX231" s="55" t="e">
        <f>VLOOKUP(Исходн.данные.!AI231,Коэффициенты!$J$7:$L$13,2,FALSE)</f>
        <v>#N/A</v>
      </c>
      <c r="GY231" s="55" t="e">
        <f>VLOOKUP(Исходн.данные.!AI231,Коэффициенты!$J$7:$L$13,3,FALSE)</f>
        <v>#N/A</v>
      </c>
      <c r="GZ231" s="55" t="e">
        <f>(IF(Исходн.данные.!M231&lt;50,0.11*VLOOKUP(Исходн.данные.!AH231,Культуры.Информация,7,FALSE),IF(Исходн.данные.!M231&gt;250,0.05*VLOOKUP(Исходн.данные.!AH231,Культуры.Информация,7,FALSE),VLOOKUP(Исходн.данные.!AH231,Культуры.Информация,5,FALSE)/100*($GX$6+$GY$6*Исходн.данные.!M231))))*Расчет2!AI231</f>
        <v>#N/A</v>
      </c>
      <c r="HA231" s="211"/>
      <c r="HB231" s="211"/>
      <c r="HC231" s="55" t="e">
        <f>(IF(Исходн.данные.!O231&lt;80,0.2*VLOOKUP(Исходн.данные.!AH231,Культуры.Информация,8,FALSE),IF(Исходн.данные.!O231&gt;240,0.09*VLOOKUP(Исходн.данные.!AH231,Культуры.Информация,8,FALSE),VLOOKUP(Исходн.данные.!AH231,Культуры.Информация,6,FALSE)/100*($HB$6+$HC$6*Исходн.данные.!O231))))*Расчет2!AJ231</f>
        <v>#N/A</v>
      </c>
      <c r="HD231" s="55">
        <f>IF(Исходн.данные.!O231&gt;240,0.09,IF(Исходн.данные.!O231&lt;30,0.3,$HE$10+$HD$10*Исходн.данные.!O231))</f>
        <v>0.3</v>
      </c>
      <c r="HE231" s="55">
        <f>IF(Исходн.данные.!O231&gt;240,0.17,IF(Исходн.данные.!O231&lt;30,0.5,$HF$12+$HE$12*Исходн.данные.!O231))</f>
        <v>0.5</v>
      </c>
      <c r="HF231" s="55" t="e">
        <f>VLOOKUP(Исходн.данные.!AH231,Справ!$A$3:$D$58,2,FALSE)</f>
        <v>#N/A</v>
      </c>
      <c r="HG231" s="55" t="e">
        <f>VLOOKUP(Исходн.данные.!AH231,Справ!$A$3:$D$58,3,FALSE)</f>
        <v>#N/A</v>
      </c>
      <c r="HH231" s="55" t="e">
        <f>VLOOKUP(Исходн.данные.!AH231,Справ!$A$3:$D$58,4,FALSE)</f>
        <v>#N/A</v>
      </c>
      <c r="HI231" s="11" t="e">
        <f t="shared" si="339"/>
        <v>#N/A</v>
      </c>
      <c r="HJ231" s="11" t="e">
        <f t="shared" si="340"/>
        <v>#N/A</v>
      </c>
      <c r="HK231" s="11" t="e">
        <f t="shared" si="341"/>
        <v>#N/A</v>
      </c>
      <c r="HL231" s="55">
        <f>IF(OR(Исходн.данные.!G231="Глин",Исходн.данные.!G231="Т_суг"),1.1,IF(Исходн.данные.!G231="Ср_суг",1,1))</f>
        <v>1</v>
      </c>
      <c r="HM231" s="55">
        <f>IF(OR(Исходн.данные.!G231="Глин",Исходн.данные.!G231="Т_суг"),0.9,IF(Исходн.данные.!G231="Ср_суг",1,1.2))</f>
        <v>1.2</v>
      </c>
      <c r="HN231" s="11" t="e">
        <f t="shared" si="342"/>
        <v>#N/A</v>
      </c>
      <c r="HO231" s="11" t="e">
        <f t="shared" si="343"/>
        <v>#N/A</v>
      </c>
      <c r="HP231" s="11" t="e">
        <f t="shared" si="344"/>
        <v>#N/A</v>
      </c>
      <c r="HQ231" t="e">
        <f t="shared" si="345"/>
        <v>#N/A</v>
      </c>
      <c r="HR231" t="e">
        <f t="shared" si="346"/>
        <v>#N/A</v>
      </c>
      <c r="HS231" t="e">
        <f t="shared" si="347"/>
        <v>#N/A</v>
      </c>
      <c r="HT231" t="e">
        <f t="shared" si="293"/>
        <v>#N/A</v>
      </c>
      <c r="HU231" t="e">
        <f t="shared" si="294"/>
        <v>#N/A</v>
      </c>
      <c r="HV231" t="e">
        <f t="shared" si="295"/>
        <v>#N/A</v>
      </c>
      <c r="HW231" t="e">
        <f t="shared" si="296"/>
        <v>#N/A</v>
      </c>
      <c r="HX231" t="e">
        <f t="shared" si="297"/>
        <v>#N/A</v>
      </c>
      <c r="HY231" t="e">
        <f t="shared" si="298"/>
        <v>#N/A</v>
      </c>
      <c r="HZ231" s="55">
        <f>IF(OR(Исходн.данные.!AI231="Оз_Ч_П",Исходн.данные.!AI231="Оз_З_П",Исходн.данные.!AI231="Яр_зер"),12,30)</f>
        <v>30</v>
      </c>
      <c r="IA231" t="e">
        <f t="shared" si="348"/>
        <v>#N/A</v>
      </c>
      <c r="IB231" t="e">
        <f t="shared" si="349"/>
        <v>#N/A</v>
      </c>
      <c r="IC231" t="e">
        <f t="shared" si="350"/>
        <v>#N/A</v>
      </c>
      <c r="ID231" s="11" t="e">
        <f t="shared" si="351"/>
        <v>#N/A</v>
      </c>
      <c r="IE231" s="11" t="e">
        <f t="shared" si="352"/>
        <v>#N/A</v>
      </c>
      <c r="IF231" s="11" t="e">
        <f t="shared" si="353"/>
        <v>#N/A</v>
      </c>
    </row>
    <row r="232" spans="35:240" x14ac:dyDescent="0.2">
      <c r="AI232">
        <f>IF(Исходн.данные.!I232&gt;6,1,1.85-(0.148*Исходн.данные.!I232))</f>
        <v>1.85</v>
      </c>
      <c r="AJ232">
        <f>IF(Исходн.данные.!I232&gt;6,1,2.434-(0.246*Исходн.данные.!I232))</f>
        <v>2.4340000000000002</v>
      </c>
      <c r="AL232" s="148" t="b">
        <f>IF(Исходн.данные.!$P232="Ум",N_OrgUd_2g_um,IF(Исходн.данные.!$P232="Об",N_OrgUd_2g_ob))</f>
        <v>0</v>
      </c>
      <c r="AM232" s="148" t="b">
        <f>IF(Исходн.данные.!$P232="Ум",P_OrgUd_2g_um,IF(Исходн.данные.!$P232="Об",P_OrgUd_2g_ob))</f>
        <v>0</v>
      </c>
      <c r="AN232" s="148" t="b">
        <f>IF(Исходн.данные.!$P232="Ум",K_OrgUd_2g_um,IF(Исходн.данные.!$P232="Об",K_OrgUd_2g_ob))</f>
        <v>0</v>
      </c>
      <c r="AO232" s="148" t="b">
        <f>IF(Исходн.данные.!$P232="Ум",N_OrgUd_1g_um,IF(Исходн.данные.!$P232="Об",N_OrgUd_1g_ob))</f>
        <v>0</v>
      </c>
      <c r="AP232" s="148" t="b">
        <f>IF(Исходн.данные.!$P232="Ум",P_OrgUd_1g_um,IF(Исходн.данные.!$P232="Об",P_OrgUd_1g_ob))</f>
        <v>0</v>
      </c>
      <c r="AQ232" s="148" t="b">
        <f>IF(Исходн.данные.!$P232="Ум",K_OrgUd_1g_um,IF(Исходн.данные.!$P232="Об",K_OrgUd_1g_ob))</f>
        <v>0</v>
      </c>
      <c r="AR232" t="b">
        <f>IF(Исходн.данные.!$P232="Ум",N_MinUd_2g_um,IF(Исходн.данные.!$P232="Об",N_MinUd_2g_ob))</f>
        <v>0</v>
      </c>
      <c r="AS232" t="b">
        <f>IF(Исходн.данные.!$P232="Ум",P_MinUd_2g_um,IF(Исходн.данные.!$P232="Об",P_MinUd_2g_ob))</f>
        <v>0</v>
      </c>
      <c r="AT232" t="b">
        <f>IF(Исходн.данные.!$P232="Ум",K_MinUd_2g_um,IF(Исходн.данные.!$P232="Об",K_MinUd_2g_ob))</f>
        <v>0</v>
      </c>
      <c r="AU232" t="b">
        <f>IF(Исходн.данные.!$P232="Ум",N_MinUd_1g_um,IF(Исходн.данные.!$P232="Об",N_MinUd_1g_ob))</f>
        <v>0</v>
      </c>
      <c r="AV232" t="b">
        <f>IF(Исходн.данные.!P232="Ум",P_MinUd_1g_um,IF(Исходн.данные.!P232="Об",P_MinUd_1g_ob))</f>
        <v>0</v>
      </c>
      <c r="AW232" t="b">
        <f>IF(Исходн.данные.!P232="Ум",K_MinUd_1g_um,IF(Исходн.данные.!P232="Об",K_MinUd_1g_ob))</f>
        <v>0</v>
      </c>
      <c r="AY232" t="e">
        <f>VLOOKUP(Исходн.данные.!T232,Справ!$A$3:$N$57,12)</f>
        <v>#N/A</v>
      </c>
      <c r="AZ232" t="e">
        <f>VLOOKUP(Исходн.данные.!T232,Справ!$A$3:$N$57,13)</f>
        <v>#N/A</v>
      </c>
      <c r="BA232" t="e">
        <f>VLOOKUP(Исходн.данные.!T232,Справ!$A$3:$N$57,14)</f>
        <v>#N/A</v>
      </c>
      <c r="BB232">
        <f>IF(Исходн.данные.!AH232=0,0,25)</f>
        <v>0</v>
      </c>
      <c r="BC232" s="141">
        <f>IF(Исходн.данные.!AH232=0,0,IF(Исходн.данные.!T232=0,25,BD232))</f>
        <v>0</v>
      </c>
      <c r="BD232" s="168" t="e">
        <f>AY232+AZ232*Исходн.данные.!U232-POWER(BA232,2)*Исходн.данные.!U232</f>
        <v>#N/A</v>
      </c>
      <c r="BE23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2" s="25">
        <f>IF(Исходн.данные.!AH232=0,0,MIN(HN232:HP232))</f>
        <v>0</v>
      </c>
      <c r="BG232" s="9">
        <f>IF(Исходн.данные.!AH232=0,0,IF((HO232+10*0.25/HG232/HL232)&lt;17,17,HO232+10*0.25/HG232/HL232))</f>
        <v>0</v>
      </c>
      <c r="BH232" s="181">
        <f>IF(Исходн.данные.!AH232=0,0,HW232*HF232*HL232/AU232*AI232+Исходн.данные.!S232*10)</f>
        <v>0</v>
      </c>
      <c r="BI232" s="10"/>
      <c r="BJ232" s="182">
        <f>IF(Исходн.данные.!AH232=0,0,IF(HX232*HG232*HL232/AV232&lt;0,0,HX232*HG232*HL232/AV232*AJ232))</f>
        <v>0</v>
      </c>
      <c r="BK232" s="182">
        <f>IF(Исходн.данные.!AH232=0,0,HY232*HH232*HM232/AW232)</f>
        <v>0</v>
      </c>
      <c r="BL232" s="10">
        <f>IF(OR(Исходн.данные.!$AH232=$BP$1,Исходн.данные.!$AH232=$BP$2),0,IF(BH232&lt;0,0,IF(OR(Исходн.данные.!T232=Расчет!$BP$1,Исходн.данные.!T232=Расчет!$BP$2,Исходн.данные.!T232=Расчет!$BT$5,Исходн.данные.!T232=Расчет!$BT$6),BH232*0.5,IF(OR(Исходн.данные.!T232=Расчет!$BS$9,Исходн.данные.!T232=Расчет!$BS$10,Исходн.данные.!T232=Расчет!$BS$11,Исходн.данные.!T232=Расчет!$BS$12,Исходн.данные.!T232=Расчет!$BP$5),BH232*0.8,BH232))))</f>
        <v>0</v>
      </c>
      <c r="BM232" s="10">
        <f>IF(OR(Исходн.данные.!$AH232=$BP$1,Исходн.данные.!$AH232=$BP$2),0,IF(BJ232&lt;0,0,IF(Исходн.данные.!I232&lt;4.5,BJ232*1.2,IF(Исходн.данные.!I232&gt;5.1,BJ232,BJ232*((5.1-Исходн.данные.!I232)*0.333+1)))))</f>
        <v>0</v>
      </c>
      <c r="BN232" s="10">
        <f>IF(OR(Исходн.данные.!$AH232=$BP$1,Исходн.данные.!$AH232=$BP$2),60-Исходн.данные.!AF232,IF(BK232&lt;0,0,IF(Исходн.данные.!I232&lt;4.5,BK232*1.2,IF(Исходн.данные.!I232&gt;5.1,BK232,BK232*((5.1-Исходн.данные.!I232)*0.333+1)))))</f>
        <v>0</v>
      </c>
      <c r="BO232" s="9">
        <f>IF(BL232&lt;0,0,BL232*Исходн.данные.!$AJ232/1000)</f>
        <v>0</v>
      </c>
      <c r="BP232" s="9">
        <f>IF(BM232&lt;0,0,BM232*Исходн.данные.!$AJ232/1000)</f>
        <v>0</v>
      </c>
      <c r="BQ232" s="9">
        <f>IF(BN232&lt;0,0,BN232*Исходн.данные.!$AJ232/1000)</f>
        <v>0</v>
      </c>
      <c r="BR232" s="9">
        <f t="shared" si="303"/>
        <v>0</v>
      </c>
      <c r="BS232" s="10" t="str">
        <f t="shared" si="304"/>
        <v>Аммофос 12:52:00</v>
      </c>
      <c r="BT232" s="10" t="str">
        <f t="shared" si="305"/>
        <v>Аммофос 12:52:00</v>
      </c>
      <c r="BU232" s="10" t="str">
        <f t="shared" si="306"/>
        <v>Диаммофоска</v>
      </c>
      <c r="BV232" s="10">
        <f t="shared" si="307"/>
        <v>0</v>
      </c>
      <c r="BW232" s="10"/>
      <c r="BX232" s="10"/>
      <c r="BY232" s="9">
        <f>IF(BL232&lt;0,0,IF(OR(Исходн.данные.!AI232=Расчет!$BU$6,Исходн.данные.!AI232=Расчет!$BU$7),Расчет!BV232,IF(Исходн.данные.!$AG232=$BV$11,BL232,IF(OR(Исходн.данные.!$AH232=$BQ$7,Исходн.данные.!$AH232=$BQ$8),CB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0,IF(Исходн.данные.!$AI232=$BU$11,"Нет",IF(BL232&gt;30,30,BL232)))))))</f>
        <v>0</v>
      </c>
      <c r="BZ232" s="9">
        <f>IF(AND(Исходн.данные.!$AG232=$BV$11,BM232&lt;10),10,IF(Исходн.данные.!$AG232=$BV$11,BM232,IF(OR(Исходн.данные.!$AH232=$BQ$7,Исходн.данные.!$AH232=$BQ$8),CC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10,IF(Исходн.данные.!$AI232=$BU$11,"Нет",IF(BM232&gt;60,60,IF(BM232&lt;10,10,BM232)))))))</f>
        <v>10</v>
      </c>
      <c r="CA232" s="39">
        <f>IF(BN232&lt;0,0,IF(Исходн.данные.!$AG232=$BV$11,BN232,IF(OR(Исходн.данные.!$AH232=$BQ$7,Исходн.данные.!$AH232=$BQ$8),CD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0,IF(Исходн.данные.!$AI232=$BU$11,"Нет",IF(BN232&gt;30,30,BN232))))))</f>
        <v>0</v>
      </c>
      <c r="CB232" s="9">
        <f t="shared" si="308"/>
        <v>0</v>
      </c>
      <c r="CC232" s="9">
        <f t="shared" si="309"/>
        <v>0</v>
      </c>
      <c r="CD232" s="9">
        <f t="shared" si="310"/>
        <v>0</v>
      </c>
      <c r="CE232" s="12">
        <f t="shared" si="311"/>
        <v>10</v>
      </c>
      <c r="CF232" s="9">
        <f t="shared" si="312"/>
        <v>0</v>
      </c>
      <c r="CG232" s="9" t="s">
        <v>231</v>
      </c>
      <c r="CH232" s="132" t="str">
        <f>IF(Исходн.данные.!AP232=Расчет!$CI$16,"Нет",IF(Исходн.данные.!AL232&gt;0,Исходн.данные.!AL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BH$4,IF(OR(Исходн.данные.!AI232=Исходн.данные.!$AI$6,Исходн.данные.!AI232=Исходн.данные.!$AI$7),Расчет!BS232,IF(AND($CF232=0,$CE232&gt;0),EV232,ER232)))))</f>
        <v>Аммофос 12:52:00</v>
      </c>
      <c r="CI232" s="274">
        <f>IF(Расчет!$CH232="Нет","Нет",IF(Исходн.данные.!$AL232&gt;0,VLOOKUP(Расчет!$CH232,АшламаДВ_Irekle,2,FALSE),VLOOKUP(Расчет!$CH232,АшламаДВ_Gomumy,2,FALSE)))</f>
        <v>0.12</v>
      </c>
      <c r="CJ232" s="274">
        <f>IF(Расчет!$CH232="Нет","Нет",IF(Исходн.данные.!$AL232&gt;0,VLOOKUP(Расчет!$CH232,АшламаДВ_Irekle,3,FALSE),VLOOKUP(Расчет!$CH232,АшламаДВ_Gomumy,3,FALSE)))</f>
        <v>0.52</v>
      </c>
      <c r="CK232" s="274">
        <f>IF(Расчет!$CH232="Нет","Нет",IF(Исходн.данные.!$AL232&gt;0,VLOOKUP(Расчет!$CH232,АшламаДВ_Irekle,4,FALSE),VLOOKUP(Расчет!$CH232,АшламаДВ_Gomumy,4,FALSE)))</f>
        <v>0</v>
      </c>
      <c r="CL232" s="70"/>
      <c r="CM232" s="70"/>
      <c r="CN232" s="70"/>
      <c r="CO232" s="70"/>
      <c r="CP232" s="70"/>
      <c r="CQ232" s="70"/>
      <c r="CR232" s="10">
        <f t="shared" si="313"/>
        <v>0</v>
      </c>
      <c r="CS232" s="10">
        <f t="shared" si="314"/>
        <v>19.23076923076923</v>
      </c>
      <c r="CT232" s="10">
        <f t="shared" si="315"/>
        <v>0</v>
      </c>
      <c r="CU232" s="39">
        <f>IF($CH232="Нет",0,IF(CI232=0,30/MIN(CJ232:CK232),IF(Исходн.данные.!$AG232=$BV$11,CR232,IF(OR(Исходн.данные.!$AH232=$BQ$7,Исходн.данные.!$AH232=$BQ$8),90/CI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0,IF(Исходн.данные.!$AI232=$BU$11,"Нет",30/CI232))))))</f>
        <v>250</v>
      </c>
      <c r="CV232" s="39">
        <f>IF($CH232="Нет",0,IF(Исходн.данные.!AH232=0,0,IF(CJ232=0,60/MIN(CI232,CK232),IF(Исходн.данные.!$AG232=$BV$11,CS232,IF(OR(Исходн.данные.!$AH232=$BQ$7,Исходн.данные.!$AH232=$BQ$8),90/CJ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10/CJ232,IF(Исходн.данные.!$AI232=$BU$11,"Нет",60/CJ232)))))))</f>
        <v>0</v>
      </c>
      <c r="CW232" s="39">
        <f>IF($CH232="Нет",0,IF(Исходн.данные.!AH232=0,0,IF(CK232=0,30/MIN(CI232:CJ232),IF(Исходн.данные.!$AG232=$BV$11,CT232,IF(OR(Исходн.данные.!$AH232=$BQ$7,Исходн.данные.!$AH232=$BQ$8),90/CK232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0,IF(Исходн.данные.!$AI232=$BU$11,"Нет",30/CK232)))))))</f>
        <v>0</v>
      </c>
      <c r="CX232" s="133">
        <f>IF(Исходн.данные.!$AG232=$BV$11,MAX(CU232:CW232),IF(OR(Исходн.данные.!$AH232=$BS$8,Исходн.данные.!$AH232=$BQ$9,Исходн.данные.!$AH232=$BQ$10,Исходн.данные.!$AH232=$BQ$11,Исходн.данные.!$AH232=$BQ$12,Исходн.данные.!$AH232=$BP$3,Исходн.данные.!$AH232=$BT$8,$FM232="Да"),CV232,MIN(CU232:CW232)))</f>
        <v>0</v>
      </c>
      <c r="CY232" s="133">
        <f>IF(Исходн.данные.!AH232=0,0,IF(CR232&gt;$CX232,$CX232,CR232))</f>
        <v>0</v>
      </c>
      <c r="CZ232" s="133">
        <f>IF(Исходн.данные.!AH232=0,0,IF(CS232&gt;$CX232,$CX232,CS232))</f>
        <v>0</v>
      </c>
      <c r="DA232" s="133">
        <f>IF(Исходн.данные.!AH232=0,0,IF(CT232&gt;$CX232,$CX232,CT232))</f>
        <v>0</v>
      </c>
      <c r="DB232" s="10">
        <f t="shared" si="316"/>
        <v>0</v>
      </c>
      <c r="DC232" s="39">
        <f>DB232*Исходн.данные.!AJ232/1000</f>
        <v>0</v>
      </c>
      <c r="DD232" s="71">
        <f t="shared" si="317"/>
        <v>0</v>
      </c>
      <c r="DE232" s="9">
        <f t="shared" si="318"/>
        <v>0</v>
      </c>
      <c r="DF232" s="9">
        <f t="shared" si="319"/>
        <v>0</v>
      </c>
      <c r="DG232" s="39">
        <f>IF(BL232&lt;0,0,IF($CH232="Нет",BL232,IF(OR(Исходн.данные.!$AH232=$BP$1,Исходн.данные.!$AH232=$BP$2),0,IF(Исходн.данные.!AI232=$BU$11,BL232,IF(BL232-DD232&lt;0,0,BL232-DD232)))))</f>
        <v>0</v>
      </c>
      <c r="DH232" s="39">
        <f>IF(BM232&lt;0,0,IF($CH232="Нет",BM232,IF(OR(Исходн.данные.!$AH232=$BP$1,Исходн.данные.!$AH232=$BP$2),0,IF(Исходн.данные.!AJ232=$BU$11,BM232,IF(BM232-DE232&lt;0,0,BM232-DE232)))))</f>
        <v>0</v>
      </c>
      <c r="DI232" s="39">
        <f>IF(BN232&lt;0,0,IF($CH232="Нет",BN232,IF(OR(Исходн.данные.!$AH232=$BP$1,Исходн.данные.!$AH232=$BP$2),0,IF(Исходн.данные.!AK232=$BU$11,BN232,IF(BN232-DF232&lt;0,0,BN232-DF232)))))</f>
        <v>0</v>
      </c>
      <c r="DJ232" s="12">
        <f t="shared" si="320"/>
        <v>0</v>
      </c>
      <c r="DK232" s="9">
        <f t="shared" si="321"/>
        <v>0</v>
      </c>
      <c r="DL232" s="39">
        <f>IF(Исходн.данные.!AM232&gt;0,Исходн.данные.!AM232,IF(EG232&gt;0,$BH$10,0))</f>
        <v>0</v>
      </c>
      <c r="DM232" s="186">
        <f>IF($DL232=0,0,IF(Исходн.данные.!AM232&gt;0,VLOOKUP($DL232,АшламаДВ_Irekle,2,FALSE),VLOOKUP($DL232,АшламаДВ_Gomumy,2,FALSE)))</f>
        <v>0</v>
      </c>
      <c r="DN232" s="10">
        <f t="shared" si="299"/>
        <v>0</v>
      </c>
      <c r="DO232" s="9" t="str">
        <f>IF(Исходн.данные.!AN232&gt;0,Исходн.данные.!AN232,Удобрения!$B$37 )</f>
        <v>Хлор.калий</v>
      </c>
      <c r="DP232" s="9">
        <f>IF(Исходн.данные.!AN232&gt;0,VLOOKUP(Исходн.данные.!AN232,АшламаДВ_Irekle,4,FALSE),VLOOKUP(DO232,АшламаДВ_Gomumy,4,FALSE))</f>
        <v>0.6</v>
      </c>
      <c r="DQ232" s="10">
        <f t="shared" si="300"/>
        <v>0</v>
      </c>
      <c r="DR232" s="132" t="str">
        <f>IF(Исходн.данные.!AO232&gt;0,Исходн.данные.!AO232,IF(DH232=0,BS$17,IF(AND($DK232=0,$DJ232&gt;0),EJ232,EN232)))</f>
        <v>Нет</v>
      </c>
      <c r="DS232" s="70" t="str">
        <f>IF($DR232="Нет","Нет",IF(Исходн.данные.!$AO232&gt;0,VLOOKUP($DR232,АшламаДВ_Irekle,2,FALSE),VLOOKUP($DR232,АшламаДВ_Gomumy,2,FALSE)))</f>
        <v>Нет</v>
      </c>
      <c r="DT232" s="70" t="str">
        <f>IF($DR232="Нет","Нет",IF(Исходн.данные.!$AO232&gt;0,VLOOKUP($DR232,АшламаДВ_Irekle,3,FALSE),VLOOKUP($DR232,АшламаДВ_Gomumy,3,FALSE)))</f>
        <v>Нет</v>
      </c>
      <c r="DU232" s="70" t="str">
        <f>IF($DR232="Нет","Нет",IF(Исходн.данные.!$AO232&gt;0,VLOOKUP($DR232,АшламаДВ_Irekle,4,FALSE),VLOOKUP($DR232,АшламаДВ_Gomumy,4,FALSE)))</f>
        <v>Нет</v>
      </c>
      <c r="DV232" s="70"/>
      <c r="DW232" s="70"/>
      <c r="DX232" s="70"/>
      <c r="DY232" s="10">
        <f t="shared" si="322"/>
        <v>0</v>
      </c>
      <c r="DZ232" s="10">
        <f t="shared" si="323"/>
        <v>0</v>
      </c>
      <c r="EA232" s="10">
        <f t="shared" si="324"/>
        <v>0</v>
      </c>
      <c r="EB232" s="10">
        <f t="shared" si="325"/>
        <v>0</v>
      </c>
      <c r="EC232" s="10">
        <f t="shared" si="326"/>
        <v>0</v>
      </c>
      <c r="ED232" s="10">
        <f t="shared" si="327"/>
        <v>0</v>
      </c>
      <c r="EE232" s="10">
        <f t="shared" si="328"/>
        <v>0</v>
      </c>
      <c r="EF232" s="39">
        <f>EB232*Исходн.данные.!AJ232/1000</f>
        <v>0</v>
      </c>
      <c r="EG232" s="9">
        <f t="shared" si="329"/>
        <v>0</v>
      </c>
      <c r="EH232" s="9">
        <f t="shared" si="330"/>
        <v>0</v>
      </c>
      <c r="EI232" s="39" t="e">
        <f t="shared" si="280"/>
        <v>#DIV/0!</v>
      </c>
      <c r="EJ232" s="9" t="str">
        <f t="shared" si="301"/>
        <v>Азопреципитат</v>
      </c>
      <c r="EK232" s="12">
        <f t="shared" si="281"/>
        <v>0.26</v>
      </c>
      <c r="EL232" s="12">
        <f t="shared" si="282"/>
        <v>0.13</v>
      </c>
      <c r="EM232" s="12">
        <f t="shared" si="283"/>
        <v>0</v>
      </c>
      <c r="EN232" s="12" t="str">
        <f t="shared" si="302"/>
        <v>Нет</v>
      </c>
      <c r="EO232" s="12">
        <f t="shared" si="284"/>
        <v>0</v>
      </c>
      <c r="EP232" s="12">
        <f t="shared" si="285"/>
        <v>0</v>
      </c>
      <c r="EQ232" s="12">
        <f t="shared" si="286"/>
        <v>0</v>
      </c>
      <c r="ER232" s="12" t="str">
        <f t="shared" si="331"/>
        <v>Диаммофоска</v>
      </c>
      <c r="ES232" s="12">
        <f t="shared" si="287"/>
        <v>0.1</v>
      </c>
      <c r="ET232" s="12">
        <f t="shared" si="288"/>
        <v>0.26</v>
      </c>
      <c r="EU232" s="12">
        <f t="shared" si="289"/>
        <v>0.26</v>
      </c>
      <c r="EV232" s="12" t="str">
        <f t="shared" si="332"/>
        <v>Аммофос 12:52:00</v>
      </c>
      <c r="EW232" s="12" t="str">
        <f t="shared" si="333"/>
        <v>Кемира Свекловичное-6</v>
      </c>
      <c r="EX232" s="12">
        <f t="shared" si="290"/>
        <v>0.16</v>
      </c>
      <c r="EY232" s="12">
        <f t="shared" si="291"/>
        <v>0.12</v>
      </c>
      <c r="EZ232" s="12">
        <f t="shared" si="292"/>
        <v>0.17</v>
      </c>
      <c r="FA232" s="38" t="e">
        <f>IF(AND(OR(FJ232=$FD$1,FM232=$FD$1,FO232=$FD$1,FQ232=$FD$1,FS232=$FD$1),FD232=$FD$1,Исходн.данные.!J232&lt;2,FU232=$FD$1),"Бор,Кобальт",IF(AND(FO232=$FD$1,FH232=$FD$1,Исходн.данные.!J232&lt;2,FU232=$FD$1),"Бор,Кобальт",IF(AND(OR(FJ232=$FD$1,FM232=$FD$1,FQ232=$FD$1),FE232=$FD$1,Исходн.данные.!J232&lt;2,FT232=$FD$1,FU232=$FD$1),"Бор,Медь,Цинк",IF(AND(OR(FJ232=$FD$1,FR232="Да"),FI232="Да",Исходн.данные.!J232&lt;2,FT232="Да",FU232="Да"),"Бор,Цинк,Медь",IF(AND(OR(FM232="Да",FQ232="Да"),FI232="Да",Исходн.данные.!J232&lt;2,FT232="Да",FU232="Да"),"Бор,Цинк",IF(AND(FN232="Да",OR(FD232="Да",FE232="Да")),"Бор",FB232))))))</f>
        <v>#N/A</v>
      </c>
      <c r="FB232" s="134" t="e">
        <f>IF(AND(OR(FD232="Да",FE232="Да",FF232="Да",FG232="Да",FH232="Да"),FO232="Да"),"Бор",IF(AND(FP232="Да",OR(FD232="Да",FE232="Да",FI232="Да")),"Бор",IF(AND(FS232="Да",FE232="Да"),"Бор,Медь",IF(AND(OR(FJ232="Да",FK232="Да",FL232="Да"),FE232="Да",Исходн.данные.!I232&lt;5,FT232="Да",FU232="Да"),"Молибден,Цинк",IF(AND(FM232="Да",OR(FE232="Да",FF232="Да",FG232="Да",FH232="Да",FI232="Да")),"Молибден,Цинк",IF(AND(OR(FJ232="Да",FK232="Да",FL232="Да",FM232="Да",FQ232="Да"),OR(FE232="Да",FF232="Да"),FT232="Да",FU232="Да",Исходн.данные.!I232&gt;5.5),"Медь,Цинк",FC232))))))</f>
        <v>#N/A</v>
      </c>
      <c r="FC232" s="23" t="e">
        <f t="shared" si="334"/>
        <v>#N/A</v>
      </c>
      <c r="FD232" s="38" t="str">
        <f>IF(OR(Исходн.данные.!F232=$CC$1,Исходн.данные.!F232=$CC$2,Исходн.данные.!F232=$CC$3,Исходн.данные.!F232=$CC$4),"Да","Нет")</f>
        <v>Нет</v>
      </c>
      <c r="FE232" s="38" t="str">
        <f>IF(Исходн.данные.!F232=$CC$5,"Да","Нет")</f>
        <v>Нет</v>
      </c>
      <c r="FF232" s="38" t="str">
        <f>IF(OR(Исходн.данные.!F232=$CC$6,Исходн.данные.!F232=$CC$7),"Да","Нет")</f>
        <v>Нет</v>
      </c>
      <c r="FG232" s="38" t="str">
        <f>IF(OR(Исходн.данные.!F232=$CC$8,Исходн.данные.!F232=$CC$9),"Да","Нет")</f>
        <v>Нет</v>
      </c>
      <c r="FH232" s="38" t="str">
        <f>IF(Исходн.данные.!F232=$CC$10,"Да","Нет")</f>
        <v>Нет</v>
      </c>
      <c r="FI232" s="38" t="str">
        <f>IF(OR(Исходн.данные.!F232=$CC$11,Исходн.данные.!F232=$CC$12),"Да","Нет")</f>
        <v>Нет</v>
      </c>
      <c r="FJ232" s="38" t="str">
        <f>IF(OR(Исходн.данные.!AH232=$BS$1,Исходн.данные.!AH232=$BQ$11,Исходн.данные.!AH232=$BQ$12),"Да","Нет")</f>
        <v>Нет</v>
      </c>
      <c r="FK232" s="38" t="str">
        <f>IF(OR(Исходн.данные.!AH232=$BS$2,Исходн.данные.!AH232=$BS$4),"Да","Нет")</f>
        <v>Нет</v>
      </c>
      <c r="FL232" s="38" t="str">
        <f>IF(OR(Исходн.данные.!AH232=$BS$3,Исходн.данные.!AH232=$BS$5),"Да","Нет")</f>
        <v>Нет</v>
      </c>
      <c r="FM232" s="38" t="str">
        <f>IF(OR(Исходн.данные.!AH232=$BS$9,Исходн.данные.!AH232=$BS$10,Исходн.данные.!AH232=$BS$11,Исходн.данные.!AH232=$BS$12),"Да","Нет")</f>
        <v>Нет</v>
      </c>
      <c r="FN232" s="38" t="str">
        <f>IF(OR(Исходн.данные.!AH232=$BS$6,Исходн.данные.!AH232=$BP$3),"Да","Нет")</f>
        <v>Нет</v>
      </c>
      <c r="FO232" s="38" t="str">
        <f>IF(Исходн.данные.!AH232=$BQ$9,"Да","Нет")</f>
        <v>Нет</v>
      </c>
      <c r="FP232" s="38" t="str">
        <f>IF(OR(Исходн.данные.!AH232=$BS$8,Исходн.данные.!AH232=$BT$8),"Да","Нет")</f>
        <v>Нет</v>
      </c>
      <c r="FQ232" s="38" t="str">
        <f>IF(OR(Исходн.данные.!AH232=$BQ$7,Исходн.данные.!AH232=$BQ$8),"Да","Нет")</f>
        <v>Нет</v>
      </c>
      <c r="FR232" s="38" t="str">
        <f>IF(Исходн.данные.!AI232=$BU$9,"Да","Нет")</f>
        <v>Нет</v>
      </c>
      <c r="FS232" s="38" t="str">
        <f>IF(OR(Исходн.данные.!AH232=$BP$1,Исходн.данные.!AH232=$BP$2),"Да","Нет")</f>
        <v>Нет</v>
      </c>
      <c r="FT232" s="38" t="e">
        <f>IF((Исходн.данные.!K232*GO232*GS232*GW232+BL232*0.6+Исходн.данные.!Q232*4.5*0.275)&gt;90,"Да","Нет")</f>
        <v>#N/A</v>
      </c>
      <c r="FU232" s="38" t="e">
        <f>IF((Исходн.данные.!M232*GS232*GZ232+BM232*0.225)&gt;35,"Да","Нет")</f>
        <v>#N/A</v>
      </c>
      <c r="FV232" s="38" t="str">
        <f>IF(Исходн.данные.!O232&gt;175,"Да","Нет")</f>
        <v>Нет</v>
      </c>
      <c r="FW232" s="39" t="str">
        <f>IF(Исходн.данные.!I232&gt;5.5,"Да","Нет")</f>
        <v>Нет</v>
      </c>
      <c r="FX232" s="39" t="str">
        <f>IF(Исходн.данные.!J232&lt;2,"Да","Нет")</f>
        <v>Да</v>
      </c>
      <c r="FY232" s="39" t="e">
        <f>IF(HF232=$FY$16,0,Исходн.данные.!K232*GO232*GS232*GW232/HF232)</f>
        <v>#N/A</v>
      </c>
      <c r="FZ232" s="39" t="e">
        <f>Исходн.данные.!M232*GS232*GZ232/HG232</f>
        <v>#N/A</v>
      </c>
      <c r="GA232" s="39" t="e">
        <f>IF(K_Wyn=$FY$16,0,IF(Исходн.данные.!N232=Исходн.данные.!$L$10,Исходн.данные.!O232/1.1*GS232*HC232/HH232,IF(Исходн.данные.!N232=Исходн.данные.!$L$12,Исходн.данные.!O232/1.5*GS232*HC232/HH232,Исходн.данные.!O232*GS232*HC232/HH232)))</f>
        <v>#N/A</v>
      </c>
      <c r="GB232" s="39" t="e">
        <f>IF(HF232=$FY$16,0,((Исходн.данные.!Q232*N_Org+Исходн.данные.!R232*N_Sider+Исходн.данные.!S232*N_Soloma)*AO232+Расчет!BC232*VLOOKUP(Исходн.данные.!T232,Справ!$A$3:$O$57,15)*AO232+BB232*VLOOKUP(Исходн.данные.!T232,Справ!$A$3:$O$57,15)*AL232+(Исходн.данные.!V232*N_Rizotorf+Исходн.данные.!W232*N_Rizoagr))/HF232)</f>
        <v>#N/A</v>
      </c>
      <c r="GC232" s="39" t="e">
        <f>IF(HG232=$FY$16,0,((Исходн.данные.!Q232*Р_Org+Исходн.данные.!R232*P_Sider+Исходн.данные.!S232*P_Soloma)*AP232+Расчет!BC232*VLOOKUP(Исходн.данные.!T232,Справ!$A$3:$P$57,16)*AP232+BB232*VLOOKUP(Исходн.данные.!T232,Справ!$A$3:$P$57,16)*AM232)/HG232)</f>
        <v>#N/A</v>
      </c>
      <c r="GD232" s="39" t="e">
        <f>IF(HH232=$FY$16,0,((Исходн.данные.!Q232*К_Org+Исходн.данные.!R232*K_Sider+Исходн.данные.!S232*K_Soloma)*AQ232+Расчет!BC232*VLOOKUP(Исходн.данные.!T232,Справ!$A$3:$Q$57,17)*AQ232+BB232*VLOOKUP(Исходн.данные.!T232,Справ!$A$3:$Q$57,17)*AN232)/HH232)</f>
        <v>#N/A</v>
      </c>
      <c r="GE232" s="39" t="e">
        <f>IF(HF232=$FY$16,0,(Исходн.данные.!X232*AR232+Исходн.данные.!AA232*N_Org*AL232+Исходн.данные.!AB232*N_Sider*AL232+Исходн.данные.!AC232*N_Soloma*AL232)/HF232)</f>
        <v>#N/A</v>
      </c>
      <c r="GF232" s="39" t="e">
        <f>IF(HG232=$FY$16,0,(Исходн.данные.!Y232*AS232+Исходн.данные.!AA232*Р_Org*AM232+Исходн.данные.!AB232*P_Sider*AM232+Исходн.данные.!AC232*P_Soloma*AM232)/HG232)</f>
        <v>#N/A</v>
      </c>
      <c r="GG232" s="39" t="e">
        <f>IF(HH232=$FY$16,0,(Исходн.данные.!Z232*AT232+Исходн.данные.!AA232*К_Org*AN232+Исходн.данные.!AB232*K_Sider*AN232+Исходн.данные.!AC232*K_Soloma*AN232)/HH232)</f>
        <v>#N/A</v>
      </c>
      <c r="GH232" s="39" t="e">
        <f>Исходн.данные.!AD232*AU232/HF232</f>
        <v>#N/A</v>
      </c>
      <c r="GI232" s="39" t="e">
        <f>Исходн.данные.!AE232*AV232/HG232</f>
        <v>#N/A</v>
      </c>
      <c r="GJ232" s="39" t="e">
        <f>Исходн.данные.!AF232*AW232/HH232</f>
        <v>#N/A</v>
      </c>
      <c r="GK232" s="55">
        <f>Исходн.данные.!AK232</f>
        <v>0</v>
      </c>
      <c r="GL232" s="11" t="e">
        <f t="shared" si="335"/>
        <v>#N/A</v>
      </c>
      <c r="GM232" s="11" t="e">
        <f t="shared" si="336"/>
        <v>#N/A</v>
      </c>
      <c r="GN232" s="11" t="e">
        <f t="shared" si="337"/>
        <v>#N/A</v>
      </c>
      <c r="GO232" s="57">
        <f t="shared" si="338"/>
        <v>19</v>
      </c>
      <c r="GP232" s="55">
        <f>IF(OR(Исходн.данные.!F232=$CE$1,Исходн.данные.!F232=$CE$2,Исходн.данные.!F232=$CE$3,Исходн.данные.!F232=$CE$4,Исходн.данные.!F232=$CE$5),GQ232,GR232)</f>
        <v>19</v>
      </c>
      <c r="GQ232" s="55">
        <f>IF(Исходн.данные.!F232=$CE$1,28,IF(Исходн.данные.!F232=$CE$2,26,IF(Исходн.данные.!F232=$CE$3,24,IF(Исходн.данные.!F232=$CE$4,22,IF(Исходн.данные.!F232=$CE$5,20,GR232)))))</f>
        <v>19</v>
      </c>
      <c r="GR232" s="55">
        <f>IF(Исходн.данные.!F232=$CE$6,18,IF(Исходн.данные.!F232=$CE$7,16,IF(Исходн.данные.!F232=$CE$8,14,IF(Исходн.данные.!F232=$CE$9,13,IF(Исходн.данные.!F232=$CE$10,12,19)))))</f>
        <v>19</v>
      </c>
      <c r="GS232" s="55">
        <f>IF(Исходн.данные.!G232="Пес",0.035*(40+2*Исходн.данные.!H232),IF(Исходн.данные.!G232="Суп",0.0325*(40+2*Исходн.данные.!H232),0.03*(40+2*Исходн.данные.!H232)))</f>
        <v>1.2</v>
      </c>
      <c r="GT232" s="55">
        <f>IF(Исходн.данные.!H232&lt;23,2.6,IF(AND(Исходн.данные.!H232&gt;22,Исходн.данные.!H232&lt;26),3,IF(AND(Исходн.данные.!H232&gt;25,Исходн.данные.!H232&lt;29),3.4,3.6)))</f>
        <v>2.6</v>
      </c>
      <c r="GU232" s="55">
        <f>IF(Исходн.данные.!H232&lt;23,2.8,IF(AND(Исходн.данные.!H232&gt;22,Исходн.данные.!H232&lt;26),3.2,IF(AND(Исходн.данные.!H232&gt;25,Исходн.данные.!H232&lt;29),3.6,3.9)))</f>
        <v>2.8</v>
      </c>
      <c r="GV232" s="55">
        <f>IF(Исходн.данные.!H232&lt;23,3,IF(AND(Исходн.данные.!H232&gt;22,Исходн.данные.!H232&lt;26),3.5,IF(AND(Исходн.данные.!H232&gt;25,Исходн.данные.!H232&lt;29),3.9,4.2)))</f>
        <v>3</v>
      </c>
      <c r="GW232" s="55" t="e">
        <f>IF(Исходн.данные.!P232="Ум",GX232,GY232)</f>
        <v>#N/A</v>
      </c>
      <c r="GX232" s="55" t="e">
        <f>VLOOKUP(Исходн.данные.!AI232,Коэффициенты!$J$7:$L$13,2,FALSE)</f>
        <v>#N/A</v>
      </c>
      <c r="GY232" s="55" t="e">
        <f>VLOOKUP(Исходн.данные.!AI232,Коэффициенты!$J$7:$L$13,3,FALSE)</f>
        <v>#N/A</v>
      </c>
      <c r="GZ232" s="55" t="e">
        <f>(IF(Исходн.данные.!M232&lt;50,0.11*VLOOKUP(Исходн.данные.!AH232,Культуры.Информация,7,FALSE),IF(Исходн.данные.!M232&gt;250,0.05*VLOOKUP(Исходн.данные.!AH232,Культуры.Информация,7,FALSE),VLOOKUP(Исходн.данные.!AH232,Культуры.Информация,5,FALSE)/100*($GX$6+$GY$6*Исходн.данные.!M232))))*Расчет2!AI232</f>
        <v>#N/A</v>
      </c>
      <c r="HA232" s="211"/>
      <c r="HB232" s="211"/>
      <c r="HC232" s="55" t="e">
        <f>(IF(Исходн.данные.!O232&lt;80,0.2*VLOOKUP(Исходн.данные.!AH232,Культуры.Информация,8,FALSE),IF(Исходн.данные.!O232&gt;240,0.09*VLOOKUP(Исходн.данные.!AH232,Культуры.Информация,8,FALSE),VLOOKUP(Исходн.данные.!AH232,Культуры.Информация,6,FALSE)/100*($HB$6+$HC$6*Исходн.данные.!O232))))*Расчет2!AJ232</f>
        <v>#N/A</v>
      </c>
      <c r="HD232" s="55">
        <f>IF(Исходн.данные.!O232&gt;240,0.09,IF(Исходн.данные.!O232&lt;30,0.3,$HE$10+$HD$10*Исходн.данные.!O232))</f>
        <v>0.3</v>
      </c>
      <c r="HE232" s="55">
        <f>IF(Исходн.данные.!O232&gt;240,0.17,IF(Исходн.данные.!O232&lt;30,0.5,$HF$12+$HE$12*Исходн.данные.!O232))</f>
        <v>0.5</v>
      </c>
      <c r="HF232" s="55" t="e">
        <f>VLOOKUP(Исходн.данные.!AH232,Справ!$A$3:$D$58,2,FALSE)</f>
        <v>#N/A</v>
      </c>
      <c r="HG232" s="55" t="e">
        <f>VLOOKUP(Исходн.данные.!AH232,Справ!$A$3:$D$58,3,FALSE)</f>
        <v>#N/A</v>
      </c>
      <c r="HH232" s="55" t="e">
        <f>VLOOKUP(Исходн.данные.!AH232,Справ!$A$3:$D$58,4,FALSE)</f>
        <v>#N/A</v>
      </c>
      <c r="HI232" s="11" t="e">
        <f t="shared" si="339"/>
        <v>#N/A</v>
      </c>
      <c r="HJ232" s="11" t="e">
        <f t="shared" si="340"/>
        <v>#N/A</v>
      </c>
      <c r="HK232" s="11" t="e">
        <f t="shared" si="341"/>
        <v>#N/A</v>
      </c>
      <c r="HL232" s="55">
        <f>IF(OR(Исходн.данные.!G232="Глин",Исходн.данные.!G232="Т_суг"),1.1,IF(Исходн.данные.!G232="Ср_суг",1,1))</f>
        <v>1</v>
      </c>
      <c r="HM232" s="55">
        <f>IF(OR(Исходн.данные.!G232="Глин",Исходн.данные.!G232="Т_суг"),0.9,IF(Исходн.данные.!G232="Ср_суг",1,1.2))</f>
        <v>1.2</v>
      </c>
      <c r="HN232" s="11" t="e">
        <f t="shared" si="342"/>
        <v>#N/A</v>
      </c>
      <c r="HO232" s="11" t="e">
        <f t="shared" si="343"/>
        <v>#N/A</v>
      </c>
      <c r="HP232" s="11" t="e">
        <f t="shared" si="344"/>
        <v>#N/A</v>
      </c>
      <c r="HQ232" t="e">
        <f t="shared" si="345"/>
        <v>#N/A</v>
      </c>
      <c r="HR232" t="e">
        <f t="shared" si="346"/>
        <v>#N/A</v>
      </c>
      <c r="HS232" t="e">
        <f t="shared" si="347"/>
        <v>#N/A</v>
      </c>
      <c r="HT232" t="e">
        <f t="shared" si="293"/>
        <v>#N/A</v>
      </c>
      <c r="HU232" t="e">
        <f t="shared" si="294"/>
        <v>#N/A</v>
      </c>
      <c r="HV232" t="e">
        <f t="shared" si="295"/>
        <v>#N/A</v>
      </c>
      <c r="HW232" t="e">
        <f t="shared" si="296"/>
        <v>#N/A</v>
      </c>
      <c r="HX232" t="e">
        <f t="shared" si="297"/>
        <v>#N/A</v>
      </c>
      <c r="HY232" t="e">
        <f t="shared" si="298"/>
        <v>#N/A</v>
      </c>
      <c r="HZ232" s="55">
        <f>IF(OR(Исходн.данные.!AI232="Оз_Ч_П",Исходн.данные.!AI232="Оз_З_П",Исходн.данные.!AI232="Яр_зер"),12,30)</f>
        <v>30</v>
      </c>
      <c r="IA232" t="e">
        <f t="shared" si="348"/>
        <v>#N/A</v>
      </c>
      <c r="IB232" t="e">
        <f t="shared" si="349"/>
        <v>#N/A</v>
      </c>
      <c r="IC232" t="e">
        <f t="shared" si="350"/>
        <v>#N/A</v>
      </c>
      <c r="ID232" s="11" t="e">
        <f t="shared" si="351"/>
        <v>#N/A</v>
      </c>
      <c r="IE232" s="11" t="e">
        <f t="shared" si="352"/>
        <v>#N/A</v>
      </c>
      <c r="IF232" s="11" t="e">
        <f t="shared" si="353"/>
        <v>#N/A</v>
      </c>
    </row>
    <row r="233" spans="35:240" x14ac:dyDescent="0.2">
      <c r="AI233">
        <f>IF(Исходн.данные.!I233&gt;6,1,1.85-(0.148*Исходн.данные.!I233))</f>
        <v>1.85</v>
      </c>
      <c r="AJ233">
        <f>IF(Исходн.данные.!I233&gt;6,1,2.434-(0.246*Исходн.данные.!I233))</f>
        <v>2.4340000000000002</v>
      </c>
      <c r="AL233" s="148" t="b">
        <f>IF(Исходн.данные.!$P233="Ум",N_OrgUd_2g_um,IF(Исходн.данные.!$P233="Об",N_OrgUd_2g_ob))</f>
        <v>0</v>
      </c>
      <c r="AM233" s="148" t="b">
        <f>IF(Исходн.данные.!$P233="Ум",P_OrgUd_2g_um,IF(Исходн.данные.!$P233="Об",P_OrgUd_2g_ob))</f>
        <v>0</v>
      </c>
      <c r="AN233" s="148" t="b">
        <f>IF(Исходн.данные.!$P233="Ум",K_OrgUd_2g_um,IF(Исходн.данные.!$P233="Об",K_OrgUd_2g_ob))</f>
        <v>0</v>
      </c>
      <c r="AO233" s="148" t="b">
        <f>IF(Исходн.данные.!$P233="Ум",N_OrgUd_1g_um,IF(Исходн.данные.!$P233="Об",N_OrgUd_1g_ob))</f>
        <v>0</v>
      </c>
      <c r="AP233" s="148" t="b">
        <f>IF(Исходн.данные.!$P233="Ум",P_OrgUd_1g_um,IF(Исходн.данные.!$P233="Об",P_OrgUd_1g_ob))</f>
        <v>0</v>
      </c>
      <c r="AQ233" s="148" t="b">
        <f>IF(Исходн.данные.!$P233="Ум",K_OrgUd_1g_um,IF(Исходн.данные.!$P233="Об",K_OrgUd_1g_ob))</f>
        <v>0</v>
      </c>
      <c r="AR233" t="b">
        <f>IF(Исходн.данные.!$P233="Ум",N_MinUd_2g_um,IF(Исходн.данные.!$P233="Об",N_MinUd_2g_ob))</f>
        <v>0</v>
      </c>
      <c r="AS233" t="b">
        <f>IF(Исходн.данные.!$P233="Ум",P_MinUd_2g_um,IF(Исходн.данные.!$P233="Об",P_MinUd_2g_ob))</f>
        <v>0</v>
      </c>
      <c r="AT233" t="b">
        <f>IF(Исходн.данные.!$P233="Ум",K_MinUd_2g_um,IF(Исходн.данные.!$P233="Об",K_MinUd_2g_ob))</f>
        <v>0</v>
      </c>
      <c r="AU233" t="b">
        <f>IF(Исходн.данные.!$P233="Ум",N_MinUd_1g_um,IF(Исходн.данные.!$P233="Об",N_MinUd_1g_ob))</f>
        <v>0</v>
      </c>
      <c r="AV233" t="b">
        <f>IF(Исходн.данные.!P233="Ум",P_MinUd_1g_um,IF(Исходн.данные.!P233="Об",P_MinUd_1g_ob))</f>
        <v>0</v>
      </c>
      <c r="AW233" t="b">
        <f>IF(Исходн.данные.!P233="Ум",K_MinUd_1g_um,IF(Исходн.данные.!P233="Об",K_MinUd_1g_ob))</f>
        <v>0</v>
      </c>
      <c r="AY233" t="e">
        <f>VLOOKUP(Исходн.данные.!T233,Справ!$A$3:$N$57,12)</f>
        <v>#N/A</v>
      </c>
      <c r="AZ233" t="e">
        <f>VLOOKUP(Исходн.данные.!T233,Справ!$A$3:$N$57,13)</f>
        <v>#N/A</v>
      </c>
      <c r="BA233" t="e">
        <f>VLOOKUP(Исходн.данные.!T233,Справ!$A$3:$N$57,14)</f>
        <v>#N/A</v>
      </c>
      <c r="BB233">
        <f>IF(Исходн.данные.!AH233=0,0,25)</f>
        <v>0</v>
      </c>
      <c r="BC233" s="141">
        <f>IF(Исходн.данные.!AH233=0,0,IF(Исходн.данные.!T233=0,25,BD233))</f>
        <v>0</v>
      </c>
      <c r="BD233" s="168" t="e">
        <f>AY233+AZ233*Исходн.данные.!U233-POWER(BA233,2)*Исходн.данные.!U233</f>
        <v>#N/A</v>
      </c>
      <c r="BE23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3" s="25">
        <f>IF(Исходн.данные.!AH233=0,0,MIN(HN233:HP233))</f>
        <v>0</v>
      </c>
      <c r="BG233" s="9">
        <f>IF(Исходн.данные.!AH233=0,0,IF((HO233+10*0.25/HG233/HL233)&lt;17,17,HO233+10*0.25/HG233/HL233))</f>
        <v>0</v>
      </c>
      <c r="BH233" s="181">
        <f>IF(Исходн.данные.!AH233=0,0,HW233*HF233*HL233/AU233*AI233+Исходн.данные.!S233*10)</f>
        <v>0</v>
      </c>
      <c r="BI233" s="10"/>
      <c r="BJ233" s="182">
        <f>IF(Исходн.данные.!AH233=0,0,IF(HX233*HG233*HL233/AV233&lt;0,0,HX233*HG233*HL233/AV233*AJ233))</f>
        <v>0</v>
      </c>
      <c r="BK233" s="182">
        <f>IF(Исходн.данные.!AH233=0,0,HY233*HH233*HM233/AW233)</f>
        <v>0</v>
      </c>
      <c r="BL233" s="10">
        <f>IF(OR(Исходн.данные.!$AH233=$BP$1,Исходн.данные.!$AH233=$BP$2),0,IF(BH233&lt;0,0,IF(OR(Исходн.данные.!T233=Расчет!$BP$1,Исходн.данные.!T233=Расчет!$BP$2,Исходн.данные.!T233=Расчет!$BT$5,Исходн.данные.!T233=Расчет!$BT$6),BH233*0.5,IF(OR(Исходн.данные.!T233=Расчет!$BS$9,Исходн.данные.!T233=Расчет!$BS$10,Исходн.данные.!T233=Расчет!$BS$11,Исходн.данные.!T233=Расчет!$BS$12,Исходн.данные.!T233=Расчет!$BP$5),BH233*0.8,BH233))))</f>
        <v>0</v>
      </c>
      <c r="BM233" s="10">
        <f>IF(OR(Исходн.данные.!$AH233=$BP$1,Исходн.данные.!$AH233=$BP$2),0,IF(BJ233&lt;0,0,IF(Исходн.данные.!I233&lt;4.5,BJ233*1.2,IF(Исходн.данные.!I233&gt;5.1,BJ233,BJ233*((5.1-Исходн.данные.!I233)*0.333+1)))))</f>
        <v>0</v>
      </c>
      <c r="BN233" s="10">
        <f>IF(OR(Исходн.данные.!$AH233=$BP$1,Исходн.данные.!$AH233=$BP$2),60-Исходн.данные.!AF233,IF(BK233&lt;0,0,IF(Исходн.данные.!I233&lt;4.5,BK233*1.2,IF(Исходн.данные.!I233&gt;5.1,BK233,BK233*((5.1-Исходн.данные.!I233)*0.333+1)))))</f>
        <v>0</v>
      </c>
      <c r="BO233" s="9">
        <f>IF(BL233&lt;0,0,BL233*Исходн.данные.!$AJ233/1000)</f>
        <v>0</v>
      </c>
      <c r="BP233" s="9">
        <f>IF(BM233&lt;0,0,BM233*Исходн.данные.!$AJ233/1000)</f>
        <v>0</v>
      </c>
      <c r="BQ233" s="9">
        <f>IF(BN233&lt;0,0,BN233*Исходн.данные.!$AJ233/1000)</f>
        <v>0</v>
      </c>
      <c r="BR233" s="9">
        <f t="shared" si="303"/>
        <v>0</v>
      </c>
      <c r="BS233" s="10" t="str">
        <f t="shared" si="304"/>
        <v>Аммофос 12:52:00</v>
      </c>
      <c r="BT233" s="10" t="str">
        <f t="shared" si="305"/>
        <v>Аммофос 12:52:00</v>
      </c>
      <c r="BU233" s="10" t="str">
        <f t="shared" si="306"/>
        <v>Диаммофоска</v>
      </c>
      <c r="BV233" s="10">
        <f t="shared" si="307"/>
        <v>0</v>
      </c>
      <c r="BW233" s="10"/>
      <c r="BX233" s="10"/>
      <c r="BY233" s="9">
        <f>IF(BL233&lt;0,0,IF(OR(Исходн.данные.!AI233=Расчет!$BU$6,Исходн.данные.!AI233=Расчет!$BU$7),Расчет!BV233,IF(Исходн.данные.!$AG233=$BV$11,BL233,IF(OR(Исходн.данные.!$AH233=$BQ$7,Исходн.данные.!$AH233=$BQ$8),CB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0,IF(Исходн.данные.!$AI233=$BU$11,"Нет",IF(BL233&gt;30,30,BL233)))))))</f>
        <v>0</v>
      </c>
      <c r="BZ233" s="9">
        <f>IF(AND(Исходн.данные.!$AG233=$BV$11,BM233&lt;10),10,IF(Исходн.данные.!$AG233=$BV$11,BM233,IF(OR(Исходн.данные.!$AH233=$BQ$7,Исходн.данные.!$AH233=$BQ$8),CC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10,IF(Исходн.данные.!$AI233=$BU$11,"Нет",IF(BM233&gt;60,60,IF(BM233&lt;10,10,BM233)))))))</f>
        <v>10</v>
      </c>
      <c r="CA233" s="39">
        <f>IF(BN233&lt;0,0,IF(Исходн.данные.!$AG233=$BV$11,BN233,IF(OR(Исходн.данные.!$AH233=$BQ$7,Исходн.данные.!$AH233=$BQ$8),CD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0,IF(Исходн.данные.!$AI233=$BU$11,"Нет",IF(BN233&gt;30,30,BN233))))))</f>
        <v>0</v>
      </c>
      <c r="CB233" s="9">
        <f t="shared" si="308"/>
        <v>0</v>
      </c>
      <c r="CC233" s="9">
        <f t="shared" si="309"/>
        <v>0</v>
      </c>
      <c r="CD233" s="9">
        <f t="shared" si="310"/>
        <v>0</v>
      </c>
      <c r="CE233" s="12">
        <f t="shared" si="311"/>
        <v>10</v>
      </c>
      <c r="CF233" s="9">
        <f t="shared" si="312"/>
        <v>0</v>
      </c>
      <c r="CG233" s="9" t="s">
        <v>231</v>
      </c>
      <c r="CH233" s="132" t="str">
        <f>IF(Исходн.данные.!AP233=Расчет!$CI$16,"Нет",IF(Исходн.данные.!AL233&gt;0,Исходн.данные.!AL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BH$4,IF(OR(Исходн.данные.!AI233=Исходн.данные.!$AI$6,Исходн.данные.!AI233=Исходн.данные.!$AI$7),Расчет!BS233,IF(AND($CF233=0,$CE233&gt;0),EV233,ER233)))))</f>
        <v>Аммофос 12:52:00</v>
      </c>
      <c r="CI233" s="274">
        <f>IF(Расчет!$CH233="Нет","Нет",IF(Исходн.данные.!$AL233&gt;0,VLOOKUP(Расчет!$CH233,АшламаДВ_Irekle,2,FALSE),VLOOKUP(Расчет!$CH233,АшламаДВ_Gomumy,2,FALSE)))</f>
        <v>0.12</v>
      </c>
      <c r="CJ233" s="274">
        <f>IF(Расчет!$CH233="Нет","Нет",IF(Исходн.данные.!$AL233&gt;0,VLOOKUP(Расчет!$CH233,АшламаДВ_Irekle,3,FALSE),VLOOKUP(Расчет!$CH233,АшламаДВ_Gomumy,3,FALSE)))</f>
        <v>0.52</v>
      </c>
      <c r="CK233" s="274">
        <f>IF(Расчет!$CH233="Нет","Нет",IF(Исходн.данные.!$AL233&gt;0,VLOOKUP(Расчет!$CH233,АшламаДВ_Irekle,4,FALSE),VLOOKUP(Расчет!$CH233,АшламаДВ_Gomumy,4,FALSE)))</f>
        <v>0</v>
      </c>
      <c r="CL233" s="70"/>
      <c r="CM233" s="70"/>
      <c r="CN233" s="70"/>
      <c r="CO233" s="70"/>
      <c r="CP233" s="70"/>
      <c r="CQ233" s="70"/>
      <c r="CR233" s="10">
        <f t="shared" si="313"/>
        <v>0</v>
      </c>
      <c r="CS233" s="10">
        <f t="shared" si="314"/>
        <v>19.23076923076923</v>
      </c>
      <c r="CT233" s="10">
        <f t="shared" si="315"/>
        <v>0</v>
      </c>
      <c r="CU233" s="39">
        <f>IF($CH233="Нет",0,IF(CI233=0,30/MIN(CJ233:CK233),IF(Исходн.данные.!$AG233=$BV$11,CR233,IF(OR(Исходн.данные.!$AH233=$BQ$7,Исходн.данные.!$AH233=$BQ$8),90/CI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0,IF(Исходн.данные.!$AI233=$BU$11,"Нет",30/CI233))))))</f>
        <v>250</v>
      </c>
      <c r="CV233" s="39">
        <f>IF($CH233="Нет",0,IF(Исходн.данные.!AH233=0,0,IF(CJ233=0,60/MIN(CI233,CK233),IF(Исходн.данные.!$AG233=$BV$11,CS233,IF(OR(Исходн.данные.!$AH233=$BQ$7,Исходн.данные.!$AH233=$BQ$8),90/CJ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10/CJ233,IF(Исходн.данные.!$AI233=$BU$11,"Нет",60/CJ233)))))))</f>
        <v>0</v>
      </c>
      <c r="CW233" s="39">
        <f>IF($CH233="Нет",0,IF(Исходн.данные.!AH233=0,0,IF(CK233=0,30/MIN(CI233:CJ233),IF(Исходн.данные.!$AG233=$BV$11,CT233,IF(OR(Исходн.данные.!$AH233=$BQ$7,Исходн.данные.!$AH233=$BQ$8),90/CK233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0,IF(Исходн.данные.!$AI233=$BU$11,"Нет",30/CK233)))))))</f>
        <v>0</v>
      </c>
      <c r="CX233" s="133">
        <f>IF(Исходн.данные.!$AG233=$BV$11,MAX(CU233:CW233),IF(OR(Исходн.данные.!$AH233=$BS$8,Исходн.данные.!$AH233=$BQ$9,Исходн.данные.!$AH233=$BQ$10,Исходн.данные.!$AH233=$BQ$11,Исходн.данные.!$AH233=$BQ$12,Исходн.данные.!$AH233=$BP$3,Исходн.данные.!$AH233=$BT$8,$FM233="Да"),CV233,MIN(CU233:CW233)))</f>
        <v>0</v>
      </c>
      <c r="CY233" s="133">
        <f>IF(Исходн.данные.!AH233=0,0,IF(CR233&gt;$CX233,$CX233,CR233))</f>
        <v>0</v>
      </c>
      <c r="CZ233" s="133">
        <f>IF(Исходн.данные.!AH233=0,0,IF(CS233&gt;$CX233,$CX233,CS233))</f>
        <v>0</v>
      </c>
      <c r="DA233" s="133">
        <f>IF(Исходн.данные.!AH233=0,0,IF(CT233&gt;$CX233,$CX233,CT233))</f>
        <v>0</v>
      </c>
      <c r="DB233" s="10">
        <f t="shared" si="316"/>
        <v>0</v>
      </c>
      <c r="DC233" s="39">
        <f>DB233*Исходн.данные.!AJ233/1000</f>
        <v>0</v>
      </c>
      <c r="DD233" s="71">
        <f t="shared" si="317"/>
        <v>0</v>
      </c>
      <c r="DE233" s="9">
        <f t="shared" si="318"/>
        <v>0</v>
      </c>
      <c r="DF233" s="9">
        <f t="shared" si="319"/>
        <v>0</v>
      </c>
      <c r="DG233" s="39">
        <f>IF(BL233&lt;0,0,IF($CH233="Нет",BL233,IF(OR(Исходн.данные.!$AH233=$BP$1,Исходн.данные.!$AH233=$BP$2),0,IF(Исходн.данные.!AI233=$BU$11,BL233,IF(BL233-DD233&lt;0,0,BL233-DD233)))))</f>
        <v>0</v>
      </c>
      <c r="DH233" s="39">
        <f>IF(BM233&lt;0,0,IF($CH233="Нет",BM233,IF(OR(Исходн.данные.!$AH233=$BP$1,Исходн.данные.!$AH233=$BP$2),0,IF(Исходн.данные.!AJ233=$BU$11,BM233,IF(BM233-DE233&lt;0,0,BM233-DE233)))))</f>
        <v>0</v>
      </c>
      <c r="DI233" s="39">
        <f>IF(BN233&lt;0,0,IF($CH233="Нет",BN233,IF(OR(Исходн.данные.!$AH233=$BP$1,Исходн.данные.!$AH233=$BP$2),0,IF(Исходн.данные.!AK233=$BU$11,BN233,IF(BN233-DF233&lt;0,0,BN233-DF233)))))</f>
        <v>0</v>
      </c>
      <c r="DJ233" s="12">
        <f t="shared" si="320"/>
        <v>0</v>
      </c>
      <c r="DK233" s="9">
        <f t="shared" si="321"/>
        <v>0</v>
      </c>
      <c r="DL233" s="39">
        <f>IF(Исходн.данные.!AM233&gt;0,Исходн.данные.!AM233,IF(EG233&gt;0,$BH$10,0))</f>
        <v>0</v>
      </c>
      <c r="DM233" s="186">
        <f>IF($DL233=0,0,IF(Исходн.данные.!AM233&gt;0,VLOOKUP($DL233,АшламаДВ_Irekle,2,FALSE),VLOOKUP($DL233,АшламаДВ_Gomumy,2,FALSE)))</f>
        <v>0</v>
      </c>
      <c r="DN233" s="10">
        <f t="shared" si="299"/>
        <v>0</v>
      </c>
      <c r="DO233" s="9" t="str">
        <f>IF(Исходн.данные.!AN233&gt;0,Исходн.данные.!AN233,Удобрения!$B$37 )</f>
        <v>Хлор.калий</v>
      </c>
      <c r="DP233" s="9">
        <f>IF(Исходн.данные.!AN233&gt;0,VLOOKUP(Исходн.данные.!AN233,АшламаДВ_Irekle,4,FALSE),VLOOKUP(DO233,АшламаДВ_Gomumy,4,FALSE))</f>
        <v>0.6</v>
      </c>
      <c r="DQ233" s="10">
        <f t="shared" si="300"/>
        <v>0</v>
      </c>
      <c r="DR233" s="132" t="str">
        <f>IF(Исходн.данные.!AO233&gt;0,Исходн.данные.!AO233,IF(DH233=0,BS$17,IF(AND($DK233=0,$DJ233&gt;0),EJ233,EN233)))</f>
        <v>Нет</v>
      </c>
      <c r="DS233" s="70" t="str">
        <f>IF($DR233="Нет","Нет",IF(Исходн.данные.!$AO233&gt;0,VLOOKUP($DR233,АшламаДВ_Irekle,2,FALSE),VLOOKUP($DR233,АшламаДВ_Gomumy,2,FALSE)))</f>
        <v>Нет</v>
      </c>
      <c r="DT233" s="70" t="str">
        <f>IF($DR233="Нет","Нет",IF(Исходн.данные.!$AO233&gt;0,VLOOKUP($DR233,АшламаДВ_Irekle,3,FALSE),VLOOKUP($DR233,АшламаДВ_Gomumy,3,FALSE)))</f>
        <v>Нет</v>
      </c>
      <c r="DU233" s="70" t="str">
        <f>IF($DR233="Нет","Нет",IF(Исходн.данные.!$AO233&gt;0,VLOOKUP($DR233,АшламаДВ_Irekle,4,FALSE),VLOOKUP($DR233,АшламаДВ_Gomumy,4,FALSE)))</f>
        <v>Нет</v>
      </c>
      <c r="DV233" s="70"/>
      <c r="DW233" s="70"/>
      <c r="DX233" s="70"/>
      <c r="DY233" s="10">
        <f t="shared" si="322"/>
        <v>0</v>
      </c>
      <c r="DZ233" s="10">
        <f t="shared" si="323"/>
        <v>0</v>
      </c>
      <c r="EA233" s="10">
        <f t="shared" si="324"/>
        <v>0</v>
      </c>
      <c r="EB233" s="10">
        <f t="shared" si="325"/>
        <v>0</v>
      </c>
      <c r="EC233" s="10">
        <f t="shared" si="326"/>
        <v>0</v>
      </c>
      <c r="ED233" s="10">
        <f t="shared" si="327"/>
        <v>0</v>
      </c>
      <c r="EE233" s="10">
        <f t="shared" si="328"/>
        <v>0</v>
      </c>
      <c r="EF233" s="39">
        <f>EB233*Исходн.данные.!AJ233/1000</f>
        <v>0</v>
      </c>
      <c r="EG233" s="9">
        <f t="shared" si="329"/>
        <v>0</v>
      </c>
      <c r="EH233" s="9">
        <f t="shared" si="330"/>
        <v>0</v>
      </c>
      <c r="EI233" s="39" t="e">
        <f t="shared" si="280"/>
        <v>#DIV/0!</v>
      </c>
      <c r="EJ233" s="9" t="str">
        <f t="shared" si="301"/>
        <v>Азопреципитат</v>
      </c>
      <c r="EK233" s="12">
        <f t="shared" si="281"/>
        <v>0.26</v>
      </c>
      <c r="EL233" s="12">
        <f t="shared" si="282"/>
        <v>0.13</v>
      </c>
      <c r="EM233" s="12">
        <f t="shared" si="283"/>
        <v>0</v>
      </c>
      <c r="EN233" s="12" t="str">
        <f t="shared" si="302"/>
        <v>Нет</v>
      </c>
      <c r="EO233" s="12">
        <f t="shared" si="284"/>
        <v>0</v>
      </c>
      <c r="EP233" s="12">
        <f t="shared" si="285"/>
        <v>0</v>
      </c>
      <c r="EQ233" s="12">
        <f t="shared" si="286"/>
        <v>0</v>
      </c>
      <c r="ER233" s="12" t="str">
        <f t="shared" si="331"/>
        <v>Диаммофоска</v>
      </c>
      <c r="ES233" s="12">
        <f t="shared" si="287"/>
        <v>0.1</v>
      </c>
      <c r="ET233" s="12">
        <f t="shared" si="288"/>
        <v>0.26</v>
      </c>
      <c r="EU233" s="12">
        <f t="shared" si="289"/>
        <v>0.26</v>
      </c>
      <c r="EV233" s="12" t="str">
        <f t="shared" si="332"/>
        <v>Аммофос 12:52:00</v>
      </c>
      <c r="EW233" s="12" t="str">
        <f t="shared" si="333"/>
        <v>Кемира Свекловичное-6</v>
      </c>
      <c r="EX233" s="12">
        <f t="shared" si="290"/>
        <v>0.16</v>
      </c>
      <c r="EY233" s="12">
        <f t="shared" si="291"/>
        <v>0.12</v>
      </c>
      <c r="EZ233" s="12">
        <f t="shared" si="292"/>
        <v>0.17</v>
      </c>
      <c r="FA233" s="38" t="e">
        <f>IF(AND(OR(FJ233=$FD$1,FM233=$FD$1,FO233=$FD$1,FQ233=$FD$1,FS233=$FD$1),FD233=$FD$1,Исходн.данные.!J233&lt;2,FU233=$FD$1),"Бор,Кобальт",IF(AND(FO233=$FD$1,FH233=$FD$1,Исходн.данные.!J233&lt;2,FU233=$FD$1),"Бор,Кобальт",IF(AND(OR(FJ233=$FD$1,FM233=$FD$1,FQ233=$FD$1),FE233=$FD$1,Исходн.данные.!J233&lt;2,FT233=$FD$1,FU233=$FD$1),"Бор,Медь,Цинк",IF(AND(OR(FJ233=$FD$1,FR233="Да"),FI233="Да",Исходн.данные.!J233&lt;2,FT233="Да",FU233="Да"),"Бор,Цинк,Медь",IF(AND(OR(FM233="Да",FQ233="Да"),FI233="Да",Исходн.данные.!J233&lt;2,FT233="Да",FU233="Да"),"Бор,Цинк",IF(AND(FN233="Да",OR(FD233="Да",FE233="Да")),"Бор",FB233))))))</f>
        <v>#N/A</v>
      </c>
      <c r="FB233" s="134" t="e">
        <f>IF(AND(OR(FD233="Да",FE233="Да",FF233="Да",FG233="Да",FH233="Да"),FO233="Да"),"Бор",IF(AND(FP233="Да",OR(FD233="Да",FE233="Да",FI233="Да")),"Бор",IF(AND(FS233="Да",FE233="Да"),"Бор,Медь",IF(AND(OR(FJ233="Да",FK233="Да",FL233="Да"),FE233="Да",Исходн.данные.!I233&lt;5,FT233="Да",FU233="Да"),"Молибден,Цинк",IF(AND(FM233="Да",OR(FE233="Да",FF233="Да",FG233="Да",FH233="Да",FI233="Да")),"Молибден,Цинк",IF(AND(OR(FJ233="Да",FK233="Да",FL233="Да",FM233="Да",FQ233="Да"),OR(FE233="Да",FF233="Да"),FT233="Да",FU233="Да",Исходн.данные.!I233&gt;5.5),"Медь,Цинк",FC233))))))</f>
        <v>#N/A</v>
      </c>
      <c r="FC233" s="23" t="e">
        <f t="shared" si="334"/>
        <v>#N/A</v>
      </c>
      <c r="FD233" s="38" t="str">
        <f>IF(OR(Исходн.данные.!F233=$CC$1,Исходн.данные.!F233=$CC$2,Исходн.данные.!F233=$CC$3,Исходн.данные.!F233=$CC$4),"Да","Нет")</f>
        <v>Нет</v>
      </c>
      <c r="FE233" s="38" t="str">
        <f>IF(Исходн.данные.!F233=$CC$5,"Да","Нет")</f>
        <v>Нет</v>
      </c>
      <c r="FF233" s="38" t="str">
        <f>IF(OR(Исходн.данные.!F233=$CC$6,Исходн.данные.!F233=$CC$7),"Да","Нет")</f>
        <v>Нет</v>
      </c>
      <c r="FG233" s="38" t="str">
        <f>IF(OR(Исходн.данные.!F233=$CC$8,Исходн.данные.!F233=$CC$9),"Да","Нет")</f>
        <v>Нет</v>
      </c>
      <c r="FH233" s="38" t="str">
        <f>IF(Исходн.данные.!F233=$CC$10,"Да","Нет")</f>
        <v>Нет</v>
      </c>
      <c r="FI233" s="38" t="str">
        <f>IF(OR(Исходн.данные.!F233=$CC$11,Исходн.данные.!F233=$CC$12),"Да","Нет")</f>
        <v>Нет</v>
      </c>
      <c r="FJ233" s="38" t="str">
        <f>IF(OR(Исходн.данные.!AH233=$BS$1,Исходн.данные.!AH233=$BQ$11,Исходн.данные.!AH233=$BQ$12),"Да","Нет")</f>
        <v>Нет</v>
      </c>
      <c r="FK233" s="38" t="str">
        <f>IF(OR(Исходн.данные.!AH233=$BS$2,Исходн.данные.!AH233=$BS$4),"Да","Нет")</f>
        <v>Нет</v>
      </c>
      <c r="FL233" s="38" t="str">
        <f>IF(OR(Исходн.данные.!AH233=$BS$3,Исходн.данные.!AH233=$BS$5),"Да","Нет")</f>
        <v>Нет</v>
      </c>
      <c r="FM233" s="38" t="str">
        <f>IF(OR(Исходн.данные.!AH233=$BS$9,Исходн.данные.!AH233=$BS$10,Исходн.данные.!AH233=$BS$11,Исходн.данные.!AH233=$BS$12),"Да","Нет")</f>
        <v>Нет</v>
      </c>
      <c r="FN233" s="38" t="str">
        <f>IF(OR(Исходн.данные.!AH233=$BS$6,Исходн.данные.!AH233=$BP$3),"Да","Нет")</f>
        <v>Нет</v>
      </c>
      <c r="FO233" s="38" t="str">
        <f>IF(Исходн.данные.!AH233=$BQ$9,"Да","Нет")</f>
        <v>Нет</v>
      </c>
      <c r="FP233" s="38" t="str">
        <f>IF(OR(Исходн.данные.!AH233=$BS$8,Исходн.данные.!AH233=$BT$8),"Да","Нет")</f>
        <v>Нет</v>
      </c>
      <c r="FQ233" s="38" t="str">
        <f>IF(OR(Исходн.данные.!AH233=$BQ$7,Исходн.данные.!AH233=$BQ$8),"Да","Нет")</f>
        <v>Нет</v>
      </c>
      <c r="FR233" s="38" t="str">
        <f>IF(Исходн.данные.!AI233=$BU$9,"Да","Нет")</f>
        <v>Нет</v>
      </c>
      <c r="FS233" s="38" t="str">
        <f>IF(OR(Исходн.данные.!AH233=$BP$1,Исходн.данные.!AH233=$BP$2),"Да","Нет")</f>
        <v>Нет</v>
      </c>
      <c r="FT233" s="38" t="e">
        <f>IF((Исходн.данные.!K233*GO233*GS233*GW233+BL233*0.6+Исходн.данные.!Q233*4.5*0.275)&gt;90,"Да","Нет")</f>
        <v>#N/A</v>
      </c>
      <c r="FU233" s="38" t="e">
        <f>IF((Исходн.данные.!M233*GS233*GZ233+BM233*0.225)&gt;35,"Да","Нет")</f>
        <v>#N/A</v>
      </c>
      <c r="FV233" s="38" t="str">
        <f>IF(Исходн.данные.!O233&gt;175,"Да","Нет")</f>
        <v>Нет</v>
      </c>
      <c r="FW233" s="39" t="str">
        <f>IF(Исходн.данные.!I233&gt;5.5,"Да","Нет")</f>
        <v>Нет</v>
      </c>
      <c r="FX233" s="39" t="str">
        <f>IF(Исходн.данные.!J233&lt;2,"Да","Нет")</f>
        <v>Да</v>
      </c>
      <c r="FY233" s="39" t="e">
        <f>IF(HF233=$FY$16,0,Исходн.данные.!K233*GO233*GS233*GW233/HF233)</f>
        <v>#N/A</v>
      </c>
      <c r="FZ233" s="39" t="e">
        <f>Исходн.данные.!M233*GS233*GZ233/HG233</f>
        <v>#N/A</v>
      </c>
      <c r="GA233" s="39" t="e">
        <f>IF(K_Wyn=$FY$16,0,IF(Исходн.данные.!N233=Исходн.данные.!$L$10,Исходн.данные.!O233/1.1*GS233*HC233/HH233,IF(Исходн.данные.!N233=Исходн.данные.!$L$12,Исходн.данные.!O233/1.5*GS233*HC233/HH233,Исходн.данные.!O233*GS233*HC233/HH233)))</f>
        <v>#N/A</v>
      </c>
      <c r="GB233" s="39" t="e">
        <f>IF(HF233=$FY$16,0,((Исходн.данные.!Q233*N_Org+Исходн.данные.!R233*N_Sider+Исходн.данные.!S233*N_Soloma)*AO233+Расчет!BC233*VLOOKUP(Исходн.данные.!T233,Справ!$A$3:$O$57,15)*AO233+BB233*VLOOKUP(Исходн.данные.!T233,Справ!$A$3:$O$57,15)*AL233+(Исходн.данные.!V233*N_Rizotorf+Исходн.данные.!W233*N_Rizoagr))/HF233)</f>
        <v>#N/A</v>
      </c>
      <c r="GC233" s="39" t="e">
        <f>IF(HG233=$FY$16,0,((Исходн.данные.!Q233*Р_Org+Исходн.данные.!R233*P_Sider+Исходн.данные.!S233*P_Soloma)*AP233+Расчет!BC233*VLOOKUP(Исходн.данные.!T233,Справ!$A$3:$P$57,16)*AP233+BB233*VLOOKUP(Исходн.данные.!T233,Справ!$A$3:$P$57,16)*AM233)/HG233)</f>
        <v>#N/A</v>
      </c>
      <c r="GD233" s="39" t="e">
        <f>IF(HH233=$FY$16,0,((Исходн.данные.!Q233*К_Org+Исходн.данные.!R233*K_Sider+Исходн.данные.!S233*K_Soloma)*AQ233+Расчет!BC233*VLOOKUP(Исходн.данные.!T233,Справ!$A$3:$Q$57,17)*AQ233+BB233*VLOOKUP(Исходн.данные.!T233,Справ!$A$3:$Q$57,17)*AN233)/HH233)</f>
        <v>#N/A</v>
      </c>
      <c r="GE233" s="39" t="e">
        <f>IF(HF233=$FY$16,0,(Исходн.данные.!X233*AR233+Исходн.данные.!AA233*N_Org*AL233+Исходн.данные.!AB233*N_Sider*AL233+Исходн.данные.!AC233*N_Soloma*AL233)/HF233)</f>
        <v>#N/A</v>
      </c>
      <c r="GF233" s="39" t="e">
        <f>IF(HG233=$FY$16,0,(Исходн.данные.!Y233*AS233+Исходн.данные.!AA233*Р_Org*AM233+Исходн.данные.!AB233*P_Sider*AM233+Исходн.данные.!AC233*P_Soloma*AM233)/HG233)</f>
        <v>#N/A</v>
      </c>
      <c r="GG233" s="39" t="e">
        <f>IF(HH233=$FY$16,0,(Исходн.данные.!Z233*AT233+Исходн.данные.!AA233*К_Org*AN233+Исходн.данные.!AB233*K_Sider*AN233+Исходн.данные.!AC233*K_Soloma*AN233)/HH233)</f>
        <v>#N/A</v>
      </c>
      <c r="GH233" s="39" t="e">
        <f>Исходн.данные.!AD233*AU233/HF233</f>
        <v>#N/A</v>
      </c>
      <c r="GI233" s="39" t="e">
        <f>Исходн.данные.!AE233*AV233/HG233</f>
        <v>#N/A</v>
      </c>
      <c r="GJ233" s="39" t="e">
        <f>Исходн.данные.!AF233*AW233/HH233</f>
        <v>#N/A</v>
      </c>
      <c r="GK233" s="55">
        <f>Исходн.данные.!AK233</f>
        <v>0</v>
      </c>
      <c r="GL233" s="11" t="e">
        <f t="shared" si="335"/>
        <v>#N/A</v>
      </c>
      <c r="GM233" s="11" t="e">
        <f t="shared" si="336"/>
        <v>#N/A</v>
      </c>
      <c r="GN233" s="11" t="e">
        <f t="shared" si="337"/>
        <v>#N/A</v>
      </c>
      <c r="GO233" s="57">
        <f t="shared" si="338"/>
        <v>19</v>
      </c>
      <c r="GP233" s="55">
        <f>IF(OR(Исходн.данные.!F233=$CE$1,Исходн.данные.!F233=$CE$2,Исходн.данные.!F233=$CE$3,Исходн.данные.!F233=$CE$4,Исходн.данные.!F233=$CE$5),GQ233,GR233)</f>
        <v>19</v>
      </c>
      <c r="GQ233" s="55">
        <f>IF(Исходн.данные.!F233=$CE$1,28,IF(Исходн.данные.!F233=$CE$2,26,IF(Исходн.данные.!F233=$CE$3,24,IF(Исходн.данные.!F233=$CE$4,22,IF(Исходн.данные.!F233=$CE$5,20,GR233)))))</f>
        <v>19</v>
      </c>
      <c r="GR233" s="55">
        <f>IF(Исходн.данные.!F233=$CE$6,18,IF(Исходн.данные.!F233=$CE$7,16,IF(Исходн.данные.!F233=$CE$8,14,IF(Исходн.данные.!F233=$CE$9,13,IF(Исходн.данные.!F233=$CE$10,12,19)))))</f>
        <v>19</v>
      </c>
      <c r="GS233" s="55">
        <f>IF(Исходн.данные.!G233="Пес",0.035*(40+2*Исходн.данные.!H233),IF(Исходн.данные.!G233="Суп",0.0325*(40+2*Исходн.данные.!H233),0.03*(40+2*Исходн.данные.!H233)))</f>
        <v>1.2</v>
      </c>
      <c r="GT233" s="55">
        <f>IF(Исходн.данные.!H233&lt;23,2.6,IF(AND(Исходн.данные.!H233&gt;22,Исходн.данные.!H233&lt;26),3,IF(AND(Исходн.данные.!H233&gt;25,Исходн.данные.!H233&lt;29),3.4,3.6)))</f>
        <v>2.6</v>
      </c>
      <c r="GU233" s="55">
        <f>IF(Исходн.данные.!H233&lt;23,2.8,IF(AND(Исходн.данные.!H233&gt;22,Исходн.данные.!H233&lt;26),3.2,IF(AND(Исходн.данные.!H233&gt;25,Исходн.данные.!H233&lt;29),3.6,3.9)))</f>
        <v>2.8</v>
      </c>
      <c r="GV233" s="55">
        <f>IF(Исходн.данные.!H233&lt;23,3,IF(AND(Исходн.данные.!H233&gt;22,Исходн.данные.!H233&lt;26),3.5,IF(AND(Исходн.данные.!H233&gt;25,Исходн.данные.!H233&lt;29),3.9,4.2)))</f>
        <v>3</v>
      </c>
      <c r="GW233" s="55" t="e">
        <f>IF(Исходн.данные.!P233="Ум",GX233,GY233)</f>
        <v>#N/A</v>
      </c>
      <c r="GX233" s="55" t="e">
        <f>VLOOKUP(Исходн.данные.!AI233,Коэффициенты!$J$7:$L$13,2,FALSE)</f>
        <v>#N/A</v>
      </c>
      <c r="GY233" s="55" t="e">
        <f>VLOOKUP(Исходн.данные.!AI233,Коэффициенты!$J$7:$L$13,3,FALSE)</f>
        <v>#N/A</v>
      </c>
      <c r="GZ233" s="55" t="e">
        <f>(IF(Исходн.данные.!M233&lt;50,0.11*VLOOKUP(Исходн.данные.!AH233,Культуры.Информация,7,FALSE),IF(Исходн.данные.!M233&gt;250,0.05*VLOOKUP(Исходн.данные.!AH233,Культуры.Информация,7,FALSE),VLOOKUP(Исходн.данные.!AH233,Культуры.Информация,5,FALSE)/100*($GX$6+$GY$6*Исходн.данные.!M233))))*Расчет2!AI233</f>
        <v>#N/A</v>
      </c>
      <c r="HA233" s="211"/>
      <c r="HB233" s="211"/>
      <c r="HC233" s="55" t="e">
        <f>(IF(Исходн.данные.!O233&lt;80,0.2*VLOOKUP(Исходн.данные.!AH233,Культуры.Информация,8,FALSE),IF(Исходн.данные.!O233&gt;240,0.09*VLOOKUP(Исходн.данные.!AH233,Культуры.Информация,8,FALSE),VLOOKUP(Исходн.данные.!AH233,Культуры.Информация,6,FALSE)/100*($HB$6+$HC$6*Исходн.данные.!O233))))*Расчет2!AJ233</f>
        <v>#N/A</v>
      </c>
      <c r="HD233" s="55">
        <f>IF(Исходн.данные.!O233&gt;240,0.09,IF(Исходн.данные.!O233&lt;30,0.3,$HE$10+$HD$10*Исходн.данные.!O233))</f>
        <v>0.3</v>
      </c>
      <c r="HE233" s="55">
        <f>IF(Исходн.данные.!O233&gt;240,0.17,IF(Исходн.данные.!O233&lt;30,0.5,$HF$12+$HE$12*Исходн.данные.!O233))</f>
        <v>0.5</v>
      </c>
      <c r="HF233" s="55" t="e">
        <f>VLOOKUP(Исходн.данные.!AH233,Справ!$A$3:$D$58,2,FALSE)</f>
        <v>#N/A</v>
      </c>
      <c r="HG233" s="55" t="e">
        <f>VLOOKUP(Исходн.данные.!AH233,Справ!$A$3:$D$58,3,FALSE)</f>
        <v>#N/A</v>
      </c>
      <c r="HH233" s="55" t="e">
        <f>VLOOKUP(Исходн.данные.!AH233,Справ!$A$3:$D$58,4,FALSE)</f>
        <v>#N/A</v>
      </c>
      <c r="HI233" s="11" t="e">
        <f t="shared" si="339"/>
        <v>#N/A</v>
      </c>
      <c r="HJ233" s="11" t="e">
        <f t="shared" si="340"/>
        <v>#N/A</v>
      </c>
      <c r="HK233" s="11" t="e">
        <f t="shared" si="341"/>
        <v>#N/A</v>
      </c>
      <c r="HL233" s="55">
        <f>IF(OR(Исходн.данные.!G233="Глин",Исходн.данные.!G233="Т_суг"),1.1,IF(Исходн.данные.!G233="Ср_суг",1,1))</f>
        <v>1</v>
      </c>
      <c r="HM233" s="55">
        <f>IF(OR(Исходн.данные.!G233="Глин",Исходн.данные.!G233="Т_суг"),0.9,IF(Исходн.данные.!G233="Ср_суг",1,1.2))</f>
        <v>1.2</v>
      </c>
      <c r="HN233" s="11" t="e">
        <f t="shared" si="342"/>
        <v>#N/A</v>
      </c>
      <c r="HO233" s="11" t="e">
        <f t="shared" si="343"/>
        <v>#N/A</v>
      </c>
      <c r="HP233" s="11" t="e">
        <f t="shared" si="344"/>
        <v>#N/A</v>
      </c>
      <c r="HQ233" t="e">
        <f t="shared" si="345"/>
        <v>#N/A</v>
      </c>
      <c r="HR233" t="e">
        <f t="shared" si="346"/>
        <v>#N/A</v>
      </c>
      <c r="HS233" t="e">
        <f t="shared" si="347"/>
        <v>#N/A</v>
      </c>
      <c r="HT233" t="e">
        <f t="shared" si="293"/>
        <v>#N/A</v>
      </c>
      <c r="HU233" t="e">
        <f t="shared" si="294"/>
        <v>#N/A</v>
      </c>
      <c r="HV233" t="e">
        <f t="shared" si="295"/>
        <v>#N/A</v>
      </c>
      <c r="HW233" t="e">
        <f t="shared" si="296"/>
        <v>#N/A</v>
      </c>
      <c r="HX233" t="e">
        <f t="shared" si="297"/>
        <v>#N/A</v>
      </c>
      <c r="HY233" t="e">
        <f t="shared" si="298"/>
        <v>#N/A</v>
      </c>
      <c r="HZ233" s="55">
        <f>IF(OR(Исходн.данные.!AI233="Оз_Ч_П",Исходн.данные.!AI233="Оз_З_П",Исходн.данные.!AI233="Яр_зер"),12,30)</f>
        <v>30</v>
      </c>
      <c r="IA233" t="e">
        <f t="shared" si="348"/>
        <v>#N/A</v>
      </c>
      <c r="IB233" t="e">
        <f t="shared" si="349"/>
        <v>#N/A</v>
      </c>
      <c r="IC233" t="e">
        <f t="shared" si="350"/>
        <v>#N/A</v>
      </c>
      <c r="ID233" s="11" t="e">
        <f t="shared" si="351"/>
        <v>#N/A</v>
      </c>
      <c r="IE233" s="11" t="e">
        <f t="shared" si="352"/>
        <v>#N/A</v>
      </c>
      <c r="IF233" s="11" t="e">
        <f t="shared" si="353"/>
        <v>#N/A</v>
      </c>
    </row>
    <row r="234" spans="35:240" x14ac:dyDescent="0.2">
      <c r="AI234">
        <f>IF(Исходн.данные.!I234&gt;6,1,1.85-(0.148*Исходн.данные.!I234))</f>
        <v>1.85</v>
      </c>
      <c r="AJ234">
        <f>IF(Исходн.данные.!I234&gt;6,1,2.434-(0.246*Исходн.данные.!I234))</f>
        <v>2.4340000000000002</v>
      </c>
      <c r="AL234" s="148" t="b">
        <f>IF(Исходн.данные.!$P234="Ум",N_OrgUd_2g_um,IF(Исходн.данные.!$P234="Об",N_OrgUd_2g_ob))</f>
        <v>0</v>
      </c>
      <c r="AM234" s="148" t="b">
        <f>IF(Исходн.данные.!$P234="Ум",P_OrgUd_2g_um,IF(Исходн.данные.!$P234="Об",P_OrgUd_2g_ob))</f>
        <v>0</v>
      </c>
      <c r="AN234" s="148" t="b">
        <f>IF(Исходн.данные.!$P234="Ум",K_OrgUd_2g_um,IF(Исходн.данные.!$P234="Об",K_OrgUd_2g_ob))</f>
        <v>0</v>
      </c>
      <c r="AO234" s="148" t="b">
        <f>IF(Исходн.данные.!$P234="Ум",N_OrgUd_1g_um,IF(Исходн.данные.!$P234="Об",N_OrgUd_1g_ob))</f>
        <v>0</v>
      </c>
      <c r="AP234" s="148" t="b">
        <f>IF(Исходн.данные.!$P234="Ум",P_OrgUd_1g_um,IF(Исходн.данные.!$P234="Об",P_OrgUd_1g_ob))</f>
        <v>0</v>
      </c>
      <c r="AQ234" s="148" t="b">
        <f>IF(Исходн.данные.!$P234="Ум",K_OrgUd_1g_um,IF(Исходн.данные.!$P234="Об",K_OrgUd_1g_ob))</f>
        <v>0</v>
      </c>
      <c r="AR234" t="b">
        <f>IF(Исходн.данные.!$P234="Ум",N_MinUd_2g_um,IF(Исходн.данные.!$P234="Об",N_MinUd_2g_ob))</f>
        <v>0</v>
      </c>
      <c r="AS234" t="b">
        <f>IF(Исходн.данные.!$P234="Ум",P_MinUd_2g_um,IF(Исходн.данные.!$P234="Об",P_MinUd_2g_ob))</f>
        <v>0</v>
      </c>
      <c r="AT234" t="b">
        <f>IF(Исходн.данные.!$P234="Ум",K_MinUd_2g_um,IF(Исходн.данные.!$P234="Об",K_MinUd_2g_ob))</f>
        <v>0</v>
      </c>
      <c r="AU234" t="b">
        <f>IF(Исходн.данные.!$P234="Ум",N_MinUd_1g_um,IF(Исходн.данные.!$P234="Об",N_MinUd_1g_ob))</f>
        <v>0</v>
      </c>
      <c r="AV234" t="b">
        <f>IF(Исходн.данные.!P234="Ум",P_MinUd_1g_um,IF(Исходн.данные.!P234="Об",P_MinUd_1g_ob))</f>
        <v>0</v>
      </c>
      <c r="AW234" t="b">
        <f>IF(Исходн.данные.!P234="Ум",K_MinUd_1g_um,IF(Исходн.данные.!P234="Об",K_MinUd_1g_ob))</f>
        <v>0</v>
      </c>
      <c r="AY234" t="e">
        <f>VLOOKUP(Исходн.данные.!T234,Справ!$A$3:$N$57,12)</f>
        <v>#N/A</v>
      </c>
      <c r="AZ234" t="e">
        <f>VLOOKUP(Исходн.данные.!T234,Справ!$A$3:$N$57,13)</f>
        <v>#N/A</v>
      </c>
      <c r="BA234" t="e">
        <f>VLOOKUP(Исходн.данные.!T234,Справ!$A$3:$N$57,14)</f>
        <v>#N/A</v>
      </c>
      <c r="BB234">
        <f>IF(Исходн.данные.!AH234=0,0,25)</f>
        <v>0</v>
      </c>
      <c r="BC234" s="141">
        <f>IF(Исходн.данные.!AH234=0,0,IF(Исходн.данные.!T234=0,25,BD234))</f>
        <v>0</v>
      </c>
      <c r="BD234" s="168" t="e">
        <f>AY234+AZ234*Исходн.данные.!U234-POWER(BA234,2)*Исходн.данные.!U234</f>
        <v>#N/A</v>
      </c>
      <c r="BE23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4" s="25">
        <f>IF(Исходн.данные.!AH234=0,0,MIN(HN234:HP234))</f>
        <v>0</v>
      </c>
      <c r="BG234" s="9">
        <f>IF(Исходн.данные.!AH234=0,0,IF((HO234+10*0.25/HG234/HL234)&lt;17,17,HO234+10*0.25/HG234/HL234))</f>
        <v>0</v>
      </c>
      <c r="BH234" s="181">
        <f>IF(Исходн.данные.!AH234=0,0,HW234*HF234*HL234/AU234*AI234+Исходн.данные.!S234*10)</f>
        <v>0</v>
      </c>
      <c r="BI234" s="10"/>
      <c r="BJ234" s="182">
        <f>IF(Исходн.данные.!AH234=0,0,IF(HX234*HG234*HL234/AV234&lt;0,0,HX234*HG234*HL234/AV234*AJ234))</f>
        <v>0</v>
      </c>
      <c r="BK234" s="182">
        <f>IF(Исходн.данные.!AH234=0,0,HY234*HH234*HM234/AW234)</f>
        <v>0</v>
      </c>
      <c r="BL234" s="10">
        <f>IF(OR(Исходн.данные.!$AH234=$BP$1,Исходн.данные.!$AH234=$BP$2),0,IF(BH234&lt;0,0,IF(OR(Исходн.данные.!T234=Расчет!$BP$1,Исходн.данные.!T234=Расчет!$BP$2,Исходн.данные.!T234=Расчет!$BT$5,Исходн.данные.!T234=Расчет!$BT$6),BH234*0.5,IF(OR(Исходн.данные.!T234=Расчет!$BS$9,Исходн.данные.!T234=Расчет!$BS$10,Исходн.данные.!T234=Расчет!$BS$11,Исходн.данные.!T234=Расчет!$BS$12,Исходн.данные.!T234=Расчет!$BP$5),BH234*0.8,BH234))))</f>
        <v>0</v>
      </c>
      <c r="BM234" s="10">
        <f>IF(OR(Исходн.данные.!$AH234=$BP$1,Исходн.данные.!$AH234=$BP$2),0,IF(BJ234&lt;0,0,IF(Исходн.данные.!I234&lt;4.5,BJ234*1.2,IF(Исходн.данные.!I234&gt;5.1,BJ234,BJ234*((5.1-Исходн.данные.!I234)*0.333+1)))))</f>
        <v>0</v>
      </c>
      <c r="BN234" s="10">
        <f>IF(OR(Исходн.данные.!$AH234=$BP$1,Исходн.данные.!$AH234=$BP$2),60-Исходн.данные.!AF234,IF(BK234&lt;0,0,IF(Исходн.данные.!I234&lt;4.5,BK234*1.2,IF(Исходн.данные.!I234&gt;5.1,BK234,BK234*((5.1-Исходн.данные.!I234)*0.333+1)))))</f>
        <v>0</v>
      </c>
      <c r="BO234" s="9">
        <f>IF(BL234&lt;0,0,BL234*Исходн.данные.!$AJ234/1000)</f>
        <v>0</v>
      </c>
      <c r="BP234" s="9">
        <f>IF(BM234&lt;0,0,BM234*Исходн.данные.!$AJ234/1000)</f>
        <v>0</v>
      </c>
      <c r="BQ234" s="9">
        <f>IF(BN234&lt;0,0,BN234*Исходн.данные.!$AJ234/1000)</f>
        <v>0</v>
      </c>
      <c r="BR234" s="9">
        <f t="shared" si="303"/>
        <v>0</v>
      </c>
      <c r="BS234" s="10" t="str">
        <f t="shared" si="304"/>
        <v>Аммофос 12:52:00</v>
      </c>
      <c r="BT234" s="10" t="str">
        <f t="shared" si="305"/>
        <v>Аммофос 12:52:00</v>
      </c>
      <c r="BU234" s="10" t="str">
        <f t="shared" si="306"/>
        <v>Диаммофоска</v>
      </c>
      <c r="BV234" s="10">
        <f t="shared" si="307"/>
        <v>0</v>
      </c>
      <c r="BW234" s="10"/>
      <c r="BX234" s="10"/>
      <c r="BY234" s="9">
        <f>IF(BL234&lt;0,0,IF(OR(Исходн.данные.!AI234=Расчет!$BU$6,Исходн.данные.!AI234=Расчет!$BU$7),Расчет!BV234,IF(Исходн.данные.!$AG234=$BV$11,BL234,IF(OR(Исходн.данные.!$AH234=$BQ$7,Исходн.данные.!$AH234=$BQ$8),CB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0,IF(Исходн.данные.!$AI234=$BU$11,"Нет",IF(BL234&gt;30,30,BL234)))))))</f>
        <v>0</v>
      </c>
      <c r="BZ234" s="9">
        <f>IF(AND(Исходн.данные.!$AG234=$BV$11,BM234&lt;10),10,IF(Исходн.данные.!$AG234=$BV$11,BM234,IF(OR(Исходн.данные.!$AH234=$BQ$7,Исходн.данные.!$AH234=$BQ$8),CC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10,IF(Исходн.данные.!$AI234=$BU$11,"Нет",IF(BM234&gt;60,60,IF(BM234&lt;10,10,BM234)))))))</f>
        <v>10</v>
      </c>
      <c r="CA234" s="39">
        <f>IF(BN234&lt;0,0,IF(Исходн.данные.!$AG234=$BV$11,BN234,IF(OR(Исходн.данные.!$AH234=$BQ$7,Исходн.данные.!$AH234=$BQ$8),CD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0,IF(Исходн.данные.!$AI234=$BU$11,"Нет",IF(BN234&gt;30,30,BN234))))))</f>
        <v>0</v>
      </c>
      <c r="CB234" s="9">
        <f t="shared" si="308"/>
        <v>0</v>
      </c>
      <c r="CC234" s="9">
        <f t="shared" si="309"/>
        <v>0</v>
      </c>
      <c r="CD234" s="9">
        <f t="shared" si="310"/>
        <v>0</v>
      </c>
      <c r="CE234" s="12">
        <f t="shared" si="311"/>
        <v>10</v>
      </c>
      <c r="CF234" s="9">
        <f t="shared" si="312"/>
        <v>0</v>
      </c>
      <c r="CG234" s="9" t="s">
        <v>231</v>
      </c>
      <c r="CH234" s="132" t="str">
        <f>IF(Исходн.данные.!AP234=Расчет!$CI$16,"Нет",IF(Исходн.данные.!AL234&gt;0,Исходн.данные.!AL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BH$4,IF(OR(Исходн.данные.!AI234=Исходн.данные.!$AI$6,Исходн.данные.!AI234=Исходн.данные.!$AI$7),Расчет!BS234,IF(AND($CF234=0,$CE234&gt;0),EV234,ER234)))))</f>
        <v>Аммофос 12:52:00</v>
      </c>
      <c r="CI234" s="274">
        <f>IF(Расчет!$CH234="Нет","Нет",IF(Исходн.данные.!$AL234&gt;0,VLOOKUP(Расчет!$CH234,АшламаДВ_Irekle,2,FALSE),VLOOKUP(Расчет!$CH234,АшламаДВ_Gomumy,2,FALSE)))</f>
        <v>0.12</v>
      </c>
      <c r="CJ234" s="274">
        <f>IF(Расчет!$CH234="Нет","Нет",IF(Исходн.данные.!$AL234&gt;0,VLOOKUP(Расчет!$CH234,АшламаДВ_Irekle,3,FALSE),VLOOKUP(Расчет!$CH234,АшламаДВ_Gomumy,3,FALSE)))</f>
        <v>0.52</v>
      </c>
      <c r="CK234" s="274">
        <f>IF(Расчет!$CH234="Нет","Нет",IF(Исходн.данные.!$AL234&gt;0,VLOOKUP(Расчет!$CH234,АшламаДВ_Irekle,4,FALSE),VLOOKUP(Расчет!$CH234,АшламаДВ_Gomumy,4,FALSE)))</f>
        <v>0</v>
      </c>
      <c r="CL234" s="70"/>
      <c r="CM234" s="70"/>
      <c r="CN234" s="70"/>
      <c r="CO234" s="70"/>
      <c r="CP234" s="70"/>
      <c r="CQ234" s="70"/>
      <c r="CR234" s="10">
        <f t="shared" si="313"/>
        <v>0</v>
      </c>
      <c r="CS234" s="10">
        <f t="shared" si="314"/>
        <v>19.23076923076923</v>
      </c>
      <c r="CT234" s="10">
        <f t="shared" si="315"/>
        <v>0</v>
      </c>
      <c r="CU234" s="39">
        <f>IF($CH234="Нет",0,IF(CI234=0,30/MIN(CJ234:CK234),IF(Исходн.данные.!$AG234=$BV$11,CR234,IF(OR(Исходн.данные.!$AH234=$BQ$7,Исходн.данные.!$AH234=$BQ$8),90/CI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0,IF(Исходн.данные.!$AI234=$BU$11,"Нет",30/CI234))))))</f>
        <v>250</v>
      </c>
      <c r="CV234" s="39">
        <f>IF($CH234="Нет",0,IF(Исходн.данные.!AH234=0,0,IF(CJ234=0,60/MIN(CI234,CK234),IF(Исходн.данные.!$AG234=$BV$11,CS234,IF(OR(Исходн.данные.!$AH234=$BQ$7,Исходн.данные.!$AH234=$BQ$8),90/CJ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10/CJ234,IF(Исходн.данные.!$AI234=$BU$11,"Нет",60/CJ234)))))))</f>
        <v>0</v>
      </c>
      <c r="CW234" s="39">
        <f>IF($CH234="Нет",0,IF(Исходн.данные.!AH234=0,0,IF(CK234=0,30/MIN(CI234:CJ234),IF(Исходн.данные.!$AG234=$BV$11,CT234,IF(OR(Исходн.данные.!$AH234=$BQ$7,Исходн.данные.!$AH234=$BQ$8),90/CK234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0,IF(Исходн.данные.!$AI234=$BU$11,"Нет",30/CK234)))))))</f>
        <v>0</v>
      </c>
      <c r="CX234" s="133">
        <f>IF(Исходн.данные.!$AG234=$BV$11,MAX(CU234:CW234),IF(OR(Исходн.данные.!$AH234=$BS$8,Исходн.данные.!$AH234=$BQ$9,Исходн.данные.!$AH234=$BQ$10,Исходн.данные.!$AH234=$BQ$11,Исходн.данные.!$AH234=$BQ$12,Исходн.данные.!$AH234=$BP$3,Исходн.данные.!$AH234=$BT$8,$FM234="Да"),CV234,MIN(CU234:CW234)))</f>
        <v>0</v>
      </c>
      <c r="CY234" s="133">
        <f>IF(Исходн.данные.!AH234=0,0,IF(CR234&gt;$CX234,$CX234,CR234))</f>
        <v>0</v>
      </c>
      <c r="CZ234" s="133">
        <f>IF(Исходн.данные.!AH234=0,0,IF(CS234&gt;$CX234,$CX234,CS234))</f>
        <v>0</v>
      </c>
      <c r="DA234" s="133">
        <f>IF(Исходн.данные.!AH234=0,0,IF(CT234&gt;$CX234,$CX234,CT234))</f>
        <v>0</v>
      </c>
      <c r="DB234" s="10">
        <f t="shared" si="316"/>
        <v>0</v>
      </c>
      <c r="DC234" s="39">
        <f>DB234*Исходн.данные.!AJ234/1000</f>
        <v>0</v>
      </c>
      <c r="DD234" s="71">
        <f t="shared" si="317"/>
        <v>0</v>
      </c>
      <c r="DE234" s="9">
        <f t="shared" si="318"/>
        <v>0</v>
      </c>
      <c r="DF234" s="9">
        <f t="shared" si="319"/>
        <v>0</v>
      </c>
      <c r="DG234" s="39">
        <f>IF(BL234&lt;0,0,IF($CH234="Нет",BL234,IF(OR(Исходн.данные.!$AH234=$BP$1,Исходн.данные.!$AH234=$BP$2),0,IF(Исходн.данные.!AI234=$BU$11,BL234,IF(BL234-DD234&lt;0,0,BL234-DD234)))))</f>
        <v>0</v>
      </c>
      <c r="DH234" s="39">
        <f>IF(BM234&lt;0,0,IF($CH234="Нет",BM234,IF(OR(Исходн.данные.!$AH234=$BP$1,Исходн.данные.!$AH234=$BP$2),0,IF(Исходн.данные.!AJ234=$BU$11,BM234,IF(BM234-DE234&lt;0,0,BM234-DE234)))))</f>
        <v>0</v>
      </c>
      <c r="DI234" s="39">
        <f>IF(BN234&lt;0,0,IF($CH234="Нет",BN234,IF(OR(Исходн.данные.!$AH234=$BP$1,Исходн.данные.!$AH234=$BP$2),0,IF(Исходн.данные.!AK234=$BU$11,BN234,IF(BN234-DF234&lt;0,0,BN234-DF234)))))</f>
        <v>0</v>
      </c>
      <c r="DJ234" s="12">
        <f t="shared" si="320"/>
        <v>0</v>
      </c>
      <c r="DK234" s="9">
        <f t="shared" si="321"/>
        <v>0</v>
      </c>
      <c r="DL234" s="39">
        <f>IF(Исходн.данные.!AM234&gt;0,Исходн.данные.!AM234,IF(EG234&gt;0,$BH$10,0))</f>
        <v>0</v>
      </c>
      <c r="DM234" s="186">
        <f>IF($DL234=0,0,IF(Исходн.данные.!AM234&gt;0,VLOOKUP($DL234,АшламаДВ_Irekle,2,FALSE),VLOOKUP($DL234,АшламаДВ_Gomumy,2,FALSE)))</f>
        <v>0</v>
      </c>
      <c r="DN234" s="10">
        <f t="shared" si="299"/>
        <v>0</v>
      </c>
      <c r="DO234" s="9" t="str">
        <f>IF(Исходн.данные.!AN234&gt;0,Исходн.данные.!AN234,Удобрения!$B$37 )</f>
        <v>Хлор.калий</v>
      </c>
      <c r="DP234" s="9">
        <f>IF(Исходн.данные.!AN234&gt;0,VLOOKUP(Исходн.данные.!AN234,АшламаДВ_Irekle,4,FALSE),VLOOKUP(DO234,АшламаДВ_Gomumy,4,FALSE))</f>
        <v>0.6</v>
      </c>
      <c r="DQ234" s="10">
        <f t="shared" si="300"/>
        <v>0</v>
      </c>
      <c r="DR234" s="132" t="str">
        <f>IF(Исходн.данные.!AO234&gt;0,Исходн.данные.!AO234,IF(DH234=0,BS$17,IF(AND($DK234=0,$DJ234&gt;0),EJ234,EN234)))</f>
        <v>Нет</v>
      </c>
      <c r="DS234" s="70" t="str">
        <f>IF($DR234="Нет","Нет",IF(Исходн.данные.!$AO234&gt;0,VLOOKUP($DR234,АшламаДВ_Irekle,2,FALSE),VLOOKUP($DR234,АшламаДВ_Gomumy,2,FALSE)))</f>
        <v>Нет</v>
      </c>
      <c r="DT234" s="70" t="str">
        <f>IF($DR234="Нет","Нет",IF(Исходн.данные.!$AO234&gt;0,VLOOKUP($DR234,АшламаДВ_Irekle,3,FALSE),VLOOKUP($DR234,АшламаДВ_Gomumy,3,FALSE)))</f>
        <v>Нет</v>
      </c>
      <c r="DU234" s="70" t="str">
        <f>IF($DR234="Нет","Нет",IF(Исходн.данные.!$AO234&gt;0,VLOOKUP($DR234,АшламаДВ_Irekle,4,FALSE),VLOOKUP($DR234,АшламаДВ_Gomumy,4,FALSE)))</f>
        <v>Нет</v>
      </c>
      <c r="DV234" s="70"/>
      <c r="DW234" s="70"/>
      <c r="DX234" s="70"/>
      <c r="DY234" s="10">
        <f t="shared" si="322"/>
        <v>0</v>
      </c>
      <c r="DZ234" s="10">
        <f t="shared" si="323"/>
        <v>0</v>
      </c>
      <c r="EA234" s="10">
        <f t="shared" si="324"/>
        <v>0</v>
      </c>
      <c r="EB234" s="10">
        <f t="shared" si="325"/>
        <v>0</v>
      </c>
      <c r="EC234" s="10">
        <f t="shared" si="326"/>
        <v>0</v>
      </c>
      <c r="ED234" s="10">
        <f t="shared" si="327"/>
        <v>0</v>
      </c>
      <c r="EE234" s="10">
        <f t="shared" si="328"/>
        <v>0</v>
      </c>
      <c r="EF234" s="39">
        <f>EB234*Исходн.данные.!AJ234/1000</f>
        <v>0</v>
      </c>
      <c r="EG234" s="9">
        <f t="shared" si="329"/>
        <v>0</v>
      </c>
      <c r="EH234" s="9">
        <f t="shared" si="330"/>
        <v>0</v>
      </c>
      <c r="EI234" s="39" t="e">
        <f t="shared" si="280"/>
        <v>#DIV/0!</v>
      </c>
      <c r="EJ234" s="9" t="str">
        <f t="shared" si="301"/>
        <v>Азопреципитат</v>
      </c>
      <c r="EK234" s="12">
        <f t="shared" si="281"/>
        <v>0.26</v>
      </c>
      <c r="EL234" s="12">
        <f t="shared" si="282"/>
        <v>0.13</v>
      </c>
      <c r="EM234" s="12">
        <f t="shared" si="283"/>
        <v>0</v>
      </c>
      <c r="EN234" s="12" t="str">
        <f t="shared" si="302"/>
        <v>Нет</v>
      </c>
      <c r="EO234" s="12">
        <f t="shared" si="284"/>
        <v>0</v>
      </c>
      <c r="EP234" s="12">
        <f t="shared" si="285"/>
        <v>0</v>
      </c>
      <c r="EQ234" s="12">
        <f t="shared" si="286"/>
        <v>0</v>
      </c>
      <c r="ER234" s="12" t="str">
        <f t="shared" si="331"/>
        <v>Диаммофоска</v>
      </c>
      <c r="ES234" s="12">
        <f t="shared" si="287"/>
        <v>0.1</v>
      </c>
      <c r="ET234" s="12">
        <f t="shared" si="288"/>
        <v>0.26</v>
      </c>
      <c r="EU234" s="12">
        <f t="shared" si="289"/>
        <v>0.26</v>
      </c>
      <c r="EV234" s="12" t="str">
        <f t="shared" si="332"/>
        <v>Аммофос 12:52:00</v>
      </c>
      <c r="EW234" s="12" t="str">
        <f t="shared" si="333"/>
        <v>Кемира Свекловичное-6</v>
      </c>
      <c r="EX234" s="12">
        <f t="shared" si="290"/>
        <v>0.16</v>
      </c>
      <c r="EY234" s="12">
        <f t="shared" si="291"/>
        <v>0.12</v>
      </c>
      <c r="EZ234" s="12">
        <f t="shared" si="292"/>
        <v>0.17</v>
      </c>
      <c r="FA234" s="38" t="e">
        <f>IF(AND(OR(FJ234=$FD$1,FM234=$FD$1,FO234=$FD$1,FQ234=$FD$1,FS234=$FD$1),FD234=$FD$1,Исходн.данные.!J234&lt;2,FU234=$FD$1),"Бор,Кобальт",IF(AND(FO234=$FD$1,FH234=$FD$1,Исходн.данные.!J234&lt;2,FU234=$FD$1),"Бор,Кобальт",IF(AND(OR(FJ234=$FD$1,FM234=$FD$1,FQ234=$FD$1),FE234=$FD$1,Исходн.данные.!J234&lt;2,FT234=$FD$1,FU234=$FD$1),"Бор,Медь,Цинк",IF(AND(OR(FJ234=$FD$1,FR234="Да"),FI234="Да",Исходн.данные.!J234&lt;2,FT234="Да",FU234="Да"),"Бор,Цинк,Медь",IF(AND(OR(FM234="Да",FQ234="Да"),FI234="Да",Исходн.данные.!J234&lt;2,FT234="Да",FU234="Да"),"Бор,Цинк",IF(AND(FN234="Да",OR(FD234="Да",FE234="Да")),"Бор",FB234))))))</f>
        <v>#N/A</v>
      </c>
      <c r="FB234" s="134" t="e">
        <f>IF(AND(OR(FD234="Да",FE234="Да",FF234="Да",FG234="Да",FH234="Да"),FO234="Да"),"Бор",IF(AND(FP234="Да",OR(FD234="Да",FE234="Да",FI234="Да")),"Бор",IF(AND(FS234="Да",FE234="Да"),"Бор,Медь",IF(AND(OR(FJ234="Да",FK234="Да",FL234="Да"),FE234="Да",Исходн.данные.!I234&lt;5,FT234="Да",FU234="Да"),"Молибден,Цинк",IF(AND(FM234="Да",OR(FE234="Да",FF234="Да",FG234="Да",FH234="Да",FI234="Да")),"Молибден,Цинк",IF(AND(OR(FJ234="Да",FK234="Да",FL234="Да",FM234="Да",FQ234="Да"),OR(FE234="Да",FF234="Да"),FT234="Да",FU234="Да",Исходн.данные.!I234&gt;5.5),"Медь,Цинк",FC234))))))</f>
        <v>#N/A</v>
      </c>
      <c r="FC234" s="23" t="e">
        <f t="shared" si="334"/>
        <v>#N/A</v>
      </c>
      <c r="FD234" s="38" t="str">
        <f>IF(OR(Исходн.данные.!F234=$CC$1,Исходн.данные.!F234=$CC$2,Исходн.данные.!F234=$CC$3,Исходн.данные.!F234=$CC$4),"Да","Нет")</f>
        <v>Нет</v>
      </c>
      <c r="FE234" s="38" t="str">
        <f>IF(Исходн.данные.!F234=$CC$5,"Да","Нет")</f>
        <v>Нет</v>
      </c>
      <c r="FF234" s="38" t="str">
        <f>IF(OR(Исходн.данные.!F234=$CC$6,Исходн.данные.!F234=$CC$7),"Да","Нет")</f>
        <v>Нет</v>
      </c>
      <c r="FG234" s="38" t="str">
        <f>IF(OR(Исходн.данные.!F234=$CC$8,Исходн.данные.!F234=$CC$9),"Да","Нет")</f>
        <v>Нет</v>
      </c>
      <c r="FH234" s="38" t="str">
        <f>IF(Исходн.данные.!F234=$CC$10,"Да","Нет")</f>
        <v>Нет</v>
      </c>
      <c r="FI234" s="38" t="str">
        <f>IF(OR(Исходн.данные.!F234=$CC$11,Исходн.данные.!F234=$CC$12),"Да","Нет")</f>
        <v>Нет</v>
      </c>
      <c r="FJ234" s="38" t="str">
        <f>IF(OR(Исходн.данные.!AH234=$BS$1,Исходн.данные.!AH234=$BQ$11,Исходн.данные.!AH234=$BQ$12),"Да","Нет")</f>
        <v>Нет</v>
      </c>
      <c r="FK234" s="38" t="str">
        <f>IF(OR(Исходн.данные.!AH234=$BS$2,Исходн.данные.!AH234=$BS$4),"Да","Нет")</f>
        <v>Нет</v>
      </c>
      <c r="FL234" s="38" t="str">
        <f>IF(OR(Исходн.данные.!AH234=$BS$3,Исходн.данные.!AH234=$BS$5),"Да","Нет")</f>
        <v>Нет</v>
      </c>
      <c r="FM234" s="38" t="str">
        <f>IF(OR(Исходн.данные.!AH234=$BS$9,Исходн.данные.!AH234=$BS$10,Исходн.данные.!AH234=$BS$11,Исходн.данные.!AH234=$BS$12),"Да","Нет")</f>
        <v>Нет</v>
      </c>
      <c r="FN234" s="38" t="str">
        <f>IF(OR(Исходн.данные.!AH234=$BS$6,Исходн.данные.!AH234=$BP$3),"Да","Нет")</f>
        <v>Нет</v>
      </c>
      <c r="FO234" s="38" t="str">
        <f>IF(Исходн.данные.!AH234=$BQ$9,"Да","Нет")</f>
        <v>Нет</v>
      </c>
      <c r="FP234" s="38" t="str">
        <f>IF(OR(Исходн.данные.!AH234=$BS$8,Исходн.данные.!AH234=$BT$8),"Да","Нет")</f>
        <v>Нет</v>
      </c>
      <c r="FQ234" s="38" t="str">
        <f>IF(OR(Исходн.данные.!AH234=$BQ$7,Исходн.данные.!AH234=$BQ$8),"Да","Нет")</f>
        <v>Нет</v>
      </c>
      <c r="FR234" s="38" t="str">
        <f>IF(Исходн.данные.!AI234=$BU$9,"Да","Нет")</f>
        <v>Нет</v>
      </c>
      <c r="FS234" s="38" t="str">
        <f>IF(OR(Исходн.данные.!AH234=$BP$1,Исходн.данные.!AH234=$BP$2),"Да","Нет")</f>
        <v>Нет</v>
      </c>
      <c r="FT234" s="38" t="e">
        <f>IF((Исходн.данные.!K234*GO234*GS234*GW234+BL234*0.6+Исходн.данные.!Q234*4.5*0.275)&gt;90,"Да","Нет")</f>
        <v>#N/A</v>
      </c>
      <c r="FU234" s="38" t="e">
        <f>IF((Исходн.данные.!M234*GS234*GZ234+BM234*0.225)&gt;35,"Да","Нет")</f>
        <v>#N/A</v>
      </c>
      <c r="FV234" s="38" t="str">
        <f>IF(Исходн.данные.!O234&gt;175,"Да","Нет")</f>
        <v>Нет</v>
      </c>
      <c r="FW234" s="39" t="str">
        <f>IF(Исходн.данные.!I234&gt;5.5,"Да","Нет")</f>
        <v>Нет</v>
      </c>
      <c r="FX234" s="39" t="str">
        <f>IF(Исходн.данные.!J234&lt;2,"Да","Нет")</f>
        <v>Да</v>
      </c>
      <c r="FY234" s="39" t="e">
        <f>IF(HF234=$FY$16,0,Исходн.данные.!K234*GO234*GS234*GW234/HF234)</f>
        <v>#N/A</v>
      </c>
      <c r="FZ234" s="39" t="e">
        <f>Исходн.данные.!M234*GS234*GZ234/HG234</f>
        <v>#N/A</v>
      </c>
      <c r="GA234" s="39" t="e">
        <f>IF(K_Wyn=$FY$16,0,IF(Исходн.данные.!N234=Исходн.данные.!$L$10,Исходн.данные.!O234/1.1*GS234*HC234/HH234,IF(Исходн.данные.!N234=Исходн.данные.!$L$12,Исходн.данные.!O234/1.5*GS234*HC234/HH234,Исходн.данные.!O234*GS234*HC234/HH234)))</f>
        <v>#N/A</v>
      </c>
      <c r="GB234" s="39" t="e">
        <f>IF(HF234=$FY$16,0,((Исходн.данные.!Q234*N_Org+Исходн.данные.!R234*N_Sider+Исходн.данные.!S234*N_Soloma)*AO234+Расчет!BC234*VLOOKUP(Исходн.данные.!T234,Справ!$A$3:$O$57,15)*AO234+BB234*VLOOKUP(Исходн.данные.!T234,Справ!$A$3:$O$57,15)*AL234+(Исходн.данные.!V234*N_Rizotorf+Исходн.данные.!W234*N_Rizoagr))/HF234)</f>
        <v>#N/A</v>
      </c>
      <c r="GC234" s="39" t="e">
        <f>IF(HG234=$FY$16,0,((Исходн.данные.!Q234*Р_Org+Исходн.данные.!R234*P_Sider+Исходн.данные.!S234*P_Soloma)*AP234+Расчет!BC234*VLOOKUP(Исходн.данные.!T234,Справ!$A$3:$P$57,16)*AP234+BB234*VLOOKUP(Исходн.данные.!T234,Справ!$A$3:$P$57,16)*AM234)/HG234)</f>
        <v>#N/A</v>
      </c>
      <c r="GD234" s="39" t="e">
        <f>IF(HH234=$FY$16,0,((Исходн.данные.!Q234*К_Org+Исходн.данные.!R234*K_Sider+Исходн.данные.!S234*K_Soloma)*AQ234+Расчет!BC234*VLOOKUP(Исходн.данные.!T234,Справ!$A$3:$Q$57,17)*AQ234+BB234*VLOOKUP(Исходн.данные.!T234,Справ!$A$3:$Q$57,17)*AN234)/HH234)</f>
        <v>#N/A</v>
      </c>
      <c r="GE234" s="39" t="e">
        <f>IF(HF234=$FY$16,0,(Исходн.данные.!X234*AR234+Исходн.данные.!AA234*N_Org*AL234+Исходн.данные.!AB234*N_Sider*AL234+Исходн.данные.!AC234*N_Soloma*AL234)/HF234)</f>
        <v>#N/A</v>
      </c>
      <c r="GF234" s="39" t="e">
        <f>IF(HG234=$FY$16,0,(Исходн.данные.!Y234*AS234+Исходн.данные.!AA234*Р_Org*AM234+Исходн.данные.!AB234*P_Sider*AM234+Исходн.данные.!AC234*P_Soloma*AM234)/HG234)</f>
        <v>#N/A</v>
      </c>
      <c r="GG234" s="39" t="e">
        <f>IF(HH234=$FY$16,0,(Исходн.данные.!Z234*AT234+Исходн.данные.!AA234*К_Org*AN234+Исходн.данные.!AB234*K_Sider*AN234+Исходн.данные.!AC234*K_Soloma*AN234)/HH234)</f>
        <v>#N/A</v>
      </c>
      <c r="GH234" s="39" t="e">
        <f>Исходн.данные.!AD234*AU234/HF234</f>
        <v>#N/A</v>
      </c>
      <c r="GI234" s="39" t="e">
        <f>Исходн.данные.!AE234*AV234/HG234</f>
        <v>#N/A</v>
      </c>
      <c r="GJ234" s="39" t="e">
        <f>Исходн.данные.!AF234*AW234/HH234</f>
        <v>#N/A</v>
      </c>
      <c r="GK234" s="55">
        <f>Исходн.данные.!AK234</f>
        <v>0</v>
      </c>
      <c r="GL234" s="11" t="e">
        <f t="shared" si="335"/>
        <v>#N/A</v>
      </c>
      <c r="GM234" s="11" t="e">
        <f t="shared" si="336"/>
        <v>#N/A</v>
      </c>
      <c r="GN234" s="11" t="e">
        <f t="shared" si="337"/>
        <v>#N/A</v>
      </c>
      <c r="GO234" s="57">
        <f t="shared" si="338"/>
        <v>19</v>
      </c>
      <c r="GP234" s="55">
        <f>IF(OR(Исходн.данные.!F234=$CE$1,Исходн.данные.!F234=$CE$2,Исходн.данные.!F234=$CE$3,Исходн.данные.!F234=$CE$4,Исходн.данные.!F234=$CE$5),GQ234,GR234)</f>
        <v>19</v>
      </c>
      <c r="GQ234" s="55">
        <f>IF(Исходн.данные.!F234=$CE$1,28,IF(Исходн.данные.!F234=$CE$2,26,IF(Исходн.данные.!F234=$CE$3,24,IF(Исходн.данные.!F234=$CE$4,22,IF(Исходн.данные.!F234=$CE$5,20,GR234)))))</f>
        <v>19</v>
      </c>
      <c r="GR234" s="55">
        <f>IF(Исходн.данные.!F234=$CE$6,18,IF(Исходн.данные.!F234=$CE$7,16,IF(Исходн.данные.!F234=$CE$8,14,IF(Исходн.данные.!F234=$CE$9,13,IF(Исходн.данные.!F234=$CE$10,12,19)))))</f>
        <v>19</v>
      </c>
      <c r="GS234" s="55">
        <f>IF(Исходн.данные.!G234="Пес",0.035*(40+2*Исходн.данные.!H234),IF(Исходн.данные.!G234="Суп",0.0325*(40+2*Исходн.данные.!H234),0.03*(40+2*Исходн.данные.!H234)))</f>
        <v>1.2</v>
      </c>
      <c r="GT234" s="55">
        <f>IF(Исходн.данные.!H234&lt;23,2.6,IF(AND(Исходн.данные.!H234&gt;22,Исходн.данные.!H234&lt;26),3,IF(AND(Исходн.данные.!H234&gt;25,Исходн.данные.!H234&lt;29),3.4,3.6)))</f>
        <v>2.6</v>
      </c>
      <c r="GU234" s="55">
        <f>IF(Исходн.данные.!H234&lt;23,2.8,IF(AND(Исходн.данные.!H234&gt;22,Исходн.данные.!H234&lt;26),3.2,IF(AND(Исходн.данные.!H234&gt;25,Исходн.данные.!H234&lt;29),3.6,3.9)))</f>
        <v>2.8</v>
      </c>
      <c r="GV234" s="55">
        <f>IF(Исходн.данные.!H234&lt;23,3,IF(AND(Исходн.данные.!H234&gt;22,Исходн.данные.!H234&lt;26),3.5,IF(AND(Исходн.данные.!H234&gt;25,Исходн.данные.!H234&lt;29),3.9,4.2)))</f>
        <v>3</v>
      </c>
      <c r="GW234" s="55" t="e">
        <f>IF(Исходн.данные.!P234="Ум",GX234,GY234)</f>
        <v>#N/A</v>
      </c>
      <c r="GX234" s="55" t="e">
        <f>VLOOKUP(Исходн.данные.!AI234,Коэффициенты!$J$7:$L$13,2,FALSE)</f>
        <v>#N/A</v>
      </c>
      <c r="GY234" s="55" t="e">
        <f>VLOOKUP(Исходн.данные.!AI234,Коэффициенты!$J$7:$L$13,3,FALSE)</f>
        <v>#N/A</v>
      </c>
      <c r="GZ234" s="55" t="e">
        <f>(IF(Исходн.данные.!M234&lt;50,0.11*VLOOKUP(Исходн.данные.!AH234,Культуры.Информация,7,FALSE),IF(Исходн.данные.!M234&gt;250,0.05*VLOOKUP(Исходн.данные.!AH234,Культуры.Информация,7,FALSE),VLOOKUP(Исходн.данные.!AH234,Культуры.Информация,5,FALSE)/100*($GX$6+$GY$6*Исходн.данные.!M234))))*Расчет2!AI234</f>
        <v>#N/A</v>
      </c>
      <c r="HA234" s="211"/>
      <c r="HB234" s="211"/>
      <c r="HC234" s="55" t="e">
        <f>(IF(Исходн.данные.!O234&lt;80,0.2*VLOOKUP(Исходн.данные.!AH234,Культуры.Информация,8,FALSE),IF(Исходн.данные.!O234&gt;240,0.09*VLOOKUP(Исходн.данные.!AH234,Культуры.Информация,8,FALSE),VLOOKUP(Исходн.данные.!AH234,Культуры.Информация,6,FALSE)/100*($HB$6+$HC$6*Исходн.данные.!O234))))*Расчет2!AJ234</f>
        <v>#N/A</v>
      </c>
      <c r="HD234" s="55">
        <f>IF(Исходн.данные.!O234&gt;240,0.09,IF(Исходн.данные.!O234&lt;30,0.3,$HE$10+$HD$10*Исходн.данные.!O234))</f>
        <v>0.3</v>
      </c>
      <c r="HE234" s="55">
        <f>IF(Исходн.данные.!O234&gt;240,0.17,IF(Исходн.данные.!O234&lt;30,0.5,$HF$12+$HE$12*Исходн.данные.!O234))</f>
        <v>0.5</v>
      </c>
      <c r="HF234" s="55" t="e">
        <f>VLOOKUP(Исходн.данные.!AH234,Справ!$A$3:$D$58,2,FALSE)</f>
        <v>#N/A</v>
      </c>
      <c r="HG234" s="55" t="e">
        <f>VLOOKUP(Исходн.данные.!AH234,Справ!$A$3:$D$58,3,FALSE)</f>
        <v>#N/A</v>
      </c>
      <c r="HH234" s="55" t="e">
        <f>VLOOKUP(Исходн.данные.!AH234,Справ!$A$3:$D$58,4,FALSE)</f>
        <v>#N/A</v>
      </c>
      <c r="HI234" s="11" t="e">
        <f t="shared" si="339"/>
        <v>#N/A</v>
      </c>
      <c r="HJ234" s="11" t="e">
        <f t="shared" si="340"/>
        <v>#N/A</v>
      </c>
      <c r="HK234" s="11" t="e">
        <f t="shared" si="341"/>
        <v>#N/A</v>
      </c>
      <c r="HL234" s="55">
        <f>IF(OR(Исходн.данные.!G234="Глин",Исходн.данные.!G234="Т_суг"),1.1,IF(Исходн.данные.!G234="Ср_суг",1,1))</f>
        <v>1</v>
      </c>
      <c r="HM234" s="55">
        <f>IF(OR(Исходн.данные.!G234="Глин",Исходн.данные.!G234="Т_суг"),0.9,IF(Исходн.данные.!G234="Ср_суг",1,1.2))</f>
        <v>1.2</v>
      </c>
      <c r="HN234" s="11" t="e">
        <f t="shared" si="342"/>
        <v>#N/A</v>
      </c>
      <c r="HO234" s="11" t="e">
        <f t="shared" si="343"/>
        <v>#N/A</v>
      </c>
      <c r="HP234" s="11" t="e">
        <f t="shared" si="344"/>
        <v>#N/A</v>
      </c>
      <c r="HQ234" t="e">
        <f t="shared" si="345"/>
        <v>#N/A</v>
      </c>
      <c r="HR234" t="e">
        <f t="shared" si="346"/>
        <v>#N/A</v>
      </c>
      <c r="HS234" t="e">
        <f t="shared" si="347"/>
        <v>#N/A</v>
      </c>
      <c r="HT234" t="e">
        <f t="shared" si="293"/>
        <v>#N/A</v>
      </c>
      <c r="HU234" t="e">
        <f t="shared" si="294"/>
        <v>#N/A</v>
      </c>
      <c r="HV234" t="e">
        <f t="shared" si="295"/>
        <v>#N/A</v>
      </c>
      <c r="HW234" t="e">
        <f t="shared" si="296"/>
        <v>#N/A</v>
      </c>
      <c r="HX234" t="e">
        <f t="shared" si="297"/>
        <v>#N/A</v>
      </c>
      <c r="HY234" t="e">
        <f t="shared" si="298"/>
        <v>#N/A</v>
      </c>
      <c r="HZ234" s="55">
        <f>IF(OR(Исходн.данные.!AI234="Оз_Ч_П",Исходн.данные.!AI234="Оз_З_П",Исходн.данные.!AI234="Яр_зер"),12,30)</f>
        <v>30</v>
      </c>
      <c r="IA234" t="e">
        <f t="shared" si="348"/>
        <v>#N/A</v>
      </c>
      <c r="IB234" t="e">
        <f t="shared" si="349"/>
        <v>#N/A</v>
      </c>
      <c r="IC234" t="e">
        <f t="shared" si="350"/>
        <v>#N/A</v>
      </c>
      <c r="ID234" s="11" t="e">
        <f t="shared" si="351"/>
        <v>#N/A</v>
      </c>
      <c r="IE234" s="11" t="e">
        <f t="shared" si="352"/>
        <v>#N/A</v>
      </c>
      <c r="IF234" s="11" t="e">
        <f t="shared" si="353"/>
        <v>#N/A</v>
      </c>
    </row>
    <row r="235" spans="35:240" x14ac:dyDescent="0.2">
      <c r="AI235">
        <f>IF(Исходн.данные.!I235&gt;6,1,1.85-(0.148*Исходн.данные.!I235))</f>
        <v>1.85</v>
      </c>
      <c r="AJ235">
        <f>IF(Исходн.данные.!I235&gt;6,1,2.434-(0.246*Исходн.данные.!I235))</f>
        <v>2.4340000000000002</v>
      </c>
      <c r="AL235" s="148" t="b">
        <f>IF(Исходн.данные.!$P235="Ум",N_OrgUd_2g_um,IF(Исходн.данные.!$P235="Об",N_OrgUd_2g_ob))</f>
        <v>0</v>
      </c>
      <c r="AM235" s="148" t="b">
        <f>IF(Исходн.данные.!$P235="Ум",P_OrgUd_2g_um,IF(Исходн.данные.!$P235="Об",P_OrgUd_2g_ob))</f>
        <v>0</v>
      </c>
      <c r="AN235" s="148" t="b">
        <f>IF(Исходн.данные.!$P235="Ум",K_OrgUd_2g_um,IF(Исходн.данные.!$P235="Об",K_OrgUd_2g_ob))</f>
        <v>0</v>
      </c>
      <c r="AO235" s="148" t="b">
        <f>IF(Исходн.данные.!$P235="Ум",N_OrgUd_1g_um,IF(Исходн.данные.!$P235="Об",N_OrgUd_1g_ob))</f>
        <v>0</v>
      </c>
      <c r="AP235" s="148" t="b">
        <f>IF(Исходн.данные.!$P235="Ум",P_OrgUd_1g_um,IF(Исходн.данные.!$P235="Об",P_OrgUd_1g_ob))</f>
        <v>0</v>
      </c>
      <c r="AQ235" s="148" t="b">
        <f>IF(Исходн.данные.!$P235="Ум",K_OrgUd_1g_um,IF(Исходн.данные.!$P235="Об",K_OrgUd_1g_ob))</f>
        <v>0</v>
      </c>
      <c r="AR235" t="b">
        <f>IF(Исходн.данные.!$P235="Ум",N_MinUd_2g_um,IF(Исходн.данные.!$P235="Об",N_MinUd_2g_ob))</f>
        <v>0</v>
      </c>
      <c r="AS235" t="b">
        <f>IF(Исходн.данные.!$P235="Ум",P_MinUd_2g_um,IF(Исходн.данные.!$P235="Об",P_MinUd_2g_ob))</f>
        <v>0</v>
      </c>
      <c r="AT235" t="b">
        <f>IF(Исходн.данные.!$P235="Ум",K_MinUd_2g_um,IF(Исходн.данные.!$P235="Об",K_MinUd_2g_ob))</f>
        <v>0</v>
      </c>
      <c r="AU235" t="b">
        <f>IF(Исходн.данные.!$P235="Ум",N_MinUd_1g_um,IF(Исходн.данные.!$P235="Об",N_MinUd_1g_ob))</f>
        <v>0</v>
      </c>
      <c r="AV235" t="b">
        <f>IF(Исходн.данные.!P235="Ум",P_MinUd_1g_um,IF(Исходн.данные.!P235="Об",P_MinUd_1g_ob))</f>
        <v>0</v>
      </c>
      <c r="AW235" t="b">
        <f>IF(Исходн.данные.!P235="Ум",K_MinUd_1g_um,IF(Исходн.данные.!P235="Об",K_MinUd_1g_ob))</f>
        <v>0</v>
      </c>
      <c r="AY235" t="e">
        <f>VLOOKUP(Исходн.данные.!T235,Справ!$A$3:$N$57,12)</f>
        <v>#N/A</v>
      </c>
      <c r="AZ235" t="e">
        <f>VLOOKUP(Исходн.данные.!T235,Справ!$A$3:$N$57,13)</f>
        <v>#N/A</v>
      </c>
      <c r="BA235" t="e">
        <f>VLOOKUP(Исходн.данные.!T235,Справ!$A$3:$N$57,14)</f>
        <v>#N/A</v>
      </c>
      <c r="BB235">
        <f>IF(Исходн.данные.!AH235=0,0,25)</f>
        <v>0</v>
      </c>
      <c r="BC235" s="141">
        <f>IF(Исходн.данные.!AH235=0,0,IF(Исходн.данные.!T235=0,25,BD235))</f>
        <v>0</v>
      </c>
      <c r="BD235" s="168" t="e">
        <f>AY235+AZ235*Исходн.данные.!U235-POWER(BA235,2)*Исходн.данные.!U235</f>
        <v>#N/A</v>
      </c>
      <c r="BE23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5" s="25">
        <f>IF(Исходн.данные.!AH235=0,0,MIN(HN235:HP235))</f>
        <v>0</v>
      </c>
      <c r="BG235" s="9">
        <f>IF(Исходн.данные.!AH235=0,0,IF((HO235+10*0.25/HG235/HL235)&lt;17,17,HO235+10*0.25/HG235/HL235))</f>
        <v>0</v>
      </c>
      <c r="BH235" s="181">
        <f>IF(Исходн.данные.!AH235=0,0,HW235*HF235*HL235/AU235*AI235+Исходн.данные.!S235*10)</f>
        <v>0</v>
      </c>
      <c r="BI235" s="10"/>
      <c r="BJ235" s="182">
        <f>IF(Исходн.данные.!AH235=0,0,IF(HX235*HG235*HL235/AV235&lt;0,0,HX235*HG235*HL235/AV235*AJ235))</f>
        <v>0</v>
      </c>
      <c r="BK235" s="182">
        <f>IF(Исходн.данные.!AH235=0,0,HY235*HH235*HM235/AW235)</f>
        <v>0</v>
      </c>
      <c r="BL235" s="10">
        <f>IF(OR(Исходн.данные.!$AH235=$BP$1,Исходн.данные.!$AH235=$BP$2),0,IF(BH235&lt;0,0,IF(OR(Исходн.данные.!T235=Расчет!$BP$1,Исходн.данные.!T235=Расчет!$BP$2,Исходн.данные.!T235=Расчет!$BT$5,Исходн.данные.!T235=Расчет!$BT$6),BH235*0.5,IF(OR(Исходн.данные.!T235=Расчет!$BS$9,Исходн.данные.!T235=Расчет!$BS$10,Исходн.данные.!T235=Расчет!$BS$11,Исходн.данные.!T235=Расчет!$BS$12,Исходн.данные.!T235=Расчет!$BP$5),BH235*0.8,BH235))))</f>
        <v>0</v>
      </c>
      <c r="BM235" s="10">
        <f>IF(OR(Исходн.данные.!$AH235=$BP$1,Исходн.данные.!$AH235=$BP$2),0,IF(BJ235&lt;0,0,IF(Исходн.данные.!I235&lt;4.5,BJ235*1.2,IF(Исходн.данные.!I235&gt;5.1,BJ235,BJ235*((5.1-Исходн.данные.!I235)*0.333+1)))))</f>
        <v>0</v>
      </c>
      <c r="BN235" s="10">
        <f>IF(OR(Исходн.данные.!$AH235=$BP$1,Исходн.данные.!$AH235=$BP$2),60-Исходн.данные.!AF235,IF(BK235&lt;0,0,IF(Исходн.данные.!I235&lt;4.5,BK235*1.2,IF(Исходн.данные.!I235&gt;5.1,BK235,BK235*((5.1-Исходн.данные.!I235)*0.333+1)))))</f>
        <v>0</v>
      </c>
      <c r="BO235" s="9">
        <f>IF(BL235&lt;0,0,BL235*Исходн.данные.!$AJ235/1000)</f>
        <v>0</v>
      </c>
      <c r="BP235" s="9">
        <f>IF(BM235&lt;0,0,BM235*Исходн.данные.!$AJ235/1000)</f>
        <v>0</v>
      </c>
      <c r="BQ235" s="9">
        <f>IF(BN235&lt;0,0,BN235*Исходн.данные.!$AJ235/1000)</f>
        <v>0</v>
      </c>
      <c r="BR235" s="9">
        <f t="shared" si="303"/>
        <v>0</v>
      </c>
      <c r="BS235" s="10" t="str">
        <f t="shared" si="304"/>
        <v>Аммофос 12:52:00</v>
      </c>
      <c r="BT235" s="10" t="str">
        <f t="shared" si="305"/>
        <v>Аммофос 12:52:00</v>
      </c>
      <c r="BU235" s="10" t="str">
        <f t="shared" si="306"/>
        <v>Диаммофоска</v>
      </c>
      <c r="BV235" s="10">
        <f t="shared" si="307"/>
        <v>0</v>
      </c>
      <c r="BW235" s="10"/>
      <c r="BX235" s="10"/>
      <c r="BY235" s="9">
        <f>IF(BL235&lt;0,0,IF(OR(Исходн.данные.!AI235=Расчет!$BU$6,Исходн.данные.!AI235=Расчет!$BU$7),Расчет!BV235,IF(Исходн.данные.!$AG235=$BV$11,BL235,IF(OR(Исходн.данные.!$AH235=$BQ$7,Исходн.данные.!$AH235=$BQ$8),CB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0,IF(Исходн.данные.!$AI235=$BU$11,"Нет",IF(BL235&gt;30,30,BL235)))))))</f>
        <v>0</v>
      </c>
      <c r="BZ235" s="9">
        <f>IF(AND(Исходн.данные.!$AG235=$BV$11,BM235&lt;10),10,IF(Исходн.данные.!$AG235=$BV$11,BM235,IF(OR(Исходн.данные.!$AH235=$BQ$7,Исходн.данные.!$AH235=$BQ$8),CC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10,IF(Исходн.данные.!$AI235=$BU$11,"Нет",IF(BM235&gt;60,60,IF(BM235&lt;10,10,BM235)))))))</f>
        <v>10</v>
      </c>
      <c r="CA235" s="39">
        <f>IF(BN235&lt;0,0,IF(Исходн.данные.!$AG235=$BV$11,BN235,IF(OR(Исходн.данные.!$AH235=$BQ$7,Исходн.данные.!$AH235=$BQ$8),CD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0,IF(Исходн.данные.!$AI235=$BU$11,"Нет",IF(BN235&gt;30,30,BN235))))))</f>
        <v>0</v>
      </c>
      <c r="CB235" s="9">
        <f t="shared" si="308"/>
        <v>0</v>
      </c>
      <c r="CC235" s="9">
        <f t="shared" si="309"/>
        <v>0</v>
      </c>
      <c r="CD235" s="9">
        <f t="shared" si="310"/>
        <v>0</v>
      </c>
      <c r="CE235" s="12">
        <f t="shared" si="311"/>
        <v>10</v>
      </c>
      <c r="CF235" s="9">
        <f t="shared" si="312"/>
        <v>0</v>
      </c>
      <c r="CG235" s="9" t="s">
        <v>231</v>
      </c>
      <c r="CH235" s="132" t="str">
        <f>IF(Исходн.данные.!AP235=Расчет!$CI$16,"Нет",IF(Исходн.данные.!AL235&gt;0,Исходн.данные.!AL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BH$4,IF(OR(Исходн.данные.!AI235=Исходн.данные.!$AI$6,Исходн.данные.!AI235=Исходн.данные.!$AI$7),Расчет!BS235,IF(AND($CF235=0,$CE235&gt;0),EV235,ER235)))))</f>
        <v>Аммофос 12:52:00</v>
      </c>
      <c r="CI235" s="274">
        <f>IF(Расчет!$CH235="Нет","Нет",IF(Исходн.данные.!$AL235&gt;0,VLOOKUP(Расчет!$CH235,АшламаДВ_Irekle,2,FALSE),VLOOKUP(Расчет!$CH235,АшламаДВ_Gomumy,2,FALSE)))</f>
        <v>0.12</v>
      </c>
      <c r="CJ235" s="274">
        <f>IF(Расчет!$CH235="Нет","Нет",IF(Исходн.данные.!$AL235&gt;0,VLOOKUP(Расчет!$CH235,АшламаДВ_Irekle,3,FALSE),VLOOKUP(Расчет!$CH235,АшламаДВ_Gomumy,3,FALSE)))</f>
        <v>0.52</v>
      </c>
      <c r="CK235" s="274">
        <f>IF(Расчет!$CH235="Нет","Нет",IF(Исходн.данные.!$AL235&gt;0,VLOOKUP(Расчет!$CH235,АшламаДВ_Irekle,4,FALSE),VLOOKUP(Расчет!$CH235,АшламаДВ_Gomumy,4,FALSE)))</f>
        <v>0</v>
      </c>
      <c r="CL235" s="70"/>
      <c r="CM235" s="70"/>
      <c r="CN235" s="70"/>
      <c r="CO235" s="70"/>
      <c r="CP235" s="70"/>
      <c r="CQ235" s="70"/>
      <c r="CR235" s="10">
        <f t="shared" si="313"/>
        <v>0</v>
      </c>
      <c r="CS235" s="10">
        <f t="shared" si="314"/>
        <v>19.23076923076923</v>
      </c>
      <c r="CT235" s="10">
        <f t="shared" si="315"/>
        <v>0</v>
      </c>
      <c r="CU235" s="39">
        <f>IF($CH235="Нет",0,IF(CI235=0,30/MIN(CJ235:CK235),IF(Исходн.данные.!$AG235=$BV$11,CR235,IF(OR(Исходн.данные.!$AH235=$BQ$7,Исходн.данные.!$AH235=$BQ$8),90/CI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0,IF(Исходн.данные.!$AI235=$BU$11,"Нет",30/CI235))))))</f>
        <v>250</v>
      </c>
      <c r="CV235" s="39">
        <f>IF($CH235="Нет",0,IF(Исходн.данные.!AH235=0,0,IF(CJ235=0,60/MIN(CI235,CK235),IF(Исходн.данные.!$AG235=$BV$11,CS235,IF(OR(Исходн.данные.!$AH235=$BQ$7,Исходн.данные.!$AH235=$BQ$8),90/CJ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10/CJ235,IF(Исходн.данные.!$AI235=$BU$11,"Нет",60/CJ235)))))))</f>
        <v>0</v>
      </c>
      <c r="CW235" s="39">
        <f>IF($CH235="Нет",0,IF(Исходн.данные.!AH235=0,0,IF(CK235=0,30/MIN(CI235:CJ235),IF(Исходн.данные.!$AG235=$BV$11,CT235,IF(OR(Исходн.данные.!$AH235=$BQ$7,Исходн.данные.!$AH235=$BQ$8),90/CK235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0,IF(Исходн.данные.!$AI235=$BU$11,"Нет",30/CK235)))))))</f>
        <v>0</v>
      </c>
      <c r="CX235" s="133">
        <f>IF(Исходн.данные.!$AG235=$BV$11,MAX(CU235:CW235),IF(OR(Исходн.данные.!$AH235=$BS$8,Исходн.данные.!$AH235=$BQ$9,Исходн.данные.!$AH235=$BQ$10,Исходн.данные.!$AH235=$BQ$11,Исходн.данные.!$AH235=$BQ$12,Исходн.данные.!$AH235=$BP$3,Исходн.данные.!$AH235=$BT$8,$FM235="Да"),CV235,MIN(CU235:CW235)))</f>
        <v>0</v>
      </c>
      <c r="CY235" s="133">
        <f>IF(Исходн.данные.!AH235=0,0,IF(CR235&gt;$CX235,$CX235,CR235))</f>
        <v>0</v>
      </c>
      <c r="CZ235" s="133">
        <f>IF(Исходн.данные.!AH235=0,0,IF(CS235&gt;$CX235,$CX235,CS235))</f>
        <v>0</v>
      </c>
      <c r="DA235" s="133">
        <f>IF(Исходн.данные.!AH235=0,0,IF(CT235&gt;$CX235,$CX235,CT235))</f>
        <v>0</v>
      </c>
      <c r="DB235" s="10">
        <f t="shared" si="316"/>
        <v>0</v>
      </c>
      <c r="DC235" s="39">
        <f>DB235*Исходн.данные.!AJ235/1000</f>
        <v>0</v>
      </c>
      <c r="DD235" s="71">
        <f t="shared" si="317"/>
        <v>0</v>
      </c>
      <c r="DE235" s="9">
        <f t="shared" si="318"/>
        <v>0</v>
      </c>
      <c r="DF235" s="9">
        <f t="shared" si="319"/>
        <v>0</v>
      </c>
      <c r="DG235" s="39">
        <f>IF(BL235&lt;0,0,IF($CH235="Нет",BL235,IF(OR(Исходн.данные.!$AH235=$BP$1,Исходн.данные.!$AH235=$BP$2),0,IF(Исходн.данные.!AI235=$BU$11,BL235,IF(BL235-DD235&lt;0,0,BL235-DD235)))))</f>
        <v>0</v>
      </c>
      <c r="DH235" s="39">
        <f>IF(BM235&lt;0,0,IF($CH235="Нет",BM235,IF(OR(Исходн.данные.!$AH235=$BP$1,Исходн.данные.!$AH235=$BP$2),0,IF(Исходн.данные.!AJ235=$BU$11,BM235,IF(BM235-DE235&lt;0,0,BM235-DE235)))))</f>
        <v>0</v>
      </c>
      <c r="DI235" s="39">
        <f>IF(BN235&lt;0,0,IF($CH235="Нет",BN235,IF(OR(Исходн.данные.!$AH235=$BP$1,Исходн.данные.!$AH235=$BP$2),0,IF(Исходн.данные.!AK235=$BU$11,BN235,IF(BN235-DF235&lt;0,0,BN235-DF235)))))</f>
        <v>0</v>
      </c>
      <c r="DJ235" s="12">
        <f t="shared" si="320"/>
        <v>0</v>
      </c>
      <c r="DK235" s="9">
        <f t="shared" si="321"/>
        <v>0</v>
      </c>
      <c r="DL235" s="39">
        <f>IF(Исходн.данные.!AM235&gt;0,Исходн.данные.!AM235,IF(EG235&gt;0,$BH$10,0))</f>
        <v>0</v>
      </c>
      <c r="DM235" s="186">
        <f>IF($DL235=0,0,IF(Исходн.данные.!AM235&gt;0,VLOOKUP($DL235,АшламаДВ_Irekle,2,FALSE),VLOOKUP($DL235,АшламаДВ_Gomumy,2,FALSE)))</f>
        <v>0</v>
      </c>
      <c r="DN235" s="10">
        <f t="shared" si="299"/>
        <v>0</v>
      </c>
      <c r="DO235" s="9" t="str">
        <f>IF(Исходн.данные.!AN235&gt;0,Исходн.данные.!AN235,Удобрения!$B$37 )</f>
        <v>Хлор.калий</v>
      </c>
      <c r="DP235" s="9">
        <f>IF(Исходн.данные.!AN235&gt;0,VLOOKUP(Исходн.данные.!AN235,АшламаДВ_Irekle,4,FALSE),VLOOKUP(DO235,АшламаДВ_Gomumy,4,FALSE))</f>
        <v>0.6</v>
      </c>
      <c r="DQ235" s="10">
        <f t="shared" si="300"/>
        <v>0</v>
      </c>
      <c r="DR235" s="132" t="str">
        <f>IF(Исходн.данные.!AO235&gt;0,Исходн.данные.!AO235,IF(DH235=0,BS$17,IF(AND($DK235=0,$DJ235&gt;0),EJ235,EN235)))</f>
        <v>Нет</v>
      </c>
      <c r="DS235" s="70" t="str">
        <f>IF($DR235="Нет","Нет",IF(Исходн.данные.!$AO235&gt;0,VLOOKUP($DR235,АшламаДВ_Irekle,2,FALSE),VLOOKUP($DR235,АшламаДВ_Gomumy,2,FALSE)))</f>
        <v>Нет</v>
      </c>
      <c r="DT235" s="70" t="str">
        <f>IF($DR235="Нет","Нет",IF(Исходн.данные.!$AO235&gt;0,VLOOKUP($DR235,АшламаДВ_Irekle,3,FALSE),VLOOKUP($DR235,АшламаДВ_Gomumy,3,FALSE)))</f>
        <v>Нет</v>
      </c>
      <c r="DU235" s="70" t="str">
        <f>IF($DR235="Нет","Нет",IF(Исходн.данные.!$AO235&gt;0,VLOOKUP($DR235,АшламаДВ_Irekle,4,FALSE),VLOOKUP($DR235,АшламаДВ_Gomumy,4,FALSE)))</f>
        <v>Нет</v>
      </c>
      <c r="DV235" s="70"/>
      <c r="DW235" s="70"/>
      <c r="DX235" s="70"/>
      <c r="DY235" s="10">
        <f t="shared" si="322"/>
        <v>0</v>
      </c>
      <c r="DZ235" s="10">
        <f t="shared" si="323"/>
        <v>0</v>
      </c>
      <c r="EA235" s="10">
        <f t="shared" si="324"/>
        <v>0</v>
      </c>
      <c r="EB235" s="10">
        <f t="shared" si="325"/>
        <v>0</v>
      </c>
      <c r="EC235" s="10">
        <f t="shared" si="326"/>
        <v>0</v>
      </c>
      <c r="ED235" s="10">
        <f t="shared" si="327"/>
        <v>0</v>
      </c>
      <c r="EE235" s="10">
        <f t="shared" si="328"/>
        <v>0</v>
      </c>
      <c r="EF235" s="39">
        <f>EB235*Исходн.данные.!AJ235/1000</f>
        <v>0</v>
      </c>
      <c r="EG235" s="9">
        <f t="shared" si="329"/>
        <v>0</v>
      </c>
      <c r="EH235" s="9">
        <f t="shared" si="330"/>
        <v>0</v>
      </c>
      <c r="EI235" s="39" t="e">
        <f t="shared" si="280"/>
        <v>#DIV/0!</v>
      </c>
      <c r="EJ235" s="9" t="str">
        <f t="shared" si="301"/>
        <v>Азопреципитат</v>
      </c>
      <c r="EK235" s="12">
        <f t="shared" si="281"/>
        <v>0.26</v>
      </c>
      <c r="EL235" s="12">
        <f t="shared" si="282"/>
        <v>0.13</v>
      </c>
      <c r="EM235" s="12">
        <f t="shared" si="283"/>
        <v>0</v>
      </c>
      <c r="EN235" s="12" t="str">
        <f t="shared" si="302"/>
        <v>Нет</v>
      </c>
      <c r="EO235" s="12">
        <f t="shared" si="284"/>
        <v>0</v>
      </c>
      <c r="EP235" s="12">
        <f t="shared" si="285"/>
        <v>0</v>
      </c>
      <c r="EQ235" s="12">
        <f t="shared" si="286"/>
        <v>0</v>
      </c>
      <c r="ER235" s="12" t="str">
        <f t="shared" si="331"/>
        <v>Диаммофоска</v>
      </c>
      <c r="ES235" s="12">
        <f t="shared" si="287"/>
        <v>0.1</v>
      </c>
      <c r="ET235" s="12">
        <f t="shared" si="288"/>
        <v>0.26</v>
      </c>
      <c r="EU235" s="12">
        <f t="shared" si="289"/>
        <v>0.26</v>
      </c>
      <c r="EV235" s="12" t="str">
        <f t="shared" si="332"/>
        <v>Аммофос 12:52:00</v>
      </c>
      <c r="EW235" s="12" t="str">
        <f t="shared" si="333"/>
        <v>Кемира Свекловичное-6</v>
      </c>
      <c r="EX235" s="12">
        <f t="shared" si="290"/>
        <v>0.16</v>
      </c>
      <c r="EY235" s="12">
        <f t="shared" si="291"/>
        <v>0.12</v>
      </c>
      <c r="EZ235" s="12">
        <f t="shared" si="292"/>
        <v>0.17</v>
      </c>
      <c r="FA235" s="38" t="e">
        <f>IF(AND(OR(FJ235=$FD$1,FM235=$FD$1,FO235=$FD$1,FQ235=$FD$1,FS235=$FD$1),FD235=$FD$1,Исходн.данные.!J235&lt;2,FU235=$FD$1),"Бор,Кобальт",IF(AND(FO235=$FD$1,FH235=$FD$1,Исходн.данные.!J235&lt;2,FU235=$FD$1),"Бор,Кобальт",IF(AND(OR(FJ235=$FD$1,FM235=$FD$1,FQ235=$FD$1),FE235=$FD$1,Исходн.данные.!J235&lt;2,FT235=$FD$1,FU235=$FD$1),"Бор,Медь,Цинк",IF(AND(OR(FJ235=$FD$1,FR235="Да"),FI235="Да",Исходн.данные.!J235&lt;2,FT235="Да",FU235="Да"),"Бор,Цинк,Медь",IF(AND(OR(FM235="Да",FQ235="Да"),FI235="Да",Исходн.данные.!J235&lt;2,FT235="Да",FU235="Да"),"Бор,Цинк",IF(AND(FN235="Да",OR(FD235="Да",FE235="Да")),"Бор",FB235))))))</f>
        <v>#N/A</v>
      </c>
      <c r="FB235" s="134" t="e">
        <f>IF(AND(OR(FD235="Да",FE235="Да",FF235="Да",FG235="Да",FH235="Да"),FO235="Да"),"Бор",IF(AND(FP235="Да",OR(FD235="Да",FE235="Да",FI235="Да")),"Бор",IF(AND(FS235="Да",FE235="Да"),"Бор,Медь",IF(AND(OR(FJ235="Да",FK235="Да",FL235="Да"),FE235="Да",Исходн.данные.!I235&lt;5,FT235="Да",FU235="Да"),"Молибден,Цинк",IF(AND(FM235="Да",OR(FE235="Да",FF235="Да",FG235="Да",FH235="Да",FI235="Да")),"Молибден,Цинк",IF(AND(OR(FJ235="Да",FK235="Да",FL235="Да",FM235="Да",FQ235="Да"),OR(FE235="Да",FF235="Да"),FT235="Да",FU235="Да",Исходн.данные.!I235&gt;5.5),"Медь,Цинк",FC235))))))</f>
        <v>#N/A</v>
      </c>
      <c r="FC235" s="23" t="e">
        <f t="shared" si="334"/>
        <v>#N/A</v>
      </c>
      <c r="FD235" s="38" t="str">
        <f>IF(OR(Исходн.данные.!F235=$CC$1,Исходн.данные.!F235=$CC$2,Исходн.данные.!F235=$CC$3,Исходн.данные.!F235=$CC$4),"Да","Нет")</f>
        <v>Нет</v>
      </c>
      <c r="FE235" s="38" t="str">
        <f>IF(Исходн.данные.!F235=$CC$5,"Да","Нет")</f>
        <v>Нет</v>
      </c>
      <c r="FF235" s="38" t="str">
        <f>IF(OR(Исходн.данные.!F235=$CC$6,Исходн.данные.!F235=$CC$7),"Да","Нет")</f>
        <v>Нет</v>
      </c>
      <c r="FG235" s="38" t="str">
        <f>IF(OR(Исходн.данные.!F235=$CC$8,Исходн.данные.!F235=$CC$9),"Да","Нет")</f>
        <v>Нет</v>
      </c>
      <c r="FH235" s="38" t="str">
        <f>IF(Исходн.данные.!F235=$CC$10,"Да","Нет")</f>
        <v>Нет</v>
      </c>
      <c r="FI235" s="38" t="str">
        <f>IF(OR(Исходн.данные.!F235=$CC$11,Исходн.данные.!F235=$CC$12),"Да","Нет")</f>
        <v>Нет</v>
      </c>
      <c r="FJ235" s="38" t="str">
        <f>IF(OR(Исходн.данные.!AH235=$BS$1,Исходн.данные.!AH235=$BQ$11,Исходн.данные.!AH235=$BQ$12),"Да","Нет")</f>
        <v>Нет</v>
      </c>
      <c r="FK235" s="38" t="str">
        <f>IF(OR(Исходн.данные.!AH235=$BS$2,Исходн.данные.!AH235=$BS$4),"Да","Нет")</f>
        <v>Нет</v>
      </c>
      <c r="FL235" s="38" t="str">
        <f>IF(OR(Исходн.данные.!AH235=$BS$3,Исходн.данные.!AH235=$BS$5),"Да","Нет")</f>
        <v>Нет</v>
      </c>
      <c r="FM235" s="38" t="str">
        <f>IF(OR(Исходн.данные.!AH235=$BS$9,Исходн.данные.!AH235=$BS$10,Исходн.данные.!AH235=$BS$11,Исходн.данные.!AH235=$BS$12),"Да","Нет")</f>
        <v>Нет</v>
      </c>
      <c r="FN235" s="38" t="str">
        <f>IF(OR(Исходн.данные.!AH235=$BS$6,Исходн.данные.!AH235=$BP$3),"Да","Нет")</f>
        <v>Нет</v>
      </c>
      <c r="FO235" s="38" t="str">
        <f>IF(Исходн.данные.!AH235=$BQ$9,"Да","Нет")</f>
        <v>Нет</v>
      </c>
      <c r="FP235" s="38" t="str">
        <f>IF(OR(Исходн.данные.!AH235=$BS$8,Исходн.данные.!AH235=$BT$8),"Да","Нет")</f>
        <v>Нет</v>
      </c>
      <c r="FQ235" s="38" t="str">
        <f>IF(OR(Исходн.данные.!AH235=$BQ$7,Исходн.данные.!AH235=$BQ$8),"Да","Нет")</f>
        <v>Нет</v>
      </c>
      <c r="FR235" s="38" t="str">
        <f>IF(Исходн.данные.!AI235=$BU$9,"Да","Нет")</f>
        <v>Нет</v>
      </c>
      <c r="FS235" s="38" t="str">
        <f>IF(OR(Исходн.данные.!AH235=$BP$1,Исходн.данные.!AH235=$BP$2),"Да","Нет")</f>
        <v>Нет</v>
      </c>
      <c r="FT235" s="38" t="e">
        <f>IF((Исходн.данные.!K235*GO235*GS235*GW235+BL235*0.6+Исходн.данные.!Q235*4.5*0.275)&gt;90,"Да","Нет")</f>
        <v>#N/A</v>
      </c>
      <c r="FU235" s="38" t="e">
        <f>IF((Исходн.данные.!M235*GS235*GZ235+BM235*0.225)&gt;35,"Да","Нет")</f>
        <v>#N/A</v>
      </c>
      <c r="FV235" s="38" t="str">
        <f>IF(Исходн.данные.!O235&gt;175,"Да","Нет")</f>
        <v>Нет</v>
      </c>
      <c r="FW235" s="39" t="str">
        <f>IF(Исходн.данные.!I235&gt;5.5,"Да","Нет")</f>
        <v>Нет</v>
      </c>
      <c r="FX235" s="39" t="str">
        <f>IF(Исходн.данные.!J235&lt;2,"Да","Нет")</f>
        <v>Да</v>
      </c>
      <c r="FY235" s="39" t="e">
        <f>IF(HF235=$FY$16,0,Исходн.данные.!K235*GO235*GS235*GW235/HF235)</f>
        <v>#N/A</v>
      </c>
      <c r="FZ235" s="39" t="e">
        <f>Исходн.данные.!M235*GS235*GZ235/HG235</f>
        <v>#N/A</v>
      </c>
      <c r="GA235" s="39" t="e">
        <f>IF(K_Wyn=$FY$16,0,IF(Исходн.данные.!N235=Исходн.данные.!$L$10,Исходн.данные.!O235/1.1*GS235*HC235/HH235,IF(Исходн.данные.!N235=Исходн.данные.!$L$12,Исходн.данные.!O235/1.5*GS235*HC235/HH235,Исходн.данные.!O235*GS235*HC235/HH235)))</f>
        <v>#N/A</v>
      </c>
      <c r="GB235" s="39" t="e">
        <f>IF(HF235=$FY$16,0,((Исходн.данные.!Q235*N_Org+Исходн.данные.!R235*N_Sider+Исходн.данные.!S235*N_Soloma)*AO235+Расчет!BC235*VLOOKUP(Исходн.данные.!T235,Справ!$A$3:$O$57,15)*AO235+BB235*VLOOKUP(Исходн.данные.!T235,Справ!$A$3:$O$57,15)*AL235+(Исходн.данные.!V235*N_Rizotorf+Исходн.данные.!W235*N_Rizoagr))/HF235)</f>
        <v>#N/A</v>
      </c>
      <c r="GC235" s="39" t="e">
        <f>IF(HG235=$FY$16,0,((Исходн.данные.!Q235*Р_Org+Исходн.данные.!R235*P_Sider+Исходн.данные.!S235*P_Soloma)*AP235+Расчет!BC235*VLOOKUP(Исходн.данные.!T235,Справ!$A$3:$P$57,16)*AP235+BB235*VLOOKUP(Исходн.данные.!T235,Справ!$A$3:$P$57,16)*AM235)/HG235)</f>
        <v>#N/A</v>
      </c>
      <c r="GD235" s="39" t="e">
        <f>IF(HH235=$FY$16,0,((Исходн.данные.!Q235*К_Org+Исходн.данные.!R235*K_Sider+Исходн.данные.!S235*K_Soloma)*AQ235+Расчет!BC235*VLOOKUP(Исходн.данные.!T235,Справ!$A$3:$Q$57,17)*AQ235+BB235*VLOOKUP(Исходн.данные.!T235,Справ!$A$3:$Q$57,17)*AN235)/HH235)</f>
        <v>#N/A</v>
      </c>
      <c r="GE235" s="39" t="e">
        <f>IF(HF235=$FY$16,0,(Исходн.данные.!X235*AR235+Исходн.данные.!AA235*N_Org*AL235+Исходн.данные.!AB235*N_Sider*AL235+Исходн.данные.!AC235*N_Soloma*AL235)/HF235)</f>
        <v>#N/A</v>
      </c>
      <c r="GF235" s="39" t="e">
        <f>IF(HG235=$FY$16,0,(Исходн.данные.!Y235*AS235+Исходн.данные.!AA235*Р_Org*AM235+Исходн.данные.!AB235*P_Sider*AM235+Исходн.данные.!AC235*P_Soloma*AM235)/HG235)</f>
        <v>#N/A</v>
      </c>
      <c r="GG235" s="39" t="e">
        <f>IF(HH235=$FY$16,0,(Исходн.данные.!Z235*AT235+Исходн.данные.!AA235*К_Org*AN235+Исходн.данные.!AB235*K_Sider*AN235+Исходн.данные.!AC235*K_Soloma*AN235)/HH235)</f>
        <v>#N/A</v>
      </c>
      <c r="GH235" s="39" t="e">
        <f>Исходн.данные.!AD235*AU235/HF235</f>
        <v>#N/A</v>
      </c>
      <c r="GI235" s="39" t="e">
        <f>Исходн.данные.!AE235*AV235/HG235</f>
        <v>#N/A</v>
      </c>
      <c r="GJ235" s="39" t="e">
        <f>Исходн.данные.!AF235*AW235/HH235</f>
        <v>#N/A</v>
      </c>
      <c r="GK235" s="55">
        <f>Исходн.данные.!AK235</f>
        <v>0</v>
      </c>
      <c r="GL235" s="11" t="e">
        <f t="shared" si="335"/>
        <v>#N/A</v>
      </c>
      <c r="GM235" s="11" t="e">
        <f t="shared" si="336"/>
        <v>#N/A</v>
      </c>
      <c r="GN235" s="11" t="e">
        <f t="shared" si="337"/>
        <v>#N/A</v>
      </c>
      <c r="GO235" s="57">
        <f t="shared" si="338"/>
        <v>19</v>
      </c>
      <c r="GP235" s="55">
        <f>IF(OR(Исходн.данные.!F235=$CE$1,Исходн.данные.!F235=$CE$2,Исходн.данные.!F235=$CE$3,Исходн.данные.!F235=$CE$4,Исходн.данные.!F235=$CE$5),GQ235,GR235)</f>
        <v>19</v>
      </c>
      <c r="GQ235" s="55">
        <f>IF(Исходн.данные.!F235=$CE$1,28,IF(Исходн.данные.!F235=$CE$2,26,IF(Исходн.данные.!F235=$CE$3,24,IF(Исходн.данные.!F235=$CE$4,22,IF(Исходн.данные.!F235=$CE$5,20,GR235)))))</f>
        <v>19</v>
      </c>
      <c r="GR235" s="55">
        <f>IF(Исходн.данные.!F235=$CE$6,18,IF(Исходн.данные.!F235=$CE$7,16,IF(Исходн.данные.!F235=$CE$8,14,IF(Исходн.данные.!F235=$CE$9,13,IF(Исходн.данные.!F235=$CE$10,12,19)))))</f>
        <v>19</v>
      </c>
      <c r="GS235" s="55">
        <f>IF(Исходн.данные.!G235="Пес",0.035*(40+2*Исходн.данные.!H235),IF(Исходн.данные.!G235="Суп",0.0325*(40+2*Исходн.данные.!H235),0.03*(40+2*Исходн.данные.!H235)))</f>
        <v>1.2</v>
      </c>
      <c r="GT235" s="55">
        <f>IF(Исходн.данные.!H235&lt;23,2.6,IF(AND(Исходн.данные.!H235&gt;22,Исходн.данные.!H235&lt;26),3,IF(AND(Исходн.данные.!H235&gt;25,Исходн.данные.!H235&lt;29),3.4,3.6)))</f>
        <v>2.6</v>
      </c>
      <c r="GU235" s="55">
        <f>IF(Исходн.данные.!H235&lt;23,2.8,IF(AND(Исходн.данные.!H235&gt;22,Исходн.данные.!H235&lt;26),3.2,IF(AND(Исходн.данные.!H235&gt;25,Исходн.данные.!H235&lt;29),3.6,3.9)))</f>
        <v>2.8</v>
      </c>
      <c r="GV235" s="55">
        <f>IF(Исходн.данные.!H235&lt;23,3,IF(AND(Исходн.данные.!H235&gt;22,Исходн.данные.!H235&lt;26),3.5,IF(AND(Исходн.данные.!H235&gt;25,Исходн.данные.!H235&lt;29),3.9,4.2)))</f>
        <v>3</v>
      </c>
      <c r="GW235" s="55" t="e">
        <f>IF(Исходн.данные.!P235="Ум",GX235,GY235)</f>
        <v>#N/A</v>
      </c>
      <c r="GX235" s="55" t="e">
        <f>VLOOKUP(Исходн.данные.!AI235,Коэффициенты!$J$7:$L$13,2,FALSE)</f>
        <v>#N/A</v>
      </c>
      <c r="GY235" s="55" t="e">
        <f>VLOOKUP(Исходн.данные.!AI235,Коэффициенты!$J$7:$L$13,3,FALSE)</f>
        <v>#N/A</v>
      </c>
      <c r="GZ235" s="55" t="e">
        <f>(IF(Исходн.данные.!M235&lt;50,0.11*VLOOKUP(Исходн.данные.!AH235,Культуры.Информация,7,FALSE),IF(Исходн.данные.!M235&gt;250,0.05*VLOOKUP(Исходн.данные.!AH235,Культуры.Информация,7,FALSE),VLOOKUP(Исходн.данные.!AH235,Культуры.Информация,5,FALSE)/100*($GX$6+$GY$6*Исходн.данные.!M235))))*Расчет2!AI235</f>
        <v>#N/A</v>
      </c>
      <c r="HA235" s="211"/>
      <c r="HB235" s="211"/>
      <c r="HC235" s="55" t="e">
        <f>(IF(Исходн.данные.!O235&lt;80,0.2*VLOOKUP(Исходн.данные.!AH235,Культуры.Информация,8,FALSE),IF(Исходн.данные.!O235&gt;240,0.09*VLOOKUP(Исходн.данные.!AH235,Культуры.Информация,8,FALSE),VLOOKUP(Исходн.данные.!AH235,Культуры.Информация,6,FALSE)/100*($HB$6+$HC$6*Исходн.данные.!O235))))*Расчет2!AJ235</f>
        <v>#N/A</v>
      </c>
      <c r="HD235" s="55">
        <f>IF(Исходн.данные.!O235&gt;240,0.09,IF(Исходн.данные.!O235&lt;30,0.3,$HE$10+$HD$10*Исходн.данные.!O235))</f>
        <v>0.3</v>
      </c>
      <c r="HE235" s="55">
        <f>IF(Исходн.данные.!O235&gt;240,0.17,IF(Исходн.данные.!O235&lt;30,0.5,$HF$12+$HE$12*Исходн.данные.!O235))</f>
        <v>0.5</v>
      </c>
      <c r="HF235" s="55" t="e">
        <f>VLOOKUP(Исходн.данные.!AH235,Справ!$A$3:$D$58,2,FALSE)</f>
        <v>#N/A</v>
      </c>
      <c r="HG235" s="55" t="e">
        <f>VLOOKUP(Исходн.данные.!AH235,Справ!$A$3:$D$58,3,FALSE)</f>
        <v>#N/A</v>
      </c>
      <c r="HH235" s="55" t="e">
        <f>VLOOKUP(Исходн.данные.!AH235,Справ!$A$3:$D$58,4,FALSE)</f>
        <v>#N/A</v>
      </c>
      <c r="HI235" s="11" t="e">
        <f t="shared" si="339"/>
        <v>#N/A</v>
      </c>
      <c r="HJ235" s="11" t="e">
        <f t="shared" si="340"/>
        <v>#N/A</v>
      </c>
      <c r="HK235" s="11" t="e">
        <f t="shared" si="341"/>
        <v>#N/A</v>
      </c>
      <c r="HL235" s="55">
        <f>IF(OR(Исходн.данные.!G235="Глин",Исходн.данные.!G235="Т_суг"),1.1,IF(Исходн.данные.!G235="Ср_суг",1,1))</f>
        <v>1</v>
      </c>
      <c r="HM235" s="55">
        <f>IF(OR(Исходн.данные.!G235="Глин",Исходн.данные.!G235="Т_суг"),0.9,IF(Исходн.данные.!G235="Ср_суг",1,1.2))</f>
        <v>1.2</v>
      </c>
      <c r="HN235" s="11" t="e">
        <f t="shared" si="342"/>
        <v>#N/A</v>
      </c>
      <c r="HO235" s="11" t="e">
        <f t="shared" si="343"/>
        <v>#N/A</v>
      </c>
      <c r="HP235" s="11" t="e">
        <f t="shared" si="344"/>
        <v>#N/A</v>
      </c>
      <c r="HQ235" t="e">
        <f t="shared" si="345"/>
        <v>#N/A</v>
      </c>
      <c r="HR235" t="e">
        <f t="shared" si="346"/>
        <v>#N/A</v>
      </c>
      <c r="HS235" t="e">
        <f t="shared" si="347"/>
        <v>#N/A</v>
      </c>
      <c r="HT235" t="e">
        <f t="shared" si="293"/>
        <v>#N/A</v>
      </c>
      <c r="HU235" t="e">
        <f t="shared" si="294"/>
        <v>#N/A</v>
      </c>
      <c r="HV235" t="e">
        <f t="shared" si="295"/>
        <v>#N/A</v>
      </c>
      <c r="HW235" t="e">
        <f t="shared" si="296"/>
        <v>#N/A</v>
      </c>
      <c r="HX235" t="e">
        <f t="shared" si="297"/>
        <v>#N/A</v>
      </c>
      <c r="HY235" t="e">
        <f t="shared" si="298"/>
        <v>#N/A</v>
      </c>
      <c r="HZ235" s="55">
        <f>IF(OR(Исходн.данные.!AI235="Оз_Ч_П",Исходн.данные.!AI235="Оз_З_П",Исходн.данные.!AI235="Яр_зер"),12,30)</f>
        <v>30</v>
      </c>
      <c r="IA235" t="e">
        <f t="shared" si="348"/>
        <v>#N/A</v>
      </c>
      <c r="IB235" t="e">
        <f t="shared" si="349"/>
        <v>#N/A</v>
      </c>
      <c r="IC235" t="e">
        <f t="shared" si="350"/>
        <v>#N/A</v>
      </c>
      <c r="ID235" s="11" t="e">
        <f t="shared" si="351"/>
        <v>#N/A</v>
      </c>
      <c r="IE235" s="11" t="e">
        <f t="shared" si="352"/>
        <v>#N/A</v>
      </c>
      <c r="IF235" s="11" t="e">
        <f t="shared" si="353"/>
        <v>#N/A</v>
      </c>
    </row>
    <row r="236" spans="35:240" x14ac:dyDescent="0.2">
      <c r="AI236">
        <f>IF(Исходн.данные.!I236&gt;6,1,1.85-(0.148*Исходн.данные.!I236))</f>
        <v>1.85</v>
      </c>
      <c r="AJ236">
        <f>IF(Исходн.данные.!I236&gt;6,1,2.434-(0.246*Исходн.данные.!I236))</f>
        <v>2.4340000000000002</v>
      </c>
      <c r="AL236" s="148" t="b">
        <f>IF(Исходн.данные.!$P236="Ум",N_OrgUd_2g_um,IF(Исходн.данные.!$P236="Об",N_OrgUd_2g_ob))</f>
        <v>0</v>
      </c>
      <c r="AM236" s="148" t="b">
        <f>IF(Исходн.данные.!$P236="Ум",P_OrgUd_2g_um,IF(Исходн.данные.!$P236="Об",P_OrgUd_2g_ob))</f>
        <v>0</v>
      </c>
      <c r="AN236" s="148" t="b">
        <f>IF(Исходн.данные.!$P236="Ум",K_OrgUd_2g_um,IF(Исходн.данные.!$P236="Об",K_OrgUd_2g_ob))</f>
        <v>0</v>
      </c>
      <c r="AO236" s="148" t="b">
        <f>IF(Исходн.данные.!$P236="Ум",N_OrgUd_1g_um,IF(Исходн.данные.!$P236="Об",N_OrgUd_1g_ob))</f>
        <v>0</v>
      </c>
      <c r="AP236" s="148" t="b">
        <f>IF(Исходн.данные.!$P236="Ум",P_OrgUd_1g_um,IF(Исходн.данные.!$P236="Об",P_OrgUd_1g_ob))</f>
        <v>0</v>
      </c>
      <c r="AQ236" s="148" t="b">
        <f>IF(Исходн.данные.!$P236="Ум",K_OrgUd_1g_um,IF(Исходн.данные.!$P236="Об",K_OrgUd_1g_ob))</f>
        <v>0</v>
      </c>
      <c r="AR236" t="b">
        <f>IF(Исходн.данные.!$P236="Ум",N_MinUd_2g_um,IF(Исходн.данные.!$P236="Об",N_MinUd_2g_ob))</f>
        <v>0</v>
      </c>
      <c r="AS236" t="b">
        <f>IF(Исходн.данные.!$P236="Ум",P_MinUd_2g_um,IF(Исходн.данные.!$P236="Об",P_MinUd_2g_ob))</f>
        <v>0</v>
      </c>
      <c r="AT236" t="b">
        <f>IF(Исходн.данные.!$P236="Ум",K_MinUd_2g_um,IF(Исходн.данные.!$P236="Об",K_MinUd_2g_ob))</f>
        <v>0</v>
      </c>
      <c r="AU236" t="b">
        <f>IF(Исходн.данные.!$P236="Ум",N_MinUd_1g_um,IF(Исходн.данные.!$P236="Об",N_MinUd_1g_ob))</f>
        <v>0</v>
      </c>
      <c r="AV236" t="b">
        <f>IF(Исходн.данные.!P236="Ум",P_MinUd_1g_um,IF(Исходн.данные.!P236="Об",P_MinUd_1g_ob))</f>
        <v>0</v>
      </c>
      <c r="AW236" t="b">
        <f>IF(Исходн.данные.!P236="Ум",K_MinUd_1g_um,IF(Исходн.данные.!P236="Об",K_MinUd_1g_ob))</f>
        <v>0</v>
      </c>
      <c r="AY236" t="e">
        <f>VLOOKUP(Исходн.данные.!T236,Справ!$A$3:$N$57,12)</f>
        <v>#N/A</v>
      </c>
      <c r="AZ236" t="e">
        <f>VLOOKUP(Исходн.данные.!T236,Справ!$A$3:$N$57,13)</f>
        <v>#N/A</v>
      </c>
      <c r="BA236" t="e">
        <f>VLOOKUP(Исходн.данные.!T236,Справ!$A$3:$N$57,14)</f>
        <v>#N/A</v>
      </c>
      <c r="BB236">
        <f>IF(Исходн.данные.!AH236=0,0,25)</f>
        <v>0</v>
      </c>
      <c r="BC236" s="141">
        <f>IF(Исходн.данные.!AH236=0,0,IF(Исходн.данные.!T236=0,25,BD236))</f>
        <v>0</v>
      </c>
      <c r="BD236" s="168" t="e">
        <f>AY236+AZ236*Исходн.данные.!U236-POWER(BA236,2)*Исходн.данные.!U236</f>
        <v>#N/A</v>
      </c>
      <c r="BE23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6" s="25">
        <f>IF(Исходн.данные.!AH236=0,0,MIN(HN236:HP236))</f>
        <v>0</v>
      </c>
      <c r="BG236" s="9">
        <f>IF(Исходн.данные.!AH236=0,0,IF((HO236+10*0.25/HG236/HL236)&lt;17,17,HO236+10*0.25/HG236/HL236))</f>
        <v>0</v>
      </c>
      <c r="BH236" s="181">
        <f>IF(Исходн.данные.!AH236=0,0,HW236*HF236*HL236/AU236*AI236+Исходн.данные.!S236*10)</f>
        <v>0</v>
      </c>
      <c r="BI236" s="10"/>
      <c r="BJ236" s="182">
        <f>IF(Исходн.данные.!AH236=0,0,IF(HX236*HG236*HL236/AV236&lt;0,0,HX236*HG236*HL236/AV236*AJ236))</f>
        <v>0</v>
      </c>
      <c r="BK236" s="182">
        <f>IF(Исходн.данные.!AH236=0,0,HY236*HH236*HM236/AW236)</f>
        <v>0</v>
      </c>
      <c r="BL236" s="10">
        <f>IF(OR(Исходн.данные.!$AH236=$BP$1,Исходн.данные.!$AH236=$BP$2),0,IF(BH236&lt;0,0,IF(OR(Исходн.данные.!T236=Расчет!$BP$1,Исходн.данные.!T236=Расчет!$BP$2,Исходн.данные.!T236=Расчет!$BT$5,Исходн.данные.!T236=Расчет!$BT$6),BH236*0.5,IF(OR(Исходн.данные.!T236=Расчет!$BS$9,Исходн.данные.!T236=Расчет!$BS$10,Исходн.данные.!T236=Расчет!$BS$11,Исходн.данные.!T236=Расчет!$BS$12,Исходн.данные.!T236=Расчет!$BP$5),BH236*0.8,BH236))))</f>
        <v>0</v>
      </c>
      <c r="BM236" s="10">
        <f>IF(OR(Исходн.данные.!$AH236=$BP$1,Исходн.данные.!$AH236=$BP$2),0,IF(BJ236&lt;0,0,IF(Исходн.данные.!I236&lt;4.5,BJ236*1.2,IF(Исходн.данные.!I236&gt;5.1,BJ236,BJ236*((5.1-Исходн.данные.!I236)*0.333+1)))))</f>
        <v>0</v>
      </c>
      <c r="BN236" s="10">
        <f>IF(OR(Исходн.данные.!$AH236=$BP$1,Исходн.данные.!$AH236=$BP$2),60-Исходн.данные.!AF236,IF(BK236&lt;0,0,IF(Исходн.данные.!I236&lt;4.5,BK236*1.2,IF(Исходн.данные.!I236&gt;5.1,BK236,BK236*((5.1-Исходн.данные.!I236)*0.333+1)))))</f>
        <v>0</v>
      </c>
      <c r="BO236" s="9">
        <f>IF(BL236&lt;0,0,BL236*Исходн.данные.!$AJ236/1000)</f>
        <v>0</v>
      </c>
      <c r="BP236" s="9">
        <f>IF(BM236&lt;0,0,BM236*Исходн.данные.!$AJ236/1000)</f>
        <v>0</v>
      </c>
      <c r="BQ236" s="9">
        <f>IF(BN236&lt;0,0,BN236*Исходн.данные.!$AJ236/1000)</f>
        <v>0</v>
      </c>
      <c r="BR236" s="9">
        <f t="shared" si="303"/>
        <v>0</v>
      </c>
      <c r="BS236" s="10" t="str">
        <f t="shared" si="304"/>
        <v>Аммофос 12:52:00</v>
      </c>
      <c r="BT236" s="10" t="str">
        <f t="shared" si="305"/>
        <v>Аммофос 12:52:00</v>
      </c>
      <c r="BU236" s="10" t="str">
        <f t="shared" si="306"/>
        <v>Диаммофоска</v>
      </c>
      <c r="BV236" s="10">
        <f t="shared" si="307"/>
        <v>0</v>
      </c>
      <c r="BW236" s="10"/>
      <c r="BX236" s="10"/>
      <c r="BY236" s="9">
        <f>IF(BL236&lt;0,0,IF(OR(Исходн.данные.!AI236=Расчет!$BU$6,Исходн.данные.!AI236=Расчет!$BU$7),Расчет!BV236,IF(Исходн.данные.!$AG236=$BV$11,BL236,IF(OR(Исходн.данные.!$AH236=$BQ$7,Исходн.данные.!$AH236=$BQ$8),CB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0,IF(Исходн.данные.!$AI236=$BU$11,"Нет",IF(BL236&gt;30,30,BL236)))))))</f>
        <v>0</v>
      </c>
      <c r="BZ236" s="9">
        <f>IF(AND(Исходн.данные.!$AG236=$BV$11,BM236&lt;10),10,IF(Исходн.данные.!$AG236=$BV$11,BM236,IF(OR(Исходн.данные.!$AH236=$BQ$7,Исходн.данные.!$AH236=$BQ$8),CC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10,IF(Исходн.данные.!$AI236=$BU$11,"Нет",IF(BM236&gt;60,60,IF(BM236&lt;10,10,BM236)))))))</f>
        <v>10</v>
      </c>
      <c r="CA236" s="39">
        <f>IF(BN236&lt;0,0,IF(Исходн.данные.!$AG236=$BV$11,BN236,IF(OR(Исходн.данные.!$AH236=$BQ$7,Исходн.данные.!$AH236=$BQ$8),CD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0,IF(Исходн.данные.!$AI236=$BU$11,"Нет",IF(BN236&gt;30,30,BN236))))))</f>
        <v>0</v>
      </c>
      <c r="CB236" s="9">
        <f t="shared" si="308"/>
        <v>0</v>
      </c>
      <c r="CC236" s="9">
        <f t="shared" si="309"/>
        <v>0</v>
      </c>
      <c r="CD236" s="9">
        <f t="shared" si="310"/>
        <v>0</v>
      </c>
      <c r="CE236" s="12">
        <f t="shared" si="311"/>
        <v>10</v>
      </c>
      <c r="CF236" s="9">
        <f t="shared" si="312"/>
        <v>0</v>
      </c>
      <c r="CG236" s="9" t="s">
        <v>231</v>
      </c>
      <c r="CH236" s="132" t="str">
        <f>IF(Исходн.данные.!AP236=Расчет!$CI$16,"Нет",IF(Исходн.данные.!AL236&gt;0,Исходн.данные.!AL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BH$4,IF(OR(Исходн.данные.!AI236=Исходн.данные.!$AI$6,Исходн.данные.!AI236=Исходн.данные.!$AI$7),Расчет!BS236,IF(AND($CF236=0,$CE236&gt;0),EV236,ER236)))))</f>
        <v>Аммофос 12:52:00</v>
      </c>
      <c r="CI236" s="274">
        <f>IF(Расчет!$CH236="Нет","Нет",IF(Исходн.данные.!$AL236&gt;0,VLOOKUP(Расчет!$CH236,АшламаДВ_Irekle,2,FALSE),VLOOKUP(Расчет!$CH236,АшламаДВ_Gomumy,2,FALSE)))</f>
        <v>0.12</v>
      </c>
      <c r="CJ236" s="274">
        <f>IF(Расчет!$CH236="Нет","Нет",IF(Исходн.данные.!$AL236&gt;0,VLOOKUP(Расчет!$CH236,АшламаДВ_Irekle,3,FALSE),VLOOKUP(Расчет!$CH236,АшламаДВ_Gomumy,3,FALSE)))</f>
        <v>0.52</v>
      </c>
      <c r="CK236" s="274">
        <f>IF(Расчет!$CH236="Нет","Нет",IF(Исходн.данные.!$AL236&gt;0,VLOOKUP(Расчет!$CH236,АшламаДВ_Irekle,4,FALSE),VLOOKUP(Расчет!$CH236,АшламаДВ_Gomumy,4,FALSE)))</f>
        <v>0</v>
      </c>
      <c r="CL236" s="70"/>
      <c r="CM236" s="70"/>
      <c r="CN236" s="70"/>
      <c r="CO236" s="70"/>
      <c r="CP236" s="70"/>
      <c r="CQ236" s="70"/>
      <c r="CR236" s="10">
        <f t="shared" si="313"/>
        <v>0</v>
      </c>
      <c r="CS236" s="10">
        <f t="shared" si="314"/>
        <v>19.23076923076923</v>
      </c>
      <c r="CT236" s="10">
        <f t="shared" si="315"/>
        <v>0</v>
      </c>
      <c r="CU236" s="39">
        <f>IF($CH236="Нет",0,IF(CI236=0,30/MIN(CJ236:CK236),IF(Исходн.данные.!$AG236=$BV$11,CR236,IF(OR(Исходн.данные.!$AH236=$BQ$7,Исходн.данные.!$AH236=$BQ$8),90/CI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0,IF(Исходн.данные.!$AI236=$BU$11,"Нет",30/CI236))))))</f>
        <v>250</v>
      </c>
      <c r="CV236" s="39">
        <f>IF($CH236="Нет",0,IF(Исходн.данные.!AH236=0,0,IF(CJ236=0,60/MIN(CI236,CK236),IF(Исходн.данные.!$AG236=$BV$11,CS236,IF(OR(Исходн.данные.!$AH236=$BQ$7,Исходн.данные.!$AH236=$BQ$8),90/CJ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10/CJ236,IF(Исходн.данные.!$AI236=$BU$11,"Нет",60/CJ236)))))))</f>
        <v>0</v>
      </c>
      <c r="CW236" s="39">
        <f>IF($CH236="Нет",0,IF(Исходн.данные.!AH236=0,0,IF(CK236=0,30/MIN(CI236:CJ236),IF(Исходн.данные.!$AG236=$BV$11,CT236,IF(OR(Исходн.данные.!$AH236=$BQ$7,Исходн.данные.!$AH236=$BQ$8),90/CK236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0,IF(Исходн.данные.!$AI236=$BU$11,"Нет",30/CK236)))))))</f>
        <v>0</v>
      </c>
      <c r="CX236" s="133">
        <f>IF(Исходн.данные.!$AG236=$BV$11,MAX(CU236:CW236),IF(OR(Исходн.данные.!$AH236=$BS$8,Исходн.данные.!$AH236=$BQ$9,Исходн.данные.!$AH236=$BQ$10,Исходн.данные.!$AH236=$BQ$11,Исходн.данные.!$AH236=$BQ$12,Исходн.данные.!$AH236=$BP$3,Исходн.данные.!$AH236=$BT$8,$FM236="Да"),CV236,MIN(CU236:CW236)))</f>
        <v>0</v>
      </c>
      <c r="CY236" s="133">
        <f>IF(Исходн.данные.!AH236=0,0,IF(CR236&gt;$CX236,$CX236,CR236))</f>
        <v>0</v>
      </c>
      <c r="CZ236" s="133">
        <f>IF(Исходн.данные.!AH236=0,0,IF(CS236&gt;$CX236,$CX236,CS236))</f>
        <v>0</v>
      </c>
      <c r="DA236" s="133">
        <f>IF(Исходн.данные.!AH236=0,0,IF(CT236&gt;$CX236,$CX236,CT236))</f>
        <v>0</v>
      </c>
      <c r="DB236" s="10">
        <f t="shared" si="316"/>
        <v>0</v>
      </c>
      <c r="DC236" s="39">
        <f>DB236*Исходн.данные.!AJ236/1000</f>
        <v>0</v>
      </c>
      <c r="DD236" s="71">
        <f t="shared" si="317"/>
        <v>0</v>
      </c>
      <c r="DE236" s="9">
        <f t="shared" si="318"/>
        <v>0</v>
      </c>
      <c r="DF236" s="9">
        <f t="shared" si="319"/>
        <v>0</v>
      </c>
      <c r="DG236" s="39">
        <f>IF(BL236&lt;0,0,IF($CH236="Нет",BL236,IF(OR(Исходн.данные.!$AH236=$BP$1,Исходн.данные.!$AH236=$BP$2),0,IF(Исходн.данные.!AI236=$BU$11,BL236,IF(BL236-DD236&lt;0,0,BL236-DD236)))))</f>
        <v>0</v>
      </c>
      <c r="DH236" s="39">
        <f>IF(BM236&lt;0,0,IF($CH236="Нет",BM236,IF(OR(Исходн.данные.!$AH236=$BP$1,Исходн.данные.!$AH236=$BP$2),0,IF(Исходн.данные.!AJ236=$BU$11,BM236,IF(BM236-DE236&lt;0,0,BM236-DE236)))))</f>
        <v>0</v>
      </c>
      <c r="DI236" s="39">
        <f>IF(BN236&lt;0,0,IF($CH236="Нет",BN236,IF(OR(Исходн.данные.!$AH236=$BP$1,Исходн.данные.!$AH236=$BP$2),0,IF(Исходн.данные.!AK236=$BU$11,BN236,IF(BN236-DF236&lt;0,0,BN236-DF236)))))</f>
        <v>0</v>
      </c>
      <c r="DJ236" s="12">
        <f t="shared" si="320"/>
        <v>0</v>
      </c>
      <c r="DK236" s="9">
        <f t="shared" si="321"/>
        <v>0</v>
      </c>
      <c r="DL236" s="39">
        <f>IF(Исходн.данные.!AM236&gt;0,Исходн.данные.!AM236,IF(EG236&gt;0,$BH$10,0))</f>
        <v>0</v>
      </c>
      <c r="DM236" s="186">
        <f>IF($DL236=0,0,IF(Исходн.данные.!AM236&gt;0,VLOOKUP($DL236,АшламаДВ_Irekle,2,FALSE),VLOOKUP($DL236,АшламаДВ_Gomumy,2,FALSE)))</f>
        <v>0</v>
      </c>
      <c r="DN236" s="10">
        <f t="shared" si="299"/>
        <v>0</v>
      </c>
      <c r="DO236" s="9" t="str">
        <f>IF(Исходн.данные.!AN236&gt;0,Исходн.данные.!AN236,Удобрения!$B$37 )</f>
        <v>Хлор.калий</v>
      </c>
      <c r="DP236" s="9">
        <f>IF(Исходн.данные.!AN236&gt;0,VLOOKUP(Исходн.данные.!AN236,АшламаДВ_Irekle,4,FALSE),VLOOKUP(DO236,АшламаДВ_Gomumy,4,FALSE))</f>
        <v>0.6</v>
      </c>
      <c r="DQ236" s="10">
        <f t="shared" si="300"/>
        <v>0</v>
      </c>
      <c r="DR236" s="132" t="str">
        <f>IF(Исходн.данные.!AO236&gt;0,Исходн.данные.!AO236,IF(DH236=0,BS$17,IF(AND($DK236=0,$DJ236&gt;0),EJ236,EN236)))</f>
        <v>Нет</v>
      </c>
      <c r="DS236" s="70" t="str">
        <f>IF($DR236="Нет","Нет",IF(Исходн.данные.!$AO236&gt;0,VLOOKUP($DR236,АшламаДВ_Irekle,2,FALSE),VLOOKUP($DR236,АшламаДВ_Gomumy,2,FALSE)))</f>
        <v>Нет</v>
      </c>
      <c r="DT236" s="70" t="str">
        <f>IF($DR236="Нет","Нет",IF(Исходн.данные.!$AO236&gt;0,VLOOKUP($DR236,АшламаДВ_Irekle,3,FALSE),VLOOKUP($DR236,АшламаДВ_Gomumy,3,FALSE)))</f>
        <v>Нет</v>
      </c>
      <c r="DU236" s="70" t="str">
        <f>IF($DR236="Нет","Нет",IF(Исходн.данные.!$AO236&gt;0,VLOOKUP($DR236,АшламаДВ_Irekle,4,FALSE),VLOOKUP($DR236,АшламаДВ_Gomumy,4,FALSE)))</f>
        <v>Нет</v>
      </c>
      <c r="DV236" s="70"/>
      <c r="DW236" s="70"/>
      <c r="DX236" s="70"/>
      <c r="DY236" s="10">
        <f t="shared" si="322"/>
        <v>0</v>
      </c>
      <c r="DZ236" s="10">
        <f t="shared" si="323"/>
        <v>0</v>
      </c>
      <c r="EA236" s="10">
        <f t="shared" si="324"/>
        <v>0</v>
      </c>
      <c r="EB236" s="10">
        <f t="shared" si="325"/>
        <v>0</v>
      </c>
      <c r="EC236" s="10">
        <f t="shared" si="326"/>
        <v>0</v>
      </c>
      <c r="ED236" s="10">
        <f t="shared" si="327"/>
        <v>0</v>
      </c>
      <c r="EE236" s="10">
        <f t="shared" si="328"/>
        <v>0</v>
      </c>
      <c r="EF236" s="39">
        <f>EB236*Исходн.данные.!AJ236/1000</f>
        <v>0</v>
      </c>
      <c r="EG236" s="9">
        <f t="shared" si="329"/>
        <v>0</v>
      </c>
      <c r="EH236" s="9">
        <f t="shared" si="330"/>
        <v>0</v>
      </c>
      <c r="EI236" s="39" t="e">
        <f t="shared" si="280"/>
        <v>#DIV/0!</v>
      </c>
      <c r="EJ236" s="9" t="str">
        <f t="shared" si="301"/>
        <v>Азопреципитат</v>
      </c>
      <c r="EK236" s="12">
        <f t="shared" si="281"/>
        <v>0.26</v>
      </c>
      <c r="EL236" s="12">
        <f t="shared" si="282"/>
        <v>0.13</v>
      </c>
      <c r="EM236" s="12">
        <f t="shared" si="283"/>
        <v>0</v>
      </c>
      <c r="EN236" s="12" t="str">
        <f t="shared" si="302"/>
        <v>Нет</v>
      </c>
      <c r="EO236" s="12">
        <f t="shared" si="284"/>
        <v>0</v>
      </c>
      <c r="EP236" s="12">
        <f t="shared" si="285"/>
        <v>0</v>
      </c>
      <c r="EQ236" s="12">
        <f t="shared" si="286"/>
        <v>0</v>
      </c>
      <c r="ER236" s="12" t="str">
        <f t="shared" si="331"/>
        <v>Диаммофоска</v>
      </c>
      <c r="ES236" s="12">
        <f t="shared" si="287"/>
        <v>0.1</v>
      </c>
      <c r="ET236" s="12">
        <f t="shared" si="288"/>
        <v>0.26</v>
      </c>
      <c r="EU236" s="12">
        <f t="shared" si="289"/>
        <v>0.26</v>
      </c>
      <c r="EV236" s="12" t="str">
        <f t="shared" si="332"/>
        <v>Аммофос 12:52:00</v>
      </c>
      <c r="EW236" s="12" t="str">
        <f t="shared" si="333"/>
        <v>Кемира Свекловичное-6</v>
      </c>
      <c r="EX236" s="12">
        <f t="shared" si="290"/>
        <v>0.16</v>
      </c>
      <c r="EY236" s="12">
        <f t="shared" si="291"/>
        <v>0.12</v>
      </c>
      <c r="EZ236" s="12">
        <f t="shared" si="292"/>
        <v>0.17</v>
      </c>
      <c r="FA236" s="38" t="e">
        <f>IF(AND(OR(FJ236=$FD$1,FM236=$FD$1,FO236=$FD$1,FQ236=$FD$1,FS236=$FD$1),FD236=$FD$1,Исходн.данные.!J236&lt;2,FU236=$FD$1),"Бор,Кобальт",IF(AND(FO236=$FD$1,FH236=$FD$1,Исходн.данные.!J236&lt;2,FU236=$FD$1),"Бор,Кобальт",IF(AND(OR(FJ236=$FD$1,FM236=$FD$1,FQ236=$FD$1),FE236=$FD$1,Исходн.данные.!J236&lt;2,FT236=$FD$1,FU236=$FD$1),"Бор,Медь,Цинк",IF(AND(OR(FJ236=$FD$1,FR236="Да"),FI236="Да",Исходн.данные.!J236&lt;2,FT236="Да",FU236="Да"),"Бор,Цинк,Медь",IF(AND(OR(FM236="Да",FQ236="Да"),FI236="Да",Исходн.данные.!J236&lt;2,FT236="Да",FU236="Да"),"Бор,Цинк",IF(AND(FN236="Да",OR(FD236="Да",FE236="Да")),"Бор",FB236))))))</f>
        <v>#N/A</v>
      </c>
      <c r="FB236" s="134" t="e">
        <f>IF(AND(OR(FD236="Да",FE236="Да",FF236="Да",FG236="Да",FH236="Да"),FO236="Да"),"Бор",IF(AND(FP236="Да",OR(FD236="Да",FE236="Да",FI236="Да")),"Бор",IF(AND(FS236="Да",FE236="Да"),"Бор,Медь",IF(AND(OR(FJ236="Да",FK236="Да",FL236="Да"),FE236="Да",Исходн.данные.!I236&lt;5,FT236="Да",FU236="Да"),"Молибден,Цинк",IF(AND(FM236="Да",OR(FE236="Да",FF236="Да",FG236="Да",FH236="Да",FI236="Да")),"Молибден,Цинк",IF(AND(OR(FJ236="Да",FK236="Да",FL236="Да",FM236="Да",FQ236="Да"),OR(FE236="Да",FF236="Да"),FT236="Да",FU236="Да",Исходн.данные.!I236&gt;5.5),"Медь,Цинк",FC236))))))</f>
        <v>#N/A</v>
      </c>
      <c r="FC236" s="23" t="e">
        <f t="shared" si="334"/>
        <v>#N/A</v>
      </c>
      <c r="FD236" s="38" t="str">
        <f>IF(OR(Исходн.данные.!F236=$CC$1,Исходн.данные.!F236=$CC$2,Исходн.данные.!F236=$CC$3,Исходн.данные.!F236=$CC$4),"Да","Нет")</f>
        <v>Нет</v>
      </c>
      <c r="FE236" s="38" t="str">
        <f>IF(Исходн.данные.!F236=$CC$5,"Да","Нет")</f>
        <v>Нет</v>
      </c>
      <c r="FF236" s="38" t="str">
        <f>IF(OR(Исходн.данные.!F236=$CC$6,Исходн.данные.!F236=$CC$7),"Да","Нет")</f>
        <v>Нет</v>
      </c>
      <c r="FG236" s="38" t="str">
        <f>IF(OR(Исходн.данные.!F236=$CC$8,Исходн.данные.!F236=$CC$9),"Да","Нет")</f>
        <v>Нет</v>
      </c>
      <c r="FH236" s="38" t="str">
        <f>IF(Исходн.данные.!F236=$CC$10,"Да","Нет")</f>
        <v>Нет</v>
      </c>
      <c r="FI236" s="38" t="str">
        <f>IF(OR(Исходн.данные.!F236=$CC$11,Исходн.данные.!F236=$CC$12),"Да","Нет")</f>
        <v>Нет</v>
      </c>
      <c r="FJ236" s="38" t="str">
        <f>IF(OR(Исходн.данные.!AH236=$BS$1,Исходн.данные.!AH236=$BQ$11,Исходн.данные.!AH236=$BQ$12),"Да","Нет")</f>
        <v>Нет</v>
      </c>
      <c r="FK236" s="38" t="str">
        <f>IF(OR(Исходн.данные.!AH236=$BS$2,Исходн.данные.!AH236=$BS$4),"Да","Нет")</f>
        <v>Нет</v>
      </c>
      <c r="FL236" s="38" t="str">
        <f>IF(OR(Исходн.данные.!AH236=$BS$3,Исходн.данные.!AH236=$BS$5),"Да","Нет")</f>
        <v>Нет</v>
      </c>
      <c r="FM236" s="38" t="str">
        <f>IF(OR(Исходн.данные.!AH236=$BS$9,Исходн.данные.!AH236=$BS$10,Исходн.данные.!AH236=$BS$11,Исходн.данные.!AH236=$BS$12),"Да","Нет")</f>
        <v>Нет</v>
      </c>
      <c r="FN236" s="38" t="str">
        <f>IF(OR(Исходн.данные.!AH236=$BS$6,Исходн.данные.!AH236=$BP$3),"Да","Нет")</f>
        <v>Нет</v>
      </c>
      <c r="FO236" s="38" t="str">
        <f>IF(Исходн.данные.!AH236=$BQ$9,"Да","Нет")</f>
        <v>Нет</v>
      </c>
      <c r="FP236" s="38" t="str">
        <f>IF(OR(Исходн.данные.!AH236=$BS$8,Исходн.данные.!AH236=$BT$8),"Да","Нет")</f>
        <v>Нет</v>
      </c>
      <c r="FQ236" s="38" t="str">
        <f>IF(OR(Исходн.данные.!AH236=$BQ$7,Исходн.данные.!AH236=$BQ$8),"Да","Нет")</f>
        <v>Нет</v>
      </c>
      <c r="FR236" s="38" t="str">
        <f>IF(Исходн.данные.!AI236=$BU$9,"Да","Нет")</f>
        <v>Нет</v>
      </c>
      <c r="FS236" s="38" t="str">
        <f>IF(OR(Исходн.данные.!AH236=$BP$1,Исходн.данные.!AH236=$BP$2),"Да","Нет")</f>
        <v>Нет</v>
      </c>
      <c r="FT236" s="38" t="e">
        <f>IF((Исходн.данные.!K236*GO236*GS236*GW236+BL236*0.6+Исходн.данные.!Q236*4.5*0.275)&gt;90,"Да","Нет")</f>
        <v>#N/A</v>
      </c>
      <c r="FU236" s="38" t="e">
        <f>IF((Исходн.данные.!M236*GS236*GZ236+BM236*0.225)&gt;35,"Да","Нет")</f>
        <v>#N/A</v>
      </c>
      <c r="FV236" s="38" t="str">
        <f>IF(Исходн.данные.!O236&gt;175,"Да","Нет")</f>
        <v>Нет</v>
      </c>
      <c r="FW236" s="39" t="str">
        <f>IF(Исходн.данные.!I236&gt;5.5,"Да","Нет")</f>
        <v>Нет</v>
      </c>
      <c r="FX236" s="39" t="str">
        <f>IF(Исходн.данные.!J236&lt;2,"Да","Нет")</f>
        <v>Да</v>
      </c>
      <c r="FY236" s="39" t="e">
        <f>IF(HF236=$FY$16,0,Исходн.данные.!K236*GO236*GS236*GW236/HF236)</f>
        <v>#N/A</v>
      </c>
      <c r="FZ236" s="39" t="e">
        <f>Исходн.данные.!M236*GS236*GZ236/HG236</f>
        <v>#N/A</v>
      </c>
      <c r="GA236" s="39" t="e">
        <f>IF(K_Wyn=$FY$16,0,IF(Исходн.данные.!N236=Исходн.данные.!$L$10,Исходн.данные.!O236/1.1*GS236*HC236/HH236,IF(Исходн.данные.!N236=Исходн.данные.!$L$12,Исходн.данные.!O236/1.5*GS236*HC236/HH236,Исходн.данные.!O236*GS236*HC236/HH236)))</f>
        <v>#N/A</v>
      </c>
      <c r="GB236" s="39" t="e">
        <f>IF(HF236=$FY$16,0,((Исходн.данные.!Q236*N_Org+Исходн.данные.!R236*N_Sider+Исходн.данные.!S236*N_Soloma)*AO236+Расчет!BC236*VLOOKUP(Исходн.данные.!T236,Справ!$A$3:$O$57,15)*AO236+BB236*VLOOKUP(Исходн.данные.!T236,Справ!$A$3:$O$57,15)*AL236+(Исходн.данные.!V236*N_Rizotorf+Исходн.данные.!W236*N_Rizoagr))/HF236)</f>
        <v>#N/A</v>
      </c>
      <c r="GC236" s="39" t="e">
        <f>IF(HG236=$FY$16,0,((Исходн.данные.!Q236*Р_Org+Исходн.данные.!R236*P_Sider+Исходн.данные.!S236*P_Soloma)*AP236+Расчет!BC236*VLOOKUP(Исходн.данные.!T236,Справ!$A$3:$P$57,16)*AP236+BB236*VLOOKUP(Исходн.данные.!T236,Справ!$A$3:$P$57,16)*AM236)/HG236)</f>
        <v>#N/A</v>
      </c>
      <c r="GD236" s="39" t="e">
        <f>IF(HH236=$FY$16,0,((Исходн.данные.!Q236*К_Org+Исходн.данные.!R236*K_Sider+Исходн.данные.!S236*K_Soloma)*AQ236+Расчет!BC236*VLOOKUP(Исходн.данные.!T236,Справ!$A$3:$Q$57,17)*AQ236+BB236*VLOOKUP(Исходн.данные.!T236,Справ!$A$3:$Q$57,17)*AN236)/HH236)</f>
        <v>#N/A</v>
      </c>
      <c r="GE236" s="39" t="e">
        <f>IF(HF236=$FY$16,0,(Исходн.данные.!X236*AR236+Исходн.данные.!AA236*N_Org*AL236+Исходн.данные.!AB236*N_Sider*AL236+Исходн.данные.!AC236*N_Soloma*AL236)/HF236)</f>
        <v>#N/A</v>
      </c>
      <c r="GF236" s="39" t="e">
        <f>IF(HG236=$FY$16,0,(Исходн.данные.!Y236*AS236+Исходн.данные.!AA236*Р_Org*AM236+Исходн.данные.!AB236*P_Sider*AM236+Исходн.данные.!AC236*P_Soloma*AM236)/HG236)</f>
        <v>#N/A</v>
      </c>
      <c r="GG236" s="39" t="e">
        <f>IF(HH236=$FY$16,0,(Исходн.данные.!Z236*AT236+Исходн.данные.!AA236*К_Org*AN236+Исходн.данные.!AB236*K_Sider*AN236+Исходн.данные.!AC236*K_Soloma*AN236)/HH236)</f>
        <v>#N/A</v>
      </c>
      <c r="GH236" s="39" t="e">
        <f>Исходн.данные.!AD236*AU236/HF236</f>
        <v>#N/A</v>
      </c>
      <c r="GI236" s="39" t="e">
        <f>Исходн.данные.!AE236*AV236/HG236</f>
        <v>#N/A</v>
      </c>
      <c r="GJ236" s="39" t="e">
        <f>Исходн.данные.!AF236*AW236/HH236</f>
        <v>#N/A</v>
      </c>
      <c r="GK236" s="55">
        <f>Исходн.данные.!AK236</f>
        <v>0</v>
      </c>
      <c r="GL236" s="11" t="e">
        <f t="shared" si="335"/>
        <v>#N/A</v>
      </c>
      <c r="GM236" s="11" t="e">
        <f t="shared" si="336"/>
        <v>#N/A</v>
      </c>
      <c r="GN236" s="11" t="e">
        <f t="shared" si="337"/>
        <v>#N/A</v>
      </c>
      <c r="GO236" s="57">
        <f t="shared" si="338"/>
        <v>19</v>
      </c>
      <c r="GP236" s="55">
        <f>IF(OR(Исходн.данные.!F236=$CE$1,Исходн.данные.!F236=$CE$2,Исходн.данные.!F236=$CE$3,Исходн.данные.!F236=$CE$4,Исходн.данные.!F236=$CE$5),GQ236,GR236)</f>
        <v>19</v>
      </c>
      <c r="GQ236" s="55">
        <f>IF(Исходн.данные.!F236=$CE$1,28,IF(Исходн.данные.!F236=$CE$2,26,IF(Исходн.данные.!F236=$CE$3,24,IF(Исходн.данные.!F236=$CE$4,22,IF(Исходн.данные.!F236=$CE$5,20,GR236)))))</f>
        <v>19</v>
      </c>
      <c r="GR236" s="55">
        <f>IF(Исходн.данные.!F236=$CE$6,18,IF(Исходн.данные.!F236=$CE$7,16,IF(Исходн.данные.!F236=$CE$8,14,IF(Исходн.данные.!F236=$CE$9,13,IF(Исходн.данные.!F236=$CE$10,12,19)))))</f>
        <v>19</v>
      </c>
      <c r="GS236" s="55">
        <f>IF(Исходн.данные.!G236="Пес",0.035*(40+2*Исходн.данные.!H236),IF(Исходн.данные.!G236="Суп",0.0325*(40+2*Исходн.данные.!H236),0.03*(40+2*Исходн.данные.!H236)))</f>
        <v>1.2</v>
      </c>
      <c r="GT236" s="55">
        <f>IF(Исходн.данные.!H236&lt;23,2.6,IF(AND(Исходн.данные.!H236&gt;22,Исходн.данные.!H236&lt;26),3,IF(AND(Исходн.данные.!H236&gt;25,Исходн.данные.!H236&lt;29),3.4,3.6)))</f>
        <v>2.6</v>
      </c>
      <c r="GU236" s="55">
        <f>IF(Исходн.данные.!H236&lt;23,2.8,IF(AND(Исходн.данные.!H236&gt;22,Исходн.данные.!H236&lt;26),3.2,IF(AND(Исходн.данные.!H236&gt;25,Исходн.данные.!H236&lt;29),3.6,3.9)))</f>
        <v>2.8</v>
      </c>
      <c r="GV236" s="55">
        <f>IF(Исходн.данные.!H236&lt;23,3,IF(AND(Исходн.данные.!H236&gt;22,Исходн.данные.!H236&lt;26),3.5,IF(AND(Исходн.данные.!H236&gt;25,Исходн.данные.!H236&lt;29),3.9,4.2)))</f>
        <v>3</v>
      </c>
      <c r="GW236" s="55" t="e">
        <f>IF(Исходн.данные.!P236="Ум",GX236,GY236)</f>
        <v>#N/A</v>
      </c>
      <c r="GX236" s="55" t="e">
        <f>VLOOKUP(Исходн.данные.!AI236,Коэффициенты!$J$7:$L$13,2,FALSE)</f>
        <v>#N/A</v>
      </c>
      <c r="GY236" s="55" t="e">
        <f>VLOOKUP(Исходн.данные.!AI236,Коэффициенты!$J$7:$L$13,3,FALSE)</f>
        <v>#N/A</v>
      </c>
      <c r="GZ236" s="55" t="e">
        <f>(IF(Исходн.данные.!M236&lt;50,0.11*VLOOKUP(Исходн.данные.!AH236,Культуры.Информация,7,FALSE),IF(Исходн.данные.!M236&gt;250,0.05*VLOOKUP(Исходн.данные.!AH236,Культуры.Информация,7,FALSE),VLOOKUP(Исходн.данные.!AH236,Культуры.Информация,5,FALSE)/100*($GX$6+$GY$6*Исходн.данные.!M236))))*Расчет2!AI236</f>
        <v>#N/A</v>
      </c>
      <c r="HA236" s="211"/>
      <c r="HB236" s="211"/>
      <c r="HC236" s="55" t="e">
        <f>(IF(Исходн.данные.!O236&lt;80,0.2*VLOOKUP(Исходн.данные.!AH236,Культуры.Информация,8,FALSE),IF(Исходн.данные.!O236&gt;240,0.09*VLOOKUP(Исходн.данные.!AH236,Культуры.Информация,8,FALSE),VLOOKUP(Исходн.данные.!AH236,Культуры.Информация,6,FALSE)/100*($HB$6+$HC$6*Исходн.данные.!O236))))*Расчет2!AJ236</f>
        <v>#N/A</v>
      </c>
      <c r="HD236" s="55">
        <f>IF(Исходн.данные.!O236&gt;240,0.09,IF(Исходн.данные.!O236&lt;30,0.3,$HE$10+$HD$10*Исходн.данные.!O236))</f>
        <v>0.3</v>
      </c>
      <c r="HE236" s="55">
        <f>IF(Исходн.данные.!O236&gt;240,0.17,IF(Исходн.данные.!O236&lt;30,0.5,$HF$12+$HE$12*Исходн.данные.!O236))</f>
        <v>0.5</v>
      </c>
      <c r="HF236" s="55" t="e">
        <f>VLOOKUP(Исходн.данные.!AH236,Справ!$A$3:$D$58,2,FALSE)</f>
        <v>#N/A</v>
      </c>
      <c r="HG236" s="55" t="e">
        <f>VLOOKUP(Исходн.данные.!AH236,Справ!$A$3:$D$58,3,FALSE)</f>
        <v>#N/A</v>
      </c>
      <c r="HH236" s="55" t="e">
        <f>VLOOKUP(Исходн.данные.!AH236,Справ!$A$3:$D$58,4,FALSE)</f>
        <v>#N/A</v>
      </c>
      <c r="HI236" s="11" t="e">
        <f t="shared" si="339"/>
        <v>#N/A</v>
      </c>
      <c r="HJ236" s="11" t="e">
        <f t="shared" si="340"/>
        <v>#N/A</v>
      </c>
      <c r="HK236" s="11" t="e">
        <f t="shared" si="341"/>
        <v>#N/A</v>
      </c>
      <c r="HL236" s="55">
        <f>IF(OR(Исходн.данные.!G236="Глин",Исходн.данные.!G236="Т_суг"),1.1,IF(Исходн.данные.!G236="Ср_суг",1,1))</f>
        <v>1</v>
      </c>
      <c r="HM236" s="55">
        <f>IF(OR(Исходн.данные.!G236="Глин",Исходн.данные.!G236="Т_суг"),0.9,IF(Исходн.данные.!G236="Ср_суг",1,1.2))</f>
        <v>1.2</v>
      </c>
      <c r="HN236" s="11" t="e">
        <f t="shared" si="342"/>
        <v>#N/A</v>
      </c>
      <c r="HO236" s="11" t="e">
        <f t="shared" si="343"/>
        <v>#N/A</v>
      </c>
      <c r="HP236" s="11" t="e">
        <f t="shared" si="344"/>
        <v>#N/A</v>
      </c>
      <c r="HQ236" t="e">
        <f t="shared" si="345"/>
        <v>#N/A</v>
      </c>
      <c r="HR236" t="e">
        <f t="shared" si="346"/>
        <v>#N/A</v>
      </c>
      <c r="HS236" t="e">
        <f t="shared" si="347"/>
        <v>#N/A</v>
      </c>
      <c r="HT236" t="e">
        <f t="shared" si="293"/>
        <v>#N/A</v>
      </c>
      <c r="HU236" t="e">
        <f t="shared" si="294"/>
        <v>#N/A</v>
      </c>
      <c r="HV236" t="e">
        <f t="shared" si="295"/>
        <v>#N/A</v>
      </c>
      <c r="HW236" t="e">
        <f t="shared" si="296"/>
        <v>#N/A</v>
      </c>
      <c r="HX236" t="e">
        <f t="shared" si="297"/>
        <v>#N/A</v>
      </c>
      <c r="HY236" t="e">
        <f t="shared" si="298"/>
        <v>#N/A</v>
      </c>
      <c r="HZ236" s="55">
        <f>IF(OR(Исходн.данные.!AI236="Оз_Ч_П",Исходн.данные.!AI236="Оз_З_П",Исходн.данные.!AI236="Яр_зер"),12,30)</f>
        <v>30</v>
      </c>
      <c r="IA236" t="e">
        <f t="shared" si="348"/>
        <v>#N/A</v>
      </c>
      <c r="IB236" t="e">
        <f t="shared" si="349"/>
        <v>#N/A</v>
      </c>
      <c r="IC236" t="e">
        <f t="shared" si="350"/>
        <v>#N/A</v>
      </c>
      <c r="ID236" s="11" t="e">
        <f t="shared" si="351"/>
        <v>#N/A</v>
      </c>
      <c r="IE236" s="11" t="e">
        <f t="shared" si="352"/>
        <v>#N/A</v>
      </c>
      <c r="IF236" s="11" t="e">
        <f t="shared" si="353"/>
        <v>#N/A</v>
      </c>
    </row>
    <row r="237" spans="35:240" x14ac:dyDescent="0.2">
      <c r="AI237">
        <f>IF(Исходн.данные.!I237&gt;6,1,1.85-(0.148*Исходн.данные.!I237))</f>
        <v>1.85</v>
      </c>
      <c r="AJ237">
        <f>IF(Исходн.данные.!I237&gt;6,1,2.434-(0.246*Исходн.данные.!I237))</f>
        <v>2.4340000000000002</v>
      </c>
      <c r="AL237" s="148" t="b">
        <f>IF(Исходн.данные.!$P237="Ум",N_OrgUd_2g_um,IF(Исходн.данные.!$P237="Об",N_OrgUd_2g_ob))</f>
        <v>0</v>
      </c>
      <c r="AM237" s="148" t="b">
        <f>IF(Исходн.данные.!$P237="Ум",P_OrgUd_2g_um,IF(Исходн.данные.!$P237="Об",P_OrgUd_2g_ob))</f>
        <v>0</v>
      </c>
      <c r="AN237" s="148" t="b">
        <f>IF(Исходн.данные.!$P237="Ум",K_OrgUd_2g_um,IF(Исходн.данные.!$P237="Об",K_OrgUd_2g_ob))</f>
        <v>0</v>
      </c>
      <c r="AO237" s="148" t="b">
        <f>IF(Исходн.данные.!$P237="Ум",N_OrgUd_1g_um,IF(Исходн.данные.!$P237="Об",N_OrgUd_1g_ob))</f>
        <v>0</v>
      </c>
      <c r="AP237" s="148" t="b">
        <f>IF(Исходн.данные.!$P237="Ум",P_OrgUd_1g_um,IF(Исходн.данные.!$P237="Об",P_OrgUd_1g_ob))</f>
        <v>0</v>
      </c>
      <c r="AQ237" s="148" t="b">
        <f>IF(Исходн.данные.!$P237="Ум",K_OrgUd_1g_um,IF(Исходн.данные.!$P237="Об",K_OrgUd_1g_ob))</f>
        <v>0</v>
      </c>
      <c r="AR237" t="b">
        <f>IF(Исходн.данные.!$P237="Ум",N_MinUd_2g_um,IF(Исходн.данные.!$P237="Об",N_MinUd_2g_ob))</f>
        <v>0</v>
      </c>
      <c r="AS237" t="b">
        <f>IF(Исходн.данные.!$P237="Ум",P_MinUd_2g_um,IF(Исходн.данные.!$P237="Об",P_MinUd_2g_ob))</f>
        <v>0</v>
      </c>
      <c r="AT237" t="b">
        <f>IF(Исходн.данные.!$P237="Ум",K_MinUd_2g_um,IF(Исходн.данные.!$P237="Об",K_MinUd_2g_ob))</f>
        <v>0</v>
      </c>
      <c r="AU237" t="b">
        <f>IF(Исходн.данные.!$P237="Ум",N_MinUd_1g_um,IF(Исходн.данные.!$P237="Об",N_MinUd_1g_ob))</f>
        <v>0</v>
      </c>
      <c r="AV237" t="b">
        <f>IF(Исходн.данные.!P237="Ум",P_MinUd_1g_um,IF(Исходн.данные.!P237="Об",P_MinUd_1g_ob))</f>
        <v>0</v>
      </c>
      <c r="AW237" t="b">
        <f>IF(Исходн.данные.!P237="Ум",K_MinUd_1g_um,IF(Исходн.данные.!P237="Об",K_MinUd_1g_ob))</f>
        <v>0</v>
      </c>
      <c r="AY237" t="e">
        <f>VLOOKUP(Исходн.данные.!T237,Справ!$A$3:$N$57,12)</f>
        <v>#N/A</v>
      </c>
      <c r="AZ237" t="e">
        <f>VLOOKUP(Исходн.данные.!T237,Справ!$A$3:$N$57,13)</f>
        <v>#N/A</v>
      </c>
      <c r="BA237" t="e">
        <f>VLOOKUP(Исходн.данные.!T237,Справ!$A$3:$N$57,14)</f>
        <v>#N/A</v>
      </c>
      <c r="BB237">
        <f>IF(Исходн.данные.!AH237=0,0,25)</f>
        <v>0</v>
      </c>
      <c r="BC237" s="141">
        <f>IF(Исходн.данные.!AH237=0,0,IF(Исходн.данные.!T237=0,25,BD237))</f>
        <v>0</v>
      </c>
      <c r="BD237" s="168" t="e">
        <f>AY237+AZ237*Исходн.данные.!U237-POWER(BA237,2)*Исходн.данные.!U237</f>
        <v>#N/A</v>
      </c>
      <c r="BE23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7" s="25">
        <f>IF(Исходн.данные.!AH237=0,0,MIN(HN237:HP237))</f>
        <v>0</v>
      </c>
      <c r="BG237" s="9">
        <f>IF(Исходн.данные.!AH237=0,0,IF((HO237+10*0.25/HG237/HL237)&lt;17,17,HO237+10*0.25/HG237/HL237))</f>
        <v>0</v>
      </c>
      <c r="BH237" s="181">
        <f>IF(Исходн.данные.!AH237=0,0,HW237*HF237*HL237/AU237*AI237+Исходн.данные.!S237*10)</f>
        <v>0</v>
      </c>
      <c r="BI237" s="10"/>
      <c r="BJ237" s="182">
        <f>IF(Исходн.данные.!AH237=0,0,IF(HX237*HG237*HL237/AV237&lt;0,0,HX237*HG237*HL237/AV237*AJ237))</f>
        <v>0</v>
      </c>
      <c r="BK237" s="182">
        <f>IF(Исходн.данные.!AH237=0,0,HY237*HH237*HM237/AW237)</f>
        <v>0</v>
      </c>
      <c r="BL237" s="10">
        <f>IF(OR(Исходн.данные.!$AH237=$BP$1,Исходн.данные.!$AH237=$BP$2),0,IF(BH237&lt;0,0,IF(OR(Исходн.данные.!T237=Расчет!$BP$1,Исходн.данные.!T237=Расчет!$BP$2,Исходн.данные.!T237=Расчет!$BT$5,Исходн.данные.!T237=Расчет!$BT$6),BH237*0.5,IF(OR(Исходн.данные.!T237=Расчет!$BS$9,Исходн.данные.!T237=Расчет!$BS$10,Исходн.данные.!T237=Расчет!$BS$11,Исходн.данные.!T237=Расчет!$BS$12,Исходн.данные.!T237=Расчет!$BP$5),BH237*0.8,BH237))))</f>
        <v>0</v>
      </c>
      <c r="BM237" s="10">
        <f>IF(OR(Исходн.данные.!$AH237=$BP$1,Исходн.данные.!$AH237=$BP$2),0,IF(BJ237&lt;0,0,IF(Исходн.данные.!I237&lt;4.5,BJ237*1.2,IF(Исходн.данные.!I237&gt;5.1,BJ237,BJ237*((5.1-Исходн.данные.!I237)*0.333+1)))))</f>
        <v>0</v>
      </c>
      <c r="BN237" s="10">
        <f>IF(OR(Исходн.данные.!$AH237=$BP$1,Исходн.данные.!$AH237=$BP$2),60-Исходн.данные.!AF237,IF(BK237&lt;0,0,IF(Исходн.данные.!I237&lt;4.5,BK237*1.2,IF(Исходн.данные.!I237&gt;5.1,BK237,BK237*((5.1-Исходн.данные.!I237)*0.333+1)))))</f>
        <v>0</v>
      </c>
      <c r="BO237" s="9">
        <f>IF(BL237&lt;0,0,BL237*Исходн.данные.!$AJ237/1000)</f>
        <v>0</v>
      </c>
      <c r="BP237" s="9">
        <f>IF(BM237&lt;0,0,BM237*Исходн.данные.!$AJ237/1000)</f>
        <v>0</v>
      </c>
      <c r="BQ237" s="9">
        <f>IF(BN237&lt;0,0,BN237*Исходн.данные.!$AJ237/1000)</f>
        <v>0</v>
      </c>
      <c r="BR237" s="9">
        <f t="shared" si="303"/>
        <v>0</v>
      </c>
      <c r="BS237" s="10" t="str">
        <f t="shared" si="304"/>
        <v>Аммофос 12:52:00</v>
      </c>
      <c r="BT237" s="10" t="str">
        <f t="shared" si="305"/>
        <v>Аммофос 12:52:00</v>
      </c>
      <c r="BU237" s="10" t="str">
        <f t="shared" si="306"/>
        <v>Диаммофоска</v>
      </c>
      <c r="BV237" s="10">
        <f t="shared" si="307"/>
        <v>0</v>
      </c>
      <c r="BW237" s="10"/>
      <c r="BX237" s="10"/>
      <c r="BY237" s="9">
        <f>IF(BL237&lt;0,0,IF(OR(Исходн.данные.!AI237=Расчет!$BU$6,Исходн.данные.!AI237=Расчет!$BU$7),Расчет!BV237,IF(Исходн.данные.!$AG237=$BV$11,BL237,IF(OR(Исходн.данные.!$AH237=$BQ$7,Исходн.данные.!$AH237=$BQ$8),CB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0,IF(Исходн.данные.!$AI237=$BU$11,"Нет",IF(BL237&gt;30,30,BL237)))))))</f>
        <v>0</v>
      </c>
      <c r="BZ237" s="9">
        <f>IF(AND(Исходн.данные.!$AG237=$BV$11,BM237&lt;10),10,IF(Исходн.данные.!$AG237=$BV$11,BM237,IF(OR(Исходн.данные.!$AH237=$BQ$7,Исходн.данные.!$AH237=$BQ$8),CC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10,IF(Исходн.данные.!$AI237=$BU$11,"Нет",IF(BM237&gt;60,60,IF(BM237&lt;10,10,BM237)))))))</f>
        <v>10</v>
      </c>
      <c r="CA237" s="39">
        <f>IF(BN237&lt;0,0,IF(Исходн.данные.!$AG237=$BV$11,BN237,IF(OR(Исходн.данные.!$AH237=$BQ$7,Исходн.данные.!$AH237=$BQ$8),CD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0,IF(Исходн.данные.!$AI237=$BU$11,"Нет",IF(BN237&gt;30,30,BN237))))))</f>
        <v>0</v>
      </c>
      <c r="CB237" s="9">
        <f t="shared" si="308"/>
        <v>0</v>
      </c>
      <c r="CC237" s="9">
        <f t="shared" si="309"/>
        <v>0</v>
      </c>
      <c r="CD237" s="9">
        <f t="shared" si="310"/>
        <v>0</v>
      </c>
      <c r="CE237" s="12">
        <f t="shared" si="311"/>
        <v>10</v>
      </c>
      <c r="CF237" s="9">
        <f t="shared" si="312"/>
        <v>0</v>
      </c>
      <c r="CG237" s="9" t="s">
        <v>231</v>
      </c>
      <c r="CH237" s="132" t="str">
        <f>IF(Исходн.данные.!AP237=Расчет!$CI$16,"Нет",IF(Исходн.данные.!AL237&gt;0,Исходн.данные.!AL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BH$4,IF(OR(Исходн.данные.!AI237=Исходн.данные.!$AI$6,Исходн.данные.!AI237=Исходн.данные.!$AI$7),Расчет!BS237,IF(AND($CF237=0,$CE237&gt;0),EV237,ER237)))))</f>
        <v>Аммофос 12:52:00</v>
      </c>
      <c r="CI237" s="274">
        <f>IF(Расчет!$CH237="Нет","Нет",IF(Исходн.данные.!$AL237&gt;0,VLOOKUP(Расчет!$CH237,АшламаДВ_Irekle,2,FALSE),VLOOKUP(Расчет!$CH237,АшламаДВ_Gomumy,2,FALSE)))</f>
        <v>0.12</v>
      </c>
      <c r="CJ237" s="274">
        <f>IF(Расчет!$CH237="Нет","Нет",IF(Исходн.данные.!$AL237&gt;0,VLOOKUP(Расчет!$CH237,АшламаДВ_Irekle,3,FALSE),VLOOKUP(Расчет!$CH237,АшламаДВ_Gomumy,3,FALSE)))</f>
        <v>0.52</v>
      </c>
      <c r="CK237" s="274">
        <f>IF(Расчет!$CH237="Нет","Нет",IF(Исходн.данные.!$AL237&gt;0,VLOOKUP(Расчет!$CH237,АшламаДВ_Irekle,4,FALSE),VLOOKUP(Расчет!$CH237,АшламаДВ_Gomumy,4,FALSE)))</f>
        <v>0</v>
      </c>
      <c r="CL237" s="70"/>
      <c r="CM237" s="70"/>
      <c r="CN237" s="70"/>
      <c r="CO237" s="70"/>
      <c r="CP237" s="70"/>
      <c r="CQ237" s="70"/>
      <c r="CR237" s="10">
        <f t="shared" si="313"/>
        <v>0</v>
      </c>
      <c r="CS237" s="10">
        <f t="shared" si="314"/>
        <v>19.23076923076923</v>
      </c>
      <c r="CT237" s="10">
        <f t="shared" si="315"/>
        <v>0</v>
      </c>
      <c r="CU237" s="39">
        <f>IF($CH237="Нет",0,IF(CI237=0,30/MIN(CJ237:CK237),IF(Исходн.данные.!$AG237=$BV$11,CR237,IF(OR(Исходн.данные.!$AH237=$BQ$7,Исходн.данные.!$AH237=$BQ$8),90/CI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0,IF(Исходн.данные.!$AI237=$BU$11,"Нет",30/CI237))))))</f>
        <v>250</v>
      </c>
      <c r="CV237" s="39">
        <f>IF($CH237="Нет",0,IF(Исходн.данные.!AH237=0,0,IF(CJ237=0,60/MIN(CI237,CK237),IF(Исходн.данные.!$AG237=$BV$11,CS237,IF(OR(Исходн.данные.!$AH237=$BQ$7,Исходн.данные.!$AH237=$BQ$8),90/CJ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10/CJ237,IF(Исходн.данные.!$AI237=$BU$11,"Нет",60/CJ237)))))))</f>
        <v>0</v>
      </c>
      <c r="CW237" s="39">
        <f>IF($CH237="Нет",0,IF(Исходн.данные.!AH237=0,0,IF(CK237=0,30/MIN(CI237:CJ237),IF(Исходн.данные.!$AG237=$BV$11,CT237,IF(OR(Исходн.данные.!$AH237=$BQ$7,Исходн.данные.!$AH237=$BQ$8),90/CK237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0,IF(Исходн.данные.!$AI237=$BU$11,"Нет",30/CK237)))))))</f>
        <v>0</v>
      </c>
      <c r="CX237" s="133">
        <f>IF(Исходн.данные.!$AG237=$BV$11,MAX(CU237:CW237),IF(OR(Исходн.данные.!$AH237=$BS$8,Исходн.данные.!$AH237=$BQ$9,Исходн.данные.!$AH237=$BQ$10,Исходн.данные.!$AH237=$BQ$11,Исходн.данные.!$AH237=$BQ$12,Исходн.данные.!$AH237=$BP$3,Исходн.данные.!$AH237=$BT$8,$FM237="Да"),CV237,MIN(CU237:CW237)))</f>
        <v>0</v>
      </c>
      <c r="CY237" s="133">
        <f>IF(Исходн.данные.!AH237=0,0,IF(CR237&gt;$CX237,$CX237,CR237))</f>
        <v>0</v>
      </c>
      <c r="CZ237" s="133">
        <f>IF(Исходн.данные.!AH237=0,0,IF(CS237&gt;$CX237,$CX237,CS237))</f>
        <v>0</v>
      </c>
      <c r="DA237" s="133">
        <f>IF(Исходн.данные.!AH237=0,0,IF(CT237&gt;$CX237,$CX237,CT237))</f>
        <v>0</v>
      </c>
      <c r="DB237" s="10">
        <f t="shared" si="316"/>
        <v>0</v>
      </c>
      <c r="DC237" s="39">
        <f>DB237*Исходн.данные.!AJ237/1000</f>
        <v>0</v>
      </c>
      <c r="DD237" s="71">
        <f t="shared" si="317"/>
        <v>0</v>
      </c>
      <c r="DE237" s="9">
        <f t="shared" si="318"/>
        <v>0</v>
      </c>
      <c r="DF237" s="9">
        <f t="shared" si="319"/>
        <v>0</v>
      </c>
      <c r="DG237" s="39">
        <f>IF(BL237&lt;0,0,IF($CH237="Нет",BL237,IF(OR(Исходн.данные.!$AH237=$BP$1,Исходн.данные.!$AH237=$BP$2),0,IF(Исходн.данные.!AI237=$BU$11,BL237,IF(BL237-DD237&lt;0,0,BL237-DD237)))))</f>
        <v>0</v>
      </c>
      <c r="DH237" s="39">
        <f>IF(BM237&lt;0,0,IF($CH237="Нет",BM237,IF(OR(Исходн.данные.!$AH237=$BP$1,Исходн.данные.!$AH237=$BP$2),0,IF(Исходн.данные.!AJ237=$BU$11,BM237,IF(BM237-DE237&lt;0,0,BM237-DE237)))))</f>
        <v>0</v>
      </c>
      <c r="DI237" s="39">
        <f>IF(BN237&lt;0,0,IF($CH237="Нет",BN237,IF(OR(Исходн.данные.!$AH237=$BP$1,Исходн.данные.!$AH237=$BP$2),0,IF(Исходн.данные.!AK237=$BU$11,BN237,IF(BN237-DF237&lt;0,0,BN237-DF237)))))</f>
        <v>0</v>
      </c>
      <c r="DJ237" s="12">
        <f t="shared" si="320"/>
        <v>0</v>
      </c>
      <c r="DK237" s="9">
        <f t="shared" si="321"/>
        <v>0</v>
      </c>
      <c r="DL237" s="39">
        <f>IF(Исходн.данные.!AM237&gt;0,Исходн.данные.!AM237,IF(EG237&gt;0,$BH$10,0))</f>
        <v>0</v>
      </c>
      <c r="DM237" s="186">
        <f>IF($DL237=0,0,IF(Исходн.данные.!AM237&gt;0,VLOOKUP($DL237,АшламаДВ_Irekle,2,FALSE),VLOOKUP($DL237,АшламаДВ_Gomumy,2,FALSE)))</f>
        <v>0</v>
      </c>
      <c r="DN237" s="10">
        <f t="shared" si="299"/>
        <v>0</v>
      </c>
      <c r="DO237" s="9" t="str">
        <f>IF(Исходн.данные.!AN237&gt;0,Исходн.данные.!AN237,Удобрения!$B$37 )</f>
        <v>Хлор.калий</v>
      </c>
      <c r="DP237" s="9">
        <f>IF(Исходн.данные.!AN237&gt;0,VLOOKUP(Исходн.данные.!AN237,АшламаДВ_Irekle,4,FALSE),VLOOKUP(DO237,АшламаДВ_Gomumy,4,FALSE))</f>
        <v>0.6</v>
      </c>
      <c r="DQ237" s="10">
        <f t="shared" si="300"/>
        <v>0</v>
      </c>
      <c r="DR237" s="132" t="str">
        <f>IF(Исходн.данные.!AO237&gt;0,Исходн.данные.!AO237,IF(DH237=0,BS$17,IF(AND($DK237=0,$DJ237&gt;0),EJ237,EN237)))</f>
        <v>Нет</v>
      </c>
      <c r="DS237" s="70" t="str">
        <f>IF($DR237="Нет","Нет",IF(Исходн.данные.!$AO237&gt;0,VLOOKUP($DR237,АшламаДВ_Irekle,2,FALSE),VLOOKUP($DR237,АшламаДВ_Gomumy,2,FALSE)))</f>
        <v>Нет</v>
      </c>
      <c r="DT237" s="70" t="str">
        <f>IF($DR237="Нет","Нет",IF(Исходн.данные.!$AO237&gt;0,VLOOKUP($DR237,АшламаДВ_Irekle,3,FALSE),VLOOKUP($DR237,АшламаДВ_Gomumy,3,FALSE)))</f>
        <v>Нет</v>
      </c>
      <c r="DU237" s="70" t="str">
        <f>IF($DR237="Нет","Нет",IF(Исходн.данные.!$AO237&gt;0,VLOOKUP($DR237,АшламаДВ_Irekle,4,FALSE),VLOOKUP($DR237,АшламаДВ_Gomumy,4,FALSE)))</f>
        <v>Нет</v>
      </c>
      <c r="DV237" s="70"/>
      <c r="DW237" s="70"/>
      <c r="DX237" s="70"/>
      <c r="DY237" s="10">
        <f t="shared" si="322"/>
        <v>0</v>
      </c>
      <c r="DZ237" s="10">
        <f t="shared" si="323"/>
        <v>0</v>
      </c>
      <c r="EA237" s="10">
        <f t="shared" si="324"/>
        <v>0</v>
      </c>
      <c r="EB237" s="10">
        <f t="shared" si="325"/>
        <v>0</v>
      </c>
      <c r="EC237" s="10">
        <f t="shared" si="326"/>
        <v>0</v>
      </c>
      <c r="ED237" s="10">
        <f t="shared" si="327"/>
        <v>0</v>
      </c>
      <c r="EE237" s="10">
        <f t="shared" si="328"/>
        <v>0</v>
      </c>
      <c r="EF237" s="39">
        <f>EB237*Исходн.данные.!AJ237/1000</f>
        <v>0</v>
      </c>
      <c r="EG237" s="9">
        <f t="shared" si="329"/>
        <v>0</v>
      </c>
      <c r="EH237" s="9">
        <f t="shared" si="330"/>
        <v>0</v>
      </c>
      <c r="EI237" s="39" t="e">
        <f t="shared" si="280"/>
        <v>#DIV/0!</v>
      </c>
      <c r="EJ237" s="9" t="str">
        <f t="shared" si="301"/>
        <v>Азопреципитат</v>
      </c>
      <c r="EK237" s="12">
        <f t="shared" si="281"/>
        <v>0.26</v>
      </c>
      <c r="EL237" s="12">
        <f t="shared" si="282"/>
        <v>0.13</v>
      </c>
      <c r="EM237" s="12">
        <f t="shared" si="283"/>
        <v>0</v>
      </c>
      <c r="EN237" s="12" t="str">
        <f t="shared" si="302"/>
        <v>Нет</v>
      </c>
      <c r="EO237" s="12">
        <f t="shared" si="284"/>
        <v>0</v>
      </c>
      <c r="EP237" s="12">
        <f t="shared" si="285"/>
        <v>0</v>
      </c>
      <c r="EQ237" s="12">
        <f t="shared" si="286"/>
        <v>0</v>
      </c>
      <c r="ER237" s="12" t="str">
        <f t="shared" si="331"/>
        <v>Диаммофоска</v>
      </c>
      <c r="ES237" s="12">
        <f t="shared" si="287"/>
        <v>0.1</v>
      </c>
      <c r="ET237" s="12">
        <f t="shared" si="288"/>
        <v>0.26</v>
      </c>
      <c r="EU237" s="12">
        <f t="shared" si="289"/>
        <v>0.26</v>
      </c>
      <c r="EV237" s="12" t="str">
        <f t="shared" si="332"/>
        <v>Аммофос 12:52:00</v>
      </c>
      <c r="EW237" s="12" t="str">
        <f t="shared" si="333"/>
        <v>Кемира Свекловичное-6</v>
      </c>
      <c r="EX237" s="12">
        <f t="shared" si="290"/>
        <v>0.16</v>
      </c>
      <c r="EY237" s="12">
        <f t="shared" si="291"/>
        <v>0.12</v>
      </c>
      <c r="EZ237" s="12">
        <f t="shared" si="292"/>
        <v>0.17</v>
      </c>
      <c r="FA237" s="38" t="e">
        <f>IF(AND(OR(FJ237=$FD$1,FM237=$FD$1,FO237=$FD$1,FQ237=$FD$1,FS237=$FD$1),FD237=$FD$1,Исходн.данные.!J237&lt;2,FU237=$FD$1),"Бор,Кобальт",IF(AND(FO237=$FD$1,FH237=$FD$1,Исходн.данные.!J237&lt;2,FU237=$FD$1),"Бор,Кобальт",IF(AND(OR(FJ237=$FD$1,FM237=$FD$1,FQ237=$FD$1),FE237=$FD$1,Исходн.данные.!J237&lt;2,FT237=$FD$1,FU237=$FD$1),"Бор,Медь,Цинк",IF(AND(OR(FJ237=$FD$1,FR237="Да"),FI237="Да",Исходн.данные.!J237&lt;2,FT237="Да",FU237="Да"),"Бор,Цинк,Медь",IF(AND(OR(FM237="Да",FQ237="Да"),FI237="Да",Исходн.данные.!J237&lt;2,FT237="Да",FU237="Да"),"Бор,Цинк",IF(AND(FN237="Да",OR(FD237="Да",FE237="Да")),"Бор",FB237))))))</f>
        <v>#N/A</v>
      </c>
      <c r="FB237" s="134" t="e">
        <f>IF(AND(OR(FD237="Да",FE237="Да",FF237="Да",FG237="Да",FH237="Да"),FO237="Да"),"Бор",IF(AND(FP237="Да",OR(FD237="Да",FE237="Да",FI237="Да")),"Бор",IF(AND(FS237="Да",FE237="Да"),"Бор,Медь",IF(AND(OR(FJ237="Да",FK237="Да",FL237="Да"),FE237="Да",Исходн.данные.!I237&lt;5,FT237="Да",FU237="Да"),"Молибден,Цинк",IF(AND(FM237="Да",OR(FE237="Да",FF237="Да",FG237="Да",FH237="Да",FI237="Да")),"Молибден,Цинк",IF(AND(OR(FJ237="Да",FK237="Да",FL237="Да",FM237="Да",FQ237="Да"),OR(FE237="Да",FF237="Да"),FT237="Да",FU237="Да",Исходн.данные.!I237&gt;5.5),"Медь,Цинк",FC237))))))</f>
        <v>#N/A</v>
      </c>
      <c r="FC237" s="23" t="e">
        <f t="shared" si="334"/>
        <v>#N/A</v>
      </c>
      <c r="FD237" s="38" t="str">
        <f>IF(OR(Исходн.данные.!F237=$CC$1,Исходн.данные.!F237=$CC$2,Исходн.данные.!F237=$CC$3,Исходн.данные.!F237=$CC$4),"Да","Нет")</f>
        <v>Нет</v>
      </c>
      <c r="FE237" s="38" t="str">
        <f>IF(Исходн.данные.!F237=$CC$5,"Да","Нет")</f>
        <v>Нет</v>
      </c>
      <c r="FF237" s="38" t="str">
        <f>IF(OR(Исходн.данные.!F237=$CC$6,Исходн.данные.!F237=$CC$7),"Да","Нет")</f>
        <v>Нет</v>
      </c>
      <c r="FG237" s="38" t="str">
        <f>IF(OR(Исходн.данные.!F237=$CC$8,Исходн.данные.!F237=$CC$9),"Да","Нет")</f>
        <v>Нет</v>
      </c>
      <c r="FH237" s="38" t="str">
        <f>IF(Исходн.данные.!F237=$CC$10,"Да","Нет")</f>
        <v>Нет</v>
      </c>
      <c r="FI237" s="38" t="str">
        <f>IF(OR(Исходн.данные.!F237=$CC$11,Исходн.данные.!F237=$CC$12),"Да","Нет")</f>
        <v>Нет</v>
      </c>
      <c r="FJ237" s="38" t="str">
        <f>IF(OR(Исходн.данные.!AH237=$BS$1,Исходн.данные.!AH237=$BQ$11,Исходн.данные.!AH237=$BQ$12),"Да","Нет")</f>
        <v>Нет</v>
      </c>
      <c r="FK237" s="38" t="str">
        <f>IF(OR(Исходн.данные.!AH237=$BS$2,Исходн.данные.!AH237=$BS$4),"Да","Нет")</f>
        <v>Нет</v>
      </c>
      <c r="FL237" s="38" t="str">
        <f>IF(OR(Исходн.данные.!AH237=$BS$3,Исходн.данные.!AH237=$BS$5),"Да","Нет")</f>
        <v>Нет</v>
      </c>
      <c r="FM237" s="38" t="str">
        <f>IF(OR(Исходн.данные.!AH237=$BS$9,Исходн.данные.!AH237=$BS$10,Исходн.данные.!AH237=$BS$11,Исходн.данные.!AH237=$BS$12),"Да","Нет")</f>
        <v>Нет</v>
      </c>
      <c r="FN237" s="38" t="str">
        <f>IF(OR(Исходн.данные.!AH237=$BS$6,Исходн.данные.!AH237=$BP$3),"Да","Нет")</f>
        <v>Нет</v>
      </c>
      <c r="FO237" s="38" t="str">
        <f>IF(Исходн.данные.!AH237=$BQ$9,"Да","Нет")</f>
        <v>Нет</v>
      </c>
      <c r="FP237" s="38" t="str">
        <f>IF(OR(Исходн.данные.!AH237=$BS$8,Исходн.данные.!AH237=$BT$8),"Да","Нет")</f>
        <v>Нет</v>
      </c>
      <c r="FQ237" s="38" t="str">
        <f>IF(OR(Исходн.данные.!AH237=$BQ$7,Исходн.данные.!AH237=$BQ$8),"Да","Нет")</f>
        <v>Нет</v>
      </c>
      <c r="FR237" s="38" t="str">
        <f>IF(Исходн.данные.!AI237=$BU$9,"Да","Нет")</f>
        <v>Нет</v>
      </c>
      <c r="FS237" s="38" t="str">
        <f>IF(OR(Исходн.данные.!AH237=$BP$1,Исходн.данные.!AH237=$BP$2),"Да","Нет")</f>
        <v>Нет</v>
      </c>
      <c r="FT237" s="38" t="e">
        <f>IF((Исходн.данные.!K237*GO237*GS237*GW237+BL237*0.6+Исходн.данные.!Q237*4.5*0.275)&gt;90,"Да","Нет")</f>
        <v>#N/A</v>
      </c>
      <c r="FU237" s="38" t="e">
        <f>IF((Исходн.данные.!M237*GS237*GZ237+BM237*0.225)&gt;35,"Да","Нет")</f>
        <v>#N/A</v>
      </c>
      <c r="FV237" s="38" t="str">
        <f>IF(Исходн.данные.!O237&gt;175,"Да","Нет")</f>
        <v>Нет</v>
      </c>
      <c r="FW237" s="39" t="str">
        <f>IF(Исходн.данные.!I237&gt;5.5,"Да","Нет")</f>
        <v>Нет</v>
      </c>
      <c r="FX237" s="39" t="str">
        <f>IF(Исходн.данные.!J237&lt;2,"Да","Нет")</f>
        <v>Да</v>
      </c>
      <c r="FY237" s="39" t="e">
        <f>IF(HF237=$FY$16,0,Исходн.данные.!K237*GO237*GS237*GW237/HF237)</f>
        <v>#N/A</v>
      </c>
      <c r="FZ237" s="39" t="e">
        <f>Исходн.данные.!M237*GS237*GZ237/HG237</f>
        <v>#N/A</v>
      </c>
      <c r="GA237" s="39" t="e">
        <f>IF(K_Wyn=$FY$16,0,IF(Исходн.данные.!N237=Исходн.данные.!$L$10,Исходн.данные.!O237/1.1*GS237*HC237/HH237,IF(Исходн.данные.!N237=Исходн.данные.!$L$12,Исходн.данные.!O237/1.5*GS237*HC237/HH237,Исходн.данные.!O237*GS237*HC237/HH237)))</f>
        <v>#N/A</v>
      </c>
      <c r="GB237" s="39" t="e">
        <f>IF(HF237=$FY$16,0,((Исходн.данные.!Q237*N_Org+Исходн.данные.!R237*N_Sider+Исходн.данные.!S237*N_Soloma)*AO237+Расчет!BC237*VLOOKUP(Исходн.данные.!T237,Справ!$A$3:$O$57,15)*AO237+BB237*VLOOKUP(Исходн.данные.!T237,Справ!$A$3:$O$57,15)*AL237+(Исходн.данные.!V237*N_Rizotorf+Исходн.данные.!W237*N_Rizoagr))/HF237)</f>
        <v>#N/A</v>
      </c>
      <c r="GC237" s="39" t="e">
        <f>IF(HG237=$FY$16,0,((Исходн.данные.!Q237*Р_Org+Исходн.данные.!R237*P_Sider+Исходн.данные.!S237*P_Soloma)*AP237+Расчет!BC237*VLOOKUP(Исходн.данные.!T237,Справ!$A$3:$P$57,16)*AP237+BB237*VLOOKUP(Исходн.данные.!T237,Справ!$A$3:$P$57,16)*AM237)/HG237)</f>
        <v>#N/A</v>
      </c>
      <c r="GD237" s="39" t="e">
        <f>IF(HH237=$FY$16,0,((Исходн.данные.!Q237*К_Org+Исходн.данные.!R237*K_Sider+Исходн.данные.!S237*K_Soloma)*AQ237+Расчет!BC237*VLOOKUP(Исходн.данные.!T237,Справ!$A$3:$Q$57,17)*AQ237+BB237*VLOOKUP(Исходн.данные.!T237,Справ!$A$3:$Q$57,17)*AN237)/HH237)</f>
        <v>#N/A</v>
      </c>
      <c r="GE237" s="39" t="e">
        <f>IF(HF237=$FY$16,0,(Исходн.данные.!X237*AR237+Исходн.данные.!AA237*N_Org*AL237+Исходн.данные.!AB237*N_Sider*AL237+Исходн.данные.!AC237*N_Soloma*AL237)/HF237)</f>
        <v>#N/A</v>
      </c>
      <c r="GF237" s="39" t="e">
        <f>IF(HG237=$FY$16,0,(Исходн.данные.!Y237*AS237+Исходн.данные.!AA237*Р_Org*AM237+Исходн.данные.!AB237*P_Sider*AM237+Исходн.данные.!AC237*P_Soloma*AM237)/HG237)</f>
        <v>#N/A</v>
      </c>
      <c r="GG237" s="39" t="e">
        <f>IF(HH237=$FY$16,0,(Исходн.данные.!Z237*AT237+Исходн.данные.!AA237*К_Org*AN237+Исходн.данные.!AB237*K_Sider*AN237+Исходн.данные.!AC237*K_Soloma*AN237)/HH237)</f>
        <v>#N/A</v>
      </c>
      <c r="GH237" s="39" t="e">
        <f>Исходн.данные.!AD237*AU237/HF237</f>
        <v>#N/A</v>
      </c>
      <c r="GI237" s="39" t="e">
        <f>Исходн.данные.!AE237*AV237/HG237</f>
        <v>#N/A</v>
      </c>
      <c r="GJ237" s="39" t="e">
        <f>Исходн.данные.!AF237*AW237/HH237</f>
        <v>#N/A</v>
      </c>
      <c r="GK237" s="55">
        <f>Исходн.данные.!AK237</f>
        <v>0</v>
      </c>
      <c r="GL237" s="11" t="e">
        <f t="shared" si="335"/>
        <v>#N/A</v>
      </c>
      <c r="GM237" s="11" t="e">
        <f t="shared" si="336"/>
        <v>#N/A</v>
      </c>
      <c r="GN237" s="11" t="e">
        <f t="shared" si="337"/>
        <v>#N/A</v>
      </c>
      <c r="GO237" s="57">
        <f t="shared" si="338"/>
        <v>19</v>
      </c>
      <c r="GP237" s="55">
        <f>IF(OR(Исходн.данные.!F237=$CE$1,Исходн.данные.!F237=$CE$2,Исходн.данные.!F237=$CE$3,Исходн.данные.!F237=$CE$4,Исходн.данные.!F237=$CE$5),GQ237,GR237)</f>
        <v>19</v>
      </c>
      <c r="GQ237" s="55">
        <f>IF(Исходн.данные.!F237=$CE$1,28,IF(Исходн.данные.!F237=$CE$2,26,IF(Исходн.данные.!F237=$CE$3,24,IF(Исходн.данные.!F237=$CE$4,22,IF(Исходн.данные.!F237=$CE$5,20,GR237)))))</f>
        <v>19</v>
      </c>
      <c r="GR237" s="55">
        <f>IF(Исходн.данные.!F237=$CE$6,18,IF(Исходн.данные.!F237=$CE$7,16,IF(Исходн.данные.!F237=$CE$8,14,IF(Исходн.данные.!F237=$CE$9,13,IF(Исходн.данные.!F237=$CE$10,12,19)))))</f>
        <v>19</v>
      </c>
      <c r="GS237" s="55">
        <f>IF(Исходн.данные.!G237="Пес",0.035*(40+2*Исходн.данные.!H237),IF(Исходн.данные.!G237="Суп",0.0325*(40+2*Исходн.данные.!H237),0.03*(40+2*Исходн.данные.!H237)))</f>
        <v>1.2</v>
      </c>
      <c r="GT237" s="55">
        <f>IF(Исходн.данные.!H237&lt;23,2.6,IF(AND(Исходн.данные.!H237&gt;22,Исходн.данные.!H237&lt;26),3,IF(AND(Исходн.данные.!H237&gt;25,Исходн.данные.!H237&lt;29),3.4,3.6)))</f>
        <v>2.6</v>
      </c>
      <c r="GU237" s="55">
        <f>IF(Исходн.данные.!H237&lt;23,2.8,IF(AND(Исходн.данные.!H237&gt;22,Исходн.данные.!H237&lt;26),3.2,IF(AND(Исходн.данные.!H237&gt;25,Исходн.данные.!H237&lt;29),3.6,3.9)))</f>
        <v>2.8</v>
      </c>
      <c r="GV237" s="55">
        <f>IF(Исходн.данные.!H237&lt;23,3,IF(AND(Исходн.данные.!H237&gt;22,Исходн.данные.!H237&lt;26),3.5,IF(AND(Исходн.данные.!H237&gt;25,Исходн.данные.!H237&lt;29),3.9,4.2)))</f>
        <v>3</v>
      </c>
      <c r="GW237" s="55" t="e">
        <f>IF(Исходн.данные.!P237="Ум",GX237,GY237)</f>
        <v>#N/A</v>
      </c>
      <c r="GX237" s="55" t="e">
        <f>VLOOKUP(Исходн.данные.!AI237,Коэффициенты!$J$7:$L$13,2,FALSE)</f>
        <v>#N/A</v>
      </c>
      <c r="GY237" s="55" t="e">
        <f>VLOOKUP(Исходн.данные.!AI237,Коэффициенты!$J$7:$L$13,3,FALSE)</f>
        <v>#N/A</v>
      </c>
      <c r="GZ237" s="55" t="e">
        <f>(IF(Исходн.данные.!M237&lt;50,0.11*VLOOKUP(Исходн.данные.!AH237,Культуры.Информация,7,FALSE),IF(Исходн.данные.!M237&gt;250,0.05*VLOOKUP(Исходн.данные.!AH237,Культуры.Информация,7,FALSE),VLOOKUP(Исходн.данные.!AH237,Культуры.Информация,5,FALSE)/100*($GX$6+$GY$6*Исходн.данные.!M237))))*Расчет2!AI237</f>
        <v>#N/A</v>
      </c>
      <c r="HA237" s="211"/>
      <c r="HB237" s="211"/>
      <c r="HC237" s="55" t="e">
        <f>(IF(Исходн.данные.!O237&lt;80,0.2*VLOOKUP(Исходн.данные.!AH237,Культуры.Информация,8,FALSE),IF(Исходн.данные.!O237&gt;240,0.09*VLOOKUP(Исходн.данные.!AH237,Культуры.Информация,8,FALSE),VLOOKUP(Исходн.данные.!AH237,Культуры.Информация,6,FALSE)/100*($HB$6+$HC$6*Исходн.данные.!O237))))*Расчет2!AJ237</f>
        <v>#N/A</v>
      </c>
      <c r="HD237" s="55">
        <f>IF(Исходн.данные.!O237&gt;240,0.09,IF(Исходн.данные.!O237&lt;30,0.3,$HE$10+$HD$10*Исходн.данные.!O237))</f>
        <v>0.3</v>
      </c>
      <c r="HE237" s="55">
        <f>IF(Исходн.данные.!O237&gt;240,0.17,IF(Исходн.данные.!O237&lt;30,0.5,$HF$12+$HE$12*Исходн.данные.!O237))</f>
        <v>0.5</v>
      </c>
      <c r="HF237" s="55" t="e">
        <f>VLOOKUP(Исходн.данные.!AH237,Справ!$A$3:$D$58,2,FALSE)</f>
        <v>#N/A</v>
      </c>
      <c r="HG237" s="55" t="e">
        <f>VLOOKUP(Исходн.данные.!AH237,Справ!$A$3:$D$58,3,FALSE)</f>
        <v>#N/A</v>
      </c>
      <c r="HH237" s="55" t="e">
        <f>VLOOKUP(Исходн.данные.!AH237,Справ!$A$3:$D$58,4,FALSE)</f>
        <v>#N/A</v>
      </c>
      <c r="HI237" s="11" t="e">
        <f t="shared" si="339"/>
        <v>#N/A</v>
      </c>
      <c r="HJ237" s="11" t="e">
        <f t="shared" si="340"/>
        <v>#N/A</v>
      </c>
      <c r="HK237" s="11" t="e">
        <f t="shared" si="341"/>
        <v>#N/A</v>
      </c>
      <c r="HL237" s="55">
        <f>IF(OR(Исходн.данные.!G237="Глин",Исходн.данные.!G237="Т_суг"),1.1,IF(Исходн.данные.!G237="Ср_суг",1,1))</f>
        <v>1</v>
      </c>
      <c r="HM237" s="55">
        <f>IF(OR(Исходн.данные.!G237="Глин",Исходн.данные.!G237="Т_суг"),0.9,IF(Исходн.данные.!G237="Ср_суг",1,1.2))</f>
        <v>1.2</v>
      </c>
      <c r="HN237" s="11" t="e">
        <f t="shared" si="342"/>
        <v>#N/A</v>
      </c>
      <c r="HO237" s="11" t="e">
        <f t="shared" si="343"/>
        <v>#N/A</v>
      </c>
      <c r="HP237" s="11" t="e">
        <f t="shared" si="344"/>
        <v>#N/A</v>
      </c>
      <c r="HQ237" t="e">
        <f t="shared" si="345"/>
        <v>#N/A</v>
      </c>
      <c r="HR237" t="e">
        <f t="shared" si="346"/>
        <v>#N/A</v>
      </c>
      <c r="HS237" t="e">
        <f t="shared" si="347"/>
        <v>#N/A</v>
      </c>
      <c r="HT237" t="e">
        <f t="shared" si="293"/>
        <v>#N/A</v>
      </c>
      <c r="HU237" t="e">
        <f t="shared" si="294"/>
        <v>#N/A</v>
      </c>
      <c r="HV237" t="e">
        <f t="shared" si="295"/>
        <v>#N/A</v>
      </c>
      <c r="HW237" t="e">
        <f t="shared" si="296"/>
        <v>#N/A</v>
      </c>
      <c r="HX237" t="e">
        <f t="shared" si="297"/>
        <v>#N/A</v>
      </c>
      <c r="HY237" t="e">
        <f t="shared" si="298"/>
        <v>#N/A</v>
      </c>
      <c r="HZ237" s="55">
        <f>IF(OR(Исходн.данные.!AI237="Оз_Ч_П",Исходн.данные.!AI237="Оз_З_П",Исходн.данные.!AI237="Яр_зер"),12,30)</f>
        <v>30</v>
      </c>
      <c r="IA237" t="e">
        <f t="shared" si="348"/>
        <v>#N/A</v>
      </c>
      <c r="IB237" t="e">
        <f t="shared" si="349"/>
        <v>#N/A</v>
      </c>
      <c r="IC237" t="e">
        <f t="shared" si="350"/>
        <v>#N/A</v>
      </c>
      <c r="ID237" s="11" t="e">
        <f t="shared" si="351"/>
        <v>#N/A</v>
      </c>
      <c r="IE237" s="11" t="e">
        <f t="shared" si="352"/>
        <v>#N/A</v>
      </c>
      <c r="IF237" s="11" t="e">
        <f t="shared" si="353"/>
        <v>#N/A</v>
      </c>
    </row>
    <row r="238" spans="35:240" x14ac:dyDescent="0.2">
      <c r="AI238">
        <f>IF(Исходн.данные.!I238&gt;6,1,1.85-(0.148*Исходн.данные.!I238))</f>
        <v>1.85</v>
      </c>
      <c r="AJ238">
        <f>IF(Исходн.данные.!I238&gt;6,1,2.434-(0.246*Исходн.данные.!I238))</f>
        <v>2.4340000000000002</v>
      </c>
      <c r="AL238" s="148" t="b">
        <f>IF(Исходн.данные.!$P238="Ум",N_OrgUd_2g_um,IF(Исходн.данные.!$P238="Об",N_OrgUd_2g_ob))</f>
        <v>0</v>
      </c>
      <c r="AM238" s="148" t="b">
        <f>IF(Исходн.данные.!$P238="Ум",P_OrgUd_2g_um,IF(Исходн.данные.!$P238="Об",P_OrgUd_2g_ob))</f>
        <v>0</v>
      </c>
      <c r="AN238" s="148" t="b">
        <f>IF(Исходн.данные.!$P238="Ум",K_OrgUd_2g_um,IF(Исходн.данные.!$P238="Об",K_OrgUd_2g_ob))</f>
        <v>0</v>
      </c>
      <c r="AO238" s="148" t="b">
        <f>IF(Исходн.данные.!$P238="Ум",N_OrgUd_1g_um,IF(Исходн.данные.!$P238="Об",N_OrgUd_1g_ob))</f>
        <v>0</v>
      </c>
      <c r="AP238" s="148" t="b">
        <f>IF(Исходн.данные.!$P238="Ум",P_OrgUd_1g_um,IF(Исходн.данные.!$P238="Об",P_OrgUd_1g_ob))</f>
        <v>0</v>
      </c>
      <c r="AQ238" s="148" t="b">
        <f>IF(Исходн.данные.!$P238="Ум",K_OrgUd_1g_um,IF(Исходн.данные.!$P238="Об",K_OrgUd_1g_ob))</f>
        <v>0</v>
      </c>
      <c r="AR238" t="b">
        <f>IF(Исходн.данные.!$P238="Ум",N_MinUd_2g_um,IF(Исходн.данные.!$P238="Об",N_MinUd_2g_ob))</f>
        <v>0</v>
      </c>
      <c r="AS238" t="b">
        <f>IF(Исходн.данные.!$P238="Ум",P_MinUd_2g_um,IF(Исходн.данные.!$P238="Об",P_MinUd_2g_ob))</f>
        <v>0</v>
      </c>
      <c r="AT238" t="b">
        <f>IF(Исходн.данные.!$P238="Ум",K_MinUd_2g_um,IF(Исходн.данные.!$P238="Об",K_MinUd_2g_ob))</f>
        <v>0</v>
      </c>
      <c r="AU238" t="b">
        <f>IF(Исходн.данные.!$P238="Ум",N_MinUd_1g_um,IF(Исходн.данные.!$P238="Об",N_MinUd_1g_ob))</f>
        <v>0</v>
      </c>
      <c r="AV238" t="b">
        <f>IF(Исходн.данные.!P238="Ум",P_MinUd_1g_um,IF(Исходн.данные.!P238="Об",P_MinUd_1g_ob))</f>
        <v>0</v>
      </c>
      <c r="AW238" t="b">
        <f>IF(Исходн.данные.!P238="Ум",K_MinUd_1g_um,IF(Исходн.данные.!P238="Об",K_MinUd_1g_ob))</f>
        <v>0</v>
      </c>
      <c r="AY238" t="e">
        <f>VLOOKUP(Исходн.данные.!T238,Справ!$A$3:$N$57,12)</f>
        <v>#N/A</v>
      </c>
      <c r="AZ238" t="e">
        <f>VLOOKUP(Исходн.данные.!T238,Справ!$A$3:$N$57,13)</f>
        <v>#N/A</v>
      </c>
      <c r="BA238" t="e">
        <f>VLOOKUP(Исходн.данные.!T238,Справ!$A$3:$N$57,14)</f>
        <v>#N/A</v>
      </c>
      <c r="BB238">
        <f>IF(Исходн.данные.!AH238=0,0,25)</f>
        <v>0</v>
      </c>
      <c r="BC238" s="141">
        <f>IF(Исходн.данные.!AH238=0,0,IF(Исходн.данные.!T238=0,25,BD238))</f>
        <v>0</v>
      </c>
      <c r="BD238" s="168" t="e">
        <f>AY238+AZ238*Исходн.данные.!U238-POWER(BA238,2)*Исходн.данные.!U238</f>
        <v>#N/A</v>
      </c>
      <c r="BE23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8" s="25">
        <f>IF(Исходн.данные.!AH238=0,0,MIN(HN238:HP238))</f>
        <v>0</v>
      </c>
      <c r="BG238" s="9">
        <f>IF(Исходн.данные.!AH238=0,0,IF((HO238+10*0.25/HG238/HL238)&lt;17,17,HO238+10*0.25/HG238/HL238))</f>
        <v>0</v>
      </c>
      <c r="BH238" s="181">
        <f>IF(Исходн.данные.!AH238=0,0,HW238*HF238*HL238/AU238*AI238+Исходн.данные.!S238*10)</f>
        <v>0</v>
      </c>
      <c r="BI238" s="10"/>
      <c r="BJ238" s="182">
        <f>IF(Исходн.данные.!AH238=0,0,IF(HX238*HG238*HL238/AV238&lt;0,0,HX238*HG238*HL238/AV238*AJ238))</f>
        <v>0</v>
      </c>
      <c r="BK238" s="182">
        <f>IF(Исходн.данные.!AH238=0,0,HY238*HH238*HM238/AW238)</f>
        <v>0</v>
      </c>
      <c r="BL238" s="10">
        <f>IF(OR(Исходн.данные.!$AH238=$BP$1,Исходн.данные.!$AH238=$BP$2),0,IF(BH238&lt;0,0,IF(OR(Исходн.данные.!T238=Расчет!$BP$1,Исходн.данные.!T238=Расчет!$BP$2,Исходн.данные.!T238=Расчет!$BT$5,Исходн.данные.!T238=Расчет!$BT$6),BH238*0.5,IF(OR(Исходн.данные.!T238=Расчет!$BS$9,Исходн.данные.!T238=Расчет!$BS$10,Исходн.данные.!T238=Расчет!$BS$11,Исходн.данные.!T238=Расчет!$BS$12,Исходн.данные.!T238=Расчет!$BP$5),BH238*0.8,BH238))))</f>
        <v>0</v>
      </c>
      <c r="BM238" s="10">
        <f>IF(OR(Исходн.данные.!$AH238=$BP$1,Исходн.данные.!$AH238=$BP$2),0,IF(BJ238&lt;0,0,IF(Исходн.данные.!I238&lt;4.5,BJ238*1.2,IF(Исходн.данные.!I238&gt;5.1,BJ238,BJ238*((5.1-Исходн.данные.!I238)*0.333+1)))))</f>
        <v>0</v>
      </c>
      <c r="BN238" s="10">
        <f>IF(OR(Исходн.данные.!$AH238=$BP$1,Исходн.данные.!$AH238=$BP$2),60-Исходн.данные.!AF238,IF(BK238&lt;0,0,IF(Исходн.данные.!I238&lt;4.5,BK238*1.2,IF(Исходн.данные.!I238&gt;5.1,BK238,BK238*((5.1-Исходн.данные.!I238)*0.333+1)))))</f>
        <v>0</v>
      </c>
      <c r="BO238" s="9">
        <f>IF(BL238&lt;0,0,BL238*Исходн.данные.!$AJ238/1000)</f>
        <v>0</v>
      </c>
      <c r="BP238" s="9">
        <f>IF(BM238&lt;0,0,BM238*Исходн.данные.!$AJ238/1000)</f>
        <v>0</v>
      </c>
      <c r="BQ238" s="9">
        <f>IF(BN238&lt;0,0,BN238*Исходн.данные.!$AJ238/1000)</f>
        <v>0</v>
      </c>
      <c r="BR238" s="9">
        <f t="shared" si="303"/>
        <v>0</v>
      </c>
      <c r="BS238" s="10" t="str">
        <f t="shared" si="304"/>
        <v>Аммофос 12:52:00</v>
      </c>
      <c r="BT238" s="10" t="str">
        <f t="shared" si="305"/>
        <v>Аммофос 12:52:00</v>
      </c>
      <c r="BU238" s="10" t="str">
        <f t="shared" si="306"/>
        <v>Диаммофоска</v>
      </c>
      <c r="BV238" s="10">
        <f t="shared" si="307"/>
        <v>0</v>
      </c>
      <c r="BW238" s="10"/>
      <c r="BX238" s="10"/>
      <c r="BY238" s="9">
        <f>IF(BL238&lt;0,0,IF(OR(Исходн.данные.!AI238=Расчет!$BU$6,Исходн.данные.!AI238=Расчет!$BU$7),Расчет!BV238,IF(Исходн.данные.!$AG238=$BV$11,BL238,IF(OR(Исходн.данные.!$AH238=$BQ$7,Исходн.данные.!$AH238=$BQ$8),CB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0,IF(Исходн.данные.!$AI238=$BU$11,"Нет",IF(BL238&gt;30,30,BL238)))))))</f>
        <v>0</v>
      </c>
      <c r="BZ238" s="9">
        <f>IF(AND(Исходн.данные.!$AG238=$BV$11,BM238&lt;10),10,IF(Исходн.данные.!$AG238=$BV$11,BM238,IF(OR(Исходн.данные.!$AH238=$BQ$7,Исходн.данные.!$AH238=$BQ$8),CC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10,IF(Исходн.данные.!$AI238=$BU$11,"Нет",IF(BM238&gt;60,60,IF(BM238&lt;10,10,BM238)))))))</f>
        <v>10</v>
      </c>
      <c r="CA238" s="39">
        <f>IF(BN238&lt;0,0,IF(Исходн.данные.!$AG238=$BV$11,BN238,IF(OR(Исходн.данные.!$AH238=$BQ$7,Исходн.данные.!$AH238=$BQ$8),CD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0,IF(Исходн.данные.!$AI238=$BU$11,"Нет",IF(BN238&gt;30,30,BN238))))))</f>
        <v>0</v>
      </c>
      <c r="CB238" s="9">
        <f t="shared" si="308"/>
        <v>0</v>
      </c>
      <c r="CC238" s="9">
        <f t="shared" si="309"/>
        <v>0</v>
      </c>
      <c r="CD238" s="9">
        <f t="shared" si="310"/>
        <v>0</v>
      </c>
      <c r="CE238" s="12">
        <f t="shared" si="311"/>
        <v>10</v>
      </c>
      <c r="CF238" s="9">
        <f t="shared" si="312"/>
        <v>0</v>
      </c>
      <c r="CG238" s="9" t="s">
        <v>231</v>
      </c>
      <c r="CH238" s="132" t="str">
        <f>IF(Исходн.данные.!AP238=Расчет!$CI$16,"Нет",IF(Исходн.данные.!AL238&gt;0,Исходн.данные.!AL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BH$4,IF(OR(Исходн.данные.!AI238=Исходн.данные.!$AI$6,Исходн.данные.!AI238=Исходн.данные.!$AI$7),Расчет!BS238,IF(AND($CF238=0,$CE238&gt;0),EV238,ER238)))))</f>
        <v>Аммофос 12:52:00</v>
      </c>
      <c r="CI238" s="274">
        <f>IF(Расчет!$CH238="Нет","Нет",IF(Исходн.данные.!$AL238&gt;0,VLOOKUP(Расчет!$CH238,АшламаДВ_Irekle,2,FALSE),VLOOKUP(Расчет!$CH238,АшламаДВ_Gomumy,2,FALSE)))</f>
        <v>0.12</v>
      </c>
      <c r="CJ238" s="274">
        <f>IF(Расчет!$CH238="Нет","Нет",IF(Исходн.данные.!$AL238&gt;0,VLOOKUP(Расчет!$CH238,АшламаДВ_Irekle,3,FALSE),VLOOKUP(Расчет!$CH238,АшламаДВ_Gomumy,3,FALSE)))</f>
        <v>0.52</v>
      </c>
      <c r="CK238" s="274">
        <f>IF(Расчет!$CH238="Нет","Нет",IF(Исходн.данные.!$AL238&gt;0,VLOOKUP(Расчет!$CH238,АшламаДВ_Irekle,4,FALSE),VLOOKUP(Расчет!$CH238,АшламаДВ_Gomumy,4,FALSE)))</f>
        <v>0</v>
      </c>
      <c r="CL238" s="70"/>
      <c r="CM238" s="70"/>
      <c r="CN238" s="70"/>
      <c r="CO238" s="70"/>
      <c r="CP238" s="70"/>
      <c r="CQ238" s="70"/>
      <c r="CR238" s="10">
        <f t="shared" si="313"/>
        <v>0</v>
      </c>
      <c r="CS238" s="10">
        <f t="shared" si="314"/>
        <v>19.23076923076923</v>
      </c>
      <c r="CT238" s="10">
        <f t="shared" si="315"/>
        <v>0</v>
      </c>
      <c r="CU238" s="39">
        <f>IF($CH238="Нет",0,IF(CI238=0,30/MIN(CJ238:CK238),IF(Исходн.данные.!$AG238=$BV$11,CR238,IF(OR(Исходн.данные.!$AH238=$BQ$7,Исходн.данные.!$AH238=$BQ$8),90/CI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0,IF(Исходн.данные.!$AI238=$BU$11,"Нет",30/CI238))))))</f>
        <v>250</v>
      </c>
      <c r="CV238" s="39">
        <f>IF($CH238="Нет",0,IF(Исходн.данные.!AH238=0,0,IF(CJ238=0,60/MIN(CI238,CK238),IF(Исходн.данные.!$AG238=$BV$11,CS238,IF(OR(Исходн.данные.!$AH238=$BQ$7,Исходн.данные.!$AH238=$BQ$8),90/CJ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10/CJ238,IF(Исходн.данные.!$AI238=$BU$11,"Нет",60/CJ238)))))))</f>
        <v>0</v>
      </c>
      <c r="CW238" s="39">
        <f>IF($CH238="Нет",0,IF(Исходн.данные.!AH238=0,0,IF(CK238=0,30/MIN(CI238:CJ238),IF(Исходн.данные.!$AG238=$BV$11,CT238,IF(OR(Исходн.данные.!$AH238=$BQ$7,Исходн.данные.!$AH238=$BQ$8),90/CK238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0,IF(Исходн.данные.!$AI238=$BU$11,"Нет",30/CK238)))))))</f>
        <v>0</v>
      </c>
      <c r="CX238" s="133">
        <f>IF(Исходн.данные.!$AG238=$BV$11,MAX(CU238:CW238),IF(OR(Исходн.данные.!$AH238=$BS$8,Исходн.данные.!$AH238=$BQ$9,Исходн.данные.!$AH238=$BQ$10,Исходн.данные.!$AH238=$BQ$11,Исходн.данные.!$AH238=$BQ$12,Исходн.данные.!$AH238=$BP$3,Исходн.данные.!$AH238=$BT$8,$FM238="Да"),CV238,MIN(CU238:CW238)))</f>
        <v>0</v>
      </c>
      <c r="CY238" s="133">
        <f>IF(Исходн.данные.!AH238=0,0,IF(CR238&gt;$CX238,$CX238,CR238))</f>
        <v>0</v>
      </c>
      <c r="CZ238" s="133">
        <f>IF(Исходн.данные.!AH238=0,0,IF(CS238&gt;$CX238,$CX238,CS238))</f>
        <v>0</v>
      </c>
      <c r="DA238" s="133">
        <f>IF(Исходн.данные.!AH238=0,0,IF(CT238&gt;$CX238,$CX238,CT238))</f>
        <v>0</v>
      </c>
      <c r="DB238" s="10">
        <f t="shared" si="316"/>
        <v>0</v>
      </c>
      <c r="DC238" s="39">
        <f>DB238*Исходн.данные.!AJ238/1000</f>
        <v>0</v>
      </c>
      <c r="DD238" s="71">
        <f t="shared" si="317"/>
        <v>0</v>
      </c>
      <c r="DE238" s="9">
        <f t="shared" si="318"/>
        <v>0</v>
      </c>
      <c r="DF238" s="9">
        <f t="shared" si="319"/>
        <v>0</v>
      </c>
      <c r="DG238" s="39">
        <f>IF(BL238&lt;0,0,IF($CH238="Нет",BL238,IF(OR(Исходн.данные.!$AH238=$BP$1,Исходн.данные.!$AH238=$BP$2),0,IF(Исходн.данные.!AI238=$BU$11,BL238,IF(BL238-DD238&lt;0,0,BL238-DD238)))))</f>
        <v>0</v>
      </c>
      <c r="DH238" s="39">
        <f>IF(BM238&lt;0,0,IF($CH238="Нет",BM238,IF(OR(Исходн.данные.!$AH238=$BP$1,Исходн.данные.!$AH238=$BP$2),0,IF(Исходн.данные.!AJ238=$BU$11,BM238,IF(BM238-DE238&lt;0,0,BM238-DE238)))))</f>
        <v>0</v>
      </c>
      <c r="DI238" s="39">
        <f>IF(BN238&lt;0,0,IF($CH238="Нет",BN238,IF(OR(Исходн.данные.!$AH238=$BP$1,Исходн.данные.!$AH238=$BP$2),0,IF(Исходн.данные.!AK238=$BU$11,BN238,IF(BN238-DF238&lt;0,0,BN238-DF238)))))</f>
        <v>0</v>
      </c>
      <c r="DJ238" s="12">
        <f t="shared" si="320"/>
        <v>0</v>
      </c>
      <c r="DK238" s="9">
        <f t="shared" si="321"/>
        <v>0</v>
      </c>
      <c r="DL238" s="39">
        <f>IF(Исходн.данные.!AM238&gt;0,Исходн.данные.!AM238,IF(EG238&gt;0,$BH$10,0))</f>
        <v>0</v>
      </c>
      <c r="DM238" s="186">
        <f>IF($DL238=0,0,IF(Исходн.данные.!AM238&gt;0,VLOOKUP($DL238,АшламаДВ_Irekle,2,FALSE),VLOOKUP($DL238,АшламаДВ_Gomumy,2,FALSE)))</f>
        <v>0</v>
      </c>
      <c r="DN238" s="10">
        <f t="shared" si="299"/>
        <v>0</v>
      </c>
      <c r="DO238" s="9" t="str">
        <f>IF(Исходн.данные.!AN238&gt;0,Исходн.данные.!AN238,Удобрения!$B$37 )</f>
        <v>Хлор.калий</v>
      </c>
      <c r="DP238" s="9">
        <f>IF(Исходн.данные.!AN238&gt;0,VLOOKUP(Исходн.данные.!AN238,АшламаДВ_Irekle,4,FALSE),VLOOKUP(DO238,АшламаДВ_Gomumy,4,FALSE))</f>
        <v>0.6</v>
      </c>
      <c r="DQ238" s="10">
        <f t="shared" si="300"/>
        <v>0</v>
      </c>
      <c r="DR238" s="132" t="str">
        <f>IF(Исходн.данные.!AO238&gt;0,Исходн.данные.!AO238,IF(DH238=0,BS$17,IF(AND($DK238=0,$DJ238&gt;0),EJ238,EN238)))</f>
        <v>Нет</v>
      </c>
      <c r="DS238" s="70" t="str">
        <f>IF($DR238="Нет","Нет",IF(Исходн.данные.!$AO238&gt;0,VLOOKUP($DR238,АшламаДВ_Irekle,2,FALSE),VLOOKUP($DR238,АшламаДВ_Gomumy,2,FALSE)))</f>
        <v>Нет</v>
      </c>
      <c r="DT238" s="70" t="str">
        <f>IF($DR238="Нет","Нет",IF(Исходн.данные.!$AO238&gt;0,VLOOKUP($DR238,АшламаДВ_Irekle,3,FALSE),VLOOKUP($DR238,АшламаДВ_Gomumy,3,FALSE)))</f>
        <v>Нет</v>
      </c>
      <c r="DU238" s="70" t="str">
        <f>IF($DR238="Нет","Нет",IF(Исходн.данные.!$AO238&gt;0,VLOOKUP($DR238,АшламаДВ_Irekle,4,FALSE),VLOOKUP($DR238,АшламаДВ_Gomumy,4,FALSE)))</f>
        <v>Нет</v>
      </c>
      <c r="DV238" s="70"/>
      <c r="DW238" s="70"/>
      <c r="DX238" s="70"/>
      <c r="DY238" s="10">
        <f t="shared" si="322"/>
        <v>0</v>
      </c>
      <c r="DZ238" s="10">
        <f t="shared" si="323"/>
        <v>0</v>
      </c>
      <c r="EA238" s="10">
        <f t="shared" si="324"/>
        <v>0</v>
      </c>
      <c r="EB238" s="10">
        <f t="shared" si="325"/>
        <v>0</v>
      </c>
      <c r="EC238" s="10">
        <f t="shared" si="326"/>
        <v>0</v>
      </c>
      <c r="ED238" s="10">
        <f t="shared" si="327"/>
        <v>0</v>
      </c>
      <c r="EE238" s="10">
        <f t="shared" si="328"/>
        <v>0</v>
      </c>
      <c r="EF238" s="39">
        <f>EB238*Исходн.данные.!AJ238/1000</f>
        <v>0</v>
      </c>
      <c r="EG238" s="9">
        <f t="shared" si="329"/>
        <v>0</v>
      </c>
      <c r="EH238" s="9">
        <f t="shared" si="330"/>
        <v>0</v>
      </c>
      <c r="EI238" s="39" t="e">
        <f t="shared" si="280"/>
        <v>#DIV/0!</v>
      </c>
      <c r="EJ238" s="9" t="str">
        <f t="shared" si="301"/>
        <v>Азопреципитат</v>
      </c>
      <c r="EK238" s="12">
        <f t="shared" si="281"/>
        <v>0.26</v>
      </c>
      <c r="EL238" s="12">
        <f t="shared" si="282"/>
        <v>0.13</v>
      </c>
      <c r="EM238" s="12">
        <f t="shared" si="283"/>
        <v>0</v>
      </c>
      <c r="EN238" s="12" t="str">
        <f t="shared" si="302"/>
        <v>Нет</v>
      </c>
      <c r="EO238" s="12">
        <f t="shared" si="284"/>
        <v>0</v>
      </c>
      <c r="EP238" s="12">
        <f t="shared" si="285"/>
        <v>0</v>
      </c>
      <c r="EQ238" s="12">
        <f t="shared" si="286"/>
        <v>0</v>
      </c>
      <c r="ER238" s="12" t="str">
        <f t="shared" si="331"/>
        <v>Диаммофоска</v>
      </c>
      <c r="ES238" s="12">
        <f t="shared" si="287"/>
        <v>0.1</v>
      </c>
      <c r="ET238" s="12">
        <f t="shared" si="288"/>
        <v>0.26</v>
      </c>
      <c r="EU238" s="12">
        <f t="shared" si="289"/>
        <v>0.26</v>
      </c>
      <c r="EV238" s="12" t="str">
        <f t="shared" si="332"/>
        <v>Аммофос 12:52:00</v>
      </c>
      <c r="EW238" s="12" t="str">
        <f t="shared" si="333"/>
        <v>Кемира Свекловичное-6</v>
      </c>
      <c r="EX238" s="12">
        <f t="shared" si="290"/>
        <v>0.16</v>
      </c>
      <c r="EY238" s="12">
        <f t="shared" si="291"/>
        <v>0.12</v>
      </c>
      <c r="EZ238" s="12">
        <f t="shared" si="292"/>
        <v>0.17</v>
      </c>
      <c r="FA238" s="38" t="e">
        <f>IF(AND(OR(FJ238=$FD$1,FM238=$FD$1,FO238=$FD$1,FQ238=$FD$1,FS238=$FD$1),FD238=$FD$1,Исходн.данные.!J238&lt;2,FU238=$FD$1),"Бор,Кобальт",IF(AND(FO238=$FD$1,FH238=$FD$1,Исходн.данные.!J238&lt;2,FU238=$FD$1),"Бор,Кобальт",IF(AND(OR(FJ238=$FD$1,FM238=$FD$1,FQ238=$FD$1),FE238=$FD$1,Исходн.данные.!J238&lt;2,FT238=$FD$1,FU238=$FD$1),"Бор,Медь,Цинк",IF(AND(OR(FJ238=$FD$1,FR238="Да"),FI238="Да",Исходн.данные.!J238&lt;2,FT238="Да",FU238="Да"),"Бор,Цинк,Медь",IF(AND(OR(FM238="Да",FQ238="Да"),FI238="Да",Исходн.данные.!J238&lt;2,FT238="Да",FU238="Да"),"Бор,Цинк",IF(AND(FN238="Да",OR(FD238="Да",FE238="Да")),"Бор",FB238))))))</f>
        <v>#N/A</v>
      </c>
      <c r="FB238" s="134" t="e">
        <f>IF(AND(OR(FD238="Да",FE238="Да",FF238="Да",FG238="Да",FH238="Да"),FO238="Да"),"Бор",IF(AND(FP238="Да",OR(FD238="Да",FE238="Да",FI238="Да")),"Бор",IF(AND(FS238="Да",FE238="Да"),"Бор,Медь",IF(AND(OR(FJ238="Да",FK238="Да",FL238="Да"),FE238="Да",Исходн.данные.!I238&lt;5,FT238="Да",FU238="Да"),"Молибден,Цинк",IF(AND(FM238="Да",OR(FE238="Да",FF238="Да",FG238="Да",FH238="Да",FI238="Да")),"Молибден,Цинк",IF(AND(OR(FJ238="Да",FK238="Да",FL238="Да",FM238="Да",FQ238="Да"),OR(FE238="Да",FF238="Да"),FT238="Да",FU238="Да",Исходн.данные.!I238&gt;5.5),"Медь,Цинк",FC238))))))</f>
        <v>#N/A</v>
      </c>
      <c r="FC238" s="23" t="e">
        <f t="shared" si="334"/>
        <v>#N/A</v>
      </c>
      <c r="FD238" s="38" t="str">
        <f>IF(OR(Исходн.данные.!F238=$CC$1,Исходн.данные.!F238=$CC$2,Исходн.данные.!F238=$CC$3,Исходн.данные.!F238=$CC$4),"Да","Нет")</f>
        <v>Нет</v>
      </c>
      <c r="FE238" s="38" t="str">
        <f>IF(Исходн.данные.!F238=$CC$5,"Да","Нет")</f>
        <v>Нет</v>
      </c>
      <c r="FF238" s="38" t="str">
        <f>IF(OR(Исходн.данные.!F238=$CC$6,Исходн.данные.!F238=$CC$7),"Да","Нет")</f>
        <v>Нет</v>
      </c>
      <c r="FG238" s="38" t="str">
        <f>IF(OR(Исходн.данные.!F238=$CC$8,Исходн.данные.!F238=$CC$9),"Да","Нет")</f>
        <v>Нет</v>
      </c>
      <c r="FH238" s="38" t="str">
        <f>IF(Исходн.данные.!F238=$CC$10,"Да","Нет")</f>
        <v>Нет</v>
      </c>
      <c r="FI238" s="38" t="str">
        <f>IF(OR(Исходн.данные.!F238=$CC$11,Исходн.данные.!F238=$CC$12),"Да","Нет")</f>
        <v>Нет</v>
      </c>
      <c r="FJ238" s="38" t="str">
        <f>IF(OR(Исходн.данные.!AH238=$BS$1,Исходн.данные.!AH238=$BQ$11,Исходн.данные.!AH238=$BQ$12),"Да","Нет")</f>
        <v>Нет</v>
      </c>
      <c r="FK238" s="38" t="str">
        <f>IF(OR(Исходн.данные.!AH238=$BS$2,Исходн.данные.!AH238=$BS$4),"Да","Нет")</f>
        <v>Нет</v>
      </c>
      <c r="FL238" s="38" t="str">
        <f>IF(OR(Исходн.данные.!AH238=$BS$3,Исходн.данные.!AH238=$BS$5),"Да","Нет")</f>
        <v>Нет</v>
      </c>
      <c r="FM238" s="38" t="str">
        <f>IF(OR(Исходн.данные.!AH238=$BS$9,Исходн.данные.!AH238=$BS$10,Исходн.данные.!AH238=$BS$11,Исходн.данные.!AH238=$BS$12),"Да","Нет")</f>
        <v>Нет</v>
      </c>
      <c r="FN238" s="38" t="str">
        <f>IF(OR(Исходн.данные.!AH238=$BS$6,Исходн.данные.!AH238=$BP$3),"Да","Нет")</f>
        <v>Нет</v>
      </c>
      <c r="FO238" s="38" t="str">
        <f>IF(Исходн.данные.!AH238=$BQ$9,"Да","Нет")</f>
        <v>Нет</v>
      </c>
      <c r="FP238" s="38" t="str">
        <f>IF(OR(Исходн.данные.!AH238=$BS$8,Исходн.данные.!AH238=$BT$8),"Да","Нет")</f>
        <v>Нет</v>
      </c>
      <c r="FQ238" s="38" t="str">
        <f>IF(OR(Исходн.данные.!AH238=$BQ$7,Исходн.данные.!AH238=$BQ$8),"Да","Нет")</f>
        <v>Нет</v>
      </c>
      <c r="FR238" s="38" t="str">
        <f>IF(Исходн.данные.!AI238=$BU$9,"Да","Нет")</f>
        <v>Нет</v>
      </c>
      <c r="FS238" s="38" t="str">
        <f>IF(OR(Исходн.данные.!AH238=$BP$1,Исходн.данные.!AH238=$BP$2),"Да","Нет")</f>
        <v>Нет</v>
      </c>
      <c r="FT238" s="38" t="e">
        <f>IF((Исходн.данные.!K238*GO238*GS238*GW238+BL238*0.6+Исходн.данные.!Q238*4.5*0.275)&gt;90,"Да","Нет")</f>
        <v>#N/A</v>
      </c>
      <c r="FU238" s="38" t="e">
        <f>IF((Исходн.данные.!M238*GS238*GZ238+BM238*0.225)&gt;35,"Да","Нет")</f>
        <v>#N/A</v>
      </c>
      <c r="FV238" s="38" t="str">
        <f>IF(Исходн.данные.!O238&gt;175,"Да","Нет")</f>
        <v>Нет</v>
      </c>
      <c r="FW238" s="39" t="str">
        <f>IF(Исходн.данные.!I238&gt;5.5,"Да","Нет")</f>
        <v>Нет</v>
      </c>
      <c r="FX238" s="39" t="str">
        <f>IF(Исходн.данные.!J238&lt;2,"Да","Нет")</f>
        <v>Да</v>
      </c>
      <c r="FY238" s="39" t="e">
        <f>IF(HF238=$FY$16,0,Исходн.данные.!K238*GO238*GS238*GW238/HF238)</f>
        <v>#N/A</v>
      </c>
      <c r="FZ238" s="39" t="e">
        <f>Исходн.данные.!M238*GS238*GZ238/HG238</f>
        <v>#N/A</v>
      </c>
      <c r="GA238" s="39" t="e">
        <f>IF(K_Wyn=$FY$16,0,IF(Исходн.данные.!N238=Исходн.данные.!$L$10,Исходн.данные.!O238/1.1*GS238*HC238/HH238,IF(Исходн.данные.!N238=Исходн.данные.!$L$12,Исходн.данные.!O238/1.5*GS238*HC238/HH238,Исходн.данные.!O238*GS238*HC238/HH238)))</f>
        <v>#N/A</v>
      </c>
      <c r="GB238" s="39" t="e">
        <f>IF(HF238=$FY$16,0,((Исходн.данные.!Q238*N_Org+Исходн.данные.!R238*N_Sider+Исходн.данные.!S238*N_Soloma)*AO238+Расчет!BC238*VLOOKUP(Исходн.данные.!T238,Справ!$A$3:$O$57,15)*AO238+BB238*VLOOKUP(Исходн.данные.!T238,Справ!$A$3:$O$57,15)*AL238+(Исходн.данные.!V238*N_Rizotorf+Исходн.данные.!W238*N_Rizoagr))/HF238)</f>
        <v>#N/A</v>
      </c>
      <c r="GC238" s="39" t="e">
        <f>IF(HG238=$FY$16,0,((Исходн.данные.!Q238*Р_Org+Исходн.данные.!R238*P_Sider+Исходн.данные.!S238*P_Soloma)*AP238+Расчет!BC238*VLOOKUP(Исходн.данные.!T238,Справ!$A$3:$P$57,16)*AP238+BB238*VLOOKUP(Исходн.данные.!T238,Справ!$A$3:$P$57,16)*AM238)/HG238)</f>
        <v>#N/A</v>
      </c>
      <c r="GD238" s="39" t="e">
        <f>IF(HH238=$FY$16,0,((Исходн.данные.!Q238*К_Org+Исходн.данные.!R238*K_Sider+Исходн.данные.!S238*K_Soloma)*AQ238+Расчет!BC238*VLOOKUP(Исходн.данные.!T238,Справ!$A$3:$Q$57,17)*AQ238+BB238*VLOOKUP(Исходн.данные.!T238,Справ!$A$3:$Q$57,17)*AN238)/HH238)</f>
        <v>#N/A</v>
      </c>
      <c r="GE238" s="39" t="e">
        <f>IF(HF238=$FY$16,0,(Исходн.данные.!X238*AR238+Исходн.данные.!AA238*N_Org*AL238+Исходн.данные.!AB238*N_Sider*AL238+Исходн.данные.!AC238*N_Soloma*AL238)/HF238)</f>
        <v>#N/A</v>
      </c>
      <c r="GF238" s="39" t="e">
        <f>IF(HG238=$FY$16,0,(Исходн.данные.!Y238*AS238+Исходн.данные.!AA238*Р_Org*AM238+Исходн.данные.!AB238*P_Sider*AM238+Исходн.данные.!AC238*P_Soloma*AM238)/HG238)</f>
        <v>#N/A</v>
      </c>
      <c r="GG238" s="39" t="e">
        <f>IF(HH238=$FY$16,0,(Исходн.данные.!Z238*AT238+Исходн.данные.!AA238*К_Org*AN238+Исходн.данные.!AB238*K_Sider*AN238+Исходн.данные.!AC238*K_Soloma*AN238)/HH238)</f>
        <v>#N/A</v>
      </c>
      <c r="GH238" s="39" t="e">
        <f>Исходн.данные.!AD238*AU238/HF238</f>
        <v>#N/A</v>
      </c>
      <c r="GI238" s="39" t="e">
        <f>Исходн.данные.!AE238*AV238/HG238</f>
        <v>#N/A</v>
      </c>
      <c r="GJ238" s="39" t="e">
        <f>Исходн.данные.!AF238*AW238/HH238</f>
        <v>#N/A</v>
      </c>
      <c r="GK238" s="55">
        <f>Исходн.данные.!AK238</f>
        <v>0</v>
      </c>
      <c r="GL238" s="11" t="e">
        <f t="shared" si="335"/>
        <v>#N/A</v>
      </c>
      <c r="GM238" s="11" t="e">
        <f t="shared" si="336"/>
        <v>#N/A</v>
      </c>
      <c r="GN238" s="11" t="e">
        <f t="shared" si="337"/>
        <v>#N/A</v>
      </c>
      <c r="GO238" s="57">
        <f t="shared" si="338"/>
        <v>19</v>
      </c>
      <c r="GP238" s="55">
        <f>IF(OR(Исходн.данные.!F238=$CE$1,Исходн.данные.!F238=$CE$2,Исходн.данные.!F238=$CE$3,Исходн.данные.!F238=$CE$4,Исходн.данные.!F238=$CE$5),GQ238,GR238)</f>
        <v>19</v>
      </c>
      <c r="GQ238" s="55">
        <f>IF(Исходн.данные.!F238=$CE$1,28,IF(Исходн.данные.!F238=$CE$2,26,IF(Исходн.данные.!F238=$CE$3,24,IF(Исходн.данные.!F238=$CE$4,22,IF(Исходн.данные.!F238=$CE$5,20,GR238)))))</f>
        <v>19</v>
      </c>
      <c r="GR238" s="55">
        <f>IF(Исходн.данные.!F238=$CE$6,18,IF(Исходн.данные.!F238=$CE$7,16,IF(Исходн.данные.!F238=$CE$8,14,IF(Исходн.данные.!F238=$CE$9,13,IF(Исходн.данные.!F238=$CE$10,12,19)))))</f>
        <v>19</v>
      </c>
      <c r="GS238" s="55">
        <f>IF(Исходн.данные.!G238="Пес",0.035*(40+2*Исходн.данные.!H238),IF(Исходн.данные.!G238="Суп",0.0325*(40+2*Исходн.данные.!H238),0.03*(40+2*Исходн.данные.!H238)))</f>
        <v>1.2</v>
      </c>
      <c r="GT238" s="55">
        <f>IF(Исходн.данные.!H238&lt;23,2.6,IF(AND(Исходн.данные.!H238&gt;22,Исходн.данные.!H238&lt;26),3,IF(AND(Исходн.данные.!H238&gt;25,Исходн.данные.!H238&lt;29),3.4,3.6)))</f>
        <v>2.6</v>
      </c>
      <c r="GU238" s="55">
        <f>IF(Исходн.данные.!H238&lt;23,2.8,IF(AND(Исходн.данные.!H238&gt;22,Исходн.данные.!H238&lt;26),3.2,IF(AND(Исходн.данные.!H238&gt;25,Исходн.данные.!H238&lt;29),3.6,3.9)))</f>
        <v>2.8</v>
      </c>
      <c r="GV238" s="55">
        <f>IF(Исходн.данные.!H238&lt;23,3,IF(AND(Исходн.данные.!H238&gt;22,Исходн.данные.!H238&lt;26),3.5,IF(AND(Исходн.данные.!H238&gt;25,Исходн.данные.!H238&lt;29),3.9,4.2)))</f>
        <v>3</v>
      </c>
      <c r="GW238" s="55" t="e">
        <f>IF(Исходн.данные.!P238="Ум",GX238,GY238)</f>
        <v>#N/A</v>
      </c>
      <c r="GX238" s="55" t="e">
        <f>VLOOKUP(Исходн.данные.!AI238,Коэффициенты!$J$7:$L$13,2,FALSE)</f>
        <v>#N/A</v>
      </c>
      <c r="GY238" s="55" t="e">
        <f>VLOOKUP(Исходн.данные.!AI238,Коэффициенты!$J$7:$L$13,3,FALSE)</f>
        <v>#N/A</v>
      </c>
      <c r="GZ238" s="55" t="e">
        <f>(IF(Исходн.данные.!M238&lt;50,0.11*VLOOKUP(Исходн.данные.!AH238,Культуры.Информация,7,FALSE),IF(Исходн.данные.!M238&gt;250,0.05*VLOOKUP(Исходн.данные.!AH238,Культуры.Информация,7,FALSE),VLOOKUP(Исходн.данные.!AH238,Культуры.Информация,5,FALSE)/100*($GX$6+$GY$6*Исходн.данные.!M238))))*Расчет2!AI238</f>
        <v>#N/A</v>
      </c>
      <c r="HA238" s="211"/>
      <c r="HB238" s="211"/>
      <c r="HC238" s="55" t="e">
        <f>(IF(Исходн.данные.!O238&lt;80,0.2*VLOOKUP(Исходн.данные.!AH238,Культуры.Информация,8,FALSE),IF(Исходн.данные.!O238&gt;240,0.09*VLOOKUP(Исходн.данные.!AH238,Культуры.Информация,8,FALSE),VLOOKUP(Исходн.данные.!AH238,Культуры.Информация,6,FALSE)/100*($HB$6+$HC$6*Исходн.данные.!O238))))*Расчет2!AJ238</f>
        <v>#N/A</v>
      </c>
      <c r="HD238" s="55">
        <f>IF(Исходн.данные.!O238&gt;240,0.09,IF(Исходн.данные.!O238&lt;30,0.3,$HE$10+$HD$10*Исходн.данные.!O238))</f>
        <v>0.3</v>
      </c>
      <c r="HE238" s="55">
        <f>IF(Исходн.данные.!O238&gt;240,0.17,IF(Исходн.данные.!O238&lt;30,0.5,$HF$12+$HE$12*Исходн.данные.!O238))</f>
        <v>0.5</v>
      </c>
      <c r="HF238" s="55" t="e">
        <f>VLOOKUP(Исходн.данные.!AH238,Справ!$A$3:$D$58,2,FALSE)</f>
        <v>#N/A</v>
      </c>
      <c r="HG238" s="55" t="e">
        <f>VLOOKUP(Исходн.данные.!AH238,Справ!$A$3:$D$58,3,FALSE)</f>
        <v>#N/A</v>
      </c>
      <c r="HH238" s="55" t="e">
        <f>VLOOKUP(Исходн.данные.!AH238,Справ!$A$3:$D$58,4,FALSE)</f>
        <v>#N/A</v>
      </c>
      <c r="HI238" s="11" t="e">
        <f t="shared" si="339"/>
        <v>#N/A</v>
      </c>
      <c r="HJ238" s="11" t="e">
        <f t="shared" si="340"/>
        <v>#N/A</v>
      </c>
      <c r="HK238" s="11" t="e">
        <f t="shared" si="341"/>
        <v>#N/A</v>
      </c>
      <c r="HL238" s="55">
        <f>IF(OR(Исходн.данные.!G238="Глин",Исходн.данные.!G238="Т_суг"),1.1,IF(Исходн.данные.!G238="Ср_суг",1,1))</f>
        <v>1</v>
      </c>
      <c r="HM238" s="55">
        <f>IF(OR(Исходн.данные.!G238="Глин",Исходн.данные.!G238="Т_суг"),0.9,IF(Исходн.данные.!G238="Ср_суг",1,1.2))</f>
        <v>1.2</v>
      </c>
      <c r="HN238" s="11" t="e">
        <f t="shared" si="342"/>
        <v>#N/A</v>
      </c>
      <c r="HO238" s="11" t="e">
        <f t="shared" si="343"/>
        <v>#N/A</v>
      </c>
      <c r="HP238" s="11" t="e">
        <f t="shared" si="344"/>
        <v>#N/A</v>
      </c>
      <c r="HQ238" t="e">
        <f t="shared" si="345"/>
        <v>#N/A</v>
      </c>
      <c r="HR238" t="e">
        <f t="shared" si="346"/>
        <v>#N/A</v>
      </c>
      <c r="HS238" t="e">
        <f t="shared" si="347"/>
        <v>#N/A</v>
      </c>
      <c r="HT238" t="e">
        <f t="shared" si="293"/>
        <v>#N/A</v>
      </c>
      <c r="HU238" t="e">
        <f t="shared" si="294"/>
        <v>#N/A</v>
      </c>
      <c r="HV238" t="e">
        <f t="shared" si="295"/>
        <v>#N/A</v>
      </c>
      <c r="HW238" t="e">
        <f t="shared" si="296"/>
        <v>#N/A</v>
      </c>
      <c r="HX238" t="e">
        <f t="shared" si="297"/>
        <v>#N/A</v>
      </c>
      <c r="HY238" t="e">
        <f t="shared" si="298"/>
        <v>#N/A</v>
      </c>
      <c r="HZ238" s="55">
        <f>IF(OR(Исходн.данные.!AI238="Оз_Ч_П",Исходн.данные.!AI238="Оз_З_П",Исходн.данные.!AI238="Яр_зер"),12,30)</f>
        <v>30</v>
      </c>
      <c r="IA238" t="e">
        <f t="shared" si="348"/>
        <v>#N/A</v>
      </c>
      <c r="IB238" t="e">
        <f t="shared" si="349"/>
        <v>#N/A</v>
      </c>
      <c r="IC238" t="e">
        <f t="shared" si="350"/>
        <v>#N/A</v>
      </c>
      <c r="ID238" s="11" t="e">
        <f t="shared" si="351"/>
        <v>#N/A</v>
      </c>
      <c r="IE238" s="11" t="e">
        <f t="shared" si="352"/>
        <v>#N/A</v>
      </c>
      <c r="IF238" s="11" t="e">
        <f t="shared" si="353"/>
        <v>#N/A</v>
      </c>
    </row>
    <row r="239" spans="35:240" x14ac:dyDescent="0.2">
      <c r="AI239">
        <f>IF(Исходн.данные.!I239&gt;6,1,1.85-(0.148*Исходн.данные.!I239))</f>
        <v>1.85</v>
      </c>
      <c r="AJ239">
        <f>IF(Исходн.данные.!I239&gt;6,1,2.434-(0.246*Исходн.данные.!I239))</f>
        <v>2.4340000000000002</v>
      </c>
      <c r="AL239" s="148" t="b">
        <f>IF(Исходн.данные.!$P239="Ум",N_OrgUd_2g_um,IF(Исходн.данные.!$P239="Об",N_OrgUd_2g_ob))</f>
        <v>0</v>
      </c>
      <c r="AM239" s="148" t="b">
        <f>IF(Исходн.данные.!$P239="Ум",P_OrgUd_2g_um,IF(Исходн.данные.!$P239="Об",P_OrgUd_2g_ob))</f>
        <v>0</v>
      </c>
      <c r="AN239" s="148" t="b">
        <f>IF(Исходн.данные.!$P239="Ум",K_OrgUd_2g_um,IF(Исходн.данные.!$P239="Об",K_OrgUd_2g_ob))</f>
        <v>0</v>
      </c>
      <c r="AO239" s="148" t="b">
        <f>IF(Исходн.данные.!$P239="Ум",N_OrgUd_1g_um,IF(Исходн.данные.!$P239="Об",N_OrgUd_1g_ob))</f>
        <v>0</v>
      </c>
      <c r="AP239" s="148" t="b">
        <f>IF(Исходн.данные.!$P239="Ум",P_OrgUd_1g_um,IF(Исходн.данные.!$P239="Об",P_OrgUd_1g_ob))</f>
        <v>0</v>
      </c>
      <c r="AQ239" s="148" t="b">
        <f>IF(Исходн.данные.!$P239="Ум",K_OrgUd_1g_um,IF(Исходн.данные.!$P239="Об",K_OrgUd_1g_ob))</f>
        <v>0</v>
      </c>
      <c r="AR239" t="b">
        <f>IF(Исходн.данные.!$P239="Ум",N_MinUd_2g_um,IF(Исходн.данные.!$P239="Об",N_MinUd_2g_ob))</f>
        <v>0</v>
      </c>
      <c r="AS239" t="b">
        <f>IF(Исходн.данные.!$P239="Ум",P_MinUd_2g_um,IF(Исходн.данные.!$P239="Об",P_MinUd_2g_ob))</f>
        <v>0</v>
      </c>
      <c r="AT239" t="b">
        <f>IF(Исходн.данные.!$P239="Ум",K_MinUd_2g_um,IF(Исходн.данные.!$P239="Об",K_MinUd_2g_ob))</f>
        <v>0</v>
      </c>
      <c r="AU239" t="b">
        <f>IF(Исходн.данные.!$P239="Ум",N_MinUd_1g_um,IF(Исходн.данные.!$P239="Об",N_MinUd_1g_ob))</f>
        <v>0</v>
      </c>
      <c r="AV239" t="b">
        <f>IF(Исходн.данные.!P239="Ум",P_MinUd_1g_um,IF(Исходн.данные.!P239="Об",P_MinUd_1g_ob))</f>
        <v>0</v>
      </c>
      <c r="AW239" t="b">
        <f>IF(Исходн.данные.!P239="Ум",K_MinUd_1g_um,IF(Исходн.данные.!P239="Об",K_MinUd_1g_ob))</f>
        <v>0</v>
      </c>
      <c r="AY239" t="e">
        <f>VLOOKUP(Исходн.данные.!T239,Справ!$A$3:$N$57,12)</f>
        <v>#N/A</v>
      </c>
      <c r="AZ239" t="e">
        <f>VLOOKUP(Исходн.данные.!T239,Справ!$A$3:$N$57,13)</f>
        <v>#N/A</v>
      </c>
      <c r="BA239" t="e">
        <f>VLOOKUP(Исходн.данные.!T239,Справ!$A$3:$N$57,14)</f>
        <v>#N/A</v>
      </c>
      <c r="BB239">
        <f>IF(Исходн.данные.!AH239=0,0,25)</f>
        <v>0</v>
      </c>
      <c r="BC239" s="141">
        <f>IF(Исходн.данные.!AH239=0,0,IF(Исходн.данные.!T239=0,25,BD239))</f>
        <v>0</v>
      </c>
      <c r="BD239" s="168" t="e">
        <f>AY239+AZ239*Исходн.данные.!U239-POWER(BA239,2)*Исходн.данные.!U239</f>
        <v>#N/A</v>
      </c>
      <c r="BE23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39" s="25">
        <f>IF(Исходн.данные.!AH239=0,0,MIN(HN239:HP239))</f>
        <v>0</v>
      </c>
      <c r="BG239" s="9">
        <f>IF(Исходн.данные.!AH239=0,0,IF((HO239+10*0.25/HG239/HL239)&lt;17,17,HO239+10*0.25/HG239/HL239))</f>
        <v>0</v>
      </c>
      <c r="BH239" s="181">
        <f>IF(Исходн.данные.!AH239=0,0,HW239*HF239*HL239/AU239*AI239+Исходн.данные.!S239*10)</f>
        <v>0</v>
      </c>
      <c r="BI239" s="10"/>
      <c r="BJ239" s="182">
        <f>IF(Исходн.данные.!AH239=0,0,IF(HX239*HG239*HL239/AV239&lt;0,0,HX239*HG239*HL239/AV239*AJ239))</f>
        <v>0</v>
      </c>
      <c r="BK239" s="182">
        <f>IF(Исходн.данные.!AH239=0,0,HY239*HH239*HM239/AW239)</f>
        <v>0</v>
      </c>
      <c r="BL239" s="10">
        <f>IF(OR(Исходн.данные.!$AH239=$BP$1,Исходн.данные.!$AH239=$BP$2),0,IF(BH239&lt;0,0,IF(OR(Исходн.данные.!T239=Расчет!$BP$1,Исходн.данные.!T239=Расчет!$BP$2,Исходн.данные.!T239=Расчет!$BT$5,Исходн.данные.!T239=Расчет!$BT$6),BH239*0.5,IF(OR(Исходн.данные.!T239=Расчет!$BS$9,Исходн.данные.!T239=Расчет!$BS$10,Исходн.данные.!T239=Расчет!$BS$11,Исходн.данные.!T239=Расчет!$BS$12,Исходн.данные.!T239=Расчет!$BP$5),BH239*0.8,BH239))))</f>
        <v>0</v>
      </c>
      <c r="BM239" s="10">
        <f>IF(OR(Исходн.данные.!$AH239=$BP$1,Исходн.данные.!$AH239=$BP$2),0,IF(BJ239&lt;0,0,IF(Исходн.данные.!I239&lt;4.5,BJ239*1.2,IF(Исходн.данные.!I239&gt;5.1,BJ239,BJ239*((5.1-Исходн.данные.!I239)*0.333+1)))))</f>
        <v>0</v>
      </c>
      <c r="BN239" s="10">
        <f>IF(OR(Исходн.данные.!$AH239=$BP$1,Исходн.данные.!$AH239=$BP$2),60-Исходн.данные.!AF239,IF(BK239&lt;0,0,IF(Исходн.данные.!I239&lt;4.5,BK239*1.2,IF(Исходн.данные.!I239&gt;5.1,BK239,BK239*((5.1-Исходн.данные.!I239)*0.333+1)))))</f>
        <v>0</v>
      </c>
      <c r="BO239" s="9">
        <f>IF(BL239&lt;0,0,BL239*Исходн.данные.!$AJ239/1000)</f>
        <v>0</v>
      </c>
      <c r="BP239" s="9">
        <f>IF(BM239&lt;0,0,BM239*Исходн.данные.!$AJ239/1000)</f>
        <v>0</v>
      </c>
      <c r="BQ239" s="9">
        <f>IF(BN239&lt;0,0,BN239*Исходн.данные.!$AJ239/1000)</f>
        <v>0</v>
      </c>
      <c r="BR239" s="9">
        <f t="shared" si="303"/>
        <v>0</v>
      </c>
      <c r="BS239" s="10" t="str">
        <f t="shared" si="304"/>
        <v>Аммофос 12:52:00</v>
      </c>
      <c r="BT239" s="10" t="str">
        <f t="shared" si="305"/>
        <v>Аммофос 12:52:00</v>
      </c>
      <c r="BU239" s="10" t="str">
        <f t="shared" si="306"/>
        <v>Диаммофоска</v>
      </c>
      <c r="BV239" s="10">
        <f t="shared" si="307"/>
        <v>0</v>
      </c>
      <c r="BW239" s="10"/>
      <c r="BX239" s="10"/>
      <c r="BY239" s="9">
        <f>IF(BL239&lt;0,0,IF(OR(Исходн.данные.!AI239=Расчет!$BU$6,Исходн.данные.!AI239=Расчет!$BU$7),Расчет!BV239,IF(Исходн.данные.!$AG239=$BV$11,BL239,IF(OR(Исходн.данные.!$AH239=$BQ$7,Исходн.данные.!$AH239=$BQ$8),CB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0,IF(Исходн.данные.!$AI239=$BU$11,"Нет",IF(BL239&gt;30,30,BL239)))))))</f>
        <v>0</v>
      </c>
      <c r="BZ239" s="9">
        <f>IF(AND(Исходн.данные.!$AG239=$BV$11,BM239&lt;10),10,IF(Исходн.данные.!$AG239=$BV$11,BM239,IF(OR(Исходн.данные.!$AH239=$BQ$7,Исходн.данные.!$AH239=$BQ$8),CC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10,IF(Исходн.данные.!$AI239=$BU$11,"Нет",IF(BM239&gt;60,60,IF(BM239&lt;10,10,BM239)))))))</f>
        <v>10</v>
      </c>
      <c r="CA239" s="39">
        <f>IF(BN239&lt;0,0,IF(Исходн.данные.!$AG239=$BV$11,BN239,IF(OR(Исходн.данные.!$AH239=$BQ$7,Исходн.данные.!$AH239=$BQ$8),CD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0,IF(Исходн.данные.!$AI239=$BU$11,"Нет",IF(BN239&gt;30,30,BN239))))))</f>
        <v>0</v>
      </c>
      <c r="CB239" s="9">
        <f t="shared" si="308"/>
        <v>0</v>
      </c>
      <c r="CC239" s="9">
        <f t="shared" si="309"/>
        <v>0</v>
      </c>
      <c r="CD239" s="9">
        <f t="shared" si="310"/>
        <v>0</v>
      </c>
      <c r="CE239" s="12">
        <f t="shared" si="311"/>
        <v>10</v>
      </c>
      <c r="CF239" s="9">
        <f t="shared" si="312"/>
        <v>0</v>
      </c>
      <c r="CG239" s="9" t="s">
        <v>231</v>
      </c>
      <c r="CH239" s="132" t="str">
        <f>IF(Исходн.данные.!AP239=Расчет!$CI$16,"Нет",IF(Исходн.данные.!AL239&gt;0,Исходн.данные.!AL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BH$4,IF(OR(Исходн.данные.!AI239=Исходн.данные.!$AI$6,Исходн.данные.!AI239=Исходн.данные.!$AI$7),Расчет!BS239,IF(AND($CF239=0,$CE239&gt;0),EV239,ER239)))))</f>
        <v>Аммофос 12:52:00</v>
      </c>
      <c r="CI239" s="274">
        <f>IF(Расчет!$CH239="Нет","Нет",IF(Исходн.данные.!$AL239&gt;0,VLOOKUP(Расчет!$CH239,АшламаДВ_Irekle,2,FALSE),VLOOKUP(Расчет!$CH239,АшламаДВ_Gomumy,2,FALSE)))</f>
        <v>0.12</v>
      </c>
      <c r="CJ239" s="274">
        <f>IF(Расчет!$CH239="Нет","Нет",IF(Исходн.данные.!$AL239&gt;0,VLOOKUP(Расчет!$CH239,АшламаДВ_Irekle,3,FALSE),VLOOKUP(Расчет!$CH239,АшламаДВ_Gomumy,3,FALSE)))</f>
        <v>0.52</v>
      </c>
      <c r="CK239" s="274">
        <f>IF(Расчет!$CH239="Нет","Нет",IF(Исходн.данные.!$AL239&gt;0,VLOOKUP(Расчет!$CH239,АшламаДВ_Irekle,4,FALSE),VLOOKUP(Расчет!$CH239,АшламаДВ_Gomumy,4,FALSE)))</f>
        <v>0</v>
      </c>
      <c r="CL239" s="70"/>
      <c r="CM239" s="70"/>
      <c r="CN239" s="70"/>
      <c r="CO239" s="70"/>
      <c r="CP239" s="70"/>
      <c r="CQ239" s="70"/>
      <c r="CR239" s="10">
        <f t="shared" si="313"/>
        <v>0</v>
      </c>
      <c r="CS239" s="10">
        <f t="shared" si="314"/>
        <v>19.23076923076923</v>
      </c>
      <c r="CT239" s="10">
        <f t="shared" si="315"/>
        <v>0</v>
      </c>
      <c r="CU239" s="39">
        <f>IF($CH239="Нет",0,IF(CI239=0,30/MIN(CJ239:CK239),IF(Исходн.данные.!$AG239=$BV$11,CR239,IF(OR(Исходн.данные.!$AH239=$BQ$7,Исходн.данные.!$AH239=$BQ$8),90/CI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0,IF(Исходн.данные.!$AI239=$BU$11,"Нет",30/CI239))))))</f>
        <v>250</v>
      </c>
      <c r="CV239" s="39">
        <f>IF($CH239="Нет",0,IF(Исходн.данные.!AH239=0,0,IF(CJ239=0,60/MIN(CI239,CK239),IF(Исходн.данные.!$AG239=$BV$11,CS239,IF(OR(Исходн.данные.!$AH239=$BQ$7,Исходн.данные.!$AH239=$BQ$8),90/CJ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10/CJ239,IF(Исходн.данные.!$AI239=$BU$11,"Нет",60/CJ239)))))))</f>
        <v>0</v>
      </c>
      <c r="CW239" s="39">
        <f>IF($CH239="Нет",0,IF(Исходн.данные.!AH239=0,0,IF(CK239=0,30/MIN(CI239:CJ239),IF(Исходн.данные.!$AG239=$BV$11,CT239,IF(OR(Исходн.данные.!$AH239=$BQ$7,Исходн.данные.!$AH239=$BQ$8),90/CK239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0,IF(Исходн.данные.!$AI239=$BU$11,"Нет",30/CK239)))))))</f>
        <v>0</v>
      </c>
      <c r="CX239" s="133">
        <f>IF(Исходн.данные.!$AG239=$BV$11,MAX(CU239:CW239),IF(OR(Исходн.данные.!$AH239=$BS$8,Исходн.данные.!$AH239=$BQ$9,Исходн.данные.!$AH239=$BQ$10,Исходн.данные.!$AH239=$BQ$11,Исходн.данные.!$AH239=$BQ$12,Исходн.данные.!$AH239=$BP$3,Исходн.данные.!$AH239=$BT$8,$FM239="Да"),CV239,MIN(CU239:CW239)))</f>
        <v>0</v>
      </c>
      <c r="CY239" s="133">
        <f>IF(Исходн.данные.!AH239=0,0,IF(CR239&gt;$CX239,$CX239,CR239))</f>
        <v>0</v>
      </c>
      <c r="CZ239" s="133">
        <f>IF(Исходн.данные.!AH239=0,0,IF(CS239&gt;$CX239,$CX239,CS239))</f>
        <v>0</v>
      </c>
      <c r="DA239" s="133">
        <f>IF(Исходн.данные.!AH239=0,0,IF(CT239&gt;$CX239,$CX239,CT239))</f>
        <v>0</v>
      </c>
      <c r="DB239" s="10">
        <f t="shared" si="316"/>
        <v>0</v>
      </c>
      <c r="DC239" s="39">
        <f>DB239*Исходн.данные.!AJ239/1000</f>
        <v>0</v>
      </c>
      <c r="DD239" s="71">
        <f t="shared" si="317"/>
        <v>0</v>
      </c>
      <c r="DE239" s="9">
        <f t="shared" si="318"/>
        <v>0</v>
      </c>
      <c r="DF239" s="9">
        <f t="shared" si="319"/>
        <v>0</v>
      </c>
      <c r="DG239" s="39">
        <f>IF(BL239&lt;0,0,IF($CH239="Нет",BL239,IF(OR(Исходн.данные.!$AH239=$BP$1,Исходн.данные.!$AH239=$BP$2),0,IF(Исходн.данные.!AI239=$BU$11,BL239,IF(BL239-DD239&lt;0,0,BL239-DD239)))))</f>
        <v>0</v>
      </c>
      <c r="DH239" s="39">
        <f>IF(BM239&lt;0,0,IF($CH239="Нет",BM239,IF(OR(Исходн.данные.!$AH239=$BP$1,Исходн.данные.!$AH239=$BP$2),0,IF(Исходн.данные.!AJ239=$BU$11,BM239,IF(BM239-DE239&lt;0,0,BM239-DE239)))))</f>
        <v>0</v>
      </c>
      <c r="DI239" s="39">
        <f>IF(BN239&lt;0,0,IF($CH239="Нет",BN239,IF(OR(Исходн.данные.!$AH239=$BP$1,Исходн.данные.!$AH239=$BP$2),0,IF(Исходн.данные.!AK239=$BU$11,BN239,IF(BN239-DF239&lt;0,0,BN239-DF239)))))</f>
        <v>0</v>
      </c>
      <c r="DJ239" s="12">
        <f t="shared" si="320"/>
        <v>0</v>
      </c>
      <c r="DK239" s="9">
        <f t="shared" si="321"/>
        <v>0</v>
      </c>
      <c r="DL239" s="39">
        <f>IF(Исходн.данные.!AM239&gt;0,Исходн.данные.!AM239,IF(EG239&gt;0,$BH$10,0))</f>
        <v>0</v>
      </c>
      <c r="DM239" s="186">
        <f>IF($DL239=0,0,IF(Исходн.данные.!AM239&gt;0,VLOOKUP($DL239,АшламаДВ_Irekle,2,FALSE),VLOOKUP($DL239,АшламаДВ_Gomumy,2,FALSE)))</f>
        <v>0</v>
      </c>
      <c r="DN239" s="10">
        <f t="shared" si="299"/>
        <v>0</v>
      </c>
      <c r="DO239" s="9" t="str">
        <f>IF(Исходн.данные.!AN239&gt;0,Исходн.данные.!AN239,Удобрения!$B$37 )</f>
        <v>Хлор.калий</v>
      </c>
      <c r="DP239" s="9">
        <f>IF(Исходн.данные.!AN239&gt;0,VLOOKUP(Исходн.данные.!AN239,АшламаДВ_Irekle,4,FALSE),VLOOKUP(DO239,АшламаДВ_Gomumy,4,FALSE))</f>
        <v>0.6</v>
      </c>
      <c r="DQ239" s="10">
        <f t="shared" si="300"/>
        <v>0</v>
      </c>
      <c r="DR239" s="132" t="str">
        <f>IF(Исходн.данные.!AO239&gt;0,Исходн.данные.!AO239,IF(DH239=0,BS$17,IF(AND($DK239=0,$DJ239&gt;0),EJ239,EN239)))</f>
        <v>Нет</v>
      </c>
      <c r="DS239" s="70" t="str">
        <f>IF($DR239="Нет","Нет",IF(Исходн.данные.!$AO239&gt;0,VLOOKUP($DR239,АшламаДВ_Irekle,2,FALSE),VLOOKUP($DR239,АшламаДВ_Gomumy,2,FALSE)))</f>
        <v>Нет</v>
      </c>
      <c r="DT239" s="70" t="str">
        <f>IF($DR239="Нет","Нет",IF(Исходн.данные.!$AO239&gt;0,VLOOKUP($DR239,АшламаДВ_Irekle,3,FALSE),VLOOKUP($DR239,АшламаДВ_Gomumy,3,FALSE)))</f>
        <v>Нет</v>
      </c>
      <c r="DU239" s="70" t="str">
        <f>IF($DR239="Нет","Нет",IF(Исходн.данные.!$AO239&gt;0,VLOOKUP($DR239,АшламаДВ_Irekle,4,FALSE),VLOOKUP($DR239,АшламаДВ_Gomumy,4,FALSE)))</f>
        <v>Нет</v>
      </c>
      <c r="DV239" s="70"/>
      <c r="DW239" s="70"/>
      <c r="DX239" s="70"/>
      <c r="DY239" s="10">
        <f t="shared" si="322"/>
        <v>0</v>
      </c>
      <c r="DZ239" s="10">
        <f t="shared" si="323"/>
        <v>0</v>
      </c>
      <c r="EA239" s="10">
        <f t="shared" si="324"/>
        <v>0</v>
      </c>
      <c r="EB239" s="10">
        <f t="shared" si="325"/>
        <v>0</v>
      </c>
      <c r="EC239" s="10">
        <f t="shared" si="326"/>
        <v>0</v>
      </c>
      <c r="ED239" s="10">
        <f t="shared" si="327"/>
        <v>0</v>
      </c>
      <c r="EE239" s="10">
        <f t="shared" si="328"/>
        <v>0</v>
      </c>
      <c r="EF239" s="39">
        <f>EB239*Исходн.данные.!AJ239/1000</f>
        <v>0</v>
      </c>
      <c r="EG239" s="9">
        <f t="shared" si="329"/>
        <v>0</v>
      </c>
      <c r="EH239" s="9">
        <f t="shared" si="330"/>
        <v>0</v>
      </c>
      <c r="EI239" s="39" t="e">
        <f t="shared" si="280"/>
        <v>#DIV/0!</v>
      </c>
      <c r="EJ239" s="9" t="str">
        <f t="shared" si="301"/>
        <v>Азопреципитат</v>
      </c>
      <c r="EK239" s="12">
        <f t="shared" si="281"/>
        <v>0.26</v>
      </c>
      <c r="EL239" s="12">
        <f t="shared" si="282"/>
        <v>0.13</v>
      </c>
      <c r="EM239" s="12">
        <f t="shared" si="283"/>
        <v>0</v>
      </c>
      <c r="EN239" s="12" t="str">
        <f t="shared" si="302"/>
        <v>Нет</v>
      </c>
      <c r="EO239" s="12">
        <f t="shared" si="284"/>
        <v>0</v>
      </c>
      <c r="EP239" s="12">
        <f t="shared" si="285"/>
        <v>0</v>
      </c>
      <c r="EQ239" s="12">
        <f t="shared" si="286"/>
        <v>0</v>
      </c>
      <c r="ER239" s="12" t="str">
        <f t="shared" si="331"/>
        <v>Диаммофоска</v>
      </c>
      <c r="ES239" s="12">
        <f t="shared" si="287"/>
        <v>0.1</v>
      </c>
      <c r="ET239" s="12">
        <f t="shared" si="288"/>
        <v>0.26</v>
      </c>
      <c r="EU239" s="12">
        <f t="shared" si="289"/>
        <v>0.26</v>
      </c>
      <c r="EV239" s="12" t="str">
        <f t="shared" si="332"/>
        <v>Аммофос 12:52:00</v>
      </c>
      <c r="EW239" s="12" t="str">
        <f t="shared" si="333"/>
        <v>Кемира Свекловичное-6</v>
      </c>
      <c r="EX239" s="12">
        <f t="shared" si="290"/>
        <v>0.16</v>
      </c>
      <c r="EY239" s="12">
        <f t="shared" si="291"/>
        <v>0.12</v>
      </c>
      <c r="EZ239" s="12">
        <f t="shared" si="292"/>
        <v>0.17</v>
      </c>
      <c r="FA239" s="38" t="e">
        <f>IF(AND(OR(FJ239=$FD$1,FM239=$FD$1,FO239=$FD$1,FQ239=$FD$1,FS239=$FD$1),FD239=$FD$1,Исходн.данные.!J239&lt;2,FU239=$FD$1),"Бор,Кобальт",IF(AND(FO239=$FD$1,FH239=$FD$1,Исходн.данные.!J239&lt;2,FU239=$FD$1),"Бор,Кобальт",IF(AND(OR(FJ239=$FD$1,FM239=$FD$1,FQ239=$FD$1),FE239=$FD$1,Исходн.данные.!J239&lt;2,FT239=$FD$1,FU239=$FD$1),"Бор,Медь,Цинк",IF(AND(OR(FJ239=$FD$1,FR239="Да"),FI239="Да",Исходн.данные.!J239&lt;2,FT239="Да",FU239="Да"),"Бор,Цинк,Медь",IF(AND(OR(FM239="Да",FQ239="Да"),FI239="Да",Исходн.данные.!J239&lt;2,FT239="Да",FU239="Да"),"Бор,Цинк",IF(AND(FN239="Да",OR(FD239="Да",FE239="Да")),"Бор",FB239))))))</f>
        <v>#N/A</v>
      </c>
      <c r="FB239" s="134" t="e">
        <f>IF(AND(OR(FD239="Да",FE239="Да",FF239="Да",FG239="Да",FH239="Да"),FO239="Да"),"Бор",IF(AND(FP239="Да",OR(FD239="Да",FE239="Да",FI239="Да")),"Бор",IF(AND(FS239="Да",FE239="Да"),"Бор,Медь",IF(AND(OR(FJ239="Да",FK239="Да",FL239="Да"),FE239="Да",Исходн.данные.!I239&lt;5,FT239="Да",FU239="Да"),"Молибден,Цинк",IF(AND(FM239="Да",OR(FE239="Да",FF239="Да",FG239="Да",FH239="Да",FI239="Да")),"Молибден,Цинк",IF(AND(OR(FJ239="Да",FK239="Да",FL239="Да",FM239="Да",FQ239="Да"),OR(FE239="Да",FF239="Да"),FT239="Да",FU239="Да",Исходн.данные.!I239&gt;5.5),"Медь,Цинк",FC239))))))</f>
        <v>#N/A</v>
      </c>
      <c r="FC239" s="23" t="e">
        <f t="shared" si="334"/>
        <v>#N/A</v>
      </c>
      <c r="FD239" s="38" t="str">
        <f>IF(OR(Исходн.данные.!F239=$CC$1,Исходн.данные.!F239=$CC$2,Исходн.данные.!F239=$CC$3,Исходн.данные.!F239=$CC$4),"Да","Нет")</f>
        <v>Нет</v>
      </c>
      <c r="FE239" s="38" t="str">
        <f>IF(Исходн.данные.!F239=$CC$5,"Да","Нет")</f>
        <v>Нет</v>
      </c>
      <c r="FF239" s="38" t="str">
        <f>IF(OR(Исходн.данные.!F239=$CC$6,Исходн.данные.!F239=$CC$7),"Да","Нет")</f>
        <v>Нет</v>
      </c>
      <c r="FG239" s="38" t="str">
        <f>IF(OR(Исходн.данные.!F239=$CC$8,Исходн.данные.!F239=$CC$9),"Да","Нет")</f>
        <v>Нет</v>
      </c>
      <c r="FH239" s="38" t="str">
        <f>IF(Исходн.данные.!F239=$CC$10,"Да","Нет")</f>
        <v>Нет</v>
      </c>
      <c r="FI239" s="38" t="str">
        <f>IF(OR(Исходн.данные.!F239=$CC$11,Исходн.данные.!F239=$CC$12),"Да","Нет")</f>
        <v>Нет</v>
      </c>
      <c r="FJ239" s="38" t="str">
        <f>IF(OR(Исходн.данные.!AH239=$BS$1,Исходн.данные.!AH239=$BQ$11,Исходн.данные.!AH239=$BQ$12),"Да","Нет")</f>
        <v>Нет</v>
      </c>
      <c r="FK239" s="38" t="str">
        <f>IF(OR(Исходн.данные.!AH239=$BS$2,Исходн.данные.!AH239=$BS$4),"Да","Нет")</f>
        <v>Нет</v>
      </c>
      <c r="FL239" s="38" t="str">
        <f>IF(OR(Исходн.данные.!AH239=$BS$3,Исходн.данные.!AH239=$BS$5),"Да","Нет")</f>
        <v>Нет</v>
      </c>
      <c r="FM239" s="38" t="str">
        <f>IF(OR(Исходн.данные.!AH239=$BS$9,Исходн.данные.!AH239=$BS$10,Исходн.данные.!AH239=$BS$11,Исходн.данные.!AH239=$BS$12),"Да","Нет")</f>
        <v>Нет</v>
      </c>
      <c r="FN239" s="38" t="str">
        <f>IF(OR(Исходн.данные.!AH239=$BS$6,Исходн.данные.!AH239=$BP$3),"Да","Нет")</f>
        <v>Нет</v>
      </c>
      <c r="FO239" s="38" t="str">
        <f>IF(Исходн.данные.!AH239=$BQ$9,"Да","Нет")</f>
        <v>Нет</v>
      </c>
      <c r="FP239" s="38" t="str">
        <f>IF(OR(Исходн.данные.!AH239=$BS$8,Исходн.данные.!AH239=$BT$8),"Да","Нет")</f>
        <v>Нет</v>
      </c>
      <c r="FQ239" s="38" t="str">
        <f>IF(OR(Исходн.данные.!AH239=$BQ$7,Исходн.данные.!AH239=$BQ$8),"Да","Нет")</f>
        <v>Нет</v>
      </c>
      <c r="FR239" s="38" t="str">
        <f>IF(Исходн.данные.!AI239=$BU$9,"Да","Нет")</f>
        <v>Нет</v>
      </c>
      <c r="FS239" s="38" t="str">
        <f>IF(OR(Исходн.данные.!AH239=$BP$1,Исходн.данные.!AH239=$BP$2),"Да","Нет")</f>
        <v>Нет</v>
      </c>
      <c r="FT239" s="38" t="e">
        <f>IF((Исходн.данные.!K239*GO239*GS239*GW239+BL239*0.6+Исходн.данные.!Q239*4.5*0.275)&gt;90,"Да","Нет")</f>
        <v>#N/A</v>
      </c>
      <c r="FU239" s="38" t="e">
        <f>IF((Исходн.данные.!M239*GS239*GZ239+BM239*0.225)&gt;35,"Да","Нет")</f>
        <v>#N/A</v>
      </c>
      <c r="FV239" s="38" t="str">
        <f>IF(Исходн.данные.!O239&gt;175,"Да","Нет")</f>
        <v>Нет</v>
      </c>
      <c r="FW239" s="39" t="str">
        <f>IF(Исходн.данные.!I239&gt;5.5,"Да","Нет")</f>
        <v>Нет</v>
      </c>
      <c r="FX239" s="39" t="str">
        <f>IF(Исходн.данные.!J239&lt;2,"Да","Нет")</f>
        <v>Да</v>
      </c>
      <c r="FY239" s="39" t="e">
        <f>IF(HF239=$FY$16,0,Исходн.данные.!K239*GO239*GS239*GW239/HF239)</f>
        <v>#N/A</v>
      </c>
      <c r="FZ239" s="39" t="e">
        <f>Исходн.данные.!M239*GS239*GZ239/HG239</f>
        <v>#N/A</v>
      </c>
      <c r="GA239" s="39" t="e">
        <f>IF(K_Wyn=$FY$16,0,IF(Исходн.данные.!N239=Исходн.данные.!$L$10,Исходн.данные.!O239/1.1*GS239*HC239/HH239,IF(Исходн.данные.!N239=Исходн.данные.!$L$12,Исходн.данные.!O239/1.5*GS239*HC239/HH239,Исходн.данные.!O239*GS239*HC239/HH239)))</f>
        <v>#N/A</v>
      </c>
      <c r="GB239" s="39" t="e">
        <f>IF(HF239=$FY$16,0,((Исходн.данные.!Q239*N_Org+Исходн.данные.!R239*N_Sider+Исходн.данные.!S239*N_Soloma)*AO239+Расчет!BC239*VLOOKUP(Исходн.данные.!T239,Справ!$A$3:$O$57,15)*AO239+BB239*VLOOKUP(Исходн.данные.!T239,Справ!$A$3:$O$57,15)*AL239+(Исходн.данные.!V239*N_Rizotorf+Исходн.данные.!W239*N_Rizoagr))/HF239)</f>
        <v>#N/A</v>
      </c>
      <c r="GC239" s="39" t="e">
        <f>IF(HG239=$FY$16,0,((Исходн.данные.!Q239*Р_Org+Исходн.данные.!R239*P_Sider+Исходн.данные.!S239*P_Soloma)*AP239+Расчет!BC239*VLOOKUP(Исходн.данные.!T239,Справ!$A$3:$P$57,16)*AP239+BB239*VLOOKUP(Исходн.данные.!T239,Справ!$A$3:$P$57,16)*AM239)/HG239)</f>
        <v>#N/A</v>
      </c>
      <c r="GD239" s="39" t="e">
        <f>IF(HH239=$FY$16,0,((Исходн.данные.!Q239*К_Org+Исходн.данные.!R239*K_Sider+Исходн.данные.!S239*K_Soloma)*AQ239+Расчет!BC239*VLOOKUP(Исходн.данные.!T239,Справ!$A$3:$Q$57,17)*AQ239+BB239*VLOOKUP(Исходн.данные.!T239,Справ!$A$3:$Q$57,17)*AN239)/HH239)</f>
        <v>#N/A</v>
      </c>
      <c r="GE239" s="39" t="e">
        <f>IF(HF239=$FY$16,0,(Исходн.данные.!X239*AR239+Исходн.данные.!AA239*N_Org*AL239+Исходн.данные.!AB239*N_Sider*AL239+Исходн.данные.!AC239*N_Soloma*AL239)/HF239)</f>
        <v>#N/A</v>
      </c>
      <c r="GF239" s="39" t="e">
        <f>IF(HG239=$FY$16,0,(Исходн.данные.!Y239*AS239+Исходн.данные.!AA239*Р_Org*AM239+Исходн.данные.!AB239*P_Sider*AM239+Исходн.данные.!AC239*P_Soloma*AM239)/HG239)</f>
        <v>#N/A</v>
      </c>
      <c r="GG239" s="39" t="e">
        <f>IF(HH239=$FY$16,0,(Исходн.данные.!Z239*AT239+Исходн.данные.!AA239*К_Org*AN239+Исходн.данные.!AB239*K_Sider*AN239+Исходн.данные.!AC239*K_Soloma*AN239)/HH239)</f>
        <v>#N/A</v>
      </c>
      <c r="GH239" s="39" t="e">
        <f>Исходн.данные.!AD239*AU239/HF239</f>
        <v>#N/A</v>
      </c>
      <c r="GI239" s="39" t="e">
        <f>Исходн.данные.!AE239*AV239/HG239</f>
        <v>#N/A</v>
      </c>
      <c r="GJ239" s="39" t="e">
        <f>Исходн.данные.!AF239*AW239/HH239</f>
        <v>#N/A</v>
      </c>
      <c r="GK239" s="55">
        <f>Исходн.данные.!AK239</f>
        <v>0</v>
      </c>
      <c r="GL239" s="11" t="e">
        <f t="shared" si="335"/>
        <v>#N/A</v>
      </c>
      <c r="GM239" s="11" t="e">
        <f t="shared" si="336"/>
        <v>#N/A</v>
      </c>
      <c r="GN239" s="11" t="e">
        <f t="shared" si="337"/>
        <v>#N/A</v>
      </c>
      <c r="GO239" s="57">
        <f t="shared" si="338"/>
        <v>19</v>
      </c>
      <c r="GP239" s="55">
        <f>IF(OR(Исходн.данные.!F239=$CE$1,Исходн.данные.!F239=$CE$2,Исходн.данные.!F239=$CE$3,Исходн.данные.!F239=$CE$4,Исходн.данные.!F239=$CE$5),GQ239,GR239)</f>
        <v>19</v>
      </c>
      <c r="GQ239" s="55">
        <f>IF(Исходн.данные.!F239=$CE$1,28,IF(Исходн.данные.!F239=$CE$2,26,IF(Исходн.данные.!F239=$CE$3,24,IF(Исходн.данные.!F239=$CE$4,22,IF(Исходн.данные.!F239=$CE$5,20,GR239)))))</f>
        <v>19</v>
      </c>
      <c r="GR239" s="55">
        <f>IF(Исходн.данные.!F239=$CE$6,18,IF(Исходн.данные.!F239=$CE$7,16,IF(Исходн.данные.!F239=$CE$8,14,IF(Исходн.данные.!F239=$CE$9,13,IF(Исходн.данные.!F239=$CE$10,12,19)))))</f>
        <v>19</v>
      </c>
      <c r="GS239" s="55">
        <f>IF(Исходн.данные.!G239="Пес",0.035*(40+2*Исходн.данные.!H239),IF(Исходн.данные.!G239="Суп",0.0325*(40+2*Исходн.данные.!H239),0.03*(40+2*Исходн.данные.!H239)))</f>
        <v>1.2</v>
      </c>
      <c r="GT239" s="55">
        <f>IF(Исходн.данные.!H239&lt;23,2.6,IF(AND(Исходн.данные.!H239&gt;22,Исходн.данные.!H239&lt;26),3,IF(AND(Исходн.данные.!H239&gt;25,Исходн.данные.!H239&lt;29),3.4,3.6)))</f>
        <v>2.6</v>
      </c>
      <c r="GU239" s="55">
        <f>IF(Исходн.данные.!H239&lt;23,2.8,IF(AND(Исходн.данные.!H239&gt;22,Исходн.данные.!H239&lt;26),3.2,IF(AND(Исходн.данные.!H239&gt;25,Исходн.данные.!H239&lt;29),3.6,3.9)))</f>
        <v>2.8</v>
      </c>
      <c r="GV239" s="55">
        <f>IF(Исходн.данные.!H239&lt;23,3,IF(AND(Исходн.данные.!H239&gt;22,Исходн.данные.!H239&lt;26),3.5,IF(AND(Исходн.данные.!H239&gt;25,Исходн.данные.!H239&lt;29),3.9,4.2)))</f>
        <v>3</v>
      </c>
      <c r="GW239" s="55" t="e">
        <f>IF(Исходн.данные.!P239="Ум",GX239,GY239)</f>
        <v>#N/A</v>
      </c>
      <c r="GX239" s="55" t="e">
        <f>VLOOKUP(Исходн.данные.!AI239,Коэффициенты!$J$7:$L$13,2,FALSE)</f>
        <v>#N/A</v>
      </c>
      <c r="GY239" s="55" t="e">
        <f>VLOOKUP(Исходн.данные.!AI239,Коэффициенты!$J$7:$L$13,3,FALSE)</f>
        <v>#N/A</v>
      </c>
      <c r="GZ239" s="55" t="e">
        <f>(IF(Исходн.данные.!M239&lt;50,0.11*VLOOKUP(Исходн.данные.!AH239,Культуры.Информация,7,FALSE),IF(Исходн.данные.!M239&gt;250,0.05*VLOOKUP(Исходн.данные.!AH239,Культуры.Информация,7,FALSE),VLOOKUP(Исходн.данные.!AH239,Культуры.Информация,5,FALSE)/100*($GX$6+$GY$6*Исходн.данные.!M239))))*Расчет2!AI239</f>
        <v>#N/A</v>
      </c>
      <c r="HA239" s="211"/>
      <c r="HB239" s="211"/>
      <c r="HC239" s="55" t="e">
        <f>(IF(Исходн.данные.!O239&lt;80,0.2*VLOOKUP(Исходн.данные.!AH239,Культуры.Информация,8,FALSE),IF(Исходн.данные.!O239&gt;240,0.09*VLOOKUP(Исходн.данные.!AH239,Культуры.Информация,8,FALSE),VLOOKUP(Исходн.данные.!AH239,Культуры.Информация,6,FALSE)/100*($HB$6+$HC$6*Исходн.данные.!O239))))*Расчет2!AJ239</f>
        <v>#N/A</v>
      </c>
      <c r="HD239" s="55">
        <f>IF(Исходн.данные.!O239&gt;240,0.09,IF(Исходн.данные.!O239&lt;30,0.3,$HE$10+$HD$10*Исходн.данные.!O239))</f>
        <v>0.3</v>
      </c>
      <c r="HE239" s="55">
        <f>IF(Исходн.данные.!O239&gt;240,0.17,IF(Исходн.данные.!O239&lt;30,0.5,$HF$12+$HE$12*Исходн.данные.!O239))</f>
        <v>0.5</v>
      </c>
      <c r="HF239" s="55" t="e">
        <f>VLOOKUP(Исходн.данные.!AH239,Справ!$A$3:$D$58,2,FALSE)</f>
        <v>#N/A</v>
      </c>
      <c r="HG239" s="55" t="e">
        <f>VLOOKUP(Исходн.данные.!AH239,Справ!$A$3:$D$58,3,FALSE)</f>
        <v>#N/A</v>
      </c>
      <c r="HH239" s="55" t="e">
        <f>VLOOKUP(Исходн.данные.!AH239,Справ!$A$3:$D$58,4,FALSE)</f>
        <v>#N/A</v>
      </c>
      <c r="HI239" s="11" t="e">
        <f t="shared" si="339"/>
        <v>#N/A</v>
      </c>
      <c r="HJ239" s="11" t="e">
        <f t="shared" si="340"/>
        <v>#N/A</v>
      </c>
      <c r="HK239" s="11" t="e">
        <f t="shared" si="341"/>
        <v>#N/A</v>
      </c>
      <c r="HL239" s="55">
        <f>IF(OR(Исходн.данные.!G239="Глин",Исходн.данные.!G239="Т_суг"),1.1,IF(Исходн.данные.!G239="Ср_суг",1,1))</f>
        <v>1</v>
      </c>
      <c r="HM239" s="55">
        <f>IF(OR(Исходн.данные.!G239="Глин",Исходн.данные.!G239="Т_суг"),0.9,IF(Исходн.данные.!G239="Ср_суг",1,1.2))</f>
        <v>1.2</v>
      </c>
      <c r="HN239" s="11" t="e">
        <f t="shared" si="342"/>
        <v>#N/A</v>
      </c>
      <c r="HO239" s="11" t="e">
        <f t="shared" si="343"/>
        <v>#N/A</v>
      </c>
      <c r="HP239" s="11" t="e">
        <f t="shared" si="344"/>
        <v>#N/A</v>
      </c>
      <c r="HQ239" t="e">
        <f t="shared" si="345"/>
        <v>#N/A</v>
      </c>
      <c r="HR239" t="e">
        <f t="shared" si="346"/>
        <v>#N/A</v>
      </c>
      <c r="HS239" t="e">
        <f t="shared" si="347"/>
        <v>#N/A</v>
      </c>
      <c r="HT239" t="e">
        <f t="shared" si="293"/>
        <v>#N/A</v>
      </c>
      <c r="HU239" t="e">
        <f t="shared" si="294"/>
        <v>#N/A</v>
      </c>
      <c r="HV239" t="e">
        <f t="shared" si="295"/>
        <v>#N/A</v>
      </c>
      <c r="HW239" t="e">
        <f t="shared" si="296"/>
        <v>#N/A</v>
      </c>
      <c r="HX239" t="e">
        <f t="shared" si="297"/>
        <v>#N/A</v>
      </c>
      <c r="HY239" t="e">
        <f t="shared" si="298"/>
        <v>#N/A</v>
      </c>
      <c r="HZ239" s="55">
        <f>IF(OR(Исходн.данные.!AI239="Оз_Ч_П",Исходн.данные.!AI239="Оз_З_П",Исходн.данные.!AI239="Яр_зер"),12,30)</f>
        <v>30</v>
      </c>
      <c r="IA239" t="e">
        <f t="shared" si="348"/>
        <v>#N/A</v>
      </c>
      <c r="IB239" t="e">
        <f t="shared" si="349"/>
        <v>#N/A</v>
      </c>
      <c r="IC239" t="e">
        <f t="shared" si="350"/>
        <v>#N/A</v>
      </c>
      <c r="ID239" s="11" t="e">
        <f t="shared" si="351"/>
        <v>#N/A</v>
      </c>
      <c r="IE239" s="11" t="e">
        <f t="shared" si="352"/>
        <v>#N/A</v>
      </c>
      <c r="IF239" s="11" t="e">
        <f t="shared" si="353"/>
        <v>#N/A</v>
      </c>
    </row>
    <row r="240" spans="35:240" x14ac:dyDescent="0.2">
      <c r="AI240">
        <f>IF(Исходн.данные.!I240&gt;6,1,1.85-(0.148*Исходн.данные.!I240))</f>
        <v>1.85</v>
      </c>
      <c r="AJ240">
        <f>IF(Исходн.данные.!I240&gt;6,1,2.434-(0.246*Исходн.данные.!I240))</f>
        <v>2.4340000000000002</v>
      </c>
      <c r="AL240" s="148" t="b">
        <f>IF(Исходн.данные.!$P240="Ум",N_OrgUd_2g_um,IF(Исходн.данные.!$P240="Об",N_OrgUd_2g_ob))</f>
        <v>0</v>
      </c>
      <c r="AM240" s="148" t="b">
        <f>IF(Исходн.данные.!$P240="Ум",P_OrgUd_2g_um,IF(Исходн.данные.!$P240="Об",P_OrgUd_2g_ob))</f>
        <v>0</v>
      </c>
      <c r="AN240" s="148" t="b">
        <f>IF(Исходн.данные.!$P240="Ум",K_OrgUd_2g_um,IF(Исходн.данные.!$P240="Об",K_OrgUd_2g_ob))</f>
        <v>0</v>
      </c>
      <c r="AO240" s="148" t="b">
        <f>IF(Исходн.данные.!$P240="Ум",N_OrgUd_1g_um,IF(Исходн.данные.!$P240="Об",N_OrgUd_1g_ob))</f>
        <v>0</v>
      </c>
      <c r="AP240" s="148" t="b">
        <f>IF(Исходн.данные.!$P240="Ум",P_OrgUd_1g_um,IF(Исходн.данные.!$P240="Об",P_OrgUd_1g_ob))</f>
        <v>0</v>
      </c>
      <c r="AQ240" s="148" t="b">
        <f>IF(Исходн.данные.!$P240="Ум",K_OrgUd_1g_um,IF(Исходн.данные.!$P240="Об",K_OrgUd_1g_ob))</f>
        <v>0</v>
      </c>
      <c r="AR240" t="b">
        <f>IF(Исходн.данные.!$P240="Ум",N_MinUd_2g_um,IF(Исходн.данные.!$P240="Об",N_MinUd_2g_ob))</f>
        <v>0</v>
      </c>
      <c r="AS240" t="b">
        <f>IF(Исходн.данные.!$P240="Ум",P_MinUd_2g_um,IF(Исходн.данные.!$P240="Об",P_MinUd_2g_ob))</f>
        <v>0</v>
      </c>
      <c r="AT240" t="b">
        <f>IF(Исходн.данные.!$P240="Ум",K_MinUd_2g_um,IF(Исходн.данные.!$P240="Об",K_MinUd_2g_ob))</f>
        <v>0</v>
      </c>
      <c r="AU240" t="b">
        <f>IF(Исходн.данные.!$P240="Ум",N_MinUd_1g_um,IF(Исходн.данные.!$P240="Об",N_MinUd_1g_ob))</f>
        <v>0</v>
      </c>
      <c r="AV240" t="b">
        <f>IF(Исходн.данные.!P240="Ум",P_MinUd_1g_um,IF(Исходн.данные.!P240="Об",P_MinUd_1g_ob))</f>
        <v>0</v>
      </c>
      <c r="AW240" t="b">
        <f>IF(Исходн.данные.!P240="Ум",K_MinUd_1g_um,IF(Исходн.данные.!P240="Об",K_MinUd_1g_ob))</f>
        <v>0</v>
      </c>
      <c r="AY240" t="e">
        <f>VLOOKUP(Исходн.данные.!T240,Справ!$A$3:$N$57,12)</f>
        <v>#N/A</v>
      </c>
      <c r="AZ240" t="e">
        <f>VLOOKUP(Исходн.данные.!T240,Справ!$A$3:$N$57,13)</f>
        <v>#N/A</v>
      </c>
      <c r="BA240" t="e">
        <f>VLOOKUP(Исходн.данные.!T240,Справ!$A$3:$N$57,14)</f>
        <v>#N/A</v>
      </c>
      <c r="BB240">
        <f>IF(Исходн.данные.!AH240=0,0,25)</f>
        <v>0</v>
      </c>
      <c r="BC240" s="141">
        <f>IF(Исходн.данные.!AH240=0,0,IF(Исходн.данные.!T240=0,25,BD240))</f>
        <v>0</v>
      </c>
      <c r="BD240" s="168" t="e">
        <f>AY240+AZ240*Исходн.данные.!U240-POWER(BA240,2)*Исходн.данные.!U240</f>
        <v>#N/A</v>
      </c>
      <c r="BE24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0" s="25">
        <f>IF(Исходн.данные.!AH240=0,0,MIN(HN240:HP240))</f>
        <v>0</v>
      </c>
      <c r="BG240" s="9">
        <f>IF(Исходн.данные.!AH240=0,0,IF((HO240+10*0.25/HG240/HL240)&lt;17,17,HO240+10*0.25/HG240/HL240))</f>
        <v>0</v>
      </c>
      <c r="BH240" s="181">
        <f>IF(Исходн.данные.!AH240=0,0,HW240*HF240*HL240/AU240*AI240+Исходн.данные.!S240*10)</f>
        <v>0</v>
      </c>
      <c r="BI240" s="10"/>
      <c r="BJ240" s="182">
        <f>IF(Исходн.данные.!AH240=0,0,IF(HX240*HG240*HL240/AV240&lt;0,0,HX240*HG240*HL240/AV240*AJ240))</f>
        <v>0</v>
      </c>
      <c r="BK240" s="182">
        <f>IF(Исходн.данные.!AH240=0,0,HY240*HH240*HM240/AW240)</f>
        <v>0</v>
      </c>
      <c r="BL240" s="10">
        <f>IF(OR(Исходн.данные.!$AH240=$BP$1,Исходн.данные.!$AH240=$BP$2),0,IF(BH240&lt;0,0,IF(OR(Исходн.данные.!T240=Расчет!$BP$1,Исходн.данные.!T240=Расчет!$BP$2,Исходн.данные.!T240=Расчет!$BT$5,Исходн.данные.!T240=Расчет!$BT$6),BH240*0.5,IF(OR(Исходн.данные.!T240=Расчет!$BS$9,Исходн.данные.!T240=Расчет!$BS$10,Исходн.данные.!T240=Расчет!$BS$11,Исходн.данные.!T240=Расчет!$BS$12,Исходн.данные.!T240=Расчет!$BP$5),BH240*0.8,BH240))))</f>
        <v>0</v>
      </c>
      <c r="BM240" s="10">
        <f>IF(OR(Исходн.данные.!$AH240=$BP$1,Исходн.данные.!$AH240=$BP$2),0,IF(BJ240&lt;0,0,IF(Исходн.данные.!I240&lt;4.5,BJ240*1.2,IF(Исходн.данные.!I240&gt;5.1,BJ240,BJ240*((5.1-Исходн.данные.!I240)*0.333+1)))))</f>
        <v>0</v>
      </c>
      <c r="BN240" s="10">
        <f>IF(OR(Исходн.данные.!$AH240=$BP$1,Исходн.данные.!$AH240=$BP$2),60-Исходн.данные.!AF240,IF(BK240&lt;0,0,IF(Исходн.данные.!I240&lt;4.5,BK240*1.2,IF(Исходн.данные.!I240&gt;5.1,BK240,BK240*((5.1-Исходн.данные.!I240)*0.333+1)))))</f>
        <v>0</v>
      </c>
      <c r="BO240" s="9">
        <f>IF(BL240&lt;0,0,BL240*Исходн.данные.!$AJ240/1000)</f>
        <v>0</v>
      </c>
      <c r="BP240" s="9">
        <f>IF(BM240&lt;0,0,BM240*Исходн.данные.!$AJ240/1000)</f>
        <v>0</v>
      </c>
      <c r="BQ240" s="9">
        <f>IF(BN240&lt;0,0,BN240*Исходн.данные.!$AJ240/1000)</f>
        <v>0</v>
      </c>
      <c r="BR240" s="9">
        <f t="shared" si="303"/>
        <v>0</v>
      </c>
      <c r="BS240" s="10" t="str">
        <f t="shared" si="304"/>
        <v>Аммофос 12:52:00</v>
      </c>
      <c r="BT240" s="10" t="str">
        <f t="shared" si="305"/>
        <v>Аммофос 12:52:00</v>
      </c>
      <c r="BU240" s="10" t="str">
        <f t="shared" si="306"/>
        <v>Диаммофоска</v>
      </c>
      <c r="BV240" s="10">
        <f t="shared" si="307"/>
        <v>0</v>
      </c>
      <c r="BW240" s="10"/>
      <c r="BX240" s="10"/>
      <c r="BY240" s="9">
        <f>IF(BL240&lt;0,0,IF(OR(Исходн.данные.!AI240=Расчет!$BU$6,Исходн.данные.!AI240=Расчет!$BU$7),Расчет!BV240,IF(Исходн.данные.!$AG240=$BV$11,BL240,IF(OR(Исходн.данные.!$AH240=$BQ$7,Исходн.данные.!$AH240=$BQ$8),CB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0,IF(Исходн.данные.!$AI240=$BU$11,"Нет",IF(BL240&gt;30,30,BL240)))))))</f>
        <v>0</v>
      </c>
      <c r="BZ240" s="9">
        <f>IF(AND(Исходн.данные.!$AG240=$BV$11,BM240&lt;10),10,IF(Исходн.данные.!$AG240=$BV$11,BM240,IF(OR(Исходн.данные.!$AH240=$BQ$7,Исходн.данные.!$AH240=$BQ$8),CC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10,IF(Исходн.данные.!$AI240=$BU$11,"Нет",IF(BM240&gt;60,60,IF(BM240&lt;10,10,BM240)))))))</f>
        <v>10</v>
      </c>
      <c r="CA240" s="39">
        <f>IF(BN240&lt;0,0,IF(Исходн.данные.!$AG240=$BV$11,BN240,IF(OR(Исходн.данные.!$AH240=$BQ$7,Исходн.данные.!$AH240=$BQ$8),CD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0,IF(Исходн.данные.!$AI240=$BU$11,"Нет",IF(BN240&gt;30,30,BN240))))))</f>
        <v>0</v>
      </c>
      <c r="CB240" s="9">
        <f t="shared" si="308"/>
        <v>0</v>
      </c>
      <c r="CC240" s="9">
        <f t="shared" si="309"/>
        <v>0</v>
      </c>
      <c r="CD240" s="9">
        <f t="shared" si="310"/>
        <v>0</v>
      </c>
      <c r="CE240" s="12">
        <f t="shared" si="311"/>
        <v>10</v>
      </c>
      <c r="CF240" s="9">
        <f t="shared" si="312"/>
        <v>0</v>
      </c>
      <c r="CG240" s="9" t="s">
        <v>231</v>
      </c>
      <c r="CH240" s="132" t="str">
        <f>IF(Исходн.данные.!AP240=Расчет!$CI$16,"Нет",IF(Исходн.данные.!AL240&gt;0,Исходн.данные.!AL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BH$4,IF(OR(Исходн.данные.!AI240=Исходн.данные.!$AI$6,Исходн.данные.!AI240=Исходн.данные.!$AI$7),Расчет!BS240,IF(AND($CF240=0,$CE240&gt;0),EV240,ER240)))))</f>
        <v>Аммофос 12:52:00</v>
      </c>
      <c r="CI240" s="274">
        <f>IF(Расчет!$CH240="Нет","Нет",IF(Исходн.данные.!$AL240&gt;0,VLOOKUP(Расчет!$CH240,АшламаДВ_Irekle,2,FALSE),VLOOKUP(Расчет!$CH240,АшламаДВ_Gomumy,2,FALSE)))</f>
        <v>0.12</v>
      </c>
      <c r="CJ240" s="274">
        <f>IF(Расчет!$CH240="Нет","Нет",IF(Исходн.данные.!$AL240&gt;0,VLOOKUP(Расчет!$CH240,АшламаДВ_Irekle,3,FALSE),VLOOKUP(Расчет!$CH240,АшламаДВ_Gomumy,3,FALSE)))</f>
        <v>0.52</v>
      </c>
      <c r="CK240" s="274">
        <f>IF(Расчет!$CH240="Нет","Нет",IF(Исходн.данные.!$AL240&gt;0,VLOOKUP(Расчет!$CH240,АшламаДВ_Irekle,4,FALSE),VLOOKUP(Расчет!$CH240,АшламаДВ_Gomumy,4,FALSE)))</f>
        <v>0</v>
      </c>
      <c r="CL240" s="70"/>
      <c r="CM240" s="70"/>
      <c r="CN240" s="70"/>
      <c r="CO240" s="70"/>
      <c r="CP240" s="70"/>
      <c r="CQ240" s="70"/>
      <c r="CR240" s="10">
        <f t="shared" si="313"/>
        <v>0</v>
      </c>
      <c r="CS240" s="10">
        <f t="shared" si="314"/>
        <v>19.23076923076923</v>
      </c>
      <c r="CT240" s="10">
        <f t="shared" si="315"/>
        <v>0</v>
      </c>
      <c r="CU240" s="39">
        <f>IF($CH240="Нет",0,IF(CI240=0,30/MIN(CJ240:CK240),IF(Исходн.данные.!$AG240=$BV$11,CR240,IF(OR(Исходн.данные.!$AH240=$BQ$7,Исходн.данные.!$AH240=$BQ$8),90/CI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0,IF(Исходн.данные.!$AI240=$BU$11,"Нет",30/CI240))))))</f>
        <v>250</v>
      </c>
      <c r="CV240" s="39">
        <f>IF($CH240="Нет",0,IF(Исходн.данные.!AH240=0,0,IF(CJ240=0,60/MIN(CI240,CK240),IF(Исходн.данные.!$AG240=$BV$11,CS240,IF(OR(Исходн.данные.!$AH240=$BQ$7,Исходн.данные.!$AH240=$BQ$8),90/CJ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10/CJ240,IF(Исходн.данные.!$AI240=$BU$11,"Нет",60/CJ240)))))))</f>
        <v>0</v>
      </c>
      <c r="CW240" s="39">
        <f>IF($CH240="Нет",0,IF(Исходн.данные.!AH240=0,0,IF(CK240=0,30/MIN(CI240:CJ240),IF(Исходн.данные.!$AG240=$BV$11,CT240,IF(OR(Исходн.данные.!$AH240=$BQ$7,Исходн.данные.!$AH240=$BQ$8),90/CK240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0,IF(Исходн.данные.!$AI240=$BU$11,"Нет",30/CK240)))))))</f>
        <v>0</v>
      </c>
      <c r="CX240" s="133">
        <f>IF(Исходн.данные.!$AG240=$BV$11,MAX(CU240:CW240),IF(OR(Исходн.данные.!$AH240=$BS$8,Исходн.данные.!$AH240=$BQ$9,Исходн.данные.!$AH240=$BQ$10,Исходн.данные.!$AH240=$BQ$11,Исходн.данные.!$AH240=$BQ$12,Исходн.данные.!$AH240=$BP$3,Исходн.данные.!$AH240=$BT$8,$FM240="Да"),CV240,MIN(CU240:CW240)))</f>
        <v>0</v>
      </c>
      <c r="CY240" s="133">
        <f>IF(Исходн.данные.!AH240=0,0,IF(CR240&gt;$CX240,$CX240,CR240))</f>
        <v>0</v>
      </c>
      <c r="CZ240" s="133">
        <f>IF(Исходн.данные.!AH240=0,0,IF(CS240&gt;$CX240,$CX240,CS240))</f>
        <v>0</v>
      </c>
      <c r="DA240" s="133">
        <f>IF(Исходн.данные.!AH240=0,0,IF(CT240&gt;$CX240,$CX240,CT240))</f>
        <v>0</v>
      </c>
      <c r="DB240" s="10">
        <f t="shared" si="316"/>
        <v>0</v>
      </c>
      <c r="DC240" s="39">
        <f>DB240*Исходн.данные.!AJ240/1000</f>
        <v>0</v>
      </c>
      <c r="DD240" s="71">
        <f t="shared" si="317"/>
        <v>0</v>
      </c>
      <c r="DE240" s="9">
        <f t="shared" si="318"/>
        <v>0</v>
      </c>
      <c r="DF240" s="9">
        <f t="shared" si="319"/>
        <v>0</v>
      </c>
      <c r="DG240" s="39">
        <f>IF(BL240&lt;0,0,IF($CH240="Нет",BL240,IF(OR(Исходн.данные.!$AH240=$BP$1,Исходн.данные.!$AH240=$BP$2),0,IF(Исходн.данные.!AI240=$BU$11,BL240,IF(BL240-DD240&lt;0,0,BL240-DD240)))))</f>
        <v>0</v>
      </c>
      <c r="DH240" s="39">
        <f>IF(BM240&lt;0,0,IF($CH240="Нет",BM240,IF(OR(Исходн.данные.!$AH240=$BP$1,Исходн.данные.!$AH240=$BP$2),0,IF(Исходн.данные.!AJ240=$BU$11,BM240,IF(BM240-DE240&lt;0,0,BM240-DE240)))))</f>
        <v>0</v>
      </c>
      <c r="DI240" s="39">
        <f>IF(BN240&lt;0,0,IF($CH240="Нет",BN240,IF(OR(Исходн.данные.!$AH240=$BP$1,Исходн.данные.!$AH240=$BP$2),0,IF(Исходн.данные.!AK240=$BU$11,BN240,IF(BN240-DF240&lt;0,0,BN240-DF240)))))</f>
        <v>0</v>
      </c>
      <c r="DJ240" s="12">
        <f t="shared" si="320"/>
        <v>0</v>
      </c>
      <c r="DK240" s="9">
        <f t="shared" si="321"/>
        <v>0</v>
      </c>
      <c r="DL240" s="39">
        <f>IF(Исходн.данные.!AM240&gt;0,Исходн.данные.!AM240,IF(EG240&gt;0,$BH$10,0))</f>
        <v>0</v>
      </c>
      <c r="DM240" s="186">
        <f>IF($DL240=0,0,IF(Исходн.данные.!AM240&gt;0,VLOOKUP($DL240,АшламаДВ_Irekle,2,FALSE),VLOOKUP($DL240,АшламаДВ_Gomumy,2,FALSE)))</f>
        <v>0</v>
      </c>
      <c r="DN240" s="10">
        <f t="shared" si="299"/>
        <v>0</v>
      </c>
      <c r="DO240" s="9" t="str">
        <f>IF(Исходн.данные.!AN240&gt;0,Исходн.данные.!AN240,Удобрения!$B$37 )</f>
        <v>Хлор.калий</v>
      </c>
      <c r="DP240" s="9">
        <f>IF(Исходн.данные.!AN240&gt;0,VLOOKUP(Исходн.данные.!AN240,АшламаДВ_Irekle,4,FALSE),VLOOKUP(DO240,АшламаДВ_Gomumy,4,FALSE))</f>
        <v>0.6</v>
      </c>
      <c r="DQ240" s="10">
        <f t="shared" si="300"/>
        <v>0</v>
      </c>
      <c r="DR240" s="132" t="str">
        <f>IF(Исходн.данные.!AO240&gt;0,Исходн.данные.!AO240,IF(DH240=0,BS$17,IF(AND($DK240=0,$DJ240&gt;0),EJ240,EN240)))</f>
        <v>Нет</v>
      </c>
      <c r="DS240" s="70" t="str">
        <f>IF($DR240="Нет","Нет",IF(Исходн.данные.!$AO240&gt;0,VLOOKUP($DR240,АшламаДВ_Irekle,2,FALSE),VLOOKUP($DR240,АшламаДВ_Gomumy,2,FALSE)))</f>
        <v>Нет</v>
      </c>
      <c r="DT240" s="70" t="str">
        <f>IF($DR240="Нет","Нет",IF(Исходн.данные.!$AO240&gt;0,VLOOKUP($DR240,АшламаДВ_Irekle,3,FALSE),VLOOKUP($DR240,АшламаДВ_Gomumy,3,FALSE)))</f>
        <v>Нет</v>
      </c>
      <c r="DU240" s="70" t="str">
        <f>IF($DR240="Нет","Нет",IF(Исходн.данные.!$AO240&gt;0,VLOOKUP($DR240,АшламаДВ_Irekle,4,FALSE),VLOOKUP($DR240,АшламаДВ_Gomumy,4,FALSE)))</f>
        <v>Нет</v>
      </c>
      <c r="DV240" s="70"/>
      <c r="DW240" s="70"/>
      <c r="DX240" s="70"/>
      <c r="DY240" s="10">
        <f t="shared" si="322"/>
        <v>0</v>
      </c>
      <c r="DZ240" s="10">
        <f t="shared" si="323"/>
        <v>0</v>
      </c>
      <c r="EA240" s="10">
        <f t="shared" si="324"/>
        <v>0</v>
      </c>
      <c r="EB240" s="10">
        <f t="shared" si="325"/>
        <v>0</v>
      </c>
      <c r="EC240" s="10">
        <f t="shared" si="326"/>
        <v>0</v>
      </c>
      <c r="ED240" s="10">
        <f t="shared" si="327"/>
        <v>0</v>
      </c>
      <c r="EE240" s="10">
        <f t="shared" si="328"/>
        <v>0</v>
      </c>
      <c r="EF240" s="39">
        <f>EB240*Исходн.данные.!AJ240/1000</f>
        <v>0</v>
      </c>
      <c r="EG240" s="9">
        <f t="shared" si="329"/>
        <v>0</v>
      </c>
      <c r="EH240" s="9">
        <f t="shared" si="330"/>
        <v>0</v>
      </c>
      <c r="EI240" s="39" t="e">
        <f t="shared" si="280"/>
        <v>#DIV/0!</v>
      </c>
      <c r="EJ240" s="9" t="str">
        <f t="shared" si="301"/>
        <v>Азопреципитат</v>
      </c>
      <c r="EK240" s="12">
        <f t="shared" si="281"/>
        <v>0.26</v>
      </c>
      <c r="EL240" s="12">
        <f t="shared" si="282"/>
        <v>0.13</v>
      </c>
      <c r="EM240" s="12">
        <f t="shared" si="283"/>
        <v>0</v>
      </c>
      <c r="EN240" s="12" t="str">
        <f t="shared" si="302"/>
        <v>Нет</v>
      </c>
      <c r="EO240" s="12">
        <f t="shared" si="284"/>
        <v>0</v>
      </c>
      <c r="EP240" s="12">
        <f t="shared" si="285"/>
        <v>0</v>
      </c>
      <c r="EQ240" s="12">
        <f t="shared" si="286"/>
        <v>0</v>
      </c>
      <c r="ER240" s="12" t="str">
        <f t="shared" si="331"/>
        <v>Диаммофоска</v>
      </c>
      <c r="ES240" s="12">
        <f t="shared" si="287"/>
        <v>0.1</v>
      </c>
      <c r="ET240" s="12">
        <f t="shared" si="288"/>
        <v>0.26</v>
      </c>
      <c r="EU240" s="12">
        <f t="shared" si="289"/>
        <v>0.26</v>
      </c>
      <c r="EV240" s="12" t="str">
        <f t="shared" si="332"/>
        <v>Аммофос 12:52:00</v>
      </c>
      <c r="EW240" s="12" t="str">
        <f t="shared" si="333"/>
        <v>Кемира Свекловичное-6</v>
      </c>
      <c r="EX240" s="12">
        <f t="shared" si="290"/>
        <v>0.16</v>
      </c>
      <c r="EY240" s="12">
        <f t="shared" si="291"/>
        <v>0.12</v>
      </c>
      <c r="EZ240" s="12">
        <f t="shared" si="292"/>
        <v>0.17</v>
      </c>
      <c r="FA240" s="38" t="e">
        <f>IF(AND(OR(FJ240=$FD$1,FM240=$FD$1,FO240=$FD$1,FQ240=$FD$1,FS240=$FD$1),FD240=$FD$1,Исходн.данные.!J240&lt;2,FU240=$FD$1),"Бор,Кобальт",IF(AND(FO240=$FD$1,FH240=$FD$1,Исходн.данные.!J240&lt;2,FU240=$FD$1),"Бор,Кобальт",IF(AND(OR(FJ240=$FD$1,FM240=$FD$1,FQ240=$FD$1),FE240=$FD$1,Исходн.данные.!J240&lt;2,FT240=$FD$1,FU240=$FD$1),"Бор,Медь,Цинк",IF(AND(OR(FJ240=$FD$1,FR240="Да"),FI240="Да",Исходн.данные.!J240&lt;2,FT240="Да",FU240="Да"),"Бор,Цинк,Медь",IF(AND(OR(FM240="Да",FQ240="Да"),FI240="Да",Исходн.данные.!J240&lt;2,FT240="Да",FU240="Да"),"Бор,Цинк",IF(AND(FN240="Да",OR(FD240="Да",FE240="Да")),"Бор",FB240))))))</f>
        <v>#N/A</v>
      </c>
      <c r="FB240" s="134" t="e">
        <f>IF(AND(OR(FD240="Да",FE240="Да",FF240="Да",FG240="Да",FH240="Да"),FO240="Да"),"Бор",IF(AND(FP240="Да",OR(FD240="Да",FE240="Да",FI240="Да")),"Бор",IF(AND(FS240="Да",FE240="Да"),"Бор,Медь",IF(AND(OR(FJ240="Да",FK240="Да",FL240="Да"),FE240="Да",Исходн.данные.!I240&lt;5,FT240="Да",FU240="Да"),"Молибден,Цинк",IF(AND(FM240="Да",OR(FE240="Да",FF240="Да",FG240="Да",FH240="Да",FI240="Да")),"Молибден,Цинк",IF(AND(OR(FJ240="Да",FK240="Да",FL240="Да",FM240="Да",FQ240="Да"),OR(FE240="Да",FF240="Да"),FT240="Да",FU240="Да",Исходн.данные.!I240&gt;5.5),"Медь,Цинк",FC240))))))</f>
        <v>#N/A</v>
      </c>
      <c r="FC240" s="23" t="e">
        <f t="shared" si="334"/>
        <v>#N/A</v>
      </c>
      <c r="FD240" s="38" t="str">
        <f>IF(OR(Исходн.данные.!F240=$CC$1,Исходн.данные.!F240=$CC$2,Исходн.данные.!F240=$CC$3,Исходн.данные.!F240=$CC$4),"Да","Нет")</f>
        <v>Нет</v>
      </c>
      <c r="FE240" s="38" t="str">
        <f>IF(Исходн.данные.!F240=$CC$5,"Да","Нет")</f>
        <v>Нет</v>
      </c>
      <c r="FF240" s="38" t="str">
        <f>IF(OR(Исходн.данные.!F240=$CC$6,Исходн.данные.!F240=$CC$7),"Да","Нет")</f>
        <v>Нет</v>
      </c>
      <c r="FG240" s="38" t="str">
        <f>IF(OR(Исходн.данные.!F240=$CC$8,Исходн.данные.!F240=$CC$9),"Да","Нет")</f>
        <v>Нет</v>
      </c>
      <c r="FH240" s="38" t="str">
        <f>IF(Исходн.данные.!F240=$CC$10,"Да","Нет")</f>
        <v>Нет</v>
      </c>
      <c r="FI240" s="38" t="str">
        <f>IF(OR(Исходн.данные.!F240=$CC$11,Исходн.данные.!F240=$CC$12),"Да","Нет")</f>
        <v>Нет</v>
      </c>
      <c r="FJ240" s="38" t="str">
        <f>IF(OR(Исходн.данные.!AH240=$BS$1,Исходн.данные.!AH240=$BQ$11,Исходн.данные.!AH240=$BQ$12),"Да","Нет")</f>
        <v>Нет</v>
      </c>
      <c r="FK240" s="38" t="str">
        <f>IF(OR(Исходн.данные.!AH240=$BS$2,Исходн.данные.!AH240=$BS$4),"Да","Нет")</f>
        <v>Нет</v>
      </c>
      <c r="FL240" s="38" t="str">
        <f>IF(OR(Исходн.данные.!AH240=$BS$3,Исходн.данные.!AH240=$BS$5),"Да","Нет")</f>
        <v>Нет</v>
      </c>
      <c r="FM240" s="38" t="str">
        <f>IF(OR(Исходн.данные.!AH240=$BS$9,Исходн.данные.!AH240=$BS$10,Исходн.данные.!AH240=$BS$11,Исходн.данные.!AH240=$BS$12),"Да","Нет")</f>
        <v>Нет</v>
      </c>
      <c r="FN240" s="38" t="str">
        <f>IF(OR(Исходн.данные.!AH240=$BS$6,Исходн.данные.!AH240=$BP$3),"Да","Нет")</f>
        <v>Нет</v>
      </c>
      <c r="FO240" s="38" t="str">
        <f>IF(Исходн.данные.!AH240=$BQ$9,"Да","Нет")</f>
        <v>Нет</v>
      </c>
      <c r="FP240" s="38" t="str">
        <f>IF(OR(Исходн.данные.!AH240=$BS$8,Исходн.данные.!AH240=$BT$8),"Да","Нет")</f>
        <v>Нет</v>
      </c>
      <c r="FQ240" s="38" t="str">
        <f>IF(OR(Исходн.данные.!AH240=$BQ$7,Исходн.данные.!AH240=$BQ$8),"Да","Нет")</f>
        <v>Нет</v>
      </c>
      <c r="FR240" s="38" t="str">
        <f>IF(Исходн.данные.!AI240=$BU$9,"Да","Нет")</f>
        <v>Нет</v>
      </c>
      <c r="FS240" s="38" t="str">
        <f>IF(OR(Исходн.данные.!AH240=$BP$1,Исходн.данные.!AH240=$BP$2),"Да","Нет")</f>
        <v>Нет</v>
      </c>
      <c r="FT240" s="38" t="e">
        <f>IF((Исходн.данные.!K240*GO240*GS240*GW240+BL240*0.6+Исходн.данные.!Q240*4.5*0.275)&gt;90,"Да","Нет")</f>
        <v>#N/A</v>
      </c>
      <c r="FU240" s="38" t="e">
        <f>IF((Исходн.данные.!M240*GS240*GZ240+BM240*0.225)&gt;35,"Да","Нет")</f>
        <v>#N/A</v>
      </c>
      <c r="FV240" s="38" t="str">
        <f>IF(Исходн.данные.!O240&gt;175,"Да","Нет")</f>
        <v>Нет</v>
      </c>
      <c r="FW240" s="39" t="str">
        <f>IF(Исходн.данные.!I240&gt;5.5,"Да","Нет")</f>
        <v>Нет</v>
      </c>
      <c r="FX240" s="39" t="str">
        <f>IF(Исходн.данные.!J240&lt;2,"Да","Нет")</f>
        <v>Да</v>
      </c>
      <c r="FY240" s="39" t="e">
        <f>IF(HF240=$FY$16,0,Исходн.данные.!K240*GO240*GS240*GW240/HF240)</f>
        <v>#N/A</v>
      </c>
      <c r="FZ240" s="39" t="e">
        <f>Исходн.данные.!M240*GS240*GZ240/HG240</f>
        <v>#N/A</v>
      </c>
      <c r="GA240" s="39" t="e">
        <f>IF(K_Wyn=$FY$16,0,IF(Исходн.данные.!N240=Исходн.данные.!$L$10,Исходн.данные.!O240/1.1*GS240*HC240/HH240,IF(Исходн.данные.!N240=Исходн.данные.!$L$12,Исходн.данные.!O240/1.5*GS240*HC240/HH240,Исходн.данные.!O240*GS240*HC240/HH240)))</f>
        <v>#N/A</v>
      </c>
      <c r="GB240" s="39" t="e">
        <f>IF(HF240=$FY$16,0,((Исходн.данные.!Q240*N_Org+Исходн.данные.!R240*N_Sider+Исходн.данные.!S240*N_Soloma)*AO240+Расчет!BC240*VLOOKUP(Исходн.данные.!T240,Справ!$A$3:$O$57,15)*AO240+BB240*VLOOKUP(Исходн.данные.!T240,Справ!$A$3:$O$57,15)*AL240+(Исходн.данные.!V240*N_Rizotorf+Исходн.данные.!W240*N_Rizoagr))/HF240)</f>
        <v>#N/A</v>
      </c>
      <c r="GC240" s="39" t="e">
        <f>IF(HG240=$FY$16,0,((Исходн.данные.!Q240*Р_Org+Исходн.данные.!R240*P_Sider+Исходн.данные.!S240*P_Soloma)*AP240+Расчет!BC240*VLOOKUP(Исходн.данные.!T240,Справ!$A$3:$P$57,16)*AP240+BB240*VLOOKUP(Исходн.данные.!T240,Справ!$A$3:$P$57,16)*AM240)/HG240)</f>
        <v>#N/A</v>
      </c>
      <c r="GD240" s="39" t="e">
        <f>IF(HH240=$FY$16,0,((Исходн.данные.!Q240*К_Org+Исходн.данные.!R240*K_Sider+Исходн.данные.!S240*K_Soloma)*AQ240+Расчет!BC240*VLOOKUP(Исходн.данные.!T240,Справ!$A$3:$Q$57,17)*AQ240+BB240*VLOOKUP(Исходн.данные.!T240,Справ!$A$3:$Q$57,17)*AN240)/HH240)</f>
        <v>#N/A</v>
      </c>
      <c r="GE240" s="39" t="e">
        <f>IF(HF240=$FY$16,0,(Исходн.данные.!X240*AR240+Исходн.данные.!AA240*N_Org*AL240+Исходн.данные.!AB240*N_Sider*AL240+Исходн.данные.!AC240*N_Soloma*AL240)/HF240)</f>
        <v>#N/A</v>
      </c>
      <c r="GF240" s="39" t="e">
        <f>IF(HG240=$FY$16,0,(Исходн.данные.!Y240*AS240+Исходн.данные.!AA240*Р_Org*AM240+Исходн.данные.!AB240*P_Sider*AM240+Исходн.данные.!AC240*P_Soloma*AM240)/HG240)</f>
        <v>#N/A</v>
      </c>
      <c r="GG240" s="39" t="e">
        <f>IF(HH240=$FY$16,0,(Исходн.данные.!Z240*AT240+Исходн.данные.!AA240*К_Org*AN240+Исходн.данные.!AB240*K_Sider*AN240+Исходн.данные.!AC240*K_Soloma*AN240)/HH240)</f>
        <v>#N/A</v>
      </c>
      <c r="GH240" s="39" t="e">
        <f>Исходн.данные.!AD240*AU240/HF240</f>
        <v>#N/A</v>
      </c>
      <c r="GI240" s="39" t="e">
        <f>Исходн.данные.!AE240*AV240/HG240</f>
        <v>#N/A</v>
      </c>
      <c r="GJ240" s="39" t="e">
        <f>Исходн.данные.!AF240*AW240/HH240</f>
        <v>#N/A</v>
      </c>
      <c r="GK240" s="55">
        <f>Исходн.данные.!AK240</f>
        <v>0</v>
      </c>
      <c r="GL240" s="11" t="e">
        <f t="shared" si="335"/>
        <v>#N/A</v>
      </c>
      <c r="GM240" s="11" t="e">
        <f t="shared" si="336"/>
        <v>#N/A</v>
      </c>
      <c r="GN240" s="11" t="e">
        <f t="shared" si="337"/>
        <v>#N/A</v>
      </c>
      <c r="GO240" s="57">
        <f t="shared" si="338"/>
        <v>19</v>
      </c>
      <c r="GP240" s="55">
        <f>IF(OR(Исходн.данные.!F240=$CE$1,Исходн.данные.!F240=$CE$2,Исходн.данные.!F240=$CE$3,Исходн.данные.!F240=$CE$4,Исходн.данные.!F240=$CE$5),GQ240,GR240)</f>
        <v>19</v>
      </c>
      <c r="GQ240" s="55">
        <f>IF(Исходн.данные.!F240=$CE$1,28,IF(Исходн.данные.!F240=$CE$2,26,IF(Исходн.данные.!F240=$CE$3,24,IF(Исходн.данные.!F240=$CE$4,22,IF(Исходн.данные.!F240=$CE$5,20,GR240)))))</f>
        <v>19</v>
      </c>
      <c r="GR240" s="55">
        <f>IF(Исходн.данные.!F240=$CE$6,18,IF(Исходн.данные.!F240=$CE$7,16,IF(Исходн.данные.!F240=$CE$8,14,IF(Исходн.данные.!F240=$CE$9,13,IF(Исходн.данные.!F240=$CE$10,12,19)))))</f>
        <v>19</v>
      </c>
      <c r="GS240" s="55">
        <f>IF(Исходн.данные.!G240="Пес",0.035*(40+2*Исходн.данные.!H240),IF(Исходн.данные.!G240="Суп",0.0325*(40+2*Исходн.данные.!H240),0.03*(40+2*Исходн.данные.!H240)))</f>
        <v>1.2</v>
      </c>
      <c r="GT240" s="55">
        <f>IF(Исходн.данные.!H240&lt;23,2.6,IF(AND(Исходн.данные.!H240&gt;22,Исходн.данные.!H240&lt;26),3,IF(AND(Исходн.данные.!H240&gt;25,Исходн.данные.!H240&lt;29),3.4,3.6)))</f>
        <v>2.6</v>
      </c>
      <c r="GU240" s="55">
        <f>IF(Исходн.данные.!H240&lt;23,2.8,IF(AND(Исходн.данные.!H240&gt;22,Исходн.данные.!H240&lt;26),3.2,IF(AND(Исходн.данные.!H240&gt;25,Исходн.данные.!H240&lt;29),3.6,3.9)))</f>
        <v>2.8</v>
      </c>
      <c r="GV240" s="55">
        <f>IF(Исходн.данные.!H240&lt;23,3,IF(AND(Исходн.данные.!H240&gt;22,Исходн.данные.!H240&lt;26),3.5,IF(AND(Исходн.данные.!H240&gt;25,Исходн.данные.!H240&lt;29),3.9,4.2)))</f>
        <v>3</v>
      </c>
      <c r="GW240" s="55" t="e">
        <f>IF(Исходн.данные.!P240="Ум",GX240,GY240)</f>
        <v>#N/A</v>
      </c>
      <c r="GX240" s="55" t="e">
        <f>VLOOKUP(Исходн.данные.!AI240,Коэффициенты!$J$7:$L$13,2,FALSE)</f>
        <v>#N/A</v>
      </c>
      <c r="GY240" s="55" t="e">
        <f>VLOOKUP(Исходн.данные.!AI240,Коэффициенты!$J$7:$L$13,3,FALSE)</f>
        <v>#N/A</v>
      </c>
      <c r="GZ240" s="55" t="e">
        <f>(IF(Исходн.данные.!M240&lt;50,0.11*VLOOKUP(Исходн.данные.!AH240,Культуры.Информация,7,FALSE),IF(Исходн.данные.!M240&gt;250,0.05*VLOOKUP(Исходн.данные.!AH240,Культуры.Информация,7,FALSE),VLOOKUP(Исходн.данные.!AH240,Культуры.Информация,5,FALSE)/100*($GX$6+$GY$6*Исходн.данные.!M240))))*Расчет2!AI240</f>
        <v>#N/A</v>
      </c>
      <c r="HA240" s="211"/>
      <c r="HB240" s="211"/>
      <c r="HC240" s="55" t="e">
        <f>(IF(Исходн.данные.!O240&lt;80,0.2*VLOOKUP(Исходн.данные.!AH240,Культуры.Информация,8,FALSE),IF(Исходн.данные.!O240&gt;240,0.09*VLOOKUP(Исходн.данные.!AH240,Культуры.Информация,8,FALSE),VLOOKUP(Исходн.данные.!AH240,Культуры.Информация,6,FALSE)/100*($HB$6+$HC$6*Исходн.данные.!O240))))*Расчет2!AJ240</f>
        <v>#N/A</v>
      </c>
      <c r="HD240" s="55">
        <f>IF(Исходн.данные.!O240&gt;240,0.09,IF(Исходн.данные.!O240&lt;30,0.3,$HE$10+$HD$10*Исходн.данные.!O240))</f>
        <v>0.3</v>
      </c>
      <c r="HE240" s="55">
        <f>IF(Исходн.данные.!O240&gt;240,0.17,IF(Исходн.данные.!O240&lt;30,0.5,$HF$12+$HE$12*Исходн.данные.!O240))</f>
        <v>0.5</v>
      </c>
      <c r="HF240" s="55" t="e">
        <f>VLOOKUP(Исходн.данные.!AH240,Справ!$A$3:$D$58,2,FALSE)</f>
        <v>#N/A</v>
      </c>
      <c r="HG240" s="55" t="e">
        <f>VLOOKUP(Исходн.данные.!AH240,Справ!$A$3:$D$58,3,FALSE)</f>
        <v>#N/A</v>
      </c>
      <c r="HH240" s="55" t="e">
        <f>VLOOKUP(Исходн.данные.!AH240,Справ!$A$3:$D$58,4,FALSE)</f>
        <v>#N/A</v>
      </c>
      <c r="HI240" s="11" t="e">
        <f t="shared" si="339"/>
        <v>#N/A</v>
      </c>
      <c r="HJ240" s="11" t="e">
        <f t="shared" si="340"/>
        <v>#N/A</v>
      </c>
      <c r="HK240" s="11" t="e">
        <f t="shared" si="341"/>
        <v>#N/A</v>
      </c>
      <c r="HL240" s="55">
        <f>IF(OR(Исходн.данные.!G240="Глин",Исходн.данные.!G240="Т_суг"),1.1,IF(Исходн.данные.!G240="Ср_суг",1,1))</f>
        <v>1</v>
      </c>
      <c r="HM240" s="55">
        <f>IF(OR(Исходн.данные.!G240="Глин",Исходн.данные.!G240="Т_суг"),0.9,IF(Исходн.данные.!G240="Ср_суг",1,1.2))</f>
        <v>1.2</v>
      </c>
      <c r="HN240" s="11" t="e">
        <f t="shared" si="342"/>
        <v>#N/A</v>
      </c>
      <c r="HO240" s="11" t="e">
        <f t="shared" si="343"/>
        <v>#N/A</v>
      </c>
      <c r="HP240" s="11" t="e">
        <f t="shared" si="344"/>
        <v>#N/A</v>
      </c>
      <c r="HQ240" t="e">
        <f t="shared" si="345"/>
        <v>#N/A</v>
      </c>
      <c r="HR240" t="e">
        <f t="shared" si="346"/>
        <v>#N/A</v>
      </c>
      <c r="HS240" t="e">
        <f t="shared" si="347"/>
        <v>#N/A</v>
      </c>
      <c r="HT240" t="e">
        <f t="shared" si="293"/>
        <v>#N/A</v>
      </c>
      <c r="HU240" t="e">
        <f t="shared" si="294"/>
        <v>#N/A</v>
      </c>
      <c r="HV240" t="e">
        <f t="shared" si="295"/>
        <v>#N/A</v>
      </c>
      <c r="HW240" t="e">
        <f t="shared" si="296"/>
        <v>#N/A</v>
      </c>
      <c r="HX240" t="e">
        <f t="shared" si="297"/>
        <v>#N/A</v>
      </c>
      <c r="HY240" t="e">
        <f t="shared" si="298"/>
        <v>#N/A</v>
      </c>
      <c r="HZ240" s="55">
        <f>IF(OR(Исходн.данные.!AI240="Оз_Ч_П",Исходн.данные.!AI240="Оз_З_П",Исходн.данные.!AI240="Яр_зер"),12,30)</f>
        <v>30</v>
      </c>
      <c r="IA240" t="e">
        <f t="shared" si="348"/>
        <v>#N/A</v>
      </c>
      <c r="IB240" t="e">
        <f t="shared" si="349"/>
        <v>#N/A</v>
      </c>
      <c r="IC240" t="e">
        <f t="shared" si="350"/>
        <v>#N/A</v>
      </c>
      <c r="ID240" s="11" t="e">
        <f t="shared" si="351"/>
        <v>#N/A</v>
      </c>
      <c r="IE240" s="11" t="e">
        <f t="shared" si="352"/>
        <v>#N/A</v>
      </c>
      <c r="IF240" s="11" t="e">
        <f t="shared" si="353"/>
        <v>#N/A</v>
      </c>
    </row>
    <row r="241" spans="35:240" x14ac:dyDescent="0.2">
      <c r="AI241">
        <f>IF(Исходн.данные.!I241&gt;6,1,1.85-(0.148*Исходн.данные.!I241))</f>
        <v>1.85</v>
      </c>
      <c r="AJ241">
        <f>IF(Исходн.данные.!I241&gt;6,1,2.434-(0.246*Исходн.данные.!I241))</f>
        <v>2.4340000000000002</v>
      </c>
      <c r="AL241" s="148" t="b">
        <f>IF(Исходн.данные.!$P241="Ум",N_OrgUd_2g_um,IF(Исходн.данные.!$P241="Об",N_OrgUd_2g_ob))</f>
        <v>0</v>
      </c>
      <c r="AM241" s="148" t="b">
        <f>IF(Исходн.данные.!$P241="Ум",P_OrgUd_2g_um,IF(Исходн.данные.!$P241="Об",P_OrgUd_2g_ob))</f>
        <v>0</v>
      </c>
      <c r="AN241" s="148" t="b">
        <f>IF(Исходн.данные.!$P241="Ум",K_OrgUd_2g_um,IF(Исходн.данные.!$P241="Об",K_OrgUd_2g_ob))</f>
        <v>0</v>
      </c>
      <c r="AO241" s="148" t="b">
        <f>IF(Исходн.данные.!$P241="Ум",N_OrgUd_1g_um,IF(Исходн.данные.!$P241="Об",N_OrgUd_1g_ob))</f>
        <v>0</v>
      </c>
      <c r="AP241" s="148" t="b">
        <f>IF(Исходн.данные.!$P241="Ум",P_OrgUd_1g_um,IF(Исходн.данные.!$P241="Об",P_OrgUd_1g_ob))</f>
        <v>0</v>
      </c>
      <c r="AQ241" s="148" t="b">
        <f>IF(Исходн.данные.!$P241="Ум",K_OrgUd_1g_um,IF(Исходн.данные.!$P241="Об",K_OrgUd_1g_ob))</f>
        <v>0</v>
      </c>
      <c r="AR241" t="b">
        <f>IF(Исходн.данные.!$P241="Ум",N_MinUd_2g_um,IF(Исходн.данные.!$P241="Об",N_MinUd_2g_ob))</f>
        <v>0</v>
      </c>
      <c r="AS241" t="b">
        <f>IF(Исходн.данные.!$P241="Ум",P_MinUd_2g_um,IF(Исходн.данные.!$P241="Об",P_MinUd_2g_ob))</f>
        <v>0</v>
      </c>
      <c r="AT241" t="b">
        <f>IF(Исходн.данные.!$P241="Ум",K_MinUd_2g_um,IF(Исходн.данные.!$P241="Об",K_MinUd_2g_ob))</f>
        <v>0</v>
      </c>
      <c r="AU241" t="b">
        <f>IF(Исходн.данные.!$P241="Ум",N_MinUd_1g_um,IF(Исходн.данные.!$P241="Об",N_MinUd_1g_ob))</f>
        <v>0</v>
      </c>
      <c r="AV241" t="b">
        <f>IF(Исходн.данные.!P241="Ум",P_MinUd_1g_um,IF(Исходн.данные.!P241="Об",P_MinUd_1g_ob))</f>
        <v>0</v>
      </c>
      <c r="AW241" t="b">
        <f>IF(Исходн.данные.!P241="Ум",K_MinUd_1g_um,IF(Исходн.данные.!P241="Об",K_MinUd_1g_ob))</f>
        <v>0</v>
      </c>
      <c r="AY241" t="e">
        <f>VLOOKUP(Исходн.данные.!T241,Справ!$A$3:$N$57,12)</f>
        <v>#N/A</v>
      </c>
      <c r="AZ241" t="e">
        <f>VLOOKUP(Исходн.данные.!T241,Справ!$A$3:$N$57,13)</f>
        <v>#N/A</v>
      </c>
      <c r="BA241" t="e">
        <f>VLOOKUP(Исходн.данные.!T241,Справ!$A$3:$N$57,14)</f>
        <v>#N/A</v>
      </c>
      <c r="BB241">
        <f>IF(Исходн.данные.!AH241=0,0,25)</f>
        <v>0</v>
      </c>
      <c r="BC241" s="141">
        <f>IF(Исходн.данные.!AH241=0,0,IF(Исходн.данные.!T241=0,25,BD241))</f>
        <v>0</v>
      </c>
      <c r="BD241" s="168" t="e">
        <f>AY241+AZ241*Исходн.данные.!U241-POWER(BA241,2)*Исходн.данные.!U241</f>
        <v>#N/A</v>
      </c>
      <c r="BE24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1" s="25">
        <f>IF(Исходн.данные.!AH241=0,0,MIN(HN241:HP241))</f>
        <v>0</v>
      </c>
      <c r="BG241" s="9">
        <f>IF(Исходн.данные.!AH241=0,0,IF((HO241+10*0.25/HG241/HL241)&lt;17,17,HO241+10*0.25/HG241/HL241))</f>
        <v>0</v>
      </c>
      <c r="BH241" s="181">
        <f>IF(Исходн.данные.!AH241=0,0,HW241*HF241*HL241/AU241*AI241+Исходн.данные.!S241*10)</f>
        <v>0</v>
      </c>
      <c r="BI241" s="10"/>
      <c r="BJ241" s="182">
        <f>IF(Исходн.данные.!AH241=0,0,IF(HX241*HG241*HL241/AV241&lt;0,0,HX241*HG241*HL241/AV241*AJ241))</f>
        <v>0</v>
      </c>
      <c r="BK241" s="182">
        <f>IF(Исходн.данные.!AH241=0,0,HY241*HH241*HM241/AW241)</f>
        <v>0</v>
      </c>
      <c r="BL241" s="10">
        <f>IF(OR(Исходн.данные.!$AH241=$BP$1,Исходн.данные.!$AH241=$BP$2),0,IF(BH241&lt;0,0,IF(OR(Исходн.данные.!T241=Расчет!$BP$1,Исходн.данные.!T241=Расчет!$BP$2,Исходн.данные.!T241=Расчет!$BT$5,Исходн.данные.!T241=Расчет!$BT$6),BH241*0.5,IF(OR(Исходн.данные.!T241=Расчет!$BS$9,Исходн.данные.!T241=Расчет!$BS$10,Исходн.данные.!T241=Расчет!$BS$11,Исходн.данные.!T241=Расчет!$BS$12,Исходн.данные.!T241=Расчет!$BP$5),BH241*0.8,BH241))))</f>
        <v>0</v>
      </c>
      <c r="BM241" s="10">
        <f>IF(OR(Исходн.данные.!$AH241=$BP$1,Исходн.данные.!$AH241=$BP$2),0,IF(BJ241&lt;0,0,IF(Исходн.данные.!I241&lt;4.5,BJ241*1.2,IF(Исходн.данные.!I241&gt;5.1,BJ241,BJ241*((5.1-Исходн.данные.!I241)*0.333+1)))))</f>
        <v>0</v>
      </c>
      <c r="BN241" s="10">
        <f>IF(OR(Исходн.данные.!$AH241=$BP$1,Исходн.данные.!$AH241=$BP$2),60-Исходн.данные.!AF241,IF(BK241&lt;0,0,IF(Исходн.данные.!I241&lt;4.5,BK241*1.2,IF(Исходн.данные.!I241&gt;5.1,BK241,BK241*((5.1-Исходн.данные.!I241)*0.333+1)))))</f>
        <v>0</v>
      </c>
      <c r="BO241" s="9">
        <f>IF(BL241&lt;0,0,BL241*Исходн.данные.!$AJ241/1000)</f>
        <v>0</v>
      </c>
      <c r="BP241" s="9">
        <f>IF(BM241&lt;0,0,BM241*Исходн.данные.!$AJ241/1000)</f>
        <v>0</v>
      </c>
      <c r="BQ241" s="9">
        <f>IF(BN241&lt;0,0,BN241*Исходн.данные.!$AJ241/1000)</f>
        <v>0</v>
      </c>
      <c r="BR241" s="9">
        <f t="shared" si="303"/>
        <v>0</v>
      </c>
      <c r="BS241" s="10" t="str">
        <f t="shared" si="304"/>
        <v>Аммофос 12:52:00</v>
      </c>
      <c r="BT241" s="10" t="str">
        <f t="shared" si="305"/>
        <v>Аммофос 12:52:00</v>
      </c>
      <c r="BU241" s="10" t="str">
        <f t="shared" si="306"/>
        <v>Диаммофоска</v>
      </c>
      <c r="BV241" s="10">
        <f t="shared" si="307"/>
        <v>0</v>
      </c>
      <c r="BW241" s="10"/>
      <c r="BX241" s="10"/>
      <c r="BY241" s="9">
        <f>IF(BL241&lt;0,0,IF(OR(Исходн.данные.!AI241=Расчет!$BU$6,Исходн.данные.!AI241=Расчет!$BU$7),Расчет!BV241,IF(Исходн.данные.!$AG241=$BV$11,BL241,IF(OR(Исходн.данные.!$AH241=$BQ$7,Исходн.данные.!$AH241=$BQ$8),CB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0,IF(Исходн.данные.!$AI241=$BU$11,"Нет",IF(BL241&gt;30,30,BL241)))))))</f>
        <v>0</v>
      </c>
      <c r="BZ241" s="9">
        <f>IF(AND(Исходн.данные.!$AG241=$BV$11,BM241&lt;10),10,IF(Исходн.данные.!$AG241=$BV$11,BM241,IF(OR(Исходн.данные.!$AH241=$BQ$7,Исходн.данные.!$AH241=$BQ$8),CC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10,IF(Исходн.данные.!$AI241=$BU$11,"Нет",IF(BM241&gt;60,60,IF(BM241&lt;10,10,BM241)))))))</f>
        <v>10</v>
      </c>
      <c r="CA241" s="39">
        <f>IF(BN241&lt;0,0,IF(Исходн.данные.!$AG241=$BV$11,BN241,IF(OR(Исходн.данные.!$AH241=$BQ$7,Исходн.данные.!$AH241=$BQ$8),CD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0,IF(Исходн.данные.!$AI241=$BU$11,"Нет",IF(BN241&gt;30,30,BN241))))))</f>
        <v>0</v>
      </c>
      <c r="CB241" s="9">
        <f t="shared" si="308"/>
        <v>0</v>
      </c>
      <c r="CC241" s="9">
        <f t="shared" si="309"/>
        <v>0</v>
      </c>
      <c r="CD241" s="9">
        <f t="shared" si="310"/>
        <v>0</v>
      </c>
      <c r="CE241" s="12">
        <f t="shared" si="311"/>
        <v>10</v>
      </c>
      <c r="CF241" s="9">
        <f t="shared" si="312"/>
        <v>0</v>
      </c>
      <c r="CG241" s="9" t="s">
        <v>231</v>
      </c>
      <c r="CH241" s="132" t="str">
        <f>IF(Исходн.данные.!AP241=Расчет!$CI$16,"Нет",IF(Исходн.данные.!AL241&gt;0,Исходн.данные.!AL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BH$4,IF(OR(Исходн.данные.!AI241=Исходн.данные.!$AI$6,Исходн.данные.!AI241=Исходн.данные.!$AI$7),Расчет!BS241,IF(AND($CF241=0,$CE241&gt;0),EV241,ER241)))))</f>
        <v>Аммофос 12:52:00</v>
      </c>
      <c r="CI241" s="274">
        <f>IF(Расчет!$CH241="Нет","Нет",IF(Исходн.данные.!$AL241&gt;0,VLOOKUP(Расчет!$CH241,АшламаДВ_Irekle,2,FALSE),VLOOKUP(Расчет!$CH241,АшламаДВ_Gomumy,2,FALSE)))</f>
        <v>0.12</v>
      </c>
      <c r="CJ241" s="274">
        <f>IF(Расчет!$CH241="Нет","Нет",IF(Исходн.данные.!$AL241&gt;0,VLOOKUP(Расчет!$CH241,АшламаДВ_Irekle,3,FALSE),VLOOKUP(Расчет!$CH241,АшламаДВ_Gomumy,3,FALSE)))</f>
        <v>0.52</v>
      </c>
      <c r="CK241" s="274">
        <f>IF(Расчет!$CH241="Нет","Нет",IF(Исходн.данные.!$AL241&gt;0,VLOOKUP(Расчет!$CH241,АшламаДВ_Irekle,4,FALSE),VLOOKUP(Расчет!$CH241,АшламаДВ_Gomumy,4,FALSE)))</f>
        <v>0</v>
      </c>
      <c r="CL241" s="70"/>
      <c r="CM241" s="70"/>
      <c r="CN241" s="70"/>
      <c r="CO241" s="70"/>
      <c r="CP241" s="70"/>
      <c r="CQ241" s="70"/>
      <c r="CR241" s="10">
        <f t="shared" si="313"/>
        <v>0</v>
      </c>
      <c r="CS241" s="10">
        <f t="shared" si="314"/>
        <v>19.23076923076923</v>
      </c>
      <c r="CT241" s="10">
        <f t="shared" si="315"/>
        <v>0</v>
      </c>
      <c r="CU241" s="39">
        <f>IF($CH241="Нет",0,IF(CI241=0,30/MIN(CJ241:CK241),IF(Исходн.данные.!$AG241=$BV$11,CR241,IF(OR(Исходн.данные.!$AH241=$BQ$7,Исходн.данные.!$AH241=$BQ$8),90/CI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0,IF(Исходн.данные.!$AI241=$BU$11,"Нет",30/CI241))))))</f>
        <v>250</v>
      </c>
      <c r="CV241" s="39">
        <f>IF($CH241="Нет",0,IF(Исходн.данные.!AH241=0,0,IF(CJ241=0,60/MIN(CI241,CK241),IF(Исходн.данные.!$AG241=$BV$11,CS241,IF(OR(Исходн.данные.!$AH241=$BQ$7,Исходн.данные.!$AH241=$BQ$8),90/CJ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10/CJ241,IF(Исходн.данные.!$AI241=$BU$11,"Нет",60/CJ241)))))))</f>
        <v>0</v>
      </c>
      <c r="CW241" s="39">
        <f>IF($CH241="Нет",0,IF(Исходн.данные.!AH241=0,0,IF(CK241=0,30/MIN(CI241:CJ241),IF(Исходн.данные.!$AG241=$BV$11,CT241,IF(OR(Исходн.данные.!$AH241=$BQ$7,Исходн.данные.!$AH241=$BQ$8),90/CK241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0,IF(Исходн.данные.!$AI241=$BU$11,"Нет",30/CK241)))))))</f>
        <v>0</v>
      </c>
      <c r="CX241" s="133">
        <f>IF(Исходн.данные.!$AG241=$BV$11,MAX(CU241:CW241),IF(OR(Исходн.данные.!$AH241=$BS$8,Исходн.данные.!$AH241=$BQ$9,Исходн.данные.!$AH241=$BQ$10,Исходн.данные.!$AH241=$BQ$11,Исходн.данные.!$AH241=$BQ$12,Исходн.данные.!$AH241=$BP$3,Исходн.данные.!$AH241=$BT$8,$FM241="Да"),CV241,MIN(CU241:CW241)))</f>
        <v>0</v>
      </c>
      <c r="CY241" s="133">
        <f>IF(Исходн.данные.!AH241=0,0,IF(CR241&gt;$CX241,$CX241,CR241))</f>
        <v>0</v>
      </c>
      <c r="CZ241" s="133">
        <f>IF(Исходн.данные.!AH241=0,0,IF(CS241&gt;$CX241,$CX241,CS241))</f>
        <v>0</v>
      </c>
      <c r="DA241" s="133">
        <f>IF(Исходн.данные.!AH241=0,0,IF(CT241&gt;$CX241,$CX241,CT241))</f>
        <v>0</v>
      </c>
      <c r="DB241" s="10">
        <f t="shared" si="316"/>
        <v>0</v>
      </c>
      <c r="DC241" s="39">
        <f>DB241*Исходн.данные.!AJ241/1000</f>
        <v>0</v>
      </c>
      <c r="DD241" s="71">
        <f t="shared" si="317"/>
        <v>0</v>
      </c>
      <c r="DE241" s="9">
        <f t="shared" si="318"/>
        <v>0</v>
      </c>
      <c r="DF241" s="9">
        <f t="shared" si="319"/>
        <v>0</v>
      </c>
      <c r="DG241" s="39">
        <f>IF(BL241&lt;0,0,IF($CH241="Нет",BL241,IF(OR(Исходн.данные.!$AH241=$BP$1,Исходн.данные.!$AH241=$BP$2),0,IF(Исходн.данные.!AI241=$BU$11,BL241,IF(BL241-DD241&lt;0,0,BL241-DD241)))))</f>
        <v>0</v>
      </c>
      <c r="DH241" s="39">
        <f>IF(BM241&lt;0,0,IF($CH241="Нет",BM241,IF(OR(Исходн.данные.!$AH241=$BP$1,Исходн.данные.!$AH241=$BP$2),0,IF(Исходн.данные.!AJ241=$BU$11,BM241,IF(BM241-DE241&lt;0,0,BM241-DE241)))))</f>
        <v>0</v>
      </c>
      <c r="DI241" s="39">
        <f>IF(BN241&lt;0,0,IF($CH241="Нет",BN241,IF(OR(Исходн.данные.!$AH241=$BP$1,Исходн.данные.!$AH241=$BP$2),0,IF(Исходн.данные.!AK241=$BU$11,BN241,IF(BN241-DF241&lt;0,0,BN241-DF241)))))</f>
        <v>0</v>
      </c>
      <c r="DJ241" s="12">
        <f t="shared" si="320"/>
        <v>0</v>
      </c>
      <c r="DK241" s="9">
        <f t="shared" si="321"/>
        <v>0</v>
      </c>
      <c r="DL241" s="39">
        <f>IF(Исходн.данные.!AM241&gt;0,Исходн.данные.!AM241,IF(EG241&gt;0,$BH$10,0))</f>
        <v>0</v>
      </c>
      <c r="DM241" s="186">
        <f>IF($DL241=0,0,IF(Исходн.данные.!AM241&gt;0,VLOOKUP($DL241,АшламаДВ_Irekle,2,FALSE),VLOOKUP($DL241,АшламаДВ_Gomumy,2,FALSE)))</f>
        <v>0</v>
      </c>
      <c r="DN241" s="10">
        <f t="shared" si="299"/>
        <v>0</v>
      </c>
      <c r="DO241" s="9" t="str">
        <f>IF(Исходн.данные.!AN241&gt;0,Исходн.данные.!AN241,Удобрения!$B$37 )</f>
        <v>Хлор.калий</v>
      </c>
      <c r="DP241" s="9">
        <f>IF(Исходн.данные.!AN241&gt;0,VLOOKUP(Исходн.данные.!AN241,АшламаДВ_Irekle,4,FALSE),VLOOKUP(DO241,АшламаДВ_Gomumy,4,FALSE))</f>
        <v>0.6</v>
      </c>
      <c r="DQ241" s="10">
        <f t="shared" si="300"/>
        <v>0</v>
      </c>
      <c r="DR241" s="132" t="str">
        <f>IF(Исходн.данные.!AO241&gt;0,Исходн.данные.!AO241,IF(DH241=0,BS$17,IF(AND($DK241=0,$DJ241&gt;0),EJ241,EN241)))</f>
        <v>Нет</v>
      </c>
      <c r="DS241" s="70" t="str">
        <f>IF($DR241="Нет","Нет",IF(Исходн.данные.!$AO241&gt;0,VLOOKUP($DR241,АшламаДВ_Irekle,2,FALSE),VLOOKUP($DR241,АшламаДВ_Gomumy,2,FALSE)))</f>
        <v>Нет</v>
      </c>
      <c r="DT241" s="70" t="str">
        <f>IF($DR241="Нет","Нет",IF(Исходн.данные.!$AO241&gt;0,VLOOKUP($DR241,АшламаДВ_Irekle,3,FALSE),VLOOKUP($DR241,АшламаДВ_Gomumy,3,FALSE)))</f>
        <v>Нет</v>
      </c>
      <c r="DU241" s="70" t="str">
        <f>IF($DR241="Нет","Нет",IF(Исходн.данные.!$AO241&gt;0,VLOOKUP($DR241,АшламаДВ_Irekle,4,FALSE),VLOOKUP($DR241,АшламаДВ_Gomumy,4,FALSE)))</f>
        <v>Нет</v>
      </c>
      <c r="DV241" s="70"/>
      <c r="DW241" s="70"/>
      <c r="DX241" s="70"/>
      <c r="DY241" s="10">
        <f t="shared" si="322"/>
        <v>0</v>
      </c>
      <c r="DZ241" s="10">
        <f t="shared" si="323"/>
        <v>0</v>
      </c>
      <c r="EA241" s="10">
        <f t="shared" si="324"/>
        <v>0</v>
      </c>
      <c r="EB241" s="10">
        <f t="shared" si="325"/>
        <v>0</v>
      </c>
      <c r="EC241" s="10">
        <f t="shared" si="326"/>
        <v>0</v>
      </c>
      <c r="ED241" s="10">
        <f t="shared" si="327"/>
        <v>0</v>
      </c>
      <c r="EE241" s="10">
        <f t="shared" si="328"/>
        <v>0</v>
      </c>
      <c r="EF241" s="39">
        <f>EB241*Исходн.данные.!AJ241/1000</f>
        <v>0</v>
      </c>
      <c r="EG241" s="9">
        <f t="shared" si="329"/>
        <v>0</v>
      </c>
      <c r="EH241" s="9">
        <f t="shared" si="330"/>
        <v>0</v>
      </c>
      <c r="EI241" s="39" t="e">
        <f t="shared" si="280"/>
        <v>#DIV/0!</v>
      </c>
      <c r="EJ241" s="9" t="str">
        <f t="shared" si="301"/>
        <v>Азопреципитат</v>
      </c>
      <c r="EK241" s="12">
        <f t="shared" si="281"/>
        <v>0.26</v>
      </c>
      <c r="EL241" s="12">
        <f t="shared" si="282"/>
        <v>0.13</v>
      </c>
      <c r="EM241" s="12">
        <f t="shared" si="283"/>
        <v>0</v>
      </c>
      <c r="EN241" s="12" t="str">
        <f t="shared" si="302"/>
        <v>Нет</v>
      </c>
      <c r="EO241" s="12">
        <f t="shared" si="284"/>
        <v>0</v>
      </c>
      <c r="EP241" s="12">
        <f t="shared" si="285"/>
        <v>0</v>
      </c>
      <c r="EQ241" s="12">
        <f t="shared" si="286"/>
        <v>0</v>
      </c>
      <c r="ER241" s="12" t="str">
        <f t="shared" si="331"/>
        <v>Диаммофоска</v>
      </c>
      <c r="ES241" s="12">
        <f t="shared" si="287"/>
        <v>0.1</v>
      </c>
      <c r="ET241" s="12">
        <f t="shared" si="288"/>
        <v>0.26</v>
      </c>
      <c r="EU241" s="12">
        <f t="shared" si="289"/>
        <v>0.26</v>
      </c>
      <c r="EV241" s="12" t="str">
        <f t="shared" si="332"/>
        <v>Аммофос 12:52:00</v>
      </c>
      <c r="EW241" s="12" t="str">
        <f t="shared" si="333"/>
        <v>Кемира Свекловичное-6</v>
      </c>
      <c r="EX241" s="12">
        <f t="shared" si="290"/>
        <v>0.16</v>
      </c>
      <c r="EY241" s="12">
        <f t="shared" si="291"/>
        <v>0.12</v>
      </c>
      <c r="EZ241" s="12">
        <f t="shared" si="292"/>
        <v>0.17</v>
      </c>
      <c r="FA241" s="38" t="e">
        <f>IF(AND(OR(FJ241=$FD$1,FM241=$FD$1,FO241=$FD$1,FQ241=$FD$1,FS241=$FD$1),FD241=$FD$1,Исходн.данные.!J241&lt;2,FU241=$FD$1),"Бор,Кобальт",IF(AND(FO241=$FD$1,FH241=$FD$1,Исходн.данные.!J241&lt;2,FU241=$FD$1),"Бор,Кобальт",IF(AND(OR(FJ241=$FD$1,FM241=$FD$1,FQ241=$FD$1),FE241=$FD$1,Исходн.данные.!J241&lt;2,FT241=$FD$1,FU241=$FD$1),"Бор,Медь,Цинк",IF(AND(OR(FJ241=$FD$1,FR241="Да"),FI241="Да",Исходн.данные.!J241&lt;2,FT241="Да",FU241="Да"),"Бор,Цинк,Медь",IF(AND(OR(FM241="Да",FQ241="Да"),FI241="Да",Исходн.данные.!J241&lt;2,FT241="Да",FU241="Да"),"Бор,Цинк",IF(AND(FN241="Да",OR(FD241="Да",FE241="Да")),"Бор",FB241))))))</f>
        <v>#N/A</v>
      </c>
      <c r="FB241" s="134" t="e">
        <f>IF(AND(OR(FD241="Да",FE241="Да",FF241="Да",FG241="Да",FH241="Да"),FO241="Да"),"Бор",IF(AND(FP241="Да",OR(FD241="Да",FE241="Да",FI241="Да")),"Бор",IF(AND(FS241="Да",FE241="Да"),"Бор,Медь",IF(AND(OR(FJ241="Да",FK241="Да",FL241="Да"),FE241="Да",Исходн.данные.!I241&lt;5,FT241="Да",FU241="Да"),"Молибден,Цинк",IF(AND(FM241="Да",OR(FE241="Да",FF241="Да",FG241="Да",FH241="Да",FI241="Да")),"Молибден,Цинк",IF(AND(OR(FJ241="Да",FK241="Да",FL241="Да",FM241="Да",FQ241="Да"),OR(FE241="Да",FF241="Да"),FT241="Да",FU241="Да",Исходн.данные.!I241&gt;5.5),"Медь,Цинк",FC241))))))</f>
        <v>#N/A</v>
      </c>
      <c r="FC241" s="23" t="e">
        <f t="shared" si="334"/>
        <v>#N/A</v>
      </c>
      <c r="FD241" s="38" t="str">
        <f>IF(OR(Исходн.данные.!F241=$CC$1,Исходн.данные.!F241=$CC$2,Исходн.данные.!F241=$CC$3,Исходн.данные.!F241=$CC$4),"Да","Нет")</f>
        <v>Нет</v>
      </c>
      <c r="FE241" s="38" t="str">
        <f>IF(Исходн.данные.!F241=$CC$5,"Да","Нет")</f>
        <v>Нет</v>
      </c>
      <c r="FF241" s="38" t="str">
        <f>IF(OR(Исходн.данные.!F241=$CC$6,Исходн.данные.!F241=$CC$7),"Да","Нет")</f>
        <v>Нет</v>
      </c>
      <c r="FG241" s="38" t="str">
        <f>IF(OR(Исходн.данные.!F241=$CC$8,Исходн.данные.!F241=$CC$9),"Да","Нет")</f>
        <v>Нет</v>
      </c>
      <c r="FH241" s="38" t="str">
        <f>IF(Исходн.данные.!F241=$CC$10,"Да","Нет")</f>
        <v>Нет</v>
      </c>
      <c r="FI241" s="38" t="str">
        <f>IF(OR(Исходн.данные.!F241=$CC$11,Исходн.данные.!F241=$CC$12),"Да","Нет")</f>
        <v>Нет</v>
      </c>
      <c r="FJ241" s="38" t="str">
        <f>IF(OR(Исходн.данные.!AH241=$BS$1,Исходн.данные.!AH241=$BQ$11,Исходн.данные.!AH241=$BQ$12),"Да","Нет")</f>
        <v>Нет</v>
      </c>
      <c r="FK241" s="38" t="str">
        <f>IF(OR(Исходн.данные.!AH241=$BS$2,Исходн.данные.!AH241=$BS$4),"Да","Нет")</f>
        <v>Нет</v>
      </c>
      <c r="FL241" s="38" t="str">
        <f>IF(OR(Исходн.данные.!AH241=$BS$3,Исходн.данные.!AH241=$BS$5),"Да","Нет")</f>
        <v>Нет</v>
      </c>
      <c r="FM241" s="38" t="str">
        <f>IF(OR(Исходн.данные.!AH241=$BS$9,Исходн.данные.!AH241=$BS$10,Исходн.данные.!AH241=$BS$11,Исходн.данные.!AH241=$BS$12),"Да","Нет")</f>
        <v>Нет</v>
      </c>
      <c r="FN241" s="38" t="str">
        <f>IF(OR(Исходн.данные.!AH241=$BS$6,Исходн.данные.!AH241=$BP$3),"Да","Нет")</f>
        <v>Нет</v>
      </c>
      <c r="FO241" s="38" t="str">
        <f>IF(Исходн.данные.!AH241=$BQ$9,"Да","Нет")</f>
        <v>Нет</v>
      </c>
      <c r="FP241" s="38" t="str">
        <f>IF(OR(Исходн.данные.!AH241=$BS$8,Исходн.данные.!AH241=$BT$8),"Да","Нет")</f>
        <v>Нет</v>
      </c>
      <c r="FQ241" s="38" t="str">
        <f>IF(OR(Исходн.данные.!AH241=$BQ$7,Исходн.данные.!AH241=$BQ$8),"Да","Нет")</f>
        <v>Нет</v>
      </c>
      <c r="FR241" s="38" t="str">
        <f>IF(Исходн.данные.!AI241=$BU$9,"Да","Нет")</f>
        <v>Нет</v>
      </c>
      <c r="FS241" s="38" t="str">
        <f>IF(OR(Исходн.данные.!AH241=$BP$1,Исходн.данные.!AH241=$BP$2),"Да","Нет")</f>
        <v>Нет</v>
      </c>
      <c r="FT241" s="38" t="e">
        <f>IF((Исходн.данные.!K241*GO241*GS241*GW241+BL241*0.6+Исходн.данные.!Q241*4.5*0.275)&gt;90,"Да","Нет")</f>
        <v>#N/A</v>
      </c>
      <c r="FU241" s="38" t="e">
        <f>IF((Исходн.данные.!M241*GS241*GZ241+BM241*0.225)&gt;35,"Да","Нет")</f>
        <v>#N/A</v>
      </c>
      <c r="FV241" s="38" t="str">
        <f>IF(Исходн.данные.!O241&gt;175,"Да","Нет")</f>
        <v>Нет</v>
      </c>
      <c r="FW241" s="39" t="str">
        <f>IF(Исходн.данные.!I241&gt;5.5,"Да","Нет")</f>
        <v>Нет</v>
      </c>
      <c r="FX241" s="39" t="str">
        <f>IF(Исходн.данные.!J241&lt;2,"Да","Нет")</f>
        <v>Да</v>
      </c>
      <c r="FY241" s="39" t="e">
        <f>IF(HF241=$FY$16,0,Исходн.данные.!K241*GO241*GS241*GW241/HF241)</f>
        <v>#N/A</v>
      </c>
      <c r="FZ241" s="39" t="e">
        <f>Исходн.данные.!M241*GS241*GZ241/HG241</f>
        <v>#N/A</v>
      </c>
      <c r="GA241" s="39" t="e">
        <f>IF(K_Wyn=$FY$16,0,IF(Исходн.данные.!N241=Исходн.данные.!$L$10,Исходн.данные.!O241/1.1*GS241*HC241/HH241,IF(Исходн.данные.!N241=Исходн.данные.!$L$12,Исходн.данные.!O241/1.5*GS241*HC241/HH241,Исходн.данные.!O241*GS241*HC241/HH241)))</f>
        <v>#N/A</v>
      </c>
      <c r="GB241" s="39" t="e">
        <f>IF(HF241=$FY$16,0,((Исходн.данные.!Q241*N_Org+Исходн.данные.!R241*N_Sider+Исходн.данные.!S241*N_Soloma)*AO241+Расчет!BC241*VLOOKUP(Исходн.данные.!T241,Справ!$A$3:$O$57,15)*AO241+BB241*VLOOKUP(Исходн.данные.!T241,Справ!$A$3:$O$57,15)*AL241+(Исходн.данные.!V241*N_Rizotorf+Исходн.данные.!W241*N_Rizoagr))/HF241)</f>
        <v>#N/A</v>
      </c>
      <c r="GC241" s="39" t="e">
        <f>IF(HG241=$FY$16,0,((Исходн.данные.!Q241*Р_Org+Исходн.данные.!R241*P_Sider+Исходн.данные.!S241*P_Soloma)*AP241+Расчет!BC241*VLOOKUP(Исходн.данные.!T241,Справ!$A$3:$P$57,16)*AP241+BB241*VLOOKUP(Исходн.данные.!T241,Справ!$A$3:$P$57,16)*AM241)/HG241)</f>
        <v>#N/A</v>
      </c>
      <c r="GD241" s="39" t="e">
        <f>IF(HH241=$FY$16,0,((Исходн.данные.!Q241*К_Org+Исходн.данные.!R241*K_Sider+Исходн.данные.!S241*K_Soloma)*AQ241+Расчет!BC241*VLOOKUP(Исходн.данные.!T241,Справ!$A$3:$Q$57,17)*AQ241+BB241*VLOOKUP(Исходн.данные.!T241,Справ!$A$3:$Q$57,17)*AN241)/HH241)</f>
        <v>#N/A</v>
      </c>
      <c r="GE241" s="39" t="e">
        <f>IF(HF241=$FY$16,0,(Исходн.данные.!X241*AR241+Исходн.данные.!AA241*N_Org*AL241+Исходн.данные.!AB241*N_Sider*AL241+Исходн.данные.!AC241*N_Soloma*AL241)/HF241)</f>
        <v>#N/A</v>
      </c>
      <c r="GF241" s="39" t="e">
        <f>IF(HG241=$FY$16,0,(Исходн.данные.!Y241*AS241+Исходн.данные.!AA241*Р_Org*AM241+Исходн.данные.!AB241*P_Sider*AM241+Исходн.данные.!AC241*P_Soloma*AM241)/HG241)</f>
        <v>#N/A</v>
      </c>
      <c r="GG241" s="39" t="e">
        <f>IF(HH241=$FY$16,0,(Исходн.данные.!Z241*AT241+Исходн.данные.!AA241*К_Org*AN241+Исходн.данные.!AB241*K_Sider*AN241+Исходн.данные.!AC241*K_Soloma*AN241)/HH241)</f>
        <v>#N/A</v>
      </c>
      <c r="GH241" s="39" t="e">
        <f>Исходн.данные.!AD241*AU241/HF241</f>
        <v>#N/A</v>
      </c>
      <c r="GI241" s="39" t="e">
        <f>Исходн.данные.!AE241*AV241/HG241</f>
        <v>#N/A</v>
      </c>
      <c r="GJ241" s="39" t="e">
        <f>Исходн.данные.!AF241*AW241/HH241</f>
        <v>#N/A</v>
      </c>
      <c r="GK241" s="55">
        <f>Исходн.данные.!AK241</f>
        <v>0</v>
      </c>
      <c r="GL241" s="11" t="e">
        <f t="shared" si="335"/>
        <v>#N/A</v>
      </c>
      <c r="GM241" s="11" t="e">
        <f t="shared" si="336"/>
        <v>#N/A</v>
      </c>
      <c r="GN241" s="11" t="e">
        <f t="shared" si="337"/>
        <v>#N/A</v>
      </c>
      <c r="GO241" s="57">
        <f t="shared" si="338"/>
        <v>19</v>
      </c>
      <c r="GP241" s="55">
        <f>IF(OR(Исходн.данные.!F241=$CE$1,Исходн.данные.!F241=$CE$2,Исходн.данные.!F241=$CE$3,Исходн.данные.!F241=$CE$4,Исходн.данные.!F241=$CE$5),GQ241,GR241)</f>
        <v>19</v>
      </c>
      <c r="GQ241" s="55">
        <f>IF(Исходн.данные.!F241=$CE$1,28,IF(Исходн.данные.!F241=$CE$2,26,IF(Исходн.данные.!F241=$CE$3,24,IF(Исходн.данные.!F241=$CE$4,22,IF(Исходн.данные.!F241=$CE$5,20,GR241)))))</f>
        <v>19</v>
      </c>
      <c r="GR241" s="55">
        <f>IF(Исходн.данные.!F241=$CE$6,18,IF(Исходн.данные.!F241=$CE$7,16,IF(Исходн.данные.!F241=$CE$8,14,IF(Исходн.данные.!F241=$CE$9,13,IF(Исходн.данные.!F241=$CE$10,12,19)))))</f>
        <v>19</v>
      </c>
      <c r="GS241" s="55">
        <f>IF(Исходн.данные.!G241="Пес",0.035*(40+2*Исходн.данные.!H241),IF(Исходн.данные.!G241="Суп",0.0325*(40+2*Исходн.данные.!H241),0.03*(40+2*Исходн.данные.!H241)))</f>
        <v>1.2</v>
      </c>
      <c r="GT241" s="55">
        <f>IF(Исходн.данные.!H241&lt;23,2.6,IF(AND(Исходн.данные.!H241&gt;22,Исходн.данные.!H241&lt;26),3,IF(AND(Исходн.данные.!H241&gt;25,Исходн.данные.!H241&lt;29),3.4,3.6)))</f>
        <v>2.6</v>
      </c>
      <c r="GU241" s="55">
        <f>IF(Исходн.данные.!H241&lt;23,2.8,IF(AND(Исходн.данные.!H241&gt;22,Исходн.данные.!H241&lt;26),3.2,IF(AND(Исходн.данные.!H241&gt;25,Исходн.данные.!H241&lt;29),3.6,3.9)))</f>
        <v>2.8</v>
      </c>
      <c r="GV241" s="55">
        <f>IF(Исходн.данные.!H241&lt;23,3,IF(AND(Исходн.данные.!H241&gt;22,Исходн.данные.!H241&lt;26),3.5,IF(AND(Исходн.данные.!H241&gt;25,Исходн.данные.!H241&lt;29),3.9,4.2)))</f>
        <v>3</v>
      </c>
      <c r="GW241" s="55" t="e">
        <f>IF(Исходн.данные.!P241="Ум",GX241,GY241)</f>
        <v>#N/A</v>
      </c>
      <c r="GX241" s="55" t="e">
        <f>VLOOKUP(Исходн.данные.!AI241,Коэффициенты!$J$7:$L$13,2,FALSE)</f>
        <v>#N/A</v>
      </c>
      <c r="GY241" s="55" t="e">
        <f>VLOOKUP(Исходн.данные.!AI241,Коэффициенты!$J$7:$L$13,3,FALSE)</f>
        <v>#N/A</v>
      </c>
      <c r="GZ241" s="55" t="e">
        <f>(IF(Исходн.данные.!M241&lt;50,0.11*VLOOKUP(Исходн.данные.!AH241,Культуры.Информация,7,FALSE),IF(Исходн.данные.!M241&gt;250,0.05*VLOOKUP(Исходн.данные.!AH241,Культуры.Информация,7,FALSE),VLOOKUP(Исходн.данные.!AH241,Культуры.Информация,5,FALSE)/100*($GX$6+$GY$6*Исходн.данные.!M241))))*Расчет2!AI241</f>
        <v>#N/A</v>
      </c>
      <c r="HA241" s="211"/>
      <c r="HB241" s="211"/>
      <c r="HC241" s="55" t="e">
        <f>(IF(Исходн.данные.!O241&lt;80,0.2*VLOOKUP(Исходн.данные.!AH241,Культуры.Информация,8,FALSE),IF(Исходн.данные.!O241&gt;240,0.09*VLOOKUP(Исходн.данные.!AH241,Культуры.Информация,8,FALSE),VLOOKUP(Исходн.данные.!AH241,Культуры.Информация,6,FALSE)/100*($HB$6+$HC$6*Исходн.данные.!O241))))*Расчет2!AJ241</f>
        <v>#N/A</v>
      </c>
      <c r="HD241" s="55">
        <f>IF(Исходн.данные.!O241&gt;240,0.09,IF(Исходн.данные.!O241&lt;30,0.3,$HE$10+$HD$10*Исходн.данные.!O241))</f>
        <v>0.3</v>
      </c>
      <c r="HE241" s="55">
        <f>IF(Исходн.данные.!O241&gt;240,0.17,IF(Исходн.данные.!O241&lt;30,0.5,$HF$12+$HE$12*Исходн.данные.!O241))</f>
        <v>0.5</v>
      </c>
      <c r="HF241" s="55" t="e">
        <f>VLOOKUP(Исходн.данные.!AH241,Справ!$A$3:$D$58,2,FALSE)</f>
        <v>#N/A</v>
      </c>
      <c r="HG241" s="55" t="e">
        <f>VLOOKUP(Исходн.данные.!AH241,Справ!$A$3:$D$58,3,FALSE)</f>
        <v>#N/A</v>
      </c>
      <c r="HH241" s="55" t="e">
        <f>VLOOKUP(Исходн.данные.!AH241,Справ!$A$3:$D$58,4,FALSE)</f>
        <v>#N/A</v>
      </c>
      <c r="HI241" s="11" t="e">
        <f t="shared" si="339"/>
        <v>#N/A</v>
      </c>
      <c r="HJ241" s="11" t="e">
        <f t="shared" si="340"/>
        <v>#N/A</v>
      </c>
      <c r="HK241" s="11" t="e">
        <f t="shared" si="341"/>
        <v>#N/A</v>
      </c>
      <c r="HL241" s="55">
        <f>IF(OR(Исходн.данные.!G241="Глин",Исходн.данные.!G241="Т_суг"),1.1,IF(Исходн.данные.!G241="Ср_суг",1,1))</f>
        <v>1</v>
      </c>
      <c r="HM241" s="55">
        <f>IF(OR(Исходн.данные.!G241="Глин",Исходн.данные.!G241="Т_суг"),0.9,IF(Исходн.данные.!G241="Ср_суг",1,1.2))</f>
        <v>1.2</v>
      </c>
      <c r="HN241" s="11" t="e">
        <f t="shared" si="342"/>
        <v>#N/A</v>
      </c>
      <c r="HO241" s="11" t="e">
        <f t="shared" si="343"/>
        <v>#N/A</v>
      </c>
      <c r="HP241" s="11" t="e">
        <f t="shared" si="344"/>
        <v>#N/A</v>
      </c>
      <c r="HQ241" t="e">
        <f t="shared" si="345"/>
        <v>#N/A</v>
      </c>
      <c r="HR241" t="e">
        <f t="shared" si="346"/>
        <v>#N/A</v>
      </c>
      <c r="HS241" t="e">
        <f t="shared" si="347"/>
        <v>#N/A</v>
      </c>
      <c r="HT241" t="e">
        <f t="shared" si="293"/>
        <v>#N/A</v>
      </c>
      <c r="HU241" t="e">
        <f t="shared" si="294"/>
        <v>#N/A</v>
      </c>
      <c r="HV241" t="e">
        <f t="shared" si="295"/>
        <v>#N/A</v>
      </c>
      <c r="HW241" t="e">
        <f t="shared" si="296"/>
        <v>#N/A</v>
      </c>
      <c r="HX241" t="e">
        <f t="shared" si="297"/>
        <v>#N/A</v>
      </c>
      <c r="HY241" t="e">
        <f t="shared" si="298"/>
        <v>#N/A</v>
      </c>
      <c r="HZ241" s="55">
        <f>IF(OR(Исходн.данные.!AI241="Оз_Ч_П",Исходн.данные.!AI241="Оз_З_П",Исходн.данные.!AI241="Яр_зер"),12,30)</f>
        <v>30</v>
      </c>
      <c r="IA241" t="e">
        <f t="shared" si="348"/>
        <v>#N/A</v>
      </c>
      <c r="IB241" t="e">
        <f t="shared" si="349"/>
        <v>#N/A</v>
      </c>
      <c r="IC241" t="e">
        <f t="shared" si="350"/>
        <v>#N/A</v>
      </c>
      <c r="ID241" s="11" t="e">
        <f t="shared" si="351"/>
        <v>#N/A</v>
      </c>
      <c r="IE241" s="11" t="e">
        <f t="shared" si="352"/>
        <v>#N/A</v>
      </c>
      <c r="IF241" s="11" t="e">
        <f t="shared" si="353"/>
        <v>#N/A</v>
      </c>
    </row>
    <row r="242" spans="35:240" x14ac:dyDescent="0.2">
      <c r="AI242">
        <f>IF(Исходн.данные.!I242&gt;6,1,1.85-(0.148*Исходн.данные.!I242))</f>
        <v>1.85</v>
      </c>
      <c r="AJ242">
        <f>IF(Исходн.данные.!I242&gt;6,1,2.434-(0.246*Исходн.данные.!I242))</f>
        <v>2.4340000000000002</v>
      </c>
      <c r="AL242" s="148" t="b">
        <f>IF(Исходн.данные.!$P242="Ум",N_OrgUd_2g_um,IF(Исходн.данные.!$P242="Об",N_OrgUd_2g_ob))</f>
        <v>0</v>
      </c>
      <c r="AM242" s="148" t="b">
        <f>IF(Исходн.данные.!$P242="Ум",P_OrgUd_2g_um,IF(Исходн.данные.!$P242="Об",P_OrgUd_2g_ob))</f>
        <v>0</v>
      </c>
      <c r="AN242" s="148" t="b">
        <f>IF(Исходн.данные.!$P242="Ум",K_OrgUd_2g_um,IF(Исходн.данные.!$P242="Об",K_OrgUd_2g_ob))</f>
        <v>0</v>
      </c>
      <c r="AO242" s="148" t="b">
        <f>IF(Исходн.данные.!$P242="Ум",N_OrgUd_1g_um,IF(Исходн.данные.!$P242="Об",N_OrgUd_1g_ob))</f>
        <v>0</v>
      </c>
      <c r="AP242" s="148" t="b">
        <f>IF(Исходн.данные.!$P242="Ум",P_OrgUd_1g_um,IF(Исходн.данные.!$P242="Об",P_OrgUd_1g_ob))</f>
        <v>0</v>
      </c>
      <c r="AQ242" s="148" t="b">
        <f>IF(Исходн.данные.!$P242="Ум",K_OrgUd_1g_um,IF(Исходн.данные.!$P242="Об",K_OrgUd_1g_ob))</f>
        <v>0</v>
      </c>
      <c r="AR242" t="b">
        <f>IF(Исходн.данные.!$P242="Ум",N_MinUd_2g_um,IF(Исходн.данные.!$P242="Об",N_MinUd_2g_ob))</f>
        <v>0</v>
      </c>
      <c r="AS242" t="b">
        <f>IF(Исходн.данные.!$P242="Ум",P_MinUd_2g_um,IF(Исходн.данные.!$P242="Об",P_MinUd_2g_ob))</f>
        <v>0</v>
      </c>
      <c r="AT242" t="b">
        <f>IF(Исходн.данные.!$P242="Ум",K_MinUd_2g_um,IF(Исходн.данные.!$P242="Об",K_MinUd_2g_ob))</f>
        <v>0</v>
      </c>
      <c r="AU242" t="b">
        <f>IF(Исходн.данные.!$P242="Ум",N_MinUd_1g_um,IF(Исходн.данные.!$P242="Об",N_MinUd_1g_ob))</f>
        <v>0</v>
      </c>
      <c r="AV242" t="b">
        <f>IF(Исходн.данные.!P242="Ум",P_MinUd_1g_um,IF(Исходн.данные.!P242="Об",P_MinUd_1g_ob))</f>
        <v>0</v>
      </c>
      <c r="AW242" t="b">
        <f>IF(Исходн.данные.!P242="Ум",K_MinUd_1g_um,IF(Исходн.данные.!P242="Об",K_MinUd_1g_ob))</f>
        <v>0</v>
      </c>
      <c r="AY242" t="e">
        <f>VLOOKUP(Исходн.данные.!T242,Справ!$A$3:$N$57,12)</f>
        <v>#N/A</v>
      </c>
      <c r="AZ242" t="e">
        <f>VLOOKUP(Исходн.данные.!T242,Справ!$A$3:$N$57,13)</f>
        <v>#N/A</v>
      </c>
      <c r="BA242" t="e">
        <f>VLOOKUP(Исходн.данные.!T242,Справ!$A$3:$N$57,14)</f>
        <v>#N/A</v>
      </c>
      <c r="BB242">
        <f>IF(Исходн.данные.!AH242=0,0,25)</f>
        <v>0</v>
      </c>
      <c r="BC242" s="141">
        <f>IF(Исходн.данные.!AH242=0,0,IF(Исходн.данные.!T242=0,25,BD242))</f>
        <v>0</v>
      </c>
      <c r="BD242" s="168" t="e">
        <f>AY242+AZ242*Исходн.данные.!U242-POWER(BA242,2)*Исходн.данные.!U242</f>
        <v>#N/A</v>
      </c>
      <c r="BE24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2" s="25">
        <f>IF(Исходн.данные.!AH242=0,0,MIN(HN242:HP242))</f>
        <v>0</v>
      </c>
      <c r="BG242" s="9">
        <f>IF(Исходн.данные.!AH242=0,0,IF((HO242+10*0.25/HG242/HL242)&lt;17,17,HO242+10*0.25/HG242/HL242))</f>
        <v>0</v>
      </c>
      <c r="BH242" s="181">
        <f>IF(Исходн.данные.!AH242=0,0,HW242*HF242*HL242/AU242*AI242+Исходн.данные.!S242*10)</f>
        <v>0</v>
      </c>
      <c r="BI242" s="10"/>
      <c r="BJ242" s="182">
        <f>IF(Исходн.данные.!AH242=0,0,IF(HX242*HG242*HL242/AV242&lt;0,0,HX242*HG242*HL242/AV242*AJ242))</f>
        <v>0</v>
      </c>
      <c r="BK242" s="182">
        <f>IF(Исходн.данные.!AH242=0,0,HY242*HH242*HM242/AW242)</f>
        <v>0</v>
      </c>
      <c r="BL242" s="10">
        <f>IF(OR(Исходн.данные.!$AH242=$BP$1,Исходн.данные.!$AH242=$BP$2),0,IF(BH242&lt;0,0,IF(OR(Исходн.данные.!T242=Расчет!$BP$1,Исходн.данные.!T242=Расчет!$BP$2,Исходн.данные.!T242=Расчет!$BT$5,Исходн.данные.!T242=Расчет!$BT$6),BH242*0.5,IF(OR(Исходн.данные.!T242=Расчет!$BS$9,Исходн.данные.!T242=Расчет!$BS$10,Исходн.данные.!T242=Расчет!$BS$11,Исходн.данные.!T242=Расчет!$BS$12,Исходн.данные.!T242=Расчет!$BP$5),BH242*0.8,BH242))))</f>
        <v>0</v>
      </c>
      <c r="BM242" s="10">
        <f>IF(OR(Исходн.данные.!$AH242=$BP$1,Исходн.данные.!$AH242=$BP$2),0,IF(BJ242&lt;0,0,IF(Исходн.данные.!I242&lt;4.5,BJ242*1.2,IF(Исходн.данные.!I242&gt;5.1,BJ242,BJ242*((5.1-Исходн.данные.!I242)*0.333+1)))))</f>
        <v>0</v>
      </c>
      <c r="BN242" s="10">
        <f>IF(OR(Исходн.данные.!$AH242=$BP$1,Исходн.данные.!$AH242=$BP$2),60-Исходн.данные.!AF242,IF(BK242&lt;0,0,IF(Исходн.данные.!I242&lt;4.5,BK242*1.2,IF(Исходн.данные.!I242&gt;5.1,BK242,BK242*((5.1-Исходн.данные.!I242)*0.333+1)))))</f>
        <v>0</v>
      </c>
      <c r="BO242" s="9">
        <f>IF(BL242&lt;0,0,BL242*Исходн.данные.!$AJ242/1000)</f>
        <v>0</v>
      </c>
      <c r="BP242" s="9">
        <f>IF(BM242&lt;0,0,BM242*Исходн.данные.!$AJ242/1000)</f>
        <v>0</v>
      </c>
      <c r="BQ242" s="9">
        <f>IF(BN242&lt;0,0,BN242*Исходн.данные.!$AJ242/1000)</f>
        <v>0</v>
      </c>
      <c r="BR242" s="9">
        <f t="shared" si="303"/>
        <v>0</v>
      </c>
      <c r="BS242" s="10" t="str">
        <f t="shared" si="304"/>
        <v>Аммофос 12:52:00</v>
      </c>
      <c r="BT242" s="10" t="str">
        <f t="shared" si="305"/>
        <v>Аммофос 12:52:00</v>
      </c>
      <c r="BU242" s="10" t="str">
        <f t="shared" si="306"/>
        <v>Диаммофоска</v>
      </c>
      <c r="BV242" s="10">
        <f t="shared" si="307"/>
        <v>0</v>
      </c>
      <c r="BW242" s="10"/>
      <c r="BX242" s="10"/>
      <c r="BY242" s="9">
        <f>IF(BL242&lt;0,0,IF(OR(Исходн.данные.!AI242=Расчет!$BU$6,Исходн.данные.!AI242=Расчет!$BU$7),Расчет!BV242,IF(Исходн.данные.!$AG242=$BV$11,BL242,IF(OR(Исходн.данные.!$AH242=$BQ$7,Исходн.данные.!$AH242=$BQ$8),CB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0,IF(Исходн.данные.!$AI242=$BU$11,"Нет",IF(BL242&gt;30,30,BL242)))))))</f>
        <v>0</v>
      </c>
      <c r="BZ242" s="9">
        <f>IF(AND(Исходн.данные.!$AG242=$BV$11,BM242&lt;10),10,IF(Исходн.данные.!$AG242=$BV$11,BM242,IF(OR(Исходн.данные.!$AH242=$BQ$7,Исходн.данные.!$AH242=$BQ$8),CC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10,IF(Исходн.данные.!$AI242=$BU$11,"Нет",IF(BM242&gt;60,60,IF(BM242&lt;10,10,BM242)))))))</f>
        <v>10</v>
      </c>
      <c r="CA242" s="39">
        <f>IF(BN242&lt;0,0,IF(Исходн.данные.!$AG242=$BV$11,BN242,IF(OR(Исходн.данные.!$AH242=$BQ$7,Исходн.данные.!$AH242=$BQ$8),CD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0,IF(Исходн.данные.!$AI242=$BU$11,"Нет",IF(BN242&gt;30,30,BN242))))))</f>
        <v>0</v>
      </c>
      <c r="CB242" s="9">
        <f t="shared" si="308"/>
        <v>0</v>
      </c>
      <c r="CC242" s="9">
        <f t="shared" si="309"/>
        <v>0</v>
      </c>
      <c r="CD242" s="9">
        <f t="shared" si="310"/>
        <v>0</v>
      </c>
      <c r="CE242" s="12">
        <f t="shared" si="311"/>
        <v>10</v>
      </c>
      <c r="CF242" s="9">
        <f t="shared" si="312"/>
        <v>0</v>
      </c>
      <c r="CG242" s="9" t="s">
        <v>231</v>
      </c>
      <c r="CH242" s="132" t="str">
        <f>IF(Исходн.данные.!AP242=Расчет!$CI$16,"Нет",IF(Исходн.данные.!AL242&gt;0,Исходн.данные.!AL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BH$4,IF(OR(Исходн.данные.!AI242=Исходн.данные.!$AI$6,Исходн.данные.!AI242=Исходн.данные.!$AI$7),Расчет!BS242,IF(AND($CF242=0,$CE242&gt;0),EV242,ER242)))))</f>
        <v>Аммофос 12:52:00</v>
      </c>
      <c r="CI242" s="274">
        <f>IF(Расчет!$CH242="Нет","Нет",IF(Исходн.данные.!$AL242&gt;0,VLOOKUP(Расчет!$CH242,АшламаДВ_Irekle,2,FALSE),VLOOKUP(Расчет!$CH242,АшламаДВ_Gomumy,2,FALSE)))</f>
        <v>0.12</v>
      </c>
      <c r="CJ242" s="274">
        <f>IF(Расчет!$CH242="Нет","Нет",IF(Исходн.данные.!$AL242&gt;0,VLOOKUP(Расчет!$CH242,АшламаДВ_Irekle,3,FALSE),VLOOKUP(Расчет!$CH242,АшламаДВ_Gomumy,3,FALSE)))</f>
        <v>0.52</v>
      </c>
      <c r="CK242" s="274">
        <f>IF(Расчет!$CH242="Нет","Нет",IF(Исходн.данные.!$AL242&gt;0,VLOOKUP(Расчет!$CH242,АшламаДВ_Irekle,4,FALSE),VLOOKUP(Расчет!$CH242,АшламаДВ_Gomumy,4,FALSE)))</f>
        <v>0</v>
      </c>
      <c r="CL242" s="70"/>
      <c r="CM242" s="70"/>
      <c r="CN242" s="70"/>
      <c r="CO242" s="70"/>
      <c r="CP242" s="70"/>
      <c r="CQ242" s="70"/>
      <c r="CR242" s="10">
        <f t="shared" si="313"/>
        <v>0</v>
      </c>
      <c r="CS242" s="10">
        <f t="shared" si="314"/>
        <v>19.23076923076923</v>
      </c>
      <c r="CT242" s="10">
        <f t="shared" si="315"/>
        <v>0</v>
      </c>
      <c r="CU242" s="39">
        <f>IF($CH242="Нет",0,IF(CI242=0,30/MIN(CJ242:CK242),IF(Исходн.данные.!$AG242=$BV$11,CR242,IF(OR(Исходн.данные.!$AH242=$BQ$7,Исходн.данные.!$AH242=$BQ$8),90/CI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0,IF(Исходн.данные.!$AI242=$BU$11,"Нет",30/CI242))))))</f>
        <v>250</v>
      </c>
      <c r="CV242" s="39">
        <f>IF($CH242="Нет",0,IF(Исходн.данные.!AH242=0,0,IF(CJ242=0,60/MIN(CI242,CK242),IF(Исходн.данные.!$AG242=$BV$11,CS242,IF(OR(Исходн.данные.!$AH242=$BQ$7,Исходн.данные.!$AH242=$BQ$8),90/CJ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10/CJ242,IF(Исходн.данные.!$AI242=$BU$11,"Нет",60/CJ242)))))))</f>
        <v>0</v>
      </c>
      <c r="CW242" s="39">
        <f>IF($CH242="Нет",0,IF(Исходн.данные.!AH242=0,0,IF(CK242=0,30/MIN(CI242:CJ242),IF(Исходн.данные.!$AG242=$BV$11,CT242,IF(OR(Исходн.данные.!$AH242=$BQ$7,Исходн.данные.!$AH242=$BQ$8),90/CK242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0,IF(Исходн.данные.!$AI242=$BU$11,"Нет",30/CK242)))))))</f>
        <v>0</v>
      </c>
      <c r="CX242" s="133">
        <f>IF(Исходн.данные.!$AG242=$BV$11,MAX(CU242:CW242),IF(OR(Исходн.данные.!$AH242=$BS$8,Исходн.данные.!$AH242=$BQ$9,Исходн.данные.!$AH242=$BQ$10,Исходн.данные.!$AH242=$BQ$11,Исходн.данные.!$AH242=$BQ$12,Исходн.данные.!$AH242=$BP$3,Исходн.данные.!$AH242=$BT$8,$FM242="Да"),CV242,MIN(CU242:CW242)))</f>
        <v>0</v>
      </c>
      <c r="CY242" s="133">
        <f>IF(Исходн.данные.!AH242=0,0,IF(CR242&gt;$CX242,$CX242,CR242))</f>
        <v>0</v>
      </c>
      <c r="CZ242" s="133">
        <f>IF(Исходн.данные.!AH242=0,0,IF(CS242&gt;$CX242,$CX242,CS242))</f>
        <v>0</v>
      </c>
      <c r="DA242" s="133">
        <f>IF(Исходн.данные.!AH242=0,0,IF(CT242&gt;$CX242,$CX242,CT242))</f>
        <v>0</v>
      </c>
      <c r="DB242" s="10">
        <f t="shared" si="316"/>
        <v>0</v>
      </c>
      <c r="DC242" s="39">
        <f>DB242*Исходн.данные.!AJ242/1000</f>
        <v>0</v>
      </c>
      <c r="DD242" s="71">
        <f t="shared" si="317"/>
        <v>0</v>
      </c>
      <c r="DE242" s="9">
        <f t="shared" si="318"/>
        <v>0</v>
      </c>
      <c r="DF242" s="9">
        <f t="shared" si="319"/>
        <v>0</v>
      </c>
      <c r="DG242" s="39">
        <f>IF(BL242&lt;0,0,IF($CH242="Нет",BL242,IF(OR(Исходн.данные.!$AH242=$BP$1,Исходн.данные.!$AH242=$BP$2),0,IF(Исходн.данные.!AI242=$BU$11,BL242,IF(BL242-DD242&lt;0,0,BL242-DD242)))))</f>
        <v>0</v>
      </c>
      <c r="DH242" s="39">
        <f>IF(BM242&lt;0,0,IF($CH242="Нет",BM242,IF(OR(Исходн.данные.!$AH242=$BP$1,Исходн.данные.!$AH242=$BP$2),0,IF(Исходн.данные.!AJ242=$BU$11,BM242,IF(BM242-DE242&lt;0,0,BM242-DE242)))))</f>
        <v>0</v>
      </c>
      <c r="DI242" s="39">
        <f>IF(BN242&lt;0,0,IF($CH242="Нет",BN242,IF(OR(Исходн.данные.!$AH242=$BP$1,Исходн.данные.!$AH242=$BP$2),0,IF(Исходн.данные.!AK242=$BU$11,BN242,IF(BN242-DF242&lt;0,0,BN242-DF242)))))</f>
        <v>0</v>
      </c>
      <c r="DJ242" s="12">
        <f t="shared" si="320"/>
        <v>0</v>
      </c>
      <c r="DK242" s="9">
        <f t="shared" si="321"/>
        <v>0</v>
      </c>
      <c r="DL242" s="39">
        <f>IF(Исходн.данные.!AM242&gt;0,Исходн.данные.!AM242,IF(EG242&gt;0,$BH$10,0))</f>
        <v>0</v>
      </c>
      <c r="DM242" s="186">
        <f>IF($DL242=0,0,IF(Исходн.данные.!AM242&gt;0,VLOOKUP($DL242,АшламаДВ_Irekle,2,FALSE),VLOOKUP($DL242,АшламаДВ_Gomumy,2,FALSE)))</f>
        <v>0</v>
      </c>
      <c r="DN242" s="10">
        <f t="shared" si="299"/>
        <v>0</v>
      </c>
      <c r="DO242" s="9" t="str">
        <f>IF(Исходн.данные.!AN242&gt;0,Исходн.данные.!AN242,Удобрения!$B$37 )</f>
        <v>Хлор.калий</v>
      </c>
      <c r="DP242" s="9">
        <f>IF(Исходн.данные.!AN242&gt;0,VLOOKUP(Исходн.данные.!AN242,АшламаДВ_Irekle,4,FALSE),VLOOKUP(DO242,АшламаДВ_Gomumy,4,FALSE))</f>
        <v>0.6</v>
      </c>
      <c r="DQ242" s="10">
        <f t="shared" si="300"/>
        <v>0</v>
      </c>
      <c r="DR242" s="132" t="str">
        <f>IF(Исходн.данные.!AO242&gt;0,Исходн.данные.!AO242,IF(DH242=0,BS$17,IF(AND($DK242=0,$DJ242&gt;0),EJ242,EN242)))</f>
        <v>Нет</v>
      </c>
      <c r="DS242" s="70" t="str">
        <f>IF($DR242="Нет","Нет",IF(Исходн.данные.!$AO242&gt;0,VLOOKUP($DR242,АшламаДВ_Irekle,2,FALSE),VLOOKUP($DR242,АшламаДВ_Gomumy,2,FALSE)))</f>
        <v>Нет</v>
      </c>
      <c r="DT242" s="70" t="str">
        <f>IF($DR242="Нет","Нет",IF(Исходн.данные.!$AO242&gt;0,VLOOKUP($DR242,АшламаДВ_Irekle,3,FALSE),VLOOKUP($DR242,АшламаДВ_Gomumy,3,FALSE)))</f>
        <v>Нет</v>
      </c>
      <c r="DU242" s="70" t="str">
        <f>IF($DR242="Нет","Нет",IF(Исходн.данные.!$AO242&gt;0,VLOOKUP($DR242,АшламаДВ_Irekle,4,FALSE),VLOOKUP($DR242,АшламаДВ_Gomumy,4,FALSE)))</f>
        <v>Нет</v>
      </c>
      <c r="DV242" s="70"/>
      <c r="DW242" s="70"/>
      <c r="DX242" s="70"/>
      <c r="DY242" s="10">
        <f t="shared" si="322"/>
        <v>0</v>
      </c>
      <c r="DZ242" s="10">
        <f t="shared" si="323"/>
        <v>0</v>
      </c>
      <c r="EA242" s="10">
        <f t="shared" si="324"/>
        <v>0</v>
      </c>
      <c r="EB242" s="10">
        <f t="shared" si="325"/>
        <v>0</v>
      </c>
      <c r="EC242" s="10">
        <f t="shared" si="326"/>
        <v>0</v>
      </c>
      <c r="ED242" s="10">
        <f t="shared" si="327"/>
        <v>0</v>
      </c>
      <c r="EE242" s="10">
        <f t="shared" si="328"/>
        <v>0</v>
      </c>
      <c r="EF242" s="39">
        <f>EB242*Исходн.данные.!AJ242/1000</f>
        <v>0</v>
      </c>
      <c r="EG242" s="9">
        <f t="shared" si="329"/>
        <v>0</v>
      </c>
      <c r="EH242" s="9">
        <f t="shared" si="330"/>
        <v>0</v>
      </c>
      <c r="EI242" s="39" t="e">
        <f t="shared" si="280"/>
        <v>#DIV/0!</v>
      </c>
      <c r="EJ242" s="9" t="str">
        <f t="shared" si="301"/>
        <v>Азопреципитат</v>
      </c>
      <c r="EK242" s="12">
        <f t="shared" si="281"/>
        <v>0.26</v>
      </c>
      <c r="EL242" s="12">
        <f t="shared" si="282"/>
        <v>0.13</v>
      </c>
      <c r="EM242" s="12">
        <f t="shared" si="283"/>
        <v>0</v>
      </c>
      <c r="EN242" s="12" t="str">
        <f t="shared" si="302"/>
        <v>Нет</v>
      </c>
      <c r="EO242" s="12">
        <f t="shared" si="284"/>
        <v>0</v>
      </c>
      <c r="EP242" s="12">
        <f t="shared" si="285"/>
        <v>0</v>
      </c>
      <c r="EQ242" s="12">
        <f t="shared" si="286"/>
        <v>0</v>
      </c>
      <c r="ER242" s="12" t="str">
        <f t="shared" si="331"/>
        <v>Диаммофоска</v>
      </c>
      <c r="ES242" s="12">
        <f t="shared" si="287"/>
        <v>0.1</v>
      </c>
      <c r="ET242" s="12">
        <f t="shared" si="288"/>
        <v>0.26</v>
      </c>
      <c r="EU242" s="12">
        <f t="shared" si="289"/>
        <v>0.26</v>
      </c>
      <c r="EV242" s="12" t="str">
        <f t="shared" si="332"/>
        <v>Аммофос 12:52:00</v>
      </c>
      <c r="EW242" s="12" t="str">
        <f t="shared" si="333"/>
        <v>Кемира Свекловичное-6</v>
      </c>
      <c r="EX242" s="12">
        <f t="shared" si="290"/>
        <v>0.16</v>
      </c>
      <c r="EY242" s="12">
        <f t="shared" si="291"/>
        <v>0.12</v>
      </c>
      <c r="EZ242" s="12">
        <f t="shared" si="292"/>
        <v>0.17</v>
      </c>
      <c r="FA242" s="38" t="e">
        <f>IF(AND(OR(FJ242=$FD$1,FM242=$FD$1,FO242=$FD$1,FQ242=$FD$1,FS242=$FD$1),FD242=$FD$1,Исходн.данные.!J242&lt;2,FU242=$FD$1),"Бор,Кобальт",IF(AND(FO242=$FD$1,FH242=$FD$1,Исходн.данные.!J242&lt;2,FU242=$FD$1),"Бор,Кобальт",IF(AND(OR(FJ242=$FD$1,FM242=$FD$1,FQ242=$FD$1),FE242=$FD$1,Исходн.данные.!J242&lt;2,FT242=$FD$1,FU242=$FD$1),"Бор,Медь,Цинк",IF(AND(OR(FJ242=$FD$1,FR242="Да"),FI242="Да",Исходн.данные.!J242&lt;2,FT242="Да",FU242="Да"),"Бор,Цинк,Медь",IF(AND(OR(FM242="Да",FQ242="Да"),FI242="Да",Исходн.данные.!J242&lt;2,FT242="Да",FU242="Да"),"Бор,Цинк",IF(AND(FN242="Да",OR(FD242="Да",FE242="Да")),"Бор",FB242))))))</f>
        <v>#N/A</v>
      </c>
      <c r="FB242" s="134" t="e">
        <f>IF(AND(OR(FD242="Да",FE242="Да",FF242="Да",FG242="Да",FH242="Да"),FO242="Да"),"Бор",IF(AND(FP242="Да",OR(FD242="Да",FE242="Да",FI242="Да")),"Бор",IF(AND(FS242="Да",FE242="Да"),"Бор,Медь",IF(AND(OR(FJ242="Да",FK242="Да",FL242="Да"),FE242="Да",Исходн.данные.!I242&lt;5,FT242="Да",FU242="Да"),"Молибден,Цинк",IF(AND(FM242="Да",OR(FE242="Да",FF242="Да",FG242="Да",FH242="Да",FI242="Да")),"Молибден,Цинк",IF(AND(OR(FJ242="Да",FK242="Да",FL242="Да",FM242="Да",FQ242="Да"),OR(FE242="Да",FF242="Да"),FT242="Да",FU242="Да",Исходн.данные.!I242&gt;5.5),"Медь,Цинк",FC242))))))</f>
        <v>#N/A</v>
      </c>
      <c r="FC242" s="23" t="e">
        <f t="shared" si="334"/>
        <v>#N/A</v>
      </c>
      <c r="FD242" s="38" t="str">
        <f>IF(OR(Исходн.данные.!F242=$CC$1,Исходн.данные.!F242=$CC$2,Исходн.данные.!F242=$CC$3,Исходн.данные.!F242=$CC$4),"Да","Нет")</f>
        <v>Нет</v>
      </c>
      <c r="FE242" s="38" t="str">
        <f>IF(Исходн.данные.!F242=$CC$5,"Да","Нет")</f>
        <v>Нет</v>
      </c>
      <c r="FF242" s="38" t="str">
        <f>IF(OR(Исходн.данные.!F242=$CC$6,Исходн.данные.!F242=$CC$7),"Да","Нет")</f>
        <v>Нет</v>
      </c>
      <c r="FG242" s="38" t="str">
        <f>IF(OR(Исходн.данные.!F242=$CC$8,Исходн.данные.!F242=$CC$9),"Да","Нет")</f>
        <v>Нет</v>
      </c>
      <c r="FH242" s="38" t="str">
        <f>IF(Исходн.данные.!F242=$CC$10,"Да","Нет")</f>
        <v>Нет</v>
      </c>
      <c r="FI242" s="38" t="str">
        <f>IF(OR(Исходн.данные.!F242=$CC$11,Исходн.данные.!F242=$CC$12),"Да","Нет")</f>
        <v>Нет</v>
      </c>
      <c r="FJ242" s="38" t="str">
        <f>IF(OR(Исходн.данные.!AH242=$BS$1,Исходн.данные.!AH242=$BQ$11,Исходн.данные.!AH242=$BQ$12),"Да","Нет")</f>
        <v>Нет</v>
      </c>
      <c r="FK242" s="38" t="str">
        <f>IF(OR(Исходн.данные.!AH242=$BS$2,Исходн.данные.!AH242=$BS$4),"Да","Нет")</f>
        <v>Нет</v>
      </c>
      <c r="FL242" s="38" t="str">
        <f>IF(OR(Исходн.данные.!AH242=$BS$3,Исходн.данные.!AH242=$BS$5),"Да","Нет")</f>
        <v>Нет</v>
      </c>
      <c r="FM242" s="38" t="str">
        <f>IF(OR(Исходн.данные.!AH242=$BS$9,Исходн.данные.!AH242=$BS$10,Исходн.данные.!AH242=$BS$11,Исходн.данные.!AH242=$BS$12),"Да","Нет")</f>
        <v>Нет</v>
      </c>
      <c r="FN242" s="38" t="str">
        <f>IF(OR(Исходн.данные.!AH242=$BS$6,Исходн.данные.!AH242=$BP$3),"Да","Нет")</f>
        <v>Нет</v>
      </c>
      <c r="FO242" s="38" t="str">
        <f>IF(Исходн.данные.!AH242=$BQ$9,"Да","Нет")</f>
        <v>Нет</v>
      </c>
      <c r="FP242" s="38" t="str">
        <f>IF(OR(Исходн.данные.!AH242=$BS$8,Исходн.данные.!AH242=$BT$8),"Да","Нет")</f>
        <v>Нет</v>
      </c>
      <c r="FQ242" s="38" t="str">
        <f>IF(OR(Исходн.данные.!AH242=$BQ$7,Исходн.данные.!AH242=$BQ$8),"Да","Нет")</f>
        <v>Нет</v>
      </c>
      <c r="FR242" s="38" t="str">
        <f>IF(Исходн.данные.!AI242=$BU$9,"Да","Нет")</f>
        <v>Нет</v>
      </c>
      <c r="FS242" s="38" t="str">
        <f>IF(OR(Исходн.данные.!AH242=$BP$1,Исходн.данные.!AH242=$BP$2),"Да","Нет")</f>
        <v>Нет</v>
      </c>
      <c r="FT242" s="38" t="e">
        <f>IF((Исходн.данные.!K242*GO242*GS242*GW242+BL242*0.6+Исходн.данные.!Q242*4.5*0.275)&gt;90,"Да","Нет")</f>
        <v>#N/A</v>
      </c>
      <c r="FU242" s="38" t="e">
        <f>IF((Исходн.данные.!M242*GS242*GZ242+BM242*0.225)&gt;35,"Да","Нет")</f>
        <v>#N/A</v>
      </c>
      <c r="FV242" s="38" t="str">
        <f>IF(Исходн.данные.!O242&gt;175,"Да","Нет")</f>
        <v>Нет</v>
      </c>
      <c r="FW242" s="39" t="str">
        <f>IF(Исходн.данные.!I242&gt;5.5,"Да","Нет")</f>
        <v>Нет</v>
      </c>
      <c r="FX242" s="39" t="str">
        <f>IF(Исходн.данные.!J242&lt;2,"Да","Нет")</f>
        <v>Да</v>
      </c>
      <c r="FY242" s="39" t="e">
        <f>IF(HF242=$FY$16,0,Исходн.данные.!K242*GO242*GS242*GW242/HF242)</f>
        <v>#N/A</v>
      </c>
      <c r="FZ242" s="39" t="e">
        <f>Исходн.данные.!M242*GS242*GZ242/HG242</f>
        <v>#N/A</v>
      </c>
      <c r="GA242" s="39" t="e">
        <f>IF(K_Wyn=$FY$16,0,IF(Исходн.данные.!N242=Исходн.данные.!$L$10,Исходн.данные.!O242/1.1*GS242*HC242/HH242,IF(Исходн.данные.!N242=Исходн.данные.!$L$12,Исходн.данные.!O242/1.5*GS242*HC242/HH242,Исходн.данные.!O242*GS242*HC242/HH242)))</f>
        <v>#N/A</v>
      </c>
      <c r="GB242" s="39" t="e">
        <f>IF(HF242=$FY$16,0,((Исходн.данные.!Q242*N_Org+Исходн.данные.!R242*N_Sider+Исходн.данные.!S242*N_Soloma)*AO242+Расчет!BC242*VLOOKUP(Исходн.данные.!T242,Справ!$A$3:$O$57,15)*AO242+BB242*VLOOKUP(Исходн.данные.!T242,Справ!$A$3:$O$57,15)*AL242+(Исходн.данные.!V242*N_Rizotorf+Исходн.данные.!W242*N_Rizoagr))/HF242)</f>
        <v>#N/A</v>
      </c>
      <c r="GC242" s="39" t="e">
        <f>IF(HG242=$FY$16,0,((Исходн.данные.!Q242*Р_Org+Исходн.данные.!R242*P_Sider+Исходн.данные.!S242*P_Soloma)*AP242+Расчет!BC242*VLOOKUP(Исходн.данные.!T242,Справ!$A$3:$P$57,16)*AP242+BB242*VLOOKUP(Исходн.данные.!T242,Справ!$A$3:$P$57,16)*AM242)/HG242)</f>
        <v>#N/A</v>
      </c>
      <c r="GD242" s="39" t="e">
        <f>IF(HH242=$FY$16,0,((Исходн.данные.!Q242*К_Org+Исходн.данные.!R242*K_Sider+Исходн.данные.!S242*K_Soloma)*AQ242+Расчет!BC242*VLOOKUP(Исходн.данные.!T242,Справ!$A$3:$Q$57,17)*AQ242+BB242*VLOOKUP(Исходн.данные.!T242,Справ!$A$3:$Q$57,17)*AN242)/HH242)</f>
        <v>#N/A</v>
      </c>
      <c r="GE242" s="39" t="e">
        <f>IF(HF242=$FY$16,0,(Исходн.данные.!X242*AR242+Исходн.данные.!AA242*N_Org*AL242+Исходн.данные.!AB242*N_Sider*AL242+Исходн.данные.!AC242*N_Soloma*AL242)/HF242)</f>
        <v>#N/A</v>
      </c>
      <c r="GF242" s="39" t="e">
        <f>IF(HG242=$FY$16,0,(Исходн.данные.!Y242*AS242+Исходн.данные.!AA242*Р_Org*AM242+Исходн.данные.!AB242*P_Sider*AM242+Исходн.данные.!AC242*P_Soloma*AM242)/HG242)</f>
        <v>#N/A</v>
      </c>
      <c r="GG242" s="39" t="e">
        <f>IF(HH242=$FY$16,0,(Исходн.данные.!Z242*AT242+Исходн.данные.!AA242*К_Org*AN242+Исходн.данные.!AB242*K_Sider*AN242+Исходн.данные.!AC242*K_Soloma*AN242)/HH242)</f>
        <v>#N/A</v>
      </c>
      <c r="GH242" s="39" t="e">
        <f>Исходн.данные.!AD242*AU242/HF242</f>
        <v>#N/A</v>
      </c>
      <c r="GI242" s="39" t="e">
        <f>Исходн.данные.!AE242*AV242/HG242</f>
        <v>#N/A</v>
      </c>
      <c r="GJ242" s="39" t="e">
        <f>Исходн.данные.!AF242*AW242/HH242</f>
        <v>#N/A</v>
      </c>
      <c r="GK242" s="55">
        <f>Исходн.данные.!AK242</f>
        <v>0</v>
      </c>
      <c r="GL242" s="11" t="e">
        <f t="shared" si="335"/>
        <v>#N/A</v>
      </c>
      <c r="GM242" s="11" t="e">
        <f t="shared" si="336"/>
        <v>#N/A</v>
      </c>
      <c r="GN242" s="11" t="e">
        <f t="shared" si="337"/>
        <v>#N/A</v>
      </c>
      <c r="GO242" s="57">
        <f t="shared" si="338"/>
        <v>19</v>
      </c>
      <c r="GP242" s="55">
        <f>IF(OR(Исходн.данные.!F242=$CE$1,Исходн.данные.!F242=$CE$2,Исходн.данные.!F242=$CE$3,Исходн.данные.!F242=$CE$4,Исходн.данные.!F242=$CE$5),GQ242,GR242)</f>
        <v>19</v>
      </c>
      <c r="GQ242" s="55">
        <f>IF(Исходн.данные.!F242=$CE$1,28,IF(Исходн.данные.!F242=$CE$2,26,IF(Исходн.данные.!F242=$CE$3,24,IF(Исходн.данные.!F242=$CE$4,22,IF(Исходн.данные.!F242=$CE$5,20,GR242)))))</f>
        <v>19</v>
      </c>
      <c r="GR242" s="55">
        <f>IF(Исходн.данные.!F242=$CE$6,18,IF(Исходн.данные.!F242=$CE$7,16,IF(Исходн.данные.!F242=$CE$8,14,IF(Исходн.данные.!F242=$CE$9,13,IF(Исходн.данные.!F242=$CE$10,12,19)))))</f>
        <v>19</v>
      </c>
      <c r="GS242" s="55">
        <f>IF(Исходн.данные.!G242="Пес",0.035*(40+2*Исходн.данные.!H242),IF(Исходн.данные.!G242="Суп",0.0325*(40+2*Исходн.данные.!H242),0.03*(40+2*Исходн.данные.!H242)))</f>
        <v>1.2</v>
      </c>
      <c r="GT242" s="55">
        <f>IF(Исходн.данные.!H242&lt;23,2.6,IF(AND(Исходн.данные.!H242&gt;22,Исходн.данные.!H242&lt;26),3,IF(AND(Исходн.данные.!H242&gt;25,Исходн.данные.!H242&lt;29),3.4,3.6)))</f>
        <v>2.6</v>
      </c>
      <c r="GU242" s="55">
        <f>IF(Исходн.данные.!H242&lt;23,2.8,IF(AND(Исходн.данные.!H242&gt;22,Исходн.данные.!H242&lt;26),3.2,IF(AND(Исходн.данные.!H242&gt;25,Исходн.данные.!H242&lt;29),3.6,3.9)))</f>
        <v>2.8</v>
      </c>
      <c r="GV242" s="55">
        <f>IF(Исходн.данные.!H242&lt;23,3,IF(AND(Исходн.данные.!H242&gt;22,Исходн.данные.!H242&lt;26),3.5,IF(AND(Исходн.данные.!H242&gt;25,Исходн.данные.!H242&lt;29),3.9,4.2)))</f>
        <v>3</v>
      </c>
      <c r="GW242" s="55" t="e">
        <f>IF(Исходн.данные.!P242="Ум",GX242,GY242)</f>
        <v>#N/A</v>
      </c>
      <c r="GX242" s="55" t="e">
        <f>VLOOKUP(Исходн.данные.!AI242,Коэффициенты!$J$7:$L$13,2,FALSE)</f>
        <v>#N/A</v>
      </c>
      <c r="GY242" s="55" t="e">
        <f>VLOOKUP(Исходн.данные.!AI242,Коэффициенты!$J$7:$L$13,3,FALSE)</f>
        <v>#N/A</v>
      </c>
      <c r="GZ242" s="55" t="e">
        <f>(IF(Исходн.данные.!M242&lt;50,0.11*VLOOKUP(Исходн.данные.!AH242,Культуры.Информация,7,FALSE),IF(Исходн.данные.!M242&gt;250,0.05*VLOOKUP(Исходн.данные.!AH242,Культуры.Информация,7,FALSE),VLOOKUP(Исходн.данные.!AH242,Культуры.Информация,5,FALSE)/100*($GX$6+$GY$6*Исходн.данные.!M242))))*Расчет2!AI242</f>
        <v>#N/A</v>
      </c>
      <c r="HA242" s="211"/>
      <c r="HB242" s="211"/>
      <c r="HC242" s="55" t="e">
        <f>(IF(Исходн.данные.!O242&lt;80,0.2*VLOOKUP(Исходн.данные.!AH242,Культуры.Информация,8,FALSE),IF(Исходн.данные.!O242&gt;240,0.09*VLOOKUP(Исходн.данные.!AH242,Культуры.Информация,8,FALSE),VLOOKUP(Исходн.данные.!AH242,Культуры.Информация,6,FALSE)/100*($HB$6+$HC$6*Исходн.данные.!O242))))*Расчет2!AJ242</f>
        <v>#N/A</v>
      </c>
      <c r="HD242" s="55">
        <f>IF(Исходн.данные.!O242&gt;240,0.09,IF(Исходн.данные.!O242&lt;30,0.3,$HE$10+$HD$10*Исходн.данные.!O242))</f>
        <v>0.3</v>
      </c>
      <c r="HE242" s="55">
        <f>IF(Исходн.данные.!O242&gt;240,0.17,IF(Исходн.данные.!O242&lt;30,0.5,$HF$12+$HE$12*Исходн.данные.!O242))</f>
        <v>0.5</v>
      </c>
      <c r="HF242" s="55" t="e">
        <f>VLOOKUP(Исходн.данные.!AH242,Справ!$A$3:$D$58,2,FALSE)</f>
        <v>#N/A</v>
      </c>
      <c r="HG242" s="55" t="e">
        <f>VLOOKUP(Исходн.данные.!AH242,Справ!$A$3:$D$58,3,FALSE)</f>
        <v>#N/A</v>
      </c>
      <c r="HH242" s="55" t="e">
        <f>VLOOKUP(Исходн.данные.!AH242,Справ!$A$3:$D$58,4,FALSE)</f>
        <v>#N/A</v>
      </c>
      <c r="HI242" s="11" t="e">
        <f t="shared" si="339"/>
        <v>#N/A</v>
      </c>
      <c r="HJ242" s="11" t="e">
        <f t="shared" si="340"/>
        <v>#N/A</v>
      </c>
      <c r="HK242" s="11" t="e">
        <f t="shared" si="341"/>
        <v>#N/A</v>
      </c>
      <c r="HL242" s="55">
        <f>IF(OR(Исходн.данные.!G242="Глин",Исходн.данные.!G242="Т_суг"),1.1,IF(Исходн.данные.!G242="Ср_суг",1,1))</f>
        <v>1</v>
      </c>
      <c r="HM242" s="55">
        <f>IF(OR(Исходн.данные.!G242="Глин",Исходн.данные.!G242="Т_суг"),0.9,IF(Исходн.данные.!G242="Ср_суг",1,1.2))</f>
        <v>1.2</v>
      </c>
      <c r="HN242" s="11" t="e">
        <f t="shared" si="342"/>
        <v>#N/A</v>
      </c>
      <c r="HO242" s="11" t="e">
        <f t="shared" si="343"/>
        <v>#N/A</v>
      </c>
      <c r="HP242" s="11" t="e">
        <f t="shared" si="344"/>
        <v>#N/A</v>
      </c>
      <c r="HQ242" t="e">
        <f t="shared" si="345"/>
        <v>#N/A</v>
      </c>
      <c r="HR242" t="e">
        <f t="shared" si="346"/>
        <v>#N/A</v>
      </c>
      <c r="HS242" t="e">
        <f t="shared" si="347"/>
        <v>#N/A</v>
      </c>
      <c r="HT242" t="e">
        <f t="shared" si="293"/>
        <v>#N/A</v>
      </c>
      <c r="HU242" t="e">
        <f t="shared" si="294"/>
        <v>#N/A</v>
      </c>
      <c r="HV242" t="e">
        <f t="shared" si="295"/>
        <v>#N/A</v>
      </c>
      <c r="HW242" t="e">
        <f t="shared" si="296"/>
        <v>#N/A</v>
      </c>
      <c r="HX242" t="e">
        <f t="shared" si="297"/>
        <v>#N/A</v>
      </c>
      <c r="HY242" t="e">
        <f t="shared" si="298"/>
        <v>#N/A</v>
      </c>
      <c r="HZ242" s="55">
        <f>IF(OR(Исходн.данные.!AI242="Оз_Ч_П",Исходн.данные.!AI242="Оз_З_П",Исходн.данные.!AI242="Яр_зер"),12,30)</f>
        <v>30</v>
      </c>
      <c r="IA242" t="e">
        <f t="shared" si="348"/>
        <v>#N/A</v>
      </c>
      <c r="IB242" t="e">
        <f t="shared" si="349"/>
        <v>#N/A</v>
      </c>
      <c r="IC242" t="e">
        <f t="shared" si="350"/>
        <v>#N/A</v>
      </c>
      <c r="ID242" s="11" t="e">
        <f t="shared" si="351"/>
        <v>#N/A</v>
      </c>
      <c r="IE242" s="11" t="e">
        <f t="shared" si="352"/>
        <v>#N/A</v>
      </c>
      <c r="IF242" s="11" t="e">
        <f t="shared" si="353"/>
        <v>#N/A</v>
      </c>
    </row>
    <row r="243" spans="35:240" x14ac:dyDescent="0.2">
      <c r="AI243">
        <f>IF(Исходн.данные.!I243&gt;6,1,1.85-(0.148*Исходн.данные.!I243))</f>
        <v>1.85</v>
      </c>
      <c r="AJ243">
        <f>IF(Исходн.данные.!I243&gt;6,1,2.434-(0.246*Исходн.данные.!I243))</f>
        <v>2.4340000000000002</v>
      </c>
      <c r="AL243" s="148" t="b">
        <f>IF(Исходн.данные.!$P243="Ум",N_OrgUd_2g_um,IF(Исходн.данные.!$P243="Об",N_OrgUd_2g_ob))</f>
        <v>0</v>
      </c>
      <c r="AM243" s="148" t="b">
        <f>IF(Исходн.данные.!$P243="Ум",P_OrgUd_2g_um,IF(Исходн.данные.!$P243="Об",P_OrgUd_2g_ob))</f>
        <v>0</v>
      </c>
      <c r="AN243" s="148" t="b">
        <f>IF(Исходн.данные.!$P243="Ум",K_OrgUd_2g_um,IF(Исходн.данные.!$P243="Об",K_OrgUd_2g_ob))</f>
        <v>0</v>
      </c>
      <c r="AO243" s="148" t="b">
        <f>IF(Исходн.данные.!$P243="Ум",N_OrgUd_1g_um,IF(Исходн.данные.!$P243="Об",N_OrgUd_1g_ob))</f>
        <v>0</v>
      </c>
      <c r="AP243" s="148" t="b">
        <f>IF(Исходн.данные.!$P243="Ум",P_OrgUd_1g_um,IF(Исходн.данные.!$P243="Об",P_OrgUd_1g_ob))</f>
        <v>0</v>
      </c>
      <c r="AQ243" s="148" t="b">
        <f>IF(Исходн.данные.!$P243="Ум",K_OrgUd_1g_um,IF(Исходн.данные.!$P243="Об",K_OrgUd_1g_ob))</f>
        <v>0</v>
      </c>
      <c r="AR243" t="b">
        <f>IF(Исходн.данные.!$P243="Ум",N_MinUd_2g_um,IF(Исходн.данные.!$P243="Об",N_MinUd_2g_ob))</f>
        <v>0</v>
      </c>
      <c r="AS243" t="b">
        <f>IF(Исходн.данные.!$P243="Ум",P_MinUd_2g_um,IF(Исходн.данные.!$P243="Об",P_MinUd_2g_ob))</f>
        <v>0</v>
      </c>
      <c r="AT243" t="b">
        <f>IF(Исходн.данные.!$P243="Ум",K_MinUd_2g_um,IF(Исходн.данные.!$P243="Об",K_MinUd_2g_ob))</f>
        <v>0</v>
      </c>
      <c r="AU243" t="b">
        <f>IF(Исходн.данные.!$P243="Ум",N_MinUd_1g_um,IF(Исходн.данные.!$P243="Об",N_MinUd_1g_ob))</f>
        <v>0</v>
      </c>
      <c r="AV243" t="b">
        <f>IF(Исходн.данные.!P243="Ум",P_MinUd_1g_um,IF(Исходн.данные.!P243="Об",P_MinUd_1g_ob))</f>
        <v>0</v>
      </c>
      <c r="AW243" t="b">
        <f>IF(Исходн.данные.!P243="Ум",K_MinUd_1g_um,IF(Исходн.данные.!P243="Об",K_MinUd_1g_ob))</f>
        <v>0</v>
      </c>
      <c r="AY243" t="e">
        <f>VLOOKUP(Исходн.данные.!T243,Справ!$A$3:$N$57,12)</f>
        <v>#N/A</v>
      </c>
      <c r="AZ243" t="e">
        <f>VLOOKUP(Исходн.данные.!T243,Справ!$A$3:$N$57,13)</f>
        <v>#N/A</v>
      </c>
      <c r="BA243" t="e">
        <f>VLOOKUP(Исходн.данные.!T243,Справ!$A$3:$N$57,14)</f>
        <v>#N/A</v>
      </c>
      <c r="BB243">
        <f>IF(Исходн.данные.!AH243=0,0,25)</f>
        <v>0</v>
      </c>
      <c r="BC243" s="141">
        <f>IF(Исходн.данные.!AH243=0,0,IF(Исходн.данные.!T243=0,25,BD243))</f>
        <v>0</v>
      </c>
      <c r="BD243" s="168" t="e">
        <f>AY243+AZ243*Исходн.данные.!U243-POWER(BA243,2)*Исходн.данные.!U243</f>
        <v>#N/A</v>
      </c>
      <c r="BE24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3" s="25">
        <f>IF(Исходн.данные.!AH243=0,0,MIN(HN243:HP243))</f>
        <v>0</v>
      </c>
      <c r="BG243" s="9">
        <f>IF(Исходн.данные.!AH243=0,0,IF((HO243+10*0.25/HG243/HL243)&lt;17,17,HO243+10*0.25/HG243/HL243))</f>
        <v>0</v>
      </c>
      <c r="BH243" s="181">
        <f>IF(Исходн.данные.!AH243=0,0,HW243*HF243*HL243/AU243*AI243+Исходн.данные.!S243*10)</f>
        <v>0</v>
      </c>
      <c r="BI243" s="10"/>
      <c r="BJ243" s="182">
        <f>IF(Исходн.данные.!AH243=0,0,IF(HX243*HG243*HL243/AV243&lt;0,0,HX243*HG243*HL243/AV243*AJ243))</f>
        <v>0</v>
      </c>
      <c r="BK243" s="182">
        <f>IF(Исходн.данные.!AH243=0,0,HY243*HH243*HM243/AW243)</f>
        <v>0</v>
      </c>
      <c r="BL243" s="10">
        <f>IF(OR(Исходн.данные.!$AH243=$BP$1,Исходн.данные.!$AH243=$BP$2),0,IF(BH243&lt;0,0,IF(OR(Исходн.данные.!T243=Расчет!$BP$1,Исходн.данные.!T243=Расчет!$BP$2,Исходн.данные.!T243=Расчет!$BT$5,Исходн.данные.!T243=Расчет!$BT$6),BH243*0.5,IF(OR(Исходн.данные.!T243=Расчет!$BS$9,Исходн.данные.!T243=Расчет!$BS$10,Исходн.данные.!T243=Расчет!$BS$11,Исходн.данные.!T243=Расчет!$BS$12,Исходн.данные.!T243=Расчет!$BP$5),BH243*0.8,BH243))))</f>
        <v>0</v>
      </c>
      <c r="BM243" s="10">
        <f>IF(OR(Исходн.данные.!$AH243=$BP$1,Исходн.данные.!$AH243=$BP$2),0,IF(BJ243&lt;0,0,IF(Исходн.данные.!I243&lt;4.5,BJ243*1.2,IF(Исходн.данные.!I243&gt;5.1,BJ243,BJ243*((5.1-Исходн.данные.!I243)*0.333+1)))))</f>
        <v>0</v>
      </c>
      <c r="BN243" s="10">
        <f>IF(OR(Исходн.данные.!$AH243=$BP$1,Исходн.данные.!$AH243=$BP$2),60-Исходн.данные.!AF243,IF(BK243&lt;0,0,IF(Исходн.данные.!I243&lt;4.5,BK243*1.2,IF(Исходн.данные.!I243&gt;5.1,BK243,BK243*((5.1-Исходн.данные.!I243)*0.333+1)))))</f>
        <v>0</v>
      </c>
      <c r="BO243" s="9">
        <f>IF(BL243&lt;0,0,BL243*Исходн.данные.!$AJ243/1000)</f>
        <v>0</v>
      </c>
      <c r="BP243" s="9">
        <f>IF(BM243&lt;0,0,BM243*Исходн.данные.!$AJ243/1000)</f>
        <v>0</v>
      </c>
      <c r="BQ243" s="9">
        <f>IF(BN243&lt;0,0,BN243*Исходн.данные.!$AJ243/1000)</f>
        <v>0</v>
      </c>
      <c r="BR243" s="9">
        <f t="shared" si="303"/>
        <v>0</v>
      </c>
      <c r="BS243" s="10" t="str">
        <f t="shared" si="304"/>
        <v>Аммофос 12:52:00</v>
      </c>
      <c r="BT243" s="10" t="str">
        <f t="shared" si="305"/>
        <v>Аммофос 12:52:00</v>
      </c>
      <c r="BU243" s="10" t="str">
        <f t="shared" si="306"/>
        <v>Диаммофоска</v>
      </c>
      <c r="BV243" s="10">
        <f t="shared" si="307"/>
        <v>0</v>
      </c>
      <c r="BW243" s="10"/>
      <c r="BX243" s="10"/>
      <c r="BY243" s="9">
        <f>IF(BL243&lt;0,0,IF(OR(Исходн.данные.!AI243=Расчет!$BU$6,Исходн.данные.!AI243=Расчет!$BU$7),Расчет!BV243,IF(Исходн.данные.!$AG243=$BV$11,BL243,IF(OR(Исходн.данные.!$AH243=$BQ$7,Исходн.данные.!$AH243=$BQ$8),CB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0,IF(Исходн.данные.!$AI243=$BU$11,"Нет",IF(BL243&gt;30,30,BL243)))))))</f>
        <v>0</v>
      </c>
      <c r="BZ243" s="9">
        <f>IF(AND(Исходн.данные.!$AG243=$BV$11,BM243&lt;10),10,IF(Исходн.данные.!$AG243=$BV$11,BM243,IF(OR(Исходн.данные.!$AH243=$BQ$7,Исходн.данные.!$AH243=$BQ$8),CC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10,IF(Исходн.данные.!$AI243=$BU$11,"Нет",IF(BM243&gt;60,60,IF(BM243&lt;10,10,BM243)))))))</f>
        <v>10</v>
      </c>
      <c r="CA243" s="39">
        <f>IF(BN243&lt;0,0,IF(Исходн.данные.!$AG243=$BV$11,BN243,IF(OR(Исходн.данные.!$AH243=$BQ$7,Исходн.данные.!$AH243=$BQ$8),CD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0,IF(Исходн.данные.!$AI243=$BU$11,"Нет",IF(BN243&gt;30,30,BN243))))))</f>
        <v>0</v>
      </c>
      <c r="CB243" s="9">
        <f t="shared" si="308"/>
        <v>0</v>
      </c>
      <c r="CC243" s="9">
        <f t="shared" si="309"/>
        <v>0</v>
      </c>
      <c r="CD243" s="9">
        <f t="shared" si="310"/>
        <v>0</v>
      </c>
      <c r="CE243" s="12">
        <f t="shared" si="311"/>
        <v>10</v>
      </c>
      <c r="CF243" s="9">
        <f t="shared" si="312"/>
        <v>0</v>
      </c>
      <c r="CG243" s="9" t="s">
        <v>231</v>
      </c>
      <c r="CH243" s="132" t="str">
        <f>IF(Исходн.данные.!AP243=Расчет!$CI$16,"Нет",IF(Исходн.данные.!AL243&gt;0,Исходн.данные.!AL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BH$4,IF(OR(Исходн.данные.!AI243=Исходн.данные.!$AI$6,Исходн.данные.!AI243=Исходн.данные.!$AI$7),Расчет!BS243,IF(AND($CF243=0,$CE243&gt;0),EV243,ER243)))))</f>
        <v>Аммофос 12:52:00</v>
      </c>
      <c r="CI243" s="274">
        <f>IF(Расчет!$CH243="Нет","Нет",IF(Исходн.данные.!$AL243&gt;0,VLOOKUP(Расчет!$CH243,АшламаДВ_Irekle,2,FALSE),VLOOKUP(Расчет!$CH243,АшламаДВ_Gomumy,2,FALSE)))</f>
        <v>0.12</v>
      </c>
      <c r="CJ243" s="274">
        <f>IF(Расчет!$CH243="Нет","Нет",IF(Исходн.данные.!$AL243&gt;0,VLOOKUP(Расчет!$CH243,АшламаДВ_Irekle,3,FALSE),VLOOKUP(Расчет!$CH243,АшламаДВ_Gomumy,3,FALSE)))</f>
        <v>0.52</v>
      </c>
      <c r="CK243" s="274">
        <f>IF(Расчет!$CH243="Нет","Нет",IF(Исходн.данные.!$AL243&gt;0,VLOOKUP(Расчет!$CH243,АшламаДВ_Irekle,4,FALSE),VLOOKUP(Расчет!$CH243,АшламаДВ_Gomumy,4,FALSE)))</f>
        <v>0</v>
      </c>
      <c r="CL243" s="70"/>
      <c r="CM243" s="70"/>
      <c r="CN243" s="70"/>
      <c r="CO243" s="70"/>
      <c r="CP243" s="70"/>
      <c r="CQ243" s="70"/>
      <c r="CR243" s="10">
        <f t="shared" si="313"/>
        <v>0</v>
      </c>
      <c r="CS243" s="10">
        <f t="shared" si="314"/>
        <v>19.23076923076923</v>
      </c>
      <c r="CT243" s="10">
        <f t="shared" si="315"/>
        <v>0</v>
      </c>
      <c r="CU243" s="39">
        <f>IF($CH243="Нет",0,IF(CI243=0,30/MIN(CJ243:CK243),IF(Исходн.данные.!$AG243=$BV$11,CR243,IF(OR(Исходн.данные.!$AH243=$BQ$7,Исходн.данные.!$AH243=$BQ$8),90/CI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0,IF(Исходн.данные.!$AI243=$BU$11,"Нет",30/CI243))))))</f>
        <v>250</v>
      </c>
      <c r="CV243" s="39">
        <f>IF($CH243="Нет",0,IF(Исходн.данные.!AH243=0,0,IF(CJ243=0,60/MIN(CI243,CK243),IF(Исходн.данные.!$AG243=$BV$11,CS243,IF(OR(Исходн.данные.!$AH243=$BQ$7,Исходн.данные.!$AH243=$BQ$8),90/CJ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10/CJ243,IF(Исходн.данные.!$AI243=$BU$11,"Нет",60/CJ243)))))))</f>
        <v>0</v>
      </c>
      <c r="CW243" s="39">
        <f>IF($CH243="Нет",0,IF(Исходн.данные.!AH243=0,0,IF(CK243=0,30/MIN(CI243:CJ243),IF(Исходн.данные.!$AG243=$BV$11,CT243,IF(OR(Исходн.данные.!$AH243=$BQ$7,Исходн.данные.!$AH243=$BQ$8),90/CK243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0,IF(Исходн.данные.!$AI243=$BU$11,"Нет",30/CK243)))))))</f>
        <v>0</v>
      </c>
      <c r="CX243" s="133">
        <f>IF(Исходн.данные.!$AG243=$BV$11,MAX(CU243:CW243),IF(OR(Исходн.данные.!$AH243=$BS$8,Исходн.данные.!$AH243=$BQ$9,Исходн.данные.!$AH243=$BQ$10,Исходн.данные.!$AH243=$BQ$11,Исходн.данные.!$AH243=$BQ$12,Исходн.данные.!$AH243=$BP$3,Исходн.данные.!$AH243=$BT$8,$FM243="Да"),CV243,MIN(CU243:CW243)))</f>
        <v>0</v>
      </c>
      <c r="CY243" s="133">
        <f>IF(Исходн.данные.!AH243=0,0,IF(CR243&gt;$CX243,$CX243,CR243))</f>
        <v>0</v>
      </c>
      <c r="CZ243" s="133">
        <f>IF(Исходн.данные.!AH243=0,0,IF(CS243&gt;$CX243,$CX243,CS243))</f>
        <v>0</v>
      </c>
      <c r="DA243" s="133">
        <f>IF(Исходн.данные.!AH243=0,0,IF(CT243&gt;$CX243,$CX243,CT243))</f>
        <v>0</v>
      </c>
      <c r="DB243" s="10">
        <f t="shared" si="316"/>
        <v>0</v>
      </c>
      <c r="DC243" s="39">
        <f>DB243*Исходн.данные.!AJ243/1000</f>
        <v>0</v>
      </c>
      <c r="DD243" s="71">
        <f t="shared" si="317"/>
        <v>0</v>
      </c>
      <c r="DE243" s="9">
        <f t="shared" si="318"/>
        <v>0</v>
      </c>
      <c r="DF243" s="9">
        <f t="shared" si="319"/>
        <v>0</v>
      </c>
      <c r="DG243" s="39">
        <f>IF(BL243&lt;0,0,IF($CH243="Нет",BL243,IF(OR(Исходн.данные.!$AH243=$BP$1,Исходн.данные.!$AH243=$BP$2),0,IF(Исходн.данные.!AI243=$BU$11,BL243,IF(BL243-DD243&lt;0,0,BL243-DD243)))))</f>
        <v>0</v>
      </c>
      <c r="DH243" s="39">
        <f>IF(BM243&lt;0,0,IF($CH243="Нет",BM243,IF(OR(Исходн.данные.!$AH243=$BP$1,Исходн.данные.!$AH243=$BP$2),0,IF(Исходн.данные.!AJ243=$BU$11,BM243,IF(BM243-DE243&lt;0,0,BM243-DE243)))))</f>
        <v>0</v>
      </c>
      <c r="DI243" s="39">
        <f>IF(BN243&lt;0,0,IF($CH243="Нет",BN243,IF(OR(Исходн.данные.!$AH243=$BP$1,Исходн.данные.!$AH243=$BP$2),0,IF(Исходн.данные.!AK243=$BU$11,BN243,IF(BN243-DF243&lt;0,0,BN243-DF243)))))</f>
        <v>0</v>
      </c>
      <c r="DJ243" s="12">
        <f t="shared" si="320"/>
        <v>0</v>
      </c>
      <c r="DK243" s="9">
        <f t="shared" si="321"/>
        <v>0</v>
      </c>
      <c r="DL243" s="39">
        <f>IF(Исходн.данные.!AM243&gt;0,Исходн.данные.!AM243,IF(EG243&gt;0,$BH$10,0))</f>
        <v>0</v>
      </c>
      <c r="DM243" s="186">
        <f>IF($DL243=0,0,IF(Исходн.данные.!AM243&gt;0,VLOOKUP($DL243,АшламаДВ_Irekle,2,FALSE),VLOOKUP($DL243,АшламаДВ_Gomumy,2,FALSE)))</f>
        <v>0</v>
      </c>
      <c r="DN243" s="10">
        <f t="shared" si="299"/>
        <v>0</v>
      </c>
      <c r="DO243" s="9" t="str">
        <f>IF(Исходн.данные.!AN243&gt;0,Исходн.данные.!AN243,Удобрения!$B$37 )</f>
        <v>Хлор.калий</v>
      </c>
      <c r="DP243" s="9">
        <f>IF(Исходн.данные.!AN243&gt;0,VLOOKUP(Исходн.данные.!AN243,АшламаДВ_Irekle,4,FALSE),VLOOKUP(DO243,АшламаДВ_Gomumy,4,FALSE))</f>
        <v>0.6</v>
      </c>
      <c r="DQ243" s="10">
        <f t="shared" si="300"/>
        <v>0</v>
      </c>
      <c r="DR243" s="132" t="str">
        <f>IF(Исходн.данные.!AO243&gt;0,Исходн.данные.!AO243,IF(DH243=0,BS$17,IF(AND($DK243=0,$DJ243&gt;0),EJ243,EN243)))</f>
        <v>Нет</v>
      </c>
      <c r="DS243" s="70" t="str">
        <f>IF($DR243="Нет","Нет",IF(Исходн.данные.!$AO243&gt;0,VLOOKUP($DR243,АшламаДВ_Irekle,2,FALSE),VLOOKUP($DR243,АшламаДВ_Gomumy,2,FALSE)))</f>
        <v>Нет</v>
      </c>
      <c r="DT243" s="70" t="str">
        <f>IF($DR243="Нет","Нет",IF(Исходн.данные.!$AO243&gt;0,VLOOKUP($DR243,АшламаДВ_Irekle,3,FALSE),VLOOKUP($DR243,АшламаДВ_Gomumy,3,FALSE)))</f>
        <v>Нет</v>
      </c>
      <c r="DU243" s="70" t="str">
        <f>IF($DR243="Нет","Нет",IF(Исходн.данные.!$AO243&gt;0,VLOOKUP($DR243,АшламаДВ_Irekle,4,FALSE),VLOOKUP($DR243,АшламаДВ_Gomumy,4,FALSE)))</f>
        <v>Нет</v>
      </c>
      <c r="DV243" s="70"/>
      <c r="DW243" s="70"/>
      <c r="DX243" s="70"/>
      <c r="DY243" s="10">
        <f t="shared" si="322"/>
        <v>0</v>
      </c>
      <c r="DZ243" s="10">
        <f t="shared" si="323"/>
        <v>0</v>
      </c>
      <c r="EA243" s="10">
        <f t="shared" si="324"/>
        <v>0</v>
      </c>
      <c r="EB243" s="10">
        <f t="shared" si="325"/>
        <v>0</v>
      </c>
      <c r="EC243" s="10">
        <f t="shared" si="326"/>
        <v>0</v>
      </c>
      <c r="ED243" s="10">
        <f t="shared" si="327"/>
        <v>0</v>
      </c>
      <c r="EE243" s="10">
        <f t="shared" si="328"/>
        <v>0</v>
      </c>
      <c r="EF243" s="39">
        <f>EB243*Исходн.данные.!AJ243/1000</f>
        <v>0</v>
      </c>
      <c r="EG243" s="9">
        <f t="shared" si="329"/>
        <v>0</v>
      </c>
      <c r="EH243" s="9">
        <f t="shared" si="330"/>
        <v>0</v>
      </c>
      <c r="EI243" s="39" t="e">
        <f t="shared" si="280"/>
        <v>#DIV/0!</v>
      </c>
      <c r="EJ243" s="9" t="str">
        <f t="shared" si="301"/>
        <v>Азопреципитат</v>
      </c>
      <c r="EK243" s="12">
        <f t="shared" si="281"/>
        <v>0.26</v>
      </c>
      <c r="EL243" s="12">
        <f t="shared" si="282"/>
        <v>0.13</v>
      </c>
      <c r="EM243" s="12">
        <f t="shared" si="283"/>
        <v>0</v>
      </c>
      <c r="EN243" s="12" t="str">
        <f t="shared" si="302"/>
        <v>Нет</v>
      </c>
      <c r="EO243" s="12">
        <f t="shared" si="284"/>
        <v>0</v>
      </c>
      <c r="EP243" s="12">
        <f t="shared" si="285"/>
        <v>0</v>
      </c>
      <c r="EQ243" s="12">
        <f t="shared" si="286"/>
        <v>0</v>
      </c>
      <c r="ER243" s="12" t="str">
        <f t="shared" si="331"/>
        <v>Диаммофоска</v>
      </c>
      <c r="ES243" s="12">
        <f t="shared" si="287"/>
        <v>0.1</v>
      </c>
      <c r="ET243" s="12">
        <f t="shared" si="288"/>
        <v>0.26</v>
      </c>
      <c r="EU243" s="12">
        <f t="shared" si="289"/>
        <v>0.26</v>
      </c>
      <c r="EV243" s="12" t="str">
        <f t="shared" si="332"/>
        <v>Аммофос 12:52:00</v>
      </c>
      <c r="EW243" s="12" t="str">
        <f t="shared" si="333"/>
        <v>Кемира Свекловичное-6</v>
      </c>
      <c r="EX243" s="12">
        <f t="shared" si="290"/>
        <v>0.16</v>
      </c>
      <c r="EY243" s="12">
        <f t="shared" si="291"/>
        <v>0.12</v>
      </c>
      <c r="EZ243" s="12">
        <f t="shared" si="292"/>
        <v>0.17</v>
      </c>
      <c r="FA243" s="38" t="e">
        <f>IF(AND(OR(FJ243=$FD$1,FM243=$FD$1,FO243=$FD$1,FQ243=$FD$1,FS243=$FD$1),FD243=$FD$1,Исходн.данные.!J243&lt;2,FU243=$FD$1),"Бор,Кобальт",IF(AND(FO243=$FD$1,FH243=$FD$1,Исходн.данные.!J243&lt;2,FU243=$FD$1),"Бор,Кобальт",IF(AND(OR(FJ243=$FD$1,FM243=$FD$1,FQ243=$FD$1),FE243=$FD$1,Исходн.данные.!J243&lt;2,FT243=$FD$1,FU243=$FD$1),"Бор,Медь,Цинк",IF(AND(OR(FJ243=$FD$1,FR243="Да"),FI243="Да",Исходн.данные.!J243&lt;2,FT243="Да",FU243="Да"),"Бор,Цинк,Медь",IF(AND(OR(FM243="Да",FQ243="Да"),FI243="Да",Исходн.данные.!J243&lt;2,FT243="Да",FU243="Да"),"Бор,Цинк",IF(AND(FN243="Да",OR(FD243="Да",FE243="Да")),"Бор",FB243))))))</f>
        <v>#N/A</v>
      </c>
      <c r="FB243" s="134" t="e">
        <f>IF(AND(OR(FD243="Да",FE243="Да",FF243="Да",FG243="Да",FH243="Да"),FO243="Да"),"Бор",IF(AND(FP243="Да",OR(FD243="Да",FE243="Да",FI243="Да")),"Бор",IF(AND(FS243="Да",FE243="Да"),"Бор,Медь",IF(AND(OR(FJ243="Да",FK243="Да",FL243="Да"),FE243="Да",Исходн.данные.!I243&lt;5,FT243="Да",FU243="Да"),"Молибден,Цинк",IF(AND(FM243="Да",OR(FE243="Да",FF243="Да",FG243="Да",FH243="Да",FI243="Да")),"Молибден,Цинк",IF(AND(OR(FJ243="Да",FK243="Да",FL243="Да",FM243="Да",FQ243="Да"),OR(FE243="Да",FF243="Да"),FT243="Да",FU243="Да",Исходн.данные.!I243&gt;5.5),"Медь,Цинк",FC243))))))</f>
        <v>#N/A</v>
      </c>
      <c r="FC243" s="23" t="e">
        <f t="shared" si="334"/>
        <v>#N/A</v>
      </c>
      <c r="FD243" s="38" t="str">
        <f>IF(OR(Исходн.данные.!F243=$CC$1,Исходн.данные.!F243=$CC$2,Исходн.данные.!F243=$CC$3,Исходн.данные.!F243=$CC$4),"Да","Нет")</f>
        <v>Нет</v>
      </c>
      <c r="FE243" s="38" t="str">
        <f>IF(Исходн.данные.!F243=$CC$5,"Да","Нет")</f>
        <v>Нет</v>
      </c>
      <c r="FF243" s="38" t="str">
        <f>IF(OR(Исходн.данные.!F243=$CC$6,Исходн.данные.!F243=$CC$7),"Да","Нет")</f>
        <v>Нет</v>
      </c>
      <c r="FG243" s="38" t="str">
        <f>IF(OR(Исходн.данные.!F243=$CC$8,Исходн.данные.!F243=$CC$9),"Да","Нет")</f>
        <v>Нет</v>
      </c>
      <c r="FH243" s="38" t="str">
        <f>IF(Исходн.данные.!F243=$CC$10,"Да","Нет")</f>
        <v>Нет</v>
      </c>
      <c r="FI243" s="38" t="str">
        <f>IF(OR(Исходн.данные.!F243=$CC$11,Исходн.данные.!F243=$CC$12),"Да","Нет")</f>
        <v>Нет</v>
      </c>
      <c r="FJ243" s="38" t="str">
        <f>IF(OR(Исходн.данные.!AH243=$BS$1,Исходн.данные.!AH243=$BQ$11,Исходн.данные.!AH243=$BQ$12),"Да","Нет")</f>
        <v>Нет</v>
      </c>
      <c r="FK243" s="38" t="str">
        <f>IF(OR(Исходн.данные.!AH243=$BS$2,Исходн.данные.!AH243=$BS$4),"Да","Нет")</f>
        <v>Нет</v>
      </c>
      <c r="FL243" s="38" t="str">
        <f>IF(OR(Исходн.данные.!AH243=$BS$3,Исходн.данные.!AH243=$BS$5),"Да","Нет")</f>
        <v>Нет</v>
      </c>
      <c r="FM243" s="38" t="str">
        <f>IF(OR(Исходн.данные.!AH243=$BS$9,Исходн.данные.!AH243=$BS$10,Исходн.данные.!AH243=$BS$11,Исходн.данные.!AH243=$BS$12),"Да","Нет")</f>
        <v>Нет</v>
      </c>
      <c r="FN243" s="38" t="str">
        <f>IF(OR(Исходн.данные.!AH243=$BS$6,Исходн.данные.!AH243=$BP$3),"Да","Нет")</f>
        <v>Нет</v>
      </c>
      <c r="FO243" s="38" t="str">
        <f>IF(Исходн.данные.!AH243=$BQ$9,"Да","Нет")</f>
        <v>Нет</v>
      </c>
      <c r="FP243" s="38" t="str">
        <f>IF(OR(Исходн.данные.!AH243=$BS$8,Исходн.данные.!AH243=$BT$8),"Да","Нет")</f>
        <v>Нет</v>
      </c>
      <c r="FQ243" s="38" t="str">
        <f>IF(OR(Исходн.данные.!AH243=$BQ$7,Исходн.данные.!AH243=$BQ$8),"Да","Нет")</f>
        <v>Нет</v>
      </c>
      <c r="FR243" s="38" t="str">
        <f>IF(Исходн.данные.!AI243=$BU$9,"Да","Нет")</f>
        <v>Нет</v>
      </c>
      <c r="FS243" s="38" t="str">
        <f>IF(OR(Исходн.данные.!AH243=$BP$1,Исходн.данные.!AH243=$BP$2),"Да","Нет")</f>
        <v>Нет</v>
      </c>
      <c r="FT243" s="38" t="e">
        <f>IF((Исходн.данные.!K243*GO243*GS243*GW243+BL243*0.6+Исходн.данные.!Q243*4.5*0.275)&gt;90,"Да","Нет")</f>
        <v>#N/A</v>
      </c>
      <c r="FU243" s="38" t="e">
        <f>IF((Исходн.данные.!M243*GS243*GZ243+BM243*0.225)&gt;35,"Да","Нет")</f>
        <v>#N/A</v>
      </c>
      <c r="FV243" s="38" t="str">
        <f>IF(Исходн.данные.!O243&gt;175,"Да","Нет")</f>
        <v>Нет</v>
      </c>
      <c r="FW243" s="39" t="str">
        <f>IF(Исходн.данные.!I243&gt;5.5,"Да","Нет")</f>
        <v>Нет</v>
      </c>
      <c r="FX243" s="39" t="str">
        <f>IF(Исходн.данные.!J243&lt;2,"Да","Нет")</f>
        <v>Да</v>
      </c>
      <c r="FY243" s="39" t="e">
        <f>IF(HF243=$FY$16,0,Исходн.данные.!K243*GO243*GS243*GW243/HF243)</f>
        <v>#N/A</v>
      </c>
      <c r="FZ243" s="39" t="e">
        <f>Исходн.данные.!M243*GS243*GZ243/HG243</f>
        <v>#N/A</v>
      </c>
      <c r="GA243" s="39" t="e">
        <f>IF(K_Wyn=$FY$16,0,IF(Исходн.данные.!N243=Исходн.данные.!$L$10,Исходн.данные.!O243/1.1*GS243*HC243/HH243,IF(Исходн.данные.!N243=Исходн.данные.!$L$12,Исходн.данные.!O243/1.5*GS243*HC243/HH243,Исходн.данные.!O243*GS243*HC243/HH243)))</f>
        <v>#N/A</v>
      </c>
      <c r="GB243" s="39" t="e">
        <f>IF(HF243=$FY$16,0,((Исходн.данные.!Q243*N_Org+Исходн.данные.!R243*N_Sider+Исходн.данные.!S243*N_Soloma)*AO243+Расчет!BC243*VLOOKUP(Исходн.данные.!T243,Справ!$A$3:$O$57,15)*AO243+BB243*VLOOKUP(Исходн.данные.!T243,Справ!$A$3:$O$57,15)*AL243+(Исходн.данные.!V243*N_Rizotorf+Исходн.данные.!W243*N_Rizoagr))/HF243)</f>
        <v>#N/A</v>
      </c>
      <c r="GC243" s="39" t="e">
        <f>IF(HG243=$FY$16,0,((Исходн.данные.!Q243*Р_Org+Исходн.данные.!R243*P_Sider+Исходн.данные.!S243*P_Soloma)*AP243+Расчет!BC243*VLOOKUP(Исходн.данные.!T243,Справ!$A$3:$P$57,16)*AP243+BB243*VLOOKUP(Исходн.данные.!T243,Справ!$A$3:$P$57,16)*AM243)/HG243)</f>
        <v>#N/A</v>
      </c>
      <c r="GD243" s="39" t="e">
        <f>IF(HH243=$FY$16,0,((Исходн.данные.!Q243*К_Org+Исходн.данные.!R243*K_Sider+Исходн.данные.!S243*K_Soloma)*AQ243+Расчет!BC243*VLOOKUP(Исходн.данные.!T243,Справ!$A$3:$Q$57,17)*AQ243+BB243*VLOOKUP(Исходн.данные.!T243,Справ!$A$3:$Q$57,17)*AN243)/HH243)</f>
        <v>#N/A</v>
      </c>
      <c r="GE243" s="39" t="e">
        <f>IF(HF243=$FY$16,0,(Исходн.данные.!X243*AR243+Исходн.данные.!AA243*N_Org*AL243+Исходн.данные.!AB243*N_Sider*AL243+Исходн.данные.!AC243*N_Soloma*AL243)/HF243)</f>
        <v>#N/A</v>
      </c>
      <c r="GF243" s="39" t="e">
        <f>IF(HG243=$FY$16,0,(Исходн.данные.!Y243*AS243+Исходн.данные.!AA243*Р_Org*AM243+Исходн.данные.!AB243*P_Sider*AM243+Исходн.данные.!AC243*P_Soloma*AM243)/HG243)</f>
        <v>#N/A</v>
      </c>
      <c r="GG243" s="39" t="e">
        <f>IF(HH243=$FY$16,0,(Исходн.данные.!Z243*AT243+Исходн.данные.!AA243*К_Org*AN243+Исходн.данные.!AB243*K_Sider*AN243+Исходн.данные.!AC243*K_Soloma*AN243)/HH243)</f>
        <v>#N/A</v>
      </c>
      <c r="GH243" s="39" t="e">
        <f>Исходн.данные.!AD243*AU243/HF243</f>
        <v>#N/A</v>
      </c>
      <c r="GI243" s="39" t="e">
        <f>Исходн.данные.!AE243*AV243/HG243</f>
        <v>#N/A</v>
      </c>
      <c r="GJ243" s="39" t="e">
        <f>Исходн.данные.!AF243*AW243/HH243</f>
        <v>#N/A</v>
      </c>
      <c r="GK243" s="55">
        <f>Исходн.данные.!AK243</f>
        <v>0</v>
      </c>
      <c r="GL243" s="11" t="e">
        <f t="shared" si="335"/>
        <v>#N/A</v>
      </c>
      <c r="GM243" s="11" t="e">
        <f t="shared" si="336"/>
        <v>#N/A</v>
      </c>
      <c r="GN243" s="11" t="e">
        <f t="shared" si="337"/>
        <v>#N/A</v>
      </c>
      <c r="GO243" s="57">
        <f t="shared" si="338"/>
        <v>19</v>
      </c>
      <c r="GP243" s="55">
        <f>IF(OR(Исходн.данные.!F243=$CE$1,Исходн.данные.!F243=$CE$2,Исходн.данные.!F243=$CE$3,Исходн.данные.!F243=$CE$4,Исходн.данные.!F243=$CE$5),GQ243,GR243)</f>
        <v>19</v>
      </c>
      <c r="GQ243" s="55">
        <f>IF(Исходн.данные.!F243=$CE$1,28,IF(Исходн.данные.!F243=$CE$2,26,IF(Исходн.данные.!F243=$CE$3,24,IF(Исходн.данные.!F243=$CE$4,22,IF(Исходн.данные.!F243=$CE$5,20,GR243)))))</f>
        <v>19</v>
      </c>
      <c r="GR243" s="55">
        <f>IF(Исходн.данные.!F243=$CE$6,18,IF(Исходн.данные.!F243=$CE$7,16,IF(Исходн.данные.!F243=$CE$8,14,IF(Исходн.данные.!F243=$CE$9,13,IF(Исходн.данные.!F243=$CE$10,12,19)))))</f>
        <v>19</v>
      </c>
      <c r="GS243" s="55">
        <f>IF(Исходн.данные.!G243="Пес",0.035*(40+2*Исходн.данные.!H243),IF(Исходн.данные.!G243="Суп",0.0325*(40+2*Исходн.данные.!H243),0.03*(40+2*Исходн.данные.!H243)))</f>
        <v>1.2</v>
      </c>
      <c r="GT243" s="55">
        <f>IF(Исходн.данные.!H243&lt;23,2.6,IF(AND(Исходн.данные.!H243&gt;22,Исходн.данные.!H243&lt;26),3,IF(AND(Исходн.данные.!H243&gt;25,Исходн.данные.!H243&lt;29),3.4,3.6)))</f>
        <v>2.6</v>
      </c>
      <c r="GU243" s="55">
        <f>IF(Исходн.данные.!H243&lt;23,2.8,IF(AND(Исходн.данные.!H243&gt;22,Исходн.данные.!H243&lt;26),3.2,IF(AND(Исходн.данные.!H243&gt;25,Исходн.данные.!H243&lt;29),3.6,3.9)))</f>
        <v>2.8</v>
      </c>
      <c r="GV243" s="55">
        <f>IF(Исходн.данные.!H243&lt;23,3,IF(AND(Исходн.данные.!H243&gt;22,Исходн.данные.!H243&lt;26),3.5,IF(AND(Исходн.данные.!H243&gt;25,Исходн.данные.!H243&lt;29),3.9,4.2)))</f>
        <v>3</v>
      </c>
      <c r="GW243" s="55" t="e">
        <f>IF(Исходн.данные.!P243="Ум",GX243,GY243)</f>
        <v>#N/A</v>
      </c>
      <c r="GX243" s="55" t="e">
        <f>VLOOKUP(Исходн.данные.!AI243,Коэффициенты!$J$7:$L$13,2,FALSE)</f>
        <v>#N/A</v>
      </c>
      <c r="GY243" s="55" t="e">
        <f>VLOOKUP(Исходн.данные.!AI243,Коэффициенты!$J$7:$L$13,3,FALSE)</f>
        <v>#N/A</v>
      </c>
      <c r="GZ243" s="55" t="e">
        <f>(IF(Исходн.данные.!M243&lt;50,0.11*VLOOKUP(Исходн.данные.!AH243,Культуры.Информация,7,FALSE),IF(Исходн.данные.!M243&gt;250,0.05*VLOOKUP(Исходн.данные.!AH243,Культуры.Информация,7,FALSE),VLOOKUP(Исходн.данные.!AH243,Культуры.Информация,5,FALSE)/100*($GX$6+$GY$6*Исходн.данные.!M243))))*Расчет2!AI243</f>
        <v>#N/A</v>
      </c>
      <c r="HA243" s="211"/>
      <c r="HB243" s="211"/>
      <c r="HC243" s="55" t="e">
        <f>(IF(Исходн.данные.!O243&lt;80,0.2*VLOOKUP(Исходн.данные.!AH243,Культуры.Информация,8,FALSE),IF(Исходн.данные.!O243&gt;240,0.09*VLOOKUP(Исходн.данные.!AH243,Культуры.Информация,8,FALSE),VLOOKUP(Исходн.данные.!AH243,Культуры.Информация,6,FALSE)/100*($HB$6+$HC$6*Исходн.данные.!O243))))*Расчет2!AJ243</f>
        <v>#N/A</v>
      </c>
      <c r="HD243" s="55">
        <f>IF(Исходн.данные.!O243&gt;240,0.09,IF(Исходн.данные.!O243&lt;30,0.3,$HE$10+$HD$10*Исходн.данные.!O243))</f>
        <v>0.3</v>
      </c>
      <c r="HE243" s="55">
        <f>IF(Исходн.данные.!O243&gt;240,0.17,IF(Исходн.данные.!O243&lt;30,0.5,$HF$12+$HE$12*Исходн.данные.!O243))</f>
        <v>0.5</v>
      </c>
      <c r="HF243" s="55" t="e">
        <f>VLOOKUP(Исходн.данные.!AH243,Справ!$A$3:$D$58,2,FALSE)</f>
        <v>#N/A</v>
      </c>
      <c r="HG243" s="55" t="e">
        <f>VLOOKUP(Исходн.данные.!AH243,Справ!$A$3:$D$58,3,FALSE)</f>
        <v>#N/A</v>
      </c>
      <c r="HH243" s="55" t="e">
        <f>VLOOKUP(Исходн.данные.!AH243,Справ!$A$3:$D$58,4,FALSE)</f>
        <v>#N/A</v>
      </c>
      <c r="HI243" s="11" t="e">
        <f t="shared" si="339"/>
        <v>#N/A</v>
      </c>
      <c r="HJ243" s="11" t="e">
        <f t="shared" si="340"/>
        <v>#N/A</v>
      </c>
      <c r="HK243" s="11" t="e">
        <f t="shared" si="341"/>
        <v>#N/A</v>
      </c>
      <c r="HL243" s="55">
        <f>IF(OR(Исходн.данные.!G243="Глин",Исходн.данные.!G243="Т_суг"),1.1,IF(Исходн.данные.!G243="Ср_суг",1,1))</f>
        <v>1</v>
      </c>
      <c r="HM243" s="55">
        <f>IF(OR(Исходн.данные.!G243="Глин",Исходн.данные.!G243="Т_суг"),0.9,IF(Исходн.данные.!G243="Ср_суг",1,1.2))</f>
        <v>1.2</v>
      </c>
      <c r="HN243" s="11" t="e">
        <f t="shared" si="342"/>
        <v>#N/A</v>
      </c>
      <c r="HO243" s="11" t="e">
        <f t="shared" si="343"/>
        <v>#N/A</v>
      </c>
      <c r="HP243" s="11" t="e">
        <f t="shared" si="344"/>
        <v>#N/A</v>
      </c>
      <c r="HQ243" t="e">
        <f t="shared" si="345"/>
        <v>#N/A</v>
      </c>
      <c r="HR243" t="e">
        <f t="shared" si="346"/>
        <v>#N/A</v>
      </c>
      <c r="HS243" t="e">
        <f t="shared" si="347"/>
        <v>#N/A</v>
      </c>
      <c r="HT243" t="e">
        <f t="shared" si="293"/>
        <v>#N/A</v>
      </c>
      <c r="HU243" t="e">
        <f t="shared" si="294"/>
        <v>#N/A</v>
      </c>
      <c r="HV243" t="e">
        <f t="shared" si="295"/>
        <v>#N/A</v>
      </c>
      <c r="HW243" t="e">
        <f t="shared" si="296"/>
        <v>#N/A</v>
      </c>
      <c r="HX243" t="e">
        <f t="shared" si="297"/>
        <v>#N/A</v>
      </c>
      <c r="HY243" t="e">
        <f t="shared" si="298"/>
        <v>#N/A</v>
      </c>
      <c r="HZ243" s="55">
        <f>IF(OR(Исходн.данные.!AI243="Оз_Ч_П",Исходн.данные.!AI243="Оз_З_П",Исходн.данные.!AI243="Яр_зер"),12,30)</f>
        <v>30</v>
      </c>
      <c r="IA243" t="e">
        <f t="shared" si="348"/>
        <v>#N/A</v>
      </c>
      <c r="IB243" t="e">
        <f t="shared" si="349"/>
        <v>#N/A</v>
      </c>
      <c r="IC243" t="e">
        <f t="shared" si="350"/>
        <v>#N/A</v>
      </c>
      <c r="ID243" s="11" t="e">
        <f t="shared" si="351"/>
        <v>#N/A</v>
      </c>
      <c r="IE243" s="11" t="e">
        <f t="shared" si="352"/>
        <v>#N/A</v>
      </c>
      <c r="IF243" s="11" t="e">
        <f t="shared" si="353"/>
        <v>#N/A</v>
      </c>
    </row>
    <row r="244" spans="35:240" x14ac:dyDescent="0.2">
      <c r="AI244">
        <f>IF(Исходн.данные.!I244&gt;6,1,1.85-(0.148*Исходн.данные.!I244))</f>
        <v>1.85</v>
      </c>
      <c r="AJ244">
        <f>IF(Исходн.данные.!I244&gt;6,1,2.434-(0.246*Исходн.данные.!I244))</f>
        <v>2.4340000000000002</v>
      </c>
      <c r="AL244" s="148" t="b">
        <f>IF(Исходн.данные.!$P244="Ум",N_OrgUd_2g_um,IF(Исходн.данные.!$P244="Об",N_OrgUd_2g_ob))</f>
        <v>0</v>
      </c>
      <c r="AM244" s="148" t="b">
        <f>IF(Исходн.данные.!$P244="Ум",P_OrgUd_2g_um,IF(Исходн.данные.!$P244="Об",P_OrgUd_2g_ob))</f>
        <v>0</v>
      </c>
      <c r="AN244" s="148" t="b">
        <f>IF(Исходн.данные.!$P244="Ум",K_OrgUd_2g_um,IF(Исходн.данные.!$P244="Об",K_OrgUd_2g_ob))</f>
        <v>0</v>
      </c>
      <c r="AO244" s="148" t="b">
        <f>IF(Исходн.данные.!$P244="Ум",N_OrgUd_1g_um,IF(Исходн.данные.!$P244="Об",N_OrgUd_1g_ob))</f>
        <v>0</v>
      </c>
      <c r="AP244" s="148" t="b">
        <f>IF(Исходн.данные.!$P244="Ум",P_OrgUd_1g_um,IF(Исходн.данные.!$P244="Об",P_OrgUd_1g_ob))</f>
        <v>0</v>
      </c>
      <c r="AQ244" s="148" t="b">
        <f>IF(Исходн.данные.!$P244="Ум",K_OrgUd_1g_um,IF(Исходн.данные.!$P244="Об",K_OrgUd_1g_ob))</f>
        <v>0</v>
      </c>
      <c r="AR244" t="b">
        <f>IF(Исходн.данные.!$P244="Ум",N_MinUd_2g_um,IF(Исходн.данные.!$P244="Об",N_MinUd_2g_ob))</f>
        <v>0</v>
      </c>
      <c r="AS244" t="b">
        <f>IF(Исходн.данные.!$P244="Ум",P_MinUd_2g_um,IF(Исходн.данные.!$P244="Об",P_MinUd_2g_ob))</f>
        <v>0</v>
      </c>
      <c r="AT244" t="b">
        <f>IF(Исходн.данные.!$P244="Ум",K_MinUd_2g_um,IF(Исходн.данные.!$P244="Об",K_MinUd_2g_ob))</f>
        <v>0</v>
      </c>
      <c r="AU244" t="b">
        <f>IF(Исходн.данные.!$P244="Ум",N_MinUd_1g_um,IF(Исходн.данные.!$P244="Об",N_MinUd_1g_ob))</f>
        <v>0</v>
      </c>
      <c r="AV244" t="b">
        <f>IF(Исходн.данные.!P244="Ум",P_MinUd_1g_um,IF(Исходн.данные.!P244="Об",P_MinUd_1g_ob))</f>
        <v>0</v>
      </c>
      <c r="AW244" t="b">
        <f>IF(Исходн.данные.!P244="Ум",K_MinUd_1g_um,IF(Исходн.данные.!P244="Об",K_MinUd_1g_ob))</f>
        <v>0</v>
      </c>
      <c r="AY244" t="e">
        <f>VLOOKUP(Исходн.данные.!T244,Справ!$A$3:$N$57,12)</f>
        <v>#N/A</v>
      </c>
      <c r="AZ244" t="e">
        <f>VLOOKUP(Исходн.данные.!T244,Справ!$A$3:$N$57,13)</f>
        <v>#N/A</v>
      </c>
      <c r="BA244" t="e">
        <f>VLOOKUP(Исходн.данные.!T244,Справ!$A$3:$N$57,14)</f>
        <v>#N/A</v>
      </c>
      <c r="BB244">
        <f>IF(Исходн.данные.!AH244=0,0,25)</f>
        <v>0</v>
      </c>
      <c r="BC244" s="141">
        <f>IF(Исходн.данные.!AH244=0,0,IF(Исходн.данные.!T244=0,25,BD244))</f>
        <v>0</v>
      </c>
      <c r="BD244" s="168" t="e">
        <f>AY244+AZ244*Исходн.данные.!U244-POWER(BA244,2)*Исходн.данные.!U244</f>
        <v>#N/A</v>
      </c>
      <c r="BE24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4" s="25">
        <f>IF(Исходн.данные.!AH244=0,0,MIN(HN244:HP244))</f>
        <v>0</v>
      </c>
      <c r="BG244" s="9">
        <f>IF(Исходн.данные.!AH244=0,0,IF((HO244+10*0.25/HG244/HL244)&lt;17,17,HO244+10*0.25/HG244/HL244))</f>
        <v>0</v>
      </c>
      <c r="BH244" s="181">
        <f>IF(Исходн.данные.!AH244=0,0,HW244*HF244*HL244/AU244*AI244+Исходн.данные.!S244*10)</f>
        <v>0</v>
      </c>
      <c r="BI244" s="10"/>
      <c r="BJ244" s="182">
        <f>IF(Исходн.данные.!AH244=0,0,IF(HX244*HG244*HL244/AV244&lt;0,0,HX244*HG244*HL244/AV244*AJ244))</f>
        <v>0</v>
      </c>
      <c r="BK244" s="182">
        <f>IF(Исходн.данные.!AH244=0,0,HY244*HH244*HM244/AW244)</f>
        <v>0</v>
      </c>
      <c r="BL244" s="10">
        <f>IF(OR(Исходн.данные.!$AH244=$BP$1,Исходн.данные.!$AH244=$BP$2),0,IF(BH244&lt;0,0,IF(OR(Исходн.данные.!T244=Расчет!$BP$1,Исходн.данные.!T244=Расчет!$BP$2,Исходн.данные.!T244=Расчет!$BT$5,Исходн.данные.!T244=Расчет!$BT$6),BH244*0.5,IF(OR(Исходн.данные.!T244=Расчет!$BS$9,Исходн.данные.!T244=Расчет!$BS$10,Исходн.данные.!T244=Расчет!$BS$11,Исходн.данные.!T244=Расчет!$BS$12,Исходн.данные.!T244=Расчет!$BP$5),BH244*0.8,BH244))))</f>
        <v>0</v>
      </c>
      <c r="BM244" s="10">
        <f>IF(OR(Исходн.данные.!$AH244=$BP$1,Исходн.данные.!$AH244=$BP$2),0,IF(BJ244&lt;0,0,IF(Исходн.данные.!I244&lt;4.5,BJ244*1.2,IF(Исходн.данные.!I244&gt;5.1,BJ244,BJ244*((5.1-Исходн.данные.!I244)*0.333+1)))))</f>
        <v>0</v>
      </c>
      <c r="BN244" s="10">
        <f>IF(OR(Исходн.данные.!$AH244=$BP$1,Исходн.данные.!$AH244=$BP$2),60-Исходн.данные.!AF244,IF(BK244&lt;0,0,IF(Исходн.данные.!I244&lt;4.5,BK244*1.2,IF(Исходн.данные.!I244&gt;5.1,BK244,BK244*((5.1-Исходн.данные.!I244)*0.333+1)))))</f>
        <v>0</v>
      </c>
      <c r="BO244" s="9">
        <f>IF(BL244&lt;0,0,BL244*Исходн.данные.!$AJ244/1000)</f>
        <v>0</v>
      </c>
      <c r="BP244" s="9">
        <f>IF(BM244&lt;0,0,BM244*Исходн.данные.!$AJ244/1000)</f>
        <v>0</v>
      </c>
      <c r="BQ244" s="9">
        <f>IF(BN244&lt;0,0,BN244*Исходн.данные.!$AJ244/1000)</f>
        <v>0</v>
      </c>
      <c r="BR244" s="9">
        <f t="shared" si="303"/>
        <v>0</v>
      </c>
      <c r="BS244" s="10" t="str">
        <f t="shared" si="304"/>
        <v>Аммофос 12:52:00</v>
      </c>
      <c r="BT244" s="10" t="str">
        <f t="shared" si="305"/>
        <v>Аммофос 12:52:00</v>
      </c>
      <c r="BU244" s="10" t="str">
        <f t="shared" si="306"/>
        <v>Диаммофоска</v>
      </c>
      <c r="BV244" s="10">
        <f t="shared" si="307"/>
        <v>0</v>
      </c>
      <c r="BW244" s="10"/>
      <c r="BX244" s="10"/>
      <c r="BY244" s="9">
        <f>IF(BL244&lt;0,0,IF(OR(Исходн.данные.!AI244=Расчет!$BU$6,Исходн.данные.!AI244=Расчет!$BU$7),Расчет!BV244,IF(Исходн.данные.!$AG244=$BV$11,BL244,IF(OR(Исходн.данные.!$AH244=$BQ$7,Исходн.данные.!$AH244=$BQ$8),CB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0,IF(Исходн.данные.!$AI244=$BU$11,"Нет",IF(BL244&gt;30,30,BL244)))))))</f>
        <v>0</v>
      </c>
      <c r="BZ244" s="9">
        <f>IF(AND(Исходн.данные.!$AG244=$BV$11,BM244&lt;10),10,IF(Исходн.данные.!$AG244=$BV$11,BM244,IF(OR(Исходн.данные.!$AH244=$BQ$7,Исходн.данные.!$AH244=$BQ$8),CC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10,IF(Исходн.данные.!$AI244=$BU$11,"Нет",IF(BM244&gt;60,60,IF(BM244&lt;10,10,BM244)))))))</f>
        <v>10</v>
      </c>
      <c r="CA244" s="39">
        <f>IF(BN244&lt;0,0,IF(Исходн.данные.!$AG244=$BV$11,BN244,IF(OR(Исходн.данные.!$AH244=$BQ$7,Исходн.данные.!$AH244=$BQ$8),CD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0,IF(Исходн.данные.!$AI244=$BU$11,"Нет",IF(BN244&gt;30,30,BN244))))))</f>
        <v>0</v>
      </c>
      <c r="CB244" s="9">
        <f t="shared" si="308"/>
        <v>0</v>
      </c>
      <c r="CC244" s="9">
        <f t="shared" si="309"/>
        <v>0</v>
      </c>
      <c r="CD244" s="9">
        <f t="shared" si="310"/>
        <v>0</v>
      </c>
      <c r="CE244" s="12">
        <f t="shared" si="311"/>
        <v>10</v>
      </c>
      <c r="CF244" s="9">
        <f t="shared" si="312"/>
        <v>0</v>
      </c>
      <c r="CG244" s="9" t="s">
        <v>231</v>
      </c>
      <c r="CH244" s="132" t="str">
        <f>IF(Исходн.данные.!AP244=Расчет!$CI$16,"Нет",IF(Исходн.данные.!AL244&gt;0,Исходн.данные.!AL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BH$4,IF(OR(Исходн.данные.!AI244=Исходн.данные.!$AI$6,Исходн.данные.!AI244=Исходн.данные.!$AI$7),Расчет!BS244,IF(AND($CF244=0,$CE244&gt;0),EV244,ER244)))))</f>
        <v>Аммофос 12:52:00</v>
      </c>
      <c r="CI244" s="274">
        <f>IF(Расчет!$CH244="Нет","Нет",IF(Исходн.данные.!$AL244&gt;0,VLOOKUP(Расчет!$CH244,АшламаДВ_Irekle,2,FALSE),VLOOKUP(Расчет!$CH244,АшламаДВ_Gomumy,2,FALSE)))</f>
        <v>0.12</v>
      </c>
      <c r="CJ244" s="274">
        <f>IF(Расчет!$CH244="Нет","Нет",IF(Исходн.данные.!$AL244&gt;0,VLOOKUP(Расчет!$CH244,АшламаДВ_Irekle,3,FALSE),VLOOKUP(Расчет!$CH244,АшламаДВ_Gomumy,3,FALSE)))</f>
        <v>0.52</v>
      </c>
      <c r="CK244" s="274">
        <f>IF(Расчет!$CH244="Нет","Нет",IF(Исходн.данные.!$AL244&gt;0,VLOOKUP(Расчет!$CH244,АшламаДВ_Irekle,4,FALSE),VLOOKUP(Расчет!$CH244,АшламаДВ_Gomumy,4,FALSE)))</f>
        <v>0</v>
      </c>
      <c r="CL244" s="70"/>
      <c r="CM244" s="70"/>
      <c r="CN244" s="70"/>
      <c r="CO244" s="70"/>
      <c r="CP244" s="70"/>
      <c r="CQ244" s="70"/>
      <c r="CR244" s="10">
        <f t="shared" si="313"/>
        <v>0</v>
      </c>
      <c r="CS244" s="10">
        <f t="shared" si="314"/>
        <v>19.23076923076923</v>
      </c>
      <c r="CT244" s="10">
        <f t="shared" si="315"/>
        <v>0</v>
      </c>
      <c r="CU244" s="39">
        <f>IF($CH244="Нет",0,IF(CI244=0,30/MIN(CJ244:CK244),IF(Исходн.данные.!$AG244=$BV$11,CR244,IF(OR(Исходн.данные.!$AH244=$BQ$7,Исходн.данные.!$AH244=$BQ$8),90/CI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0,IF(Исходн.данные.!$AI244=$BU$11,"Нет",30/CI244))))))</f>
        <v>250</v>
      </c>
      <c r="CV244" s="39">
        <f>IF($CH244="Нет",0,IF(Исходн.данные.!AH244=0,0,IF(CJ244=0,60/MIN(CI244,CK244),IF(Исходн.данные.!$AG244=$BV$11,CS244,IF(OR(Исходн.данные.!$AH244=$BQ$7,Исходн.данные.!$AH244=$BQ$8),90/CJ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10/CJ244,IF(Исходн.данные.!$AI244=$BU$11,"Нет",60/CJ244)))))))</f>
        <v>0</v>
      </c>
      <c r="CW244" s="39">
        <f>IF($CH244="Нет",0,IF(Исходн.данные.!AH244=0,0,IF(CK244=0,30/MIN(CI244:CJ244),IF(Исходн.данные.!$AG244=$BV$11,CT244,IF(OR(Исходн.данные.!$AH244=$BQ$7,Исходн.данные.!$AH244=$BQ$8),90/CK244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0,IF(Исходн.данные.!$AI244=$BU$11,"Нет",30/CK244)))))))</f>
        <v>0</v>
      </c>
      <c r="CX244" s="133">
        <f>IF(Исходн.данные.!$AG244=$BV$11,MAX(CU244:CW244),IF(OR(Исходн.данные.!$AH244=$BS$8,Исходн.данные.!$AH244=$BQ$9,Исходн.данные.!$AH244=$BQ$10,Исходн.данные.!$AH244=$BQ$11,Исходн.данные.!$AH244=$BQ$12,Исходн.данные.!$AH244=$BP$3,Исходн.данные.!$AH244=$BT$8,$FM244="Да"),CV244,MIN(CU244:CW244)))</f>
        <v>0</v>
      </c>
      <c r="CY244" s="133">
        <f>IF(Исходн.данные.!AH244=0,0,IF(CR244&gt;$CX244,$CX244,CR244))</f>
        <v>0</v>
      </c>
      <c r="CZ244" s="133">
        <f>IF(Исходн.данные.!AH244=0,0,IF(CS244&gt;$CX244,$CX244,CS244))</f>
        <v>0</v>
      </c>
      <c r="DA244" s="133">
        <f>IF(Исходн.данные.!AH244=0,0,IF(CT244&gt;$CX244,$CX244,CT244))</f>
        <v>0</v>
      </c>
      <c r="DB244" s="10">
        <f t="shared" si="316"/>
        <v>0</v>
      </c>
      <c r="DC244" s="39">
        <f>DB244*Исходн.данные.!AJ244/1000</f>
        <v>0</v>
      </c>
      <c r="DD244" s="71">
        <f t="shared" si="317"/>
        <v>0</v>
      </c>
      <c r="DE244" s="9">
        <f t="shared" si="318"/>
        <v>0</v>
      </c>
      <c r="DF244" s="9">
        <f t="shared" si="319"/>
        <v>0</v>
      </c>
      <c r="DG244" s="39">
        <f>IF(BL244&lt;0,0,IF($CH244="Нет",BL244,IF(OR(Исходн.данные.!$AH244=$BP$1,Исходн.данные.!$AH244=$BP$2),0,IF(Исходн.данные.!AI244=$BU$11,BL244,IF(BL244-DD244&lt;0,0,BL244-DD244)))))</f>
        <v>0</v>
      </c>
      <c r="DH244" s="39">
        <f>IF(BM244&lt;0,0,IF($CH244="Нет",BM244,IF(OR(Исходн.данные.!$AH244=$BP$1,Исходн.данные.!$AH244=$BP$2),0,IF(Исходн.данные.!AJ244=$BU$11,BM244,IF(BM244-DE244&lt;0,0,BM244-DE244)))))</f>
        <v>0</v>
      </c>
      <c r="DI244" s="39">
        <f>IF(BN244&lt;0,0,IF($CH244="Нет",BN244,IF(OR(Исходн.данные.!$AH244=$BP$1,Исходн.данные.!$AH244=$BP$2),0,IF(Исходн.данные.!AK244=$BU$11,BN244,IF(BN244-DF244&lt;0,0,BN244-DF244)))))</f>
        <v>0</v>
      </c>
      <c r="DJ244" s="12">
        <f t="shared" si="320"/>
        <v>0</v>
      </c>
      <c r="DK244" s="9">
        <f t="shared" si="321"/>
        <v>0</v>
      </c>
      <c r="DL244" s="39">
        <f>IF(Исходн.данные.!AM244&gt;0,Исходн.данные.!AM244,IF(EG244&gt;0,$BH$10,0))</f>
        <v>0</v>
      </c>
      <c r="DM244" s="186">
        <f>IF($DL244=0,0,IF(Исходн.данные.!AM244&gt;0,VLOOKUP($DL244,АшламаДВ_Irekle,2,FALSE),VLOOKUP($DL244,АшламаДВ_Gomumy,2,FALSE)))</f>
        <v>0</v>
      </c>
      <c r="DN244" s="10">
        <f t="shared" si="299"/>
        <v>0</v>
      </c>
      <c r="DO244" s="9" t="str">
        <f>IF(Исходн.данные.!AN244&gt;0,Исходн.данные.!AN244,Удобрения!$B$37 )</f>
        <v>Хлор.калий</v>
      </c>
      <c r="DP244" s="9">
        <f>IF(Исходн.данные.!AN244&gt;0,VLOOKUP(Исходн.данные.!AN244,АшламаДВ_Irekle,4,FALSE),VLOOKUP(DO244,АшламаДВ_Gomumy,4,FALSE))</f>
        <v>0.6</v>
      </c>
      <c r="DQ244" s="10">
        <f t="shared" si="300"/>
        <v>0</v>
      </c>
      <c r="DR244" s="132" t="str">
        <f>IF(Исходн.данные.!AO244&gt;0,Исходн.данные.!AO244,IF(DH244=0,BS$17,IF(AND($DK244=0,$DJ244&gt;0),EJ244,EN244)))</f>
        <v>Нет</v>
      </c>
      <c r="DS244" s="70" t="str">
        <f>IF($DR244="Нет","Нет",IF(Исходн.данные.!$AO244&gt;0,VLOOKUP($DR244,АшламаДВ_Irekle,2,FALSE),VLOOKUP($DR244,АшламаДВ_Gomumy,2,FALSE)))</f>
        <v>Нет</v>
      </c>
      <c r="DT244" s="70" t="str">
        <f>IF($DR244="Нет","Нет",IF(Исходн.данные.!$AO244&gt;0,VLOOKUP($DR244,АшламаДВ_Irekle,3,FALSE),VLOOKUP($DR244,АшламаДВ_Gomumy,3,FALSE)))</f>
        <v>Нет</v>
      </c>
      <c r="DU244" s="70" t="str">
        <f>IF($DR244="Нет","Нет",IF(Исходн.данные.!$AO244&gt;0,VLOOKUP($DR244,АшламаДВ_Irekle,4,FALSE),VLOOKUP($DR244,АшламаДВ_Gomumy,4,FALSE)))</f>
        <v>Нет</v>
      </c>
      <c r="DV244" s="70"/>
      <c r="DW244" s="70"/>
      <c r="DX244" s="70"/>
      <c r="DY244" s="10">
        <f t="shared" si="322"/>
        <v>0</v>
      </c>
      <c r="DZ244" s="10">
        <f t="shared" si="323"/>
        <v>0</v>
      </c>
      <c r="EA244" s="10">
        <f t="shared" si="324"/>
        <v>0</v>
      </c>
      <c r="EB244" s="10">
        <f t="shared" si="325"/>
        <v>0</v>
      </c>
      <c r="EC244" s="10">
        <f t="shared" si="326"/>
        <v>0</v>
      </c>
      <c r="ED244" s="10">
        <f t="shared" si="327"/>
        <v>0</v>
      </c>
      <c r="EE244" s="10">
        <f t="shared" si="328"/>
        <v>0</v>
      </c>
      <c r="EF244" s="39">
        <f>EB244*Исходн.данные.!AJ244/1000</f>
        <v>0</v>
      </c>
      <c r="EG244" s="9">
        <f t="shared" si="329"/>
        <v>0</v>
      </c>
      <c r="EH244" s="9">
        <f t="shared" si="330"/>
        <v>0</v>
      </c>
      <c r="EI244" s="39" t="e">
        <f t="shared" si="280"/>
        <v>#DIV/0!</v>
      </c>
      <c r="EJ244" s="9" t="str">
        <f t="shared" si="301"/>
        <v>Азопреципитат</v>
      </c>
      <c r="EK244" s="12">
        <f t="shared" si="281"/>
        <v>0.26</v>
      </c>
      <c r="EL244" s="12">
        <f t="shared" si="282"/>
        <v>0.13</v>
      </c>
      <c r="EM244" s="12">
        <f t="shared" si="283"/>
        <v>0</v>
      </c>
      <c r="EN244" s="12" t="str">
        <f t="shared" si="302"/>
        <v>Нет</v>
      </c>
      <c r="EO244" s="12">
        <f t="shared" si="284"/>
        <v>0</v>
      </c>
      <c r="EP244" s="12">
        <f t="shared" si="285"/>
        <v>0</v>
      </c>
      <c r="EQ244" s="12">
        <f t="shared" si="286"/>
        <v>0</v>
      </c>
      <c r="ER244" s="12" t="str">
        <f t="shared" si="331"/>
        <v>Диаммофоска</v>
      </c>
      <c r="ES244" s="12">
        <f t="shared" si="287"/>
        <v>0.1</v>
      </c>
      <c r="ET244" s="12">
        <f t="shared" si="288"/>
        <v>0.26</v>
      </c>
      <c r="EU244" s="12">
        <f t="shared" si="289"/>
        <v>0.26</v>
      </c>
      <c r="EV244" s="12" t="str">
        <f t="shared" si="332"/>
        <v>Аммофос 12:52:00</v>
      </c>
      <c r="EW244" s="12" t="str">
        <f t="shared" si="333"/>
        <v>Кемира Свекловичное-6</v>
      </c>
      <c r="EX244" s="12">
        <f t="shared" si="290"/>
        <v>0.16</v>
      </c>
      <c r="EY244" s="12">
        <f t="shared" si="291"/>
        <v>0.12</v>
      </c>
      <c r="EZ244" s="12">
        <f t="shared" si="292"/>
        <v>0.17</v>
      </c>
      <c r="FA244" s="38" t="e">
        <f>IF(AND(OR(FJ244=$FD$1,FM244=$FD$1,FO244=$FD$1,FQ244=$FD$1,FS244=$FD$1),FD244=$FD$1,Исходн.данные.!J244&lt;2,FU244=$FD$1),"Бор,Кобальт",IF(AND(FO244=$FD$1,FH244=$FD$1,Исходн.данные.!J244&lt;2,FU244=$FD$1),"Бор,Кобальт",IF(AND(OR(FJ244=$FD$1,FM244=$FD$1,FQ244=$FD$1),FE244=$FD$1,Исходн.данные.!J244&lt;2,FT244=$FD$1,FU244=$FD$1),"Бор,Медь,Цинк",IF(AND(OR(FJ244=$FD$1,FR244="Да"),FI244="Да",Исходн.данные.!J244&lt;2,FT244="Да",FU244="Да"),"Бор,Цинк,Медь",IF(AND(OR(FM244="Да",FQ244="Да"),FI244="Да",Исходн.данные.!J244&lt;2,FT244="Да",FU244="Да"),"Бор,Цинк",IF(AND(FN244="Да",OR(FD244="Да",FE244="Да")),"Бор",FB244))))))</f>
        <v>#N/A</v>
      </c>
      <c r="FB244" s="134" t="e">
        <f>IF(AND(OR(FD244="Да",FE244="Да",FF244="Да",FG244="Да",FH244="Да"),FO244="Да"),"Бор",IF(AND(FP244="Да",OR(FD244="Да",FE244="Да",FI244="Да")),"Бор",IF(AND(FS244="Да",FE244="Да"),"Бор,Медь",IF(AND(OR(FJ244="Да",FK244="Да",FL244="Да"),FE244="Да",Исходн.данные.!I244&lt;5,FT244="Да",FU244="Да"),"Молибден,Цинк",IF(AND(FM244="Да",OR(FE244="Да",FF244="Да",FG244="Да",FH244="Да",FI244="Да")),"Молибден,Цинк",IF(AND(OR(FJ244="Да",FK244="Да",FL244="Да",FM244="Да",FQ244="Да"),OR(FE244="Да",FF244="Да"),FT244="Да",FU244="Да",Исходн.данные.!I244&gt;5.5),"Медь,Цинк",FC244))))))</f>
        <v>#N/A</v>
      </c>
      <c r="FC244" s="23" t="e">
        <f t="shared" si="334"/>
        <v>#N/A</v>
      </c>
      <c r="FD244" s="38" t="str">
        <f>IF(OR(Исходн.данные.!F244=$CC$1,Исходн.данные.!F244=$CC$2,Исходн.данные.!F244=$CC$3,Исходн.данные.!F244=$CC$4),"Да","Нет")</f>
        <v>Нет</v>
      </c>
      <c r="FE244" s="38" t="str">
        <f>IF(Исходн.данные.!F244=$CC$5,"Да","Нет")</f>
        <v>Нет</v>
      </c>
      <c r="FF244" s="38" t="str">
        <f>IF(OR(Исходн.данные.!F244=$CC$6,Исходн.данные.!F244=$CC$7),"Да","Нет")</f>
        <v>Нет</v>
      </c>
      <c r="FG244" s="38" t="str">
        <f>IF(OR(Исходн.данные.!F244=$CC$8,Исходн.данные.!F244=$CC$9),"Да","Нет")</f>
        <v>Нет</v>
      </c>
      <c r="FH244" s="38" t="str">
        <f>IF(Исходн.данные.!F244=$CC$10,"Да","Нет")</f>
        <v>Нет</v>
      </c>
      <c r="FI244" s="38" t="str">
        <f>IF(OR(Исходн.данные.!F244=$CC$11,Исходн.данные.!F244=$CC$12),"Да","Нет")</f>
        <v>Нет</v>
      </c>
      <c r="FJ244" s="38" t="str">
        <f>IF(OR(Исходн.данные.!AH244=$BS$1,Исходн.данные.!AH244=$BQ$11,Исходн.данные.!AH244=$BQ$12),"Да","Нет")</f>
        <v>Нет</v>
      </c>
      <c r="FK244" s="38" t="str">
        <f>IF(OR(Исходн.данные.!AH244=$BS$2,Исходн.данные.!AH244=$BS$4),"Да","Нет")</f>
        <v>Нет</v>
      </c>
      <c r="FL244" s="38" t="str">
        <f>IF(OR(Исходн.данные.!AH244=$BS$3,Исходн.данные.!AH244=$BS$5),"Да","Нет")</f>
        <v>Нет</v>
      </c>
      <c r="FM244" s="38" t="str">
        <f>IF(OR(Исходн.данные.!AH244=$BS$9,Исходн.данные.!AH244=$BS$10,Исходн.данные.!AH244=$BS$11,Исходн.данные.!AH244=$BS$12),"Да","Нет")</f>
        <v>Нет</v>
      </c>
      <c r="FN244" s="38" t="str">
        <f>IF(OR(Исходн.данные.!AH244=$BS$6,Исходн.данные.!AH244=$BP$3),"Да","Нет")</f>
        <v>Нет</v>
      </c>
      <c r="FO244" s="38" t="str">
        <f>IF(Исходн.данные.!AH244=$BQ$9,"Да","Нет")</f>
        <v>Нет</v>
      </c>
      <c r="FP244" s="38" t="str">
        <f>IF(OR(Исходн.данные.!AH244=$BS$8,Исходн.данные.!AH244=$BT$8),"Да","Нет")</f>
        <v>Нет</v>
      </c>
      <c r="FQ244" s="38" t="str">
        <f>IF(OR(Исходн.данные.!AH244=$BQ$7,Исходн.данные.!AH244=$BQ$8),"Да","Нет")</f>
        <v>Нет</v>
      </c>
      <c r="FR244" s="38" t="str">
        <f>IF(Исходн.данные.!AI244=$BU$9,"Да","Нет")</f>
        <v>Нет</v>
      </c>
      <c r="FS244" s="38" t="str">
        <f>IF(OR(Исходн.данные.!AH244=$BP$1,Исходн.данные.!AH244=$BP$2),"Да","Нет")</f>
        <v>Нет</v>
      </c>
      <c r="FT244" s="38" t="e">
        <f>IF((Исходн.данные.!K244*GO244*GS244*GW244+BL244*0.6+Исходн.данные.!Q244*4.5*0.275)&gt;90,"Да","Нет")</f>
        <v>#N/A</v>
      </c>
      <c r="FU244" s="38" t="e">
        <f>IF((Исходн.данные.!M244*GS244*GZ244+BM244*0.225)&gt;35,"Да","Нет")</f>
        <v>#N/A</v>
      </c>
      <c r="FV244" s="38" t="str">
        <f>IF(Исходн.данные.!O244&gt;175,"Да","Нет")</f>
        <v>Нет</v>
      </c>
      <c r="FW244" s="39" t="str">
        <f>IF(Исходн.данные.!I244&gt;5.5,"Да","Нет")</f>
        <v>Нет</v>
      </c>
      <c r="FX244" s="39" t="str">
        <f>IF(Исходн.данные.!J244&lt;2,"Да","Нет")</f>
        <v>Да</v>
      </c>
      <c r="FY244" s="39" t="e">
        <f>IF(HF244=$FY$16,0,Исходн.данные.!K244*GO244*GS244*GW244/HF244)</f>
        <v>#N/A</v>
      </c>
      <c r="FZ244" s="39" t="e">
        <f>Исходн.данные.!M244*GS244*GZ244/HG244</f>
        <v>#N/A</v>
      </c>
      <c r="GA244" s="39" t="e">
        <f>IF(K_Wyn=$FY$16,0,IF(Исходн.данные.!N244=Исходн.данные.!$L$10,Исходн.данные.!O244/1.1*GS244*HC244/HH244,IF(Исходн.данные.!N244=Исходн.данные.!$L$12,Исходн.данные.!O244/1.5*GS244*HC244/HH244,Исходн.данные.!O244*GS244*HC244/HH244)))</f>
        <v>#N/A</v>
      </c>
      <c r="GB244" s="39" t="e">
        <f>IF(HF244=$FY$16,0,((Исходн.данные.!Q244*N_Org+Исходн.данные.!R244*N_Sider+Исходн.данные.!S244*N_Soloma)*AO244+Расчет!BC244*VLOOKUP(Исходн.данные.!T244,Справ!$A$3:$O$57,15)*AO244+BB244*VLOOKUP(Исходн.данные.!T244,Справ!$A$3:$O$57,15)*AL244+(Исходн.данные.!V244*N_Rizotorf+Исходн.данные.!W244*N_Rizoagr))/HF244)</f>
        <v>#N/A</v>
      </c>
      <c r="GC244" s="39" t="e">
        <f>IF(HG244=$FY$16,0,((Исходн.данные.!Q244*Р_Org+Исходн.данные.!R244*P_Sider+Исходн.данные.!S244*P_Soloma)*AP244+Расчет!BC244*VLOOKUP(Исходн.данные.!T244,Справ!$A$3:$P$57,16)*AP244+BB244*VLOOKUP(Исходн.данные.!T244,Справ!$A$3:$P$57,16)*AM244)/HG244)</f>
        <v>#N/A</v>
      </c>
      <c r="GD244" s="39" t="e">
        <f>IF(HH244=$FY$16,0,((Исходн.данные.!Q244*К_Org+Исходн.данные.!R244*K_Sider+Исходн.данные.!S244*K_Soloma)*AQ244+Расчет!BC244*VLOOKUP(Исходн.данные.!T244,Справ!$A$3:$Q$57,17)*AQ244+BB244*VLOOKUP(Исходн.данные.!T244,Справ!$A$3:$Q$57,17)*AN244)/HH244)</f>
        <v>#N/A</v>
      </c>
      <c r="GE244" s="39" t="e">
        <f>IF(HF244=$FY$16,0,(Исходн.данные.!X244*AR244+Исходн.данные.!AA244*N_Org*AL244+Исходн.данные.!AB244*N_Sider*AL244+Исходн.данные.!AC244*N_Soloma*AL244)/HF244)</f>
        <v>#N/A</v>
      </c>
      <c r="GF244" s="39" t="e">
        <f>IF(HG244=$FY$16,0,(Исходн.данные.!Y244*AS244+Исходн.данные.!AA244*Р_Org*AM244+Исходн.данные.!AB244*P_Sider*AM244+Исходн.данные.!AC244*P_Soloma*AM244)/HG244)</f>
        <v>#N/A</v>
      </c>
      <c r="GG244" s="39" t="e">
        <f>IF(HH244=$FY$16,0,(Исходн.данные.!Z244*AT244+Исходн.данные.!AA244*К_Org*AN244+Исходн.данные.!AB244*K_Sider*AN244+Исходн.данные.!AC244*K_Soloma*AN244)/HH244)</f>
        <v>#N/A</v>
      </c>
      <c r="GH244" s="39" t="e">
        <f>Исходн.данные.!AD244*AU244/HF244</f>
        <v>#N/A</v>
      </c>
      <c r="GI244" s="39" t="e">
        <f>Исходн.данные.!AE244*AV244/HG244</f>
        <v>#N/A</v>
      </c>
      <c r="GJ244" s="39" t="e">
        <f>Исходн.данные.!AF244*AW244/HH244</f>
        <v>#N/A</v>
      </c>
      <c r="GK244" s="55">
        <f>Исходн.данные.!AK244</f>
        <v>0</v>
      </c>
      <c r="GL244" s="11" t="e">
        <f t="shared" si="335"/>
        <v>#N/A</v>
      </c>
      <c r="GM244" s="11" t="e">
        <f t="shared" si="336"/>
        <v>#N/A</v>
      </c>
      <c r="GN244" s="11" t="e">
        <f t="shared" si="337"/>
        <v>#N/A</v>
      </c>
      <c r="GO244" s="57">
        <f t="shared" si="338"/>
        <v>19</v>
      </c>
      <c r="GP244" s="55">
        <f>IF(OR(Исходн.данные.!F244=$CE$1,Исходн.данные.!F244=$CE$2,Исходн.данные.!F244=$CE$3,Исходн.данные.!F244=$CE$4,Исходн.данные.!F244=$CE$5),GQ244,GR244)</f>
        <v>19</v>
      </c>
      <c r="GQ244" s="55">
        <f>IF(Исходн.данные.!F244=$CE$1,28,IF(Исходн.данные.!F244=$CE$2,26,IF(Исходн.данные.!F244=$CE$3,24,IF(Исходн.данные.!F244=$CE$4,22,IF(Исходн.данные.!F244=$CE$5,20,GR244)))))</f>
        <v>19</v>
      </c>
      <c r="GR244" s="55">
        <f>IF(Исходн.данные.!F244=$CE$6,18,IF(Исходн.данные.!F244=$CE$7,16,IF(Исходн.данные.!F244=$CE$8,14,IF(Исходн.данные.!F244=$CE$9,13,IF(Исходн.данные.!F244=$CE$10,12,19)))))</f>
        <v>19</v>
      </c>
      <c r="GS244" s="55">
        <f>IF(Исходн.данные.!G244="Пес",0.035*(40+2*Исходн.данные.!H244),IF(Исходн.данные.!G244="Суп",0.0325*(40+2*Исходн.данные.!H244),0.03*(40+2*Исходн.данные.!H244)))</f>
        <v>1.2</v>
      </c>
      <c r="GT244" s="55">
        <f>IF(Исходн.данные.!H244&lt;23,2.6,IF(AND(Исходн.данные.!H244&gt;22,Исходн.данные.!H244&lt;26),3,IF(AND(Исходн.данные.!H244&gt;25,Исходн.данные.!H244&lt;29),3.4,3.6)))</f>
        <v>2.6</v>
      </c>
      <c r="GU244" s="55">
        <f>IF(Исходн.данные.!H244&lt;23,2.8,IF(AND(Исходн.данные.!H244&gt;22,Исходн.данные.!H244&lt;26),3.2,IF(AND(Исходн.данные.!H244&gt;25,Исходн.данные.!H244&lt;29),3.6,3.9)))</f>
        <v>2.8</v>
      </c>
      <c r="GV244" s="55">
        <f>IF(Исходн.данные.!H244&lt;23,3,IF(AND(Исходн.данные.!H244&gt;22,Исходн.данные.!H244&lt;26),3.5,IF(AND(Исходн.данные.!H244&gt;25,Исходн.данные.!H244&lt;29),3.9,4.2)))</f>
        <v>3</v>
      </c>
      <c r="GW244" s="55" t="e">
        <f>IF(Исходн.данные.!P244="Ум",GX244,GY244)</f>
        <v>#N/A</v>
      </c>
      <c r="GX244" s="55" t="e">
        <f>VLOOKUP(Исходн.данные.!AI244,Коэффициенты!$J$7:$L$13,2,FALSE)</f>
        <v>#N/A</v>
      </c>
      <c r="GY244" s="55" t="e">
        <f>VLOOKUP(Исходн.данные.!AI244,Коэффициенты!$J$7:$L$13,3,FALSE)</f>
        <v>#N/A</v>
      </c>
      <c r="GZ244" s="55" t="e">
        <f>(IF(Исходн.данные.!M244&lt;50,0.11*VLOOKUP(Исходн.данные.!AH244,Культуры.Информация,7,FALSE),IF(Исходн.данные.!M244&gt;250,0.05*VLOOKUP(Исходн.данные.!AH244,Культуры.Информация,7,FALSE),VLOOKUP(Исходн.данные.!AH244,Культуры.Информация,5,FALSE)/100*($GX$6+$GY$6*Исходн.данные.!M244))))*Расчет2!AI244</f>
        <v>#N/A</v>
      </c>
      <c r="HA244" s="211"/>
      <c r="HB244" s="211"/>
      <c r="HC244" s="55" t="e">
        <f>(IF(Исходн.данные.!O244&lt;80,0.2*VLOOKUP(Исходн.данные.!AH244,Культуры.Информация,8,FALSE),IF(Исходн.данные.!O244&gt;240,0.09*VLOOKUP(Исходн.данные.!AH244,Культуры.Информация,8,FALSE),VLOOKUP(Исходн.данные.!AH244,Культуры.Информация,6,FALSE)/100*($HB$6+$HC$6*Исходн.данные.!O244))))*Расчет2!AJ244</f>
        <v>#N/A</v>
      </c>
      <c r="HD244" s="55">
        <f>IF(Исходн.данные.!O244&gt;240,0.09,IF(Исходн.данные.!O244&lt;30,0.3,$HE$10+$HD$10*Исходн.данные.!O244))</f>
        <v>0.3</v>
      </c>
      <c r="HE244" s="55">
        <f>IF(Исходн.данные.!O244&gt;240,0.17,IF(Исходн.данные.!O244&lt;30,0.5,$HF$12+$HE$12*Исходн.данные.!O244))</f>
        <v>0.5</v>
      </c>
      <c r="HF244" s="55" t="e">
        <f>VLOOKUP(Исходн.данные.!AH244,Справ!$A$3:$D$58,2,FALSE)</f>
        <v>#N/A</v>
      </c>
      <c r="HG244" s="55" t="e">
        <f>VLOOKUP(Исходн.данные.!AH244,Справ!$A$3:$D$58,3,FALSE)</f>
        <v>#N/A</v>
      </c>
      <c r="HH244" s="55" t="e">
        <f>VLOOKUP(Исходн.данные.!AH244,Справ!$A$3:$D$58,4,FALSE)</f>
        <v>#N/A</v>
      </c>
      <c r="HI244" s="11" t="e">
        <f t="shared" si="339"/>
        <v>#N/A</v>
      </c>
      <c r="HJ244" s="11" t="e">
        <f t="shared" si="340"/>
        <v>#N/A</v>
      </c>
      <c r="HK244" s="11" t="e">
        <f t="shared" si="341"/>
        <v>#N/A</v>
      </c>
      <c r="HL244" s="55">
        <f>IF(OR(Исходн.данные.!G244="Глин",Исходн.данные.!G244="Т_суг"),1.1,IF(Исходн.данные.!G244="Ср_суг",1,1))</f>
        <v>1</v>
      </c>
      <c r="HM244" s="55">
        <f>IF(OR(Исходн.данные.!G244="Глин",Исходн.данные.!G244="Т_суг"),0.9,IF(Исходн.данные.!G244="Ср_суг",1,1.2))</f>
        <v>1.2</v>
      </c>
      <c r="HN244" s="11" t="e">
        <f t="shared" si="342"/>
        <v>#N/A</v>
      </c>
      <c r="HO244" s="11" t="e">
        <f t="shared" si="343"/>
        <v>#N/A</v>
      </c>
      <c r="HP244" s="11" t="e">
        <f t="shared" si="344"/>
        <v>#N/A</v>
      </c>
      <c r="HQ244" t="e">
        <f t="shared" si="345"/>
        <v>#N/A</v>
      </c>
      <c r="HR244" t="e">
        <f t="shared" si="346"/>
        <v>#N/A</v>
      </c>
      <c r="HS244" t="e">
        <f t="shared" si="347"/>
        <v>#N/A</v>
      </c>
      <c r="HT244" t="e">
        <f t="shared" si="293"/>
        <v>#N/A</v>
      </c>
      <c r="HU244" t="e">
        <f t="shared" si="294"/>
        <v>#N/A</v>
      </c>
      <c r="HV244" t="e">
        <f t="shared" si="295"/>
        <v>#N/A</v>
      </c>
      <c r="HW244" t="e">
        <f t="shared" si="296"/>
        <v>#N/A</v>
      </c>
      <c r="HX244" t="e">
        <f t="shared" si="297"/>
        <v>#N/A</v>
      </c>
      <c r="HY244" t="e">
        <f t="shared" si="298"/>
        <v>#N/A</v>
      </c>
      <c r="HZ244" s="55">
        <f>IF(OR(Исходн.данные.!AI244="Оз_Ч_П",Исходн.данные.!AI244="Оз_З_П",Исходн.данные.!AI244="Яр_зер"),12,30)</f>
        <v>30</v>
      </c>
      <c r="IA244" t="e">
        <f t="shared" si="348"/>
        <v>#N/A</v>
      </c>
      <c r="IB244" t="e">
        <f t="shared" si="349"/>
        <v>#N/A</v>
      </c>
      <c r="IC244" t="e">
        <f t="shared" si="350"/>
        <v>#N/A</v>
      </c>
      <c r="ID244" s="11" t="e">
        <f t="shared" si="351"/>
        <v>#N/A</v>
      </c>
      <c r="IE244" s="11" t="e">
        <f t="shared" si="352"/>
        <v>#N/A</v>
      </c>
      <c r="IF244" s="11" t="e">
        <f t="shared" si="353"/>
        <v>#N/A</v>
      </c>
    </row>
    <row r="245" spans="35:240" x14ac:dyDescent="0.2">
      <c r="AI245">
        <f>IF(Исходн.данные.!I245&gt;6,1,1.85-(0.148*Исходн.данные.!I245))</f>
        <v>1.85</v>
      </c>
      <c r="AJ245">
        <f>IF(Исходн.данные.!I245&gt;6,1,2.434-(0.246*Исходн.данные.!I245))</f>
        <v>2.4340000000000002</v>
      </c>
      <c r="AL245" s="148" t="b">
        <f>IF(Исходн.данные.!$P245="Ум",N_OrgUd_2g_um,IF(Исходн.данные.!$P245="Об",N_OrgUd_2g_ob))</f>
        <v>0</v>
      </c>
      <c r="AM245" s="148" t="b">
        <f>IF(Исходн.данные.!$P245="Ум",P_OrgUd_2g_um,IF(Исходн.данные.!$P245="Об",P_OrgUd_2g_ob))</f>
        <v>0</v>
      </c>
      <c r="AN245" s="148" t="b">
        <f>IF(Исходн.данные.!$P245="Ум",K_OrgUd_2g_um,IF(Исходн.данные.!$P245="Об",K_OrgUd_2g_ob))</f>
        <v>0</v>
      </c>
      <c r="AO245" s="148" t="b">
        <f>IF(Исходн.данные.!$P245="Ум",N_OrgUd_1g_um,IF(Исходн.данные.!$P245="Об",N_OrgUd_1g_ob))</f>
        <v>0</v>
      </c>
      <c r="AP245" s="148" t="b">
        <f>IF(Исходн.данные.!$P245="Ум",P_OrgUd_1g_um,IF(Исходн.данные.!$P245="Об",P_OrgUd_1g_ob))</f>
        <v>0</v>
      </c>
      <c r="AQ245" s="148" t="b">
        <f>IF(Исходн.данные.!$P245="Ум",K_OrgUd_1g_um,IF(Исходн.данные.!$P245="Об",K_OrgUd_1g_ob))</f>
        <v>0</v>
      </c>
      <c r="AR245" t="b">
        <f>IF(Исходн.данные.!$P245="Ум",N_MinUd_2g_um,IF(Исходн.данные.!$P245="Об",N_MinUd_2g_ob))</f>
        <v>0</v>
      </c>
      <c r="AS245" t="b">
        <f>IF(Исходн.данные.!$P245="Ум",P_MinUd_2g_um,IF(Исходн.данные.!$P245="Об",P_MinUd_2g_ob))</f>
        <v>0</v>
      </c>
      <c r="AT245" t="b">
        <f>IF(Исходн.данные.!$P245="Ум",K_MinUd_2g_um,IF(Исходн.данные.!$P245="Об",K_MinUd_2g_ob))</f>
        <v>0</v>
      </c>
      <c r="AU245" t="b">
        <f>IF(Исходн.данные.!$P245="Ум",N_MinUd_1g_um,IF(Исходн.данные.!$P245="Об",N_MinUd_1g_ob))</f>
        <v>0</v>
      </c>
      <c r="AV245" t="b">
        <f>IF(Исходн.данные.!P245="Ум",P_MinUd_1g_um,IF(Исходн.данные.!P245="Об",P_MinUd_1g_ob))</f>
        <v>0</v>
      </c>
      <c r="AW245" t="b">
        <f>IF(Исходн.данные.!P245="Ум",K_MinUd_1g_um,IF(Исходн.данные.!P245="Об",K_MinUd_1g_ob))</f>
        <v>0</v>
      </c>
      <c r="AY245" t="e">
        <f>VLOOKUP(Исходн.данные.!T245,Справ!$A$3:$N$57,12)</f>
        <v>#N/A</v>
      </c>
      <c r="AZ245" t="e">
        <f>VLOOKUP(Исходн.данные.!T245,Справ!$A$3:$N$57,13)</f>
        <v>#N/A</v>
      </c>
      <c r="BA245" t="e">
        <f>VLOOKUP(Исходн.данные.!T245,Справ!$A$3:$N$57,14)</f>
        <v>#N/A</v>
      </c>
      <c r="BB245">
        <f>IF(Исходн.данные.!AH245=0,0,25)</f>
        <v>0</v>
      </c>
      <c r="BC245" s="141">
        <f>IF(Исходн.данные.!AH245=0,0,IF(Исходн.данные.!T245=0,25,BD245))</f>
        <v>0</v>
      </c>
      <c r="BD245" s="168" t="e">
        <f>AY245+AZ245*Исходн.данные.!U245-POWER(BA245,2)*Исходн.данные.!U245</f>
        <v>#N/A</v>
      </c>
      <c r="BE24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5" s="25">
        <f>IF(Исходн.данные.!AH245=0,0,MIN(HN245:HP245))</f>
        <v>0</v>
      </c>
      <c r="BG245" s="9">
        <f>IF(Исходн.данные.!AH245=0,0,IF((HO245+10*0.25/HG245/HL245)&lt;17,17,HO245+10*0.25/HG245/HL245))</f>
        <v>0</v>
      </c>
      <c r="BH245" s="181">
        <f>IF(Исходн.данные.!AH245=0,0,HW245*HF245*HL245/AU245*AI245+Исходн.данные.!S245*10)</f>
        <v>0</v>
      </c>
      <c r="BI245" s="10"/>
      <c r="BJ245" s="182">
        <f>IF(Исходн.данные.!AH245=0,0,IF(HX245*HG245*HL245/AV245&lt;0,0,HX245*HG245*HL245/AV245*AJ245))</f>
        <v>0</v>
      </c>
      <c r="BK245" s="182">
        <f>IF(Исходн.данные.!AH245=0,0,HY245*HH245*HM245/AW245)</f>
        <v>0</v>
      </c>
      <c r="BL245" s="10">
        <f>IF(OR(Исходн.данные.!$AH245=$BP$1,Исходн.данные.!$AH245=$BP$2),0,IF(BH245&lt;0,0,IF(OR(Исходн.данные.!T245=Расчет!$BP$1,Исходн.данные.!T245=Расчет!$BP$2,Исходн.данные.!T245=Расчет!$BT$5,Исходн.данные.!T245=Расчет!$BT$6),BH245*0.5,IF(OR(Исходн.данные.!T245=Расчет!$BS$9,Исходн.данные.!T245=Расчет!$BS$10,Исходн.данные.!T245=Расчет!$BS$11,Исходн.данные.!T245=Расчет!$BS$12,Исходн.данные.!T245=Расчет!$BP$5),BH245*0.8,BH245))))</f>
        <v>0</v>
      </c>
      <c r="BM245" s="10">
        <f>IF(OR(Исходн.данные.!$AH245=$BP$1,Исходн.данные.!$AH245=$BP$2),0,IF(BJ245&lt;0,0,IF(Исходн.данные.!I245&lt;4.5,BJ245*1.2,IF(Исходн.данные.!I245&gt;5.1,BJ245,BJ245*((5.1-Исходн.данные.!I245)*0.333+1)))))</f>
        <v>0</v>
      </c>
      <c r="BN245" s="10">
        <f>IF(OR(Исходн.данные.!$AH245=$BP$1,Исходн.данные.!$AH245=$BP$2),60-Исходн.данные.!AF245,IF(BK245&lt;0,0,IF(Исходн.данные.!I245&lt;4.5,BK245*1.2,IF(Исходн.данные.!I245&gt;5.1,BK245,BK245*((5.1-Исходн.данные.!I245)*0.333+1)))))</f>
        <v>0</v>
      </c>
      <c r="BO245" s="9">
        <f>IF(BL245&lt;0,0,BL245*Исходн.данные.!$AJ245/1000)</f>
        <v>0</v>
      </c>
      <c r="BP245" s="9">
        <f>IF(BM245&lt;0,0,BM245*Исходн.данные.!$AJ245/1000)</f>
        <v>0</v>
      </c>
      <c r="BQ245" s="9">
        <f>IF(BN245&lt;0,0,BN245*Исходн.данные.!$AJ245/1000)</f>
        <v>0</v>
      </c>
      <c r="BR245" s="9">
        <f t="shared" si="303"/>
        <v>0</v>
      </c>
      <c r="BS245" s="10" t="str">
        <f t="shared" si="304"/>
        <v>Аммофос 12:52:00</v>
      </c>
      <c r="BT245" s="10" t="str">
        <f t="shared" si="305"/>
        <v>Аммофос 12:52:00</v>
      </c>
      <c r="BU245" s="10" t="str">
        <f t="shared" si="306"/>
        <v>Диаммофоска</v>
      </c>
      <c r="BV245" s="10">
        <f t="shared" si="307"/>
        <v>0</v>
      </c>
      <c r="BW245" s="10"/>
      <c r="BX245" s="10"/>
      <c r="BY245" s="9">
        <f>IF(BL245&lt;0,0,IF(OR(Исходн.данные.!AI245=Расчет!$BU$6,Исходн.данные.!AI245=Расчет!$BU$7),Расчет!BV245,IF(Исходн.данные.!$AG245=$BV$11,BL245,IF(OR(Исходн.данные.!$AH245=$BQ$7,Исходн.данные.!$AH245=$BQ$8),CB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0,IF(Исходн.данные.!$AI245=$BU$11,"Нет",IF(BL245&gt;30,30,BL245)))))))</f>
        <v>0</v>
      </c>
      <c r="BZ245" s="9">
        <f>IF(AND(Исходн.данные.!$AG245=$BV$11,BM245&lt;10),10,IF(Исходн.данные.!$AG245=$BV$11,BM245,IF(OR(Исходн.данные.!$AH245=$BQ$7,Исходн.данные.!$AH245=$BQ$8),CC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10,IF(Исходн.данные.!$AI245=$BU$11,"Нет",IF(BM245&gt;60,60,IF(BM245&lt;10,10,BM245)))))))</f>
        <v>10</v>
      </c>
      <c r="CA245" s="39">
        <f>IF(BN245&lt;0,0,IF(Исходн.данные.!$AG245=$BV$11,BN245,IF(OR(Исходн.данные.!$AH245=$BQ$7,Исходн.данные.!$AH245=$BQ$8),CD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0,IF(Исходн.данные.!$AI245=$BU$11,"Нет",IF(BN245&gt;30,30,BN245))))))</f>
        <v>0</v>
      </c>
      <c r="CB245" s="9">
        <f t="shared" si="308"/>
        <v>0</v>
      </c>
      <c r="CC245" s="9">
        <f t="shared" si="309"/>
        <v>0</v>
      </c>
      <c r="CD245" s="9">
        <f t="shared" si="310"/>
        <v>0</v>
      </c>
      <c r="CE245" s="12">
        <f t="shared" si="311"/>
        <v>10</v>
      </c>
      <c r="CF245" s="9">
        <f t="shared" si="312"/>
        <v>0</v>
      </c>
      <c r="CG245" s="9" t="s">
        <v>231</v>
      </c>
      <c r="CH245" s="132" t="str">
        <f>IF(Исходн.данные.!AP245=Расчет!$CI$16,"Нет",IF(Исходн.данные.!AL245&gt;0,Исходн.данные.!AL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BH$4,IF(OR(Исходн.данные.!AI245=Исходн.данные.!$AI$6,Исходн.данные.!AI245=Исходн.данные.!$AI$7),Расчет!BS245,IF(AND($CF245=0,$CE245&gt;0),EV245,ER245)))))</f>
        <v>Аммофос 12:52:00</v>
      </c>
      <c r="CI245" s="274">
        <f>IF(Расчет!$CH245="Нет","Нет",IF(Исходн.данные.!$AL245&gt;0,VLOOKUP(Расчет!$CH245,АшламаДВ_Irekle,2,FALSE),VLOOKUP(Расчет!$CH245,АшламаДВ_Gomumy,2,FALSE)))</f>
        <v>0.12</v>
      </c>
      <c r="CJ245" s="274">
        <f>IF(Расчет!$CH245="Нет","Нет",IF(Исходн.данные.!$AL245&gt;0,VLOOKUP(Расчет!$CH245,АшламаДВ_Irekle,3,FALSE),VLOOKUP(Расчет!$CH245,АшламаДВ_Gomumy,3,FALSE)))</f>
        <v>0.52</v>
      </c>
      <c r="CK245" s="274">
        <f>IF(Расчет!$CH245="Нет","Нет",IF(Исходн.данные.!$AL245&gt;0,VLOOKUP(Расчет!$CH245,АшламаДВ_Irekle,4,FALSE),VLOOKUP(Расчет!$CH245,АшламаДВ_Gomumy,4,FALSE)))</f>
        <v>0</v>
      </c>
      <c r="CL245" s="70"/>
      <c r="CM245" s="70"/>
      <c r="CN245" s="70"/>
      <c r="CO245" s="70"/>
      <c r="CP245" s="70"/>
      <c r="CQ245" s="70"/>
      <c r="CR245" s="10">
        <f t="shared" si="313"/>
        <v>0</v>
      </c>
      <c r="CS245" s="10">
        <f t="shared" si="314"/>
        <v>19.23076923076923</v>
      </c>
      <c r="CT245" s="10">
        <f t="shared" si="315"/>
        <v>0</v>
      </c>
      <c r="CU245" s="39">
        <f>IF($CH245="Нет",0,IF(CI245=0,30/MIN(CJ245:CK245),IF(Исходн.данные.!$AG245=$BV$11,CR245,IF(OR(Исходн.данные.!$AH245=$BQ$7,Исходн.данные.!$AH245=$BQ$8),90/CI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0,IF(Исходн.данные.!$AI245=$BU$11,"Нет",30/CI245))))))</f>
        <v>250</v>
      </c>
      <c r="CV245" s="39">
        <f>IF($CH245="Нет",0,IF(Исходн.данные.!AH245=0,0,IF(CJ245=0,60/MIN(CI245,CK245),IF(Исходн.данные.!$AG245=$BV$11,CS245,IF(OR(Исходн.данные.!$AH245=$BQ$7,Исходн.данные.!$AH245=$BQ$8),90/CJ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10/CJ245,IF(Исходн.данные.!$AI245=$BU$11,"Нет",60/CJ245)))))))</f>
        <v>0</v>
      </c>
      <c r="CW245" s="39">
        <f>IF($CH245="Нет",0,IF(Исходн.данные.!AH245=0,0,IF(CK245=0,30/MIN(CI245:CJ245),IF(Исходн.данные.!$AG245=$BV$11,CT245,IF(OR(Исходн.данные.!$AH245=$BQ$7,Исходн.данные.!$AH245=$BQ$8),90/CK245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0,IF(Исходн.данные.!$AI245=$BU$11,"Нет",30/CK245)))))))</f>
        <v>0</v>
      </c>
      <c r="CX245" s="133">
        <f>IF(Исходн.данные.!$AG245=$BV$11,MAX(CU245:CW245),IF(OR(Исходн.данные.!$AH245=$BS$8,Исходн.данные.!$AH245=$BQ$9,Исходн.данные.!$AH245=$BQ$10,Исходн.данные.!$AH245=$BQ$11,Исходн.данные.!$AH245=$BQ$12,Исходн.данные.!$AH245=$BP$3,Исходн.данные.!$AH245=$BT$8,$FM245="Да"),CV245,MIN(CU245:CW245)))</f>
        <v>0</v>
      </c>
      <c r="CY245" s="133">
        <f>IF(Исходн.данные.!AH245=0,0,IF(CR245&gt;$CX245,$CX245,CR245))</f>
        <v>0</v>
      </c>
      <c r="CZ245" s="133">
        <f>IF(Исходн.данные.!AH245=0,0,IF(CS245&gt;$CX245,$CX245,CS245))</f>
        <v>0</v>
      </c>
      <c r="DA245" s="133">
        <f>IF(Исходн.данные.!AH245=0,0,IF(CT245&gt;$CX245,$CX245,CT245))</f>
        <v>0</v>
      </c>
      <c r="DB245" s="10">
        <f t="shared" si="316"/>
        <v>0</v>
      </c>
      <c r="DC245" s="39">
        <f>DB245*Исходн.данные.!AJ245/1000</f>
        <v>0</v>
      </c>
      <c r="DD245" s="71">
        <f t="shared" si="317"/>
        <v>0</v>
      </c>
      <c r="DE245" s="9">
        <f t="shared" si="318"/>
        <v>0</v>
      </c>
      <c r="DF245" s="9">
        <f t="shared" si="319"/>
        <v>0</v>
      </c>
      <c r="DG245" s="39">
        <f>IF(BL245&lt;0,0,IF($CH245="Нет",BL245,IF(OR(Исходн.данные.!$AH245=$BP$1,Исходн.данные.!$AH245=$BP$2),0,IF(Исходн.данные.!AI245=$BU$11,BL245,IF(BL245-DD245&lt;0,0,BL245-DD245)))))</f>
        <v>0</v>
      </c>
      <c r="DH245" s="39">
        <f>IF(BM245&lt;0,0,IF($CH245="Нет",BM245,IF(OR(Исходн.данные.!$AH245=$BP$1,Исходн.данные.!$AH245=$BP$2),0,IF(Исходн.данные.!AJ245=$BU$11,BM245,IF(BM245-DE245&lt;0,0,BM245-DE245)))))</f>
        <v>0</v>
      </c>
      <c r="DI245" s="39">
        <f>IF(BN245&lt;0,0,IF($CH245="Нет",BN245,IF(OR(Исходн.данные.!$AH245=$BP$1,Исходн.данные.!$AH245=$BP$2),0,IF(Исходн.данные.!AK245=$BU$11,BN245,IF(BN245-DF245&lt;0,0,BN245-DF245)))))</f>
        <v>0</v>
      </c>
      <c r="DJ245" s="12">
        <f t="shared" si="320"/>
        <v>0</v>
      </c>
      <c r="DK245" s="9">
        <f t="shared" si="321"/>
        <v>0</v>
      </c>
      <c r="DL245" s="39">
        <f>IF(Исходн.данные.!AM245&gt;0,Исходн.данные.!AM245,IF(EG245&gt;0,$BH$10,0))</f>
        <v>0</v>
      </c>
      <c r="DM245" s="186">
        <f>IF($DL245=0,0,IF(Исходн.данные.!AM245&gt;0,VLOOKUP($DL245,АшламаДВ_Irekle,2,FALSE),VLOOKUP($DL245,АшламаДВ_Gomumy,2,FALSE)))</f>
        <v>0</v>
      </c>
      <c r="DN245" s="10">
        <f t="shared" si="299"/>
        <v>0</v>
      </c>
      <c r="DO245" s="9" t="str">
        <f>IF(Исходн.данные.!AN245&gt;0,Исходн.данные.!AN245,Удобрения!$B$37 )</f>
        <v>Хлор.калий</v>
      </c>
      <c r="DP245" s="9">
        <f>IF(Исходн.данные.!AN245&gt;0,VLOOKUP(Исходн.данные.!AN245,АшламаДВ_Irekle,4,FALSE),VLOOKUP(DO245,АшламаДВ_Gomumy,4,FALSE))</f>
        <v>0.6</v>
      </c>
      <c r="DQ245" s="10">
        <f t="shared" si="300"/>
        <v>0</v>
      </c>
      <c r="DR245" s="132" t="str">
        <f>IF(Исходн.данные.!AO245&gt;0,Исходн.данные.!AO245,IF(DH245=0,BS$17,IF(AND($DK245=0,$DJ245&gt;0),EJ245,EN245)))</f>
        <v>Нет</v>
      </c>
      <c r="DS245" s="70" t="str">
        <f>IF($DR245="Нет","Нет",IF(Исходн.данные.!$AO245&gt;0,VLOOKUP($DR245,АшламаДВ_Irekle,2,FALSE),VLOOKUP($DR245,АшламаДВ_Gomumy,2,FALSE)))</f>
        <v>Нет</v>
      </c>
      <c r="DT245" s="70" t="str">
        <f>IF($DR245="Нет","Нет",IF(Исходн.данные.!$AO245&gt;0,VLOOKUP($DR245,АшламаДВ_Irekle,3,FALSE),VLOOKUP($DR245,АшламаДВ_Gomumy,3,FALSE)))</f>
        <v>Нет</v>
      </c>
      <c r="DU245" s="70" t="str">
        <f>IF($DR245="Нет","Нет",IF(Исходн.данные.!$AO245&gt;0,VLOOKUP($DR245,АшламаДВ_Irekle,4,FALSE),VLOOKUP($DR245,АшламаДВ_Gomumy,4,FALSE)))</f>
        <v>Нет</v>
      </c>
      <c r="DV245" s="70"/>
      <c r="DW245" s="70"/>
      <c r="DX245" s="70"/>
      <c r="DY245" s="10">
        <f t="shared" si="322"/>
        <v>0</v>
      </c>
      <c r="DZ245" s="10">
        <f t="shared" si="323"/>
        <v>0</v>
      </c>
      <c r="EA245" s="10">
        <f t="shared" si="324"/>
        <v>0</v>
      </c>
      <c r="EB245" s="10">
        <f t="shared" si="325"/>
        <v>0</v>
      </c>
      <c r="EC245" s="10">
        <f t="shared" si="326"/>
        <v>0</v>
      </c>
      <c r="ED245" s="10">
        <f t="shared" si="327"/>
        <v>0</v>
      </c>
      <c r="EE245" s="10">
        <f t="shared" si="328"/>
        <v>0</v>
      </c>
      <c r="EF245" s="39">
        <f>EB245*Исходн.данные.!AJ245/1000</f>
        <v>0</v>
      </c>
      <c r="EG245" s="9">
        <f t="shared" si="329"/>
        <v>0</v>
      </c>
      <c r="EH245" s="9">
        <f t="shared" si="330"/>
        <v>0</v>
      </c>
      <c r="EI245" s="39" t="e">
        <f t="shared" si="280"/>
        <v>#DIV/0!</v>
      </c>
      <c r="EJ245" s="9" t="str">
        <f t="shared" si="301"/>
        <v>Азопреципитат</v>
      </c>
      <c r="EK245" s="12">
        <f t="shared" si="281"/>
        <v>0.26</v>
      </c>
      <c r="EL245" s="12">
        <f t="shared" si="282"/>
        <v>0.13</v>
      </c>
      <c r="EM245" s="12">
        <f t="shared" si="283"/>
        <v>0</v>
      </c>
      <c r="EN245" s="12" t="str">
        <f t="shared" si="302"/>
        <v>Нет</v>
      </c>
      <c r="EO245" s="12">
        <f t="shared" si="284"/>
        <v>0</v>
      </c>
      <c r="EP245" s="12">
        <f t="shared" si="285"/>
        <v>0</v>
      </c>
      <c r="EQ245" s="12">
        <f t="shared" si="286"/>
        <v>0</v>
      </c>
      <c r="ER245" s="12" t="str">
        <f t="shared" si="331"/>
        <v>Диаммофоска</v>
      </c>
      <c r="ES245" s="12">
        <f t="shared" si="287"/>
        <v>0.1</v>
      </c>
      <c r="ET245" s="12">
        <f t="shared" si="288"/>
        <v>0.26</v>
      </c>
      <c r="EU245" s="12">
        <f t="shared" si="289"/>
        <v>0.26</v>
      </c>
      <c r="EV245" s="12" t="str">
        <f t="shared" si="332"/>
        <v>Аммофос 12:52:00</v>
      </c>
      <c r="EW245" s="12" t="str">
        <f t="shared" si="333"/>
        <v>Кемира Свекловичное-6</v>
      </c>
      <c r="EX245" s="12">
        <f t="shared" si="290"/>
        <v>0.16</v>
      </c>
      <c r="EY245" s="12">
        <f t="shared" si="291"/>
        <v>0.12</v>
      </c>
      <c r="EZ245" s="12">
        <f t="shared" si="292"/>
        <v>0.17</v>
      </c>
      <c r="FA245" s="38" t="e">
        <f>IF(AND(OR(FJ245=$FD$1,FM245=$FD$1,FO245=$FD$1,FQ245=$FD$1,FS245=$FD$1),FD245=$FD$1,Исходн.данные.!J245&lt;2,FU245=$FD$1),"Бор,Кобальт",IF(AND(FO245=$FD$1,FH245=$FD$1,Исходн.данные.!J245&lt;2,FU245=$FD$1),"Бор,Кобальт",IF(AND(OR(FJ245=$FD$1,FM245=$FD$1,FQ245=$FD$1),FE245=$FD$1,Исходн.данные.!J245&lt;2,FT245=$FD$1,FU245=$FD$1),"Бор,Медь,Цинк",IF(AND(OR(FJ245=$FD$1,FR245="Да"),FI245="Да",Исходн.данные.!J245&lt;2,FT245="Да",FU245="Да"),"Бор,Цинк,Медь",IF(AND(OR(FM245="Да",FQ245="Да"),FI245="Да",Исходн.данные.!J245&lt;2,FT245="Да",FU245="Да"),"Бор,Цинк",IF(AND(FN245="Да",OR(FD245="Да",FE245="Да")),"Бор",FB245))))))</f>
        <v>#N/A</v>
      </c>
      <c r="FB245" s="134" t="e">
        <f>IF(AND(OR(FD245="Да",FE245="Да",FF245="Да",FG245="Да",FH245="Да"),FO245="Да"),"Бор",IF(AND(FP245="Да",OR(FD245="Да",FE245="Да",FI245="Да")),"Бор",IF(AND(FS245="Да",FE245="Да"),"Бор,Медь",IF(AND(OR(FJ245="Да",FK245="Да",FL245="Да"),FE245="Да",Исходн.данные.!I245&lt;5,FT245="Да",FU245="Да"),"Молибден,Цинк",IF(AND(FM245="Да",OR(FE245="Да",FF245="Да",FG245="Да",FH245="Да",FI245="Да")),"Молибден,Цинк",IF(AND(OR(FJ245="Да",FK245="Да",FL245="Да",FM245="Да",FQ245="Да"),OR(FE245="Да",FF245="Да"),FT245="Да",FU245="Да",Исходн.данные.!I245&gt;5.5),"Медь,Цинк",FC245))))))</f>
        <v>#N/A</v>
      </c>
      <c r="FC245" s="23" t="e">
        <f t="shared" si="334"/>
        <v>#N/A</v>
      </c>
      <c r="FD245" s="38" t="str">
        <f>IF(OR(Исходн.данные.!F245=$CC$1,Исходн.данные.!F245=$CC$2,Исходн.данные.!F245=$CC$3,Исходн.данные.!F245=$CC$4),"Да","Нет")</f>
        <v>Нет</v>
      </c>
      <c r="FE245" s="38" t="str">
        <f>IF(Исходн.данные.!F245=$CC$5,"Да","Нет")</f>
        <v>Нет</v>
      </c>
      <c r="FF245" s="38" t="str">
        <f>IF(OR(Исходн.данные.!F245=$CC$6,Исходн.данные.!F245=$CC$7),"Да","Нет")</f>
        <v>Нет</v>
      </c>
      <c r="FG245" s="38" t="str">
        <f>IF(OR(Исходн.данные.!F245=$CC$8,Исходн.данные.!F245=$CC$9),"Да","Нет")</f>
        <v>Нет</v>
      </c>
      <c r="FH245" s="38" t="str">
        <f>IF(Исходн.данные.!F245=$CC$10,"Да","Нет")</f>
        <v>Нет</v>
      </c>
      <c r="FI245" s="38" t="str">
        <f>IF(OR(Исходн.данные.!F245=$CC$11,Исходн.данные.!F245=$CC$12),"Да","Нет")</f>
        <v>Нет</v>
      </c>
      <c r="FJ245" s="38" t="str">
        <f>IF(OR(Исходн.данные.!AH245=$BS$1,Исходн.данные.!AH245=$BQ$11,Исходн.данные.!AH245=$BQ$12),"Да","Нет")</f>
        <v>Нет</v>
      </c>
      <c r="FK245" s="38" t="str">
        <f>IF(OR(Исходн.данные.!AH245=$BS$2,Исходн.данные.!AH245=$BS$4),"Да","Нет")</f>
        <v>Нет</v>
      </c>
      <c r="FL245" s="38" t="str">
        <f>IF(OR(Исходн.данные.!AH245=$BS$3,Исходн.данные.!AH245=$BS$5),"Да","Нет")</f>
        <v>Нет</v>
      </c>
      <c r="FM245" s="38" t="str">
        <f>IF(OR(Исходн.данные.!AH245=$BS$9,Исходн.данные.!AH245=$BS$10,Исходн.данные.!AH245=$BS$11,Исходн.данные.!AH245=$BS$12),"Да","Нет")</f>
        <v>Нет</v>
      </c>
      <c r="FN245" s="38" t="str">
        <f>IF(OR(Исходн.данные.!AH245=$BS$6,Исходн.данные.!AH245=$BP$3),"Да","Нет")</f>
        <v>Нет</v>
      </c>
      <c r="FO245" s="38" t="str">
        <f>IF(Исходн.данные.!AH245=$BQ$9,"Да","Нет")</f>
        <v>Нет</v>
      </c>
      <c r="FP245" s="38" t="str">
        <f>IF(OR(Исходн.данные.!AH245=$BS$8,Исходн.данные.!AH245=$BT$8),"Да","Нет")</f>
        <v>Нет</v>
      </c>
      <c r="FQ245" s="38" t="str">
        <f>IF(OR(Исходн.данные.!AH245=$BQ$7,Исходн.данные.!AH245=$BQ$8),"Да","Нет")</f>
        <v>Нет</v>
      </c>
      <c r="FR245" s="38" t="str">
        <f>IF(Исходн.данные.!AI245=$BU$9,"Да","Нет")</f>
        <v>Нет</v>
      </c>
      <c r="FS245" s="38" t="str">
        <f>IF(OR(Исходн.данные.!AH245=$BP$1,Исходн.данные.!AH245=$BP$2),"Да","Нет")</f>
        <v>Нет</v>
      </c>
      <c r="FT245" s="38" t="e">
        <f>IF((Исходн.данные.!K245*GO245*GS245*GW245+BL245*0.6+Исходн.данные.!Q245*4.5*0.275)&gt;90,"Да","Нет")</f>
        <v>#N/A</v>
      </c>
      <c r="FU245" s="38" t="e">
        <f>IF((Исходн.данные.!M245*GS245*GZ245+BM245*0.225)&gt;35,"Да","Нет")</f>
        <v>#N/A</v>
      </c>
      <c r="FV245" s="38" t="str">
        <f>IF(Исходн.данные.!O245&gt;175,"Да","Нет")</f>
        <v>Нет</v>
      </c>
      <c r="FW245" s="39" t="str">
        <f>IF(Исходн.данные.!I245&gt;5.5,"Да","Нет")</f>
        <v>Нет</v>
      </c>
      <c r="FX245" s="39" t="str">
        <f>IF(Исходн.данные.!J245&lt;2,"Да","Нет")</f>
        <v>Да</v>
      </c>
      <c r="FY245" s="39" t="e">
        <f>IF(HF245=$FY$16,0,Исходн.данные.!K245*GO245*GS245*GW245/HF245)</f>
        <v>#N/A</v>
      </c>
      <c r="FZ245" s="39" t="e">
        <f>Исходн.данные.!M245*GS245*GZ245/HG245</f>
        <v>#N/A</v>
      </c>
      <c r="GA245" s="39" t="e">
        <f>IF(K_Wyn=$FY$16,0,IF(Исходн.данные.!N245=Исходн.данные.!$L$10,Исходн.данные.!O245/1.1*GS245*HC245/HH245,IF(Исходн.данные.!N245=Исходн.данные.!$L$12,Исходн.данные.!O245/1.5*GS245*HC245/HH245,Исходн.данные.!O245*GS245*HC245/HH245)))</f>
        <v>#N/A</v>
      </c>
      <c r="GB245" s="39" t="e">
        <f>IF(HF245=$FY$16,0,((Исходн.данные.!Q245*N_Org+Исходн.данные.!R245*N_Sider+Исходн.данные.!S245*N_Soloma)*AO245+Расчет!BC245*VLOOKUP(Исходн.данные.!T245,Справ!$A$3:$O$57,15)*AO245+BB245*VLOOKUP(Исходн.данные.!T245,Справ!$A$3:$O$57,15)*AL245+(Исходн.данные.!V245*N_Rizotorf+Исходн.данные.!W245*N_Rizoagr))/HF245)</f>
        <v>#N/A</v>
      </c>
      <c r="GC245" s="39" t="e">
        <f>IF(HG245=$FY$16,0,((Исходн.данные.!Q245*Р_Org+Исходн.данные.!R245*P_Sider+Исходн.данные.!S245*P_Soloma)*AP245+Расчет!BC245*VLOOKUP(Исходн.данные.!T245,Справ!$A$3:$P$57,16)*AP245+BB245*VLOOKUP(Исходн.данные.!T245,Справ!$A$3:$P$57,16)*AM245)/HG245)</f>
        <v>#N/A</v>
      </c>
      <c r="GD245" s="39" t="e">
        <f>IF(HH245=$FY$16,0,((Исходн.данные.!Q245*К_Org+Исходн.данные.!R245*K_Sider+Исходн.данные.!S245*K_Soloma)*AQ245+Расчет!BC245*VLOOKUP(Исходн.данные.!T245,Справ!$A$3:$Q$57,17)*AQ245+BB245*VLOOKUP(Исходн.данные.!T245,Справ!$A$3:$Q$57,17)*AN245)/HH245)</f>
        <v>#N/A</v>
      </c>
      <c r="GE245" s="39" t="e">
        <f>IF(HF245=$FY$16,0,(Исходн.данные.!X245*AR245+Исходн.данные.!AA245*N_Org*AL245+Исходн.данные.!AB245*N_Sider*AL245+Исходн.данные.!AC245*N_Soloma*AL245)/HF245)</f>
        <v>#N/A</v>
      </c>
      <c r="GF245" s="39" t="e">
        <f>IF(HG245=$FY$16,0,(Исходн.данные.!Y245*AS245+Исходн.данные.!AA245*Р_Org*AM245+Исходн.данные.!AB245*P_Sider*AM245+Исходн.данные.!AC245*P_Soloma*AM245)/HG245)</f>
        <v>#N/A</v>
      </c>
      <c r="GG245" s="39" t="e">
        <f>IF(HH245=$FY$16,0,(Исходн.данные.!Z245*AT245+Исходн.данные.!AA245*К_Org*AN245+Исходн.данные.!AB245*K_Sider*AN245+Исходн.данные.!AC245*K_Soloma*AN245)/HH245)</f>
        <v>#N/A</v>
      </c>
      <c r="GH245" s="39" t="e">
        <f>Исходн.данные.!AD245*AU245/HF245</f>
        <v>#N/A</v>
      </c>
      <c r="GI245" s="39" t="e">
        <f>Исходн.данные.!AE245*AV245/HG245</f>
        <v>#N/A</v>
      </c>
      <c r="GJ245" s="39" t="e">
        <f>Исходн.данные.!AF245*AW245/HH245</f>
        <v>#N/A</v>
      </c>
      <c r="GK245" s="55">
        <f>Исходн.данные.!AK245</f>
        <v>0</v>
      </c>
      <c r="GL245" s="11" t="e">
        <f t="shared" si="335"/>
        <v>#N/A</v>
      </c>
      <c r="GM245" s="11" t="e">
        <f t="shared" si="336"/>
        <v>#N/A</v>
      </c>
      <c r="GN245" s="11" t="e">
        <f t="shared" si="337"/>
        <v>#N/A</v>
      </c>
      <c r="GO245" s="57">
        <f t="shared" si="338"/>
        <v>19</v>
      </c>
      <c r="GP245" s="55">
        <f>IF(OR(Исходн.данные.!F245=$CE$1,Исходн.данные.!F245=$CE$2,Исходн.данные.!F245=$CE$3,Исходн.данные.!F245=$CE$4,Исходн.данные.!F245=$CE$5),GQ245,GR245)</f>
        <v>19</v>
      </c>
      <c r="GQ245" s="55">
        <f>IF(Исходн.данные.!F245=$CE$1,28,IF(Исходн.данные.!F245=$CE$2,26,IF(Исходн.данные.!F245=$CE$3,24,IF(Исходн.данные.!F245=$CE$4,22,IF(Исходн.данные.!F245=$CE$5,20,GR245)))))</f>
        <v>19</v>
      </c>
      <c r="GR245" s="55">
        <f>IF(Исходн.данные.!F245=$CE$6,18,IF(Исходн.данные.!F245=$CE$7,16,IF(Исходн.данные.!F245=$CE$8,14,IF(Исходн.данные.!F245=$CE$9,13,IF(Исходн.данные.!F245=$CE$10,12,19)))))</f>
        <v>19</v>
      </c>
      <c r="GS245" s="55">
        <f>IF(Исходн.данные.!G245="Пес",0.035*(40+2*Исходн.данные.!H245),IF(Исходн.данные.!G245="Суп",0.0325*(40+2*Исходн.данные.!H245),0.03*(40+2*Исходн.данные.!H245)))</f>
        <v>1.2</v>
      </c>
      <c r="GT245" s="55">
        <f>IF(Исходн.данные.!H245&lt;23,2.6,IF(AND(Исходн.данные.!H245&gt;22,Исходн.данные.!H245&lt;26),3,IF(AND(Исходн.данные.!H245&gt;25,Исходн.данные.!H245&lt;29),3.4,3.6)))</f>
        <v>2.6</v>
      </c>
      <c r="GU245" s="55">
        <f>IF(Исходн.данные.!H245&lt;23,2.8,IF(AND(Исходн.данные.!H245&gt;22,Исходн.данные.!H245&lt;26),3.2,IF(AND(Исходн.данные.!H245&gt;25,Исходн.данные.!H245&lt;29),3.6,3.9)))</f>
        <v>2.8</v>
      </c>
      <c r="GV245" s="55">
        <f>IF(Исходн.данные.!H245&lt;23,3,IF(AND(Исходн.данные.!H245&gt;22,Исходн.данные.!H245&lt;26),3.5,IF(AND(Исходн.данные.!H245&gt;25,Исходн.данные.!H245&lt;29),3.9,4.2)))</f>
        <v>3</v>
      </c>
      <c r="GW245" s="55" t="e">
        <f>IF(Исходн.данные.!P245="Ум",GX245,GY245)</f>
        <v>#N/A</v>
      </c>
      <c r="GX245" s="55" t="e">
        <f>VLOOKUP(Исходн.данные.!AI245,Коэффициенты!$J$7:$L$13,2,FALSE)</f>
        <v>#N/A</v>
      </c>
      <c r="GY245" s="55" t="e">
        <f>VLOOKUP(Исходн.данные.!AI245,Коэффициенты!$J$7:$L$13,3,FALSE)</f>
        <v>#N/A</v>
      </c>
      <c r="GZ245" s="55" t="e">
        <f>(IF(Исходн.данные.!M245&lt;50,0.11*VLOOKUP(Исходн.данные.!AH245,Культуры.Информация,7,FALSE),IF(Исходн.данные.!M245&gt;250,0.05*VLOOKUP(Исходн.данные.!AH245,Культуры.Информация,7,FALSE),VLOOKUP(Исходн.данные.!AH245,Культуры.Информация,5,FALSE)/100*($GX$6+$GY$6*Исходн.данные.!M245))))*Расчет2!AI245</f>
        <v>#N/A</v>
      </c>
      <c r="HA245" s="211"/>
      <c r="HB245" s="211"/>
      <c r="HC245" s="55" t="e">
        <f>(IF(Исходн.данные.!O245&lt;80,0.2*VLOOKUP(Исходн.данные.!AH245,Культуры.Информация,8,FALSE),IF(Исходн.данные.!O245&gt;240,0.09*VLOOKUP(Исходн.данные.!AH245,Культуры.Информация,8,FALSE),VLOOKUP(Исходн.данные.!AH245,Культуры.Информация,6,FALSE)/100*($HB$6+$HC$6*Исходн.данные.!O245))))*Расчет2!AJ245</f>
        <v>#N/A</v>
      </c>
      <c r="HD245" s="55">
        <f>IF(Исходн.данные.!O245&gt;240,0.09,IF(Исходн.данные.!O245&lt;30,0.3,$HE$10+$HD$10*Исходн.данные.!O245))</f>
        <v>0.3</v>
      </c>
      <c r="HE245" s="55">
        <f>IF(Исходн.данные.!O245&gt;240,0.17,IF(Исходн.данные.!O245&lt;30,0.5,$HF$12+$HE$12*Исходн.данные.!O245))</f>
        <v>0.5</v>
      </c>
      <c r="HF245" s="55" t="e">
        <f>VLOOKUP(Исходн.данные.!AH245,Справ!$A$3:$D$58,2,FALSE)</f>
        <v>#N/A</v>
      </c>
      <c r="HG245" s="55" t="e">
        <f>VLOOKUP(Исходн.данные.!AH245,Справ!$A$3:$D$58,3,FALSE)</f>
        <v>#N/A</v>
      </c>
      <c r="HH245" s="55" t="e">
        <f>VLOOKUP(Исходн.данные.!AH245,Справ!$A$3:$D$58,4,FALSE)</f>
        <v>#N/A</v>
      </c>
      <c r="HI245" s="11" t="e">
        <f t="shared" si="339"/>
        <v>#N/A</v>
      </c>
      <c r="HJ245" s="11" t="e">
        <f t="shared" si="340"/>
        <v>#N/A</v>
      </c>
      <c r="HK245" s="11" t="e">
        <f t="shared" si="341"/>
        <v>#N/A</v>
      </c>
      <c r="HL245" s="55">
        <f>IF(OR(Исходн.данные.!G245="Глин",Исходн.данные.!G245="Т_суг"),1.1,IF(Исходн.данные.!G245="Ср_суг",1,1))</f>
        <v>1</v>
      </c>
      <c r="HM245" s="55">
        <f>IF(OR(Исходн.данные.!G245="Глин",Исходн.данные.!G245="Т_суг"),0.9,IF(Исходн.данные.!G245="Ср_суг",1,1.2))</f>
        <v>1.2</v>
      </c>
      <c r="HN245" s="11" t="e">
        <f t="shared" si="342"/>
        <v>#N/A</v>
      </c>
      <c r="HO245" s="11" t="e">
        <f t="shared" si="343"/>
        <v>#N/A</v>
      </c>
      <c r="HP245" s="11" t="e">
        <f t="shared" si="344"/>
        <v>#N/A</v>
      </c>
      <c r="HQ245" t="e">
        <f t="shared" si="345"/>
        <v>#N/A</v>
      </c>
      <c r="HR245" t="e">
        <f t="shared" si="346"/>
        <v>#N/A</v>
      </c>
      <c r="HS245" t="e">
        <f t="shared" si="347"/>
        <v>#N/A</v>
      </c>
      <c r="HT245" t="e">
        <f t="shared" si="293"/>
        <v>#N/A</v>
      </c>
      <c r="HU245" t="e">
        <f t="shared" si="294"/>
        <v>#N/A</v>
      </c>
      <c r="HV245" t="e">
        <f t="shared" si="295"/>
        <v>#N/A</v>
      </c>
      <c r="HW245" t="e">
        <f t="shared" si="296"/>
        <v>#N/A</v>
      </c>
      <c r="HX245" t="e">
        <f t="shared" si="297"/>
        <v>#N/A</v>
      </c>
      <c r="HY245" t="e">
        <f t="shared" si="298"/>
        <v>#N/A</v>
      </c>
      <c r="HZ245" s="55">
        <f>IF(OR(Исходн.данные.!AI245="Оз_Ч_П",Исходн.данные.!AI245="Оз_З_П",Исходн.данные.!AI245="Яр_зер"),12,30)</f>
        <v>30</v>
      </c>
      <c r="IA245" t="e">
        <f t="shared" si="348"/>
        <v>#N/A</v>
      </c>
      <c r="IB245" t="e">
        <f t="shared" si="349"/>
        <v>#N/A</v>
      </c>
      <c r="IC245" t="e">
        <f t="shared" si="350"/>
        <v>#N/A</v>
      </c>
      <c r="ID245" s="11" t="e">
        <f t="shared" si="351"/>
        <v>#N/A</v>
      </c>
      <c r="IE245" s="11" t="e">
        <f t="shared" si="352"/>
        <v>#N/A</v>
      </c>
      <c r="IF245" s="11" t="e">
        <f t="shared" si="353"/>
        <v>#N/A</v>
      </c>
    </row>
    <row r="246" spans="35:240" x14ac:dyDescent="0.2">
      <c r="AI246">
        <f>IF(Исходн.данные.!I246&gt;6,1,1.85-(0.148*Исходн.данные.!I246))</f>
        <v>1.85</v>
      </c>
      <c r="AJ246">
        <f>IF(Исходн.данные.!I246&gt;6,1,2.434-(0.246*Исходн.данные.!I246))</f>
        <v>2.4340000000000002</v>
      </c>
      <c r="AL246" s="148" t="b">
        <f>IF(Исходн.данные.!$P246="Ум",N_OrgUd_2g_um,IF(Исходн.данные.!$P246="Об",N_OrgUd_2g_ob))</f>
        <v>0</v>
      </c>
      <c r="AM246" s="148" t="b">
        <f>IF(Исходн.данные.!$P246="Ум",P_OrgUd_2g_um,IF(Исходн.данные.!$P246="Об",P_OrgUd_2g_ob))</f>
        <v>0</v>
      </c>
      <c r="AN246" s="148" t="b">
        <f>IF(Исходн.данные.!$P246="Ум",K_OrgUd_2g_um,IF(Исходн.данные.!$P246="Об",K_OrgUd_2g_ob))</f>
        <v>0</v>
      </c>
      <c r="AO246" s="148" t="b">
        <f>IF(Исходн.данные.!$P246="Ум",N_OrgUd_1g_um,IF(Исходн.данные.!$P246="Об",N_OrgUd_1g_ob))</f>
        <v>0</v>
      </c>
      <c r="AP246" s="148" t="b">
        <f>IF(Исходн.данные.!$P246="Ум",P_OrgUd_1g_um,IF(Исходн.данные.!$P246="Об",P_OrgUd_1g_ob))</f>
        <v>0</v>
      </c>
      <c r="AQ246" s="148" t="b">
        <f>IF(Исходн.данные.!$P246="Ум",K_OrgUd_1g_um,IF(Исходн.данные.!$P246="Об",K_OrgUd_1g_ob))</f>
        <v>0</v>
      </c>
      <c r="AR246" t="b">
        <f>IF(Исходн.данные.!$P246="Ум",N_MinUd_2g_um,IF(Исходн.данные.!$P246="Об",N_MinUd_2g_ob))</f>
        <v>0</v>
      </c>
      <c r="AS246" t="b">
        <f>IF(Исходн.данные.!$P246="Ум",P_MinUd_2g_um,IF(Исходн.данные.!$P246="Об",P_MinUd_2g_ob))</f>
        <v>0</v>
      </c>
      <c r="AT246" t="b">
        <f>IF(Исходн.данные.!$P246="Ум",K_MinUd_2g_um,IF(Исходн.данные.!$P246="Об",K_MinUd_2g_ob))</f>
        <v>0</v>
      </c>
      <c r="AU246" t="b">
        <f>IF(Исходн.данные.!$P246="Ум",N_MinUd_1g_um,IF(Исходн.данные.!$P246="Об",N_MinUd_1g_ob))</f>
        <v>0</v>
      </c>
      <c r="AV246" t="b">
        <f>IF(Исходн.данные.!P246="Ум",P_MinUd_1g_um,IF(Исходн.данные.!P246="Об",P_MinUd_1g_ob))</f>
        <v>0</v>
      </c>
      <c r="AW246" t="b">
        <f>IF(Исходн.данные.!P246="Ум",K_MinUd_1g_um,IF(Исходн.данные.!P246="Об",K_MinUd_1g_ob))</f>
        <v>0</v>
      </c>
      <c r="AY246" t="e">
        <f>VLOOKUP(Исходн.данные.!T246,Справ!$A$3:$N$57,12)</f>
        <v>#N/A</v>
      </c>
      <c r="AZ246" t="e">
        <f>VLOOKUP(Исходн.данные.!T246,Справ!$A$3:$N$57,13)</f>
        <v>#N/A</v>
      </c>
      <c r="BA246" t="e">
        <f>VLOOKUP(Исходн.данные.!T246,Справ!$A$3:$N$57,14)</f>
        <v>#N/A</v>
      </c>
      <c r="BB246">
        <f>IF(Исходн.данные.!AH246=0,0,25)</f>
        <v>0</v>
      </c>
      <c r="BC246" s="141">
        <f>IF(Исходн.данные.!AH246=0,0,IF(Исходн.данные.!T246=0,25,BD246))</f>
        <v>0</v>
      </c>
      <c r="BD246" s="168" t="e">
        <f>AY246+AZ246*Исходн.данные.!U246-POWER(BA246,2)*Исходн.данные.!U246</f>
        <v>#N/A</v>
      </c>
      <c r="BE24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6" s="25">
        <f>IF(Исходн.данные.!AH246=0,0,MIN(HN246:HP246))</f>
        <v>0</v>
      </c>
      <c r="BG246" s="9">
        <f>IF(Исходн.данные.!AH246=0,0,IF((HO246+10*0.25/HG246/HL246)&lt;17,17,HO246+10*0.25/HG246/HL246))</f>
        <v>0</v>
      </c>
      <c r="BH246" s="181">
        <f>IF(Исходн.данные.!AH246=0,0,HW246*HF246*HL246/AU246*AI246+Исходн.данные.!S246*10)</f>
        <v>0</v>
      </c>
      <c r="BI246" s="10"/>
      <c r="BJ246" s="182">
        <f>IF(Исходн.данные.!AH246=0,0,IF(HX246*HG246*HL246/AV246&lt;0,0,HX246*HG246*HL246/AV246*AJ246))</f>
        <v>0</v>
      </c>
      <c r="BK246" s="182">
        <f>IF(Исходн.данные.!AH246=0,0,HY246*HH246*HM246/AW246)</f>
        <v>0</v>
      </c>
      <c r="BL246" s="10">
        <f>IF(OR(Исходн.данные.!$AH246=$BP$1,Исходн.данные.!$AH246=$BP$2),0,IF(BH246&lt;0,0,IF(OR(Исходн.данные.!T246=Расчет!$BP$1,Исходн.данные.!T246=Расчет!$BP$2,Исходн.данные.!T246=Расчет!$BT$5,Исходн.данные.!T246=Расчет!$BT$6),BH246*0.5,IF(OR(Исходн.данные.!T246=Расчет!$BS$9,Исходн.данные.!T246=Расчет!$BS$10,Исходн.данные.!T246=Расчет!$BS$11,Исходн.данные.!T246=Расчет!$BS$12,Исходн.данные.!T246=Расчет!$BP$5),BH246*0.8,BH246))))</f>
        <v>0</v>
      </c>
      <c r="BM246" s="10">
        <f>IF(OR(Исходн.данные.!$AH246=$BP$1,Исходн.данные.!$AH246=$BP$2),0,IF(BJ246&lt;0,0,IF(Исходн.данные.!I246&lt;4.5,BJ246*1.2,IF(Исходн.данные.!I246&gt;5.1,BJ246,BJ246*((5.1-Исходн.данные.!I246)*0.333+1)))))</f>
        <v>0</v>
      </c>
      <c r="BN246" s="10">
        <f>IF(OR(Исходн.данные.!$AH246=$BP$1,Исходн.данные.!$AH246=$BP$2),60-Исходн.данные.!AF246,IF(BK246&lt;0,0,IF(Исходн.данные.!I246&lt;4.5,BK246*1.2,IF(Исходн.данные.!I246&gt;5.1,BK246,BK246*((5.1-Исходн.данные.!I246)*0.333+1)))))</f>
        <v>0</v>
      </c>
      <c r="BO246" s="9">
        <f>IF(BL246&lt;0,0,BL246*Исходн.данные.!$AJ246/1000)</f>
        <v>0</v>
      </c>
      <c r="BP246" s="9">
        <f>IF(BM246&lt;0,0,BM246*Исходн.данные.!$AJ246/1000)</f>
        <v>0</v>
      </c>
      <c r="BQ246" s="9">
        <f>IF(BN246&lt;0,0,BN246*Исходн.данные.!$AJ246/1000)</f>
        <v>0</v>
      </c>
      <c r="BR246" s="9">
        <f t="shared" si="303"/>
        <v>0</v>
      </c>
      <c r="BS246" s="10" t="str">
        <f t="shared" si="304"/>
        <v>Аммофос 12:52:00</v>
      </c>
      <c r="BT246" s="10" t="str">
        <f t="shared" si="305"/>
        <v>Аммофос 12:52:00</v>
      </c>
      <c r="BU246" s="10" t="str">
        <f t="shared" si="306"/>
        <v>Диаммофоска</v>
      </c>
      <c r="BV246" s="10">
        <f t="shared" si="307"/>
        <v>0</v>
      </c>
      <c r="BW246" s="10"/>
      <c r="BX246" s="10"/>
      <c r="BY246" s="9">
        <f>IF(BL246&lt;0,0,IF(OR(Исходн.данные.!AI246=Расчет!$BU$6,Исходн.данные.!AI246=Расчет!$BU$7),Расчет!BV246,IF(Исходн.данные.!$AG246=$BV$11,BL246,IF(OR(Исходн.данные.!$AH246=$BQ$7,Исходн.данные.!$AH246=$BQ$8),CB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0,IF(Исходн.данные.!$AI246=$BU$11,"Нет",IF(BL246&gt;30,30,BL246)))))))</f>
        <v>0</v>
      </c>
      <c r="BZ246" s="9">
        <f>IF(AND(Исходн.данные.!$AG246=$BV$11,BM246&lt;10),10,IF(Исходн.данные.!$AG246=$BV$11,BM246,IF(OR(Исходн.данные.!$AH246=$BQ$7,Исходн.данные.!$AH246=$BQ$8),CC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10,IF(Исходн.данные.!$AI246=$BU$11,"Нет",IF(BM246&gt;60,60,IF(BM246&lt;10,10,BM246)))))))</f>
        <v>10</v>
      </c>
      <c r="CA246" s="39">
        <f>IF(BN246&lt;0,0,IF(Исходн.данные.!$AG246=$BV$11,BN246,IF(OR(Исходн.данные.!$AH246=$BQ$7,Исходн.данные.!$AH246=$BQ$8),CD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0,IF(Исходн.данные.!$AI246=$BU$11,"Нет",IF(BN246&gt;30,30,BN246))))))</f>
        <v>0</v>
      </c>
      <c r="CB246" s="9">
        <f t="shared" si="308"/>
        <v>0</v>
      </c>
      <c r="CC246" s="9">
        <f t="shared" si="309"/>
        <v>0</v>
      </c>
      <c r="CD246" s="9">
        <f t="shared" si="310"/>
        <v>0</v>
      </c>
      <c r="CE246" s="12">
        <f t="shared" si="311"/>
        <v>10</v>
      </c>
      <c r="CF246" s="9">
        <f t="shared" si="312"/>
        <v>0</v>
      </c>
      <c r="CG246" s="9" t="s">
        <v>231</v>
      </c>
      <c r="CH246" s="132" t="str">
        <f>IF(Исходн.данные.!AP246=Расчет!$CI$16,"Нет",IF(Исходн.данные.!AL246&gt;0,Исходн.данные.!AL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BH$4,IF(OR(Исходн.данные.!AI246=Исходн.данные.!$AI$6,Исходн.данные.!AI246=Исходн.данные.!$AI$7),Расчет!BS246,IF(AND($CF246=0,$CE246&gt;0),EV246,ER246)))))</f>
        <v>Аммофос 12:52:00</v>
      </c>
      <c r="CI246" s="274">
        <f>IF(Расчет!$CH246="Нет","Нет",IF(Исходн.данные.!$AL246&gt;0,VLOOKUP(Расчет!$CH246,АшламаДВ_Irekle,2,FALSE),VLOOKUP(Расчет!$CH246,АшламаДВ_Gomumy,2,FALSE)))</f>
        <v>0.12</v>
      </c>
      <c r="CJ246" s="274">
        <f>IF(Расчет!$CH246="Нет","Нет",IF(Исходн.данные.!$AL246&gt;0,VLOOKUP(Расчет!$CH246,АшламаДВ_Irekle,3,FALSE),VLOOKUP(Расчет!$CH246,АшламаДВ_Gomumy,3,FALSE)))</f>
        <v>0.52</v>
      </c>
      <c r="CK246" s="274">
        <f>IF(Расчет!$CH246="Нет","Нет",IF(Исходн.данные.!$AL246&gt;0,VLOOKUP(Расчет!$CH246,АшламаДВ_Irekle,4,FALSE),VLOOKUP(Расчет!$CH246,АшламаДВ_Gomumy,4,FALSE)))</f>
        <v>0</v>
      </c>
      <c r="CL246" s="70"/>
      <c r="CM246" s="70"/>
      <c r="CN246" s="70"/>
      <c r="CO246" s="70"/>
      <c r="CP246" s="70"/>
      <c r="CQ246" s="70"/>
      <c r="CR246" s="10">
        <f t="shared" si="313"/>
        <v>0</v>
      </c>
      <c r="CS246" s="10">
        <f t="shared" si="314"/>
        <v>19.23076923076923</v>
      </c>
      <c r="CT246" s="10">
        <f t="shared" si="315"/>
        <v>0</v>
      </c>
      <c r="CU246" s="39">
        <f>IF($CH246="Нет",0,IF(CI246=0,30/MIN(CJ246:CK246),IF(Исходн.данные.!$AG246=$BV$11,CR246,IF(OR(Исходн.данные.!$AH246=$BQ$7,Исходн.данные.!$AH246=$BQ$8),90/CI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0,IF(Исходн.данные.!$AI246=$BU$11,"Нет",30/CI246))))))</f>
        <v>250</v>
      </c>
      <c r="CV246" s="39">
        <f>IF($CH246="Нет",0,IF(Исходн.данные.!AH246=0,0,IF(CJ246=0,60/MIN(CI246,CK246),IF(Исходн.данные.!$AG246=$BV$11,CS246,IF(OR(Исходн.данные.!$AH246=$BQ$7,Исходн.данные.!$AH246=$BQ$8),90/CJ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10/CJ246,IF(Исходн.данные.!$AI246=$BU$11,"Нет",60/CJ246)))))))</f>
        <v>0</v>
      </c>
      <c r="CW246" s="39">
        <f>IF($CH246="Нет",0,IF(Исходн.данные.!AH246=0,0,IF(CK246=0,30/MIN(CI246:CJ246),IF(Исходн.данные.!$AG246=$BV$11,CT246,IF(OR(Исходн.данные.!$AH246=$BQ$7,Исходн.данные.!$AH246=$BQ$8),90/CK246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0,IF(Исходн.данные.!$AI246=$BU$11,"Нет",30/CK246)))))))</f>
        <v>0</v>
      </c>
      <c r="CX246" s="133">
        <f>IF(Исходн.данные.!$AG246=$BV$11,MAX(CU246:CW246),IF(OR(Исходн.данные.!$AH246=$BS$8,Исходн.данные.!$AH246=$BQ$9,Исходн.данные.!$AH246=$BQ$10,Исходн.данные.!$AH246=$BQ$11,Исходн.данные.!$AH246=$BQ$12,Исходн.данные.!$AH246=$BP$3,Исходн.данные.!$AH246=$BT$8,$FM246="Да"),CV246,MIN(CU246:CW246)))</f>
        <v>0</v>
      </c>
      <c r="CY246" s="133">
        <f>IF(Исходн.данные.!AH246=0,0,IF(CR246&gt;$CX246,$CX246,CR246))</f>
        <v>0</v>
      </c>
      <c r="CZ246" s="133">
        <f>IF(Исходн.данные.!AH246=0,0,IF(CS246&gt;$CX246,$CX246,CS246))</f>
        <v>0</v>
      </c>
      <c r="DA246" s="133">
        <f>IF(Исходн.данные.!AH246=0,0,IF(CT246&gt;$CX246,$CX246,CT246))</f>
        <v>0</v>
      </c>
      <c r="DB246" s="10">
        <f t="shared" si="316"/>
        <v>0</v>
      </c>
      <c r="DC246" s="39">
        <f>DB246*Исходн.данные.!AJ246/1000</f>
        <v>0</v>
      </c>
      <c r="DD246" s="71">
        <f t="shared" si="317"/>
        <v>0</v>
      </c>
      <c r="DE246" s="9">
        <f t="shared" si="318"/>
        <v>0</v>
      </c>
      <c r="DF246" s="9">
        <f t="shared" si="319"/>
        <v>0</v>
      </c>
      <c r="DG246" s="39">
        <f>IF(BL246&lt;0,0,IF($CH246="Нет",BL246,IF(OR(Исходн.данные.!$AH246=$BP$1,Исходн.данные.!$AH246=$BP$2),0,IF(Исходн.данные.!AI246=$BU$11,BL246,IF(BL246-DD246&lt;0,0,BL246-DD246)))))</f>
        <v>0</v>
      </c>
      <c r="DH246" s="39">
        <f>IF(BM246&lt;0,0,IF($CH246="Нет",BM246,IF(OR(Исходн.данные.!$AH246=$BP$1,Исходн.данные.!$AH246=$BP$2),0,IF(Исходн.данные.!AJ246=$BU$11,BM246,IF(BM246-DE246&lt;0,0,BM246-DE246)))))</f>
        <v>0</v>
      </c>
      <c r="DI246" s="39">
        <f>IF(BN246&lt;0,0,IF($CH246="Нет",BN246,IF(OR(Исходн.данные.!$AH246=$BP$1,Исходн.данные.!$AH246=$BP$2),0,IF(Исходн.данные.!AK246=$BU$11,BN246,IF(BN246-DF246&lt;0,0,BN246-DF246)))))</f>
        <v>0</v>
      </c>
      <c r="DJ246" s="12">
        <f t="shared" si="320"/>
        <v>0</v>
      </c>
      <c r="DK246" s="9">
        <f t="shared" si="321"/>
        <v>0</v>
      </c>
      <c r="DL246" s="39">
        <f>IF(Исходн.данные.!AM246&gt;0,Исходн.данные.!AM246,IF(EG246&gt;0,$BH$10,0))</f>
        <v>0</v>
      </c>
      <c r="DM246" s="186">
        <f>IF($DL246=0,0,IF(Исходн.данные.!AM246&gt;0,VLOOKUP($DL246,АшламаДВ_Irekle,2,FALSE),VLOOKUP($DL246,АшламаДВ_Gomumy,2,FALSE)))</f>
        <v>0</v>
      </c>
      <c r="DN246" s="10">
        <f t="shared" si="299"/>
        <v>0</v>
      </c>
      <c r="DO246" s="9" t="str">
        <f>IF(Исходн.данные.!AN246&gt;0,Исходн.данные.!AN246,Удобрения!$B$37 )</f>
        <v>Хлор.калий</v>
      </c>
      <c r="DP246" s="9">
        <f>IF(Исходн.данные.!AN246&gt;0,VLOOKUP(Исходн.данные.!AN246,АшламаДВ_Irekle,4,FALSE),VLOOKUP(DO246,АшламаДВ_Gomumy,4,FALSE))</f>
        <v>0.6</v>
      </c>
      <c r="DQ246" s="10">
        <f t="shared" si="300"/>
        <v>0</v>
      </c>
      <c r="DR246" s="132" t="str">
        <f>IF(Исходн.данные.!AO246&gt;0,Исходн.данные.!AO246,IF(DH246=0,BS$17,IF(AND($DK246=0,$DJ246&gt;0),EJ246,EN246)))</f>
        <v>Нет</v>
      </c>
      <c r="DS246" s="70" t="str">
        <f>IF($DR246="Нет","Нет",IF(Исходн.данные.!$AO246&gt;0,VLOOKUP($DR246,АшламаДВ_Irekle,2,FALSE),VLOOKUP($DR246,АшламаДВ_Gomumy,2,FALSE)))</f>
        <v>Нет</v>
      </c>
      <c r="DT246" s="70" t="str">
        <f>IF($DR246="Нет","Нет",IF(Исходн.данные.!$AO246&gt;0,VLOOKUP($DR246,АшламаДВ_Irekle,3,FALSE),VLOOKUP($DR246,АшламаДВ_Gomumy,3,FALSE)))</f>
        <v>Нет</v>
      </c>
      <c r="DU246" s="70" t="str">
        <f>IF($DR246="Нет","Нет",IF(Исходн.данные.!$AO246&gt;0,VLOOKUP($DR246,АшламаДВ_Irekle,4,FALSE),VLOOKUP($DR246,АшламаДВ_Gomumy,4,FALSE)))</f>
        <v>Нет</v>
      </c>
      <c r="DV246" s="70"/>
      <c r="DW246" s="70"/>
      <c r="DX246" s="70"/>
      <c r="DY246" s="10">
        <f t="shared" si="322"/>
        <v>0</v>
      </c>
      <c r="DZ246" s="10">
        <f t="shared" si="323"/>
        <v>0</v>
      </c>
      <c r="EA246" s="10">
        <f t="shared" si="324"/>
        <v>0</v>
      </c>
      <c r="EB246" s="10">
        <f t="shared" si="325"/>
        <v>0</v>
      </c>
      <c r="EC246" s="10">
        <f t="shared" si="326"/>
        <v>0</v>
      </c>
      <c r="ED246" s="10">
        <f t="shared" si="327"/>
        <v>0</v>
      </c>
      <c r="EE246" s="10">
        <f t="shared" si="328"/>
        <v>0</v>
      </c>
      <c r="EF246" s="39">
        <f>EB246*Исходн.данные.!AJ246/1000</f>
        <v>0</v>
      </c>
      <c r="EG246" s="9">
        <f t="shared" si="329"/>
        <v>0</v>
      </c>
      <c r="EH246" s="9">
        <f t="shared" si="330"/>
        <v>0</v>
      </c>
      <c r="EI246" s="39" t="e">
        <f t="shared" si="280"/>
        <v>#DIV/0!</v>
      </c>
      <c r="EJ246" s="9" t="str">
        <f t="shared" si="301"/>
        <v>Азопреципитат</v>
      </c>
      <c r="EK246" s="12">
        <f t="shared" si="281"/>
        <v>0.26</v>
      </c>
      <c r="EL246" s="12">
        <f t="shared" si="282"/>
        <v>0.13</v>
      </c>
      <c r="EM246" s="12">
        <f t="shared" si="283"/>
        <v>0</v>
      </c>
      <c r="EN246" s="12" t="str">
        <f t="shared" si="302"/>
        <v>Нет</v>
      </c>
      <c r="EO246" s="12">
        <f t="shared" si="284"/>
        <v>0</v>
      </c>
      <c r="EP246" s="12">
        <f t="shared" si="285"/>
        <v>0</v>
      </c>
      <c r="EQ246" s="12">
        <f t="shared" si="286"/>
        <v>0</v>
      </c>
      <c r="ER246" s="12" t="str">
        <f t="shared" si="331"/>
        <v>Диаммофоска</v>
      </c>
      <c r="ES246" s="12">
        <f t="shared" si="287"/>
        <v>0.1</v>
      </c>
      <c r="ET246" s="12">
        <f t="shared" si="288"/>
        <v>0.26</v>
      </c>
      <c r="EU246" s="12">
        <f t="shared" si="289"/>
        <v>0.26</v>
      </c>
      <c r="EV246" s="12" t="str">
        <f t="shared" si="332"/>
        <v>Аммофос 12:52:00</v>
      </c>
      <c r="EW246" s="12" t="str">
        <f t="shared" si="333"/>
        <v>Кемира Свекловичное-6</v>
      </c>
      <c r="EX246" s="12">
        <f t="shared" si="290"/>
        <v>0.16</v>
      </c>
      <c r="EY246" s="12">
        <f t="shared" si="291"/>
        <v>0.12</v>
      </c>
      <c r="EZ246" s="12">
        <f t="shared" si="292"/>
        <v>0.17</v>
      </c>
      <c r="FA246" s="38" t="e">
        <f>IF(AND(OR(FJ246=$FD$1,FM246=$FD$1,FO246=$FD$1,FQ246=$FD$1,FS246=$FD$1),FD246=$FD$1,Исходн.данные.!J246&lt;2,FU246=$FD$1),"Бор,Кобальт",IF(AND(FO246=$FD$1,FH246=$FD$1,Исходн.данные.!J246&lt;2,FU246=$FD$1),"Бор,Кобальт",IF(AND(OR(FJ246=$FD$1,FM246=$FD$1,FQ246=$FD$1),FE246=$FD$1,Исходн.данные.!J246&lt;2,FT246=$FD$1,FU246=$FD$1),"Бор,Медь,Цинк",IF(AND(OR(FJ246=$FD$1,FR246="Да"),FI246="Да",Исходн.данные.!J246&lt;2,FT246="Да",FU246="Да"),"Бор,Цинк,Медь",IF(AND(OR(FM246="Да",FQ246="Да"),FI246="Да",Исходн.данные.!J246&lt;2,FT246="Да",FU246="Да"),"Бор,Цинк",IF(AND(FN246="Да",OR(FD246="Да",FE246="Да")),"Бор",FB246))))))</f>
        <v>#N/A</v>
      </c>
      <c r="FB246" s="134" t="e">
        <f>IF(AND(OR(FD246="Да",FE246="Да",FF246="Да",FG246="Да",FH246="Да"),FO246="Да"),"Бор",IF(AND(FP246="Да",OR(FD246="Да",FE246="Да",FI246="Да")),"Бор",IF(AND(FS246="Да",FE246="Да"),"Бор,Медь",IF(AND(OR(FJ246="Да",FK246="Да",FL246="Да"),FE246="Да",Исходн.данные.!I246&lt;5,FT246="Да",FU246="Да"),"Молибден,Цинк",IF(AND(FM246="Да",OR(FE246="Да",FF246="Да",FG246="Да",FH246="Да",FI246="Да")),"Молибден,Цинк",IF(AND(OR(FJ246="Да",FK246="Да",FL246="Да",FM246="Да",FQ246="Да"),OR(FE246="Да",FF246="Да"),FT246="Да",FU246="Да",Исходн.данные.!I246&gt;5.5),"Медь,Цинк",FC246))))))</f>
        <v>#N/A</v>
      </c>
      <c r="FC246" s="23" t="e">
        <f t="shared" si="334"/>
        <v>#N/A</v>
      </c>
      <c r="FD246" s="38" t="str">
        <f>IF(OR(Исходн.данные.!F246=$CC$1,Исходн.данные.!F246=$CC$2,Исходн.данные.!F246=$CC$3,Исходн.данные.!F246=$CC$4),"Да","Нет")</f>
        <v>Нет</v>
      </c>
      <c r="FE246" s="38" t="str">
        <f>IF(Исходн.данные.!F246=$CC$5,"Да","Нет")</f>
        <v>Нет</v>
      </c>
      <c r="FF246" s="38" t="str">
        <f>IF(OR(Исходн.данные.!F246=$CC$6,Исходн.данные.!F246=$CC$7),"Да","Нет")</f>
        <v>Нет</v>
      </c>
      <c r="FG246" s="38" t="str">
        <f>IF(OR(Исходн.данные.!F246=$CC$8,Исходн.данные.!F246=$CC$9),"Да","Нет")</f>
        <v>Нет</v>
      </c>
      <c r="FH246" s="38" t="str">
        <f>IF(Исходн.данные.!F246=$CC$10,"Да","Нет")</f>
        <v>Нет</v>
      </c>
      <c r="FI246" s="38" t="str">
        <f>IF(OR(Исходн.данные.!F246=$CC$11,Исходн.данные.!F246=$CC$12),"Да","Нет")</f>
        <v>Нет</v>
      </c>
      <c r="FJ246" s="38" t="str">
        <f>IF(OR(Исходн.данные.!AH246=$BS$1,Исходн.данные.!AH246=$BQ$11,Исходн.данные.!AH246=$BQ$12),"Да","Нет")</f>
        <v>Нет</v>
      </c>
      <c r="FK246" s="38" t="str">
        <f>IF(OR(Исходн.данные.!AH246=$BS$2,Исходн.данные.!AH246=$BS$4),"Да","Нет")</f>
        <v>Нет</v>
      </c>
      <c r="FL246" s="38" t="str">
        <f>IF(OR(Исходн.данные.!AH246=$BS$3,Исходн.данные.!AH246=$BS$5),"Да","Нет")</f>
        <v>Нет</v>
      </c>
      <c r="FM246" s="38" t="str">
        <f>IF(OR(Исходн.данные.!AH246=$BS$9,Исходн.данные.!AH246=$BS$10,Исходн.данные.!AH246=$BS$11,Исходн.данные.!AH246=$BS$12),"Да","Нет")</f>
        <v>Нет</v>
      </c>
      <c r="FN246" s="38" t="str">
        <f>IF(OR(Исходн.данные.!AH246=$BS$6,Исходн.данные.!AH246=$BP$3),"Да","Нет")</f>
        <v>Нет</v>
      </c>
      <c r="FO246" s="38" t="str">
        <f>IF(Исходн.данные.!AH246=$BQ$9,"Да","Нет")</f>
        <v>Нет</v>
      </c>
      <c r="FP246" s="38" t="str">
        <f>IF(OR(Исходн.данные.!AH246=$BS$8,Исходн.данные.!AH246=$BT$8),"Да","Нет")</f>
        <v>Нет</v>
      </c>
      <c r="FQ246" s="38" t="str">
        <f>IF(OR(Исходн.данные.!AH246=$BQ$7,Исходн.данные.!AH246=$BQ$8),"Да","Нет")</f>
        <v>Нет</v>
      </c>
      <c r="FR246" s="38" t="str">
        <f>IF(Исходн.данные.!AI246=$BU$9,"Да","Нет")</f>
        <v>Нет</v>
      </c>
      <c r="FS246" s="38" t="str">
        <f>IF(OR(Исходн.данные.!AH246=$BP$1,Исходн.данные.!AH246=$BP$2),"Да","Нет")</f>
        <v>Нет</v>
      </c>
      <c r="FT246" s="38" t="e">
        <f>IF((Исходн.данные.!K246*GO246*GS246*GW246+BL246*0.6+Исходн.данные.!Q246*4.5*0.275)&gt;90,"Да","Нет")</f>
        <v>#N/A</v>
      </c>
      <c r="FU246" s="38" t="e">
        <f>IF((Исходн.данные.!M246*GS246*GZ246+BM246*0.225)&gt;35,"Да","Нет")</f>
        <v>#N/A</v>
      </c>
      <c r="FV246" s="38" t="str">
        <f>IF(Исходн.данные.!O246&gt;175,"Да","Нет")</f>
        <v>Нет</v>
      </c>
      <c r="FW246" s="39" t="str">
        <f>IF(Исходн.данные.!I246&gt;5.5,"Да","Нет")</f>
        <v>Нет</v>
      </c>
      <c r="FX246" s="39" t="str">
        <f>IF(Исходн.данные.!J246&lt;2,"Да","Нет")</f>
        <v>Да</v>
      </c>
      <c r="FY246" s="39" t="e">
        <f>IF(HF246=$FY$16,0,Исходн.данные.!K246*GO246*GS246*GW246/HF246)</f>
        <v>#N/A</v>
      </c>
      <c r="FZ246" s="39" t="e">
        <f>Исходн.данные.!M246*GS246*GZ246/HG246</f>
        <v>#N/A</v>
      </c>
      <c r="GA246" s="39" t="e">
        <f>IF(K_Wyn=$FY$16,0,IF(Исходн.данные.!N246=Исходн.данные.!$L$10,Исходн.данные.!O246/1.1*GS246*HC246/HH246,IF(Исходн.данные.!N246=Исходн.данные.!$L$12,Исходн.данные.!O246/1.5*GS246*HC246/HH246,Исходн.данные.!O246*GS246*HC246/HH246)))</f>
        <v>#N/A</v>
      </c>
      <c r="GB246" s="39" t="e">
        <f>IF(HF246=$FY$16,0,((Исходн.данные.!Q246*N_Org+Исходн.данные.!R246*N_Sider+Исходн.данные.!S246*N_Soloma)*AO246+Расчет!BC246*VLOOKUP(Исходн.данные.!T246,Справ!$A$3:$O$57,15)*AO246+BB246*VLOOKUP(Исходн.данные.!T246,Справ!$A$3:$O$57,15)*AL246+(Исходн.данные.!V246*N_Rizotorf+Исходн.данные.!W246*N_Rizoagr))/HF246)</f>
        <v>#N/A</v>
      </c>
      <c r="GC246" s="39" t="e">
        <f>IF(HG246=$FY$16,0,((Исходн.данные.!Q246*Р_Org+Исходн.данные.!R246*P_Sider+Исходн.данные.!S246*P_Soloma)*AP246+Расчет!BC246*VLOOKUP(Исходн.данные.!T246,Справ!$A$3:$P$57,16)*AP246+BB246*VLOOKUP(Исходн.данные.!T246,Справ!$A$3:$P$57,16)*AM246)/HG246)</f>
        <v>#N/A</v>
      </c>
      <c r="GD246" s="39" t="e">
        <f>IF(HH246=$FY$16,0,((Исходн.данные.!Q246*К_Org+Исходн.данные.!R246*K_Sider+Исходн.данные.!S246*K_Soloma)*AQ246+Расчет!BC246*VLOOKUP(Исходн.данные.!T246,Справ!$A$3:$Q$57,17)*AQ246+BB246*VLOOKUP(Исходн.данные.!T246,Справ!$A$3:$Q$57,17)*AN246)/HH246)</f>
        <v>#N/A</v>
      </c>
      <c r="GE246" s="39" t="e">
        <f>IF(HF246=$FY$16,0,(Исходн.данные.!X246*AR246+Исходн.данные.!AA246*N_Org*AL246+Исходн.данные.!AB246*N_Sider*AL246+Исходн.данные.!AC246*N_Soloma*AL246)/HF246)</f>
        <v>#N/A</v>
      </c>
      <c r="GF246" s="39" t="e">
        <f>IF(HG246=$FY$16,0,(Исходн.данные.!Y246*AS246+Исходн.данные.!AA246*Р_Org*AM246+Исходн.данные.!AB246*P_Sider*AM246+Исходн.данные.!AC246*P_Soloma*AM246)/HG246)</f>
        <v>#N/A</v>
      </c>
      <c r="GG246" s="39" t="e">
        <f>IF(HH246=$FY$16,0,(Исходн.данные.!Z246*AT246+Исходн.данные.!AA246*К_Org*AN246+Исходн.данные.!AB246*K_Sider*AN246+Исходн.данные.!AC246*K_Soloma*AN246)/HH246)</f>
        <v>#N/A</v>
      </c>
      <c r="GH246" s="39" t="e">
        <f>Исходн.данные.!AD246*AU246/HF246</f>
        <v>#N/A</v>
      </c>
      <c r="GI246" s="39" t="e">
        <f>Исходн.данные.!AE246*AV246/HG246</f>
        <v>#N/A</v>
      </c>
      <c r="GJ246" s="39" t="e">
        <f>Исходн.данные.!AF246*AW246/HH246</f>
        <v>#N/A</v>
      </c>
      <c r="GK246" s="55">
        <f>Исходн.данные.!AK246</f>
        <v>0</v>
      </c>
      <c r="GL246" s="11" t="e">
        <f t="shared" si="335"/>
        <v>#N/A</v>
      </c>
      <c r="GM246" s="11" t="e">
        <f t="shared" si="336"/>
        <v>#N/A</v>
      </c>
      <c r="GN246" s="11" t="e">
        <f t="shared" si="337"/>
        <v>#N/A</v>
      </c>
      <c r="GO246" s="57">
        <f t="shared" si="338"/>
        <v>19</v>
      </c>
      <c r="GP246" s="55">
        <f>IF(OR(Исходн.данные.!F246=$CE$1,Исходн.данные.!F246=$CE$2,Исходн.данные.!F246=$CE$3,Исходн.данные.!F246=$CE$4,Исходн.данные.!F246=$CE$5),GQ246,GR246)</f>
        <v>19</v>
      </c>
      <c r="GQ246" s="55">
        <f>IF(Исходн.данные.!F246=$CE$1,28,IF(Исходн.данные.!F246=$CE$2,26,IF(Исходн.данные.!F246=$CE$3,24,IF(Исходн.данные.!F246=$CE$4,22,IF(Исходн.данные.!F246=$CE$5,20,GR246)))))</f>
        <v>19</v>
      </c>
      <c r="GR246" s="55">
        <f>IF(Исходн.данные.!F246=$CE$6,18,IF(Исходн.данные.!F246=$CE$7,16,IF(Исходн.данные.!F246=$CE$8,14,IF(Исходн.данные.!F246=$CE$9,13,IF(Исходн.данные.!F246=$CE$10,12,19)))))</f>
        <v>19</v>
      </c>
      <c r="GS246" s="55">
        <f>IF(Исходн.данные.!G246="Пес",0.035*(40+2*Исходн.данные.!H246),IF(Исходн.данные.!G246="Суп",0.0325*(40+2*Исходн.данные.!H246),0.03*(40+2*Исходн.данные.!H246)))</f>
        <v>1.2</v>
      </c>
      <c r="GT246" s="55">
        <f>IF(Исходн.данные.!H246&lt;23,2.6,IF(AND(Исходн.данные.!H246&gt;22,Исходн.данные.!H246&lt;26),3,IF(AND(Исходн.данные.!H246&gt;25,Исходн.данные.!H246&lt;29),3.4,3.6)))</f>
        <v>2.6</v>
      </c>
      <c r="GU246" s="55">
        <f>IF(Исходн.данные.!H246&lt;23,2.8,IF(AND(Исходн.данные.!H246&gt;22,Исходн.данные.!H246&lt;26),3.2,IF(AND(Исходн.данные.!H246&gt;25,Исходн.данные.!H246&lt;29),3.6,3.9)))</f>
        <v>2.8</v>
      </c>
      <c r="GV246" s="55">
        <f>IF(Исходн.данные.!H246&lt;23,3,IF(AND(Исходн.данные.!H246&gt;22,Исходн.данные.!H246&lt;26),3.5,IF(AND(Исходн.данные.!H246&gt;25,Исходн.данные.!H246&lt;29),3.9,4.2)))</f>
        <v>3</v>
      </c>
      <c r="GW246" s="55" t="e">
        <f>IF(Исходн.данные.!P246="Ум",GX246,GY246)</f>
        <v>#N/A</v>
      </c>
      <c r="GX246" s="55" t="e">
        <f>VLOOKUP(Исходн.данные.!AI246,Коэффициенты!$J$7:$L$13,2,FALSE)</f>
        <v>#N/A</v>
      </c>
      <c r="GY246" s="55" t="e">
        <f>VLOOKUP(Исходн.данные.!AI246,Коэффициенты!$J$7:$L$13,3,FALSE)</f>
        <v>#N/A</v>
      </c>
      <c r="GZ246" s="55" t="e">
        <f>(IF(Исходн.данные.!M246&lt;50,0.11*VLOOKUP(Исходн.данные.!AH246,Культуры.Информация,7,FALSE),IF(Исходн.данные.!M246&gt;250,0.05*VLOOKUP(Исходн.данные.!AH246,Культуры.Информация,7,FALSE),VLOOKUP(Исходн.данные.!AH246,Культуры.Информация,5,FALSE)/100*($GX$6+$GY$6*Исходн.данные.!M246))))*Расчет2!AI246</f>
        <v>#N/A</v>
      </c>
      <c r="HA246" s="211"/>
      <c r="HB246" s="211"/>
      <c r="HC246" s="55" t="e">
        <f>(IF(Исходн.данные.!O246&lt;80,0.2*VLOOKUP(Исходн.данные.!AH246,Культуры.Информация,8,FALSE),IF(Исходн.данные.!O246&gt;240,0.09*VLOOKUP(Исходн.данные.!AH246,Культуры.Информация,8,FALSE),VLOOKUP(Исходн.данные.!AH246,Культуры.Информация,6,FALSE)/100*($HB$6+$HC$6*Исходн.данные.!O246))))*Расчет2!AJ246</f>
        <v>#N/A</v>
      </c>
      <c r="HD246" s="55">
        <f>IF(Исходн.данные.!O246&gt;240,0.09,IF(Исходн.данные.!O246&lt;30,0.3,$HE$10+$HD$10*Исходн.данные.!O246))</f>
        <v>0.3</v>
      </c>
      <c r="HE246" s="55">
        <f>IF(Исходн.данные.!O246&gt;240,0.17,IF(Исходн.данные.!O246&lt;30,0.5,$HF$12+$HE$12*Исходн.данные.!O246))</f>
        <v>0.5</v>
      </c>
      <c r="HF246" s="55" t="e">
        <f>VLOOKUP(Исходн.данные.!AH246,Справ!$A$3:$D$58,2,FALSE)</f>
        <v>#N/A</v>
      </c>
      <c r="HG246" s="55" t="e">
        <f>VLOOKUP(Исходн.данные.!AH246,Справ!$A$3:$D$58,3,FALSE)</f>
        <v>#N/A</v>
      </c>
      <c r="HH246" s="55" t="e">
        <f>VLOOKUP(Исходн.данные.!AH246,Справ!$A$3:$D$58,4,FALSE)</f>
        <v>#N/A</v>
      </c>
      <c r="HI246" s="11" t="e">
        <f t="shared" si="339"/>
        <v>#N/A</v>
      </c>
      <c r="HJ246" s="11" t="e">
        <f t="shared" si="340"/>
        <v>#N/A</v>
      </c>
      <c r="HK246" s="11" t="e">
        <f t="shared" si="341"/>
        <v>#N/A</v>
      </c>
      <c r="HL246" s="55">
        <f>IF(OR(Исходн.данные.!G246="Глин",Исходн.данные.!G246="Т_суг"),1.1,IF(Исходн.данные.!G246="Ср_суг",1,1))</f>
        <v>1</v>
      </c>
      <c r="HM246" s="55">
        <f>IF(OR(Исходн.данные.!G246="Глин",Исходн.данные.!G246="Т_суг"),0.9,IF(Исходн.данные.!G246="Ср_суг",1,1.2))</f>
        <v>1.2</v>
      </c>
      <c r="HN246" s="11" t="e">
        <f t="shared" si="342"/>
        <v>#N/A</v>
      </c>
      <c r="HO246" s="11" t="e">
        <f t="shared" si="343"/>
        <v>#N/A</v>
      </c>
      <c r="HP246" s="11" t="e">
        <f t="shared" si="344"/>
        <v>#N/A</v>
      </c>
      <c r="HQ246" t="e">
        <f t="shared" si="345"/>
        <v>#N/A</v>
      </c>
      <c r="HR246" t="e">
        <f t="shared" si="346"/>
        <v>#N/A</v>
      </c>
      <c r="HS246" t="e">
        <f t="shared" si="347"/>
        <v>#N/A</v>
      </c>
      <c r="HT246" t="e">
        <f t="shared" si="293"/>
        <v>#N/A</v>
      </c>
      <c r="HU246" t="e">
        <f t="shared" si="294"/>
        <v>#N/A</v>
      </c>
      <c r="HV246" t="e">
        <f t="shared" si="295"/>
        <v>#N/A</v>
      </c>
      <c r="HW246" t="e">
        <f t="shared" si="296"/>
        <v>#N/A</v>
      </c>
      <c r="HX246" t="e">
        <f t="shared" si="297"/>
        <v>#N/A</v>
      </c>
      <c r="HY246" t="e">
        <f t="shared" si="298"/>
        <v>#N/A</v>
      </c>
      <c r="HZ246" s="55">
        <f>IF(OR(Исходн.данные.!AI246="Оз_Ч_П",Исходн.данные.!AI246="Оз_З_П",Исходн.данные.!AI246="Яр_зер"),12,30)</f>
        <v>30</v>
      </c>
      <c r="IA246" t="e">
        <f t="shared" si="348"/>
        <v>#N/A</v>
      </c>
      <c r="IB246" t="e">
        <f t="shared" si="349"/>
        <v>#N/A</v>
      </c>
      <c r="IC246" t="e">
        <f t="shared" si="350"/>
        <v>#N/A</v>
      </c>
      <c r="ID246" s="11" t="e">
        <f t="shared" si="351"/>
        <v>#N/A</v>
      </c>
      <c r="IE246" s="11" t="e">
        <f t="shared" si="352"/>
        <v>#N/A</v>
      </c>
      <c r="IF246" s="11" t="e">
        <f t="shared" si="353"/>
        <v>#N/A</v>
      </c>
    </row>
    <row r="247" spans="35:240" x14ac:dyDescent="0.2">
      <c r="AI247">
        <f>IF(Исходн.данные.!I247&gt;6,1,1.85-(0.148*Исходн.данные.!I247))</f>
        <v>1.85</v>
      </c>
      <c r="AJ247">
        <f>IF(Исходн.данные.!I247&gt;6,1,2.434-(0.246*Исходн.данные.!I247))</f>
        <v>2.4340000000000002</v>
      </c>
      <c r="AL247" s="148" t="b">
        <f>IF(Исходн.данные.!$P247="Ум",N_OrgUd_2g_um,IF(Исходн.данные.!$P247="Об",N_OrgUd_2g_ob))</f>
        <v>0</v>
      </c>
      <c r="AM247" s="148" t="b">
        <f>IF(Исходн.данные.!$P247="Ум",P_OrgUd_2g_um,IF(Исходн.данные.!$P247="Об",P_OrgUd_2g_ob))</f>
        <v>0</v>
      </c>
      <c r="AN247" s="148" t="b">
        <f>IF(Исходн.данные.!$P247="Ум",K_OrgUd_2g_um,IF(Исходн.данные.!$P247="Об",K_OrgUd_2g_ob))</f>
        <v>0</v>
      </c>
      <c r="AO247" s="148" t="b">
        <f>IF(Исходн.данные.!$P247="Ум",N_OrgUd_1g_um,IF(Исходн.данные.!$P247="Об",N_OrgUd_1g_ob))</f>
        <v>0</v>
      </c>
      <c r="AP247" s="148" t="b">
        <f>IF(Исходн.данные.!$P247="Ум",P_OrgUd_1g_um,IF(Исходн.данные.!$P247="Об",P_OrgUd_1g_ob))</f>
        <v>0</v>
      </c>
      <c r="AQ247" s="148" t="b">
        <f>IF(Исходн.данные.!$P247="Ум",K_OrgUd_1g_um,IF(Исходн.данные.!$P247="Об",K_OrgUd_1g_ob))</f>
        <v>0</v>
      </c>
      <c r="AR247" t="b">
        <f>IF(Исходн.данные.!$P247="Ум",N_MinUd_2g_um,IF(Исходн.данные.!$P247="Об",N_MinUd_2g_ob))</f>
        <v>0</v>
      </c>
      <c r="AS247" t="b">
        <f>IF(Исходн.данные.!$P247="Ум",P_MinUd_2g_um,IF(Исходн.данные.!$P247="Об",P_MinUd_2g_ob))</f>
        <v>0</v>
      </c>
      <c r="AT247" t="b">
        <f>IF(Исходн.данные.!$P247="Ум",K_MinUd_2g_um,IF(Исходн.данные.!$P247="Об",K_MinUd_2g_ob))</f>
        <v>0</v>
      </c>
      <c r="AU247" t="b">
        <f>IF(Исходн.данные.!$P247="Ум",N_MinUd_1g_um,IF(Исходн.данные.!$P247="Об",N_MinUd_1g_ob))</f>
        <v>0</v>
      </c>
      <c r="AV247" t="b">
        <f>IF(Исходн.данные.!P247="Ум",P_MinUd_1g_um,IF(Исходн.данные.!P247="Об",P_MinUd_1g_ob))</f>
        <v>0</v>
      </c>
      <c r="AW247" t="b">
        <f>IF(Исходн.данные.!P247="Ум",K_MinUd_1g_um,IF(Исходн.данные.!P247="Об",K_MinUd_1g_ob))</f>
        <v>0</v>
      </c>
      <c r="AY247" t="e">
        <f>VLOOKUP(Исходн.данные.!T247,Справ!$A$3:$N$57,12)</f>
        <v>#N/A</v>
      </c>
      <c r="AZ247" t="e">
        <f>VLOOKUP(Исходн.данные.!T247,Справ!$A$3:$N$57,13)</f>
        <v>#N/A</v>
      </c>
      <c r="BA247" t="e">
        <f>VLOOKUP(Исходн.данные.!T247,Справ!$A$3:$N$57,14)</f>
        <v>#N/A</v>
      </c>
      <c r="BB247">
        <f>IF(Исходн.данные.!AH247=0,0,25)</f>
        <v>0</v>
      </c>
      <c r="BC247" s="141">
        <f>IF(Исходн.данные.!AH247=0,0,IF(Исходн.данные.!T247=0,25,BD247))</f>
        <v>0</v>
      </c>
      <c r="BD247" s="168" t="e">
        <f>AY247+AZ247*Исходн.данные.!U247-POWER(BA247,2)*Исходн.данные.!U247</f>
        <v>#N/A</v>
      </c>
      <c r="BE24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7" s="25">
        <f>IF(Исходн.данные.!AH247=0,0,MIN(HN247:HP247))</f>
        <v>0</v>
      </c>
      <c r="BG247" s="9">
        <f>IF(Исходн.данные.!AH247=0,0,IF((HO247+10*0.25/HG247/HL247)&lt;17,17,HO247+10*0.25/HG247/HL247))</f>
        <v>0</v>
      </c>
      <c r="BH247" s="181">
        <f>IF(Исходн.данные.!AH247=0,0,HW247*HF247*HL247/AU247*AI247+Исходн.данные.!S247*10)</f>
        <v>0</v>
      </c>
      <c r="BI247" s="10"/>
      <c r="BJ247" s="182">
        <f>IF(Исходн.данные.!AH247=0,0,IF(HX247*HG247*HL247/AV247&lt;0,0,HX247*HG247*HL247/AV247*AJ247))</f>
        <v>0</v>
      </c>
      <c r="BK247" s="182">
        <f>IF(Исходн.данные.!AH247=0,0,HY247*HH247*HM247/AW247)</f>
        <v>0</v>
      </c>
      <c r="BL247" s="10">
        <f>IF(OR(Исходн.данные.!$AH247=$BP$1,Исходн.данные.!$AH247=$BP$2),0,IF(BH247&lt;0,0,IF(OR(Исходн.данные.!T247=Расчет!$BP$1,Исходн.данные.!T247=Расчет!$BP$2,Исходн.данные.!T247=Расчет!$BT$5,Исходн.данные.!T247=Расчет!$BT$6),BH247*0.5,IF(OR(Исходн.данные.!T247=Расчет!$BS$9,Исходн.данные.!T247=Расчет!$BS$10,Исходн.данные.!T247=Расчет!$BS$11,Исходн.данные.!T247=Расчет!$BS$12,Исходн.данные.!T247=Расчет!$BP$5),BH247*0.8,BH247))))</f>
        <v>0</v>
      </c>
      <c r="BM247" s="10">
        <f>IF(OR(Исходн.данные.!$AH247=$BP$1,Исходн.данные.!$AH247=$BP$2),0,IF(BJ247&lt;0,0,IF(Исходн.данные.!I247&lt;4.5,BJ247*1.2,IF(Исходн.данные.!I247&gt;5.1,BJ247,BJ247*((5.1-Исходн.данные.!I247)*0.333+1)))))</f>
        <v>0</v>
      </c>
      <c r="BN247" s="10">
        <f>IF(OR(Исходн.данные.!$AH247=$BP$1,Исходн.данные.!$AH247=$BP$2),60-Исходн.данные.!AF247,IF(BK247&lt;0,0,IF(Исходн.данные.!I247&lt;4.5,BK247*1.2,IF(Исходн.данные.!I247&gt;5.1,BK247,BK247*((5.1-Исходн.данные.!I247)*0.333+1)))))</f>
        <v>0</v>
      </c>
      <c r="BO247" s="9">
        <f>IF(BL247&lt;0,0,BL247*Исходн.данные.!$AJ247/1000)</f>
        <v>0</v>
      </c>
      <c r="BP247" s="9">
        <f>IF(BM247&lt;0,0,BM247*Исходн.данные.!$AJ247/1000)</f>
        <v>0</v>
      </c>
      <c r="BQ247" s="9">
        <f>IF(BN247&lt;0,0,BN247*Исходн.данные.!$AJ247/1000)</f>
        <v>0</v>
      </c>
      <c r="BR247" s="9">
        <f t="shared" si="303"/>
        <v>0</v>
      </c>
      <c r="BS247" s="10" t="str">
        <f t="shared" si="304"/>
        <v>Аммофос 12:52:00</v>
      </c>
      <c r="BT247" s="10" t="str">
        <f t="shared" si="305"/>
        <v>Аммофос 12:52:00</v>
      </c>
      <c r="BU247" s="10" t="str">
        <f t="shared" si="306"/>
        <v>Диаммофоска</v>
      </c>
      <c r="BV247" s="10">
        <f t="shared" si="307"/>
        <v>0</v>
      </c>
      <c r="BW247" s="10"/>
      <c r="BX247" s="10"/>
      <c r="BY247" s="9">
        <f>IF(BL247&lt;0,0,IF(OR(Исходн.данные.!AI247=Расчет!$BU$6,Исходн.данные.!AI247=Расчет!$BU$7),Расчет!BV247,IF(Исходн.данные.!$AG247=$BV$11,BL247,IF(OR(Исходн.данные.!$AH247=$BQ$7,Исходн.данные.!$AH247=$BQ$8),CB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0,IF(Исходн.данные.!$AI247=$BU$11,"Нет",IF(BL247&gt;30,30,BL247)))))))</f>
        <v>0</v>
      </c>
      <c r="BZ247" s="9">
        <f>IF(AND(Исходн.данные.!$AG247=$BV$11,BM247&lt;10),10,IF(Исходн.данные.!$AG247=$BV$11,BM247,IF(OR(Исходн.данные.!$AH247=$BQ$7,Исходн.данные.!$AH247=$BQ$8),CC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10,IF(Исходн.данные.!$AI247=$BU$11,"Нет",IF(BM247&gt;60,60,IF(BM247&lt;10,10,BM247)))))))</f>
        <v>10</v>
      </c>
      <c r="CA247" s="39">
        <f>IF(BN247&lt;0,0,IF(Исходн.данные.!$AG247=$BV$11,BN247,IF(OR(Исходн.данные.!$AH247=$BQ$7,Исходн.данные.!$AH247=$BQ$8),CD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0,IF(Исходн.данные.!$AI247=$BU$11,"Нет",IF(BN247&gt;30,30,BN247))))))</f>
        <v>0</v>
      </c>
      <c r="CB247" s="9">
        <f t="shared" si="308"/>
        <v>0</v>
      </c>
      <c r="CC247" s="9">
        <f t="shared" si="309"/>
        <v>0</v>
      </c>
      <c r="CD247" s="9">
        <f t="shared" si="310"/>
        <v>0</v>
      </c>
      <c r="CE247" s="12">
        <f t="shared" si="311"/>
        <v>10</v>
      </c>
      <c r="CF247" s="9">
        <f t="shared" si="312"/>
        <v>0</v>
      </c>
      <c r="CG247" s="9" t="s">
        <v>231</v>
      </c>
      <c r="CH247" s="132" t="str">
        <f>IF(Исходн.данные.!AP247=Расчет!$CI$16,"Нет",IF(Исходн.данные.!AL247&gt;0,Исходн.данные.!AL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BH$4,IF(OR(Исходн.данные.!AI247=Исходн.данные.!$AI$6,Исходн.данные.!AI247=Исходн.данные.!$AI$7),Расчет!BS247,IF(AND($CF247=0,$CE247&gt;0),EV247,ER247)))))</f>
        <v>Аммофос 12:52:00</v>
      </c>
      <c r="CI247" s="274">
        <f>IF(Расчет!$CH247="Нет","Нет",IF(Исходн.данные.!$AL247&gt;0,VLOOKUP(Расчет!$CH247,АшламаДВ_Irekle,2,FALSE),VLOOKUP(Расчет!$CH247,АшламаДВ_Gomumy,2,FALSE)))</f>
        <v>0.12</v>
      </c>
      <c r="CJ247" s="274">
        <f>IF(Расчет!$CH247="Нет","Нет",IF(Исходн.данные.!$AL247&gt;0,VLOOKUP(Расчет!$CH247,АшламаДВ_Irekle,3,FALSE),VLOOKUP(Расчет!$CH247,АшламаДВ_Gomumy,3,FALSE)))</f>
        <v>0.52</v>
      </c>
      <c r="CK247" s="274">
        <f>IF(Расчет!$CH247="Нет","Нет",IF(Исходн.данные.!$AL247&gt;0,VLOOKUP(Расчет!$CH247,АшламаДВ_Irekle,4,FALSE),VLOOKUP(Расчет!$CH247,АшламаДВ_Gomumy,4,FALSE)))</f>
        <v>0</v>
      </c>
      <c r="CL247" s="70"/>
      <c r="CM247" s="70"/>
      <c r="CN247" s="70"/>
      <c r="CO247" s="70"/>
      <c r="CP247" s="70"/>
      <c r="CQ247" s="70"/>
      <c r="CR247" s="10">
        <f t="shared" si="313"/>
        <v>0</v>
      </c>
      <c r="CS247" s="10">
        <f t="shared" si="314"/>
        <v>19.23076923076923</v>
      </c>
      <c r="CT247" s="10">
        <f t="shared" si="315"/>
        <v>0</v>
      </c>
      <c r="CU247" s="39">
        <f>IF($CH247="Нет",0,IF(CI247=0,30/MIN(CJ247:CK247),IF(Исходн.данные.!$AG247=$BV$11,CR247,IF(OR(Исходн.данные.!$AH247=$BQ$7,Исходн.данные.!$AH247=$BQ$8),90/CI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0,IF(Исходн.данные.!$AI247=$BU$11,"Нет",30/CI247))))))</f>
        <v>250</v>
      </c>
      <c r="CV247" s="39">
        <f>IF($CH247="Нет",0,IF(Исходн.данные.!AH247=0,0,IF(CJ247=0,60/MIN(CI247,CK247),IF(Исходн.данные.!$AG247=$BV$11,CS247,IF(OR(Исходн.данные.!$AH247=$BQ$7,Исходн.данные.!$AH247=$BQ$8),90/CJ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10/CJ247,IF(Исходн.данные.!$AI247=$BU$11,"Нет",60/CJ247)))))))</f>
        <v>0</v>
      </c>
      <c r="CW247" s="39">
        <f>IF($CH247="Нет",0,IF(Исходн.данные.!AH247=0,0,IF(CK247=0,30/MIN(CI247:CJ247),IF(Исходн.данные.!$AG247=$BV$11,CT247,IF(OR(Исходн.данные.!$AH247=$BQ$7,Исходн.данные.!$AH247=$BQ$8),90/CK247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0,IF(Исходн.данные.!$AI247=$BU$11,"Нет",30/CK247)))))))</f>
        <v>0</v>
      </c>
      <c r="CX247" s="133">
        <f>IF(Исходн.данные.!$AG247=$BV$11,MAX(CU247:CW247),IF(OR(Исходн.данные.!$AH247=$BS$8,Исходн.данные.!$AH247=$BQ$9,Исходн.данные.!$AH247=$BQ$10,Исходн.данные.!$AH247=$BQ$11,Исходн.данные.!$AH247=$BQ$12,Исходн.данные.!$AH247=$BP$3,Исходн.данные.!$AH247=$BT$8,$FM247="Да"),CV247,MIN(CU247:CW247)))</f>
        <v>0</v>
      </c>
      <c r="CY247" s="133">
        <f>IF(Исходн.данные.!AH247=0,0,IF(CR247&gt;$CX247,$CX247,CR247))</f>
        <v>0</v>
      </c>
      <c r="CZ247" s="133">
        <f>IF(Исходн.данные.!AH247=0,0,IF(CS247&gt;$CX247,$CX247,CS247))</f>
        <v>0</v>
      </c>
      <c r="DA247" s="133">
        <f>IF(Исходн.данные.!AH247=0,0,IF(CT247&gt;$CX247,$CX247,CT247))</f>
        <v>0</v>
      </c>
      <c r="DB247" s="10">
        <f t="shared" si="316"/>
        <v>0</v>
      </c>
      <c r="DC247" s="39">
        <f>DB247*Исходн.данные.!AJ247/1000</f>
        <v>0</v>
      </c>
      <c r="DD247" s="71">
        <f t="shared" si="317"/>
        <v>0</v>
      </c>
      <c r="DE247" s="9">
        <f t="shared" si="318"/>
        <v>0</v>
      </c>
      <c r="DF247" s="9">
        <f t="shared" si="319"/>
        <v>0</v>
      </c>
      <c r="DG247" s="39">
        <f>IF(BL247&lt;0,0,IF($CH247="Нет",BL247,IF(OR(Исходн.данные.!$AH247=$BP$1,Исходн.данные.!$AH247=$BP$2),0,IF(Исходн.данные.!AI247=$BU$11,BL247,IF(BL247-DD247&lt;0,0,BL247-DD247)))))</f>
        <v>0</v>
      </c>
      <c r="DH247" s="39">
        <f>IF(BM247&lt;0,0,IF($CH247="Нет",BM247,IF(OR(Исходн.данные.!$AH247=$BP$1,Исходн.данные.!$AH247=$BP$2),0,IF(Исходн.данные.!AJ247=$BU$11,BM247,IF(BM247-DE247&lt;0,0,BM247-DE247)))))</f>
        <v>0</v>
      </c>
      <c r="DI247" s="39">
        <f>IF(BN247&lt;0,0,IF($CH247="Нет",BN247,IF(OR(Исходн.данные.!$AH247=$BP$1,Исходн.данные.!$AH247=$BP$2),0,IF(Исходн.данные.!AK247=$BU$11,BN247,IF(BN247-DF247&lt;0,0,BN247-DF247)))))</f>
        <v>0</v>
      </c>
      <c r="DJ247" s="12">
        <f t="shared" si="320"/>
        <v>0</v>
      </c>
      <c r="DK247" s="9">
        <f t="shared" si="321"/>
        <v>0</v>
      </c>
      <c r="DL247" s="39">
        <f>IF(Исходн.данные.!AM247&gt;0,Исходн.данные.!AM247,IF(EG247&gt;0,$BH$10,0))</f>
        <v>0</v>
      </c>
      <c r="DM247" s="186">
        <f>IF($DL247=0,0,IF(Исходн.данные.!AM247&gt;0,VLOOKUP($DL247,АшламаДВ_Irekle,2,FALSE),VLOOKUP($DL247,АшламаДВ_Gomumy,2,FALSE)))</f>
        <v>0</v>
      </c>
      <c r="DN247" s="10">
        <f t="shared" si="299"/>
        <v>0</v>
      </c>
      <c r="DO247" s="9" t="str">
        <f>IF(Исходн.данные.!AN247&gt;0,Исходн.данные.!AN247,Удобрения!$B$37 )</f>
        <v>Хлор.калий</v>
      </c>
      <c r="DP247" s="9">
        <f>IF(Исходн.данные.!AN247&gt;0,VLOOKUP(Исходн.данные.!AN247,АшламаДВ_Irekle,4,FALSE),VLOOKUP(DO247,АшламаДВ_Gomumy,4,FALSE))</f>
        <v>0.6</v>
      </c>
      <c r="DQ247" s="10">
        <f t="shared" si="300"/>
        <v>0</v>
      </c>
      <c r="DR247" s="132" t="str">
        <f>IF(Исходн.данные.!AO247&gt;0,Исходн.данные.!AO247,IF(DH247=0,BS$17,IF(AND($DK247=0,$DJ247&gt;0),EJ247,EN247)))</f>
        <v>Нет</v>
      </c>
      <c r="DS247" s="70" t="str">
        <f>IF($DR247="Нет","Нет",IF(Исходн.данные.!$AO247&gt;0,VLOOKUP($DR247,АшламаДВ_Irekle,2,FALSE),VLOOKUP($DR247,АшламаДВ_Gomumy,2,FALSE)))</f>
        <v>Нет</v>
      </c>
      <c r="DT247" s="70" t="str">
        <f>IF($DR247="Нет","Нет",IF(Исходн.данные.!$AO247&gt;0,VLOOKUP($DR247,АшламаДВ_Irekle,3,FALSE),VLOOKUP($DR247,АшламаДВ_Gomumy,3,FALSE)))</f>
        <v>Нет</v>
      </c>
      <c r="DU247" s="70" t="str">
        <f>IF($DR247="Нет","Нет",IF(Исходн.данные.!$AO247&gt;0,VLOOKUP($DR247,АшламаДВ_Irekle,4,FALSE),VLOOKUP($DR247,АшламаДВ_Gomumy,4,FALSE)))</f>
        <v>Нет</v>
      </c>
      <c r="DV247" s="70"/>
      <c r="DW247" s="70"/>
      <c r="DX247" s="70"/>
      <c r="DY247" s="10">
        <f t="shared" si="322"/>
        <v>0</v>
      </c>
      <c r="DZ247" s="10">
        <f t="shared" si="323"/>
        <v>0</v>
      </c>
      <c r="EA247" s="10">
        <f t="shared" si="324"/>
        <v>0</v>
      </c>
      <c r="EB247" s="10">
        <f t="shared" si="325"/>
        <v>0</v>
      </c>
      <c r="EC247" s="10">
        <f t="shared" si="326"/>
        <v>0</v>
      </c>
      <c r="ED247" s="10">
        <f t="shared" si="327"/>
        <v>0</v>
      </c>
      <c r="EE247" s="10">
        <f t="shared" si="328"/>
        <v>0</v>
      </c>
      <c r="EF247" s="39">
        <f>EB247*Исходн.данные.!AJ247/1000</f>
        <v>0</v>
      </c>
      <c r="EG247" s="9">
        <f t="shared" si="329"/>
        <v>0</v>
      </c>
      <c r="EH247" s="9">
        <f t="shared" si="330"/>
        <v>0</v>
      </c>
      <c r="EI247" s="39" t="e">
        <f t="shared" si="280"/>
        <v>#DIV/0!</v>
      </c>
      <c r="EJ247" s="9" t="str">
        <f t="shared" si="301"/>
        <v>Азопреципитат</v>
      </c>
      <c r="EK247" s="12">
        <f t="shared" si="281"/>
        <v>0.26</v>
      </c>
      <c r="EL247" s="12">
        <f t="shared" si="282"/>
        <v>0.13</v>
      </c>
      <c r="EM247" s="12">
        <f t="shared" si="283"/>
        <v>0</v>
      </c>
      <c r="EN247" s="12" t="str">
        <f t="shared" si="302"/>
        <v>Нет</v>
      </c>
      <c r="EO247" s="12">
        <f t="shared" si="284"/>
        <v>0</v>
      </c>
      <c r="EP247" s="12">
        <f t="shared" si="285"/>
        <v>0</v>
      </c>
      <c r="EQ247" s="12">
        <f t="shared" si="286"/>
        <v>0</v>
      </c>
      <c r="ER247" s="12" t="str">
        <f t="shared" si="331"/>
        <v>Диаммофоска</v>
      </c>
      <c r="ES247" s="12">
        <f t="shared" si="287"/>
        <v>0.1</v>
      </c>
      <c r="ET247" s="12">
        <f t="shared" si="288"/>
        <v>0.26</v>
      </c>
      <c r="EU247" s="12">
        <f t="shared" si="289"/>
        <v>0.26</v>
      </c>
      <c r="EV247" s="12" t="str">
        <f t="shared" si="332"/>
        <v>Аммофос 12:52:00</v>
      </c>
      <c r="EW247" s="12" t="str">
        <f t="shared" si="333"/>
        <v>Кемира Свекловичное-6</v>
      </c>
      <c r="EX247" s="12">
        <f t="shared" si="290"/>
        <v>0.16</v>
      </c>
      <c r="EY247" s="12">
        <f t="shared" si="291"/>
        <v>0.12</v>
      </c>
      <c r="EZ247" s="12">
        <f t="shared" si="292"/>
        <v>0.17</v>
      </c>
      <c r="FA247" s="38" t="e">
        <f>IF(AND(OR(FJ247=$FD$1,FM247=$FD$1,FO247=$FD$1,FQ247=$FD$1,FS247=$FD$1),FD247=$FD$1,Исходн.данные.!J247&lt;2,FU247=$FD$1),"Бор,Кобальт",IF(AND(FO247=$FD$1,FH247=$FD$1,Исходн.данные.!J247&lt;2,FU247=$FD$1),"Бор,Кобальт",IF(AND(OR(FJ247=$FD$1,FM247=$FD$1,FQ247=$FD$1),FE247=$FD$1,Исходн.данные.!J247&lt;2,FT247=$FD$1,FU247=$FD$1),"Бор,Медь,Цинк",IF(AND(OR(FJ247=$FD$1,FR247="Да"),FI247="Да",Исходн.данные.!J247&lt;2,FT247="Да",FU247="Да"),"Бор,Цинк,Медь",IF(AND(OR(FM247="Да",FQ247="Да"),FI247="Да",Исходн.данные.!J247&lt;2,FT247="Да",FU247="Да"),"Бор,Цинк",IF(AND(FN247="Да",OR(FD247="Да",FE247="Да")),"Бор",FB247))))))</f>
        <v>#N/A</v>
      </c>
      <c r="FB247" s="134" t="e">
        <f>IF(AND(OR(FD247="Да",FE247="Да",FF247="Да",FG247="Да",FH247="Да"),FO247="Да"),"Бор",IF(AND(FP247="Да",OR(FD247="Да",FE247="Да",FI247="Да")),"Бор",IF(AND(FS247="Да",FE247="Да"),"Бор,Медь",IF(AND(OR(FJ247="Да",FK247="Да",FL247="Да"),FE247="Да",Исходн.данные.!I247&lt;5,FT247="Да",FU247="Да"),"Молибден,Цинк",IF(AND(FM247="Да",OR(FE247="Да",FF247="Да",FG247="Да",FH247="Да",FI247="Да")),"Молибден,Цинк",IF(AND(OR(FJ247="Да",FK247="Да",FL247="Да",FM247="Да",FQ247="Да"),OR(FE247="Да",FF247="Да"),FT247="Да",FU247="Да",Исходн.данные.!I247&gt;5.5),"Медь,Цинк",FC247))))))</f>
        <v>#N/A</v>
      </c>
      <c r="FC247" s="23" t="e">
        <f t="shared" si="334"/>
        <v>#N/A</v>
      </c>
      <c r="FD247" s="38" t="str">
        <f>IF(OR(Исходн.данные.!F247=$CC$1,Исходн.данные.!F247=$CC$2,Исходн.данные.!F247=$CC$3,Исходн.данные.!F247=$CC$4),"Да","Нет")</f>
        <v>Нет</v>
      </c>
      <c r="FE247" s="38" t="str">
        <f>IF(Исходн.данные.!F247=$CC$5,"Да","Нет")</f>
        <v>Нет</v>
      </c>
      <c r="FF247" s="38" t="str">
        <f>IF(OR(Исходн.данные.!F247=$CC$6,Исходн.данные.!F247=$CC$7),"Да","Нет")</f>
        <v>Нет</v>
      </c>
      <c r="FG247" s="38" t="str">
        <f>IF(OR(Исходн.данные.!F247=$CC$8,Исходн.данные.!F247=$CC$9),"Да","Нет")</f>
        <v>Нет</v>
      </c>
      <c r="FH247" s="38" t="str">
        <f>IF(Исходн.данные.!F247=$CC$10,"Да","Нет")</f>
        <v>Нет</v>
      </c>
      <c r="FI247" s="38" t="str">
        <f>IF(OR(Исходн.данные.!F247=$CC$11,Исходн.данные.!F247=$CC$12),"Да","Нет")</f>
        <v>Нет</v>
      </c>
      <c r="FJ247" s="38" t="str">
        <f>IF(OR(Исходн.данные.!AH247=$BS$1,Исходн.данные.!AH247=$BQ$11,Исходн.данные.!AH247=$BQ$12),"Да","Нет")</f>
        <v>Нет</v>
      </c>
      <c r="FK247" s="38" t="str">
        <f>IF(OR(Исходн.данные.!AH247=$BS$2,Исходн.данные.!AH247=$BS$4),"Да","Нет")</f>
        <v>Нет</v>
      </c>
      <c r="FL247" s="38" t="str">
        <f>IF(OR(Исходн.данные.!AH247=$BS$3,Исходн.данные.!AH247=$BS$5),"Да","Нет")</f>
        <v>Нет</v>
      </c>
      <c r="FM247" s="38" t="str">
        <f>IF(OR(Исходн.данные.!AH247=$BS$9,Исходн.данные.!AH247=$BS$10,Исходн.данные.!AH247=$BS$11,Исходн.данные.!AH247=$BS$12),"Да","Нет")</f>
        <v>Нет</v>
      </c>
      <c r="FN247" s="38" t="str">
        <f>IF(OR(Исходн.данные.!AH247=$BS$6,Исходн.данные.!AH247=$BP$3),"Да","Нет")</f>
        <v>Нет</v>
      </c>
      <c r="FO247" s="38" t="str">
        <f>IF(Исходн.данные.!AH247=$BQ$9,"Да","Нет")</f>
        <v>Нет</v>
      </c>
      <c r="FP247" s="38" t="str">
        <f>IF(OR(Исходн.данные.!AH247=$BS$8,Исходн.данные.!AH247=$BT$8),"Да","Нет")</f>
        <v>Нет</v>
      </c>
      <c r="FQ247" s="38" t="str">
        <f>IF(OR(Исходн.данные.!AH247=$BQ$7,Исходн.данные.!AH247=$BQ$8),"Да","Нет")</f>
        <v>Нет</v>
      </c>
      <c r="FR247" s="38" t="str">
        <f>IF(Исходн.данные.!AI247=$BU$9,"Да","Нет")</f>
        <v>Нет</v>
      </c>
      <c r="FS247" s="38" t="str">
        <f>IF(OR(Исходн.данные.!AH247=$BP$1,Исходн.данные.!AH247=$BP$2),"Да","Нет")</f>
        <v>Нет</v>
      </c>
      <c r="FT247" s="38" t="e">
        <f>IF((Исходн.данные.!K247*GO247*GS247*GW247+BL247*0.6+Исходн.данные.!Q247*4.5*0.275)&gt;90,"Да","Нет")</f>
        <v>#N/A</v>
      </c>
      <c r="FU247" s="38" t="e">
        <f>IF((Исходн.данные.!M247*GS247*GZ247+BM247*0.225)&gt;35,"Да","Нет")</f>
        <v>#N/A</v>
      </c>
      <c r="FV247" s="38" t="str">
        <f>IF(Исходн.данные.!O247&gt;175,"Да","Нет")</f>
        <v>Нет</v>
      </c>
      <c r="FW247" s="39" t="str">
        <f>IF(Исходн.данные.!I247&gt;5.5,"Да","Нет")</f>
        <v>Нет</v>
      </c>
      <c r="FX247" s="39" t="str">
        <f>IF(Исходн.данные.!J247&lt;2,"Да","Нет")</f>
        <v>Да</v>
      </c>
      <c r="FY247" s="39" t="e">
        <f>IF(HF247=$FY$16,0,Исходн.данные.!K247*GO247*GS247*GW247/HF247)</f>
        <v>#N/A</v>
      </c>
      <c r="FZ247" s="39" t="e">
        <f>Исходн.данные.!M247*GS247*GZ247/HG247</f>
        <v>#N/A</v>
      </c>
      <c r="GA247" s="39" t="e">
        <f>IF(K_Wyn=$FY$16,0,IF(Исходн.данные.!N247=Исходн.данные.!$L$10,Исходн.данные.!O247/1.1*GS247*HC247/HH247,IF(Исходн.данные.!N247=Исходн.данные.!$L$12,Исходн.данные.!O247/1.5*GS247*HC247/HH247,Исходн.данные.!O247*GS247*HC247/HH247)))</f>
        <v>#N/A</v>
      </c>
      <c r="GB247" s="39" t="e">
        <f>IF(HF247=$FY$16,0,((Исходн.данные.!Q247*N_Org+Исходн.данные.!R247*N_Sider+Исходн.данные.!S247*N_Soloma)*AO247+Расчет!BC247*VLOOKUP(Исходн.данные.!T247,Справ!$A$3:$O$57,15)*AO247+BB247*VLOOKUP(Исходн.данные.!T247,Справ!$A$3:$O$57,15)*AL247+(Исходн.данные.!V247*N_Rizotorf+Исходн.данные.!W247*N_Rizoagr))/HF247)</f>
        <v>#N/A</v>
      </c>
      <c r="GC247" s="39" t="e">
        <f>IF(HG247=$FY$16,0,((Исходн.данные.!Q247*Р_Org+Исходн.данные.!R247*P_Sider+Исходн.данные.!S247*P_Soloma)*AP247+Расчет!BC247*VLOOKUP(Исходн.данные.!T247,Справ!$A$3:$P$57,16)*AP247+BB247*VLOOKUP(Исходн.данные.!T247,Справ!$A$3:$P$57,16)*AM247)/HG247)</f>
        <v>#N/A</v>
      </c>
      <c r="GD247" s="39" t="e">
        <f>IF(HH247=$FY$16,0,((Исходн.данные.!Q247*К_Org+Исходн.данные.!R247*K_Sider+Исходн.данные.!S247*K_Soloma)*AQ247+Расчет!BC247*VLOOKUP(Исходн.данные.!T247,Справ!$A$3:$Q$57,17)*AQ247+BB247*VLOOKUP(Исходн.данные.!T247,Справ!$A$3:$Q$57,17)*AN247)/HH247)</f>
        <v>#N/A</v>
      </c>
      <c r="GE247" s="39" t="e">
        <f>IF(HF247=$FY$16,0,(Исходн.данные.!X247*AR247+Исходн.данные.!AA247*N_Org*AL247+Исходн.данные.!AB247*N_Sider*AL247+Исходн.данные.!AC247*N_Soloma*AL247)/HF247)</f>
        <v>#N/A</v>
      </c>
      <c r="GF247" s="39" t="e">
        <f>IF(HG247=$FY$16,0,(Исходн.данные.!Y247*AS247+Исходн.данные.!AA247*Р_Org*AM247+Исходн.данные.!AB247*P_Sider*AM247+Исходн.данные.!AC247*P_Soloma*AM247)/HG247)</f>
        <v>#N/A</v>
      </c>
      <c r="GG247" s="39" t="e">
        <f>IF(HH247=$FY$16,0,(Исходн.данные.!Z247*AT247+Исходн.данные.!AA247*К_Org*AN247+Исходн.данные.!AB247*K_Sider*AN247+Исходн.данные.!AC247*K_Soloma*AN247)/HH247)</f>
        <v>#N/A</v>
      </c>
      <c r="GH247" s="39" t="e">
        <f>Исходн.данные.!AD247*AU247/HF247</f>
        <v>#N/A</v>
      </c>
      <c r="GI247" s="39" t="e">
        <f>Исходн.данные.!AE247*AV247/HG247</f>
        <v>#N/A</v>
      </c>
      <c r="GJ247" s="39" t="e">
        <f>Исходн.данные.!AF247*AW247/HH247</f>
        <v>#N/A</v>
      </c>
      <c r="GK247" s="55">
        <f>Исходн.данные.!AK247</f>
        <v>0</v>
      </c>
      <c r="GL247" s="11" t="e">
        <f t="shared" si="335"/>
        <v>#N/A</v>
      </c>
      <c r="GM247" s="11" t="e">
        <f t="shared" si="336"/>
        <v>#N/A</v>
      </c>
      <c r="GN247" s="11" t="e">
        <f t="shared" si="337"/>
        <v>#N/A</v>
      </c>
      <c r="GO247" s="57">
        <f t="shared" si="338"/>
        <v>19</v>
      </c>
      <c r="GP247" s="55">
        <f>IF(OR(Исходн.данные.!F247=$CE$1,Исходн.данные.!F247=$CE$2,Исходн.данные.!F247=$CE$3,Исходн.данные.!F247=$CE$4,Исходн.данные.!F247=$CE$5),GQ247,GR247)</f>
        <v>19</v>
      </c>
      <c r="GQ247" s="55">
        <f>IF(Исходн.данные.!F247=$CE$1,28,IF(Исходн.данные.!F247=$CE$2,26,IF(Исходн.данные.!F247=$CE$3,24,IF(Исходн.данные.!F247=$CE$4,22,IF(Исходн.данные.!F247=$CE$5,20,GR247)))))</f>
        <v>19</v>
      </c>
      <c r="GR247" s="55">
        <f>IF(Исходн.данные.!F247=$CE$6,18,IF(Исходн.данные.!F247=$CE$7,16,IF(Исходн.данные.!F247=$CE$8,14,IF(Исходн.данные.!F247=$CE$9,13,IF(Исходн.данные.!F247=$CE$10,12,19)))))</f>
        <v>19</v>
      </c>
      <c r="GS247" s="55">
        <f>IF(Исходн.данные.!G247="Пес",0.035*(40+2*Исходн.данные.!H247),IF(Исходн.данные.!G247="Суп",0.0325*(40+2*Исходн.данные.!H247),0.03*(40+2*Исходн.данные.!H247)))</f>
        <v>1.2</v>
      </c>
      <c r="GT247" s="55">
        <f>IF(Исходн.данные.!H247&lt;23,2.6,IF(AND(Исходн.данные.!H247&gt;22,Исходн.данные.!H247&lt;26),3,IF(AND(Исходн.данные.!H247&gt;25,Исходн.данные.!H247&lt;29),3.4,3.6)))</f>
        <v>2.6</v>
      </c>
      <c r="GU247" s="55">
        <f>IF(Исходн.данные.!H247&lt;23,2.8,IF(AND(Исходн.данные.!H247&gt;22,Исходн.данные.!H247&lt;26),3.2,IF(AND(Исходн.данные.!H247&gt;25,Исходн.данные.!H247&lt;29),3.6,3.9)))</f>
        <v>2.8</v>
      </c>
      <c r="GV247" s="55">
        <f>IF(Исходн.данные.!H247&lt;23,3,IF(AND(Исходн.данные.!H247&gt;22,Исходн.данные.!H247&lt;26),3.5,IF(AND(Исходн.данные.!H247&gt;25,Исходн.данные.!H247&lt;29),3.9,4.2)))</f>
        <v>3</v>
      </c>
      <c r="GW247" s="55" t="e">
        <f>IF(Исходн.данные.!P247="Ум",GX247,GY247)</f>
        <v>#N/A</v>
      </c>
      <c r="GX247" s="55" t="e">
        <f>VLOOKUP(Исходн.данные.!AI247,Коэффициенты!$J$7:$L$13,2,FALSE)</f>
        <v>#N/A</v>
      </c>
      <c r="GY247" s="55" t="e">
        <f>VLOOKUP(Исходн.данные.!AI247,Коэффициенты!$J$7:$L$13,3,FALSE)</f>
        <v>#N/A</v>
      </c>
      <c r="GZ247" s="55" t="e">
        <f>(IF(Исходн.данные.!M247&lt;50,0.11*VLOOKUP(Исходн.данные.!AH247,Культуры.Информация,7,FALSE),IF(Исходн.данные.!M247&gt;250,0.05*VLOOKUP(Исходн.данные.!AH247,Культуры.Информация,7,FALSE),VLOOKUP(Исходн.данные.!AH247,Культуры.Информация,5,FALSE)/100*($GX$6+$GY$6*Исходн.данные.!M247))))*Расчет2!AI247</f>
        <v>#N/A</v>
      </c>
      <c r="HA247" s="211"/>
      <c r="HB247" s="211"/>
      <c r="HC247" s="55" t="e">
        <f>(IF(Исходн.данные.!O247&lt;80,0.2*VLOOKUP(Исходн.данные.!AH247,Культуры.Информация,8,FALSE),IF(Исходн.данные.!O247&gt;240,0.09*VLOOKUP(Исходн.данные.!AH247,Культуры.Информация,8,FALSE),VLOOKUP(Исходн.данные.!AH247,Культуры.Информация,6,FALSE)/100*($HB$6+$HC$6*Исходн.данные.!O247))))*Расчет2!AJ247</f>
        <v>#N/A</v>
      </c>
      <c r="HD247" s="55">
        <f>IF(Исходн.данные.!O247&gt;240,0.09,IF(Исходн.данные.!O247&lt;30,0.3,$HE$10+$HD$10*Исходн.данные.!O247))</f>
        <v>0.3</v>
      </c>
      <c r="HE247" s="55">
        <f>IF(Исходн.данные.!O247&gt;240,0.17,IF(Исходн.данные.!O247&lt;30,0.5,$HF$12+$HE$12*Исходн.данные.!O247))</f>
        <v>0.5</v>
      </c>
      <c r="HF247" s="55" t="e">
        <f>VLOOKUP(Исходн.данные.!AH247,Справ!$A$3:$D$58,2,FALSE)</f>
        <v>#N/A</v>
      </c>
      <c r="HG247" s="55" t="e">
        <f>VLOOKUP(Исходн.данные.!AH247,Справ!$A$3:$D$58,3,FALSE)</f>
        <v>#N/A</v>
      </c>
      <c r="HH247" s="55" t="e">
        <f>VLOOKUP(Исходн.данные.!AH247,Справ!$A$3:$D$58,4,FALSE)</f>
        <v>#N/A</v>
      </c>
      <c r="HI247" s="11" t="e">
        <f t="shared" si="339"/>
        <v>#N/A</v>
      </c>
      <c r="HJ247" s="11" t="e">
        <f t="shared" si="340"/>
        <v>#N/A</v>
      </c>
      <c r="HK247" s="11" t="e">
        <f t="shared" si="341"/>
        <v>#N/A</v>
      </c>
      <c r="HL247" s="55">
        <f>IF(OR(Исходн.данные.!G247="Глин",Исходн.данные.!G247="Т_суг"),1.1,IF(Исходн.данные.!G247="Ср_суг",1,1))</f>
        <v>1</v>
      </c>
      <c r="HM247" s="55">
        <f>IF(OR(Исходн.данные.!G247="Глин",Исходн.данные.!G247="Т_суг"),0.9,IF(Исходн.данные.!G247="Ср_суг",1,1.2))</f>
        <v>1.2</v>
      </c>
      <c r="HN247" s="11" t="e">
        <f t="shared" si="342"/>
        <v>#N/A</v>
      </c>
      <c r="HO247" s="11" t="e">
        <f t="shared" si="343"/>
        <v>#N/A</v>
      </c>
      <c r="HP247" s="11" t="e">
        <f t="shared" si="344"/>
        <v>#N/A</v>
      </c>
      <c r="HQ247" t="e">
        <f t="shared" si="345"/>
        <v>#N/A</v>
      </c>
      <c r="HR247" t="e">
        <f t="shared" si="346"/>
        <v>#N/A</v>
      </c>
      <c r="HS247" t="e">
        <f t="shared" si="347"/>
        <v>#N/A</v>
      </c>
      <c r="HT247" t="e">
        <f t="shared" si="293"/>
        <v>#N/A</v>
      </c>
      <c r="HU247" t="e">
        <f t="shared" si="294"/>
        <v>#N/A</v>
      </c>
      <c r="HV247" t="e">
        <f t="shared" si="295"/>
        <v>#N/A</v>
      </c>
      <c r="HW247" t="e">
        <f t="shared" si="296"/>
        <v>#N/A</v>
      </c>
      <c r="HX247" t="e">
        <f t="shared" si="297"/>
        <v>#N/A</v>
      </c>
      <c r="HY247" t="e">
        <f t="shared" si="298"/>
        <v>#N/A</v>
      </c>
      <c r="HZ247" s="55">
        <f>IF(OR(Исходн.данные.!AI247="Оз_Ч_П",Исходн.данные.!AI247="Оз_З_П",Исходн.данные.!AI247="Яр_зер"),12,30)</f>
        <v>30</v>
      </c>
      <c r="IA247" t="e">
        <f t="shared" si="348"/>
        <v>#N/A</v>
      </c>
      <c r="IB247" t="e">
        <f t="shared" si="349"/>
        <v>#N/A</v>
      </c>
      <c r="IC247" t="e">
        <f t="shared" si="350"/>
        <v>#N/A</v>
      </c>
      <c r="ID247" s="11" t="e">
        <f t="shared" si="351"/>
        <v>#N/A</v>
      </c>
      <c r="IE247" s="11" t="e">
        <f t="shared" si="352"/>
        <v>#N/A</v>
      </c>
      <c r="IF247" s="11" t="e">
        <f t="shared" si="353"/>
        <v>#N/A</v>
      </c>
    </row>
    <row r="248" spans="35:240" x14ac:dyDescent="0.2">
      <c r="AI248">
        <f>IF(Исходн.данные.!I248&gt;6,1,1.85-(0.148*Исходн.данные.!I248))</f>
        <v>1.85</v>
      </c>
      <c r="AJ248">
        <f>IF(Исходн.данные.!I248&gt;6,1,2.434-(0.246*Исходн.данные.!I248))</f>
        <v>2.4340000000000002</v>
      </c>
      <c r="AL248" s="148" t="b">
        <f>IF(Исходн.данные.!$P248="Ум",N_OrgUd_2g_um,IF(Исходн.данные.!$P248="Об",N_OrgUd_2g_ob))</f>
        <v>0</v>
      </c>
      <c r="AM248" s="148" t="b">
        <f>IF(Исходн.данные.!$P248="Ум",P_OrgUd_2g_um,IF(Исходн.данные.!$P248="Об",P_OrgUd_2g_ob))</f>
        <v>0</v>
      </c>
      <c r="AN248" s="148" t="b">
        <f>IF(Исходн.данные.!$P248="Ум",K_OrgUd_2g_um,IF(Исходн.данные.!$P248="Об",K_OrgUd_2g_ob))</f>
        <v>0</v>
      </c>
      <c r="AO248" s="148" t="b">
        <f>IF(Исходн.данные.!$P248="Ум",N_OrgUd_1g_um,IF(Исходн.данные.!$P248="Об",N_OrgUd_1g_ob))</f>
        <v>0</v>
      </c>
      <c r="AP248" s="148" t="b">
        <f>IF(Исходн.данные.!$P248="Ум",P_OrgUd_1g_um,IF(Исходн.данные.!$P248="Об",P_OrgUd_1g_ob))</f>
        <v>0</v>
      </c>
      <c r="AQ248" s="148" t="b">
        <f>IF(Исходн.данные.!$P248="Ум",K_OrgUd_1g_um,IF(Исходн.данные.!$P248="Об",K_OrgUd_1g_ob))</f>
        <v>0</v>
      </c>
      <c r="AR248" t="b">
        <f>IF(Исходн.данные.!$P248="Ум",N_MinUd_2g_um,IF(Исходн.данные.!$P248="Об",N_MinUd_2g_ob))</f>
        <v>0</v>
      </c>
      <c r="AS248" t="b">
        <f>IF(Исходн.данные.!$P248="Ум",P_MinUd_2g_um,IF(Исходн.данные.!$P248="Об",P_MinUd_2g_ob))</f>
        <v>0</v>
      </c>
      <c r="AT248" t="b">
        <f>IF(Исходн.данные.!$P248="Ум",K_MinUd_2g_um,IF(Исходн.данные.!$P248="Об",K_MinUd_2g_ob))</f>
        <v>0</v>
      </c>
      <c r="AU248" t="b">
        <f>IF(Исходн.данные.!$P248="Ум",N_MinUd_1g_um,IF(Исходн.данные.!$P248="Об",N_MinUd_1g_ob))</f>
        <v>0</v>
      </c>
      <c r="AV248" t="b">
        <f>IF(Исходн.данные.!P248="Ум",P_MinUd_1g_um,IF(Исходн.данные.!P248="Об",P_MinUd_1g_ob))</f>
        <v>0</v>
      </c>
      <c r="AW248" t="b">
        <f>IF(Исходн.данные.!P248="Ум",K_MinUd_1g_um,IF(Исходн.данные.!P248="Об",K_MinUd_1g_ob))</f>
        <v>0</v>
      </c>
      <c r="AY248" t="e">
        <f>VLOOKUP(Исходн.данные.!T248,Справ!$A$3:$N$57,12)</f>
        <v>#N/A</v>
      </c>
      <c r="AZ248" t="e">
        <f>VLOOKUP(Исходн.данные.!T248,Справ!$A$3:$N$57,13)</f>
        <v>#N/A</v>
      </c>
      <c r="BA248" t="e">
        <f>VLOOKUP(Исходн.данные.!T248,Справ!$A$3:$N$57,14)</f>
        <v>#N/A</v>
      </c>
      <c r="BB248">
        <f>IF(Исходн.данные.!AH248=0,0,25)</f>
        <v>0</v>
      </c>
      <c r="BC248" s="141">
        <f>IF(Исходн.данные.!AH248=0,0,IF(Исходн.данные.!T248=0,25,BD248))</f>
        <v>0</v>
      </c>
      <c r="BD248" s="168" t="e">
        <f>AY248+AZ248*Исходн.данные.!U248-POWER(BA248,2)*Исходн.данные.!U248</f>
        <v>#N/A</v>
      </c>
      <c r="BE24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8" s="25">
        <f>IF(Исходн.данные.!AH248=0,0,MIN(HN248:HP248))</f>
        <v>0</v>
      </c>
      <c r="BG248" s="9">
        <f>IF(Исходн.данные.!AH248=0,0,IF((HO248+10*0.25/HG248/HL248)&lt;17,17,HO248+10*0.25/HG248/HL248))</f>
        <v>0</v>
      </c>
      <c r="BH248" s="181">
        <f>IF(Исходн.данные.!AH248=0,0,HW248*HF248*HL248/AU248*AI248+Исходн.данные.!S248*10)</f>
        <v>0</v>
      </c>
      <c r="BI248" s="10"/>
      <c r="BJ248" s="182">
        <f>IF(Исходн.данные.!AH248=0,0,IF(HX248*HG248*HL248/AV248&lt;0,0,HX248*HG248*HL248/AV248*AJ248))</f>
        <v>0</v>
      </c>
      <c r="BK248" s="182">
        <f>IF(Исходн.данные.!AH248=0,0,HY248*HH248*HM248/AW248)</f>
        <v>0</v>
      </c>
      <c r="BL248" s="10">
        <f>IF(OR(Исходн.данные.!$AH248=$BP$1,Исходн.данные.!$AH248=$BP$2),0,IF(BH248&lt;0,0,IF(OR(Исходн.данные.!T248=Расчет!$BP$1,Исходн.данные.!T248=Расчет!$BP$2,Исходн.данные.!T248=Расчет!$BT$5,Исходн.данные.!T248=Расчет!$BT$6),BH248*0.5,IF(OR(Исходн.данные.!T248=Расчет!$BS$9,Исходн.данные.!T248=Расчет!$BS$10,Исходн.данные.!T248=Расчет!$BS$11,Исходн.данные.!T248=Расчет!$BS$12,Исходн.данные.!T248=Расчет!$BP$5),BH248*0.8,BH248))))</f>
        <v>0</v>
      </c>
      <c r="BM248" s="10">
        <f>IF(OR(Исходн.данные.!$AH248=$BP$1,Исходн.данные.!$AH248=$BP$2),0,IF(BJ248&lt;0,0,IF(Исходн.данные.!I248&lt;4.5,BJ248*1.2,IF(Исходн.данные.!I248&gt;5.1,BJ248,BJ248*((5.1-Исходн.данные.!I248)*0.333+1)))))</f>
        <v>0</v>
      </c>
      <c r="BN248" s="10">
        <f>IF(OR(Исходн.данные.!$AH248=$BP$1,Исходн.данные.!$AH248=$BP$2),60-Исходн.данные.!AF248,IF(BK248&lt;0,0,IF(Исходн.данные.!I248&lt;4.5,BK248*1.2,IF(Исходн.данные.!I248&gt;5.1,BK248,BK248*((5.1-Исходн.данные.!I248)*0.333+1)))))</f>
        <v>0</v>
      </c>
      <c r="BO248" s="9">
        <f>IF(BL248&lt;0,0,BL248*Исходн.данные.!$AJ248/1000)</f>
        <v>0</v>
      </c>
      <c r="BP248" s="9">
        <f>IF(BM248&lt;0,0,BM248*Исходн.данные.!$AJ248/1000)</f>
        <v>0</v>
      </c>
      <c r="BQ248" s="9">
        <f>IF(BN248&lt;0,0,BN248*Исходн.данные.!$AJ248/1000)</f>
        <v>0</v>
      </c>
      <c r="BR248" s="9">
        <f t="shared" si="303"/>
        <v>0</v>
      </c>
      <c r="BS248" s="10" t="str">
        <f t="shared" si="304"/>
        <v>Аммофос 12:52:00</v>
      </c>
      <c r="BT248" s="10" t="str">
        <f t="shared" si="305"/>
        <v>Аммофос 12:52:00</v>
      </c>
      <c r="BU248" s="10" t="str">
        <f t="shared" si="306"/>
        <v>Диаммофоска</v>
      </c>
      <c r="BV248" s="10">
        <f t="shared" si="307"/>
        <v>0</v>
      </c>
      <c r="BW248" s="10"/>
      <c r="BX248" s="10"/>
      <c r="BY248" s="9">
        <f>IF(BL248&lt;0,0,IF(OR(Исходн.данные.!AI248=Расчет!$BU$6,Исходн.данные.!AI248=Расчет!$BU$7),Расчет!BV248,IF(Исходн.данные.!$AG248=$BV$11,BL248,IF(OR(Исходн.данные.!$AH248=$BQ$7,Исходн.данные.!$AH248=$BQ$8),CB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0,IF(Исходн.данные.!$AI248=$BU$11,"Нет",IF(BL248&gt;30,30,BL248)))))))</f>
        <v>0</v>
      </c>
      <c r="BZ248" s="9">
        <f>IF(AND(Исходн.данные.!$AG248=$BV$11,BM248&lt;10),10,IF(Исходн.данные.!$AG248=$BV$11,BM248,IF(OR(Исходн.данные.!$AH248=$BQ$7,Исходн.данные.!$AH248=$BQ$8),CC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10,IF(Исходн.данные.!$AI248=$BU$11,"Нет",IF(BM248&gt;60,60,IF(BM248&lt;10,10,BM248)))))))</f>
        <v>10</v>
      </c>
      <c r="CA248" s="39">
        <f>IF(BN248&lt;0,0,IF(Исходн.данные.!$AG248=$BV$11,BN248,IF(OR(Исходн.данные.!$AH248=$BQ$7,Исходн.данные.!$AH248=$BQ$8),CD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0,IF(Исходн.данные.!$AI248=$BU$11,"Нет",IF(BN248&gt;30,30,BN248))))))</f>
        <v>0</v>
      </c>
      <c r="CB248" s="9">
        <f t="shared" si="308"/>
        <v>0</v>
      </c>
      <c r="CC248" s="9">
        <f t="shared" si="309"/>
        <v>0</v>
      </c>
      <c r="CD248" s="9">
        <f t="shared" si="310"/>
        <v>0</v>
      </c>
      <c r="CE248" s="12">
        <f t="shared" si="311"/>
        <v>10</v>
      </c>
      <c r="CF248" s="9">
        <f t="shared" si="312"/>
        <v>0</v>
      </c>
      <c r="CG248" s="9" t="s">
        <v>231</v>
      </c>
      <c r="CH248" s="132" t="str">
        <f>IF(Исходн.данные.!AP248=Расчет!$CI$16,"Нет",IF(Исходн.данные.!AL248&gt;0,Исходн.данные.!AL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BH$4,IF(OR(Исходн.данные.!AI248=Исходн.данные.!$AI$6,Исходн.данные.!AI248=Исходн.данные.!$AI$7),Расчет!BS248,IF(AND($CF248=0,$CE248&gt;0),EV248,ER248)))))</f>
        <v>Аммофос 12:52:00</v>
      </c>
      <c r="CI248" s="274">
        <f>IF(Расчет!$CH248="Нет","Нет",IF(Исходн.данные.!$AL248&gt;0,VLOOKUP(Расчет!$CH248,АшламаДВ_Irekle,2,FALSE),VLOOKUP(Расчет!$CH248,АшламаДВ_Gomumy,2,FALSE)))</f>
        <v>0.12</v>
      </c>
      <c r="CJ248" s="274">
        <f>IF(Расчет!$CH248="Нет","Нет",IF(Исходн.данные.!$AL248&gt;0,VLOOKUP(Расчет!$CH248,АшламаДВ_Irekle,3,FALSE),VLOOKUP(Расчет!$CH248,АшламаДВ_Gomumy,3,FALSE)))</f>
        <v>0.52</v>
      </c>
      <c r="CK248" s="274">
        <f>IF(Расчет!$CH248="Нет","Нет",IF(Исходн.данные.!$AL248&gt;0,VLOOKUP(Расчет!$CH248,АшламаДВ_Irekle,4,FALSE),VLOOKUP(Расчет!$CH248,АшламаДВ_Gomumy,4,FALSE)))</f>
        <v>0</v>
      </c>
      <c r="CL248" s="70"/>
      <c r="CM248" s="70"/>
      <c r="CN248" s="70"/>
      <c r="CO248" s="70"/>
      <c r="CP248" s="70"/>
      <c r="CQ248" s="70"/>
      <c r="CR248" s="10">
        <f t="shared" si="313"/>
        <v>0</v>
      </c>
      <c r="CS248" s="10">
        <f t="shared" si="314"/>
        <v>19.23076923076923</v>
      </c>
      <c r="CT248" s="10">
        <f t="shared" si="315"/>
        <v>0</v>
      </c>
      <c r="CU248" s="39">
        <f>IF($CH248="Нет",0,IF(CI248=0,30/MIN(CJ248:CK248),IF(Исходн.данные.!$AG248=$BV$11,CR248,IF(OR(Исходн.данные.!$AH248=$BQ$7,Исходн.данные.!$AH248=$BQ$8),90/CI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0,IF(Исходн.данные.!$AI248=$BU$11,"Нет",30/CI248))))))</f>
        <v>250</v>
      </c>
      <c r="CV248" s="39">
        <f>IF($CH248="Нет",0,IF(Исходн.данные.!AH248=0,0,IF(CJ248=0,60/MIN(CI248,CK248),IF(Исходн.данные.!$AG248=$BV$11,CS248,IF(OR(Исходн.данные.!$AH248=$BQ$7,Исходн.данные.!$AH248=$BQ$8),90/CJ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10/CJ248,IF(Исходн.данные.!$AI248=$BU$11,"Нет",60/CJ248)))))))</f>
        <v>0</v>
      </c>
      <c r="CW248" s="39">
        <f>IF($CH248="Нет",0,IF(Исходн.данные.!AH248=0,0,IF(CK248=0,30/MIN(CI248:CJ248),IF(Исходн.данные.!$AG248=$BV$11,CT248,IF(OR(Исходн.данные.!$AH248=$BQ$7,Исходн.данные.!$AH248=$BQ$8),90/CK248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0,IF(Исходн.данные.!$AI248=$BU$11,"Нет",30/CK248)))))))</f>
        <v>0</v>
      </c>
      <c r="CX248" s="133">
        <f>IF(Исходн.данные.!$AG248=$BV$11,MAX(CU248:CW248),IF(OR(Исходн.данные.!$AH248=$BS$8,Исходн.данные.!$AH248=$BQ$9,Исходн.данные.!$AH248=$BQ$10,Исходн.данные.!$AH248=$BQ$11,Исходн.данные.!$AH248=$BQ$12,Исходн.данные.!$AH248=$BP$3,Исходн.данные.!$AH248=$BT$8,$FM248="Да"),CV248,MIN(CU248:CW248)))</f>
        <v>0</v>
      </c>
      <c r="CY248" s="133">
        <f>IF(Исходн.данные.!AH248=0,0,IF(CR248&gt;$CX248,$CX248,CR248))</f>
        <v>0</v>
      </c>
      <c r="CZ248" s="133">
        <f>IF(Исходн.данные.!AH248=0,0,IF(CS248&gt;$CX248,$CX248,CS248))</f>
        <v>0</v>
      </c>
      <c r="DA248" s="133">
        <f>IF(Исходн.данные.!AH248=0,0,IF(CT248&gt;$CX248,$CX248,CT248))</f>
        <v>0</v>
      </c>
      <c r="DB248" s="10">
        <f t="shared" si="316"/>
        <v>0</v>
      </c>
      <c r="DC248" s="39">
        <f>DB248*Исходн.данные.!AJ248/1000</f>
        <v>0</v>
      </c>
      <c r="DD248" s="71">
        <f t="shared" si="317"/>
        <v>0</v>
      </c>
      <c r="DE248" s="9">
        <f t="shared" si="318"/>
        <v>0</v>
      </c>
      <c r="DF248" s="9">
        <f t="shared" si="319"/>
        <v>0</v>
      </c>
      <c r="DG248" s="39">
        <f>IF(BL248&lt;0,0,IF($CH248="Нет",BL248,IF(OR(Исходн.данные.!$AH248=$BP$1,Исходн.данные.!$AH248=$BP$2),0,IF(Исходн.данные.!AI248=$BU$11,BL248,IF(BL248-DD248&lt;0,0,BL248-DD248)))))</f>
        <v>0</v>
      </c>
      <c r="DH248" s="39">
        <f>IF(BM248&lt;0,0,IF($CH248="Нет",BM248,IF(OR(Исходн.данные.!$AH248=$BP$1,Исходн.данные.!$AH248=$BP$2),0,IF(Исходн.данные.!AJ248=$BU$11,BM248,IF(BM248-DE248&lt;0,0,BM248-DE248)))))</f>
        <v>0</v>
      </c>
      <c r="DI248" s="39">
        <f>IF(BN248&lt;0,0,IF($CH248="Нет",BN248,IF(OR(Исходн.данные.!$AH248=$BP$1,Исходн.данные.!$AH248=$BP$2),0,IF(Исходн.данные.!AK248=$BU$11,BN248,IF(BN248-DF248&lt;0,0,BN248-DF248)))))</f>
        <v>0</v>
      </c>
      <c r="DJ248" s="12">
        <f t="shared" si="320"/>
        <v>0</v>
      </c>
      <c r="DK248" s="9">
        <f t="shared" si="321"/>
        <v>0</v>
      </c>
      <c r="DL248" s="39">
        <f>IF(Исходн.данные.!AM248&gt;0,Исходн.данные.!AM248,IF(EG248&gt;0,$BH$10,0))</f>
        <v>0</v>
      </c>
      <c r="DM248" s="186">
        <f>IF($DL248=0,0,IF(Исходн.данные.!AM248&gt;0,VLOOKUP($DL248,АшламаДВ_Irekle,2,FALSE),VLOOKUP($DL248,АшламаДВ_Gomumy,2,FALSE)))</f>
        <v>0</v>
      </c>
      <c r="DN248" s="10">
        <f t="shared" si="299"/>
        <v>0</v>
      </c>
      <c r="DO248" s="9" t="str">
        <f>IF(Исходн.данные.!AN248&gt;0,Исходн.данные.!AN248,Удобрения!$B$37 )</f>
        <v>Хлор.калий</v>
      </c>
      <c r="DP248" s="9">
        <f>IF(Исходн.данные.!AN248&gt;0,VLOOKUP(Исходн.данные.!AN248,АшламаДВ_Irekle,4,FALSE),VLOOKUP(DO248,АшламаДВ_Gomumy,4,FALSE))</f>
        <v>0.6</v>
      </c>
      <c r="DQ248" s="10">
        <f t="shared" si="300"/>
        <v>0</v>
      </c>
      <c r="DR248" s="132" t="str">
        <f>IF(Исходн.данные.!AO248&gt;0,Исходн.данные.!AO248,IF(DH248=0,BS$17,IF(AND($DK248=0,$DJ248&gt;0),EJ248,EN248)))</f>
        <v>Нет</v>
      </c>
      <c r="DS248" s="70" t="str">
        <f>IF($DR248="Нет","Нет",IF(Исходн.данные.!$AO248&gt;0,VLOOKUP($DR248,АшламаДВ_Irekle,2,FALSE),VLOOKUP($DR248,АшламаДВ_Gomumy,2,FALSE)))</f>
        <v>Нет</v>
      </c>
      <c r="DT248" s="70" t="str">
        <f>IF($DR248="Нет","Нет",IF(Исходн.данные.!$AO248&gt;0,VLOOKUP($DR248,АшламаДВ_Irekle,3,FALSE),VLOOKUP($DR248,АшламаДВ_Gomumy,3,FALSE)))</f>
        <v>Нет</v>
      </c>
      <c r="DU248" s="70" t="str">
        <f>IF($DR248="Нет","Нет",IF(Исходн.данные.!$AO248&gt;0,VLOOKUP($DR248,АшламаДВ_Irekle,4,FALSE),VLOOKUP($DR248,АшламаДВ_Gomumy,4,FALSE)))</f>
        <v>Нет</v>
      </c>
      <c r="DV248" s="70"/>
      <c r="DW248" s="70"/>
      <c r="DX248" s="70"/>
      <c r="DY248" s="10">
        <f t="shared" si="322"/>
        <v>0</v>
      </c>
      <c r="DZ248" s="10">
        <f t="shared" si="323"/>
        <v>0</v>
      </c>
      <c r="EA248" s="10">
        <f t="shared" si="324"/>
        <v>0</v>
      </c>
      <c r="EB248" s="10">
        <f t="shared" si="325"/>
        <v>0</v>
      </c>
      <c r="EC248" s="10">
        <f t="shared" si="326"/>
        <v>0</v>
      </c>
      <c r="ED248" s="10">
        <f t="shared" si="327"/>
        <v>0</v>
      </c>
      <c r="EE248" s="10">
        <f t="shared" si="328"/>
        <v>0</v>
      </c>
      <c r="EF248" s="39">
        <f>EB248*Исходн.данные.!AJ248/1000</f>
        <v>0</v>
      </c>
      <c r="EG248" s="9">
        <f t="shared" si="329"/>
        <v>0</v>
      </c>
      <c r="EH248" s="9">
        <f t="shared" si="330"/>
        <v>0</v>
      </c>
      <c r="EI248" s="39" t="e">
        <f t="shared" si="280"/>
        <v>#DIV/0!</v>
      </c>
      <c r="EJ248" s="9" t="str">
        <f t="shared" si="301"/>
        <v>Азопреципитат</v>
      </c>
      <c r="EK248" s="12">
        <f t="shared" si="281"/>
        <v>0.26</v>
      </c>
      <c r="EL248" s="12">
        <f t="shared" si="282"/>
        <v>0.13</v>
      </c>
      <c r="EM248" s="12">
        <f t="shared" si="283"/>
        <v>0</v>
      </c>
      <c r="EN248" s="12" t="str">
        <f t="shared" si="302"/>
        <v>Нет</v>
      </c>
      <c r="EO248" s="12">
        <f t="shared" si="284"/>
        <v>0</v>
      </c>
      <c r="EP248" s="12">
        <f t="shared" si="285"/>
        <v>0</v>
      </c>
      <c r="EQ248" s="12">
        <f t="shared" si="286"/>
        <v>0</v>
      </c>
      <c r="ER248" s="12" t="str">
        <f t="shared" si="331"/>
        <v>Диаммофоска</v>
      </c>
      <c r="ES248" s="12">
        <f t="shared" si="287"/>
        <v>0.1</v>
      </c>
      <c r="ET248" s="12">
        <f t="shared" si="288"/>
        <v>0.26</v>
      </c>
      <c r="EU248" s="12">
        <f t="shared" si="289"/>
        <v>0.26</v>
      </c>
      <c r="EV248" s="12" t="str">
        <f t="shared" si="332"/>
        <v>Аммофос 12:52:00</v>
      </c>
      <c r="EW248" s="12" t="str">
        <f t="shared" si="333"/>
        <v>Кемира Свекловичное-6</v>
      </c>
      <c r="EX248" s="12">
        <f t="shared" si="290"/>
        <v>0.16</v>
      </c>
      <c r="EY248" s="12">
        <f t="shared" si="291"/>
        <v>0.12</v>
      </c>
      <c r="EZ248" s="12">
        <f t="shared" si="292"/>
        <v>0.17</v>
      </c>
      <c r="FA248" s="38" t="e">
        <f>IF(AND(OR(FJ248=$FD$1,FM248=$FD$1,FO248=$FD$1,FQ248=$FD$1,FS248=$FD$1),FD248=$FD$1,Исходн.данные.!J248&lt;2,FU248=$FD$1),"Бор,Кобальт",IF(AND(FO248=$FD$1,FH248=$FD$1,Исходн.данные.!J248&lt;2,FU248=$FD$1),"Бор,Кобальт",IF(AND(OR(FJ248=$FD$1,FM248=$FD$1,FQ248=$FD$1),FE248=$FD$1,Исходн.данные.!J248&lt;2,FT248=$FD$1,FU248=$FD$1),"Бор,Медь,Цинк",IF(AND(OR(FJ248=$FD$1,FR248="Да"),FI248="Да",Исходн.данные.!J248&lt;2,FT248="Да",FU248="Да"),"Бор,Цинк,Медь",IF(AND(OR(FM248="Да",FQ248="Да"),FI248="Да",Исходн.данные.!J248&lt;2,FT248="Да",FU248="Да"),"Бор,Цинк",IF(AND(FN248="Да",OR(FD248="Да",FE248="Да")),"Бор",FB248))))))</f>
        <v>#N/A</v>
      </c>
      <c r="FB248" s="134" t="e">
        <f>IF(AND(OR(FD248="Да",FE248="Да",FF248="Да",FG248="Да",FH248="Да"),FO248="Да"),"Бор",IF(AND(FP248="Да",OR(FD248="Да",FE248="Да",FI248="Да")),"Бор",IF(AND(FS248="Да",FE248="Да"),"Бор,Медь",IF(AND(OR(FJ248="Да",FK248="Да",FL248="Да"),FE248="Да",Исходн.данные.!I248&lt;5,FT248="Да",FU248="Да"),"Молибден,Цинк",IF(AND(FM248="Да",OR(FE248="Да",FF248="Да",FG248="Да",FH248="Да",FI248="Да")),"Молибден,Цинк",IF(AND(OR(FJ248="Да",FK248="Да",FL248="Да",FM248="Да",FQ248="Да"),OR(FE248="Да",FF248="Да"),FT248="Да",FU248="Да",Исходн.данные.!I248&gt;5.5),"Медь,Цинк",FC248))))))</f>
        <v>#N/A</v>
      </c>
      <c r="FC248" s="23" t="e">
        <f t="shared" si="334"/>
        <v>#N/A</v>
      </c>
      <c r="FD248" s="38" t="str">
        <f>IF(OR(Исходн.данные.!F248=$CC$1,Исходн.данные.!F248=$CC$2,Исходн.данные.!F248=$CC$3,Исходн.данные.!F248=$CC$4),"Да","Нет")</f>
        <v>Нет</v>
      </c>
      <c r="FE248" s="38" t="str">
        <f>IF(Исходн.данные.!F248=$CC$5,"Да","Нет")</f>
        <v>Нет</v>
      </c>
      <c r="FF248" s="38" t="str">
        <f>IF(OR(Исходн.данные.!F248=$CC$6,Исходн.данные.!F248=$CC$7),"Да","Нет")</f>
        <v>Нет</v>
      </c>
      <c r="FG248" s="38" t="str">
        <f>IF(OR(Исходн.данные.!F248=$CC$8,Исходн.данные.!F248=$CC$9),"Да","Нет")</f>
        <v>Нет</v>
      </c>
      <c r="FH248" s="38" t="str">
        <f>IF(Исходн.данные.!F248=$CC$10,"Да","Нет")</f>
        <v>Нет</v>
      </c>
      <c r="FI248" s="38" t="str">
        <f>IF(OR(Исходн.данные.!F248=$CC$11,Исходн.данные.!F248=$CC$12),"Да","Нет")</f>
        <v>Нет</v>
      </c>
      <c r="FJ248" s="38" t="str">
        <f>IF(OR(Исходн.данные.!AH248=$BS$1,Исходн.данные.!AH248=$BQ$11,Исходн.данные.!AH248=$BQ$12),"Да","Нет")</f>
        <v>Нет</v>
      </c>
      <c r="FK248" s="38" t="str">
        <f>IF(OR(Исходн.данные.!AH248=$BS$2,Исходн.данные.!AH248=$BS$4),"Да","Нет")</f>
        <v>Нет</v>
      </c>
      <c r="FL248" s="38" t="str">
        <f>IF(OR(Исходн.данные.!AH248=$BS$3,Исходн.данные.!AH248=$BS$5),"Да","Нет")</f>
        <v>Нет</v>
      </c>
      <c r="FM248" s="38" t="str">
        <f>IF(OR(Исходн.данные.!AH248=$BS$9,Исходн.данные.!AH248=$BS$10,Исходн.данные.!AH248=$BS$11,Исходн.данные.!AH248=$BS$12),"Да","Нет")</f>
        <v>Нет</v>
      </c>
      <c r="FN248" s="38" t="str">
        <f>IF(OR(Исходн.данные.!AH248=$BS$6,Исходн.данные.!AH248=$BP$3),"Да","Нет")</f>
        <v>Нет</v>
      </c>
      <c r="FO248" s="38" t="str">
        <f>IF(Исходн.данные.!AH248=$BQ$9,"Да","Нет")</f>
        <v>Нет</v>
      </c>
      <c r="FP248" s="38" t="str">
        <f>IF(OR(Исходн.данные.!AH248=$BS$8,Исходн.данные.!AH248=$BT$8),"Да","Нет")</f>
        <v>Нет</v>
      </c>
      <c r="FQ248" s="38" t="str">
        <f>IF(OR(Исходн.данные.!AH248=$BQ$7,Исходн.данные.!AH248=$BQ$8),"Да","Нет")</f>
        <v>Нет</v>
      </c>
      <c r="FR248" s="38" t="str">
        <f>IF(Исходн.данные.!AI248=$BU$9,"Да","Нет")</f>
        <v>Нет</v>
      </c>
      <c r="FS248" s="38" t="str">
        <f>IF(OR(Исходн.данные.!AH248=$BP$1,Исходн.данные.!AH248=$BP$2),"Да","Нет")</f>
        <v>Нет</v>
      </c>
      <c r="FT248" s="38" t="e">
        <f>IF((Исходн.данные.!K248*GO248*GS248*GW248+BL248*0.6+Исходн.данные.!Q248*4.5*0.275)&gt;90,"Да","Нет")</f>
        <v>#N/A</v>
      </c>
      <c r="FU248" s="38" t="e">
        <f>IF((Исходн.данные.!M248*GS248*GZ248+BM248*0.225)&gt;35,"Да","Нет")</f>
        <v>#N/A</v>
      </c>
      <c r="FV248" s="38" t="str">
        <f>IF(Исходн.данные.!O248&gt;175,"Да","Нет")</f>
        <v>Нет</v>
      </c>
      <c r="FW248" s="39" t="str">
        <f>IF(Исходн.данные.!I248&gt;5.5,"Да","Нет")</f>
        <v>Нет</v>
      </c>
      <c r="FX248" s="39" t="str">
        <f>IF(Исходн.данные.!J248&lt;2,"Да","Нет")</f>
        <v>Да</v>
      </c>
      <c r="FY248" s="39" t="e">
        <f>IF(HF248=$FY$16,0,Исходн.данные.!K248*GO248*GS248*GW248/HF248)</f>
        <v>#N/A</v>
      </c>
      <c r="FZ248" s="39" t="e">
        <f>Исходн.данные.!M248*GS248*GZ248/HG248</f>
        <v>#N/A</v>
      </c>
      <c r="GA248" s="39" t="e">
        <f>IF(K_Wyn=$FY$16,0,IF(Исходн.данные.!N248=Исходн.данные.!$L$10,Исходн.данные.!O248/1.1*GS248*HC248/HH248,IF(Исходн.данные.!N248=Исходн.данные.!$L$12,Исходн.данные.!O248/1.5*GS248*HC248/HH248,Исходн.данные.!O248*GS248*HC248/HH248)))</f>
        <v>#N/A</v>
      </c>
      <c r="GB248" s="39" t="e">
        <f>IF(HF248=$FY$16,0,((Исходн.данные.!Q248*N_Org+Исходн.данные.!R248*N_Sider+Исходн.данные.!S248*N_Soloma)*AO248+Расчет!BC248*VLOOKUP(Исходн.данные.!T248,Справ!$A$3:$O$57,15)*AO248+BB248*VLOOKUP(Исходн.данные.!T248,Справ!$A$3:$O$57,15)*AL248+(Исходн.данные.!V248*N_Rizotorf+Исходн.данные.!W248*N_Rizoagr))/HF248)</f>
        <v>#N/A</v>
      </c>
      <c r="GC248" s="39" t="e">
        <f>IF(HG248=$FY$16,0,((Исходн.данные.!Q248*Р_Org+Исходн.данные.!R248*P_Sider+Исходн.данные.!S248*P_Soloma)*AP248+Расчет!BC248*VLOOKUP(Исходн.данные.!T248,Справ!$A$3:$P$57,16)*AP248+BB248*VLOOKUP(Исходн.данные.!T248,Справ!$A$3:$P$57,16)*AM248)/HG248)</f>
        <v>#N/A</v>
      </c>
      <c r="GD248" s="39" t="e">
        <f>IF(HH248=$FY$16,0,((Исходн.данные.!Q248*К_Org+Исходн.данные.!R248*K_Sider+Исходн.данные.!S248*K_Soloma)*AQ248+Расчет!BC248*VLOOKUP(Исходн.данные.!T248,Справ!$A$3:$Q$57,17)*AQ248+BB248*VLOOKUP(Исходн.данные.!T248,Справ!$A$3:$Q$57,17)*AN248)/HH248)</f>
        <v>#N/A</v>
      </c>
      <c r="GE248" s="39" t="e">
        <f>IF(HF248=$FY$16,0,(Исходн.данные.!X248*AR248+Исходн.данные.!AA248*N_Org*AL248+Исходн.данные.!AB248*N_Sider*AL248+Исходн.данные.!AC248*N_Soloma*AL248)/HF248)</f>
        <v>#N/A</v>
      </c>
      <c r="GF248" s="39" t="e">
        <f>IF(HG248=$FY$16,0,(Исходн.данные.!Y248*AS248+Исходн.данные.!AA248*Р_Org*AM248+Исходн.данные.!AB248*P_Sider*AM248+Исходн.данные.!AC248*P_Soloma*AM248)/HG248)</f>
        <v>#N/A</v>
      </c>
      <c r="GG248" s="39" t="e">
        <f>IF(HH248=$FY$16,0,(Исходн.данные.!Z248*AT248+Исходн.данные.!AA248*К_Org*AN248+Исходн.данные.!AB248*K_Sider*AN248+Исходн.данные.!AC248*K_Soloma*AN248)/HH248)</f>
        <v>#N/A</v>
      </c>
      <c r="GH248" s="39" t="e">
        <f>Исходн.данные.!AD248*AU248/HF248</f>
        <v>#N/A</v>
      </c>
      <c r="GI248" s="39" t="e">
        <f>Исходн.данные.!AE248*AV248/HG248</f>
        <v>#N/A</v>
      </c>
      <c r="GJ248" s="39" t="e">
        <f>Исходн.данные.!AF248*AW248/HH248</f>
        <v>#N/A</v>
      </c>
      <c r="GK248" s="55">
        <f>Исходн.данные.!AK248</f>
        <v>0</v>
      </c>
      <c r="GL248" s="11" t="e">
        <f t="shared" si="335"/>
        <v>#N/A</v>
      </c>
      <c r="GM248" s="11" t="e">
        <f t="shared" si="336"/>
        <v>#N/A</v>
      </c>
      <c r="GN248" s="11" t="e">
        <f t="shared" si="337"/>
        <v>#N/A</v>
      </c>
      <c r="GO248" s="57">
        <f t="shared" si="338"/>
        <v>19</v>
      </c>
      <c r="GP248" s="55">
        <f>IF(OR(Исходн.данные.!F248=$CE$1,Исходн.данные.!F248=$CE$2,Исходн.данные.!F248=$CE$3,Исходн.данные.!F248=$CE$4,Исходн.данные.!F248=$CE$5),GQ248,GR248)</f>
        <v>19</v>
      </c>
      <c r="GQ248" s="55">
        <f>IF(Исходн.данные.!F248=$CE$1,28,IF(Исходн.данные.!F248=$CE$2,26,IF(Исходн.данные.!F248=$CE$3,24,IF(Исходн.данные.!F248=$CE$4,22,IF(Исходн.данные.!F248=$CE$5,20,GR248)))))</f>
        <v>19</v>
      </c>
      <c r="GR248" s="55">
        <f>IF(Исходн.данные.!F248=$CE$6,18,IF(Исходн.данные.!F248=$CE$7,16,IF(Исходн.данные.!F248=$CE$8,14,IF(Исходн.данные.!F248=$CE$9,13,IF(Исходн.данные.!F248=$CE$10,12,19)))))</f>
        <v>19</v>
      </c>
      <c r="GS248" s="55">
        <f>IF(Исходн.данные.!G248="Пес",0.035*(40+2*Исходн.данные.!H248),IF(Исходн.данные.!G248="Суп",0.0325*(40+2*Исходн.данные.!H248),0.03*(40+2*Исходн.данные.!H248)))</f>
        <v>1.2</v>
      </c>
      <c r="GT248" s="55">
        <f>IF(Исходн.данные.!H248&lt;23,2.6,IF(AND(Исходн.данные.!H248&gt;22,Исходн.данные.!H248&lt;26),3,IF(AND(Исходн.данные.!H248&gt;25,Исходн.данные.!H248&lt;29),3.4,3.6)))</f>
        <v>2.6</v>
      </c>
      <c r="GU248" s="55">
        <f>IF(Исходн.данные.!H248&lt;23,2.8,IF(AND(Исходн.данные.!H248&gt;22,Исходн.данные.!H248&lt;26),3.2,IF(AND(Исходн.данные.!H248&gt;25,Исходн.данные.!H248&lt;29),3.6,3.9)))</f>
        <v>2.8</v>
      </c>
      <c r="GV248" s="55">
        <f>IF(Исходн.данные.!H248&lt;23,3,IF(AND(Исходн.данные.!H248&gt;22,Исходн.данные.!H248&lt;26),3.5,IF(AND(Исходн.данные.!H248&gt;25,Исходн.данные.!H248&lt;29),3.9,4.2)))</f>
        <v>3</v>
      </c>
      <c r="GW248" s="55" t="e">
        <f>IF(Исходн.данные.!P248="Ум",GX248,GY248)</f>
        <v>#N/A</v>
      </c>
      <c r="GX248" s="55" t="e">
        <f>VLOOKUP(Исходн.данные.!AI248,Коэффициенты!$J$7:$L$13,2,FALSE)</f>
        <v>#N/A</v>
      </c>
      <c r="GY248" s="55" t="e">
        <f>VLOOKUP(Исходн.данные.!AI248,Коэффициенты!$J$7:$L$13,3,FALSE)</f>
        <v>#N/A</v>
      </c>
      <c r="GZ248" s="55" t="e">
        <f>(IF(Исходн.данные.!M248&lt;50,0.11*VLOOKUP(Исходн.данные.!AH248,Культуры.Информация,7,FALSE),IF(Исходн.данные.!M248&gt;250,0.05*VLOOKUP(Исходн.данные.!AH248,Культуры.Информация,7,FALSE),VLOOKUP(Исходн.данные.!AH248,Культуры.Информация,5,FALSE)/100*($GX$6+$GY$6*Исходн.данные.!M248))))*Расчет2!AI248</f>
        <v>#N/A</v>
      </c>
      <c r="HA248" s="211"/>
      <c r="HB248" s="211"/>
      <c r="HC248" s="55" t="e">
        <f>(IF(Исходн.данные.!O248&lt;80,0.2*VLOOKUP(Исходн.данные.!AH248,Культуры.Информация,8,FALSE),IF(Исходн.данные.!O248&gt;240,0.09*VLOOKUP(Исходн.данные.!AH248,Культуры.Информация,8,FALSE),VLOOKUP(Исходн.данные.!AH248,Культуры.Информация,6,FALSE)/100*($HB$6+$HC$6*Исходн.данные.!O248))))*Расчет2!AJ248</f>
        <v>#N/A</v>
      </c>
      <c r="HD248" s="55">
        <f>IF(Исходн.данные.!O248&gt;240,0.09,IF(Исходн.данные.!O248&lt;30,0.3,$HE$10+$HD$10*Исходн.данные.!O248))</f>
        <v>0.3</v>
      </c>
      <c r="HE248" s="55">
        <f>IF(Исходн.данные.!O248&gt;240,0.17,IF(Исходн.данные.!O248&lt;30,0.5,$HF$12+$HE$12*Исходн.данные.!O248))</f>
        <v>0.5</v>
      </c>
      <c r="HF248" s="55" t="e">
        <f>VLOOKUP(Исходн.данные.!AH248,Справ!$A$3:$D$58,2,FALSE)</f>
        <v>#N/A</v>
      </c>
      <c r="HG248" s="55" t="e">
        <f>VLOOKUP(Исходн.данные.!AH248,Справ!$A$3:$D$58,3,FALSE)</f>
        <v>#N/A</v>
      </c>
      <c r="HH248" s="55" t="e">
        <f>VLOOKUP(Исходн.данные.!AH248,Справ!$A$3:$D$58,4,FALSE)</f>
        <v>#N/A</v>
      </c>
      <c r="HI248" s="11" t="e">
        <f t="shared" si="339"/>
        <v>#N/A</v>
      </c>
      <c r="HJ248" s="11" t="e">
        <f t="shared" si="340"/>
        <v>#N/A</v>
      </c>
      <c r="HK248" s="11" t="e">
        <f t="shared" si="341"/>
        <v>#N/A</v>
      </c>
      <c r="HL248" s="55">
        <f>IF(OR(Исходн.данные.!G248="Глин",Исходн.данные.!G248="Т_суг"),1.1,IF(Исходн.данные.!G248="Ср_суг",1,1))</f>
        <v>1</v>
      </c>
      <c r="HM248" s="55">
        <f>IF(OR(Исходн.данные.!G248="Глин",Исходн.данные.!G248="Т_суг"),0.9,IF(Исходн.данные.!G248="Ср_суг",1,1.2))</f>
        <v>1.2</v>
      </c>
      <c r="HN248" s="11" t="e">
        <f t="shared" si="342"/>
        <v>#N/A</v>
      </c>
      <c r="HO248" s="11" t="e">
        <f t="shared" si="343"/>
        <v>#N/A</v>
      </c>
      <c r="HP248" s="11" t="e">
        <f t="shared" si="344"/>
        <v>#N/A</v>
      </c>
      <c r="HQ248" t="e">
        <f t="shared" si="345"/>
        <v>#N/A</v>
      </c>
      <c r="HR248" t="e">
        <f t="shared" si="346"/>
        <v>#N/A</v>
      </c>
      <c r="HS248" t="e">
        <f t="shared" si="347"/>
        <v>#N/A</v>
      </c>
      <c r="HT248" t="e">
        <f t="shared" si="293"/>
        <v>#N/A</v>
      </c>
      <c r="HU248" t="e">
        <f t="shared" si="294"/>
        <v>#N/A</v>
      </c>
      <c r="HV248" t="e">
        <f t="shared" si="295"/>
        <v>#N/A</v>
      </c>
      <c r="HW248" t="e">
        <f t="shared" si="296"/>
        <v>#N/A</v>
      </c>
      <c r="HX248" t="e">
        <f t="shared" si="297"/>
        <v>#N/A</v>
      </c>
      <c r="HY248" t="e">
        <f t="shared" si="298"/>
        <v>#N/A</v>
      </c>
      <c r="HZ248" s="55">
        <f>IF(OR(Исходн.данные.!AI248="Оз_Ч_П",Исходн.данные.!AI248="Оз_З_П",Исходн.данные.!AI248="Яр_зер"),12,30)</f>
        <v>30</v>
      </c>
      <c r="IA248" t="e">
        <f t="shared" si="348"/>
        <v>#N/A</v>
      </c>
      <c r="IB248" t="e">
        <f t="shared" si="349"/>
        <v>#N/A</v>
      </c>
      <c r="IC248" t="e">
        <f t="shared" si="350"/>
        <v>#N/A</v>
      </c>
      <c r="ID248" s="11" t="e">
        <f t="shared" si="351"/>
        <v>#N/A</v>
      </c>
      <c r="IE248" s="11" t="e">
        <f t="shared" si="352"/>
        <v>#N/A</v>
      </c>
      <c r="IF248" s="11" t="e">
        <f t="shared" si="353"/>
        <v>#N/A</v>
      </c>
    </row>
    <row r="249" spans="35:240" x14ac:dyDescent="0.2">
      <c r="AI249">
        <f>IF(Исходн.данные.!I249&gt;6,1,1.85-(0.148*Исходн.данные.!I249))</f>
        <v>1.85</v>
      </c>
      <c r="AJ249">
        <f>IF(Исходн.данные.!I249&gt;6,1,2.434-(0.246*Исходн.данные.!I249))</f>
        <v>2.4340000000000002</v>
      </c>
      <c r="AL249" s="148" t="b">
        <f>IF(Исходн.данные.!$P249="Ум",N_OrgUd_2g_um,IF(Исходн.данные.!$P249="Об",N_OrgUd_2g_ob))</f>
        <v>0</v>
      </c>
      <c r="AM249" s="148" t="b">
        <f>IF(Исходн.данные.!$P249="Ум",P_OrgUd_2g_um,IF(Исходн.данные.!$P249="Об",P_OrgUd_2g_ob))</f>
        <v>0</v>
      </c>
      <c r="AN249" s="148" t="b">
        <f>IF(Исходн.данные.!$P249="Ум",K_OrgUd_2g_um,IF(Исходн.данные.!$P249="Об",K_OrgUd_2g_ob))</f>
        <v>0</v>
      </c>
      <c r="AO249" s="148" t="b">
        <f>IF(Исходн.данные.!$P249="Ум",N_OrgUd_1g_um,IF(Исходн.данные.!$P249="Об",N_OrgUd_1g_ob))</f>
        <v>0</v>
      </c>
      <c r="AP249" s="148" t="b">
        <f>IF(Исходн.данные.!$P249="Ум",P_OrgUd_1g_um,IF(Исходн.данные.!$P249="Об",P_OrgUd_1g_ob))</f>
        <v>0</v>
      </c>
      <c r="AQ249" s="148" t="b">
        <f>IF(Исходн.данные.!$P249="Ум",K_OrgUd_1g_um,IF(Исходн.данные.!$P249="Об",K_OrgUd_1g_ob))</f>
        <v>0</v>
      </c>
      <c r="AR249" t="b">
        <f>IF(Исходн.данные.!$P249="Ум",N_MinUd_2g_um,IF(Исходн.данные.!$P249="Об",N_MinUd_2g_ob))</f>
        <v>0</v>
      </c>
      <c r="AS249" t="b">
        <f>IF(Исходн.данные.!$P249="Ум",P_MinUd_2g_um,IF(Исходн.данные.!$P249="Об",P_MinUd_2g_ob))</f>
        <v>0</v>
      </c>
      <c r="AT249" t="b">
        <f>IF(Исходн.данные.!$P249="Ум",K_MinUd_2g_um,IF(Исходн.данные.!$P249="Об",K_MinUd_2g_ob))</f>
        <v>0</v>
      </c>
      <c r="AU249" t="b">
        <f>IF(Исходн.данные.!$P249="Ум",N_MinUd_1g_um,IF(Исходн.данные.!$P249="Об",N_MinUd_1g_ob))</f>
        <v>0</v>
      </c>
      <c r="AV249" t="b">
        <f>IF(Исходн.данные.!P249="Ум",P_MinUd_1g_um,IF(Исходн.данные.!P249="Об",P_MinUd_1g_ob))</f>
        <v>0</v>
      </c>
      <c r="AW249" t="b">
        <f>IF(Исходн.данные.!P249="Ум",K_MinUd_1g_um,IF(Исходн.данные.!P249="Об",K_MinUd_1g_ob))</f>
        <v>0</v>
      </c>
      <c r="AY249" t="e">
        <f>VLOOKUP(Исходн.данные.!T249,Справ!$A$3:$N$57,12)</f>
        <v>#N/A</v>
      </c>
      <c r="AZ249" t="e">
        <f>VLOOKUP(Исходн.данные.!T249,Справ!$A$3:$N$57,13)</f>
        <v>#N/A</v>
      </c>
      <c r="BA249" t="e">
        <f>VLOOKUP(Исходн.данные.!T249,Справ!$A$3:$N$57,14)</f>
        <v>#N/A</v>
      </c>
      <c r="BB249">
        <f>IF(Исходн.данные.!AH249=0,0,25)</f>
        <v>0</v>
      </c>
      <c r="BC249" s="141">
        <f>IF(Исходн.данные.!AH249=0,0,IF(Исходн.данные.!T249=0,25,BD249))</f>
        <v>0</v>
      </c>
      <c r="BD249" s="168" t="e">
        <f>AY249+AZ249*Исходн.данные.!U249-POWER(BA249,2)*Исходн.данные.!U249</f>
        <v>#N/A</v>
      </c>
      <c r="BE24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49" s="25">
        <f>IF(Исходн.данные.!AH249=0,0,MIN(HN249:HP249))</f>
        <v>0</v>
      </c>
      <c r="BG249" s="9">
        <f>IF(Исходн.данные.!AH249=0,0,IF((HO249+10*0.25/HG249/HL249)&lt;17,17,HO249+10*0.25/HG249/HL249))</f>
        <v>0</v>
      </c>
      <c r="BH249" s="181">
        <f>IF(Исходн.данные.!AH249=0,0,HW249*HF249*HL249/AU249*AI249+Исходн.данные.!S249*10)</f>
        <v>0</v>
      </c>
      <c r="BI249" s="10"/>
      <c r="BJ249" s="182">
        <f>IF(Исходн.данные.!AH249=0,0,IF(HX249*HG249*HL249/AV249&lt;0,0,HX249*HG249*HL249/AV249*AJ249))</f>
        <v>0</v>
      </c>
      <c r="BK249" s="182">
        <f>IF(Исходн.данные.!AH249=0,0,HY249*HH249*HM249/AW249)</f>
        <v>0</v>
      </c>
      <c r="BL249" s="10">
        <f>IF(OR(Исходн.данные.!$AH249=$BP$1,Исходн.данные.!$AH249=$BP$2),0,IF(BH249&lt;0,0,IF(OR(Исходн.данные.!T249=Расчет!$BP$1,Исходн.данные.!T249=Расчет!$BP$2,Исходн.данные.!T249=Расчет!$BT$5,Исходн.данные.!T249=Расчет!$BT$6),BH249*0.5,IF(OR(Исходн.данные.!T249=Расчет!$BS$9,Исходн.данные.!T249=Расчет!$BS$10,Исходн.данные.!T249=Расчет!$BS$11,Исходн.данные.!T249=Расчет!$BS$12,Исходн.данные.!T249=Расчет!$BP$5),BH249*0.8,BH249))))</f>
        <v>0</v>
      </c>
      <c r="BM249" s="10">
        <f>IF(OR(Исходн.данные.!$AH249=$BP$1,Исходн.данные.!$AH249=$BP$2),0,IF(BJ249&lt;0,0,IF(Исходн.данные.!I249&lt;4.5,BJ249*1.2,IF(Исходн.данные.!I249&gt;5.1,BJ249,BJ249*((5.1-Исходн.данные.!I249)*0.333+1)))))</f>
        <v>0</v>
      </c>
      <c r="BN249" s="10">
        <f>IF(OR(Исходн.данные.!$AH249=$BP$1,Исходн.данные.!$AH249=$BP$2),60-Исходн.данные.!AF249,IF(BK249&lt;0,0,IF(Исходн.данные.!I249&lt;4.5,BK249*1.2,IF(Исходн.данные.!I249&gt;5.1,BK249,BK249*((5.1-Исходн.данные.!I249)*0.333+1)))))</f>
        <v>0</v>
      </c>
      <c r="BO249" s="9">
        <f>IF(BL249&lt;0,0,BL249*Исходн.данные.!$AJ249/1000)</f>
        <v>0</v>
      </c>
      <c r="BP249" s="9">
        <f>IF(BM249&lt;0,0,BM249*Исходн.данные.!$AJ249/1000)</f>
        <v>0</v>
      </c>
      <c r="BQ249" s="9">
        <f>IF(BN249&lt;0,0,BN249*Исходн.данные.!$AJ249/1000)</f>
        <v>0</v>
      </c>
      <c r="BR249" s="9">
        <f t="shared" si="303"/>
        <v>0</v>
      </c>
      <c r="BS249" s="10" t="str">
        <f t="shared" si="304"/>
        <v>Аммофос 12:52:00</v>
      </c>
      <c r="BT249" s="10" t="str">
        <f t="shared" si="305"/>
        <v>Аммофос 12:52:00</v>
      </c>
      <c r="BU249" s="10" t="str">
        <f t="shared" si="306"/>
        <v>Диаммофоска</v>
      </c>
      <c r="BV249" s="10">
        <f t="shared" si="307"/>
        <v>0</v>
      </c>
      <c r="BW249" s="10"/>
      <c r="BX249" s="10"/>
      <c r="BY249" s="9">
        <f>IF(BL249&lt;0,0,IF(OR(Исходн.данные.!AI249=Расчет!$BU$6,Исходн.данные.!AI249=Расчет!$BU$7),Расчет!BV249,IF(Исходн.данные.!$AG249=$BV$11,BL249,IF(OR(Исходн.данные.!$AH249=$BQ$7,Исходн.данные.!$AH249=$BQ$8),CB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0,IF(Исходн.данные.!$AI249=$BU$11,"Нет",IF(BL249&gt;30,30,BL249)))))))</f>
        <v>0</v>
      </c>
      <c r="BZ249" s="9">
        <f>IF(AND(Исходн.данные.!$AG249=$BV$11,BM249&lt;10),10,IF(Исходн.данные.!$AG249=$BV$11,BM249,IF(OR(Исходн.данные.!$AH249=$BQ$7,Исходн.данные.!$AH249=$BQ$8),CC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10,IF(Исходн.данные.!$AI249=$BU$11,"Нет",IF(BM249&gt;60,60,IF(BM249&lt;10,10,BM249)))))))</f>
        <v>10</v>
      </c>
      <c r="CA249" s="39">
        <f>IF(BN249&lt;0,0,IF(Исходн.данные.!$AG249=$BV$11,BN249,IF(OR(Исходн.данные.!$AH249=$BQ$7,Исходн.данные.!$AH249=$BQ$8),CD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0,IF(Исходн.данные.!$AI249=$BU$11,"Нет",IF(BN249&gt;30,30,BN249))))))</f>
        <v>0</v>
      </c>
      <c r="CB249" s="9">
        <f t="shared" si="308"/>
        <v>0</v>
      </c>
      <c r="CC249" s="9">
        <f t="shared" si="309"/>
        <v>0</v>
      </c>
      <c r="CD249" s="9">
        <f t="shared" si="310"/>
        <v>0</v>
      </c>
      <c r="CE249" s="12">
        <f t="shared" si="311"/>
        <v>10</v>
      </c>
      <c r="CF249" s="9">
        <f t="shared" si="312"/>
        <v>0</v>
      </c>
      <c r="CG249" s="9" t="s">
        <v>231</v>
      </c>
      <c r="CH249" s="132" t="str">
        <f>IF(Исходн.данные.!AP249=Расчет!$CI$16,"Нет",IF(Исходн.данные.!AL249&gt;0,Исходн.данные.!AL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BH$4,IF(OR(Исходн.данные.!AI249=Исходн.данные.!$AI$6,Исходн.данные.!AI249=Исходн.данные.!$AI$7),Расчет!BS249,IF(AND($CF249=0,$CE249&gt;0),EV249,ER249)))))</f>
        <v>Аммофос 12:52:00</v>
      </c>
      <c r="CI249" s="274">
        <f>IF(Расчет!$CH249="Нет","Нет",IF(Исходн.данные.!$AL249&gt;0,VLOOKUP(Расчет!$CH249,АшламаДВ_Irekle,2,FALSE),VLOOKUP(Расчет!$CH249,АшламаДВ_Gomumy,2,FALSE)))</f>
        <v>0.12</v>
      </c>
      <c r="CJ249" s="274">
        <f>IF(Расчет!$CH249="Нет","Нет",IF(Исходн.данные.!$AL249&gt;0,VLOOKUP(Расчет!$CH249,АшламаДВ_Irekle,3,FALSE),VLOOKUP(Расчет!$CH249,АшламаДВ_Gomumy,3,FALSE)))</f>
        <v>0.52</v>
      </c>
      <c r="CK249" s="274">
        <f>IF(Расчет!$CH249="Нет","Нет",IF(Исходн.данные.!$AL249&gt;0,VLOOKUP(Расчет!$CH249,АшламаДВ_Irekle,4,FALSE),VLOOKUP(Расчет!$CH249,АшламаДВ_Gomumy,4,FALSE)))</f>
        <v>0</v>
      </c>
      <c r="CL249" s="70"/>
      <c r="CM249" s="70"/>
      <c r="CN249" s="70"/>
      <c r="CO249" s="70"/>
      <c r="CP249" s="70"/>
      <c r="CQ249" s="70"/>
      <c r="CR249" s="10">
        <f t="shared" si="313"/>
        <v>0</v>
      </c>
      <c r="CS249" s="10">
        <f t="shared" si="314"/>
        <v>19.23076923076923</v>
      </c>
      <c r="CT249" s="10">
        <f t="shared" si="315"/>
        <v>0</v>
      </c>
      <c r="CU249" s="39">
        <f>IF($CH249="Нет",0,IF(CI249=0,30/MIN(CJ249:CK249),IF(Исходн.данные.!$AG249=$BV$11,CR249,IF(OR(Исходн.данные.!$AH249=$BQ$7,Исходн.данные.!$AH249=$BQ$8),90/CI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0,IF(Исходн.данные.!$AI249=$BU$11,"Нет",30/CI249))))))</f>
        <v>250</v>
      </c>
      <c r="CV249" s="39">
        <f>IF($CH249="Нет",0,IF(Исходн.данные.!AH249=0,0,IF(CJ249=0,60/MIN(CI249,CK249),IF(Исходн.данные.!$AG249=$BV$11,CS249,IF(OR(Исходн.данные.!$AH249=$BQ$7,Исходн.данные.!$AH249=$BQ$8),90/CJ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10/CJ249,IF(Исходн.данные.!$AI249=$BU$11,"Нет",60/CJ249)))))))</f>
        <v>0</v>
      </c>
      <c r="CW249" s="39">
        <f>IF($CH249="Нет",0,IF(Исходн.данные.!AH249=0,0,IF(CK249=0,30/MIN(CI249:CJ249),IF(Исходн.данные.!$AG249=$BV$11,CT249,IF(OR(Исходн.данные.!$AH249=$BQ$7,Исходн.данные.!$AH249=$BQ$8),90/CK249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0,IF(Исходн.данные.!$AI249=$BU$11,"Нет",30/CK249)))))))</f>
        <v>0</v>
      </c>
      <c r="CX249" s="133">
        <f>IF(Исходн.данные.!$AG249=$BV$11,MAX(CU249:CW249),IF(OR(Исходн.данные.!$AH249=$BS$8,Исходн.данные.!$AH249=$BQ$9,Исходн.данные.!$AH249=$BQ$10,Исходн.данные.!$AH249=$BQ$11,Исходн.данные.!$AH249=$BQ$12,Исходн.данные.!$AH249=$BP$3,Исходн.данные.!$AH249=$BT$8,$FM249="Да"),CV249,MIN(CU249:CW249)))</f>
        <v>0</v>
      </c>
      <c r="CY249" s="133">
        <f>IF(Исходн.данные.!AH249=0,0,IF(CR249&gt;$CX249,$CX249,CR249))</f>
        <v>0</v>
      </c>
      <c r="CZ249" s="133">
        <f>IF(Исходн.данные.!AH249=0,0,IF(CS249&gt;$CX249,$CX249,CS249))</f>
        <v>0</v>
      </c>
      <c r="DA249" s="133">
        <f>IF(Исходн.данные.!AH249=0,0,IF(CT249&gt;$CX249,$CX249,CT249))</f>
        <v>0</v>
      </c>
      <c r="DB249" s="10">
        <f t="shared" si="316"/>
        <v>0</v>
      </c>
      <c r="DC249" s="39">
        <f>DB249*Исходн.данные.!AJ249/1000</f>
        <v>0</v>
      </c>
      <c r="DD249" s="71">
        <f t="shared" si="317"/>
        <v>0</v>
      </c>
      <c r="DE249" s="9">
        <f t="shared" si="318"/>
        <v>0</v>
      </c>
      <c r="DF249" s="9">
        <f t="shared" si="319"/>
        <v>0</v>
      </c>
      <c r="DG249" s="39">
        <f>IF(BL249&lt;0,0,IF($CH249="Нет",BL249,IF(OR(Исходн.данные.!$AH249=$BP$1,Исходн.данные.!$AH249=$BP$2),0,IF(Исходн.данные.!AI249=$BU$11,BL249,IF(BL249-DD249&lt;0,0,BL249-DD249)))))</f>
        <v>0</v>
      </c>
      <c r="DH249" s="39">
        <f>IF(BM249&lt;0,0,IF($CH249="Нет",BM249,IF(OR(Исходн.данные.!$AH249=$BP$1,Исходн.данные.!$AH249=$BP$2),0,IF(Исходн.данные.!AJ249=$BU$11,BM249,IF(BM249-DE249&lt;0,0,BM249-DE249)))))</f>
        <v>0</v>
      </c>
      <c r="DI249" s="39">
        <f>IF(BN249&lt;0,0,IF($CH249="Нет",BN249,IF(OR(Исходн.данные.!$AH249=$BP$1,Исходн.данные.!$AH249=$BP$2),0,IF(Исходн.данные.!AK249=$BU$11,BN249,IF(BN249-DF249&lt;0,0,BN249-DF249)))))</f>
        <v>0</v>
      </c>
      <c r="DJ249" s="12">
        <f t="shared" si="320"/>
        <v>0</v>
      </c>
      <c r="DK249" s="9">
        <f t="shared" si="321"/>
        <v>0</v>
      </c>
      <c r="DL249" s="39">
        <f>IF(Исходн.данные.!AM249&gt;0,Исходн.данные.!AM249,IF(EG249&gt;0,$BH$10,0))</f>
        <v>0</v>
      </c>
      <c r="DM249" s="186">
        <f>IF($DL249=0,0,IF(Исходн.данные.!AM249&gt;0,VLOOKUP($DL249,АшламаДВ_Irekle,2,FALSE),VLOOKUP($DL249,АшламаДВ_Gomumy,2,FALSE)))</f>
        <v>0</v>
      </c>
      <c r="DN249" s="10">
        <f t="shared" si="299"/>
        <v>0</v>
      </c>
      <c r="DO249" s="9" t="str">
        <f>IF(Исходн.данные.!AN249&gt;0,Исходн.данные.!AN249,Удобрения!$B$37 )</f>
        <v>Хлор.калий</v>
      </c>
      <c r="DP249" s="9">
        <f>IF(Исходн.данные.!AN249&gt;0,VLOOKUP(Исходн.данные.!AN249,АшламаДВ_Irekle,4,FALSE),VLOOKUP(DO249,АшламаДВ_Gomumy,4,FALSE))</f>
        <v>0.6</v>
      </c>
      <c r="DQ249" s="10">
        <f t="shared" si="300"/>
        <v>0</v>
      </c>
      <c r="DR249" s="132" t="str">
        <f>IF(Исходн.данные.!AO249&gt;0,Исходн.данные.!AO249,IF(DH249=0,BS$17,IF(AND($DK249=0,$DJ249&gt;0),EJ249,EN249)))</f>
        <v>Нет</v>
      </c>
      <c r="DS249" s="70" t="str">
        <f>IF($DR249="Нет","Нет",IF(Исходн.данные.!$AO249&gt;0,VLOOKUP($DR249,АшламаДВ_Irekle,2,FALSE),VLOOKUP($DR249,АшламаДВ_Gomumy,2,FALSE)))</f>
        <v>Нет</v>
      </c>
      <c r="DT249" s="70" t="str">
        <f>IF($DR249="Нет","Нет",IF(Исходн.данные.!$AO249&gt;0,VLOOKUP($DR249,АшламаДВ_Irekle,3,FALSE),VLOOKUP($DR249,АшламаДВ_Gomumy,3,FALSE)))</f>
        <v>Нет</v>
      </c>
      <c r="DU249" s="70" t="str">
        <f>IF($DR249="Нет","Нет",IF(Исходн.данные.!$AO249&gt;0,VLOOKUP($DR249,АшламаДВ_Irekle,4,FALSE),VLOOKUP($DR249,АшламаДВ_Gomumy,4,FALSE)))</f>
        <v>Нет</v>
      </c>
      <c r="DV249" s="70"/>
      <c r="DW249" s="70"/>
      <c r="DX249" s="70"/>
      <c r="DY249" s="10">
        <f t="shared" si="322"/>
        <v>0</v>
      </c>
      <c r="DZ249" s="10">
        <f t="shared" si="323"/>
        <v>0</v>
      </c>
      <c r="EA249" s="10">
        <f t="shared" si="324"/>
        <v>0</v>
      </c>
      <c r="EB249" s="10">
        <f t="shared" si="325"/>
        <v>0</v>
      </c>
      <c r="EC249" s="10">
        <f t="shared" si="326"/>
        <v>0</v>
      </c>
      <c r="ED249" s="10">
        <f t="shared" si="327"/>
        <v>0</v>
      </c>
      <c r="EE249" s="10">
        <f t="shared" si="328"/>
        <v>0</v>
      </c>
      <c r="EF249" s="39">
        <f>EB249*Исходн.данные.!AJ249/1000</f>
        <v>0</v>
      </c>
      <c r="EG249" s="9">
        <f t="shared" si="329"/>
        <v>0</v>
      </c>
      <c r="EH249" s="9">
        <f t="shared" si="330"/>
        <v>0</v>
      </c>
      <c r="EI249" s="39" t="e">
        <f t="shared" si="280"/>
        <v>#DIV/0!</v>
      </c>
      <c r="EJ249" s="9" t="str">
        <f t="shared" si="301"/>
        <v>Азопреципитат</v>
      </c>
      <c r="EK249" s="12">
        <f t="shared" si="281"/>
        <v>0.26</v>
      </c>
      <c r="EL249" s="12">
        <f t="shared" si="282"/>
        <v>0.13</v>
      </c>
      <c r="EM249" s="12">
        <f t="shared" si="283"/>
        <v>0</v>
      </c>
      <c r="EN249" s="12" t="str">
        <f t="shared" si="302"/>
        <v>Нет</v>
      </c>
      <c r="EO249" s="12">
        <f t="shared" si="284"/>
        <v>0</v>
      </c>
      <c r="EP249" s="12">
        <f t="shared" si="285"/>
        <v>0</v>
      </c>
      <c r="EQ249" s="12">
        <f t="shared" si="286"/>
        <v>0</v>
      </c>
      <c r="ER249" s="12" t="str">
        <f t="shared" si="331"/>
        <v>Диаммофоска</v>
      </c>
      <c r="ES249" s="12">
        <f t="shared" si="287"/>
        <v>0.1</v>
      </c>
      <c r="ET249" s="12">
        <f t="shared" si="288"/>
        <v>0.26</v>
      </c>
      <c r="EU249" s="12">
        <f t="shared" si="289"/>
        <v>0.26</v>
      </c>
      <c r="EV249" s="12" t="str">
        <f t="shared" si="332"/>
        <v>Аммофос 12:52:00</v>
      </c>
      <c r="EW249" s="12" t="str">
        <f t="shared" si="333"/>
        <v>Кемира Свекловичное-6</v>
      </c>
      <c r="EX249" s="12">
        <f t="shared" si="290"/>
        <v>0.16</v>
      </c>
      <c r="EY249" s="12">
        <f t="shared" si="291"/>
        <v>0.12</v>
      </c>
      <c r="EZ249" s="12">
        <f t="shared" si="292"/>
        <v>0.17</v>
      </c>
      <c r="FA249" s="38" t="e">
        <f>IF(AND(OR(FJ249=$FD$1,FM249=$FD$1,FO249=$FD$1,FQ249=$FD$1,FS249=$FD$1),FD249=$FD$1,Исходн.данные.!J249&lt;2,FU249=$FD$1),"Бор,Кобальт",IF(AND(FO249=$FD$1,FH249=$FD$1,Исходн.данные.!J249&lt;2,FU249=$FD$1),"Бор,Кобальт",IF(AND(OR(FJ249=$FD$1,FM249=$FD$1,FQ249=$FD$1),FE249=$FD$1,Исходн.данные.!J249&lt;2,FT249=$FD$1,FU249=$FD$1),"Бор,Медь,Цинк",IF(AND(OR(FJ249=$FD$1,FR249="Да"),FI249="Да",Исходн.данные.!J249&lt;2,FT249="Да",FU249="Да"),"Бор,Цинк,Медь",IF(AND(OR(FM249="Да",FQ249="Да"),FI249="Да",Исходн.данные.!J249&lt;2,FT249="Да",FU249="Да"),"Бор,Цинк",IF(AND(FN249="Да",OR(FD249="Да",FE249="Да")),"Бор",FB249))))))</f>
        <v>#N/A</v>
      </c>
      <c r="FB249" s="134" t="e">
        <f>IF(AND(OR(FD249="Да",FE249="Да",FF249="Да",FG249="Да",FH249="Да"),FO249="Да"),"Бор",IF(AND(FP249="Да",OR(FD249="Да",FE249="Да",FI249="Да")),"Бор",IF(AND(FS249="Да",FE249="Да"),"Бор,Медь",IF(AND(OR(FJ249="Да",FK249="Да",FL249="Да"),FE249="Да",Исходн.данные.!I249&lt;5,FT249="Да",FU249="Да"),"Молибден,Цинк",IF(AND(FM249="Да",OR(FE249="Да",FF249="Да",FG249="Да",FH249="Да",FI249="Да")),"Молибден,Цинк",IF(AND(OR(FJ249="Да",FK249="Да",FL249="Да",FM249="Да",FQ249="Да"),OR(FE249="Да",FF249="Да"),FT249="Да",FU249="Да",Исходн.данные.!I249&gt;5.5),"Медь,Цинк",FC249))))))</f>
        <v>#N/A</v>
      </c>
      <c r="FC249" s="23" t="e">
        <f t="shared" si="334"/>
        <v>#N/A</v>
      </c>
      <c r="FD249" s="38" t="str">
        <f>IF(OR(Исходн.данные.!F249=$CC$1,Исходн.данные.!F249=$CC$2,Исходн.данные.!F249=$CC$3,Исходн.данные.!F249=$CC$4),"Да","Нет")</f>
        <v>Нет</v>
      </c>
      <c r="FE249" s="38" t="str">
        <f>IF(Исходн.данные.!F249=$CC$5,"Да","Нет")</f>
        <v>Нет</v>
      </c>
      <c r="FF249" s="38" t="str">
        <f>IF(OR(Исходн.данные.!F249=$CC$6,Исходн.данные.!F249=$CC$7),"Да","Нет")</f>
        <v>Нет</v>
      </c>
      <c r="FG249" s="38" t="str">
        <f>IF(OR(Исходн.данные.!F249=$CC$8,Исходн.данные.!F249=$CC$9),"Да","Нет")</f>
        <v>Нет</v>
      </c>
      <c r="FH249" s="38" t="str">
        <f>IF(Исходн.данные.!F249=$CC$10,"Да","Нет")</f>
        <v>Нет</v>
      </c>
      <c r="FI249" s="38" t="str">
        <f>IF(OR(Исходн.данные.!F249=$CC$11,Исходн.данные.!F249=$CC$12),"Да","Нет")</f>
        <v>Нет</v>
      </c>
      <c r="FJ249" s="38" t="str">
        <f>IF(OR(Исходн.данные.!AH249=$BS$1,Исходн.данные.!AH249=$BQ$11,Исходн.данные.!AH249=$BQ$12),"Да","Нет")</f>
        <v>Нет</v>
      </c>
      <c r="FK249" s="38" t="str">
        <f>IF(OR(Исходн.данные.!AH249=$BS$2,Исходн.данные.!AH249=$BS$4),"Да","Нет")</f>
        <v>Нет</v>
      </c>
      <c r="FL249" s="38" t="str">
        <f>IF(OR(Исходн.данные.!AH249=$BS$3,Исходн.данные.!AH249=$BS$5),"Да","Нет")</f>
        <v>Нет</v>
      </c>
      <c r="FM249" s="38" t="str">
        <f>IF(OR(Исходн.данные.!AH249=$BS$9,Исходн.данные.!AH249=$BS$10,Исходн.данные.!AH249=$BS$11,Исходн.данные.!AH249=$BS$12),"Да","Нет")</f>
        <v>Нет</v>
      </c>
      <c r="FN249" s="38" t="str">
        <f>IF(OR(Исходн.данные.!AH249=$BS$6,Исходн.данные.!AH249=$BP$3),"Да","Нет")</f>
        <v>Нет</v>
      </c>
      <c r="FO249" s="38" t="str">
        <f>IF(Исходн.данные.!AH249=$BQ$9,"Да","Нет")</f>
        <v>Нет</v>
      </c>
      <c r="FP249" s="38" t="str">
        <f>IF(OR(Исходн.данные.!AH249=$BS$8,Исходн.данные.!AH249=$BT$8),"Да","Нет")</f>
        <v>Нет</v>
      </c>
      <c r="FQ249" s="38" t="str">
        <f>IF(OR(Исходн.данные.!AH249=$BQ$7,Исходн.данные.!AH249=$BQ$8),"Да","Нет")</f>
        <v>Нет</v>
      </c>
      <c r="FR249" s="38" t="str">
        <f>IF(Исходн.данные.!AI249=$BU$9,"Да","Нет")</f>
        <v>Нет</v>
      </c>
      <c r="FS249" s="38" t="str">
        <f>IF(OR(Исходн.данные.!AH249=$BP$1,Исходн.данные.!AH249=$BP$2),"Да","Нет")</f>
        <v>Нет</v>
      </c>
      <c r="FT249" s="38" t="e">
        <f>IF((Исходн.данные.!K249*GO249*GS249*GW249+BL249*0.6+Исходн.данные.!Q249*4.5*0.275)&gt;90,"Да","Нет")</f>
        <v>#N/A</v>
      </c>
      <c r="FU249" s="38" t="e">
        <f>IF((Исходн.данные.!M249*GS249*GZ249+BM249*0.225)&gt;35,"Да","Нет")</f>
        <v>#N/A</v>
      </c>
      <c r="FV249" s="38" t="str">
        <f>IF(Исходн.данные.!O249&gt;175,"Да","Нет")</f>
        <v>Нет</v>
      </c>
      <c r="FW249" s="39" t="str">
        <f>IF(Исходн.данные.!I249&gt;5.5,"Да","Нет")</f>
        <v>Нет</v>
      </c>
      <c r="FX249" s="39" t="str">
        <f>IF(Исходн.данные.!J249&lt;2,"Да","Нет")</f>
        <v>Да</v>
      </c>
      <c r="FY249" s="39" t="e">
        <f>IF(HF249=$FY$16,0,Исходн.данные.!K249*GO249*GS249*GW249/HF249)</f>
        <v>#N/A</v>
      </c>
      <c r="FZ249" s="39" t="e">
        <f>Исходн.данные.!M249*GS249*GZ249/HG249</f>
        <v>#N/A</v>
      </c>
      <c r="GA249" s="39" t="e">
        <f>IF(K_Wyn=$FY$16,0,IF(Исходн.данные.!N249=Исходн.данные.!$L$10,Исходн.данные.!O249/1.1*GS249*HC249/HH249,IF(Исходн.данные.!N249=Исходн.данные.!$L$12,Исходн.данные.!O249/1.5*GS249*HC249/HH249,Исходн.данные.!O249*GS249*HC249/HH249)))</f>
        <v>#N/A</v>
      </c>
      <c r="GB249" s="39" t="e">
        <f>IF(HF249=$FY$16,0,((Исходн.данные.!Q249*N_Org+Исходн.данные.!R249*N_Sider+Исходн.данные.!S249*N_Soloma)*AO249+Расчет!BC249*VLOOKUP(Исходн.данные.!T249,Справ!$A$3:$O$57,15)*AO249+BB249*VLOOKUP(Исходн.данные.!T249,Справ!$A$3:$O$57,15)*AL249+(Исходн.данные.!V249*N_Rizotorf+Исходн.данные.!W249*N_Rizoagr))/HF249)</f>
        <v>#N/A</v>
      </c>
      <c r="GC249" s="39" t="e">
        <f>IF(HG249=$FY$16,0,((Исходн.данные.!Q249*Р_Org+Исходн.данные.!R249*P_Sider+Исходн.данные.!S249*P_Soloma)*AP249+Расчет!BC249*VLOOKUP(Исходн.данные.!T249,Справ!$A$3:$P$57,16)*AP249+BB249*VLOOKUP(Исходн.данные.!T249,Справ!$A$3:$P$57,16)*AM249)/HG249)</f>
        <v>#N/A</v>
      </c>
      <c r="GD249" s="39" t="e">
        <f>IF(HH249=$FY$16,0,((Исходн.данные.!Q249*К_Org+Исходн.данные.!R249*K_Sider+Исходн.данные.!S249*K_Soloma)*AQ249+Расчет!BC249*VLOOKUP(Исходн.данные.!T249,Справ!$A$3:$Q$57,17)*AQ249+BB249*VLOOKUP(Исходн.данные.!T249,Справ!$A$3:$Q$57,17)*AN249)/HH249)</f>
        <v>#N/A</v>
      </c>
      <c r="GE249" s="39" t="e">
        <f>IF(HF249=$FY$16,0,(Исходн.данные.!X249*AR249+Исходн.данные.!AA249*N_Org*AL249+Исходн.данные.!AB249*N_Sider*AL249+Исходн.данные.!AC249*N_Soloma*AL249)/HF249)</f>
        <v>#N/A</v>
      </c>
      <c r="GF249" s="39" t="e">
        <f>IF(HG249=$FY$16,0,(Исходн.данные.!Y249*AS249+Исходн.данные.!AA249*Р_Org*AM249+Исходн.данные.!AB249*P_Sider*AM249+Исходн.данные.!AC249*P_Soloma*AM249)/HG249)</f>
        <v>#N/A</v>
      </c>
      <c r="GG249" s="39" t="e">
        <f>IF(HH249=$FY$16,0,(Исходн.данные.!Z249*AT249+Исходн.данные.!AA249*К_Org*AN249+Исходн.данные.!AB249*K_Sider*AN249+Исходн.данные.!AC249*K_Soloma*AN249)/HH249)</f>
        <v>#N/A</v>
      </c>
      <c r="GH249" s="39" t="e">
        <f>Исходн.данные.!AD249*AU249/HF249</f>
        <v>#N/A</v>
      </c>
      <c r="GI249" s="39" t="e">
        <f>Исходн.данные.!AE249*AV249/HG249</f>
        <v>#N/A</v>
      </c>
      <c r="GJ249" s="39" t="e">
        <f>Исходн.данные.!AF249*AW249/HH249</f>
        <v>#N/A</v>
      </c>
      <c r="GK249" s="55">
        <f>Исходн.данные.!AK249</f>
        <v>0</v>
      </c>
      <c r="GL249" s="11" t="e">
        <f t="shared" si="335"/>
        <v>#N/A</v>
      </c>
      <c r="GM249" s="11" t="e">
        <f t="shared" si="336"/>
        <v>#N/A</v>
      </c>
      <c r="GN249" s="11" t="e">
        <f t="shared" si="337"/>
        <v>#N/A</v>
      </c>
      <c r="GO249" s="57">
        <f t="shared" si="338"/>
        <v>19</v>
      </c>
      <c r="GP249" s="55">
        <f>IF(OR(Исходн.данные.!F249=$CE$1,Исходн.данные.!F249=$CE$2,Исходн.данные.!F249=$CE$3,Исходн.данные.!F249=$CE$4,Исходн.данные.!F249=$CE$5),GQ249,GR249)</f>
        <v>19</v>
      </c>
      <c r="GQ249" s="55">
        <f>IF(Исходн.данные.!F249=$CE$1,28,IF(Исходн.данные.!F249=$CE$2,26,IF(Исходн.данные.!F249=$CE$3,24,IF(Исходн.данные.!F249=$CE$4,22,IF(Исходн.данные.!F249=$CE$5,20,GR249)))))</f>
        <v>19</v>
      </c>
      <c r="GR249" s="55">
        <f>IF(Исходн.данные.!F249=$CE$6,18,IF(Исходн.данные.!F249=$CE$7,16,IF(Исходн.данные.!F249=$CE$8,14,IF(Исходн.данные.!F249=$CE$9,13,IF(Исходн.данные.!F249=$CE$10,12,19)))))</f>
        <v>19</v>
      </c>
      <c r="GS249" s="55">
        <f>IF(Исходн.данные.!G249="Пес",0.035*(40+2*Исходн.данные.!H249),IF(Исходн.данные.!G249="Суп",0.0325*(40+2*Исходн.данные.!H249),0.03*(40+2*Исходн.данные.!H249)))</f>
        <v>1.2</v>
      </c>
      <c r="GT249" s="55">
        <f>IF(Исходн.данные.!H249&lt;23,2.6,IF(AND(Исходн.данные.!H249&gt;22,Исходн.данные.!H249&lt;26),3,IF(AND(Исходн.данные.!H249&gt;25,Исходн.данные.!H249&lt;29),3.4,3.6)))</f>
        <v>2.6</v>
      </c>
      <c r="GU249" s="55">
        <f>IF(Исходн.данные.!H249&lt;23,2.8,IF(AND(Исходн.данные.!H249&gt;22,Исходн.данные.!H249&lt;26),3.2,IF(AND(Исходн.данные.!H249&gt;25,Исходн.данные.!H249&lt;29),3.6,3.9)))</f>
        <v>2.8</v>
      </c>
      <c r="GV249" s="55">
        <f>IF(Исходн.данные.!H249&lt;23,3,IF(AND(Исходн.данные.!H249&gt;22,Исходн.данные.!H249&lt;26),3.5,IF(AND(Исходн.данные.!H249&gt;25,Исходн.данные.!H249&lt;29),3.9,4.2)))</f>
        <v>3</v>
      </c>
      <c r="GW249" s="55" t="e">
        <f>IF(Исходн.данные.!P249="Ум",GX249,GY249)</f>
        <v>#N/A</v>
      </c>
      <c r="GX249" s="55" t="e">
        <f>VLOOKUP(Исходн.данные.!AI249,Коэффициенты!$J$7:$L$13,2,FALSE)</f>
        <v>#N/A</v>
      </c>
      <c r="GY249" s="55" t="e">
        <f>VLOOKUP(Исходн.данные.!AI249,Коэффициенты!$J$7:$L$13,3,FALSE)</f>
        <v>#N/A</v>
      </c>
      <c r="GZ249" s="55" t="e">
        <f>(IF(Исходн.данные.!M249&lt;50,0.11*VLOOKUP(Исходн.данные.!AH249,Культуры.Информация,7,FALSE),IF(Исходн.данные.!M249&gt;250,0.05*VLOOKUP(Исходн.данные.!AH249,Культуры.Информация,7,FALSE),VLOOKUP(Исходн.данные.!AH249,Культуры.Информация,5,FALSE)/100*($GX$6+$GY$6*Исходн.данные.!M249))))*Расчет2!AI249</f>
        <v>#N/A</v>
      </c>
      <c r="HA249" s="211"/>
      <c r="HB249" s="211"/>
      <c r="HC249" s="55" t="e">
        <f>(IF(Исходн.данные.!O249&lt;80,0.2*VLOOKUP(Исходн.данные.!AH249,Культуры.Информация,8,FALSE),IF(Исходн.данные.!O249&gt;240,0.09*VLOOKUP(Исходн.данные.!AH249,Культуры.Информация,8,FALSE),VLOOKUP(Исходн.данные.!AH249,Культуры.Информация,6,FALSE)/100*($HB$6+$HC$6*Исходн.данные.!O249))))*Расчет2!AJ249</f>
        <v>#N/A</v>
      </c>
      <c r="HD249" s="55">
        <f>IF(Исходн.данные.!O249&gt;240,0.09,IF(Исходн.данные.!O249&lt;30,0.3,$HE$10+$HD$10*Исходн.данные.!O249))</f>
        <v>0.3</v>
      </c>
      <c r="HE249" s="55">
        <f>IF(Исходн.данные.!O249&gt;240,0.17,IF(Исходн.данные.!O249&lt;30,0.5,$HF$12+$HE$12*Исходн.данные.!O249))</f>
        <v>0.5</v>
      </c>
      <c r="HF249" s="55" t="e">
        <f>VLOOKUP(Исходн.данные.!AH249,Справ!$A$3:$D$58,2,FALSE)</f>
        <v>#N/A</v>
      </c>
      <c r="HG249" s="55" t="e">
        <f>VLOOKUP(Исходн.данные.!AH249,Справ!$A$3:$D$58,3,FALSE)</f>
        <v>#N/A</v>
      </c>
      <c r="HH249" s="55" t="e">
        <f>VLOOKUP(Исходн.данные.!AH249,Справ!$A$3:$D$58,4,FALSE)</f>
        <v>#N/A</v>
      </c>
      <c r="HI249" s="11" t="e">
        <f t="shared" si="339"/>
        <v>#N/A</v>
      </c>
      <c r="HJ249" s="11" t="e">
        <f t="shared" si="340"/>
        <v>#N/A</v>
      </c>
      <c r="HK249" s="11" t="e">
        <f t="shared" si="341"/>
        <v>#N/A</v>
      </c>
      <c r="HL249" s="55">
        <f>IF(OR(Исходн.данные.!G249="Глин",Исходн.данные.!G249="Т_суг"),1.1,IF(Исходн.данные.!G249="Ср_суг",1,1))</f>
        <v>1</v>
      </c>
      <c r="HM249" s="55">
        <f>IF(OR(Исходн.данные.!G249="Глин",Исходн.данные.!G249="Т_суг"),0.9,IF(Исходн.данные.!G249="Ср_суг",1,1.2))</f>
        <v>1.2</v>
      </c>
      <c r="HN249" s="11" t="e">
        <f t="shared" si="342"/>
        <v>#N/A</v>
      </c>
      <c r="HO249" s="11" t="e">
        <f t="shared" si="343"/>
        <v>#N/A</v>
      </c>
      <c r="HP249" s="11" t="e">
        <f t="shared" si="344"/>
        <v>#N/A</v>
      </c>
      <c r="HQ249" t="e">
        <f t="shared" si="345"/>
        <v>#N/A</v>
      </c>
      <c r="HR249" t="e">
        <f t="shared" si="346"/>
        <v>#N/A</v>
      </c>
      <c r="HS249" t="e">
        <f t="shared" si="347"/>
        <v>#N/A</v>
      </c>
      <c r="HT249" t="e">
        <f t="shared" si="293"/>
        <v>#N/A</v>
      </c>
      <c r="HU249" t="e">
        <f t="shared" si="294"/>
        <v>#N/A</v>
      </c>
      <c r="HV249" t="e">
        <f t="shared" si="295"/>
        <v>#N/A</v>
      </c>
      <c r="HW249" t="e">
        <f t="shared" si="296"/>
        <v>#N/A</v>
      </c>
      <c r="HX249" t="e">
        <f t="shared" si="297"/>
        <v>#N/A</v>
      </c>
      <c r="HY249" t="e">
        <f t="shared" si="298"/>
        <v>#N/A</v>
      </c>
      <c r="HZ249" s="55">
        <f>IF(OR(Исходн.данные.!AI249="Оз_Ч_П",Исходн.данные.!AI249="Оз_З_П",Исходн.данные.!AI249="Яр_зер"),12,30)</f>
        <v>30</v>
      </c>
      <c r="IA249" t="e">
        <f t="shared" si="348"/>
        <v>#N/A</v>
      </c>
      <c r="IB249" t="e">
        <f t="shared" si="349"/>
        <v>#N/A</v>
      </c>
      <c r="IC249" t="e">
        <f t="shared" si="350"/>
        <v>#N/A</v>
      </c>
      <c r="ID249" s="11" t="e">
        <f t="shared" si="351"/>
        <v>#N/A</v>
      </c>
      <c r="IE249" s="11" t="e">
        <f t="shared" si="352"/>
        <v>#N/A</v>
      </c>
      <c r="IF249" s="11" t="e">
        <f t="shared" si="353"/>
        <v>#N/A</v>
      </c>
    </row>
    <row r="250" spans="35:240" x14ac:dyDescent="0.2">
      <c r="AI250">
        <f>IF(Исходн.данные.!I250&gt;6,1,1.85-(0.148*Исходн.данные.!I250))</f>
        <v>1.85</v>
      </c>
      <c r="AJ250">
        <f>IF(Исходн.данные.!I250&gt;6,1,2.434-(0.246*Исходн.данные.!I250))</f>
        <v>2.4340000000000002</v>
      </c>
      <c r="AL250" s="148" t="b">
        <f>IF(Исходн.данные.!$P250="Ум",N_OrgUd_2g_um,IF(Исходн.данные.!$P250="Об",N_OrgUd_2g_ob))</f>
        <v>0</v>
      </c>
      <c r="AM250" s="148" t="b">
        <f>IF(Исходн.данные.!$P250="Ум",P_OrgUd_2g_um,IF(Исходн.данные.!$P250="Об",P_OrgUd_2g_ob))</f>
        <v>0</v>
      </c>
      <c r="AN250" s="148" t="b">
        <f>IF(Исходн.данные.!$P250="Ум",K_OrgUd_2g_um,IF(Исходн.данные.!$P250="Об",K_OrgUd_2g_ob))</f>
        <v>0</v>
      </c>
      <c r="AO250" s="148" t="b">
        <f>IF(Исходн.данные.!$P250="Ум",N_OrgUd_1g_um,IF(Исходн.данные.!$P250="Об",N_OrgUd_1g_ob))</f>
        <v>0</v>
      </c>
      <c r="AP250" s="148" t="b">
        <f>IF(Исходн.данные.!$P250="Ум",P_OrgUd_1g_um,IF(Исходн.данные.!$P250="Об",P_OrgUd_1g_ob))</f>
        <v>0</v>
      </c>
      <c r="AQ250" s="148" t="b">
        <f>IF(Исходн.данные.!$P250="Ум",K_OrgUd_1g_um,IF(Исходн.данные.!$P250="Об",K_OrgUd_1g_ob))</f>
        <v>0</v>
      </c>
      <c r="AR250" t="b">
        <f>IF(Исходн.данные.!$P250="Ум",N_MinUd_2g_um,IF(Исходн.данные.!$P250="Об",N_MinUd_2g_ob))</f>
        <v>0</v>
      </c>
      <c r="AS250" t="b">
        <f>IF(Исходн.данные.!$P250="Ум",P_MinUd_2g_um,IF(Исходн.данные.!$P250="Об",P_MinUd_2g_ob))</f>
        <v>0</v>
      </c>
      <c r="AT250" t="b">
        <f>IF(Исходн.данные.!$P250="Ум",K_MinUd_2g_um,IF(Исходн.данные.!$P250="Об",K_MinUd_2g_ob))</f>
        <v>0</v>
      </c>
      <c r="AU250" t="b">
        <f>IF(Исходн.данные.!$P250="Ум",N_MinUd_1g_um,IF(Исходн.данные.!$P250="Об",N_MinUd_1g_ob))</f>
        <v>0</v>
      </c>
      <c r="AV250" t="b">
        <f>IF(Исходн.данные.!P250="Ум",P_MinUd_1g_um,IF(Исходн.данные.!P250="Об",P_MinUd_1g_ob))</f>
        <v>0</v>
      </c>
      <c r="AW250" t="b">
        <f>IF(Исходн.данные.!P250="Ум",K_MinUd_1g_um,IF(Исходн.данные.!P250="Об",K_MinUd_1g_ob))</f>
        <v>0</v>
      </c>
      <c r="AY250" t="e">
        <f>VLOOKUP(Исходн.данные.!T250,Справ!$A$3:$N$57,12)</f>
        <v>#N/A</v>
      </c>
      <c r="AZ250" t="e">
        <f>VLOOKUP(Исходн.данные.!T250,Справ!$A$3:$N$57,13)</f>
        <v>#N/A</v>
      </c>
      <c r="BA250" t="e">
        <f>VLOOKUP(Исходн.данные.!T250,Справ!$A$3:$N$57,14)</f>
        <v>#N/A</v>
      </c>
      <c r="BB250">
        <f>IF(Исходн.данные.!AH250=0,0,25)</f>
        <v>0</v>
      </c>
      <c r="BC250" s="141">
        <f>IF(Исходн.данные.!AH250=0,0,IF(Исходн.данные.!T250=0,25,BD250))</f>
        <v>0</v>
      </c>
      <c r="BD250" s="168" t="e">
        <f>AY250+AZ250*Исходн.данные.!U250-POWER(BA250,2)*Исходн.данные.!U250</f>
        <v>#N/A</v>
      </c>
      <c r="BE25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0" s="25">
        <f>IF(Исходн.данные.!AH250=0,0,MIN(HN250:HP250))</f>
        <v>0</v>
      </c>
      <c r="BG250" s="9">
        <f>IF(Исходн.данные.!AH250=0,0,IF((HO250+10*0.25/HG250/HL250)&lt;17,17,HO250+10*0.25/HG250/HL250))</f>
        <v>0</v>
      </c>
      <c r="BH250" s="181">
        <f>IF(Исходн.данные.!AH250=0,0,HW250*HF250*HL250/AU250*AI250+Исходн.данные.!S250*10)</f>
        <v>0</v>
      </c>
      <c r="BI250" s="10"/>
      <c r="BJ250" s="182">
        <f>IF(Исходн.данные.!AH250=0,0,IF(HX250*HG250*HL250/AV250&lt;0,0,HX250*HG250*HL250/AV250*AJ250))</f>
        <v>0</v>
      </c>
      <c r="BK250" s="182">
        <f>IF(Исходн.данные.!AH250=0,0,HY250*HH250*HM250/AW250)</f>
        <v>0</v>
      </c>
      <c r="BL250" s="10">
        <f>IF(OR(Исходн.данные.!$AH250=$BP$1,Исходн.данные.!$AH250=$BP$2),0,IF(BH250&lt;0,0,IF(OR(Исходн.данные.!T250=Расчет!$BP$1,Исходн.данные.!T250=Расчет!$BP$2,Исходн.данные.!T250=Расчет!$BT$5,Исходн.данные.!T250=Расчет!$BT$6),BH250*0.5,IF(OR(Исходн.данные.!T250=Расчет!$BS$9,Исходн.данные.!T250=Расчет!$BS$10,Исходн.данные.!T250=Расчет!$BS$11,Исходн.данные.!T250=Расчет!$BS$12,Исходн.данные.!T250=Расчет!$BP$5),BH250*0.8,BH250))))</f>
        <v>0</v>
      </c>
      <c r="BM250" s="10">
        <f>IF(OR(Исходн.данные.!$AH250=$BP$1,Исходн.данные.!$AH250=$BP$2),0,IF(BJ250&lt;0,0,IF(Исходн.данные.!I250&lt;4.5,BJ250*1.2,IF(Исходн.данные.!I250&gt;5.1,BJ250,BJ250*((5.1-Исходн.данные.!I250)*0.333+1)))))</f>
        <v>0</v>
      </c>
      <c r="BN250" s="10">
        <f>IF(OR(Исходн.данные.!$AH250=$BP$1,Исходн.данные.!$AH250=$BP$2),60-Исходн.данные.!AF250,IF(BK250&lt;0,0,IF(Исходн.данные.!I250&lt;4.5,BK250*1.2,IF(Исходн.данные.!I250&gt;5.1,BK250,BK250*((5.1-Исходн.данные.!I250)*0.333+1)))))</f>
        <v>0</v>
      </c>
      <c r="BO250" s="9">
        <f>IF(BL250&lt;0,0,BL250*Исходн.данные.!$AJ250/1000)</f>
        <v>0</v>
      </c>
      <c r="BP250" s="9">
        <f>IF(BM250&lt;0,0,BM250*Исходн.данные.!$AJ250/1000)</f>
        <v>0</v>
      </c>
      <c r="BQ250" s="9">
        <f>IF(BN250&lt;0,0,BN250*Исходн.данные.!$AJ250/1000)</f>
        <v>0</v>
      </c>
      <c r="BR250" s="9">
        <f t="shared" si="303"/>
        <v>0</v>
      </c>
      <c r="BS250" s="10" t="str">
        <f t="shared" si="304"/>
        <v>Аммофос 12:52:00</v>
      </c>
      <c r="BT250" s="10" t="str">
        <f t="shared" si="305"/>
        <v>Аммофос 12:52:00</v>
      </c>
      <c r="BU250" s="10" t="str">
        <f t="shared" si="306"/>
        <v>Диаммофоска</v>
      </c>
      <c r="BV250" s="10">
        <f t="shared" si="307"/>
        <v>0</v>
      </c>
      <c r="BW250" s="10"/>
      <c r="BX250" s="10"/>
      <c r="BY250" s="9">
        <f>IF(BL250&lt;0,0,IF(OR(Исходн.данные.!AI250=Расчет!$BU$6,Исходн.данные.!AI250=Расчет!$BU$7),Расчет!BV250,IF(Исходн.данные.!$AG250=$BV$11,BL250,IF(OR(Исходн.данные.!$AH250=$BQ$7,Исходн.данные.!$AH250=$BQ$8),CB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0,IF(Исходн.данные.!$AI250=$BU$11,"Нет",IF(BL250&gt;30,30,BL250)))))))</f>
        <v>0</v>
      </c>
      <c r="BZ250" s="9">
        <f>IF(AND(Исходн.данные.!$AG250=$BV$11,BM250&lt;10),10,IF(Исходн.данные.!$AG250=$BV$11,BM250,IF(OR(Исходн.данные.!$AH250=$BQ$7,Исходн.данные.!$AH250=$BQ$8),CC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10,IF(Исходн.данные.!$AI250=$BU$11,"Нет",IF(BM250&gt;60,60,IF(BM250&lt;10,10,BM250)))))))</f>
        <v>10</v>
      </c>
      <c r="CA250" s="39">
        <f>IF(BN250&lt;0,0,IF(Исходн.данные.!$AG250=$BV$11,BN250,IF(OR(Исходн.данные.!$AH250=$BQ$7,Исходн.данные.!$AH250=$BQ$8),CD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0,IF(Исходн.данные.!$AI250=$BU$11,"Нет",IF(BN250&gt;30,30,BN250))))))</f>
        <v>0</v>
      </c>
      <c r="CB250" s="9">
        <f t="shared" si="308"/>
        <v>0</v>
      </c>
      <c r="CC250" s="9">
        <f t="shared" si="309"/>
        <v>0</v>
      </c>
      <c r="CD250" s="9">
        <f t="shared" si="310"/>
        <v>0</v>
      </c>
      <c r="CE250" s="12">
        <f t="shared" si="311"/>
        <v>10</v>
      </c>
      <c r="CF250" s="9">
        <f t="shared" si="312"/>
        <v>0</v>
      </c>
      <c r="CG250" s="9" t="s">
        <v>231</v>
      </c>
      <c r="CH250" s="132" t="str">
        <f>IF(Исходн.данные.!AP250=Расчет!$CI$16,"Нет",IF(Исходн.данные.!AL250&gt;0,Исходн.данные.!AL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BH$4,IF(OR(Исходн.данные.!AI250=Исходн.данные.!$AI$6,Исходн.данные.!AI250=Исходн.данные.!$AI$7),Расчет!BS250,IF(AND($CF250=0,$CE250&gt;0),EV250,ER250)))))</f>
        <v>Аммофос 12:52:00</v>
      </c>
      <c r="CI250" s="274">
        <f>IF(Расчет!$CH250="Нет","Нет",IF(Исходн.данные.!$AL250&gt;0,VLOOKUP(Расчет!$CH250,АшламаДВ_Irekle,2,FALSE),VLOOKUP(Расчет!$CH250,АшламаДВ_Gomumy,2,FALSE)))</f>
        <v>0.12</v>
      </c>
      <c r="CJ250" s="274">
        <f>IF(Расчет!$CH250="Нет","Нет",IF(Исходн.данные.!$AL250&gt;0,VLOOKUP(Расчет!$CH250,АшламаДВ_Irekle,3,FALSE),VLOOKUP(Расчет!$CH250,АшламаДВ_Gomumy,3,FALSE)))</f>
        <v>0.52</v>
      </c>
      <c r="CK250" s="274">
        <f>IF(Расчет!$CH250="Нет","Нет",IF(Исходн.данные.!$AL250&gt;0,VLOOKUP(Расчет!$CH250,АшламаДВ_Irekle,4,FALSE),VLOOKUP(Расчет!$CH250,АшламаДВ_Gomumy,4,FALSE)))</f>
        <v>0</v>
      </c>
      <c r="CL250" s="70"/>
      <c r="CM250" s="70"/>
      <c r="CN250" s="70"/>
      <c r="CO250" s="70"/>
      <c r="CP250" s="70"/>
      <c r="CQ250" s="70"/>
      <c r="CR250" s="10">
        <f t="shared" si="313"/>
        <v>0</v>
      </c>
      <c r="CS250" s="10">
        <f t="shared" si="314"/>
        <v>19.23076923076923</v>
      </c>
      <c r="CT250" s="10">
        <f t="shared" si="315"/>
        <v>0</v>
      </c>
      <c r="CU250" s="39">
        <f>IF($CH250="Нет",0,IF(CI250=0,30/MIN(CJ250:CK250),IF(Исходн.данные.!$AG250=$BV$11,CR250,IF(OR(Исходн.данные.!$AH250=$BQ$7,Исходн.данные.!$AH250=$BQ$8),90/CI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0,IF(Исходн.данные.!$AI250=$BU$11,"Нет",30/CI250))))))</f>
        <v>250</v>
      </c>
      <c r="CV250" s="39">
        <f>IF($CH250="Нет",0,IF(Исходн.данные.!AH250=0,0,IF(CJ250=0,60/MIN(CI250,CK250),IF(Исходн.данные.!$AG250=$BV$11,CS250,IF(OR(Исходн.данные.!$AH250=$BQ$7,Исходн.данные.!$AH250=$BQ$8),90/CJ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10/CJ250,IF(Исходн.данные.!$AI250=$BU$11,"Нет",60/CJ250)))))))</f>
        <v>0</v>
      </c>
      <c r="CW250" s="39">
        <f>IF($CH250="Нет",0,IF(Исходн.данные.!AH250=0,0,IF(CK250=0,30/MIN(CI250:CJ250),IF(Исходн.данные.!$AG250=$BV$11,CT250,IF(OR(Исходн.данные.!$AH250=$BQ$7,Исходн.данные.!$AH250=$BQ$8),90/CK250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0,IF(Исходн.данные.!$AI250=$BU$11,"Нет",30/CK250)))))))</f>
        <v>0</v>
      </c>
      <c r="CX250" s="133">
        <f>IF(Исходн.данные.!$AG250=$BV$11,MAX(CU250:CW250),IF(OR(Исходн.данные.!$AH250=$BS$8,Исходн.данные.!$AH250=$BQ$9,Исходн.данные.!$AH250=$BQ$10,Исходн.данные.!$AH250=$BQ$11,Исходн.данные.!$AH250=$BQ$12,Исходн.данные.!$AH250=$BP$3,Исходн.данные.!$AH250=$BT$8,$FM250="Да"),CV250,MIN(CU250:CW250)))</f>
        <v>0</v>
      </c>
      <c r="CY250" s="133">
        <f>IF(Исходн.данные.!AH250=0,0,IF(CR250&gt;$CX250,$CX250,CR250))</f>
        <v>0</v>
      </c>
      <c r="CZ250" s="133">
        <f>IF(Исходн.данные.!AH250=0,0,IF(CS250&gt;$CX250,$CX250,CS250))</f>
        <v>0</v>
      </c>
      <c r="DA250" s="133">
        <f>IF(Исходн.данные.!AH250=0,0,IF(CT250&gt;$CX250,$CX250,CT250))</f>
        <v>0</v>
      </c>
      <c r="DB250" s="10">
        <f t="shared" si="316"/>
        <v>0</v>
      </c>
      <c r="DC250" s="39">
        <f>DB250*Исходн.данные.!AJ250/1000</f>
        <v>0</v>
      </c>
      <c r="DD250" s="71">
        <f t="shared" si="317"/>
        <v>0</v>
      </c>
      <c r="DE250" s="9">
        <f t="shared" si="318"/>
        <v>0</v>
      </c>
      <c r="DF250" s="9">
        <f t="shared" si="319"/>
        <v>0</v>
      </c>
      <c r="DG250" s="39">
        <f>IF(BL250&lt;0,0,IF($CH250="Нет",BL250,IF(OR(Исходн.данные.!$AH250=$BP$1,Исходн.данные.!$AH250=$BP$2),0,IF(Исходн.данные.!AI250=$BU$11,BL250,IF(BL250-DD250&lt;0,0,BL250-DD250)))))</f>
        <v>0</v>
      </c>
      <c r="DH250" s="39">
        <f>IF(BM250&lt;0,0,IF($CH250="Нет",BM250,IF(OR(Исходн.данные.!$AH250=$BP$1,Исходн.данные.!$AH250=$BP$2),0,IF(Исходн.данные.!AJ250=$BU$11,BM250,IF(BM250-DE250&lt;0,0,BM250-DE250)))))</f>
        <v>0</v>
      </c>
      <c r="DI250" s="39">
        <f>IF(BN250&lt;0,0,IF($CH250="Нет",BN250,IF(OR(Исходн.данные.!$AH250=$BP$1,Исходн.данные.!$AH250=$BP$2),0,IF(Исходн.данные.!AK250=$BU$11,BN250,IF(BN250-DF250&lt;0,0,BN250-DF250)))))</f>
        <v>0</v>
      </c>
      <c r="DJ250" s="12">
        <f t="shared" si="320"/>
        <v>0</v>
      </c>
      <c r="DK250" s="9">
        <f t="shared" si="321"/>
        <v>0</v>
      </c>
      <c r="DL250" s="39">
        <f>IF(Исходн.данные.!AM250&gt;0,Исходн.данные.!AM250,IF(EG250&gt;0,$BH$10,0))</f>
        <v>0</v>
      </c>
      <c r="DM250" s="186">
        <f>IF($DL250=0,0,IF(Исходн.данные.!AM250&gt;0,VLOOKUP($DL250,АшламаДВ_Irekle,2,FALSE),VLOOKUP($DL250,АшламаДВ_Gomumy,2,FALSE)))</f>
        <v>0</v>
      </c>
      <c r="DN250" s="10">
        <f t="shared" si="299"/>
        <v>0</v>
      </c>
      <c r="DO250" s="9" t="str">
        <f>IF(Исходн.данные.!AN250&gt;0,Исходн.данные.!AN250,Удобрения!$B$37 )</f>
        <v>Хлор.калий</v>
      </c>
      <c r="DP250" s="9">
        <f>IF(Исходн.данные.!AN250&gt;0,VLOOKUP(Исходн.данные.!AN250,АшламаДВ_Irekle,4,FALSE),VLOOKUP(DO250,АшламаДВ_Gomumy,4,FALSE))</f>
        <v>0.6</v>
      </c>
      <c r="DQ250" s="10">
        <f t="shared" si="300"/>
        <v>0</v>
      </c>
      <c r="DR250" s="132" t="str">
        <f>IF(Исходн.данные.!AO250&gt;0,Исходн.данные.!AO250,IF(DH250=0,BS$17,IF(AND($DK250=0,$DJ250&gt;0),EJ250,EN250)))</f>
        <v>Нет</v>
      </c>
      <c r="DS250" s="70" t="str">
        <f>IF($DR250="Нет","Нет",IF(Исходн.данные.!$AO250&gt;0,VLOOKUP($DR250,АшламаДВ_Irekle,2,FALSE),VLOOKUP($DR250,АшламаДВ_Gomumy,2,FALSE)))</f>
        <v>Нет</v>
      </c>
      <c r="DT250" s="70" t="str">
        <f>IF($DR250="Нет","Нет",IF(Исходн.данные.!$AO250&gt;0,VLOOKUP($DR250,АшламаДВ_Irekle,3,FALSE),VLOOKUP($DR250,АшламаДВ_Gomumy,3,FALSE)))</f>
        <v>Нет</v>
      </c>
      <c r="DU250" s="70" t="str">
        <f>IF($DR250="Нет","Нет",IF(Исходн.данные.!$AO250&gt;0,VLOOKUP($DR250,АшламаДВ_Irekle,4,FALSE),VLOOKUP($DR250,АшламаДВ_Gomumy,4,FALSE)))</f>
        <v>Нет</v>
      </c>
      <c r="DV250" s="70"/>
      <c r="DW250" s="70"/>
      <c r="DX250" s="70"/>
      <c r="DY250" s="10">
        <f t="shared" si="322"/>
        <v>0</v>
      </c>
      <c r="DZ250" s="10">
        <f t="shared" si="323"/>
        <v>0</v>
      </c>
      <c r="EA250" s="10">
        <f t="shared" si="324"/>
        <v>0</v>
      </c>
      <c r="EB250" s="10">
        <f t="shared" si="325"/>
        <v>0</v>
      </c>
      <c r="EC250" s="10">
        <f t="shared" si="326"/>
        <v>0</v>
      </c>
      <c r="ED250" s="10">
        <f t="shared" si="327"/>
        <v>0</v>
      </c>
      <c r="EE250" s="10">
        <f t="shared" si="328"/>
        <v>0</v>
      </c>
      <c r="EF250" s="39">
        <f>EB250*Исходн.данные.!AJ250/1000</f>
        <v>0</v>
      </c>
      <c r="EG250" s="9">
        <f t="shared" si="329"/>
        <v>0</v>
      </c>
      <c r="EH250" s="9">
        <f t="shared" si="330"/>
        <v>0</v>
      </c>
      <c r="EI250" s="39" t="e">
        <f t="shared" si="280"/>
        <v>#DIV/0!</v>
      </c>
      <c r="EJ250" s="9" t="str">
        <f t="shared" si="301"/>
        <v>Азопреципитат</v>
      </c>
      <c r="EK250" s="12">
        <f t="shared" si="281"/>
        <v>0.26</v>
      </c>
      <c r="EL250" s="12">
        <f t="shared" si="282"/>
        <v>0.13</v>
      </c>
      <c r="EM250" s="12">
        <f t="shared" si="283"/>
        <v>0</v>
      </c>
      <c r="EN250" s="12" t="str">
        <f t="shared" si="302"/>
        <v>Нет</v>
      </c>
      <c r="EO250" s="12">
        <f t="shared" si="284"/>
        <v>0</v>
      </c>
      <c r="EP250" s="12">
        <f t="shared" si="285"/>
        <v>0</v>
      </c>
      <c r="EQ250" s="12">
        <f t="shared" si="286"/>
        <v>0</v>
      </c>
      <c r="ER250" s="12" t="str">
        <f t="shared" si="331"/>
        <v>Диаммофоска</v>
      </c>
      <c r="ES250" s="12">
        <f t="shared" si="287"/>
        <v>0.1</v>
      </c>
      <c r="ET250" s="12">
        <f t="shared" si="288"/>
        <v>0.26</v>
      </c>
      <c r="EU250" s="12">
        <f t="shared" si="289"/>
        <v>0.26</v>
      </c>
      <c r="EV250" s="12" t="str">
        <f t="shared" si="332"/>
        <v>Аммофос 12:52:00</v>
      </c>
      <c r="EW250" s="12" t="str">
        <f t="shared" si="333"/>
        <v>Кемира Свекловичное-6</v>
      </c>
      <c r="EX250" s="12">
        <f t="shared" si="290"/>
        <v>0.16</v>
      </c>
      <c r="EY250" s="12">
        <f t="shared" si="291"/>
        <v>0.12</v>
      </c>
      <c r="EZ250" s="12">
        <f t="shared" si="292"/>
        <v>0.17</v>
      </c>
      <c r="FA250" s="38" t="e">
        <f>IF(AND(OR(FJ250=$FD$1,FM250=$FD$1,FO250=$FD$1,FQ250=$FD$1,FS250=$FD$1),FD250=$FD$1,Исходн.данные.!J250&lt;2,FU250=$FD$1),"Бор,Кобальт",IF(AND(FO250=$FD$1,FH250=$FD$1,Исходн.данные.!J250&lt;2,FU250=$FD$1),"Бор,Кобальт",IF(AND(OR(FJ250=$FD$1,FM250=$FD$1,FQ250=$FD$1),FE250=$FD$1,Исходн.данные.!J250&lt;2,FT250=$FD$1,FU250=$FD$1),"Бор,Медь,Цинк",IF(AND(OR(FJ250=$FD$1,FR250="Да"),FI250="Да",Исходн.данные.!J250&lt;2,FT250="Да",FU250="Да"),"Бор,Цинк,Медь",IF(AND(OR(FM250="Да",FQ250="Да"),FI250="Да",Исходн.данные.!J250&lt;2,FT250="Да",FU250="Да"),"Бор,Цинк",IF(AND(FN250="Да",OR(FD250="Да",FE250="Да")),"Бор",FB250))))))</f>
        <v>#N/A</v>
      </c>
      <c r="FB250" s="134" t="e">
        <f>IF(AND(OR(FD250="Да",FE250="Да",FF250="Да",FG250="Да",FH250="Да"),FO250="Да"),"Бор",IF(AND(FP250="Да",OR(FD250="Да",FE250="Да",FI250="Да")),"Бор",IF(AND(FS250="Да",FE250="Да"),"Бор,Медь",IF(AND(OR(FJ250="Да",FK250="Да",FL250="Да"),FE250="Да",Исходн.данные.!I250&lt;5,FT250="Да",FU250="Да"),"Молибден,Цинк",IF(AND(FM250="Да",OR(FE250="Да",FF250="Да",FG250="Да",FH250="Да",FI250="Да")),"Молибден,Цинк",IF(AND(OR(FJ250="Да",FK250="Да",FL250="Да",FM250="Да",FQ250="Да"),OR(FE250="Да",FF250="Да"),FT250="Да",FU250="Да",Исходн.данные.!I250&gt;5.5),"Медь,Цинк",FC250))))))</f>
        <v>#N/A</v>
      </c>
      <c r="FC250" s="23" t="e">
        <f t="shared" si="334"/>
        <v>#N/A</v>
      </c>
      <c r="FD250" s="38" t="str">
        <f>IF(OR(Исходн.данные.!F250=$CC$1,Исходн.данные.!F250=$CC$2,Исходн.данные.!F250=$CC$3,Исходн.данные.!F250=$CC$4),"Да","Нет")</f>
        <v>Нет</v>
      </c>
      <c r="FE250" s="38" t="str">
        <f>IF(Исходн.данные.!F250=$CC$5,"Да","Нет")</f>
        <v>Нет</v>
      </c>
      <c r="FF250" s="38" t="str">
        <f>IF(OR(Исходн.данные.!F250=$CC$6,Исходн.данные.!F250=$CC$7),"Да","Нет")</f>
        <v>Нет</v>
      </c>
      <c r="FG250" s="38" t="str">
        <f>IF(OR(Исходн.данные.!F250=$CC$8,Исходн.данные.!F250=$CC$9),"Да","Нет")</f>
        <v>Нет</v>
      </c>
      <c r="FH250" s="38" t="str">
        <f>IF(Исходн.данные.!F250=$CC$10,"Да","Нет")</f>
        <v>Нет</v>
      </c>
      <c r="FI250" s="38" t="str">
        <f>IF(OR(Исходн.данные.!F250=$CC$11,Исходн.данные.!F250=$CC$12),"Да","Нет")</f>
        <v>Нет</v>
      </c>
      <c r="FJ250" s="38" t="str">
        <f>IF(OR(Исходн.данные.!AH250=$BS$1,Исходн.данные.!AH250=$BQ$11,Исходн.данные.!AH250=$BQ$12),"Да","Нет")</f>
        <v>Нет</v>
      </c>
      <c r="FK250" s="38" t="str">
        <f>IF(OR(Исходн.данные.!AH250=$BS$2,Исходн.данные.!AH250=$BS$4),"Да","Нет")</f>
        <v>Нет</v>
      </c>
      <c r="FL250" s="38" t="str">
        <f>IF(OR(Исходн.данные.!AH250=$BS$3,Исходн.данные.!AH250=$BS$5),"Да","Нет")</f>
        <v>Нет</v>
      </c>
      <c r="FM250" s="38" t="str">
        <f>IF(OR(Исходн.данные.!AH250=$BS$9,Исходн.данные.!AH250=$BS$10,Исходн.данные.!AH250=$BS$11,Исходн.данные.!AH250=$BS$12),"Да","Нет")</f>
        <v>Нет</v>
      </c>
      <c r="FN250" s="38" t="str">
        <f>IF(OR(Исходн.данные.!AH250=$BS$6,Исходн.данные.!AH250=$BP$3),"Да","Нет")</f>
        <v>Нет</v>
      </c>
      <c r="FO250" s="38" t="str">
        <f>IF(Исходн.данные.!AH250=$BQ$9,"Да","Нет")</f>
        <v>Нет</v>
      </c>
      <c r="FP250" s="38" t="str">
        <f>IF(OR(Исходн.данные.!AH250=$BS$8,Исходн.данные.!AH250=$BT$8),"Да","Нет")</f>
        <v>Нет</v>
      </c>
      <c r="FQ250" s="38" t="str">
        <f>IF(OR(Исходн.данные.!AH250=$BQ$7,Исходн.данные.!AH250=$BQ$8),"Да","Нет")</f>
        <v>Нет</v>
      </c>
      <c r="FR250" s="38" t="str">
        <f>IF(Исходн.данные.!AI250=$BU$9,"Да","Нет")</f>
        <v>Нет</v>
      </c>
      <c r="FS250" s="38" t="str">
        <f>IF(OR(Исходн.данные.!AH250=$BP$1,Исходн.данные.!AH250=$BP$2),"Да","Нет")</f>
        <v>Нет</v>
      </c>
      <c r="FT250" s="38" t="e">
        <f>IF((Исходн.данные.!K250*GO250*GS250*GW250+BL250*0.6+Исходн.данные.!Q250*4.5*0.275)&gt;90,"Да","Нет")</f>
        <v>#N/A</v>
      </c>
      <c r="FU250" s="38" t="e">
        <f>IF((Исходн.данные.!M250*GS250*GZ250+BM250*0.225)&gt;35,"Да","Нет")</f>
        <v>#N/A</v>
      </c>
      <c r="FV250" s="38" t="str">
        <f>IF(Исходн.данные.!O250&gt;175,"Да","Нет")</f>
        <v>Нет</v>
      </c>
      <c r="FW250" s="39" t="str">
        <f>IF(Исходн.данные.!I250&gt;5.5,"Да","Нет")</f>
        <v>Нет</v>
      </c>
      <c r="FX250" s="39" t="str">
        <f>IF(Исходн.данные.!J250&lt;2,"Да","Нет")</f>
        <v>Да</v>
      </c>
      <c r="FY250" s="39" t="e">
        <f>IF(HF250=$FY$16,0,Исходн.данные.!K250*GO250*GS250*GW250/HF250)</f>
        <v>#N/A</v>
      </c>
      <c r="FZ250" s="39" t="e">
        <f>Исходн.данные.!M250*GS250*GZ250/HG250</f>
        <v>#N/A</v>
      </c>
      <c r="GA250" s="39" t="e">
        <f>IF(K_Wyn=$FY$16,0,IF(Исходн.данные.!N250=Исходн.данные.!$L$10,Исходн.данные.!O250/1.1*GS250*HC250/HH250,IF(Исходн.данные.!N250=Исходн.данные.!$L$12,Исходн.данные.!O250/1.5*GS250*HC250/HH250,Исходн.данные.!O250*GS250*HC250/HH250)))</f>
        <v>#N/A</v>
      </c>
      <c r="GB250" s="39" t="e">
        <f>IF(HF250=$FY$16,0,((Исходн.данные.!Q250*N_Org+Исходн.данные.!R250*N_Sider+Исходн.данные.!S250*N_Soloma)*AO250+Расчет!BC250*VLOOKUP(Исходн.данные.!T250,Справ!$A$3:$O$57,15)*AO250+BB250*VLOOKUP(Исходн.данные.!T250,Справ!$A$3:$O$57,15)*AL250+(Исходн.данные.!V250*N_Rizotorf+Исходн.данные.!W250*N_Rizoagr))/HF250)</f>
        <v>#N/A</v>
      </c>
      <c r="GC250" s="39" t="e">
        <f>IF(HG250=$FY$16,0,((Исходн.данные.!Q250*Р_Org+Исходн.данные.!R250*P_Sider+Исходн.данные.!S250*P_Soloma)*AP250+Расчет!BC250*VLOOKUP(Исходн.данные.!T250,Справ!$A$3:$P$57,16)*AP250+BB250*VLOOKUP(Исходн.данные.!T250,Справ!$A$3:$P$57,16)*AM250)/HG250)</f>
        <v>#N/A</v>
      </c>
      <c r="GD250" s="39" t="e">
        <f>IF(HH250=$FY$16,0,((Исходн.данные.!Q250*К_Org+Исходн.данные.!R250*K_Sider+Исходн.данные.!S250*K_Soloma)*AQ250+Расчет!BC250*VLOOKUP(Исходн.данные.!T250,Справ!$A$3:$Q$57,17)*AQ250+BB250*VLOOKUP(Исходн.данные.!T250,Справ!$A$3:$Q$57,17)*AN250)/HH250)</f>
        <v>#N/A</v>
      </c>
      <c r="GE250" s="39" t="e">
        <f>IF(HF250=$FY$16,0,(Исходн.данные.!X250*AR250+Исходн.данные.!AA250*N_Org*AL250+Исходн.данные.!AB250*N_Sider*AL250+Исходн.данные.!AC250*N_Soloma*AL250)/HF250)</f>
        <v>#N/A</v>
      </c>
      <c r="GF250" s="39" t="e">
        <f>IF(HG250=$FY$16,0,(Исходн.данные.!Y250*AS250+Исходн.данные.!AA250*Р_Org*AM250+Исходн.данные.!AB250*P_Sider*AM250+Исходн.данные.!AC250*P_Soloma*AM250)/HG250)</f>
        <v>#N/A</v>
      </c>
      <c r="GG250" s="39" t="e">
        <f>IF(HH250=$FY$16,0,(Исходн.данные.!Z250*AT250+Исходн.данные.!AA250*К_Org*AN250+Исходн.данные.!AB250*K_Sider*AN250+Исходн.данные.!AC250*K_Soloma*AN250)/HH250)</f>
        <v>#N/A</v>
      </c>
      <c r="GH250" s="39" t="e">
        <f>Исходн.данные.!AD250*AU250/HF250</f>
        <v>#N/A</v>
      </c>
      <c r="GI250" s="39" t="e">
        <f>Исходн.данные.!AE250*AV250/HG250</f>
        <v>#N/A</v>
      </c>
      <c r="GJ250" s="39" t="e">
        <f>Исходн.данные.!AF250*AW250/HH250</f>
        <v>#N/A</v>
      </c>
      <c r="GK250" s="55">
        <f>Исходн.данные.!AK250</f>
        <v>0</v>
      </c>
      <c r="GL250" s="11" t="e">
        <f t="shared" si="335"/>
        <v>#N/A</v>
      </c>
      <c r="GM250" s="11" t="e">
        <f t="shared" si="336"/>
        <v>#N/A</v>
      </c>
      <c r="GN250" s="11" t="e">
        <f t="shared" si="337"/>
        <v>#N/A</v>
      </c>
      <c r="GO250" s="57">
        <f t="shared" si="338"/>
        <v>19</v>
      </c>
      <c r="GP250" s="55">
        <f>IF(OR(Исходн.данные.!F250=$CE$1,Исходн.данные.!F250=$CE$2,Исходн.данные.!F250=$CE$3,Исходн.данные.!F250=$CE$4,Исходн.данные.!F250=$CE$5),GQ250,GR250)</f>
        <v>19</v>
      </c>
      <c r="GQ250" s="55">
        <f>IF(Исходн.данные.!F250=$CE$1,28,IF(Исходн.данные.!F250=$CE$2,26,IF(Исходн.данные.!F250=$CE$3,24,IF(Исходн.данные.!F250=$CE$4,22,IF(Исходн.данные.!F250=$CE$5,20,GR250)))))</f>
        <v>19</v>
      </c>
      <c r="GR250" s="55">
        <f>IF(Исходн.данные.!F250=$CE$6,18,IF(Исходн.данные.!F250=$CE$7,16,IF(Исходн.данные.!F250=$CE$8,14,IF(Исходн.данные.!F250=$CE$9,13,IF(Исходн.данные.!F250=$CE$10,12,19)))))</f>
        <v>19</v>
      </c>
      <c r="GS250" s="55">
        <f>IF(Исходн.данные.!G250="Пес",0.035*(40+2*Исходн.данные.!H250),IF(Исходн.данные.!G250="Суп",0.0325*(40+2*Исходн.данные.!H250),0.03*(40+2*Исходн.данные.!H250)))</f>
        <v>1.2</v>
      </c>
      <c r="GT250" s="55">
        <f>IF(Исходн.данные.!H250&lt;23,2.6,IF(AND(Исходн.данные.!H250&gt;22,Исходн.данные.!H250&lt;26),3,IF(AND(Исходн.данные.!H250&gt;25,Исходн.данные.!H250&lt;29),3.4,3.6)))</f>
        <v>2.6</v>
      </c>
      <c r="GU250" s="55">
        <f>IF(Исходн.данные.!H250&lt;23,2.8,IF(AND(Исходн.данные.!H250&gt;22,Исходн.данные.!H250&lt;26),3.2,IF(AND(Исходн.данные.!H250&gt;25,Исходн.данные.!H250&lt;29),3.6,3.9)))</f>
        <v>2.8</v>
      </c>
      <c r="GV250" s="55">
        <f>IF(Исходн.данные.!H250&lt;23,3,IF(AND(Исходн.данные.!H250&gt;22,Исходн.данные.!H250&lt;26),3.5,IF(AND(Исходн.данные.!H250&gt;25,Исходн.данные.!H250&lt;29),3.9,4.2)))</f>
        <v>3</v>
      </c>
      <c r="GW250" s="55" t="e">
        <f>IF(Исходн.данные.!P250="Ум",GX250,GY250)</f>
        <v>#N/A</v>
      </c>
      <c r="GX250" s="55" t="e">
        <f>VLOOKUP(Исходн.данные.!AI250,Коэффициенты!$J$7:$L$13,2,FALSE)</f>
        <v>#N/A</v>
      </c>
      <c r="GY250" s="55" t="e">
        <f>VLOOKUP(Исходн.данные.!AI250,Коэффициенты!$J$7:$L$13,3,FALSE)</f>
        <v>#N/A</v>
      </c>
      <c r="GZ250" s="55" t="e">
        <f>(IF(Исходн.данные.!M250&lt;50,0.11*VLOOKUP(Исходн.данные.!AH250,Культуры.Информация,7,FALSE),IF(Исходн.данные.!M250&gt;250,0.05*VLOOKUP(Исходн.данные.!AH250,Культуры.Информация,7,FALSE),VLOOKUP(Исходн.данные.!AH250,Культуры.Информация,5,FALSE)/100*($GX$6+$GY$6*Исходн.данные.!M250))))*Расчет2!AI250</f>
        <v>#N/A</v>
      </c>
      <c r="HA250" s="211"/>
      <c r="HB250" s="211"/>
      <c r="HC250" s="55" t="e">
        <f>(IF(Исходн.данные.!O250&lt;80,0.2*VLOOKUP(Исходн.данные.!AH250,Культуры.Информация,8,FALSE),IF(Исходн.данные.!O250&gt;240,0.09*VLOOKUP(Исходн.данные.!AH250,Культуры.Информация,8,FALSE),VLOOKUP(Исходн.данные.!AH250,Культуры.Информация,6,FALSE)/100*($HB$6+$HC$6*Исходн.данные.!O250))))*Расчет2!AJ250</f>
        <v>#N/A</v>
      </c>
      <c r="HD250" s="55">
        <f>IF(Исходн.данные.!O250&gt;240,0.09,IF(Исходн.данные.!O250&lt;30,0.3,$HE$10+$HD$10*Исходн.данные.!O250))</f>
        <v>0.3</v>
      </c>
      <c r="HE250" s="55">
        <f>IF(Исходн.данные.!O250&gt;240,0.17,IF(Исходн.данные.!O250&lt;30,0.5,$HF$12+$HE$12*Исходн.данные.!O250))</f>
        <v>0.5</v>
      </c>
      <c r="HF250" s="55" t="e">
        <f>VLOOKUP(Исходн.данные.!AH250,Справ!$A$3:$D$58,2,FALSE)</f>
        <v>#N/A</v>
      </c>
      <c r="HG250" s="55" t="e">
        <f>VLOOKUP(Исходн.данные.!AH250,Справ!$A$3:$D$58,3,FALSE)</f>
        <v>#N/A</v>
      </c>
      <c r="HH250" s="55" t="e">
        <f>VLOOKUP(Исходн.данные.!AH250,Справ!$A$3:$D$58,4,FALSE)</f>
        <v>#N/A</v>
      </c>
      <c r="HI250" s="11" t="e">
        <f t="shared" si="339"/>
        <v>#N/A</v>
      </c>
      <c r="HJ250" s="11" t="e">
        <f t="shared" si="340"/>
        <v>#N/A</v>
      </c>
      <c r="HK250" s="11" t="e">
        <f t="shared" si="341"/>
        <v>#N/A</v>
      </c>
      <c r="HL250" s="55">
        <f>IF(OR(Исходн.данные.!G250="Глин",Исходн.данные.!G250="Т_суг"),1.1,IF(Исходн.данные.!G250="Ср_суг",1,1))</f>
        <v>1</v>
      </c>
      <c r="HM250" s="55">
        <f>IF(OR(Исходн.данные.!G250="Глин",Исходн.данные.!G250="Т_суг"),0.9,IF(Исходн.данные.!G250="Ср_суг",1,1.2))</f>
        <v>1.2</v>
      </c>
      <c r="HN250" s="11" t="e">
        <f t="shared" si="342"/>
        <v>#N/A</v>
      </c>
      <c r="HO250" s="11" t="e">
        <f t="shared" si="343"/>
        <v>#N/A</v>
      </c>
      <c r="HP250" s="11" t="e">
        <f t="shared" si="344"/>
        <v>#N/A</v>
      </c>
      <c r="HQ250" t="e">
        <f t="shared" si="345"/>
        <v>#N/A</v>
      </c>
      <c r="HR250" t="e">
        <f t="shared" si="346"/>
        <v>#N/A</v>
      </c>
      <c r="HS250" t="e">
        <f t="shared" si="347"/>
        <v>#N/A</v>
      </c>
      <c r="HT250" t="e">
        <f t="shared" si="293"/>
        <v>#N/A</v>
      </c>
      <c r="HU250" t="e">
        <f t="shared" si="294"/>
        <v>#N/A</v>
      </c>
      <c r="HV250" t="e">
        <f t="shared" si="295"/>
        <v>#N/A</v>
      </c>
      <c r="HW250" t="e">
        <f t="shared" si="296"/>
        <v>#N/A</v>
      </c>
      <c r="HX250" t="e">
        <f t="shared" si="297"/>
        <v>#N/A</v>
      </c>
      <c r="HY250" t="e">
        <f t="shared" si="298"/>
        <v>#N/A</v>
      </c>
      <c r="HZ250" s="55">
        <f>IF(OR(Исходн.данные.!AI250="Оз_Ч_П",Исходн.данные.!AI250="Оз_З_П",Исходн.данные.!AI250="Яр_зер"),12,30)</f>
        <v>30</v>
      </c>
      <c r="IA250" t="e">
        <f t="shared" si="348"/>
        <v>#N/A</v>
      </c>
      <c r="IB250" t="e">
        <f t="shared" si="349"/>
        <v>#N/A</v>
      </c>
      <c r="IC250" t="e">
        <f t="shared" si="350"/>
        <v>#N/A</v>
      </c>
      <c r="ID250" s="11" t="e">
        <f t="shared" si="351"/>
        <v>#N/A</v>
      </c>
      <c r="IE250" s="11" t="e">
        <f t="shared" si="352"/>
        <v>#N/A</v>
      </c>
      <c r="IF250" s="11" t="e">
        <f t="shared" si="353"/>
        <v>#N/A</v>
      </c>
    </row>
    <row r="251" spans="35:240" x14ac:dyDescent="0.2">
      <c r="AI251">
        <f>IF(Исходн.данные.!I251&gt;6,1,1.85-(0.148*Исходн.данные.!I251))</f>
        <v>1.85</v>
      </c>
      <c r="AJ251">
        <f>IF(Исходн.данные.!I251&gt;6,1,2.434-(0.246*Исходн.данные.!I251))</f>
        <v>2.4340000000000002</v>
      </c>
      <c r="AL251" s="148" t="b">
        <f>IF(Исходн.данные.!$P251="Ум",N_OrgUd_2g_um,IF(Исходн.данные.!$P251="Об",N_OrgUd_2g_ob))</f>
        <v>0</v>
      </c>
      <c r="AM251" s="148" t="b">
        <f>IF(Исходн.данные.!$P251="Ум",P_OrgUd_2g_um,IF(Исходн.данные.!$P251="Об",P_OrgUd_2g_ob))</f>
        <v>0</v>
      </c>
      <c r="AN251" s="148" t="b">
        <f>IF(Исходн.данные.!$P251="Ум",K_OrgUd_2g_um,IF(Исходн.данные.!$P251="Об",K_OrgUd_2g_ob))</f>
        <v>0</v>
      </c>
      <c r="AO251" s="148" t="b">
        <f>IF(Исходн.данные.!$P251="Ум",N_OrgUd_1g_um,IF(Исходн.данные.!$P251="Об",N_OrgUd_1g_ob))</f>
        <v>0</v>
      </c>
      <c r="AP251" s="148" t="b">
        <f>IF(Исходн.данные.!$P251="Ум",P_OrgUd_1g_um,IF(Исходн.данные.!$P251="Об",P_OrgUd_1g_ob))</f>
        <v>0</v>
      </c>
      <c r="AQ251" s="148" t="b">
        <f>IF(Исходн.данные.!$P251="Ум",K_OrgUd_1g_um,IF(Исходн.данные.!$P251="Об",K_OrgUd_1g_ob))</f>
        <v>0</v>
      </c>
      <c r="AR251" t="b">
        <f>IF(Исходн.данные.!$P251="Ум",N_MinUd_2g_um,IF(Исходн.данные.!$P251="Об",N_MinUd_2g_ob))</f>
        <v>0</v>
      </c>
      <c r="AS251" t="b">
        <f>IF(Исходн.данные.!$P251="Ум",P_MinUd_2g_um,IF(Исходн.данные.!$P251="Об",P_MinUd_2g_ob))</f>
        <v>0</v>
      </c>
      <c r="AT251" t="b">
        <f>IF(Исходн.данные.!$P251="Ум",K_MinUd_2g_um,IF(Исходн.данные.!$P251="Об",K_MinUd_2g_ob))</f>
        <v>0</v>
      </c>
      <c r="AU251" t="b">
        <f>IF(Исходн.данные.!$P251="Ум",N_MinUd_1g_um,IF(Исходн.данные.!$P251="Об",N_MinUd_1g_ob))</f>
        <v>0</v>
      </c>
      <c r="AV251" t="b">
        <f>IF(Исходн.данные.!P251="Ум",P_MinUd_1g_um,IF(Исходн.данные.!P251="Об",P_MinUd_1g_ob))</f>
        <v>0</v>
      </c>
      <c r="AW251" t="b">
        <f>IF(Исходн.данные.!P251="Ум",K_MinUd_1g_um,IF(Исходн.данные.!P251="Об",K_MinUd_1g_ob))</f>
        <v>0</v>
      </c>
      <c r="AY251" t="e">
        <f>VLOOKUP(Исходн.данные.!T251,Справ!$A$3:$N$57,12)</f>
        <v>#N/A</v>
      </c>
      <c r="AZ251" t="e">
        <f>VLOOKUP(Исходн.данные.!T251,Справ!$A$3:$N$57,13)</f>
        <v>#N/A</v>
      </c>
      <c r="BA251" t="e">
        <f>VLOOKUP(Исходн.данные.!T251,Справ!$A$3:$N$57,14)</f>
        <v>#N/A</v>
      </c>
      <c r="BB251">
        <f>IF(Исходн.данные.!AH251=0,0,25)</f>
        <v>0</v>
      </c>
      <c r="BC251" s="141">
        <f>IF(Исходн.данные.!AH251=0,0,IF(Исходн.данные.!T251=0,25,BD251))</f>
        <v>0</v>
      </c>
      <c r="BD251" s="168" t="e">
        <f>AY251+AZ251*Исходн.данные.!U251-POWER(BA251,2)*Исходн.данные.!U251</f>
        <v>#N/A</v>
      </c>
      <c r="BE25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1" s="25">
        <f>IF(Исходн.данные.!AH251=0,0,MIN(HN251:HP251))</f>
        <v>0</v>
      </c>
      <c r="BG251" s="9">
        <f>IF(Исходн.данные.!AH251=0,0,IF((HO251+10*0.25/HG251/HL251)&lt;17,17,HO251+10*0.25/HG251/HL251))</f>
        <v>0</v>
      </c>
      <c r="BH251" s="181">
        <f>IF(Исходн.данные.!AH251=0,0,HW251*HF251*HL251/AU251*AI251+Исходн.данные.!S251*10)</f>
        <v>0</v>
      </c>
      <c r="BI251" s="10"/>
      <c r="BJ251" s="182">
        <f>IF(Исходн.данные.!AH251=0,0,IF(HX251*HG251*HL251/AV251&lt;0,0,HX251*HG251*HL251/AV251*AJ251))</f>
        <v>0</v>
      </c>
      <c r="BK251" s="182">
        <f>IF(Исходн.данные.!AH251=0,0,HY251*HH251*HM251/AW251)</f>
        <v>0</v>
      </c>
      <c r="BL251" s="10">
        <f>IF(OR(Исходн.данные.!$AH251=$BP$1,Исходн.данные.!$AH251=$BP$2),0,IF(BH251&lt;0,0,IF(OR(Исходн.данные.!T251=Расчет!$BP$1,Исходн.данные.!T251=Расчет!$BP$2,Исходн.данные.!T251=Расчет!$BT$5,Исходн.данные.!T251=Расчет!$BT$6),BH251*0.5,IF(OR(Исходн.данные.!T251=Расчет!$BS$9,Исходн.данные.!T251=Расчет!$BS$10,Исходн.данные.!T251=Расчет!$BS$11,Исходн.данные.!T251=Расчет!$BS$12,Исходн.данные.!T251=Расчет!$BP$5),BH251*0.8,BH251))))</f>
        <v>0</v>
      </c>
      <c r="BM251" s="10">
        <f>IF(OR(Исходн.данные.!$AH251=$BP$1,Исходн.данные.!$AH251=$BP$2),0,IF(BJ251&lt;0,0,IF(Исходн.данные.!I251&lt;4.5,BJ251*1.2,IF(Исходн.данные.!I251&gt;5.1,BJ251,BJ251*((5.1-Исходн.данные.!I251)*0.333+1)))))</f>
        <v>0</v>
      </c>
      <c r="BN251" s="10">
        <f>IF(OR(Исходн.данные.!$AH251=$BP$1,Исходн.данные.!$AH251=$BP$2),60-Исходн.данные.!AF251,IF(BK251&lt;0,0,IF(Исходн.данные.!I251&lt;4.5,BK251*1.2,IF(Исходн.данные.!I251&gt;5.1,BK251,BK251*((5.1-Исходн.данные.!I251)*0.333+1)))))</f>
        <v>0</v>
      </c>
      <c r="BO251" s="9">
        <f>IF(BL251&lt;0,0,BL251*Исходн.данные.!$AJ251/1000)</f>
        <v>0</v>
      </c>
      <c r="BP251" s="9">
        <f>IF(BM251&lt;0,0,BM251*Исходн.данные.!$AJ251/1000)</f>
        <v>0</v>
      </c>
      <c r="BQ251" s="9">
        <f>IF(BN251&lt;0,0,BN251*Исходн.данные.!$AJ251/1000)</f>
        <v>0</v>
      </c>
      <c r="BR251" s="9">
        <f t="shared" si="303"/>
        <v>0</v>
      </c>
      <c r="BS251" s="10" t="str">
        <f t="shared" si="304"/>
        <v>Аммофос 12:52:00</v>
      </c>
      <c r="BT251" s="10" t="str">
        <f t="shared" si="305"/>
        <v>Аммофос 12:52:00</v>
      </c>
      <c r="BU251" s="10" t="str">
        <f t="shared" si="306"/>
        <v>Диаммофоска</v>
      </c>
      <c r="BV251" s="10">
        <f t="shared" si="307"/>
        <v>0</v>
      </c>
      <c r="BW251" s="10"/>
      <c r="BX251" s="10"/>
      <c r="BY251" s="9">
        <f>IF(BL251&lt;0,0,IF(OR(Исходн.данные.!AI251=Расчет!$BU$6,Исходн.данные.!AI251=Расчет!$BU$7),Расчет!BV251,IF(Исходн.данные.!$AG251=$BV$11,BL251,IF(OR(Исходн.данные.!$AH251=$BQ$7,Исходн.данные.!$AH251=$BQ$8),CB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0,IF(Исходн.данные.!$AI251=$BU$11,"Нет",IF(BL251&gt;30,30,BL251)))))))</f>
        <v>0</v>
      </c>
      <c r="BZ251" s="9">
        <f>IF(AND(Исходн.данные.!$AG251=$BV$11,BM251&lt;10),10,IF(Исходн.данные.!$AG251=$BV$11,BM251,IF(OR(Исходн.данные.!$AH251=$BQ$7,Исходн.данные.!$AH251=$BQ$8),CC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10,IF(Исходн.данные.!$AI251=$BU$11,"Нет",IF(BM251&gt;60,60,IF(BM251&lt;10,10,BM251)))))))</f>
        <v>10</v>
      </c>
      <c r="CA251" s="39">
        <f>IF(BN251&lt;0,0,IF(Исходн.данные.!$AG251=$BV$11,BN251,IF(OR(Исходн.данные.!$AH251=$BQ$7,Исходн.данные.!$AH251=$BQ$8),CD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0,IF(Исходн.данные.!$AI251=$BU$11,"Нет",IF(BN251&gt;30,30,BN251))))))</f>
        <v>0</v>
      </c>
      <c r="CB251" s="9">
        <f t="shared" si="308"/>
        <v>0</v>
      </c>
      <c r="CC251" s="9">
        <f t="shared" si="309"/>
        <v>0</v>
      </c>
      <c r="CD251" s="9">
        <f t="shared" si="310"/>
        <v>0</v>
      </c>
      <c r="CE251" s="12">
        <f t="shared" si="311"/>
        <v>10</v>
      </c>
      <c r="CF251" s="9">
        <f t="shared" si="312"/>
        <v>0</v>
      </c>
      <c r="CG251" s="9" t="s">
        <v>231</v>
      </c>
      <c r="CH251" s="132" t="str">
        <f>IF(Исходн.данные.!AP251=Расчет!$CI$16,"Нет",IF(Исходн.данные.!AL251&gt;0,Исходн.данные.!AL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BH$4,IF(OR(Исходн.данные.!AI251=Исходн.данные.!$AI$6,Исходн.данные.!AI251=Исходн.данные.!$AI$7),Расчет!BS251,IF(AND($CF251=0,$CE251&gt;0),EV251,ER251)))))</f>
        <v>Аммофос 12:52:00</v>
      </c>
      <c r="CI251" s="274">
        <f>IF(Расчет!$CH251="Нет","Нет",IF(Исходн.данные.!$AL251&gt;0,VLOOKUP(Расчет!$CH251,АшламаДВ_Irekle,2,FALSE),VLOOKUP(Расчет!$CH251,АшламаДВ_Gomumy,2,FALSE)))</f>
        <v>0.12</v>
      </c>
      <c r="CJ251" s="274">
        <f>IF(Расчет!$CH251="Нет","Нет",IF(Исходн.данные.!$AL251&gt;0,VLOOKUP(Расчет!$CH251,АшламаДВ_Irekle,3,FALSE),VLOOKUP(Расчет!$CH251,АшламаДВ_Gomumy,3,FALSE)))</f>
        <v>0.52</v>
      </c>
      <c r="CK251" s="274">
        <f>IF(Расчет!$CH251="Нет","Нет",IF(Исходн.данные.!$AL251&gt;0,VLOOKUP(Расчет!$CH251,АшламаДВ_Irekle,4,FALSE),VLOOKUP(Расчет!$CH251,АшламаДВ_Gomumy,4,FALSE)))</f>
        <v>0</v>
      </c>
      <c r="CL251" s="70"/>
      <c r="CM251" s="70"/>
      <c r="CN251" s="70"/>
      <c r="CO251" s="70"/>
      <c r="CP251" s="70"/>
      <c r="CQ251" s="70"/>
      <c r="CR251" s="10">
        <f t="shared" si="313"/>
        <v>0</v>
      </c>
      <c r="CS251" s="10">
        <f t="shared" si="314"/>
        <v>19.23076923076923</v>
      </c>
      <c r="CT251" s="10">
        <f t="shared" si="315"/>
        <v>0</v>
      </c>
      <c r="CU251" s="39">
        <f>IF($CH251="Нет",0,IF(CI251=0,30/MIN(CJ251:CK251),IF(Исходн.данные.!$AG251=$BV$11,CR251,IF(OR(Исходн.данные.!$AH251=$BQ$7,Исходн.данные.!$AH251=$BQ$8),90/CI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0,IF(Исходн.данные.!$AI251=$BU$11,"Нет",30/CI251))))))</f>
        <v>250</v>
      </c>
      <c r="CV251" s="39">
        <f>IF($CH251="Нет",0,IF(Исходн.данные.!AH251=0,0,IF(CJ251=0,60/MIN(CI251,CK251),IF(Исходн.данные.!$AG251=$BV$11,CS251,IF(OR(Исходн.данные.!$AH251=$BQ$7,Исходн.данные.!$AH251=$BQ$8),90/CJ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10/CJ251,IF(Исходн.данные.!$AI251=$BU$11,"Нет",60/CJ251)))))))</f>
        <v>0</v>
      </c>
      <c r="CW251" s="39">
        <f>IF($CH251="Нет",0,IF(Исходн.данные.!AH251=0,0,IF(CK251=0,30/MIN(CI251:CJ251),IF(Исходн.данные.!$AG251=$BV$11,CT251,IF(OR(Исходн.данные.!$AH251=$BQ$7,Исходн.данные.!$AH251=$BQ$8),90/CK251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0,IF(Исходн.данные.!$AI251=$BU$11,"Нет",30/CK251)))))))</f>
        <v>0</v>
      </c>
      <c r="CX251" s="133">
        <f>IF(Исходн.данные.!$AG251=$BV$11,MAX(CU251:CW251),IF(OR(Исходн.данные.!$AH251=$BS$8,Исходн.данные.!$AH251=$BQ$9,Исходн.данные.!$AH251=$BQ$10,Исходн.данные.!$AH251=$BQ$11,Исходн.данные.!$AH251=$BQ$12,Исходн.данные.!$AH251=$BP$3,Исходн.данные.!$AH251=$BT$8,$FM251="Да"),CV251,MIN(CU251:CW251)))</f>
        <v>0</v>
      </c>
      <c r="CY251" s="133">
        <f>IF(Исходн.данные.!AH251=0,0,IF(CR251&gt;$CX251,$CX251,CR251))</f>
        <v>0</v>
      </c>
      <c r="CZ251" s="133">
        <f>IF(Исходн.данные.!AH251=0,0,IF(CS251&gt;$CX251,$CX251,CS251))</f>
        <v>0</v>
      </c>
      <c r="DA251" s="133">
        <f>IF(Исходн.данные.!AH251=0,0,IF(CT251&gt;$CX251,$CX251,CT251))</f>
        <v>0</v>
      </c>
      <c r="DB251" s="10">
        <f t="shared" si="316"/>
        <v>0</v>
      </c>
      <c r="DC251" s="39">
        <f>DB251*Исходн.данные.!AJ251/1000</f>
        <v>0</v>
      </c>
      <c r="DD251" s="71">
        <f t="shared" si="317"/>
        <v>0</v>
      </c>
      <c r="DE251" s="9">
        <f t="shared" si="318"/>
        <v>0</v>
      </c>
      <c r="DF251" s="9">
        <f t="shared" si="319"/>
        <v>0</v>
      </c>
      <c r="DG251" s="39">
        <f>IF(BL251&lt;0,0,IF($CH251="Нет",BL251,IF(OR(Исходн.данные.!$AH251=$BP$1,Исходн.данные.!$AH251=$BP$2),0,IF(Исходн.данные.!AI251=$BU$11,BL251,IF(BL251-DD251&lt;0,0,BL251-DD251)))))</f>
        <v>0</v>
      </c>
      <c r="DH251" s="39">
        <f>IF(BM251&lt;0,0,IF($CH251="Нет",BM251,IF(OR(Исходн.данные.!$AH251=$BP$1,Исходн.данные.!$AH251=$BP$2),0,IF(Исходн.данные.!AJ251=$BU$11,BM251,IF(BM251-DE251&lt;0,0,BM251-DE251)))))</f>
        <v>0</v>
      </c>
      <c r="DI251" s="39">
        <f>IF(BN251&lt;0,0,IF($CH251="Нет",BN251,IF(OR(Исходн.данные.!$AH251=$BP$1,Исходн.данные.!$AH251=$BP$2),0,IF(Исходн.данные.!AK251=$BU$11,BN251,IF(BN251-DF251&lt;0,0,BN251-DF251)))))</f>
        <v>0</v>
      </c>
      <c r="DJ251" s="12">
        <f t="shared" si="320"/>
        <v>0</v>
      </c>
      <c r="DK251" s="9">
        <f t="shared" si="321"/>
        <v>0</v>
      </c>
      <c r="DL251" s="39">
        <f>IF(Исходн.данные.!AM251&gt;0,Исходн.данные.!AM251,IF(EG251&gt;0,$BH$10,0))</f>
        <v>0</v>
      </c>
      <c r="DM251" s="186">
        <f>IF($DL251=0,0,IF(Исходн.данные.!AM251&gt;0,VLOOKUP($DL251,АшламаДВ_Irekle,2,FALSE),VLOOKUP($DL251,АшламаДВ_Gomumy,2,FALSE)))</f>
        <v>0</v>
      </c>
      <c r="DN251" s="10">
        <f t="shared" si="299"/>
        <v>0</v>
      </c>
      <c r="DO251" s="9" t="str">
        <f>IF(Исходн.данные.!AN251&gt;0,Исходн.данные.!AN251,Удобрения!$B$37 )</f>
        <v>Хлор.калий</v>
      </c>
      <c r="DP251" s="9">
        <f>IF(Исходн.данные.!AN251&gt;0,VLOOKUP(Исходн.данные.!AN251,АшламаДВ_Irekle,4,FALSE),VLOOKUP(DO251,АшламаДВ_Gomumy,4,FALSE))</f>
        <v>0.6</v>
      </c>
      <c r="DQ251" s="10">
        <f t="shared" si="300"/>
        <v>0</v>
      </c>
      <c r="DR251" s="132" t="str">
        <f>IF(Исходн.данные.!AO251&gt;0,Исходн.данные.!AO251,IF(DH251=0,BS$17,IF(AND($DK251=0,$DJ251&gt;0),EJ251,EN251)))</f>
        <v>Нет</v>
      </c>
      <c r="DS251" s="70" t="str">
        <f>IF($DR251="Нет","Нет",IF(Исходн.данные.!$AO251&gt;0,VLOOKUP($DR251,АшламаДВ_Irekle,2,FALSE),VLOOKUP($DR251,АшламаДВ_Gomumy,2,FALSE)))</f>
        <v>Нет</v>
      </c>
      <c r="DT251" s="70" t="str">
        <f>IF($DR251="Нет","Нет",IF(Исходн.данные.!$AO251&gt;0,VLOOKUP($DR251,АшламаДВ_Irekle,3,FALSE),VLOOKUP($DR251,АшламаДВ_Gomumy,3,FALSE)))</f>
        <v>Нет</v>
      </c>
      <c r="DU251" s="70" t="str">
        <f>IF($DR251="Нет","Нет",IF(Исходн.данные.!$AO251&gt;0,VLOOKUP($DR251,АшламаДВ_Irekle,4,FALSE),VLOOKUP($DR251,АшламаДВ_Gomumy,4,FALSE)))</f>
        <v>Нет</v>
      </c>
      <c r="DV251" s="70"/>
      <c r="DW251" s="70"/>
      <c r="DX251" s="70"/>
      <c r="DY251" s="10">
        <f t="shared" si="322"/>
        <v>0</v>
      </c>
      <c r="DZ251" s="10">
        <f t="shared" si="323"/>
        <v>0</v>
      </c>
      <c r="EA251" s="10">
        <f t="shared" si="324"/>
        <v>0</v>
      </c>
      <c r="EB251" s="10">
        <f t="shared" si="325"/>
        <v>0</v>
      </c>
      <c r="EC251" s="10">
        <f t="shared" si="326"/>
        <v>0</v>
      </c>
      <c r="ED251" s="10">
        <f t="shared" si="327"/>
        <v>0</v>
      </c>
      <c r="EE251" s="10">
        <f t="shared" si="328"/>
        <v>0</v>
      </c>
      <c r="EF251" s="39">
        <f>EB251*Исходн.данные.!AJ251/1000</f>
        <v>0</v>
      </c>
      <c r="EG251" s="9">
        <f t="shared" si="329"/>
        <v>0</v>
      </c>
      <c r="EH251" s="9">
        <f t="shared" si="330"/>
        <v>0</v>
      </c>
      <c r="EI251" s="39" t="e">
        <f t="shared" si="280"/>
        <v>#DIV/0!</v>
      </c>
      <c r="EJ251" s="9" t="str">
        <f t="shared" si="301"/>
        <v>Азопреципитат</v>
      </c>
      <c r="EK251" s="12">
        <f t="shared" si="281"/>
        <v>0.26</v>
      </c>
      <c r="EL251" s="12">
        <f t="shared" si="282"/>
        <v>0.13</v>
      </c>
      <c r="EM251" s="12">
        <f t="shared" si="283"/>
        <v>0</v>
      </c>
      <c r="EN251" s="12" t="str">
        <f t="shared" si="302"/>
        <v>Нет</v>
      </c>
      <c r="EO251" s="12">
        <f t="shared" si="284"/>
        <v>0</v>
      </c>
      <c r="EP251" s="12">
        <f t="shared" si="285"/>
        <v>0</v>
      </c>
      <c r="EQ251" s="12">
        <f t="shared" si="286"/>
        <v>0</v>
      </c>
      <c r="ER251" s="12" t="str">
        <f t="shared" si="331"/>
        <v>Диаммофоска</v>
      </c>
      <c r="ES251" s="12">
        <f t="shared" si="287"/>
        <v>0.1</v>
      </c>
      <c r="ET251" s="12">
        <f t="shared" si="288"/>
        <v>0.26</v>
      </c>
      <c r="EU251" s="12">
        <f t="shared" si="289"/>
        <v>0.26</v>
      </c>
      <c r="EV251" s="12" t="str">
        <f t="shared" si="332"/>
        <v>Аммофос 12:52:00</v>
      </c>
      <c r="EW251" s="12" t="str">
        <f t="shared" si="333"/>
        <v>Кемира Свекловичное-6</v>
      </c>
      <c r="EX251" s="12">
        <f t="shared" si="290"/>
        <v>0.16</v>
      </c>
      <c r="EY251" s="12">
        <f t="shared" si="291"/>
        <v>0.12</v>
      </c>
      <c r="EZ251" s="12">
        <f t="shared" si="292"/>
        <v>0.17</v>
      </c>
      <c r="FA251" s="38" t="e">
        <f>IF(AND(OR(FJ251=$FD$1,FM251=$FD$1,FO251=$FD$1,FQ251=$FD$1,FS251=$FD$1),FD251=$FD$1,Исходн.данные.!J251&lt;2,FU251=$FD$1),"Бор,Кобальт",IF(AND(FO251=$FD$1,FH251=$FD$1,Исходн.данные.!J251&lt;2,FU251=$FD$1),"Бор,Кобальт",IF(AND(OR(FJ251=$FD$1,FM251=$FD$1,FQ251=$FD$1),FE251=$FD$1,Исходн.данные.!J251&lt;2,FT251=$FD$1,FU251=$FD$1),"Бор,Медь,Цинк",IF(AND(OR(FJ251=$FD$1,FR251="Да"),FI251="Да",Исходн.данные.!J251&lt;2,FT251="Да",FU251="Да"),"Бор,Цинк,Медь",IF(AND(OR(FM251="Да",FQ251="Да"),FI251="Да",Исходн.данные.!J251&lt;2,FT251="Да",FU251="Да"),"Бор,Цинк",IF(AND(FN251="Да",OR(FD251="Да",FE251="Да")),"Бор",FB251))))))</f>
        <v>#N/A</v>
      </c>
      <c r="FB251" s="134" t="e">
        <f>IF(AND(OR(FD251="Да",FE251="Да",FF251="Да",FG251="Да",FH251="Да"),FO251="Да"),"Бор",IF(AND(FP251="Да",OR(FD251="Да",FE251="Да",FI251="Да")),"Бор",IF(AND(FS251="Да",FE251="Да"),"Бор,Медь",IF(AND(OR(FJ251="Да",FK251="Да",FL251="Да"),FE251="Да",Исходн.данные.!I251&lt;5,FT251="Да",FU251="Да"),"Молибден,Цинк",IF(AND(FM251="Да",OR(FE251="Да",FF251="Да",FG251="Да",FH251="Да",FI251="Да")),"Молибден,Цинк",IF(AND(OR(FJ251="Да",FK251="Да",FL251="Да",FM251="Да",FQ251="Да"),OR(FE251="Да",FF251="Да"),FT251="Да",FU251="Да",Исходн.данные.!I251&gt;5.5),"Медь,Цинк",FC251))))))</f>
        <v>#N/A</v>
      </c>
      <c r="FC251" s="23" t="e">
        <f t="shared" si="334"/>
        <v>#N/A</v>
      </c>
      <c r="FD251" s="38" t="str">
        <f>IF(OR(Исходн.данные.!F251=$CC$1,Исходн.данные.!F251=$CC$2,Исходн.данные.!F251=$CC$3,Исходн.данные.!F251=$CC$4),"Да","Нет")</f>
        <v>Нет</v>
      </c>
      <c r="FE251" s="38" t="str">
        <f>IF(Исходн.данные.!F251=$CC$5,"Да","Нет")</f>
        <v>Нет</v>
      </c>
      <c r="FF251" s="38" t="str">
        <f>IF(OR(Исходн.данные.!F251=$CC$6,Исходн.данные.!F251=$CC$7),"Да","Нет")</f>
        <v>Нет</v>
      </c>
      <c r="FG251" s="38" t="str">
        <f>IF(OR(Исходн.данные.!F251=$CC$8,Исходн.данные.!F251=$CC$9),"Да","Нет")</f>
        <v>Нет</v>
      </c>
      <c r="FH251" s="38" t="str">
        <f>IF(Исходн.данные.!F251=$CC$10,"Да","Нет")</f>
        <v>Нет</v>
      </c>
      <c r="FI251" s="38" t="str">
        <f>IF(OR(Исходн.данные.!F251=$CC$11,Исходн.данные.!F251=$CC$12),"Да","Нет")</f>
        <v>Нет</v>
      </c>
      <c r="FJ251" s="38" t="str">
        <f>IF(OR(Исходн.данные.!AH251=$BS$1,Исходн.данные.!AH251=$BQ$11,Исходн.данные.!AH251=$BQ$12),"Да","Нет")</f>
        <v>Нет</v>
      </c>
      <c r="FK251" s="38" t="str">
        <f>IF(OR(Исходн.данные.!AH251=$BS$2,Исходн.данные.!AH251=$BS$4),"Да","Нет")</f>
        <v>Нет</v>
      </c>
      <c r="FL251" s="38" t="str">
        <f>IF(OR(Исходн.данные.!AH251=$BS$3,Исходн.данные.!AH251=$BS$5),"Да","Нет")</f>
        <v>Нет</v>
      </c>
      <c r="FM251" s="38" t="str">
        <f>IF(OR(Исходн.данные.!AH251=$BS$9,Исходн.данные.!AH251=$BS$10,Исходн.данные.!AH251=$BS$11,Исходн.данные.!AH251=$BS$12),"Да","Нет")</f>
        <v>Нет</v>
      </c>
      <c r="FN251" s="38" t="str">
        <f>IF(OR(Исходн.данные.!AH251=$BS$6,Исходн.данные.!AH251=$BP$3),"Да","Нет")</f>
        <v>Нет</v>
      </c>
      <c r="FO251" s="38" t="str">
        <f>IF(Исходн.данные.!AH251=$BQ$9,"Да","Нет")</f>
        <v>Нет</v>
      </c>
      <c r="FP251" s="38" t="str">
        <f>IF(OR(Исходн.данные.!AH251=$BS$8,Исходн.данные.!AH251=$BT$8),"Да","Нет")</f>
        <v>Нет</v>
      </c>
      <c r="FQ251" s="38" t="str">
        <f>IF(OR(Исходн.данные.!AH251=$BQ$7,Исходн.данные.!AH251=$BQ$8),"Да","Нет")</f>
        <v>Нет</v>
      </c>
      <c r="FR251" s="38" t="str">
        <f>IF(Исходн.данные.!AI251=$BU$9,"Да","Нет")</f>
        <v>Нет</v>
      </c>
      <c r="FS251" s="38" t="str">
        <f>IF(OR(Исходн.данные.!AH251=$BP$1,Исходн.данные.!AH251=$BP$2),"Да","Нет")</f>
        <v>Нет</v>
      </c>
      <c r="FT251" s="38" t="e">
        <f>IF((Исходн.данные.!K251*GO251*GS251*GW251+BL251*0.6+Исходн.данные.!Q251*4.5*0.275)&gt;90,"Да","Нет")</f>
        <v>#N/A</v>
      </c>
      <c r="FU251" s="38" t="e">
        <f>IF((Исходн.данные.!M251*GS251*GZ251+BM251*0.225)&gt;35,"Да","Нет")</f>
        <v>#N/A</v>
      </c>
      <c r="FV251" s="38" t="str">
        <f>IF(Исходн.данные.!O251&gt;175,"Да","Нет")</f>
        <v>Нет</v>
      </c>
      <c r="FW251" s="39" t="str">
        <f>IF(Исходн.данные.!I251&gt;5.5,"Да","Нет")</f>
        <v>Нет</v>
      </c>
      <c r="FX251" s="39" t="str">
        <f>IF(Исходн.данные.!J251&lt;2,"Да","Нет")</f>
        <v>Да</v>
      </c>
      <c r="FY251" s="39" t="e">
        <f>IF(HF251=$FY$16,0,Исходн.данные.!K251*GO251*GS251*GW251/HF251)</f>
        <v>#N/A</v>
      </c>
      <c r="FZ251" s="39" t="e">
        <f>Исходн.данные.!M251*GS251*GZ251/HG251</f>
        <v>#N/A</v>
      </c>
      <c r="GA251" s="39" t="e">
        <f>IF(K_Wyn=$FY$16,0,IF(Исходн.данные.!N251=Исходн.данные.!$L$10,Исходн.данные.!O251/1.1*GS251*HC251/HH251,IF(Исходн.данные.!N251=Исходн.данные.!$L$12,Исходн.данные.!O251/1.5*GS251*HC251/HH251,Исходн.данные.!O251*GS251*HC251/HH251)))</f>
        <v>#N/A</v>
      </c>
      <c r="GB251" s="39" t="e">
        <f>IF(HF251=$FY$16,0,((Исходн.данные.!Q251*N_Org+Исходн.данные.!R251*N_Sider+Исходн.данные.!S251*N_Soloma)*AO251+Расчет!BC251*VLOOKUP(Исходн.данные.!T251,Справ!$A$3:$O$57,15)*AO251+BB251*VLOOKUP(Исходн.данные.!T251,Справ!$A$3:$O$57,15)*AL251+(Исходн.данные.!V251*N_Rizotorf+Исходн.данные.!W251*N_Rizoagr))/HF251)</f>
        <v>#N/A</v>
      </c>
      <c r="GC251" s="39" t="e">
        <f>IF(HG251=$FY$16,0,((Исходн.данные.!Q251*Р_Org+Исходн.данные.!R251*P_Sider+Исходн.данные.!S251*P_Soloma)*AP251+Расчет!BC251*VLOOKUP(Исходн.данные.!T251,Справ!$A$3:$P$57,16)*AP251+BB251*VLOOKUP(Исходн.данные.!T251,Справ!$A$3:$P$57,16)*AM251)/HG251)</f>
        <v>#N/A</v>
      </c>
      <c r="GD251" s="39" t="e">
        <f>IF(HH251=$FY$16,0,((Исходн.данные.!Q251*К_Org+Исходн.данные.!R251*K_Sider+Исходн.данные.!S251*K_Soloma)*AQ251+Расчет!BC251*VLOOKUP(Исходн.данные.!T251,Справ!$A$3:$Q$57,17)*AQ251+BB251*VLOOKUP(Исходн.данные.!T251,Справ!$A$3:$Q$57,17)*AN251)/HH251)</f>
        <v>#N/A</v>
      </c>
      <c r="GE251" s="39" t="e">
        <f>IF(HF251=$FY$16,0,(Исходн.данные.!X251*AR251+Исходн.данные.!AA251*N_Org*AL251+Исходн.данные.!AB251*N_Sider*AL251+Исходн.данные.!AC251*N_Soloma*AL251)/HF251)</f>
        <v>#N/A</v>
      </c>
      <c r="GF251" s="39" t="e">
        <f>IF(HG251=$FY$16,0,(Исходн.данные.!Y251*AS251+Исходн.данные.!AA251*Р_Org*AM251+Исходн.данные.!AB251*P_Sider*AM251+Исходн.данные.!AC251*P_Soloma*AM251)/HG251)</f>
        <v>#N/A</v>
      </c>
      <c r="GG251" s="39" t="e">
        <f>IF(HH251=$FY$16,0,(Исходн.данные.!Z251*AT251+Исходн.данные.!AA251*К_Org*AN251+Исходн.данные.!AB251*K_Sider*AN251+Исходн.данные.!AC251*K_Soloma*AN251)/HH251)</f>
        <v>#N/A</v>
      </c>
      <c r="GH251" s="39" t="e">
        <f>Исходн.данные.!AD251*AU251/HF251</f>
        <v>#N/A</v>
      </c>
      <c r="GI251" s="39" t="e">
        <f>Исходн.данные.!AE251*AV251/HG251</f>
        <v>#N/A</v>
      </c>
      <c r="GJ251" s="39" t="e">
        <f>Исходн.данные.!AF251*AW251/HH251</f>
        <v>#N/A</v>
      </c>
      <c r="GK251" s="55">
        <f>Исходн.данные.!AK251</f>
        <v>0</v>
      </c>
      <c r="GL251" s="11" t="e">
        <f t="shared" si="335"/>
        <v>#N/A</v>
      </c>
      <c r="GM251" s="11" t="e">
        <f t="shared" si="336"/>
        <v>#N/A</v>
      </c>
      <c r="GN251" s="11" t="e">
        <f t="shared" si="337"/>
        <v>#N/A</v>
      </c>
      <c r="GO251" s="57">
        <f t="shared" si="338"/>
        <v>19</v>
      </c>
      <c r="GP251" s="55">
        <f>IF(OR(Исходн.данные.!F251=$CE$1,Исходн.данные.!F251=$CE$2,Исходн.данные.!F251=$CE$3,Исходн.данные.!F251=$CE$4,Исходн.данные.!F251=$CE$5),GQ251,GR251)</f>
        <v>19</v>
      </c>
      <c r="GQ251" s="55">
        <f>IF(Исходн.данные.!F251=$CE$1,28,IF(Исходн.данные.!F251=$CE$2,26,IF(Исходн.данные.!F251=$CE$3,24,IF(Исходн.данные.!F251=$CE$4,22,IF(Исходн.данные.!F251=$CE$5,20,GR251)))))</f>
        <v>19</v>
      </c>
      <c r="GR251" s="55">
        <f>IF(Исходн.данные.!F251=$CE$6,18,IF(Исходн.данные.!F251=$CE$7,16,IF(Исходн.данные.!F251=$CE$8,14,IF(Исходн.данные.!F251=$CE$9,13,IF(Исходн.данные.!F251=$CE$10,12,19)))))</f>
        <v>19</v>
      </c>
      <c r="GS251" s="55">
        <f>IF(Исходн.данные.!G251="Пес",0.035*(40+2*Исходн.данные.!H251),IF(Исходн.данные.!G251="Суп",0.0325*(40+2*Исходн.данные.!H251),0.03*(40+2*Исходн.данные.!H251)))</f>
        <v>1.2</v>
      </c>
      <c r="GT251" s="55">
        <f>IF(Исходн.данные.!H251&lt;23,2.6,IF(AND(Исходн.данные.!H251&gt;22,Исходн.данные.!H251&lt;26),3,IF(AND(Исходн.данные.!H251&gt;25,Исходн.данные.!H251&lt;29),3.4,3.6)))</f>
        <v>2.6</v>
      </c>
      <c r="GU251" s="55">
        <f>IF(Исходн.данные.!H251&lt;23,2.8,IF(AND(Исходн.данные.!H251&gt;22,Исходн.данные.!H251&lt;26),3.2,IF(AND(Исходн.данные.!H251&gt;25,Исходн.данные.!H251&lt;29),3.6,3.9)))</f>
        <v>2.8</v>
      </c>
      <c r="GV251" s="55">
        <f>IF(Исходн.данные.!H251&lt;23,3,IF(AND(Исходн.данные.!H251&gt;22,Исходн.данные.!H251&lt;26),3.5,IF(AND(Исходн.данные.!H251&gt;25,Исходн.данные.!H251&lt;29),3.9,4.2)))</f>
        <v>3</v>
      </c>
      <c r="GW251" s="55" t="e">
        <f>IF(Исходн.данные.!P251="Ум",GX251,GY251)</f>
        <v>#N/A</v>
      </c>
      <c r="GX251" s="55" t="e">
        <f>VLOOKUP(Исходн.данные.!AI251,Коэффициенты!$J$7:$L$13,2,FALSE)</f>
        <v>#N/A</v>
      </c>
      <c r="GY251" s="55" t="e">
        <f>VLOOKUP(Исходн.данные.!AI251,Коэффициенты!$J$7:$L$13,3,FALSE)</f>
        <v>#N/A</v>
      </c>
      <c r="GZ251" s="55" t="e">
        <f>(IF(Исходн.данные.!M251&lt;50,0.11*VLOOKUP(Исходн.данные.!AH251,Культуры.Информация,7,FALSE),IF(Исходн.данные.!M251&gt;250,0.05*VLOOKUP(Исходн.данные.!AH251,Культуры.Информация,7,FALSE),VLOOKUP(Исходн.данные.!AH251,Культуры.Информация,5,FALSE)/100*($GX$6+$GY$6*Исходн.данные.!M251))))*Расчет2!AI251</f>
        <v>#N/A</v>
      </c>
      <c r="HA251" s="211"/>
      <c r="HB251" s="211"/>
      <c r="HC251" s="55" t="e">
        <f>(IF(Исходн.данные.!O251&lt;80,0.2*VLOOKUP(Исходн.данные.!AH251,Культуры.Информация,8,FALSE),IF(Исходн.данные.!O251&gt;240,0.09*VLOOKUP(Исходн.данные.!AH251,Культуры.Информация,8,FALSE),VLOOKUP(Исходн.данные.!AH251,Культуры.Информация,6,FALSE)/100*($HB$6+$HC$6*Исходн.данные.!O251))))*Расчет2!AJ251</f>
        <v>#N/A</v>
      </c>
      <c r="HD251" s="55">
        <f>IF(Исходн.данные.!O251&gt;240,0.09,IF(Исходн.данные.!O251&lt;30,0.3,$HE$10+$HD$10*Исходн.данные.!O251))</f>
        <v>0.3</v>
      </c>
      <c r="HE251" s="55">
        <f>IF(Исходн.данные.!O251&gt;240,0.17,IF(Исходн.данные.!O251&lt;30,0.5,$HF$12+$HE$12*Исходн.данные.!O251))</f>
        <v>0.5</v>
      </c>
      <c r="HF251" s="55" t="e">
        <f>VLOOKUP(Исходн.данные.!AH251,Справ!$A$3:$D$58,2,FALSE)</f>
        <v>#N/A</v>
      </c>
      <c r="HG251" s="55" t="e">
        <f>VLOOKUP(Исходн.данные.!AH251,Справ!$A$3:$D$58,3,FALSE)</f>
        <v>#N/A</v>
      </c>
      <c r="HH251" s="55" t="e">
        <f>VLOOKUP(Исходн.данные.!AH251,Справ!$A$3:$D$58,4,FALSE)</f>
        <v>#N/A</v>
      </c>
      <c r="HI251" s="11" t="e">
        <f t="shared" si="339"/>
        <v>#N/A</v>
      </c>
      <c r="HJ251" s="11" t="e">
        <f t="shared" si="340"/>
        <v>#N/A</v>
      </c>
      <c r="HK251" s="11" t="e">
        <f t="shared" si="341"/>
        <v>#N/A</v>
      </c>
      <c r="HL251" s="55">
        <f>IF(OR(Исходн.данные.!G251="Глин",Исходн.данные.!G251="Т_суг"),1.1,IF(Исходн.данные.!G251="Ср_суг",1,1))</f>
        <v>1</v>
      </c>
      <c r="HM251" s="55">
        <f>IF(OR(Исходн.данные.!G251="Глин",Исходн.данные.!G251="Т_суг"),0.9,IF(Исходн.данные.!G251="Ср_суг",1,1.2))</f>
        <v>1.2</v>
      </c>
      <c r="HN251" s="11" t="e">
        <f t="shared" si="342"/>
        <v>#N/A</v>
      </c>
      <c r="HO251" s="11" t="e">
        <f t="shared" si="343"/>
        <v>#N/A</v>
      </c>
      <c r="HP251" s="11" t="e">
        <f t="shared" si="344"/>
        <v>#N/A</v>
      </c>
      <c r="HQ251" t="e">
        <f t="shared" si="345"/>
        <v>#N/A</v>
      </c>
      <c r="HR251" t="e">
        <f t="shared" si="346"/>
        <v>#N/A</v>
      </c>
      <c r="HS251" t="e">
        <f t="shared" si="347"/>
        <v>#N/A</v>
      </c>
      <c r="HT251" t="e">
        <f t="shared" si="293"/>
        <v>#N/A</v>
      </c>
      <c r="HU251" t="e">
        <f t="shared" si="294"/>
        <v>#N/A</v>
      </c>
      <c r="HV251" t="e">
        <f t="shared" si="295"/>
        <v>#N/A</v>
      </c>
      <c r="HW251" t="e">
        <f t="shared" si="296"/>
        <v>#N/A</v>
      </c>
      <c r="HX251" t="e">
        <f t="shared" si="297"/>
        <v>#N/A</v>
      </c>
      <c r="HY251" t="e">
        <f t="shared" si="298"/>
        <v>#N/A</v>
      </c>
      <c r="HZ251" s="55">
        <f>IF(OR(Исходн.данные.!AI251="Оз_Ч_П",Исходн.данные.!AI251="Оз_З_П",Исходн.данные.!AI251="Яр_зер"),12,30)</f>
        <v>30</v>
      </c>
      <c r="IA251" t="e">
        <f t="shared" si="348"/>
        <v>#N/A</v>
      </c>
      <c r="IB251" t="e">
        <f t="shared" si="349"/>
        <v>#N/A</v>
      </c>
      <c r="IC251" t="e">
        <f t="shared" si="350"/>
        <v>#N/A</v>
      </c>
      <c r="ID251" s="11" t="e">
        <f t="shared" si="351"/>
        <v>#N/A</v>
      </c>
      <c r="IE251" s="11" t="e">
        <f t="shared" si="352"/>
        <v>#N/A</v>
      </c>
      <c r="IF251" s="11" t="e">
        <f t="shared" si="353"/>
        <v>#N/A</v>
      </c>
    </row>
    <row r="252" spans="35:240" x14ac:dyDescent="0.2">
      <c r="AI252">
        <f>IF(Исходн.данные.!I252&gt;6,1,1.85-(0.148*Исходн.данные.!I252))</f>
        <v>1.85</v>
      </c>
      <c r="AJ252">
        <f>IF(Исходн.данные.!I252&gt;6,1,2.434-(0.246*Исходн.данные.!I252))</f>
        <v>2.4340000000000002</v>
      </c>
      <c r="AL252" s="148" t="b">
        <f>IF(Исходн.данные.!$P252="Ум",N_OrgUd_2g_um,IF(Исходн.данные.!$P252="Об",N_OrgUd_2g_ob))</f>
        <v>0</v>
      </c>
      <c r="AM252" s="148" t="b">
        <f>IF(Исходн.данные.!$P252="Ум",P_OrgUd_2g_um,IF(Исходн.данные.!$P252="Об",P_OrgUd_2g_ob))</f>
        <v>0</v>
      </c>
      <c r="AN252" s="148" t="b">
        <f>IF(Исходн.данные.!$P252="Ум",K_OrgUd_2g_um,IF(Исходн.данные.!$P252="Об",K_OrgUd_2g_ob))</f>
        <v>0</v>
      </c>
      <c r="AO252" s="148" t="b">
        <f>IF(Исходн.данные.!$P252="Ум",N_OrgUd_1g_um,IF(Исходн.данные.!$P252="Об",N_OrgUd_1g_ob))</f>
        <v>0</v>
      </c>
      <c r="AP252" s="148" t="b">
        <f>IF(Исходн.данные.!$P252="Ум",P_OrgUd_1g_um,IF(Исходн.данные.!$P252="Об",P_OrgUd_1g_ob))</f>
        <v>0</v>
      </c>
      <c r="AQ252" s="148" t="b">
        <f>IF(Исходн.данные.!$P252="Ум",K_OrgUd_1g_um,IF(Исходн.данные.!$P252="Об",K_OrgUd_1g_ob))</f>
        <v>0</v>
      </c>
      <c r="AR252" t="b">
        <f>IF(Исходн.данные.!$P252="Ум",N_MinUd_2g_um,IF(Исходн.данные.!$P252="Об",N_MinUd_2g_ob))</f>
        <v>0</v>
      </c>
      <c r="AS252" t="b">
        <f>IF(Исходн.данные.!$P252="Ум",P_MinUd_2g_um,IF(Исходн.данные.!$P252="Об",P_MinUd_2g_ob))</f>
        <v>0</v>
      </c>
      <c r="AT252" t="b">
        <f>IF(Исходн.данные.!$P252="Ум",K_MinUd_2g_um,IF(Исходн.данные.!$P252="Об",K_MinUd_2g_ob))</f>
        <v>0</v>
      </c>
      <c r="AU252" t="b">
        <f>IF(Исходн.данные.!$P252="Ум",N_MinUd_1g_um,IF(Исходн.данные.!$P252="Об",N_MinUd_1g_ob))</f>
        <v>0</v>
      </c>
      <c r="AV252" t="b">
        <f>IF(Исходн.данные.!P252="Ум",P_MinUd_1g_um,IF(Исходн.данные.!P252="Об",P_MinUd_1g_ob))</f>
        <v>0</v>
      </c>
      <c r="AW252" t="b">
        <f>IF(Исходн.данные.!P252="Ум",K_MinUd_1g_um,IF(Исходн.данные.!P252="Об",K_MinUd_1g_ob))</f>
        <v>0</v>
      </c>
      <c r="AY252" t="e">
        <f>VLOOKUP(Исходн.данные.!T252,Справ!$A$3:$N$57,12)</f>
        <v>#N/A</v>
      </c>
      <c r="AZ252" t="e">
        <f>VLOOKUP(Исходн.данные.!T252,Справ!$A$3:$N$57,13)</f>
        <v>#N/A</v>
      </c>
      <c r="BA252" t="e">
        <f>VLOOKUP(Исходн.данные.!T252,Справ!$A$3:$N$57,14)</f>
        <v>#N/A</v>
      </c>
      <c r="BB252">
        <f>IF(Исходн.данные.!AH252=0,0,25)</f>
        <v>0</v>
      </c>
      <c r="BC252" s="141">
        <f>IF(Исходн.данные.!AH252=0,0,IF(Исходн.данные.!T252=0,25,BD252))</f>
        <v>0</v>
      </c>
      <c r="BD252" s="168" t="e">
        <f>AY252+AZ252*Исходн.данные.!U252-POWER(BA252,2)*Исходн.данные.!U252</f>
        <v>#N/A</v>
      </c>
      <c r="BE25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2" s="25">
        <f>IF(Исходн.данные.!AH252=0,0,MIN(HN252:HP252))</f>
        <v>0</v>
      </c>
      <c r="BG252" s="9">
        <f>IF(Исходн.данные.!AH252=0,0,IF((HO252+10*0.25/HG252/HL252)&lt;17,17,HO252+10*0.25/HG252/HL252))</f>
        <v>0</v>
      </c>
      <c r="BH252" s="181">
        <f>IF(Исходн.данные.!AH252=0,0,HW252*HF252*HL252/AU252*AI252+Исходн.данные.!S252*10)</f>
        <v>0</v>
      </c>
      <c r="BI252" s="10"/>
      <c r="BJ252" s="182">
        <f>IF(Исходн.данные.!AH252=0,0,IF(HX252*HG252*HL252/AV252&lt;0,0,HX252*HG252*HL252/AV252*AJ252))</f>
        <v>0</v>
      </c>
      <c r="BK252" s="182">
        <f>IF(Исходн.данные.!AH252=0,0,HY252*HH252*HM252/AW252)</f>
        <v>0</v>
      </c>
      <c r="BL252" s="10">
        <f>IF(OR(Исходн.данные.!$AH252=$BP$1,Исходн.данные.!$AH252=$BP$2),0,IF(BH252&lt;0,0,IF(OR(Исходн.данные.!T252=Расчет!$BP$1,Исходн.данные.!T252=Расчет!$BP$2,Исходн.данные.!T252=Расчет!$BT$5,Исходн.данные.!T252=Расчет!$BT$6),BH252*0.5,IF(OR(Исходн.данные.!T252=Расчет!$BS$9,Исходн.данные.!T252=Расчет!$BS$10,Исходн.данные.!T252=Расчет!$BS$11,Исходн.данные.!T252=Расчет!$BS$12,Исходн.данные.!T252=Расчет!$BP$5),BH252*0.8,BH252))))</f>
        <v>0</v>
      </c>
      <c r="BM252" s="10">
        <f>IF(OR(Исходн.данные.!$AH252=$BP$1,Исходн.данные.!$AH252=$BP$2),0,IF(BJ252&lt;0,0,IF(Исходн.данные.!I252&lt;4.5,BJ252*1.2,IF(Исходн.данные.!I252&gt;5.1,BJ252,BJ252*((5.1-Исходн.данные.!I252)*0.333+1)))))</f>
        <v>0</v>
      </c>
      <c r="BN252" s="10">
        <f>IF(OR(Исходн.данные.!$AH252=$BP$1,Исходн.данные.!$AH252=$BP$2),60-Исходн.данные.!AF252,IF(BK252&lt;0,0,IF(Исходн.данные.!I252&lt;4.5,BK252*1.2,IF(Исходн.данные.!I252&gt;5.1,BK252,BK252*((5.1-Исходн.данные.!I252)*0.333+1)))))</f>
        <v>0</v>
      </c>
      <c r="BO252" s="9">
        <f>IF(BL252&lt;0,0,BL252*Исходн.данные.!$AJ252/1000)</f>
        <v>0</v>
      </c>
      <c r="BP252" s="9">
        <f>IF(BM252&lt;0,0,BM252*Исходн.данные.!$AJ252/1000)</f>
        <v>0</v>
      </c>
      <c r="BQ252" s="9">
        <f>IF(BN252&lt;0,0,BN252*Исходн.данные.!$AJ252/1000)</f>
        <v>0</v>
      </c>
      <c r="BR252" s="9">
        <f t="shared" si="303"/>
        <v>0</v>
      </c>
      <c r="BS252" s="10" t="str">
        <f t="shared" si="304"/>
        <v>Аммофос 12:52:00</v>
      </c>
      <c r="BT252" s="10" t="str">
        <f t="shared" si="305"/>
        <v>Аммофос 12:52:00</v>
      </c>
      <c r="BU252" s="10" t="str">
        <f t="shared" si="306"/>
        <v>Диаммофоска</v>
      </c>
      <c r="BV252" s="10">
        <f t="shared" si="307"/>
        <v>0</v>
      </c>
      <c r="BW252" s="10"/>
      <c r="BX252" s="10"/>
      <c r="BY252" s="9">
        <f>IF(BL252&lt;0,0,IF(OR(Исходн.данные.!AI252=Расчет!$BU$6,Исходн.данные.!AI252=Расчет!$BU$7),Расчет!BV252,IF(Исходн.данные.!$AG252=$BV$11,BL252,IF(OR(Исходн.данные.!$AH252=$BQ$7,Исходн.данные.!$AH252=$BQ$8),CB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0,IF(Исходн.данные.!$AI252=$BU$11,"Нет",IF(BL252&gt;30,30,BL252)))))))</f>
        <v>0</v>
      </c>
      <c r="BZ252" s="9">
        <f>IF(AND(Исходн.данные.!$AG252=$BV$11,BM252&lt;10),10,IF(Исходн.данные.!$AG252=$BV$11,BM252,IF(OR(Исходн.данные.!$AH252=$BQ$7,Исходн.данные.!$AH252=$BQ$8),CC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10,IF(Исходн.данные.!$AI252=$BU$11,"Нет",IF(BM252&gt;60,60,IF(BM252&lt;10,10,BM252)))))))</f>
        <v>10</v>
      </c>
      <c r="CA252" s="39">
        <f>IF(BN252&lt;0,0,IF(Исходн.данные.!$AG252=$BV$11,BN252,IF(OR(Исходн.данные.!$AH252=$BQ$7,Исходн.данные.!$AH252=$BQ$8),CD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0,IF(Исходн.данные.!$AI252=$BU$11,"Нет",IF(BN252&gt;30,30,BN252))))))</f>
        <v>0</v>
      </c>
      <c r="CB252" s="9">
        <f t="shared" si="308"/>
        <v>0</v>
      </c>
      <c r="CC252" s="9">
        <f t="shared" si="309"/>
        <v>0</v>
      </c>
      <c r="CD252" s="9">
        <f t="shared" si="310"/>
        <v>0</v>
      </c>
      <c r="CE252" s="12">
        <f t="shared" si="311"/>
        <v>10</v>
      </c>
      <c r="CF252" s="9">
        <f t="shared" si="312"/>
        <v>0</v>
      </c>
      <c r="CG252" s="9" t="s">
        <v>231</v>
      </c>
      <c r="CH252" s="132" t="str">
        <f>IF(Исходн.данные.!AP252=Расчет!$CI$16,"Нет",IF(Исходн.данные.!AL252&gt;0,Исходн.данные.!AL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BH$4,IF(OR(Исходн.данные.!AI252=Исходн.данные.!$AI$6,Исходн.данные.!AI252=Исходн.данные.!$AI$7),Расчет!BS252,IF(AND($CF252=0,$CE252&gt;0),EV252,ER252)))))</f>
        <v>Аммофос 12:52:00</v>
      </c>
      <c r="CI252" s="274">
        <f>IF(Расчет!$CH252="Нет","Нет",IF(Исходн.данные.!$AL252&gt;0,VLOOKUP(Расчет!$CH252,АшламаДВ_Irekle,2,FALSE),VLOOKUP(Расчет!$CH252,АшламаДВ_Gomumy,2,FALSE)))</f>
        <v>0.12</v>
      </c>
      <c r="CJ252" s="274">
        <f>IF(Расчет!$CH252="Нет","Нет",IF(Исходн.данные.!$AL252&gt;0,VLOOKUP(Расчет!$CH252,АшламаДВ_Irekle,3,FALSE),VLOOKUP(Расчет!$CH252,АшламаДВ_Gomumy,3,FALSE)))</f>
        <v>0.52</v>
      </c>
      <c r="CK252" s="274">
        <f>IF(Расчет!$CH252="Нет","Нет",IF(Исходн.данные.!$AL252&gt;0,VLOOKUP(Расчет!$CH252,АшламаДВ_Irekle,4,FALSE),VLOOKUP(Расчет!$CH252,АшламаДВ_Gomumy,4,FALSE)))</f>
        <v>0</v>
      </c>
      <c r="CL252" s="70"/>
      <c r="CM252" s="70"/>
      <c r="CN252" s="70"/>
      <c r="CO252" s="70"/>
      <c r="CP252" s="70"/>
      <c r="CQ252" s="70"/>
      <c r="CR252" s="10">
        <f t="shared" si="313"/>
        <v>0</v>
      </c>
      <c r="CS252" s="10">
        <f t="shared" si="314"/>
        <v>19.23076923076923</v>
      </c>
      <c r="CT252" s="10">
        <f t="shared" si="315"/>
        <v>0</v>
      </c>
      <c r="CU252" s="39">
        <f>IF($CH252="Нет",0,IF(CI252=0,30/MIN(CJ252:CK252),IF(Исходн.данные.!$AG252=$BV$11,CR252,IF(OR(Исходн.данные.!$AH252=$BQ$7,Исходн.данные.!$AH252=$BQ$8),90/CI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0,IF(Исходн.данные.!$AI252=$BU$11,"Нет",30/CI252))))))</f>
        <v>250</v>
      </c>
      <c r="CV252" s="39">
        <f>IF($CH252="Нет",0,IF(Исходн.данные.!AH252=0,0,IF(CJ252=0,60/MIN(CI252,CK252),IF(Исходн.данные.!$AG252=$BV$11,CS252,IF(OR(Исходн.данные.!$AH252=$BQ$7,Исходн.данные.!$AH252=$BQ$8),90/CJ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10/CJ252,IF(Исходн.данные.!$AI252=$BU$11,"Нет",60/CJ252)))))))</f>
        <v>0</v>
      </c>
      <c r="CW252" s="39">
        <f>IF($CH252="Нет",0,IF(Исходн.данные.!AH252=0,0,IF(CK252=0,30/MIN(CI252:CJ252),IF(Исходн.данные.!$AG252=$BV$11,CT252,IF(OR(Исходн.данные.!$AH252=$BQ$7,Исходн.данные.!$AH252=$BQ$8),90/CK252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0,IF(Исходн.данные.!$AI252=$BU$11,"Нет",30/CK252)))))))</f>
        <v>0</v>
      </c>
      <c r="CX252" s="133">
        <f>IF(Исходн.данные.!$AG252=$BV$11,MAX(CU252:CW252),IF(OR(Исходн.данные.!$AH252=$BS$8,Исходн.данные.!$AH252=$BQ$9,Исходн.данные.!$AH252=$BQ$10,Исходн.данные.!$AH252=$BQ$11,Исходн.данные.!$AH252=$BQ$12,Исходн.данные.!$AH252=$BP$3,Исходн.данные.!$AH252=$BT$8,$FM252="Да"),CV252,MIN(CU252:CW252)))</f>
        <v>0</v>
      </c>
      <c r="CY252" s="133">
        <f>IF(Исходн.данные.!AH252=0,0,IF(CR252&gt;$CX252,$CX252,CR252))</f>
        <v>0</v>
      </c>
      <c r="CZ252" s="133">
        <f>IF(Исходн.данные.!AH252=0,0,IF(CS252&gt;$CX252,$CX252,CS252))</f>
        <v>0</v>
      </c>
      <c r="DA252" s="133">
        <f>IF(Исходн.данные.!AH252=0,0,IF(CT252&gt;$CX252,$CX252,CT252))</f>
        <v>0</v>
      </c>
      <c r="DB252" s="10">
        <f t="shared" si="316"/>
        <v>0</v>
      </c>
      <c r="DC252" s="39">
        <f>DB252*Исходн.данные.!AJ252/1000</f>
        <v>0</v>
      </c>
      <c r="DD252" s="71">
        <f t="shared" si="317"/>
        <v>0</v>
      </c>
      <c r="DE252" s="9">
        <f t="shared" si="318"/>
        <v>0</v>
      </c>
      <c r="DF252" s="9">
        <f t="shared" si="319"/>
        <v>0</v>
      </c>
      <c r="DG252" s="39">
        <f>IF(BL252&lt;0,0,IF($CH252="Нет",BL252,IF(OR(Исходн.данные.!$AH252=$BP$1,Исходн.данные.!$AH252=$BP$2),0,IF(Исходн.данные.!AI252=$BU$11,BL252,IF(BL252-DD252&lt;0,0,BL252-DD252)))))</f>
        <v>0</v>
      </c>
      <c r="DH252" s="39">
        <f>IF(BM252&lt;0,0,IF($CH252="Нет",BM252,IF(OR(Исходн.данные.!$AH252=$BP$1,Исходн.данные.!$AH252=$BP$2),0,IF(Исходн.данные.!AJ252=$BU$11,BM252,IF(BM252-DE252&lt;0,0,BM252-DE252)))))</f>
        <v>0</v>
      </c>
      <c r="DI252" s="39">
        <f>IF(BN252&lt;0,0,IF($CH252="Нет",BN252,IF(OR(Исходн.данные.!$AH252=$BP$1,Исходн.данные.!$AH252=$BP$2),0,IF(Исходн.данные.!AK252=$BU$11,BN252,IF(BN252-DF252&lt;0,0,BN252-DF252)))))</f>
        <v>0</v>
      </c>
      <c r="DJ252" s="12">
        <f t="shared" si="320"/>
        <v>0</v>
      </c>
      <c r="DK252" s="9">
        <f t="shared" si="321"/>
        <v>0</v>
      </c>
      <c r="DL252" s="39">
        <f>IF(Исходн.данные.!AM252&gt;0,Исходн.данные.!AM252,IF(EG252&gt;0,$BH$10,0))</f>
        <v>0</v>
      </c>
      <c r="DM252" s="186">
        <f>IF($DL252=0,0,IF(Исходн.данные.!AM252&gt;0,VLOOKUP($DL252,АшламаДВ_Irekle,2,FALSE),VLOOKUP($DL252,АшламаДВ_Gomumy,2,FALSE)))</f>
        <v>0</v>
      </c>
      <c r="DN252" s="10">
        <f t="shared" si="299"/>
        <v>0</v>
      </c>
      <c r="DO252" s="9" t="str">
        <f>IF(Исходн.данные.!AN252&gt;0,Исходн.данные.!AN252,Удобрения!$B$37 )</f>
        <v>Хлор.калий</v>
      </c>
      <c r="DP252" s="9">
        <f>IF(Исходн.данные.!AN252&gt;0,VLOOKUP(Исходн.данные.!AN252,АшламаДВ_Irekle,4,FALSE),VLOOKUP(DO252,АшламаДВ_Gomumy,4,FALSE))</f>
        <v>0.6</v>
      </c>
      <c r="DQ252" s="10">
        <f t="shared" si="300"/>
        <v>0</v>
      </c>
      <c r="DR252" s="132" t="str">
        <f>IF(Исходн.данные.!AO252&gt;0,Исходн.данные.!AO252,IF(DH252=0,BS$17,IF(AND($DK252=0,$DJ252&gt;0),EJ252,EN252)))</f>
        <v>Нет</v>
      </c>
      <c r="DS252" s="70" t="str">
        <f>IF($DR252="Нет","Нет",IF(Исходн.данные.!$AO252&gt;0,VLOOKUP($DR252,АшламаДВ_Irekle,2,FALSE),VLOOKUP($DR252,АшламаДВ_Gomumy,2,FALSE)))</f>
        <v>Нет</v>
      </c>
      <c r="DT252" s="70" t="str">
        <f>IF($DR252="Нет","Нет",IF(Исходн.данные.!$AO252&gt;0,VLOOKUP($DR252,АшламаДВ_Irekle,3,FALSE),VLOOKUP($DR252,АшламаДВ_Gomumy,3,FALSE)))</f>
        <v>Нет</v>
      </c>
      <c r="DU252" s="70" t="str">
        <f>IF($DR252="Нет","Нет",IF(Исходн.данные.!$AO252&gt;0,VLOOKUP($DR252,АшламаДВ_Irekle,4,FALSE),VLOOKUP($DR252,АшламаДВ_Gomumy,4,FALSE)))</f>
        <v>Нет</v>
      </c>
      <c r="DV252" s="70"/>
      <c r="DW252" s="70"/>
      <c r="DX252" s="70"/>
      <c r="DY252" s="10">
        <f t="shared" si="322"/>
        <v>0</v>
      </c>
      <c r="DZ252" s="10">
        <f t="shared" si="323"/>
        <v>0</v>
      </c>
      <c r="EA252" s="10">
        <f t="shared" si="324"/>
        <v>0</v>
      </c>
      <c r="EB252" s="10">
        <f t="shared" si="325"/>
        <v>0</v>
      </c>
      <c r="EC252" s="10">
        <f t="shared" si="326"/>
        <v>0</v>
      </c>
      <c r="ED252" s="10">
        <f t="shared" si="327"/>
        <v>0</v>
      </c>
      <c r="EE252" s="10">
        <f t="shared" si="328"/>
        <v>0</v>
      </c>
      <c r="EF252" s="39">
        <f>EB252*Исходн.данные.!AJ252/1000</f>
        <v>0</v>
      </c>
      <c r="EG252" s="9">
        <f t="shared" si="329"/>
        <v>0</v>
      </c>
      <c r="EH252" s="9">
        <f t="shared" si="330"/>
        <v>0</v>
      </c>
      <c r="EI252" s="39" t="e">
        <f t="shared" si="280"/>
        <v>#DIV/0!</v>
      </c>
      <c r="EJ252" s="9" t="str">
        <f t="shared" si="301"/>
        <v>Азопреципитат</v>
      </c>
      <c r="EK252" s="12">
        <f t="shared" si="281"/>
        <v>0.26</v>
      </c>
      <c r="EL252" s="12">
        <f t="shared" si="282"/>
        <v>0.13</v>
      </c>
      <c r="EM252" s="12">
        <f t="shared" si="283"/>
        <v>0</v>
      </c>
      <c r="EN252" s="12" t="str">
        <f t="shared" si="302"/>
        <v>Нет</v>
      </c>
      <c r="EO252" s="12">
        <f t="shared" si="284"/>
        <v>0</v>
      </c>
      <c r="EP252" s="12">
        <f t="shared" si="285"/>
        <v>0</v>
      </c>
      <c r="EQ252" s="12">
        <f t="shared" si="286"/>
        <v>0</v>
      </c>
      <c r="ER252" s="12" t="str">
        <f t="shared" si="331"/>
        <v>Диаммофоска</v>
      </c>
      <c r="ES252" s="12">
        <f t="shared" si="287"/>
        <v>0.1</v>
      </c>
      <c r="ET252" s="12">
        <f t="shared" si="288"/>
        <v>0.26</v>
      </c>
      <c r="EU252" s="12">
        <f t="shared" si="289"/>
        <v>0.26</v>
      </c>
      <c r="EV252" s="12" t="str">
        <f t="shared" si="332"/>
        <v>Аммофос 12:52:00</v>
      </c>
      <c r="EW252" s="12" t="str">
        <f t="shared" si="333"/>
        <v>Кемира Свекловичное-6</v>
      </c>
      <c r="EX252" s="12">
        <f t="shared" si="290"/>
        <v>0.16</v>
      </c>
      <c r="EY252" s="12">
        <f t="shared" si="291"/>
        <v>0.12</v>
      </c>
      <c r="EZ252" s="12">
        <f t="shared" si="292"/>
        <v>0.17</v>
      </c>
      <c r="FA252" s="38" t="e">
        <f>IF(AND(OR(FJ252=$FD$1,FM252=$FD$1,FO252=$FD$1,FQ252=$FD$1,FS252=$FD$1),FD252=$FD$1,Исходн.данные.!J252&lt;2,FU252=$FD$1),"Бор,Кобальт",IF(AND(FO252=$FD$1,FH252=$FD$1,Исходн.данные.!J252&lt;2,FU252=$FD$1),"Бор,Кобальт",IF(AND(OR(FJ252=$FD$1,FM252=$FD$1,FQ252=$FD$1),FE252=$FD$1,Исходн.данные.!J252&lt;2,FT252=$FD$1,FU252=$FD$1),"Бор,Медь,Цинк",IF(AND(OR(FJ252=$FD$1,FR252="Да"),FI252="Да",Исходн.данные.!J252&lt;2,FT252="Да",FU252="Да"),"Бор,Цинк,Медь",IF(AND(OR(FM252="Да",FQ252="Да"),FI252="Да",Исходн.данные.!J252&lt;2,FT252="Да",FU252="Да"),"Бор,Цинк",IF(AND(FN252="Да",OR(FD252="Да",FE252="Да")),"Бор",FB252))))))</f>
        <v>#N/A</v>
      </c>
      <c r="FB252" s="134" t="e">
        <f>IF(AND(OR(FD252="Да",FE252="Да",FF252="Да",FG252="Да",FH252="Да"),FO252="Да"),"Бор",IF(AND(FP252="Да",OR(FD252="Да",FE252="Да",FI252="Да")),"Бор",IF(AND(FS252="Да",FE252="Да"),"Бор,Медь",IF(AND(OR(FJ252="Да",FK252="Да",FL252="Да"),FE252="Да",Исходн.данные.!I252&lt;5,FT252="Да",FU252="Да"),"Молибден,Цинк",IF(AND(FM252="Да",OR(FE252="Да",FF252="Да",FG252="Да",FH252="Да",FI252="Да")),"Молибден,Цинк",IF(AND(OR(FJ252="Да",FK252="Да",FL252="Да",FM252="Да",FQ252="Да"),OR(FE252="Да",FF252="Да"),FT252="Да",FU252="Да",Исходн.данные.!I252&gt;5.5),"Медь,Цинк",FC252))))))</f>
        <v>#N/A</v>
      </c>
      <c r="FC252" s="23" t="e">
        <f t="shared" si="334"/>
        <v>#N/A</v>
      </c>
      <c r="FD252" s="38" t="str">
        <f>IF(OR(Исходн.данные.!F252=$CC$1,Исходн.данные.!F252=$CC$2,Исходн.данные.!F252=$CC$3,Исходн.данные.!F252=$CC$4),"Да","Нет")</f>
        <v>Нет</v>
      </c>
      <c r="FE252" s="38" t="str">
        <f>IF(Исходн.данные.!F252=$CC$5,"Да","Нет")</f>
        <v>Нет</v>
      </c>
      <c r="FF252" s="38" t="str">
        <f>IF(OR(Исходн.данные.!F252=$CC$6,Исходн.данные.!F252=$CC$7),"Да","Нет")</f>
        <v>Нет</v>
      </c>
      <c r="FG252" s="38" t="str">
        <f>IF(OR(Исходн.данные.!F252=$CC$8,Исходн.данные.!F252=$CC$9),"Да","Нет")</f>
        <v>Нет</v>
      </c>
      <c r="FH252" s="38" t="str">
        <f>IF(Исходн.данные.!F252=$CC$10,"Да","Нет")</f>
        <v>Нет</v>
      </c>
      <c r="FI252" s="38" t="str">
        <f>IF(OR(Исходн.данные.!F252=$CC$11,Исходн.данные.!F252=$CC$12),"Да","Нет")</f>
        <v>Нет</v>
      </c>
      <c r="FJ252" s="38" t="str">
        <f>IF(OR(Исходн.данные.!AH252=$BS$1,Исходн.данные.!AH252=$BQ$11,Исходн.данные.!AH252=$BQ$12),"Да","Нет")</f>
        <v>Нет</v>
      </c>
      <c r="FK252" s="38" t="str">
        <f>IF(OR(Исходн.данные.!AH252=$BS$2,Исходн.данные.!AH252=$BS$4),"Да","Нет")</f>
        <v>Нет</v>
      </c>
      <c r="FL252" s="38" t="str">
        <f>IF(OR(Исходн.данные.!AH252=$BS$3,Исходн.данные.!AH252=$BS$5),"Да","Нет")</f>
        <v>Нет</v>
      </c>
      <c r="FM252" s="38" t="str">
        <f>IF(OR(Исходн.данные.!AH252=$BS$9,Исходн.данные.!AH252=$BS$10,Исходн.данные.!AH252=$BS$11,Исходн.данные.!AH252=$BS$12),"Да","Нет")</f>
        <v>Нет</v>
      </c>
      <c r="FN252" s="38" t="str">
        <f>IF(OR(Исходн.данные.!AH252=$BS$6,Исходн.данные.!AH252=$BP$3),"Да","Нет")</f>
        <v>Нет</v>
      </c>
      <c r="FO252" s="38" t="str">
        <f>IF(Исходн.данные.!AH252=$BQ$9,"Да","Нет")</f>
        <v>Нет</v>
      </c>
      <c r="FP252" s="38" t="str">
        <f>IF(OR(Исходн.данные.!AH252=$BS$8,Исходн.данные.!AH252=$BT$8),"Да","Нет")</f>
        <v>Нет</v>
      </c>
      <c r="FQ252" s="38" t="str">
        <f>IF(OR(Исходн.данные.!AH252=$BQ$7,Исходн.данные.!AH252=$BQ$8),"Да","Нет")</f>
        <v>Нет</v>
      </c>
      <c r="FR252" s="38" t="str">
        <f>IF(Исходн.данные.!AI252=$BU$9,"Да","Нет")</f>
        <v>Нет</v>
      </c>
      <c r="FS252" s="38" t="str">
        <f>IF(OR(Исходн.данные.!AH252=$BP$1,Исходн.данные.!AH252=$BP$2),"Да","Нет")</f>
        <v>Нет</v>
      </c>
      <c r="FT252" s="38" t="e">
        <f>IF((Исходн.данные.!K252*GO252*GS252*GW252+BL252*0.6+Исходн.данные.!Q252*4.5*0.275)&gt;90,"Да","Нет")</f>
        <v>#N/A</v>
      </c>
      <c r="FU252" s="38" t="e">
        <f>IF((Исходн.данные.!M252*GS252*GZ252+BM252*0.225)&gt;35,"Да","Нет")</f>
        <v>#N/A</v>
      </c>
      <c r="FV252" s="38" t="str">
        <f>IF(Исходн.данные.!O252&gt;175,"Да","Нет")</f>
        <v>Нет</v>
      </c>
      <c r="FW252" s="39" t="str">
        <f>IF(Исходн.данные.!I252&gt;5.5,"Да","Нет")</f>
        <v>Нет</v>
      </c>
      <c r="FX252" s="39" t="str">
        <f>IF(Исходн.данные.!J252&lt;2,"Да","Нет")</f>
        <v>Да</v>
      </c>
      <c r="FY252" s="39" t="e">
        <f>IF(HF252=$FY$16,0,Исходн.данные.!K252*GO252*GS252*GW252/HF252)</f>
        <v>#N/A</v>
      </c>
      <c r="FZ252" s="39" t="e">
        <f>Исходн.данные.!M252*GS252*GZ252/HG252</f>
        <v>#N/A</v>
      </c>
      <c r="GA252" s="39" t="e">
        <f>IF(K_Wyn=$FY$16,0,IF(Исходн.данные.!N252=Исходн.данные.!$L$10,Исходн.данные.!O252/1.1*GS252*HC252/HH252,IF(Исходн.данные.!N252=Исходн.данные.!$L$12,Исходн.данные.!O252/1.5*GS252*HC252/HH252,Исходн.данные.!O252*GS252*HC252/HH252)))</f>
        <v>#N/A</v>
      </c>
      <c r="GB252" s="39" t="e">
        <f>IF(HF252=$FY$16,0,((Исходн.данные.!Q252*N_Org+Исходн.данные.!R252*N_Sider+Исходн.данные.!S252*N_Soloma)*AO252+Расчет!BC252*VLOOKUP(Исходн.данные.!T252,Справ!$A$3:$O$57,15)*AO252+BB252*VLOOKUP(Исходн.данные.!T252,Справ!$A$3:$O$57,15)*AL252+(Исходн.данные.!V252*N_Rizotorf+Исходн.данные.!W252*N_Rizoagr))/HF252)</f>
        <v>#N/A</v>
      </c>
      <c r="GC252" s="39" t="e">
        <f>IF(HG252=$FY$16,0,((Исходн.данные.!Q252*Р_Org+Исходн.данные.!R252*P_Sider+Исходн.данные.!S252*P_Soloma)*AP252+Расчет!BC252*VLOOKUP(Исходн.данные.!T252,Справ!$A$3:$P$57,16)*AP252+BB252*VLOOKUP(Исходн.данные.!T252,Справ!$A$3:$P$57,16)*AM252)/HG252)</f>
        <v>#N/A</v>
      </c>
      <c r="GD252" s="39" t="e">
        <f>IF(HH252=$FY$16,0,((Исходн.данные.!Q252*К_Org+Исходн.данные.!R252*K_Sider+Исходн.данные.!S252*K_Soloma)*AQ252+Расчет!BC252*VLOOKUP(Исходн.данные.!T252,Справ!$A$3:$Q$57,17)*AQ252+BB252*VLOOKUP(Исходн.данные.!T252,Справ!$A$3:$Q$57,17)*AN252)/HH252)</f>
        <v>#N/A</v>
      </c>
      <c r="GE252" s="39" t="e">
        <f>IF(HF252=$FY$16,0,(Исходн.данные.!X252*AR252+Исходн.данные.!AA252*N_Org*AL252+Исходн.данные.!AB252*N_Sider*AL252+Исходн.данные.!AC252*N_Soloma*AL252)/HF252)</f>
        <v>#N/A</v>
      </c>
      <c r="GF252" s="39" t="e">
        <f>IF(HG252=$FY$16,0,(Исходн.данные.!Y252*AS252+Исходн.данные.!AA252*Р_Org*AM252+Исходн.данные.!AB252*P_Sider*AM252+Исходн.данные.!AC252*P_Soloma*AM252)/HG252)</f>
        <v>#N/A</v>
      </c>
      <c r="GG252" s="39" t="e">
        <f>IF(HH252=$FY$16,0,(Исходн.данные.!Z252*AT252+Исходн.данные.!AA252*К_Org*AN252+Исходн.данные.!AB252*K_Sider*AN252+Исходн.данные.!AC252*K_Soloma*AN252)/HH252)</f>
        <v>#N/A</v>
      </c>
      <c r="GH252" s="39" t="e">
        <f>Исходн.данные.!AD252*AU252/HF252</f>
        <v>#N/A</v>
      </c>
      <c r="GI252" s="39" t="e">
        <f>Исходн.данные.!AE252*AV252/HG252</f>
        <v>#N/A</v>
      </c>
      <c r="GJ252" s="39" t="e">
        <f>Исходн.данные.!AF252*AW252/HH252</f>
        <v>#N/A</v>
      </c>
      <c r="GK252" s="55">
        <f>Исходн.данные.!AK252</f>
        <v>0</v>
      </c>
      <c r="GL252" s="11" t="e">
        <f t="shared" si="335"/>
        <v>#N/A</v>
      </c>
      <c r="GM252" s="11" t="e">
        <f t="shared" si="336"/>
        <v>#N/A</v>
      </c>
      <c r="GN252" s="11" t="e">
        <f t="shared" si="337"/>
        <v>#N/A</v>
      </c>
      <c r="GO252" s="57">
        <f t="shared" si="338"/>
        <v>19</v>
      </c>
      <c r="GP252" s="55">
        <f>IF(OR(Исходн.данные.!F252=$CE$1,Исходн.данные.!F252=$CE$2,Исходн.данные.!F252=$CE$3,Исходн.данные.!F252=$CE$4,Исходн.данные.!F252=$CE$5),GQ252,GR252)</f>
        <v>19</v>
      </c>
      <c r="GQ252" s="55">
        <f>IF(Исходн.данные.!F252=$CE$1,28,IF(Исходн.данные.!F252=$CE$2,26,IF(Исходн.данные.!F252=$CE$3,24,IF(Исходн.данные.!F252=$CE$4,22,IF(Исходн.данные.!F252=$CE$5,20,GR252)))))</f>
        <v>19</v>
      </c>
      <c r="GR252" s="55">
        <f>IF(Исходн.данные.!F252=$CE$6,18,IF(Исходн.данные.!F252=$CE$7,16,IF(Исходн.данные.!F252=$CE$8,14,IF(Исходн.данные.!F252=$CE$9,13,IF(Исходн.данные.!F252=$CE$10,12,19)))))</f>
        <v>19</v>
      </c>
      <c r="GS252" s="55">
        <f>IF(Исходн.данные.!G252="Пес",0.035*(40+2*Исходн.данные.!H252),IF(Исходн.данные.!G252="Суп",0.0325*(40+2*Исходн.данные.!H252),0.03*(40+2*Исходн.данные.!H252)))</f>
        <v>1.2</v>
      </c>
      <c r="GT252" s="55">
        <f>IF(Исходн.данные.!H252&lt;23,2.6,IF(AND(Исходн.данные.!H252&gt;22,Исходн.данные.!H252&lt;26),3,IF(AND(Исходн.данные.!H252&gt;25,Исходн.данные.!H252&lt;29),3.4,3.6)))</f>
        <v>2.6</v>
      </c>
      <c r="GU252" s="55">
        <f>IF(Исходн.данные.!H252&lt;23,2.8,IF(AND(Исходн.данные.!H252&gt;22,Исходн.данные.!H252&lt;26),3.2,IF(AND(Исходн.данные.!H252&gt;25,Исходн.данные.!H252&lt;29),3.6,3.9)))</f>
        <v>2.8</v>
      </c>
      <c r="GV252" s="55">
        <f>IF(Исходн.данные.!H252&lt;23,3,IF(AND(Исходн.данные.!H252&gt;22,Исходн.данные.!H252&lt;26),3.5,IF(AND(Исходн.данные.!H252&gt;25,Исходн.данные.!H252&lt;29),3.9,4.2)))</f>
        <v>3</v>
      </c>
      <c r="GW252" s="55" t="e">
        <f>IF(Исходн.данные.!P252="Ум",GX252,GY252)</f>
        <v>#N/A</v>
      </c>
      <c r="GX252" s="55" t="e">
        <f>VLOOKUP(Исходн.данные.!AI252,Коэффициенты!$J$7:$L$13,2,FALSE)</f>
        <v>#N/A</v>
      </c>
      <c r="GY252" s="55" t="e">
        <f>VLOOKUP(Исходн.данные.!AI252,Коэффициенты!$J$7:$L$13,3,FALSE)</f>
        <v>#N/A</v>
      </c>
      <c r="GZ252" s="55" t="e">
        <f>(IF(Исходн.данные.!M252&lt;50,0.11*VLOOKUP(Исходн.данные.!AH252,Культуры.Информация,7,FALSE),IF(Исходн.данные.!M252&gt;250,0.05*VLOOKUP(Исходн.данные.!AH252,Культуры.Информация,7,FALSE),VLOOKUP(Исходн.данные.!AH252,Культуры.Информация,5,FALSE)/100*($GX$6+$GY$6*Исходн.данные.!M252))))*Расчет2!AI252</f>
        <v>#N/A</v>
      </c>
      <c r="HA252" s="211"/>
      <c r="HB252" s="211"/>
      <c r="HC252" s="55" t="e">
        <f>(IF(Исходн.данные.!O252&lt;80,0.2*VLOOKUP(Исходн.данные.!AH252,Культуры.Информация,8,FALSE),IF(Исходн.данные.!O252&gt;240,0.09*VLOOKUP(Исходн.данные.!AH252,Культуры.Информация,8,FALSE),VLOOKUP(Исходн.данные.!AH252,Культуры.Информация,6,FALSE)/100*($HB$6+$HC$6*Исходн.данные.!O252))))*Расчет2!AJ252</f>
        <v>#N/A</v>
      </c>
      <c r="HD252" s="55">
        <f>IF(Исходн.данные.!O252&gt;240,0.09,IF(Исходн.данные.!O252&lt;30,0.3,$HE$10+$HD$10*Исходн.данные.!O252))</f>
        <v>0.3</v>
      </c>
      <c r="HE252" s="55">
        <f>IF(Исходн.данные.!O252&gt;240,0.17,IF(Исходн.данные.!O252&lt;30,0.5,$HF$12+$HE$12*Исходн.данные.!O252))</f>
        <v>0.5</v>
      </c>
      <c r="HF252" s="55" t="e">
        <f>VLOOKUP(Исходн.данные.!AH252,Справ!$A$3:$D$58,2,FALSE)</f>
        <v>#N/A</v>
      </c>
      <c r="HG252" s="55" t="e">
        <f>VLOOKUP(Исходн.данные.!AH252,Справ!$A$3:$D$58,3,FALSE)</f>
        <v>#N/A</v>
      </c>
      <c r="HH252" s="55" t="e">
        <f>VLOOKUP(Исходн.данные.!AH252,Справ!$A$3:$D$58,4,FALSE)</f>
        <v>#N/A</v>
      </c>
      <c r="HI252" s="11" t="e">
        <f t="shared" si="339"/>
        <v>#N/A</v>
      </c>
      <c r="HJ252" s="11" t="e">
        <f t="shared" si="340"/>
        <v>#N/A</v>
      </c>
      <c r="HK252" s="11" t="e">
        <f t="shared" si="341"/>
        <v>#N/A</v>
      </c>
      <c r="HL252" s="55">
        <f>IF(OR(Исходн.данные.!G252="Глин",Исходн.данные.!G252="Т_суг"),1.1,IF(Исходн.данные.!G252="Ср_суг",1,1))</f>
        <v>1</v>
      </c>
      <c r="HM252" s="55">
        <f>IF(OR(Исходн.данные.!G252="Глин",Исходн.данные.!G252="Т_суг"),0.9,IF(Исходн.данные.!G252="Ср_суг",1,1.2))</f>
        <v>1.2</v>
      </c>
      <c r="HN252" s="11" t="e">
        <f t="shared" si="342"/>
        <v>#N/A</v>
      </c>
      <c r="HO252" s="11" t="e">
        <f t="shared" si="343"/>
        <v>#N/A</v>
      </c>
      <c r="HP252" s="11" t="e">
        <f t="shared" si="344"/>
        <v>#N/A</v>
      </c>
      <c r="HQ252" t="e">
        <f t="shared" si="345"/>
        <v>#N/A</v>
      </c>
      <c r="HR252" t="e">
        <f t="shared" si="346"/>
        <v>#N/A</v>
      </c>
      <c r="HS252" t="e">
        <f t="shared" si="347"/>
        <v>#N/A</v>
      </c>
      <c r="HT252" t="e">
        <f t="shared" si="293"/>
        <v>#N/A</v>
      </c>
      <c r="HU252" t="e">
        <f t="shared" si="294"/>
        <v>#N/A</v>
      </c>
      <c r="HV252" t="e">
        <f t="shared" si="295"/>
        <v>#N/A</v>
      </c>
      <c r="HW252" t="e">
        <f t="shared" si="296"/>
        <v>#N/A</v>
      </c>
      <c r="HX252" t="e">
        <f t="shared" si="297"/>
        <v>#N/A</v>
      </c>
      <c r="HY252" t="e">
        <f t="shared" si="298"/>
        <v>#N/A</v>
      </c>
      <c r="HZ252" s="55">
        <f>IF(OR(Исходн.данные.!AI252="Оз_Ч_П",Исходн.данные.!AI252="Оз_З_П",Исходн.данные.!AI252="Яр_зер"),12,30)</f>
        <v>30</v>
      </c>
      <c r="IA252" t="e">
        <f t="shared" si="348"/>
        <v>#N/A</v>
      </c>
      <c r="IB252" t="e">
        <f t="shared" si="349"/>
        <v>#N/A</v>
      </c>
      <c r="IC252" t="e">
        <f t="shared" si="350"/>
        <v>#N/A</v>
      </c>
      <c r="ID252" s="11" t="e">
        <f t="shared" si="351"/>
        <v>#N/A</v>
      </c>
      <c r="IE252" s="11" t="e">
        <f t="shared" si="352"/>
        <v>#N/A</v>
      </c>
      <c r="IF252" s="11" t="e">
        <f t="shared" si="353"/>
        <v>#N/A</v>
      </c>
    </row>
    <row r="253" spans="35:240" x14ac:dyDescent="0.2">
      <c r="AI253">
        <f>IF(Исходн.данные.!I253&gt;6,1,1.85-(0.148*Исходн.данные.!I253))</f>
        <v>1.85</v>
      </c>
      <c r="AJ253">
        <f>IF(Исходн.данные.!I253&gt;6,1,2.434-(0.246*Исходн.данные.!I253))</f>
        <v>2.4340000000000002</v>
      </c>
      <c r="AL253" s="148" t="b">
        <f>IF(Исходн.данные.!$P253="Ум",N_OrgUd_2g_um,IF(Исходн.данные.!$P253="Об",N_OrgUd_2g_ob))</f>
        <v>0</v>
      </c>
      <c r="AM253" s="148" t="b">
        <f>IF(Исходн.данные.!$P253="Ум",P_OrgUd_2g_um,IF(Исходн.данные.!$P253="Об",P_OrgUd_2g_ob))</f>
        <v>0</v>
      </c>
      <c r="AN253" s="148" t="b">
        <f>IF(Исходн.данные.!$P253="Ум",K_OrgUd_2g_um,IF(Исходн.данные.!$P253="Об",K_OrgUd_2g_ob))</f>
        <v>0</v>
      </c>
      <c r="AO253" s="148" t="b">
        <f>IF(Исходн.данные.!$P253="Ум",N_OrgUd_1g_um,IF(Исходн.данные.!$P253="Об",N_OrgUd_1g_ob))</f>
        <v>0</v>
      </c>
      <c r="AP253" s="148" t="b">
        <f>IF(Исходн.данные.!$P253="Ум",P_OrgUd_1g_um,IF(Исходн.данные.!$P253="Об",P_OrgUd_1g_ob))</f>
        <v>0</v>
      </c>
      <c r="AQ253" s="148" t="b">
        <f>IF(Исходн.данные.!$P253="Ум",K_OrgUd_1g_um,IF(Исходн.данные.!$P253="Об",K_OrgUd_1g_ob))</f>
        <v>0</v>
      </c>
      <c r="AR253" t="b">
        <f>IF(Исходн.данные.!$P253="Ум",N_MinUd_2g_um,IF(Исходн.данные.!$P253="Об",N_MinUd_2g_ob))</f>
        <v>0</v>
      </c>
      <c r="AS253" t="b">
        <f>IF(Исходн.данные.!$P253="Ум",P_MinUd_2g_um,IF(Исходн.данные.!$P253="Об",P_MinUd_2g_ob))</f>
        <v>0</v>
      </c>
      <c r="AT253" t="b">
        <f>IF(Исходн.данные.!$P253="Ум",K_MinUd_2g_um,IF(Исходн.данные.!$P253="Об",K_MinUd_2g_ob))</f>
        <v>0</v>
      </c>
      <c r="AU253" t="b">
        <f>IF(Исходн.данные.!$P253="Ум",N_MinUd_1g_um,IF(Исходн.данные.!$P253="Об",N_MinUd_1g_ob))</f>
        <v>0</v>
      </c>
      <c r="AV253" t="b">
        <f>IF(Исходн.данные.!P253="Ум",P_MinUd_1g_um,IF(Исходн.данные.!P253="Об",P_MinUd_1g_ob))</f>
        <v>0</v>
      </c>
      <c r="AW253" t="b">
        <f>IF(Исходн.данные.!P253="Ум",K_MinUd_1g_um,IF(Исходн.данные.!P253="Об",K_MinUd_1g_ob))</f>
        <v>0</v>
      </c>
      <c r="AY253" t="e">
        <f>VLOOKUP(Исходн.данные.!T253,Справ!$A$3:$N$57,12)</f>
        <v>#N/A</v>
      </c>
      <c r="AZ253" t="e">
        <f>VLOOKUP(Исходн.данные.!T253,Справ!$A$3:$N$57,13)</f>
        <v>#N/A</v>
      </c>
      <c r="BA253" t="e">
        <f>VLOOKUP(Исходн.данные.!T253,Справ!$A$3:$N$57,14)</f>
        <v>#N/A</v>
      </c>
      <c r="BB253">
        <f>IF(Исходн.данные.!AH253=0,0,25)</f>
        <v>0</v>
      </c>
      <c r="BC253" s="141">
        <f>IF(Исходн.данные.!AH253=0,0,IF(Исходн.данные.!T253=0,25,BD253))</f>
        <v>0</v>
      </c>
      <c r="BD253" s="168" t="e">
        <f>AY253+AZ253*Исходн.данные.!U253-POWER(BA253,2)*Исходн.данные.!U253</f>
        <v>#N/A</v>
      </c>
      <c r="BE25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3" s="25">
        <f>IF(Исходн.данные.!AH253=0,0,MIN(HN253:HP253))</f>
        <v>0</v>
      </c>
      <c r="BG253" s="9">
        <f>IF(Исходн.данные.!AH253=0,0,IF((HO253+10*0.25/HG253/HL253)&lt;17,17,HO253+10*0.25/HG253/HL253))</f>
        <v>0</v>
      </c>
      <c r="BH253" s="181">
        <f>IF(Исходн.данные.!AH253=0,0,HW253*HF253*HL253/AU253*AI253+Исходн.данные.!S253*10)</f>
        <v>0</v>
      </c>
      <c r="BI253" s="10"/>
      <c r="BJ253" s="182">
        <f>IF(Исходн.данные.!AH253=0,0,IF(HX253*HG253*HL253/AV253&lt;0,0,HX253*HG253*HL253/AV253*AJ253))</f>
        <v>0</v>
      </c>
      <c r="BK253" s="182">
        <f>IF(Исходн.данные.!AH253=0,0,HY253*HH253*HM253/AW253)</f>
        <v>0</v>
      </c>
      <c r="BL253" s="10">
        <f>IF(OR(Исходн.данные.!$AH253=$BP$1,Исходн.данные.!$AH253=$BP$2),0,IF(BH253&lt;0,0,IF(OR(Исходн.данные.!T253=Расчет!$BP$1,Исходн.данные.!T253=Расчет!$BP$2,Исходн.данные.!T253=Расчет!$BT$5,Исходн.данные.!T253=Расчет!$BT$6),BH253*0.5,IF(OR(Исходн.данные.!T253=Расчет!$BS$9,Исходн.данные.!T253=Расчет!$BS$10,Исходн.данные.!T253=Расчет!$BS$11,Исходн.данные.!T253=Расчет!$BS$12,Исходн.данные.!T253=Расчет!$BP$5),BH253*0.8,BH253))))</f>
        <v>0</v>
      </c>
      <c r="BM253" s="10">
        <f>IF(OR(Исходн.данные.!$AH253=$BP$1,Исходн.данные.!$AH253=$BP$2),0,IF(BJ253&lt;0,0,IF(Исходн.данные.!I253&lt;4.5,BJ253*1.2,IF(Исходн.данные.!I253&gt;5.1,BJ253,BJ253*((5.1-Исходн.данные.!I253)*0.333+1)))))</f>
        <v>0</v>
      </c>
      <c r="BN253" s="10">
        <f>IF(OR(Исходн.данные.!$AH253=$BP$1,Исходн.данные.!$AH253=$BP$2),60-Исходн.данные.!AF253,IF(BK253&lt;0,0,IF(Исходн.данные.!I253&lt;4.5,BK253*1.2,IF(Исходн.данные.!I253&gt;5.1,BK253,BK253*((5.1-Исходн.данные.!I253)*0.333+1)))))</f>
        <v>0</v>
      </c>
      <c r="BO253" s="9">
        <f>IF(BL253&lt;0,0,BL253*Исходн.данные.!$AJ253/1000)</f>
        <v>0</v>
      </c>
      <c r="BP253" s="9">
        <f>IF(BM253&lt;0,0,BM253*Исходн.данные.!$AJ253/1000)</f>
        <v>0</v>
      </c>
      <c r="BQ253" s="9">
        <f>IF(BN253&lt;0,0,BN253*Исходн.данные.!$AJ253/1000)</f>
        <v>0</v>
      </c>
      <c r="BR253" s="9">
        <f t="shared" si="303"/>
        <v>0</v>
      </c>
      <c r="BS253" s="10" t="str">
        <f t="shared" si="304"/>
        <v>Аммофос 12:52:00</v>
      </c>
      <c r="BT253" s="10" t="str">
        <f t="shared" si="305"/>
        <v>Аммофос 12:52:00</v>
      </c>
      <c r="BU253" s="10" t="str">
        <f t="shared" si="306"/>
        <v>Диаммофоска</v>
      </c>
      <c r="BV253" s="10">
        <f t="shared" si="307"/>
        <v>0</v>
      </c>
      <c r="BW253" s="10"/>
      <c r="BX253" s="10"/>
      <c r="BY253" s="9">
        <f>IF(BL253&lt;0,0,IF(OR(Исходн.данные.!AI253=Расчет!$BU$6,Исходн.данные.!AI253=Расчет!$BU$7),Расчет!BV253,IF(Исходн.данные.!$AG253=$BV$11,BL253,IF(OR(Исходн.данные.!$AH253=$BQ$7,Исходн.данные.!$AH253=$BQ$8),CB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0,IF(Исходн.данные.!$AI253=$BU$11,"Нет",IF(BL253&gt;30,30,BL253)))))))</f>
        <v>0</v>
      </c>
      <c r="BZ253" s="9">
        <f>IF(AND(Исходн.данные.!$AG253=$BV$11,BM253&lt;10),10,IF(Исходн.данные.!$AG253=$BV$11,BM253,IF(OR(Исходн.данные.!$AH253=$BQ$7,Исходн.данные.!$AH253=$BQ$8),CC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10,IF(Исходн.данные.!$AI253=$BU$11,"Нет",IF(BM253&gt;60,60,IF(BM253&lt;10,10,BM253)))))))</f>
        <v>10</v>
      </c>
      <c r="CA253" s="39">
        <f>IF(BN253&lt;0,0,IF(Исходн.данные.!$AG253=$BV$11,BN253,IF(OR(Исходн.данные.!$AH253=$BQ$7,Исходн.данные.!$AH253=$BQ$8),CD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0,IF(Исходн.данные.!$AI253=$BU$11,"Нет",IF(BN253&gt;30,30,BN253))))))</f>
        <v>0</v>
      </c>
      <c r="CB253" s="9">
        <f t="shared" si="308"/>
        <v>0</v>
      </c>
      <c r="CC253" s="9">
        <f t="shared" si="309"/>
        <v>0</v>
      </c>
      <c r="CD253" s="9">
        <f t="shared" si="310"/>
        <v>0</v>
      </c>
      <c r="CE253" s="12">
        <f t="shared" si="311"/>
        <v>10</v>
      </c>
      <c r="CF253" s="9">
        <f t="shared" si="312"/>
        <v>0</v>
      </c>
      <c r="CG253" s="9" t="s">
        <v>231</v>
      </c>
      <c r="CH253" s="132" t="str">
        <f>IF(Исходн.данные.!AP253=Расчет!$CI$16,"Нет",IF(Исходн.данные.!AL253&gt;0,Исходн.данные.!AL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BH$4,IF(OR(Исходн.данные.!AI253=Исходн.данные.!$AI$6,Исходн.данные.!AI253=Исходн.данные.!$AI$7),Расчет!BS253,IF(AND($CF253=0,$CE253&gt;0),EV253,ER253)))))</f>
        <v>Аммофос 12:52:00</v>
      </c>
      <c r="CI253" s="274">
        <f>IF(Расчет!$CH253="Нет","Нет",IF(Исходн.данные.!$AL253&gt;0,VLOOKUP(Расчет!$CH253,АшламаДВ_Irekle,2,FALSE),VLOOKUP(Расчет!$CH253,АшламаДВ_Gomumy,2,FALSE)))</f>
        <v>0.12</v>
      </c>
      <c r="CJ253" s="274">
        <f>IF(Расчет!$CH253="Нет","Нет",IF(Исходн.данные.!$AL253&gt;0,VLOOKUP(Расчет!$CH253,АшламаДВ_Irekle,3,FALSE),VLOOKUP(Расчет!$CH253,АшламаДВ_Gomumy,3,FALSE)))</f>
        <v>0.52</v>
      </c>
      <c r="CK253" s="274">
        <f>IF(Расчет!$CH253="Нет","Нет",IF(Исходн.данные.!$AL253&gt;0,VLOOKUP(Расчет!$CH253,АшламаДВ_Irekle,4,FALSE),VLOOKUP(Расчет!$CH253,АшламаДВ_Gomumy,4,FALSE)))</f>
        <v>0</v>
      </c>
      <c r="CL253" s="70"/>
      <c r="CM253" s="70"/>
      <c r="CN253" s="70"/>
      <c r="CO253" s="70"/>
      <c r="CP253" s="70"/>
      <c r="CQ253" s="70"/>
      <c r="CR253" s="10">
        <f t="shared" si="313"/>
        <v>0</v>
      </c>
      <c r="CS253" s="10">
        <f t="shared" si="314"/>
        <v>19.23076923076923</v>
      </c>
      <c r="CT253" s="10">
        <f t="shared" si="315"/>
        <v>0</v>
      </c>
      <c r="CU253" s="39">
        <f>IF($CH253="Нет",0,IF(CI253=0,30/MIN(CJ253:CK253),IF(Исходн.данные.!$AG253=$BV$11,CR253,IF(OR(Исходн.данные.!$AH253=$BQ$7,Исходн.данные.!$AH253=$BQ$8),90/CI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0,IF(Исходн.данные.!$AI253=$BU$11,"Нет",30/CI253))))))</f>
        <v>250</v>
      </c>
      <c r="CV253" s="39">
        <f>IF($CH253="Нет",0,IF(Исходн.данные.!AH253=0,0,IF(CJ253=0,60/MIN(CI253,CK253),IF(Исходн.данные.!$AG253=$BV$11,CS253,IF(OR(Исходн.данные.!$AH253=$BQ$7,Исходн.данные.!$AH253=$BQ$8),90/CJ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10/CJ253,IF(Исходн.данные.!$AI253=$BU$11,"Нет",60/CJ253)))))))</f>
        <v>0</v>
      </c>
      <c r="CW253" s="39">
        <f>IF($CH253="Нет",0,IF(Исходн.данные.!AH253=0,0,IF(CK253=0,30/MIN(CI253:CJ253),IF(Исходн.данные.!$AG253=$BV$11,CT253,IF(OR(Исходн.данные.!$AH253=$BQ$7,Исходн.данные.!$AH253=$BQ$8),90/CK253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0,IF(Исходн.данные.!$AI253=$BU$11,"Нет",30/CK253)))))))</f>
        <v>0</v>
      </c>
      <c r="CX253" s="133">
        <f>IF(Исходн.данные.!$AG253=$BV$11,MAX(CU253:CW253),IF(OR(Исходн.данные.!$AH253=$BS$8,Исходн.данные.!$AH253=$BQ$9,Исходн.данные.!$AH253=$BQ$10,Исходн.данные.!$AH253=$BQ$11,Исходн.данные.!$AH253=$BQ$12,Исходн.данные.!$AH253=$BP$3,Исходн.данные.!$AH253=$BT$8,$FM253="Да"),CV253,MIN(CU253:CW253)))</f>
        <v>0</v>
      </c>
      <c r="CY253" s="133">
        <f>IF(Исходн.данные.!AH253=0,0,IF(CR253&gt;$CX253,$CX253,CR253))</f>
        <v>0</v>
      </c>
      <c r="CZ253" s="133">
        <f>IF(Исходн.данные.!AH253=0,0,IF(CS253&gt;$CX253,$CX253,CS253))</f>
        <v>0</v>
      </c>
      <c r="DA253" s="133">
        <f>IF(Исходн.данные.!AH253=0,0,IF(CT253&gt;$CX253,$CX253,CT253))</f>
        <v>0</v>
      </c>
      <c r="DB253" s="10">
        <f t="shared" si="316"/>
        <v>0</v>
      </c>
      <c r="DC253" s="39">
        <f>DB253*Исходн.данные.!AJ253/1000</f>
        <v>0</v>
      </c>
      <c r="DD253" s="71">
        <f t="shared" si="317"/>
        <v>0</v>
      </c>
      <c r="DE253" s="9">
        <f t="shared" si="318"/>
        <v>0</v>
      </c>
      <c r="DF253" s="9">
        <f t="shared" si="319"/>
        <v>0</v>
      </c>
      <c r="DG253" s="39">
        <f>IF(BL253&lt;0,0,IF($CH253="Нет",BL253,IF(OR(Исходн.данные.!$AH253=$BP$1,Исходн.данные.!$AH253=$BP$2),0,IF(Исходн.данные.!AI253=$BU$11,BL253,IF(BL253-DD253&lt;0,0,BL253-DD253)))))</f>
        <v>0</v>
      </c>
      <c r="DH253" s="39">
        <f>IF(BM253&lt;0,0,IF($CH253="Нет",BM253,IF(OR(Исходн.данные.!$AH253=$BP$1,Исходн.данные.!$AH253=$BP$2),0,IF(Исходн.данные.!AJ253=$BU$11,BM253,IF(BM253-DE253&lt;0,0,BM253-DE253)))))</f>
        <v>0</v>
      </c>
      <c r="DI253" s="39">
        <f>IF(BN253&lt;0,0,IF($CH253="Нет",BN253,IF(OR(Исходн.данные.!$AH253=$BP$1,Исходн.данные.!$AH253=$BP$2),0,IF(Исходн.данные.!AK253=$BU$11,BN253,IF(BN253-DF253&lt;0,0,BN253-DF253)))))</f>
        <v>0</v>
      </c>
      <c r="DJ253" s="12">
        <f t="shared" si="320"/>
        <v>0</v>
      </c>
      <c r="DK253" s="9">
        <f t="shared" si="321"/>
        <v>0</v>
      </c>
      <c r="DL253" s="39">
        <f>IF(Исходн.данные.!AM253&gt;0,Исходн.данные.!AM253,IF(EG253&gt;0,$BH$10,0))</f>
        <v>0</v>
      </c>
      <c r="DM253" s="186">
        <f>IF($DL253=0,0,IF(Исходн.данные.!AM253&gt;0,VLOOKUP($DL253,АшламаДВ_Irekle,2,FALSE),VLOOKUP($DL253,АшламаДВ_Gomumy,2,FALSE)))</f>
        <v>0</v>
      </c>
      <c r="DN253" s="10">
        <f t="shared" si="299"/>
        <v>0</v>
      </c>
      <c r="DO253" s="9" t="str">
        <f>IF(Исходн.данные.!AN253&gt;0,Исходн.данные.!AN253,Удобрения!$B$37 )</f>
        <v>Хлор.калий</v>
      </c>
      <c r="DP253" s="9">
        <f>IF(Исходн.данные.!AN253&gt;0,VLOOKUP(Исходн.данные.!AN253,АшламаДВ_Irekle,4,FALSE),VLOOKUP(DO253,АшламаДВ_Gomumy,4,FALSE))</f>
        <v>0.6</v>
      </c>
      <c r="DQ253" s="10">
        <f t="shared" si="300"/>
        <v>0</v>
      </c>
      <c r="DR253" s="132" t="str">
        <f>IF(Исходн.данные.!AO253&gt;0,Исходн.данные.!AO253,IF(DH253=0,BS$17,IF(AND($DK253=0,$DJ253&gt;0),EJ253,EN253)))</f>
        <v>Нет</v>
      </c>
      <c r="DS253" s="70" t="str">
        <f>IF($DR253="Нет","Нет",IF(Исходн.данные.!$AO253&gt;0,VLOOKUP($DR253,АшламаДВ_Irekle,2,FALSE),VLOOKUP($DR253,АшламаДВ_Gomumy,2,FALSE)))</f>
        <v>Нет</v>
      </c>
      <c r="DT253" s="70" t="str">
        <f>IF($DR253="Нет","Нет",IF(Исходн.данные.!$AO253&gt;0,VLOOKUP($DR253,АшламаДВ_Irekle,3,FALSE),VLOOKUP($DR253,АшламаДВ_Gomumy,3,FALSE)))</f>
        <v>Нет</v>
      </c>
      <c r="DU253" s="70" t="str">
        <f>IF($DR253="Нет","Нет",IF(Исходн.данные.!$AO253&gt;0,VLOOKUP($DR253,АшламаДВ_Irekle,4,FALSE),VLOOKUP($DR253,АшламаДВ_Gomumy,4,FALSE)))</f>
        <v>Нет</v>
      </c>
      <c r="DV253" s="70"/>
      <c r="DW253" s="70"/>
      <c r="DX253" s="70"/>
      <c r="DY253" s="10">
        <f t="shared" si="322"/>
        <v>0</v>
      </c>
      <c r="DZ253" s="10">
        <f t="shared" si="323"/>
        <v>0</v>
      </c>
      <c r="EA253" s="10">
        <f t="shared" si="324"/>
        <v>0</v>
      </c>
      <c r="EB253" s="10">
        <f t="shared" si="325"/>
        <v>0</v>
      </c>
      <c r="EC253" s="10">
        <f t="shared" si="326"/>
        <v>0</v>
      </c>
      <c r="ED253" s="10">
        <f t="shared" si="327"/>
        <v>0</v>
      </c>
      <c r="EE253" s="10">
        <f t="shared" si="328"/>
        <v>0</v>
      </c>
      <c r="EF253" s="39">
        <f>EB253*Исходн.данные.!AJ253/1000</f>
        <v>0</v>
      </c>
      <c r="EG253" s="9">
        <f t="shared" si="329"/>
        <v>0</v>
      </c>
      <c r="EH253" s="9">
        <f t="shared" si="330"/>
        <v>0</v>
      </c>
      <c r="EI253" s="39" t="e">
        <f t="shared" si="280"/>
        <v>#DIV/0!</v>
      </c>
      <c r="EJ253" s="9" t="str">
        <f t="shared" si="301"/>
        <v>Азопреципитат</v>
      </c>
      <c r="EK253" s="12">
        <f t="shared" si="281"/>
        <v>0.26</v>
      </c>
      <c r="EL253" s="12">
        <f t="shared" si="282"/>
        <v>0.13</v>
      </c>
      <c r="EM253" s="12">
        <f t="shared" si="283"/>
        <v>0</v>
      </c>
      <c r="EN253" s="12" t="str">
        <f t="shared" si="302"/>
        <v>Нет</v>
      </c>
      <c r="EO253" s="12">
        <f t="shared" si="284"/>
        <v>0</v>
      </c>
      <c r="EP253" s="12">
        <f t="shared" si="285"/>
        <v>0</v>
      </c>
      <c r="EQ253" s="12">
        <f t="shared" si="286"/>
        <v>0</v>
      </c>
      <c r="ER253" s="12" t="str">
        <f t="shared" si="331"/>
        <v>Диаммофоска</v>
      </c>
      <c r="ES253" s="12">
        <f t="shared" si="287"/>
        <v>0.1</v>
      </c>
      <c r="ET253" s="12">
        <f t="shared" si="288"/>
        <v>0.26</v>
      </c>
      <c r="EU253" s="12">
        <f t="shared" si="289"/>
        <v>0.26</v>
      </c>
      <c r="EV253" s="12" t="str">
        <f t="shared" si="332"/>
        <v>Аммофос 12:52:00</v>
      </c>
      <c r="EW253" s="12" t="str">
        <f t="shared" si="333"/>
        <v>Кемира Свекловичное-6</v>
      </c>
      <c r="EX253" s="12">
        <f t="shared" si="290"/>
        <v>0.16</v>
      </c>
      <c r="EY253" s="12">
        <f t="shared" si="291"/>
        <v>0.12</v>
      </c>
      <c r="EZ253" s="12">
        <f t="shared" si="292"/>
        <v>0.17</v>
      </c>
      <c r="FA253" s="38" t="e">
        <f>IF(AND(OR(FJ253=$FD$1,FM253=$FD$1,FO253=$FD$1,FQ253=$FD$1,FS253=$FD$1),FD253=$FD$1,Исходн.данные.!J253&lt;2,FU253=$FD$1),"Бор,Кобальт",IF(AND(FO253=$FD$1,FH253=$FD$1,Исходн.данные.!J253&lt;2,FU253=$FD$1),"Бор,Кобальт",IF(AND(OR(FJ253=$FD$1,FM253=$FD$1,FQ253=$FD$1),FE253=$FD$1,Исходн.данные.!J253&lt;2,FT253=$FD$1,FU253=$FD$1),"Бор,Медь,Цинк",IF(AND(OR(FJ253=$FD$1,FR253="Да"),FI253="Да",Исходн.данные.!J253&lt;2,FT253="Да",FU253="Да"),"Бор,Цинк,Медь",IF(AND(OR(FM253="Да",FQ253="Да"),FI253="Да",Исходн.данные.!J253&lt;2,FT253="Да",FU253="Да"),"Бор,Цинк",IF(AND(FN253="Да",OR(FD253="Да",FE253="Да")),"Бор",FB253))))))</f>
        <v>#N/A</v>
      </c>
      <c r="FB253" s="134" t="e">
        <f>IF(AND(OR(FD253="Да",FE253="Да",FF253="Да",FG253="Да",FH253="Да"),FO253="Да"),"Бор",IF(AND(FP253="Да",OR(FD253="Да",FE253="Да",FI253="Да")),"Бор",IF(AND(FS253="Да",FE253="Да"),"Бор,Медь",IF(AND(OR(FJ253="Да",FK253="Да",FL253="Да"),FE253="Да",Исходн.данные.!I253&lt;5,FT253="Да",FU253="Да"),"Молибден,Цинк",IF(AND(FM253="Да",OR(FE253="Да",FF253="Да",FG253="Да",FH253="Да",FI253="Да")),"Молибден,Цинк",IF(AND(OR(FJ253="Да",FK253="Да",FL253="Да",FM253="Да",FQ253="Да"),OR(FE253="Да",FF253="Да"),FT253="Да",FU253="Да",Исходн.данные.!I253&gt;5.5),"Медь,Цинк",FC253))))))</f>
        <v>#N/A</v>
      </c>
      <c r="FC253" s="23" t="e">
        <f t="shared" si="334"/>
        <v>#N/A</v>
      </c>
      <c r="FD253" s="38" t="str">
        <f>IF(OR(Исходн.данные.!F253=$CC$1,Исходн.данные.!F253=$CC$2,Исходн.данные.!F253=$CC$3,Исходн.данные.!F253=$CC$4),"Да","Нет")</f>
        <v>Нет</v>
      </c>
      <c r="FE253" s="38" t="str">
        <f>IF(Исходн.данные.!F253=$CC$5,"Да","Нет")</f>
        <v>Нет</v>
      </c>
      <c r="FF253" s="38" t="str">
        <f>IF(OR(Исходн.данные.!F253=$CC$6,Исходн.данные.!F253=$CC$7),"Да","Нет")</f>
        <v>Нет</v>
      </c>
      <c r="FG253" s="38" t="str">
        <f>IF(OR(Исходн.данные.!F253=$CC$8,Исходн.данные.!F253=$CC$9),"Да","Нет")</f>
        <v>Нет</v>
      </c>
      <c r="FH253" s="38" t="str">
        <f>IF(Исходн.данные.!F253=$CC$10,"Да","Нет")</f>
        <v>Нет</v>
      </c>
      <c r="FI253" s="38" t="str">
        <f>IF(OR(Исходн.данные.!F253=$CC$11,Исходн.данные.!F253=$CC$12),"Да","Нет")</f>
        <v>Нет</v>
      </c>
      <c r="FJ253" s="38" t="str">
        <f>IF(OR(Исходн.данные.!AH253=$BS$1,Исходн.данные.!AH253=$BQ$11,Исходн.данные.!AH253=$BQ$12),"Да","Нет")</f>
        <v>Нет</v>
      </c>
      <c r="FK253" s="38" t="str">
        <f>IF(OR(Исходн.данные.!AH253=$BS$2,Исходн.данные.!AH253=$BS$4),"Да","Нет")</f>
        <v>Нет</v>
      </c>
      <c r="FL253" s="38" t="str">
        <f>IF(OR(Исходн.данные.!AH253=$BS$3,Исходн.данные.!AH253=$BS$5),"Да","Нет")</f>
        <v>Нет</v>
      </c>
      <c r="FM253" s="38" t="str">
        <f>IF(OR(Исходн.данные.!AH253=$BS$9,Исходн.данные.!AH253=$BS$10,Исходн.данные.!AH253=$BS$11,Исходн.данные.!AH253=$BS$12),"Да","Нет")</f>
        <v>Нет</v>
      </c>
      <c r="FN253" s="38" t="str">
        <f>IF(OR(Исходн.данные.!AH253=$BS$6,Исходн.данные.!AH253=$BP$3),"Да","Нет")</f>
        <v>Нет</v>
      </c>
      <c r="FO253" s="38" t="str">
        <f>IF(Исходн.данные.!AH253=$BQ$9,"Да","Нет")</f>
        <v>Нет</v>
      </c>
      <c r="FP253" s="38" t="str">
        <f>IF(OR(Исходн.данные.!AH253=$BS$8,Исходн.данные.!AH253=$BT$8),"Да","Нет")</f>
        <v>Нет</v>
      </c>
      <c r="FQ253" s="38" t="str">
        <f>IF(OR(Исходн.данные.!AH253=$BQ$7,Исходн.данные.!AH253=$BQ$8),"Да","Нет")</f>
        <v>Нет</v>
      </c>
      <c r="FR253" s="38" t="str">
        <f>IF(Исходн.данные.!AI253=$BU$9,"Да","Нет")</f>
        <v>Нет</v>
      </c>
      <c r="FS253" s="38" t="str">
        <f>IF(OR(Исходн.данные.!AH253=$BP$1,Исходн.данные.!AH253=$BP$2),"Да","Нет")</f>
        <v>Нет</v>
      </c>
      <c r="FT253" s="38" t="e">
        <f>IF((Исходн.данные.!K253*GO253*GS253*GW253+BL253*0.6+Исходн.данные.!Q253*4.5*0.275)&gt;90,"Да","Нет")</f>
        <v>#N/A</v>
      </c>
      <c r="FU253" s="38" t="e">
        <f>IF((Исходн.данные.!M253*GS253*GZ253+BM253*0.225)&gt;35,"Да","Нет")</f>
        <v>#N/A</v>
      </c>
      <c r="FV253" s="38" t="str">
        <f>IF(Исходн.данные.!O253&gt;175,"Да","Нет")</f>
        <v>Нет</v>
      </c>
      <c r="FW253" s="39" t="str">
        <f>IF(Исходн.данные.!I253&gt;5.5,"Да","Нет")</f>
        <v>Нет</v>
      </c>
      <c r="FX253" s="39" t="str">
        <f>IF(Исходн.данные.!J253&lt;2,"Да","Нет")</f>
        <v>Да</v>
      </c>
      <c r="FY253" s="39" t="e">
        <f>IF(HF253=$FY$16,0,Исходн.данные.!K253*GO253*GS253*GW253/HF253)</f>
        <v>#N/A</v>
      </c>
      <c r="FZ253" s="39" t="e">
        <f>Исходн.данные.!M253*GS253*GZ253/HG253</f>
        <v>#N/A</v>
      </c>
      <c r="GA253" s="39" t="e">
        <f>IF(K_Wyn=$FY$16,0,IF(Исходн.данные.!N253=Исходн.данные.!$L$10,Исходн.данные.!O253/1.1*GS253*HC253/HH253,IF(Исходн.данные.!N253=Исходн.данные.!$L$12,Исходн.данные.!O253/1.5*GS253*HC253/HH253,Исходн.данные.!O253*GS253*HC253/HH253)))</f>
        <v>#N/A</v>
      </c>
      <c r="GB253" s="39" t="e">
        <f>IF(HF253=$FY$16,0,((Исходн.данные.!Q253*N_Org+Исходн.данные.!R253*N_Sider+Исходн.данные.!S253*N_Soloma)*AO253+Расчет!BC253*VLOOKUP(Исходн.данные.!T253,Справ!$A$3:$O$57,15)*AO253+BB253*VLOOKUP(Исходн.данные.!T253,Справ!$A$3:$O$57,15)*AL253+(Исходн.данные.!V253*N_Rizotorf+Исходн.данные.!W253*N_Rizoagr))/HF253)</f>
        <v>#N/A</v>
      </c>
      <c r="GC253" s="39" t="e">
        <f>IF(HG253=$FY$16,0,((Исходн.данные.!Q253*Р_Org+Исходн.данные.!R253*P_Sider+Исходн.данные.!S253*P_Soloma)*AP253+Расчет!BC253*VLOOKUP(Исходн.данные.!T253,Справ!$A$3:$P$57,16)*AP253+BB253*VLOOKUP(Исходн.данные.!T253,Справ!$A$3:$P$57,16)*AM253)/HG253)</f>
        <v>#N/A</v>
      </c>
      <c r="GD253" s="39" t="e">
        <f>IF(HH253=$FY$16,0,((Исходн.данные.!Q253*К_Org+Исходн.данные.!R253*K_Sider+Исходн.данные.!S253*K_Soloma)*AQ253+Расчет!BC253*VLOOKUP(Исходн.данные.!T253,Справ!$A$3:$Q$57,17)*AQ253+BB253*VLOOKUP(Исходн.данные.!T253,Справ!$A$3:$Q$57,17)*AN253)/HH253)</f>
        <v>#N/A</v>
      </c>
      <c r="GE253" s="39" t="e">
        <f>IF(HF253=$FY$16,0,(Исходн.данные.!X253*AR253+Исходн.данные.!AA253*N_Org*AL253+Исходн.данные.!AB253*N_Sider*AL253+Исходн.данные.!AC253*N_Soloma*AL253)/HF253)</f>
        <v>#N/A</v>
      </c>
      <c r="GF253" s="39" t="e">
        <f>IF(HG253=$FY$16,0,(Исходн.данные.!Y253*AS253+Исходн.данные.!AA253*Р_Org*AM253+Исходн.данные.!AB253*P_Sider*AM253+Исходн.данные.!AC253*P_Soloma*AM253)/HG253)</f>
        <v>#N/A</v>
      </c>
      <c r="GG253" s="39" t="e">
        <f>IF(HH253=$FY$16,0,(Исходн.данные.!Z253*AT253+Исходн.данные.!AA253*К_Org*AN253+Исходн.данные.!AB253*K_Sider*AN253+Исходн.данные.!AC253*K_Soloma*AN253)/HH253)</f>
        <v>#N/A</v>
      </c>
      <c r="GH253" s="39" t="e">
        <f>Исходн.данные.!AD253*AU253/HF253</f>
        <v>#N/A</v>
      </c>
      <c r="GI253" s="39" t="e">
        <f>Исходн.данные.!AE253*AV253/HG253</f>
        <v>#N/A</v>
      </c>
      <c r="GJ253" s="39" t="e">
        <f>Исходн.данные.!AF253*AW253/HH253</f>
        <v>#N/A</v>
      </c>
      <c r="GK253" s="55">
        <f>Исходн.данные.!AK253</f>
        <v>0</v>
      </c>
      <c r="GL253" s="11" t="e">
        <f t="shared" si="335"/>
        <v>#N/A</v>
      </c>
      <c r="GM253" s="11" t="e">
        <f t="shared" si="336"/>
        <v>#N/A</v>
      </c>
      <c r="GN253" s="11" t="e">
        <f t="shared" si="337"/>
        <v>#N/A</v>
      </c>
      <c r="GO253" s="57">
        <f t="shared" si="338"/>
        <v>19</v>
      </c>
      <c r="GP253" s="55">
        <f>IF(OR(Исходн.данные.!F253=$CE$1,Исходн.данные.!F253=$CE$2,Исходн.данные.!F253=$CE$3,Исходн.данные.!F253=$CE$4,Исходн.данные.!F253=$CE$5),GQ253,GR253)</f>
        <v>19</v>
      </c>
      <c r="GQ253" s="55">
        <f>IF(Исходн.данные.!F253=$CE$1,28,IF(Исходн.данные.!F253=$CE$2,26,IF(Исходн.данные.!F253=$CE$3,24,IF(Исходн.данные.!F253=$CE$4,22,IF(Исходн.данные.!F253=$CE$5,20,GR253)))))</f>
        <v>19</v>
      </c>
      <c r="GR253" s="55">
        <f>IF(Исходн.данные.!F253=$CE$6,18,IF(Исходн.данные.!F253=$CE$7,16,IF(Исходн.данные.!F253=$CE$8,14,IF(Исходн.данные.!F253=$CE$9,13,IF(Исходн.данные.!F253=$CE$10,12,19)))))</f>
        <v>19</v>
      </c>
      <c r="GS253" s="55">
        <f>IF(Исходн.данные.!G253="Пес",0.035*(40+2*Исходн.данные.!H253),IF(Исходн.данные.!G253="Суп",0.0325*(40+2*Исходн.данные.!H253),0.03*(40+2*Исходн.данные.!H253)))</f>
        <v>1.2</v>
      </c>
      <c r="GT253" s="55">
        <f>IF(Исходн.данные.!H253&lt;23,2.6,IF(AND(Исходн.данные.!H253&gt;22,Исходн.данные.!H253&lt;26),3,IF(AND(Исходн.данные.!H253&gt;25,Исходн.данные.!H253&lt;29),3.4,3.6)))</f>
        <v>2.6</v>
      </c>
      <c r="GU253" s="55">
        <f>IF(Исходн.данные.!H253&lt;23,2.8,IF(AND(Исходн.данные.!H253&gt;22,Исходн.данные.!H253&lt;26),3.2,IF(AND(Исходн.данные.!H253&gt;25,Исходн.данные.!H253&lt;29),3.6,3.9)))</f>
        <v>2.8</v>
      </c>
      <c r="GV253" s="55">
        <f>IF(Исходн.данные.!H253&lt;23,3,IF(AND(Исходн.данные.!H253&gt;22,Исходн.данные.!H253&lt;26),3.5,IF(AND(Исходн.данные.!H253&gt;25,Исходн.данные.!H253&lt;29),3.9,4.2)))</f>
        <v>3</v>
      </c>
      <c r="GW253" s="55" t="e">
        <f>IF(Исходн.данные.!P253="Ум",GX253,GY253)</f>
        <v>#N/A</v>
      </c>
      <c r="GX253" s="55" t="e">
        <f>VLOOKUP(Исходн.данные.!AI253,Коэффициенты!$J$7:$L$13,2,FALSE)</f>
        <v>#N/A</v>
      </c>
      <c r="GY253" s="55" t="e">
        <f>VLOOKUP(Исходн.данные.!AI253,Коэффициенты!$J$7:$L$13,3,FALSE)</f>
        <v>#N/A</v>
      </c>
      <c r="GZ253" s="55" t="e">
        <f>(IF(Исходн.данные.!M253&lt;50,0.11*VLOOKUP(Исходн.данные.!AH253,Культуры.Информация,7,FALSE),IF(Исходн.данные.!M253&gt;250,0.05*VLOOKUP(Исходн.данные.!AH253,Культуры.Информация,7,FALSE),VLOOKUP(Исходн.данные.!AH253,Культуры.Информация,5,FALSE)/100*($GX$6+$GY$6*Исходн.данные.!M253))))*Расчет2!AI253</f>
        <v>#N/A</v>
      </c>
      <c r="HA253" s="211"/>
      <c r="HB253" s="211"/>
      <c r="HC253" s="55" t="e">
        <f>(IF(Исходн.данные.!O253&lt;80,0.2*VLOOKUP(Исходн.данные.!AH253,Культуры.Информация,8,FALSE),IF(Исходн.данные.!O253&gt;240,0.09*VLOOKUP(Исходн.данные.!AH253,Культуры.Информация,8,FALSE),VLOOKUP(Исходн.данные.!AH253,Культуры.Информация,6,FALSE)/100*($HB$6+$HC$6*Исходн.данные.!O253))))*Расчет2!AJ253</f>
        <v>#N/A</v>
      </c>
      <c r="HD253" s="55">
        <f>IF(Исходн.данные.!O253&gt;240,0.09,IF(Исходн.данные.!O253&lt;30,0.3,$HE$10+$HD$10*Исходн.данные.!O253))</f>
        <v>0.3</v>
      </c>
      <c r="HE253" s="55">
        <f>IF(Исходн.данные.!O253&gt;240,0.17,IF(Исходн.данные.!O253&lt;30,0.5,$HF$12+$HE$12*Исходн.данные.!O253))</f>
        <v>0.5</v>
      </c>
      <c r="HF253" s="55" t="e">
        <f>VLOOKUP(Исходн.данные.!AH253,Справ!$A$3:$D$58,2,FALSE)</f>
        <v>#N/A</v>
      </c>
      <c r="HG253" s="55" t="e">
        <f>VLOOKUP(Исходн.данные.!AH253,Справ!$A$3:$D$58,3,FALSE)</f>
        <v>#N/A</v>
      </c>
      <c r="HH253" s="55" t="e">
        <f>VLOOKUP(Исходн.данные.!AH253,Справ!$A$3:$D$58,4,FALSE)</f>
        <v>#N/A</v>
      </c>
      <c r="HI253" s="11" t="e">
        <f t="shared" si="339"/>
        <v>#N/A</v>
      </c>
      <c r="HJ253" s="11" t="e">
        <f t="shared" si="340"/>
        <v>#N/A</v>
      </c>
      <c r="HK253" s="11" t="e">
        <f t="shared" si="341"/>
        <v>#N/A</v>
      </c>
      <c r="HL253" s="55">
        <f>IF(OR(Исходн.данные.!G253="Глин",Исходн.данные.!G253="Т_суг"),1.1,IF(Исходн.данные.!G253="Ср_суг",1,1))</f>
        <v>1</v>
      </c>
      <c r="HM253" s="55">
        <f>IF(OR(Исходн.данные.!G253="Глин",Исходн.данные.!G253="Т_суг"),0.9,IF(Исходн.данные.!G253="Ср_суг",1,1.2))</f>
        <v>1.2</v>
      </c>
      <c r="HN253" s="11" t="e">
        <f t="shared" si="342"/>
        <v>#N/A</v>
      </c>
      <c r="HO253" s="11" t="e">
        <f t="shared" si="343"/>
        <v>#N/A</v>
      </c>
      <c r="HP253" s="11" t="e">
        <f t="shared" si="344"/>
        <v>#N/A</v>
      </c>
      <c r="HQ253" t="e">
        <f t="shared" si="345"/>
        <v>#N/A</v>
      </c>
      <c r="HR253" t="e">
        <f t="shared" si="346"/>
        <v>#N/A</v>
      </c>
      <c r="HS253" t="e">
        <f t="shared" si="347"/>
        <v>#N/A</v>
      </c>
      <c r="HT253" t="e">
        <f t="shared" si="293"/>
        <v>#N/A</v>
      </c>
      <c r="HU253" t="e">
        <f t="shared" si="294"/>
        <v>#N/A</v>
      </c>
      <c r="HV253" t="e">
        <f t="shared" si="295"/>
        <v>#N/A</v>
      </c>
      <c r="HW253" t="e">
        <f t="shared" si="296"/>
        <v>#N/A</v>
      </c>
      <c r="HX253" t="e">
        <f t="shared" si="297"/>
        <v>#N/A</v>
      </c>
      <c r="HY253" t="e">
        <f t="shared" si="298"/>
        <v>#N/A</v>
      </c>
      <c r="HZ253" s="55">
        <f>IF(OR(Исходн.данные.!AI253="Оз_Ч_П",Исходн.данные.!AI253="Оз_З_П",Исходн.данные.!AI253="Яр_зер"),12,30)</f>
        <v>30</v>
      </c>
      <c r="IA253" t="e">
        <f t="shared" si="348"/>
        <v>#N/A</v>
      </c>
      <c r="IB253" t="e">
        <f t="shared" si="349"/>
        <v>#N/A</v>
      </c>
      <c r="IC253" t="e">
        <f t="shared" si="350"/>
        <v>#N/A</v>
      </c>
      <c r="ID253" s="11" t="e">
        <f t="shared" si="351"/>
        <v>#N/A</v>
      </c>
      <c r="IE253" s="11" t="e">
        <f t="shared" si="352"/>
        <v>#N/A</v>
      </c>
      <c r="IF253" s="11" t="e">
        <f t="shared" si="353"/>
        <v>#N/A</v>
      </c>
    </row>
    <row r="254" spans="35:240" x14ac:dyDescent="0.2">
      <c r="AI254">
        <f>IF(Исходн.данные.!I254&gt;6,1,1.85-(0.148*Исходн.данные.!I254))</f>
        <v>1.85</v>
      </c>
      <c r="AJ254">
        <f>IF(Исходн.данные.!I254&gt;6,1,2.434-(0.246*Исходн.данные.!I254))</f>
        <v>2.4340000000000002</v>
      </c>
      <c r="AL254" s="148" t="b">
        <f>IF(Исходн.данные.!$P254="Ум",N_OrgUd_2g_um,IF(Исходн.данные.!$P254="Об",N_OrgUd_2g_ob))</f>
        <v>0</v>
      </c>
      <c r="AM254" s="148" t="b">
        <f>IF(Исходн.данные.!$P254="Ум",P_OrgUd_2g_um,IF(Исходн.данные.!$P254="Об",P_OrgUd_2g_ob))</f>
        <v>0</v>
      </c>
      <c r="AN254" s="148" t="b">
        <f>IF(Исходн.данные.!$P254="Ум",K_OrgUd_2g_um,IF(Исходн.данные.!$P254="Об",K_OrgUd_2g_ob))</f>
        <v>0</v>
      </c>
      <c r="AO254" s="148" t="b">
        <f>IF(Исходн.данные.!$P254="Ум",N_OrgUd_1g_um,IF(Исходн.данные.!$P254="Об",N_OrgUd_1g_ob))</f>
        <v>0</v>
      </c>
      <c r="AP254" s="148" t="b">
        <f>IF(Исходн.данные.!$P254="Ум",P_OrgUd_1g_um,IF(Исходн.данные.!$P254="Об",P_OrgUd_1g_ob))</f>
        <v>0</v>
      </c>
      <c r="AQ254" s="148" t="b">
        <f>IF(Исходн.данные.!$P254="Ум",K_OrgUd_1g_um,IF(Исходн.данные.!$P254="Об",K_OrgUd_1g_ob))</f>
        <v>0</v>
      </c>
      <c r="AR254" t="b">
        <f>IF(Исходн.данные.!$P254="Ум",N_MinUd_2g_um,IF(Исходн.данные.!$P254="Об",N_MinUd_2g_ob))</f>
        <v>0</v>
      </c>
      <c r="AS254" t="b">
        <f>IF(Исходн.данные.!$P254="Ум",P_MinUd_2g_um,IF(Исходн.данные.!$P254="Об",P_MinUd_2g_ob))</f>
        <v>0</v>
      </c>
      <c r="AT254" t="b">
        <f>IF(Исходн.данные.!$P254="Ум",K_MinUd_2g_um,IF(Исходн.данные.!$P254="Об",K_MinUd_2g_ob))</f>
        <v>0</v>
      </c>
      <c r="AU254" t="b">
        <f>IF(Исходн.данные.!$P254="Ум",N_MinUd_1g_um,IF(Исходн.данные.!$P254="Об",N_MinUd_1g_ob))</f>
        <v>0</v>
      </c>
      <c r="AV254" t="b">
        <f>IF(Исходн.данные.!P254="Ум",P_MinUd_1g_um,IF(Исходн.данные.!P254="Об",P_MinUd_1g_ob))</f>
        <v>0</v>
      </c>
      <c r="AW254" t="b">
        <f>IF(Исходн.данные.!P254="Ум",K_MinUd_1g_um,IF(Исходн.данные.!P254="Об",K_MinUd_1g_ob))</f>
        <v>0</v>
      </c>
      <c r="AY254" t="e">
        <f>VLOOKUP(Исходн.данные.!T254,Справ!$A$3:$N$57,12)</f>
        <v>#N/A</v>
      </c>
      <c r="AZ254" t="e">
        <f>VLOOKUP(Исходн.данные.!T254,Справ!$A$3:$N$57,13)</f>
        <v>#N/A</v>
      </c>
      <c r="BA254" t="e">
        <f>VLOOKUP(Исходн.данные.!T254,Справ!$A$3:$N$57,14)</f>
        <v>#N/A</v>
      </c>
      <c r="BB254">
        <f>IF(Исходн.данные.!AH254=0,0,25)</f>
        <v>0</v>
      </c>
      <c r="BC254" s="141">
        <f>IF(Исходн.данные.!AH254=0,0,IF(Исходн.данные.!T254=0,25,BD254))</f>
        <v>0</v>
      </c>
      <c r="BD254" s="168" t="e">
        <f>AY254+AZ254*Исходн.данные.!U254-POWER(BA254,2)*Исходн.данные.!U254</f>
        <v>#N/A</v>
      </c>
      <c r="BE25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4" s="25">
        <f>IF(Исходн.данные.!AH254=0,0,MIN(HN254:HP254))</f>
        <v>0</v>
      </c>
      <c r="BG254" s="9">
        <f>IF(Исходн.данные.!AH254=0,0,IF((HO254+10*0.25/HG254/HL254)&lt;17,17,HO254+10*0.25/HG254/HL254))</f>
        <v>0</v>
      </c>
      <c r="BH254" s="181">
        <f>IF(Исходн.данные.!AH254=0,0,HW254*HF254*HL254/AU254*AI254+Исходн.данные.!S254*10)</f>
        <v>0</v>
      </c>
      <c r="BI254" s="10"/>
      <c r="BJ254" s="182">
        <f>IF(Исходн.данные.!AH254=0,0,IF(HX254*HG254*HL254/AV254&lt;0,0,HX254*HG254*HL254/AV254*AJ254))</f>
        <v>0</v>
      </c>
      <c r="BK254" s="182">
        <f>IF(Исходн.данные.!AH254=0,0,HY254*HH254*HM254/AW254)</f>
        <v>0</v>
      </c>
      <c r="BL254" s="10">
        <f>IF(OR(Исходн.данные.!$AH254=$BP$1,Исходн.данные.!$AH254=$BP$2),0,IF(BH254&lt;0,0,IF(OR(Исходн.данные.!T254=Расчет!$BP$1,Исходн.данные.!T254=Расчет!$BP$2,Исходн.данные.!T254=Расчет!$BT$5,Исходн.данные.!T254=Расчет!$BT$6),BH254*0.5,IF(OR(Исходн.данные.!T254=Расчет!$BS$9,Исходн.данные.!T254=Расчет!$BS$10,Исходн.данные.!T254=Расчет!$BS$11,Исходн.данные.!T254=Расчет!$BS$12,Исходн.данные.!T254=Расчет!$BP$5),BH254*0.8,BH254))))</f>
        <v>0</v>
      </c>
      <c r="BM254" s="10">
        <f>IF(OR(Исходн.данные.!$AH254=$BP$1,Исходн.данные.!$AH254=$BP$2),0,IF(BJ254&lt;0,0,IF(Исходн.данные.!I254&lt;4.5,BJ254*1.2,IF(Исходн.данные.!I254&gt;5.1,BJ254,BJ254*((5.1-Исходн.данные.!I254)*0.333+1)))))</f>
        <v>0</v>
      </c>
      <c r="BN254" s="10">
        <f>IF(OR(Исходн.данные.!$AH254=$BP$1,Исходн.данные.!$AH254=$BP$2),60-Исходн.данные.!AF254,IF(BK254&lt;0,0,IF(Исходн.данные.!I254&lt;4.5,BK254*1.2,IF(Исходн.данные.!I254&gt;5.1,BK254,BK254*((5.1-Исходн.данные.!I254)*0.333+1)))))</f>
        <v>0</v>
      </c>
      <c r="BO254" s="9">
        <f>IF(BL254&lt;0,0,BL254*Исходн.данные.!$AJ254/1000)</f>
        <v>0</v>
      </c>
      <c r="BP254" s="9">
        <f>IF(BM254&lt;0,0,BM254*Исходн.данные.!$AJ254/1000)</f>
        <v>0</v>
      </c>
      <c r="BQ254" s="9">
        <f>IF(BN254&lt;0,0,BN254*Исходн.данные.!$AJ254/1000)</f>
        <v>0</v>
      </c>
      <c r="BR254" s="9">
        <f t="shared" si="303"/>
        <v>0</v>
      </c>
      <c r="BS254" s="10" t="str">
        <f t="shared" si="304"/>
        <v>Аммофос 12:52:00</v>
      </c>
      <c r="BT254" s="10" t="str">
        <f t="shared" si="305"/>
        <v>Аммофос 12:52:00</v>
      </c>
      <c r="BU254" s="10" t="str">
        <f t="shared" si="306"/>
        <v>Диаммофоска</v>
      </c>
      <c r="BV254" s="10">
        <f t="shared" si="307"/>
        <v>0</v>
      </c>
      <c r="BW254" s="10"/>
      <c r="BX254" s="10"/>
      <c r="BY254" s="9">
        <f>IF(BL254&lt;0,0,IF(OR(Исходн.данные.!AI254=Расчет!$BU$6,Исходн.данные.!AI254=Расчет!$BU$7),Расчет!BV254,IF(Исходн.данные.!$AG254=$BV$11,BL254,IF(OR(Исходн.данные.!$AH254=$BQ$7,Исходн.данные.!$AH254=$BQ$8),CB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0,IF(Исходн.данные.!$AI254=$BU$11,"Нет",IF(BL254&gt;30,30,BL254)))))))</f>
        <v>0</v>
      </c>
      <c r="BZ254" s="9">
        <f>IF(AND(Исходн.данные.!$AG254=$BV$11,BM254&lt;10),10,IF(Исходн.данные.!$AG254=$BV$11,BM254,IF(OR(Исходн.данные.!$AH254=$BQ$7,Исходн.данные.!$AH254=$BQ$8),CC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10,IF(Исходн.данные.!$AI254=$BU$11,"Нет",IF(BM254&gt;60,60,IF(BM254&lt;10,10,BM254)))))))</f>
        <v>10</v>
      </c>
      <c r="CA254" s="39">
        <f>IF(BN254&lt;0,0,IF(Исходн.данные.!$AG254=$BV$11,BN254,IF(OR(Исходн.данные.!$AH254=$BQ$7,Исходн.данные.!$AH254=$BQ$8),CD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0,IF(Исходн.данные.!$AI254=$BU$11,"Нет",IF(BN254&gt;30,30,BN254))))))</f>
        <v>0</v>
      </c>
      <c r="CB254" s="9">
        <f t="shared" si="308"/>
        <v>0</v>
      </c>
      <c r="CC254" s="9">
        <f t="shared" si="309"/>
        <v>0</v>
      </c>
      <c r="CD254" s="9">
        <f t="shared" si="310"/>
        <v>0</v>
      </c>
      <c r="CE254" s="12">
        <f t="shared" si="311"/>
        <v>10</v>
      </c>
      <c r="CF254" s="9">
        <f t="shared" si="312"/>
        <v>0</v>
      </c>
      <c r="CG254" s="9" t="s">
        <v>231</v>
      </c>
      <c r="CH254" s="132" t="str">
        <f>IF(Исходн.данные.!AP254=Расчет!$CI$16,"Нет",IF(Исходн.данные.!AL254&gt;0,Исходн.данные.!AL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BH$4,IF(OR(Исходн.данные.!AI254=Исходн.данные.!$AI$6,Исходн.данные.!AI254=Исходн.данные.!$AI$7),Расчет!BS254,IF(AND($CF254=0,$CE254&gt;0),EV254,ER254)))))</f>
        <v>Аммофос 12:52:00</v>
      </c>
      <c r="CI254" s="274">
        <f>IF(Расчет!$CH254="Нет","Нет",IF(Исходн.данные.!$AL254&gt;0,VLOOKUP(Расчет!$CH254,АшламаДВ_Irekle,2,FALSE),VLOOKUP(Расчет!$CH254,АшламаДВ_Gomumy,2,FALSE)))</f>
        <v>0.12</v>
      </c>
      <c r="CJ254" s="274">
        <f>IF(Расчет!$CH254="Нет","Нет",IF(Исходн.данные.!$AL254&gt;0,VLOOKUP(Расчет!$CH254,АшламаДВ_Irekle,3,FALSE),VLOOKUP(Расчет!$CH254,АшламаДВ_Gomumy,3,FALSE)))</f>
        <v>0.52</v>
      </c>
      <c r="CK254" s="274">
        <f>IF(Расчет!$CH254="Нет","Нет",IF(Исходн.данные.!$AL254&gt;0,VLOOKUP(Расчет!$CH254,АшламаДВ_Irekle,4,FALSE),VLOOKUP(Расчет!$CH254,АшламаДВ_Gomumy,4,FALSE)))</f>
        <v>0</v>
      </c>
      <c r="CL254" s="70"/>
      <c r="CM254" s="70"/>
      <c r="CN254" s="70"/>
      <c r="CO254" s="70"/>
      <c r="CP254" s="70"/>
      <c r="CQ254" s="70"/>
      <c r="CR254" s="10">
        <f t="shared" si="313"/>
        <v>0</v>
      </c>
      <c r="CS254" s="10">
        <f t="shared" si="314"/>
        <v>19.23076923076923</v>
      </c>
      <c r="CT254" s="10">
        <f t="shared" si="315"/>
        <v>0</v>
      </c>
      <c r="CU254" s="39">
        <f>IF($CH254="Нет",0,IF(CI254=0,30/MIN(CJ254:CK254),IF(Исходн.данные.!$AG254=$BV$11,CR254,IF(OR(Исходн.данные.!$AH254=$BQ$7,Исходн.данные.!$AH254=$BQ$8),90/CI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0,IF(Исходн.данные.!$AI254=$BU$11,"Нет",30/CI254))))))</f>
        <v>250</v>
      </c>
      <c r="CV254" s="39">
        <f>IF($CH254="Нет",0,IF(Исходн.данные.!AH254=0,0,IF(CJ254=0,60/MIN(CI254,CK254),IF(Исходн.данные.!$AG254=$BV$11,CS254,IF(OR(Исходн.данные.!$AH254=$BQ$7,Исходн.данные.!$AH254=$BQ$8),90/CJ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10/CJ254,IF(Исходн.данные.!$AI254=$BU$11,"Нет",60/CJ254)))))))</f>
        <v>0</v>
      </c>
      <c r="CW254" s="39">
        <f>IF($CH254="Нет",0,IF(Исходн.данные.!AH254=0,0,IF(CK254=0,30/MIN(CI254:CJ254),IF(Исходн.данные.!$AG254=$BV$11,CT254,IF(OR(Исходн.данные.!$AH254=$BQ$7,Исходн.данные.!$AH254=$BQ$8),90/CK254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0,IF(Исходн.данные.!$AI254=$BU$11,"Нет",30/CK254)))))))</f>
        <v>0</v>
      </c>
      <c r="CX254" s="133">
        <f>IF(Исходн.данные.!$AG254=$BV$11,MAX(CU254:CW254),IF(OR(Исходн.данные.!$AH254=$BS$8,Исходн.данные.!$AH254=$BQ$9,Исходн.данные.!$AH254=$BQ$10,Исходн.данные.!$AH254=$BQ$11,Исходн.данные.!$AH254=$BQ$12,Исходн.данные.!$AH254=$BP$3,Исходн.данные.!$AH254=$BT$8,$FM254="Да"),CV254,MIN(CU254:CW254)))</f>
        <v>0</v>
      </c>
      <c r="CY254" s="133">
        <f>IF(Исходн.данные.!AH254=0,0,IF(CR254&gt;$CX254,$CX254,CR254))</f>
        <v>0</v>
      </c>
      <c r="CZ254" s="133">
        <f>IF(Исходн.данные.!AH254=0,0,IF(CS254&gt;$CX254,$CX254,CS254))</f>
        <v>0</v>
      </c>
      <c r="DA254" s="133">
        <f>IF(Исходн.данные.!AH254=0,0,IF(CT254&gt;$CX254,$CX254,CT254))</f>
        <v>0</v>
      </c>
      <c r="DB254" s="10">
        <f t="shared" si="316"/>
        <v>0</v>
      </c>
      <c r="DC254" s="39">
        <f>DB254*Исходн.данные.!AJ254/1000</f>
        <v>0</v>
      </c>
      <c r="DD254" s="71">
        <f t="shared" si="317"/>
        <v>0</v>
      </c>
      <c r="DE254" s="9">
        <f t="shared" si="318"/>
        <v>0</v>
      </c>
      <c r="DF254" s="9">
        <f t="shared" si="319"/>
        <v>0</v>
      </c>
      <c r="DG254" s="39">
        <f>IF(BL254&lt;0,0,IF($CH254="Нет",BL254,IF(OR(Исходн.данные.!$AH254=$BP$1,Исходн.данные.!$AH254=$BP$2),0,IF(Исходн.данные.!AI254=$BU$11,BL254,IF(BL254-DD254&lt;0,0,BL254-DD254)))))</f>
        <v>0</v>
      </c>
      <c r="DH254" s="39">
        <f>IF(BM254&lt;0,0,IF($CH254="Нет",BM254,IF(OR(Исходн.данные.!$AH254=$BP$1,Исходн.данные.!$AH254=$BP$2),0,IF(Исходн.данные.!AJ254=$BU$11,BM254,IF(BM254-DE254&lt;0,0,BM254-DE254)))))</f>
        <v>0</v>
      </c>
      <c r="DI254" s="39">
        <f>IF(BN254&lt;0,0,IF($CH254="Нет",BN254,IF(OR(Исходн.данные.!$AH254=$BP$1,Исходн.данные.!$AH254=$BP$2),0,IF(Исходн.данные.!AK254=$BU$11,BN254,IF(BN254-DF254&lt;0,0,BN254-DF254)))))</f>
        <v>0</v>
      </c>
      <c r="DJ254" s="12">
        <f t="shared" si="320"/>
        <v>0</v>
      </c>
      <c r="DK254" s="9">
        <f t="shared" si="321"/>
        <v>0</v>
      </c>
      <c r="DL254" s="39">
        <f>IF(Исходн.данные.!AM254&gt;0,Исходн.данные.!AM254,IF(EG254&gt;0,$BH$10,0))</f>
        <v>0</v>
      </c>
      <c r="DM254" s="186">
        <f>IF($DL254=0,0,IF(Исходн.данные.!AM254&gt;0,VLOOKUP($DL254,АшламаДВ_Irekle,2,FALSE),VLOOKUP($DL254,АшламаДВ_Gomumy,2,FALSE)))</f>
        <v>0</v>
      </c>
      <c r="DN254" s="10">
        <f t="shared" si="299"/>
        <v>0</v>
      </c>
      <c r="DO254" s="9" t="str">
        <f>IF(Исходн.данные.!AN254&gt;0,Исходн.данные.!AN254,Удобрения!$B$37 )</f>
        <v>Хлор.калий</v>
      </c>
      <c r="DP254" s="9">
        <f>IF(Исходн.данные.!AN254&gt;0,VLOOKUP(Исходн.данные.!AN254,АшламаДВ_Irekle,4,FALSE),VLOOKUP(DO254,АшламаДВ_Gomumy,4,FALSE))</f>
        <v>0.6</v>
      </c>
      <c r="DQ254" s="10">
        <f t="shared" si="300"/>
        <v>0</v>
      </c>
      <c r="DR254" s="132" t="str">
        <f>IF(Исходн.данные.!AO254&gt;0,Исходн.данные.!AO254,IF(DH254=0,BS$17,IF(AND($DK254=0,$DJ254&gt;0),EJ254,EN254)))</f>
        <v>Нет</v>
      </c>
      <c r="DS254" s="70" t="str">
        <f>IF($DR254="Нет","Нет",IF(Исходн.данные.!$AO254&gt;0,VLOOKUP($DR254,АшламаДВ_Irekle,2,FALSE),VLOOKUP($DR254,АшламаДВ_Gomumy,2,FALSE)))</f>
        <v>Нет</v>
      </c>
      <c r="DT254" s="70" t="str">
        <f>IF($DR254="Нет","Нет",IF(Исходн.данные.!$AO254&gt;0,VLOOKUP($DR254,АшламаДВ_Irekle,3,FALSE),VLOOKUP($DR254,АшламаДВ_Gomumy,3,FALSE)))</f>
        <v>Нет</v>
      </c>
      <c r="DU254" s="70" t="str">
        <f>IF($DR254="Нет","Нет",IF(Исходн.данные.!$AO254&gt;0,VLOOKUP($DR254,АшламаДВ_Irekle,4,FALSE),VLOOKUP($DR254,АшламаДВ_Gomumy,4,FALSE)))</f>
        <v>Нет</v>
      </c>
      <c r="DV254" s="70"/>
      <c r="DW254" s="70"/>
      <c r="DX254" s="70"/>
      <c r="DY254" s="10">
        <f t="shared" si="322"/>
        <v>0</v>
      </c>
      <c r="DZ254" s="10">
        <f t="shared" si="323"/>
        <v>0</v>
      </c>
      <c r="EA254" s="10">
        <f t="shared" si="324"/>
        <v>0</v>
      </c>
      <c r="EB254" s="10">
        <f t="shared" si="325"/>
        <v>0</v>
      </c>
      <c r="EC254" s="10">
        <f t="shared" si="326"/>
        <v>0</v>
      </c>
      <c r="ED254" s="10">
        <f t="shared" si="327"/>
        <v>0</v>
      </c>
      <c r="EE254" s="10">
        <f t="shared" si="328"/>
        <v>0</v>
      </c>
      <c r="EF254" s="39">
        <f>EB254*Исходн.данные.!AJ254/1000</f>
        <v>0</v>
      </c>
      <c r="EG254" s="9">
        <f t="shared" si="329"/>
        <v>0</v>
      </c>
      <c r="EH254" s="9">
        <f t="shared" si="330"/>
        <v>0</v>
      </c>
      <c r="EI254" s="39" t="e">
        <f t="shared" si="280"/>
        <v>#DIV/0!</v>
      </c>
      <c r="EJ254" s="9" t="str">
        <f t="shared" si="301"/>
        <v>Азопреципитат</v>
      </c>
      <c r="EK254" s="12">
        <f t="shared" si="281"/>
        <v>0.26</v>
      </c>
      <c r="EL254" s="12">
        <f t="shared" si="282"/>
        <v>0.13</v>
      </c>
      <c r="EM254" s="12">
        <f t="shared" si="283"/>
        <v>0</v>
      </c>
      <c r="EN254" s="12" t="str">
        <f t="shared" si="302"/>
        <v>Нет</v>
      </c>
      <c r="EO254" s="12">
        <f t="shared" si="284"/>
        <v>0</v>
      </c>
      <c r="EP254" s="12">
        <f t="shared" si="285"/>
        <v>0</v>
      </c>
      <c r="EQ254" s="12">
        <f t="shared" si="286"/>
        <v>0</v>
      </c>
      <c r="ER254" s="12" t="str">
        <f t="shared" si="331"/>
        <v>Диаммофоска</v>
      </c>
      <c r="ES254" s="12">
        <f t="shared" si="287"/>
        <v>0.1</v>
      </c>
      <c r="ET254" s="12">
        <f t="shared" si="288"/>
        <v>0.26</v>
      </c>
      <c r="EU254" s="12">
        <f t="shared" si="289"/>
        <v>0.26</v>
      </c>
      <c r="EV254" s="12" t="str">
        <f t="shared" si="332"/>
        <v>Аммофос 12:52:00</v>
      </c>
      <c r="EW254" s="12" t="str">
        <f t="shared" si="333"/>
        <v>Кемира Свекловичное-6</v>
      </c>
      <c r="EX254" s="12">
        <f t="shared" si="290"/>
        <v>0.16</v>
      </c>
      <c r="EY254" s="12">
        <f t="shared" si="291"/>
        <v>0.12</v>
      </c>
      <c r="EZ254" s="12">
        <f t="shared" si="292"/>
        <v>0.17</v>
      </c>
      <c r="FA254" s="38" t="e">
        <f>IF(AND(OR(FJ254=$FD$1,FM254=$FD$1,FO254=$FD$1,FQ254=$FD$1,FS254=$FD$1),FD254=$FD$1,Исходн.данные.!J254&lt;2,FU254=$FD$1),"Бор,Кобальт",IF(AND(FO254=$FD$1,FH254=$FD$1,Исходн.данные.!J254&lt;2,FU254=$FD$1),"Бор,Кобальт",IF(AND(OR(FJ254=$FD$1,FM254=$FD$1,FQ254=$FD$1),FE254=$FD$1,Исходн.данные.!J254&lt;2,FT254=$FD$1,FU254=$FD$1),"Бор,Медь,Цинк",IF(AND(OR(FJ254=$FD$1,FR254="Да"),FI254="Да",Исходн.данные.!J254&lt;2,FT254="Да",FU254="Да"),"Бор,Цинк,Медь",IF(AND(OR(FM254="Да",FQ254="Да"),FI254="Да",Исходн.данные.!J254&lt;2,FT254="Да",FU254="Да"),"Бор,Цинк",IF(AND(FN254="Да",OR(FD254="Да",FE254="Да")),"Бор",FB254))))))</f>
        <v>#N/A</v>
      </c>
      <c r="FB254" s="134" t="e">
        <f>IF(AND(OR(FD254="Да",FE254="Да",FF254="Да",FG254="Да",FH254="Да"),FO254="Да"),"Бор",IF(AND(FP254="Да",OR(FD254="Да",FE254="Да",FI254="Да")),"Бор",IF(AND(FS254="Да",FE254="Да"),"Бор,Медь",IF(AND(OR(FJ254="Да",FK254="Да",FL254="Да"),FE254="Да",Исходн.данные.!I254&lt;5,FT254="Да",FU254="Да"),"Молибден,Цинк",IF(AND(FM254="Да",OR(FE254="Да",FF254="Да",FG254="Да",FH254="Да",FI254="Да")),"Молибден,Цинк",IF(AND(OR(FJ254="Да",FK254="Да",FL254="Да",FM254="Да",FQ254="Да"),OR(FE254="Да",FF254="Да"),FT254="Да",FU254="Да",Исходн.данные.!I254&gt;5.5),"Медь,Цинк",FC254))))))</f>
        <v>#N/A</v>
      </c>
      <c r="FC254" s="23" t="e">
        <f t="shared" si="334"/>
        <v>#N/A</v>
      </c>
      <c r="FD254" s="38" t="str">
        <f>IF(OR(Исходн.данные.!F254=$CC$1,Исходн.данные.!F254=$CC$2,Исходн.данные.!F254=$CC$3,Исходн.данные.!F254=$CC$4),"Да","Нет")</f>
        <v>Нет</v>
      </c>
      <c r="FE254" s="38" t="str">
        <f>IF(Исходн.данные.!F254=$CC$5,"Да","Нет")</f>
        <v>Нет</v>
      </c>
      <c r="FF254" s="38" t="str">
        <f>IF(OR(Исходн.данные.!F254=$CC$6,Исходн.данные.!F254=$CC$7),"Да","Нет")</f>
        <v>Нет</v>
      </c>
      <c r="FG254" s="38" t="str">
        <f>IF(OR(Исходн.данные.!F254=$CC$8,Исходн.данные.!F254=$CC$9),"Да","Нет")</f>
        <v>Нет</v>
      </c>
      <c r="FH254" s="38" t="str">
        <f>IF(Исходн.данные.!F254=$CC$10,"Да","Нет")</f>
        <v>Нет</v>
      </c>
      <c r="FI254" s="38" t="str">
        <f>IF(OR(Исходн.данные.!F254=$CC$11,Исходн.данные.!F254=$CC$12),"Да","Нет")</f>
        <v>Нет</v>
      </c>
      <c r="FJ254" s="38" t="str">
        <f>IF(OR(Исходн.данные.!AH254=$BS$1,Исходн.данные.!AH254=$BQ$11,Исходн.данные.!AH254=$BQ$12),"Да","Нет")</f>
        <v>Нет</v>
      </c>
      <c r="FK254" s="38" t="str">
        <f>IF(OR(Исходн.данные.!AH254=$BS$2,Исходн.данные.!AH254=$BS$4),"Да","Нет")</f>
        <v>Нет</v>
      </c>
      <c r="FL254" s="38" t="str">
        <f>IF(OR(Исходн.данные.!AH254=$BS$3,Исходн.данные.!AH254=$BS$5),"Да","Нет")</f>
        <v>Нет</v>
      </c>
      <c r="FM254" s="38" t="str">
        <f>IF(OR(Исходн.данные.!AH254=$BS$9,Исходн.данные.!AH254=$BS$10,Исходн.данные.!AH254=$BS$11,Исходн.данные.!AH254=$BS$12),"Да","Нет")</f>
        <v>Нет</v>
      </c>
      <c r="FN254" s="38" t="str">
        <f>IF(OR(Исходн.данные.!AH254=$BS$6,Исходн.данные.!AH254=$BP$3),"Да","Нет")</f>
        <v>Нет</v>
      </c>
      <c r="FO254" s="38" t="str">
        <f>IF(Исходн.данные.!AH254=$BQ$9,"Да","Нет")</f>
        <v>Нет</v>
      </c>
      <c r="FP254" s="38" t="str">
        <f>IF(OR(Исходн.данные.!AH254=$BS$8,Исходн.данные.!AH254=$BT$8),"Да","Нет")</f>
        <v>Нет</v>
      </c>
      <c r="FQ254" s="38" t="str">
        <f>IF(OR(Исходн.данные.!AH254=$BQ$7,Исходн.данные.!AH254=$BQ$8),"Да","Нет")</f>
        <v>Нет</v>
      </c>
      <c r="FR254" s="38" t="str">
        <f>IF(Исходн.данные.!AI254=$BU$9,"Да","Нет")</f>
        <v>Нет</v>
      </c>
      <c r="FS254" s="38" t="str">
        <f>IF(OR(Исходн.данные.!AH254=$BP$1,Исходн.данные.!AH254=$BP$2),"Да","Нет")</f>
        <v>Нет</v>
      </c>
      <c r="FT254" s="38" t="e">
        <f>IF((Исходн.данные.!K254*GO254*GS254*GW254+BL254*0.6+Исходн.данные.!Q254*4.5*0.275)&gt;90,"Да","Нет")</f>
        <v>#N/A</v>
      </c>
      <c r="FU254" s="38" t="e">
        <f>IF((Исходн.данные.!M254*GS254*GZ254+BM254*0.225)&gt;35,"Да","Нет")</f>
        <v>#N/A</v>
      </c>
      <c r="FV254" s="38" t="str">
        <f>IF(Исходн.данные.!O254&gt;175,"Да","Нет")</f>
        <v>Нет</v>
      </c>
      <c r="FW254" s="39" t="str">
        <f>IF(Исходн.данные.!I254&gt;5.5,"Да","Нет")</f>
        <v>Нет</v>
      </c>
      <c r="FX254" s="39" t="str">
        <f>IF(Исходн.данные.!J254&lt;2,"Да","Нет")</f>
        <v>Да</v>
      </c>
      <c r="FY254" s="39" t="e">
        <f>IF(HF254=$FY$16,0,Исходн.данные.!K254*GO254*GS254*GW254/HF254)</f>
        <v>#N/A</v>
      </c>
      <c r="FZ254" s="39" t="e">
        <f>Исходн.данные.!M254*GS254*GZ254/HG254</f>
        <v>#N/A</v>
      </c>
      <c r="GA254" s="39" t="e">
        <f>IF(K_Wyn=$FY$16,0,IF(Исходн.данные.!N254=Исходн.данные.!$L$10,Исходн.данные.!O254/1.1*GS254*HC254/HH254,IF(Исходн.данные.!N254=Исходн.данные.!$L$12,Исходн.данные.!O254/1.5*GS254*HC254/HH254,Исходн.данные.!O254*GS254*HC254/HH254)))</f>
        <v>#N/A</v>
      </c>
      <c r="GB254" s="39" t="e">
        <f>IF(HF254=$FY$16,0,((Исходн.данные.!Q254*N_Org+Исходн.данные.!R254*N_Sider+Исходн.данные.!S254*N_Soloma)*AO254+Расчет!BC254*VLOOKUP(Исходн.данные.!T254,Справ!$A$3:$O$57,15)*AO254+BB254*VLOOKUP(Исходн.данные.!T254,Справ!$A$3:$O$57,15)*AL254+(Исходн.данные.!V254*N_Rizotorf+Исходн.данные.!W254*N_Rizoagr))/HF254)</f>
        <v>#N/A</v>
      </c>
      <c r="GC254" s="39" t="e">
        <f>IF(HG254=$FY$16,0,((Исходн.данные.!Q254*Р_Org+Исходн.данные.!R254*P_Sider+Исходн.данные.!S254*P_Soloma)*AP254+Расчет!BC254*VLOOKUP(Исходн.данные.!T254,Справ!$A$3:$P$57,16)*AP254+BB254*VLOOKUP(Исходн.данные.!T254,Справ!$A$3:$P$57,16)*AM254)/HG254)</f>
        <v>#N/A</v>
      </c>
      <c r="GD254" s="39" t="e">
        <f>IF(HH254=$FY$16,0,((Исходн.данные.!Q254*К_Org+Исходн.данные.!R254*K_Sider+Исходн.данные.!S254*K_Soloma)*AQ254+Расчет!BC254*VLOOKUP(Исходн.данные.!T254,Справ!$A$3:$Q$57,17)*AQ254+BB254*VLOOKUP(Исходн.данные.!T254,Справ!$A$3:$Q$57,17)*AN254)/HH254)</f>
        <v>#N/A</v>
      </c>
      <c r="GE254" s="39" t="e">
        <f>IF(HF254=$FY$16,0,(Исходн.данные.!X254*AR254+Исходн.данные.!AA254*N_Org*AL254+Исходн.данные.!AB254*N_Sider*AL254+Исходн.данные.!AC254*N_Soloma*AL254)/HF254)</f>
        <v>#N/A</v>
      </c>
      <c r="GF254" s="39" t="e">
        <f>IF(HG254=$FY$16,0,(Исходн.данные.!Y254*AS254+Исходн.данные.!AA254*Р_Org*AM254+Исходн.данные.!AB254*P_Sider*AM254+Исходн.данные.!AC254*P_Soloma*AM254)/HG254)</f>
        <v>#N/A</v>
      </c>
      <c r="GG254" s="39" t="e">
        <f>IF(HH254=$FY$16,0,(Исходн.данные.!Z254*AT254+Исходн.данные.!AA254*К_Org*AN254+Исходн.данные.!AB254*K_Sider*AN254+Исходн.данные.!AC254*K_Soloma*AN254)/HH254)</f>
        <v>#N/A</v>
      </c>
      <c r="GH254" s="39" t="e">
        <f>Исходн.данные.!AD254*AU254/HF254</f>
        <v>#N/A</v>
      </c>
      <c r="GI254" s="39" t="e">
        <f>Исходн.данные.!AE254*AV254/HG254</f>
        <v>#N/A</v>
      </c>
      <c r="GJ254" s="39" t="e">
        <f>Исходн.данные.!AF254*AW254/HH254</f>
        <v>#N/A</v>
      </c>
      <c r="GK254" s="55">
        <f>Исходн.данные.!AK254</f>
        <v>0</v>
      </c>
      <c r="GL254" s="11" t="e">
        <f t="shared" si="335"/>
        <v>#N/A</v>
      </c>
      <c r="GM254" s="11" t="e">
        <f t="shared" si="336"/>
        <v>#N/A</v>
      </c>
      <c r="GN254" s="11" t="e">
        <f t="shared" si="337"/>
        <v>#N/A</v>
      </c>
      <c r="GO254" s="57">
        <f t="shared" si="338"/>
        <v>19</v>
      </c>
      <c r="GP254" s="55">
        <f>IF(OR(Исходн.данные.!F254=$CE$1,Исходн.данные.!F254=$CE$2,Исходн.данные.!F254=$CE$3,Исходн.данные.!F254=$CE$4,Исходн.данные.!F254=$CE$5),GQ254,GR254)</f>
        <v>19</v>
      </c>
      <c r="GQ254" s="55">
        <f>IF(Исходн.данные.!F254=$CE$1,28,IF(Исходн.данные.!F254=$CE$2,26,IF(Исходн.данные.!F254=$CE$3,24,IF(Исходн.данные.!F254=$CE$4,22,IF(Исходн.данные.!F254=$CE$5,20,GR254)))))</f>
        <v>19</v>
      </c>
      <c r="GR254" s="55">
        <f>IF(Исходн.данные.!F254=$CE$6,18,IF(Исходн.данные.!F254=$CE$7,16,IF(Исходн.данные.!F254=$CE$8,14,IF(Исходн.данные.!F254=$CE$9,13,IF(Исходн.данные.!F254=$CE$10,12,19)))))</f>
        <v>19</v>
      </c>
      <c r="GS254" s="55">
        <f>IF(Исходн.данные.!G254="Пес",0.035*(40+2*Исходн.данные.!H254),IF(Исходн.данные.!G254="Суп",0.0325*(40+2*Исходн.данные.!H254),0.03*(40+2*Исходн.данные.!H254)))</f>
        <v>1.2</v>
      </c>
      <c r="GT254" s="55">
        <f>IF(Исходн.данные.!H254&lt;23,2.6,IF(AND(Исходн.данные.!H254&gt;22,Исходн.данные.!H254&lt;26),3,IF(AND(Исходн.данные.!H254&gt;25,Исходн.данные.!H254&lt;29),3.4,3.6)))</f>
        <v>2.6</v>
      </c>
      <c r="GU254" s="55">
        <f>IF(Исходн.данные.!H254&lt;23,2.8,IF(AND(Исходн.данные.!H254&gt;22,Исходн.данные.!H254&lt;26),3.2,IF(AND(Исходн.данные.!H254&gt;25,Исходн.данные.!H254&lt;29),3.6,3.9)))</f>
        <v>2.8</v>
      </c>
      <c r="GV254" s="55">
        <f>IF(Исходн.данные.!H254&lt;23,3,IF(AND(Исходн.данные.!H254&gt;22,Исходн.данные.!H254&lt;26),3.5,IF(AND(Исходн.данные.!H254&gt;25,Исходн.данные.!H254&lt;29),3.9,4.2)))</f>
        <v>3</v>
      </c>
      <c r="GW254" s="55" t="e">
        <f>IF(Исходн.данные.!P254="Ум",GX254,GY254)</f>
        <v>#N/A</v>
      </c>
      <c r="GX254" s="55" t="e">
        <f>VLOOKUP(Исходн.данные.!AI254,Коэффициенты!$J$7:$L$13,2,FALSE)</f>
        <v>#N/A</v>
      </c>
      <c r="GY254" s="55" t="e">
        <f>VLOOKUP(Исходн.данные.!AI254,Коэффициенты!$J$7:$L$13,3,FALSE)</f>
        <v>#N/A</v>
      </c>
      <c r="GZ254" s="55" t="e">
        <f>(IF(Исходн.данные.!M254&lt;50,0.11*VLOOKUP(Исходн.данные.!AH254,Культуры.Информация,7,FALSE),IF(Исходн.данные.!M254&gt;250,0.05*VLOOKUP(Исходн.данные.!AH254,Культуры.Информация,7,FALSE),VLOOKUP(Исходн.данные.!AH254,Культуры.Информация,5,FALSE)/100*($GX$6+$GY$6*Исходн.данные.!M254))))*Расчет2!AI254</f>
        <v>#N/A</v>
      </c>
      <c r="HA254" s="211"/>
      <c r="HB254" s="211"/>
      <c r="HC254" s="55" t="e">
        <f>(IF(Исходн.данные.!O254&lt;80,0.2*VLOOKUP(Исходн.данные.!AH254,Культуры.Информация,8,FALSE),IF(Исходн.данные.!O254&gt;240,0.09*VLOOKUP(Исходн.данные.!AH254,Культуры.Информация,8,FALSE),VLOOKUP(Исходн.данные.!AH254,Культуры.Информация,6,FALSE)/100*($HB$6+$HC$6*Исходн.данные.!O254))))*Расчет2!AJ254</f>
        <v>#N/A</v>
      </c>
      <c r="HD254" s="55">
        <f>IF(Исходн.данные.!O254&gt;240,0.09,IF(Исходн.данные.!O254&lt;30,0.3,$HE$10+$HD$10*Исходн.данные.!O254))</f>
        <v>0.3</v>
      </c>
      <c r="HE254" s="55">
        <f>IF(Исходн.данные.!O254&gt;240,0.17,IF(Исходн.данные.!O254&lt;30,0.5,$HF$12+$HE$12*Исходн.данные.!O254))</f>
        <v>0.5</v>
      </c>
      <c r="HF254" s="55" t="e">
        <f>VLOOKUP(Исходн.данные.!AH254,Справ!$A$3:$D$58,2,FALSE)</f>
        <v>#N/A</v>
      </c>
      <c r="HG254" s="55" t="e">
        <f>VLOOKUP(Исходн.данные.!AH254,Справ!$A$3:$D$58,3,FALSE)</f>
        <v>#N/A</v>
      </c>
      <c r="HH254" s="55" t="e">
        <f>VLOOKUP(Исходн.данные.!AH254,Справ!$A$3:$D$58,4,FALSE)</f>
        <v>#N/A</v>
      </c>
      <c r="HI254" s="11" t="e">
        <f t="shared" si="339"/>
        <v>#N/A</v>
      </c>
      <c r="HJ254" s="11" t="e">
        <f t="shared" si="340"/>
        <v>#N/A</v>
      </c>
      <c r="HK254" s="11" t="e">
        <f t="shared" si="341"/>
        <v>#N/A</v>
      </c>
      <c r="HL254" s="55">
        <f>IF(OR(Исходн.данные.!G254="Глин",Исходн.данные.!G254="Т_суг"),1.1,IF(Исходн.данные.!G254="Ср_суг",1,1))</f>
        <v>1</v>
      </c>
      <c r="HM254" s="55">
        <f>IF(OR(Исходн.данные.!G254="Глин",Исходн.данные.!G254="Т_суг"),0.9,IF(Исходн.данные.!G254="Ср_суг",1,1.2))</f>
        <v>1.2</v>
      </c>
      <c r="HN254" s="11" t="e">
        <f t="shared" si="342"/>
        <v>#N/A</v>
      </c>
      <c r="HO254" s="11" t="e">
        <f t="shared" si="343"/>
        <v>#N/A</v>
      </c>
      <c r="HP254" s="11" t="e">
        <f t="shared" si="344"/>
        <v>#N/A</v>
      </c>
      <c r="HQ254" t="e">
        <f t="shared" si="345"/>
        <v>#N/A</v>
      </c>
      <c r="HR254" t="e">
        <f t="shared" si="346"/>
        <v>#N/A</v>
      </c>
      <c r="HS254" t="e">
        <f t="shared" si="347"/>
        <v>#N/A</v>
      </c>
      <c r="HT254" t="e">
        <f t="shared" si="293"/>
        <v>#N/A</v>
      </c>
      <c r="HU254" t="e">
        <f t="shared" si="294"/>
        <v>#N/A</v>
      </c>
      <c r="HV254" t="e">
        <f t="shared" si="295"/>
        <v>#N/A</v>
      </c>
      <c r="HW254" t="e">
        <f t="shared" si="296"/>
        <v>#N/A</v>
      </c>
      <c r="HX254" t="e">
        <f t="shared" si="297"/>
        <v>#N/A</v>
      </c>
      <c r="HY254" t="e">
        <f t="shared" si="298"/>
        <v>#N/A</v>
      </c>
      <c r="HZ254" s="55">
        <f>IF(OR(Исходн.данные.!AI254="Оз_Ч_П",Исходн.данные.!AI254="Оз_З_П",Исходн.данные.!AI254="Яр_зер"),12,30)</f>
        <v>30</v>
      </c>
      <c r="IA254" t="e">
        <f t="shared" si="348"/>
        <v>#N/A</v>
      </c>
      <c r="IB254" t="e">
        <f t="shared" si="349"/>
        <v>#N/A</v>
      </c>
      <c r="IC254" t="e">
        <f t="shared" si="350"/>
        <v>#N/A</v>
      </c>
      <c r="ID254" s="11" t="e">
        <f t="shared" si="351"/>
        <v>#N/A</v>
      </c>
      <c r="IE254" s="11" t="e">
        <f t="shared" si="352"/>
        <v>#N/A</v>
      </c>
      <c r="IF254" s="11" t="e">
        <f t="shared" si="353"/>
        <v>#N/A</v>
      </c>
    </row>
    <row r="255" spans="35:240" x14ac:dyDescent="0.2">
      <c r="AI255">
        <f>IF(Исходн.данные.!I255&gt;6,1,1.85-(0.148*Исходн.данные.!I255))</f>
        <v>1.85</v>
      </c>
      <c r="AJ255">
        <f>IF(Исходн.данные.!I255&gt;6,1,2.434-(0.246*Исходн.данные.!I255))</f>
        <v>2.4340000000000002</v>
      </c>
      <c r="AL255" s="148" t="b">
        <f>IF(Исходн.данные.!$P255="Ум",N_OrgUd_2g_um,IF(Исходн.данные.!$P255="Об",N_OrgUd_2g_ob))</f>
        <v>0</v>
      </c>
      <c r="AM255" s="148" t="b">
        <f>IF(Исходн.данные.!$P255="Ум",P_OrgUd_2g_um,IF(Исходн.данные.!$P255="Об",P_OrgUd_2g_ob))</f>
        <v>0</v>
      </c>
      <c r="AN255" s="148" t="b">
        <f>IF(Исходн.данные.!$P255="Ум",K_OrgUd_2g_um,IF(Исходн.данные.!$P255="Об",K_OrgUd_2g_ob))</f>
        <v>0</v>
      </c>
      <c r="AO255" s="148" t="b">
        <f>IF(Исходн.данные.!$P255="Ум",N_OrgUd_1g_um,IF(Исходн.данные.!$P255="Об",N_OrgUd_1g_ob))</f>
        <v>0</v>
      </c>
      <c r="AP255" s="148" t="b">
        <f>IF(Исходн.данные.!$P255="Ум",P_OrgUd_1g_um,IF(Исходн.данные.!$P255="Об",P_OrgUd_1g_ob))</f>
        <v>0</v>
      </c>
      <c r="AQ255" s="148" t="b">
        <f>IF(Исходн.данные.!$P255="Ум",K_OrgUd_1g_um,IF(Исходн.данные.!$P255="Об",K_OrgUd_1g_ob))</f>
        <v>0</v>
      </c>
      <c r="AR255" t="b">
        <f>IF(Исходн.данные.!$P255="Ум",N_MinUd_2g_um,IF(Исходн.данные.!$P255="Об",N_MinUd_2g_ob))</f>
        <v>0</v>
      </c>
      <c r="AS255" t="b">
        <f>IF(Исходн.данные.!$P255="Ум",P_MinUd_2g_um,IF(Исходн.данные.!$P255="Об",P_MinUd_2g_ob))</f>
        <v>0</v>
      </c>
      <c r="AT255" t="b">
        <f>IF(Исходн.данные.!$P255="Ум",K_MinUd_2g_um,IF(Исходн.данные.!$P255="Об",K_MinUd_2g_ob))</f>
        <v>0</v>
      </c>
      <c r="AU255" t="b">
        <f>IF(Исходн.данные.!$P255="Ум",N_MinUd_1g_um,IF(Исходн.данные.!$P255="Об",N_MinUd_1g_ob))</f>
        <v>0</v>
      </c>
      <c r="AV255" t="b">
        <f>IF(Исходн.данные.!P255="Ум",P_MinUd_1g_um,IF(Исходн.данные.!P255="Об",P_MinUd_1g_ob))</f>
        <v>0</v>
      </c>
      <c r="AW255" t="b">
        <f>IF(Исходн.данные.!P255="Ум",K_MinUd_1g_um,IF(Исходн.данные.!P255="Об",K_MinUd_1g_ob))</f>
        <v>0</v>
      </c>
      <c r="AY255" t="e">
        <f>VLOOKUP(Исходн.данные.!T255,Справ!$A$3:$N$57,12)</f>
        <v>#N/A</v>
      </c>
      <c r="AZ255" t="e">
        <f>VLOOKUP(Исходн.данные.!T255,Справ!$A$3:$N$57,13)</f>
        <v>#N/A</v>
      </c>
      <c r="BA255" t="e">
        <f>VLOOKUP(Исходн.данные.!T255,Справ!$A$3:$N$57,14)</f>
        <v>#N/A</v>
      </c>
      <c r="BB255">
        <f>IF(Исходн.данные.!AH255=0,0,25)</f>
        <v>0</v>
      </c>
      <c r="BC255" s="141">
        <f>IF(Исходн.данные.!AH255=0,0,IF(Исходн.данные.!T255=0,25,BD255))</f>
        <v>0</v>
      </c>
      <c r="BD255" s="168" t="e">
        <f>AY255+AZ255*Исходн.данные.!U255-POWER(BA255,2)*Исходн.данные.!U255</f>
        <v>#N/A</v>
      </c>
      <c r="BE25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5" s="25">
        <f>IF(Исходн.данные.!AH255=0,0,MIN(HN255:HP255))</f>
        <v>0</v>
      </c>
      <c r="BG255" s="9">
        <f>IF(Исходн.данные.!AH255=0,0,IF((HO255+10*0.25/HG255/HL255)&lt;17,17,HO255+10*0.25/HG255/HL255))</f>
        <v>0</v>
      </c>
      <c r="BH255" s="181">
        <f>IF(Исходн.данные.!AH255=0,0,HW255*HF255*HL255/AU255*AI255+Исходн.данные.!S255*10)</f>
        <v>0</v>
      </c>
      <c r="BI255" s="10"/>
      <c r="BJ255" s="182">
        <f>IF(Исходн.данные.!AH255=0,0,IF(HX255*HG255*HL255/AV255&lt;0,0,HX255*HG255*HL255/AV255*AJ255))</f>
        <v>0</v>
      </c>
      <c r="BK255" s="182">
        <f>IF(Исходн.данные.!AH255=0,0,HY255*HH255*HM255/AW255)</f>
        <v>0</v>
      </c>
      <c r="BL255" s="10">
        <f>IF(OR(Исходн.данные.!$AH255=$BP$1,Исходн.данные.!$AH255=$BP$2),0,IF(BH255&lt;0,0,IF(OR(Исходн.данные.!T255=Расчет!$BP$1,Исходн.данные.!T255=Расчет!$BP$2,Исходн.данные.!T255=Расчет!$BT$5,Исходн.данные.!T255=Расчет!$BT$6),BH255*0.5,IF(OR(Исходн.данные.!T255=Расчет!$BS$9,Исходн.данные.!T255=Расчет!$BS$10,Исходн.данные.!T255=Расчет!$BS$11,Исходн.данные.!T255=Расчет!$BS$12,Исходн.данные.!T255=Расчет!$BP$5),BH255*0.8,BH255))))</f>
        <v>0</v>
      </c>
      <c r="BM255" s="10">
        <f>IF(OR(Исходн.данные.!$AH255=$BP$1,Исходн.данные.!$AH255=$BP$2),0,IF(BJ255&lt;0,0,IF(Исходн.данные.!I255&lt;4.5,BJ255*1.2,IF(Исходн.данные.!I255&gt;5.1,BJ255,BJ255*((5.1-Исходн.данные.!I255)*0.333+1)))))</f>
        <v>0</v>
      </c>
      <c r="BN255" s="10">
        <f>IF(OR(Исходн.данные.!$AH255=$BP$1,Исходн.данные.!$AH255=$BP$2),60-Исходн.данные.!AF255,IF(BK255&lt;0,0,IF(Исходн.данные.!I255&lt;4.5,BK255*1.2,IF(Исходн.данные.!I255&gt;5.1,BK255,BK255*((5.1-Исходн.данные.!I255)*0.333+1)))))</f>
        <v>0</v>
      </c>
      <c r="BO255" s="9">
        <f>IF(BL255&lt;0,0,BL255*Исходн.данные.!$AJ255/1000)</f>
        <v>0</v>
      </c>
      <c r="BP255" s="9">
        <f>IF(BM255&lt;0,0,BM255*Исходн.данные.!$AJ255/1000)</f>
        <v>0</v>
      </c>
      <c r="BQ255" s="9">
        <f>IF(BN255&lt;0,0,BN255*Исходн.данные.!$AJ255/1000)</f>
        <v>0</v>
      </c>
      <c r="BR255" s="9">
        <f t="shared" si="303"/>
        <v>0</v>
      </c>
      <c r="BS255" s="10" t="str">
        <f t="shared" si="304"/>
        <v>Аммофос 12:52:00</v>
      </c>
      <c r="BT255" s="10" t="str">
        <f t="shared" si="305"/>
        <v>Аммофос 12:52:00</v>
      </c>
      <c r="BU255" s="10" t="str">
        <f t="shared" si="306"/>
        <v>Диаммофоска</v>
      </c>
      <c r="BV255" s="10">
        <f t="shared" si="307"/>
        <v>0</v>
      </c>
      <c r="BW255" s="10"/>
      <c r="BX255" s="10"/>
      <c r="BY255" s="9">
        <f>IF(BL255&lt;0,0,IF(OR(Исходн.данные.!AI255=Расчет!$BU$6,Исходн.данные.!AI255=Расчет!$BU$7),Расчет!BV255,IF(Исходн.данные.!$AG255=$BV$11,BL255,IF(OR(Исходн.данные.!$AH255=$BQ$7,Исходн.данные.!$AH255=$BQ$8),CB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0,IF(Исходн.данные.!$AI255=$BU$11,"Нет",IF(BL255&gt;30,30,BL255)))))))</f>
        <v>0</v>
      </c>
      <c r="BZ255" s="9">
        <f>IF(AND(Исходн.данные.!$AG255=$BV$11,BM255&lt;10),10,IF(Исходн.данные.!$AG255=$BV$11,BM255,IF(OR(Исходн.данные.!$AH255=$BQ$7,Исходн.данные.!$AH255=$BQ$8),CC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10,IF(Исходн.данные.!$AI255=$BU$11,"Нет",IF(BM255&gt;60,60,IF(BM255&lt;10,10,BM255)))))))</f>
        <v>10</v>
      </c>
      <c r="CA255" s="39">
        <f>IF(BN255&lt;0,0,IF(Исходн.данные.!$AG255=$BV$11,BN255,IF(OR(Исходн.данные.!$AH255=$BQ$7,Исходн.данные.!$AH255=$BQ$8),CD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0,IF(Исходн.данные.!$AI255=$BU$11,"Нет",IF(BN255&gt;30,30,BN255))))))</f>
        <v>0</v>
      </c>
      <c r="CB255" s="9">
        <f t="shared" si="308"/>
        <v>0</v>
      </c>
      <c r="CC255" s="9">
        <f t="shared" si="309"/>
        <v>0</v>
      </c>
      <c r="CD255" s="9">
        <f t="shared" si="310"/>
        <v>0</v>
      </c>
      <c r="CE255" s="12">
        <f t="shared" si="311"/>
        <v>10</v>
      </c>
      <c r="CF255" s="9">
        <f t="shared" si="312"/>
        <v>0</v>
      </c>
      <c r="CG255" s="9" t="s">
        <v>231</v>
      </c>
      <c r="CH255" s="132" t="str">
        <f>IF(Исходн.данные.!AP255=Расчет!$CI$16,"Нет",IF(Исходн.данные.!AL255&gt;0,Исходн.данные.!AL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BH$4,IF(OR(Исходн.данные.!AI255=Исходн.данные.!$AI$6,Исходн.данные.!AI255=Исходн.данные.!$AI$7),Расчет!BS255,IF(AND($CF255=0,$CE255&gt;0),EV255,ER255)))))</f>
        <v>Аммофос 12:52:00</v>
      </c>
      <c r="CI255" s="274">
        <f>IF(Расчет!$CH255="Нет","Нет",IF(Исходн.данные.!$AL255&gt;0,VLOOKUP(Расчет!$CH255,АшламаДВ_Irekle,2,FALSE),VLOOKUP(Расчет!$CH255,АшламаДВ_Gomumy,2,FALSE)))</f>
        <v>0.12</v>
      </c>
      <c r="CJ255" s="274">
        <f>IF(Расчет!$CH255="Нет","Нет",IF(Исходн.данные.!$AL255&gt;0,VLOOKUP(Расчет!$CH255,АшламаДВ_Irekle,3,FALSE),VLOOKUP(Расчет!$CH255,АшламаДВ_Gomumy,3,FALSE)))</f>
        <v>0.52</v>
      </c>
      <c r="CK255" s="274">
        <f>IF(Расчет!$CH255="Нет","Нет",IF(Исходн.данные.!$AL255&gt;0,VLOOKUP(Расчет!$CH255,АшламаДВ_Irekle,4,FALSE),VLOOKUP(Расчет!$CH255,АшламаДВ_Gomumy,4,FALSE)))</f>
        <v>0</v>
      </c>
      <c r="CL255" s="70"/>
      <c r="CM255" s="70"/>
      <c r="CN255" s="70"/>
      <c r="CO255" s="70"/>
      <c r="CP255" s="70"/>
      <c r="CQ255" s="70"/>
      <c r="CR255" s="10">
        <f t="shared" si="313"/>
        <v>0</v>
      </c>
      <c r="CS255" s="10">
        <f t="shared" si="314"/>
        <v>19.23076923076923</v>
      </c>
      <c r="CT255" s="10">
        <f t="shared" si="315"/>
        <v>0</v>
      </c>
      <c r="CU255" s="39">
        <f>IF($CH255="Нет",0,IF(CI255=0,30/MIN(CJ255:CK255),IF(Исходн.данные.!$AG255=$BV$11,CR255,IF(OR(Исходн.данные.!$AH255=$BQ$7,Исходн.данные.!$AH255=$BQ$8),90/CI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0,IF(Исходн.данные.!$AI255=$BU$11,"Нет",30/CI255))))))</f>
        <v>250</v>
      </c>
      <c r="CV255" s="39">
        <f>IF($CH255="Нет",0,IF(Исходн.данные.!AH255=0,0,IF(CJ255=0,60/MIN(CI255,CK255),IF(Исходн.данные.!$AG255=$BV$11,CS255,IF(OR(Исходн.данные.!$AH255=$BQ$7,Исходн.данные.!$AH255=$BQ$8),90/CJ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10/CJ255,IF(Исходн.данные.!$AI255=$BU$11,"Нет",60/CJ255)))))))</f>
        <v>0</v>
      </c>
      <c r="CW255" s="39">
        <f>IF($CH255="Нет",0,IF(Исходн.данные.!AH255=0,0,IF(CK255=0,30/MIN(CI255:CJ255),IF(Исходн.данные.!$AG255=$BV$11,CT255,IF(OR(Исходн.данные.!$AH255=$BQ$7,Исходн.данные.!$AH255=$BQ$8),90/CK255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0,IF(Исходн.данные.!$AI255=$BU$11,"Нет",30/CK255)))))))</f>
        <v>0</v>
      </c>
      <c r="CX255" s="133">
        <f>IF(Исходн.данные.!$AG255=$BV$11,MAX(CU255:CW255),IF(OR(Исходн.данные.!$AH255=$BS$8,Исходн.данные.!$AH255=$BQ$9,Исходн.данные.!$AH255=$BQ$10,Исходн.данные.!$AH255=$BQ$11,Исходн.данные.!$AH255=$BQ$12,Исходн.данные.!$AH255=$BP$3,Исходн.данные.!$AH255=$BT$8,$FM255="Да"),CV255,MIN(CU255:CW255)))</f>
        <v>0</v>
      </c>
      <c r="CY255" s="133">
        <f>IF(Исходн.данные.!AH255=0,0,IF(CR255&gt;$CX255,$CX255,CR255))</f>
        <v>0</v>
      </c>
      <c r="CZ255" s="133">
        <f>IF(Исходн.данные.!AH255=0,0,IF(CS255&gt;$CX255,$CX255,CS255))</f>
        <v>0</v>
      </c>
      <c r="DA255" s="133">
        <f>IF(Исходн.данные.!AH255=0,0,IF(CT255&gt;$CX255,$CX255,CT255))</f>
        <v>0</v>
      </c>
      <c r="DB255" s="10">
        <f t="shared" si="316"/>
        <v>0</v>
      </c>
      <c r="DC255" s="39">
        <f>DB255*Исходн.данные.!AJ255/1000</f>
        <v>0</v>
      </c>
      <c r="DD255" s="71">
        <f t="shared" si="317"/>
        <v>0</v>
      </c>
      <c r="DE255" s="9">
        <f t="shared" si="318"/>
        <v>0</v>
      </c>
      <c r="DF255" s="9">
        <f t="shared" si="319"/>
        <v>0</v>
      </c>
      <c r="DG255" s="39">
        <f>IF(BL255&lt;0,0,IF($CH255="Нет",BL255,IF(OR(Исходн.данные.!$AH255=$BP$1,Исходн.данные.!$AH255=$BP$2),0,IF(Исходн.данные.!AI255=$BU$11,BL255,IF(BL255-DD255&lt;0,0,BL255-DD255)))))</f>
        <v>0</v>
      </c>
      <c r="DH255" s="39">
        <f>IF(BM255&lt;0,0,IF($CH255="Нет",BM255,IF(OR(Исходн.данные.!$AH255=$BP$1,Исходн.данные.!$AH255=$BP$2),0,IF(Исходн.данные.!AJ255=$BU$11,BM255,IF(BM255-DE255&lt;0,0,BM255-DE255)))))</f>
        <v>0</v>
      </c>
      <c r="DI255" s="39">
        <f>IF(BN255&lt;0,0,IF($CH255="Нет",BN255,IF(OR(Исходн.данные.!$AH255=$BP$1,Исходн.данные.!$AH255=$BP$2),0,IF(Исходн.данные.!AK255=$BU$11,BN255,IF(BN255-DF255&lt;0,0,BN255-DF255)))))</f>
        <v>0</v>
      </c>
      <c r="DJ255" s="12">
        <f t="shared" si="320"/>
        <v>0</v>
      </c>
      <c r="DK255" s="9">
        <f t="shared" si="321"/>
        <v>0</v>
      </c>
      <c r="DL255" s="39">
        <f>IF(Исходн.данные.!AM255&gt;0,Исходн.данные.!AM255,IF(EG255&gt;0,$BH$10,0))</f>
        <v>0</v>
      </c>
      <c r="DM255" s="186">
        <f>IF($DL255=0,0,IF(Исходн.данные.!AM255&gt;0,VLOOKUP($DL255,АшламаДВ_Irekle,2,FALSE),VLOOKUP($DL255,АшламаДВ_Gomumy,2,FALSE)))</f>
        <v>0</v>
      </c>
      <c r="DN255" s="10">
        <f t="shared" si="299"/>
        <v>0</v>
      </c>
      <c r="DO255" s="9" t="str">
        <f>IF(Исходн.данные.!AN255&gt;0,Исходн.данные.!AN255,Удобрения!$B$37 )</f>
        <v>Хлор.калий</v>
      </c>
      <c r="DP255" s="9">
        <f>IF(Исходн.данные.!AN255&gt;0,VLOOKUP(Исходн.данные.!AN255,АшламаДВ_Irekle,4,FALSE),VLOOKUP(DO255,АшламаДВ_Gomumy,4,FALSE))</f>
        <v>0.6</v>
      </c>
      <c r="DQ255" s="10">
        <f t="shared" si="300"/>
        <v>0</v>
      </c>
      <c r="DR255" s="132" t="str">
        <f>IF(Исходн.данные.!AO255&gt;0,Исходн.данные.!AO255,IF(DH255=0,BS$17,IF(AND($DK255=0,$DJ255&gt;0),EJ255,EN255)))</f>
        <v>Нет</v>
      </c>
      <c r="DS255" s="70" t="str">
        <f>IF($DR255="Нет","Нет",IF(Исходн.данные.!$AO255&gt;0,VLOOKUP($DR255,АшламаДВ_Irekle,2,FALSE),VLOOKUP($DR255,АшламаДВ_Gomumy,2,FALSE)))</f>
        <v>Нет</v>
      </c>
      <c r="DT255" s="70" t="str">
        <f>IF($DR255="Нет","Нет",IF(Исходн.данные.!$AO255&gt;0,VLOOKUP($DR255,АшламаДВ_Irekle,3,FALSE),VLOOKUP($DR255,АшламаДВ_Gomumy,3,FALSE)))</f>
        <v>Нет</v>
      </c>
      <c r="DU255" s="70" t="str">
        <f>IF($DR255="Нет","Нет",IF(Исходн.данные.!$AO255&gt;0,VLOOKUP($DR255,АшламаДВ_Irekle,4,FALSE),VLOOKUP($DR255,АшламаДВ_Gomumy,4,FALSE)))</f>
        <v>Нет</v>
      </c>
      <c r="DV255" s="70"/>
      <c r="DW255" s="70"/>
      <c r="DX255" s="70"/>
      <c r="DY255" s="10">
        <f t="shared" si="322"/>
        <v>0</v>
      </c>
      <c r="DZ255" s="10">
        <f t="shared" si="323"/>
        <v>0</v>
      </c>
      <c r="EA255" s="10">
        <f t="shared" si="324"/>
        <v>0</v>
      </c>
      <c r="EB255" s="10">
        <f t="shared" si="325"/>
        <v>0</v>
      </c>
      <c r="EC255" s="10">
        <f t="shared" si="326"/>
        <v>0</v>
      </c>
      <c r="ED255" s="10">
        <f t="shared" si="327"/>
        <v>0</v>
      </c>
      <c r="EE255" s="10">
        <f t="shared" si="328"/>
        <v>0</v>
      </c>
      <c r="EF255" s="39">
        <f>EB255*Исходн.данные.!AJ255/1000</f>
        <v>0</v>
      </c>
      <c r="EG255" s="9">
        <f t="shared" si="329"/>
        <v>0</v>
      </c>
      <c r="EH255" s="9">
        <f t="shared" si="330"/>
        <v>0</v>
      </c>
      <c r="EI255" s="39" t="e">
        <f t="shared" si="280"/>
        <v>#DIV/0!</v>
      </c>
      <c r="EJ255" s="9" t="str">
        <f t="shared" si="301"/>
        <v>Азопреципитат</v>
      </c>
      <c r="EK255" s="12">
        <f t="shared" si="281"/>
        <v>0.26</v>
      </c>
      <c r="EL255" s="12">
        <f t="shared" si="282"/>
        <v>0.13</v>
      </c>
      <c r="EM255" s="12">
        <f t="shared" si="283"/>
        <v>0</v>
      </c>
      <c r="EN255" s="12" t="str">
        <f t="shared" si="302"/>
        <v>Нет</v>
      </c>
      <c r="EO255" s="12">
        <f t="shared" si="284"/>
        <v>0</v>
      </c>
      <c r="EP255" s="12">
        <f t="shared" si="285"/>
        <v>0</v>
      </c>
      <c r="EQ255" s="12">
        <f t="shared" si="286"/>
        <v>0</v>
      </c>
      <c r="ER255" s="12" t="str">
        <f t="shared" si="331"/>
        <v>Диаммофоска</v>
      </c>
      <c r="ES255" s="12">
        <f t="shared" si="287"/>
        <v>0.1</v>
      </c>
      <c r="ET255" s="12">
        <f t="shared" si="288"/>
        <v>0.26</v>
      </c>
      <c r="EU255" s="12">
        <f t="shared" si="289"/>
        <v>0.26</v>
      </c>
      <c r="EV255" s="12" t="str">
        <f t="shared" si="332"/>
        <v>Аммофос 12:52:00</v>
      </c>
      <c r="EW255" s="12" t="str">
        <f t="shared" si="333"/>
        <v>Кемира Свекловичное-6</v>
      </c>
      <c r="EX255" s="12">
        <f t="shared" si="290"/>
        <v>0.16</v>
      </c>
      <c r="EY255" s="12">
        <f t="shared" si="291"/>
        <v>0.12</v>
      </c>
      <c r="EZ255" s="12">
        <f t="shared" si="292"/>
        <v>0.17</v>
      </c>
      <c r="FA255" s="38" t="e">
        <f>IF(AND(OR(FJ255=$FD$1,FM255=$FD$1,FO255=$FD$1,FQ255=$FD$1,FS255=$FD$1),FD255=$FD$1,Исходн.данные.!J255&lt;2,FU255=$FD$1),"Бор,Кобальт",IF(AND(FO255=$FD$1,FH255=$FD$1,Исходн.данные.!J255&lt;2,FU255=$FD$1),"Бор,Кобальт",IF(AND(OR(FJ255=$FD$1,FM255=$FD$1,FQ255=$FD$1),FE255=$FD$1,Исходн.данные.!J255&lt;2,FT255=$FD$1,FU255=$FD$1),"Бор,Медь,Цинк",IF(AND(OR(FJ255=$FD$1,FR255="Да"),FI255="Да",Исходн.данные.!J255&lt;2,FT255="Да",FU255="Да"),"Бор,Цинк,Медь",IF(AND(OR(FM255="Да",FQ255="Да"),FI255="Да",Исходн.данные.!J255&lt;2,FT255="Да",FU255="Да"),"Бор,Цинк",IF(AND(FN255="Да",OR(FD255="Да",FE255="Да")),"Бор",FB255))))))</f>
        <v>#N/A</v>
      </c>
      <c r="FB255" s="134" t="e">
        <f>IF(AND(OR(FD255="Да",FE255="Да",FF255="Да",FG255="Да",FH255="Да"),FO255="Да"),"Бор",IF(AND(FP255="Да",OR(FD255="Да",FE255="Да",FI255="Да")),"Бор",IF(AND(FS255="Да",FE255="Да"),"Бор,Медь",IF(AND(OR(FJ255="Да",FK255="Да",FL255="Да"),FE255="Да",Исходн.данные.!I255&lt;5,FT255="Да",FU255="Да"),"Молибден,Цинк",IF(AND(FM255="Да",OR(FE255="Да",FF255="Да",FG255="Да",FH255="Да",FI255="Да")),"Молибден,Цинк",IF(AND(OR(FJ255="Да",FK255="Да",FL255="Да",FM255="Да",FQ255="Да"),OR(FE255="Да",FF255="Да"),FT255="Да",FU255="Да",Исходн.данные.!I255&gt;5.5),"Медь,Цинк",FC255))))))</f>
        <v>#N/A</v>
      </c>
      <c r="FC255" s="23" t="e">
        <f t="shared" si="334"/>
        <v>#N/A</v>
      </c>
      <c r="FD255" s="38" t="str">
        <f>IF(OR(Исходн.данные.!F255=$CC$1,Исходн.данные.!F255=$CC$2,Исходн.данные.!F255=$CC$3,Исходн.данные.!F255=$CC$4),"Да","Нет")</f>
        <v>Нет</v>
      </c>
      <c r="FE255" s="38" t="str">
        <f>IF(Исходн.данные.!F255=$CC$5,"Да","Нет")</f>
        <v>Нет</v>
      </c>
      <c r="FF255" s="38" t="str">
        <f>IF(OR(Исходн.данные.!F255=$CC$6,Исходн.данные.!F255=$CC$7),"Да","Нет")</f>
        <v>Нет</v>
      </c>
      <c r="FG255" s="38" t="str">
        <f>IF(OR(Исходн.данные.!F255=$CC$8,Исходн.данные.!F255=$CC$9),"Да","Нет")</f>
        <v>Нет</v>
      </c>
      <c r="FH255" s="38" t="str">
        <f>IF(Исходн.данные.!F255=$CC$10,"Да","Нет")</f>
        <v>Нет</v>
      </c>
      <c r="FI255" s="38" t="str">
        <f>IF(OR(Исходн.данные.!F255=$CC$11,Исходн.данные.!F255=$CC$12),"Да","Нет")</f>
        <v>Нет</v>
      </c>
      <c r="FJ255" s="38" t="str">
        <f>IF(OR(Исходн.данные.!AH255=$BS$1,Исходн.данные.!AH255=$BQ$11,Исходн.данные.!AH255=$BQ$12),"Да","Нет")</f>
        <v>Нет</v>
      </c>
      <c r="FK255" s="38" t="str">
        <f>IF(OR(Исходн.данные.!AH255=$BS$2,Исходн.данные.!AH255=$BS$4),"Да","Нет")</f>
        <v>Нет</v>
      </c>
      <c r="FL255" s="38" t="str">
        <f>IF(OR(Исходн.данные.!AH255=$BS$3,Исходн.данные.!AH255=$BS$5),"Да","Нет")</f>
        <v>Нет</v>
      </c>
      <c r="FM255" s="38" t="str">
        <f>IF(OR(Исходн.данные.!AH255=$BS$9,Исходн.данные.!AH255=$BS$10,Исходн.данные.!AH255=$BS$11,Исходн.данные.!AH255=$BS$12),"Да","Нет")</f>
        <v>Нет</v>
      </c>
      <c r="FN255" s="38" t="str">
        <f>IF(OR(Исходн.данные.!AH255=$BS$6,Исходн.данные.!AH255=$BP$3),"Да","Нет")</f>
        <v>Нет</v>
      </c>
      <c r="FO255" s="38" t="str">
        <f>IF(Исходн.данные.!AH255=$BQ$9,"Да","Нет")</f>
        <v>Нет</v>
      </c>
      <c r="FP255" s="38" t="str">
        <f>IF(OR(Исходн.данные.!AH255=$BS$8,Исходн.данные.!AH255=$BT$8),"Да","Нет")</f>
        <v>Нет</v>
      </c>
      <c r="FQ255" s="38" t="str">
        <f>IF(OR(Исходн.данные.!AH255=$BQ$7,Исходн.данные.!AH255=$BQ$8),"Да","Нет")</f>
        <v>Нет</v>
      </c>
      <c r="FR255" s="38" t="str">
        <f>IF(Исходн.данные.!AI255=$BU$9,"Да","Нет")</f>
        <v>Нет</v>
      </c>
      <c r="FS255" s="38" t="str">
        <f>IF(OR(Исходн.данные.!AH255=$BP$1,Исходн.данные.!AH255=$BP$2),"Да","Нет")</f>
        <v>Нет</v>
      </c>
      <c r="FT255" s="38" t="e">
        <f>IF((Исходн.данные.!K255*GO255*GS255*GW255+BL255*0.6+Исходн.данные.!Q255*4.5*0.275)&gt;90,"Да","Нет")</f>
        <v>#N/A</v>
      </c>
      <c r="FU255" s="38" t="e">
        <f>IF((Исходн.данные.!M255*GS255*GZ255+BM255*0.225)&gt;35,"Да","Нет")</f>
        <v>#N/A</v>
      </c>
      <c r="FV255" s="38" t="str">
        <f>IF(Исходн.данные.!O255&gt;175,"Да","Нет")</f>
        <v>Нет</v>
      </c>
      <c r="FW255" s="39" t="str">
        <f>IF(Исходн.данные.!I255&gt;5.5,"Да","Нет")</f>
        <v>Нет</v>
      </c>
      <c r="FX255" s="39" t="str">
        <f>IF(Исходн.данные.!J255&lt;2,"Да","Нет")</f>
        <v>Да</v>
      </c>
      <c r="FY255" s="39" t="e">
        <f>IF(HF255=$FY$16,0,Исходн.данные.!K255*GO255*GS255*GW255/HF255)</f>
        <v>#N/A</v>
      </c>
      <c r="FZ255" s="39" t="e">
        <f>Исходн.данные.!M255*GS255*GZ255/HG255</f>
        <v>#N/A</v>
      </c>
      <c r="GA255" s="39" t="e">
        <f>IF(K_Wyn=$FY$16,0,IF(Исходн.данные.!N255=Исходн.данные.!$L$10,Исходн.данные.!O255/1.1*GS255*HC255/HH255,IF(Исходн.данные.!N255=Исходн.данные.!$L$12,Исходн.данные.!O255/1.5*GS255*HC255/HH255,Исходн.данные.!O255*GS255*HC255/HH255)))</f>
        <v>#N/A</v>
      </c>
      <c r="GB255" s="39" t="e">
        <f>IF(HF255=$FY$16,0,((Исходн.данные.!Q255*N_Org+Исходн.данные.!R255*N_Sider+Исходн.данные.!S255*N_Soloma)*AO255+Расчет!BC255*VLOOKUP(Исходн.данные.!T255,Справ!$A$3:$O$57,15)*AO255+BB255*VLOOKUP(Исходн.данные.!T255,Справ!$A$3:$O$57,15)*AL255+(Исходн.данные.!V255*N_Rizotorf+Исходн.данные.!W255*N_Rizoagr))/HF255)</f>
        <v>#N/A</v>
      </c>
      <c r="GC255" s="39" t="e">
        <f>IF(HG255=$FY$16,0,((Исходн.данные.!Q255*Р_Org+Исходн.данные.!R255*P_Sider+Исходн.данные.!S255*P_Soloma)*AP255+Расчет!BC255*VLOOKUP(Исходн.данные.!T255,Справ!$A$3:$P$57,16)*AP255+BB255*VLOOKUP(Исходн.данные.!T255,Справ!$A$3:$P$57,16)*AM255)/HG255)</f>
        <v>#N/A</v>
      </c>
      <c r="GD255" s="39" t="e">
        <f>IF(HH255=$FY$16,0,((Исходн.данные.!Q255*К_Org+Исходн.данные.!R255*K_Sider+Исходн.данные.!S255*K_Soloma)*AQ255+Расчет!BC255*VLOOKUP(Исходн.данные.!T255,Справ!$A$3:$Q$57,17)*AQ255+BB255*VLOOKUP(Исходн.данные.!T255,Справ!$A$3:$Q$57,17)*AN255)/HH255)</f>
        <v>#N/A</v>
      </c>
      <c r="GE255" s="39" t="e">
        <f>IF(HF255=$FY$16,0,(Исходн.данные.!X255*AR255+Исходн.данные.!AA255*N_Org*AL255+Исходн.данные.!AB255*N_Sider*AL255+Исходн.данные.!AC255*N_Soloma*AL255)/HF255)</f>
        <v>#N/A</v>
      </c>
      <c r="GF255" s="39" t="e">
        <f>IF(HG255=$FY$16,0,(Исходн.данные.!Y255*AS255+Исходн.данные.!AA255*Р_Org*AM255+Исходн.данные.!AB255*P_Sider*AM255+Исходн.данные.!AC255*P_Soloma*AM255)/HG255)</f>
        <v>#N/A</v>
      </c>
      <c r="GG255" s="39" t="e">
        <f>IF(HH255=$FY$16,0,(Исходн.данные.!Z255*AT255+Исходн.данные.!AA255*К_Org*AN255+Исходн.данные.!AB255*K_Sider*AN255+Исходн.данные.!AC255*K_Soloma*AN255)/HH255)</f>
        <v>#N/A</v>
      </c>
      <c r="GH255" s="39" t="e">
        <f>Исходн.данные.!AD255*AU255/HF255</f>
        <v>#N/A</v>
      </c>
      <c r="GI255" s="39" t="e">
        <f>Исходн.данные.!AE255*AV255/HG255</f>
        <v>#N/A</v>
      </c>
      <c r="GJ255" s="39" t="e">
        <f>Исходн.данные.!AF255*AW255/HH255</f>
        <v>#N/A</v>
      </c>
      <c r="GK255" s="55">
        <f>Исходн.данные.!AK255</f>
        <v>0</v>
      </c>
      <c r="GL255" s="11" t="e">
        <f t="shared" si="335"/>
        <v>#N/A</v>
      </c>
      <c r="GM255" s="11" t="e">
        <f t="shared" si="336"/>
        <v>#N/A</v>
      </c>
      <c r="GN255" s="11" t="e">
        <f t="shared" si="337"/>
        <v>#N/A</v>
      </c>
      <c r="GO255" s="57">
        <f t="shared" si="338"/>
        <v>19</v>
      </c>
      <c r="GP255" s="55">
        <f>IF(OR(Исходн.данные.!F255=$CE$1,Исходн.данные.!F255=$CE$2,Исходн.данные.!F255=$CE$3,Исходн.данные.!F255=$CE$4,Исходн.данные.!F255=$CE$5),GQ255,GR255)</f>
        <v>19</v>
      </c>
      <c r="GQ255" s="55">
        <f>IF(Исходн.данные.!F255=$CE$1,28,IF(Исходн.данные.!F255=$CE$2,26,IF(Исходн.данные.!F255=$CE$3,24,IF(Исходн.данные.!F255=$CE$4,22,IF(Исходн.данные.!F255=$CE$5,20,GR255)))))</f>
        <v>19</v>
      </c>
      <c r="GR255" s="55">
        <f>IF(Исходн.данные.!F255=$CE$6,18,IF(Исходн.данные.!F255=$CE$7,16,IF(Исходн.данные.!F255=$CE$8,14,IF(Исходн.данные.!F255=$CE$9,13,IF(Исходн.данные.!F255=$CE$10,12,19)))))</f>
        <v>19</v>
      </c>
      <c r="GS255" s="55">
        <f>IF(Исходн.данные.!G255="Пес",0.035*(40+2*Исходн.данные.!H255),IF(Исходн.данные.!G255="Суп",0.0325*(40+2*Исходн.данные.!H255),0.03*(40+2*Исходн.данные.!H255)))</f>
        <v>1.2</v>
      </c>
      <c r="GT255" s="55">
        <f>IF(Исходн.данные.!H255&lt;23,2.6,IF(AND(Исходн.данные.!H255&gt;22,Исходн.данные.!H255&lt;26),3,IF(AND(Исходн.данные.!H255&gt;25,Исходн.данные.!H255&lt;29),3.4,3.6)))</f>
        <v>2.6</v>
      </c>
      <c r="GU255" s="55">
        <f>IF(Исходн.данные.!H255&lt;23,2.8,IF(AND(Исходн.данные.!H255&gt;22,Исходн.данные.!H255&lt;26),3.2,IF(AND(Исходн.данные.!H255&gt;25,Исходн.данные.!H255&lt;29),3.6,3.9)))</f>
        <v>2.8</v>
      </c>
      <c r="GV255" s="55">
        <f>IF(Исходн.данные.!H255&lt;23,3,IF(AND(Исходн.данные.!H255&gt;22,Исходн.данные.!H255&lt;26),3.5,IF(AND(Исходн.данные.!H255&gt;25,Исходн.данные.!H255&lt;29),3.9,4.2)))</f>
        <v>3</v>
      </c>
      <c r="GW255" s="55" t="e">
        <f>IF(Исходн.данные.!P255="Ум",GX255,GY255)</f>
        <v>#N/A</v>
      </c>
      <c r="GX255" s="55" t="e">
        <f>VLOOKUP(Исходн.данные.!AI255,Коэффициенты!$J$7:$L$13,2,FALSE)</f>
        <v>#N/A</v>
      </c>
      <c r="GY255" s="55" t="e">
        <f>VLOOKUP(Исходн.данные.!AI255,Коэффициенты!$J$7:$L$13,3,FALSE)</f>
        <v>#N/A</v>
      </c>
      <c r="GZ255" s="55" t="e">
        <f>(IF(Исходн.данные.!M255&lt;50,0.11*VLOOKUP(Исходн.данные.!AH255,Культуры.Информация,7,FALSE),IF(Исходн.данные.!M255&gt;250,0.05*VLOOKUP(Исходн.данные.!AH255,Культуры.Информация,7,FALSE),VLOOKUP(Исходн.данные.!AH255,Культуры.Информация,5,FALSE)/100*($GX$6+$GY$6*Исходн.данные.!M255))))*Расчет2!AI255</f>
        <v>#N/A</v>
      </c>
      <c r="HA255" s="211"/>
      <c r="HB255" s="211"/>
      <c r="HC255" s="55" t="e">
        <f>(IF(Исходн.данные.!O255&lt;80,0.2*VLOOKUP(Исходн.данные.!AH255,Культуры.Информация,8,FALSE),IF(Исходн.данные.!O255&gt;240,0.09*VLOOKUP(Исходн.данные.!AH255,Культуры.Информация,8,FALSE),VLOOKUP(Исходн.данные.!AH255,Культуры.Информация,6,FALSE)/100*($HB$6+$HC$6*Исходн.данные.!O255))))*Расчет2!AJ255</f>
        <v>#N/A</v>
      </c>
      <c r="HD255" s="55">
        <f>IF(Исходн.данные.!O255&gt;240,0.09,IF(Исходн.данные.!O255&lt;30,0.3,$HE$10+$HD$10*Исходн.данные.!O255))</f>
        <v>0.3</v>
      </c>
      <c r="HE255" s="55">
        <f>IF(Исходн.данные.!O255&gt;240,0.17,IF(Исходн.данные.!O255&lt;30,0.5,$HF$12+$HE$12*Исходн.данные.!O255))</f>
        <v>0.5</v>
      </c>
      <c r="HF255" s="55" t="e">
        <f>VLOOKUP(Исходн.данные.!AH255,Справ!$A$3:$D$58,2,FALSE)</f>
        <v>#N/A</v>
      </c>
      <c r="HG255" s="55" t="e">
        <f>VLOOKUP(Исходн.данные.!AH255,Справ!$A$3:$D$58,3,FALSE)</f>
        <v>#N/A</v>
      </c>
      <c r="HH255" s="55" t="e">
        <f>VLOOKUP(Исходн.данные.!AH255,Справ!$A$3:$D$58,4,FALSE)</f>
        <v>#N/A</v>
      </c>
      <c r="HI255" s="11" t="e">
        <f t="shared" si="339"/>
        <v>#N/A</v>
      </c>
      <c r="HJ255" s="11" t="e">
        <f t="shared" si="340"/>
        <v>#N/A</v>
      </c>
      <c r="HK255" s="11" t="e">
        <f t="shared" si="341"/>
        <v>#N/A</v>
      </c>
      <c r="HL255" s="55">
        <f>IF(OR(Исходн.данные.!G255="Глин",Исходн.данные.!G255="Т_суг"),1.1,IF(Исходн.данные.!G255="Ср_суг",1,1))</f>
        <v>1</v>
      </c>
      <c r="HM255" s="55">
        <f>IF(OR(Исходн.данные.!G255="Глин",Исходн.данные.!G255="Т_суг"),0.9,IF(Исходн.данные.!G255="Ср_суг",1,1.2))</f>
        <v>1.2</v>
      </c>
      <c r="HN255" s="11" t="e">
        <f t="shared" si="342"/>
        <v>#N/A</v>
      </c>
      <c r="HO255" s="11" t="e">
        <f t="shared" si="343"/>
        <v>#N/A</v>
      </c>
      <c r="HP255" s="11" t="e">
        <f t="shared" si="344"/>
        <v>#N/A</v>
      </c>
      <c r="HQ255" t="e">
        <f t="shared" si="345"/>
        <v>#N/A</v>
      </c>
      <c r="HR255" t="e">
        <f t="shared" si="346"/>
        <v>#N/A</v>
      </c>
      <c r="HS255" t="e">
        <f t="shared" si="347"/>
        <v>#N/A</v>
      </c>
      <c r="HT255" t="e">
        <f t="shared" si="293"/>
        <v>#N/A</v>
      </c>
      <c r="HU255" t="e">
        <f t="shared" si="294"/>
        <v>#N/A</v>
      </c>
      <c r="HV255" t="e">
        <f t="shared" si="295"/>
        <v>#N/A</v>
      </c>
      <c r="HW255" t="e">
        <f t="shared" si="296"/>
        <v>#N/A</v>
      </c>
      <c r="HX255" t="e">
        <f t="shared" si="297"/>
        <v>#N/A</v>
      </c>
      <c r="HY255" t="e">
        <f t="shared" si="298"/>
        <v>#N/A</v>
      </c>
      <c r="HZ255" s="55">
        <f>IF(OR(Исходн.данные.!AI255="Оз_Ч_П",Исходн.данные.!AI255="Оз_З_П",Исходн.данные.!AI255="Яр_зер"),12,30)</f>
        <v>30</v>
      </c>
      <c r="IA255" t="e">
        <f t="shared" si="348"/>
        <v>#N/A</v>
      </c>
      <c r="IB255" t="e">
        <f t="shared" si="349"/>
        <v>#N/A</v>
      </c>
      <c r="IC255" t="e">
        <f t="shared" si="350"/>
        <v>#N/A</v>
      </c>
      <c r="ID255" s="11" t="e">
        <f t="shared" si="351"/>
        <v>#N/A</v>
      </c>
      <c r="IE255" s="11" t="e">
        <f t="shared" si="352"/>
        <v>#N/A</v>
      </c>
      <c r="IF255" s="11" t="e">
        <f t="shared" si="353"/>
        <v>#N/A</v>
      </c>
    </row>
    <row r="256" spans="35:240" x14ac:dyDescent="0.2">
      <c r="AI256">
        <f>IF(Исходн.данные.!I256&gt;6,1,1.85-(0.148*Исходн.данные.!I256))</f>
        <v>1.85</v>
      </c>
      <c r="AJ256">
        <f>IF(Исходн.данные.!I256&gt;6,1,2.434-(0.246*Исходн.данные.!I256))</f>
        <v>2.4340000000000002</v>
      </c>
      <c r="AL256" s="148" t="b">
        <f>IF(Исходн.данные.!$P256="Ум",N_OrgUd_2g_um,IF(Исходн.данные.!$P256="Об",N_OrgUd_2g_ob))</f>
        <v>0</v>
      </c>
      <c r="AM256" s="148" t="b">
        <f>IF(Исходн.данные.!$P256="Ум",P_OrgUd_2g_um,IF(Исходн.данные.!$P256="Об",P_OrgUd_2g_ob))</f>
        <v>0</v>
      </c>
      <c r="AN256" s="148" t="b">
        <f>IF(Исходн.данные.!$P256="Ум",K_OrgUd_2g_um,IF(Исходн.данные.!$P256="Об",K_OrgUd_2g_ob))</f>
        <v>0</v>
      </c>
      <c r="AO256" s="148" t="b">
        <f>IF(Исходн.данные.!$P256="Ум",N_OrgUd_1g_um,IF(Исходн.данные.!$P256="Об",N_OrgUd_1g_ob))</f>
        <v>0</v>
      </c>
      <c r="AP256" s="148" t="b">
        <f>IF(Исходн.данные.!$P256="Ум",P_OrgUd_1g_um,IF(Исходн.данные.!$P256="Об",P_OrgUd_1g_ob))</f>
        <v>0</v>
      </c>
      <c r="AQ256" s="148" t="b">
        <f>IF(Исходн.данные.!$P256="Ум",K_OrgUd_1g_um,IF(Исходн.данные.!$P256="Об",K_OrgUd_1g_ob))</f>
        <v>0</v>
      </c>
      <c r="AR256" t="b">
        <f>IF(Исходн.данные.!$P256="Ум",N_MinUd_2g_um,IF(Исходн.данные.!$P256="Об",N_MinUd_2g_ob))</f>
        <v>0</v>
      </c>
      <c r="AS256" t="b">
        <f>IF(Исходн.данные.!$P256="Ум",P_MinUd_2g_um,IF(Исходн.данные.!$P256="Об",P_MinUd_2g_ob))</f>
        <v>0</v>
      </c>
      <c r="AT256" t="b">
        <f>IF(Исходн.данные.!$P256="Ум",K_MinUd_2g_um,IF(Исходн.данные.!$P256="Об",K_MinUd_2g_ob))</f>
        <v>0</v>
      </c>
      <c r="AU256" t="b">
        <f>IF(Исходн.данные.!$P256="Ум",N_MinUd_1g_um,IF(Исходн.данные.!$P256="Об",N_MinUd_1g_ob))</f>
        <v>0</v>
      </c>
      <c r="AV256" t="b">
        <f>IF(Исходн.данные.!P256="Ум",P_MinUd_1g_um,IF(Исходн.данные.!P256="Об",P_MinUd_1g_ob))</f>
        <v>0</v>
      </c>
      <c r="AW256" t="b">
        <f>IF(Исходн.данные.!P256="Ум",K_MinUd_1g_um,IF(Исходн.данные.!P256="Об",K_MinUd_1g_ob))</f>
        <v>0</v>
      </c>
      <c r="AY256" t="e">
        <f>VLOOKUP(Исходн.данные.!T256,Справ!$A$3:$N$57,12)</f>
        <v>#N/A</v>
      </c>
      <c r="AZ256" t="e">
        <f>VLOOKUP(Исходн.данные.!T256,Справ!$A$3:$N$57,13)</f>
        <v>#N/A</v>
      </c>
      <c r="BA256" t="e">
        <f>VLOOKUP(Исходн.данные.!T256,Справ!$A$3:$N$57,14)</f>
        <v>#N/A</v>
      </c>
      <c r="BB256">
        <f>IF(Исходн.данные.!AH256=0,0,25)</f>
        <v>0</v>
      </c>
      <c r="BC256" s="141">
        <f>IF(Исходн.данные.!AH256=0,0,IF(Исходн.данные.!T256=0,25,BD256))</f>
        <v>0</v>
      </c>
      <c r="BD256" s="168" t="e">
        <f>AY256+AZ256*Исходн.данные.!U256-POWER(BA256,2)*Исходн.данные.!U256</f>
        <v>#N/A</v>
      </c>
      <c r="BE25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6" s="25">
        <f>IF(Исходн.данные.!AH256=0,0,MIN(HN256:HP256))</f>
        <v>0</v>
      </c>
      <c r="BG256" s="9">
        <f>IF(Исходн.данные.!AH256=0,0,IF((HO256+10*0.25/HG256/HL256)&lt;17,17,HO256+10*0.25/HG256/HL256))</f>
        <v>0</v>
      </c>
      <c r="BH256" s="181">
        <f>IF(Исходн.данные.!AH256=0,0,HW256*HF256*HL256/AU256*AI256+Исходн.данные.!S256*10)</f>
        <v>0</v>
      </c>
      <c r="BI256" s="10"/>
      <c r="BJ256" s="182">
        <f>IF(Исходн.данные.!AH256=0,0,IF(HX256*HG256*HL256/AV256&lt;0,0,HX256*HG256*HL256/AV256*AJ256))</f>
        <v>0</v>
      </c>
      <c r="BK256" s="182">
        <f>IF(Исходн.данные.!AH256=0,0,HY256*HH256*HM256/AW256)</f>
        <v>0</v>
      </c>
      <c r="BL256" s="10">
        <f>IF(OR(Исходн.данные.!$AH256=$BP$1,Исходн.данные.!$AH256=$BP$2),0,IF(BH256&lt;0,0,IF(OR(Исходн.данные.!T256=Расчет!$BP$1,Исходн.данные.!T256=Расчет!$BP$2,Исходн.данные.!T256=Расчет!$BT$5,Исходн.данные.!T256=Расчет!$BT$6),BH256*0.5,IF(OR(Исходн.данные.!T256=Расчет!$BS$9,Исходн.данные.!T256=Расчет!$BS$10,Исходн.данные.!T256=Расчет!$BS$11,Исходн.данные.!T256=Расчет!$BS$12,Исходн.данные.!T256=Расчет!$BP$5),BH256*0.8,BH256))))</f>
        <v>0</v>
      </c>
      <c r="BM256" s="10">
        <f>IF(OR(Исходн.данные.!$AH256=$BP$1,Исходн.данные.!$AH256=$BP$2),0,IF(BJ256&lt;0,0,IF(Исходн.данные.!I256&lt;4.5,BJ256*1.2,IF(Исходн.данные.!I256&gt;5.1,BJ256,BJ256*((5.1-Исходн.данные.!I256)*0.333+1)))))</f>
        <v>0</v>
      </c>
      <c r="BN256" s="10">
        <f>IF(OR(Исходн.данные.!$AH256=$BP$1,Исходн.данные.!$AH256=$BP$2),60-Исходн.данные.!AF256,IF(BK256&lt;0,0,IF(Исходн.данные.!I256&lt;4.5,BK256*1.2,IF(Исходн.данные.!I256&gt;5.1,BK256,BK256*((5.1-Исходн.данные.!I256)*0.333+1)))))</f>
        <v>0</v>
      </c>
      <c r="BO256" s="9">
        <f>IF(BL256&lt;0,0,BL256*Исходн.данные.!$AJ256/1000)</f>
        <v>0</v>
      </c>
      <c r="BP256" s="9">
        <f>IF(BM256&lt;0,0,BM256*Исходн.данные.!$AJ256/1000)</f>
        <v>0</v>
      </c>
      <c r="BQ256" s="9">
        <f>IF(BN256&lt;0,0,BN256*Исходн.данные.!$AJ256/1000)</f>
        <v>0</v>
      </c>
      <c r="BR256" s="9">
        <f t="shared" si="303"/>
        <v>0</v>
      </c>
      <c r="BS256" s="10" t="str">
        <f t="shared" si="304"/>
        <v>Аммофос 12:52:00</v>
      </c>
      <c r="BT256" s="10" t="str">
        <f t="shared" si="305"/>
        <v>Аммофос 12:52:00</v>
      </c>
      <c r="BU256" s="10" t="str">
        <f t="shared" si="306"/>
        <v>Диаммофоска</v>
      </c>
      <c r="BV256" s="10">
        <f t="shared" si="307"/>
        <v>0</v>
      </c>
      <c r="BW256" s="10"/>
      <c r="BX256" s="10"/>
      <c r="BY256" s="9">
        <f>IF(BL256&lt;0,0,IF(OR(Исходн.данные.!AI256=Расчет!$BU$6,Исходн.данные.!AI256=Расчет!$BU$7),Расчет!BV256,IF(Исходн.данные.!$AG256=$BV$11,BL256,IF(OR(Исходн.данные.!$AH256=$BQ$7,Исходн.данные.!$AH256=$BQ$8),CB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0,IF(Исходн.данные.!$AI256=$BU$11,"Нет",IF(BL256&gt;30,30,BL256)))))))</f>
        <v>0</v>
      </c>
      <c r="BZ256" s="9">
        <f>IF(AND(Исходн.данные.!$AG256=$BV$11,BM256&lt;10),10,IF(Исходн.данные.!$AG256=$BV$11,BM256,IF(OR(Исходн.данные.!$AH256=$BQ$7,Исходн.данные.!$AH256=$BQ$8),CC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10,IF(Исходн.данные.!$AI256=$BU$11,"Нет",IF(BM256&gt;60,60,IF(BM256&lt;10,10,BM256)))))))</f>
        <v>10</v>
      </c>
      <c r="CA256" s="39">
        <f>IF(BN256&lt;0,0,IF(Исходн.данные.!$AG256=$BV$11,BN256,IF(OR(Исходн.данные.!$AH256=$BQ$7,Исходн.данные.!$AH256=$BQ$8),CD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0,IF(Исходн.данные.!$AI256=$BU$11,"Нет",IF(BN256&gt;30,30,BN256))))))</f>
        <v>0</v>
      </c>
      <c r="CB256" s="9">
        <f t="shared" si="308"/>
        <v>0</v>
      </c>
      <c r="CC256" s="9">
        <f t="shared" si="309"/>
        <v>0</v>
      </c>
      <c r="CD256" s="9">
        <f t="shared" si="310"/>
        <v>0</v>
      </c>
      <c r="CE256" s="12">
        <f t="shared" si="311"/>
        <v>10</v>
      </c>
      <c r="CF256" s="9">
        <f t="shared" si="312"/>
        <v>0</v>
      </c>
      <c r="CG256" s="9" t="s">
        <v>231</v>
      </c>
      <c r="CH256" s="132" t="str">
        <f>IF(Исходн.данные.!AP256=Расчет!$CI$16,"Нет",IF(Исходн.данные.!AL256&gt;0,Исходн.данные.!AL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BH$4,IF(OR(Исходн.данные.!AI256=Исходн.данные.!$AI$6,Исходн.данные.!AI256=Исходн.данные.!$AI$7),Расчет!BS256,IF(AND($CF256=0,$CE256&gt;0),EV256,ER256)))))</f>
        <v>Аммофос 12:52:00</v>
      </c>
      <c r="CI256" s="274">
        <f>IF(Расчет!$CH256="Нет","Нет",IF(Исходн.данные.!$AL256&gt;0,VLOOKUP(Расчет!$CH256,АшламаДВ_Irekle,2,FALSE),VLOOKUP(Расчет!$CH256,АшламаДВ_Gomumy,2,FALSE)))</f>
        <v>0.12</v>
      </c>
      <c r="CJ256" s="274">
        <f>IF(Расчет!$CH256="Нет","Нет",IF(Исходн.данные.!$AL256&gt;0,VLOOKUP(Расчет!$CH256,АшламаДВ_Irekle,3,FALSE),VLOOKUP(Расчет!$CH256,АшламаДВ_Gomumy,3,FALSE)))</f>
        <v>0.52</v>
      </c>
      <c r="CK256" s="274">
        <f>IF(Расчет!$CH256="Нет","Нет",IF(Исходн.данные.!$AL256&gt;0,VLOOKUP(Расчет!$CH256,АшламаДВ_Irekle,4,FALSE),VLOOKUP(Расчет!$CH256,АшламаДВ_Gomumy,4,FALSE)))</f>
        <v>0</v>
      </c>
      <c r="CL256" s="70"/>
      <c r="CM256" s="70"/>
      <c r="CN256" s="70"/>
      <c r="CO256" s="70"/>
      <c r="CP256" s="70"/>
      <c r="CQ256" s="70"/>
      <c r="CR256" s="10">
        <f t="shared" si="313"/>
        <v>0</v>
      </c>
      <c r="CS256" s="10">
        <f t="shared" si="314"/>
        <v>19.23076923076923</v>
      </c>
      <c r="CT256" s="10">
        <f t="shared" si="315"/>
        <v>0</v>
      </c>
      <c r="CU256" s="39">
        <f>IF($CH256="Нет",0,IF(CI256=0,30/MIN(CJ256:CK256),IF(Исходн.данные.!$AG256=$BV$11,CR256,IF(OR(Исходн.данные.!$AH256=$BQ$7,Исходн.данные.!$AH256=$BQ$8),90/CI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0,IF(Исходн.данные.!$AI256=$BU$11,"Нет",30/CI256))))))</f>
        <v>250</v>
      </c>
      <c r="CV256" s="39">
        <f>IF($CH256="Нет",0,IF(Исходн.данные.!AH256=0,0,IF(CJ256=0,60/MIN(CI256,CK256),IF(Исходн.данные.!$AG256=$BV$11,CS256,IF(OR(Исходн.данные.!$AH256=$BQ$7,Исходн.данные.!$AH256=$BQ$8),90/CJ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10/CJ256,IF(Исходн.данные.!$AI256=$BU$11,"Нет",60/CJ256)))))))</f>
        <v>0</v>
      </c>
      <c r="CW256" s="39">
        <f>IF($CH256="Нет",0,IF(Исходн.данные.!AH256=0,0,IF(CK256=0,30/MIN(CI256:CJ256),IF(Исходн.данные.!$AG256=$BV$11,CT256,IF(OR(Исходн.данные.!$AH256=$BQ$7,Исходн.данные.!$AH256=$BQ$8),90/CK256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0,IF(Исходн.данные.!$AI256=$BU$11,"Нет",30/CK256)))))))</f>
        <v>0</v>
      </c>
      <c r="CX256" s="133">
        <f>IF(Исходн.данные.!$AG256=$BV$11,MAX(CU256:CW256),IF(OR(Исходн.данные.!$AH256=$BS$8,Исходн.данные.!$AH256=$BQ$9,Исходн.данные.!$AH256=$BQ$10,Исходн.данные.!$AH256=$BQ$11,Исходн.данные.!$AH256=$BQ$12,Исходн.данные.!$AH256=$BP$3,Исходн.данные.!$AH256=$BT$8,$FM256="Да"),CV256,MIN(CU256:CW256)))</f>
        <v>0</v>
      </c>
      <c r="CY256" s="133">
        <f>IF(Исходн.данные.!AH256=0,0,IF(CR256&gt;$CX256,$CX256,CR256))</f>
        <v>0</v>
      </c>
      <c r="CZ256" s="133">
        <f>IF(Исходн.данные.!AH256=0,0,IF(CS256&gt;$CX256,$CX256,CS256))</f>
        <v>0</v>
      </c>
      <c r="DA256" s="133">
        <f>IF(Исходн.данные.!AH256=0,0,IF(CT256&gt;$CX256,$CX256,CT256))</f>
        <v>0</v>
      </c>
      <c r="DB256" s="10">
        <f t="shared" si="316"/>
        <v>0</v>
      </c>
      <c r="DC256" s="39">
        <f>DB256*Исходн.данные.!AJ256/1000</f>
        <v>0</v>
      </c>
      <c r="DD256" s="71">
        <f t="shared" si="317"/>
        <v>0</v>
      </c>
      <c r="DE256" s="9">
        <f t="shared" si="318"/>
        <v>0</v>
      </c>
      <c r="DF256" s="9">
        <f t="shared" si="319"/>
        <v>0</v>
      </c>
      <c r="DG256" s="39">
        <f>IF(BL256&lt;0,0,IF($CH256="Нет",BL256,IF(OR(Исходн.данные.!$AH256=$BP$1,Исходн.данные.!$AH256=$BP$2),0,IF(Исходн.данные.!AI256=$BU$11,BL256,IF(BL256-DD256&lt;0,0,BL256-DD256)))))</f>
        <v>0</v>
      </c>
      <c r="DH256" s="39">
        <f>IF(BM256&lt;0,0,IF($CH256="Нет",BM256,IF(OR(Исходн.данные.!$AH256=$BP$1,Исходн.данные.!$AH256=$BP$2),0,IF(Исходн.данные.!AJ256=$BU$11,BM256,IF(BM256-DE256&lt;0,0,BM256-DE256)))))</f>
        <v>0</v>
      </c>
      <c r="DI256" s="39">
        <f>IF(BN256&lt;0,0,IF($CH256="Нет",BN256,IF(OR(Исходн.данные.!$AH256=$BP$1,Исходн.данные.!$AH256=$BP$2),0,IF(Исходн.данные.!AK256=$BU$11,BN256,IF(BN256-DF256&lt;0,0,BN256-DF256)))))</f>
        <v>0</v>
      </c>
      <c r="DJ256" s="12">
        <f t="shared" si="320"/>
        <v>0</v>
      </c>
      <c r="DK256" s="9">
        <f t="shared" si="321"/>
        <v>0</v>
      </c>
      <c r="DL256" s="39">
        <f>IF(Исходн.данные.!AM256&gt;0,Исходн.данные.!AM256,IF(EG256&gt;0,$BH$10,0))</f>
        <v>0</v>
      </c>
      <c r="DM256" s="186">
        <f>IF($DL256=0,0,IF(Исходн.данные.!AM256&gt;0,VLOOKUP($DL256,АшламаДВ_Irekle,2,FALSE),VLOOKUP($DL256,АшламаДВ_Gomumy,2,FALSE)))</f>
        <v>0</v>
      </c>
      <c r="DN256" s="10">
        <f t="shared" si="299"/>
        <v>0</v>
      </c>
      <c r="DO256" s="9" t="str">
        <f>IF(Исходн.данные.!AN256&gt;0,Исходн.данные.!AN256,Удобрения!$B$37 )</f>
        <v>Хлор.калий</v>
      </c>
      <c r="DP256" s="9">
        <f>IF(Исходн.данные.!AN256&gt;0,VLOOKUP(Исходн.данные.!AN256,АшламаДВ_Irekle,4,FALSE),VLOOKUP(DO256,АшламаДВ_Gomumy,4,FALSE))</f>
        <v>0.6</v>
      </c>
      <c r="DQ256" s="10">
        <f t="shared" si="300"/>
        <v>0</v>
      </c>
      <c r="DR256" s="132" t="str">
        <f>IF(Исходн.данные.!AO256&gt;0,Исходн.данные.!AO256,IF(DH256=0,BS$17,IF(AND($DK256=0,$DJ256&gt;0),EJ256,EN256)))</f>
        <v>Нет</v>
      </c>
      <c r="DS256" s="70" t="str">
        <f>IF($DR256="Нет","Нет",IF(Исходн.данные.!$AO256&gt;0,VLOOKUP($DR256,АшламаДВ_Irekle,2,FALSE),VLOOKUP($DR256,АшламаДВ_Gomumy,2,FALSE)))</f>
        <v>Нет</v>
      </c>
      <c r="DT256" s="70" t="str">
        <f>IF($DR256="Нет","Нет",IF(Исходн.данные.!$AO256&gt;0,VLOOKUP($DR256,АшламаДВ_Irekle,3,FALSE),VLOOKUP($DR256,АшламаДВ_Gomumy,3,FALSE)))</f>
        <v>Нет</v>
      </c>
      <c r="DU256" s="70" t="str">
        <f>IF($DR256="Нет","Нет",IF(Исходн.данные.!$AO256&gt;0,VLOOKUP($DR256,АшламаДВ_Irekle,4,FALSE),VLOOKUP($DR256,АшламаДВ_Gomumy,4,FALSE)))</f>
        <v>Нет</v>
      </c>
      <c r="DV256" s="70"/>
      <c r="DW256" s="70"/>
      <c r="DX256" s="70"/>
      <c r="DY256" s="10">
        <f t="shared" si="322"/>
        <v>0</v>
      </c>
      <c r="DZ256" s="10">
        <f t="shared" si="323"/>
        <v>0</v>
      </c>
      <c r="EA256" s="10">
        <f t="shared" si="324"/>
        <v>0</v>
      </c>
      <c r="EB256" s="10">
        <f t="shared" si="325"/>
        <v>0</v>
      </c>
      <c r="EC256" s="10">
        <f t="shared" si="326"/>
        <v>0</v>
      </c>
      <c r="ED256" s="10">
        <f t="shared" si="327"/>
        <v>0</v>
      </c>
      <c r="EE256" s="10">
        <f t="shared" si="328"/>
        <v>0</v>
      </c>
      <c r="EF256" s="39">
        <f>EB256*Исходн.данные.!AJ256/1000</f>
        <v>0</v>
      </c>
      <c r="EG256" s="9">
        <f t="shared" si="329"/>
        <v>0</v>
      </c>
      <c r="EH256" s="9">
        <f t="shared" si="330"/>
        <v>0</v>
      </c>
      <c r="EI256" s="39" t="e">
        <f t="shared" si="280"/>
        <v>#DIV/0!</v>
      </c>
      <c r="EJ256" s="9" t="str">
        <f t="shared" si="301"/>
        <v>Азопреципитат</v>
      </c>
      <c r="EK256" s="12">
        <f t="shared" si="281"/>
        <v>0.26</v>
      </c>
      <c r="EL256" s="12">
        <f t="shared" si="282"/>
        <v>0.13</v>
      </c>
      <c r="EM256" s="12">
        <f t="shared" si="283"/>
        <v>0</v>
      </c>
      <c r="EN256" s="12" t="str">
        <f t="shared" si="302"/>
        <v>Нет</v>
      </c>
      <c r="EO256" s="12">
        <f t="shared" si="284"/>
        <v>0</v>
      </c>
      <c r="EP256" s="12">
        <f t="shared" si="285"/>
        <v>0</v>
      </c>
      <c r="EQ256" s="12">
        <f t="shared" si="286"/>
        <v>0</v>
      </c>
      <c r="ER256" s="12" t="str">
        <f t="shared" si="331"/>
        <v>Диаммофоска</v>
      </c>
      <c r="ES256" s="12">
        <f t="shared" si="287"/>
        <v>0.1</v>
      </c>
      <c r="ET256" s="12">
        <f t="shared" si="288"/>
        <v>0.26</v>
      </c>
      <c r="EU256" s="12">
        <f t="shared" si="289"/>
        <v>0.26</v>
      </c>
      <c r="EV256" s="12" t="str">
        <f t="shared" si="332"/>
        <v>Аммофос 12:52:00</v>
      </c>
      <c r="EW256" s="12" t="str">
        <f t="shared" si="333"/>
        <v>Кемира Свекловичное-6</v>
      </c>
      <c r="EX256" s="12">
        <f t="shared" si="290"/>
        <v>0.16</v>
      </c>
      <c r="EY256" s="12">
        <f t="shared" si="291"/>
        <v>0.12</v>
      </c>
      <c r="EZ256" s="12">
        <f t="shared" si="292"/>
        <v>0.17</v>
      </c>
      <c r="FA256" s="38" t="e">
        <f>IF(AND(OR(FJ256=$FD$1,FM256=$FD$1,FO256=$FD$1,FQ256=$FD$1,FS256=$FD$1),FD256=$FD$1,Исходн.данные.!J256&lt;2,FU256=$FD$1),"Бор,Кобальт",IF(AND(FO256=$FD$1,FH256=$FD$1,Исходн.данные.!J256&lt;2,FU256=$FD$1),"Бор,Кобальт",IF(AND(OR(FJ256=$FD$1,FM256=$FD$1,FQ256=$FD$1),FE256=$FD$1,Исходн.данные.!J256&lt;2,FT256=$FD$1,FU256=$FD$1),"Бор,Медь,Цинк",IF(AND(OR(FJ256=$FD$1,FR256="Да"),FI256="Да",Исходн.данные.!J256&lt;2,FT256="Да",FU256="Да"),"Бор,Цинк,Медь",IF(AND(OR(FM256="Да",FQ256="Да"),FI256="Да",Исходн.данные.!J256&lt;2,FT256="Да",FU256="Да"),"Бор,Цинк",IF(AND(FN256="Да",OR(FD256="Да",FE256="Да")),"Бор",FB256))))))</f>
        <v>#N/A</v>
      </c>
      <c r="FB256" s="134" t="e">
        <f>IF(AND(OR(FD256="Да",FE256="Да",FF256="Да",FG256="Да",FH256="Да"),FO256="Да"),"Бор",IF(AND(FP256="Да",OR(FD256="Да",FE256="Да",FI256="Да")),"Бор",IF(AND(FS256="Да",FE256="Да"),"Бор,Медь",IF(AND(OR(FJ256="Да",FK256="Да",FL256="Да"),FE256="Да",Исходн.данные.!I256&lt;5,FT256="Да",FU256="Да"),"Молибден,Цинк",IF(AND(FM256="Да",OR(FE256="Да",FF256="Да",FG256="Да",FH256="Да",FI256="Да")),"Молибден,Цинк",IF(AND(OR(FJ256="Да",FK256="Да",FL256="Да",FM256="Да",FQ256="Да"),OR(FE256="Да",FF256="Да"),FT256="Да",FU256="Да",Исходн.данные.!I256&gt;5.5),"Медь,Цинк",FC256))))))</f>
        <v>#N/A</v>
      </c>
      <c r="FC256" s="23" t="e">
        <f t="shared" si="334"/>
        <v>#N/A</v>
      </c>
      <c r="FD256" s="38" t="str">
        <f>IF(OR(Исходн.данные.!F256=$CC$1,Исходн.данные.!F256=$CC$2,Исходн.данные.!F256=$CC$3,Исходн.данные.!F256=$CC$4),"Да","Нет")</f>
        <v>Нет</v>
      </c>
      <c r="FE256" s="38" t="str">
        <f>IF(Исходн.данные.!F256=$CC$5,"Да","Нет")</f>
        <v>Нет</v>
      </c>
      <c r="FF256" s="38" t="str">
        <f>IF(OR(Исходн.данные.!F256=$CC$6,Исходн.данные.!F256=$CC$7),"Да","Нет")</f>
        <v>Нет</v>
      </c>
      <c r="FG256" s="38" t="str">
        <f>IF(OR(Исходн.данные.!F256=$CC$8,Исходн.данные.!F256=$CC$9),"Да","Нет")</f>
        <v>Нет</v>
      </c>
      <c r="FH256" s="38" t="str">
        <f>IF(Исходн.данные.!F256=$CC$10,"Да","Нет")</f>
        <v>Нет</v>
      </c>
      <c r="FI256" s="38" t="str">
        <f>IF(OR(Исходн.данные.!F256=$CC$11,Исходн.данные.!F256=$CC$12),"Да","Нет")</f>
        <v>Нет</v>
      </c>
      <c r="FJ256" s="38" t="str">
        <f>IF(OR(Исходн.данные.!AH256=$BS$1,Исходн.данные.!AH256=$BQ$11,Исходн.данные.!AH256=$BQ$12),"Да","Нет")</f>
        <v>Нет</v>
      </c>
      <c r="FK256" s="38" t="str">
        <f>IF(OR(Исходн.данные.!AH256=$BS$2,Исходн.данные.!AH256=$BS$4),"Да","Нет")</f>
        <v>Нет</v>
      </c>
      <c r="FL256" s="38" t="str">
        <f>IF(OR(Исходн.данные.!AH256=$BS$3,Исходн.данные.!AH256=$BS$5),"Да","Нет")</f>
        <v>Нет</v>
      </c>
      <c r="FM256" s="38" t="str">
        <f>IF(OR(Исходн.данные.!AH256=$BS$9,Исходн.данные.!AH256=$BS$10,Исходн.данные.!AH256=$BS$11,Исходн.данные.!AH256=$BS$12),"Да","Нет")</f>
        <v>Нет</v>
      </c>
      <c r="FN256" s="38" t="str">
        <f>IF(OR(Исходн.данные.!AH256=$BS$6,Исходн.данные.!AH256=$BP$3),"Да","Нет")</f>
        <v>Нет</v>
      </c>
      <c r="FO256" s="38" t="str">
        <f>IF(Исходн.данные.!AH256=$BQ$9,"Да","Нет")</f>
        <v>Нет</v>
      </c>
      <c r="FP256" s="38" t="str">
        <f>IF(OR(Исходн.данные.!AH256=$BS$8,Исходн.данные.!AH256=$BT$8),"Да","Нет")</f>
        <v>Нет</v>
      </c>
      <c r="FQ256" s="38" t="str">
        <f>IF(OR(Исходн.данные.!AH256=$BQ$7,Исходн.данные.!AH256=$BQ$8),"Да","Нет")</f>
        <v>Нет</v>
      </c>
      <c r="FR256" s="38" t="str">
        <f>IF(Исходн.данные.!AI256=$BU$9,"Да","Нет")</f>
        <v>Нет</v>
      </c>
      <c r="FS256" s="38" t="str">
        <f>IF(OR(Исходн.данные.!AH256=$BP$1,Исходн.данные.!AH256=$BP$2),"Да","Нет")</f>
        <v>Нет</v>
      </c>
      <c r="FT256" s="38" t="e">
        <f>IF((Исходн.данные.!K256*GO256*GS256*GW256+BL256*0.6+Исходн.данные.!Q256*4.5*0.275)&gt;90,"Да","Нет")</f>
        <v>#N/A</v>
      </c>
      <c r="FU256" s="38" t="e">
        <f>IF((Исходн.данные.!M256*GS256*GZ256+BM256*0.225)&gt;35,"Да","Нет")</f>
        <v>#N/A</v>
      </c>
      <c r="FV256" s="38" t="str">
        <f>IF(Исходн.данные.!O256&gt;175,"Да","Нет")</f>
        <v>Нет</v>
      </c>
      <c r="FW256" s="39" t="str">
        <f>IF(Исходн.данные.!I256&gt;5.5,"Да","Нет")</f>
        <v>Нет</v>
      </c>
      <c r="FX256" s="39" t="str">
        <f>IF(Исходн.данные.!J256&lt;2,"Да","Нет")</f>
        <v>Да</v>
      </c>
      <c r="FY256" s="39" t="e">
        <f>IF(HF256=$FY$16,0,Исходн.данные.!K256*GO256*GS256*GW256/HF256)</f>
        <v>#N/A</v>
      </c>
      <c r="FZ256" s="39" t="e">
        <f>Исходн.данные.!M256*GS256*GZ256/HG256</f>
        <v>#N/A</v>
      </c>
      <c r="GA256" s="39" t="e">
        <f>IF(K_Wyn=$FY$16,0,IF(Исходн.данные.!N256=Исходн.данные.!$L$10,Исходн.данные.!O256/1.1*GS256*HC256/HH256,IF(Исходн.данные.!N256=Исходн.данные.!$L$12,Исходн.данные.!O256/1.5*GS256*HC256/HH256,Исходн.данные.!O256*GS256*HC256/HH256)))</f>
        <v>#N/A</v>
      </c>
      <c r="GB256" s="39" t="e">
        <f>IF(HF256=$FY$16,0,((Исходн.данные.!Q256*N_Org+Исходн.данные.!R256*N_Sider+Исходн.данные.!S256*N_Soloma)*AO256+Расчет!BC256*VLOOKUP(Исходн.данные.!T256,Справ!$A$3:$O$57,15)*AO256+BB256*VLOOKUP(Исходн.данные.!T256,Справ!$A$3:$O$57,15)*AL256+(Исходн.данные.!V256*N_Rizotorf+Исходн.данные.!W256*N_Rizoagr))/HF256)</f>
        <v>#N/A</v>
      </c>
      <c r="GC256" s="39" t="e">
        <f>IF(HG256=$FY$16,0,((Исходн.данные.!Q256*Р_Org+Исходн.данные.!R256*P_Sider+Исходн.данные.!S256*P_Soloma)*AP256+Расчет!BC256*VLOOKUP(Исходн.данные.!T256,Справ!$A$3:$P$57,16)*AP256+BB256*VLOOKUP(Исходн.данные.!T256,Справ!$A$3:$P$57,16)*AM256)/HG256)</f>
        <v>#N/A</v>
      </c>
      <c r="GD256" s="39" t="e">
        <f>IF(HH256=$FY$16,0,((Исходн.данные.!Q256*К_Org+Исходн.данные.!R256*K_Sider+Исходн.данные.!S256*K_Soloma)*AQ256+Расчет!BC256*VLOOKUP(Исходн.данные.!T256,Справ!$A$3:$Q$57,17)*AQ256+BB256*VLOOKUP(Исходн.данные.!T256,Справ!$A$3:$Q$57,17)*AN256)/HH256)</f>
        <v>#N/A</v>
      </c>
      <c r="GE256" s="39" t="e">
        <f>IF(HF256=$FY$16,0,(Исходн.данные.!X256*AR256+Исходн.данные.!AA256*N_Org*AL256+Исходн.данные.!AB256*N_Sider*AL256+Исходн.данные.!AC256*N_Soloma*AL256)/HF256)</f>
        <v>#N/A</v>
      </c>
      <c r="GF256" s="39" t="e">
        <f>IF(HG256=$FY$16,0,(Исходн.данные.!Y256*AS256+Исходн.данные.!AA256*Р_Org*AM256+Исходн.данные.!AB256*P_Sider*AM256+Исходн.данные.!AC256*P_Soloma*AM256)/HG256)</f>
        <v>#N/A</v>
      </c>
      <c r="GG256" s="39" t="e">
        <f>IF(HH256=$FY$16,0,(Исходн.данные.!Z256*AT256+Исходн.данные.!AA256*К_Org*AN256+Исходн.данные.!AB256*K_Sider*AN256+Исходн.данные.!AC256*K_Soloma*AN256)/HH256)</f>
        <v>#N/A</v>
      </c>
      <c r="GH256" s="39" t="e">
        <f>Исходн.данные.!AD256*AU256/HF256</f>
        <v>#N/A</v>
      </c>
      <c r="GI256" s="39" t="e">
        <f>Исходн.данные.!AE256*AV256/HG256</f>
        <v>#N/A</v>
      </c>
      <c r="GJ256" s="39" t="e">
        <f>Исходн.данные.!AF256*AW256/HH256</f>
        <v>#N/A</v>
      </c>
      <c r="GK256" s="55">
        <f>Исходн.данные.!AK256</f>
        <v>0</v>
      </c>
      <c r="GL256" s="11" t="e">
        <f t="shared" si="335"/>
        <v>#N/A</v>
      </c>
      <c r="GM256" s="11" t="e">
        <f t="shared" si="336"/>
        <v>#N/A</v>
      </c>
      <c r="GN256" s="11" t="e">
        <f t="shared" si="337"/>
        <v>#N/A</v>
      </c>
      <c r="GO256" s="57">
        <f t="shared" si="338"/>
        <v>19</v>
      </c>
      <c r="GP256" s="55">
        <f>IF(OR(Исходн.данные.!F256=$CE$1,Исходн.данные.!F256=$CE$2,Исходн.данные.!F256=$CE$3,Исходн.данные.!F256=$CE$4,Исходн.данные.!F256=$CE$5),GQ256,GR256)</f>
        <v>19</v>
      </c>
      <c r="GQ256" s="55">
        <f>IF(Исходн.данные.!F256=$CE$1,28,IF(Исходн.данные.!F256=$CE$2,26,IF(Исходн.данные.!F256=$CE$3,24,IF(Исходн.данные.!F256=$CE$4,22,IF(Исходн.данные.!F256=$CE$5,20,GR256)))))</f>
        <v>19</v>
      </c>
      <c r="GR256" s="55">
        <f>IF(Исходн.данные.!F256=$CE$6,18,IF(Исходн.данные.!F256=$CE$7,16,IF(Исходн.данные.!F256=$CE$8,14,IF(Исходн.данные.!F256=$CE$9,13,IF(Исходн.данные.!F256=$CE$10,12,19)))))</f>
        <v>19</v>
      </c>
      <c r="GS256" s="55">
        <f>IF(Исходн.данные.!G256="Пес",0.035*(40+2*Исходн.данные.!H256),IF(Исходн.данные.!G256="Суп",0.0325*(40+2*Исходн.данные.!H256),0.03*(40+2*Исходн.данные.!H256)))</f>
        <v>1.2</v>
      </c>
      <c r="GT256" s="55">
        <f>IF(Исходн.данные.!H256&lt;23,2.6,IF(AND(Исходн.данные.!H256&gt;22,Исходн.данные.!H256&lt;26),3,IF(AND(Исходн.данные.!H256&gt;25,Исходн.данные.!H256&lt;29),3.4,3.6)))</f>
        <v>2.6</v>
      </c>
      <c r="GU256" s="55">
        <f>IF(Исходн.данные.!H256&lt;23,2.8,IF(AND(Исходн.данные.!H256&gt;22,Исходн.данные.!H256&lt;26),3.2,IF(AND(Исходн.данные.!H256&gt;25,Исходн.данные.!H256&lt;29),3.6,3.9)))</f>
        <v>2.8</v>
      </c>
      <c r="GV256" s="55">
        <f>IF(Исходн.данные.!H256&lt;23,3,IF(AND(Исходн.данные.!H256&gt;22,Исходн.данные.!H256&lt;26),3.5,IF(AND(Исходн.данные.!H256&gt;25,Исходн.данные.!H256&lt;29),3.9,4.2)))</f>
        <v>3</v>
      </c>
      <c r="GW256" s="55" t="e">
        <f>IF(Исходн.данные.!P256="Ум",GX256,GY256)</f>
        <v>#N/A</v>
      </c>
      <c r="GX256" s="55" t="e">
        <f>VLOOKUP(Исходн.данные.!AI256,Коэффициенты!$J$7:$L$13,2,FALSE)</f>
        <v>#N/A</v>
      </c>
      <c r="GY256" s="55" t="e">
        <f>VLOOKUP(Исходн.данные.!AI256,Коэффициенты!$J$7:$L$13,3,FALSE)</f>
        <v>#N/A</v>
      </c>
      <c r="GZ256" s="55" t="e">
        <f>(IF(Исходн.данные.!M256&lt;50,0.11*VLOOKUP(Исходн.данные.!AH256,Культуры.Информация,7,FALSE),IF(Исходн.данные.!M256&gt;250,0.05*VLOOKUP(Исходн.данные.!AH256,Культуры.Информация,7,FALSE),VLOOKUP(Исходн.данные.!AH256,Культуры.Информация,5,FALSE)/100*($GX$6+$GY$6*Исходн.данные.!M256))))*Расчет2!AI256</f>
        <v>#N/A</v>
      </c>
      <c r="HA256" s="211"/>
      <c r="HB256" s="211"/>
      <c r="HC256" s="55" t="e">
        <f>(IF(Исходн.данные.!O256&lt;80,0.2*VLOOKUP(Исходн.данные.!AH256,Культуры.Информация,8,FALSE),IF(Исходн.данные.!O256&gt;240,0.09*VLOOKUP(Исходн.данные.!AH256,Культуры.Информация,8,FALSE),VLOOKUP(Исходн.данные.!AH256,Культуры.Информация,6,FALSE)/100*($HB$6+$HC$6*Исходн.данные.!O256))))*Расчет2!AJ256</f>
        <v>#N/A</v>
      </c>
      <c r="HD256" s="55">
        <f>IF(Исходн.данные.!O256&gt;240,0.09,IF(Исходн.данные.!O256&lt;30,0.3,$HE$10+$HD$10*Исходн.данные.!O256))</f>
        <v>0.3</v>
      </c>
      <c r="HE256" s="55">
        <f>IF(Исходн.данные.!O256&gt;240,0.17,IF(Исходн.данные.!O256&lt;30,0.5,$HF$12+$HE$12*Исходн.данные.!O256))</f>
        <v>0.5</v>
      </c>
      <c r="HF256" s="55" t="e">
        <f>VLOOKUP(Исходн.данные.!AH256,Справ!$A$3:$D$58,2,FALSE)</f>
        <v>#N/A</v>
      </c>
      <c r="HG256" s="55" t="e">
        <f>VLOOKUP(Исходн.данные.!AH256,Справ!$A$3:$D$58,3,FALSE)</f>
        <v>#N/A</v>
      </c>
      <c r="HH256" s="55" t="e">
        <f>VLOOKUP(Исходн.данные.!AH256,Справ!$A$3:$D$58,4,FALSE)</f>
        <v>#N/A</v>
      </c>
      <c r="HI256" s="11" t="e">
        <f t="shared" si="339"/>
        <v>#N/A</v>
      </c>
      <c r="HJ256" s="11" t="e">
        <f t="shared" si="340"/>
        <v>#N/A</v>
      </c>
      <c r="HK256" s="11" t="e">
        <f t="shared" si="341"/>
        <v>#N/A</v>
      </c>
      <c r="HL256" s="55">
        <f>IF(OR(Исходн.данные.!G256="Глин",Исходн.данные.!G256="Т_суг"),1.1,IF(Исходн.данные.!G256="Ср_суг",1,1))</f>
        <v>1</v>
      </c>
      <c r="HM256" s="55">
        <f>IF(OR(Исходн.данные.!G256="Глин",Исходн.данные.!G256="Т_суг"),0.9,IF(Исходн.данные.!G256="Ср_суг",1,1.2))</f>
        <v>1.2</v>
      </c>
      <c r="HN256" s="11" t="e">
        <f t="shared" si="342"/>
        <v>#N/A</v>
      </c>
      <c r="HO256" s="11" t="e">
        <f t="shared" si="343"/>
        <v>#N/A</v>
      </c>
      <c r="HP256" s="11" t="e">
        <f t="shared" si="344"/>
        <v>#N/A</v>
      </c>
      <c r="HQ256" t="e">
        <f t="shared" si="345"/>
        <v>#N/A</v>
      </c>
      <c r="HR256" t="e">
        <f t="shared" si="346"/>
        <v>#N/A</v>
      </c>
      <c r="HS256" t="e">
        <f t="shared" si="347"/>
        <v>#N/A</v>
      </c>
      <c r="HT256" t="e">
        <f t="shared" si="293"/>
        <v>#N/A</v>
      </c>
      <c r="HU256" t="e">
        <f t="shared" si="294"/>
        <v>#N/A</v>
      </c>
      <c r="HV256" t="e">
        <f t="shared" si="295"/>
        <v>#N/A</v>
      </c>
      <c r="HW256" t="e">
        <f t="shared" si="296"/>
        <v>#N/A</v>
      </c>
      <c r="HX256" t="e">
        <f t="shared" si="297"/>
        <v>#N/A</v>
      </c>
      <c r="HY256" t="e">
        <f t="shared" si="298"/>
        <v>#N/A</v>
      </c>
      <c r="HZ256" s="55">
        <f>IF(OR(Исходн.данные.!AI256="Оз_Ч_П",Исходн.данные.!AI256="Оз_З_П",Исходн.данные.!AI256="Яр_зер"),12,30)</f>
        <v>30</v>
      </c>
      <c r="IA256" t="e">
        <f t="shared" si="348"/>
        <v>#N/A</v>
      </c>
      <c r="IB256" t="e">
        <f t="shared" si="349"/>
        <v>#N/A</v>
      </c>
      <c r="IC256" t="e">
        <f t="shared" si="350"/>
        <v>#N/A</v>
      </c>
      <c r="ID256" s="11" t="e">
        <f t="shared" si="351"/>
        <v>#N/A</v>
      </c>
      <c r="IE256" s="11" t="e">
        <f t="shared" si="352"/>
        <v>#N/A</v>
      </c>
      <c r="IF256" s="11" t="e">
        <f t="shared" si="353"/>
        <v>#N/A</v>
      </c>
    </row>
    <row r="257" spans="35:240" x14ac:dyDescent="0.2">
      <c r="AI257">
        <f>IF(Исходн.данные.!I257&gt;6,1,1.85-(0.148*Исходн.данные.!I257))</f>
        <v>1.85</v>
      </c>
      <c r="AJ257">
        <f>IF(Исходн.данные.!I257&gt;6,1,2.434-(0.246*Исходн.данные.!I257))</f>
        <v>2.4340000000000002</v>
      </c>
      <c r="AL257" s="148" t="b">
        <f>IF(Исходн.данные.!$P257="Ум",N_OrgUd_2g_um,IF(Исходн.данные.!$P257="Об",N_OrgUd_2g_ob))</f>
        <v>0</v>
      </c>
      <c r="AM257" s="148" t="b">
        <f>IF(Исходн.данные.!$P257="Ум",P_OrgUd_2g_um,IF(Исходн.данные.!$P257="Об",P_OrgUd_2g_ob))</f>
        <v>0</v>
      </c>
      <c r="AN257" s="148" t="b">
        <f>IF(Исходн.данные.!$P257="Ум",K_OrgUd_2g_um,IF(Исходн.данные.!$P257="Об",K_OrgUd_2g_ob))</f>
        <v>0</v>
      </c>
      <c r="AO257" s="148" t="b">
        <f>IF(Исходн.данные.!$P257="Ум",N_OrgUd_1g_um,IF(Исходн.данные.!$P257="Об",N_OrgUd_1g_ob))</f>
        <v>0</v>
      </c>
      <c r="AP257" s="148" t="b">
        <f>IF(Исходн.данные.!$P257="Ум",P_OrgUd_1g_um,IF(Исходн.данные.!$P257="Об",P_OrgUd_1g_ob))</f>
        <v>0</v>
      </c>
      <c r="AQ257" s="148" t="b">
        <f>IF(Исходн.данные.!$P257="Ум",K_OrgUd_1g_um,IF(Исходн.данные.!$P257="Об",K_OrgUd_1g_ob))</f>
        <v>0</v>
      </c>
      <c r="AR257" t="b">
        <f>IF(Исходн.данные.!$P257="Ум",N_MinUd_2g_um,IF(Исходн.данные.!$P257="Об",N_MinUd_2g_ob))</f>
        <v>0</v>
      </c>
      <c r="AS257" t="b">
        <f>IF(Исходн.данные.!$P257="Ум",P_MinUd_2g_um,IF(Исходн.данные.!$P257="Об",P_MinUd_2g_ob))</f>
        <v>0</v>
      </c>
      <c r="AT257" t="b">
        <f>IF(Исходн.данные.!$P257="Ум",K_MinUd_2g_um,IF(Исходн.данные.!$P257="Об",K_MinUd_2g_ob))</f>
        <v>0</v>
      </c>
      <c r="AU257" t="b">
        <f>IF(Исходн.данные.!$P257="Ум",N_MinUd_1g_um,IF(Исходн.данные.!$P257="Об",N_MinUd_1g_ob))</f>
        <v>0</v>
      </c>
      <c r="AV257" t="b">
        <f>IF(Исходн.данные.!P257="Ум",P_MinUd_1g_um,IF(Исходн.данные.!P257="Об",P_MinUd_1g_ob))</f>
        <v>0</v>
      </c>
      <c r="AW257" t="b">
        <f>IF(Исходн.данные.!P257="Ум",K_MinUd_1g_um,IF(Исходн.данные.!P257="Об",K_MinUd_1g_ob))</f>
        <v>0</v>
      </c>
      <c r="AY257" t="e">
        <f>VLOOKUP(Исходн.данные.!T257,Справ!$A$3:$N$57,12)</f>
        <v>#N/A</v>
      </c>
      <c r="AZ257" t="e">
        <f>VLOOKUP(Исходн.данные.!T257,Справ!$A$3:$N$57,13)</f>
        <v>#N/A</v>
      </c>
      <c r="BA257" t="e">
        <f>VLOOKUP(Исходн.данные.!T257,Справ!$A$3:$N$57,14)</f>
        <v>#N/A</v>
      </c>
      <c r="BB257">
        <f>IF(Исходн.данные.!AH257=0,0,25)</f>
        <v>0</v>
      </c>
      <c r="BC257" s="141">
        <f>IF(Исходн.данные.!AH257=0,0,IF(Исходн.данные.!T257=0,25,BD257))</f>
        <v>0</v>
      </c>
      <c r="BD257" s="168" t="e">
        <f>AY257+AZ257*Исходн.данные.!U257-POWER(BA257,2)*Исходн.данные.!U257</f>
        <v>#N/A</v>
      </c>
      <c r="BE25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7" s="25">
        <f>IF(Исходн.данные.!AH257=0,0,MIN(HN257:HP257))</f>
        <v>0</v>
      </c>
      <c r="BG257" s="9">
        <f>IF(Исходн.данные.!AH257=0,0,IF((HO257+10*0.25/HG257/HL257)&lt;17,17,HO257+10*0.25/HG257/HL257))</f>
        <v>0</v>
      </c>
      <c r="BH257" s="181">
        <f>IF(Исходн.данные.!AH257=0,0,HW257*HF257*HL257/AU257*AI257+Исходн.данные.!S257*10)</f>
        <v>0</v>
      </c>
      <c r="BI257" s="10"/>
      <c r="BJ257" s="182">
        <f>IF(Исходн.данные.!AH257=0,0,IF(HX257*HG257*HL257/AV257&lt;0,0,HX257*HG257*HL257/AV257*AJ257))</f>
        <v>0</v>
      </c>
      <c r="BK257" s="182">
        <f>IF(Исходн.данные.!AH257=0,0,HY257*HH257*HM257/AW257)</f>
        <v>0</v>
      </c>
      <c r="BL257" s="10">
        <f>IF(OR(Исходн.данные.!$AH257=$BP$1,Исходн.данные.!$AH257=$BP$2),0,IF(BH257&lt;0,0,IF(OR(Исходн.данные.!T257=Расчет!$BP$1,Исходн.данные.!T257=Расчет!$BP$2,Исходн.данные.!T257=Расчет!$BT$5,Исходн.данные.!T257=Расчет!$BT$6),BH257*0.5,IF(OR(Исходн.данные.!T257=Расчет!$BS$9,Исходн.данные.!T257=Расчет!$BS$10,Исходн.данные.!T257=Расчет!$BS$11,Исходн.данные.!T257=Расчет!$BS$12,Исходн.данные.!T257=Расчет!$BP$5),BH257*0.8,BH257))))</f>
        <v>0</v>
      </c>
      <c r="BM257" s="10">
        <f>IF(OR(Исходн.данные.!$AH257=$BP$1,Исходн.данные.!$AH257=$BP$2),0,IF(BJ257&lt;0,0,IF(Исходн.данные.!I257&lt;4.5,BJ257*1.2,IF(Исходн.данные.!I257&gt;5.1,BJ257,BJ257*((5.1-Исходн.данные.!I257)*0.333+1)))))</f>
        <v>0</v>
      </c>
      <c r="BN257" s="10">
        <f>IF(OR(Исходн.данные.!$AH257=$BP$1,Исходн.данные.!$AH257=$BP$2),60-Исходн.данные.!AF257,IF(BK257&lt;0,0,IF(Исходн.данные.!I257&lt;4.5,BK257*1.2,IF(Исходн.данные.!I257&gt;5.1,BK257,BK257*((5.1-Исходн.данные.!I257)*0.333+1)))))</f>
        <v>0</v>
      </c>
      <c r="BO257" s="9">
        <f>IF(BL257&lt;0,0,BL257*Исходн.данные.!$AJ257/1000)</f>
        <v>0</v>
      </c>
      <c r="BP257" s="9">
        <f>IF(BM257&lt;0,0,BM257*Исходн.данные.!$AJ257/1000)</f>
        <v>0</v>
      </c>
      <c r="BQ257" s="9">
        <f>IF(BN257&lt;0,0,BN257*Исходн.данные.!$AJ257/1000)</f>
        <v>0</v>
      </c>
      <c r="BR257" s="9">
        <f t="shared" si="303"/>
        <v>0</v>
      </c>
      <c r="BS257" s="10" t="str">
        <f t="shared" si="304"/>
        <v>Аммофос 12:52:00</v>
      </c>
      <c r="BT257" s="10" t="str">
        <f t="shared" si="305"/>
        <v>Аммофос 12:52:00</v>
      </c>
      <c r="BU257" s="10" t="str">
        <f t="shared" si="306"/>
        <v>Диаммофоска</v>
      </c>
      <c r="BV257" s="10">
        <f t="shared" si="307"/>
        <v>0</v>
      </c>
      <c r="BW257" s="10"/>
      <c r="BX257" s="10"/>
      <c r="BY257" s="9">
        <f>IF(BL257&lt;0,0,IF(OR(Исходн.данные.!AI257=Расчет!$BU$6,Исходн.данные.!AI257=Расчет!$BU$7),Расчет!BV257,IF(Исходн.данные.!$AG257=$BV$11,BL257,IF(OR(Исходн.данные.!$AH257=$BQ$7,Исходн.данные.!$AH257=$BQ$8),CB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0,IF(Исходн.данные.!$AI257=$BU$11,"Нет",IF(BL257&gt;30,30,BL257)))))))</f>
        <v>0</v>
      </c>
      <c r="BZ257" s="9">
        <f>IF(AND(Исходн.данные.!$AG257=$BV$11,BM257&lt;10),10,IF(Исходн.данные.!$AG257=$BV$11,BM257,IF(OR(Исходн.данные.!$AH257=$BQ$7,Исходн.данные.!$AH257=$BQ$8),CC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10,IF(Исходн.данные.!$AI257=$BU$11,"Нет",IF(BM257&gt;60,60,IF(BM257&lt;10,10,BM257)))))))</f>
        <v>10</v>
      </c>
      <c r="CA257" s="39">
        <f>IF(BN257&lt;0,0,IF(Исходн.данные.!$AG257=$BV$11,BN257,IF(OR(Исходн.данные.!$AH257=$BQ$7,Исходн.данные.!$AH257=$BQ$8),CD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0,IF(Исходн.данные.!$AI257=$BU$11,"Нет",IF(BN257&gt;30,30,BN257))))))</f>
        <v>0</v>
      </c>
      <c r="CB257" s="9">
        <f t="shared" si="308"/>
        <v>0</v>
      </c>
      <c r="CC257" s="9">
        <f t="shared" si="309"/>
        <v>0</v>
      </c>
      <c r="CD257" s="9">
        <f t="shared" si="310"/>
        <v>0</v>
      </c>
      <c r="CE257" s="12">
        <f t="shared" si="311"/>
        <v>10</v>
      </c>
      <c r="CF257" s="9">
        <f t="shared" si="312"/>
        <v>0</v>
      </c>
      <c r="CG257" s="9" t="s">
        <v>231</v>
      </c>
      <c r="CH257" s="132" t="str">
        <f>IF(Исходн.данные.!AP257=Расчет!$CI$16,"Нет",IF(Исходн.данные.!AL257&gt;0,Исходн.данные.!AL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BH$4,IF(OR(Исходн.данные.!AI257=Исходн.данные.!$AI$6,Исходн.данные.!AI257=Исходн.данные.!$AI$7),Расчет!BS257,IF(AND($CF257=0,$CE257&gt;0),EV257,ER257)))))</f>
        <v>Аммофос 12:52:00</v>
      </c>
      <c r="CI257" s="274">
        <f>IF(Расчет!$CH257="Нет","Нет",IF(Исходн.данные.!$AL257&gt;0,VLOOKUP(Расчет!$CH257,АшламаДВ_Irekle,2,FALSE),VLOOKUP(Расчет!$CH257,АшламаДВ_Gomumy,2,FALSE)))</f>
        <v>0.12</v>
      </c>
      <c r="CJ257" s="274">
        <f>IF(Расчет!$CH257="Нет","Нет",IF(Исходн.данные.!$AL257&gt;0,VLOOKUP(Расчет!$CH257,АшламаДВ_Irekle,3,FALSE),VLOOKUP(Расчет!$CH257,АшламаДВ_Gomumy,3,FALSE)))</f>
        <v>0.52</v>
      </c>
      <c r="CK257" s="274">
        <f>IF(Расчет!$CH257="Нет","Нет",IF(Исходн.данные.!$AL257&gt;0,VLOOKUP(Расчет!$CH257,АшламаДВ_Irekle,4,FALSE),VLOOKUP(Расчет!$CH257,АшламаДВ_Gomumy,4,FALSE)))</f>
        <v>0</v>
      </c>
      <c r="CL257" s="70"/>
      <c r="CM257" s="70"/>
      <c r="CN257" s="70"/>
      <c r="CO257" s="70"/>
      <c r="CP257" s="70"/>
      <c r="CQ257" s="70"/>
      <c r="CR257" s="10">
        <f t="shared" si="313"/>
        <v>0</v>
      </c>
      <c r="CS257" s="10">
        <f t="shared" si="314"/>
        <v>19.23076923076923</v>
      </c>
      <c r="CT257" s="10">
        <f t="shared" si="315"/>
        <v>0</v>
      </c>
      <c r="CU257" s="39">
        <f>IF($CH257="Нет",0,IF(CI257=0,30/MIN(CJ257:CK257),IF(Исходн.данные.!$AG257=$BV$11,CR257,IF(OR(Исходн.данные.!$AH257=$BQ$7,Исходн.данные.!$AH257=$BQ$8),90/CI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0,IF(Исходн.данные.!$AI257=$BU$11,"Нет",30/CI257))))))</f>
        <v>250</v>
      </c>
      <c r="CV257" s="39">
        <f>IF($CH257="Нет",0,IF(Исходн.данные.!AH257=0,0,IF(CJ257=0,60/MIN(CI257,CK257),IF(Исходн.данные.!$AG257=$BV$11,CS257,IF(OR(Исходн.данные.!$AH257=$BQ$7,Исходн.данные.!$AH257=$BQ$8),90/CJ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10/CJ257,IF(Исходн.данные.!$AI257=$BU$11,"Нет",60/CJ257)))))))</f>
        <v>0</v>
      </c>
      <c r="CW257" s="39">
        <f>IF($CH257="Нет",0,IF(Исходн.данные.!AH257=0,0,IF(CK257=0,30/MIN(CI257:CJ257),IF(Исходн.данные.!$AG257=$BV$11,CT257,IF(OR(Исходн.данные.!$AH257=$BQ$7,Исходн.данные.!$AH257=$BQ$8),90/CK257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0,IF(Исходн.данные.!$AI257=$BU$11,"Нет",30/CK257)))))))</f>
        <v>0</v>
      </c>
      <c r="CX257" s="133">
        <f>IF(Исходн.данные.!$AG257=$BV$11,MAX(CU257:CW257),IF(OR(Исходн.данные.!$AH257=$BS$8,Исходн.данные.!$AH257=$BQ$9,Исходн.данные.!$AH257=$BQ$10,Исходн.данные.!$AH257=$BQ$11,Исходн.данные.!$AH257=$BQ$12,Исходн.данные.!$AH257=$BP$3,Исходн.данные.!$AH257=$BT$8,$FM257="Да"),CV257,MIN(CU257:CW257)))</f>
        <v>0</v>
      </c>
      <c r="CY257" s="133">
        <f>IF(Исходн.данные.!AH257=0,0,IF(CR257&gt;$CX257,$CX257,CR257))</f>
        <v>0</v>
      </c>
      <c r="CZ257" s="133">
        <f>IF(Исходн.данные.!AH257=0,0,IF(CS257&gt;$CX257,$CX257,CS257))</f>
        <v>0</v>
      </c>
      <c r="DA257" s="133">
        <f>IF(Исходн.данные.!AH257=0,0,IF(CT257&gt;$CX257,$CX257,CT257))</f>
        <v>0</v>
      </c>
      <c r="DB257" s="10">
        <f t="shared" si="316"/>
        <v>0</v>
      </c>
      <c r="DC257" s="39">
        <f>DB257*Исходн.данные.!AJ257/1000</f>
        <v>0</v>
      </c>
      <c r="DD257" s="71">
        <f t="shared" si="317"/>
        <v>0</v>
      </c>
      <c r="DE257" s="9">
        <f t="shared" si="318"/>
        <v>0</v>
      </c>
      <c r="DF257" s="9">
        <f t="shared" si="319"/>
        <v>0</v>
      </c>
      <c r="DG257" s="39">
        <f>IF(BL257&lt;0,0,IF($CH257="Нет",BL257,IF(OR(Исходн.данные.!$AH257=$BP$1,Исходн.данные.!$AH257=$BP$2),0,IF(Исходн.данные.!AI257=$BU$11,BL257,IF(BL257-DD257&lt;0,0,BL257-DD257)))))</f>
        <v>0</v>
      </c>
      <c r="DH257" s="39">
        <f>IF(BM257&lt;0,0,IF($CH257="Нет",BM257,IF(OR(Исходн.данные.!$AH257=$BP$1,Исходн.данные.!$AH257=$BP$2),0,IF(Исходн.данные.!AJ257=$BU$11,BM257,IF(BM257-DE257&lt;0,0,BM257-DE257)))))</f>
        <v>0</v>
      </c>
      <c r="DI257" s="39">
        <f>IF(BN257&lt;0,0,IF($CH257="Нет",BN257,IF(OR(Исходн.данные.!$AH257=$BP$1,Исходн.данные.!$AH257=$BP$2),0,IF(Исходн.данные.!AK257=$BU$11,BN257,IF(BN257-DF257&lt;0,0,BN257-DF257)))))</f>
        <v>0</v>
      </c>
      <c r="DJ257" s="12">
        <f t="shared" si="320"/>
        <v>0</v>
      </c>
      <c r="DK257" s="9">
        <f t="shared" si="321"/>
        <v>0</v>
      </c>
      <c r="DL257" s="39">
        <f>IF(Исходн.данные.!AM257&gt;0,Исходн.данные.!AM257,IF(EG257&gt;0,$BH$10,0))</f>
        <v>0</v>
      </c>
      <c r="DM257" s="186">
        <f>IF($DL257=0,0,IF(Исходн.данные.!AM257&gt;0,VLOOKUP($DL257,АшламаДВ_Irekle,2,FALSE),VLOOKUP($DL257,АшламаДВ_Gomumy,2,FALSE)))</f>
        <v>0</v>
      </c>
      <c r="DN257" s="10">
        <f t="shared" si="299"/>
        <v>0</v>
      </c>
      <c r="DO257" s="9" t="str">
        <f>IF(Исходн.данные.!AN257&gt;0,Исходн.данные.!AN257,Удобрения!$B$37 )</f>
        <v>Хлор.калий</v>
      </c>
      <c r="DP257" s="9">
        <f>IF(Исходн.данные.!AN257&gt;0,VLOOKUP(Исходн.данные.!AN257,АшламаДВ_Irekle,4,FALSE),VLOOKUP(DO257,АшламаДВ_Gomumy,4,FALSE))</f>
        <v>0.6</v>
      </c>
      <c r="DQ257" s="10">
        <f t="shared" si="300"/>
        <v>0</v>
      </c>
      <c r="DR257" s="132" t="str">
        <f>IF(Исходн.данные.!AO257&gt;0,Исходн.данные.!AO257,IF(DH257=0,BS$17,IF(AND($DK257=0,$DJ257&gt;0),EJ257,EN257)))</f>
        <v>Нет</v>
      </c>
      <c r="DS257" s="70" t="str">
        <f>IF($DR257="Нет","Нет",IF(Исходн.данные.!$AO257&gt;0,VLOOKUP($DR257,АшламаДВ_Irekle,2,FALSE),VLOOKUP($DR257,АшламаДВ_Gomumy,2,FALSE)))</f>
        <v>Нет</v>
      </c>
      <c r="DT257" s="70" t="str">
        <f>IF($DR257="Нет","Нет",IF(Исходн.данные.!$AO257&gt;0,VLOOKUP($DR257,АшламаДВ_Irekle,3,FALSE),VLOOKUP($DR257,АшламаДВ_Gomumy,3,FALSE)))</f>
        <v>Нет</v>
      </c>
      <c r="DU257" s="70" t="str">
        <f>IF($DR257="Нет","Нет",IF(Исходн.данные.!$AO257&gt;0,VLOOKUP($DR257,АшламаДВ_Irekle,4,FALSE),VLOOKUP($DR257,АшламаДВ_Gomumy,4,FALSE)))</f>
        <v>Нет</v>
      </c>
      <c r="DV257" s="70"/>
      <c r="DW257" s="70"/>
      <c r="DX257" s="70"/>
      <c r="DY257" s="10">
        <f t="shared" si="322"/>
        <v>0</v>
      </c>
      <c r="DZ257" s="10">
        <f t="shared" si="323"/>
        <v>0</v>
      </c>
      <c r="EA257" s="10">
        <f t="shared" si="324"/>
        <v>0</v>
      </c>
      <c r="EB257" s="10">
        <f t="shared" si="325"/>
        <v>0</v>
      </c>
      <c r="EC257" s="10">
        <f t="shared" si="326"/>
        <v>0</v>
      </c>
      <c r="ED257" s="10">
        <f t="shared" si="327"/>
        <v>0</v>
      </c>
      <c r="EE257" s="10">
        <f t="shared" si="328"/>
        <v>0</v>
      </c>
      <c r="EF257" s="39">
        <f>EB257*Исходн.данные.!AJ257/1000</f>
        <v>0</v>
      </c>
      <c r="EG257" s="9">
        <f t="shared" si="329"/>
        <v>0</v>
      </c>
      <c r="EH257" s="9">
        <f t="shared" si="330"/>
        <v>0</v>
      </c>
      <c r="EI257" s="39" t="e">
        <f t="shared" si="280"/>
        <v>#DIV/0!</v>
      </c>
      <c r="EJ257" s="9" t="str">
        <f t="shared" si="301"/>
        <v>Азопреципитат</v>
      </c>
      <c r="EK257" s="12">
        <f t="shared" si="281"/>
        <v>0.26</v>
      </c>
      <c r="EL257" s="12">
        <f t="shared" si="282"/>
        <v>0.13</v>
      </c>
      <c r="EM257" s="12">
        <f t="shared" si="283"/>
        <v>0</v>
      </c>
      <c r="EN257" s="12" t="str">
        <f t="shared" si="302"/>
        <v>Нет</v>
      </c>
      <c r="EO257" s="12">
        <f t="shared" si="284"/>
        <v>0</v>
      </c>
      <c r="EP257" s="12">
        <f t="shared" si="285"/>
        <v>0</v>
      </c>
      <c r="EQ257" s="12">
        <f t="shared" si="286"/>
        <v>0</v>
      </c>
      <c r="ER257" s="12" t="str">
        <f t="shared" si="331"/>
        <v>Диаммофоска</v>
      </c>
      <c r="ES257" s="12">
        <f t="shared" si="287"/>
        <v>0.1</v>
      </c>
      <c r="ET257" s="12">
        <f t="shared" si="288"/>
        <v>0.26</v>
      </c>
      <c r="EU257" s="12">
        <f t="shared" si="289"/>
        <v>0.26</v>
      </c>
      <c r="EV257" s="12" t="str">
        <f t="shared" si="332"/>
        <v>Аммофос 12:52:00</v>
      </c>
      <c r="EW257" s="12" t="str">
        <f t="shared" si="333"/>
        <v>Кемира Свекловичное-6</v>
      </c>
      <c r="EX257" s="12">
        <f t="shared" si="290"/>
        <v>0.16</v>
      </c>
      <c r="EY257" s="12">
        <f t="shared" si="291"/>
        <v>0.12</v>
      </c>
      <c r="EZ257" s="12">
        <f t="shared" si="292"/>
        <v>0.17</v>
      </c>
      <c r="FA257" s="38" t="e">
        <f>IF(AND(OR(FJ257=$FD$1,FM257=$FD$1,FO257=$FD$1,FQ257=$FD$1,FS257=$FD$1),FD257=$FD$1,Исходн.данные.!J257&lt;2,FU257=$FD$1),"Бор,Кобальт",IF(AND(FO257=$FD$1,FH257=$FD$1,Исходн.данные.!J257&lt;2,FU257=$FD$1),"Бор,Кобальт",IF(AND(OR(FJ257=$FD$1,FM257=$FD$1,FQ257=$FD$1),FE257=$FD$1,Исходн.данные.!J257&lt;2,FT257=$FD$1,FU257=$FD$1),"Бор,Медь,Цинк",IF(AND(OR(FJ257=$FD$1,FR257="Да"),FI257="Да",Исходн.данные.!J257&lt;2,FT257="Да",FU257="Да"),"Бор,Цинк,Медь",IF(AND(OR(FM257="Да",FQ257="Да"),FI257="Да",Исходн.данные.!J257&lt;2,FT257="Да",FU257="Да"),"Бор,Цинк",IF(AND(FN257="Да",OR(FD257="Да",FE257="Да")),"Бор",FB257))))))</f>
        <v>#N/A</v>
      </c>
      <c r="FB257" s="134" t="e">
        <f>IF(AND(OR(FD257="Да",FE257="Да",FF257="Да",FG257="Да",FH257="Да"),FO257="Да"),"Бор",IF(AND(FP257="Да",OR(FD257="Да",FE257="Да",FI257="Да")),"Бор",IF(AND(FS257="Да",FE257="Да"),"Бор,Медь",IF(AND(OR(FJ257="Да",FK257="Да",FL257="Да"),FE257="Да",Исходн.данные.!I257&lt;5,FT257="Да",FU257="Да"),"Молибден,Цинк",IF(AND(FM257="Да",OR(FE257="Да",FF257="Да",FG257="Да",FH257="Да",FI257="Да")),"Молибден,Цинк",IF(AND(OR(FJ257="Да",FK257="Да",FL257="Да",FM257="Да",FQ257="Да"),OR(FE257="Да",FF257="Да"),FT257="Да",FU257="Да",Исходн.данные.!I257&gt;5.5),"Медь,Цинк",FC257))))))</f>
        <v>#N/A</v>
      </c>
      <c r="FC257" s="23" t="e">
        <f t="shared" si="334"/>
        <v>#N/A</v>
      </c>
      <c r="FD257" s="38" t="str">
        <f>IF(OR(Исходн.данные.!F257=$CC$1,Исходн.данные.!F257=$CC$2,Исходн.данные.!F257=$CC$3,Исходн.данные.!F257=$CC$4),"Да","Нет")</f>
        <v>Нет</v>
      </c>
      <c r="FE257" s="38" t="str">
        <f>IF(Исходн.данные.!F257=$CC$5,"Да","Нет")</f>
        <v>Нет</v>
      </c>
      <c r="FF257" s="38" t="str">
        <f>IF(OR(Исходн.данные.!F257=$CC$6,Исходн.данные.!F257=$CC$7),"Да","Нет")</f>
        <v>Нет</v>
      </c>
      <c r="FG257" s="38" t="str">
        <f>IF(OR(Исходн.данные.!F257=$CC$8,Исходн.данные.!F257=$CC$9),"Да","Нет")</f>
        <v>Нет</v>
      </c>
      <c r="FH257" s="38" t="str">
        <f>IF(Исходн.данные.!F257=$CC$10,"Да","Нет")</f>
        <v>Нет</v>
      </c>
      <c r="FI257" s="38" t="str">
        <f>IF(OR(Исходн.данные.!F257=$CC$11,Исходн.данные.!F257=$CC$12),"Да","Нет")</f>
        <v>Нет</v>
      </c>
      <c r="FJ257" s="38" t="str">
        <f>IF(OR(Исходн.данные.!AH257=$BS$1,Исходн.данные.!AH257=$BQ$11,Исходн.данные.!AH257=$BQ$12),"Да","Нет")</f>
        <v>Нет</v>
      </c>
      <c r="FK257" s="38" t="str">
        <f>IF(OR(Исходн.данные.!AH257=$BS$2,Исходн.данные.!AH257=$BS$4),"Да","Нет")</f>
        <v>Нет</v>
      </c>
      <c r="FL257" s="38" t="str">
        <f>IF(OR(Исходн.данные.!AH257=$BS$3,Исходн.данные.!AH257=$BS$5),"Да","Нет")</f>
        <v>Нет</v>
      </c>
      <c r="FM257" s="38" t="str">
        <f>IF(OR(Исходн.данные.!AH257=$BS$9,Исходн.данные.!AH257=$BS$10,Исходн.данные.!AH257=$BS$11,Исходн.данные.!AH257=$BS$12),"Да","Нет")</f>
        <v>Нет</v>
      </c>
      <c r="FN257" s="38" t="str">
        <f>IF(OR(Исходн.данные.!AH257=$BS$6,Исходн.данные.!AH257=$BP$3),"Да","Нет")</f>
        <v>Нет</v>
      </c>
      <c r="FO257" s="38" t="str">
        <f>IF(Исходн.данные.!AH257=$BQ$9,"Да","Нет")</f>
        <v>Нет</v>
      </c>
      <c r="FP257" s="38" t="str">
        <f>IF(OR(Исходн.данные.!AH257=$BS$8,Исходн.данные.!AH257=$BT$8),"Да","Нет")</f>
        <v>Нет</v>
      </c>
      <c r="FQ257" s="38" t="str">
        <f>IF(OR(Исходн.данные.!AH257=$BQ$7,Исходн.данные.!AH257=$BQ$8),"Да","Нет")</f>
        <v>Нет</v>
      </c>
      <c r="FR257" s="38" t="str">
        <f>IF(Исходн.данные.!AI257=$BU$9,"Да","Нет")</f>
        <v>Нет</v>
      </c>
      <c r="FS257" s="38" t="str">
        <f>IF(OR(Исходн.данные.!AH257=$BP$1,Исходн.данные.!AH257=$BP$2),"Да","Нет")</f>
        <v>Нет</v>
      </c>
      <c r="FT257" s="38" t="e">
        <f>IF((Исходн.данные.!K257*GO257*GS257*GW257+BL257*0.6+Исходн.данные.!Q257*4.5*0.275)&gt;90,"Да","Нет")</f>
        <v>#N/A</v>
      </c>
      <c r="FU257" s="38" t="e">
        <f>IF((Исходн.данные.!M257*GS257*GZ257+BM257*0.225)&gt;35,"Да","Нет")</f>
        <v>#N/A</v>
      </c>
      <c r="FV257" s="38" t="str">
        <f>IF(Исходн.данные.!O257&gt;175,"Да","Нет")</f>
        <v>Нет</v>
      </c>
      <c r="FW257" s="39" t="str">
        <f>IF(Исходн.данные.!I257&gt;5.5,"Да","Нет")</f>
        <v>Нет</v>
      </c>
      <c r="FX257" s="39" t="str">
        <f>IF(Исходн.данные.!J257&lt;2,"Да","Нет")</f>
        <v>Да</v>
      </c>
      <c r="FY257" s="39" t="e">
        <f>IF(HF257=$FY$16,0,Исходн.данные.!K257*GO257*GS257*GW257/HF257)</f>
        <v>#N/A</v>
      </c>
      <c r="FZ257" s="39" t="e">
        <f>Исходн.данные.!M257*GS257*GZ257/HG257</f>
        <v>#N/A</v>
      </c>
      <c r="GA257" s="39" t="e">
        <f>IF(K_Wyn=$FY$16,0,IF(Исходн.данные.!N257=Исходн.данные.!$L$10,Исходн.данные.!O257/1.1*GS257*HC257/HH257,IF(Исходн.данные.!N257=Исходн.данные.!$L$12,Исходн.данные.!O257/1.5*GS257*HC257/HH257,Исходн.данные.!O257*GS257*HC257/HH257)))</f>
        <v>#N/A</v>
      </c>
      <c r="GB257" s="39" t="e">
        <f>IF(HF257=$FY$16,0,((Исходн.данные.!Q257*N_Org+Исходн.данные.!R257*N_Sider+Исходн.данные.!S257*N_Soloma)*AO257+Расчет!BC257*VLOOKUP(Исходн.данные.!T257,Справ!$A$3:$O$57,15)*AO257+BB257*VLOOKUP(Исходн.данные.!T257,Справ!$A$3:$O$57,15)*AL257+(Исходн.данные.!V257*N_Rizotorf+Исходн.данные.!W257*N_Rizoagr))/HF257)</f>
        <v>#N/A</v>
      </c>
      <c r="GC257" s="39" t="e">
        <f>IF(HG257=$FY$16,0,((Исходн.данные.!Q257*Р_Org+Исходн.данные.!R257*P_Sider+Исходн.данные.!S257*P_Soloma)*AP257+Расчет!BC257*VLOOKUP(Исходн.данные.!T257,Справ!$A$3:$P$57,16)*AP257+BB257*VLOOKUP(Исходн.данные.!T257,Справ!$A$3:$P$57,16)*AM257)/HG257)</f>
        <v>#N/A</v>
      </c>
      <c r="GD257" s="39" t="e">
        <f>IF(HH257=$FY$16,0,((Исходн.данные.!Q257*К_Org+Исходн.данные.!R257*K_Sider+Исходн.данные.!S257*K_Soloma)*AQ257+Расчет!BC257*VLOOKUP(Исходн.данные.!T257,Справ!$A$3:$Q$57,17)*AQ257+BB257*VLOOKUP(Исходн.данные.!T257,Справ!$A$3:$Q$57,17)*AN257)/HH257)</f>
        <v>#N/A</v>
      </c>
      <c r="GE257" s="39" t="e">
        <f>IF(HF257=$FY$16,0,(Исходн.данные.!X257*AR257+Исходн.данные.!AA257*N_Org*AL257+Исходн.данные.!AB257*N_Sider*AL257+Исходн.данные.!AC257*N_Soloma*AL257)/HF257)</f>
        <v>#N/A</v>
      </c>
      <c r="GF257" s="39" t="e">
        <f>IF(HG257=$FY$16,0,(Исходн.данные.!Y257*AS257+Исходн.данные.!AA257*Р_Org*AM257+Исходн.данные.!AB257*P_Sider*AM257+Исходн.данные.!AC257*P_Soloma*AM257)/HG257)</f>
        <v>#N/A</v>
      </c>
      <c r="GG257" s="39" t="e">
        <f>IF(HH257=$FY$16,0,(Исходн.данные.!Z257*AT257+Исходн.данные.!AA257*К_Org*AN257+Исходн.данные.!AB257*K_Sider*AN257+Исходн.данные.!AC257*K_Soloma*AN257)/HH257)</f>
        <v>#N/A</v>
      </c>
      <c r="GH257" s="39" t="e">
        <f>Исходн.данные.!AD257*AU257/HF257</f>
        <v>#N/A</v>
      </c>
      <c r="GI257" s="39" t="e">
        <f>Исходн.данные.!AE257*AV257/HG257</f>
        <v>#N/A</v>
      </c>
      <c r="GJ257" s="39" t="e">
        <f>Исходн.данные.!AF257*AW257/HH257</f>
        <v>#N/A</v>
      </c>
      <c r="GK257" s="55">
        <f>Исходн.данные.!AK257</f>
        <v>0</v>
      </c>
      <c r="GL257" s="11" t="e">
        <f t="shared" si="335"/>
        <v>#N/A</v>
      </c>
      <c r="GM257" s="11" t="e">
        <f t="shared" si="336"/>
        <v>#N/A</v>
      </c>
      <c r="GN257" s="11" t="e">
        <f t="shared" si="337"/>
        <v>#N/A</v>
      </c>
      <c r="GO257" s="57">
        <f t="shared" si="338"/>
        <v>19</v>
      </c>
      <c r="GP257" s="55">
        <f>IF(OR(Исходн.данные.!F257=$CE$1,Исходн.данные.!F257=$CE$2,Исходн.данные.!F257=$CE$3,Исходн.данные.!F257=$CE$4,Исходн.данные.!F257=$CE$5),GQ257,GR257)</f>
        <v>19</v>
      </c>
      <c r="GQ257" s="55">
        <f>IF(Исходн.данные.!F257=$CE$1,28,IF(Исходн.данные.!F257=$CE$2,26,IF(Исходн.данные.!F257=$CE$3,24,IF(Исходн.данные.!F257=$CE$4,22,IF(Исходн.данные.!F257=$CE$5,20,GR257)))))</f>
        <v>19</v>
      </c>
      <c r="GR257" s="55">
        <f>IF(Исходн.данные.!F257=$CE$6,18,IF(Исходн.данные.!F257=$CE$7,16,IF(Исходн.данные.!F257=$CE$8,14,IF(Исходн.данные.!F257=$CE$9,13,IF(Исходн.данные.!F257=$CE$10,12,19)))))</f>
        <v>19</v>
      </c>
      <c r="GS257" s="55">
        <f>IF(Исходн.данные.!G257="Пес",0.035*(40+2*Исходн.данные.!H257),IF(Исходн.данные.!G257="Суп",0.0325*(40+2*Исходн.данные.!H257),0.03*(40+2*Исходн.данные.!H257)))</f>
        <v>1.2</v>
      </c>
      <c r="GT257" s="55">
        <f>IF(Исходн.данные.!H257&lt;23,2.6,IF(AND(Исходн.данные.!H257&gt;22,Исходн.данные.!H257&lt;26),3,IF(AND(Исходн.данные.!H257&gt;25,Исходн.данные.!H257&lt;29),3.4,3.6)))</f>
        <v>2.6</v>
      </c>
      <c r="GU257" s="55">
        <f>IF(Исходн.данные.!H257&lt;23,2.8,IF(AND(Исходн.данные.!H257&gt;22,Исходн.данные.!H257&lt;26),3.2,IF(AND(Исходн.данные.!H257&gt;25,Исходн.данные.!H257&lt;29),3.6,3.9)))</f>
        <v>2.8</v>
      </c>
      <c r="GV257" s="55">
        <f>IF(Исходн.данные.!H257&lt;23,3,IF(AND(Исходн.данные.!H257&gt;22,Исходн.данные.!H257&lt;26),3.5,IF(AND(Исходн.данные.!H257&gt;25,Исходн.данные.!H257&lt;29),3.9,4.2)))</f>
        <v>3</v>
      </c>
      <c r="GW257" s="55" t="e">
        <f>IF(Исходн.данные.!P257="Ум",GX257,GY257)</f>
        <v>#N/A</v>
      </c>
      <c r="GX257" s="55" t="e">
        <f>VLOOKUP(Исходн.данные.!AI257,Коэффициенты!$J$7:$L$13,2,FALSE)</f>
        <v>#N/A</v>
      </c>
      <c r="GY257" s="55" t="e">
        <f>VLOOKUP(Исходн.данные.!AI257,Коэффициенты!$J$7:$L$13,3,FALSE)</f>
        <v>#N/A</v>
      </c>
      <c r="GZ257" s="55" t="e">
        <f>(IF(Исходн.данные.!M257&lt;50,0.11*VLOOKUP(Исходн.данные.!AH257,Культуры.Информация,7,FALSE),IF(Исходн.данные.!M257&gt;250,0.05*VLOOKUP(Исходн.данные.!AH257,Культуры.Информация,7,FALSE),VLOOKUP(Исходн.данные.!AH257,Культуры.Информация,5,FALSE)/100*($GX$6+$GY$6*Исходн.данные.!M257))))*Расчет2!AI257</f>
        <v>#N/A</v>
      </c>
      <c r="HA257" s="211"/>
      <c r="HB257" s="211"/>
      <c r="HC257" s="55" t="e">
        <f>(IF(Исходн.данные.!O257&lt;80,0.2*VLOOKUP(Исходн.данные.!AH257,Культуры.Информация,8,FALSE),IF(Исходн.данные.!O257&gt;240,0.09*VLOOKUP(Исходн.данные.!AH257,Культуры.Информация,8,FALSE),VLOOKUP(Исходн.данные.!AH257,Культуры.Информация,6,FALSE)/100*($HB$6+$HC$6*Исходн.данные.!O257))))*Расчет2!AJ257</f>
        <v>#N/A</v>
      </c>
      <c r="HD257" s="55">
        <f>IF(Исходн.данные.!O257&gt;240,0.09,IF(Исходн.данные.!O257&lt;30,0.3,$HE$10+$HD$10*Исходн.данные.!O257))</f>
        <v>0.3</v>
      </c>
      <c r="HE257" s="55">
        <f>IF(Исходн.данные.!O257&gt;240,0.17,IF(Исходн.данные.!O257&lt;30,0.5,$HF$12+$HE$12*Исходн.данные.!O257))</f>
        <v>0.5</v>
      </c>
      <c r="HF257" s="55" t="e">
        <f>VLOOKUP(Исходн.данные.!AH257,Справ!$A$3:$D$58,2,FALSE)</f>
        <v>#N/A</v>
      </c>
      <c r="HG257" s="55" t="e">
        <f>VLOOKUP(Исходн.данные.!AH257,Справ!$A$3:$D$58,3,FALSE)</f>
        <v>#N/A</v>
      </c>
      <c r="HH257" s="55" t="e">
        <f>VLOOKUP(Исходн.данные.!AH257,Справ!$A$3:$D$58,4,FALSE)</f>
        <v>#N/A</v>
      </c>
      <c r="HI257" s="11" t="e">
        <f t="shared" si="339"/>
        <v>#N/A</v>
      </c>
      <c r="HJ257" s="11" t="e">
        <f t="shared" si="340"/>
        <v>#N/A</v>
      </c>
      <c r="HK257" s="11" t="e">
        <f t="shared" si="341"/>
        <v>#N/A</v>
      </c>
      <c r="HL257" s="55">
        <f>IF(OR(Исходн.данные.!G257="Глин",Исходн.данные.!G257="Т_суг"),1.1,IF(Исходн.данные.!G257="Ср_суг",1,1))</f>
        <v>1</v>
      </c>
      <c r="HM257" s="55">
        <f>IF(OR(Исходн.данные.!G257="Глин",Исходн.данные.!G257="Т_суг"),0.9,IF(Исходн.данные.!G257="Ср_суг",1,1.2))</f>
        <v>1.2</v>
      </c>
      <c r="HN257" s="11" t="e">
        <f t="shared" si="342"/>
        <v>#N/A</v>
      </c>
      <c r="HO257" s="11" t="e">
        <f t="shared" si="343"/>
        <v>#N/A</v>
      </c>
      <c r="HP257" s="11" t="e">
        <f t="shared" si="344"/>
        <v>#N/A</v>
      </c>
      <c r="HQ257" t="e">
        <f t="shared" si="345"/>
        <v>#N/A</v>
      </c>
      <c r="HR257" t="e">
        <f t="shared" si="346"/>
        <v>#N/A</v>
      </c>
      <c r="HS257" t="e">
        <f t="shared" si="347"/>
        <v>#N/A</v>
      </c>
      <c r="HT257" t="e">
        <f t="shared" si="293"/>
        <v>#N/A</v>
      </c>
      <c r="HU257" t="e">
        <f t="shared" si="294"/>
        <v>#N/A</v>
      </c>
      <c r="HV257" t="e">
        <f t="shared" si="295"/>
        <v>#N/A</v>
      </c>
      <c r="HW257" t="e">
        <f t="shared" si="296"/>
        <v>#N/A</v>
      </c>
      <c r="HX257" t="e">
        <f t="shared" si="297"/>
        <v>#N/A</v>
      </c>
      <c r="HY257" t="e">
        <f t="shared" si="298"/>
        <v>#N/A</v>
      </c>
      <c r="HZ257" s="55">
        <f>IF(OR(Исходн.данные.!AI257="Оз_Ч_П",Исходн.данные.!AI257="Оз_З_П",Исходн.данные.!AI257="Яр_зер"),12,30)</f>
        <v>30</v>
      </c>
      <c r="IA257" t="e">
        <f t="shared" si="348"/>
        <v>#N/A</v>
      </c>
      <c r="IB257" t="e">
        <f t="shared" si="349"/>
        <v>#N/A</v>
      </c>
      <c r="IC257" t="e">
        <f t="shared" si="350"/>
        <v>#N/A</v>
      </c>
      <c r="ID257" s="11" t="e">
        <f t="shared" si="351"/>
        <v>#N/A</v>
      </c>
      <c r="IE257" s="11" t="e">
        <f t="shared" si="352"/>
        <v>#N/A</v>
      </c>
      <c r="IF257" s="11" t="e">
        <f t="shared" si="353"/>
        <v>#N/A</v>
      </c>
    </row>
    <row r="258" spans="35:240" x14ac:dyDescent="0.2">
      <c r="AI258">
        <f>IF(Исходн.данные.!I258&gt;6,1,1.85-(0.148*Исходн.данные.!I258))</f>
        <v>1.85</v>
      </c>
      <c r="AJ258">
        <f>IF(Исходн.данные.!I258&gt;6,1,2.434-(0.246*Исходн.данные.!I258))</f>
        <v>2.4340000000000002</v>
      </c>
      <c r="AL258" s="148" t="b">
        <f>IF(Исходн.данные.!$P258="Ум",N_OrgUd_2g_um,IF(Исходн.данные.!$P258="Об",N_OrgUd_2g_ob))</f>
        <v>0</v>
      </c>
      <c r="AM258" s="148" t="b">
        <f>IF(Исходн.данные.!$P258="Ум",P_OrgUd_2g_um,IF(Исходн.данные.!$P258="Об",P_OrgUd_2g_ob))</f>
        <v>0</v>
      </c>
      <c r="AN258" s="148" t="b">
        <f>IF(Исходн.данные.!$P258="Ум",K_OrgUd_2g_um,IF(Исходн.данные.!$P258="Об",K_OrgUd_2g_ob))</f>
        <v>0</v>
      </c>
      <c r="AO258" s="148" t="b">
        <f>IF(Исходн.данные.!$P258="Ум",N_OrgUd_1g_um,IF(Исходн.данные.!$P258="Об",N_OrgUd_1g_ob))</f>
        <v>0</v>
      </c>
      <c r="AP258" s="148" t="b">
        <f>IF(Исходн.данные.!$P258="Ум",P_OrgUd_1g_um,IF(Исходн.данные.!$P258="Об",P_OrgUd_1g_ob))</f>
        <v>0</v>
      </c>
      <c r="AQ258" s="148" t="b">
        <f>IF(Исходн.данные.!$P258="Ум",K_OrgUd_1g_um,IF(Исходн.данные.!$P258="Об",K_OrgUd_1g_ob))</f>
        <v>0</v>
      </c>
      <c r="AR258" t="b">
        <f>IF(Исходн.данные.!$P258="Ум",N_MinUd_2g_um,IF(Исходн.данные.!$P258="Об",N_MinUd_2g_ob))</f>
        <v>0</v>
      </c>
      <c r="AS258" t="b">
        <f>IF(Исходн.данные.!$P258="Ум",P_MinUd_2g_um,IF(Исходн.данные.!$P258="Об",P_MinUd_2g_ob))</f>
        <v>0</v>
      </c>
      <c r="AT258" t="b">
        <f>IF(Исходн.данные.!$P258="Ум",K_MinUd_2g_um,IF(Исходн.данные.!$P258="Об",K_MinUd_2g_ob))</f>
        <v>0</v>
      </c>
      <c r="AU258" t="b">
        <f>IF(Исходн.данные.!$P258="Ум",N_MinUd_1g_um,IF(Исходн.данные.!$P258="Об",N_MinUd_1g_ob))</f>
        <v>0</v>
      </c>
      <c r="AV258" t="b">
        <f>IF(Исходн.данные.!P258="Ум",P_MinUd_1g_um,IF(Исходн.данные.!P258="Об",P_MinUd_1g_ob))</f>
        <v>0</v>
      </c>
      <c r="AW258" t="b">
        <f>IF(Исходн.данные.!P258="Ум",K_MinUd_1g_um,IF(Исходн.данные.!P258="Об",K_MinUd_1g_ob))</f>
        <v>0</v>
      </c>
      <c r="AY258" t="e">
        <f>VLOOKUP(Исходн.данные.!T258,Справ!$A$3:$N$57,12)</f>
        <v>#N/A</v>
      </c>
      <c r="AZ258" t="e">
        <f>VLOOKUP(Исходн.данные.!T258,Справ!$A$3:$N$57,13)</f>
        <v>#N/A</v>
      </c>
      <c r="BA258" t="e">
        <f>VLOOKUP(Исходн.данные.!T258,Справ!$A$3:$N$57,14)</f>
        <v>#N/A</v>
      </c>
      <c r="BB258">
        <f>IF(Исходн.данные.!AH258=0,0,25)</f>
        <v>0</v>
      </c>
      <c r="BC258" s="141">
        <f>IF(Исходн.данные.!AH258=0,0,IF(Исходн.данные.!T258=0,25,BD258))</f>
        <v>0</v>
      </c>
      <c r="BD258" s="168" t="e">
        <f>AY258+AZ258*Исходн.данные.!U258-POWER(BA258,2)*Исходн.данные.!U258</f>
        <v>#N/A</v>
      </c>
      <c r="BE25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8" s="25">
        <f>IF(Исходн.данные.!AH258=0,0,MIN(HN258:HP258))</f>
        <v>0</v>
      </c>
      <c r="BG258" s="9">
        <f>IF(Исходн.данные.!AH258=0,0,IF((HO258+10*0.25/HG258/HL258)&lt;17,17,HO258+10*0.25/HG258/HL258))</f>
        <v>0</v>
      </c>
      <c r="BH258" s="181">
        <f>IF(Исходн.данные.!AH258=0,0,HW258*HF258*HL258/AU258*AI258+Исходн.данные.!S258*10)</f>
        <v>0</v>
      </c>
      <c r="BI258" s="10"/>
      <c r="BJ258" s="182">
        <f>IF(Исходн.данные.!AH258=0,0,IF(HX258*HG258*HL258/AV258&lt;0,0,HX258*HG258*HL258/AV258*AJ258))</f>
        <v>0</v>
      </c>
      <c r="BK258" s="182">
        <f>IF(Исходн.данные.!AH258=0,0,HY258*HH258*HM258/AW258)</f>
        <v>0</v>
      </c>
      <c r="BL258" s="10">
        <f>IF(OR(Исходн.данные.!$AH258=$BP$1,Исходн.данные.!$AH258=$BP$2),0,IF(BH258&lt;0,0,IF(OR(Исходн.данные.!T258=Расчет!$BP$1,Исходн.данные.!T258=Расчет!$BP$2,Исходн.данные.!T258=Расчет!$BT$5,Исходн.данные.!T258=Расчет!$BT$6),BH258*0.5,IF(OR(Исходн.данные.!T258=Расчет!$BS$9,Исходн.данные.!T258=Расчет!$BS$10,Исходн.данные.!T258=Расчет!$BS$11,Исходн.данные.!T258=Расчет!$BS$12,Исходн.данные.!T258=Расчет!$BP$5),BH258*0.8,BH258))))</f>
        <v>0</v>
      </c>
      <c r="BM258" s="10">
        <f>IF(OR(Исходн.данные.!$AH258=$BP$1,Исходн.данные.!$AH258=$BP$2),0,IF(BJ258&lt;0,0,IF(Исходн.данные.!I258&lt;4.5,BJ258*1.2,IF(Исходн.данные.!I258&gt;5.1,BJ258,BJ258*((5.1-Исходн.данные.!I258)*0.333+1)))))</f>
        <v>0</v>
      </c>
      <c r="BN258" s="10">
        <f>IF(OR(Исходн.данные.!$AH258=$BP$1,Исходн.данные.!$AH258=$BP$2),60-Исходн.данные.!AF258,IF(BK258&lt;0,0,IF(Исходн.данные.!I258&lt;4.5,BK258*1.2,IF(Исходн.данные.!I258&gt;5.1,BK258,BK258*((5.1-Исходн.данные.!I258)*0.333+1)))))</f>
        <v>0</v>
      </c>
      <c r="BO258" s="9">
        <f>IF(BL258&lt;0,0,BL258*Исходн.данные.!$AJ258/1000)</f>
        <v>0</v>
      </c>
      <c r="BP258" s="9">
        <f>IF(BM258&lt;0,0,BM258*Исходн.данные.!$AJ258/1000)</f>
        <v>0</v>
      </c>
      <c r="BQ258" s="9">
        <f>IF(BN258&lt;0,0,BN258*Исходн.данные.!$AJ258/1000)</f>
        <v>0</v>
      </c>
      <c r="BR258" s="9">
        <f t="shared" si="303"/>
        <v>0</v>
      </c>
      <c r="BS258" s="10" t="str">
        <f t="shared" si="304"/>
        <v>Аммофос 12:52:00</v>
      </c>
      <c r="BT258" s="10" t="str">
        <f t="shared" si="305"/>
        <v>Аммофос 12:52:00</v>
      </c>
      <c r="BU258" s="10" t="str">
        <f t="shared" si="306"/>
        <v>Диаммофоска</v>
      </c>
      <c r="BV258" s="10">
        <f t="shared" si="307"/>
        <v>0</v>
      </c>
      <c r="BW258" s="10"/>
      <c r="BX258" s="10"/>
      <c r="BY258" s="9">
        <f>IF(BL258&lt;0,0,IF(OR(Исходн.данные.!AI258=Расчет!$BU$6,Исходн.данные.!AI258=Расчет!$BU$7),Расчет!BV258,IF(Исходн.данные.!$AG258=$BV$11,BL258,IF(OR(Исходн.данные.!$AH258=$BQ$7,Исходн.данные.!$AH258=$BQ$8),CB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0,IF(Исходн.данные.!$AI258=$BU$11,"Нет",IF(BL258&gt;30,30,BL258)))))))</f>
        <v>0</v>
      </c>
      <c r="BZ258" s="9">
        <f>IF(AND(Исходн.данные.!$AG258=$BV$11,BM258&lt;10),10,IF(Исходн.данные.!$AG258=$BV$11,BM258,IF(OR(Исходн.данные.!$AH258=$BQ$7,Исходн.данные.!$AH258=$BQ$8),CC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10,IF(Исходн.данные.!$AI258=$BU$11,"Нет",IF(BM258&gt;60,60,IF(BM258&lt;10,10,BM258)))))))</f>
        <v>10</v>
      </c>
      <c r="CA258" s="39">
        <f>IF(BN258&lt;0,0,IF(Исходн.данные.!$AG258=$BV$11,BN258,IF(OR(Исходн.данные.!$AH258=$BQ$7,Исходн.данные.!$AH258=$BQ$8),CD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0,IF(Исходн.данные.!$AI258=$BU$11,"Нет",IF(BN258&gt;30,30,BN258))))))</f>
        <v>0</v>
      </c>
      <c r="CB258" s="9">
        <f t="shared" si="308"/>
        <v>0</v>
      </c>
      <c r="CC258" s="9">
        <f t="shared" si="309"/>
        <v>0</v>
      </c>
      <c r="CD258" s="9">
        <f t="shared" si="310"/>
        <v>0</v>
      </c>
      <c r="CE258" s="12">
        <f t="shared" si="311"/>
        <v>10</v>
      </c>
      <c r="CF258" s="9">
        <f t="shared" si="312"/>
        <v>0</v>
      </c>
      <c r="CG258" s="9" t="s">
        <v>231</v>
      </c>
      <c r="CH258" s="132" t="str">
        <f>IF(Исходн.данные.!AP258=Расчет!$CI$16,"Нет",IF(Исходн.данные.!AL258&gt;0,Исходн.данные.!AL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BH$4,IF(OR(Исходн.данные.!AI258=Исходн.данные.!$AI$6,Исходн.данные.!AI258=Исходн.данные.!$AI$7),Расчет!BS258,IF(AND($CF258=0,$CE258&gt;0),EV258,ER258)))))</f>
        <v>Аммофос 12:52:00</v>
      </c>
      <c r="CI258" s="274">
        <f>IF(Расчет!$CH258="Нет","Нет",IF(Исходн.данные.!$AL258&gt;0,VLOOKUP(Расчет!$CH258,АшламаДВ_Irekle,2,FALSE),VLOOKUP(Расчет!$CH258,АшламаДВ_Gomumy,2,FALSE)))</f>
        <v>0.12</v>
      </c>
      <c r="CJ258" s="274">
        <f>IF(Расчет!$CH258="Нет","Нет",IF(Исходн.данные.!$AL258&gt;0,VLOOKUP(Расчет!$CH258,АшламаДВ_Irekle,3,FALSE),VLOOKUP(Расчет!$CH258,АшламаДВ_Gomumy,3,FALSE)))</f>
        <v>0.52</v>
      </c>
      <c r="CK258" s="274">
        <f>IF(Расчет!$CH258="Нет","Нет",IF(Исходн.данные.!$AL258&gt;0,VLOOKUP(Расчет!$CH258,АшламаДВ_Irekle,4,FALSE),VLOOKUP(Расчет!$CH258,АшламаДВ_Gomumy,4,FALSE)))</f>
        <v>0</v>
      </c>
      <c r="CL258" s="70"/>
      <c r="CM258" s="70"/>
      <c r="CN258" s="70"/>
      <c r="CO258" s="70"/>
      <c r="CP258" s="70"/>
      <c r="CQ258" s="70"/>
      <c r="CR258" s="10">
        <f t="shared" si="313"/>
        <v>0</v>
      </c>
      <c r="CS258" s="10">
        <f t="shared" si="314"/>
        <v>19.23076923076923</v>
      </c>
      <c r="CT258" s="10">
        <f t="shared" si="315"/>
        <v>0</v>
      </c>
      <c r="CU258" s="39">
        <f>IF($CH258="Нет",0,IF(CI258=0,30/MIN(CJ258:CK258),IF(Исходн.данные.!$AG258=$BV$11,CR258,IF(OR(Исходн.данные.!$AH258=$BQ$7,Исходн.данные.!$AH258=$BQ$8),90/CI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0,IF(Исходн.данные.!$AI258=$BU$11,"Нет",30/CI258))))))</f>
        <v>250</v>
      </c>
      <c r="CV258" s="39">
        <f>IF($CH258="Нет",0,IF(Исходн.данные.!AH258=0,0,IF(CJ258=0,60/MIN(CI258,CK258),IF(Исходн.данные.!$AG258=$BV$11,CS258,IF(OR(Исходн.данные.!$AH258=$BQ$7,Исходн.данные.!$AH258=$BQ$8),90/CJ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10/CJ258,IF(Исходн.данные.!$AI258=$BU$11,"Нет",60/CJ258)))))))</f>
        <v>0</v>
      </c>
      <c r="CW258" s="39">
        <f>IF($CH258="Нет",0,IF(Исходн.данные.!AH258=0,0,IF(CK258=0,30/MIN(CI258:CJ258),IF(Исходн.данные.!$AG258=$BV$11,CT258,IF(OR(Исходн.данные.!$AH258=$BQ$7,Исходн.данные.!$AH258=$BQ$8),90/CK258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0,IF(Исходн.данные.!$AI258=$BU$11,"Нет",30/CK258)))))))</f>
        <v>0</v>
      </c>
      <c r="CX258" s="133">
        <f>IF(Исходн.данные.!$AG258=$BV$11,MAX(CU258:CW258),IF(OR(Исходн.данные.!$AH258=$BS$8,Исходн.данные.!$AH258=$BQ$9,Исходн.данные.!$AH258=$BQ$10,Исходн.данные.!$AH258=$BQ$11,Исходн.данные.!$AH258=$BQ$12,Исходн.данные.!$AH258=$BP$3,Исходн.данные.!$AH258=$BT$8,$FM258="Да"),CV258,MIN(CU258:CW258)))</f>
        <v>0</v>
      </c>
      <c r="CY258" s="133">
        <f>IF(Исходн.данные.!AH258=0,0,IF(CR258&gt;$CX258,$CX258,CR258))</f>
        <v>0</v>
      </c>
      <c r="CZ258" s="133">
        <f>IF(Исходн.данные.!AH258=0,0,IF(CS258&gt;$CX258,$CX258,CS258))</f>
        <v>0</v>
      </c>
      <c r="DA258" s="133">
        <f>IF(Исходн.данные.!AH258=0,0,IF(CT258&gt;$CX258,$CX258,CT258))</f>
        <v>0</v>
      </c>
      <c r="DB258" s="10">
        <f t="shared" si="316"/>
        <v>0</v>
      </c>
      <c r="DC258" s="39">
        <f>DB258*Исходн.данные.!AJ258/1000</f>
        <v>0</v>
      </c>
      <c r="DD258" s="71">
        <f t="shared" si="317"/>
        <v>0</v>
      </c>
      <c r="DE258" s="9">
        <f t="shared" si="318"/>
        <v>0</v>
      </c>
      <c r="DF258" s="9">
        <f t="shared" si="319"/>
        <v>0</v>
      </c>
      <c r="DG258" s="39">
        <f>IF(BL258&lt;0,0,IF($CH258="Нет",BL258,IF(OR(Исходн.данные.!$AH258=$BP$1,Исходн.данные.!$AH258=$BP$2),0,IF(Исходн.данные.!AI258=$BU$11,BL258,IF(BL258-DD258&lt;0,0,BL258-DD258)))))</f>
        <v>0</v>
      </c>
      <c r="DH258" s="39">
        <f>IF(BM258&lt;0,0,IF($CH258="Нет",BM258,IF(OR(Исходн.данные.!$AH258=$BP$1,Исходн.данные.!$AH258=$BP$2),0,IF(Исходн.данные.!AJ258=$BU$11,BM258,IF(BM258-DE258&lt;0,0,BM258-DE258)))))</f>
        <v>0</v>
      </c>
      <c r="DI258" s="39">
        <f>IF(BN258&lt;0,0,IF($CH258="Нет",BN258,IF(OR(Исходн.данные.!$AH258=$BP$1,Исходн.данные.!$AH258=$BP$2),0,IF(Исходн.данные.!AK258=$BU$11,BN258,IF(BN258-DF258&lt;0,0,BN258-DF258)))))</f>
        <v>0</v>
      </c>
      <c r="DJ258" s="12">
        <f t="shared" si="320"/>
        <v>0</v>
      </c>
      <c r="DK258" s="9">
        <f t="shared" si="321"/>
        <v>0</v>
      </c>
      <c r="DL258" s="39">
        <f>IF(Исходн.данные.!AM258&gt;0,Исходн.данные.!AM258,IF(EG258&gt;0,$BH$10,0))</f>
        <v>0</v>
      </c>
      <c r="DM258" s="186">
        <f>IF($DL258=0,0,IF(Исходн.данные.!AM258&gt;0,VLOOKUP($DL258,АшламаДВ_Irekle,2,FALSE),VLOOKUP($DL258,АшламаДВ_Gomumy,2,FALSE)))</f>
        <v>0</v>
      </c>
      <c r="DN258" s="10">
        <f t="shared" si="299"/>
        <v>0</v>
      </c>
      <c r="DO258" s="9" t="str">
        <f>IF(Исходн.данные.!AN258&gt;0,Исходн.данные.!AN258,Удобрения!$B$37 )</f>
        <v>Хлор.калий</v>
      </c>
      <c r="DP258" s="9">
        <f>IF(Исходн.данные.!AN258&gt;0,VLOOKUP(Исходн.данные.!AN258,АшламаДВ_Irekle,4,FALSE),VLOOKUP(DO258,АшламаДВ_Gomumy,4,FALSE))</f>
        <v>0.6</v>
      </c>
      <c r="DQ258" s="10">
        <f t="shared" si="300"/>
        <v>0</v>
      </c>
      <c r="DR258" s="132" t="str">
        <f>IF(Исходн.данные.!AO258&gt;0,Исходн.данные.!AO258,IF(DH258=0,BS$17,IF(AND($DK258=0,$DJ258&gt;0),EJ258,EN258)))</f>
        <v>Нет</v>
      </c>
      <c r="DS258" s="70" t="str">
        <f>IF($DR258="Нет","Нет",IF(Исходн.данные.!$AO258&gt;0,VLOOKUP($DR258,АшламаДВ_Irekle,2,FALSE),VLOOKUP($DR258,АшламаДВ_Gomumy,2,FALSE)))</f>
        <v>Нет</v>
      </c>
      <c r="DT258" s="70" t="str">
        <f>IF($DR258="Нет","Нет",IF(Исходн.данные.!$AO258&gt;0,VLOOKUP($DR258,АшламаДВ_Irekle,3,FALSE),VLOOKUP($DR258,АшламаДВ_Gomumy,3,FALSE)))</f>
        <v>Нет</v>
      </c>
      <c r="DU258" s="70" t="str">
        <f>IF($DR258="Нет","Нет",IF(Исходн.данные.!$AO258&gt;0,VLOOKUP($DR258,АшламаДВ_Irekle,4,FALSE),VLOOKUP($DR258,АшламаДВ_Gomumy,4,FALSE)))</f>
        <v>Нет</v>
      </c>
      <c r="DV258" s="70"/>
      <c r="DW258" s="70"/>
      <c r="DX258" s="70"/>
      <c r="DY258" s="10">
        <f t="shared" si="322"/>
        <v>0</v>
      </c>
      <c r="DZ258" s="10">
        <f t="shared" si="323"/>
        <v>0</v>
      </c>
      <c r="EA258" s="10">
        <f t="shared" si="324"/>
        <v>0</v>
      </c>
      <c r="EB258" s="10">
        <f t="shared" si="325"/>
        <v>0</v>
      </c>
      <c r="EC258" s="10">
        <f t="shared" si="326"/>
        <v>0</v>
      </c>
      <c r="ED258" s="10">
        <f t="shared" si="327"/>
        <v>0</v>
      </c>
      <c r="EE258" s="10">
        <f t="shared" si="328"/>
        <v>0</v>
      </c>
      <c r="EF258" s="39">
        <f>EB258*Исходн.данные.!AJ258/1000</f>
        <v>0</v>
      </c>
      <c r="EG258" s="9">
        <f t="shared" si="329"/>
        <v>0</v>
      </c>
      <c r="EH258" s="9">
        <f t="shared" si="330"/>
        <v>0</v>
      </c>
      <c r="EI258" s="39" t="e">
        <f t="shared" si="280"/>
        <v>#DIV/0!</v>
      </c>
      <c r="EJ258" s="9" t="str">
        <f t="shared" si="301"/>
        <v>Азопреципитат</v>
      </c>
      <c r="EK258" s="12">
        <f t="shared" si="281"/>
        <v>0.26</v>
      </c>
      <c r="EL258" s="12">
        <f t="shared" si="282"/>
        <v>0.13</v>
      </c>
      <c r="EM258" s="12">
        <f t="shared" si="283"/>
        <v>0</v>
      </c>
      <c r="EN258" s="12" t="str">
        <f t="shared" si="302"/>
        <v>Нет</v>
      </c>
      <c r="EO258" s="12">
        <f t="shared" si="284"/>
        <v>0</v>
      </c>
      <c r="EP258" s="12">
        <f t="shared" si="285"/>
        <v>0</v>
      </c>
      <c r="EQ258" s="12">
        <f t="shared" si="286"/>
        <v>0</v>
      </c>
      <c r="ER258" s="12" t="str">
        <f t="shared" si="331"/>
        <v>Диаммофоска</v>
      </c>
      <c r="ES258" s="12">
        <f t="shared" si="287"/>
        <v>0.1</v>
      </c>
      <c r="ET258" s="12">
        <f t="shared" si="288"/>
        <v>0.26</v>
      </c>
      <c r="EU258" s="12">
        <f t="shared" si="289"/>
        <v>0.26</v>
      </c>
      <c r="EV258" s="12" t="str">
        <f t="shared" si="332"/>
        <v>Аммофос 12:52:00</v>
      </c>
      <c r="EW258" s="12" t="str">
        <f t="shared" si="333"/>
        <v>Кемира Свекловичное-6</v>
      </c>
      <c r="EX258" s="12">
        <f t="shared" si="290"/>
        <v>0.16</v>
      </c>
      <c r="EY258" s="12">
        <f t="shared" si="291"/>
        <v>0.12</v>
      </c>
      <c r="EZ258" s="12">
        <f t="shared" si="292"/>
        <v>0.17</v>
      </c>
      <c r="FA258" s="38" t="e">
        <f>IF(AND(OR(FJ258=$FD$1,FM258=$FD$1,FO258=$FD$1,FQ258=$FD$1,FS258=$FD$1),FD258=$FD$1,Исходн.данные.!J258&lt;2,FU258=$FD$1),"Бор,Кобальт",IF(AND(FO258=$FD$1,FH258=$FD$1,Исходн.данные.!J258&lt;2,FU258=$FD$1),"Бор,Кобальт",IF(AND(OR(FJ258=$FD$1,FM258=$FD$1,FQ258=$FD$1),FE258=$FD$1,Исходн.данные.!J258&lt;2,FT258=$FD$1,FU258=$FD$1),"Бор,Медь,Цинк",IF(AND(OR(FJ258=$FD$1,FR258="Да"),FI258="Да",Исходн.данные.!J258&lt;2,FT258="Да",FU258="Да"),"Бор,Цинк,Медь",IF(AND(OR(FM258="Да",FQ258="Да"),FI258="Да",Исходн.данные.!J258&lt;2,FT258="Да",FU258="Да"),"Бор,Цинк",IF(AND(FN258="Да",OR(FD258="Да",FE258="Да")),"Бор",FB258))))))</f>
        <v>#N/A</v>
      </c>
      <c r="FB258" s="134" t="e">
        <f>IF(AND(OR(FD258="Да",FE258="Да",FF258="Да",FG258="Да",FH258="Да"),FO258="Да"),"Бор",IF(AND(FP258="Да",OR(FD258="Да",FE258="Да",FI258="Да")),"Бор",IF(AND(FS258="Да",FE258="Да"),"Бор,Медь",IF(AND(OR(FJ258="Да",FK258="Да",FL258="Да"),FE258="Да",Исходн.данные.!I258&lt;5,FT258="Да",FU258="Да"),"Молибден,Цинк",IF(AND(FM258="Да",OR(FE258="Да",FF258="Да",FG258="Да",FH258="Да",FI258="Да")),"Молибден,Цинк",IF(AND(OR(FJ258="Да",FK258="Да",FL258="Да",FM258="Да",FQ258="Да"),OR(FE258="Да",FF258="Да"),FT258="Да",FU258="Да",Исходн.данные.!I258&gt;5.5),"Медь,Цинк",FC258))))))</f>
        <v>#N/A</v>
      </c>
      <c r="FC258" s="23" t="e">
        <f t="shared" si="334"/>
        <v>#N/A</v>
      </c>
      <c r="FD258" s="38" t="str">
        <f>IF(OR(Исходн.данные.!F258=$CC$1,Исходн.данные.!F258=$CC$2,Исходн.данные.!F258=$CC$3,Исходн.данные.!F258=$CC$4),"Да","Нет")</f>
        <v>Нет</v>
      </c>
      <c r="FE258" s="38" t="str">
        <f>IF(Исходн.данные.!F258=$CC$5,"Да","Нет")</f>
        <v>Нет</v>
      </c>
      <c r="FF258" s="38" t="str">
        <f>IF(OR(Исходн.данные.!F258=$CC$6,Исходн.данные.!F258=$CC$7),"Да","Нет")</f>
        <v>Нет</v>
      </c>
      <c r="FG258" s="38" t="str">
        <f>IF(OR(Исходн.данные.!F258=$CC$8,Исходн.данные.!F258=$CC$9),"Да","Нет")</f>
        <v>Нет</v>
      </c>
      <c r="FH258" s="38" t="str">
        <f>IF(Исходн.данные.!F258=$CC$10,"Да","Нет")</f>
        <v>Нет</v>
      </c>
      <c r="FI258" s="38" t="str">
        <f>IF(OR(Исходн.данные.!F258=$CC$11,Исходн.данные.!F258=$CC$12),"Да","Нет")</f>
        <v>Нет</v>
      </c>
      <c r="FJ258" s="38" t="str">
        <f>IF(OR(Исходн.данные.!AH258=$BS$1,Исходн.данные.!AH258=$BQ$11,Исходн.данные.!AH258=$BQ$12),"Да","Нет")</f>
        <v>Нет</v>
      </c>
      <c r="FK258" s="38" t="str">
        <f>IF(OR(Исходн.данные.!AH258=$BS$2,Исходн.данные.!AH258=$BS$4),"Да","Нет")</f>
        <v>Нет</v>
      </c>
      <c r="FL258" s="38" t="str">
        <f>IF(OR(Исходн.данные.!AH258=$BS$3,Исходн.данные.!AH258=$BS$5),"Да","Нет")</f>
        <v>Нет</v>
      </c>
      <c r="FM258" s="38" t="str">
        <f>IF(OR(Исходн.данные.!AH258=$BS$9,Исходн.данные.!AH258=$BS$10,Исходн.данные.!AH258=$BS$11,Исходн.данные.!AH258=$BS$12),"Да","Нет")</f>
        <v>Нет</v>
      </c>
      <c r="FN258" s="38" t="str">
        <f>IF(OR(Исходн.данные.!AH258=$BS$6,Исходн.данные.!AH258=$BP$3),"Да","Нет")</f>
        <v>Нет</v>
      </c>
      <c r="FO258" s="38" t="str">
        <f>IF(Исходн.данные.!AH258=$BQ$9,"Да","Нет")</f>
        <v>Нет</v>
      </c>
      <c r="FP258" s="38" t="str">
        <f>IF(OR(Исходн.данные.!AH258=$BS$8,Исходн.данные.!AH258=$BT$8),"Да","Нет")</f>
        <v>Нет</v>
      </c>
      <c r="FQ258" s="38" t="str">
        <f>IF(OR(Исходн.данные.!AH258=$BQ$7,Исходн.данные.!AH258=$BQ$8),"Да","Нет")</f>
        <v>Нет</v>
      </c>
      <c r="FR258" s="38" t="str">
        <f>IF(Исходн.данные.!AI258=$BU$9,"Да","Нет")</f>
        <v>Нет</v>
      </c>
      <c r="FS258" s="38" t="str">
        <f>IF(OR(Исходн.данные.!AH258=$BP$1,Исходн.данные.!AH258=$BP$2),"Да","Нет")</f>
        <v>Нет</v>
      </c>
      <c r="FT258" s="38" t="e">
        <f>IF((Исходн.данные.!K258*GO258*GS258*GW258+BL258*0.6+Исходн.данные.!Q258*4.5*0.275)&gt;90,"Да","Нет")</f>
        <v>#N/A</v>
      </c>
      <c r="FU258" s="38" t="e">
        <f>IF((Исходн.данные.!M258*GS258*GZ258+BM258*0.225)&gt;35,"Да","Нет")</f>
        <v>#N/A</v>
      </c>
      <c r="FV258" s="38" t="str">
        <f>IF(Исходн.данные.!O258&gt;175,"Да","Нет")</f>
        <v>Нет</v>
      </c>
      <c r="FW258" s="39" t="str">
        <f>IF(Исходн.данные.!I258&gt;5.5,"Да","Нет")</f>
        <v>Нет</v>
      </c>
      <c r="FX258" s="39" t="str">
        <f>IF(Исходн.данные.!J258&lt;2,"Да","Нет")</f>
        <v>Да</v>
      </c>
      <c r="FY258" s="39" t="e">
        <f>IF(HF258=$FY$16,0,Исходн.данные.!K258*GO258*GS258*GW258/HF258)</f>
        <v>#N/A</v>
      </c>
      <c r="FZ258" s="39" t="e">
        <f>Исходн.данные.!M258*GS258*GZ258/HG258</f>
        <v>#N/A</v>
      </c>
      <c r="GA258" s="39" t="e">
        <f>IF(K_Wyn=$FY$16,0,IF(Исходн.данные.!N258=Исходн.данные.!$L$10,Исходн.данные.!O258/1.1*GS258*HC258/HH258,IF(Исходн.данные.!N258=Исходн.данные.!$L$12,Исходн.данные.!O258/1.5*GS258*HC258/HH258,Исходн.данные.!O258*GS258*HC258/HH258)))</f>
        <v>#N/A</v>
      </c>
      <c r="GB258" s="39" t="e">
        <f>IF(HF258=$FY$16,0,((Исходн.данные.!Q258*N_Org+Исходн.данные.!R258*N_Sider+Исходн.данные.!S258*N_Soloma)*AO258+Расчет!BC258*VLOOKUP(Исходн.данные.!T258,Справ!$A$3:$O$57,15)*AO258+BB258*VLOOKUP(Исходн.данные.!T258,Справ!$A$3:$O$57,15)*AL258+(Исходн.данные.!V258*N_Rizotorf+Исходн.данные.!W258*N_Rizoagr))/HF258)</f>
        <v>#N/A</v>
      </c>
      <c r="GC258" s="39" t="e">
        <f>IF(HG258=$FY$16,0,((Исходн.данные.!Q258*Р_Org+Исходн.данные.!R258*P_Sider+Исходн.данные.!S258*P_Soloma)*AP258+Расчет!BC258*VLOOKUP(Исходн.данные.!T258,Справ!$A$3:$P$57,16)*AP258+BB258*VLOOKUP(Исходн.данные.!T258,Справ!$A$3:$P$57,16)*AM258)/HG258)</f>
        <v>#N/A</v>
      </c>
      <c r="GD258" s="39" t="e">
        <f>IF(HH258=$FY$16,0,((Исходн.данные.!Q258*К_Org+Исходн.данные.!R258*K_Sider+Исходн.данные.!S258*K_Soloma)*AQ258+Расчет!BC258*VLOOKUP(Исходн.данные.!T258,Справ!$A$3:$Q$57,17)*AQ258+BB258*VLOOKUP(Исходн.данные.!T258,Справ!$A$3:$Q$57,17)*AN258)/HH258)</f>
        <v>#N/A</v>
      </c>
      <c r="GE258" s="39" t="e">
        <f>IF(HF258=$FY$16,0,(Исходн.данные.!X258*AR258+Исходн.данные.!AA258*N_Org*AL258+Исходн.данные.!AB258*N_Sider*AL258+Исходн.данные.!AC258*N_Soloma*AL258)/HF258)</f>
        <v>#N/A</v>
      </c>
      <c r="GF258" s="39" t="e">
        <f>IF(HG258=$FY$16,0,(Исходн.данные.!Y258*AS258+Исходн.данные.!AA258*Р_Org*AM258+Исходн.данные.!AB258*P_Sider*AM258+Исходн.данные.!AC258*P_Soloma*AM258)/HG258)</f>
        <v>#N/A</v>
      </c>
      <c r="GG258" s="39" t="e">
        <f>IF(HH258=$FY$16,0,(Исходн.данные.!Z258*AT258+Исходн.данные.!AA258*К_Org*AN258+Исходн.данные.!AB258*K_Sider*AN258+Исходн.данные.!AC258*K_Soloma*AN258)/HH258)</f>
        <v>#N/A</v>
      </c>
      <c r="GH258" s="39" t="e">
        <f>Исходн.данные.!AD258*AU258/HF258</f>
        <v>#N/A</v>
      </c>
      <c r="GI258" s="39" t="e">
        <f>Исходн.данные.!AE258*AV258/HG258</f>
        <v>#N/A</v>
      </c>
      <c r="GJ258" s="39" t="e">
        <f>Исходн.данные.!AF258*AW258/HH258</f>
        <v>#N/A</v>
      </c>
      <c r="GK258" s="55">
        <f>Исходн.данные.!AK258</f>
        <v>0</v>
      </c>
      <c r="GL258" s="11" t="e">
        <f t="shared" si="335"/>
        <v>#N/A</v>
      </c>
      <c r="GM258" s="11" t="e">
        <f t="shared" si="336"/>
        <v>#N/A</v>
      </c>
      <c r="GN258" s="11" t="e">
        <f t="shared" si="337"/>
        <v>#N/A</v>
      </c>
      <c r="GO258" s="57">
        <f t="shared" si="338"/>
        <v>19</v>
      </c>
      <c r="GP258" s="55">
        <f>IF(OR(Исходн.данные.!F258=$CE$1,Исходн.данные.!F258=$CE$2,Исходн.данные.!F258=$CE$3,Исходн.данные.!F258=$CE$4,Исходн.данные.!F258=$CE$5),GQ258,GR258)</f>
        <v>19</v>
      </c>
      <c r="GQ258" s="55">
        <f>IF(Исходн.данные.!F258=$CE$1,28,IF(Исходн.данные.!F258=$CE$2,26,IF(Исходн.данные.!F258=$CE$3,24,IF(Исходн.данные.!F258=$CE$4,22,IF(Исходн.данные.!F258=$CE$5,20,GR258)))))</f>
        <v>19</v>
      </c>
      <c r="GR258" s="55">
        <f>IF(Исходн.данные.!F258=$CE$6,18,IF(Исходн.данные.!F258=$CE$7,16,IF(Исходн.данные.!F258=$CE$8,14,IF(Исходн.данные.!F258=$CE$9,13,IF(Исходн.данные.!F258=$CE$10,12,19)))))</f>
        <v>19</v>
      </c>
      <c r="GS258" s="55">
        <f>IF(Исходн.данные.!G258="Пес",0.035*(40+2*Исходн.данные.!H258),IF(Исходн.данные.!G258="Суп",0.0325*(40+2*Исходн.данные.!H258),0.03*(40+2*Исходн.данные.!H258)))</f>
        <v>1.2</v>
      </c>
      <c r="GT258" s="55">
        <f>IF(Исходн.данные.!H258&lt;23,2.6,IF(AND(Исходн.данные.!H258&gt;22,Исходн.данные.!H258&lt;26),3,IF(AND(Исходн.данные.!H258&gt;25,Исходн.данные.!H258&lt;29),3.4,3.6)))</f>
        <v>2.6</v>
      </c>
      <c r="GU258" s="55">
        <f>IF(Исходн.данные.!H258&lt;23,2.8,IF(AND(Исходн.данные.!H258&gt;22,Исходн.данные.!H258&lt;26),3.2,IF(AND(Исходн.данные.!H258&gt;25,Исходн.данные.!H258&lt;29),3.6,3.9)))</f>
        <v>2.8</v>
      </c>
      <c r="GV258" s="55">
        <f>IF(Исходн.данные.!H258&lt;23,3,IF(AND(Исходн.данные.!H258&gt;22,Исходн.данные.!H258&lt;26),3.5,IF(AND(Исходн.данные.!H258&gt;25,Исходн.данные.!H258&lt;29),3.9,4.2)))</f>
        <v>3</v>
      </c>
      <c r="GW258" s="55" t="e">
        <f>IF(Исходн.данные.!P258="Ум",GX258,GY258)</f>
        <v>#N/A</v>
      </c>
      <c r="GX258" s="55" t="e">
        <f>VLOOKUP(Исходн.данные.!AI258,Коэффициенты!$J$7:$L$13,2,FALSE)</f>
        <v>#N/A</v>
      </c>
      <c r="GY258" s="55" t="e">
        <f>VLOOKUP(Исходн.данные.!AI258,Коэффициенты!$J$7:$L$13,3,FALSE)</f>
        <v>#N/A</v>
      </c>
      <c r="GZ258" s="55" t="e">
        <f>(IF(Исходн.данные.!M258&lt;50,0.11*VLOOKUP(Исходн.данные.!AH258,Культуры.Информация,7,FALSE),IF(Исходн.данные.!M258&gt;250,0.05*VLOOKUP(Исходн.данные.!AH258,Культуры.Информация,7,FALSE),VLOOKUP(Исходн.данные.!AH258,Культуры.Информация,5,FALSE)/100*($GX$6+$GY$6*Исходн.данные.!M258))))*Расчет2!AI258</f>
        <v>#N/A</v>
      </c>
      <c r="HA258" s="211"/>
      <c r="HB258" s="211"/>
      <c r="HC258" s="55" t="e">
        <f>(IF(Исходн.данные.!O258&lt;80,0.2*VLOOKUP(Исходн.данные.!AH258,Культуры.Информация,8,FALSE),IF(Исходн.данные.!O258&gt;240,0.09*VLOOKUP(Исходн.данные.!AH258,Культуры.Информация,8,FALSE),VLOOKUP(Исходн.данные.!AH258,Культуры.Информация,6,FALSE)/100*($HB$6+$HC$6*Исходн.данные.!O258))))*Расчет2!AJ258</f>
        <v>#N/A</v>
      </c>
      <c r="HD258" s="55">
        <f>IF(Исходн.данные.!O258&gt;240,0.09,IF(Исходн.данные.!O258&lt;30,0.3,$HE$10+$HD$10*Исходн.данные.!O258))</f>
        <v>0.3</v>
      </c>
      <c r="HE258" s="55">
        <f>IF(Исходн.данные.!O258&gt;240,0.17,IF(Исходн.данные.!O258&lt;30,0.5,$HF$12+$HE$12*Исходн.данные.!O258))</f>
        <v>0.5</v>
      </c>
      <c r="HF258" s="55" t="e">
        <f>VLOOKUP(Исходн.данные.!AH258,Справ!$A$3:$D$58,2,FALSE)</f>
        <v>#N/A</v>
      </c>
      <c r="HG258" s="55" t="e">
        <f>VLOOKUP(Исходн.данные.!AH258,Справ!$A$3:$D$58,3,FALSE)</f>
        <v>#N/A</v>
      </c>
      <c r="HH258" s="55" t="e">
        <f>VLOOKUP(Исходн.данные.!AH258,Справ!$A$3:$D$58,4,FALSE)</f>
        <v>#N/A</v>
      </c>
      <c r="HI258" s="11" t="e">
        <f t="shared" si="339"/>
        <v>#N/A</v>
      </c>
      <c r="HJ258" s="11" t="e">
        <f t="shared" si="340"/>
        <v>#N/A</v>
      </c>
      <c r="HK258" s="11" t="e">
        <f t="shared" si="341"/>
        <v>#N/A</v>
      </c>
      <c r="HL258" s="55">
        <f>IF(OR(Исходн.данные.!G258="Глин",Исходн.данные.!G258="Т_суг"),1.1,IF(Исходн.данные.!G258="Ср_суг",1,1))</f>
        <v>1</v>
      </c>
      <c r="HM258" s="55">
        <f>IF(OR(Исходн.данные.!G258="Глин",Исходн.данные.!G258="Т_суг"),0.9,IF(Исходн.данные.!G258="Ср_суг",1,1.2))</f>
        <v>1.2</v>
      </c>
      <c r="HN258" s="11" t="e">
        <f t="shared" si="342"/>
        <v>#N/A</v>
      </c>
      <c r="HO258" s="11" t="e">
        <f t="shared" si="343"/>
        <v>#N/A</v>
      </c>
      <c r="HP258" s="11" t="e">
        <f t="shared" si="344"/>
        <v>#N/A</v>
      </c>
      <c r="HQ258" t="e">
        <f t="shared" si="345"/>
        <v>#N/A</v>
      </c>
      <c r="HR258" t="e">
        <f t="shared" si="346"/>
        <v>#N/A</v>
      </c>
      <c r="HS258" t="e">
        <f t="shared" si="347"/>
        <v>#N/A</v>
      </c>
      <c r="HT258" t="e">
        <f t="shared" si="293"/>
        <v>#N/A</v>
      </c>
      <c r="HU258" t="e">
        <f t="shared" si="294"/>
        <v>#N/A</v>
      </c>
      <c r="HV258" t="e">
        <f t="shared" si="295"/>
        <v>#N/A</v>
      </c>
      <c r="HW258" t="e">
        <f t="shared" si="296"/>
        <v>#N/A</v>
      </c>
      <c r="HX258" t="e">
        <f t="shared" si="297"/>
        <v>#N/A</v>
      </c>
      <c r="HY258" t="e">
        <f t="shared" si="298"/>
        <v>#N/A</v>
      </c>
      <c r="HZ258" s="55">
        <f>IF(OR(Исходн.данные.!AI258="Оз_Ч_П",Исходн.данные.!AI258="Оз_З_П",Исходн.данные.!AI258="Яр_зер"),12,30)</f>
        <v>30</v>
      </c>
      <c r="IA258" t="e">
        <f t="shared" si="348"/>
        <v>#N/A</v>
      </c>
      <c r="IB258" t="e">
        <f t="shared" si="349"/>
        <v>#N/A</v>
      </c>
      <c r="IC258" t="e">
        <f t="shared" si="350"/>
        <v>#N/A</v>
      </c>
      <c r="ID258" s="11" t="e">
        <f t="shared" si="351"/>
        <v>#N/A</v>
      </c>
      <c r="IE258" s="11" t="e">
        <f t="shared" si="352"/>
        <v>#N/A</v>
      </c>
      <c r="IF258" s="11" t="e">
        <f t="shared" si="353"/>
        <v>#N/A</v>
      </c>
    </row>
    <row r="259" spans="35:240" x14ac:dyDescent="0.2">
      <c r="AI259">
        <f>IF(Исходн.данные.!I259&gt;6,1,1.85-(0.148*Исходн.данные.!I259))</f>
        <v>1.85</v>
      </c>
      <c r="AJ259">
        <f>IF(Исходн.данные.!I259&gt;6,1,2.434-(0.246*Исходн.данные.!I259))</f>
        <v>2.4340000000000002</v>
      </c>
      <c r="AL259" s="148" t="b">
        <f>IF(Исходн.данные.!$P259="Ум",N_OrgUd_2g_um,IF(Исходн.данные.!$P259="Об",N_OrgUd_2g_ob))</f>
        <v>0</v>
      </c>
      <c r="AM259" s="148" t="b">
        <f>IF(Исходн.данные.!$P259="Ум",P_OrgUd_2g_um,IF(Исходн.данные.!$P259="Об",P_OrgUd_2g_ob))</f>
        <v>0</v>
      </c>
      <c r="AN259" s="148" t="b">
        <f>IF(Исходн.данные.!$P259="Ум",K_OrgUd_2g_um,IF(Исходн.данные.!$P259="Об",K_OrgUd_2g_ob))</f>
        <v>0</v>
      </c>
      <c r="AO259" s="148" t="b">
        <f>IF(Исходн.данные.!$P259="Ум",N_OrgUd_1g_um,IF(Исходн.данные.!$P259="Об",N_OrgUd_1g_ob))</f>
        <v>0</v>
      </c>
      <c r="AP259" s="148" t="b">
        <f>IF(Исходн.данные.!$P259="Ум",P_OrgUd_1g_um,IF(Исходн.данные.!$P259="Об",P_OrgUd_1g_ob))</f>
        <v>0</v>
      </c>
      <c r="AQ259" s="148" t="b">
        <f>IF(Исходн.данные.!$P259="Ум",K_OrgUd_1g_um,IF(Исходн.данные.!$P259="Об",K_OrgUd_1g_ob))</f>
        <v>0</v>
      </c>
      <c r="AR259" t="b">
        <f>IF(Исходн.данные.!$P259="Ум",N_MinUd_2g_um,IF(Исходн.данные.!$P259="Об",N_MinUd_2g_ob))</f>
        <v>0</v>
      </c>
      <c r="AS259" t="b">
        <f>IF(Исходн.данные.!$P259="Ум",P_MinUd_2g_um,IF(Исходн.данные.!$P259="Об",P_MinUd_2g_ob))</f>
        <v>0</v>
      </c>
      <c r="AT259" t="b">
        <f>IF(Исходн.данные.!$P259="Ум",K_MinUd_2g_um,IF(Исходн.данные.!$P259="Об",K_MinUd_2g_ob))</f>
        <v>0</v>
      </c>
      <c r="AU259" t="b">
        <f>IF(Исходн.данные.!$P259="Ум",N_MinUd_1g_um,IF(Исходн.данные.!$P259="Об",N_MinUd_1g_ob))</f>
        <v>0</v>
      </c>
      <c r="AV259" t="b">
        <f>IF(Исходн.данные.!P259="Ум",P_MinUd_1g_um,IF(Исходн.данные.!P259="Об",P_MinUd_1g_ob))</f>
        <v>0</v>
      </c>
      <c r="AW259" t="b">
        <f>IF(Исходн.данные.!P259="Ум",K_MinUd_1g_um,IF(Исходн.данные.!P259="Об",K_MinUd_1g_ob))</f>
        <v>0</v>
      </c>
      <c r="AY259" t="e">
        <f>VLOOKUP(Исходн.данные.!T259,Справ!$A$3:$N$57,12)</f>
        <v>#N/A</v>
      </c>
      <c r="AZ259" t="e">
        <f>VLOOKUP(Исходн.данные.!T259,Справ!$A$3:$N$57,13)</f>
        <v>#N/A</v>
      </c>
      <c r="BA259" t="e">
        <f>VLOOKUP(Исходн.данные.!T259,Справ!$A$3:$N$57,14)</f>
        <v>#N/A</v>
      </c>
      <c r="BB259">
        <f>IF(Исходн.данные.!AH259=0,0,25)</f>
        <v>0</v>
      </c>
      <c r="BC259" s="141">
        <f>IF(Исходн.данные.!AH259=0,0,IF(Исходн.данные.!T259=0,25,BD259))</f>
        <v>0</v>
      </c>
      <c r="BD259" s="168" t="e">
        <f>AY259+AZ259*Исходн.данные.!U259-POWER(BA259,2)*Исходн.данные.!U259</f>
        <v>#N/A</v>
      </c>
      <c r="BE25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59" s="25">
        <f>IF(Исходн.данные.!AH259=0,0,MIN(HN259:HP259))</f>
        <v>0</v>
      </c>
      <c r="BG259" s="9">
        <f>IF(Исходн.данные.!AH259=0,0,IF((HO259+10*0.25/HG259/HL259)&lt;17,17,HO259+10*0.25/HG259/HL259))</f>
        <v>0</v>
      </c>
      <c r="BH259" s="181">
        <f>IF(Исходн.данные.!AH259=0,0,HW259*HF259*HL259/AU259*AI259+Исходн.данные.!S259*10)</f>
        <v>0</v>
      </c>
      <c r="BI259" s="10"/>
      <c r="BJ259" s="182">
        <f>IF(Исходн.данные.!AH259=0,0,IF(HX259*HG259*HL259/AV259&lt;0,0,HX259*HG259*HL259/AV259*AJ259))</f>
        <v>0</v>
      </c>
      <c r="BK259" s="182">
        <f>IF(Исходн.данные.!AH259=0,0,HY259*HH259*HM259/AW259)</f>
        <v>0</v>
      </c>
      <c r="BL259" s="10">
        <f>IF(OR(Исходн.данные.!$AH259=$BP$1,Исходн.данные.!$AH259=$BP$2),0,IF(BH259&lt;0,0,IF(OR(Исходн.данные.!T259=Расчет!$BP$1,Исходн.данные.!T259=Расчет!$BP$2,Исходн.данные.!T259=Расчет!$BT$5,Исходн.данные.!T259=Расчет!$BT$6),BH259*0.5,IF(OR(Исходн.данные.!T259=Расчет!$BS$9,Исходн.данные.!T259=Расчет!$BS$10,Исходн.данные.!T259=Расчет!$BS$11,Исходн.данные.!T259=Расчет!$BS$12,Исходн.данные.!T259=Расчет!$BP$5),BH259*0.8,BH259))))</f>
        <v>0</v>
      </c>
      <c r="BM259" s="10">
        <f>IF(OR(Исходн.данные.!$AH259=$BP$1,Исходн.данные.!$AH259=$BP$2),0,IF(BJ259&lt;0,0,IF(Исходн.данные.!I259&lt;4.5,BJ259*1.2,IF(Исходн.данные.!I259&gt;5.1,BJ259,BJ259*((5.1-Исходн.данные.!I259)*0.333+1)))))</f>
        <v>0</v>
      </c>
      <c r="BN259" s="10">
        <f>IF(OR(Исходн.данные.!$AH259=$BP$1,Исходн.данные.!$AH259=$BP$2),60-Исходн.данные.!AF259,IF(BK259&lt;0,0,IF(Исходн.данные.!I259&lt;4.5,BK259*1.2,IF(Исходн.данные.!I259&gt;5.1,BK259,BK259*((5.1-Исходн.данные.!I259)*0.333+1)))))</f>
        <v>0</v>
      </c>
      <c r="BO259" s="9">
        <f>IF(BL259&lt;0,0,BL259*Исходн.данные.!$AJ259/1000)</f>
        <v>0</v>
      </c>
      <c r="BP259" s="9">
        <f>IF(BM259&lt;0,0,BM259*Исходн.данные.!$AJ259/1000)</f>
        <v>0</v>
      </c>
      <c r="BQ259" s="9">
        <f>IF(BN259&lt;0,0,BN259*Исходн.данные.!$AJ259/1000)</f>
        <v>0</v>
      </c>
      <c r="BR259" s="9">
        <f t="shared" si="303"/>
        <v>0</v>
      </c>
      <c r="BS259" s="10" t="str">
        <f t="shared" si="304"/>
        <v>Аммофос 12:52:00</v>
      </c>
      <c r="BT259" s="10" t="str">
        <f t="shared" si="305"/>
        <v>Аммофос 12:52:00</v>
      </c>
      <c r="BU259" s="10" t="str">
        <f t="shared" si="306"/>
        <v>Диаммофоска</v>
      </c>
      <c r="BV259" s="10">
        <f t="shared" si="307"/>
        <v>0</v>
      </c>
      <c r="BW259" s="10"/>
      <c r="BX259" s="10"/>
      <c r="BY259" s="9">
        <f>IF(BL259&lt;0,0,IF(OR(Исходн.данные.!AI259=Расчет!$BU$6,Исходн.данные.!AI259=Расчет!$BU$7),Расчет!BV259,IF(Исходн.данные.!$AG259=$BV$11,BL259,IF(OR(Исходн.данные.!$AH259=$BQ$7,Исходн.данные.!$AH259=$BQ$8),CB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0,IF(Исходн.данные.!$AI259=$BU$11,"Нет",IF(BL259&gt;30,30,BL259)))))))</f>
        <v>0</v>
      </c>
      <c r="BZ259" s="9">
        <f>IF(AND(Исходн.данные.!$AG259=$BV$11,BM259&lt;10),10,IF(Исходн.данные.!$AG259=$BV$11,BM259,IF(OR(Исходн.данные.!$AH259=$BQ$7,Исходн.данные.!$AH259=$BQ$8),CC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10,IF(Исходн.данные.!$AI259=$BU$11,"Нет",IF(BM259&gt;60,60,IF(BM259&lt;10,10,BM259)))))))</f>
        <v>10</v>
      </c>
      <c r="CA259" s="39">
        <f>IF(BN259&lt;0,0,IF(Исходн.данные.!$AG259=$BV$11,BN259,IF(OR(Исходн.данные.!$AH259=$BQ$7,Исходн.данные.!$AH259=$BQ$8),CD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0,IF(Исходн.данные.!$AI259=$BU$11,"Нет",IF(BN259&gt;30,30,BN259))))))</f>
        <v>0</v>
      </c>
      <c r="CB259" s="9">
        <f t="shared" si="308"/>
        <v>0</v>
      </c>
      <c r="CC259" s="9">
        <f t="shared" si="309"/>
        <v>0</v>
      </c>
      <c r="CD259" s="9">
        <f t="shared" si="310"/>
        <v>0</v>
      </c>
      <c r="CE259" s="12">
        <f t="shared" si="311"/>
        <v>10</v>
      </c>
      <c r="CF259" s="9">
        <f t="shared" si="312"/>
        <v>0</v>
      </c>
      <c r="CG259" s="9" t="s">
        <v>231</v>
      </c>
      <c r="CH259" s="132" t="str">
        <f>IF(Исходн.данные.!AP259=Расчет!$CI$16,"Нет",IF(Исходн.данные.!AL259&gt;0,Исходн.данные.!AL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BH$4,IF(OR(Исходн.данные.!AI259=Исходн.данные.!$AI$6,Исходн.данные.!AI259=Исходн.данные.!$AI$7),Расчет!BS259,IF(AND($CF259=0,$CE259&gt;0),EV259,ER259)))))</f>
        <v>Аммофос 12:52:00</v>
      </c>
      <c r="CI259" s="274">
        <f>IF(Расчет!$CH259="Нет","Нет",IF(Исходн.данные.!$AL259&gt;0,VLOOKUP(Расчет!$CH259,АшламаДВ_Irekle,2,FALSE),VLOOKUP(Расчет!$CH259,АшламаДВ_Gomumy,2,FALSE)))</f>
        <v>0.12</v>
      </c>
      <c r="CJ259" s="274">
        <f>IF(Расчет!$CH259="Нет","Нет",IF(Исходн.данные.!$AL259&gt;0,VLOOKUP(Расчет!$CH259,АшламаДВ_Irekle,3,FALSE),VLOOKUP(Расчет!$CH259,АшламаДВ_Gomumy,3,FALSE)))</f>
        <v>0.52</v>
      </c>
      <c r="CK259" s="274">
        <f>IF(Расчет!$CH259="Нет","Нет",IF(Исходн.данные.!$AL259&gt;0,VLOOKUP(Расчет!$CH259,АшламаДВ_Irekle,4,FALSE),VLOOKUP(Расчет!$CH259,АшламаДВ_Gomumy,4,FALSE)))</f>
        <v>0</v>
      </c>
      <c r="CL259" s="70"/>
      <c r="CM259" s="70"/>
      <c r="CN259" s="70"/>
      <c r="CO259" s="70"/>
      <c r="CP259" s="70"/>
      <c r="CQ259" s="70"/>
      <c r="CR259" s="10">
        <f t="shared" si="313"/>
        <v>0</v>
      </c>
      <c r="CS259" s="10">
        <f t="shared" si="314"/>
        <v>19.23076923076923</v>
      </c>
      <c r="CT259" s="10">
        <f t="shared" si="315"/>
        <v>0</v>
      </c>
      <c r="CU259" s="39">
        <f>IF($CH259="Нет",0,IF(CI259=0,30/MIN(CJ259:CK259),IF(Исходн.данные.!$AG259=$BV$11,CR259,IF(OR(Исходн.данные.!$AH259=$BQ$7,Исходн.данные.!$AH259=$BQ$8),90/CI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0,IF(Исходн.данные.!$AI259=$BU$11,"Нет",30/CI259))))))</f>
        <v>250</v>
      </c>
      <c r="CV259" s="39">
        <f>IF($CH259="Нет",0,IF(Исходн.данные.!AH259=0,0,IF(CJ259=0,60/MIN(CI259,CK259),IF(Исходн.данные.!$AG259=$BV$11,CS259,IF(OR(Исходн.данные.!$AH259=$BQ$7,Исходн.данные.!$AH259=$BQ$8),90/CJ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10/CJ259,IF(Исходн.данные.!$AI259=$BU$11,"Нет",60/CJ259)))))))</f>
        <v>0</v>
      </c>
      <c r="CW259" s="39">
        <f>IF($CH259="Нет",0,IF(Исходн.данные.!AH259=0,0,IF(CK259=0,30/MIN(CI259:CJ259),IF(Исходн.данные.!$AG259=$BV$11,CT259,IF(OR(Исходн.данные.!$AH259=$BQ$7,Исходн.данные.!$AH259=$BQ$8),90/CK259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0,IF(Исходн.данные.!$AI259=$BU$11,"Нет",30/CK259)))))))</f>
        <v>0</v>
      </c>
      <c r="CX259" s="133">
        <f>IF(Исходн.данные.!$AG259=$BV$11,MAX(CU259:CW259),IF(OR(Исходн.данные.!$AH259=$BS$8,Исходн.данные.!$AH259=$BQ$9,Исходн.данные.!$AH259=$BQ$10,Исходн.данные.!$AH259=$BQ$11,Исходн.данные.!$AH259=$BQ$12,Исходн.данные.!$AH259=$BP$3,Исходн.данные.!$AH259=$BT$8,$FM259="Да"),CV259,MIN(CU259:CW259)))</f>
        <v>0</v>
      </c>
      <c r="CY259" s="133">
        <f>IF(Исходн.данные.!AH259=0,0,IF(CR259&gt;$CX259,$CX259,CR259))</f>
        <v>0</v>
      </c>
      <c r="CZ259" s="133">
        <f>IF(Исходн.данные.!AH259=0,0,IF(CS259&gt;$CX259,$CX259,CS259))</f>
        <v>0</v>
      </c>
      <c r="DA259" s="133">
        <f>IF(Исходн.данные.!AH259=0,0,IF(CT259&gt;$CX259,$CX259,CT259))</f>
        <v>0</v>
      </c>
      <c r="DB259" s="10">
        <f t="shared" si="316"/>
        <v>0</v>
      </c>
      <c r="DC259" s="39">
        <f>DB259*Исходн.данные.!AJ259/1000</f>
        <v>0</v>
      </c>
      <c r="DD259" s="71">
        <f t="shared" si="317"/>
        <v>0</v>
      </c>
      <c r="DE259" s="9">
        <f t="shared" si="318"/>
        <v>0</v>
      </c>
      <c r="DF259" s="9">
        <f t="shared" si="319"/>
        <v>0</v>
      </c>
      <c r="DG259" s="39">
        <f>IF(BL259&lt;0,0,IF($CH259="Нет",BL259,IF(OR(Исходн.данные.!$AH259=$BP$1,Исходн.данные.!$AH259=$BP$2),0,IF(Исходн.данные.!AI259=$BU$11,BL259,IF(BL259-DD259&lt;0,0,BL259-DD259)))))</f>
        <v>0</v>
      </c>
      <c r="DH259" s="39">
        <f>IF(BM259&lt;0,0,IF($CH259="Нет",BM259,IF(OR(Исходн.данные.!$AH259=$BP$1,Исходн.данные.!$AH259=$BP$2),0,IF(Исходн.данные.!AJ259=$BU$11,BM259,IF(BM259-DE259&lt;0,0,BM259-DE259)))))</f>
        <v>0</v>
      </c>
      <c r="DI259" s="39">
        <f>IF(BN259&lt;0,0,IF($CH259="Нет",BN259,IF(OR(Исходн.данные.!$AH259=$BP$1,Исходн.данные.!$AH259=$BP$2),0,IF(Исходн.данные.!AK259=$BU$11,BN259,IF(BN259-DF259&lt;0,0,BN259-DF259)))))</f>
        <v>0</v>
      </c>
      <c r="DJ259" s="12">
        <f t="shared" si="320"/>
        <v>0</v>
      </c>
      <c r="DK259" s="9">
        <f t="shared" si="321"/>
        <v>0</v>
      </c>
      <c r="DL259" s="39">
        <f>IF(Исходн.данные.!AM259&gt;0,Исходн.данные.!AM259,IF(EG259&gt;0,$BH$10,0))</f>
        <v>0</v>
      </c>
      <c r="DM259" s="186">
        <f>IF($DL259=0,0,IF(Исходн.данные.!AM259&gt;0,VLOOKUP($DL259,АшламаДВ_Irekle,2,FALSE),VLOOKUP($DL259,АшламаДВ_Gomumy,2,FALSE)))</f>
        <v>0</v>
      </c>
      <c r="DN259" s="10">
        <f t="shared" si="299"/>
        <v>0</v>
      </c>
      <c r="DO259" s="9" t="str">
        <f>IF(Исходн.данные.!AN259&gt;0,Исходн.данные.!AN259,Удобрения!$B$37 )</f>
        <v>Хлор.калий</v>
      </c>
      <c r="DP259" s="9">
        <f>IF(Исходн.данные.!AN259&gt;0,VLOOKUP(Исходн.данные.!AN259,АшламаДВ_Irekle,4,FALSE),VLOOKUP(DO259,АшламаДВ_Gomumy,4,FALSE))</f>
        <v>0.6</v>
      </c>
      <c r="DQ259" s="10">
        <f t="shared" si="300"/>
        <v>0</v>
      </c>
      <c r="DR259" s="132" t="str">
        <f>IF(Исходн.данные.!AO259&gt;0,Исходн.данные.!AO259,IF(DH259=0,BS$17,IF(AND($DK259=0,$DJ259&gt;0),EJ259,EN259)))</f>
        <v>Нет</v>
      </c>
      <c r="DS259" s="70" t="str">
        <f>IF($DR259="Нет","Нет",IF(Исходн.данные.!$AO259&gt;0,VLOOKUP($DR259,АшламаДВ_Irekle,2,FALSE),VLOOKUP($DR259,АшламаДВ_Gomumy,2,FALSE)))</f>
        <v>Нет</v>
      </c>
      <c r="DT259" s="70" t="str">
        <f>IF($DR259="Нет","Нет",IF(Исходн.данные.!$AO259&gt;0,VLOOKUP($DR259,АшламаДВ_Irekle,3,FALSE),VLOOKUP($DR259,АшламаДВ_Gomumy,3,FALSE)))</f>
        <v>Нет</v>
      </c>
      <c r="DU259" s="70" t="str">
        <f>IF($DR259="Нет","Нет",IF(Исходн.данные.!$AO259&gt;0,VLOOKUP($DR259,АшламаДВ_Irekle,4,FALSE),VLOOKUP($DR259,АшламаДВ_Gomumy,4,FALSE)))</f>
        <v>Нет</v>
      </c>
      <c r="DV259" s="70"/>
      <c r="DW259" s="70"/>
      <c r="DX259" s="70"/>
      <c r="DY259" s="10">
        <f t="shared" si="322"/>
        <v>0</v>
      </c>
      <c r="DZ259" s="10">
        <f t="shared" si="323"/>
        <v>0</v>
      </c>
      <c r="EA259" s="10">
        <f t="shared" si="324"/>
        <v>0</v>
      </c>
      <c r="EB259" s="10">
        <f t="shared" si="325"/>
        <v>0</v>
      </c>
      <c r="EC259" s="10">
        <f t="shared" si="326"/>
        <v>0</v>
      </c>
      <c r="ED259" s="10">
        <f t="shared" si="327"/>
        <v>0</v>
      </c>
      <c r="EE259" s="10">
        <f t="shared" si="328"/>
        <v>0</v>
      </c>
      <c r="EF259" s="39">
        <f>EB259*Исходн.данные.!AJ259/1000</f>
        <v>0</v>
      </c>
      <c r="EG259" s="9">
        <f t="shared" si="329"/>
        <v>0</v>
      </c>
      <c r="EH259" s="9">
        <f t="shared" si="330"/>
        <v>0</v>
      </c>
      <c r="EI259" s="39" t="e">
        <f t="shared" si="280"/>
        <v>#DIV/0!</v>
      </c>
      <c r="EJ259" s="9" t="str">
        <f t="shared" si="301"/>
        <v>Азопреципитат</v>
      </c>
      <c r="EK259" s="12">
        <f t="shared" si="281"/>
        <v>0.26</v>
      </c>
      <c r="EL259" s="12">
        <f t="shared" si="282"/>
        <v>0.13</v>
      </c>
      <c r="EM259" s="12">
        <f t="shared" si="283"/>
        <v>0</v>
      </c>
      <c r="EN259" s="12" t="str">
        <f t="shared" si="302"/>
        <v>Нет</v>
      </c>
      <c r="EO259" s="12">
        <f t="shared" si="284"/>
        <v>0</v>
      </c>
      <c r="EP259" s="12">
        <f t="shared" si="285"/>
        <v>0</v>
      </c>
      <c r="EQ259" s="12">
        <f t="shared" si="286"/>
        <v>0</v>
      </c>
      <c r="ER259" s="12" t="str">
        <f t="shared" si="331"/>
        <v>Диаммофоска</v>
      </c>
      <c r="ES259" s="12">
        <f t="shared" si="287"/>
        <v>0.1</v>
      </c>
      <c r="ET259" s="12">
        <f t="shared" si="288"/>
        <v>0.26</v>
      </c>
      <c r="EU259" s="12">
        <f t="shared" si="289"/>
        <v>0.26</v>
      </c>
      <c r="EV259" s="12" t="str">
        <f t="shared" si="332"/>
        <v>Аммофос 12:52:00</v>
      </c>
      <c r="EW259" s="12" t="str">
        <f t="shared" si="333"/>
        <v>Кемира Свекловичное-6</v>
      </c>
      <c r="EX259" s="12">
        <f t="shared" si="290"/>
        <v>0.16</v>
      </c>
      <c r="EY259" s="12">
        <f t="shared" si="291"/>
        <v>0.12</v>
      </c>
      <c r="EZ259" s="12">
        <f t="shared" si="292"/>
        <v>0.17</v>
      </c>
      <c r="FA259" s="38" t="e">
        <f>IF(AND(OR(FJ259=$FD$1,FM259=$FD$1,FO259=$FD$1,FQ259=$FD$1,FS259=$FD$1),FD259=$FD$1,Исходн.данные.!J259&lt;2,FU259=$FD$1),"Бор,Кобальт",IF(AND(FO259=$FD$1,FH259=$FD$1,Исходн.данные.!J259&lt;2,FU259=$FD$1),"Бор,Кобальт",IF(AND(OR(FJ259=$FD$1,FM259=$FD$1,FQ259=$FD$1),FE259=$FD$1,Исходн.данные.!J259&lt;2,FT259=$FD$1,FU259=$FD$1),"Бор,Медь,Цинк",IF(AND(OR(FJ259=$FD$1,FR259="Да"),FI259="Да",Исходн.данные.!J259&lt;2,FT259="Да",FU259="Да"),"Бор,Цинк,Медь",IF(AND(OR(FM259="Да",FQ259="Да"),FI259="Да",Исходн.данные.!J259&lt;2,FT259="Да",FU259="Да"),"Бор,Цинк",IF(AND(FN259="Да",OR(FD259="Да",FE259="Да")),"Бор",FB259))))))</f>
        <v>#N/A</v>
      </c>
      <c r="FB259" s="134" t="e">
        <f>IF(AND(OR(FD259="Да",FE259="Да",FF259="Да",FG259="Да",FH259="Да"),FO259="Да"),"Бор",IF(AND(FP259="Да",OR(FD259="Да",FE259="Да",FI259="Да")),"Бор",IF(AND(FS259="Да",FE259="Да"),"Бор,Медь",IF(AND(OR(FJ259="Да",FK259="Да",FL259="Да"),FE259="Да",Исходн.данные.!I259&lt;5,FT259="Да",FU259="Да"),"Молибден,Цинк",IF(AND(FM259="Да",OR(FE259="Да",FF259="Да",FG259="Да",FH259="Да",FI259="Да")),"Молибден,Цинк",IF(AND(OR(FJ259="Да",FK259="Да",FL259="Да",FM259="Да",FQ259="Да"),OR(FE259="Да",FF259="Да"),FT259="Да",FU259="Да",Исходн.данные.!I259&gt;5.5),"Медь,Цинк",FC259))))))</f>
        <v>#N/A</v>
      </c>
      <c r="FC259" s="23" t="e">
        <f t="shared" si="334"/>
        <v>#N/A</v>
      </c>
      <c r="FD259" s="38" t="str">
        <f>IF(OR(Исходн.данные.!F259=$CC$1,Исходн.данные.!F259=$CC$2,Исходн.данные.!F259=$CC$3,Исходн.данные.!F259=$CC$4),"Да","Нет")</f>
        <v>Нет</v>
      </c>
      <c r="FE259" s="38" t="str">
        <f>IF(Исходн.данные.!F259=$CC$5,"Да","Нет")</f>
        <v>Нет</v>
      </c>
      <c r="FF259" s="38" t="str">
        <f>IF(OR(Исходн.данные.!F259=$CC$6,Исходн.данные.!F259=$CC$7),"Да","Нет")</f>
        <v>Нет</v>
      </c>
      <c r="FG259" s="38" t="str">
        <f>IF(OR(Исходн.данные.!F259=$CC$8,Исходн.данные.!F259=$CC$9),"Да","Нет")</f>
        <v>Нет</v>
      </c>
      <c r="FH259" s="38" t="str">
        <f>IF(Исходн.данные.!F259=$CC$10,"Да","Нет")</f>
        <v>Нет</v>
      </c>
      <c r="FI259" s="38" t="str">
        <f>IF(OR(Исходн.данные.!F259=$CC$11,Исходн.данные.!F259=$CC$12),"Да","Нет")</f>
        <v>Нет</v>
      </c>
      <c r="FJ259" s="38" t="str">
        <f>IF(OR(Исходн.данные.!AH259=$BS$1,Исходн.данные.!AH259=$BQ$11,Исходн.данные.!AH259=$BQ$12),"Да","Нет")</f>
        <v>Нет</v>
      </c>
      <c r="FK259" s="38" t="str">
        <f>IF(OR(Исходн.данные.!AH259=$BS$2,Исходн.данные.!AH259=$BS$4),"Да","Нет")</f>
        <v>Нет</v>
      </c>
      <c r="FL259" s="38" t="str">
        <f>IF(OR(Исходн.данные.!AH259=$BS$3,Исходн.данные.!AH259=$BS$5),"Да","Нет")</f>
        <v>Нет</v>
      </c>
      <c r="FM259" s="38" t="str">
        <f>IF(OR(Исходн.данные.!AH259=$BS$9,Исходн.данные.!AH259=$BS$10,Исходн.данные.!AH259=$BS$11,Исходн.данные.!AH259=$BS$12),"Да","Нет")</f>
        <v>Нет</v>
      </c>
      <c r="FN259" s="38" t="str">
        <f>IF(OR(Исходн.данные.!AH259=$BS$6,Исходн.данные.!AH259=$BP$3),"Да","Нет")</f>
        <v>Нет</v>
      </c>
      <c r="FO259" s="38" t="str">
        <f>IF(Исходн.данные.!AH259=$BQ$9,"Да","Нет")</f>
        <v>Нет</v>
      </c>
      <c r="FP259" s="38" t="str">
        <f>IF(OR(Исходн.данные.!AH259=$BS$8,Исходн.данные.!AH259=$BT$8),"Да","Нет")</f>
        <v>Нет</v>
      </c>
      <c r="FQ259" s="38" t="str">
        <f>IF(OR(Исходн.данные.!AH259=$BQ$7,Исходн.данные.!AH259=$BQ$8),"Да","Нет")</f>
        <v>Нет</v>
      </c>
      <c r="FR259" s="38" t="str">
        <f>IF(Исходн.данные.!AI259=$BU$9,"Да","Нет")</f>
        <v>Нет</v>
      </c>
      <c r="FS259" s="38" t="str">
        <f>IF(OR(Исходн.данные.!AH259=$BP$1,Исходн.данные.!AH259=$BP$2),"Да","Нет")</f>
        <v>Нет</v>
      </c>
      <c r="FT259" s="38" t="e">
        <f>IF((Исходн.данные.!K259*GO259*GS259*GW259+BL259*0.6+Исходн.данные.!Q259*4.5*0.275)&gt;90,"Да","Нет")</f>
        <v>#N/A</v>
      </c>
      <c r="FU259" s="38" t="e">
        <f>IF((Исходн.данные.!M259*GS259*GZ259+BM259*0.225)&gt;35,"Да","Нет")</f>
        <v>#N/A</v>
      </c>
      <c r="FV259" s="38" t="str">
        <f>IF(Исходн.данные.!O259&gt;175,"Да","Нет")</f>
        <v>Нет</v>
      </c>
      <c r="FW259" s="39" t="str">
        <f>IF(Исходн.данные.!I259&gt;5.5,"Да","Нет")</f>
        <v>Нет</v>
      </c>
      <c r="FX259" s="39" t="str">
        <f>IF(Исходн.данные.!J259&lt;2,"Да","Нет")</f>
        <v>Да</v>
      </c>
      <c r="FY259" s="39" t="e">
        <f>IF(HF259=$FY$16,0,Исходн.данные.!K259*GO259*GS259*GW259/HF259)</f>
        <v>#N/A</v>
      </c>
      <c r="FZ259" s="39" t="e">
        <f>Исходн.данные.!M259*GS259*GZ259/HG259</f>
        <v>#N/A</v>
      </c>
      <c r="GA259" s="39" t="e">
        <f>IF(K_Wyn=$FY$16,0,IF(Исходн.данные.!N259=Исходн.данные.!$L$10,Исходн.данные.!O259/1.1*GS259*HC259/HH259,IF(Исходн.данные.!N259=Исходн.данные.!$L$12,Исходн.данные.!O259/1.5*GS259*HC259/HH259,Исходн.данные.!O259*GS259*HC259/HH259)))</f>
        <v>#N/A</v>
      </c>
      <c r="GB259" s="39" t="e">
        <f>IF(HF259=$FY$16,0,((Исходн.данные.!Q259*N_Org+Исходн.данные.!R259*N_Sider+Исходн.данные.!S259*N_Soloma)*AO259+Расчет!BC259*VLOOKUP(Исходн.данные.!T259,Справ!$A$3:$O$57,15)*AO259+BB259*VLOOKUP(Исходн.данные.!T259,Справ!$A$3:$O$57,15)*AL259+(Исходн.данные.!V259*N_Rizotorf+Исходн.данные.!W259*N_Rizoagr))/HF259)</f>
        <v>#N/A</v>
      </c>
      <c r="GC259" s="39" t="e">
        <f>IF(HG259=$FY$16,0,((Исходн.данные.!Q259*Р_Org+Исходн.данные.!R259*P_Sider+Исходн.данные.!S259*P_Soloma)*AP259+Расчет!BC259*VLOOKUP(Исходн.данные.!T259,Справ!$A$3:$P$57,16)*AP259+BB259*VLOOKUP(Исходн.данные.!T259,Справ!$A$3:$P$57,16)*AM259)/HG259)</f>
        <v>#N/A</v>
      </c>
      <c r="GD259" s="39" t="e">
        <f>IF(HH259=$FY$16,0,((Исходн.данные.!Q259*К_Org+Исходн.данные.!R259*K_Sider+Исходн.данные.!S259*K_Soloma)*AQ259+Расчет!BC259*VLOOKUP(Исходн.данные.!T259,Справ!$A$3:$Q$57,17)*AQ259+BB259*VLOOKUP(Исходн.данные.!T259,Справ!$A$3:$Q$57,17)*AN259)/HH259)</f>
        <v>#N/A</v>
      </c>
      <c r="GE259" s="39" t="e">
        <f>IF(HF259=$FY$16,0,(Исходн.данные.!X259*AR259+Исходн.данные.!AA259*N_Org*AL259+Исходн.данные.!AB259*N_Sider*AL259+Исходн.данные.!AC259*N_Soloma*AL259)/HF259)</f>
        <v>#N/A</v>
      </c>
      <c r="GF259" s="39" t="e">
        <f>IF(HG259=$FY$16,0,(Исходн.данные.!Y259*AS259+Исходн.данные.!AA259*Р_Org*AM259+Исходн.данные.!AB259*P_Sider*AM259+Исходн.данные.!AC259*P_Soloma*AM259)/HG259)</f>
        <v>#N/A</v>
      </c>
      <c r="GG259" s="39" t="e">
        <f>IF(HH259=$FY$16,0,(Исходн.данные.!Z259*AT259+Исходн.данные.!AA259*К_Org*AN259+Исходн.данные.!AB259*K_Sider*AN259+Исходн.данные.!AC259*K_Soloma*AN259)/HH259)</f>
        <v>#N/A</v>
      </c>
      <c r="GH259" s="39" t="e">
        <f>Исходн.данные.!AD259*AU259/HF259</f>
        <v>#N/A</v>
      </c>
      <c r="GI259" s="39" t="e">
        <f>Исходн.данные.!AE259*AV259/HG259</f>
        <v>#N/A</v>
      </c>
      <c r="GJ259" s="39" t="e">
        <f>Исходн.данные.!AF259*AW259/HH259</f>
        <v>#N/A</v>
      </c>
      <c r="GK259" s="55">
        <f>Исходн.данные.!AK259</f>
        <v>0</v>
      </c>
      <c r="GL259" s="11" t="e">
        <f t="shared" si="335"/>
        <v>#N/A</v>
      </c>
      <c r="GM259" s="11" t="e">
        <f t="shared" si="336"/>
        <v>#N/A</v>
      </c>
      <c r="GN259" s="11" t="e">
        <f t="shared" si="337"/>
        <v>#N/A</v>
      </c>
      <c r="GO259" s="57">
        <f t="shared" si="338"/>
        <v>19</v>
      </c>
      <c r="GP259" s="55">
        <f>IF(OR(Исходн.данные.!F259=$CE$1,Исходн.данные.!F259=$CE$2,Исходн.данные.!F259=$CE$3,Исходн.данные.!F259=$CE$4,Исходн.данные.!F259=$CE$5),GQ259,GR259)</f>
        <v>19</v>
      </c>
      <c r="GQ259" s="55">
        <f>IF(Исходн.данные.!F259=$CE$1,28,IF(Исходн.данные.!F259=$CE$2,26,IF(Исходн.данные.!F259=$CE$3,24,IF(Исходн.данные.!F259=$CE$4,22,IF(Исходн.данные.!F259=$CE$5,20,GR259)))))</f>
        <v>19</v>
      </c>
      <c r="GR259" s="55">
        <f>IF(Исходн.данные.!F259=$CE$6,18,IF(Исходн.данные.!F259=$CE$7,16,IF(Исходн.данные.!F259=$CE$8,14,IF(Исходн.данные.!F259=$CE$9,13,IF(Исходн.данные.!F259=$CE$10,12,19)))))</f>
        <v>19</v>
      </c>
      <c r="GS259" s="55">
        <f>IF(Исходн.данные.!G259="Пес",0.035*(40+2*Исходн.данные.!H259),IF(Исходн.данные.!G259="Суп",0.0325*(40+2*Исходн.данные.!H259),0.03*(40+2*Исходн.данные.!H259)))</f>
        <v>1.2</v>
      </c>
      <c r="GT259" s="55">
        <f>IF(Исходн.данные.!H259&lt;23,2.6,IF(AND(Исходн.данные.!H259&gt;22,Исходн.данные.!H259&lt;26),3,IF(AND(Исходн.данные.!H259&gt;25,Исходн.данные.!H259&lt;29),3.4,3.6)))</f>
        <v>2.6</v>
      </c>
      <c r="GU259" s="55">
        <f>IF(Исходн.данные.!H259&lt;23,2.8,IF(AND(Исходн.данные.!H259&gt;22,Исходн.данные.!H259&lt;26),3.2,IF(AND(Исходн.данные.!H259&gt;25,Исходн.данные.!H259&lt;29),3.6,3.9)))</f>
        <v>2.8</v>
      </c>
      <c r="GV259" s="55">
        <f>IF(Исходн.данные.!H259&lt;23,3,IF(AND(Исходн.данные.!H259&gt;22,Исходн.данные.!H259&lt;26),3.5,IF(AND(Исходн.данные.!H259&gt;25,Исходн.данные.!H259&lt;29),3.9,4.2)))</f>
        <v>3</v>
      </c>
      <c r="GW259" s="55" t="e">
        <f>IF(Исходн.данные.!P259="Ум",GX259,GY259)</f>
        <v>#N/A</v>
      </c>
      <c r="GX259" s="55" t="e">
        <f>VLOOKUP(Исходн.данные.!AI259,Коэффициенты!$J$7:$L$13,2,FALSE)</f>
        <v>#N/A</v>
      </c>
      <c r="GY259" s="55" t="e">
        <f>VLOOKUP(Исходн.данные.!AI259,Коэффициенты!$J$7:$L$13,3,FALSE)</f>
        <v>#N/A</v>
      </c>
      <c r="GZ259" s="55" t="e">
        <f>(IF(Исходн.данные.!M259&lt;50,0.11*VLOOKUP(Исходн.данные.!AH259,Культуры.Информация,7,FALSE),IF(Исходн.данные.!M259&gt;250,0.05*VLOOKUP(Исходн.данные.!AH259,Культуры.Информация,7,FALSE),VLOOKUP(Исходн.данные.!AH259,Культуры.Информация,5,FALSE)/100*($GX$6+$GY$6*Исходн.данные.!M259))))*Расчет2!AI259</f>
        <v>#N/A</v>
      </c>
      <c r="HA259" s="211"/>
      <c r="HB259" s="211"/>
      <c r="HC259" s="55" t="e">
        <f>(IF(Исходн.данные.!O259&lt;80,0.2*VLOOKUP(Исходн.данные.!AH259,Культуры.Информация,8,FALSE),IF(Исходн.данные.!O259&gt;240,0.09*VLOOKUP(Исходн.данные.!AH259,Культуры.Информация,8,FALSE),VLOOKUP(Исходн.данные.!AH259,Культуры.Информация,6,FALSE)/100*($HB$6+$HC$6*Исходн.данные.!O259))))*Расчет2!AJ259</f>
        <v>#N/A</v>
      </c>
      <c r="HD259" s="55">
        <f>IF(Исходн.данные.!O259&gt;240,0.09,IF(Исходн.данные.!O259&lt;30,0.3,$HE$10+$HD$10*Исходн.данные.!O259))</f>
        <v>0.3</v>
      </c>
      <c r="HE259" s="55">
        <f>IF(Исходн.данные.!O259&gt;240,0.17,IF(Исходн.данные.!O259&lt;30,0.5,$HF$12+$HE$12*Исходн.данные.!O259))</f>
        <v>0.5</v>
      </c>
      <c r="HF259" s="55" t="e">
        <f>VLOOKUP(Исходн.данные.!AH259,Справ!$A$3:$D$58,2,FALSE)</f>
        <v>#N/A</v>
      </c>
      <c r="HG259" s="55" t="e">
        <f>VLOOKUP(Исходн.данные.!AH259,Справ!$A$3:$D$58,3,FALSE)</f>
        <v>#N/A</v>
      </c>
      <c r="HH259" s="55" t="e">
        <f>VLOOKUP(Исходн.данные.!AH259,Справ!$A$3:$D$58,4,FALSE)</f>
        <v>#N/A</v>
      </c>
      <c r="HI259" s="11" t="e">
        <f t="shared" si="339"/>
        <v>#N/A</v>
      </c>
      <c r="HJ259" s="11" t="e">
        <f t="shared" si="340"/>
        <v>#N/A</v>
      </c>
      <c r="HK259" s="11" t="e">
        <f t="shared" si="341"/>
        <v>#N/A</v>
      </c>
      <c r="HL259" s="55">
        <f>IF(OR(Исходн.данные.!G259="Глин",Исходн.данные.!G259="Т_суг"),1.1,IF(Исходн.данные.!G259="Ср_суг",1,1))</f>
        <v>1</v>
      </c>
      <c r="HM259" s="55">
        <f>IF(OR(Исходн.данные.!G259="Глин",Исходн.данные.!G259="Т_суг"),0.9,IF(Исходн.данные.!G259="Ср_суг",1,1.2))</f>
        <v>1.2</v>
      </c>
      <c r="HN259" s="11" t="e">
        <f t="shared" si="342"/>
        <v>#N/A</v>
      </c>
      <c r="HO259" s="11" t="e">
        <f t="shared" si="343"/>
        <v>#N/A</v>
      </c>
      <c r="HP259" s="11" t="e">
        <f t="shared" si="344"/>
        <v>#N/A</v>
      </c>
      <c r="HQ259" t="e">
        <f t="shared" si="345"/>
        <v>#N/A</v>
      </c>
      <c r="HR259" t="e">
        <f t="shared" si="346"/>
        <v>#N/A</v>
      </c>
      <c r="HS259" t="e">
        <f t="shared" si="347"/>
        <v>#N/A</v>
      </c>
      <c r="HT259" t="e">
        <f t="shared" si="293"/>
        <v>#N/A</v>
      </c>
      <c r="HU259" t="e">
        <f t="shared" si="294"/>
        <v>#N/A</v>
      </c>
      <c r="HV259" t="e">
        <f t="shared" si="295"/>
        <v>#N/A</v>
      </c>
      <c r="HW259" t="e">
        <f t="shared" si="296"/>
        <v>#N/A</v>
      </c>
      <c r="HX259" t="e">
        <f t="shared" si="297"/>
        <v>#N/A</v>
      </c>
      <c r="HY259" t="e">
        <f t="shared" si="298"/>
        <v>#N/A</v>
      </c>
      <c r="HZ259" s="55">
        <f>IF(OR(Исходн.данные.!AI259="Оз_Ч_П",Исходн.данные.!AI259="Оз_З_П",Исходн.данные.!AI259="Яр_зер"),12,30)</f>
        <v>30</v>
      </c>
      <c r="IA259" t="e">
        <f t="shared" si="348"/>
        <v>#N/A</v>
      </c>
      <c r="IB259" t="e">
        <f t="shared" si="349"/>
        <v>#N/A</v>
      </c>
      <c r="IC259" t="e">
        <f t="shared" si="350"/>
        <v>#N/A</v>
      </c>
      <c r="ID259" s="11" t="e">
        <f t="shared" si="351"/>
        <v>#N/A</v>
      </c>
      <c r="IE259" s="11" t="e">
        <f t="shared" si="352"/>
        <v>#N/A</v>
      </c>
      <c r="IF259" s="11" t="e">
        <f t="shared" si="353"/>
        <v>#N/A</v>
      </c>
    </row>
    <row r="260" spans="35:240" x14ac:dyDescent="0.2">
      <c r="AI260">
        <f>IF(Исходн.данные.!I260&gt;6,1,1.85-(0.148*Исходн.данные.!I260))</f>
        <v>1.85</v>
      </c>
      <c r="AJ260">
        <f>IF(Исходн.данные.!I260&gt;6,1,2.434-(0.246*Исходн.данные.!I260))</f>
        <v>2.4340000000000002</v>
      </c>
      <c r="AL260" s="148" t="b">
        <f>IF(Исходн.данные.!$P260="Ум",N_OrgUd_2g_um,IF(Исходн.данные.!$P260="Об",N_OrgUd_2g_ob))</f>
        <v>0</v>
      </c>
      <c r="AM260" s="148" t="b">
        <f>IF(Исходн.данные.!$P260="Ум",P_OrgUd_2g_um,IF(Исходн.данные.!$P260="Об",P_OrgUd_2g_ob))</f>
        <v>0</v>
      </c>
      <c r="AN260" s="148" t="b">
        <f>IF(Исходн.данные.!$P260="Ум",K_OrgUd_2g_um,IF(Исходн.данные.!$P260="Об",K_OrgUd_2g_ob))</f>
        <v>0</v>
      </c>
      <c r="AO260" s="148" t="b">
        <f>IF(Исходн.данные.!$P260="Ум",N_OrgUd_1g_um,IF(Исходн.данные.!$P260="Об",N_OrgUd_1g_ob))</f>
        <v>0</v>
      </c>
      <c r="AP260" s="148" t="b">
        <f>IF(Исходн.данные.!$P260="Ум",P_OrgUd_1g_um,IF(Исходн.данные.!$P260="Об",P_OrgUd_1g_ob))</f>
        <v>0</v>
      </c>
      <c r="AQ260" s="148" t="b">
        <f>IF(Исходн.данные.!$P260="Ум",K_OrgUd_1g_um,IF(Исходн.данные.!$P260="Об",K_OrgUd_1g_ob))</f>
        <v>0</v>
      </c>
      <c r="AR260" t="b">
        <f>IF(Исходн.данные.!$P260="Ум",N_MinUd_2g_um,IF(Исходн.данные.!$P260="Об",N_MinUd_2g_ob))</f>
        <v>0</v>
      </c>
      <c r="AS260" t="b">
        <f>IF(Исходн.данные.!$P260="Ум",P_MinUd_2g_um,IF(Исходн.данные.!$P260="Об",P_MinUd_2g_ob))</f>
        <v>0</v>
      </c>
      <c r="AT260" t="b">
        <f>IF(Исходн.данные.!$P260="Ум",K_MinUd_2g_um,IF(Исходн.данные.!$P260="Об",K_MinUd_2g_ob))</f>
        <v>0</v>
      </c>
      <c r="AU260" t="b">
        <f>IF(Исходн.данные.!$P260="Ум",N_MinUd_1g_um,IF(Исходн.данные.!$P260="Об",N_MinUd_1g_ob))</f>
        <v>0</v>
      </c>
      <c r="AV260" t="b">
        <f>IF(Исходн.данные.!P260="Ум",P_MinUd_1g_um,IF(Исходн.данные.!P260="Об",P_MinUd_1g_ob))</f>
        <v>0</v>
      </c>
      <c r="AW260" t="b">
        <f>IF(Исходн.данные.!P260="Ум",K_MinUd_1g_um,IF(Исходн.данные.!P260="Об",K_MinUd_1g_ob))</f>
        <v>0</v>
      </c>
      <c r="AY260" t="e">
        <f>VLOOKUP(Исходн.данные.!T260,Справ!$A$3:$N$57,12)</f>
        <v>#N/A</v>
      </c>
      <c r="AZ260" t="e">
        <f>VLOOKUP(Исходн.данные.!T260,Справ!$A$3:$N$57,13)</f>
        <v>#N/A</v>
      </c>
      <c r="BA260" t="e">
        <f>VLOOKUP(Исходн.данные.!T260,Справ!$A$3:$N$57,14)</f>
        <v>#N/A</v>
      </c>
      <c r="BB260">
        <f>IF(Исходн.данные.!AH260=0,0,25)</f>
        <v>0</v>
      </c>
      <c r="BC260" s="141">
        <f>IF(Исходн.данные.!AH260=0,0,IF(Исходн.данные.!T260=0,25,BD260))</f>
        <v>0</v>
      </c>
      <c r="BD260" s="168" t="e">
        <f>AY260+AZ260*Исходн.данные.!U260-POWER(BA260,2)*Исходн.данные.!U260</f>
        <v>#N/A</v>
      </c>
      <c r="BE26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0" s="25">
        <f>IF(Исходн.данные.!AH260=0,0,MIN(HN260:HP260))</f>
        <v>0</v>
      </c>
      <c r="BG260" s="9">
        <f>IF(Исходн.данные.!AH260=0,0,IF((HO260+10*0.25/HG260/HL260)&lt;17,17,HO260+10*0.25/HG260/HL260))</f>
        <v>0</v>
      </c>
      <c r="BH260" s="181">
        <f>IF(Исходн.данные.!AH260=0,0,HW260*HF260*HL260/AU260*AI260+Исходн.данные.!S260*10)</f>
        <v>0</v>
      </c>
      <c r="BI260" s="10"/>
      <c r="BJ260" s="182">
        <f>IF(Исходн.данные.!AH260=0,0,IF(HX260*HG260*HL260/AV260&lt;0,0,HX260*HG260*HL260/AV260*AJ260))</f>
        <v>0</v>
      </c>
      <c r="BK260" s="182">
        <f>IF(Исходн.данные.!AH260=0,0,HY260*HH260*HM260/AW260)</f>
        <v>0</v>
      </c>
      <c r="BL260" s="10">
        <f>IF(OR(Исходн.данные.!$AH260=$BP$1,Исходн.данные.!$AH260=$BP$2),0,IF(BH260&lt;0,0,IF(OR(Исходн.данные.!T260=Расчет!$BP$1,Исходн.данные.!T260=Расчет!$BP$2,Исходн.данные.!T260=Расчет!$BT$5,Исходн.данные.!T260=Расчет!$BT$6),BH260*0.5,IF(OR(Исходн.данные.!T260=Расчет!$BS$9,Исходн.данные.!T260=Расчет!$BS$10,Исходн.данные.!T260=Расчет!$BS$11,Исходн.данные.!T260=Расчет!$BS$12,Исходн.данные.!T260=Расчет!$BP$5),BH260*0.8,BH260))))</f>
        <v>0</v>
      </c>
      <c r="BM260" s="10">
        <f>IF(OR(Исходн.данные.!$AH260=$BP$1,Исходн.данные.!$AH260=$BP$2),0,IF(BJ260&lt;0,0,IF(Исходн.данные.!I260&lt;4.5,BJ260*1.2,IF(Исходн.данные.!I260&gt;5.1,BJ260,BJ260*((5.1-Исходн.данные.!I260)*0.333+1)))))</f>
        <v>0</v>
      </c>
      <c r="BN260" s="10">
        <f>IF(OR(Исходн.данные.!$AH260=$BP$1,Исходн.данные.!$AH260=$BP$2),60-Исходн.данные.!AF260,IF(BK260&lt;0,0,IF(Исходн.данные.!I260&lt;4.5,BK260*1.2,IF(Исходн.данные.!I260&gt;5.1,BK260,BK260*((5.1-Исходн.данные.!I260)*0.333+1)))))</f>
        <v>0</v>
      </c>
      <c r="BO260" s="9">
        <f>IF(BL260&lt;0,0,BL260*Исходн.данные.!$AJ260/1000)</f>
        <v>0</v>
      </c>
      <c r="BP260" s="9">
        <f>IF(BM260&lt;0,0,BM260*Исходн.данные.!$AJ260/1000)</f>
        <v>0</v>
      </c>
      <c r="BQ260" s="9">
        <f>IF(BN260&lt;0,0,BN260*Исходн.данные.!$AJ260/1000)</f>
        <v>0</v>
      </c>
      <c r="BR260" s="9">
        <f t="shared" si="303"/>
        <v>0</v>
      </c>
      <c r="BS260" s="10" t="str">
        <f t="shared" si="304"/>
        <v>Аммофос 12:52:00</v>
      </c>
      <c r="BT260" s="10" t="str">
        <f t="shared" si="305"/>
        <v>Аммофос 12:52:00</v>
      </c>
      <c r="BU260" s="10" t="str">
        <f t="shared" si="306"/>
        <v>Диаммофоска</v>
      </c>
      <c r="BV260" s="10">
        <f t="shared" si="307"/>
        <v>0</v>
      </c>
      <c r="BW260" s="10"/>
      <c r="BX260" s="10"/>
      <c r="BY260" s="9">
        <f>IF(BL260&lt;0,0,IF(OR(Исходн.данные.!AI260=Расчет!$BU$6,Исходн.данные.!AI260=Расчет!$BU$7),Расчет!BV260,IF(Исходн.данные.!$AG260=$BV$11,BL260,IF(OR(Исходн.данные.!$AH260=$BQ$7,Исходн.данные.!$AH260=$BQ$8),CB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0,IF(Исходн.данные.!$AI260=$BU$11,"Нет",IF(BL260&gt;30,30,BL260)))))))</f>
        <v>0</v>
      </c>
      <c r="BZ260" s="9">
        <f>IF(AND(Исходн.данные.!$AG260=$BV$11,BM260&lt;10),10,IF(Исходн.данные.!$AG260=$BV$11,BM260,IF(OR(Исходн.данные.!$AH260=$BQ$7,Исходн.данные.!$AH260=$BQ$8),CC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10,IF(Исходн.данные.!$AI260=$BU$11,"Нет",IF(BM260&gt;60,60,IF(BM260&lt;10,10,BM260)))))))</f>
        <v>10</v>
      </c>
      <c r="CA260" s="39">
        <f>IF(BN260&lt;0,0,IF(Исходн.данные.!$AG260=$BV$11,BN260,IF(OR(Исходн.данные.!$AH260=$BQ$7,Исходн.данные.!$AH260=$BQ$8),CD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0,IF(Исходн.данные.!$AI260=$BU$11,"Нет",IF(BN260&gt;30,30,BN260))))))</f>
        <v>0</v>
      </c>
      <c r="CB260" s="9">
        <f t="shared" si="308"/>
        <v>0</v>
      </c>
      <c r="CC260" s="9">
        <f t="shared" si="309"/>
        <v>0</v>
      </c>
      <c r="CD260" s="9">
        <f t="shared" si="310"/>
        <v>0</v>
      </c>
      <c r="CE260" s="12">
        <f t="shared" si="311"/>
        <v>10</v>
      </c>
      <c r="CF260" s="9">
        <f t="shared" si="312"/>
        <v>0</v>
      </c>
      <c r="CG260" s="9" t="s">
        <v>231</v>
      </c>
      <c r="CH260" s="132" t="str">
        <f>IF(Исходн.данные.!AP260=Расчет!$CI$16,"Нет",IF(Исходн.данные.!AL260&gt;0,Исходн.данные.!AL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BH$4,IF(OR(Исходн.данные.!AI260=Исходн.данные.!$AI$6,Исходн.данные.!AI260=Исходн.данные.!$AI$7),Расчет!BS260,IF(AND($CF260=0,$CE260&gt;0),EV260,ER260)))))</f>
        <v>Аммофос 12:52:00</v>
      </c>
      <c r="CI260" s="274">
        <f>IF(Расчет!$CH260="Нет","Нет",IF(Исходн.данные.!$AL260&gt;0,VLOOKUP(Расчет!$CH260,АшламаДВ_Irekle,2,FALSE),VLOOKUP(Расчет!$CH260,АшламаДВ_Gomumy,2,FALSE)))</f>
        <v>0.12</v>
      </c>
      <c r="CJ260" s="274">
        <f>IF(Расчет!$CH260="Нет","Нет",IF(Исходн.данные.!$AL260&gt;0,VLOOKUP(Расчет!$CH260,АшламаДВ_Irekle,3,FALSE),VLOOKUP(Расчет!$CH260,АшламаДВ_Gomumy,3,FALSE)))</f>
        <v>0.52</v>
      </c>
      <c r="CK260" s="274">
        <f>IF(Расчет!$CH260="Нет","Нет",IF(Исходн.данные.!$AL260&gt;0,VLOOKUP(Расчет!$CH260,АшламаДВ_Irekle,4,FALSE),VLOOKUP(Расчет!$CH260,АшламаДВ_Gomumy,4,FALSE)))</f>
        <v>0</v>
      </c>
      <c r="CL260" s="70"/>
      <c r="CM260" s="70"/>
      <c r="CN260" s="70"/>
      <c r="CO260" s="70"/>
      <c r="CP260" s="70"/>
      <c r="CQ260" s="70"/>
      <c r="CR260" s="10">
        <f t="shared" si="313"/>
        <v>0</v>
      </c>
      <c r="CS260" s="10">
        <f t="shared" si="314"/>
        <v>19.23076923076923</v>
      </c>
      <c r="CT260" s="10">
        <f t="shared" si="315"/>
        <v>0</v>
      </c>
      <c r="CU260" s="39">
        <f>IF($CH260="Нет",0,IF(CI260=0,30/MIN(CJ260:CK260),IF(Исходн.данные.!$AG260=$BV$11,CR260,IF(OR(Исходн.данные.!$AH260=$BQ$7,Исходн.данные.!$AH260=$BQ$8),90/CI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0,IF(Исходн.данные.!$AI260=$BU$11,"Нет",30/CI260))))))</f>
        <v>250</v>
      </c>
      <c r="CV260" s="39">
        <f>IF($CH260="Нет",0,IF(Исходн.данные.!AH260=0,0,IF(CJ260=0,60/MIN(CI260,CK260),IF(Исходн.данные.!$AG260=$BV$11,CS260,IF(OR(Исходн.данные.!$AH260=$BQ$7,Исходн.данные.!$AH260=$BQ$8),90/CJ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10/CJ260,IF(Исходн.данные.!$AI260=$BU$11,"Нет",60/CJ260)))))))</f>
        <v>0</v>
      </c>
      <c r="CW260" s="39">
        <f>IF($CH260="Нет",0,IF(Исходн.данные.!AH260=0,0,IF(CK260=0,30/MIN(CI260:CJ260),IF(Исходн.данные.!$AG260=$BV$11,CT260,IF(OR(Исходн.данные.!$AH260=$BQ$7,Исходн.данные.!$AH260=$BQ$8),90/CK260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0,IF(Исходн.данные.!$AI260=$BU$11,"Нет",30/CK260)))))))</f>
        <v>0</v>
      </c>
      <c r="CX260" s="133">
        <f>IF(Исходн.данные.!$AG260=$BV$11,MAX(CU260:CW260),IF(OR(Исходн.данные.!$AH260=$BS$8,Исходн.данные.!$AH260=$BQ$9,Исходн.данные.!$AH260=$BQ$10,Исходн.данные.!$AH260=$BQ$11,Исходн.данные.!$AH260=$BQ$12,Исходн.данные.!$AH260=$BP$3,Исходн.данные.!$AH260=$BT$8,$FM260="Да"),CV260,MIN(CU260:CW260)))</f>
        <v>0</v>
      </c>
      <c r="CY260" s="133">
        <f>IF(Исходн.данные.!AH260=0,0,IF(CR260&gt;$CX260,$CX260,CR260))</f>
        <v>0</v>
      </c>
      <c r="CZ260" s="133">
        <f>IF(Исходн.данные.!AH260=0,0,IF(CS260&gt;$CX260,$CX260,CS260))</f>
        <v>0</v>
      </c>
      <c r="DA260" s="133">
        <f>IF(Исходн.данные.!AH260=0,0,IF(CT260&gt;$CX260,$CX260,CT260))</f>
        <v>0</v>
      </c>
      <c r="DB260" s="10">
        <f t="shared" si="316"/>
        <v>0</v>
      </c>
      <c r="DC260" s="39">
        <f>DB260*Исходн.данные.!AJ260/1000</f>
        <v>0</v>
      </c>
      <c r="DD260" s="71">
        <f t="shared" si="317"/>
        <v>0</v>
      </c>
      <c r="DE260" s="9">
        <f t="shared" si="318"/>
        <v>0</v>
      </c>
      <c r="DF260" s="9">
        <f t="shared" si="319"/>
        <v>0</v>
      </c>
      <c r="DG260" s="39">
        <f>IF(BL260&lt;0,0,IF($CH260="Нет",BL260,IF(OR(Исходн.данные.!$AH260=$BP$1,Исходн.данные.!$AH260=$BP$2),0,IF(Исходн.данные.!AI260=$BU$11,BL260,IF(BL260-DD260&lt;0,0,BL260-DD260)))))</f>
        <v>0</v>
      </c>
      <c r="DH260" s="39">
        <f>IF(BM260&lt;0,0,IF($CH260="Нет",BM260,IF(OR(Исходн.данные.!$AH260=$BP$1,Исходн.данные.!$AH260=$BP$2),0,IF(Исходн.данные.!AJ260=$BU$11,BM260,IF(BM260-DE260&lt;0,0,BM260-DE260)))))</f>
        <v>0</v>
      </c>
      <c r="DI260" s="39">
        <f>IF(BN260&lt;0,0,IF($CH260="Нет",BN260,IF(OR(Исходн.данные.!$AH260=$BP$1,Исходн.данные.!$AH260=$BP$2),0,IF(Исходн.данные.!AK260=$BU$11,BN260,IF(BN260-DF260&lt;0,0,BN260-DF260)))))</f>
        <v>0</v>
      </c>
      <c r="DJ260" s="12">
        <f t="shared" si="320"/>
        <v>0</v>
      </c>
      <c r="DK260" s="9">
        <f t="shared" si="321"/>
        <v>0</v>
      </c>
      <c r="DL260" s="39">
        <f>IF(Исходн.данные.!AM260&gt;0,Исходн.данные.!AM260,IF(EG260&gt;0,$BH$10,0))</f>
        <v>0</v>
      </c>
      <c r="DM260" s="186">
        <f>IF($DL260=0,0,IF(Исходн.данные.!AM260&gt;0,VLOOKUP($DL260,АшламаДВ_Irekle,2,FALSE),VLOOKUP($DL260,АшламаДВ_Gomumy,2,FALSE)))</f>
        <v>0</v>
      </c>
      <c r="DN260" s="10">
        <f t="shared" si="299"/>
        <v>0</v>
      </c>
      <c r="DO260" s="9" t="str">
        <f>IF(Исходн.данные.!AN260&gt;0,Исходн.данные.!AN260,Удобрения!$B$37 )</f>
        <v>Хлор.калий</v>
      </c>
      <c r="DP260" s="9">
        <f>IF(Исходн.данные.!AN260&gt;0,VLOOKUP(Исходн.данные.!AN260,АшламаДВ_Irekle,4,FALSE),VLOOKUP(DO260,АшламаДВ_Gomumy,4,FALSE))</f>
        <v>0.6</v>
      </c>
      <c r="DQ260" s="10">
        <f t="shared" si="300"/>
        <v>0</v>
      </c>
      <c r="DR260" s="132" t="str">
        <f>IF(Исходн.данные.!AO260&gt;0,Исходн.данные.!AO260,IF(DH260=0,BS$17,IF(AND($DK260=0,$DJ260&gt;0),EJ260,EN260)))</f>
        <v>Нет</v>
      </c>
      <c r="DS260" s="70" t="str">
        <f>IF($DR260="Нет","Нет",IF(Исходн.данные.!$AO260&gt;0,VLOOKUP($DR260,АшламаДВ_Irekle,2,FALSE),VLOOKUP($DR260,АшламаДВ_Gomumy,2,FALSE)))</f>
        <v>Нет</v>
      </c>
      <c r="DT260" s="70" t="str">
        <f>IF($DR260="Нет","Нет",IF(Исходн.данные.!$AO260&gt;0,VLOOKUP($DR260,АшламаДВ_Irekle,3,FALSE),VLOOKUP($DR260,АшламаДВ_Gomumy,3,FALSE)))</f>
        <v>Нет</v>
      </c>
      <c r="DU260" s="70" t="str">
        <f>IF($DR260="Нет","Нет",IF(Исходн.данные.!$AO260&gt;0,VLOOKUP($DR260,АшламаДВ_Irekle,4,FALSE),VLOOKUP($DR260,АшламаДВ_Gomumy,4,FALSE)))</f>
        <v>Нет</v>
      </c>
      <c r="DV260" s="70"/>
      <c r="DW260" s="70"/>
      <c r="DX260" s="70"/>
      <c r="DY260" s="10">
        <f t="shared" si="322"/>
        <v>0</v>
      </c>
      <c r="DZ260" s="10">
        <f t="shared" si="323"/>
        <v>0</v>
      </c>
      <c r="EA260" s="10">
        <f t="shared" si="324"/>
        <v>0</v>
      </c>
      <c r="EB260" s="10">
        <f t="shared" si="325"/>
        <v>0</v>
      </c>
      <c r="EC260" s="10">
        <f t="shared" si="326"/>
        <v>0</v>
      </c>
      <c r="ED260" s="10">
        <f t="shared" si="327"/>
        <v>0</v>
      </c>
      <c r="EE260" s="10">
        <f t="shared" si="328"/>
        <v>0</v>
      </c>
      <c r="EF260" s="39">
        <f>EB260*Исходн.данные.!AJ260/1000</f>
        <v>0</v>
      </c>
      <c r="EG260" s="9">
        <f t="shared" si="329"/>
        <v>0</v>
      </c>
      <c r="EH260" s="9">
        <f t="shared" si="330"/>
        <v>0</v>
      </c>
      <c r="EI260" s="39" t="e">
        <f t="shared" si="280"/>
        <v>#DIV/0!</v>
      </c>
      <c r="EJ260" s="9" t="str">
        <f t="shared" si="301"/>
        <v>Азопреципитат</v>
      </c>
      <c r="EK260" s="12">
        <f t="shared" si="281"/>
        <v>0.26</v>
      </c>
      <c r="EL260" s="12">
        <f t="shared" si="282"/>
        <v>0.13</v>
      </c>
      <c r="EM260" s="12">
        <f t="shared" si="283"/>
        <v>0</v>
      </c>
      <c r="EN260" s="12" t="str">
        <f t="shared" si="302"/>
        <v>Нет</v>
      </c>
      <c r="EO260" s="12">
        <f t="shared" si="284"/>
        <v>0</v>
      </c>
      <c r="EP260" s="12">
        <f t="shared" si="285"/>
        <v>0</v>
      </c>
      <c r="EQ260" s="12">
        <f t="shared" si="286"/>
        <v>0</v>
      </c>
      <c r="ER260" s="12" t="str">
        <f t="shared" si="331"/>
        <v>Диаммофоска</v>
      </c>
      <c r="ES260" s="12">
        <f t="shared" si="287"/>
        <v>0.1</v>
      </c>
      <c r="ET260" s="12">
        <f t="shared" si="288"/>
        <v>0.26</v>
      </c>
      <c r="EU260" s="12">
        <f t="shared" si="289"/>
        <v>0.26</v>
      </c>
      <c r="EV260" s="12" t="str">
        <f t="shared" si="332"/>
        <v>Аммофос 12:52:00</v>
      </c>
      <c r="EW260" s="12" t="str">
        <f t="shared" si="333"/>
        <v>Кемира Свекловичное-6</v>
      </c>
      <c r="EX260" s="12">
        <f t="shared" si="290"/>
        <v>0.16</v>
      </c>
      <c r="EY260" s="12">
        <f t="shared" si="291"/>
        <v>0.12</v>
      </c>
      <c r="EZ260" s="12">
        <f t="shared" si="292"/>
        <v>0.17</v>
      </c>
      <c r="FA260" s="38" t="e">
        <f>IF(AND(OR(FJ260=$FD$1,FM260=$FD$1,FO260=$FD$1,FQ260=$FD$1,FS260=$FD$1),FD260=$FD$1,Исходн.данные.!J260&lt;2,FU260=$FD$1),"Бор,Кобальт",IF(AND(FO260=$FD$1,FH260=$FD$1,Исходн.данные.!J260&lt;2,FU260=$FD$1),"Бор,Кобальт",IF(AND(OR(FJ260=$FD$1,FM260=$FD$1,FQ260=$FD$1),FE260=$FD$1,Исходн.данные.!J260&lt;2,FT260=$FD$1,FU260=$FD$1),"Бор,Медь,Цинк",IF(AND(OR(FJ260=$FD$1,FR260="Да"),FI260="Да",Исходн.данные.!J260&lt;2,FT260="Да",FU260="Да"),"Бор,Цинк,Медь",IF(AND(OR(FM260="Да",FQ260="Да"),FI260="Да",Исходн.данные.!J260&lt;2,FT260="Да",FU260="Да"),"Бор,Цинк",IF(AND(FN260="Да",OR(FD260="Да",FE260="Да")),"Бор",FB260))))))</f>
        <v>#N/A</v>
      </c>
      <c r="FB260" s="134" t="e">
        <f>IF(AND(OR(FD260="Да",FE260="Да",FF260="Да",FG260="Да",FH260="Да"),FO260="Да"),"Бор",IF(AND(FP260="Да",OR(FD260="Да",FE260="Да",FI260="Да")),"Бор",IF(AND(FS260="Да",FE260="Да"),"Бор,Медь",IF(AND(OR(FJ260="Да",FK260="Да",FL260="Да"),FE260="Да",Исходн.данные.!I260&lt;5,FT260="Да",FU260="Да"),"Молибден,Цинк",IF(AND(FM260="Да",OR(FE260="Да",FF260="Да",FG260="Да",FH260="Да",FI260="Да")),"Молибден,Цинк",IF(AND(OR(FJ260="Да",FK260="Да",FL260="Да",FM260="Да",FQ260="Да"),OR(FE260="Да",FF260="Да"),FT260="Да",FU260="Да",Исходн.данные.!I260&gt;5.5),"Медь,Цинк",FC260))))))</f>
        <v>#N/A</v>
      </c>
      <c r="FC260" s="23" t="e">
        <f t="shared" si="334"/>
        <v>#N/A</v>
      </c>
      <c r="FD260" s="38" t="str">
        <f>IF(OR(Исходн.данные.!F260=$CC$1,Исходн.данные.!F260=$CC$2,Исходн.данные.!F260=$CC$3,Исходн.данные.!F260=$CC$4),"Да","Нет")</f>
        <v>Нет</v>
      </c>
      <c r="FE260" s="38" t="str">
        <f>IF(Исходн.данные.!F260=$CC$5,"Да","Нет")</f>
        <v>Нет</v>
      </c>
      <c r="FF260" s="38" t="str">
        <f>IF(OR(Исходн.данные.!F260=$CC$6,Исходн.данные.!F260=$CC$7),"Да","Нет")</f>
        <v>Нет</v>
      </c>
      <c r="FG260" s="38" t="str">
        <f>IF(OR(Исходн.данные.!F260=$CC$8,Исходн.данные.!F260=$CC$9),"Да","Нет")</f>
        <v>Нет</v>
      </c>
      <c r="FH260" s="38" t="str">
        <f>IF(Исходн.данные.!F260=$CC$10,"Да","Нет")</f>
        <v>Нет</v>
      </c>
      <c r="FI260" s="38" t="str">
        <f>IF(OR(Исходн.данные.!F260=$CC$11,Исходн.данные.!F260=$CC$12),"Да","Нет")</f>
        <v>Нет</v>
      </c>
      <c r="FJ260" s="38" t="str">
        <f>IF(OR(Исходн.данные.!AH260=$BS$1,Исходн.данные.!AH260=$BQ$11,Исходн.данные.!AH260=$BQ$12),"Да","Нет")</f>
        <v>Нет</v>
      </c>
      <c r="FK260" s="38" t="str">
        <f>IF(OR(Исходн.данные.!AH260=$BS$2,Исходн.данные.!AH260=$BS$4),"Да","Нет")</f>
        <v>Нет</v>
      </c>
      <c r="FL260" s="38" t="str">
        <f>IF(OR(Исходн.данные.!AH260=$BS$3,Исходн.данные.!AH260=$BS$5),"Да","Нет")</f>
        <v>Нет</v>
      </c>
      <c r="FM260" s="38" t="str">
        <f>IF(OR(Исходн.данные.!AH260=$BS$9,Исходн.данные.!AH260=$BS$10,Исходн.данные.!AH260=$BS$11,Исходн.данные.!AH260=$BS$12),"Да","Нет")</f>
        <v>Нет</v>
      </c>
      <c r="FN260" s="38" t="str">
        <f>IF(OR(Исходн.данные.!AH260=$BS$6,Исходн.данные.!AH260=$BP$3),"Да","Нет")</f>
        <v>Нет</v>
      </c>
      <c r="FO260" s="38" t="str">
        <f>IF(Исходн.данные.!AH260=$BQ$9,"Да","Нет")</f>
        <v>Нет</v>
      </c>
      <c r="FP260" s="38" t="str">
        <f>IF(OR(Исходн.данные.!AH260=$BS$8,Исходн.данные.!AH260=$BT$8),"Да","Нет")</f>
        <v>Нет</v>
      </c>
      <c r="FQ260" s="38" t="str">
        <f>IF(OR(Исходн.данные.!AH260=$BQ$7,Исходн.данные.!AH260=$BQ$8),"Да","Нет")</f>
        <v>Нет</v>
      </c>
      <c r="FR260" s="38" t="str">
        <f>IF(Исходн.данные.!AI260=$BU$9,"Да","Нет")</f>
        <v>Нет</v>
      </c>
      <c r="FS260" s="38" t="str">
        <f>IF(OR(Исходн.данные.!AH260=$BP$1,Исходн.данные.!AH260=$BP$2),"Да","Нет")</f>
        <v>Нет</v>
      </c>
      <c r="FT260" s="38" t="e">
        <f>IF((Исходн.данные.!K260*GO260*GS260*GW260+BL260*0.6+Исходн.данные.!Q260*4.5*0.275)&gt;90,"Да","Нет")</f>
        <v>#N/A</v>
      </c>
      <c r="FU260" s="38" t="e">
        <f>IF((Исходн.данные.!M260*GS260*GZ260+BM260*0.225)&gt;35,"Да","Нет")</f>
        <v>#N/A</v>
      </c>
      <c r="FV260" s="38" t="str">
        <f>IF(Исходн.данные.!O260&gt;175,"Да","Нет")</f>
        <v>Нет</v>
      </c>
      <c r="FW260" s="39" t="str">
        <f>IF(Исходн.данные.!I260&gt;5.5,"Да","Нет")</f>
        <v>Нет</v>
      </c>
      <c r="FX260" s="39" t="str">
        <f>IF(Исходн.данные.!J260&lt;2,"Да","Нет")</f>
        <v>Да</v>
      </c>
      <c r="FY260" s="39" t="e">
        <f>IF(HF260=$FY$16,0,Исходн.данные.!K260*GO260*GS260*GW260/HF260)</f>
        <v>#N/A</v>
      </c>
      <c r="FZ260" s="39" t="e">
        <f>Исходн.данные.!M260*GS260*GZ260/HG260</f>
        <v>#N/A</v>
      </c>
      <c r="GA260" s="39" t="e">
        <f>IF(K_Wyn=$FY$16,0,IF(Исходн.данные.!N260=Исходн.данные.!$L$10,Исходн.данные.!O260/1.1*GS260*HC260/HH260,IF(Исходн.данные.!N260=Исходн.данные.!$L$12,Исходн.данные.!O260/1.5*GS260*HC260/HH260,Исходн.данные.!O260*GS260*HC260/HH260)))</f>
        <v>#N/A</v>
      </c>
      <c r="GB260" s="39" t="e">
        <f>IF(HF260=$FY$16,0,((Исходн.данные.!Q260*N_Org+Исходн.данные.!R260*N_Sider+Исходн.данные.!S260*N_Soloma)*AO260+Расчет!BC260*VLOOKUP(Исходн.данные.!T260,Справ!$A$3:$O$57,15)*AO260+BB260*VLOOKUP(Исходн.данные.!T260,Справ!$A$3:$O$57,15)*AL260+(Исходн.данные.!V260*N_Rizotorf+Исходн.данные.!W260*N_Rizoagr))/HF260)</f>
        <v>#N/A</v>
      </c>
      <c r="GC260" s="39" t="e">
        <f>IF(HG260=$FY$16,0,((Исходн.данные.!Q260*Р_Org+Исходн.данные.!R260*P_Sider+Исходн.данные.!S260*P_Soloma)*AP260+Расчет!BC260*VLOOKUP(Исходн.данные.!T260,Справ!$A$3:$P$57,16)*AP260+BB260*VLOOKUP(Исходн.данные.!T260,Справ!$A$3:$P$57,16)*AM260)/HG260)</f>
        <v>#N/A</v>
      </c>
      <c r="GD260" s="39" t="e">
        <f>IF(HH260=$FY$16,0,((Исходн.данные.!Q260*К_Org+Исходн.данные.!R260*K_Sider+Исходн.данные.!S260*K_Soloma)*AQ260+Расчет!BC260*VLOOKUP(Исходн.данные.!T260,Справ!$A$3:$Q$57,17)*AQ260+BB260*VLOOKUP(Исходн.данные.!T260,Справ!$A$3:$Q$57,17)*AN260)/HH260)</f>
        <v>#N/A</v>
      </c>
      <c r="GE260" s="39" t="e">
        <f>IF(HF260=$FY$16,0,(Исходн.данные.!X260*AR260+Исходн.данные.!AA260*N_Org*AL260+Исходн.данные.!AB260*N_Sider*AL260+Исходн.данные.!AC260*N_Soloma*AL260)/HF260)</f>
        <v>#N/A</v>
      </c>
      <c r="GF260" s="39" t="e">
        <f>IF(HG260=$FY$16,0,(Исходн.данные.!Y260*AS260+Исходн.данные.!AA260*Р_Org*AM260+Исходн.данные.!AB260*P_Sider*AM260+Исходн.данные.!AC260*P_Soloma*AM260)/HG260)</f>
        <v>#N/A</v>
      </c>
      <c r="GG260" s="39" t="e">
        <f>IF(HH260=$FY$16,0,(Исходн.данные.!Z260*AT260+Исходн.данные.!AA260*К_Org*AN260+Исходн.данные.!AB260*K_Sider*AN260+Исходн.данные.!AC260*K_Soloma*AN260)/HH260)</f>
        <v>#N/A</v>
      </c>
      <c r="GH260" s="39" t="e">
        <f>Исходн.данные.!AD260*AU260/HF260</f>
        <v>#N/A</v>
      </c>
      <c r="GI260" s="39" t="e">
        <f>Исходн.данные.!AE260*AV260/HG260</f>
        <v>#N/A</v>
      </c>
      <c r="GJ260" s="39" t="e">
        <f>Исходн.данные.!AF260*AW260/HH260</f>
        <v>#N/A</v>
      </c>
      <c r="GK260" s="55">
        <f>Исходн.данные.!AK260</f>
        <v>0</v>
      </c>
      <c r="GL260" s="11" t="e">
        <f t="shared" si="335"/>
        <v>#N/A</v>
      </c>
      <c r="GM260" s="11" t="e">
        <f t="shared" si="336"/>
        <v>#N/A</v>
      </c>
      <c r="GN260" s="11" t="e">
        <f t="shared" si="337"/>
        <v>#N/A</v>
      </c>
      <c r="GO260" s="57">
        <f t="shared" si="338"/>
        <v>19</v>
      </c>
      <c r="GP260" s="55">
        <f>IF(OR(Исходн.данные.!F260=$CE$1,Исходн.данные.!F260=$CE$2,Исходн.данные.!F260=$CE$3,Исходн.данные.!F260=$CE$4,Исходн.данные.!F260=$CE$5),GQ260,GR260)</f>
        <v>19</v>
      </c>
      <c r="GQ260" s="55">
        <f>IF(Исходн.данные.!F260=$CE$1,28,IF(Исходн.данные.!F260=$CE$2,26,IF(Исходн.данные.!F260=$CE$3,24,IF(Исходн.данные.!F260=$CE$4,22,IF(Исходн.данные.!F260=$CE$5,20,GR260)))))</f>
        <v>19</v>
      </c>
      <c r="GR260" s="55">
        <f>IF(Исходн.данные.!F260=$CE$6,18,IF(Исходн.данные.!F260=$CE$7,16,IF(Исходн.данные.!F260=$CE$8,14,IF(Исходн.данные.!F260=$CE$9,13,IF(Исходн.данные.!F260=$CE$10,12,19)))))</f>
        <v>19</v>
      </c>
      <c r="GS260" s="55">
        <f>IF(Исходн.данные.!G260="Пес",0.035*(40+2*Исходн.данные.!H260),IF(Исходн.данные.!G260="Суп",0.0325*(40+2*Исходн.данные.!H260),0.03*(40+2*Исходн.данные.!H260)))</f>
        <v>1.2</v>
      </c>
      <c r="GT260" s="55">
        <f>IF(Исходн.данные.!H260&lt;23,2.6,IF(AND(Исходн.данные.!H260&gt;22,Исходн.данные.!H260&lt;26),3,IF(AND(Исходн.данные.!H260&gt;25,Исходн.данные.!H260&lt;29),3.4,3.6)))</f>
        <v>2.6</v>
      </c>
      <c r="GU260" s="55">
        <f>IF(Исходн.данные.!H260&lt;23,2.8,IF(AND(Исходн.данные.!H260&gt;22,Исходн.данные.!H260&lt;26),3.2,IF(AND(Исходн.данные.!H260&gt;25,Исходн.данные.!H260&lt;29),3.6,3.9)))</f>
        <v>2.8</v>
      </c>
      <c r="GV260" s="55">
        <f>IF(Исходн.данные.!H260&lt;23,3,IF(AND(Исходн.данные.!H260&gt;22,Исходн.данные.!H260&lt;26),3.5,IF(AND(Исходн.данные.!H260&gt;25,Исходн.данные.!H260&lt;29),3.9,4.2)))</f>
        <v>3</v>
      </c>
      <c r="GW260" s="55" t="e">
        <f>IF(Исходн.данные.!P260="Ум",GX260,GY260)</f>
        <v>#N/A</v>
      </c>
      <c r="GX260" s="55" t="e">
        <f>VLOOKUP(Исходн.данные.!AI260,Коэффициенты!$J$7:$L$13,2,FALSE)</f>
        <v>#N/A</v>
      </c>
      <c r="GY260" s="55" t="e">
        <f>VLOOKUP(Исходн.данные.!AI260,Коэффициенты!$J$7:$L$13,3,FALSE)</f>
        <v>#N/A</v>
      </c>
      <c r="GZ260" s="55" t="e">
        <f>(IF(Исходн.данные.!M260&lt;50,0.11*VLOOKUP(Исходн.данные.!AH260,Культуры.Информация,7,FALSE),IF(Исходн.данные.!M260&gt;250,0.05*VLOOKUP(Исходн.данные.!AH260,Культуры.Информация,7,FALSE),VLOOKUP(Исходн.данные.!AH260,Культуры.Информация,5,FALSE)/100*($GX$6+$GY$6*Исходн.данные.!M260))))*Расчет2!AI260</f>
        <v>#N/A</v>
      </c>
      <c r="HA260" s="211"/>
      <c r="HB260" s="211"/>
      <c r="HC260" s="55" t="e">
        <f>(IF(Исходн.данные.!O260&lt;80,0.2*VLOOKUP(Исходн.данные.!AH260,Культуры.Информация,8,FALSE),IF(Исходн.данные.!O260&gt;240,0.09*VLOOKUP(Исходн.данные.!AH260,Культуры.Информация,8,FALSE),VLOOKUP(Исходн.данные.!AH260,Культуры.Информация,6,FALSE)/100*($HB$6+$HC$6*Исходн.данные.!O260))))*Расчет2!AJ260</f>
        <v>#N/A</v>
      </c>
      <c r="HD260" s="55">
        <f>IF(Исходн.данные.!O260&gt;240,0.09,IF(Исходн.данные.!O260&lt;30,0.3,$HE$10+$HD$10*Исходн.данные.!O260))</f>
        <v>0.3</v>
      </c>
      <c r="HE260" s="55">
        <f>IF(Исходн.данные.!O260&gt;240,0.17,IF(Исходн.данные.!O260&lt;30,0.5,$HF$12+$HE$12*Исходн.данные.!O260))</f>
        <v>0.5</v>
      </c>
      <c r="HF260" s="55" t="e">
        <f>VLOOKUP(Исходн.данные.!AH260,Справ!$A$3:$D$58,2,FALSE)</f>
        <v>#N/A</v>
      </c>
      <c r="HG260" s="55" t="e">
        <f>VLOOKUP(Исходн.данные.!AH260,Справ!$A$3:$D$58,3,FALSE)</f>
        <v>#N/A</v>
      </c>
      <c r="HH260" s="55" t="e">
        <f>VLOOKUP(Исходн.данные.!AH260,Справ!$A$3:$D$58,4,FALSE)</f>
        <v>#N/A</v>
      </c>
      <c r="HI260" s="11" t="e">
        <f t="shared" si="339"/>
        <v>#N/A</v>
      </c>
      <c r="HJ260" s="11" t="e">
        <f t="shared" si="340"/>
        <v>#N/A</v>
      </c>
      <c r="HK260" s="11" t="e">
        <f t="shared" si="341"/>
        <v>#N/A</v>
      </c>
      <c r="HL260" s="55">
        <f>IF(OR(Исходн.данные.!G260="Глин",Исходн.данные.!G260="Т_суг"),1.1,IF(Исходн.данные.!G260="Ср_суг",1,1))</f>
        <v>1</v>
      </c>
      <c r="HM260" s="55">
        <f>IF(OR(Исходн.данные.!G260="Глин",Исходн.данные.!G260="Т_суг"),0.9,IF(Исходн.данные.!G260="Ср_суг",1,1.2))</f>
        <v>1.2</v>
      </c>
      <c r="HN260" s="11" t="e">
        <f t="shared" si="342"/>
        <v>#N/A</v>
      </c>
      <c r="HO260" s="11" t="e">
        <f t="shared" si="343"/>
        <v>#N/A</v>
      </c>
      <c r="HP260" s="11" t="e">
        <f t="shared" si="344"/>
        <v>#N/A</v>
      </c>
      <c r="HQ260" t="e">
        <f t="shared" si="345"/>
        <v>#N/A</v>
      </c>
      <c r="HR260" t="e">
        <f t="shared" si="346"/>
        <v>#N/A</v>
      </c>
      <c r="HS260" t="e">
        <f t="shared" si="347"/>
        <v>#N/A</v>
      </c>
      <c r="HT260" t="e">
        <f t="shared" si="293"/>
        <v>#N/A</v>
      </c>
      <c r="HU260" t="e">
        <f t="shared" si="294"/>
        <v>#N/A</v>
      </c>
      <c r="HV260" t="e">
        <f t="shared" si="295"/>
        <v>#N/A</v>
      </c>
      <c r="HW260" t="e">
        <f t="shared" si="296"/>
        <v>#N/A</v>
      </c>
      <c r="HX260" t="e">
        <f t="shared" si="297"/>
        <v>#N/A</v>
      </c>
      <c r="HY260" t="e">
        <f t="shared" si="298"/>
        <v>#N/A</v>
      </c>
      <c r="HZ260" s="55">
        <f>IF(OR(Исходн.данные.!AI260="Оз_Ч_П",Исходн.данные.!AI260="Оз_З_П",Исходн.данные.!AI260="Яр_зер"),12,30)</f>
        <v>30</v>
      </c>
      <c r="IA260" t="e">
        <f t="shared" si="348"/>
        <v>#N/A</v>
      </c>
      <c r="IB260" t="e">
        <f t="shared" si="349"/>
        <v>#N/A</v>
      </c>
      <c r="IC260" t="e">
        <f t="shared" si="350"/>
        <v>#N/A</v>
      </c>
      <c r="ID260" s="11" t="e">
        <f t="shared" si="351"/>
        <v>#N/A</v>
      </c>
      <c r="IE260" s="11" t="e">
        <f t="shared" si="352"/>
        <v>#N/A</v>
      </c>
      <c r="IF260" s="11" t="e">
        <f t="shared" si="353"/>
        <v>#N/A</v>
      </c>
    </row>
    <row r="261" spans="35:240" x14ac:dyDescent="0.2">
      <c r="AI261">
        <f>IF(Исходн.данные.!I261&gt;6,1,1.85-(0.148*Исходн.данные.!I261))</f>
        <v>1.85</v>
      </c>
      <c r="AJ261">
        <f>IF(Исходн.данные.!I261&gt;6,1,2.434-(0.246*Исходн.данные.!I261))</f>
        <v>2.4340000000000002</v>
      </c>
      <c r="AL261" s="148" t="b">
        <f>IF(Исходн.данные.!$P261="Ум",N_OrgUd_2g_um,IF(Исходн.данные.!$P261="Об",N_OrgUd_2g_ob))</f>
        <v>0</v>
      </c>
      <c r="AM261" s="148" t="b">
        <f>IF(Исходн.данные.!$P261="Ум",P_OrgUd_2g_um,IF(Исходн.данные.!$P261="Об",P_OrgUd_2g_ob))</f>
        <v>0</v>
      </c>
      <c r="AN261" s="148" t="b">
        <f>IF(Исходн.данные.!$P261="Ум",K_OrgUd_2g_um,IF(Исходн.данные.!$P261="Об",K_OrgUd_2g_ob))</f>
        <v>0</v>
      </c>
      <c r="AO261" s="148" t="b">
        <f>IF(Исходн.данные.!$P261="Ум",N_OrgUd_1g_um,IF(Исходн.данные.!$P261="Об",N_OrgUd_1g_ob))</f>
        <v>0</v>
      </c>
      <c r="AP261" s="148" t="b">
        <f>IF(Исходн.данные.!$P261="Ум",P_OrgUd_1g_um,IF(Исходн.данные.!$P261="Об",P_OrgUd_1g_ob))</f>
        <v>0</v>
      </c>
      <c r="AQ261" s="148" t="b">
        <f>IF(Исходн.данные.!$P261="Ум",K_OrgUd_1g_um,IF(Исходн.данные.!$P261="Об",K_OrgUd_1g_ob))</f>
        <v>0</v>
      </c>
      <c r="AR261" t="b">
        <f>IF(Исходн.данные.!$P261="Ум",N_MinUd_2g_um,IF(Исходн.данные.!$P261="Об",N_MinUd_2g_ob))</f>
        <v>0</v>
      </c>
      <c r="AS261" t="b">
        <f>IF(Исходн.данные.!$P261="Ум",P_MinUd_2g_um,IF(Исходн.данные.!$P261="Об",P_MinUd_2g_ob))</f>
        <v>0</v>
      </c>
      <c r="AT261" t="b">
        <f>IF(Исходн.данные.!$P261="Ум",K_MinUd_2g_um,IF(Исходн.данные.!$P261="Об",K_MinUd_2g_ob))</f>
        <v>0</v>
      </c>
      <c r="AU261" t="b">
        <f>IF(Исходн.данные.!$P261="Ум",N_MinUd_1g_um,IF(Исходн.данные.!$P261="Об",N_MinUd_1g_ob))</f>
        <v>0</v>
      </c>
      <c r="AV261" t="b">
        <f>IF(Исходн.данные.!P261="Ум",P_MinUd_1g_um,IF(Исходн.данные.!P261="Об",P_MinUd_1g_ob))</f>
        <v>0</v>
      </c>
      <c r="AW261" t="b">
        <f>IF(Исходн.данные.!P261="Ум",K_MinUd_1g_um,IF(Исходн.данные.!P261="Об",K_MinUd_1g_ob))</f>
        <v>0</v>
      </c>
      <c r="AY261" t="e">
        <f>VLOOKUP(Исходн.данные.!T261,Справ!$A$3:$N$57,12)</f>
        <v>#N/A</v>
      </c>
      <c r="AZ261" t="e">
        <f>VLOOKUP(Исходн.данные.!T261,Справ!$A$3:$N$57,13)</f>
        <v>#N/A</v>
      </c>
      <c r="BA261" t="e">
        <f>VLOOKUP(Исходн.данные.!T261,Справ!$A$3:$N$57,14)</f>
        <v>#N/A</v>
      </c>
      <c r="BB261">
        <f>IF(Исходн.данные.!AH261=0,0,25)</f>
        <v>0</v>
      </c>
      <c r="BC261" s="141">
        <f>IF(Исходн.данные.!AH261=0,0,IF(Исходн.данные.!T261=0,25,BD261))</f>
        <v>0</v>
      </c>
      <c r="BD261" s="168" t="e">
        <f>AY261+AZ261*Исходн.данные.!U261-POWER(BA261,2)*Исходн.данные.!U261</f>
        <v>#N/A</v>
      </c>
      <c r="BE26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1" s="25">
        <f>IF(Исходн.данные.!AH261=0,0,MIN(HN261:HP261))</f>
        <v>0</v>
      </c>
      <c r="BG261" s="9">
        <f>IF(Исходн.данные.!AH261=0,0,IF((HO261+10*0.25/HG261/HL261)&lt;17,17,HO261+10*0.25/HG261/HL261))</f>
        <v>0</v>
      </c>
      <c r="BH261" s="181">
        <f>IF(Исходн.данные.!AH261=0,0,HW261*HF261*HL261/AU261*AI261+Исходн.данные.!S261*10)</f>
        <v>0</v>
      </c>
      <c r="BI261" s="10"/>
      <c r="BJ261" s="182">
        <f>IF(Исходн.данные.!AH261=0,0,IF(HX261*HG261*HL261/AV261&lt;0,0,HX261*HG261*HL261/AV261*AJ261))</f>
        <v>0</v>
      </c>
      <c r="BK261" s="182">
        <f>IF(Исходн.данные.!AH261=0,0,HY261*HH261*HM261/AW261)</f>
        <v>0</v>
      </c>
      <c r="BL261" s="10">
        <f>IF(OR(Исходн.данные.!$AH261=$BP$1,Исходн.данные.!$AH261=$BP$2),0,IF(BH261&lt;0,0,IF(OR(Исходн.данные.!T261=Расчет!$BP$1,Исходн.данные.!T261=Расчет!$BP$2,Исходн.данные.!T261=Расчет!$BT$5,Исходн.данные.!T261=Расчет!$BT$6),BH261*0.5,IF(OR(Исходн.данные.!T261=Расчет!$BS$9,Исходн.данные.!T261=Расчет!$BS$10,Исходн.данные.!T261=Расчет!$BS$11,Исходн.данные.!T261=Расчет!$BS$12,Исходн.данные.!T261=Расчет!$BP$5),BH261*0.8,BH261))))</f>
        <v>0</v>
      </c>
      <c r="BM261" s="10">
        <f>IF(OR(Исходн.данные.!$AH261=$BP$1,Исходн.данные.!$AH261=$BP$2),0,IF(BJ261&lt;0,0,IF(Исходн.данные.!I261&lt;4.5,BJ261*1.2,IF(Исходн.данные.!I261&gt;5.1,BJ261,BJ261*((5.1-Исходн.данные.!I261)*0.333+1)))))</f>
        <v>0</v>
      </c>
      <c r="BN261" s="10">
        <f>IF(OR(Исходн.данные.!$AH261=$BP$1,Исходн.данные.!$AH261=$BP$2),60-Исходн.данные.!AF261,IF(BK261&lt;0,0,IF(Исходн.данные.!I261&lt;4.5,BK261*1.2,IF(Исходн.данные.!I261&gt;5.1,BK261,BK261*((5.1-Исходн.данные.!I261)*0.333+1)))))</f>
        <v>0</v>
      </c>
      <c r="BO261" s="9">
        <f>IF(BL261&lt;0,0,BL261*Исходн.данные.!$AJ261/1000)</f>
        <v>0</v>
      </c>
      <c r="BP261" s="9">
        <f>IF(BM261&lt;0,0,BM261*Исходн.данные.!$AJ261/1000)</f>
        <v>0</v>
      </c>
      <c r="BQ261" s="9">
        <f>IF(BN261&lt;0,0,BN261*Исходн.данные.!$AJ261/1000)</f>
        <v>0</v>
      </c>
      <c r="BR261" s="9">
        <f t="shared" si="303"/>
        <v>0</v>
      </c>
      <c r="BS261" s="10" t="str">
        <f t="shared" si="304"/>
        <v>Аммофос 12:52:00</v>
      </c>
      <c r="BT261" s="10" t="str">
        <f t="shared" si="305"/>
        <v>Аммофос 12:52:00</v>
      </c>
      <c r="BU261" s="10" t="str">
        <f t="shared" si="306"/>
        <v>Диаммофоска</v>
      </c>
      <c r="BV261" s="10">
        <f t="shared" si="307"/>
        <v>0</v>
      </c>
      <c r="BW261" s="10"/>
      <c r="BX261" s="10"/>
      <c r="BY261" s="9">
        <f>IF(BL261&lt;0,0,IF(OR(Исходн.данные.!AI261=Расчет!$BU$6,Исходн.данные.!AI261=Расчет!$BU$7),Расчет!BV261,IF(Исходн.данные.!$AG261=$BV$11,BL261,IF(OR(Исходн.данные.!$AH261=$BQ$7,Исходн.данные.!$AH261=$BQ$8),CB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0,IF(Исходн.данные.!$AI261=$BU$11,"Нет",IF(BL261&gt;30,30,BL261)))))))</f>
        <v>0</v>
      </c>
      <c r="BZ261" s="9">
        <f>IF(AND(Исходн.данные.!$AG261=$BV$11,BM261&lt;10),10,IF(Исходн.данные.!$AG261=$BV$11,BM261,IF(OR(Исходн.данные.!$AH261=$BQ$7,Исходн.данные.!$AH261=$BQ$8),CC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10,IF(Исходн.данные.!$AI261=$BU$11,"Нет",IF(BM261&gt;60,60,IF(BM261&lt;10,10,BM261)))))))</f>
        <v>10</v>
      </c>
      <c r="CA261" s="39">
        <f>IF(BN261&lt;0,0,IF(Исходн.данные.!$AG261=$BV$11,BN261,IF(OR(Исходн.данные.!$AH261=$BQ$7,Исходн.данные.!$AH261=$BQ$8),CD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0,IF(Исходн.данные.!$AI261=$BU$11,"Нет",IF(BN261&gt;30,30,BN261))))))</f>
        <v>0</v>
      </c>
      <c r="CB261" s="9">
        <f t="shared" si="308"/>
        <v>0</v>
      </c>
      <c r="CC261" s="9">
        <f t="shared" si="309"/>
        <v>0</v>
      </c>
      <c r="CD261" s="9">
        <f t="shared" si="310"/>
        <v>0</v>
      </c>
      <c r="CE261" s="12">
        <f t="shared" si="311"/>
        <v>10</v>
      </c>
      <c r="CF261" s="9">
        <f t="shared" si="312"/>
        <v>0</v>
      </c>
      <c r="CG261" s="9" t="s">
        <v>231</v>
      </c>
      <c r="CH261" s="132" t="str">
        <f>IF(Исходн.данные.!AP261=Расчет!$CI$16,"Нет",IF(Исходн.данные.!AL261&gt;0,Исходн.данные.!AL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BH$4,IF(OR(Исходн.данные.!AI261=Исходн.данные.!$AI$6,Исходн.данные.!AI261=Исходн.данные.!$AI$7),Расчет!BS261,IF(AND($CF261=0,$CE261&gt;0),EV261,ER261)))))</f>
        <v>Аммофос 12:52:00</v>
      </c>
      <c r="CI261" s="274">
        <f>IF(Расчет!$CH261="Нет","Нет",IF(Исходн.данные.!$AL261&gt;0,VLOOKUP(Расчет!$CH261,АшламаДВ_Irekle,2,FALSE),VLOOKUP(Расчет!$CH261,АшламаДВ_Gomumy,2,FALSE)))</f>
        <v>0.12</v>
      </c>
      <c r="CJ261" s="274">
        <f>IF(Расчет!$CH261="Нет","Нет",IF(Исходн.данные.!$AL261&gt;0,VLOOKUP(Расчет!$CH261,АшламаДВ_Irekle,3,FALSE),VLOOKUP(Расчет!$CH261,АшламаДВ_Gomumy,3,FALSE)))</f>
        <v>0.52</v>
      </c>
      <c r="CK261" s="274">
        <f>IF(Расчет!$CH261="Нет","Нет",IF(Исходн.данные.!$AL261&gt;0,VLOOKUP(Расчет!$CH261,АшламаДВ_Irekle,4,FALSE),VLOOKUP(Расчет!$CH261,АшламаДВ_Gomumy,4,FALSE)))</f>
        <v>0</v>
      </c>
      <c r="CL261" s="70"/>
      <c r="CM261" s="70"/>
      <c r="CN261" s="70"/>
      <c r="CO261" s="70"/>
      <c r="CP261" s="70"/>
      <c r="CQ261" s="70"/>
      <c r="CR261" s="10">
        <f t="shared" si="313"/>
        <v>0</v>
      </c>
      <c r="CS261" s="10">
        <f t="shared" si="314"/>
        <v>19.23076923076923</v>
      </c>
      <c r="CT261" s="10">
        <f t="shared" si="315"/>
        <v>0</v>
      </c>
      <c r="CU261" s="39">
        <f>IF($CH261="Нет",0,IF(CI261=0,30/MIN(CJ261:CK261),IF(Исходн.данные.!$AG261=$BV$11,CR261,IF(OR(Исходн.данные.!$AH261=$BQ$7,Исходн.данные.!$AH261=$BQ$8),90/CI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0,IF(Исходн.данные.!$AI261=$BU$11,"Нет",30/CI261))))))</f>
        <v>250</v>
      </c>
      <c r="CV261" s="39">
        <f>IF($CH261="Нет",0,IF(Исходн.данные.!AH261=0,0,IF(CJ261=0,60/MIN(CI261,CK261),IF(Исходн.данные.!$AG261=$BV$11,CS261,IF(OR(Исходн.данные.!$AH261=$BQ$7,Исходн.данные.!$AH261=$BQ$8),90/CJ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10/CJ261,IF(Исходн.данные.!$AI261=$BU$11,"Нет",60/CJ261)))))))</f>
        <v>0</v>
      </c>
      <c r="CW261" s="39">
        <f>IF($CH261="Нет",0,IF(Исходн.данные.!AH261=0,0,IF(CK261=0,30/MIN(CI261:CJ261),IF(Исходн.данные.!$AG261=$BV$11,CT261,IF(OR(Исходн.данные.!$AH261=$BQ$7,Исходн.данные.!$AH261=$BQ$8),90/CK261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0,IF(Исходн.данные.!$AI261=$BU$11,"Нет",30/CK261)))))))</f>
        <v>0</v>
      </c>
      <c r="CX261" s="133">
        <f>IF(Исходн.данные.!$AG261=$BV$11,MAX(CU261:CW261),IF(OR(Исходн.данные.!$AH261=$BS$8,Исходн.данные.!$AH261=$BQ$9,Исходн.данные.!$AH261=$BQ$10,Исходн.данные.!$AH261=$BQ$11,Исходн.данные.!$AH261=$BQ$12,Исходн.данные.!$AH261=$BP$3,Исходн.данные.!$AH261=$BT$8,$FM261="Да"),CV261,MIN(CU261:CW261)))</f>
        <v>0</v>
      </c>
      <c r="CY261" s="133">
        <f>IF(Исходн.данные.!AH261=0,0,IF(CR261&gt;$CX261,$CX261,CR261))</f>
        <v>0</v>
      </c>
      <c r="CZ261" s="133">
        <f>IF(Исходн.данные.!AH261=0,0,IF(CS261&gt;$CX261,$CX261,CS261))</f>
        <v>0</v>
      </c>
      <c r="DA261" s="133">
        <f>IF(Исходн.данные.!AH261=0,0,IF(CT261&gt;$CX261,$CX261,CT261))</f>
        <v>0</v>
      </c>
      <c r="DB261" s="10">
        <f t="shared" si="316"/>
        <v>0</v>
      </c>
      <c r="DC261" s="39">
        <f>DB261*Исходн.данные.!AJ261/1000</f>
        <v>0</v>
      </c>
      <c r="DD261" s="71">
        <f t="shared" si="317"/>
        <v>0</v>
      </c>
      <c r="DE261" s="9">
        <f t="shared" si="318"/>
        <v>0</v>
      </c>
      <c r="DF261" s="9">
        <f t="shared" si="319"/>
        <v>0</v>
      </c>
      <c r="DG261" s="39">
        <f>IF(BL261&lt;0,0,IF($CH261="Нет",BL261,IF(OR(Исходн.данные.!$AH261=$BP$1,Исходн.данные.!$AH261=$BP$2),0,IF(Исходн.данные.!AI261=$BU$11,BL261,IF(BL261-DD261&lt;0,0,BL261-DD261)))))</f>
        <v>0</v>
      </c>
      <c r="DH261" s="39">
        <f>IF(BM261&lt;0,0,IF($CH261="Нет",BM261,IF(OR(Исходн.данные.!$AH261=$BP$1,Исходн.данные.!$AH261=$BP$2),0,IF(Исходн.данные.!AJ261=$BU$11,BM261,IF(BM261-DE261&lt;0,0,BM261-DE261)))))</f>
        <v>0</v>
      </c>
      <c r="DI261" s="39">
        <f>IF(BN261&lt;0,0,IF($CH261="Нет",BN261,IF(OR(Исходн.данные.!$AH261=$BP$1,Исходн.данные.!$AH261=$BP$2),0,IF(Исходн.данные.!AK261=$BU$11,BN261,IF(BN261-DF261&lt;0,0,BN261-DF261)))))</f>
        <v>0</v>
      </c>
      <c r="DJ261" s="12">
        <f t="shared" si="320"/>
        <v>0</v>
      </c>
      <c r="DK261" s="9">
        <f t="shared" si="321"/>
        <v>0</v>
      </c>
      <c r="DL261" s="39">
        <f>IF(Исходн.данные.!AM261&gt;0,Исходн.данные.!AM261,IF(EG261&gt;0,$BH$10,0))</f>
        <v>0</v>
      </c>
      <c r="DM261" s="186">
        <f>IF($DL261=0,0,IF(Исходн.данные.!AM261&gt;0,VLOOKUP($DL261,АшламаДВ_Irekle,2,FALSE),VLOOKUP($DL261,АшламаДВ_Gomumy,2,FALSE)))</f>
        <v>0</v>
      </c>
      <c r="DN261" s="10">
        <f t="shared" si="299"/>
        <v>0</v>
      </c>
      <c r="DO261" s="9" t="str">
        <f>IF(Исходн.данные.!AN261&gt;0,Исходн.данные.!AN261,Удобрения!$B$37 )</f>
        <v>Хлор.калий</v>
      </c>
      <c r="DP261" s="9">
        <f>IF(Исходн.данные.!AN261&gt;0,VLOOKUP(Исходн.данные.!AN261,АшламаДВ_Irekle,4,FALSE),VLOOKUP(DO261,АшламаДВ_Gomumy,4,FALSE))</f>
        <v>0.6</v>
      </c>
      <c r="DQ261" s="10">
        <f t="shared" si="300"/>
        <v>0</v>
      </c>
      <c r="DR261" s="132" t="str">
        <f>IF(Исходн.данные.!AO261&gt;0,Исходн.данные.!AO261,IF(DH261=0,BS$17,IF(AND($DK261=0,$DJ261&gt;0),EJ261,EN261)))</f>
        <v>Нет</v>
      </c>
      <c r="DS261" s="70" t="str">
        <f>IF($DR261="Нет","Нет",IF(Исходн.данные.!$AO261&gt;0,VLOOKUP($DR261,АшламаДВ_Irekle,2,FALSE),VLOOKUP($DR261,АшламаДВ_Gomumy,2,FALSE)))</f>
        <v>Нет</v>
      </c>
      <c r="DT261" s="70" t="str">
        <f>IF($DR261="Нет","Нет",IF(Исходн.данные.!$AO261&gt;0,VLOOKUP($DR261,АшламаДВ_Irekle,3,FALSE),VLOOKUP($DR261,АшламаДВ_Gomumy,3,FALSE)))</f>
        <v>Нет</v>
      </c>
      <c r="DU261" s="70" t="str">
        <f>IF($DR261="Нет","Нет",IF(Исходн.данные.!$AO261&gt;0,VLOOKUP($DR261,АшламаДВ_Irekle,4,FALSE),VLOOKUP($DR261,АшламаДВ_Gomumy,4,FALSE)))</f>
        <v>Нет</v>
      </c>
      <c r="DV261" s="70"/>
      <c r="DW261" s="70"/>
      <c r="DX261" s="70"/>
      <c r="DY261" s="10">
        <f t="shared" si="322"/>
        <v>0</v>
      </c>
      <c r="DZ261" s="10">
        <f t="shared" si="323"/>
        <v>0</v>
      </c>
      <c r="EA261" s="10">
        <f t="shared" si="324"/>
        <v>0</v>
      </c>
      <c r="EB261" s="10">
        <f t="shared" si="325"/>
        <v>0</v>
      </c>
      <c r="EC261" s="10">
        <f t="shared" si="326"/>
        <v>0</v>
      </c>
      <c r="ED261" s="10">
        <f t="shared" si="327"/>
        <v>0</v>
      </c>
      <c r="EE261" s="10">
        <f t="shared" si="328"/>
        <v>0</v>
      </c>
      <c r="EF261" s="39">
        <f>EB261*Исходн.данные.!AJ261/1000</f>
        <v>0</v>
      </c>
      <c r="EG261" s="9">
        <f t="shared" si="329"/>
        <v>0</v>
      </c>
      <c r="EH261" s="9">
        <f t="shared" si="330"/>
        <v>0</v>
      </c>
      <c r="EI261" s="39" t="e">
        <f t="shared" si="280"/>
        <v>#DIV/0!</v>
      </c>
      <c r="EJ261" s="9" t="str">
        <f t="shared" si="301"/>
        <v>Азопреципитат</v>
      </c>
      <c r="EK261" s="12">
        <f t="shared" si="281"/>
        <v>0.26</v>
      </c>
      <c r="EL261" s="12">
        <f t="shared" si="282"/>
        <v>0.13</v>
      </c>
      <c r="EM261" s="12">
        <f t="shared" si="283"/>
        <v>0</v>
      </c>
      <c r="EN261" s="12" t="str">
        <f t="shared" si="302"/>
        <v>Нет</v>
      </c>
      <c r="EO261" s="12">
        <f t="shared" si="284"/>
        <v>0</v>
      </c>
      <c r="EP261" s="12">
        <f t="shared" si="285"/>
        <v>0</v>
      </c>
      <c r="EQ261" s="12">
        <f t="shared" si="286"/>
        <v>0</v>
      </c>
      <c r="ER261" s="12" t="str">
        <f t="shared" si="331"/>
        <v>Диаммофоска</v>
      </c>
      <c r="ES261" s="12">
        <f t="shared" si="287"/>
        <v>0.1</v>
      </c>
      <c r="ET261" s="12">
        <f t="shared" si="288"/>
        <v>0.26</v>
      </c>
      <c r="EU261" s="12">
        <f t="shared" si="289"/>
        <v>0.26</v>
      </c>
      <c r="EV261" s="12" t="str">
        <f t="shared" si="332"/>
        <v>Аммофос 12:52:00</v>
      </c>
      <c r="EW261" s="12" t="str">
        <f t="shared" si="333"/>
        <v>Кемира Свекловичное-6</v>
      </c>
      <c r="EX261" s="12">
        <f t="shared" si="290"/>
        <v>0.16</v>
      </c>
      <c r="EY261" s="12">
        <f t="shared" si="291"/>
        <v>0.12</v>
      </c>
      <c r="EZ261" s="12">
        <f t="shared" si="292"/>
        <v>0.17</v>
      </c>
      <c r="FA261" s="38" t="e">
        <f>IF(AND(OR(FJ261=$FD$1,FM261=$FD$1,FO261=$FD$1,FQ261=$FD$1,FS261=$FD$1),FD261=$FD$1,Исходн.данные.!J261&lt;2,FU261=$FD$1),"Бор,Кобальт",IF(AND(FO261=$FD$1,FH261=$FD$1,Исходн.данные.!J261&lt;2,FU261=$FD$1),"Бор,Кобальт",IF(AND(OR(FJ261=$FD$1,FM261=$FD$1,FQ261=$FD$1),FE261=$FD$1,Исходн.данные.!J261&lt;2,FT261=$FD$1,FU261=$FD$1),"Бор,Медь,Цинк",IF(AND(OR(FJ261=$FD$1,FR261="Да"),FI261="Да",Исходн.данные.!J261&lt;2,FT261="Да",FU261="Да"),"Бор,Цинк,Медь",IF(AND(OR(FM261="Да",FQ261="Да"),FI261="Да",Исходн.данные.!J261&lt;2,FT261="Да",FU261="Да"),"Бор,Цинк",IF(AND(FN261="Да",OR(FD261="Да",FE261="Да")),"Бор",FB261))))))</f>
        <v>#N/A</v>
      </c>
      <c r="FB261" s="134" t="e">
        <f>IF(AND(OR(FD261="Да",FE261="Да",FF261="Да",FG261="Да",FH261="Да"),FO261="Да"),"Бор",IF(AND(FP261="Да",OR(FD261="Да",FE261="Да",FI261="Да")),"Бор",IF(AND(FS261="Да",FE261="Да"),"Бор,Медь",IF(AND(OR(FJ261="Да",FK261="Да",FL261="Да"),FE261="Да",Исходн.данные.!I261&lt;5,FT261="Да",FU261="Да"),"Молибден,Цинк",IF(AND(FM261="Да",OR(FE261="Да",FF261="Да",FG261="Да",FH261="Да",FI261="Да")),"Молибден,Цинк",IF(AND(OR(FJ261="Да",FK261="Да",FL261="Да",FM261="Да",FQ261="Да"),OR(FE261="Да",FF261="Да"),FT261="Да",FU261="Да",Исходн.данные.!I261&gt;5.5),"Медь,Цинк",FC261))))))</f>
        <v>#N/A</v>
      </c>
      <c r="FC261" s="23" t="e">
        <f t="shared" si="334"/>
        <v>#N/A</v>
      </c>
      <c r="FD261" s="38" t="str">
        <f>IF(OR(Исходн.данные.!F261=$CC$1,Исходн.данные.!F261=$CC$2,Исходн.данные.!F261=$CC$3,Исходн.данные.!F261=$CC$4),"Да","Нет")</f>
        <v>Нет</v>
      </c>
      <c r="FE261" s="38" t="str">
        <f>IF(Исходн.данные.!F261=$CC$5,"Да","Нет")</f>
        <v>Нет</v>
      </c>
      <c r="FF261" s="38" t="str">
        <f>IF(OR(Исходн.данные.!F261=$CC$6,Исходн.данные.!F261=$CC$7),"Да","Нет")</f>
        <v>Нет</v>
      </c>
      <c r="FG261" s="38" t="str">
        <f>IF(OR(Исходн.данные.!F261=$CC$8,Исходн.данные.!F261=$CC$9),"Да","Нет")</f>
        <v>Нет</v>
      </c>
      <c r="FH261" s="38" t="str">
        <f>IF(Исходн.данные.!F261=$CC$10,"Да","Нет")</f>
        <v>Нет</v>
      </c>
      <c r="FI261" s="38" t="str">
        <f>IF(OR(Исходн.данные.!F261=$CC$11,Исходн.данные.!F261=$CC$12),"Да","Нет")</f>
        <v>Нет</v>
      </c>
      <c r="FJ261" s="38" t="str">
        <f>IF(OR(Исходн.данные.!AH261=$BS$1,Исходн.данные.!AH261=$BQ$11,Исходн.данные.!AH261=$BQ$12),"Да","Нет")</f>
        <v>Нет</v>
      </c>
      <c r="FK261" s="38" t="str">
        <f>IF(OR(Исходн.данные.!AH261=$BS$2,Исходн.данные.!AH261=$BS$4),"Да","Нет")</f>
        <v>Нет</v>
      </c>
      <c r="FL261" s="38" t="str">
        <f>IF(OR(Исходн.данные.!AH261=$BS$3,Исходн.данные.!AH261=$BS$5),"Да","Нет")</f>
        <v>Нет</v>
      </c>
      <c r="FM261" s="38" t="str">
        <f>IF(OR(Исходн.данные.!AH261=$BS$9,Исходн.данные.!AH261=$BS$10,Исходн.данные.!AH261=$BS$11,Исходн.данные.!AH261=$BS$12),"Да","Нет")</f>
        <v>Нет</v>
      </c>
      <c r="FN261" s="38" t="str">
        <f>IF(OR(Исходн.данные.!AH261=$BS$6,Исходн.данные.!AH261=$BP$3),"Да","Нет")</f>
        <v>Нет</v>
      </c>
      <c r="FO261" s="38" t="str">
        <f>IF(Исходн.данные.!AH261=$BQ$9,"Да","Нет")</f>
        <v>Нет</v>
      </c>
      <c r="FP261" s="38" t="str">
        <f>IF(OR(Исходн.данные.!AH261=$BS$8,Исходн.данные.!AH261=$BT$8),"Да","Нет")</f>
        <v>Нет</v>
      </c>
      <c r="FQ261" s="38" t="str">
        <f>IF(OR(Исходн.данные.!AH261=$BQ$7,Исходн.данные.!AH261=$BQ$8),"Да","Нет")</f>
        <v>Нет</v>
      </c>
      <c r="FR261" s="38" t="str">
        <f>IF(Исходн.данные.!AI261=$BU$9,"Да","Нет")</f>
        <v>Нет</v>
      </c>
      <c r="FS261" s="38" t="str">
        <f>IF(OR(Исходн.данные.!AH261=$BP$1,Исходн.данные.!AH261=$BP$2),"Да","Нет")</f>
        <v>Нет</v>
      </c>
      <c r="FT261" s="38" t="e">
        <f>IF((Исходн.данные.!K261*GO261*GS261*GW261+BL261*0.6+Исходн.данные.!Q261*4.5*0.275)&gt;90,"Да","Нет")</f>
        <v>#N/A</v>
      </c>
      <c r="FU261" s="38" t="e">
        <f>IF((Исходн.данные.!M261*GS261*GZ261+BM261*0.225)&gt;35,"Да","Нет")</f>
        <v>#N/A</v>
      </c>
      <c r="FV261" s="38" t="str">
        <f>IF(Исходн.данные.!O261&gt;175,"Да","Нет")</f>
        <v>Нет</v>
      </c>
      <c r="FW261" s="39" t="str">
        <f>IF(Исходн.данные.!I261&gt;5.5,"Да","Нет")</f>
        <v>Нет</v>
      </c>
      <c r="FX261" s="39" t="str">
        <f>IF(Исходн.данные.!J261&lt;2,"Да","Нет")</f>
        <v>Да</v>
      </c>
      <c r="FY261" s="39" t="e">
        <f>IF(HF261=$FY$16,0,Исходн.данные.!K261*GO261*GS261*GW261/HF261)</f>
        <v>#N/A</v>
      </c>
      <c r="FZ261" s="39" t="e">
        <f>Исходн.данные.!M261*GS261*GZ261/HG261</f>
        <v>#N/A</v>
      </c>
      <c r="GA261" s="39" t="e">
        <f>IF(K_Wyn=$FY$16,0,IF(Исходн.данные.!N261=Исходн.данные.!$L$10,Исходн.данные.!O261/1.1*GS261*HC261/HH261,IF(Исходн.данные.!N261=Исходн.данные.!$L$12,Исходн.данные.!O261/1.5*GS261*HC261/HH261,Исходн.данные.!O261*GS261*HC261/HH261)))</f>
        <v>#N/A</v>
      </c>
      <c r="GB261" s="39" t="e">
        <f>IF(HF261=$FY$16,0,((Исходн.данные.!Q261*N_Org+Исходн.данные.!R261*N_Sider+Исходн.данные.!S261*N_Soloma)*AO261+Расчет!BC261*VLOOKUP(Исходн.данные.!T261,Справ!$A$3:$O$57,15)*AO261+BB261*VLOOKUP(Исходн.данные.!T261,Справ!$A$3:$O$57,15)*AL261+(Исходн.данные.!V261*N_Rizotorf+Исходн.данные.!W261*N_Rizoagr))/HF261)</f>
        <v>#N/A</v>
      </c>
      <c r="GC261" s="39" t="e">
        <f>IF(HG261=$FY$16,0,((Исходн.данные.!Q261*Р_Org+Исходн.данные.!R261*P_Sider+Исходн.данные.!S261*P_Soloma)*AP261+Расчет!BC261*VLOOKUP(Исходн.данные.!T261,Справ!$A$3:$P$57,16)*AP261+BB261*VLOOKUP(Исходн.данные.!T261,Справ!$A$3:$P$57,16)*AM261)/HG261)</f>
        <v>#N/A</v>
      </c>
      <c r="GD261" s="39" t="e">
        <f>IF(HH261=$FY$16,0,((Исходн.данные.!Q261*К_Org+Исходн.данные.!R261*K_Sider+Исходн.данные.!S261*K_Soloma)*AQ261+Расчет!BC261*VLOOKUP(Исходн.данные.!T261,Справ!$A$3:$Q$57,17)*AQ261+BB261*VLOOKUP(Исходн.данные.!T261,Справ!$A$3:$Q$57,17)*AN261)/HH261)</f>
        <v>#N/A</v>
      </c>
      <c r="GE261" s="39" t="e">
        <f>IF(HF261=$FY$16,0,(Исходн.данные.!X261*AR261+Исходн.данные.!AA261*N_Org*AL261+Исходн.данные.!AB261*N_Sider*AL261+Исходн.данные.!AC261*N_Soloma*AL261)/HF261)</f>
        <v>#N/A</v>
      </c>
      <c r="GF261" s="39" t="e">
        <f>IF(HG261=$FY$16,0,(Исходн.данные.!Y261*AS261+Исходн.данные.!AA261*Р_Org*AM261+Исходн.данные.!AB261*P_Sider*AM261+Исходн.данные.!AC261*P_Soloma*AM261)/HG261)</f>
        <v>#N/A</v>
      </c>
      <c r="GG261" s="39" t="e">
        <f>IF(HH261=$FY$16,0,(Исходн.данные.!Z261*AT261+Исходн.данные.!AA261*К_Org*AN261+Исходн.данные.!AB261*K_Sider*AN261+Исходн.данные.!AC261*K_Soloma*AN261)/HH261)</f>
        <v>#N/A</v>
      </c>
      <c r="GH261" s="39" t="e">
        <f>Исходн.данные.!AD261*AU261/HF261</f>
        <v>#N/A</v>
      </c>
      <c r="GI261" s="39" t="e">
        <f>Исходн.данные.!AE261*AV261/HG261</f>
        <v>#N/A</v>
      </c>
      <c r="GJ261" s="39" t="e">
        <f>Исходн.данные.!AF261*AW261/HH261</f>
        <v>#N/A</v>
      </c>
      <c r="GK261" s="55">
        <f>Исходн.данные.!AK261</f>
        <v>0</v>
      </c>
      <c r="GL261" s="11" t="e">
        <f t="shared" si="335"/>
        <v>#N/A</v>
      </c>
      <c r="GM261" s="11" t="e">
        <f t="shared" si="336"/>
        <v>#N/A</v>
      </c>
      <c r="GN261" s="11" t="e">
        <f t="shared" si="337"/>
        <v>#N/A</v>
      </c>
      <c r="GO261" s="57">
        <f t="shared" si="338"/>
        <v>19</v>
      </c>
      <c r="GP261" s="55">
        <f>IF(OR(Исходн.данные.!F261=$CE$1,Исходн.данные.!F261=$CE$2,Исходн.данные.!F261=$CE$3,Исходн.данные.!F261=$CE$4,Исходн.данные.!F261=$CE$5),GQ261,GR261)</f>
        <v>19</v>
      </c>
      <c r="GQ261" s="55">
        <f>IF(Исходн.данные.!F261=$CE$1,28,IF(Исходн.данные.!F261=$CE$2,26,IF(Исходн.данные.!F261=$CE$3,24,IF(Исходн.данные.!F261=$CE$4,22,IF(Исходн.данные.!F261=$CE$5,20,GR261)))))</f>
        <v>19</v>
      </c>
      <c r="GR261" s="55">
        <f>IF(Исходн.данные.!F261=$CE$6,18,IF(Исходн.данные.!F261=$CE$7,16,IF(Исходн.данные.!F261=$CE$8,14,IF(Исходн.данные.!F261=$CE$9,13,IF(Исходн.данные.!F261=$CE$10,12,19)))))</f>
        <v>19</v>
      </c>
      <c r="GS261" s="55">
        <f>IF(Исходн.данные.!G261="Пес",0.035*(40+2*Исходн.данные.!H261),IF(Исходн.данные.!G261="Суп",0.0325*(40+2*Исходн.данные.!H261),0.03*(40+2*Исходн.данные.!H261)))</f>
        <v>1.2</v>
      </c>
      <c r="GT261" s="55">
        <f>IF(Исходн.данные.!H261&lt;23,2.6,IF(AND(Исходн.данные.!H261&gt;22,Исходн.данные.!H261&lt;26),3,IF(AND(Исходн.данные.!H261&gt;25,Исходн.данные.!H261&lt;29),3.4,3.6)))</f>
        <v>2.6</v>
      </c>
      <c r="GU261" s="55">
        <f>IF(Исходн.данные.!H261&lt;23,2.8,IF(AND(Исходн.данные.!H261&gt;22,Исходн.данные.!H261&lt;26),3.2,IF(AND(Исходн.данные.!H261&gt;25,Исходн.данные.!H261&lt;29),3.6,3.9)))</f>
        <v>2.8</v>
      </c>
      <c r="GV261" s="55">
        <f>IF(Исходн.данные.!H261&lt;23,3,IF(AND(Исходн.данные.!H261&gt;22,Исходн.данные.!H261&lt;26),3.5,IF(AND(Исходн.данные.!H261&gt;25,Исходн.данные.!H261&lt;29),3.9,4.2)))</f>
        <v>3</v>
      </c>
      <c r="GW261" s="55" t="e">
        <f>IF(Исходн.данные.!P261="Ум",GX261,GY261)</f>
        <v>#N/A</v>
      </c>
      <c r="GX261" s="55" t="e">
        <f>VLOOKUP(Исходн.данные.!AI261,Коэффициенты!$J$7:$L$13,2,FALSE)</f>
        <v>#N/A</v>
      </c>
      <c r="GY261" s="55" t="e">
        <f>VLOOKUP(Исходн.данные.!AI261,Коэффициенты!$J$7:$L$13,3,FALSE)</f>
        <v>#N/A</v>
      </c>
      <c r="GZ261" s="55" t="e">
        <f>(IF(Исходн.данные.!M261&lt;50,0.11*VLOOKUP(Исходн.данные.!AH261,Культуры.Информация,7,FALSE),IF(Исходн.данные.!M261&gt;250,0.05*VLOOKUP(Исходн.данные.!AH261,Культуры.Информация,7,FALSE),VLOOKUP(Исходн.данные.!AH261,Культуры.Информация,5,FALSE)/100*($GX$6+$GY$6*Исходн.данные.!M261))))*Расчет2!AI261</f>
        <v>#N/A</v>
      </c>
      <c r="HA261" s="211"/>
      <c r="HB261" s="211"/>
      <c r="HC261" s="55" t="e">
        <f>(IF(Исходн.данные.!O261&lt;80,0.2*VLOOKUP(Исходн.данные.!AH261,Культуры.Информация,8,FALSE),IF(Исходн.данные.!O261&gt;240,0.09*VLOOKUP(Исходн.данные.!AH261,Культуры.Информация,8,FALSE),VLOOKUP(Исходн.данные.!AH261,Культуры.Информация,6,FALSE)/100*($HB$6+$HC$6*Исходн.данные.!O261))))*Расчет2!AJ261</f>
        <v>#N/A</v>
      </c>
      <c r="HD261" s="55">
        <f>IF(Исходн.данные.!O261&gt;240,0.09,IF(Исходн.данные.!O261&lt;30,0.3,$HE$10+$HD$10*Исходн.данные.!O261))</f>
        <v>0.3</v>
      </c>
      <c r="HE261" s="55">
        <f>IF(Исходн.данные.!O261&gt;240,0.17,IF(Исходн.данные.!O261&lt;30,0.5,$HF$12+$HE$12*Исходн.данные.!O261))</f>
        <v>0.5</v>
      </c>
      <c r="HF261" s="55" t="e">
        <f>VLOOKUP(Исходн.данные.!AH261,Справ!$A$3:$D$58,2,FALSE)</f>
        <v>#N/A</v>
      </c>
      <c r="HG261" s="55" t="e">
        <f>VLOOKUP(Исходн.данные.!AH261,Справ!$A$3:$D$58,3,FALSE)</f>
        <v>#N/A</v>
      </c>
      <c r="HH261" s="55" t="e">
        <f>VLOOKUP(Исходн.данные.!AH261,Справ!$A$3:$D$58,4,FALSE)</f>
        <v>#N/A</v>
      </c>
      <c r="HI261" s="11" t="e">
        <f t="shared" si="339"/>
        <v>#N/A</v>
      </c>
      <c r="HJ261" s="11" t="e">
        <f t="shared" si="340"/>
        <v>#N/A</v>
      </c>
      <c r="HK261" s="11" t="e">
        <f t="shared" si="341"/>
        <v>#N/A</v>
      </c>
      <c r="HL261" s="55">
        <f>IF(OR(Исходн.данные.!G261="Глин",Исходн.данные.!G261="Т_суг"),1.1,IF(Исходн.данные.!G261="Ср_суг",1,1))</f>
        <v>1</v>
      </c>
      <c r="HM261" s="55">
        <f>IF(OR(Исходн.данные.!G261="Глин",Исходн.данные.!G261="Т_суг"),0.9,IF(Исходн.данные.!G261="Ср_суг",1,1.2))</f>
        <v>1.2</v>
      </c>
      <c r="HN261" s="11" t="e">
        <f t="shared" si="342"/>
        <v>#N/A</v>
      </c>
      <c r="HO261" s="11" t="e">
        <f t="shared" si="343"/>
        <v>#N/A</v>
      </c>
      <c r="HP261" s="11" t="e">
        <f t="shared" si="344"/>
        <v>#N/A</v>
      </c>
      <c r="HQ261" t="e">
        <f t="shared" si="345"/>
        <v>#N/A</v>
      </c>
      <c r="HR261" t="e">
        <f t="shared" si="346"/>
        <v>#N/A</v>
      </c>
      <c r="HS261" t="e">
        <f t="shared" si="347"/>
        <v>#N/A</v>
      </c>
      <c r="HT261" t="e">
        <f t="shared" si="293"/>
        <v>#N/A</v>
      </c>
      <c r="HU261" t="e">
        <f t="shared" si="294"/>
        <v>#N/A</v>
      </c>
      <c r="HV261" t="e">
        <f t="shared" si="295"/>
        <v>#N/A</v>
      </c>
      <c r="HW261" t="e">
        <f t="shared" si="296"/>
        <v>#N/A</v>
      </c>
      <c r="HX261" t="e">
        <f t="shared" si="297"/>
        <v>#N/A</v>
      </c>
      <c r="HY261" t="e">
        <f t="shared" si="298"/>
        <v>#N/A</v>
      </c>
      <c r="HZ261" s="55">
        <f>IF(OR(Исходн.данные.!AI261="Оз_Ч_П",Исходн.данные.!AI261="Оз_З_П",Исходн.данные.!AI261="Яр_зер"),12,30)</f>
        <v>30</v>
      </c>
      <c r="IA261" t="e">
        <f t="shared" si="348"/>
        <v>#N/A</v>
      </c>
      <c r="IB261" t="e">
        <f t="shared" si="349"/>
        <v>#N/A</v>
      </c>
      <c r="IC261" t="e">
        <f t="shared" si="350"/>
        <v>#N/A</v>
      </c>
      <c r="ID261" s="11" t="e">
        <f t="shared" si="351"/>
        <v>#N/A</v>
      </c>
      <c r="IE261" s="11" t="e">
        <f t="shared" si="352"/>
        <v>#N/A</v>
      </c>
      <c r="IF261" s="11" t="e">
        <f t="shared" si="353"/>
        <v>#N/A</v>
      </c>
    </row>
    <row r="262" spans="35:240" x14ac:dyDescent="0.2">
      <c r="AI262">
        <f>IF(Исходн.данные.!I262&gt;6,1,1.85-(0.148*Исходн.данные.!I262))</f>
        <v>1.85</v>
      </c>
      <c r="AJ262">
        <f>IF(Исходн.данные.!I262&gt;6,1,2.434-(0.246*Исходн.данные.!I262))</f>
        <v>2.4340000000000002</v>
      </c>
      <c r="AL262" s="148" t="b">
        <f>IF(Исходн.данные.!$P262="Ум",N_OrgUd_2g_um,IF(Исходн.данные.!$P262="Об",N_OrgUd_2g_ob))</f>
        <v>0</v>
      </c>
      <c r="AM262" s="148" t="b">
        <f>IF(Исходн.данные.!$P262="Ум",P_OrgUd_2g_um,IF(Исходн.данные.!$P262="Об",P_OrgUd_2g_ob))</f>
        <v>0</v>
      </c>
      <c r="AN262" s="148" t="b">
        <f>IF(Исходн.данные.!$P262="Ум",K_OrgUd_2g_um,IF(Исходн.данные.!$P262="Об",K_OrgUd_2g_ob))</f>
        <v>0</v>
      </c>
      <c r="AO262" s="148" t="b">
        <f>IF(Исходн.данные.!$P262="Ум",N_OrgUd_1g_um,IF(Исходн.данные.!$P262="Об",N_OrgUd_1g_ob))</f>
        <v>0</v>
      </c>
      <c r="AP262" s="148" t="b">
        <f>IF(Исходн.данные.!$P262="Ум",P_OrgUd_1g_um,IF(Исходн.данные.!$P262="Об",P_OrgUd_1g_ob))</f>
        <v>0</v>
      </c>
      <c r="AQ262" s="148" t="b">
        <f>IF(Исходн.данные.!$P262="Ум",K_OrgUd_1g_um,IF(Исходн.данные.!$P262="Об",K_OrgUd_1g_ob))</f>
        <v>0</v>
      </c>
      <c r="AR262" t="b">
        <f>IF(Исходн.данные.!$P262="Ум",N_MinUd_2g_um,IF(Исходн.данные.!$P262="Об",N_MinUd_2g_ob))</f>
        <v>0</v>
      </c>
      <c r="AS262" t="b">
        <f>IF(Исходн.данные.!$P262="Ум",P_MinUd_2g_um,IF(Исходн.данные.!$P262="Об",P_MinUd_2g_ob))</f>
        <v>0</v>
      </c>
      <c r="AT262" t="b">
        <f>IF(Исходн.данные.!$P262="Ум",K_MinUd_2g_um,IF(Исходн.данные.!$P262="Об",K_MinUd_2g_ob))</f>
        <v>0</v>
      </c>
      <c r="AU262" t="b">
        <f>IF(Исходн.данные.!$P262="Ум",N_MinUd_1g_um,IF(Исходн.данные.!$P262="Об",N_MinUd_1g_ob))</f>
        <v>0</v>
      </c>
      <c r="AV262" t="b">
        <f>IF(Исходн.данные.!P262="Ум",P_MinUd_1g_um,IF(Исходн.данные.!P262="Об",P_MinUd_1g_ob))</f>
        <v>0</v>
      </c>
      <c r="AW262" t="b">
        <f>IF(Исходн.данные.!P262="Ум",K_MinUd_1g_um,IF(Исходн.данные.!P262="Об",K_MinUd_1g_ob))</f>
        <v>0</v>
      </c>
      <c r="AY262" t="e">
        <f>VLOOKUP(Исходн.данные.!T262,Справ!$A$3:$N$57,12)</f>
        <v>#N/A</v>
      </c>
      <c r="AZ262" t="e">
        <f>VLOOKUP(Исходн.данные.!T262,Справ!$A$3:$N$57,13)</f>
        <v>#N/A</v>
      </c>
      <c r="BA262" t="e">
        <f>VLOOKUP(Исходн.данные.!T262,Справ!$A$3:$N$57,14)</f>
        <v>#N/A</v>
      </c>
      <c r="BB262">
        <f>IF(Исходн.данные.!AH262=0,0,25)</f>
        <v>0</v>
      </c>
      <c r="BC262" s="141">
        <f>IF(Исходн.данные.!AH262=0,0,IF(Исходн.данные.!T262=0,25,BD262))</f>
        <v>0</v>
      </c>
      <c r="BD262" s="168" t="e">
        <f>AY262+AZ262*Исходн.данные.!U262-POWER(BA262,2)*Исходн.данные.!U262</f>
        <v>#N/A</v>
      </c>
      <c r="BE26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2" s="25">
        <f>IF(Исходн.данные.!AH262=0,0,MIN(HN262:HP262))</f>
        <v>0</v>
      </c>
      <c r="BG262" s="9">
        <f>IF(Исходн.данные.!AH262=0,0,IF((HO262+10*0.25/HG262/HL262)&lt;17,17,HO262+10*0.25/HG262/HL262))</f>
        <v>0</v>
      </c>
      <c r="BH262" s="181">
        <f>IF(Исходн.данные.!AH262=0,0,HW262*HF262*HL262/AU262*AI262+Исходн.данные.!S262*10)</f>
        <v>0</v>
      </c>
      <c r="BI262" s="10"/>
      <c r="BJ262" s="182">
        <f>IF(Исходн.данные.!AH262=0,0,IF(HX262*HG262*HL262/AV262&lt;0,0,HX262*HG262*HL262/AV262*AJ262))</f>
        <v>0</v>
      </c>
      <c r="BK262" s="182">
        <f>IF(Исходн.данные.!AH262=0,0,HY262*HH262*HM262/AW262)</f>
        <v>0</v>
      </c>
      <c r="BL262" s="10">
        <f>IF(OR(Исходн.данные.!$AH262=$BP$1,Исходн.данные.!$AH262=$BP$2),0,IF(BH262&lt;0,0,IF(OR(Исходн.данные.!T262=Расчет!$BP$1,Исходн.данные.!T262=Расчет!$BP$2,Исходн.данные.!T262=Расчет!$BT$5,Исходн.данные.!T262=Расчет!$BT$6),BH262*0.5,IF(OR(Исходн.данные.!T262=Расчет!$BS$9,Исходн.данные.!T262=Расчет!$BS$10,Исходн.данные.!T262=Расчет!$BS$11,Исходн.данные.!T262=Расчет!$BS$12,Исходн.данные.!T262=Расчет!$BP$5),BH262*0.8,BH262))))</f>
        <v>0</v>
      </c>
      <c r="BM262" s="10">
        <f>IF(OR(Исходн.данные.!$AH262=$BP$1,Исходн.данные.!$AH262=$BP$2),0,IF(BJ262&lt;0,0,IF(Исходн.данные.!I262&lt;4.5,BJ262*1.2,IF(Исходн.данные.!I262&gt;5.1,BJ262,BJ262*((5.1-Исходн.данные.!I262)*0.333+1)))))</f>
        <v>0</v>
      </c>
      <c r="BN262" s="10">
        <f>IF(OR(Исходн.данные.!$AH262=$BP$1,Исходн.данные.!$AH262=$BP$2),60-Исходн.данные.!AF262,IF(BK262&lt;0,0,IF(Исходн.данные.!I262&lt;4.5,BK262*1.2,IF(Исходн.данные.!I262&gt;5.1,BK262,BK262*((5.1-Исходн.данные.!I262)*0.333+1)))))</f>
        <v>0</v>
      </c>
      <c r="BO262" s="9">
        <f>IF(BL262&lt;0,0,BL262*Исходн.данные.!$AJ262/1000)</f>
        <v>0</v>
      </c>
      <c r="BP262" s="9">
        <f>IF(BM262&lt;0,0,BM262*Исходн.данные.!$AJ262/1000)</f>
        <v>0</v>
      </c>
      <c r="BQ262" s="9">
        <f>IF(BN262&lt;0,0,BN262*Исходн.данные.!$AJ262/1000)</f>
        <v>0</v>
      </c>
      <c r="BR262" s="9">
        <f t="shared" si="303"/>
        <v>0</v>
      </c>
      <c r="BS262" s="10" t="str">
        <f t="shared" si="304"/>
        <v>Аммофос 12:52:00</v>
      </c>
      <c r="BT262" s="10" t="str">
        <f t="shared" si="305"/>
        <v>Аммофос 12:52:00</v>
      </c>
      <c r="BU262" s="10" t="str">
        <f t="shared" si="306"/>
        <v>Диаммофоска</v>
      </c>
      <c r="BV262" s="10">
        <f t="shared" si="307"/>
        <v>0</v>
      </c>
      <c r="BW262" s="10"/>
      <c r="BX262" s="10"/>
      <c r="BY262" s="9">
        <f>IF(BL262&lt;0,0,IF(OR(Исходн.данные.!AI262=Расчет!$BU$6,Исходн.данные.!AI262=Расчет!$BU$7),Расчет!BV262,IF(Исходн.данные.!$AG262=$BV$11,BL262,IF(OR(Исходн.данные.!$AH262=$BQ$7,Исходн.данные.!$AH262=$BQ$8),CB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0,IF(Исходн.данные.!$AI262=$BU$11,"Нет",IF(BL262&gt;30,30,BL262)))))))</f>
        <v>0</v>
      </c>
      <c r="BZ262" s="9">
        <f>IF(AND(Исходн.данные.!$AG262=$BV$11,BM262&lt;10),10,IF(Исходн.данные.!$AG262=$BV$11,BM262,IF(OR(Исходн.данные.!$AH262=$BQ$7,Исходн.данные.!$AH262=$BQ$8),CC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10,IF(Исходн.данные.!$AI262=$BU$11,"Нет",IF(BM262&gt;60,60,IF(BM262&lt;10,10,BM262)))))))</f>
        <v>10</v>
      </c>
      <c r="CA262" s="39">
        <f>IF(BN262&lt;0,0,IF(Исходн.данные.!$AG262=$BV$11,BN262,IF(OR(Исходн.данные.!$AH262=$BQ$7,Исходн.данные.!$AH262=$BQ$8),CD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0,IF(Исходн.данные.!$AI262=$BU$11,"Нет",IF(BN262&gt;30,30,BN262))))))</f>
        <v>0</v>
      </c>
      <c r="CB262" s="9">
        <f t="shared" si="308"/>
        <v>0</v>
      </c>
      <c r="CC262" s="9">
        <f t="shared" si="309"/>
        <v>0</v>
      </c>
      <c r="CD262" s="9">
        <f t="shared" si="310"/>
        <v>0</v>
      </c>
      <c r="CE262" s="12">
        <f t="shared" si="311"/>
        <v>10</v>
      </c>
      <c r="CF262" s="9">
        <f t="shared" si="312"/>
        <v>0</v>
      </c>
      <c r="CG262" s="9" t="s">
        <v>231</v>
      </c>
      <c r="CH262" s="132" t="str">
        <f>IF(Исходн.данные.!AP262=Расчет!$CI$16,"Нет",IF(Исходн.данные.!AL262&gt;0,Исходн.данные.!AL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BH$4,IF(OR(Исходн.данные.!AI262=Исходн.данные.!$AI$6,Исходн.данные.!AI262=Исходн.данные.!$AI$7),Расчет!BS262,IF(AND($CF262=0,$CE262&gt;0),EV262,ER262)))))</f>
        <v>Аммофос 12:52:00</v>
      </c>
      <c r="CI262" s="274">
        <f>IF(Расчет!$CH262="Нет","Нет",IF(Исходн.данные.!$AL262&gt;0,VLOOKUP(Расчет!$CH262,АшламаДВ_Irekle,2,FALSE),VLOOKUP(Расчет!$CH262,АшламаДВ_Gomumy,2,FALSE)))</f>
        <v>0.12</v>
      </c>
      <c r="CJ262" s="274">
        <f>IF(Расчет!$CH262="Нет","Нет",IF(Исходн.данные.!$AL262&gt;0,VLOOKUP(Расчет!$CH262,АшламаДВ_Irekle,3,FALSE),VLOOKUP(Расчет!$CH262,АшламаДВ_Gomumy,3,FALSE)))</f>
        <v>0.52</v>
      </c>
      <c r="CK262" s="274">
        <f>IF(Расчет!$CH262="Нет","Нет",IF(Исходн.данные.!$AL262&gt;0,VLOOKUP(Расчет!$CH262,АшламаДВ_Irekle,4,FALSE),VLOOKUP(Расчет!$CH262,АшламаДВ_Gomumy,4,FALSE)))</f>
        <v>0</v>
      </c>
      <c r="CL262" s="70"/>
      <c r="CM262" s="70"/>
      <c r="CN262" s="70"/>
      <c r="CO262" s="70"/>
      <c r="CP262" s="70"/>
      <c r="CQ262" s="70"/>
      <c r="CR262" s="10">
        <f t="shared" si="313"/>
        <v>0</v>
      </c>
      <c r="CS262" s="10">
        <f t="shared" si="314"/>
        <v>19.23076923076923</v>
      </c>
      <c r="CT262" s="10">
        <f t="shared" si="315"/>
        <v>0</v>
      </c>
      <c r="CU262" s="39">
        <f>IF($CH262="Нет",0,IF(CI262=0,30/MIN(CJ262:CK262),IF(Исходн.данные.!$AG262=$BV$11,CR262,IF(OR(Исходн.данные.!$AH262=$BQ$7,Исходн.данные.!$AH262=$BQ$8),90/CI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0,IF(Исходн.данные.!$AI262=$BU$11,"Нет",30/CI262))))))</f>
        <v>250</v>
      </c>
      <c r="CV262" s="39">
        <f>IF($CH262="Нет",0,IF(Исходн.данные.!AH262=0,0,IF(CJ262=0,60/MIN(CI262,CK262),IF(Исходн.данные.!$AG262=$BV$11,CS262,IF(OR(Исходн.данные.!$AH262=$BQ$7,Исходн.данные.!$AH262=$BQ$8),90/CJ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10/CJ262,IF(Исходн.данные.!$AI262=$BU$11,"Нет",60/CJ262)))))))</f>
        <v>0</v>
      </c>
      <c r="CW262" s="39">
        <f>IF($CH262="Нет",0,IF(Исходн.данные.!AH262=0,0,IF(CK262=0,30/MIN(CI262:CJ262),IF(Исходн.данные.!$AG262=$BV$11,CT262,IF(OR(Исходн.данные.!$AH262=$BQ$7,Исходн.данные.!$AH262=$BQ$8),90/CK262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0,IF(Исходн.данные.!$AI262=$BU$11,"Нет",30/CK262)))))))</f>
        <v>0</v>
      </c>
      <c r="CX262" s="133">
        <f>IF(Исходн.данные.!$AG262=$BV$11,MAX(CU262:CW262),IF(OR(Исходн.данные.!$AH262=$BS$8,Исходн.данные.!$AH262=$BQ$9,Исходн.данные.!$AH262=$BQ$10,Исходн.данные.!$AH262=$BQ$11,Исходн.данные.!$AH262=$BQ$12,Исходн.данные.!$AH262=$BP$3,Исходн.данные.!$AH262=$BT$8,$FM262="Да"),CV262,MIN(CU262:CW262)))</f>
        <v>0</v>
      </c>
      <c r="CY262" s="133">
        <f>IF(Исходн.данные.!AH262=0,0,IF(CR262&gt;$CX262,$CX262,CR262))</f>
        <v>0</v>
      </c>
      <c r="CZ262" s="133">
        <f>IF(Исходн.данные.!AH262=0,0,IF(CS262&gt;$CX262,$CX262,CS262))</f>
        <v>0</v>
      </c>
      <c r="DA262" s="133">
        <f>IF(Исходн.данные.!AH262=0,0,IF(CT262&gt;$CX262,$CX262,CT262))</f>
        <v>0</v>
      </c>
      <c r="DB262" s="10">
        <f t="shared" si="316"/>
        <v>0</v>
      </c>
      <c r="DC262" s="39">
        <f>DB262*Исходн.данные.!AJ262/1000</f>
        <v>0</v>
      </c>
      <c r="DD262" s="71">
        <f t="shared" si="317"/>
        <v>0</v>
      </c>
      <c r="DE262" s="9">
        <f t="shared" si="318"/>
        <v>0</v>
      </c>
      <c r="DF262" s="9">
        <f t="shared" si="319"/>
        <v>0</v>
      </c>
      <c r="DG262" s="39">
        <f>IF(BL262&lt;0,0,IF($CH262="Нет",BL262,IF(OR(Исходн.данные.!$AH262=$BP$1,Исходн.данные.!$AH262=$BP$2),0,IF(Исходн.данные.!AI262=$BU$11,BL262,IF(BL262-DD262&lt;0,0,BL262-DD262)))))</f>
        <v>0</v>
      </c>
      <c r="DH262" s="39">
        <f>IF(BM262&lt;0,0,IF($CH262="Нет",BM262,IF(OR(Исходн.данные.!$AH262=$BP$1,Исходн.данные.!$AH262=$BP$2),0,IF(Исходн.данные.!AJ262=$BU$11,BM262,IF(BM262-DE262&lt;0,0,BM262-DE262)))))</f>
        <v>0</v>
      </c>
      <c r="DI262" s="39">
        <f>IF(BN262&lt;0,0,IF($CH262="Нет",BN262,IF(OR(Исходн.данные.!$AH262=$BP$1,Исходн.данные.!$AH262=$BP$2),0,IF(Исходн.данные.!AK262=$BU$11,BN262,IF(BN262-DF262&lt;0,0,BN262-DF262)))))</f>
        <v>0</v>
      </c>
      <c r="DJ262" s="12">
        <f t="shared" si="320"/>
        <v>0</v>
      </c>
      <c r="DK262" s="9">
        <f t="shared" si="321"/>
        <v>0</v>
      </c>
      <c r="DL262" s="39">
        <f>IF(Исходн.данные.!AM262&gt;0,Исходн.данные.!AM262,IF(EG262&gt;0,$BH$10,0))</f>
        <v>0</v>
      </c>
      <c r="DM262" s="186">
        <f>IF($DL262=0,0,IF(Исходн.данные.!AM262&gt;0,VLOOKUP($DL262,АшламаДВ_Irekle,2,FALSE),VLOOKUP($DL262,АшламаДВ_Gomumy,2,FALSE)))</f>
        <v>0</v>
      </c>
      <c r="DN262" s="10">
        <f t="shared" si="299"/>
        <v>0</v>
      </c>
      <c r="DO262" s="9" t="str">
        <f>IF(Исходн.данные.!AN262&gt;0,Исходн.данные.!AN262,Удобрения!$B$37 )</f>
        <v>Хлор.калий</v>
      </c>
      <c r="DP262" s="9">
        <f>IF(Исходн.данные.!AN262&gt;0,VLOOKUP(Исходн.данные.!AN262,АшламаДВ_Irekle,4,FALSE),VLOOKUP(DO262,АшламаДВ_Gomumy,4,FALSE))</f>
        <v>0.6</v>
      </c>
      <c r="DQ262" s="10">
        <f t="shared" si="300"/>
        <v>0</v>
      </c>
      <c r="DR262" s="132" t="str">
        <f>IF(Исходн.данные.!AO262&gt;0,Исходн.данные.!AO262,IF(DH262=0,BS$17,IF(AND($DK262=0,$DJ262&gt;0),EJ262,EN262)))</f>
        <v>Нет</v>
      </c>
      <c r="DS262" s="70" t="str">
        <f>IF($DR262="Нет","Нет",IF(Исходн.данные.!$AO262&gt;0,VLOOKUP($DR262,АшламаДВ_Irekle,2,FALSE),VLOOKUP($DR262,АшламаДВ_Gomumy,2,FALSE)))</f>
        <v>Нет</v>
      </c>
      <c r="DT262" s="70" t="str">
        <f>IF($DR262="Нет","Нет",IF(Исходн.данные.!$AO262&gt;0,VLOOKUP($DR262,АшламаДВ_Irekle,3,FALSE),VLOOKUP($DR262,АшламаДВ_Gomumy,3,FALSE)))</f>
        <v>Нет</v>
      </c>
      <c r="DU262" s="70" t="str">
        <f>IF($DR262="Нет","Нет",IF(Исходн.данные.!$AO262&gt;0,VLOOKUP($DR262,АшламаДВ_Irekle,4,FALSE),VLOOKUP($DR262,АшламаДВ_Gomumy,4,FALSE)))</f>
        <v>Нет</v>
      </c>
      <c r="DV262" s="70"/>
      <c r="DW262" s="70"/>
      <c r="DX262" s="70"/>
      <c r="DY262" s="10">
        <f t="shared" si="322"/>
        <v>0</v>
      </c>
      <c r="DZ262" s="10">
        <f t="shared" si="323"/>
        <v>0</v>
      </c>
      <c r="EA262" s="10">
        <f t="shared" si="324"/>
        <v>0</v>
      </c>
      <c r="EB262" s="10">
        <f t="shared" si="325"/>
        <v>0</v>
      </c>
      <c r="EC262" s="10">
        <f t="shared" si="326"/>
        <v>0</v>
      </c>
      <c r="ED262" s="10">
        <f t="shared" si="327"/>
        <v>0</v>
      </c>
      <c r="EE262" s="10">
        <f t="shared" si="328"/>
        <v>0</v>
      </c>
      <c r="EF262" s="39">
        <f>EB262*Исходн.данные.!AJ262/1000</f>
        <v>0</v>
      </c>
      <c r="EG262" s="9">
        <f t="shared" si="329"/>
        <v>0</v>
      </c>
      <c r="EH262" s="9">
        <f t="shared" si="330"/>
        <v>0</v>
      </c>
      <c r="EI262" s="39" t="e">
        <f t="shared" si="280"/>
        <v>#DIV/0!</v>
      </c>
      <c r="EJ262" s="9" t="str">
        <f t="shared" si="301"/>
        <v>Азопреципитат</v>
      </c>
      <c r="EK262" s="12">
        <f t="shared" si="281"/>
        <v>0.26</v>
      </c>
      <c r="EL262" s="12">
        <f t="shared" si="282"/>
        <v>0.13</v>
      </c>
      <c r="EM262" s="12">
        <f t="shared" si="283"/>
        <v>0</v>
      </c>
      <c r="EN262" s="12" t="str">
        <f t="shared" si="302"/>
        <v>Нет</v>
      </c>
      <c r="EO262" s="12">
        <f t="shared" si="284"/>
        <v>0</v>
      </c>
      <c r="EP262" s="12">
        <f t="shared" si="285"/>
        <v>0</v>
      </c>
      <c r="EQ262" s="12">
        <f t="shared" si="286"/>
        <v>0</v>
      </c>
      <c r="ER262" s="12" t="str">
        <f t="shared" si="331"/>
        <v>Диаммофоска</v>
      </c>
      <c r="ES262" s="12">
        <f t="shared" si="287"/>
        <v>0.1</v>
      </c>
      <c r="ET262" s="12">
        <f t="shared" si="288"/>
        <v>0.26</v>
      </c>
      <c r="EU262" s="12">
        <f t="shared" si="289"/>
        <v>0.26</v>
      </c>
      <c r="EV262" s="12" t="str">
        <f t="shared" si="332"/>
        <v>Аммофос 12:52:00</v>
      </c>
      <c r="EW262" s="12" t="str">
        <f t="shared" si="333"/>
        <v>Кемира Свекловичное-6</v>
      </c>
      <c r="EX262" s="12">
        <f t="shared" si="290"/>
        <v>0.16</v>
      </c>
      <c r="EY262" s="12">
        <f t="shared" si="291"/>
        <v>0.12</v>
      </c>
      <c r="EZ262" s="12">
        <f t="shared" si="292"/>
        <v>0.17</v>
      </c>
      <c r="FA262" s="38" t="e">
        <f>IF(AND(OR(FJ262=$FD$1,FM262=$FD$1,FO262=$FD$1,FQ262=$FD$1,FS262=$FD$1),FD262=$FD$1,Исходн.данные.!J262&lt;2,FU262=$FD$1),"Бор,Кобальт",IF(AND(FO262=$FD$1,FH262=$FD$1,Исходн.данные.!J262&lt;2,FU262=$FD$1),"Бор,Кобальт",IF(AND(OR(FJ262=$FD$1,FM262=$FD$1,FQ262=$FD$1),FE262=$FD$1,Исходн.данные.!J262&lt;2,FT262=$FD$1,FU262=$FD$1),"Бор,Медь,Цинк",IF(AND(OR(FJ262=$FD$1,FR262="Да"),FI262="Да",Исходн.данные.!J262&lt;2,FT262="Да",FU262="Да"),"Бор,Цинк,Медь",IF(AND(OR(FM262="Да",FQ262="Да"),FI262="Да",Исходн.данные.!J262&lt;2,FT262="Да",FU262="Да"),"Бор,Цинк",IF(AND(FN262="Да",OR(FD262="Да",FE262="Да")),"Бор",FB262))))))</f>
        <v>#N/A</v>
      </c>
      <c r="FB262" s="134" t="e">
        <f>IF(AND(OR(FD262="Да",FE262="Да",FF262="Да",FG262="Да",FH262="Да"),FO262="Да"),"Бор",IF(AND(FP262="Да",OR(FD262="Да",FE262="Да",FI262="Да")),"Бор",IF(AND(FS262="Да",FE262="Да"),"Бор,Медь",IF(AND(OR(FJ262="Да",FK262="Да",FL262="Да"),FE262="Да",Исходн.данные.!I262&lt;5,FT262="Да",FU262="Да"),"Молибден,Цинк",IF(AND(FM262="Да",OR(FE262="Да",FF262="Да",FG262="Да",FH262="Да",FI262="Да")),"Молибден,Цинк",IF(AND(OR(FJ262="Да",FK262="Да",FL262="Да",FM262="Да",FQ262="Да"),OR(FE262="Да",FF262="Да"),FT262="Да",FU262="Да",Исходн.данные.!I262&gt;5.5),"Медь,Цинк",FC262))))))</f>
        <v>#N/A</v>
      </c>
      <c r="FC262" s="23" t="e">
        <f t="shared" si="334"/>
        <v>#N/A</v>
      </c>
      <c r="FD262" s="38" t="str">
        <f>IF(OR(Исходн.данные.!F262=$CC$1,Исходн.данные.!F262=$CC$2,Исходн.данные.!F262=$CC$3,Исходн.данные.!F262=$CC$4),"Да","Нет")</f>
        <v>Нет</v>
      </c>
      <c r="FE262" s="38" t="str">
        <f>IF(Исходн.данные.!F262=$CC$5,"Да","Нет")</f>
        <v>Нет</v>
      </c>
      <c r="FF262" s="38" t="str">
        <f>IF(OR(Исходн.данные.!F262=$CC$6,Исходн.данные.!F262=$CC$7),"Да","Нет")</f>
        <v>Нет</v>
      </c>
      <c r="FG262" s="38" t="str">
        <f>IF(OR(Исходн.данные.!F262=$CC$8,Исходн.данные.!F262=$CC$9),"Да","Нет")</f>
        <v>Нет</v>
      </c>
      <c r="FH262" s="38" t="str">
        <f>IF(Исходн.данные.!F262=$CC$10,"Да","Нет")</f>
        <v>Нет</v>
      </c>
      <c r="FI262" s="38" t="str">
        <f>IF(OR(Исходн.данные.!F262=$CC$11,Исходн.данные.!F262=$CC$12),"Да","Нет")</f>
        <v>Нет</v>
      </c>
      <c r="FJ262" s="38" t="str">
        <f>IF(OR(Исходн.данные.!AH262=$BS$1,Исходн.данные.!AH262=$BQ$11,Исходн.данные.!AH262=$BQ$12),"Да","Нет")</f>
        <v>Нет</v>
      </c>
      <c r="FK262" s="38" t="str">
        <f>IF(OR(Исходн.данные.!AH262=$BS$2,Исходн.данные.!AH262=$BS$4),"Да","Нет")</f>
        <v>Нет</v>
      </c>
      <c r="FL262" s="38" t="str">
        <f>IF(OR(Исходн.данные.!AH262=$BS$3,Исходн.данные.!AH262=$BS$5),"Да","Нет")</f>
        <v>Нет</v>
      </c>
      <c r="FM262" s="38" t="str">
        <f>IF(OR(Исходн.данные.!AH262=$BS$9,Исходн.данные.!AH262=$BS$10,Исходн.данные.!AH262=$BS$11,Исходн.данные.!AH262=$BS$12),"Да","Нет")</f>
        <v>Нет</v>
      </c>
      <c r="FN262" s="38" t="str">
        <f>IF(OR(Исходн.данные.!AH262=$BS$6,Исходн.данные.!AH262=$BP$3),"Да","Нет")</f>
        <v>Нет</v>
      </c>
      <c r="FO262" s="38" t="str">
        <f>IF(Исходн.данные.!AH262=$BQ$9,"Да","Нет")</f>
        <v>Нет</v>
      </c>
      <c r="FP262" s="38" t="str">
        <f>IF(OR(Исходн.данные.!AH262=$BS$8,Исходн.данные.!AH262=$BT$8),"Да","Нет")</f>
        <v>Нет</v>
      </c>
      <c r="FQ262" s="38" t="str">
        <f>IF(OR(Исходн.данные.!AH262=$BQ$7,Исходн.данные.!AH262=$BQ$8),"Да","Нет")</f>
        <v>Нет</v>
      </c>
      <c r="FR262" s="38" t="str">
        <f>IF(Исходн.данные.!AI262=$BU$9,"Да","Нет")</f>
        <v>Нет</v>
      </c>
      <c r="FS262" s="38" t="str">
        <f>IF(OR(Исходн.данные.!AH262=$BP$1,Исходн.данные.!AH262=$BP$2),"Да","Нет")</f>
        <v>Нет</v>
      </c>
      <c r="FT262" s="38" t="e">
        <f>IF((Исходн.данные.!K262*GO262*GS262*GW262+BL262*0.6+Исходн.данные.!Q262*4.5*0.275)&gt;90,"Да","Нет")</f>
        <v>#N/A</v>
      </c>
      <c r="FU262" s="38" t="e">
        <f>IF((Исходн.данные.!M262*GS262*GZ262+BM262*0.225)&gt;35,"Да","Нет")</f>
        <v>#N/A</v>
      </c>
      <c r="FV262" s="38" t="str">
        <f>IF(Исходн.данные.!O262&gt;175,"Да","Нет")</f>
        <v>Нет</v>
      </c>
      <c r="FW262" s="39" t="str">
        <f>IF(Исходн.данные.!I262&gt;5.5,"Да","Нет")</f>
        <v>Нет</v>
      </c>
      <c r="FX262" s="39" t="str">
        <f>IF(Исходн.данные.!J262&lt;2,"Да","Нет")</f>
        <v>Да</v>
      </c>
      <c r="FY262" s="39" t="e">
        <f>IF(HF262=$FY$16,0,Исходн.данные.!K262*GO262*GS262*GW262/HF262)</f>
        <v>#N/A</v>
      </c>
      <c r="FZ262" s="39" t="e">
        <f>Исходн.данные.!M262*GS262*GZ262/HG262</f>
        <v>#N/A</v>
      </c>
      <c r="GA262" s="39" t="e">
        <f>IF(K_Wyn=$FY$16,0,IF(Исходн.данные.!N262=Исходн.данные.!$L$10,Исходн.данные.!O262/1.1*GS262*HC262/HH262,IF(Исходн.данные.!N262=Исходн.данные.!$L$12,Исходн.данные.!O262/1.5*GS262*HC262/HH262,Исходн.данные.!O262*GS262*HC262/HH262)))</f>
        <v>#N/A</v>
      </c>
      <c r="GB262" s="39" t="e">
        <f>IF(HF262=$FY$16,0,((Исходн.данные.!Q262*N_Org+Исходн.данные.!R262*N_Sider+Исходн.данные.!S262*N_Soloma)*AO262+Расчет!BC262*VLOOKUP(Исходн.данные.!T262,Справ!$A$3:$O$57,15)*AO262+BB262*VLOOKUP(Исходн.данные.!T262,Справ!$A$3:$O$57,15)*AL262+(Исходн.данные.!V262*N_Rizotorf+Исходн.данные.!W262*N_Rizoagr))/HF262)</f>
        <v>#N/A</v>
      </c>
      <c r="GC262" s="39" t="e">
        <f>IF(HG262=$FY$16,0,((Исходн.данные.!Q262*Р_Org+Исходн.данные.!R262*P_Sider+Исходн.данные.!S262*P_Soloma)*AP262+Расчет!BC262*VLOOKUP(Исходн.данные.!T262,Справ!$A$3:$P$57,16)*AP262+BB262*VLOOKUP(Исходн.данные.!T262,Справ!$A$3:$P$57,16)*AM262)/HG262)</f>
        <v>#N/A</v>
      </c>
      <c r="GD262" s="39" t="e">
        <f>IF(HH262=$FY$16,0,((Исходн.данные.!Q262*К_Org+Исходн.данные.!R262*K_Sider+Исходн.данные.!S262*K_Soloma)*AQ262+Расчет!BC262*VLOOKUP(Исходн.данные.!T262,Справ!$A$3:$Q$57,17)*AQ262+BB262*VLOOKUP(Исходн.данные.!T262,Справ!$A$3:$Q$57,17)*AN262)/HH262)</f>
        <v>#N/A</v>
      </c>
      <c r="GE262" s="39" t="e">
        <f>IF(HF262=$FY$16,0,(Исходн.данные.!X262*AR262+Исходн.данные.!AA262*N_Org*AL262+Исходн.данные.!AB262*N_Sider*AL262+Исходн.данные.!AC262*N_Soloma*AL262)/HF262)</f>
        <v>#N/A</v>
      </c>
      <c r="GF262" s="39" t="e">
        <f>IF(HG262=$FY$16,0,(Исходн.данные.!Y262*AS262+Исходн.данные.!AA262*Р_Org*AM262+Исходн.данные.!AB262*P_Sider*AM262+Исходн.данные.!AC262*P_Soloma*AM262)/HG262)</f>
        <v>#N/A</v>
      </c>
      <c r="GG262" s="39" t="e">
        <f>IF(HH262=$FY$16,0,(Исходн.данные.!Z262*AT262+Исходн.данные.!AA262*К_Org*AN262+Исходн.данные.!AB262*K_Sider*AN262+Исходн.данные.!AC262*K_Soloma*AN262)/HH262)</f>
        <v>#N/A</v>
      </c>
      <c r="GH262" s="39" t="e">
        <f>Исходн.данные.!AD262*AU262/HF262</f>
        <v>#N/A</v>
      </c>
      <c r="GI262" s="39" t="e">
        <f>Исходн.данные.!AE262*AV262/HG262</f>
        <v>#N/A</v>
      </c>
      <c r="GJ262" s="39" t="e">
        <f>Исходн.данные.!AF262*AW262/HH262</f>
        <v>#N/A</v>
      </c>
      <c r="GK262" s="55">
        <f>Исходн.данные.!AK262</f>
        <v>0</v>
      </c>
      <c r="GL262" s="11" t="e">
        <f t="shared" si="335"/>
        <v>#N/A</v>
      </c>
      <c r="GM262" s="11" t="e">
        <f t="shared" si="336"/>
        <v>#N/A</v>
      </c>
      <c r="GN262" s="11" t="e">
        <f t="shared" si="337"/>
        <v>#N/A</v>
      </c>
      <c r="GO262" s="57">
        <f t="shared" si="338"/>
        <v>19</v>
      </c>
      <c r="GP262" s="55">
        <f>IF(OR(Исходн.данные.!F262=$CE$1,Исходн.данные.!F262=$CE$2,Исходн.данные.!F262=$CE$3,Исходн.данные.!F262=$CE$4,Исходн.данные.!F262=$CE$5),GQ262,GR262)</f>
        <v>19</v>
      </c>
      <c r="GQ262" s="55">
        <f>IF(Исходн.данные.!F262=$CE$1,28,IF(Исходн.данные.!F262=$CE$2,26,IF(Исходн.данные.!F262=$CE$3,24,IF(Исходн.данные.!F262=$CE$4,22,IF(Исходн.данные.!F262=$CE$5,20,GR262)))))</f>
        <v>19</v>
      </c>
      <c r="GR262" s="55">
        <f>IF(Исходн.данные.!F262=$CE$6,18,IF(Исходн.данные.!F262=$CE$7,16,IF(Исходн.данные.!F262=$CE$8,14,IF(Исходн.данные.!F262=$CE$9,13,IF(Исходн.данные.!F262=$CE$10,12,19)))))</f>
        <v>19</v>
      </c>
      <c r="GS262" s="55">
        <f>IF(Исходн.данные.!G262="Пес",0.035*(40+2*Исходн.данные.!H262),IF(Исходн.данные.!G262="Суп",0.0325*(40+2*Исходн.данные.!H262),0.03*(40+2*Исходн.данные.!H262)))</f>
        <v>1.2</v>
      </c>
      <c r="GT262" s="55">
        <f>IF(Исходн.данные.!H262&lt;23,2.6,IF(AND(Исходн.данные.!H262&gt;22,Исходн.данные.!H262&lt;26),3,IF(AND(Исходн.данные.!H262&gt;25,Исходн.данные.!H262&lt;29),3.4,3.6)))</f>
        <v>2.6</v>
      </c>
      <c r="GU262" s="55">
        <f>IF(Исходн.данные.!H262&lt;23,2.8,IF(AND(Исходн.данные.!H262&gt;22,Исходн.данные.!H262&lt;26),3.2,IF(AND(Исходн.данные.!H262&gt;25,Исходн.данные.!H262&lt;29),3.6,3.9)))</f>
        <v>2.8</v>
      </c>
      <c r="GV262" s="55">
        <f>IF(Исходн.данные.!H262&lt;23,3,IF(AND(Исходн.данные.!H262&gt;22,Исходн.данные.!H262&lt;26),3.5,IF(AND(Исходн.данные.!H262&gt;25,Исходн.данные.!H262&lt;29),3.9,4.2)))</f>
        <v>3</v>
      </c>
      <c r="GW262" s="55" t="e">
        <f>IF(Исходн.данные.!P262="Ум",GX262,GY262)</f>
        <v>#N/A</v>
      </c>
      <c r="GX262" s="55" t="e">
        <f>VLOOKUP(Исходн.данные.!AI262,Коэффициенты!$J$7:$L$13,2,FALSE)</f>
        <v>#N/A</v>
      </c>
      <c r="GY262" s="55" t="e">
        <f>VLOOKUP(Исходн.данные.!AI262,Коэффициенты!$J$7:$L$13,3,FALSE)</f>
        <v>#N/A</v>
      </c>
      <c r="GZ262" s="55" t="e">
        <f>(IF(Исходн.данные.!M262&lt;50,0.11*VLOOKUP(Исходн.данные.!AH262,Культуры.Информация,7,FALSE),IF(Исходн.данные.!M262&gt;250,0.05*VLOOKUP(Исходн.данные.!AH262,Культуры.Информация,7,FALSE),VLOOKUP(Исходн.данные.!AH262,Культуры.Информация,5,FALSE)/100*($GX$6+$GY$6*Исходн.данные.!M262))))*Расчет2!AI262</f>
        <v>#N/A</v>
      </c>
      <c r="HA262" s="211"/>
      <c r="HB262" s="211"/>
      <c r="HC262" s="55" t="e">
        <f>(IF(Исходн.данные.!O262&lt;80,0.2*VLOOKUP(Исходн.данные.!AH262,Культуры.Информация,8,FALSE),IF(Исходн.данные.!O262&gt;240,0.09*VLOOKUP(Исходн.данные.!AH262,Культуры.Информация,8,FALSE),VLOOKUP(Исходн.данные.!AH262,Культуры.Информация,6,FALSE)/100*($HB$6+$HC$6*Исходн.данные.!O262))))*Расчет2!AJ262</f>
        <v>#N/A</v>
      </c>
      <c r="HD262" s="55">
        <f>IF(Исходн.данные.!O262&gt;240,0.09,IF(Исходн.данные.!O262&lt;30,0.3,$HE$10+$HD$10*Исходн.данные.!O262))</f>
        <v>0.3</v>
      </c>
      <c r="HE262" s="55">
        <f>IF(Исходн.данные.!O262&gt;240,0.17,IF(Исходн.данные.!O262&lt;30,0.5,$HF$12+$HE$12*Исходн.данные.!O262))</f>
        <v>0.5</v>
      </c>
      <c r="HF262" s="55" t="e">
        <f>VLOOKUP(Исходн.данные.!AH262,Справ!$A$3:$D$58,2,FALSE)</f>
        <v>#N/A</v>
      </c>
      <c r="HG262" s="55" t="e">
        <f>VLOOKUP(Исходн.данные.!AH262,Справ!$A$3:$D$58,3,FALSE)</f>
        <v>#N/A</v>
      </c>
      <c r="HH262" s="55" t="e">
        <f>VLOOKUP(Исходн.данные.!AH262,Справ!$A$3:$D$58,4,FALSE)</f>
        <v>#N/A</v>
      </c>
      <c r="HI262" s="11" t="e">
        <f t="shared" si="339"/>
        <v>#N/A</v>
      </c>
      <c r="HJ262" s="11" t="e">
        <f t="shared" si="340"/>
        <v>#N/A</v>
      </c>
      <c r="HK262" s="11" t="e">
        <f t="shared" si="341"/>
        <v>#N/A</v>
      </c>
      <c r="HL262" s="55">
        <f>IF(OR(Исходн.данные.!G262="Глин",Исходн.данные.!G262="Т_суг"),1.1,IF(Исходн.данные.!G262="Ср_суг",1,1))</f>
        <v>1</v>
      </c>
      <c r="HM262" s="55">
        <f>IF(OR(Исходн.данные.!G262="Глин",Исходн.данные.!G262="Т_суг"),0.9,IF(Исходн.данные.!G262="Ср_суг",1,1.2))</f>
        <v>1.2</v>
      </c>
      <c r="HN262" s="11" t="e">
        <f t="shared" si="342"/>
        <v>#N/A</v>
      </c>
      <c r="HO262" s="11" t="e">
        <f t="shared" si="343"/>
        <v>#N/A</v>
      </c>
      <c r="HP262" s="11" t="e">
        <f t="shared" si="344"/>
        <v>#N/A</v>
      </c>
      <c r="HQ262" t="e">
        <f t="shared" si="345"/>
        <v>#N/A</v>
      </c>
      <c r="HR262" t="e">
        <f t="shared" si="346"/>
        <v>#N/A</v>
      </c>
      <c r="HS262" t="e">
        <f t="shared" si="347"/>
        <v>#N/A</v>
      </c>
      <c r="HT262" t="e">
        <f t="shared" si="293"/>
        <v>#N/A</v>
      </c>
      <c r="HU262" t="e">
        <f t="shared" si="294"/>
        <v>#N/A</v>
      </c>
      <c r="HV262" t="e">
        <f t="shared" si="295"/>
        <v>#N/A</v>
      </c>
      <c r="HW262" t="e">
        <f t="shared" si="296"/>
        <v>#N/A</v>
      </c>
      <c r="HX262" t="e">
        <f t="shared" si="297"/>
        <v>#N/A</v>
      </c>
      <c r="HY262" t="e">
        <f t="shared" si="298"/>
        <v>#N/A</v>
      </c>
      <c r="HZ262" s="55">
        <f>IF(OR(Исходн.данные.!AI262="Оз_Ч_П",Исходн.данные.!AI262="Оз_З_П",Исходн.данные.!AI262="Яр_зер"),12,30)</f>
        <v>30</v>
      </c>
      <c r="IA262" t="e">
        <f t="shared" si="348"/>
        <v>#N/A</v>
      </c>
      <c r="IB262" t="e">
        <f t="shared" si="349"/>
        <v>#N/A</v>
      </c>
      <c r="IC262" t="e">
        <f t="shared" si="350"/>
        <v>#N/A</v>
      </c>
      <c r="ID262" s="11" t="e">
        <f t="shared" si="351"/>
        <v>#N/A</v>
      </c>
      <c r="IE262" s="11" t="e">
        <f t="shared" si="352"/>
        <v>#N/A</v>
      </c>
      <c r="IF262" s="11" t="e">
        <f t="shared" si="353"/>
        <v>#N/A</v>
      </c>
    </row>
    <row r="263" spans="35:240" x14ac:dyDescent="0.2">
      <c r="AI263">
        <f>IF(Исходн.данные.!I263&gt;6,1,1.85-(0.148*Исходн.данные.!I263))</f>
        <v>1.85</v>
      </c>
      <c r="AJ263">
        <f>IF(Исходн.данные.!I263&gt;6,1,2.434-(0.246*Исходн.данные.!I263))</f>
        <v>2.4340000000000002</v>
      </c>
      <c r="AL263" s="148" t="b">
        <f>IF(Исходн.данные.!$P263="Ум",N_OrgUd_2g_um,IF(Исходн.данные.!$P263="Об",N_OrgUd_2g_ob))</f>
        <v>0</v>
      </c>
      <c r="AM263" s="148" t="b">
        <f>IF(Исходн.данные.!$P263="Ум",P_OrgUd_2g_um,IF(Исходн.данные.!$P263="Об",P_OrgUd_2g_ob))</f>
        <v>0</v>
      </c>
      <c r="AN263" s="148" t="b">
        <f>IF(Исходн.данные.!$P263="Ум",K_OrgUd_2g_um,IF(Исходн.данные.!$P263="Об",K_OrgUd_2g_ob))</f>
        <v>0</v>
      </c>
      <c r="AO263" s="148" t="b">
        <f>IF(Исходн.данные.!$P263="Ум",N_OrgUd_1g_um,IF(Исходн.данные.!$P263="Об",N_OrgUd_1g_ob))</f>
        <v>0</v>
      </c>
      <c r="AP263" s="148" t="b">
        <f>IF(Исходн.данные.!$P263="Ум",P_OrgUd_1g_um,IF(Исходн.данные.!$P263="Об",P_OrgUd_1g_ob))</f>
        <v>0</v>
      </c>
      <c r="AQ263" s="148" t="b">
        <f>IF(Исходн.данные.!$P263="Ум",K_OrgUd_1g_um,IF(Исходн.данные.!$P263="Об",K_OrgUd_1g_ob))</f>
        <v>0</v>
      </c>
      <c r="AR263" t="b">
        <f>IF(Исходн.данные.!$P263="Ум",N_MinUd_2g_um,IF(Исходн.данные.!$P263="Об",N_MinUd_2g_ob))</f>
        <v>0</v>
      </c>
      <c r="AS263" t="b">
        <f>IF(Исходн.данные.!$P263="Ум",P_MinUd_2g_um,IF(Исходн.данные.!$P263="Об",P_MinUd_2g_ob))</f>
        <v>0</v>
      </c>
      <c r="AT263" t="b">
        <f>IF(Исходн.данные.!$P263="Ум",K_MinUd_2g_um,IF(Исходн.данные.!$P263="Об",K_MinUd_2g_ob))</f>
        <v>0</v>
      </c>
      <c r="AU263" t="b">
        <f>IF(Исходн.данные.!$P263="Ум",N_MinUd_1g_um,IF(Исходн.данные.!$P263="Об",N_MinUd_1g_ob))</f>
        <v>0</v>
      </c>
      <c r="AV263" t="b">
        <f>IF(Исходн.данные.!P263="Ум",P_MinUd_1g_um,IF(Исходн.данные.!P263="Об",P_MinUd_1g_ob))</f>
        <v>0</v>
      </c>
      <c r="AW263" t="b">
        <f>IF(Исходн.данные.!P263="Ум",K_MinUd_1g_um,IF(Исходн.данные.!P263="Об",K_MinUd_1g_ob))</f>
        <v>0</v>
      </c>
      <c r="AY263" t="e">
        <f>VLOOKUP(Исходн.данные.!T263,Справ!$A$3:$N$57,12)</f>
        <v>#N/A</v>
      </c>
      <c r="AZ263" t="e">
        <f>VLOOKUP(Исходн.данные.!T263,Справ!$A$3:$N$57,13)</f>
        <v>#N/A</v>
      </c>
      <c r="BA263" t="e">
        <f>VLOOKUP(Исходн.данные.!T263,Справ!$A$3:$N$57,14)</f>
        <v>#N/A</v>
      </c>
      <c r="BB263">
        <f>IF(Исходн.данные.!AH263=0,0,25)</f>
        <v>0</v>
      </c>
      <c r="BC263" s="141">
        <f>IF(Исходн.данные.!AH263=0,0,IF(Исходн.данные.!T263=0,25,BD263))</f>
        <v>0</v>
      </c>
      <c r="BD263" s="168" t="e">
        <f>AY263+AZ263*Исходн.данные.!U263-POWER(BA263,2)*Исходн.данные.!U263</f>
        <v>#N/A</v>
      </c>
      <c r="BE26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3" s="25">
        <f>IF(Исходн.данные.!AH263=0,0,MIN(HN263:HP263))</f>
        <v>0</v>
      </c>
      <c r="BG263" s="9">
        <f>IF(Исходн.данные.!AH263=0,0,IF((HO263+10*0.25/HG263/HL263)&lt;17,17,HO263+10*0.25/HG263/HL263))</f>
        <v>0</v>
      </c>
      <c r="BH263" s="181">
        <f>IF(Исходн.данные.!AH263=0,0,HW263*HF263*HL263/AU263*AI263+Исходн.данные.!S263*10)</f>
        <v>0</v>
      </c>
      <c r="BI263" s="10"/>
      <c r="BJ263" s="182">
        <f>IF(Исходн.данные.!AH263=0,0,IF(HX263*HG263*HL263/AV263&lt;0,0,HX263*HG263*HL263/AV263*AJ263))</f>
        <v>0</v>
      </c>
      <c r="BK263" s="182">
        <f>IF(Исходн.данные.!AH263=0,0,HY263*HH263*HM263/AW263)</f>
        <v>0</v>
      </c>
      <c r="BL263" s="10">
        <f>IF(OR(Исходн.данные.!$AH263=$BP$1,Исходн.данные.!$AH263=$BP$2),0,IF(BH263&lt;0,0,IF(OR(Исходн.данные.!T263=Расчет!$BP$1,Исходн.данные.!T263=Расчет!$BP$2,Исходн.данные.!T263=Расчет!$BT$5,Исходн.данные.!T263=Расчет!$BT$6),BH263*0.5,IF(OR(Исходн.данные.!T263=Расчет!$BS$9,Исходн.данные.!T263=Расчет!$BS$10,Исходн.данные.!T263=Расчет!$BS$11,Исходн.данные.!T263=Расчет!$BS$12,Исходн.данные.!T263=Расчет!$BP$5),BH263*0.8,BH263))))</f>
        <v>0</v>
      </c>
      <c r="BM263" s="10">
        <f>IF(OR(Исходн.данные.!$AH263=$BP$1,Исходн.данные.!$AH263=$BP$2),0,IF(BJ263&lt;0,0,IF(Исходн.данные.!I263&lt;4.5,BJ263*1.2,IF(Исходн.данные.!I263&gt;5.1,BJ263,BJ263*((5.1-Исходн.данные.!I263)*0.333+1)))))</f>
        <v>0</v>
      </c>
      <c r="BN263" s="10">
        <f>IF(OR(Исходн.данные.!$AH263=$BP$1,Исходн.данные.!$AH263=$BP$2),60-Исходн.данные.!AF263,IF(BK263&lt;0,0,IF(Исходн.данные.!I263&lt;4.5,BK263*1.2,IF(Исходн.данные.!I263&gt;5.1,BK263,BK263*((5.1-Исходн.данные.!I263)*0.333+1)))))</f>
        <v>0</v>
      </c>
      <c r="BO263" s="9">
        <f>IF(BL263&lt;0,0,BL263*Исходн.данные.!$AJ263/1000)</f>
        <v>0</v>
      </c>
      <c r="BP263" s="9">
        <f>IF(BM263&lt;0,0,BM263*Исходн.данные.!$AJ263/1000)</f>
        <v>0</v>
      </c>
      <c r="BQ263" s="9">
        <f>IF(BN263&lt;0,0,BN263*Исходн.данные.!$AJ263/1000)</f>
        <v>0</v>
      </c>
      <c r="BR263" s="9">
        <f t="shared" si="303"/>
        <v>0</v>
      </c>
      <c r="BS263" s="10" t="str">
        <f t="shared" si="304"/>
        <v>Аммофос 12:52:00</v>
      </c>
      <c r="BT263" s="10" t="str">
        <f t="shared" si="305"/>
        <v>Аммофос 12:52:00</v>
      </c>
      <c r="BU263" s="10" t="str">
        <f t="shared" si="306"/>
        <v>Диаммофоска</v>
      </c>
      <c r="BV263" s="10">
        <f t="shared" si="307"/>
        <v>0</v>
      </c>
      <c r="BW263" s="10"/>
      <c r="BX263" s="10"/>
      <c r="BY263" s="9">
        <f>IF(BL263&lt;0,0,IF(OR(Исходн.данные.!AI263=Расчет!$BU$6,Исходн.данные.!AI263=Расчет!$BU$7),Расчет!BV263,IF(Исходн.данные.!$AG263=$BV$11,BL263,IF(OR(Исходн.данные.!$AH263=$BQ$7,Исходн.данные.!$AH263=$BQ$8),CB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0,IF(Исходн.данные.!$AI263=$BU$11,"Нет",IF(BL263&gt;30,30,BL263)))))))</f>
        <v>0</v>
      </c>
      <c r="BZ263" s="9">
        <f>IF(AND(Исходн.данные.!$AG263=$BV$11,BM263&lt;10),10,IF(Исходн.данные.!$AG263=$BV$11,BM263,IF(OR(Исходн.данные.!$AH263=$BQ$7,Исходн.данные.!$AH263=$BQ$8),CC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10,IF(Исходн.данные.!$AI263=$BU$11,"Нет",IF(BM263&gt;60,60,IF(BM263&lt;10,10,BM263)))))))</f>
        <v>10</v>
      </c>
      <c r="CA263" s="39">
        <f>IF(BN263&lt;0,0,IF(Исходн.данные.!$AG263=$BV$11,BN263,IF(OR(Исходн.данные.!$AH263=$BQ$7,Исходн.данные.!$AH263=$BQ$8),CD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0,IF(Исходн.данные.!$AI263=$BU$11,"Нет",IF(BN263&gt;30,30,BN263))))))</f>
        <v>0</v>
      </c>
      <c r="CB263" s="9">
        <f t="shared" si="308"/>
        <v>0</v>
      </c>
      <c r="CC263" s="9">
        <f t="shared" si="309"/>
        <v>0</v>
      </c>
      <c r="CD263" s="9">
        <f t="shared" si="310"/>
        <v>0</v>
      </c>
      <c r="CE263" s="12">
        <f t="shared" si="311"/>
        <v>10</v>
      </c>
      <c r="CF263" s="9">
        <f t="shared" si="312"/>
        <v>0</v>
      </c>
      <c r="CG263" s="9" t="s">
        <v>231</v>
      </c>
      <c r="CH263" s="132" t="str">
        <f>IF(Исходн.данные.!AP263=Расчет!$CI$16,"Нет",IF(Исходн.данные.!AL263&gt;0,Исходн.данные.!AL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BH$4,IF(OR(Исходн.данные.!AI263=Исходн.данные.!$AI$6,Исходн.данные.!AI263=Исходн.данные.!$AI$7),Расчет!BS263,IF(AND($CF263=0,$CE263&gt;0),EV263,ER263)))))</f>
        <v>Аммофос 12:52:00</v>
      </c>
      <c r="CI263" s="274">
        <f>IF(Расчет!$CH263="Нет","Нет",IF(Исходн.данные.!$AL263&gt;0,VLOOKUP(Расчет!$CH263,АшламаДВ_Irekle,2,FALSE),VLOOKUP(Расчет!$CH263,АшламаДВ_Gomumy,2,FALSE)))</f>
        <v>0.12</v>
      </c>
      <c r="CJ263" s="274">
        <f>IF(Расчет!$CH263="Нет","Нет",IF(Исходн.данные.!$AL263&gt;0,VLOOKUP(Расчет!$CH263,АшламаДВ_Irekle,3,FALSE),VLOOKUP(Расчет!$CH263,АшламаДВ_Gomumy,3,FALSE)))</f>
        <v>0.52</v>
      </c>
      <c r="CK263" s="274">
        <f>IF(Расчет!$CH263="Нет","Нет",IF(Исходн.данные.!$AL263&gt;0,VLOOKUP(Расчет!$CH263,АшламаДВ_Irekle,4,FALSE),VLOOKUP(Расчет!$CH263,АшламаДВ_Gomumy,4,FALSE)))</f>
        <v>0</v>
      </c>
      <c r="CL263" s="70"/>
      <c r="CM263" s="70"/>
      <c r="CN263" s="70"/>
      <c r="CO263" s="70"/>
      <c r="CP263" s="70"/>
      <c r="CQ263" s="70"/>
      <c r="CR263" s="10">
        <f t="shared" si="313"/>
        <v>0</v>
      </c>
      <c r="CS263" s="10">
        <f t="shared" si="314"/>
        <v>19.23076923076923</v>
      </c>
      <c r="CT263" s="10">
        <f t="shared" si="315"/>
        <v>0</v>
      </c>
      <c r="CU263" s="39">
        <f>IF($CH263="Нет",0,IF(CI263=0,30/MIN(CJ263:CK263),IF(Исходн.данные.!$AG263=$BV$11,CR263,IF(OR(Исходн.данные.!$AH263=$BQ$7,Исходн.данные.!$AH263=$BQ$8),90/CI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0,IF(Исходн.данные.!$AI263=$BU$11,"Нет",30/CI263))))))</f>
        <v>250</v>
      </c>
      <c r="CV263" s="39">
        <f>IF($CH263="Нет",0,IF(Исходн.данные.!AH263=0,0,IF(CJ263=0,60/MIN(CI263,CK263),IF(Исходн.данные.!$AG263=$BV$11,CS263,IF(OR(Исходн.данные.!$AH263=$BQ$7,Исходн.данные.!$AH263=$BQ$8),90/CJ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10/CJ263,IF(Исходн.данные.!$AI263=$BU$11,"Нет",60/CJ263)))))))</f>
        <v>0</v>
      </c>
      <c r="CW263" s="39">
        <f>IF($CH263="Нет",0,IF(Исходн.данные.!AH263=0,0,IF(CK263=0,30/MIN(CI263:CJ263),IF(Исходн.данные.!$AG263=$BV$11,CT263,IF(OR(Исходн.данные.!$AH263=$BQ$7,Исходн.данные.!$AH263=$BQ$8),90/CK263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0,IF(Исходн.данные.!$AI263=$BU$11,"Нет",30/CK263)))))))</f>
        <v>0</v>
      </c>
      <c r="CX263" s="133">
        <f>IF(Исходн.данные.!$AG263=$BV$11,MAX(CU263:CW263),IF(OR(Исходн.данные.!$AH263=$BS$8,Исходн.данные.!$AH263=$BQ$9,Исходн.данные.!$AH263=$BQ$10,Исходн.данные.!$AH263=$BQ$11,Исходн.данные.!$AH263=$BQ$12,Исходн.данные.!$AH263=$BP$3,Исходн.данные.!$AH263=$BT$8,$FM263="Да"),CV263,MIN(CU263:CW263)))</f>
        <v>0</v>
      </c>
      <c r="CY263" s="133">
        <f>IF(Исходн.данные.!AH263=0,0,IF(CR263&gt;$CX263,$CX263,CR263))</f>
        <v>0</v>
      </c>
      <c r="CZ263" s="133">
        <f>IF(Исходн.данные.!AH263=0,0,IF(CS263&gt;$CX263,$CX263,CS263))</f>
        <v>0</v>
      </c>
      <c r="DA263" s="133">
        <f>IF(Исходн.данные.!AH263=0,0,IF(CT263&gt;$CX263,$CX263,CT263))</f>
        <v>0</v>
      </c>
      <c r="DB263" s="10">
        <f t="shared" si="316"/>
        <v>0</v>
      </c>
      <c r="DC263" s="39">
        <f>DB263*Исходн.данные.!AJ263/1000</f>
        <v>0</v>
      </c>
      <c r="DD263" s="71">
        <f t="shared" si="317"/>
        <v>0</v>
      </c>
      <c r="DE263" s="9">
        <f t="shared" si="318"/>
        <v>0</v>
      </c>
      <c r="DF263" s="9">
        <f t="shared" si="319"/>
        <v>0</v>
      </c>
      <c r="DG263" s="39">
        <f>IF(BL263&lt;0,0,IF($CH263="Нет",BL263,IF(OR(Исходн.данные.!$AH263=$BP$1,Исходн.данные.!$AH263=$BP$2),0,IF(Исходн.данные.!AI263=$BU$11,BL263,IF(BL263-DD263&lt;0,0,BL263-DD263)))))</f>
        <v>0</v>
      </c>
      <c r="DH263" s="39">
        <f>IF(BM263&lt;0,0,IF($CH263="Нет",BM263,IF(OR(Исходн.данные.!$AH263=$BP$1,Исходн.данные.!$AH263=$BP$2),0,IF(Исходн.данные.!AJ263=$BU$11,BM263,IF(BM263-DE263&lt;0,0,BM263-DE263)))))</f>
        <v>0</v>
      </c>
      <c r="DI263" s="39">
        <f>IF(BN263&lt;0,0,IF($CH263="Нет",BN263,IF(OR(Исходн.данные.!$AH263=$BP$1,Исходн.данные.!$AH263=$BP$2),0,IF(Исходн.данные.!AK263=$BU$11,BN263,IF(BN263-DF263&lt;0,0,BN263-DF263)))))</f>
        <v>0</v>
      </c>
      <c r="DJ263" s="12">
        <f t="shared" si="320"/>
        <v>0</v>
      </c>
      <c r="DK263" s="9">
        <f t="shared" si="321"/>
        <v>0</v>
      </c>
      <c r="DL263" s="39">
        <f>IF(Исходн.данные.!AM263&gt;0,Исходн.данные.!AM263,IF(EG263&gt;0,$BH$10,0))</f>
        <v>0</v>
      </c>
      <c r="DM263" s="186">
        <f>IF($DL263=0,0,IF(Исходн.данные.!AM263&gt;0,VLOOKUP($DL263,АшламаДВ_Irekle,2,FALSE),VLOOKUP($DL263,АшламаДВ_Gomumy,2,FALSE)))</f>
        <v>0</v>
      </c>
      <c r="DN263" s="10">
        <f t="shared" si="299"/>
        <v>0</v>
      </c>
      <c r="DO263" s="9" t="str">
        <f>IF(Исходн.данные.!AN263&gt;0,Исходн.данные.!AN263,Удобрения!$B$37 )</f>
        <v>Хлор.калий</v>
      </c>
      <c r="DP263" s="9">
        <f>IF(Исходн.данные.!AN263&gt;0,VLOOKUP(Исходн.данные.!AN263,АшламаДВ_Irekle,4,FALSE),VLOOKUP(DO263,АшламаДВ_Gomumy,4,FALSE))</f>
        <v>0.6</v>
      </c>
      <c r="DQ263" s="10">
        <f t="shared" si="300"/>
        <v>0</v>
      </c>
      <c r="DR263" s="132" t="str">
        <f>IF(Исходн.данные.!AO263&gt;0,Исходн.данные.!AO263,IF(DH263=0,BS$17,IF(AND($DK263=0,$DJ263&gt;0),EJ263,EN263)))</f>
        <v>Нет</v>
      </c>
      <c r="DS263" s="70" t="str">
        <f>IF($DR263="Нет","Нет",IF(Исходн.данные.!$AO263&gt;0,VLOOKUP($DR263,АшламаДВ_Irekle,2,FALSE),VLOOKUP($DR263,АшламаДВ_Gomumy,2,FALSE)))</f>
        <v>Нет</v>
      </c>
      <c r="DT263" s="70" t="str">
        <f>IF($DR263="Нет","Нет",IF(Исходн.данные.!$AO263&gt;0,VLOOKUP($DR263,АшламаДВ_Irekle,3,FALSE),VLOOKUP($DR263,АшламаДВ_Gomumy,3,FALSE)))</f>
        <v>Нет</v>
      </c>
      <c r="DU263" s="70" t="str">
        <f>IF($DR263="Нет","Нет",IF(Исходн.данные.!$AO263&gt;0,VLOOKUP($DR263,АшламаДВ_Irekle,4,FALSE),VLOOKUP($DR263,АшламаДВ_Gomumy,4,FALSE)))</f>
        <v>Нет</v>
      </c>
      <c r="DV263" s="70"/>
      <c r="DW263" s="70"/>
      <c r="DX263" s="70"/>
      <c r="DY263" s="10">
        <f t="shared" si="322"/>
        <v>0</v>
      </c>
      <c r="DZ263" s="10">
        <f t="shared" si="323"/>
        <v>0</v>
      </c>
      <c r="EA263" s="10">
        <f t="shared" si="324"/>
        <v>0</v>
      </c>
      <c r="EB263" s="10">
        <f t="shared" si="325"/>
        <v>0</v>
      </c>
      <c r="EC263" s="10">
        <f t="shared" si="326"/>
        <v>0</v>
      </c>
      <c r="ED263" s="10">
        <f t="shared" si="327"/>
        <v>0</v>
      </c>
      <c r="EE263" s="10">
        <f t="shared" si="328"/>
        <v>0</v>
      </c>
      <c r="EF263" s="39">
        <f>EB263*Исходн.данные.!AJ263/1000</f>
        <v>0</v>
      </c>
      <c r="EG263" s="9">
        <f t="shared" si="329"/>
        <v>0</v>
      </c>
      <c r="EH263" s="9">
        <f t="shared" si="330"/>
        <v>0</v>
      </c>
      <c r="EI263" s="39" t="e">
        <f t="shared" si="280"/>
        <v>#DIV/0!</v>
      </c>
      <c r="EJ263" s="9" t="str">
        <f t="shared" si="301"/>
        <v>Азопреципитат</v>
      </c>
      <c r="EK263" s="12">
        <f t="shared" si="281"/>
        <v>0.26</v>
      </c>
      <c r="EL263" s="12">
        <f t="shared" si="282"/>
        <v>0.13</v>
      </c>
      <c r="EM263" s="12">
        <f t="shared" si="283"/>
        <v>0</v>
      </c>
      <c r="EN263" s="12" t="str">
        <f t="shared" si="302"/>
        <v>Нет</v>
      </c>
      <c r="EO263" s="12">
        <f t="shared" si="284"/>
        <v>0</v>
      </c>
      <c r="EP263" s="12">
        <f t="shared" si="285"/>
        <v>0</v>
      </c>
      <c r="EQ263" s="12">
        <f t="shared" si="286"/>
        <v>0</v>
      </c>
      <c r="ER263" s="12" t="str">
        <f t="shared" si="331"/>
        <v>Диаммофоска</v>
      </c>
      <c r="ES263" s="12">
        <f t="shared" si="287"/>
        <v>0.1</v>
      </c>
      <c r="ET263" s="12">
        <f t="shared" si="288"/>
        <v>0.26</v>
      </c>
      <c r="EU263" s="12">
        <f t="shared" si="289"/>
        <v>0.26</v>
      </c>
      <c r="EV263" s="12" t="str">
        <f t="shared" si="332"/>
        <v>Аммофос 12:52:00</v>
      </c>
      <c r="EW263" s="12" t="str">
        <f t="shared" si="333"/>
        <v>Кемира Свекловичное-6</v>
      </c>
      <c r="EX263" s="12">
        <f t="shared" si="290"/>
        <v>0.16</v>
      </c>
      <c r="EY263" s="12">
        <f t="shared" si="291"/>
        <v>0.12</v>
      </c>
      <c r="EZ263" s="12">
        <f t="shared" si="292"/>
        <v>0.17</v>
      </c>
      <c r="FA263" s="38" t="e">
        <f>IF(AND(OR(FJ263=$FD$1,FM263=$FD$1,FO263=$FD$1,FQ263=$FD$1,FS263=$FD$1),FD263=$FD$1,Исходн.данные.!J263&lt;2,FU263=$FD$1),"Бор,Кобальт",IF(AND(FO263=$FD$1,FH263=$FD$1,Исходн.данные.!J263&lt;2,FU263=$FD$1),"Бор,Кобальт",IF(AND(OR(FJ263=$FD$1,FM263=$FD$1,FQ263=$FD$1),FE263=$FD$1,Исходн.данные.!J263&lt;2,FT263=$FD$1,FU263=$FD$1),"Бор,Медь,Цинк",IF(AND(OR(FJ263=$FD$1,FR263="Да"),FI263="Да",Исходн.данные.!J263&lt;2,FT263="Да",FU263="Да"),"Бор,Цинк,Медь",IF(AND(OR(FM263="Да",FQ263="Да"),FI263="Да",Исходн.данные.!J263&lt;2,FT263="Да",FU263="Да"),"Бор,Цинк",IF(AND(FN263="Да",OR(FD263="Да",FE263="Да")),"Бор",FB263))))))</f>
        <v>#N/A</v>
      </c>
      <c r="FB263" s="134" t="e">
        <f>IF(AND(OR(FD263="Да",FE263="Да",FF263="Да",FG263="Да",FH263="Да"),FO263="Да"),"Бор",IF(AND(FP263="Да",OR(FD263="Да",FE263="Да",FI263="Да")),"Бор",IF(AND(FS263="Да",FE263="Да"),"Бор,Медь",IF(AND(OR(FJ263="Да",FK263="Да",FL263="Да"),FE263="Да",Исходн.данные.!I263&lt;5,FT263="Да",FU263="Да"),"Молибден,Цинк",IF(AND(FM263="Да",OR(FE263="Да",FF263="Да",FG263="Да",FH263="Да",FI263="Да")),"Молибден,Цинк",IF(AND(OR(FJ263="Да",FK263="Да",FL263="Да",FM263="Да",FQ263="Да"),OR(FE263="Да",FF263="Да"),FT263="Да",FU263="Да",Исходн.данные.!I263&gt;5.5),"Медь,Цинк",FC263))))))</f>
        <v>#N/A</v>
      </c>
      <c r="FC263" s="23" t="e">
        <f t="shared" si="334"/>
        <v>#N/A</v>
      </c>
      <c r="FD263" s="38" t="str">
        <f>IF(OR(Исходн.данные.!F263=$CC$1,Исходн.данные.!F263=$CC$2,Исходн.данные.!F263=$CC$3,Исходн.данные.!F263=$CC$4),"Да","Нет")</f>
        <v>Нет</v>
      </c>
      <c r="FE263" s="38" t="str">
        <f>IF(Исходн.данные.!F263=$CC$5,"Да","Нет")</f>
        <v>Нет</v>
      </c>
      <c r="FF263" s="38" t="str">
        <f>IF(OR(Исходн.данные.!F263=$CC$6,Исходн.данные.!F263=$CC$7),"Да","Нет")</f>
        <v>Нет</v>
      </c>
      <c r="FG263" s="38" t="str">
        <f>IF(OR(Исходн.данные.!F263=$CC$8,Исходн.данные.!F263=$CC$9),"Да","Нет")</f>
        <v>Нет</v>
      </c>
      <c r="FH263" s="38" t="str">
        <f>IF(Исходн.данные.!F263=$CC$10,"Да","Нет")</f>
        <v>Нет</v>
      </c>
      <c r="FI263" s="38" t="str">
        <f>IF(OR(Исходн.данные.!F263=$CC$11,Исходн.данные.!F263=$CC$12),"Да","Нет")</f>
        <v>Нет</v>
      </c>
      <c r="FJ263" s="38" t="str">
        <f>IF(OR(Исходн.данные.!AH263=$BS$1,Исходн.данные.!AH263=$BQ$11,Исходн.данные.!AH263=$BQ$12),"Да","Нет")</f>
        <v>Нет</v>
      </c>
      <c r="FK263" s="38" t="str">
        <f>IF(OR(Исходн.данные.!AH263=$BS$2,Исходн.данные.!AH263=$BS$4),"Да","Нет")</f>
        <v>Нет</v>
      </c>
      <c r="FL263" s="38" t="str">
        <f>IF(OR(Исходн.данные.!AH263=$BS$3,Исходн.данные.!AH263=$BS$5),"Да","Нет")</f>
        <v>Нет</v>
      </c>
      <c r="FM263" s="38" t="str">
        <f>IF(OR(Исходн.данные.!AH263=$BS$9,Исходн.данные.!AH263=$BS$10,Исходн.данные.!AH263=$BS$11,Исходн.данные.!AH263=$BS$12),"Да","Нет")</f>
        <v>Нет</v>
      </c>
      <c r="FN263" s="38" t="str">
        <f>IF(OR(Исходн.данные.!AH263=$BS$6,Исходн.данные.!AH263=$BP$3),"Да","Нет")</f>
        <v>Нет</v>
      </c>
      <c r="FO263" s="38" t="str">
        <f>IF(Исходн.данные.!AH263=$BQ$9,"Да","Нет")</f>
        <v>Нет</v>
      </c>
      <c r="FP263" s="38" t="str">
        <f>IF(OR(Исходн.данные.!AH263=$BS$8,Исходн.данные.!AH263=$BT$8),"Да","Нет")</f>
        <v>Нет</v>
      </c>
      <c r="FQ263" s="38" t="str">
        <f>IF(OR(Исходн.данные.!AH263=$BQ$7,Исходн.данные.!AH263=$BQ$8),"Да","Нет")</f>
        <v>Нет</v>
      </c>
      <c r="FR263" s="38" t="str">
        <f>IF(Исходн.данные.!AI263=$BU$9,"Да","Нет")</f>
        <v>Нет</v>
      </c>
      <c r="FS263" s="38" t="str">
        <f>IF(OR(Исходн.данные.!AH263=$BP$1,Исходн.данные.!AH263=$BP$2),"Да","Нет")</f>
        <v>Нет</v>
      </c>
      <c r="FT263" s="38" t="e">
        <f>IF((Исходн.данные.!K263*GO263*GS263*GW263+BL263*0.6+Исходн.данные.!Q263*4.5*0.275)&gt;90,"Да","Нет")</f>
        <v>#N/A</v>
      </c>
      <c r="FU263" s="38" t="e">
        <f>IF((Исходн.данные.!M263*GS263*GZ263+BM263*0.225)&gt;35,"Да","Нет")</f>
        <v>#N/A</v>
      </c>
      <c r="FV263" s="38" t="str">
        <f>IF(Исходн.данные.!O263&gt;175,"Да","Нет")</f>
        <v>Нет</v>
      </c>
      <c r="FW263" s="39" t="str">
        <f>IF(Исходн.данные.!I263&gt;5.5,"Да","Нет")</f>
        <v>Нет</v>
      </c>
      <c r="FX263" s="39" t="str">
        <f>IF(Исходн.данные.!J263&lt;2,"Да","Нет")</f>
        <v>Да</v>
      </c>
      <c r="FY263" s="39" t="e">
        <f>IF(HF263=$FY$16,0,Исходн.данные.!K263*GO263*GS263*GW263/HF263)</f>
        <v>#N/A</v>
      </c>
      <c r="FZ263" s="39" t="e">
        <f>Исходн.данные.!M263*GS263*GZ263/HG263</f>
        <v>#N/A</v>
      </c>
      <c r="GA263" s="39" t="e">
        <f>IF(K_Wyn=$FY$16,0,IF(Исходн.данные.!N263=Исходн.данные.!$L$10,Исходн.данные.!O263/1.1*GS263*HC263/HH263,IF(Исходн.данные.!N263=Исходн.данные.!$L$12,Исходн.данные.!O263/1.5*GS263*HC263/HH263,Исходн.данные.!O263*GS263*HC263/HH263)))</f>
        <v>#N/A</v>
      </c>
      <c r="GB263" s="39" t="e">
        <f>IF(HF263=$FY$16,0,((Исходн.данные.!Q263*N_Org+Исходн.данные.!R263*N_Sider+Исходн.данные.!S263*N_Soloma)*AO263+Расчет!BC263*VLOOKUP(Исходн.данные.!T263,Справ!$A$3:$O$57,15)*AO263+BB263*VLOOKUP(Исходн.данные.!T263,Справ!$A$3:$O$57,15)*AL263+(Исходн.данные.!V263*N_Rizotorf+Исходн.данные.!W263*N_Rizoagr))/HF263)</f>
        <v>#N/A</v>
      </c>
      <c r="GC263" s="39" t="e">
        <f>IF(HG263=$FY$16,0,((Исходн.данные.!Q263*Р_Org+Исходн.данные.!R263*P_Sider+Исходн.данные.!S263*P_Soloma)*AP263+Расчет!BC263*VLOOKUP(Исходн.данные.!T263,Справ!$A$3:$P$57,16)*AP263+BB263*VLOOKUP(Исходн.данные.!T263,Справ!$A$3:$P$57,16)*AM263)/HG263)</f>
        <v>#N/A</v>
      </c>
      <c r="GD263" s="39" t="e">
        <f>IF(HH263=$FY$16,0,((Исходн.данные.!Q263*К_Org+Исходн.данные.!R263*K_Sider+Исходн.данные.!S263*K_Soloma)*AQ263+Расчет!BC263*VLOOKUP(Исходн.данные.!T263,Справ!$A$3:$Q$57,17)*AQ263+BB263*VLOOKUP(Исходн.данные.!T263,Справ!$A$3:$Q$57,17)*AN263)/HH263)</f>
        <v>#N/A</v>
      </c>
      <c r="GE263" s="39" t="e">
        <f>IF(HF263=$FY$16,0,(Исходн.данные.!X263*AR263+Исходн.данные.!AA263*N_Org*AL263+Исходн.данные.!AB263*N_Sider*AL263+Исходн.данные.!AC263*N_Soloma*AL263)/HF263)</f>
        <v>#N/A</v>
      </c>
      <c r="GF263" s="39" t="e">
        <f>IF(HG263=$FY$16,0,(Исходн.данные.!Y263*AS263+Исходн.данные.!AA263*Р_Org*AM263+Исходн.данные.!AB263*P_Sider*AM263+Исходн.данные.!AC263*P_Soloma*AM263)/HG263)</f>
        <v>#N/A</v>
      </c>
      <c r="GG263" s="39" t="e">
        <f>IF(HH263=$FY$16,0,(Исходн.данные.!Z263*AT263+Исходн.данные.!AA263*К_Org*AN263+Исходн.данные.!AB263*K_Sider*AN263+Исходн.данные.!AC263*K_Soloma*AN263)/HH263)</f>
        <v>#N/A</v>
      </c>
      <c r="GH263" s="39" t="e">
        <f>Исходн.данные.!AD263*AU263/HF263</f>
        <v>#N/A</v>
      </c>
      <c r="GI263" s="39" t="e">
        <f>Исходн.данные.!AE263*AV263/HG263</f>
        <v>#N/A</v>
      </c>
      <c r="GJ263" s="39" t="e">
        <f>Исходн.данные.!AF263*AW263/HH263</f>
        <v>#N/A</v>
      </c>
      <c r="GK263" s="55">
        <f>Исходн.данные.!AK263</f>
        <v>0</v>
      </c>
      <c r="GL263" s="11" t="e">
        <f t="shared" si="335"/>
        <v>#N/A</v>
      </c>
      <c r="GM263" s="11" t="e">
        <f t="shared" si="336"/>
        <v>#N/A</v>
      </c>
      <c r="GN263" s="11" t="e">
        <f t="shared" si="337"/>
        <v>#N/A</v>
      </c>
      <c r="GO263" s="57">
        <f t="shared" si="338"/>
        <v>19</v>
      </c>
      <c r="GP263" s="55">
        <f>IF(OR(Исходн.данные.!F263=$CE$1,Исходн.данные.!F263=$CE$2,Исходн.данные.!F263=$CE$3,Исходн.данные.!F263=$CE$4,Исходн.данные.!F263=$CE$5),GQ263,GR263)</f>
        <v>19</v>
      </c>
      <c r="GQ263" s="55">
        <f>IF(Исходн.данные.!F263=$CE$1,28,IF(Исходн.данные.!F263=$CE$2,26,IF(Исходн.данные.!F263=$CE$3,24,IF(Исходн.данные.!F263=$CE$4,22,IF(Исходн.данные.!F263=$CE$5,20,GR263)))))</f>
        <v>19</v>
      </c>
      <c r="GR263" s="55">
        <f>IF(Исходн.данные.!F263=$CE$6,18,IF(Исходн.данные.!F263=$CE$7,16,IF(Исходн.данные.!F263=$CE$8,14,IF(Исходн.данные.!F263=$CE$9,13,IF(Исходн.данные.!F263=$CE$10,12,19)))))</f>
        <v>19</v>
      </c>
      <c r="GS263" s="55">
        <f>IF(Исходн.данные.!G263="Пес",0.035*(40+2*Исходн.данные.!H263),IF(Исходн.данные.!G263="Суп",0.0325*(40+2*Исходн.данные.!H263),0.03*(40+2*Исходн.данные.!H263)))</f>
        <v>1.2</v>
      </c>
      <c r="GT263" s="55">
        <f>IF(Исходн.данные.!H263&lt;23,2.6,IF(AND(Исходн.данные.!H263&gt;22,Исходн.данные.!H263&lt;26),3,IF(AND(Исходн.данные.!H263&gt;25,Исходн.данные.!H263&lt;29),3.4,3.6)))</f>
        <v>2.6</v>
      </c>
      <c r="GU263" s="55">
        <f>IF(Исходн.данные.!H263&lt;23,2.8,IF(AND(Исходн.данные.!H263&gt;22,Исходн.данные.!H263&lt;26),3.2,IF(AND(Исходн.данные.!H263&gt;25,Исходн.данные.!H263&lt;29),3.6,3.9)))</f>
        <v>2.8</v>
      </c>
      <c r="GV263" s="55">
        <f>IF(Исходн.данные.!H263&lt;23,3,IF(AND(Исходн.данные.!H263&gt;22,Исходн.данные.!H263&lt;26),3.5,IF(AND(Исходн.данные.!H263&gt;25,Исходн.данные.!H263&lt;29),3.9,4.2)))</f>
        <v>3</v>
      </c>
      <c r="GW263" s="55" t="e">
        <f>IF(Исходн.данные.!P263="Ум",GX263,GY263)</f>
        <v>#N/A</v>
      </c>
      <c r="GX263" s="55" t="e">
        <f>VLOOKUP(Исходн.данные.!AI263,Коэффициенты!$J$7:$L$13,2,FALSE)</f>
        <v>#N/A</v>
      </c>
      <c r="GY263" s="55" t="e">
        <f>VLOOKUP(Исходн.данные.!AI263,Коэффициенты!$J$7:$L$13,3,FALSE)</f>
        <v>#N/A</v>
      </c>
      <c r="GZ263" s="55" t="e">
        <f>(IF(Исходн.данные.!M263&lt;50,0.11*VLOOKUP(Исходн.данные.!AH263,Культуры.Информация,7,FALSE),IF(Исходн.данные.!M263&gt;250,0.05*VLOOKUP(Исходн.данные.!AH263,Культуры.Информация,7,FALSE),VLOOKUP(Исходн.данные.!AH263,Культуры.Информация,5,FALSE)/100*($GX$6+$GY$6*Исходн.данные.!M263))))*Расчет2!AI263</f>
        <v>#N/A</v>
      </c>
      <c r="HA263" s="211"/>
      <c r="HB263" s="211"/>
      <c r="HC263" s="55" t="e">
        <f>(IF(Исходн.данные.!O263&lt;80,0.2*VLOOKUP(Исходн.данные.!AH263,Культуры.Информация,8,FALSE),IF(Исходн.данные.!O263&gt;240,0.09*VLOOKUP(Исходн.данные.!AH263,Культуры.Информация,8,FALSE),VLOOKUP(Исходн.данные.!AH263,Культуры.Информация,6,FALSE)/100*($HB$6+$HC$6*Исходн.данные.!O263))))*Расчет2!AJ263</f>
        <v>#N/A</v>
      </c>
      <c r="HD263" s="55">
        <f>IF(Исходн.данные.!O263&gt;240,0.09,IF(Исходн.данные.!O263&lt;30,0.3,$HE$10+$HD$10*Исходн.данные.!O263))</f>
        <v>0.3</v>
      </c>
      <c r="HE263" s="55">
        <f>IF(Исходн.данные.!O263&gt;240,0.17,IF(Исходн.данные.!O263&lt;30,0.5,$HF$12+$HE$12*Исходн.данные.!O263))</f>
        <v>0.5</v>
      </c>
      <c r="HF263" s="55" t="e">
        <f>VLOOKUP(Исходн.данные.!AH263,Справ!$A$3:$D$58,2,FALSE)</f>
        <v>#N/A</v>
      </c>
      <c r="HG263" s="55" t="e">
        <f>VLOOKUP(Исходн.данные.!AH263,Справ!$A$3:$D$58,3,FALSE)</f>
        <v>#N/A</v>
      </c>
      <c r="HH263" s="55" t="e">
        <f>VLOOKUP(Исходн.данные.!AH263,Справ!$A$3:$D$58,4,FALSE)</f>
        <v>#N/A</v>
      </c>
      <c r="HI263" s="11" t="e">
        <f t="shared" si="339"/>
        <v>#N/A</v>
      </c>
      <c r="HJ263" s="11" t="e">
        <f t="shared" si="340"/>
        <v>#N/A</v>
      </c>
      <c r="HK263" s="11" t="e">
        <f t="shared" si="341"/>
        <v>#N/A</v>
      </c>
      <c r="HL263" s="55">
        <f>IF(OR(Исходн.данные.!G263="Глин",Исходн.данные.!G263="Т_суг"),1.1,IF(Исходн.данные.!G263="Ср_суг",1,1))</f>
        <v>1</v>
      </c>
      <c r="HM263" s="55">
        <f>IF(OR(Исходн.данные.!G263="Глин",Исходн.данные.!G263="Т_суг"),0.9,IF(Исходн.данные.!G263="Ср_суг",1,1.2))</f>
        <v>1.2</v>
      </c>
      <c r="HN263" s="11" t="e">
        <f t="shared" si="342"/>
        <v>#N/A</v>
      </c>
      <c r="HO263" s="11" t="e">
        <f t="shared" si="343"/>
        <v>#N/A</v>
      </c>
      <c r="HP263" s="11" t="e">
        <f t="shared" si="344"/>
        <v>#N/A</v>
      </c>
      <c r="HQ263" t="e">
        <f t="shared" si="345"/>
        <v>#N/A</v>
      </c>
      <c r="HR263" t="e">
        <f t="shared" si="346"/>
        <v>#N/A</v>
      </c>
      <c r="HS263" t="e">
        <f t="shared" si="347"/>
        <v>#N/A</v>
      </c>
      <c r="HT263" t="e">
        <f t="shared" si="293"/>
        <v>#N/A</v>
      </c>
      <c r="HU263" t="e">
        <f t="shared" si="294"/>
        <v>#N/A</v>
      </c>
      <c r="HV263" t="e">
        <f t="shared" si="295"/>
        <v>#N/A</v>
      </c>
      <c r="HW263" t="e">
        <f t="shared" si="296"/>
        <v>#N/A</v>
      </c>
      <c r="HX263" t="e">
        <f t="shared" si="297"/>
        <v>#N/A</v>
      </c>
      <c r="HY263" t="e">
        <f t="shared" si="298"/>
        <v>#N/A</v>
      </c>
      <c r="HZ263" s="55">
        <f>IF(OR(Исходн.данные.!AI263="Оз_Ч_П",Исходн.данные.!AI263="Оз_З_П",Исходн.данные.!AI263="Яр_зер"),12,30)</f>
        <v>30</v>
      </c>
      <c r="IA263" t="e">
        <f t="shared" si="348"/>
        <v>#N/A</v>
      </c>
      <c r="IB263" t="e">
        <f t="shared" si="349"/>
        <v>#N/A</v>
      </c>
      <c r="IC263" t="e">
        <f t="shared" si="350"/>
        <v>#N/A</v>
      </c>
      <c r="ID263" s="11" t="e">
        <f t="shared" si="351"/>
        <v>#N/A</v>
      </c>
      <c r="IE263" s="11" t="e">
        <f t="shared" si="352"/>
        <v>#N/A</v>
      </c>
      <c r="IF263" s="11" t="e">
        <f t="shared" si="353"/>
        <v>#N/A</v>
      </c>
    </row>
    <row r="264" spans="35:240" x14ac:dyDescent="0.2">
      <c r="AI264">
        <f>IF(Исходн.данные.!I264&gt;6,1,1.85-(0.148*Исходн.данные.!I264))</f>
        <v>1.85</v>
      </c>
      <c r="AJ264">
        <f>IF(Исходн.данные.!I264&gt;6,1,2.434-(0.246*Исходн.данные.!I264))</f>
        <v>2.4340000000000002</v>
      </c>
      <c r="AL264" s="148" t="b">
        <f>IF(Исходн.данные.!$P264="Ум",N_OrgUd_2g_um,IF(Исходн.данные.!$P264="Об",N_OrgUd_2g_ob))</f>
        <v>0</v>
      </c>
      <c r="AM264" s="148" t="b">
        <f>IF(Исходн.данные.!$P264="Ум",P_OrgUd_2g_um,IF(Исходн.данные.!$P264="Об",P_OrgUd_2g_ob))</f>
        <v>0</v>
      </c>
      <c r="AN264" s="148" t="b">
        <f>IF(Исходн.данные.!$P264="Ум",K_OrgUd_2g_um,IF(Исходн.данные.!$P264="Об",K_OrgUd_2g_ob))</f>
        <v>0</v>
      </c>
      <c r="AO264" s="148" t="b">
        <f>IF(Исходн.данные.!$P264="Ум",N_OrgUd_1g_um,IF(Исходн.данные.!$P264="Об",N_OrgUd_1g_ob))</f>
        <v>0</v>
      </c>
      <c r="AP264" s="148" t="b">
        <f>IF(Исходн.данные.!$P264="Ум",P_OrgUd_1g_um,IF(Исходн.данные.!$P264="Об",P_OrgUd_1g_ob))</f>
        <v>0</v>
      </c>
      <c r="AQ264" s="148" t="b">
        <f>IF(Исходн.данные.!$P264="Ум",K_OrgUd_1g_um,IF(Исходн.данные.!$P264="Об",K_OrgUd_1g_ob))</f>
        <v>0</v>
      </c>
      <c r="AR264" t="b">
        <f>IF(Исходн.данные.!$P264="Ум",N_MinUd_2g_um,IF(Исходн.данные.!$P264="Об",N_MinUd_2g_ob))</f>
        <v>0</v>
      </c>
      <c r="AS264" t="b">
        <f>IF(Исходн.данные.!$P264="Ум",P_MinUd_2g_um,IF(Исходн.данные.!$P264="Об",P_MinUd_2g_ob))</f>
        <v>0</v>
      </c>
      <c r="AT264" t="b">
        <f>IF(Исходн.данные.!$P264="Ум",K_MinUd_2g_um,IF(Исходн.данные.!$P264="Об",K_MinUd_2g_ob))</f>
        <v>0</v>
      </c>
      <c r="AU264" t="b">
        <f>IF(Исходн.данные.!$P264="Ум",N_MinUd_1g_um,IF(Исходн.данные.!$P264="Об",N_MinUd_1g_ob))</f>
        <v>0</v>
      </c>
      <c r="AV264" t="b">
        <f>IF(Исходн.данные.!P264="Ум",P_MinUd_1g_um,IF(Исходн.данные.!P264="Об",P_MinUd_1g_ob))</f>
        <v>0</v>
      </c>
      <c r="AW264" t="b">
        <f>IF(Исходн.данные.!P264="Ум",K_MinUd_1g_um,IF(Исходн.данные.!P264="Об",K_MinUd_1g_ob))</f>
        <v>0</v>
      </c>
      <c r="AY264" t="e">
        <f>VLOOKUP(Исходн.данные.!T264,Справ!$A$3:$N$57,12)</f>
        <v>#N/A</v>
      </c>
      <c r="AZ264" t="e">
        <f>VLOOKUP(Исходн.данные.!T264,Справ!$A$3:$N$57,13)</f>
        <v>#N/A</v>
      </c>
      <c r="BA264" t="e">
        <f>VLOOKUP(Исходн.данные.!T264,Справ!$A$3:$N$57,14)</f>
        <v>#N/A</v>
      </c>
      <c r="BB264">
        <f>IF(Исходн.данные.!AH264=0,0,25)</f>
        <v>0</v>
      </c>
      <c r="BC264" s="141">
        <f>IF(Исходн.данные.!AH264=0,0,IF(Исходн.данные.!T264=0,25,BD264))</f>
        <v>0</v>
      </c>
      <c r="BD264" s="168" t="e">
        <f>AY264+AZ264*Исходн.данные.!U264-POWER(BA264,2)*Исходн.данные.!U264</f>
        <v>#N/A</v>
      </c>
      <c r="BE26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4" s="25">
        <f>IF(Исходн.данные.!AH264=0,0,MIN(HN264:HP264))</f>
        <v>0</v>
      </c>
      <c r="BG264" s="9">
        <f>IF(Исходн.данные.!AH264=0,0,IF((HO264+10*0.25/HG264/HL264)&lt;17,17,HO264+10*0.25/HG264/HL264))</f>
        <v>0</v>
      </c>
      <c r="BH264" s="181">
        <f>IF(Исходн.данные.!AH264=0,0,HW264*HF264*HL264/AU264*AI264+Исходн.данные.!S264*10)</f>
        <v>0</v>
      </c>
      <c r="BI264" s="10"/>
      <c r="BJ264" s="182">
        <f>IF(Исходн.данные.!AH264=0,0,IF(HX264*HG264*HL264/AV264&lt;0,0,HX264*HG264*HL264/AV264*AJ264))</f>
        <v>0</v>
      </c>
      <c r="BK264" s="182">
        <f>IF(Исходн.данные.!AH264=0,0,HY264*HH264*HM264/AW264)</f>
        <v>0</v>
      </c>
      <c r="BL264" s="10">
        <f>IF(OR(Исходн.данные.!$AH264=$BP$1,Исходн.данные.!$AH264=$BP$2),0,IF(BH264&lt;0,0,IF(OR(Исходн.данные.!T264=Расчет!$BP$1,Исходн.данные.!T264=Расчет!$BP$2,Исходн.данные.!T264=Расчет!$BT$5,Исходн.данные.!T264=Расчет!$BT$6),BH264*0.5,IF(OR(Исходн.данные.!T264=Расчет!$BS$9,Исходн.данные.!T264=Расчет!$BS$10,Исходн.данные.!T264=Расчет!$BS$11,Исходн.данные.!T264=Расчет!$BS$12,Исходн.данные.!T264=Расчет!$BP$5),BH264*0.8,BH264))))</f>
        <v>0</v>
      </c>
      <c r="BM264" s="10">
        <f>IF(OR(Исходн.данные.!$AH264=$BP$1,Исходн.данные.!$AH264=$BP$2),0,IF(BJ264&lt;0,0,IF(Исходн.данные.!I264&lt;4.5,BJ264*1.2,IF(Исходн.данные.!I264&gt;5.1,BJ264,BJ264*((5.1-Исходн.данные.!I264)*0.333+1)))))</f>
        <v>0</v>
      </c>
      <c r="BN264" s="10">
        <f>IF(OR(Исходн.данные.!$AH264=$BP$1,Исходн.данные.!$AH264=$BP$2),60-Исходн.данные.!AF264,IF(BK264&lt;0,0,IF(Исходн.данные.!I264&lt;4.5,BK264*1.2,IF(Исходн.данные.!I264&gt;5.1,BK264,BK264*((5.1-Исходн.данные.!I264)*0.333+1)))))</f>
        <v>0</v>
      </c>
      <c r="BO264" s="9">
        <f>IF(BL264&lt;0,0,BL264*Исходн.данные.!$AJ264/1000)</f>
        <v>0</v>
      </c>
      <c r="BP264" s="9">
        <f>IF(BM264&lt;0,0,BM264*Исходн.данные.!$AJ264/1000)</f>
        <v>0</v>
      </c>
      <c r="BQ264" s="9">
        <f>IF(BN264&lt;0,0,BN264*Исходн.данные.!$AJ264/1000)</f>
        <v>0</v>
      </c>
      <c r="BR264" s="9">
        <f t="shared" si="303"/>
        <v>0</v>
      </c>
      <c r="BS264" s="10" t="str">
        <f t="shared" si="304"/>
        <v>Аммофос 12:52:00</v>
      </c>
      <c r="BT264" s="10" t="str">
        <f t="shared" si="305"/>
        <v>Аммофос 12:52:00</v>
      </c>
      <c r="BU264" s="10" t="str">
        <f t="shared" si="306"/>
        <v>Диаммофоска</v>
      </c>
      <c r="BV264" s="10">
        <f t="shared" si="307"/>
        <v>0</v>
      </c>
      <c r="BW264" s="10"/>
      <c r="BX264" s="10"/>
      <c r="BY264" s="9">
        <f>IF(BL264&lt;0,0,IF(OR(Исходн.данные.!AI264=Расчет!$BU$6,Исходн.данные.!AI264=Расчет!$BU$7),Расчет!BV264,IF(Исходн.данные.!$AG264=$BV$11,BL264,IF(OR(Исходн.данные.!$AH264=$BQ$7,Исходн.данные.!$AH264=$BQ$8),CB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0,IF(Исходн.данные.!$AI264=$BU$11,"Нет",IF(BL264&gt;30,30,BL264)))))))</f>
        <v>0</v>
      </c>
      <c r="BZ264" s="9">
        <f>IF(AND(Исходн.данные.!$AG264=$BV$11,BM264&lt;10),10,IF(Исходн.данные.!$AG264=$BV$11,BM264,IF(OR(Исходн.данные.!$AH264=$BQ$7,Исходн.данные.!$AH264=$BQ$8),CC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10,IF(Исходн.данные.!$AI264=$BU$11,"Нет",IF(BM264&gt;60,60,IF(BM264&lt;10,10,BM264)))))))</f>
        <v>10</v>
      </c>
      <c r="CA264" s="39">
        <f>IF(BN264&lt;0,0,IF(Исходн.данные.!$AG264=$BV$11,BN264,IF(OR(Исходн.данные.!$AH264=$BQ$7,Исходн.данные.!$AH264=$BQ$8),CD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0,IF(Исходн.данные.!$AI264=$BU$11,"Нет",IF(BN264&gt;30,30,BN264))))))</f>
        <v>0</v>
      </c>
      <c r="CB264" s="9">
        <f t="shared" si="308"/>
        <v>0</v>
      </c>
      <c r="CC264" s="9">
        <f t="shared" si="309"/>
        <v>0</v>
      </c>
      <c r="CD264" s="9">
        <f t="shared" si="310"/>
        <v>0</v>
      </c>
      <c r="CE264" s="12">
        <f t="shared" si="311"/>
        <v>10</v>
      </c>
      <c r="CF264" s="9">
        <f t="shared" si="312"/>
        <v>0</v>
      </c>
      <c r="CG264" s="9" t="s">
        <v>231</v>
      </c>
      <c r="CH264" s="132" t="str">
        <f>IF(Исходн.данные.!AP264=Расчет!$CI$16,"Нет",IF(Исходн.данные.!AL264&gt;0,Исходн.данные.!AL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BH$4,IF(OR(Исходн.данные.!AI264=Исходн.данные.!$AI$6,Исходн.данные.!AI264=Исходн.данные.!$AI$7),Расчет!BS264,IF(AND($CF264=0,$CE264&gt;0),EV264,ER264)))))</f>
        <v>Аммофос 12:52:00</v>
      </c>
      <c r="CI264" s="274">
        <f>IF(Расчет!$CH264="Нет","Нет",IF(Исходн.данные.!$AL264&gt;0,VLOOKUP(Расчет!$CH264,АшламаДВ_Irekle,2,FALSE),VLOOKUP(Расчет!$CH264,АшламаДВ_Gomumy,2,FALSE)))</f>
        <v>0.12</v>
      </c>
      <c r="CJ264" s="274">
        <f>IF(Расчет!$CH264="Нет","Нет",IF(Исходн.данные.!$AL264&gt;0,VLOOKUP(Расчет!$CH264,АшламаДВ_Irekle,3,FALSE),VLOOKUP(Расчет!$CH264,АшламаДВ_Gomumy,3,FALSE)))</f>
        <v>0.52</v>
      </c>
      <c r="CK264" s="274">
        <f>IF(Расчет!$CH264="Нет","Нет",IF(Исходн.данные.!$AL264&gt;0,VLOOKUP(Расчет!$CH264,АшламаДВ_Irekle,4,FALSE),VLOOKUP(Расчет!$CH264,АшламаДВ_Gomumy,4,FALSE)))</f>
        <v>0</v>
      </c>
      <c r="CL264" s="70"/>
      <c r="CM264" s="70"/>
      <c r="CN264" s="70"/>
      <c r="CO264" s="70"/>
      <c r="CP264" s="70"/>
      <c r="CQ264" s="70"/>
      <c r="CR264" s="10">
        <f t="shared" si="313"/>
        <v>0</v>
      </c>
      <c r="CS264" s="10">
        <f t="shared" si="314"/>
        <v>19.23076923076923</v>
      </c>
      <c r="CT264" s="10">
        <f t="shared" si="315"/>
        <v>0</v>
      </c>
      <c r="CU264" s="39">
        <f>IF($CH264="Нет",0,IF(CI264=0,30/MIN(CJ264:CK264),IF(Исходн.данные.!$AG264=$BV$11,CR264,IF(OR(Исходн.данные.!$AH264=$BQ$7,Исходн.данные.!$AH264=$BQ$8),90/CI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0,IF(Исходн.данные.!$AI264=$BU$11,"Нет",30/CI264))))))</f>
        <v>250</v>
      </c>
      <c r="CV264" s="39">
        <f>IF($CH264="Нет",0,IF(Исходн.данные.!AH264=0,0,IF(CJ264=0,60/MIN(CI264,CK264),IF(Исходн.данные.!$AG264=$BV$11,CS264,IF(OR(Исходн.данные.!$AH264=$BQ$7,Исходн.данные.!$AH264=$BQ$8),90/CJ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10/CJ264,IF(Исходн.данные.!$AI264=$BU$11,"Нет",60/CJ264)))))))</f>
        <v>0</v>
      </c>
      <c r="CW264" s="39">
        <f>IF($CH264="Нет",0,IF(Исходн.данные.!AH264=0,0,IF(CK264=0,30/MIN(CI264:CJ264),IF(Исходн.данные.!$AG264=$BV$11,CT264,IF(OR(Исходн.данные.!$AH264=$BQ$7,Исходн.данные.!$AH264=$BQ$8),90/CK264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0,IF(Исходн.данные.!$AI264=$BU$11,"Нет",30/CK264)))))))</f>
        <v>0</v>
      </c>
      <c r="CX264" s="133">
        <f>IF(Исходн.данные.!$AG264=$BV$11,MAX(CU264:CW264),IF(OR(Исходн.данные.!$AH264=$BS$8,Исходн.данные.!$AH264=$BQ$9,Исходн.данные.!$AH264=$BQ$10,Исходн.данные.!$AH264=$BQ$11,Исходн.данные.!$AH264=$BQ$12,Исходн.данные.!$AH264=$BP$3,Исходн.данные.!$AH264=$BT$8,$FM264="Да"),CV264,MIN(CU264:CW264)))</f>
        <v>0</v>
      </c>
      <c r="CY264" s="133">
        <f>IF(Исходн.данные.!AH264=0,0,IF(CR264&gt;$CX264,$CX264,CR264))</f>
        <v>0</v>
      </c>
      <c r="CZ264" s="133">
        <f>IF(Исходн.данные.!AH264=0,0,IF(CS264&gt;$CX264,$CX264,CS264))</f>
        <v>0</v>
      </c>
      <c r="DA264" s="133">
        <f>IF(Исходн.данные.!AH264=0,0,IF(CT264&gt;$CX264,$CX264,CT264))</f>
        <v>0</v>
      </c>
      <c r="DB264" s="10">
        <f t="shared" si="316"/>
        <v>0</v>
      </c>
      <c r="DC264" s="39">
        <f>DB264*Исходн.данные.!AJ264/1000</f>
        <v>0</v>
      </c>
      <c r="DD264" s="71">
        <f t="shared" si="317"/>
        <v>0</v>
      </c>
      <c r="DE264" s="9">
        <f t="shared" si="318"/>
        <v>0</v>
      </c>
      <c r="DF264" s="9">
        <f t="shared" si="319"/>
        <v>0</v>
      </c>
      <c r="DG264" s="39">
        <f>IF(BL264&lt;0,0,IF($CH264="Нет",BL264,IF(OR(Исходн.данные.!$AH264=$BP$1,Исходн.данные.!$AH264=$BP$2),0,IF(Исходн.данные.!AI264=$BU$11,BL264,IF(BL264-DD264&lt;0,0,BL264-DD264)))))</f>
        <v>0</v>
      </c>
      <c r="DH264" s="39">
        <f>IF(BM264&lt;0,0,IF($CH264="Нет",BM264,IF(OR(Исходн.данные.!$AH264=$BP$1,Исходн.данные.!$AH264=$BP$2),0,IF(Исходн.данные.!AJ264=$BU$11,BM264,IF(BM264-DE264&lt;0,0,BM264-DE264)))))</f>
        <v>0</v>
      </c>
      <c r="DI264" s="39">
        <f>IF(BN264&lt;0,0,IF($CH264="Нет",BN264,IF(OR(Исходн.данные.!$AH264=$BP$1,Исходн.данные.!$AH264=$BP$2),0,IF(Исходн.данные.!AK264=$BU$11,BN264,IF(BN264-DF264&lt;0,0,BN264-DF264)))))</f>
        <v>0</v>
      </c>
      <c r="DJ264" s="12">
        <f t="shared" si="320"/>
        <v>0</v>
      </c>
      <c r="DK264" s="9">
        <f t="shared" si="321"/>
        <v>0</v>
      </c>
      <c r="DL264" s="39">
        <f>IF(Исходн.данные.!AM264&gt;0,Исходн.данные.!AM264,IF(EG264&gt;0,$BH$10,0))</f>
        <v>0</v>
      </c>
      <c r="DM264" s="186">
        <f>IF($DL264=0,0,IF(Исходн.данные.!AM264&gt;0,VLOOKUP($DL264,АшламаДВ_Irekle,2,FALSE),VLOOKUP($DL264,АшламаДВ_Gomumy,2,FALSE)))</f>
        <v>0</v>
      </c>
      <c r="DN264" s="10">
        <f t="shared" si="299"/>
        <v>0</v>
      </c>
      <c r="DO264" s="9" t="str">
        <f>IF(Исходн.данные.!AN264&gt;0,Исходн.данные.!AN264,Удобрения!$B$37 )</f>
        <v>Хлор.калий</v>
      </c>
      <c r="DP264" s="9">
        <f>IF(Исходн.данные.!AN264&gt;0,VLOOKUP(Исходн.данные.!AN264,АшламаДВ_Irekle,4,FALSE),VLOOKUP(DO264,АшламаДВ_Gomumy,4,FALSE))</f>
        <v>0.6</v>
      </c>
      <c r="DQ264" s="10">
        <f t="shared" si="300"/>
        <v>0</v>
      </c>
      <c r="DR264" s="132" t="str">
        <f>IF(Исходн.данные.!AO264&gt;0,Исходн.данные.!AO264,IF(DH264=0,BS$17,IF(AND($DK264=0,$DJ264&gt;0),EJ264,EN264)))</f>
        <v>Нет</v>
      </c>
      <c r="DS264" s="70" t="str">
        <f>IF($DR264="Нет","Нет",IF(Исходн.данные.!$AO264&gt;0,VLOOKUP($DR264,АшламаДВ_Irekle,2,FALSE),VLOOKUP($DR264,АшламаДВ_Gomumy,2,FALSE)))</f>
        <v>Нет</v>
      </c>
      <c r="DT264" s="70" t="str">
        <f>IF($DR264="Нет","Нет",IF(Исходн.данные.!$AO264&gt;0,VLOOKUP($DR264,АшламаДВ_Irekle,3,FALSE),VLOOKUP($DR264,АшламаДВ_Gomumy,3,FALSE)))</f>
        <v>Нет</v>
      </c>
      <c r="DU264" s="70" t="str">
        <f>IF($DR264="Нет","Нет",IF(Исходн.данные.!$AO264&gt;0,VLOOKUP($DR264,АшламаДВ_Irekle,4,FALSE),VLOOKUP($DR264,АшламаДВ_Gomumy,4,FALSE)))</f>
        <v>Нет</v>
      </c>
      <c r="DV264" s="70"/>
      <c r="DW264" s="70"/>
      <c r="DX264" s="70"/>
      <c r="DY264" s="10">
        <f t="shared" si="322"/>
        <v>0</v>
      </c>
      <c r="DZ264" s="10">
        <f t="shared" si="323"/>
        <v>0</v>
      </c>
      <c r="EA264" s="10">
        <f t="shared" si="324"/>
        <v>0</v>
      </c>
      <c r="EB264" s="10">
        <f t="shared" si="325"/>
        <v>0</v>
      </c>
      <c r="EC264" s="10">
        <f t="shared" si="326"/>
        <v>0</v>
      </c>
      <c r="ED264" s="10">
        <f t="shared" si="327"/>
        <v>0</v>
      </c>
      <c r="EE264" s="10">
        <f t="shared" si="328"/>
        <v>0</v>
      </c>
      <c r="EF264" s="39">
        <f>EB264*Исходн.данные.!AJ264/1000</f>
        <v>0</v>
      </c>
      <c r="EG264" s="9">
        <f t="shared" si="329"/>
        <v>0</v>
      </c>
      <c r="EH264" s="9">
        <f t="shared" si="330"/>
        <v>0</v>
      </c>
      <c r="EI264" s="39" t="e">
        <f t="shared" si="280"/>
        <v>#DIV/0!</v>
      </c>
      <c r="EJ264" s="9" t="str">
        <f t="shared" si="301"/>
        <v>Азопреципитат</v>
      </c>
      <c r="EK264" s="12">
        <f t="shared" si="281"/>
        <v>0.26</v>
      </c>
      <c r="EL264" s="12">
        <f t="shared" si="282"/>
        <v>0.13</v>
      </c>
      <c r="EM264" s="12">
        <f t="shared" si="283"/>
        <v>0</v>
      </c>
      <c r="EN264" s="12" t="str">
        <f t="shared" si="302"/>
        <v>Нет</v>
      </c>
      <c r="EO264" s="12">
        <f t="shared" si="284"/>
        <v>0</v>
      </c>
      <c r="EP264" s="12">
        <f t="shared" si="285"/>
        <v>0</v>
      </c>
      <c r="EQ264" s="12">
        <f t="shared" si="286"/>
        <v>0</v>
      </c>
      <c r="ER264" s="12" t="str">
        <f t="shared" si="331"/>
        <v>Диаммофоска</v>
      </c>
      <c r="ES264" s="12">
        <f t="shared" si="287"/>
        <v>0.1</v>
      </c>
      <c r="ET264" s="12">
        <f t="shared" si="288"/>
        <v>0.26</v>
      </c>
      <c r="EU264" s="12">
        <f t="shared" si="289"/>
        <v>0.26</v>
      </c>
      <c r="EV264" s="12" t="str">
        <f t="shared" si="332"/>
        <v>Аммофос 12:52:00</v>
      </c>
      <c r="EW264" s="12" t="str">
        <f t="shared" si="333"/>
        <v>Кемира Свекловичное-6</v>
      </c>
      <c r="EX264" s="12">
        <f t="shared" si="290"/>
        <v>0.16</v>
      </c>
      <c r="EY264" s="12">
        <f t="shared" si="291"/>
        <v>0.12</v>
      </c>
      <c r="EZ264" s="12">
        <f t="shared" si="292"/>
        <v>0.17</v>
      </c>
      <c r="FA264" s="38" t="e">
        <f>IF(AND(OR(FJ264=$FD$1,FM264=$FD$1,FO264=$FD$1,FQ264=$FD$1,FS264=$FD$1),FD264=$FD$1,Исходн.данные.!J264&lt;2,FU264=$FD$1),"Бор,Кобальт",IF(AND(FO264=$FD$1,FH264=$FD$1,Исходн.данные.!J264&lt;2,FU264=$FD$1),"Бор,Кобальт",IF(AND(OR(FJ264=$FD$1,FM264=$FD$1,FQ264=$FD$1),FE264=$FD$1,Исходн.данные.!J264&lt;2,FT264=$FD$1,FU264=$FD$1),"Бор,Медь,Цинк",IF(AND(OR(FJ264=$FD$1,FR264="Да"),FI264="Да",Исходн.данные.!J264&lt;2,FT264="Да",FU264="Да"),"Бор,Цинк,Медь",IF(AND(OR(FM264="Да",FQ264="Да"),FI264="Да",Исходн.данные.!J264&lt;2,FT264="Да",FU264="Да"),"Бор,Цинк",IF(AND(FN264="Да",OR(FD264="Да",FE264="Да")),"Бор",FB264))))))</f>
        <v>#N/A</v>
      </c>
      <c r="FB264" s="134" t="e">
        <f>IF(AND(OR(FD264="Да",FE264="Да",FF264="Да",FG264="Да",FH264="Да"),FO264="Да"),"Бор",IF(AND(FP264="Да",OR(FD264="Да",FE264="Да",FI264="Да")),"Бор",IF(AND(FS264="Да",FE264="Да"),"Бор,Медь",IF(AND(OR(FJ264="Да",FK264="Да",FL264="Да"),FE264="Да",Исходн.данные.!I264&lt;5,FT264="Да",FU264="Да"),"Молибден,Цинк",IF(AND(FM264="Да",OR(FE264="Да",FF264="Да",FG264="Да",FH264="Да",FI264="Да")),"Молибден,Цинк",IF(AND(OR(FJ264="Да",FK264="Да",FL264="Да",FM264="Да",FQ264="Да"),OR(FE264="Да",FF264="Да"),FT264="Да",FU264="Да",Исходн.данные.!I264&gt;5.5),"Медь,Цинк",FC264))))))</f>
        <v>#N/A</v>
      </c>
      <c r="FC264" s="23" t="e">
        <f t="shared" si="334"/>
        <v>#N/A</v>
      </c>
      <c r="FD264" s="38" t="str">
        <f>IF(OR(Исходн.данные.!F264=$CC$1,Исходн.данные.!F264=$CC$2,Исходн.данные.!F264=$CC$3,Исходн.данные.!F264=$CC$4),"Да","Нет")</f>
        <v>Нет</v>
      </c>
      <c r="FE264" s="38" t="str">
        <f>IF(Исходн.данные.!F264=$CC$5,"Да","Нет")</f>
        <v>Нет</v>
      </c>
      <c r="FF264" s="38" t="str">
        <f>IF(OR(Исходн.данные.!F264=$CC$6,Исходн.данные.!F264=$CC$7),"Да","Нет")</f>
        <v>Нет</v>
      </c>
      <c r="FG264" s="38" t="str">
        <f>IF(OR(Исходн.данные.!F264=$CC$8,Исходн.данные.!F264=$CC$9),"Да","Нет")</f>
        <v>Нет</v>
      </c>
      <c r="FH264" s="38" t="str">
        <f>IF(Исходн.данные.!F264=$CC$10,"Да","Нет")</f>
        <v>Нет</v>
      </c>
      <c r="FI264" s="38" t="str">
        <f>IF(OR(Исходн.данные.!F264=$CC$11,Исходн.данные.!F264=$CC$12),"Да","Нет")</f>
        <v>Нет</v>
      </c>
      <c r="FJ264" s="38" t="str">
        <f>IF(OR(Исходн.данные.!AH264=$BS$1,Исходн.данные.!AH264=$BQ$11,Исходн.данные.!AH264=$BQ$12),"Да","Нет")</f>
        <v>Нет</v>
      </c>
      <c r="FK264" s="38" t="str">
        <f>IF(OR(Исходн.данные.!AH264=$BS$2,Исходн.данные.!AH264=$BS$4),"Да","Нет")</f>
        <v>Нет</v>
      </c>
      <c r="FL264" s="38" t="str">
        <f>IF(OR(Исходн.данные.!AH264=$BS$3,Исходн.данные.!AH264=$BS$5),"Да","Нет")</f>
        <v>Нет</v>
      </c>
      <c r="FM264" s="38" t="str">
        <f>IF(OR(Исходн.данные.!AH264=$BS$9,Исходн.данные.!AH264=$BS$10,Исходн.данные.!AH264=$BS$11,Исходн.данные.!AH264=$BS$12),"Да","Нет")</f>
        <v>Нет</v>
      </c>
      <c r="FN264" s="38" t="str">
        <f>IF(OR(Исходн.данные.!AH264=$BS$6,Исходн.данные.!AH264=$BP$3),"Да","Нет")</f>
        <v>Нет</v>
      </c>
      <c r="FO264" s="38" t="str">
        <f>IF(Исходн.данные.!AH264=$BQ$9,"Да","Нет")</f>
        <v>Нет</v>
      </c>
      <c r="FP264" s="38" t="str">
        <f>IF(OR(Исходн.данные.!AH264=$BS$8,Исходн.данные.!AH264=$BT$8),"Да","Нет")</f>
        <v>Нет</v>
      </c>
      <c r="FQ264" s="38" t="str">
        <f>IF(OR(Исходн.данные.!AH264=$BQ$7,Исходн.данные.!AH264=$BQ$8),"Да","Нет")</f>
        <v>Нет</v>
      </c>
      <c r="FR264" s="38" t="str">
        <f>IF(Исходн.данные.!AI264=$BU$9,"Да","Нет")</f>
        <v>Нет</v>
      </c>
      <c r="FS264" s="38" t="str">
        <f>IF(OR(Исходн.данные.!AH264=$BP$1,Исходн.данные.!AH264=$BP$2),"Да","Нет")</f>
        <v>Нет</v>
      </c>
      <c r="FT264" s="38" t="e">
        <f>IF((Исходн.данные.!K264*GO264*GS264*GW264+BL264*0.6+Исходн.данные.!Q264*4.5*0.275)&gt;90,"Да","Нет")</f>
        <v>#N/A</v>
      </c>
      <c r="FU264" s="38" t="e">
        <f>IF((Исходн.данные.!M264*GS264*GZ264+BM264*0.225)&gt;35,"Да","Нет")</f>
        <v>#N/A</v>
      </c>
      <c r="FV264" s="38" t="str">
        <f>IF(Исходн.данные.!O264&gt;175,"Да","Нет")</f>
        <v>Нет</v>
      </c>
      <c r="FW264" s="39" t="str">
        <f>IF(Исходн.данные.!I264&gt;5.5,"Да","Нет")</f>
        <v>Нет</v>
      </c>
      <c r="FX264" s="39" t="str">
        <f>IF(Исходн.данные.!J264&lt;2,"Да","Нет")</f>
        <v>Да</v>
      </c>
      <c r="FY264" s="39" t="e">
        <f>IF(HF264=$FY$16,0,Исходн.данные.!K264*GO264*GS264*GW264/HF264)</f>
        <v>#N/A</v>
      </c>
      <c r="FZ264" s="39" t="e">
        <f>Исходн.данные.!M264*GS264*GZ264/HG264</f>
        <v>#N/A</v>
      </c>
      <c r="GA264" s="39" t="e">
        <f>IF(K_Wyn=$FY$16,0,IF(Исходн.данные.!N264=Исходн.данные.!$L$10,Исходн.данные.!O264/1.1*GS264*HC264/HH264,IF(Исходн.данные.!N264=Исходн.данные.!$L$12,Исходн.данные.!O264/1.5*GS264*HC264/HH264,Исходн.данные.!O264*GS264*HC264/HH264)))</f>
        <v>#N/A</v>
      </c>
      <c r="GB264" s="39" t="e">
        <f>IF(HF264=$FY$16,0,((Исходн.данные.!Q264*N_Org+Исходн.данные.!R264*N_Sider+Исходн.данные.!S264*N_Soloma)*AO264+Расчет!BC264*VLOOKUP(Исходн.данные.!T264,Справ!$A$3:$O$57,15)*AO264+BB264*VLOOKUP(Исходн.данные.!T264,Справ!$A$3:$O$57,15)*AL264+(Исходн.данные.!V264*N_Rizotorf+Исходн.данные.!W264*N_Rizoagr))/HF264)</f>
        <v>#N/A</v>
      </c>
      <c r="GC264" s="39" t="e">
        <f>IF(HG264=$FY$16,0,((Исходн.данные.!Q264*Р_Org+Исходн.данные.!R264*P_Sider+Исходн.данные.!S264*P_Soloma)*AP264+Расчет!BC264*VLOOKUP(Исходн.данные.!T264,Справ!$A$3:$P$57,16)*AP264+BB264*VLOOKUP(Исходн.данные.!T264,Справ!$A$3:$P$57,16)*AM264)/HG264)</f>
        <v>#N/A</v>
      </c>
      <c r="GD264" s="39" t="e">
        <f>IF(HH264=$FY$16,0,((Исходн.данные.!Q264*К_Org+Исходн.данные.!R264*K_Sider+Исходн.данные.!S264*K_Soloma)*AQ264+Расчет!BC264*VLOOKUP(Исходн.данные.!T264,Справ!$A$3:$Q$57,17)*AQ264+BB264*VLOOKUP(Исходн.данные.!T264,Справ!$A$3:$Q$57,17)*AN264)/HH264)</f>
        <v>#N/A</v>
      </c>
      <c r="GE264" s="39" t="e">
        <f>IF(HF264=$FY$16,0,(Исходн.данные.!X264*AR264+Исходн.данные.!AA264*N_Org*AL264+Исходн.данные.!AB264*N_Sider*AL264+Исходн.данные.!AC264*N_Soloma*AL264)/HF264)</f>
        <v>#N/A</v>
      </c>
      <c r="GF264" s="39" t="e">
        <f>IF(HG264=$FY$16,0,(Исходн.данные.!Y264*AS264+Исходн.данные.!AA264*Р_Org*AM264+Исходн.данные.!AB264*P_Sider*AM264+Исходн.данные.!AC264*P_Soloma*AM264)/HG264)</f>
        <v>#N/A</v>
      </c>
      <c r="GG264" s="39" t="e">
        <f>IF(HH264=$FY$16,0,(Исходн.данные.!Z264*AT264+Исходн.данные.!AA264*К_Org*AN264+Исходн.данные.!AB264*K_Sider*AN264+Исходн.данные.!AC264*K_Soloma*AN264)/HH264)</f>
        <v>#N/A</v>
      </c>
      <c r="GH264" s="39" t="e">
        <f>Исходн.данные.!AD264*AU264/HF264</f>
        <v>#N/A</v>
      </c>
      <c r="GI264" s="39" t="e">
        <f>Исходн.данные.!AE264*AV264/HG264</f>
        <v>#N/A</v>
      </c>
      <c r="GJ264" s="39" t="e">
        <f>Исходн.данные.!AF264*AW264/HH264</f>
        <v>#N/A</v>
      </c>
      <c r="GK264" s="55">
        <f>Исходн.данные.!AK264</f>
        <v>0</v>
      </c>
      <c r="GL264" s="11" t="e">
        <f t="shared" si="335"/>
        <v>#N/A</v>
      </c>
      <c r="GM264" s="11" t="e">
        <f t="shared" si="336"/>
        <v>#N/A</v>
      </c>
      <c r="GN264" s="11" t="e">
        <f t="shared" si="337"/>
        <v>#N/A</v>
      </c>
      <c r="GO264" s="57">
        <f t="shared" si="338"/>
        <v>19</v>
      </c>
      <c r="GP264" s="55">
        <f>IF(OR(Исходн.данные.!F264=$CE$1,Исходн.данные.!F264=$CE$2,Исходн.данные.!F264=$CE$3,Исходн.данные.!F264=$CE$4,Исходн.данные.!F264=$CE$5),GQ264,GR264)</f>
        <v>19</v>
      </c>
      <c r="GQ264" s="55">
        <f>IF(Исходн.данные.!F264=$CE$1,28,IF(Исходн.данные.!F264=$CE$2,26,IF(Исходн.данные.!F264=$CE$3,24,IF(Исходн.данные.!F264=$CE$4,22,IF(Исходн.данные.!F264=$CE$5,20,GR264)))))</f>
        <v>19</v>
      </c>
      <c r="GR264" s="55">
        <f>IF(Исходн.данные.!F264=$CE$6,18,IF(Исходн.данные.!F264=$CE$7,16,IF(Исходн.данные.!F264=$CE$8,14,IF(Исходн.данные.!F264=$CE$9,13,IF(Исходн.данные.!F264=$CE$10,12,19)))))</f>
        <v>19</v>
      </c>
      <c r="GS264" s="55">
        <f>IF(Исходн.данные.!G264="Пес",0.035*(40+2*Исходн.данные.!H264),IF(Исходн.данные.!G264="Суп",0.0325*(40+2*Исходн.данные.!H264),0.03*(40+2*Исходн.данные.!H264)))</f>
        <v>1.2</v>
      </c>
      <c r="GT264" s="55">
        <f>IF(Исходн.данные.!H264&lt;23,2.6,IF(AND(Исходн.данные.!H264&gt;22,Исходн.данные.!H264&lt;26),3,IF(AND(Исходн.данные.!H264&gt;25,Исходн.данные.!H264&lt;29),3.4,3.6)))</f>
        <v>2.6</v>
      </c>
      <c r="GU264" s="55">
        <f>IF(Исходн.данные.!H264&lt;23,2.8,IF(AND(Исходн.данные.!H264&gt;22,Исходн.данные.!H264&lt;26),3.2,IF(AND(Исходн.данные.!H264&gt;25,Исходн.данные.!H264&lt;29),3.6,3.9)))</f>
        <v>2.8</v>
      </c>
      <c r="GV264" s="55">
        <f>IF(Исходн.данные.!H264&lt;23,3,IF(AND(Исходн.данные.!H264&gt;22,Исходн.данные.!H264&lt;26),3.5,IF(AND(Исходн.данные.!H264&gt;25,Исходн.данные.!H264&lt;29),3.9,4.2)))</f>
        <v>3</v>
      </c>
      <c r="GW264" s="55" t="e">
        <f>IF(Исходн.данные.!P264="Ум",GX264,GY264)</f>
        <v>#N/A</v>
      </c>
      <c r="GX264" s="55" t="e">
        <f>VLOOKUP(Исходн.данные.!AI264,Коэффициенты!$J$7:$L$13,2,FALSE)</f>
        <v>#N/A</v>
      </c>
      <c r="GY264" s="55" t="e">
        <f>VLOOKUP(Исходн.данные.!AI264,Коэффициенты!$J$7:$L$13,3,FALSE)</f>
        <v>#N/A</v>
      </c>
      <c r="GZ264" s="55" t="e">
        <f>(IF(Исходн.данные.!M264&lt;50,0.11*VLOOKUP(Исходн.данные.!AH264,Культуры.Информация,7,FALSE),IF(Исходн.данные.!M264&gt;250,0.05*VLOOKUP(Исходн.данные.!AH264,Культуры.Информация,7,FALSE),VLOOKUP(Исходн.данные.!AH264,Культуры.Информация,5,FALSE)/100*($GX$6+$GY$6*Исходн.данные.!M264))))*Расчет2!AI264</f>
        <v>#N/A</v>
      </c>
      <c r="HA264" s="211"/>
      <c r="HB264" s="211"/>
      <c r="HC264" s="55" t="e">
        <f>(IF(Исходн.данные.!O264&lt;80,0.2*VLOOKUP(Исходн.данные.!AH264,Культуры.Информация,8,FALSE),IF(Исходн.данные.!O264&gt;240,0.09*VLOOKUP(Исходн.данные.!AH264,Культуры.Информация,8,FALSE),VLOOKUP(Исходн.данные.!AH264,Культуры.Информация,6,FALSE)/100*($HB$6+$HC$6*Исходн.данные.!O264))))*Расчет2!AJ264</f>
        <v>#N/A</v>
      </c>
      <c r="HD264" s="55">
        <f>IF(Исходн.данные.!O264&gt;240,0.09,IF(Исходн.данные.!O264&lt;30,0.3,$HE$10+$HD$10*Исходн.данные.!O264))</f>
        <v>0.3</v>
      </c>
      <c r="HE264" s="55">
        <f>IF(Исходн.данные.!O264&gt;240,0.17,IF(Исходн.данные.!O264&lt;30,0.5,$HF$12+$HE$12*Исходн.данные.!O264))</f>
        <v>0.5</v>
      </c>
      <c r="HF264" s="55" t="e">
        <f>VLOOKUP(Исходн.данные.!AH264,Справ!$A$3:$D$58,2,FALSE)</f>
        <v>#N/A</v>
      </c>
      <c r="HG264" s="55" t="e">
        <f>VLOOKUP(Исходн.данные.!AH264,Справ!$A$3:$D$58,3,FALSE)</f>
        <v>#N/A</v>
      </c>
      <c r="HH264" s="55" t="e">
        <f>VLOOKUP(Исходн.данные.!AH264,Справ!$A$3:$D$58,4,FALSE)</f>
        <v>#N/A</v>
      </c>
      <c r="HI264" s="11" t="e">
        <f t="shared" si="339"/>
        <v>#N/A</v>
      </c>
      <c r="HJ264" s="11" t="e">
        <f t="shared" si="340"/>
        <v>#N/A</v>
      </c>
      <c r="HK264" s="11" t="e">
        <f t="shared" si="341"/>
        <v>#N/A</v>
      </c>
      <c r="HL264" s="55">
        <f>IF(OR(Исходн.данные.!G264="Глин",Исходн.данные.!G264="Т_суг"),1.1,IF(Исходн.данные.!G264="Ср_суг",1,1))</f>
        <v>1</v>
      </c>
      <c r="HM264" s="55">
        <f>IF(OR(Исходн.данные.!G264="Глин",Исходн.данные.!G264="Т_суг"),0.9,IF(Исходн.данные.!G264="Ср_суг",1,1.2))</f>
        <v>1.2</v>
      </c>
      <c r="HN264" s="11" t="e">
        <f t="shared" si="342"/>
        <v>#N/A</v>
      </c>
      <c r="HO264" s="11" t="e">
        <f t="shared" si="343"/>
        <v>#N/A</v>
      </c>
      <c r="HP264" s="11" t="e">
        <f t="shared" si="344"/>
        <v>#N/A</v>
      </c>
      <c r="HQ264" t="e">
        <f t="shared" si="345"/>
        <v>#N/A</v>
      </c>
      <c r="HR264" t="e">
        <f t="shared" si="346"/>
        <v>#N/A</v>
      </c>
      <c r="HS264" t="e">
        <f t="shared" si="347"/>
        <v>#N/A</v>
      </c>
      <c r="HT264" t="e">
        <f t="shared" si="293"/>
        <v>#N/A</v>
      </c>
      <c r="HU264" t="e">
        <f t="shared" si="294"/>
        <v>#N/A</v>
      </c>
      <c r="HV264" t="e">
        <f t="shared" si="295"/>
        <v>#N/A</v>
      </c>
      <c r="HW264" t="e">
        <f t="shared" si="296"/>
        <v>#N/A</v>
      </c>
      <c r="HX264" t="e">
        <f t="shared" si="297"/>
        <v>#N/A</v>
      </c>
      <c r="HY264" t="e">
        <f t="shared" si="298"/>
        <v>#N/A</v>
      </c>
      <c r="HZ264" s="55">
        <f>IF(OR(Исходн.данные.!AI264="Оз_Ч_П",Исходн.данные.!AI264="Оз_З_П",Исходн.данные.!AI264="Яр_зер"),12,30)</f>
        <v>30</v>
      </c>
      <c r="IA264" t="e">
        <f t="shared" si="348"/>
        <v>#N/A</v>
      </c>
      <c r="IB264" t="e">
        <f t="shared" si="349"/>
        <v>#N/A</v>
      </c>
      <c r="IC264" t="e">
        <f t="shared" si="350"/>
        <v>#N/A</v>
      </c>
      <c r="ID264" s="11" t="e">
        <f t="shared" si="351"/>
        <v>#N/A</v>
      </c>
      <c r="IE264" s="11" t="e">
        <f t="shared" si="352"/>
        <v>#N/A</v>
      </c>
      <c r="IF264" s="11" t="e">
        <f t="shared" si="353"/>
        <v>#N/A</v>
      </c>
    </row>
    <row r="265" spans="35:240" x14ac:dyDescent="0.2">
      <c r="AI265">
        <f>IF(Исходн.данные.!I265&gt;6,1,1.85-(0.148*Исходн.данные.!I265))</f>
        <v>1.85</v>
      </c>
      <c r="AJ265">
        <f>IF(Исходн.данные.!I265&gt;6,1,2.434-(0.246*Исходн.данные.!I265))</f>
        <v>2.4340000000000002</v>
      </c>
      <c r="AL265" s="148" t="b">
        <f>IF(Исходн.данные.!$P265="Ум",N_OrgUd_2g_um,IF(Исходн.данные.!$P265="Об",N_OrgUd_2g_ob))</f>
        <v>0</v>
      </c>
      <c r="AM265" s="148" t="b">
        <f>IF(Исходн.данные.!$P265="Ум",P_OrgUd_2g_um,IF(Исходн.данные.!$P265="Об",P_OrgUd_2g_ob))</f>
        <v>0</v>
      </c>
      <c r="AN265" s="148" t="b">
        <f>IF(Исходн.данные.!$P265="Ум",K_OrgUd_2g_um,IF(Исходн.данные.!$P265="Об",K_OrgUd_2g_ob))</f>
        <v>0</v>
      </c>
      <c r="AO265" s="148" t="b">
        <f>IF(Исходн.данные.!$P265="Ум",N_OrgUd_1g_um,IF(Исходн.данные.!$P265="Об",N_OrgUd_1g_ob))</f>
        <v>0</v>
      </c>
      <c r="AP265" s="148" t="b">
        <f>IF(Исходн.данные.!$P265="Ум",P_OrgUd_1g_um,IF(Исходн.данные.!$P265="Об",P_OrgUd_1g_ob))</f>
        <v>0</v>
      </c>
      <c r="AQ265" s="148" t="b">
        <f>IF(Исходн.данные.!$P265="Ум",K_OrgUd_1g_um,IF(Исходн.данные.!$P265="Об",K_OrgUd_1g_ob))</f>
        <v>0</v>
      </c>
      <c r="AR265" t="b">
        <f>IF(Исходн.данные.!$P265="Ум",N_MinUd_2g_um,IF(Исходн.данные.!$P265="Об",N_MinUd_2g_ob))</f>
        <v>0</v>
      </c>
      <c r="AS265" t="b">
        <f>IF(Исходн.данные.!$P265="Ум",P_MinUd_2g_um,IF(Исходн.данные.!$P265="Об",P_MinUd_2g_ob))</f>
        <v>0</v>
      </c>
      <c r="AT265" t="b">
        <f>IF(Исходн.данные.!$P265="Ум",K_MinUd_2g_um,IF(Исходн.данные.!$P265="Об",K_MinUd_2g_ob))</f>
        <v>0</v>
      </c>
      <c r="AU265" t="b">
        <f>IF(Исходн.данные.!$P265="Ум",N_MinUd_1g_um,IF(Исходн.данные.!$P265="Об",N_MinUd_1g_ob))</f>
        <v>0</v>
      </c>
      <c r="AV265" t="b">
        <f>IF(Исходн.данные.!P265="Ум",P_MinUd_1g_um,IF(Исходн.данные.!P265="Об",P_MinUd_1g_ob))</f>
        <v>0</v>
      </c>
      <c r="AW265" t="b">
        <f>IF(Исходн.данные.!P265="Ум",K_MinUd_1g_um,IF(Исходн.данные.!P265="Об",K_MinUd_1g_ob))</f>
        <v>0</v>
      </c>
      <c r="AY265" t="e">
        <f>VLOOKUP(Исходн.данные.!T265,Справ!$A$3:$N$57,12)</f>
        <v>#N/A</v>
      </c>
      <c r="AZ265" t="e">
        <f>VLOOKUP(Исходн.данные.!T265,Справ!$A$3:$N$57,13)</f>
        <v>#N/A</v>
      </c>
      <c r="BA265" t="e">
        <f>VLOOKUP(Исходн.данные.!T265,Справ!$A$3:$N$57,14)</f>
        <v>#N/A</v>
      </c>
      <c r="BB265">
        <f>IF(Исходн.данные.!AH265=0,0,25)</f>
        <v>0</v>
      </c>
      <c r="BC265" s="141">
        <f>IF(Исходн.данные.!AH265=0,0,IF(Исходн.данные.!T265=0,25,BD265))</f>
        <v>0</v>
      </c>
      <c r="BD265" s="168" t="e">
        <f>AY265+AZ265*Исходн.данные.!U265-POWER(BA265,2)*Исходн.данные.!U265</f>
        <v>#N/A</v>
      </c>
      <c r="BE26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5" s="25">
        <f>IF(Исходн.данные.!AH265=0,0,MIN(HN265:HP265))</f>
        <v>0</v>
      </c>
      <c r="BG265" s="9">
        <f>IF(Исходн.данные.!AH265=0,0,IF((HO265+10*0.25/HG265/HL265)&lt;17,17,HO265+10*0.25/HG265/HL265))</f>
        <v>0</v>
      </c>
      <c r="BH265" s="181">
        <f>IF(Исходн.данные.!AH265=0,0,HW265*HF265*HL265/AU265*AI265+Исходн.данные.!S265*10)</f>
        <v>0</v>
      </c>
      <c r="BI265" s="10"/>
      <c r="BJ265" s="182">
        <f>IF(Исходн.данные.!AH265=0,0,IF(HX265*HG265*HL265/AV265&lt;0,0,HX265*HG265*HL265/AV265*AJ265))</f>
        <v>0</v>
      </c>
      <c r="BK265" s="182">
        <f>IF(Исходн.данные.!AH265=0,0,HY265*HH265*HM265/AW265)</f>
        <v>0</v>
      </c>
      <c r="BL265" s="10">
        <f>IF(OR(Исходн.данные.!$AH265=$BP$1,Исходн.данные.!$AH265=$BP$2),0,IF(BH265&lt;0,0,IF(OR(Исходн.данные.!T265=Расчет!$BP$1,Исходн.данные.!T265=Расчет!$BP$2,Исходн.данные.!T265=Расчет!$BT$5,Исходн.данные.!T265=Расчет!$BT$6),BH265*0.5,IF(OR(Исходн.данные.!T265=Расчет!$BS$9,Исходн.данные.!T265=Расчет!$BS$10,Исходн.данные.!T265=Расчет!$BS$11,Исходн.данные.!T265=Расчет!$BS$12,Исходн.данные.!T265=Расчет!$BP$5),BH265*0.8,BH265))))</f>
        <v>0</v>
      </c>
      <c r="BM265" s="10">
        <f>IF(OR(Исходн.данные.!$AH265=$BP$1,Исходн.данные.!$AH265=$BP$2),0,IF(BJ265&lt;0,0,IF(Исходн.данные.!I265&lt;4.5,BJ265*1.2,IF(Исходн.данные.!I265&gt;5.1,BJ265,BJ265*((5.1-Исходн.данные.!I265)*0.333+1)))))</f>
        <v>0</v>
      </c>
      <c r="BN265" s="10">
        <f>IF(OR(Исходн.данные.!$AH265=$BP$1,Исходн.данные.!$AH265=$BP$2),60-Исходн.данные.!AF265,IF(BK265&lt;0,0,IF(Исходн.данные.!I265&lt;4.5,BK265*1.2,IF(Исходн.данные.!I265&gt;5.1,BK265,BK265*((5.1-Исходн.данные.!I265)*0.333+1)))))</f>
        <v>0</v>
      </c>
      <c r="BO265" s="9">
        <f>IF(BL265&lt;0,0,BL265*Исходн.данные.!$AJ265/1000)</f>
        <v>0</v>
      </c>
      <c r="BP265" s="9">
        <f>IF(BM265&lt;0,0,BM265*Исходн.данные.!$AJ265/1000)</f>
        <v>0</v>
      </c>
      <c r="BQ265" s="9">
        <f>IF(BN265&lt;0,0,BN265*Исходн.данные.!$AJ265/1000)</f>
        <v>0</v>
      </c>
      <c r="BR265" s="9">
        <f t="shared" si="303"/>
        <v>0</v>
      </c>
      <c r="BS265" s="10" t="str">
        <f t="shared" si="304"/>
        <v>Аммофос 12:52:00</v>
      </c>
      <c r="BT265" s="10" t="str">
        <f t="shared" si="305"/>
        <v>Аммофос 12:52:00</v>
      </c>
      <c r="BU265" s="10" t="str">
        <f t="shared" si="306"/>
        <v>Диаммофоска</v>
      </c>
      <c r="BV265" s="10">
        <f t="shared" si="307"/>
        <v>0</v>
      </c>
      <c r="BW265" s="10"/>
      <c r="BX265" s="10"/>
      <c r="BY265" s="9">
        <f>IF(BL265&lt;0,0,IF(OR(Исходн.данные.!AI265=Расчет!$BU$6,Исходн.данные.!AI265=Расчет!$BU$7),Расчет!BV265,IF(Исходн.данные.!$AG265=$BV$11,BL265,IF(OR(Исходн.данные.!$AH265=$BQ$7,Исходн.данные.!$AH265=$BQ$8),CB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0,IF(Исходн.данные.!$AI265=$BU$11,"Нет",IF(BL265&gt;30,30,BL265)))))))</f>
        <v>0</v>
      </c>
      <c r="BZ265" s="9">
        <f>IF(AND(Исходн.данные.!$AG265=$BV$11,BM265&lt;10),10,IF(Исходн.данные.!$AG265=$BV$11,BM265,IF(OR(Исходн.данные.!$AH265=$BQ$7,Исходн.данные.!$AH265=$BQ$8),CC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10,IF(Исходн.данные.!$AI265=$BU$11,"Нет",IF(BM265&gt;60,60,IF(BM265&lt;10,10,BM265)))))))</f>
        <v>10</v>
      </c>
      <c r="CA265" s="39">
        <f>IF(BN265&lt;0,0,IF(Исходн.данные.!$AG265=$BV$11,BN265,IF(OR(Исходн.данные.!$AH265=$BQ$7,Исходн.данные.!$AH265=$BQ$8),CD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0,IF(Исходн.данные.!$AI265=$BU$11,"Нет",IF(BN265&gt;30,30,BN265))))))</f>
        <v>0</v>
      </c>
      <c r="CB265" s="9">
        <f t="shared" si="308"/>
        <v>0</v>
      </c>
      <c r="CC265" s="9">
        <f t="shared" si="309"/>
        <v>0</v>
      </c>
      <c r="CD265" s="9">
        <f t="shared" si="310"/>
        <v>0</v>
      </c>
      <c r="CE265" s="12">
        <f t="shared" si="311"/>
        <v>10</v>
      </c>
      <c r="CF265" s="9">
        <f t="shared" si="312"/>
        <v>0</v>
      </c>
      <c r="CG265" s="9" t="s">
        <v>231</v>
      </c>
      <c r="CH265" s="132" t="str">
        <f>IF(Исходн.данные.!AP265=Расчет!$CI$16,"Нет",IF(Исходн.данные.!AL265&gt;0,Исходн.данные.!AL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BH$4,IF(OR(Исходн.данные.!AI265=Исходн.данные.!$AI$6,Исходн.данные.!AI265=Исходн.данные.!$AI$7),Расчет!BS265,IF(AND($CF265=0,$CE265&gt;0),EV265,ER265)))))</f>
        <v>Аммофос 12:52:00</v>
      </c>
      <c r="CI265" s="274">
        <f>IF(Расчет!$CH265="Нет","Нет",IF(Исходн.данные.!$AL265&gt;0,VLOOKUP(Расчет!$CH265,АшламаДВ_Irekle,2,FALSE),VLOOKUP(Расчет!$CH265,АшламаДВ_Gomumy,2,FALSE)))</f>
        <v>0.12</v>
      </c>
      <c r="CJ265" s="274">
        <f>IF(Расчет!$CH265="Нет","Нет",IF(Исходн.данные.!$AL265&gt;0,VLOOKUP(Расчет!$CH265,АшламаДВ_Irekle,3,FALSE),VLOOKUP(Расчет!$CH265,АшламаДВ_Gomumy,3,FALSE)))</f>
        <v>0.52</v>
      </c>
      <c r="CK265" s="274">
        <f>IF(Расчет!$CH265="Нет","Нет",IF(Исходн.данные.!$AL265&gt;0,VLOOKUP(Расчет!$CH265,АшламаДВ_Irekle,4,FALSE),VLOOKUP(Расчет!$CH265,АшламаДВ_Gomumy,4,FALSE)))</f>
        <v>0</v>
      </c>
      <c r="CL265" s="70"/>
      <c r="CM265" s="70"/>
      <c r="CN265" s="70"/>
      <c r="CO265" s="70"/>
      <c r="CP265" s="70"/>
      <c r="CQ265" s="70"/>
      <c r="CR265" s="10">
        <f t="shared" si="313"/>
        <v>0</v>
      </c>
      <c r="CS265" s="10">
        <f t="shared" si="314"/>
        <v>19.23076923076923</v>
      </c>
      <c r="CT265" s="10">
        <f t="shared" si="315"/>
        <v>0</v>
      </c>
      <c r="CU265" s="39">
        <f>IF($CH265="Нет",0,IF(CI265=0,30/MIN(CJ265:CK265),IF(Исходн.данные.!$AG265=$BV$11,CR265,IF(OR(Исходн.данные.!$AH265=$BQ$7,Исходн.данные.!$AH265=$BQ$8),90/CI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0,IF(Исходн.данные.!$AI265=$BU$11,"Нет",30/CI265))))))</f>
        <v>250</v>
      </c>
      <c r="CV265" s="39">
        <f>IF($CH265="Нет",0,IF(Исходн.данные.!AH265=0,0,IF(CJ265=0,60/MIN(CI265,CK265),IF(Исходн.данные.!$AG265=$BV$11,CS265,IF(OR(Исходн.данные.!$AH265=$BQ$7,Исходн.данные.!$AH265=$BQ$8),90/CJ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10/CJ265,IF(Исходн.данные.!$AI265=$BU$11,"Нет",60/CJ265)))))))</f>
        <v>0</v>
      </c>
      <c r="CW265" s="39">
        <f>IF($CH265="Нет",0,IF(Исходн.данные.!AH265=0,0,IF(CK265=0,30/MIN(CI265:CJ265),IF(Исходн.данные.!$AG265=$BV$11,CT265,IF(OR(Исходн.данные.!$AH265=$BQ$7,Исходн.данные.!$AH265=$BQ$8),90/CK265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0,IF(Исходн.данные.!$AI265=$BU$11,"Нет",30/CK265)))))))</f>
        <v>0</v>
      </c>
      <c r="CX265" s="133">
        <f>IF(Исходн.данные.!$AG265=$BV$11,MAX(CU265:CW265),IF(OR(Исходн.данные.!$AH265=$BS$8,Исходн.данные.!$AH265=$BQ$9,Исходн.данные.!$AH265=$BQ$10,Исходн.данные.!$AH265=$BQ$11,Исходн.данные.!$AH265=$BQ$12,Исходн.данные.!$AH265=$BP$3,Исходн.данные.!$AH265=$BT$8,$FM265="Да"),CV265,MIN(CU265:CW265)))</f>
        <v>0</v>
      </c>
      <c r="CY265" s="133">
        <f>IF(Исходн.данные.!AH265=0,0,IF(CR265&gt;$CX265,$CX265,CR265))</f>
        <v>0</v>
      </c>
      <c r="CZ265" s="133">
        <f>IF(Исходн.данные.!AH265=0,0,IF(CS265&gt;$CX265,$CX265,CS265))</f>
        <v>0</v>
      </c>
      <c r="DA265" s="133">
        <f>IF(Исходн.данные.!AH265=0,0,IF(CT265&gt;$CX265,$CX265,CT265))</f>
        <v>0</v>
      </c>
      <c r="DB265" s="10">
        <f t="shared" si="316"/>
        <v>0</v>
      </c>
      <c r="DC265" s="39">
        <f>DB265*Исходн.данные.!AJ265/1000</f>
        <v>0</v>
      </c>
      <c r="DD265" s="71">
        <f t="shared" si="317"/>
        <v>0</v>
      </c>
      <c r="DE265" s="9">
        <f t="shared" si="318"/>
        <v>0</v>
      </c>
      <c r="DF265" s="9">
        <f t="shared" si="319"/>
        <v>0</v>
      </c>
      <c r="DG265" s="39">
        <f>IF(BL265&lt;0,0,IF($CH265="Нет",BL265,IF(OR(Исходн.данные.!$AH265=$BP$1,Исходн.данные.!$AH265=$BP$2),0,IF(Исходн.данные.!AI265=$BU$11,BL265,IF(BL265-DD265&lt;0,0,BL265-DD265)))))</f>
        <v>0</v>
      </c>
      <c r="DH265" s="39">
        <f>IF(BM265&lt;0,0,IF($CH265="Нет",BM265,IF(OR(Исходн.данные.!$AH265=$BP$1,Исходн.данные.!$AH265=$BP$2),0,IF(Исходн.данные.!AJ265=$BU$11,BM265,IF(BM265-DE265&lt;0,0,BM265-DE265)))))</f>
        <v>0</v>
      </c>
      <c r="DI265" s="39">
        <f>IF(BN265&lt;0,0,IF($CH265="Нет",BN265,IF(OR(Исходн.данные.!$AH265=$BP$1,Исходн.данные.!$AH265=$BP$2),0,IF(Исходн.данные.!AK265=$BU$11,BN265,IF(BN265-DF265&lt;0,0,BN265-DF265)))))</f>
        <v>0</v>
      </c>
      <c r="DJ265" s="12">
        <f t="shared" si="320"/>
        <v>0</v>
      </c>
      <c r="DK265" s="9">
        <f t="shared" si="321"/>
        <v>0</v>
      </c>
      <c r="DL265" s="39">
        <f>IF(Исходн.данные.!AM265&gt;0,Исходн.данные.!AM265,IF(EG265&gt;0,$BH$10,0))</f>
        <v>0</v>
      </c>
      <c r="DM265" s="186">
        <f>IF($DL265=0,0,IF(Исходн.данные.!AM265&gt;0,VLOOKUP($DL265,АшламаДВ_Irekle,2,FALSE),VLOOKUP($DL265,АшламаДВ_Gomumy,2,FALSE)))</f>
        <v>0</v>
      </c>
      <c r="DN265" s="10">
        <f t="shared" si="299"/>
        <v>0</v>
      </c>
      <c r="DO265" s="9" t="str">
        <f>IF(Исходн.данные.!AN265&gt;0,Исходн.данные.!AN265,Удобрения!$B$37 )</f>
        <v>Хлор.калий</v>
      </c>
      <c r="DP265" s="9">
        <f>IF(Исходн.данные.!AN265&gt;0,VLOOKUP(Исходн.данные.!AN265,АшламаДВ_Irekle,4,FALSE),VLOOKUP(DO265,АшламаДВ_Gomumy,4,FALSE))</f>
        <v>0.6</v>
      </c>
      <c r="DQ265" s="10">
        <f t="shared" si="300"/>
        <v>0</v>
      </c>
      <c r="DR265" s="132" t="str">
        <f>IF(Исходн.данные.!AO265&gt;0,Исходн.данные.!AO265,IF(DH265=0,BS$17,IF(AND($DK265=0,$DJ265&gt;0),EJ265,EN265)))</f>
        <v>Нет</v>
      </c>
      <c r="DS265" s="70" t="str">
        <f>IF($DR265="Нет","Нет",IF(Исходн.данные.!$AO265&gt;0,VLOOKUP($DR265,АшламаДВ_Irekle,2,FALSE),VLOOKUP($DR265,АшламаДВ_Gomumy,2,FALSE)))</f>
        <v>Нет</v>
      </c>
      <c r="DT265" s="70" t="str">
        <f>IF($DR265="Нет","Нет",IF(Исходн.данные.!$AO265&gt;0,VLOOKUP($DR265,АшламаДВ_Irekle,3,FALSE),VLOOKUP($DR265,АшламаДВ_Gomumy,3,FALSE)))</f>
        <v>Нет</v>
      </c>
      <c r="DU265" s="70" t="str">
        <f>IF($DR265="Нет","Нет",IF(Исходн.данные.!$AO265&gt;0,VLOOKUP($DR265,АшламаДВ_Irekle,4,FALSE),VLOOKUP($DR265,АшламаДВ_Gomumy,4,FALSE)))</f>
        <v>Нет</v>
      </c>
      <c r="DV265" s="70"/>
      <c r="DW265" s="70"/>
      <c r="DX265" s="70"/>
      <c r="DY265" s="10">
        <f t="shared" si="322"/>
        <v>0</v>
      </c>
      <c r="DZ265" s="10">
        <f t="shared" si="323"/>
        <v>0</v>
      </c>
      <c r="EA265" s="10">
        <f t="shared" si="324"/>
        <v>0</v>
      </c>
      <c r="EB265" s="10">
        <f t="shared" si="325"/>
        <v>0</v>
      </c>
      <c r="EC265" s="10">
        <f t="shared" si="326"/>
        <v>0</v>
      </c>
      <c r="ED265" s="10">
        <f t="shared" si="327"/>
        <v>0</v>
      </c>
      <c r="EE265" s="10">
        <f t="shared" si="328"/>
        <v>0</v>
      </c>
      <c r="EF265" s="39">
        <f>EB265*Исходн.данные.!AJ265/1000</f>
        <v>0</v>
      </c>
      <c r="EG265" s="9">
        <f t="shared" si="329"/>
        <v>0</v>
      </c>
      <c r="EH265" s="9">
        <f t="shared" si="330"/>
        <v>0</v>
      </c>
      <c r="EI265" s="39" t="e">
        <f t="shared" si="280"/>
        <v>#DIV/0!</v>
      </c>
      <c r="EJ265" s="9" t="str">
        <f t="shared" si="301"/>
        <v>Азопреципитат</v>
      </c>
      <c r="EK265" s="12">
        <f t="shared" si="281"/>
        <v>0.26</v>
      </c>
      <c r="EL265" s="12">
        <f t="shared" si="282"/>
        <v>0.13</v>
      </c>
      <c r="EM265" s="12">
        <f t="shared" si="283"/>
        <v>0</v>
      </c>
      <c r="EN265" s="12" t="str">
        <f t="shared" si="302"/>
        <v>Нет</v>
      </c>
      <c r="EO265" s="12">
        <f t="shared" si="284"/>
        <v>0</v>
      </c>
      <c r="EP265" s="12">
        <f t="shared" si="285"/>
        <v>0</v>
      </c>
      <c r="EQ265" s="12">
        <f t="shared" si="286"/>
        <v>0</v>
      </c>
      <c r="ER265" s="12" t="str">
        <f t="shared" si="331"/>
        <v>Диаммофоска</v>
      </c>
      <c r="ES265" s="12">
        <f t="shared" si="287"/>
        <v>0.1</v>
      </c>
      <c r="ET265" s="12">
        <f t="shared" si="288"/>
        <v>0.26</v>
      </c>
      <c r="EU265" s="12">
        <f t="shared" si="289"/>
        <v>0.26</v>
      </c>
      <c r="EV265" s="12" t="str">
        <f t="shared" si="332"/>
        <v>Аммофос 12:52:00</v>
      </c>
      <c r="EW265" s="12" t="str">
        <f t="shared" si="333"/>
        <v>Кемира Свекловичное-6</v>
      </c>
      <c r="EX265" s="12">
        <f t="shared" si="290"/>
        <v>0.16</v>
      </c>
      <c r="EY265" s="12">
        <f t="shared" si="291"/>
        <v>0.12</v>
      </c>
      <c r="EZ265" s="12">
        <f t="shared" si="292"/>
        <v>0.17</v>
      </c>
      <c r="FA265" s="38" t="e">
        <f>IF(AND(OR(FJ265=$FD$1,FM265=$FD$1,FO265=$FD$1,FQ265=$FD$1,FS265=$FD$1),FD265=$FD$1,Исходн.данные.!J265&lt;2,FU265=$FD$1),"Бор,Кобальт",IF(AND(FO265=$FD$1,FH265=$FD$1,Исходн.данные.!J265&lt;2,FU265=$FD$1),"Бор,Кобальт",IF(AND(OR(FJ265=$FD$1,FM265=$FD$1,FQ265=$FD$1),FE265=$FD$1,Исходн.данные.!J265&lt;2,FT265=$FD$1,FU265=$FD$1),"Бор,Медь,Цинк",IF(AND(OR(FJ265=$FD$1,FR265="Да"),FI265="Да",Исходн.данные.!J265&lt;2,FT265="Да",FU265="Да"),"Бор,Цинк,Медь",IF(AND(OR(FM265="Да",FQ265="Да"),FI265="Да",Исходн.данные.!J265&lt;2,FT265="Да",FU265="Да"),"Бор,Цинк",IF(AND(FN265="Да",OR(FD265="Да",FE265="Да")),"Бор",FB265))))))</f>
        <v>#N/A</v>
      </c>
      <c r="FB265" s="134" t="e">
        <f>IF(AND(OR(FD265="Да",FE265="Да",FF265="Да",FG265="Да",FH265="Да"),FO265="Да"),"Бор",IF(AND(FP265="Да",OR(FD265="Да",FE265="Да",FI265="Да")),"Бор",IF(AND(FS265="Да",FE265="Да"),"Бор,Медь",IF(AND(OR(FJ265="Да",FK265="Да",FL265="Да"),FE265="Да",Исходн.данные.!I265&lt;5,FT265="Да",FU265="Да"),"Молибден,Цинк",IF(AND(FM265="Да",OR(FE265="Да",FF265="Да",FG265="Да",FH265="Да",FI265="Да")),"Молибден,Цинк",IF(AND(OR(FJ265="Да",FK265="Да",FL265="Да",FM265="Да",FQ265="Да"),OR(FE265="Да",FF265="Да"),FT265="Да",FU265="Да",Исходн.данные.!I265&gt;5.5),"Медь,Цинк",FC265))))))</f>
        <v>#N/A</v>
      </c>
      <c r="FC265" s="23" t="e">
        <f t="shared" si="334"/>
        <v>#N/A</v>
      </c>
      <c r="FD265" s="38" t="str">
        <f>IF(OR(Исходн.данные.!F265=$CC$1,Исходн.данные.!F265=$CC$2,Исходн.данные.!F265=$CC$3,Исходн.данные.!F265=$CC$4),"Да","Нет")</f>
        <v>Нет</v>
      </c>
      <c r="FE265" s="38" t="str">
        <f>IF(Исходн.данные.!F265=$CC$5,"Да","Нет")</f>
        <v>Нет</v>
      </c>
      <c r="FF265" s="38" t="str">
        <f>IF(OR(Исходн.данные.!F265=$CC$6,Исходн.данные.!F265=$CC$7),"Да","Нет")</f>
        <v>Нет</v>
      </c>
      <c r="FG265" s="38" t="str">
        <f>IF(OR(Исходн.данные.!F265=$CC$8,Исходн.данные.!F265=$CC$9),"Да","Нет")</f>
        <v>Нет</v>
      </c>
      <c r="FH265" s="38" t="str">
        <f>IF(Исходн.данные.!F265=$CC$10,"Да","Нет")</f>
        <v>Нет</v>
      </c>
      <c r="FI265" s="38" t="str">
        <f>IF(OR(Исходн.данные.!F265=$CC$11,Исходн.данные.!F265=$CC$12),"Да","Нет")</f>
        <v>Нет</v>
      </c>
      <c r="FJ265" s="38" t="str">
        <f>IF(OR(Исходн.данные.!AH265=$BS$1,Исходн.данные.!AH265=$BQ$11,Исходн.данные.!AH265=$BQ$12),"Да","Нет")</f>
        <v>Нет</v>
      </c>
      <c r="FK265" s="38" t="str">
        <f>IF(OR(Исходн.данные.!AH265=$BS$2,Исходн.данные.!AH265=$BS$4),"Да","Нет")</f>
        <v>Нет</v>
      </c>
      <c r="FL265" s="38" t="str">
        <f>IF(OR(Исходн.данные.!AH265=$BS$3,Исходн.данные.!AH265=$BS$5),"Да","Нет")</f>
        <v>Нет</v>
      </c>
      <c r="FM265" s="38" t="str">
        <f>IF(OR(Исходн.данные.!AH265=$BS$9,Исходн.данные.!AH265=$BS$10,Исходн.данные.!AH265=$BS$11,Исходн.данные.!AH265=$BS$12),"Да","Нет")</f>
        <v>Нет</v>
      </c>
      <c r="FN265" s="38" t="str">
        <f>IF(OR(Исходн.данные.!AH265=$BS$6,Исходн.данные.!AH265=$BP$3),"Да","Нет")</f>
        <v>Нет</v>
      </c>
      <c r="FO265" s="38" t="str">
        <f>IF(Исходн.данные.!AH265=$BQ$9,"Да","Нет")</f>
        <v>Нет</v>
      </c>
      <c r="FP265" s="38" t="str">
        <f>IF(OR(Исходн.данные.!AH265=$BS$8,Исходн.данные.!AH265=$BT$8),"Да","Нет")</f>
        <v>Нет</v>
      </c>
      <c r="FQ265" s="38" t="str">
        <f>IF(OR(Исходн.данные.!AH265=$BQ$7,Исходн.данные.!AH265=$BQ$8),"Да","Нет")</f>
        <v>Нет</v>
      </c>
      <c r="FR265" s="38" t="str">
        <f>IF(Исходн.данные.!AI265=$BU$9,"Да","Нет")</f>
        <v>Нет</v>
      </c>
      <c r="FS265" s="38" t="str">
        <f>IF(OR(Исходн.данные.!AH265=$BP$1,Исходн.данные.!AH265=$BP$2),"Да","Нет")</f>
        <v>Нет</v>
      </c>
      <c r="FT265" s="38" t="e">
        <f>IF((Исходн.данные.!K265*GO265*GS265*GW265+BL265*0.6+Исходн.данные.!Q265*4.5*0.275)&gt;90,"Да","Нет")</f>
        <v>#N/A</v>
      </c>
      <c r="FU265" s="38" t="e">
        <f>IF((Исходн.данные.!M265*GS265*GZ265+BM265*0.225)&gt;35,"Да","Нет")</f>
        <v>#N/A</v>
      </c>
      <c r="FV265" s="38" t="str">
        <f>IF(Исходн.данные.!O265&gt;175,"Да","Нет")</f>
        <v>Нет</v>
      </c>
      <c r="FW265" s="39" t="str">
        <f>IF(Исходн.данные.!I265&gt;5.5,"Да","Нет")</f>
        <v>Нет</v>
      </c>
      <c r="FX265" s="39" t="str">
        <f>IF(Исходн.данные.!J265&lt;2,"Да","Нет")</f>
        <v>Да</v>
      </c>
      <c r="FY265" s="39" t="e">
        <f>IF(HF265=$FY$16,0,Исходн.данные.!K265*GO265*GS265*GW265/HF265)</f>
        <v>#N/A</v>
      </c>
      <c r="FZ265" s="39" t="e">
        <f>Исходн.данные.!M265*GS265*GZ265/HG265</f>
        <v>#N/A</v>
      </c>
      <c r="GA265" s="39" t="e">
        <f>IF(K_Wyn=$FY$16,0,IF(Исходн.данные.!N265=Исходн.данные.!$L$10,Исходн.данные.!O265/1.1*GS265*HC265/HH265,IF(Исходн.данные.!N265=Исходн.данные.!$L$12,Исходн.данные.!O265/1.5*GS265*HC265/HH265,Исходн.данные.!O265*GS265*HC265/HH265)))</f>
        <v>#N/A</v>
      </c>
      <c r="GB265" s="39" t="e">
        <f>IF(HF265=$FY$16,0,((Исходн.данные.!Q265*N_Org+Исходн.данные.!R265*N_Sider+Исходн.данные.!S265*N_Soloma)*AO265+Расчет!BC265*VLOOKUP(Исходн.данные.!T265,Справ!$A$3:$O$57,15)*AO265+BB265*VLOOKUP(Исходн.данные.!T265,Справ!$A$3:$O$57,15)*AL265+(Исходн.данные.!V265*N_Rizotorf+Исходн.данные.!W265*N_Rizoagr))/HF265)</f>
        <v>#N/A</v>
      </c>
      <c r="GC265" s="39" t="e">
        <f>IF(HG265=$FY$16,0,((Исходн.данные.!Q265*Р_Org+Исходн.данные.!R265*P_Sider+Исходн.данные.!S265*P_Soloma)*AP265+Расчет!BC265*VLOOKUP(Исходн.данные.!T265,Справ!$A$3:$P$57,16)*AP265+BB265*VLOOKUP(Исходн.данные.!T265,Справ!$A$3:$P$57,16)*AM265)/HG265)</f>
        <v>#N/A</v>
      </c>
      <c r="GD265" s="39" t="e">
        <f>IF(HH265=$FY$16,0,((Исходн.данные.!Q265*К_Org+Исходн.данные.!R265*K_Sider+Исходн.данные.!S265*K_Soloma)*AQ265+Расчет!BC265*VLOOKUP(Исходн.данные.!T265,Справ!$A$3:$Q$57,17)*AQ265+BB265*VLOOKUP(Исходн.данные.!T265,Справ!$A$3:$Q$57,17)*AN265)/HH265)</f>
        <v>#N/A</v>
      </c>
      <c r="GE265" s="39" t="e">
        <f>IF(HF265=$FY$16,0,(Исходн.данные.!X265*AR265+Исходн.данные.!AA265*N_Org*AL265+Исходн.данные.!AB265*N_Sider*AL265+Исходн.данные.!AC265*N_Soloma*AL265)/HF265)</f>
        <v>#N/A</v>
      </c>
      <c r="GF265" s="39" t="e">
        <f>IF(HG265=$FY$16,0,(Исходн.данные.!Y265*AS265+Исходн.данные.!AA265*Р_Org*AM265+Исходн.данные.!AB265*P_Sider*AM265+Исходн.данные.!AC265*P_Soloma*AM265)/HG265)</f>
        <v>#N/A</v>
      </c>
      <c r="GG265" s="39" t="e">
        <f>IF(HH265=$FY$16,0,(Исходн.данные.!Z265*AT265+Исходн.данные.!AA265*К_Org*AN265+Исходн.данные.!AB265*K_Sider*AN265+Исходн.данные.!AC265*K_Soloma*AN265)/HH265)</f>
        <v>#N/A</v>
      </c>
      <c r="GH265" s="39" t="e">
        <f>Исходн.данные.!AD265*AU265/HF265</f>
        <v>#N/A</v>
      </c>
      <c r="GI265" s="39" t="e">
        <f>Исходн.данные.!AE265*AV265/HG265</f>
        <v>#N/A</v>
      </c>
      <c r="GJ265" s="39" t="e">
        <f>Исходн.данные.!AF265*AW265/HH265</f>
        <v>#N/A</v>
      </c>
      <c r="GK265" s="55">
        <f>Исходн.данные.!AK265</f>
        <v>0</v>
      </c>
      <c r="GL265" s="11" t="e">
        <f t="shared" si="335"/>
        <v>#N/A</v>
      </c>
      <c r="GM265" s="11" t="e">
        <f t="shared" si="336"/>
        <v>#N/A</v>
      </c>
      <c r="GN265" s="11" t="e">
        <f t="shared" si="337"/>
        <v>#N/A</v>
      </c>
      <c r="GO265" s="57">
        <f t="shared" si="338"/>
        <v>19</v>
      </c>
      <c r="GP265" s="55">
        <f>IF(OR(Исходн.данные.!F265=$CE$1,Исходн.данные.!F265=$CE$2,Исходн.данные.!F265=$CE$3,Исходн.данные.!F265=$CE$4,Исходн.данные.!F265=$CE$5),GQ265,GR265)</f>
        <v>19</v>
      </c>
      <c r="GQ265" s="55">
        <f>IF(Исходн.данные.!F265=$CE$1,28,IF(Исходн.данные.!F265=$CE$2,26,IF(Исходн.данные.!F265=$CE$3,24,IF(Исходн.данные.!F265=$CE$4,22,IF(Исходн.данные.!F265=$CE$5,20,GR265)))))</f>
        <v>19</v>
      </c>
      <c r="GR265" s="55">
        <f>IF(Исходн.данные.!F265=$CE$6,18,IF(Исходн.данные.!F265=$CE$7,16,IF(Исходн.данные.!F265=$CE$8,14,IF(Исходн.данные.!F265=$CE$9,13,IF(Исходн.данные.!F265=$CE$10,12,19)))))</f>
        <v>19</v>
      </c>
      <c r="GS265" s="55">
        <f>IF(Исходн.данные.!G265="Пес",0.035*(40+2*Исходн.данные.!H265),IF(Исходн.данные.!G265="Суп",0.0325*(40+2*Исходн.данные.!H265),0.03*(40+2*Исходн.данные.!H265)))</f>
        <v>1.2</v>
      </c>
      <c r="GT265" s="55">
        <f>IF(Исходн.данные.!H265&lt;23,2.6,IF(AND(Исходн.данные.!H265&gt;22,Исходн.данные.!H265&lt;26),3,IF(AND(Исходн.данные.!H265&gt;25,Исходн.данные.!H265&lt;29),3.4,3.6)))</f>
        <v>2.6</v>
      </c>
      <c r="GU265" s="55">
        <f>IF(Исходн.данные.!H265&lt;23,2.8,IF(AND(Исходн.данные.!H265&gt;22,Исходн.данные.!H265&lt;26),3.2,IF(AND(Исходн.данные.!H265&gt;25,Исходн.данные.!H265&lt;29),3.6,3.9)))</f>
        <v>2.8</v>
      </c>
      <c r="GV265" s="55">
        <f>IF(Исходн.данные.!H265&lt;23,3,IF(AND(Исходн.данные.!H265&gt;22,Исходн.данные.!H265&lt;26),3.5,IF(AND(Исходн.данные.!H265&gt;25,Исходн.данные.!H265&lt;29),3.9,4.2)))</f>
        <v>3</v>
      </c>
      <c r="GW265" s="55" t="e">
        <f>IF(Исходн.данные.!P265="Ум",GX265,GY265)</f>
        <v>#N/A</v>
      </c>
      <c r="GX265" s="55" t="e">
        <f>VLOOKUP(Исходн.данные.!AI265,Коэффициенты!$J$7:$L$13,2,FALSE)</f>
        <v>#N/A</v>
      </c>
      <c r="GY265" s="55" t="e">
        <f>VLOOKUP(Исходн.данные.!AI265,Коэффициенты!$J$7:$L$13,3,FALSE)</f>
        <v>#N/A</v>
      </c>
      <c r="GZ265" s="55" t="e">
        <f>(IF(Исходн.данные.!M265&lt;50,0.11*VLOOKUP(Исходн.данные.!AH265,Культуры.Информация,7,FALSE),IF(Исходн.данные.!M265&gt;250,0.05*VLOOKUP(Исходн.данные.!AH265,Культуры.Информация,7,FALSE),VLOOKUP(Исходн.данные.!AH265,Культуры.Информация,5,FALSE)/100*($GX$6+$GY$6*Исходн.данные.!M265))))*Расчет2!AI265</f>
        <v>#N/A</v>
      </c>
      <c r="HA265" s="211"/>
      <c r="HB265" s="211"/>
      <c r="HC265" s="55" t="e">
        <f>(IF(Исходн.данные.!O265&lt;80,0.2*VLOOKUP(Исходн.данные.!AH265,Культуры.Информация,8,FALSE),IF(Исходн.данные.!O265&gt;240,0.09*VLOOKUP(Исходн.данные.!AH265,Культуры.Информация,8,FALSE),VLOOKUP(Исходн.данные.!AH265,Культуры.Информация,6,FALSE)/100*($HB$6+$HC$6*Исходн.данные.!O265))))*Расчет2!AJ265</f>
        <v>#N/A</v>
      </c>
      <c r="HD265" s="55">
        <f>IF(Исходн.данные.!O265&gt;240,0.09,IF(Исходн.данные.!O265&lt;30,0.3,$HE$10+$HD$10*Исходн.данные.!O265))</f>
        <v>0.3</v>
      </c>
      <c r="HE265" s="55">
        <f>IF(Исходн.данные.!O265&gt;240,0.17,IF(Исходн.данные.!O265&lt;30,0.5,$HF$12+$HE$12*Исходн.данные.!O265))</f>
        <v>0.5</v>
      </c>
      <c r="HF265" s="55" t="e">
        <f>VLOOKUP(Исходн.данные.!AH265,Справ!$A$3:$D$58,2,FALSE)</f>
        <v>#N/A</v>
      </c>
      <c r="HG265" s="55" t="e">
        <f>VLOOKUP(Исходн.данные.!AH265,Справ!$A$3:$D$58,3,FALSE)</f>
        <v>#N/A</v>
      </c>
      <c r="HH265" s="55" t="e">
        <f>VLOOKUP(Исходн.данные.!AH265,Справ!$A$3:$D$58,4,FALSE)</f>
        <v>#N/A</v>
      </c>
      <c r="HI265" s="11" t="e">
        <f t="shared" si="339"/>
        <v>#N/A</v>
      </c>
      <c r="HJ265" s="11" t="e">
        <f t="shared" si="340"/>
        <v>#N/A</v>
      </c>
      <c r="HK265" s="11" t="e">
        <f t="shared" si="341"/>
        <v>#N/A</v>
      </c>
      <c r="HL265" s="55">
        <f>IF(OR(Исходн.данные.!G265="Глин",Исходн.данные.!G265="Т_суг"),1.1,IF(Исходн.данные.!G265="Ср_суг",1,1))</f>
        <v>1</v>
      </c>
      <c r="HM265" s="55">
        <f>IF(OR(Исходн.данные.!G265="Глин",Исходн.данные.!G265="Т_суг"),0.9,IF(Исходн.данные.!G265="Ср_суг",1,1.2))</f>
        <v>1.2</v>
      </c>
      <c r="HN265" s="11" t="e">
        <f t="shared" si="342"/>
        <v>#N/A</v>
      </c>
      <c r="HO265" s="11" t="e">
        <f t="shared" si="343"/>
        <v>#N/A</v>
      </c>
      <c r="HP265" s="11" t="e">
        <f t="shared" si="344"/>
        <v>#N/A</v>
      </c>
      <c r="HQ265" t="e">
        <f t="shared" si="345"/>
        <v>#N/A</v>
      </c>
      <c r="HR265" t="e">
        <f t="shared" si="346"/>
        <v>#N/A</v>
      </c>
      <c r="HS265" t="e">
        <f t="shared" si="347"/>
        <v>#N/A</v>
      </c>
      <c r="HT265" t="e">
        <f t="shared" si="293"/>
        <v>#N/A</v>
      </c>
      <c r="HU265" t="e">
        <f t="shared" si="294"/>
        <v>#N/A</v>
      </c>
      <c r="HV265" t="e">
        <f t="shared" si="295"/>
        <v>#N/A</v>
      </c>
      <c r="HW265" t="e">
        <f t="shared" si="296"/>
        <v>#N/A</v>
      </c>
      <c r="HX265" t="e">
        <f t="shared" si="297"/>
        <v>#N/A</v>
      </c>
      <c r="HY265" t="e">
        <f t="shared" si="298"/>
        <v>#N/A</v>
      </c>
      <c r="HZ265" s="55">
        <f>IF(OR(Исходн.данные.!AI265="Оз_Ч_П",Исходн.данные.!AI265="Оз_З_П",Исходн.данные.!AI265="Яр_зер"),12,30)</f>
        <v>30</v>
      </c>
      <c r="IA265" t="e">
        <f t="shared" si="348"/>
        <v>#N/A</v>
      </c>
      <c r="IB265" t="e">
        <f t="shared" si="349"/>
        <v>#N/A</v>
      </c>
      <c r="IC265" t="e">
        <f t="shared" si="350"/>
        <v>#N/A</v>
      </c>
      <c r="ID265" s="11" t="e">
        <f t="shared" si="351"/>
        <v>#N/A</v>
      </c>
      <c r="IE265" s="11" t="e">
        <f t="shared" si="352"/>
        <v>#N/A</v>
      </c>
      <c r="IF265" s="11" t="e">
        <f t="shared" si="353"/>
        <v>#N/A</v>
      </c>
    </row>
    <row r="266" spans="35:240" x14ac:dyDescent="0.2">
      <c r="AI266">
        <f>IF(Исходн.данные.!I266&gt;6,1,1.85-(0.148*Исходн.данные.!I266))</f>
        <v>1.85</v>
      </c>
      <c r="AJ266">
        <f>IF(Исходн.данные.!I266&gt;6,1,2.434-(0.246*Исходн.данные.!I266))</f>
        <v>2.4340000000000002</v>
      </c>
      <c r="AL266" s="148" t="b">
        <f>IF(Исходн.данные.!$P266="Ум",N_OrgUd_2g_um,IF(Исходн.данные.!$P266="Об",N_OrgUd_2g_ob))</f>
        <v>0</v>
      </c>
      <c r="AM266" s="148" t="b">
        <f>IF(Исходн.данные.!$P266="Ум",P_OrgUd_2g_um,IF(Исходн.данные.!$P266="Об",P_OrgUd_2g_ob))</f>
        <v>0</v>
      </c>
      <c r="AN266" s="148" t="b">
        <f>IF(Исходн.данные.!$P266="Ум",K_OrgUd_2g_um,IF(Исходн.данные.!$P266="Об",K_OrgUd_2g_ob))</f>
        <v>0</v>
      </c>
      <c r="AO266" s="148" t="b">
        <f>IF(Исходн.данные.!$P266="Ум",N_OrgUd_1g_um,IF(Исходн.данные.!$P266="Об",N_OrgUd_1g_ob))</f>
        <v>0</v>
      </c>
      <c r="AP266" s="148" t="b">
        <f>IF(Исходн.данные.!$P266="Ум",P_OrgUd_1g_um,IF(Исходн.данные.!$P266="Об",P_OrgUd_1g_ob))</f>
        <v>0</v>
      </c>
      <c r="AQ266" s="148" t="b">
        <f>IF(Исходн.данные.!$P266="Ум",K_OrgUd_1g_um,IF(Исходн.данные.!$P266="Об",K_OrgUd_1g_ob))</f>
        <v>0</v>
      </c>
      <c r="AR266" t="b">
        <f>IF(Исходн.данные.!$P266="Ум",N_MinUd_2g_um,IF(Исходн.данные.!$P266="Об",N_MinUd_2g_ob))</f>
        <v>0</v>
      </c>
      <c r="AS266" t="b">
        <f>IF(Исходн.данные.!$P266="Ум",P_MinUd_2g_um,IF(Исходн.данные.!$P266="Об",P_MinUd_2g_ob))</f>
        <v>0</v>
      </c>
      <c r="AT266" t="b">
        <f>IF(Исходн.данные.!$P266="Ум",K_MinUd_2g_um,IF(Исходн.данные.!$P266="Об",K_MinUd_2g_ob))</f>
        <v>0</v>
      </c>
      <c r="AU266" t="b">
        <f>IF(Исходн.данные.!$P266="Ум",N_MinUd_1g_um,IF(Исходн.данные.!$P266="Об",N_MinUd_1g_ob))</f>
        <v>0</v>
      </c>
      <c r="AV266" t="b">
        <f>IF(Исходн.данные.!P266="Ум",P_MinUd_1g_um,IF(Исходн.данные.!P266="Об",P_MinUd_1g_ob))</f>
        <v>0</v>
      </c>
      <c r="AW266" t="b">
        <f>IF(Исходн.данные.!P266="Ум",K_MinUd_1g_um,IF(Исходн.данные.!P266="Об",K_MinUd_1g_ob))</f>
        <v>0</v>
      </c>
      <c r="AY266" t="e">
        <f>VLOOKUP(Исходн.данные.!T266,Справ!$A$3:$N$57,12)</f>
        <v>#N/A</v>
      </c>
      <c r="AZ266" t="e">
        <f>VLOOKUP(Исходн.данные.!T266,Справ!$A$3:$N$57,13)</f>
        <v>#N/A</v>
      </c>
      <c r="BA266" t="e">
        <f>VLOOKUP(Исходн.данные.!T266,Справ!$A$3:$N$57,14)</f>
        <v>#N/A</v>
      </c>
      <c r="BB266">
        <f>IF(Исходн.данные.!AH266=0,0,25)</f>
        <v>0</v>
      </c>
      <c r="BC266" s="141">
        <f>IF(Исходн.данные.!AH266=0,0,IF(Исходн.данные.!T266=0,25,BD266))</f>
        <v>0</v>
      </c>
      <c r="BD266" s="168" t="e">
        <f>AY266+AZ266*Исходн.данные.!U266-POWER(BA266,2)*Исходн.данные.!U266</f>
        <v>#N/A</v>
      </c>
      <c r="BE26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6" s="25">
        <f>IF(Исходн.данные.!AH266=0,0,MIN(HN266:HP266))</f>
        <v>0</v>
      </c>
      <c r="BG266" s="9">
        <f>IF(Исходн.данные.!AH266=0,0,IF((HO266+10*0.25/HG266/HL266)&lt;17,17,HO266+10*0.25/HG266/HL266))</f>
        <v>0</v>
      </c>
      <c r="BH266" s="181">
        <f>IF(Исходн.данные.!AH266=0,0,HW266*HF266*HL266/AU266*AI266+Исходн.данные.!S266*10)</f>
        <v>0</v>
      </c>
      <c r="BI266" s="10"/>
      <c r="BJ266" s="182">
        <f>IF(Исходн.данные.!AH266=0,0,IF(HX266*HG266*HL266/AV266&lt;0,0,HX266*HG266*HL266/AV266*AJ266))</f>
        <v>0</v>
      </c>
      <c r="BK266" s="182">
        <f>IF(Исходн.данные.!AH266=0,0,HY266*HH266*HM266/AW266)</f>
        <v>0</v>
      </c>
      <c r="BL266" s="10">
        <f>IF(OR(Исходн.данные.!$AH266=$BP$1,Исходн.данные.!$AH266=$BP$2),0,IF(BH266&lt;0,0,IF(OR(Исходн.данные.!T266=Расчет!$BP$1,Исходн.данные.!T266=Расчет!$BP$2,Исходн.данные.!T266=Расчет!$BT$5,Исходн.данные.!T266=Расчет!$BT$6),BH266*0.5,IF(OR(Исходн.данные.!T266=Расчет!$BS$9,Исходн.данные.!T266=Расчет!$BS$10,Исходн.данные.!T266=Расчет!$BS$11,Исходн.данные.!T266=Расчет!$BS$12,Исходн.данные.!T266=Расчет!$BP$5),BH266*0.8,BH266))))</f>
        <v>0</v>
      </c>
      <c r="BM266" s="10">
        <f>IF(OR(Исходн.данные.!$AH266=$BP$1,Исходн.данные.!$AH266=$BP$2),0,IF(BJ266&lt;0,0,IF(Исходн.данные.!I266&lt;4.5,BJ266*1.2,IF(Исходн.данные.!I266&gt;5.1,BJ266,BJ266*((5.1-Исходн.данные.!I266)*0.333+1)))))</f>
        <v>0</v>
      </c>
      <c r="BN266" s="10">
        <f>IF(OR(Исходн.данные.!$AH266=$BP$1,Исходн.данные.!$AH266=$BP$2),60-Исходн.данные.!AF266,IF(BK266&lt;0,0,IF(Исходн.данные.!I266&lt;4.5,BK266*1.2,IF(Исходн.данные.!I266&gt;5.1,BK266,BK266*((5.1-Исходн.данные.!I266)*0.333+1)))))</f>
        <v>0</v>
      </c>
      <c r="BO266" s="9">
        <f>IF(BL266&lt;0,0,BL266*Исходн.данные.!$AJ266/1000)</f>
        <v>0</v>
      </c>
      <c r="BP266" s="9">
        <f>IF(BM266&lt;0,0,BM266*Исходн.данные.!$AJ266/1000)</f>
        <v>0</v>
      </c>
      <c r="BQ266" s="9">
        <f>IF(BN266&lt;0,0,BN266*Исходн.данные.!$AJ266/1000)</f>
        <v>0</v>
      </c>
      <c r="BR266" s="9">
        <f t="shared" si="303"/>
        <v>0</v>
      </c>
      <c r="BS266" s="10" t="str">
        <f t="shared" si="304"/>
        <v>Аммофос 12:52:00</v>
      </c>
      <c r="BT266" s="10" t="str">
        <f t="shared" si="305"/>
        <v>Аммофос 12:52:00</v>
      </c>
      <c r="BU266" s="10" t="str">
        <f t="shared" si="306"/>
        <v>Диаммофоска</v>
      </c>
      <c r="BV266" s="10">
        <f t="shared" si="307"/>
        <v>0</v>
      </c>
      <c r="BW266" s="10"/>
      <c r="BX266" s="10"/>
      <c r="BY266" s="9">
        <f>IF(BL266&lt;0,0,IF(OR(Исходн.данные.!AI266=Расчет!$BU$6,Исходн.данные.!AI266=Расчет!$BU$7),Расчет!BV266,IF(Исходн.данные.!$AG266=$BV$11,BL266,IF(OR(Исходн.данные.!$AH266=$BQ$7,Исходн.данные.!$AH266=$BQ$8),CB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0,IF(Исходн.данные.!$AI266=$BU$11,"Нет",IF(BL266&gt;30,30,BL266)))))))</f>
        <v>0</v>
      </c>
      <c r="BZ266" s="9">
        <f>IF(AND(Исходн.данные.!$AG266=$BV$11,BM266&lt;10),10,IF(Исходн.данные.!$AG266=$BV$11,BM266,IF(OR(Исходн.данные.!$AH266=$BQ$7,Исходн.данные.!$AH266=$BQ$8),CC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10,IF(Исходн.данные.!$AI266=$BU$11,"Нет",IF(BM266&gt;60,60,IF(BM266&lt;10,10,BM266)))))))</f>
        <v>10</v>
      </c>
      <c r="CA266" s="39">
        <f>IF(BN266&lt;0,0,IF(Исходн.данные.!$AG266=$BV$11,BN266,IF(OR(Исходн.данные.!$AH266=$BQ$7,Исходн.данные.!$AH266=$BQ$8),CD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0,IF(Исходн.данные.!$AI266=$BU$11,"Нет",IF(BN266&gt;30,30,BN266))))))</f>
        <v>0</v>
      </c>
      <c r="CB266" s="9">
        <f t="shared" si="308"/>
        <v>0</v>
      </c>
      <c r="CC266" s="9">
        <f t="shared" si="309"/>
        <v>0</v>
      </c>
      <c r="CD266" s="9">
        <f t="shared" si="310"/>
        <v>0</v>
      </c>
      <c r="CE266" s="12">
        <f t="shared" si="311"/>
        <v>10</v>
      </c>
      <c r="CF266" s="9">
        <f t="shared" si="312"/>
        <v>0</v>
      </c>
      <c r="CG266" s="9" t="s">
        <v>231</v>
      </c>
      <c r="CH266" s="132" t="str">
        <f>IF(Исходн.данные.!AP266=Расчет!$CI$16,"Нет",IF(Исходн.данные.!AL266&gt;0,Исходн.данные.!AL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BH$4,IF(OR(Исходн.данные.!AI266=Исходн.данные.!$AI$6,Исходн.данные.!AI266=Исходн.данные.!$AI$7),Расчет!BS266,IF(AND($CF266=0,$CE266&gt;0),EV266,ER266)))))</f>
        <v>Аммофос 12:52:00</v>
      </c>
      <c r="CI266" s="274">
        <f>IF(Расчет!$CH266="Нет","Нет",IF(Исходн.данные.!$AL266&gt;0,VLOOKUP(Расчет!$CH266,АшламаДВ_Irekle,2,FALSE),VLOOKUP(Расчет!$CH266,АшламаДВ_Gomumy,2,FALSE)))</f>
        <v>0.12</v>
      </c>
      <c r="CJ266" s="274">
        <f>IF(Расчет!$CH266="Нет","Нет",IF(Исходн.данные.!$AL266&gt;0,VLOOKUP(Расчет!$CH266,АшламаДВ_Irekle,3,FALSE),VLOOKUP(Расчет!$CH266,АшламаДВ_Gomumy,3,FALSE)))</f>
        <v>0.52</v>
      </c>
      <c r="CK266" s="274">
        <f>IF(Расчет!$CH266="Нет","Нет",IF(Исходн.данные.!$AL266&gt;0,VLOOKUP(Расчет!$CH266,АшламаДВ_Irekle,4,FALSE),VLOOKUP(Расчет!$CH266,АшламаДВ_Gomumy,4,FALSE)))</f>
        <v>0</v>
      </c>
      <c r="CL266" s="70"/>
      <c r="CM266" s="70"/>
      <c r="CN266" s="70"/>
      <c r="CO266" s="70"/>
      <c r="CP266" s="70"/>
      <c r="CQ266" s="70"/>
      <c r="CR266" s="10">
        <f t="shared" si="313"/>
        <v>0</v>
      </c>
      <c r="CS266" s="10">
        <f t="shared" si="314"/>
        <v>19.23076923076923</v>
      </c>
      <c r="CT266" s="10">
        <f t="shared" si="315"/>
        <v>0</v>
      </c>
      <c r="CU266" s="39">
        <f>IF($CH266="Нет",0,IF(CI266=0,30/MIN(CJ266:CK266),IF(Исходн.данные.!$AG266=$BV$11,CR266,IF(OR(Исходн.данные.!$AH266=$BQ$7,Исходн.данные.!$AH266=$BQ$8),90/CI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0,IF(Исходн.данные.!$AI266=$BU$11,"Нет",30/CI266))))))</f>
        <v>250</v>
      </c>
      <c r="CV266" s="39">
        <f>IF($CH266="Нет",0,IF(Исходн.данные.!AH266=0,0,IF(CJ266=0,60/MIN(CI266,CK266),IF(Исходн.данные.!$AG266=$BV$11,CS266,IF(OR(Исходн.данные.!$AH266=$BQ$7,Исходн.данные.!$AH266=$BQ$8),90/CJ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10/CJ266,IF(Исходн.данные.!$AI266=$BU$11,"Нет",60/CJ266)))))))</f>
        <v>0</v>
      </c>
      <c r="CW266" s="39">
        <f>IF($CH266="Нет",0,IF(Исходн.данные.!AH266=0,0,IF(CK266=0,30/MIN(CI266:CJ266),IF(Исходн.данные.!$AG266=$BV$11,CT266,IF(OR(Исходн.данные.!$AH266=$BQ$7,Исходн.данные.!$AH266=$BQ$8),90/CK266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0,IF(Исходн.данные.!$AI266=$BU$11,"Нет",30/CK266)))))))</f>
        <v>0</v>
      </c>
      <c r="CX266" s="133">
        <f>IF(Исходн.данные.!$AG266=$BV$11,MAX(CU266:CW266),IF(OR(Исходн.данные.!$AH266=$BS$8,Исходн.данные.!$AH266=$BQ$9,Исходн.данные.!$AH266=$BQ$10,Исходн.данные.!$AH266=$BQ$11,Исходн.данные.!$AH266=$BQ$12,Исходн.данные.!$AH266=$BP$3,Исходн.данные.!$AH266=$BT$8,$FM266="Да"),CV266,MIN(CU266:CW266)))</f>
        <v>0</v>
      </c>
      <c r="CY266" s="133">
        <f>IF(Исходн.данные.!AH266=0,0,IF(CR266&gt;$CX266,$CX266,CR266))</f>
        <v>0</v>
      </c>
      <c r="CZ266" s="133">
        <f>IF(Исходн.данные.!AH266=0,0,IF(CS266&gt;$CX266,$CX266,CS266))</f>
        <v>0</v>
      </c>
      <c r="DA266" s="133">
        <f>IF(Исходн.данные.!AH266=0,0,IF(CT266&gt;$CX266,$CX266,CT266))</f>
        <v>0</v>
      </c>
      <c r="DB266" s="10">
        <f t="shared" si="316"/>
        <v>0</v>
      </c>
      <c r="DC266" s="39">
        <f>DB266*Исходн.данные.!AJ266/1000</f>
        <v>0</v>
      </c>
      <c r="DD266" s="71">
        <f t="shared" si="317"/>
        <v>0</v>
      </c>
      <c r="DE266" s="9">
        <f t="shared" si="318"/>
        <v>0</v>
      </c>
      <c r="DF266" s="9">
        <f t="shared" si="319"/>
        <v>0</v>
      </c>
      <c r="DG266" s="39">
        <f>IF(BL266&lt;0,0,IF($CH266="Нет",BL266,IF(OR(Исходн.данные.!$AH266=$BP$1,Исходн.данные.!$AH266=$BP$2),0,IF(Исходн.данные.!AI266=$BU$11,BL266,IF(BL266-DD266&lt;0,0,BL266-DD266)))))</f>
        <v>0</v>
      </c>
      <c r="DH266" s="39">
        <f>IF(BM266&lt;0,0,IF($CH266="Нет",BM266,IF(OR(Исходн.данные.!$AH266=$BP$1,Исходн.данные.!$AH266=$BP$2),0,IF(Исходн.данные.!AJ266=$BU$11,BM266,IF(BM266-DE266&lt;0,0,BM266-DE266)))))</f>
        <v>0</v>
      </c>
      <c r="DI266" s="39">
        <f>IF(BN266&lt;0,0,IF($CH266="Нет",BN266,IF(OR(Исходн.данные.!$AH266=$BP$1,Исходн.данные.!$AH266=$BP$2),0,IF(Исходн.данные.!AK266=$BU$11,BN266,IF(BN266-DF266&lt;0,0,BN266-DF266)))))</f>
        <v>0</v>
      </c>
      <c r="DJ266" s="12">
        <f t="shared" si="320"/>
        <v>0</v>
      </c>
      <c r="DK266" s="9">
        <f t="shared" si="321"/>
        <v>0</v>
      </c>
      <c r="DL266" s="39">
        <f>IF(Исходн.данные.!AM266&gt;0,Исходн.данные.!AM266,IF(EG266&gt;0,$BH$10,0))</f>
        <v>0</v>
      </c>
      <c r="DM266" s="186">
        <f>IF($DL266=0,0,IF(Исходн.данные.!AM266&gt;0,VLOOKUP($DL266,АшламаДВ_Irekle,2,FALSE),VLOOKUP($DL266,АшламаДВ_Gomumy,2,FALSE)))</f>
        <v>0</v>
      </c>
      <c r="DN266" s="10">
        <f t="shared" si="299"/>
        <v>0</v>
      </c>
      <c r="DO266" s="9" t="str">
        <f>IF(Исходн.данные.!AN266&gt;0,Исходн.данные.!AN266,Удобрения!$B$37 )</f>
        <v>Хлор.калий</v>
      </c>
      <c r="DP266" s="9">
        <f>IF(Исходн.данные.!AN266&gt;0,VLOOKUP(Исходн.данные.!AN266,АшламаДВ_Irekle,4,FALSE),VLOOKUP(DO266,АшламаДВ_Gomumy,4,FALSE))</f>
        <v>0.6</v>
      </c>
      <c r="DQ266" s="10">
        <f t="shared" si="300"/>
        <v>0</v>
      </c>
      <c r="DR266" s="132" t="str">
        <f>IF(Исходн.данные.!AO266&gt;0,Исходн.данные.!AO266,IF(DH266=0,BS$17,IF(AND($DK266=0,$DJ266&gt;0),EJ266,EN266)))</f>
        <v>Нет</v>
      </c>
      <c r="DS266" s="70" t="str">
        <f>IF($DR266="Нет","Нет",IF(Исходн.данные.!$AO266&gt;0,VLOOKUP($DR266,АшламаДВ_Irekle,2,FALSE),VLOOKUP($DR266,АшламаДВ_Gomumy,2,FALSE)))</f>
        <v>Нет</v>
      </c>
      <c r="DT266" s="70" t="str">
        <f>IF($DR266="Нет","Нет",IF(Исходн.данные.!$AO266&gt;0,VLOOKUP($DR266,АшламаДВ_Irekle,3,FALSE),VLOOKUP($DR266,АшламаДВ_Gomumy,3,FALSE)))</f>
        <v>Нет</v>
      </c>
      <c r="DU266" s="70" t="str">
        <f>IF($DR266="Нет","Нет",IF(Исходн.данные.!$AO266&gt;0,VLOOKUP($DR266,АшламаДВ_Irekle,4,FALSE),VLOOKUP($DR266,АшламаДВ_Gomumy,4,FALSE)))</f>
        <v>Нет</v>
      </c>
      <c r="DV266" s="70"/>
      <c r="DW266" s="70"/>
      <c r="DX266" s="70"/>
      <c r="DY266" s="10">
        <f t="shared" si="322"/>
        <v>0</v>
      </c>
      <c r="DZ266" s="10">
        <f t="shared" si="323"/>
        <v>0</v>
      </c>
      <c r="EA266" s="10">
        <f t="shared" si="324"/>
        <v>0</v>
      </c>
      <c r="EB266" s="10">
        <f t="shared" si="325"/>
        <v>0</v>
      </c>
      <c r="EC266" s="10">
        <f t="shared" si="326"/>
        <v>0</v>
      </c>
      <c r="ED266" s="10">
        <f t="shared" si="327"/>
        <v>0</v>
      </c>
      <c r="EE266" s="10">
        <f t="shared" si="328"/>
        <v>0</v>
      </c>
      <c r="EF266" s="39">
        <f>EB266*Исходн.данные.!AJ266/1000</f>
        <v>0</v>
      </c>
      <c r="EG266" s="9">
        <f t="shared" si="329"/>
        <v>0</v>
      </c>
      <c r="EH266" s="9">
        <f t="shared" si="330"/>
        <v>0</v>
      </c>
      <c r="EI266" s="39" t="e">
        <f t="shared" si="280"/>
        <v>#DIV/0!</v>
      </c>
      <c r="EJ266" s="9" t="str">
        <f t="shared" si="301"/>
        <v>Азопреципитат</v>
      </c>
      <c r="EK266" s="12">
        <f t="shared" si="281"/>
        <v>0.26</v>
      </c>
      <c r="EL266" s="12">
        <f t="shared" si="282"/>
        <v>0.13</v>
      </c>
      <c r="EM266" s="12">
        <f t="shared" si="283"/>
        <v>0</v>
      </c>
      <c r="EN266" s="12" t="str">
        <f t="shared" si="302"/>
        <v>Нет</v>
      </c>
      <c r="EO266" s="12">
        <f t="shared" si="284"/>
        <v>0</v>
      </c>
      <c r="EP266" s="12">
        <f t="shared" si="285"/>
        <v>0</v>
      </c>
      <c r="EQ266" s="12">
        <f t="shared" si="286"/>
        <v>0</v>
      </c>
      <c r="ER266" s="12" t="str">
        <f t="shared" si="331"/>
        <v>Диаммофоска</v>
      </c>
      <c r="ES266" s="12">
        <f t="shared" si="287"/>
        <v>0.1</v>
      </c>
      <c r="ET266" s="12">
        <f t="shared" si="288"/>
        <v>0.26</v>
      </c>
      <c r="EU266" s="12">
        <f t="shared" si="289"/>
        <v>0.26</v>
      </c>
      <c r="EV266" s="12" t="str">
        <f t="shared" si="332"/>
        <v>Аммофос 12:52:00</v>
      </c>
      <c r="EW266" s="12" t="str">
        <f t="shared" si="333"/>
        <v>Кемира Свекловичное-6</v>
      </c>
      <c r="EX266" s="12">
        <f t="shared" si="290"/>
        <v>0.16</v>
      </c>
      <c r="EY266" s="12">
        <f t="shared" si="291"/>
        <v>0.12</v>
      </c>
      <c r="EZ266" s="12">
        <f t="shared" si="292"/>
        <v>0.17</v>
      </c>
      <c r="FA266" s="38" t="e">
        <f>IF(AND(OR(FJ266=$FD$1,FM266=$FD$1,FO266=$FD$1,FQ266=$FD$1,FS266=$FD$1),FD266=$FD$1,Исходн.данные.!J266&lt;2,FU266=$FD$1),"Бор,Кобальт",IF(AND(FO266=$FD$1,FH266=$FD$1,Исходн.данные.!J266&lt;2,FU266=$FD$1),"Бор,Кобальт",IF(AND(OR(FJ266=$FD$1,FM266=$FD$1,FQ266=$FD$1),FE266=$FD$1,Исходн.данные.!J266&lt;2,FT266=$FD$1,FU266=$FD$1),"Бор,Медь,Цинк",IF(AND(OR(FJ266=$FD$1,FR266="Да"),FI266="Да",Исходн.данные.!J266&lt;2,FT266="Да",FU266="Да"),"Бор,Цинк,Медь",IF(AND(OR(FM266="Да",FQ266="Да"),FI266="Да",Исходн.данные.!J266&lt;2,FT266="Да",FU266="Да"),"Бор,Цинк",IF(AND(FN266="Да",OR(FD266="Да",FE266="Да")),"Бор",FB266))))))</f>
        <v>#N/A</v>
      </c>
      <c r="FB266" s="134" t="e">
        <f>IF(AND(OR(FD266="Да",FE266="Да",FF266="Да",FG266="Да",FH266="Да"),FO266="Да"),"Бор",IF(AND(FP266="Да",OR(FD266="Да",FE266="Да",FI266="Да")),"Бор",IF(AND(FS266="Да",FE266="Да"),"Бор,Медь",IF(AND(OR(FJ266="Да",FK266="Да",FL266="Да"),FE266="Да",Исходн.данные.!I266&lt;5,FT266="Да",FU266="Да"),"Молибден,Цинк",IF(AND(FM266="Да",OR(FE266="Да",FF266="Да",FG266="Да",FH266="Да",FI266="Да")),"Молибден,Цинк",IF(AND(OR(FJ266="Да",FK266="Да",FL266="Да",FM266="Да",FQ266="Да"),OR(FE266="Да",FF266="Да"),FT266="Да",FU266="Да",Исходн.данные.!I266&gt;5.5),"Медь,Цинк",FC266))))))</f>
        <v>#N/A</v>
      </c>
      <c r="FC266" s="23" t="e">
        <f t="shared" si="334"/>
        <v>#N/A</v>
      </c>
      <c r="FD266" s="38" t="str">
        <f>IF(OR(Исходн.данные.!F266=$CC$1,Исходн.данные.!F266=$CC$2,Исходн.данные.!F266=$CC$3,Исходн.данные.!F266=$CC$4),"Да","Нет")</f>
        <v>Нет</v>
      </c>
      <c r="FE266" s="38" t="str">
        <f>IF(Исходн.данные.!F266=$CC$5,"Да","Нет")</f>
        <v>Нет</v>
      </c>
      <c r="FF266" s="38" t="str">
        <f>IF(OR(Исходн.данные.!F266=$CC$6,Исходн.данные.!F266=$CC$7),"Да","Нет")</f>
        <v>Нет</v>
      </c>
      <c r="FG266" s="38" t="str">
        <f>IF(OR(Исходн.данные.!F266=$CC$8,Исходн.данные.!F266=$CC$9),"Да","Нет")</f>
        <v>Нет</v>
      </c>
      <c r="FH266" s="38" t="str">
        <f>IF(Исходн.данные.!F266=$CC$10,"Да","Нет")</f>
        <v>Нет</v>
      </c>
      <c r="FI266" s="38" t="str">
        <f>IF(OR(Исходн.данные.!F266=$CC$11,Исходн.данные.!F266=$CC$12),"Да","Нет")</f>
        <v>Нет</v>
      </c>
      <c r="FJ266" s="38" t="str">
        <f>IF(OR(Исходн.данные.!AH266=$BS$1,Исходн.данные.!AH266=$BQ$11,Исходн.данные.!AH266=$BQ$12),"Да","Нет")</f>
        <v>Нет</v>
      </c>
      <c r="FK266" s="38" t="str">
        <f>IF(OR(Исходн.данные.!AH266=$BS$2,Исходн.данные.!AH266=$BS$4),"Да","Нет")</f>
        <v>Нет</v>
      </c>
      <c r="FL266" s="38" t="str">
        <f>IF(OR(Исходн.данные.!AH266=$BS$3,Исходн.данные.!AH266=$BS$5),"Да","Нет")</f>
        <v>Нет</v>
      </c>
      <c r="FM266" s="38" t="str">
        <f>IF(OR(Исходн.данные.!AH266=$BS$9,Исходн.данные.!AH266=$BS$10,Исходн.данные.!AH266=$BS$11,Исходн.данные.!AH266=$BS$12),"Да","Нет")</f>
        <v>Нет</v>
      </c>
      <c r="FN266" s="38" t="str">
        <f>IF(OR(Исходн.данные.!AH266=$BS$6,Исходн.данные.!AH266=$BP$3),"Да","Нет")</f>
        <v>Нет</v>
      </c>
      <c r="FO266" s="38" t="str">
        <f>IF(Исходн.данные.!AH266=$BQ$9,"Да","Нет")</f>
        <v>Нет</v>
      </c>
      <c r="FP266" s="38" t="str">
        <f>IF(OR(Исходн.данные.!AH266=$BS$8,Исходн.данные.!AH266=$BT$8),"Да","Нет")</f>
        <v>Нет</v>
      </c>
      <c r="FQ266" s="38" t="str">
        <f>IF(OR(Исходн.данные.!AH266=$BQ$7,Исходн.данные.!AH266=$BQ$8),"Да","Нет")</f>
        <v>Нет</v>
      </c>
      <c r="FR266" s="38" t="str">
        <f>IF(Исходн.данные.!AI266=$BU$9,"Да","Нет")</f>
        <v>Нет</v>
      </c>
      <c r="FS266" s="38" t="str">
        <f>IF(OR(Исходн.данные.!AH266=$BP$1,Исходн.данные.!AH266=$BP$2),"Да","Нет")</f>
        <v>Нет</v>
      </c>
      <c r="FT266" s="38" t="e">
        <f>IF((Исходн.данные.!K266*GO266*GS266*GW266+BL266*0.6+Исходн.данные.!Q266*4.5*0.275)&gt;90,"Да","Нет")</f>
        <v>#N/A</v>
      </c>
      <c r="FU266" s="38" t="e">
        <f>IF((Исходн.данные.!M266*GS266*GZ266+BM266*0.225)&gt;35,"Да","Нет")</f>
        <v>#N/A</v>
      </c>
      <c r="FV266" s="38" t="str">
        <f>IF(Исходн.данные.!O266&gt;175,"Да","Нет")</f>
        <v>Нет</v>
      </c>
      <c r="FW266" s="39" t="str">
        <f>IF(Исходн.данные.!I266&gt;5.5,"Да","Нет")</f>
        <v>Нет</v>
      </c>
      <c r="FX266" s="39" t="str">
        <f>IF(Исходн.данные.!J266&lt;2,"Да","Нет")</f>
        <v>Да</v>
      </c>
      <c r="FY266" s="39" t="e">
        <f>IF(HF266=$FY$16,0,Исходн.данные.!K266*GO266*GS266*GW266/HF266)</f>
        <v>#N/A</v>
      </c>
      <c r="FZ266" s="39" t="e">
        <f>Исходн.данные.!M266*GS266*GZ266/HG266</f>
        <v>#N/A</v>
      </c>
      <c r="GA266" s="39" t="e">
        <f>IF(K_Wyn=$FY$16,0,IF(Исходн.данные.!N266=Исходн.данные.!$L$10,Исходн.данные.!O266/1.1*GS266*HC266/HH266,IF(Исходн.данные.!N266=Исходн.данные.!$L$12,Исходн.данные.!O266/1.5*GS266*HC266/HH266,Исходн.данные.!O266*GS266*HC266/HH266)))</f>
        <v>#N/A</v>
      </c>
      <c r="GB266" s="39" t="e">
        <f>IF(HF266=$FY$16,0,((Исходн.данные.!Q266*N_Org+Исходн.данные.!R266*N_Sider+Исходн.данные.!S266*N_Soloma)*AO266+Расчет!BC266*VLOOKUP(Исходн.данные.!T266,Справ!$A$3:$O$57,15)*AO266+BB266*VLOOKUP(Исходн.данные.!T266,Справ!$A$3:$O$57,15)*AL266+(Исходн.данные.!V266*N_Rizotorf+Исходн.данные.!W266*N_Rizoagr))/HF266)</f>
        <v>#N/A</v>
      </c>
      <c r="GC266" s="39" t="e">
        <f>IF(HG266=$FY$16,0,((Исходн.данные.!Q266*Р_Org+Исходн.данные.!R266*P_Sider+Исходн.данные.!S266*P_Soloma)*AP266+Расчет!BC266*VLOOKUP(Исходн.данные.!T266,Справ!$A$3:$P$57,16)*AP266+BB266*VLOOKUP(Исходн.данные.!T266,Справ!$A$3:$P$57,16)*AM266)/HG266)</f>
        <v>#N/A</v>
      </c>
      <c r="GD266" s="39" t="e">
        <f>IF(HH266=$FY$16,0,((Исходн.данные.!Q266*К_Org+Исходн.данные.!R266*K_Sider+Исходн.данные.!S266*K_Soloma)*AQ266+Расчет!BC266*VLOOKUP(Исходн.данные.!T266,Справ!$A$3:$Q$57,17)*AQ266+BB266*VLOOKUP(Исходн.данные.!T266,Справ!$A$3:$Q$57,17)*AN266)/HH266)</f>
        <v>#N/A</v>
      </c>
      <c r="GE266" s="39" t="e">
        <f>IF(HF266=$FY$16,0,(Исходн.данные.!X266*AR266+Исходн.данные.!AA266*N_Org*AL266+Исходн.данные.!AB266*N_Sider*AL266+Исходн.данные.!AC266*N_Soloma*AL266)/HF266)</f>
        <v>#N/A</v>
      </c>
      <c r="GF266" s="39" t="e">
        <f>IF(HG266=$FY$16,0,(Исходн.данные.!Y266*AS266+Исходн.данные.!AA266*Р_Org*AM266+Исходн.данные.!AB266*P_Sider*AM266+Исходн.данные.!AC266*P_Soloma*AM266)/HG266)</f>
        <v>#N/A</v>
      </c>
      <c r="GG266" s="39" t="e">
        <f>IF(HH266=$FY$16,0,(Исходн.данные.!Z266*AT266+Исходн.данные.!AA266*К_Org*AN266+Исходн.данные.!AB266*K_Sider*AN266+Исходн.данные.!AC266*K_Soloma*AN266)/HH266)</f>
        <v>#N/A</v>
      </c>
      <c r="GH266" s="39" t="e">
        <f>Исходн.данные.!AD266*AU266/HF266</f>
        <v>#N/A</v>
      </c>
      <c r="GI266" s="39" t="e">
        <f>Исходн.данные.!AE266*AV266/HG266</f>
        <v>#N/A</v>
      </c>
      <c r="GJ266" s="39" t="e">
        <f>Исходн.данные.!AF266*AW266/HH266</f>
        <v>#N/A</v>
      </c>
      <c r="GK266" s="55">
        <f>Исходн.данные.!AK266</f>
        <v>0</v>
      </c>
      <c r="GL266" s="11" t="e">
        <f t="shared" si="335"/>
        <v>#N/A</v>
      </c>
      <c r="GM266" s="11" t="e">
        <f t="shared" si="336"/>
        <v>#N/A</v>
      </c>
      <c r="GN266" s="11" t="e">
        <f t="shared" si="337"/>
        <v>#N/A</v>
      </c>
      <c r="GO266" s="57">
        <f t="shared" si="338"/>
        <v>19</v>
      </c>
      <c r="GP266" s="55">
        <f>IF(OR(Исходн.данные.!F266=$CE$1,Исходн.данные.!F266=$CE$2,Исходн.данные.!F266=$CE$3,Исходн.данные.!F266=$CE$4,Исходн.данные.!F266=$CE$5),GQ266,GR266)</f>
        <v>19</v>
      </c>
      <c r="GQ266" s="55">
        <f>IF(Исходн.данные.!F266=$CE$1,28,IF(Исходн.данные.!F266=$CE$2,26,IF(Исходн.данные.!F266=$CE$3,24,IF(Исходн.данные.!F266=$CE$4,22,IF(Исходн.данные.!F266=$CE$5,20,GR266)))))</f>
        <v>19</v>
      </c>
      <c r="GR266" s="55">
        <f>IF(Исходн.данные.!F266=$CE$6,18,IF(Исходн.данные.!F266=$CE$7,16,IF(Исходн.данные.!F266=$CE$8,14,IF(Исходн.данные.!F266=$CE$9,13,IF(Исходн.данные.!F266=$CE$10,12,19)))))</f>
        <v>19</v>
      </c>
      <c r="GS266" s="55">
        <f>IF(Исходн.данные.!G266="Пес",0.035*(40+2*Исходн.данные.!H266),IF(Исходн.данные.!G266="Суп",0.0325*(40+2*Исходн.данные.!H266),0.03*(40+2*Исходн.данные.!H266)))</f>
        <v>1.2</v>
      </c>
      <c r="GT266" s="55">
        <f>IF(Исходн.данные.!H266&lt;23,2.6,IF(AND(Исходн.данные.!H266&gt;22,Исходн.данные.!H266&lt;26),3,IF(AND(Исходн.данные.!H266&gt;25,Исходн.данные.!H266&lt;29),3.4,3.6)))</f>
        <v>2.6</v>
      </c>
      <c r="GU266" s="55">
        <f>IF(Исходн.данные.!H266&lt;23,2.8,IF(AND(Исходн.данные.!H266&gt;22,Исходн.данные.!H266&lt;26),3.2,IF(AND(Исходн.данные.!H266&gt;25,Исходн.данные.!H266&lt;29),3.6,3.9)))</f>
        <v>2.8</v>
      </c>
      <c r="GV266" s="55">
        <f>IF(Исходн.данные.!H266&lt;23,3,IF(AND(Исходн.данные.!H266&gt;22,Исходн.данные.!H266&lt;26),3.5,IF(AND(Исходн.данные.!H266&gt;25,Исходн.данные.!H266&lt;29),3.9,4.2)))</f>
        <v>3</v>
      </c>
      <c r="GW266" s="55" t="e">
        <f>IF(Исходн.данные.!P266="Ум",GX266,GY266)</f>
        <v>#N/A</v>
      </c>
      <c r="GX266" s="55" t="e">
        <f>VLOOKUP(Исходн.данные.!AI266,Коэффициенты!$J$7:$L$13,2,FALSE)</f>
        <v>#N/A</v>
      </c>
      <c r="GY266" s="55" t="e">
        <f>VLOOKUP(Исходн.данные.!AI266,Коэффициенты!$J$7:$L$13,3,FALSE)</f>
        <v>#N/A</v>
      </c>
      <c r="GZ266" s="55" t="e">
        <f>(IF(Исходн.данные.!M266&lt;50,0.11*VLOOKUP(Исходн.данные.!AH266,Культуры.Информация,7,FALSE),IF(Исходн.данные.!M266&gt;250,0.05*VLOOKUP(Исходн.данные.!AH266,Культуры.Информация,7,FALSE),VLOOKUP(Исходн.данные.!AH266,Культуры.Информация,5,FALSE)/100*($GX$6+$GY$6*Исходн.данные.!M266))))*Расчет2!AI266</f>
        <v>#N/A</v>
      </c>
      <c r="HA266" s="211"/>
      <c r="HB266" s="211"/>
      <c r="HC266" s="55" t="e">
        <f>(IF(Исходн.данные.!O266&lt;80,0.2*VLOOKUP(Исходн.данные.!AH266,Культуры.Информация,8,FALSE),IF(Исходн.данные.!O266&gt;240,0.09*VLOOKUP(Исходн.данные.!AH266,Культуры.Информация,8,FALSE),VLOOKUP(Исходн.данные.!AH266,Культуры.Информация,6,FALSE)/100*($HB$6+$HC$6*Исходн.данные.!O266))))*Расчет2!AJ266</f>
        <v>#N/A</v>
      </c>
      <c r="HD266" s="55">
        <f>IF(Исходн.данные.!O266&gt;240,0.09,IF(Исходн.данные.!O266&lt;30,0.3,$HE$10+$HD$10*Исходн.данные.!O266))</f>
        <v>0.3</v>
      </c>
      <c r="HE266" s="55">
        <f>IF(Исходн.данные.!O266&gt;240,0.17,IF(Исходн.данные.!O266&lt;30,0.5,$HF$12+$HE$12*Исходн.данные.!O266))</f>
        <v>0.5</v>
      </c>
      <c r="HF266" s="55" t="e">
        <f>VLOOKUP(Исходн.данные.!AH266,Справ!$A$3:$D$58,2,FALSE)</f>
        <v>#N/A</v>
      </c>
      <c r="HG266" s="55" t="e">
        <f>VLOOKUP(Исходн.данные.!AH266,Справ!$A$3:$D$58,3,FALSE)</f>
        <v>#N/A</v>
      </c>
      <c r="HH266" s="55" t="e">
        <f>VLOOKUP(Исходн.данные.!AH266,Справ!$A$3:$D$58,4,FALSE)</f>
        <v>#N/A</v>
      </c>
      <c r="HI266" s="11" t="e">
        <f t="shared" si="339"/>
        <v>#N/A</v>
      </c>
      <c r="HJ266" s="11" t="e">
        <f t="shared" si="340"/>
        <v>#N/A</v>
      </c>
      <c r="HK266" s="11" t="e">
        <f t="shared" si="341"/>
        <v>#N/A</v>
      </c>
      <c r="HL266" s="55">
        <f>IF(OR(Исходн.данные.!G266="Глин",Исходн.данные.!G266="Т_суг"),1.1,IF(Исходн.данные.!G266="Ср_суг",1,1))</f>
        <v>1</v>
      </c>
      <c r="HM266" s="55">
        <f>IF(OR(Исходн.данные.!G266="Глин",Исходн.данные.!G266="Т_суг"),0.9,IF(Исходн.данные.!G266="Ср_суг",1,1.2))</f>
        <v>1.2</v>
      </c>
      <c r="HN266" s="11" t="e">
        <f t="shared" si="342"/>
        <v>#N/A</v>
      </c>
      <c r="HO266" s="11" t="e">
        <f t="shared" si="343"/>
        <v>#N/A</v>
      </c>
      <c r="HP266" s="11" t="e">
        <f t="shared" si="344"/>
        <v>#N/A</v>
      </c>
      <c r="HQ266" t="e">
        <f t="shared" si="345"/>
        <v>#N/A</v>
      </c>
      <c r="HR266" t="e">
        <f t="shared" si="346"/>
        <v>#N/A</v>
      </c>
      <c r="HS266" t="e">
        <f t="shared" si="347"/>
        <v>#N/A</v>
      </c>
      <c r="HT266" t="e">
        <f t="shared" si="293"/>
        <v>#N/A</v>
      </c>
      <c r="HU266" t="e">
        <f t="shared" si="294"/>
        <v>#N/A</v>
      </c>
      <c r="HV266" t="e">
        <f t="shared" si="295"/>
        <v>#N/A</v>
      </c>
      <c r="HW266" t="e">
        <f t="shared" si="296"/>
        <v>#N/A</v>
      </c>
      <c r="HX266" t="e">
        <f t="shared" si="297"/>
        <v>#N/A</v>
      </c>
      <c r="HY266" t="e">
        <f t="shared" si="298"/>
        <v>#N/A</v>
      </c>
      <c r="HZ266" s="55">
        <f>IF(OR(Исходн.данные.!AI266="Оз_Ч_П",Исходн.данные.!AI266="Оз_З_П",Исходн.данные.!AI266="Яр_зер"),12,30)</f>
        <v>30</v>
      </c>
      <c r="IA266" t="e">
        <f t="shared" si="348"/>
        <v>#N/A</v>
      </c>
      <c r="IB266" t="e">
        <f t="shared" si="349"/>
        <v>#N/A</v>
      </c>
      <c r="IC266" t="e">
        <f t="shared" si="350"/>
        <v>#N/A</v>
      </c>
      <c r="ID266" s="11" t="e">
        <f t="shared" si="351"/>
        <v>#N/A</v>
      </c>
      <c r="IE266" s="11" t="e">
        <f t="shared" si="352"/>
        <v>#N/A</v>
      </c>
      <c r="IF266" s="11" t="e">
        <f t="shared" si="353"/>
        <v>#N/A</v>
      </c>
    </row>
    <row r="267" spans="35:240" x14ac:dyDescent="0.2">
      <c r="AI267">
        <f>IF(Исходн.данные.!I267&gt;6,1,1.85-(0.148*Исходн.данные.!I267))</f>
        <v>1.85</v>
      </c>
      <c r="AJ267">
        <f>IF(Исходн.данные.!I267&gt;6,1,2.434-(0.246*Исходн.данные.!I267))</f>
        <v>2.4340000000000002</v>
      </c>
      <c r="AL267" s="148" t="b">
        <f>IF(Исходн.данные.!$P267="Ум",N_OrgUd_2g_um,IF(Исходн.данные.!$P267="Об",N_OrgUd_2g_ob))</f>
        <v>0</v>
      </c>
      <c r="AM267" s="148" t="b">
        <f>IF(Исходн.данные.!$P267="Ум",P_OrgUd_2g_um,IF(Исходн.данные.!$P267="Об",P_OrgUd_2g_ob))</f>
        <v>0</v>
      </c>
      <c r="AN267" s="148" t="b">
        <f>IF(Исходн.данные.!$P267="Ум",K_OrgUd_2g_um,IF(Исходн.данные.!$P267="Об",K_OrgUd_2g_ob))</f>
        <v>0</v>
      </c>
      <c r="AO267" s="148" t="b">
        <f>IF(Исходн.данные.!$P267="Ум",N_OrgUd_1g_um,IF(Исходн.данные.!$P267="Об",N_OrgUd_1g_ob))</f>
        <v>0</v>
      </c>
      <c r="AP267" s="148" t="b">
        <f>IF(Исходн.данные.!$P267="Ум",P_OrgUd_1g_um,IF(Исходн.данные.!$P267="Об",P_OrgUd_1g_ob))</f>
        <v>0</v>
      </c>
      <c r="AQ267" s="148" t="b">
        <f>IF(Исходн.данные.!$P267="Ум",K_OrgUd_1g_um,IF(Исходн.данные.!$P267="Об",K_OrgUd_1g_ob))</f>
        <v>0</v>
      </c>
      <c r="AR267" t="b">
        <f>IF(Исходн.данные.!$P267="Ум",N_MinUd_2g_um,IF(Исходн.данные.!$P267="Об",N_MinUd_2g_ob))</f>
        <v>0</v>
      </c>
      <c r="AS267" t="b">
        <f>IF(Исходн.данные.!$P267="Ум",P_MinUd_2g_um,IF(Исходн.данные.!$P267="Об",P_MinUd_2g_ob))</f>
        <v>0</v>
      </c>
      <c r="AT267" t="b">
        <f>IF(Исходн.данные.!$P267="Ум",K_MinUd_2g_um,IF(Исходн.данные.!$P267="Об",K_MinUd_2g_ob))</f>
        <v>0</v>
      </c>
      <c r="AU267" t="b">
        <f>IF(Исходн.данные.!$P267="Ум",N_MinUd_1g_um,IF(Исходн.данные.!$P267="Об",N_MinUd_1g_ob))</f>
        <v>0</v>
      </c>
      <c r="AV267" t="b">
        <f>IF(Исходн.данные.!P267="Ум",P_MinUd_1g_um,IF(Исходн.данные.!P267="Об",P_MinUd_1g_ob))</f>
        <v>0</v>
      </c>
      <c r="AW267" t="b">
        <f>IF(Исходн.данные.!P267="Ум",K_MinUd_1g_um,IF(Исходн.данные.!P267="Об",K_MinUd_1g_ob))</f>
        <v>0</v>
      </c>
      <c r="AY267" t="e">
        <f>VLOOKUP(Исходн.данные.!T267,Справ!$A$3:$N$57,12)</f>
        <v>#N/A</v>
      </c>
      <c r="AZ267" t="e">
        <f>VLOOKUP(Исходн.данные.!T267,Справ!$A$3:$N$57,13)</f>
        <v>#N/A</v>
      </c>
      <c r="BA267" t="e">
        <f>VLOOKUP(Исходн.данные.!T267,Справ!$A$3:$N$57,14)</f>
        <v>#N/A</v>
      </c>
      <c r="BB267">
        <f>IF(Исходн.данные.!AH267=0,0,25)</f>
        <v>0</v>
      </c>
      <c r="BC267" s="141">
        <f>IF(Исходн.данные.!AH267=0,0,IF(Исходн.данные.!T267=0,25,BD267))</f>
        <v>0</v>
      </c>
      <c r="BD267" s="168" t="e">
        <f>AY267+AZ267*Исходн.данные.!U267-POWER(BA267,2)*Исходн.данные.!U267</f>
        <v>#N/A</v>
      </c>
      <c r="BE26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7" s="25">
        <f>IF(Исходн.данные.!AH267=0,0,MIN(HN267:HP267))</f>
        <v>0</v>
      </c>
      <c r="BG267" s="9">
        <f>IF(Исходн.данные.!AH267=0,0,IF((HO267+10*0.25/HG267/HL267)&lt;17,17,HO267+10*0.25/HG267/HL267))</f>
        <v>0</v>
      </c>
      <c r="BH267" s="181">
        <f>IF(Исходн.данные.!AH267=0,0,HW267*HF267*HL267/AU267*AI267+Исходн.данные.!S267*10)</f>
        <v>0</v>
      </c>
      <c r="BI267" s="10"/>
      <c r="BJ267" s="182">
        <f>IF(Исходн.данные.!AH267=0,0,IF(HX267*HG267*HL267/AV267&lt;0,0,HX267*HG267*HL267/AV267*AJ267))</f>
        <v>0</v>
      </c>
      <c r="BK267" s="182">
        <f>IF(Исходн.данные.!AH267=0,0,HY267*HH267*HM267/AW267)</f>
        <v>0</v>
      </c>
      <c r="BL267" s="10">
        <f>IF(OR(Исходн.данные.!$AH267=$BP$1,Исходн.данные.!$AH267=$BP$2),0,IF(BH267&lt;0,0,IF(OR(Исходн.данные.!T267=Расчет!$BP$1,Исходн.данные.!T267=Расчет!$BP$2,Исходн.данные.!T267=Расчет!$BT$5,Исходн.данные.!T267=Расчет!$BT$6),BH267*0.5,IF(OR(Исходн.данные.!T267=Расчет!$BS$9,Исходн.данные.!T267=Расчет!$BS$10,Исходн.данные.!T267=Расчет!$BS$11,Исходн.данные.!T267=Расчет!$BS$12,Исходн.данные.!T267=Расчет!$BP$5),BH267*0.8,BH267))))</f>
        <v>0</v>
      </c>
      <c r="BM267" s="10">
        <f>IF(OR(Исходн.данные.!$AH267=$BP$1,Исходн.данные.!$AH267=$BP$2),0,IF(BJ267&lt;0,0,IF(Исходн.данные.!I267&lt;4.5,BJ267*1.2,IF(Исходн.данные.!I267&gt;5.1,BJ267,BJ267*((5.1-Исходн.данные.!I267)*0.333+1)))))</f>
        <v>0</v>
      </c>
      <c r="BN267" s="10">
        <f>IF(OR(Исходн.данные.!$AH267=$BP$1,Исходн.данные.!$AH267=$BP$2),60-Исходн.данные.!AF267,IF(BK267&lt;0,0,IF(Исходн.данные.!I267&lt;4.5,BK267*1.2,IF(Исходн.данные.!I267&gt;5.1,BK267,BK267*((5.1-Исходн.данные.!I267)*0.333+1)))))</f>
        <v>0</v>
      </c>
      <c r="BO267" s="9">
        <f>IF(BL267&lt;0,0,BL267*Исходн.данные.!$AJ267/1000)</f>
        <v>0</v>
      </c>
      <c r="BP267" s="9">
        <f>IF(BM267&lt;0,0,BM267*Исходн.данные.!$AJ267/1000)</f>
        <v>0</v>
      </c>
      <c r="BQ267" s="9">
        <f>IF(BN267&lt;0,0,BN267*Исходн.данные.!$AJ267/1000)</f>
        <v>0</v>
      </c>
      <c r="BR267" s="9">
        <f t="shared" si="303"/>
        <v>0</v>
      </c>
      <c r="BS267" s="10" t="str">
        <f t="shared" si="304"/>
        <v>Аммофос 12:52:00</v>
      </c>
      <c r="BT267" s="10" t="str">
        <f t="shared" si="305"/>
        <v>Аммофос 12:52:00</v>
      </c>
      <c r="BU267" s="10" t="str">
        <f t="shared" si="306"/>
        <v>Диаммофоска</v>
      </c>
      <c r="BV267" s="10">
        <f t="shared" si="307"/>
        <v>0</v>
      </c>
      <c r="BW267" s="10"/>
      <c r="BX267" s="10"/>
      <c r="BY267" s="9">
        <f>IF(BL267&lt;0,0,IF(OR(Исходн.данные.!AI267=Расчет!$BU$6,Исходн.данные.!AI267=Расчет!$BU$7),Расчет!BV267,IF(Исходн.данные.!$AG267=$BV$11,BL267,IF(OR(Исходн.данные.!$AH267=$BQ$7,Исходн.данные.!$AH267=$BQ$8),CB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0,IF(Исходн.данные.!$AI267=$BU$11,"Нет",IF(BL267&gt;30,30,BL267)))))))</f>
        <v>0</v>
      </c>
      <c r="BZ267" s="9">
        <f>IF(AND(Исходн.данные.!$AG267=$BV$11,BM267&lt;10),10,IF(Исходн.данные.!$AG267=$BV$11,BM267,IF(OR(Исходн.данные.!$AH267=$BQ$7,Исходн.данные.!$AH267=$BQ$8),CC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10,IF(Исходн.данные.!$AI267=$BU$11,"Нет",IF(BM267&gt;60,60,IF(BM267&lt;10,10,BM267)))))))</f>
        <v>10</v>
      </c>
      <c r="CA267" s="39">
        <f>IF(BN267&lt;0,0,IF(Исходн.данные.!$AG267=$BV$11,BN267,IF(OR(Исходн.данные.!$AH267=$BQ$7,Исходн.данные.!$AH267=$BQ$8),CD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0,IF(Исходн.данные.!$AI267=$BU$11,"Нет",IF(BN267&gt;30,30,BN267))))))</f>
        <v>0</v>
      </c>
      <c r="CB267" s="9">
        <f t="shared" si="308"/>
        <v>0</v>
      </c>
      <c r="CC267" s="9">
        <f t="shared" si="309"/>
        <v>0</v>
      </c>
      <c r="CD267" s="9">
        <f t="shared" si="310"/>
        <v>0</v>
      </c>
      <c r="CE267" s="12">
        <f t="shared" si="311"/>
        <v>10</v>
      </c>
      <c r="CF267" s="9">
        <f t="shared" si="312"/>
        <v>0</v>
      </c>
      <c r="CG267" s="9" t="s">
        <v>231</v>
      </c>
      <c r="CH267" s="132" t="str">
        <f>IF(Исходн.данные.!AP267=Расчет!$CI$16,"Нет",IF(Исходн.данные.!AL267&gt;0,Исходн.данные.!AL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BH$4,IF(OR(Исходн.данные.!AI267=Исходн.данные.!$AI$6,Исходн.данные.!AI267=Исходн.данные.!$AI$7),Расчет!BS267,IF(AND($CF267=0,$CE267&gt;0),EV267,ER267)))))</f>
        <v>Аммофос 12:52:00</v>
      </c>
      <c r="CI267" s="274">
        <f>IF(Расчет!$CH267="Нет","Нет",IF(Исходн.данные.!$AL267&gt;0,VLOOKUP(Расчет!$CH267,АшламаДВ_Irekle,2,FALSE),VLOOKUP(Расчет!$CH267,АшламаДВ_Gomumy,2,FALSE)))</f>
        <v>0.12</v>
      </c>
      <c r="CJ267" s="274">
        <f>IF(Расчет!$CH267="Нет","Нет",IF(Исходн.данные.!$AL267&gt;0,VLOOKUP(Расчет!$CH267,АшламаДВ_Irekle,3,FALSE),VLOOKUP(Расчет!$CH267,АшламаДВ_Gomumy,3,FALSE)))</f>
        <v>0.52</v>
      </c>
      <c r="CK267" s="274">
        <f>IF(Расчет!$CH267="Нет","Нет",IF(Исходн.данные.!$AL267&gt;0,VLOOKUP(Расчет!$CH267,АшламаДВ_Irekle,4,FALSE),VLOOKUP(Расчет!$CH267,АшламаДВ_Gomumy,4,FALSE)))</f>
        <v>0</v>
      </c>
      <c r="CL267" s="70"/>
      <c r="CM267" s="70"/>
      <c r="CN267" s="70"/>
      <c r="CO267" s="70"/>
      <c r="CP267" s="70"/>
      <c r="CQ267" s="70"/>
      <c r="CR267" s="10">
        <f t="shared" si="313"/>
        <v>0</v>
      </c>
      <c r="CS267" s="10">
        <f t="shared" si="314"/>
        <v>19.23076923076923</v>
      </c>
      <c r="CT267" s="10">
        <f t="shared" si="315"/>
        <v>0</v>
      </c>
      <c r="CU267" s="39">
        <f>IF($CH267="Нет",0,IF(CI267=0,30/MIN(CJ267:CK267),IF(Исходн.данные.!$AG267=$BV$11,CR267,IF(OR(Исходн.данные.!$AH267=$BQ$7,Исходн.данные.!$AH267=$BQ$8),90/CI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0,IF(Исходн.данные.!$AI267=$BU$11,"Нет",30/CI267))))))</f>
        <v>250</v>
      </c>
      <c r="CV267" s="39">
        <f>IF($CH267="Нет",0,IF(Исходн.данные.!AH267=0,0,IF(CJ267=0,60/MIN(CI267,CK267),IF(Исходн.данные.!$AG267=$BV$11,CS267,IF(OR(Исходн.данные.!$AH267=$BQ$7,Исходн.данные.!$AH267=$BQ$8),90/CJ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10/CJ267,IF(Исходн.данные.!$AI267=$BU$11,"Нет",60/CJ267)))))))</f>
        <v>0</v>
      </c>
      <c r="CW267" s="39">
        <f>IF($CH267="Нет",0,IF(Исходн.данные.!AH267=0,0,IF(CK267=0,30/MIN(CI267:CJ267),IF(Исходн.данные.!$AG267=$BV$11,CT267,IF(OR(Исходн.данные.!$AH267=$BQ$7,Исходн.данные.!$AH267=$BQ$8),90/CK267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0,IF(Исходн.данные.!$AI267=$BU$11,"Нет",30/CK267)))))))</f>
        <v>0</v>
      </c>
      <c r="CX267" s="133">
        <f>IF(Исходн.данные.!$AG267=$BV$11,MAX(CU267:CW267),IF(OR(Исходн.данные.!$AH267=$BS$8,Исходн.данные.!$AH267=$BQ$9,Исходн.данные.!$AH267=$BQ$10,Исходн.данные.!$AH267=$BQ$11,Исходн.данные.!$AH267=$BQ$12,Исходн.данные.!$AH267=$BP$3,Исходн.данные.!$AH267=$BT$8,$FM267="Да"),CV267,MIN(CU267:CW267)))</f>
        <v>0</v>
      </c>
      <c r="CY267" s="133">
        <f>IF(Исходн.данные.!AH267=0,0,IF(CR267&gt;$CX267,$CX267,CR267))</f>
        <v>0</v>
      </c>
      <c r="CZ267" s="133">
        <f>IF(Исходн.данные.!AH267=0,0,IF(CS267&gt;$CX267,$CX267,CS267))</f>
        <v>0</v>
      </c>
      <c r="DA267" s="133">
        <f>IF(Исходн.данные.!AH267=0,0,IF(CT267&gt;$CX267,$CX267,CT267))</f>
        <v>0</v>
      </c>
      <c r="DB267" s="10">
        <f t="shared" si="316"/>
        <v>0</v>
      </c>
      <c r="DC267" s="39">
        <f>DB267*Исходн.данные.!AJ267/1000</f>
        <v>0</v>
      </c>
      <c r="DD267" s="71">
        <f t="shared" si="317"/>
        <v>0</v>
      </c>
      <c r="DE267" s="9">
        <f t="shared" si="318"/>
        <v>0</v>
      </c>
      <c r="DF267" s="9">
        <f t="shared" si="319"/>
        <v>0</v>
      </c>
      <c r="DG267" s="39">
        <f>IF(BL267&lt;0,0,IF($CH267="Нет",BL267,IF(OR(Исходн.данные.!$AH267=$BP$1,Исходн.данные.!$AH267=$BP$2),0,IF(Исходн.данные.!AI267=$BU$11,BL267,IF(BL267-DD267&lt;0,0,BL267-DD267)))))</f>
        <v>0</v>
      </c>
      <c r="DH267" s="39">
        <f>IF(BM267&lt;0,0,IF($CH267="Нет",BM267,IF(OR(Исходн.данные.!$AH267=$BP$1,Исходн.данные.!$AH267=$BP$2),0,IF(Исходн.данные.!AJ267=$BU$11,BM267,IF(BM267-DE267&lt;0,0,BM267-DE267)))))</f>
        <v>0</v>
      </c>
      <c r="DI267" s="39">
        <f>IF(BN267&lt;0,0,IF($CH267="Нет",BN267,IF(OR(Исходн.данные.!$AH267=$BP$1,Исходн.данные.!$AH267=$BP$2),0,IF(Исходн.данные.!AK267=$BU$11,BN267,IF(BN267-DF267&lt;0,0,BN267-DF267)))))</f>
        <v>0</v>
      </c>
      <c r="DJ267" s="12">
        <f t="shared" si="320"/>
        <v>0</v>
      </c>
      <c r="DK267" s="9">
        <f t="shared" si="321"/>
        <v>0</v>
      </c>
      <c r="DL267" s="39">
        <f>IF(Исходн.данные.!AM267&gt;0,Исходн.данные.!AM267,IF(EG267&gt;0,$BH$10,0))</f>
        <v>0</v>
      </c>
      <c r="DM267" s="186">
        <f>IF($DL267=0,0,IF(Исходн.данные.!AM267&gt;0,VLOOKUP($DL267,АшламаДВ_Irekle,2,FALSE),VLOOKUP($DL267,АшламаДВ_Gomumy,2,FALSE)))</f>
        <v>0</v>
      </c>
      <c r="DN267" s="10">
        <f t="shared" si="299"/>
        <v>0</v>
      </c>
      <c r="DO267" s="9" t="str">
        <f>IF(Исходн.данные.!AN267&gt;0,Исходн.данные.!AN267,Удобрения!$B$37 )</f>
        <v>Хлор.калий</v>
      </c>
      <c r="DP267" s="9">
        <f>IF(Исходн.данные.!AN267&gt;0,VLOOKUP(Исходн.данные.!AN267,АшламаДВ_Irekle,4,FALSE),VLOOKUP(DO267,АшламаДВ_Gomumy,4,FALSE))</f>
        <v>0.6</v>
      </c>
      <c r="DQ267" s="10">
        <f t="shared" si="300"/>
        <v>0</v>
      </c>
      <c r="DR267" s="132" t="str">
        <f>IF(Исходн.данные.!AO267&gt;0,Исходн.данные.!AO267,IF(DH267=0,BS$17,IF(AND($DK267=0,$DJ267&gt;0),EJ267,EN267)))</f>
        <v>Нет</v>
      </c>
      <c r="DS267" s="70" t="str">
        <f>IF($DR267="Нет","Нет",IF(Исходн.данные.!$AO267&gt;0,VLOOKUP($DR267,АшламаДВ_Irekle,2,FALSE),VLOOKUP($DR267,АшламаДВ_Gomumy,2,FALSE)))</f>
        <v>Нет</v>
      </c>
      <c r="DT267" s="70" t="str">
        <f>IF($DR267="Нет","Нет",IF(Исходн.данные.!$AO267&gt;0,VLOOKUP($DR267,АшламаДВ_Irekle,3,FALSE),VLOOKUP($DR267,АшламаДВ_Gomumy,3,FALSE)))</f>
        <v>Нет</v>
      </c>
      <c r="DU267" s="70" t="str">
        <f>IF($DR267="Нет","Нет",IF(Исходн.данные.!$AO267&gt;0,VLOOKUP($DR267,АшламаДВ_Irekle,4,FALSE),VLOOKUP($DR267,АшламаДВ_Gomumy,4,FALSE)))</f>
        <v>Нет</v>
      </c>
      <c r="DV267" s="70"/>
      <c r="DW267" s="70"/>
      <c r="DX267" s="70"/>
      <c r="DY267" s="10">
        <f t="shared" si="322"/>
        <v>0</v>
      </c>
      <c r="DZ267" s="10">
        <f t="shared" si="323"/>
        <v>0</v>
      </c>
      <c r="EA267" s="10">
        <f t="shared" si="324"/>
        <v>0</v>
      </c>
      <c r="EB267" s="10">
        <f t="shared" si="325"/>
        <v>0</v>
      </c>
      <c r="EC267" s="10">
        <f t="shared" si="326"/>
        <v>0</v>
      </c>
      <c r="ED267" s="10">
        <f t="shared" si="327"/>
        <v>0</v>
      </c>
      <c r="EE267" s="10">
        <f t="shared" si="328"/>
        <v>0</v>
      </c>
      <c r="EF267" s="39">
        <f>EB267*Исходн.данные.!AJ267/1000</f>
        <v>0</v>
      </c>
      <c r="EG267" s="9">
        <f t="shared" si="329"/>
        <v>0</v>
      </c>
      <c r="EH267" s="9">
        <f t="shared" si="330"/>
        <v>0</v>
      </c>
      <c r="EI267" s="39" t="e">
        <f t="shared" si="280"/>
        <v>#DIV/0!</v>
      </c>
      <c r="EJ267" s="9" t="str">
        <f t="shared" si="301"/>
        <v>Азопреципитат</v>
      </c>
      <c r="EK267" s="12">
        <f t="shared" si="281"/>
        <v>0.26</v>
      </c>
      <c r="EL267" s="12">
        <f t="shared" si="282"/>
        <v>0.13</v>
      </c>
      <c r="EM267" s="12">
        <f t="shared" si="283"/>
        <v>0</v>
      </c>
      <c r="EN267" s="12" t="str">
        <f t="shared" si="302"/>
        <v>Нет</v>
      </c>
      <c r="EO267" s="12">
        <f t="shared" si="284"/>
        <v>0</v>
      </c>
      <c r="EP267" s="12">
        <f t="shared" si="285"/>
        <v>0</v>
      </c>
      <c r="EQ267" s="12">
        <f t="shared" si="286"/>
        <v>0</v>
      </c>
      <c r="ER267" s="12" t="str">
        <f t="shared" si="331"/>
        <v>Диаммофоска</v>
      </c>
      <c r="ES267" s="12">
        <f t="shared" si="287"/>
        <v>0.1</v>
      </c>
      <c r="ET267" s="12">
        <f t="shared" si="288"/>
        <v>0.26</v>
      </c>
      <c r="EU267" s="12">
        <f t="shared" si="289"/>
        <v>0.26</v>
      </c>
      <c r="EV267" s="12" t="str">
        <f t="shared" si="332"/>
        <v>Аммофос 12:52:00</v>
      </c>
      <c r="EW267" s="12" t="str">
        <f t="shared" si="333"/>
        <v>Кемира Свекловичное-6</v>
      </c>
      <c r="EX267" s="12">
        <f t="shared" si="290"/>
        <v>0.16</v>
      </c>
      <c r="EY267" s="12">
        <f t="shared" si="291"/>
        <v>0.12</v>
      </c>
      <c r="EZ267" s="12">
        <f t="shared" si="292"/>
        <v>0.17</v>
      </c>
      <c r="FA267" s="38" t="e">
        <f>IF(AND(OR(FJ267=$FD$1,FM267=$FD$1,FO267=$FD$1,FQ267=$FD$1,FS267=$FD$1),FD267=$FD$1,Исходн.данные.!J267&lt;2,FU267=$FD$1),"Бор,Кобальт",IF(AND(FO267=$FD$1,FH267=$FD$1,Исходн.данные.!J267&lt;2,FU267=$FD$1),"Бор,Кобальт",IF(AND(OR(FJ267=$FD$1,FM267=$FD$1,FQ267=$FD$1),FE267=$FD$1,Исходн.данные.!J267&lt;2,FT267=$FD$1,FU267=$FD$1),"Бор,Медь,Цинк",IF(AND(OR(FJ267=$FD$1,FR267="Да"),FI267="Да",Исходн.данные.!J267&lt;2,FT267="Да",FU267="Да"),"Бор,Цинк,Медь",IF(AND(OR(FM267="Да",FQ267="Да"),FI267="Да",Исходн.данные.!J267&lt;2,FT267="Да",FU267="Да"),"Бор,Цинк",IF(AND(FN267="Да",OR(FD267="Да",FE267="Да")),"Бор",FB267))))))</f>
        <v>#N/A</v>
      </c>
      <c r="FB267" s="134" t="e">
        <f>IF(AND(OR(FD267="Да",FE267="Да",FF267="Да",FG267="Да",FH267="Да"),FO267="Да"),"Бор",IF(AND(FP267="Да",OR(FD267="Да",FE267="Да",FI267="Да")),"Бор",IF(AND(FS267="Да",FE267="Да"),"Бор,Медь",IF(AND(OR(FJ267="Да",FK267="Да",FL267="Да"),FE267="Да",Исходн.данные.!I267&lt;5,FT267="Да",FU267="Да"),"Молибден,Цинк",IF(AND(FM267="Да",OR(FE267="Да",FF267="Да",FG267="Да",FH267="Да",FI267="Да")),"Молибден,Цинк",IF(AND(OR(FJ267="Да",FK267="Да",FL267="Да",FM267="Да",FQ267="Да"),OR(FE267="Да",FF267="Да"),FT267="Да",FU267="Да",Исходн.данные.!I267&gt;5.5),"Медь,Цинк",FC267))))))</f>
        <v>#N/A</v>
      </c>
      <c r="FC267" s="23" t="e">
        <f t="shared" si="334"/>
        <v>#N/A</v>
      </c>
      <c r="FD267" s="38" t="str">
        <f>IF(OR(Исходн.данные.!F267=$CC$1,Исходн.данные.!F267=$CC$2,Исходн.данные.!F267=$CC$3,Исходн.данные.!F267=$CC$4),"Да","Нет")</f>
        <v>Нет</v>
      </c>
      <c r="FE267" s="38" t="str">
        <f>IF(Исходн.данные.!F267=$CC$5,"Да","Нет")</f>
        <v>Нет</v>
      </c>
      <c r="FF267" s="38" t="str">
        <f>IF(OR(Исходн.данные.!F267=$CC$6,Исходн.данные.!F267=$CC$7),"Да","Нет")</f>
        <v>Нет</v>
      </c>
      <c r="FG267" s="38" t="str">
        <f>IF(OR(Исходн.данные.!F267=$CC$8,Исходн.данные.!F267=$CC$9),"Да","Нет")</f>
        <v>Нет</v>
      </c>
      <c r="FH267" s="38" t="str">
        <f>IF(Исходн.данные.!F267=$CC$10,"Да","Нет")</f>
        <v>Нет</v>
      </c>
      <c r="FI267" s="38" t="str">
        <f>IF(OR(Исходн.данные.!F267=$CC$11,Исходн.данные.!F267=$CC$12),"Да","Нет")</f>
        <v>Нет</v>
      </c>
      <c r="FJ267" s="38" t="str">
        <f>IF(OR(Исходн.данные.!AH267=$BS$1,Исходн.данные.!AH267=$BQ$11,Исходн.данные.!AH267=$BQ$12),"Да","Нет")</f>
        <v>Нет</v>
      </c>
      <c r="FK267" s="38" t="str">
        <f>IF(OR(Исходн.данные.!AH267=$BS$2,Исходн.данные.!AH267=$BS$4),"Да","Нет")</f>
        <v>Нет</v>
      </c>
      <c r="FL267" s="38" t="str">
        <f>IF(OR(Исходн.данные.!AH267=$BS$3,Исходн.данные.!AH267=$BS$5),"Да","Нет")</f>
        <v>Нет</v>
      </c>
      <c r="FM267" s="38" t="str">
        <f>IF(OR(Исходн.данные.!AH267=$BS$9,Исходн.данные.!AH267=$BS$10,Исходн.данные.!AH267=$BS$11,Исходн.данные.!AH267=$BS$12),"Да","Нет")</f>
        <v>Нет</v>
      </c>
      <c r="FN267" s="38" t="str">
        <f>IF(OR(Исходн.данные.!AH267=$BS$6,Исходн.данные.!AH267=$BP$3),"Да","Нет")</f>
        <v>Нет</v>
      </c>
      <c r="FO267" s="38" t="str">
        <f>IF(Исходн.данные.!AH267=$BQ$9,"Да","Нет")</f>
        <v>Нет</v>
      </c>
      <c r="FP267" s="38" t="str">
        <f>IF(OR(Исходн.данные.!AH267=$BS$8,Исходн.данные.!AH267=$BT$8),"Да","Нет")</f>
        <v>Нет</v>
      </c>
      <c r="FQ267" s="38" t="str">
        <f>IF(OR(Исходн.данные.!AH267=$BQ$7,Исходн.данные.!AH267=$BQ$8),"Да","Нет")</f>
        <v>Нет</v>
      </c>
      <c r="FR267" s="38" t="str">
        <f>IF(Исходн.данные.!AI267=$BU$9,"Да","Нет")</f>
        <v>Нет</v>
      </c>
      <c r="FS267" s="38" t="str">
        <f>IF(OR(Исходн.данные.!AH267=$BP$1,Исходн.данные.!AH267=$BP$2),"Да","Нет")</f>
        <v>Нет</v>
      </c>
      <c r="FT267" s="38" t="e">
        <f>IF((Исходн.данные.!K267*GO267*GS267*GW267+BL267*0.6+Исходн.данные.!Q267*4.5*0.275)&gt;90,"Да","Нет")</f>
        <v>#N/A</v>
      </c>
      <c r="FU267" s="38" t="e">
        <f>IF((Исходн.данные.!M267*GS267*GZ267+BM267*0.225)&gt;35,"Да","Нет")</f>
        <v>#N/A</v>
      </c>
      <c r="FV267" s="38" t="str">
        <f>IF(Исходн.данные.!O267&gt;175,"Да","Нет")</f>
        <v>Нет</v>
      </c>
      <c r="FW267" s="39" t="str">
        <f>IF(Исходн.данные.!I267&gt;5.5,"Да","Нет")</f>
        <v>Нет</v>
      </c>
      <c r="FX267" s="39" t="str">
        <f>IF(Исходн.данные.!J267&lt;2,"Да","Нет")</f>
        <v>Да</v>
      </c>
      <c r="FY267" s="39" t="e">
        <f>IF(HF267=$FY$16,0,Исходн.данные.!K267*GO267*GS267*GW267/HF267)</f>
        <v>#N/A</v>
      </c>
      <c r="FZ267" s="39" t="e">
        <f>Исходн.данные.!M267*GS267*GZ267/HG267</f>
        <v>#N/A</v>
      </c>
      <c r="GA267" s="39" t="e">
        <f>IF(K_Wyn=$FY$16,0,IF(Исходн.данные.!N267=Исходн.данные.!$L$10,Исходн.данные.!O267/1.1*GS267*HC267/HH267,IF(Исходн.данные.!N267=Исходн.данные.!$L$12,Исходн.данные.!O267/1.5*GS267*HC267/HH267,Исходн.данные.!O267*GS267*HC267/HH267)))</f>
        <v>#N/A</v>
      </c>
      <c r="GB267" s="39" t="e">
        <f>IF(HF267=$FY$16,0,((Исходн.данные.!Q267*N_Org+Исходн.данные.!R267*N_Sider+Исходн.данные.!S267*N_Soloma)*AO267+Расчет!BC267*VLOOKUP(Исходн.данные.!T267,Справ!$A$3:$O$57,15)*AO267+BB267*VLOOKUP(Исходн.данные.!T267,Справ!$A$3:$O$57,15)*AL267+(Исходн.данные.!V267*N_Rizotorf+Исходн.данные.!W267*N_Rizoagr))/HF267)</f>
        <v>#N/A</v>
      </c>
      <c r="GC267" s="39" t="e">
        <f>IF(HG267=$FY$16,0,((Исходн.данные.!Q267*Р_Org+Исходн.данные.!R267*P_Sider+Исходн.данные.!S267*P_Soloma)*AP267+Расчет!BC267*VLOOKUP(Исходн.данные.!T267,Справ!$A$3:$P$57,16)*AP267+BB267*VLOOKUP(Исходн.данные.!T267,Справ!$A$3:$P$57,16)*AM267)/HG267)</f>
        <v>#N/A</v>
      </c>
      <c r="GD267" s="39" t="e">
        <f>IF(HH267=$FY$16,0,((Исходн.данные.!Q267*К_Org+Исходн.данные.!R267*K_Sider+Исходн.данные.!S267*K_Soloma)*AQ267+Расчет!BC267*VLOOKUP(Исходн.данные.!T267,Справ!$A$3:$Q$57,17)*AQ267+BB267*VLOOKUP(Исходн.данные.!T267,Справ!$A$3:$Q$57,17)*AN267)/HH267)</f>
        <v>#N/A</v>
      </c>
      <c r="GE267" s="39" t="e">
        <f>IF(HF267=$FY$16,0,(Исходн.данные.!X267*AR267+Исходн.данные.!AA267*N_Org*AL267+Исходн.данные.!AB267*N_Sider*AL267+Исходн.данные.!AC267*N_Soloma*AL267)/HF267)</f>
        <v>#N/A</v>
      </c>
      <c r="GF267" s="39" t="e">
        <f>IF(HG267=$FY$16,0,(Исходн.данные.!Y267*AS267+Исходн.данные.!AA267*Р_Org*AM267+Исходн.данные.!AB267*P_Sider*AM267+Исходн.данные.!AC267*P_Soloma*AM267)/HG267)</f>
        <v>#N/A</v>
      </c>
      <c r="GG267" s="39" t="e">
        <f>IF(HH267=$FY$16,0,(Исходн.данные.!Z267*AT267+Исходн.данные.!AA267*К_Org*AN267+Исходн.данные.!AB267*K_Sider*AN267+Исходн.данные.!AC267*K_Soloma*AN267)/HH267)</f>
        <v>#N/A</v>
      </c>
      <c r="GH267" s="39" t="e">
        <f>Исходн.данные.!AD267*AU267/HF267</f>
        <v>#N/A</v>
      </c>
      <c r="GI267" s="39" t="e">
        <f>Исходн.данные.!AE267*AV267/HG267</f>
        <v>#N/A</v>
      </c>
      <c r="GJ267" s="39" t="e">
        <f>Исходн.данные.!AF267*AW267/HH267</f>
        <v>#N/A</v>
      </c>
      <c r="GK267" s="55">
        <f>Исходн.данные.!AK267</f>
        <v>0</v>
      </c>
      <c r="GL267" s="11" t="e">
        <f t="shared" si="335"/>
        <v>#N/A</v>
      </c>
      <c r="GM267" s="11" t="e">
        <f t="shared" si="336"/>
        <v>#N/A</v>
      </c>
      <c r="GN267" s="11" t="e">
        <f t="shared" si="337"/>
        <v>#N/A</v>
      </c>
      <c r="GO267" s="57">
        <f t="shared" si="338"/>
        <v>19</v>
      </c>
      <c r="GP267" s="55">
        <f>IF(OR(Исходн.данные.!F267=$CE$1,Исходн.данные.!F267=$CE$2,Исходн.данные.!F267=$CE$3,Исходн.данные.!F267=$CE$4,Исходн.данные.!F267=$CE$5),GQ267,GR267)</f>
        <v>19</v>
      </c>
      <c r="GQ267" s="55">
        <f>IF(Исходн.данные.!F267=$CE$1,28,IF(Исходн.данные.!F267=$CE$2,26,IF(Исходн.данные.!F267=$CE$3,24,IF(Исходн.данные.!F267=$CE$4,22,IF(Исходн.данные.!F267=$CE$5,20,GR267)))))</f>
        <v>19</v>
      </c>
      <c r="GR267" s="55">
        <f>IF(Исходн.данные.!F267=$CE$6,18,IF(Исходн.данные.!F267=$CE$7,16,IF(Исходн.данные.!F267=$CE$8,14,IF(Исходн.данные.!F267=$CE$9,13,IF(Исходн.данные.!F267=$CE$10,12,19)))))</f>
        <v>19</v>
      </c>
      <c r="GS267" s="55">
        <f>IF(Исходн.данные.!G267="Пес",0.035*(40+2*Исходн.данные.!H267),IF(Исходн.данные.!G267="Суп",0.0325*(40+2*Исходн.данные.!H267),0.03*(40+2*Исходн.данные.!H267)))</f>
        <v>1.2</v>
      </c>
      <c r="GT267" s="55">
        <f>IF(Исходн.данные.!H267&lt;23,2.6,IF(AND(Исходн.данные.!H267&gt;22,Исходн.данные.!H267&lt;26),3,IF(AND(Исходн.данные.!H267&gt;25,Исходн.данные.!H267&lt;29),3.4,3.6)))</f>
        <v>2.6</v>
      </c>
      <c r="GU267" s="55">
        <f>IF(Исходн.данные.!H267&lt;23,2.8,IF(AND(Исходн.данные.!H267&gt;22,Исходн.данные.!H267&lt;26),3.2,IF(AND(Исходн.данные.!H267&gt;25,Исходн.данные.!H267&lt;29),3.6,3.9)))</f>
        <v>2.8</v>
      </c>
      <c r="GV267" s="55">
        <f>IF(Исходн.данные.!H267&lt;23,3,IF(AND(Исходн.данные.!H267&gt;22,Исходн.данные.!H267&lt;26),3.5,IF(AND(Исходн.данные.!H267&gt;25,Исходн.данные.!H267&lt;29),3.9,4.2)))</f>
        <v>3</v>
      </c>
      <c r="GW267" s="55" t="e">
        <f>IF(Исходн.данные.!P267="Ум",GX267,GY267)</f>
        <v>#N/A</v>
      </c>
      <c r="GX267" s="55" t="e">
        <f>VLOOKUP(Исходн.данные.!AI267,Коэффициенты!$J$7:$L$13,2,FALSE)</f>
        <v>#N/A</v>
      </c>
      <c r="GY267" s="55" t="e">
        <f>VLOOKUP(Исходн.данные.!AI267,Коэффициенты!$J$7:$L$13,3,FALSE)</f>
        <v>#N/A</v>
      </c>
      <c r="GZ267" s="55" t="e">
        <f>(IF(Исходн.данные.!M267&lt;50,0.11*VLOOKUP(Исходн.данные.!AH267,Культуры.Информация,7,FALSE),IF(Исходн.данные.!M267&gt;250,0.05*VLOOKUP(Исходн.данные.!AH267,Культуры.Информация,7,FALSE),VLOOKUP(Исходн.данные.!AH267,Культуры.Информация,5,FALSE)/100*($GX$6+$GY$6*Исходн.данные.!M267))))*Расчет2!AI267</f>
        <v>#N/A</v>
      </c>
      <c r="HA267" s="211"/>
      <c r="HB267" s="211"/>
      <c r="HC267" s="55" t="e">
        <f>(IF(Исходн.данные.!O267&lt;80,0.2*VLOOKUP(Исходн.данные.!AH267,Культуры.Информация,8,FALSE),IF(Исходн.данные.!O267&gt;240,0.09*VLOOKUP(Исходн.данные.!AH267,Культуры.Информация,8,FALSE),VLOOKUP(Исходн.данные.!AH267,Культуры.Информация,6,FALSE)/100*($HB$6+$HC$6*Исходн.данные.!O267))))*Расчет2!AJ267</f>
        <v>#N/A</v>
      </c>
      <c r="HD267" s="55">
        <f>IF(Исходн.данные.!O267&gt;240,0.09,IF(Исходн.данные.!O267&lt;30,0.3,$HE$10+$HD$10*Исходн.данные.!O267))</f>
        <v>0.3</v>
      </c>
      <c r="HE267" s="55">
        <f>IF(Исходн.данные.!O267&gt;240,0.17,IF(Исходн.данные.!O267&lt;30,0.5,$HF$12+$HE$12*Исходн.данные.!O267))</f>
        <v>0.5</v>
      </c>
      <c r="HF267" s="55" t="e">
        <f>VLOOKUP(Исходн.данные.!AH267,Справ!$A$3:$D$58,2,FALSE)</f>
        <v>#N/A</v>
      </c>
      <c r="HG267" s="55" t="e">
        <f>VLOOKUP(Исходн.данные.!AH267,Справ!$A$3:$D$58,3,FALSE)</f>
        <v>#N/A</v>
      </c>
      <c r="HH267" s="55" t="e">
        <f>VLOOKUP(Исходн.данные.!AH267,Справ!$A$3:$D$58,4,FALSE)</f>
        <v>#N/A</v>
      </c>
      <c r="HI267" s="11" t="e">
        <f t="shared" si="339"/>
        <v>#N/A</v>
      </c>
      <c r="HJ267" s="11" t="e">
        <f t="shared" si="340"/>
        <v>#N/A</v>
      </c>
      <c r="HK267" s="11" t="e">
        <f t="shared" si="341"/>
        <v>#N/A</v>
      </c>
      <c r="HL267" s="55">
        <f>IF(OR(Исходн.данные.!G267="Глин",Исходн.данные.!G267="Т_суг"),1.1,IF(Исходн.данные.!G267="Ср_суг",1,1))</f>
        <v>1</v>
      </c>
      <c r="HM267" s="55">
        <f>IF(OR(Исходн.данные.!G267="Глин",Исходн.данные.!G267="Т_суг"),0.9,IF(Исходн.данные.!G267="Ср_суг",1,1.2))</f>
        <v>1.2</v>
      </c>
      <c r="HN267" s="11" t="e">
        <f t="shared" si="342"/>
        <v>#N/A</v>
      </c>
      <c r="HO267" s="11" t="e">
        <f t="shared" si="343"/>
        <v>#N/A</v>
      </c>
      <c r="HP267" s="11" t="e">
        <f t="shared" si="344"/>
        <v>#N/A</v>
      </c>
      <c r="HQ267" t="e">
        <f t="shared" si="345"/>
        <v>#N/A</v>
      </c>
      <c r="HR267" t="e">
        <f t="shared" si="346"/>
        <v>#N/A</v>
      </c>
      <c r="HS267" t="e">
        <f t="shared" si="347"/>
        <v>#N/A</v>
      </c>
      <c r="HT267" t="e">
        <f t="shared" si="293"/>
        <v>#N/A</v>
      </c>
      <c r="HU267" t="e">
        <f t="shared" si="294"/>
        <v>#N/A</v>
      </c>
      <c r="HV267" t="e">
        <f t="shared" si="295"/>
        <v>#N/A</v>
      </c>
      <c r="HW267" t="e">
        <f t="shared" si="296"/>
        <v>#N/A</v>
      </c>
      <c r="HX267" t="e">
        <f t="shared" si="297"/>
        <v>#N/A</v>
      </c>
      <c r="HY267" t="e">
        <f t="shared" si="298"/>
        <v>#N/A</v>
      </c>
      <c r="HZ267" s="55">
        <f>IF(OR(Исходн.данные.!AI267="Оз_Ч_П",Исходн.данные.!AI267="Оз_З_П",Исходн.данные.!AI267="Яр_зер"),12,30)</f>
        <v>30</v>
      </c>
      <c r="IA267" t="e">
        <f t="shared" si="348"/>
        <v>#N/A</v>
      </c>
      <c r="IB267" t="e">
        <f t="shared" si="349"/>
        <v>#N/A</v>
      </c>
      <c r="IC267" t="e">
        <f t="shared" si="350"/>
        <v>#N/A</v>
      </c>
      <c r="ID267" s="11" t="e">
        <f t="shared" si="351"/>
        <v>#N/A</v>
      </c>
      <c r="IE267" s="11" t="e">
        <f t="shared" si="352"/>
        <v>#N/A</v>
      </c>
      <c r="IF267" s="11" t="e">
        <f t="shared" si="353"/>
        <v>#N/A</v>
      </c>
    </row>
    <row r="268" spans="35:240" x14ac:dyDescent="0.2">
      <c r="AI268">
        <f>IF(Исходн.данные.!I268&gt;6,1,1.85-(0.148*Исходн.данные.!I268))</f>
        <v>1.85</v>
      </c>
      <c r="AJ268">
        <f>IF(Исходн.данные.!I268&gt;6,1,2.434-(0.246*Исходн.данные.!I268))</f>
        <v>2.4340000000000002</v>
      </c>
      <c r="AL268" s="148" t="b">
        <f>IF(Исходн.данные.!$P268="Ум",N_OrgUd_2g_um,IF(Исходн.данные.!$P268="Об",N_OrgUd_2g_ob))</f>
        <v>0</v>
      </c>
      <c r="AM268" s="148" t="b">
        <f>IF(Исходн.данные.!$P268="Ум",P_OrgUd_2g_um,IF(Исходн.данные.!$P268="Об",P_OrgUd_2g_ob))</f>
        <v>0</v>
      </c>
      <c r="AN268" s="148" t="b">
        <f>IF(Исходн.данные.!$P268="Ум",K_OrgUd_2g_um,IF(Исходн.данные.!$P268="Об",K_OrgUd_2g_ob))</f>
        <v>0</v>
      </c>
      <c r="AO268" s="148" t="b">
        <f>IF(Исходн.данные.!$P268="Ум",N_OrgUd_1g_um,IF(Исходн.данные.!$P268="Об",N_OrgUd_1g_ob))</f>
        <v>0</v>
      </c>
      <c r="AP268" s="148" t="b">
        <f>IF(Исходн.данные.!$P268="Ум",P_OrgUd_1g_um,IF(Исходн.данные.!$P268="Об",P_OrgUd_1g_ob))</f>
        <v>0</v>
      </c>
      <c r="AQ268" s="148" t="b">
        <f>IF(Исходн.данные.!$P268="Ум",K_OrgUd_1g_um,IF(Исходн.данные.!$P268="Об",K_OrgUd_1g_ob))</f>
        <v>0</v>
      </c>
      <c r="AR268" t="b">
        <f>IF(Исходн.данные.!$P268="Ум",N_MinUd_2g_um,IF(Исходн.данные.!$P268="Об",N_MinUd_2g_ob))</f>
        <v>0</v>
      </c>
      <c r="AS268" t="b">
        <f>IF(Исходн.данные.!$P268="Ум",P_MinUd_2g_um,IF(Исходн.данные.!$P268="Об",P_MinUd_2g_ob))</f>
        <v>0</v>
      </c>
      <c r="AT268" t="b">
        <f>IF(Исходн.данные.!$P268="Ум",K_MinUd_2g_um,IF(Исходн.данные.!$P268="Об",K_MinUd_2g_ob))</f>
        <v>0</v>
      </c>
      <c r="AU268" t="b">
        <f>IF(Исходн.данные.!$P268="Ум",N_MinUd_1g_um,IF(Исходн.данные.!$P268="Об",N_MinUd_1g_ob))</f>
        <v>0</v>
      </c>
      <c r="AV268" t="b">
        <f>IF(Исходн.данные.!P268="Ум",P_MinUd_1g_um,IF(Исходн.данные.!P268="Об",P_MinUd_1g_ob))</f>
        <v>0</v>
      </c>
      <c r="AW268" t="b">
        <f>IF(Исходн.данные.!P268="Ум",K_MinUd_1g_um,IF(Исходн.данные.!P268="Об",K_MinUd_1g_ob))</f>
        <v>0</v>
      </c>
      <c r="AY268" t="e">
        <f>VLOOKUP(Исходн.данные.!T268,Справ!$A$3:$N$57,12)</f>
        <v>#N/A</v>
      </c>
      <c r="AZ268" t="e">
        <f>VLOOKUP(Исходн.данные.!T268,Справ!$A$3:$N$57,13)</f>
        <v>#N/A</v>
      </c>
      <c r="BA268" t="e">
        <f>VLOOKUP(Исходн.данные.!T268,Справ!$A$3:$N$57,14)</f>
        <v>#N/A</v>
      </c>
      <c r="BB268">
        <f>IF(Исходн.данные.!AH268=0,0,25)</f>
        <v>0</v>
      </c>
      <c r="BC268" s="141">
        <f>IF(Исходн.данные.!AH268=0,0,IF(Исходн.данные.!T268=0,25,BD268))</f>
        <v>0</v>
      </c>
      <c r="BD268" s="168" t="e">
        <f>AY268+AZ268*Исходн.данные.!U268-POWER(BA268,2)*Исходн.данные.!U268</f>
        <v>#N/A</v>
      </c>
      <c r="BE26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8" s="25">
        <f>IF(Исходн.данные.!AH268=0,0,MIN(HN268:HP268))</f>
        <v>0</v>
      </c>
      <c r="BG268" s="9">
        <f>IF(Исходн.данные.!AH268=0,0,IF((HO268+10*0.25/HG268/HL268)&lt;17,17,HO268+10*0.25/HG268/HL268))</f>
        <v>0</v>
      </c>
      <c r="BH268" s="181">
        <f>IF(Исходн.данные.!AH268=0,0,HW268*HF268*HL268/AU268*AI268+Исходн.данные.!S268*10)</f>
        <v>0</v>
      </c>
      <c r="BI268" s="10"/>
      <c r="BJ268" s="182">
        <f>IF(Исходн.данные.!AH268=0,0,IF(HX268*HG268*HL268/AV268&lt;0,0,HX268*HG268*HL268/AV268*AJ268))</f>
        <v>0</v>
      </c>
      <c r="BK268" s="182">
        <f>IF(Исходн.данные.!AH268=0,0,HY268*HH268*HM268/AW268)</f>
        <v>0</v>
      </c>
      <c r="BL268" s="10">
        <f>IF(OR(Исходн.данные.!$AH268=$BP$1,Исходн.данные.!$AH268=$BP$2),0,IF(BH268&lt;0,0,IF(OR(Исходн.данные.!T268=Расчет!$BP$1,Исходн.данные.!T268=Расчет!$BP$2,Исходн.данные.!T268=Расчет!$BT$5,Исходн.данные.!T268=Расчет!$BT$6),BH268*0.5,IF(OR(Исходн.данные.!T268=Расчет!$BS$9,Исходн.данные.!T268=Расчет!$BS$10,Исходн.данные.!T268=Расчет!$BS$11,Исходн.данные.!T268=Расчет!$BS$12,Исходн.данные.!T268=Расчет!$BP$5),BH268*0.8,BH268))))</f>
        <v>0</v>
      </c>
      <c r="BM268" s="10">
        <f>IF(OR(Исходн.данные.!$AH268=$BP$1,Исходн.данные.!$AH268=$BP$2),0,IF(BJ268&lt;0,0,IF(Исходн.данные.!I268&lt;4.5,BJ268*1.2,IF(Исходн.данные.!I268&gt;5.1,BJ268,BJ268*((5.1-Исходн.данные.!I268)*0.333+1)))))</f>
        <v>0</v>
      </c>
      <c r="BN268" s="10">
        <f>IF(OR(Исходн.данные.!$AH268=$BP$1,Исходн.данные.!$AH268=$BP$2),60-Исходн.данные.!AF268,IF(BK268&lt;0,0,IF(Исходн.данные.!I268&lt;4.5,BK268*1.2,IF(Исходн.данные.!I268&gt;5.1,BK268,BK268*((5.1-Исходн.данные.!I268)*0.333+1)))))</f>
        <v>0</v>
      </c>
      <c r="BO268" s="9">
        <f>IF(BL268&lt;0,0,BL268*Исходн.данные.!$AJ268/1000)</f>
        <v>0</v>
      </c>
      <c r="BP268" s="9">
        <f>IF(BM268&lt;0,0,BM268*Исходн.данные.!$AJ268/1000)</f>
        <v>0</v>
      </c>
      <c r="BQ268" s="9">
        <f>IF(BN268&lt;0,0,BN268*Исходн.данные.!$AJ268/1000)</f>
        <v>0</v>
      </c>
      <c r="BR268" s="9">
        <f t="shared" si="303"/>
        <v>0</v>
      </c>
      <c r="BS268" s="10" t="str">
        <f t="shared" si="304"/>
        <v>Аммофос 12:52:00</v>
      </c>
      <c r="BT268" s="10" t="str">
        <f t="shared" si="305"/>
        <v>Аммофос 12:52:00</v>
      </c>
      <c r="BU268" s="10" t="str">
        <f t="shared" si="306"/>
        <v>Диаммофоска</v>
      </c>
      <c r="BV268" s="10">
        <f t="shared" si="307"/>
        <v>0</v>
      </c>
      <c r="BW268" s="10"/>
      <c r="BX268" s="10"/>
      <c r="BY268" s="9">
        <f>IF(BL268&lt;0,0,IF(OR(Исходн.данные.!AI268=Расчет!$BU$6,Исходн.данные.!AI268=Расчет!$BU$7),Расчет!BV268,IF(Исходн.данные.!$AG268=$BV$11,BL268,IF(OR(Исходн.данные.!$AH268=$BQ$7,Исходн.данные.!$AH268=$BQ$8),CB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0,IF(Исходн.данные.!$AI268=$BU$11,"Нет",IF(BL268&gt;30,30,BL268)))))))</f>
        <v>0</v>
      </c>
      <c r="BZ268" s="9">
        <f>IF(AND(Исходн.данные.!$AG268=$BV$11,BM268&lt;10),10,IF(Исходн.данные.!$AG268=$BV$11,BM268,IF(OR(Исходн.данные.!$AH268=$BQ$7,Исходн.данные.!$AH268=$BQ$8),CC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10,IF(Исходн.данные.!$AI268=$BU$11,"Нет",IF(BM268&gt;60,60,IF(BM268&lt;10,10,BM268)))))))</f>
        <v>10</v>
      </c>
      <c r="CA268" s="39">
        <f>IF(BN268&lt;0,0,IF(Исходн.данные.!$AG268=$BV$11,BN268,IF(OR(Исходн.данные.!$AH268=$BQ$7,Исходн.данные.!$AH268=$BQ$8),CD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0,IF(Исходн.данные.!$AI268=$BU$11,"Нет",IF(BN268&gt;30,30,BN268))))))</f>
        <v>0</v>
      </c>
      <c r="CB268" s="9">
        <f t="shared" si="308"/>
        <v>0</v>
      </c>
      <c r="CC268" s="9">
        <f t="shared" si="309"/>
        <v>0</v>
      </c>
      <c r="CD268" s="9">
        <f t="shared" si="310"/>
        <v>0</v>
      </c>
      <c r="CE268" s="12">
        <f t="shared" si="311"/>
        <v>10</v>
      </c>
      <c r="CF268" s="9">
        <f t="shared" si="312"/>
        <v>0</v>
      </c>
      <c r="CG268" s="9" t="s">
        <v>231</v>
      </c>
      <c r="CH268" s="132" t="str">
        <f>IF(Исходн.данные.!AP268=Расчет!$CI$16,"Нет",IF(Исходн.данные.!AL268&gt;0,Исходн.данные.!AL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BH$4,IF(OR(Исходн.данные.!AI268=Исходн.данные.!$AI$6,Исходн.данные.!AI268=Исходн.данные.!$AI$7),Расчет!BS268,IF(AND($CF268=0,$CE268&gt;0),EV268,ER268)))))</f>
        <v>Аммофос 12:52:00</v>
      </c>
      <c r="CI268" s="274">
        <f>IF(Расчет!$CH268="Нет","Нет",IF(Исходн.данные.!$AL268&gt;0,VLOOKUP(Расчет!$CH268,АшламаДВ_Irekle,2,FALSE),VLOOKUP(Расчет!$CH268,АшламаДВ_Gomumy,2,FALSE)))</f>
        <v>0.12</v>
      </c>
      <c r="CJ268" s="274">
        <f>IF(Расчет!$CH268="Нет","Нет",IF(Исходн.данные.!$AL268&gt;0,VLOOKUP(Расчет!$CH268,АшламаДВ_Irekle,3,FALSE),VLOOKUP(Расчет!$CH268,АшламаДВ_Gomumy,3,FALSE)))</f>
        <v>0.52</v>
      </c>
      <c r="CK268" s="274">
        <f>IF(Расчет!$CH268="Нет","Нет",IF(Исходн.данные.!$AL268&gt;0,VLOOKUP(Расчет!$CH268,АшламаДВ_Irekle,4,FALSE),VLOOKUP(Расчет!$CH268,АшламаДВ_Gomumy,4,FALSE)))</f>
        <v>0</v>
      </c>
      <c r="CL268" s="70"/>
      <c r="CM268" s="70"/>
      <c r="CN268" s="70"/>
      <c r="CO268" s="70"/>
      <c r="CP268" s="70"/>
      <c r="CQ268" s="70"/>
      <c r="CR268" s="10">
        <f t="shared" si="313"/>
        <v>0</v>
      </c>
      <c r="CS268" s="10">
        <f t="shared" si="314"/>
        <v>19.23076923076923</v>
      </c>
      <c r="CT268" s="10">
        <f t="shared" si="315"/>
        <v>0</v>
      </c>
      <c r="CU268" s="39">
        <f>IF($CH268="Нет",0,IF(CI268=0,30/MIN(CJ268:CK268),IF(Исходн.данные.!$AG268=$BV$11,CR268,IF(OR(Исходн.данные.!$AH268=$BQ$7,Исходн.данные.!$AH268=$BQ$8),90/CI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0,IF(Исходн.данные.!$AI268=$BU$11,"Нет",30/CI268))))))</f>
        <v>250</v>
      </c>
      <c r="CV268" s="39">
        <f>IF($CH268="Нет",0,IF(Исходн.данные.!AH268=0,0,IF(CJ268=0,60/MIN(CI268,CK268),IF(Исходн.данные.!$AG268=$BV$11,CS268,IF(OR(Исходн.данные.!$AH268=$BQ$7,Исходн.данные.!$AH268=$BQ$8),90/CJ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10/CJ268,IF(Исходн.данные.!$AI268=$BU$11,"Нет",60/CJ268)))))))</f>
        <v>0</v>
      </c>
      <c r="CW268" s="39">
        <f>IF($CH268="Нет",0,IF(Исходн.данные.!AH268=0,0,IF(CK268=0,30/MIN(CI268:CJ268),IF(Исходн.данные.!$AG268=$BV$11,CT268,IF(OR(Исходн.данные.!$AH268=$BQ$7,Исходн.данные.!$AH268=$BQ$8),90/CK268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0,IF(Исходн.данные.!$AI268=$BU$11,"Нет",30/CK268)))))))</f>
        <v>0</v>
      </c>
      <c r="CX268" s="133">
        <f>IF(Исходн.данные.!$AG268=$BV$11,MAX(CU268:CW268),IF(OR(Исходн.данные.!$AH268=$BS$8,Исходн.данные.!$AH268=$BQ$9,Исходн.данные.!$AH268=$BQ$10,Исходн.данные.!$AH268=$BQ$11,Исходн.данные.!$AH268=$BQ$12,Исходн.данные.!$AH268=$BP$3,Исходн.данные.!$AH268=$BT$8,$FM268="Да"),CV268,MIN(CU268:CW268)))</f>
        <v>0</v>
      </c>
      <c r="CY268" s="133">
        <f>IF(Исходн.данные.!AH268=0,0,IF(CR268&gt;$CX268,$CX268,CR268))</f>
        <v>0</v>
      </c>
      <c r="CZ268" s="133">
        <f>IF(Исходн.данные.!AH268=0,0,IF(CS268&gt;$CX268,$CX268,CS268))</f>
        <v>0</v>
      </c>
      <c r="DA268" s="133">
        <f>IF(Исходн.данные.!AH268=0,0,IF(CT268&gt;$CX268,$CX268,CT268))</f>
        <v>0</v>
      </c>
      <c r="DB268" s="10">
        <f t="shared" si="316"/>
        <v>0</v>
      </c>
      <c r="DC268" s="39">
        <f>DB268*Исходн.данные.!AJ268/1000</f>
        <v>0</v>
      </c>
      <c r="DD268" s="71">
        <f t="shared" si="317"/>
        <v>0</v>
      </c>
      <c r="DE268" s="9">
        <f t="shared" si="318"/>
        <v>0</v>
      </c>
      <c r="DF268" s="9">
        <f t="shared" si="319"/>
        <v>0</v>
      </c>
      <c r="DG268" s="39">
        <f>IF(BL268&lt;0,0,IF($CH268="Нет",BL268,IF(OR(Исходн.данные.!$AH268=$BP$1,Исходн.данные.!$AH268=$BP$2),0,IF(Исходн.данные.!AI268=$BU$11,BL268,IF(BL268-DD268&lt;0,0,BL268-DD268)))))</f>
        <v>0</v>
      </c>
      <c r="DH268" s="39">
        <f>IF(BM268&lt;0,0,IF($CH268="Нет",BM268,IF(OR(Исходн.данные.!$AH268=$BP$1,Исходн.данные.!$AH268=$BP$2),0,IF(Исходн.данные.!AJ268=$BU$11,BM268,IF(BM268-DE268&lt;0,0,BM268-DE268)))))</f>
        <v>0</v>
      </c>
      <c r="DI268" s="39">
        <f>IF(BN268&lt;0,0,IF($CH268="Нет",BN268,IF(OR(Исходн.данные.!$AH268=$BP$1,Исходн.данные.!$AH268=$BP$2),0,IF(Исходн.данные.!AK268=$BU$11,BN268,IF(BN268-DF268&lt;0,0,BN268-DF268)))))</f>
        <v>0</v>
      </c>
      <c r="DJ268" s="12">
        <f t="shared" si="320"/>
        <v>0</v>
      </c>
      <c r="DK268" s="9">
        <f t="shared" si="321"/>
        <v>0</v>
      </c>
      <c r="DL268" s="39">
        <f>IF(Исходн.данные.!AM268&gt;0,Исходн.данные.!AM268,IF(EG268&gt;0,$BH$10,0))</f>
        <v>0</v>
      </c>
      <c r="DM268" s="186">
        <f>IF($DL268=0,0,IF(Исходн.данные.!AM268&gt;0,VLOOKUP($DL268,АшламаДВ_Irekle,2,FALSE),VLOOKUP($DL268,АшламаДВ_Gomumy,2,FALSE)))</f>
        <v>0</v>
      </c>
      <c r="DN268" s="10">
        <f t="shared" si="299"/>
        <v>0</v>
      </c>
      <c r="DO268" s="9" t="str">
        <f>IF(Исходн.данные.!AN268&gt;0,Исходн.данные.!AN268,Удобрения!$B$37 )</f>
        <v>Хлор.калий</v>
      </c>
      <c r="DP268" s="9">
        <f>IF(Исходн.данные.!AN268&gt;0,VLOOKUP(Исходн.данные.!AN268,АшламаДВ_Irekle,4,FALSE),VLOOKUP(DO268,АшламаДВ_Gomumy,4,FALSE))</f>
        <v>0.6</v>
      </c>
      <c r="DQ268" s="10">
        <f t="shared" si="300"/>
        <v>0</v>
      </c>
      <c r="DR268" s="132" t="str">
        <f>IF(Исходн.данные.!AO268&gt;0,Исходн.данные.!AO268,IF(DH268=0,BS$17,IF(AND($DK268=0,$DJ268&gt;0),EJ268,EN268)))</f>
        <v>Нет</v>
      </c>
      <c r="DS268" s="70" t="str">
        <f>IF($DR268="Нет","Нет",IF(Исходн.данные.!$AO268&gt;0,VLOOKUP($DR268,АшламаДВ_Irekle,2,FALSE),VLOOKUP($DR268,АшламаДВ_Gomumy,2,FALSE)))</f>
        <v>Нет</v>
      </c>
      <c r="DT268" s="70" t="str">
        <f>IF($DR268="Нет","Нет",IF(Исходн.данные.!$AO268&gt;0,VLOOKUP($DR268,АшламаДВ_Irekle,3,FALSE),VLOOKUP($DR268,АшламаДВ_Gomumy,3,FALSE)))</f>
        <v>Нет</v>
      </c>
      <c r="DU268" s="70" t="str">
        <f>IF($DR268="Нет","Нет",IF(Исходн.данные.!$AO268&gt;0,VLOOKUP($DR268,АшламаДВ_Irekle,4,FALSE),VLOOKUP($DR268,АшламаДВ_Gomumy,4,FALSE)))</f>
        <v>Нет</v>
      </c>
      <c r="DV268" s="70"/>
      <c r="DW268" s="70"/>
      <c r="DX268" s="70"/>
      <c r="DY268" s="10">
        <f t="shared" si="322"/>
        <v>0</v>
      </c>
      <c r="DZ268" s="10">
        <f t="shared" si="323"/>
        <v>0</v>
      </c>
      <c r="EA268" s="10">
        <f t="shared" si="324"/>
        <v>0</v>
      </c>
      <c r="EB268" s="10">
        <f t="shared" si="325"/>
        <v>0</v>
      </c>
      <c r="EC268" s="10">
        <f t="shared" si="326"/>
        <v>0</v>
      </c>
      <c r="ED268" s="10">
        <f t="shared" si="327"/>
        <v>0</v>
      </c>
      <c r="EE268" s="10">
        <f t="shared" si="328"/>
        <v>0</v>
      </c>
      <c r="EF268" s="39">
        <f>EB268*Исходн.данные.!AJ268/1000</f>
        <v>0</v>
      </c>
      <c r="EG268" s="9">
        <f t="shared" si="329"/>
        <v>0</v>
      </c>
      <c r="EH268" s="9">
        <f t="shared" si="330"/>
        <v>0</v>
      </c>
      <c r="EI268" s="39" t="e">
        <f t="shared" si="280"/>
        <v>#DIV/0!</v>
      </c>
      <c r="EJ268" s="9" t="str">
        <f t="shared" si="301"/>
        <v>Азопреципитат</v>
      </c>
      <c r="EK268" s="12">
        <f t="shared" si="281"/>
        <v>0.26</v>
      </c>
      <c r="EL268" s="12">
        <f t="shared" si="282"/>
        <v>0.13</v>
      </c>
      <c r="EM268" s="12">
        <f t="shared" si="283"/>
        <v>0</v>
      </c>
      <c r="EN268" s="12" t="str">
        <f t="shared" si="302"/>
        <v>Нет</v>
      </c>
      <c r="EO268" s="12">
        <f t="shared" si="284"/>
        <v>0</v>
      </c>
      <c r="EP268" s="12">
        <f t="shared" si="285"/>
        <v>0</v>
      </c>
      <c r="EQ268" s="12">
        <f t="shared" si="286"/>
        <v>0</v>
      </c>
      <c r="ER268" s="12" t="str">
        <f t="shared" si="331"/>
        <v>Диаммофоска</v>
      </c>
      <c r="ES268" s="12">
        <f t="shared" si="287"/>
        <v>0.1</v>
      </c>
      <c r="ET268" s="12">
        <f t="shared" si="288"/>
        <v>0.26</v>
      </c>
      <c r="EU268" s="12">
        <f t="shared" si="289"/>
        <v>0.26</v>
      </c>
      <c r="EV268" s="12" t="str">
        <f t="shared" si="332"/>
        <v>Аммофос 12:52:00</v>
      </c>
      <c r="EW268" s="12" t="str">
        <f t="shared" si="333"/>
        <v>Кемира Свекловичное-6</v>
      </c>
      <c r="EX268" s="12">
        <f t="shared" si="290"/>
        <v>0.16</v>
      </c>
      <c r="EY268" s="12">
        <f t="shared" si="291"/>
        <v>0.12</v>
      </c>
      <c r="EZ268" s="12">
        <f t="shared" si="292"/>
        <v>0.17</v>
      </c>
      <c r="FA268" s="38" t="e">
        <f>IF(AND(OR(FJ268=$FD$1,FM268=$FD$1,FO268=$FD$1,FQ268=$FD$1,FS268=$FD$1),FD268=$FD$1,Исходн.данные.!J268&lt;2,FU268=$FD$1),"Бор,Кобальт",IF(AND(FO268=$FD$1,FH268=$FD$1,Исходн.данные.!J268&lt;2,FU268=$FD$1),"Бор,Кобальт",IF(AND(OR(FJ268=$FD$1,FM268=$FD$1,FQ268=$FD$1),FE268=$FD$1,Исходн.данные.!J268&lt;2,FT268=$FD$1,FU268=$FD$1),"Бор,Медь,Цинк",IF(AND(OR(FJ268=$FD$1,FR268="Да"),FI268="Да",Исходн.данные.!J268&lt;2,FT268="Да",FU268="Да"),"Бор,Цинк,Медь",IF(AND(OR(FM268="Да",FQ268="Да"),FI268="Да",Исходн.данные.!J268&lt;2,FT268="Да",FU268="Да"),"Бор,Цинк",IF(AND(FN268="Да",OR(FD268="Да",FE268="Да")),"Бор",FB268))))))</f>
        <v>#N/A</v>
      </c>
      <c r="FB268" s="134" t="e">
        <f>IF(AND(OR(FD268="Да",FE268="Да",FF268="Да",FG268="Да",FH268="Да"),FO268="Да"),"Бор",IF(AND(FP268="Да",OR(FD268="Да",FE268="Да",FI268="Да")),"Бор",IF(AND(FS268="Да",FE268="Да"),"Бор,Медь",IF(AND(OR(FJ268="Да",FK268="Да",FL268="Да"),FE268="Да",Исходн.данные.!I268&lt;5,FT268="Да",FU268="Да"),"Молибден,Цинк",IF(AND(FM268="Да",OR(FE268="Да",FF268="Да",FG268="Да",FH268="Да",FI268="Да")),"Молибден,Цинк",IF(AND(OR(FJ268="Да",FK268="Да",FL268="Да",FM268="Да",FQ268="Да"),OR(FE268="Да",FF268="Да"),FT268="Да",FU268="Да",Исходн.данные.!I268&gt;5.5),"Медь,Цинк",FC268))))))</f>
        <v>#N/A</v>
      </c>
      <c r="FC268" s="23" t="e">
        <f t="shared" si="334"/>
        <v>#N/A</v>
      </c>
      <c r="FD268" s="38" t="str">
        <f>IF(OR(Исходн.данные.!F268=$CC$1,Исходн.данные.!F268=$CC$2,Исходн.данные.!F268=$CC$3,Исходн.данные.!F268=$CC$4),"Да","Нет")</f>
        <v>Нет</v>
      </c>
      <c r="FE268" s="38" t="str">
        <f>IF(Исходн.данные.!F268=$CC$5,"Да","Нет")</f>
        <v>Нет</v>
      </c>
      <c r="FF268" s="38" t="str">
        <f>IF(OR(Исходн.данные.!F268=$CC$6,Исходн.данные.!F268=$CC$7),"Да","Нет")</f>
        <v>Нет</v>
      </c>
      <c r="FG268" s="38" t="str">
        <f>IF(OR(Исходн.данные.!F268=$CC$8,Исходн.данные.!F268=$CC$9),"Да","Нет")</f>
        <v>Нет</v>
      </c>
      <c r="FH268" s="38" t="str">
        <f>IF(Исходн.данные.!F268=$CC$10,"Да","Нет")</f>
        <v>Нет</v>
      </c>
      <c r="FI268" s="38" t="str">
        <f>IF(OR(Исходн.данные.!F268=$CC$11,Исходн.данные.!F268=$CC$12),"Да","Нет")</f>
        <v>Нет</v>
      </c>
      <c r="FJ268" s="38" t="str">
        <f>IF(OR(Исходн.данные.!AH268=$BS$1,Исходн.данные.!AH268=$BQ$11,Исходн.данные.!AH268=$BQ$12),"Да","Нет")</f>
        <v>Нет</v>
      </c>
      <c r="FK268" s="38" t="str">
        <f>IF(OR(Исходн.данные.!AH268=$BS$2,Исходн.данные.!AH268=$BS$4),"Да","Нет")</f>
        <v>Нет</v>
      </c>
      <c r="FL268" s="38" t="str">
        <f>IF(OR(Исходн.данные.!AH268=$BS$3,Исходн.данные.!AH268=$BS$5),"Да","Нет")</f>
        <v>Нет</v>
      </c>
      <c r="FM268" s="38" t="str">
        <f>IF(OR(Исходн.данные.!AH268=$BS$9,Исходн.данные.!AH268=$BS$10,Исходн.данные.!AH268=$BS$11,Исходн.данные.!AH268=$BS$12),"Да","Нет")</f>
        <v>Нет</v>
      </c>
      <c r="FN268" s="38" t="str">
        <f>IF(OR(Исходн.данные.!AH268=$BS$6,Исходн.данные.!AH268=$BP$3),"Да","Нет")</f>
        <v>Нет</v>
      </c>
      <c r="FO268" s="38" t="str">
        <f>IF(Исходн.данные.!AH268=$BQ$9,"Да","Нет")</f>
        <v>Нет</v>
      </c>
      <c r="FP268" s="38" t="str">
        <f>IF(OR(Исходн.данные.!AH268=$BS$8,Исходн.данные.!AH268=$BT$8),"Да","Нет")</f>
        <v>Нет</v>
      </c>
      <c r="FQ268" s="38" t="str">
        <f>IF(OR(Исходн.данные.!AH268=$BQ$7,Исходн.данные.!AH268=$BQ$8),"Да","Нет")</f>
        <v>Нет</v>
      </c>
      <c r="FR268" s="38" t="str">
        <f>IF(Исходн.данные.!AI268=$BU$9,"Да","Нет")</f>
        <v>Нет</v>
      </c>
      <c r="FS268" s="38" t="str">
        <f>IF(OR(Исходн.данные.!AH268=$BP$1,Исходн.данные.!AH268=$BP$2),"Да","Нет")</f>
        <v>Нет</v>
      </c>
      <c r="FT268" s="38" t="e">
        <f>IF((Исходн.данные.!K268*GO268*GS268*GW268+BL268*0.6+Исходн.данные.!Q268*4.5*0.275)&gt;90,"Да","Нет")</f>
        <v>#N/A</v>
      </c>
      <c r="FU268" s="38" t="e">
        <f>IF((Исходн.данные.!M268*GS268*GZ268+BM268*0.225)&gt;35,"Да","Нет")</f>
        <v>#N/A</v>
      </c>
      <c r="FV268" s="38" t="str">
        <f>IF(Исходн.данные.!O268&gt;175,"Да","Нет")</f>
        <v>Нет</v>
      </c>
      <c r="FW268" s="39" t="str">
        <f>IF(Исходн.данные.!I268&gt;5.5,"Да","Нет")</f>
        <v>Нет</v>
      </c>
      <c r="FX268" s="39" t="str">
        <f>IF(Исходн.данные.!J268&lt;2,"Да","Нет")</f>
        <v>Да</v>
      </c>
      <c r="FY268" s="39" t="e">
        <f>IF(HF268=$FY$16,0,Исходн.данные.!K268*GO268*GS268*GW268/HF268)</f>
        <v>#N/A</v>
      </c>
      <c r="FZ268" s="39" t="e">
        <f>Исходн.данные.!M268*GS268*GZ268/HG268</f>
        <v>#N/A</v>
      </c>
      <c r="GA268" s="39" t="e">
        <f>IF(K_Wyn=$FY$16,0,IF(Исходн.данные.!N268=Исходн.данные.!$L$10,Исходн.данные.!O268/1.1*GS268*HC268/HH268,IF(Исходн.данные.!N268=Исходн.данные.!$L$12,Исходн.данные.!O268/1.5*GS268*HC268/HH268,Исходн.данные.!O268*GS268*HC268/HH268)))</f>
        <v>#N/A</v>
      </c>
      <c r="GB268" s="39" t="e">
        <f>IF(HF268=$FY$16,0,((Исходн.данные.!Q268*N_Org+Исходн.данные.!R268*N_Sider+Исходн.данные.!S268*N_Soloma)*AO268+Расчет!BC268*VLOOKUP(Исходн.данные.!T268,Справ!$A$3:$O$57,15)*AO268+BB268*VLOOKUP(Исходн.данные.!T268,Справ!$A$3:$O$57,15)*AL268+(Исходн.данные.!V268*N_Rizotorf+Исходн.данные.!W268*N_Rizoagr))/HF268)</f>
        <v>#N/A</v>
      </c>
      <c r="GC268" s="39" t="e">
        <f>IF(HG268=$FY$16,0,((Исходн.данные.!Q268*Р_Org+Исходн.данные.!R268*P_Sider+Исходн.данные.!S268*P_Soloma)*AP268+Расчет!BC268*VLOOKUP(Исходн.данные.!T268,Справ!$A$3:$P$57,16)*AP268+BB268*VLOOKUP(Исходн.данные.!T268,Справ!$A$3:$P$57,16)*AM268)/HG268)</f>
        <v>#N/A</v>
      </c>
      <c r="GD268" s="39" t="e">
        <f>IF(HH268=$FY$16,0,((Исходн.данные.!Q268*К_Org+Исходн.данные.!R268*K_Sider+Исходн.данные.!S268*K_Soloma)*AQ268+Расчет!BC268*VLOOKUP(Исходн.данные.!T268,Справ!$A$3:$Q$57,17)*AQ268+BB268*VLOOKUP(Исходн.данные.!T268,Справ!$A$3:$Q$57,17)*AN268)/HH268)</f>
        <v>#N/A</v>
      </c>
      <c r="GE268" s="39" t="e">
        <f>IF(HF268=$FY$16,0,(Исходн.данные.!X268*AR268+Исходн.данные.!AA268*N_Org*AL268+Исходн.данные.!AB268*N_Sider*AL268+Исходн.данные.!AC268*N_Soloma*AL268)/HF268)</f>
        <v>#N/A</v>
      </c>
      <c r="GF268" s="39" t="e">
        <f>IF(HG268=$FY$16,0,(Исходн.данные.!Y268*AS268+Исходн.данные.!AA268*Р_Org*AM268+Исходн.данные.!AB268*P_Sider*AM268+Исходн.данные.!AC268*P_Soloma*AM268)/HG268)</f>
        <v>#N/A</v>
      </c>
      <c r="GG268" s="39" t="e">
        <f>IF(HH268=$FY$16,0,(Исходн.данные.!Z268*AT268+Исходн.данные.!AA268*К_Org*AN268+Исходн.данные.!AB268*K_Sider*AN268+Исходн.данные.!AC268*K_Soloma*AN268)/HH268)</f>
        <v>#N/A</v>
      </c>
      <c r="GH268" s="39" t="e">
        <f>Исходн.данные.!AD268*AU268/HF268</f>
        <v>#N/A</v>
      </c>
      <c r="GI268" s="39" t="e">
        <f>Исходн.данные.!AE268*AV268/HG268</f>
        <v>#N/A</v>
      </c>
      <c r="GJ268" s="39" t="e">
        <f>Исходн.данные.!AF268*AW268/HH268</f>
        <v>#N/A</v>
      </c>
      <c r="GK268" s="55">
        <f>Исходн.данные.!AK268</f>
        <v>0</v>
      </c>
      <c r="GL268" s="11" t="e">
        <f t="shared" si="335"/>
        <v>#N/A</v>
      </c>
      <c r="GM268" s="11" t="e">
        <f t="shared" si="336"/>
        <v>#N/A</v>
      </c>
      <c r="GN268" s="11" t="e">
        <f t="shared" si="337"/>
        <v>#N/A</v>
      </c>
      <c r="GO268" s="57">
        <f t="shared" si="338"/>
        <v>19</v>
      </c>
      <c r="GP268" s="55">
        <f>IF(OR(Исходн.данные.!F268=$CE$1,Исходн.данные.!F268=$CE$2,Исходн.данные.!F268=$CE$3,Исходн.данные.!F268=$CE$4,Исходн.данные.!F268=$CE$5),GQ268,GR268)</f>
        <v>19</v>
      </c>
      <c r="GQ268" s="55">
        <f>IF(Исходн.данные.!F268=$CE$1,28,IF(Исходн.данные.!F268=$CE$2,26,IF(Исходн.данные.!F268=$CE$3,24,IF(Исходн.данные.!F268=$CE$4,22,IF(Исходн.данные.!F268=$CE$5,20,GR268)))))</f>
        <v>19</v>
      </c>
      <c r="GR268" s="55">
        <f>IF(Исходн.данные.!F268=$CE$6,18,IF(Исходн.данные.!F268=$CE$7,16,IF(Исходн.данные.!F268=$CE$8,14,IF(Исходн.данные.!F268=$CE$9,13,IF(Исходн.данные.!F268=$CE$10,12,19)))))</f>
        <v>19</v>
      </c>
      <c r="GS268" s="55">
        <f>IF(Исходн.данные.!G268="Пес",0.035*(40+2*Исходн.данные.!H268),IF(Исходн.данные.!G268="Суп",0.0325*(40+2*Исходн.данные.!H268),0.03*(40+2*Исходн.данные.!H268)))</f>
        <v>1.2</v>
      </c>
      <c r="GT268" s="55">
        <f>IF(Исходн.данные.!H268&lt;23,2.6,IF(AND(Исходн.данные.!H268&gt;22,Исходн.данные.!H268&lt;26),3,IF(AND(Исходн.данные.!H268&gt;25,Исходн.данные.!H268&lt;29),3.4,3.6)))</f>
        <v>2.6</v>
      </c>
      <c r="GU268" s="55">
        <f>IF(Исходн.данные.!H268&lt;23,2.8,IF(AND(Исходн.данные.!H268&gt;22,Исходн.данные.!H268&lt;26),3.2,IF(AND(Исходн.данные.!H268&gt;25,Исходн.данные.!H268&lt;29),3.6,3.9)))</f>
        <v>2.8</v>
      </c>
      <c r="GV268" s="55">
        <f>IF(Исходн.данные.!H268&lt;23,3,IF(AND(Исходн.данные.!H268&gt;22,Исходн.данные.!H268&lt;26),3.5,IF(AND(Исходн.данные.!H268&gt;25,Исходн.данные.!H268&lt;29),3.9,4.2)))</f>
        <v>3</v>
      </c>
      <c r="GW268" s="55" t="e">
        <f>IF(Исходн.данные.!P268="Ум",GX268,GY268)</f>
        <v>#N/A</v>
      </c>
      <c r="GX268" s="55" t="e">
        <f>VLOOKUP(Исходн.данные.!AI268,Коэффициенты!$J$7:$L$13,2,FALSE)</f>
        <v>#N/A</v>
      </c>
      <c r="GY268" s="55" t="e">
        <f>VLOOKUP(Исходн.данные.!AI268,Коэффициенты!$J$7:$L$13,3,FALSE)</f>
        <v>#N/A</v>
      </c>
      <c r="GZ268" s="55" t="e">
        <f>(IF(Исходн.данные.!M268&lt;50,0.11*VLOOKUP(Исходн.данные.!AH268,Культуры.Информация,7,FALSE),IF(Исходн.данные.!M268&gt;250,0.05*VLOOKUP(Исходн.данные.!AH268,Культуры.Информация,7,FALSE),VLOOKUP(Исходн.данные.!AH268,Культуры.Информация,5,FALSE)/100*($GX$6+$GY$6*Исходн.данные.!M268))))*Расчет2!AI268</f>
        <v>#N/A</v>
      </c>
      <c r="HA268" s="211"/>
      <c r="HB268" s="211"/>
      <c r="HC268" s="55" t="e">
        <f>(IF(Исходн.данные.!O268&lt;80,0.2*VLOOKUP(Исходн.данные.!AH268,Культуры.Информация,8,FALSE),IF(Исходн.данные.!O268&gt;240,0.09*VLOOKUP(Исходн.данные.!AH268,Культуры.Информация,8,FALSE),VLOOKUP(Исходн.данные.!AH268,Культуры.Информация,6,FALSE)/100*($HB$6+$HC$6*Исходн.данные.!O268))))*Расчет2!AJ268</f>
        <v>#N/A</v>
      </c>
      <c r="HD268" s="55">
        <f>IF(Исходн.данные.!O268&gt;240,0.09,IF(Исходн.данные.!O268&lt;30,0.3,$HE$10+$HD$10*Исходн.данные.!O268))</f>
        <v>0.3</v>
      </c>
      <c r="HE268" s="55">
        <f>IF(Исходн.данные.!O268&gt;240,0.17,IF(Исходн.данные.!O268&lt;30,0.5,$HF$12+$HE$12*Исходн.данные.!O268))</f>
        <v>0.5</v>
      </c>
      <c r="HF268" s="55" t="e">
        <f>VLOOKUP(Исходн.данные.!AH268,Справ!$A$3:$D$58,2,FALSE)</f>
        <v>#N/A</v>
      </c>
      <c r="HG268" s="55" t="e">
        <f>VLOOKUP(Исходн.данные.!AH268,Справ!$A$3:$D$58,3,FALSE)</f>
        <v>#N/A</v>
      </c>
      <c r="HH268" s="55" t="e">
        <f>VLOOKUP(Исходн.данные.!AH268,Справ!$A$3:$D$58,4,FALSE)</f>
        <v>#N/A</v>
      </c>
      <c r="HI268" s="11" t="e">
        <f t="shared" si="339"/>
        <v>#N/A</v>
      </c>
      <c r="HJ268" s="11" t="e">
        <f t="shared" si="340"/>
        <v>#N/A</v>
      </c>
      <c r="HK268" s="11" t="e">
        <f t="shared" si="341"/>
        <v>#N/A</v>
      </c>
      <c r="HL268" s="55">
        <f>IF(OR(Исходн.данные.!G268="Глин",Исходн.данные.!G268="Т_суг"),1.1,IF(Исходн.данные.!G268="Ср_суг",1,1))</f>
        <v>1</v>
      </c>
      <c r="HM268" s="55">
        <f>IF(OR(Исходн.данные.!G268="Глин",Исходн.данные.!G268="Т_суг"),0.9,IF(Исходн.данные.!G268="Ср_суг",1,1.2))</f>
        <v>1.2</v>
      </c>
      <c r="HN268" s="11" t="e">
        <f t="shared" si="342"/>
        <v>#N/A</v>
      </c>
      <c r="HO268" s="11" t="e">
        <f t="shared" si="343"/>
        <v>#N/A</v>
      </c>
      <c r="HP268" s="11" t="e">
        <f t="shared" si="344"/>
        <v>#N/A</v>
      </c>
      <c r="HQ268" t="e">
        <f t="shared" si="345"/>
        <v>#N/A</v>
      </c>
      <c r="HR268" t="e">
        <f t="shared" si="346"/>
        <v>#N/A</v>
      </c>
      <c r="HS268" t="e">
        <f t="shared" si="347"/>
        <v>#N/A</v>
      </c>
      <c r="HT268" t="e">
        <f t="shared" si="293"/>
        <v>#N/A</v>
      </c>
      <c r="HU268" t="e">
        <f t="shared" si="294"/>
        <v>#N/A</v>
      </c>
      <c r="HV268" t="e">
        <f t="shared" si="295"/>
        <v>#N/A</v>
      </c>
      <c r="HW268" t="e">
        <f t="shared" si="296"/>
        <v>#N/A</v>
      </c>
      <c r="HX268" t="e">
        <f t="shared" si="297"/>
        <v>#N/A</v>
      </c>
      <c r="HY268" t="e">
        <f t="shared" si="298"/>
        <v>#N/A</v>
      </c>
      <c r="HZ268" s="55">
        <f>IF(OR(Исходн.данные.!AI268="Оз_Ч_П",Исходн.данные.!AI268="Оз_З_П",Исходн.данные.!AI268="Яр_зер"),12,30)</f>
        <v>30</v>
      </c>
      <c r="IA268" t="e">
        <f t="shared" si="348"/>
        <v>#N/A</v>
      </c>
      <c r="IB268" t="e">
        <f t="shared" si="349"/>
        <v>#N/A</v>
      </c>
      <c r="IC268" t="e">
        <f t="shared" si="350"/>
        <v>#N/A</v>
      </c>
      <c r="ID268" s="11" t="e">
        <f t="shared" si="351"/>
        <v>#N/A</v>
      </c>
      <c r="IE268" s="11" t="e">
        <f t="shared" si="352"/>
        <v>#N/A</v>
      </c>
      <c r="IF268" s="11" t="e">
        <f t="shared" si="353"/>
        <v>#N/A</v>
      </c>
    </row>
    <row r="269" spans="35:240" x14ac:dyDescent="0.2">
      <c r="AI269">
        <f>IF(Исходн.данные.!I269&gt;6,1,1.85-(0.148*Исходн.данные.!I269))</f>
        <v>1.85</v>
      </c>
      <c r="AJ269">
        <f>IF(Исходн.данные.!I269&gt;6,1,2.434-(0.246*Исходн.данные.!I269))</f>
        <v>2.4340000000000002</v>
      </c>
      <c r="AL269" s="148" t="b">
        <f>IF(Исходн.данные.!$P269="Ум",N_OrgUd_2g_um,IF(Исходн.данные.!$P269="Об",N_OrgUd_2g_ob))</f>
        <v>0</v>
      </c>
      <c r="AM269" s="148" t="b">
        <f>IF(Исходн.данные.!$P269="Ум",P_OrgUd_2g_um,IF(Исходн.данные.!$P269="Об",P_OrgUd_2g_ob))</f>
        <v>0</v>
      </c>
      <c r="AN269" s="148" t="b">
        <f>IF(Исходн.данные.!$P269="Ум",K_OrgUd_2g_um,IF(Исходн.данные.!$P269="Об",K_OrgUd_2g_ob))</f>
        <v>0</v>
      </c>
      <c r="AO269" s="148" t="b">
        <f>IF(Исходн.данные.!$P269="Ум",N_OrgUd_1g_um,IF(Исходн.данные.!$P269="Об",N_OrgUd_1g_ob))</f>
        <v>0</v>
      </c>
      <c r="AP269" s="148" t="b">
        <f>IF(Исходн.данные.!$P269="Ум",P_OrgUd_1g_um,IF(Исходн.данные.!$P269="Об",P_OrgUd_1g_ob))</f>
        <v>0</v>
      </c>
      <c r="AQ269" s="148" t="b">
        <f>IF(Исходн.данные.!$P269="Ум",K_OrgUd_1g_um,IF(Исходн.данные.!$P269="Об",K_OrgUd_1g_ob))</f>
        <v>0</v>
      </c>
      <c r="AR269" t="b">
        <f>IF(Исходн.данные.!$P269="Ум",N_MinUd_2g_um,IF(Исходн.данные.!$P269="Об",N_MinUd_2g_ob))</f>
        <v>0</v>
      </c>
      <c r="AS269" t="b">
        <f>IF(Исходн.данные.!$P269="Ум",P_MinUd_2g_um,IF(Исходн.данные.!$P269="Об",P_MinUd_2g_ob))</f>
        <v>0</v>
      </c>
      <c r="AT269" t="b">
        <f>IF(Исходн.данные.!$P269="Ум",K_MinUd_2g_um,IF(Исходн.данные.!$P269="Об",K_MinUd_2g_ob))</f>
        <v>0</v>
      </c>
      <c r="AU269" t="b">
        <f>IF(Исходн.данные.!$P269="Ум",N_MinUd_1g_um,IF(Исходн.данные.!$P269="Об",N_MinUd_1g_ob))</f>
        <v>0</v>
      </c>
      <c r="AV269" t="b">
        <f>IF(Исходн.данные.!P269="Ум",P_MinUd_1g_um,IF(Исходн.данные.!P269="Об",P_MinUd_1g_ob))</f>
        <v>0</v>
      </c>
      <c r="AW269" t="b">
        <f>IF(Исходн.данные.!P269="Ум",K_MinUd_1g_um,IF(Исходн.данные.!P269="Об",K_MinUd_1g_ob))</f>
        <v>0</v>
      </c>
      <c r="AY269" t="e">
        <f>VLOOKUP(Исходн.данные.!T269,Справ!$A$3:$N$57,12)</f>
        <v>#N/A</v>
      </c>
      <c r="AZ269" t="e">
        <f>VLOOKUP(Исходн.данные.!T269,Справ!$A$3:$N$57,13)</f>
        <v>#N/A</v>
      </c>
      <c r="BA269" t="e">
        <f>VLOOKUP(Исходн.данные.!T269,Справ!$A$3:$N$57,14)</f>
        <v>#N/A</v>
      </c>
      <c r="BB269">
        <f>IF(Исходн.данные.!AH269=0,0,25)</f>
        <v>0</v>
      </c>
      <c r="BC269" s="141">
        <f>IF(Исходн.данные.!AH269=0,0,IF(Исходн.данные.!T269=0,25,BD269))</f>
        <v>0</v>
      </c>
      <c r="BD269" s="168" t="e">
        <f>AY269+AZ269*Исходн.данные.!U269-POWER(BA269,2)*Исходн.данные.!U269</f>
        <v>#N/A</v>
      </c>
      <c r="BE26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69" s="25">
        <f>IF(Исходн.данные.!AH269=0,0,MIN(HN269:HP269))</f>
        <v>0</v>
      </c>
      <c r="BG269" s="9">
        <f>IF(Исходн.данные.!AH269=0,0,IF((HO269+10*0.25/HG269/HL269)&lt;17,17,HO269+10*0.25/HG269/HL269))</f>
        <v>0</v>
      </c>
      <c r="BH269" s="181">
        <f>IF(Исходн.данные.!AH269=0,0,HW269*HF269*HL269/AU269*AI269+Исходн.данные.!S269*10)</f>
        <v>0</v>
      </c>
      <c r="BI269" s="10"/>
      <c r="BJ269" s="182">
        <f>IF(Исходн.данные.!AH269=0,0,IF(HX269*HG269*HL269/AV269&lt;0,0,HX269*HG269*HL269/AV269*AJ269))</f>
        <v>0</v>
      </c>
      <c r="BK269" s="182">
        <f>IF(Исходн.данные.!AH269=0,0,HY269*HH269*HM269/AW269)</f>
        <v>0</v>
      </c>
      <c r="BL269" s="10">
        <f>IF(OR(Исходн.данные.!$AH269=$BP$1,Исходн.данные.!$AH269=$BP$2),0,IF(BH269&lt;0,0,IF(OR(Исходн.данные.!T269=Расчет!$BP$1,Исходн.данные.!T269=Расчет!$BP$2,Исходн.данные.!T269=Расчет!$BT$5,Исходн.данные.!T269=Расчет!$BT$6),BH269*0.5,IF(OR(Исходн.данные.!T269=Расчет!$BS$9,Исходн.данные.!T269=Расчет!$BS$10,Исходн.данные.!T269=Расчет!$BS$11,Исходн.данные.!T269=Расчет!$BS$12,Исходн.данные.!T269=Расчет!$BP$5),BH269*0.8,BH269))))</f>
        <v>0</v>
      </c>
      <c r="BM269" s="10">
        <f>IF(OR(Исходн.данные.!$AH269=$BP$1,Исходн.данные.!$AH269=$BP$2),0,IF(BJ269&lt;0,0,IF(Исходн.данные.!I269&lt;4.5,BJ269*1.2,IF(Исходн.данные.!I269&gt;5.1,BJ269,BJ269*((5.1-Исходн.данные.!I269)*0.333+1)))))</f>
        <v>0</v>
      </c>
      <c r="BN269" s="10">
        <f>IF(OR(Исходн.данные.!$AH269=$BP$1,Исходн.данные.!$AH269=$BP$2),60-Исходн.данные.!AF269,IF(BK269&lt;0,0,IF(Исходн.данные.!I269&lt;4.5,BK269*1.2,IF(Исходн.данные.!I269&gt;5.1,BK269,BK269*((5.1-Исходн.данные.!I269)*0.333+1)))))</f>
        <v>0</v>
      </c>
      <c r="BO269" s="9">
        <f>IF(BL269&lt;0,0,BL269*Исходн.данные.!$AJ269/1000)</f>
        <v>0</v>
      </c>
      <c r="BP269" s="9">
        <f>IF(BM269&lt;0,0,BM269*Исходн.данные.!$AJ269/1000)</f>
        <v>0</v>
      </c>
      <c r="BQ269" s="9">
        <f>IF(BN269&lt;0,0,BN269*Исходн.данные.!$AJ269/1000)</f>
        <v>0</v>
      </c>
      <c r="BR269" s="9">
        <f t="shared" si="303"/>
        <v>0</v>
      </c>
      <c r="BS269" s="10" t="str">
        <f t="shared" si="304"/>
        <v>Аммофос 12:52:00</v>
      </c>
      <c r="BT269" s="10" t="str">
        <f t="shared" si="305"/>
        <v>Аммофос 12:52:00</v>
      </c>
      <c r="BU269" s="10" t="str">
        <f t="shared" si="306"/>
        <v>Диаммофоска</v>
      </c>
      <c r="BV269" s="10">
        <f t="shared" si="307"/>
        <v>0</v>
      </c>
      <c r="BW269" s="10"/>
      <c r="BX269" s="10"/>
      <c r="BY269" s="9">
        <f>IF(BL269&lt;0,0,IF(OR(Исходн.данные.!AI269=Расчет!$BU$6,Исходн.данные.!AI269=Расчет!$BU$7),Расчет!BV269,IF(Исходн.данные.!$AG269=$BV$11,BL269,IF(OR(Исходн.данные.!$AH269=$BQ$7,Исходн.данные.!$AH269=$BQ$8),CB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0,IF(Исходн.данные.!$AI269=$BU$11,"Нет",IF(BL269&gt;30,30,BL269)))))))</f>
        <v>0</v>
      </c>
      <c r="BZ269" s="9">
        <f>IF(AND(Исходн.данные.!$AG269=$BV$11,BM269&lt;10),10,IF(Исходн.данные.!$AG269=$BV$11,BM269,IF(OR(Исходн.данные.!$AH269=$BQ$7,Исходн.данные.!$AH269=$BQ$8),CC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10,IF(Исходн.данные.!$AI269=$BU$11,"Нет",IF(BM269&gt;60,60,IF(BM269&lt;10,10,BM269)))))))</f>
        <v>10</v>
      </c>
      <c r="CA269" s="39">
        <f>IF(BN269&lt;0,0,IF(Исходн.данные.!$AG269=$BV$11,BN269,IF(OR(Исходн.данные.!$AH269=$BQ$7,Исходн.данные.!$AH269=$BQ$8),CD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0,IF(Исходн.данные.!$AI269=$BU$11,"Нет",IF(BN269&gt;30,30,BN269))))))</f>
        <v>0</v>
      </c>
      <c r="CB269" s="9">
        <f t="shared" si="308"/>
        <v>0</v>
      </c>
      <c r="CC269" s="9">
        <f t="shared" si="309"/>
        <v>0</v>
      </c>
      <c r="CD269" s="9">
        <f t="shared" si="310"/>
        <v>0</v>
      </c>
      <c r="CE269" s="12">
        <f t="shared" si="311"/>
        <v>10</v>
      </c>
      <c r="CF269" s="9">
        <f t="shared" si="312"/>
        <v>0</v>
      </c>
      <c r="CG269" s="9" t="s">
        <v>231</v>
      </c>
      <c r="CH269" s="132" t="str">
        <f>IF(Исходн.данные.!AP269=Расчет!$CI$16,"Нет",IF(Исходн.данные.!AL269&gt;0,Исходн.данные.!AL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BH$4,IF(OR(Исходн.данные.!AI269=Исходн.данные.!$AI$6,Исходн.данные.!AI269=Исходн.данные.!$AI$7),Расчет!BS269,IF(AND($CF269=0,$CE269&gt;0),EV269,ER269)))))</f>
        <v>Аммофос 12:52:00</v>
      </c>
      <c r="CI269" s="274">
        <f>IF(Расчет!$CH269="Нет","Нет",IF(Исходн.данные.!$AL269&gt;0,VLOOKUP(Расчет!$CH269,АшламаДВ_Irekle,2,FALSE),VLOOKUP(Расчет!$CH269,АшламаДВ_Gomumy,2,FALSE)))</f>
        <v>0.12</v>
      </c>
      <c r="CJ269" s="274">
        <f>IF(Расчет!$CH269="Нет","Нет",IF(Исходн.данные.!$AL269&gt;0,VLOOKUP(Расчет!$CH269,АшламаДВ_Irekle,3,FALSE),VLOOKUP(Расчет!$CH269,АшламаДВ_Gomumy,3,FALSE)))</f>
        <v>0.52</v>
      </c>
      <c r="CK269" s="274">
        <f>IF(Расчет!$CH269="Нет","Нет",IF(Исходн.данные.!$AL269&gt;0,VLOOKUP(Расчет!$CH269,АшламаДВ_Irekle,4,FALSE),VLOOKUP(Расчет!$CH269,АшламаДВ_Gomumy,4,FALSE)))</f>
        <v>0</v>
      </c>
      <c r="CL269" s="70"/>
      <c r="CM269" s="70"/>
      <c r="CN269" s="70"/>
      <c r="CO269" s="70"/>
      <c r="CP269" s="70"/>
      <c r="CQ269" s="70"/>
      <c r="CR269" s="10">
        <f t="shared" si="313"/>
        <v>0</v>
      </c>
      <c r="CS269" s="10">
        <f t="shared" si="314"/>
        <v>19.23076923076923</v>
      </c>
      <c r="CT269" s="10">
        <f t="shared" si="315"/>
        <v>0</v>
      </c>
      <c r="CU269" s="39">
        <f>IF($CH269="Нет",0,IF(CI269=0,30/MIN(CJ269:CK269),IF(Исходн.данные.!$AG269=$BV$11,CR269,IF(OR(Исходн.данные.!$AH269=$BQ$7,Исходн.данные.!$AH269=$BQ$8),90/CI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0,IF(Исходн.данные.!$AI269=$BU$11,"Нет",30/CI269))))))</f>
        <v>250</v>
      </c>
      <c r="CV269" s="39">
        <f>IF($CH269="Нет",0,IF(Исходн.данные.!AH269=0,0,IF(CJ269=0,60/MIN(CI269,CK269),IF(Исходн.данные.!$AG269=$BV$11,CS269,IF(OR(Исходн.данные.!$AH269=$BQ$7,Исходн.данные.!$AH269=$BQ$8),90/CJ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10/CJ269,IF(Исходн.данные.!$AI269=$BU$11,"Нет",60/CJ269)))))))</f>
        <v>0</v>
      </c>
      <c r="CW269" s="39">
        <f>IF($CH269="Нет",0,IF(Исходн.данные.!AH269=0,0,IF(CK269=0,30/MIN(CI269:CJ269),IF(Исходн.данные.!$AG269=$BV$11,CT269,IF(OR(Исходн.данные.!$AH269=$BQ$7,Исходн.данные.!$AH269=$BQ$8),90/CK269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0,IF(Исходн.данные.!$AI269=$BU$11,"Нет",30/CK269)))))))</f>
        <v>0</v>
      </c>
      <c r="CX269" s="133">
        <f>IF(Исходн.данные.!$AG269=$BV$11,MAX(CU269:CW269),IF(OR(Исходн.данные.!$AH269=$BS$8,Исходн.данные.!$AH269=$BQ$9,Исходн.данные.!$AH269=$BQ$10,Исходн.данные.!$AH269=$BQ$11,Исходн.данные.!$AH269=$BQ$12,Исходн.данные.!$AH269=$BP$3,Исходн.данные.!$AH269=$BT$8,$FM269="Да"),CV269,MIN(CU269:CW269)))</f>
        <v>0</v>
      </c>
      <c r="CY269" s="133">
        <f>IF(Исходн.данные.!AH269=0,0,IF(CR269&gt;$CX269,$CX269,CR269))</f>
        <v>0</v>
      </c>
      <c r="CZ269" s="133">
        <f>IF(Исходн.данные.!AH269=0,0,IF(CS269&gt;$CX269,$CX269,CS269))</f>
        <v>0</v>
      </c>
      <c r="DA269" s="133">
        <f>IF(Исходн.данные.!AH269=0,0,IF(CT269&gt;$CX269,$CX269,CT269))</f>
        <v>0</v>
      </c>
      <c r="DB269" s="10">
        <f t="shared" si="316"/>
        <v>0</v>
      </c>
      <c r="DC269" s="39">
        <f>DB269*Исходн.данные.!AJ269/1000</f>
        <v>0</v>
      </c>
      <c r="DD269" s="71">
        <f t="shared" si="317"/>
        <v>0</v>
      </c>
      <c r="DE269" s="9">
        <f t="shared" si="318"/>
        <v>0</v>
      </c>
      <c r="DF269" s="9">
        <f t="shared" si="319"/>
        <v>0</v>
      </c>
      <c r="DG269" s="39">
        <f>IF(BL269&lt;0,0,IF($CH269="Нет",BL269,IF(OR(Исходн.данные.!$AH269=$BP$1,Исходн.данные.!$AH269=$BP$2),0,IF(Исходн.данные.!AI269=$BU$11,BL269,IF(BL269-DD269&lt;0,0,BL269-DD269)))))</f>
        <v>0</v>
      </c>
      <c r="DH269" s="39">
        <f>IF(BM269&lt;0,0,IF($CH269="Нет",BM269,IF(OR(Исходн.данные.!$AH269=$BP$1,Исходн.данные.!$AH269=$BP$2),0,IF(Исходн.данные.!AJ269=$BU$11,BM269,IF(BM269-DE269&lt;0,0,BM269-DE269)))))</f>
        <v>0</v>
      </c>
      <c r="DI269" s="39">
        <f>IF(BN269&lt;0,0,IF($CH269="Нет",BN269,IF(OR(Исходн.данные.!$AH269=$BP$1,Исходн.данные.!$AH269=$BP$2),0,IF(Исходн.данные.!AK269=$BU$11,BN269,IF(BN269-DF269&lt;0,0,BN269-DF269)))))</f>
        <v>0</v>
      </c>
      <c r="DJ269" s="12">
        <f t="shared" si="320"/>
        <v>0</v>
      </c>
      <c r="DK269" s="9">
        <f t="shared" si="321"/>
        <v>0</v>
      </c>
      <c r="DL269" s="39">
        <f>IF(Исходн.данные.!AM269&gt;0,Исходн.данные.!AM269,IF(EG269&gt;0,$BH$10,0))</f>
        <v>0</v>
      </c>
      <c r="DM269" s="186">
        <f>IF($DL269=0,0,IF(Исходн.данные.!AM269&gt;0,VLOOKUP($DL269,АшламаДВ_Irekle,2,FALSE),VLOOKUP($DL269,АшламаДВ_Gomumy,2,FALSE)))</f>
        <v>0</v>
      </c>
      <c r="DN269" s="10">
        <f t="shared" si="299"/>
        <v>0</v>
      </c>
      <c r="DO269" s="9" t="str">
        <f>IF(Исходн.данные.!AN269&gt;0,Исходн.данные.!AN269,Удобрения!$B$37 )</f>
        <v>Хлор.калий</v>
      </c>
      <c r="DP269" s="9">
        <f>IF(Исходн.данные.!AN269&gt;0,VLOOKUP(Исходн.данные.!AN269,АшламаДВ_Irekle,4,FALSE),VLOOKUP(DO269,АшламаДВ_Gomumy,4,FALSE))</f>
        <v>0.6</v>
      </c>
      <c r="DQ269" s="10">
        <f t="shared" si="300"/>
        <v>0</v>
      </c>
      <c r="DR269" s="132" t="str">
        <f>IF(Исходн.данные.!AO269&gt;0,Исходн.данные.!AO269,IF(DH269=0,BS$17,IF(AND($DK269=0,$DJ269&gt;0),EJ269,EN269)))</f>
        <v>Нет</v>
      </c>
      <c r="DS269" s="70" t="str">
        <f>IF($DR269="Нет","Нет",IF(Исходн.данные.!$AO269&gt;0,VLOOKUP($DR269,АшламаДВ_Irekle,2,FALSE),VLOOKUP($DR269,АшламаДВ_Gomumy,2,FALSE)))</f>
        <v>Нет</v>
      </c>
      <c r="DT269" s="70" t="str">
        <f>IF($DR269="Нет","Нет",IF(Исходн.данные.!$AO269&gt;0,VLOOKUP($DR269,АшламаДВ_Irekle,3,FALSE),VLOOKUP($DR269,АшламаДВ_Gomumy,3,FALSE)))</f>
        <v>Нет</v>
      </c>
      <c r="DU269" s="70" t="str">
        <f>IF($DR269="Нет","Нет",IF(Исходн.данные.!$AO269&gt;0,VLOOKUP($DR269,АшламаДВ_Irekle,4,FALSE),VLOOKUP($DR269,АшламаДВ_Gomumy,4,FALSE)))</f>
        <v>Нет</v>
      </c>
      <c r="DV269" s="70"/>
      <c r="DW269" s="70"/>
      <c r="DX269" s="70"/>
      <c r="DY269" s="10">
        <f t="shared" si="322"/>
        <v>0</v>
      </c>
      <c r="DZ269" s="10">
        <f t="shared" si="323"/>
        <v>0</v>
      </c>
      <c r="EA269" s="10">
        <f t="shared" si="324"/>
        <v>0</v>
      </c>
      <c r="EB269" s="10">
        <f t="shared" si="325"/>
        <v>0</v>
      </c>
      <c r="EC269" s="10">
        <f t="shared" si="326"/>
        <v>0</v>
      </c>
      <c r="ED269" s="10">
        <f t="shared" si="327"/>
        <v>0</v>
      </c>
      <c r="EE269" s="10">
        <f t="shared" si="328"/>
        <v>0</v>
      </c>
      <c r="EF269" s="39">
        <f>EB269*Исходн.данные.!AJ269/1000</f>
        <v>0</v>
      </c>
      <c r="EG269" s="9">
        <f t="shared" si="329"/>
        <v>0</v>
      </c>
      <c r="EH269" s="9">
        <f t="shared" si="330"/>
        <v>0</v>
      </c>
      <c r="EI269" s="39" t="e">
        <f t="shared" si="280"/>
        <v>#DIV/0!</v>
      </c>
      <c r="EJ269" s="9" t="str">
        <f t="shared" si="301"/>
        <v>Азопреципитат</v>
      </c>
      <c r="EK269" s="12">
        <f t="shared" si="281"/>
        <v>0.26</v>
      </c>
      <c r="EL269" s="12">
        <f t="shared" si="282"/>
        <v>0.13</v>
      </c>
      <c r="EM269" s="12">
        <f t="shared" si="283"/>
        <v>0</v>
      </c>
      <c r="EN269" s="12" t="str">
        <f t="shared" si="302"/>
        <v>Нет</v>
      </c>
      <c r="EO269" s="12">
        <f t="shared" si="284"/>
        <v>0</v>
      </c>
      <c r="EP269" s="12">
        <f t="shared" si="285"/>
        <v>0</v>
      </c>
      <c r="EQ269" s="12">
        <f t="shared" si="286"/>
        <v>0</v>
      </c>
      <c r="ER269" s="12" t="str">
        <f t="shared" si="331"/>
        <v>Диаммофоска</v>
      </c>
      <c r="ES269" s="12">
        <f t="shared" si="287"/>
        <v>0.1</v>
      </c>
      <c r="ET269" s="12">
        <f t="shared" si="288"/>
        <v>0.26</v>
      </c>
      <c r="EU269" s="12">
        <f t="shared" si="289"/>
        <v>0.26</v>
      </c>
      <c r="EV269" s="12" t="str">
        <f t="shared" si="332"/>
        <v>Аммофос 12:52:00</v>
      </c>
      <c r="EW269" s="12" t="str">
        <f t="shared" si="333"/>
        <v>Кемира Свекловичное-6</v>
      </c>
      <c r="EX269" s="12">
        <f t="shared" si="290"/>
        <v>0.16</v>
      </c>
      <c r="EY269" s="12">
        <f t="shared" si="291"/>
        <v>0.12</v>
      </c>
      <c r="EZ269" s="12">
        <f t="shared" si="292"/>
        <v>0.17</v>
      </c>
      <c r="FA269" s="38" t="e">
        <f>IF(AND(OR(FJ269=$FD$1,FM269=$FD$1,FO269=$FD$1,FQ269=$FD$1,FS269=$FD$1),FD269=$FD$1,Исходн.данные.!J269&lt;2,FU269=$FD$1),"Бор,Кобальт",IF(AND(FO269=$FD$1,FH269=$FD$1,Исходн.данные.!J269&lt;2,FU269=$FD$1),"Бор,Кобальт",IF(AND(OR(FJ269=$FD$1,FM269=$FD$1,FQ269=$FD$1),FE269=$FD$1,Исходн.данные.!J269&lt;2,FT269=$FD$1,FU269=$FD$1),"Бор,Медь,Цинк",IF(AND(OR(FJ269=$FD$1,FR269="Да"),FI269="Да",Исходн.данные.!J269&lt;2,FT269="Да",FU269="Да"),"Бор,Цинк,Медь",IF(AND(OR(FM269="Да",FQ269="Да"),FI269="Да",Исходн.данные.!J269&lt;2,FT269="Да",FU269="Да"),"Бор,Цинк",IF(AND(FN269="Да",OR(FD269="Да",FE269="Да")),"Бор",FB269))))))</f>
        <v>#N/A</v>
      </c>
      <c r="FB269" s="134" t="e">
        <f>IF(AND(OR(FD269="Да",FE269="Да",FF269="Да",FG269="Да",FH269="Да"),FO269="Да"),"Бор",IF(AND(FP269="Да",OR(FD269="Да",FE269="Да",FI269="Да")),"Бор",IF(AND(FS269="Да",FE269="Да"),"Бор,Медь",IF(AND(OR(FJ269="Да",FK269="Да",FL269="Да"),FE269="Да",Исходн.данные.!I269&lt;5,FT269="Да",FU269="Да"),"Молибден,Цинк",IF(AND(FM269="Да",OR(FE269="Да",FF269="Да",FG269="Да",FH269="Да",FI269="Да")),"Молибден,Цинк",IF(AND(OR(FJ269="Да",FK269="Да",FL269="Да",FM269="Да",FQ269="Да"),OR(FE269="Да",FF269="Да"),FT269="Да",FU269="Да",Исходн.данные.!I269&gt;5.5),"Медь,Цинк",FC269))))))</f>
        <v>#N/A</v>
      </c>
      <c r="FC269" s="23" t="e">
        <f t="shared" si="334"/>
        <v>#N/A</v>
      </c>
      <c r="FD269" s="38" t="str">
        <f>IF(OR(Исходн.данные.!F269=$CC$1,Исходн.данные.!F269=$CC$2,Исходн.данные.!F269=$CC$3,Исходн.данные.!F269=$CC$4),"Да","Нет")</f>
        <v>Нет</v>
      </c>
      <c r="FE269" s="38" t="str">
        <f>IF(Исходн.данные.!F269=$CC$5,"Да","Нет")</f>
        <v>Нет</v>
      </c>
      <c r="FF269" s="38" t="str">
        <f>IF(OR(Исходн.данные.!F269=$CC$6,Исходн.данные.!F269=$CC$7),"Да","Нет")</f>
        <v>Нет</v>
      </c>
      <c r="FG269" s="38" t="str">
        <f>IF(OR(Исходн.данные.!F269=$CC$8,Исходн.данные.!F269=$CC$9),"Да","Нет")</f>
        <v>Нет</v>
      </c>
      <c r="FH269" s="38" t="str">
        <f>IF(Исходн.данные.!F269=$CC$10,"Да","Нет")</f>
        <v>Нет</v>
      </c>
      <c r="FI269" s="38" t="str">
        <f>IF(OR(Исходн.данные.!F269=$CC$11,Исходн.данные.!F269=$CC$12),"Да","Нет")</f>
        <v>Нет</v>
      </c>
      <c r="FJ269" s="38" t="str">
        <f>IF(OR(Исходн.данные.!AH269=$BS$1,Исходн.данные.!AH269=$BQ$11,Исходн.данные.!AH269=$BQ$12),"Да","Нет")</f>
        <v>Нет</v>
      </c>
      <c r="FK269" s="38" t="str">
        <f>IF(OR(Исходн.данные.!AH269=$BS$2,Исходн.данные.!AH269=$BS$4),"Да","Нет")</f>
        <v>Нет</v>
      </c>
      <c r="FL269" s="38" t="str">
        <f>IF(OR(Исходн.данные.!AH269=$BS$3,Исходн.данные.!AH269=$BS$5),"Да","Нет")</f>
        <v>Нет</v>
      </c>
      <c r="FM269" s="38" t="str">
        <f>IF(OR(Исходн.данные.!AH269=$BS$9,Исходн.данные.!AH269=$BS$10,Исходн.данные.!AH269=$BS$11,Исходн.данные.!AH269=$BS$12),"Да","Нет")</f>
        <v>Нет</v>
      </c>
      <c r="FN269" s="38" t="str">
        <f>IF(OR(Исходн.данные.!AH269=$BS$6,Исходн.данные.!AH269=$BP$3),"Да","Нет")</f>
        <v>Нет</v>
      </c>
      <c r="FO269" s="38" t="str">
        <f>IF(Исходн.данные.!AH269=$BQ$9,"Да","Нет")</f>
        <v>Нет</v>
      </c>
      <c r="FP269" s="38" t="str">
        <f>IF(OR(Исходн.данные.!AH269=$BS$8,Исходн.данные.!AH269=$BT$8),"Да","Нет")</f>
        <v>Нет</v>
      </c>
      <c r="FQ269" s="38" t="str">
        <f>IF(OR(Исходн.данные.!AH269=$BQ$7,Исходн.данные.!AH269=$BQ$8),"Да","Нет")</f>
        <v>Нет</v>
      </c>
      <c r="FR269" s="38" t="str">
        <f>IF(Исходн.данные.!AI269=$BU$9,"Да","Нет")</f>
        <v>Нет</v>
      </c>
      <c r="FS269" s="38" t="str">
        <f>IF(OR(Исходн.данные.!AH269=$BP$1,Исходн.данные.!AH269=$BP$2),"Да","Нет")</f>
        <v>Нет</v>
      </c>
      <c r="FT269" s="38" t="e">
        <f>IF((Исходн.данные.!K269*GO269*GS269*GW269+BL269*0.6+Исходн.данные.!Q269*4.5*0.275)&gt;90,"Да","Нет")</f>
        <v>#N/A</v>
      </c>
      <c r="FU269" s="38" t="e">
        <f>IF((Исходн.данные.!M269*GS269*GZ269+BM269*0.225)&gt;35,"Да","Нет")</f>
        <v>#N/A</v>
      </c>
      <c r="FV269" s="38" t="str">
        <f>IF(Исходн.данные.!O269&gt;175,"Да","Нет")</f>
        <v>Нет</v>
      </c>
      <c r="FW269" s="39" t="str">
        <f>IF(Исходн.данные.!I269&gt;5.5,"Да","Нет")</f>
        <v>Нет</v>
      </c>
      <c r="FX269" s="39" t="str">
        <f>IF(Исходн.данные.!J269&lt;2,"Да","Нет")</f>
        <v>Да</v>
      </c>
      <c r="FY269" s="39" t="e">
        <f>IF(HF269=$FY$16,0,Исходн.данные.!K269*GO269*GS269*GW269/HF269)</f>
        <v>#N/A</v>
      </c>
      <c r="FZ269" s="39" t="e">
        <f>Исходн.данные.!M269*GS269*GZ269/HG269</f>
        <v>#N/A</v>
      </c>
      <c r="GA269" s="39" t="e">
        <f>IF(K_Wyn=$FY$16,0,IF(Исходн.данные.!N269=Исходн.данные.!$L$10,Исходн.данные.!O269/1.1*GS269*HC269/HH269,IF(Исходн.данные.!N269=Исходн.данные.!$L$12,Исходн.данные.!O269/1.5*GS269*HC269/HH269,Исходн.данные.!O269*GS269*HC269/HH269)))</f>
        <v>#N/A</v>
      </c>
      <c r="GB269" s="39" t="e">
        <f>IF(HF269=$FY$16,0,((Исходн.данные.!Q269*N_Org+Исходн.данные.!R269*N_Sider+Исходн.данные.!S269*N_Soloma)*AO269+Расчет!BC269*VLOOKUP(Исходн.данные.!T269,Справ!$A$3:$O$57,15)*AO269+BB269*VLOOKUP(Исходн.данные.!T269,Справ!$A$3:$O$57,15)*AL269+(Исходн.данные.!V269*N_Rizotorf+Исходн.данные.!W269*N_Rizoagr))/HF269)</f>
        <v>#N/A</v>
      </c>
      <c r="GC269" s="39" t="e">
        <f>IF(HG269=$FY$16,0,((Исходн.данные.!Q269*Р_Org+Исходн.данные.!R269*P_Sider+Исходн.данные.!S269*P_Soloma)*AP269+Расчет!BC269*VLOOKUP(Исходн.данные.!T269,Справ!$A$3:$P$57,16)*AP269+BB269*VLOOKUP(Исходн.данные.!T269,Справ!$A$3:$P$57,16)*AM269)/HG269)</f>
        <v>#N/A</v>
      </c>
      <c r="GD269" s="39" t="e">
        <f>IF(HH269=$FY$16,0,((Исходн.данные.!Q269*К_Org+Исходн.данные.!R269*K_Sider+Исходн.данные.!S269*K_Soloma)*AQ269+Расчет!BC269*VLOOKUP(Исходн.данные.!T269,Справ!$A$3:$Q$57,17)*AQ269+BB269*VLOOKUP(Исходн.данные.!T269,Справ!$A$3:$Q$57,17)*AN269)/HH269)</f>
        <v>#N/A</v>
      </c>
      <c r="GE269" s="39" t="e">
        <f>IF(HF269=$FY$16,0,(Исходн.данные.!X269*AR269+Исходн.данные.!AA269*N_Org*AL269+Исходн.данные.!AB269*N_Sider*AL269+Исходн.данные.!AC269*N_Soloma*AL269)/HF269)</f>
        <v>#N/A</v>
      </c>
      <c r="GF269" s="39" t="e">
        <f>IF(HG269=$FY$16,0,(Исходн.данные.!Y269*AS269+Исходн.данные.!AA269*Р_Org*AM269+Исходн.данные.!AB269*P_Sider*AM269+Исходн.данные.!AC269*P_Soloma*AM269)/HG269)</f>
        <v>#N/A</v>
      </c>
      <c r="GG269" s="39" t="e">
        <f>IF(HH269=$FY$16,0,(Исходн.данные.!Z269*AT269+Исходн.данные.!AA269*К_Org*AN269+Исходн.данные.!AB269*K_Sider*AN269+Исходн.данные.!AC269*K_Soloma*AN269)/HH269)</f>
        <v>#N/A</v>
      </c>
      <c r="GH269" s="39" t="e">
        <f>Исходн.данные.!AD269*AU269/HF269</f>
        <v>#N/A</v>
      </c>
      <c r="GI269" s="39" t="e">
        <f>Исходн.данные.!AE269*AV269/HG269</f>
        <v>#N/A</v>
      </c>
      <c r="GJ269" s="39" t="e">
        <f>Исходн.данные.!AF269*AW269/HH269</f>
        <v>#N/A</v>
      </c>
      <c r="GK269" s="55">
        <f>Исходн.данные.!AK269</f>
        <v>0</v>
      </c>
      <c r="GL269" s="11" t="e">
        <f t="shared" si="335"/>
        <v>#N/A</v>
      </c>
      <c r="GM269" s="11" t="e">
        <f t="shared" si="336"/>
        <v>#N/A</v>
      </c>
      <c r="GN269" s="11" t="e">
        <f t="shared" si="337"/>
        <v>#N/A</v>
      </c>
      <c r="GO269" s="57">
        <f t="shared" si="338"/>
        <v>19</v>
      </c>
      <c r="GP269" s="55">
        <f>IF(OR(Исходн.данные.!F269=$CE$1,Исходн.данные.!F269=$CE$2,Исходн.данные.!F269=$CE$3,Исходн.данные.!F269=$CE$4,Исходн.данные.!F269=$CE$5),GQ269,GR269)</f>
        <v>19</v>
      </c>
      <c r="GQ269" s="55">
        <f>IF(Исходн.данные.!F269=$CE$1,28,IF(Исходн.данные.!F269=$CE$2,26,IF(Исходн.данные.!F269=$CE$3,24,IF(Исходн.данные.!F269=$CE$4,22,IF(Исходн.данные.!F269=$CE$5,20,GR269)))))</f>
        <v>19</v>
      </c>
      <c r="GR269" s="55">
        <f>IF(Исходн.данные.!F269=$CE$6,18,IF(Исходн.данные.!F269=$CE$7,16,IF(Исходн.данные.!F269=$CE$8,14,IF(Исходн.данные.!F269=$CE$9,13,IF(Исходн.данные.!F269=$CE$10,12,19)))))</f>
        <v>19</v>
      </c>
      <c r="GS269" s="55">
        <f>IF(Исходн.данные.!G269="Пес",0.035*(40+2*Исходн.данные.!H269),IF(Исходн.данные.!G269="Суп",0.0325*(40+2*Исходн.данные.!H269),0.03*(40+2*Исходн.данные.!H269)))</f>
        <v>1.2</v>
      </c>
      <c r="GT269" s="55">
        <f>IF(Исходн.данные.!H269&lt;23,2.6,IF(AND(Исходн.данные.!H269&gt;22,Исходн.данные.!H269&lt;26),3,IF(AND(Исходн.данные.!H269&gt;25,Исходн.данные.!H269&lt;29),3.4,3.6)))</f>
        <v>2.6</v>
      </c>
      <c r="GU269" s="55">
        <f>IF(Исходн.данные.!H269&lt;23,2.8,IF(AND(Исходн.данные.!H269&gt;22,Исходн.данные.!H269&lt;26),3.2,IF(AND(Исходн.данные.!H269&gt;25,Исходн.данные.!H269&lt;29),3.6,3.9)))</f>
        <v>2.8</v>
      </c>
      <c r="GV269" s="55">
        <f>IF(Исходн.данные.!H269&lt;23,3,IF(AND(Исходн.данные.!H269&gt;22,Исходн.данные.!H269&lt;26),3.5,IF(AND(Исходн.данные.!H269&gt;25,Исходн.данные.!H269&lt;29),3.9,4.2)))</f>
        <v>3</v>
      </c>
      <c r="GW269" s="55" t="e">
        <f>IF(Исходн.данные.!P269="Ум",GX269,GY269)</f>
        <v>#N/A</v>
      </c>
      <c r="GX269" s="55" t="e">
        <f>VLOOKUP(Исходн.данные.!AI269,Коэффициенты!$J$7:$L$13,2,FALSE)</f>
        <v>#N/A</v>
      </c>
      <c r="GY269" s="55" t="e">
        <f>VLOOKUP(Исходн.данные.!AI269,Коэффициенты!$J$7:$L$13,3,FALSE)</f>
        <v>#N/A</v>
      </c>
      <c r="GZ269" s="55" t="e">
        <f>(IF(Исходн.данные.!M269&lt;50,0.11*VLOOKUP(Исходн.данные.!AH269,Культуры.Информация,7,FALSE),IF(Исходн.данные.!M269&gt;250,0.05*VLOOKUP(Исходн.данные.!AH269,Культуры.Информация,7,FALSE),VLOOKUP(Исходн.данные.!AH269,Культуры.Информация,5,FALSE)/100*($GX$6+$GY$6*Исходн.данные.!M269))))*Расчет2!AI269</f>
        <v>#N/A</v>
      </c>
      <c r="HA269" s="211"/>
      <c r="HB269" s="211"/>
      <c r="HC269" s="55" t="e">
        <f>(IF(Исходн.данные.!O269&lt;80,0.2*VLOOKUP(Исходн.данные.!AH269,Культуры.Информация,8,FALSE),IF(Исходн.данные.!O269&gt;240,0.09*VLOOKUP(Исходн.данные.!AH269,Культуры.Информация,8,FALSE),VLOOKUP(Исходн.данные.!AH269,Культуры.Информация,6,FALSE)/100*($HB$6+$HC$6*Исходн.данные.!O269))))*Расчет2!AJ269</f>
        <v>#N/A</v>
      </c>
      <c r="HD269" s="55">
        <f>IF(Исходн.данные.!O269&gt;240,0.09,IF(Исходн.данные.!O269&lt;30,0.3,$HE$10+$HD$10*Исходн.данные.!O269))</f>
        <v>0.3</v>
      </c>
      <c r="HE269" s="55">
        <f>IF(Исходн.данные.!O269&gt;240,0.17,IF(Исходн.данные.!O269&lt;30,0.5,$HF$12+$HE$12*Исходн.данные.!O269))</f>
        <v>0.5</v>
      </c>
      <c r="HF269" s="55" t="e">
        <f>VLOOKUP(Исходн.данные.!AH269,Справ!$A$3:$D$58,2,FALSE)</f>
        <v>#N/A</v>
      </c>
      <c r="HG269" s="55" t="e">
        <f>VLOOKUP(Исходн.данные.!AH269,Справ!$A$3:$D$58,3,FALSE)</f>
        <v>#N/A</v>
      </c>
      <c r="HH269" s="55" t="e">
        <f>VLOOKUP(Исходн.данные.!AH269,Справ!$A$3:$D$58,4,FALSE)</f>
        <v>#N/A</v>
      </c>
      <c r="HI269" s="11" t="e">
        <f t="shared" si="339"/>
        <v>#N/A</v>
      </c>
      <c r="HJ269" s="11" t="e">
        <f t="shared" si="340"/>
        <v>#N/A</v>
      </c>
      <c r="HK269" s="11" t="e">
        <f t="shared" si="341"/>
        <v>#N/A</v>
      </c>
      <c r="HL269" s="55">
        <f>IF(OR(Исходн.данные.!G269="Глин",Исходн.данные.!G269="Т_суг"),1.1,IF(Исходн.данные.!G269="Ср_суг",1,1))</f>
        <v>1</v>
      </c>
      <c r="HM269" s="55">
        <f>IF(OR(Исходн.данные.!G269="Глин",Исходн.данные.!G269="Т_суг"),0.9,IF(Исходн.данные.!G269="Ср_суг",1,1.2))</f>
        <v>1.2</v>
      </c>
      <c r="HN269" s="11" t="e">
        <f t="shared" si="342"/>
        <v>#N/A</v>
      </c>
      <c r="HO269" s="11" t="e">
        <f t="shared" si="343"/>
        <v>#N/A</v>
      </c>
      <c r="HP269" s="11" t="e">
        <f t="shared" si="344"/>
        <v>#N/A</v>
      </c>
      <c r="HQ269" t="e">
        <f t="shared" si="345"/>
        <v>#N/A</v>
      </c>
      <c r="HR269" t="e">
        <f t="shared" si="346"/>
        <v>#N/A</v>
      </c>
      <c r="HS269" t="e">
        <f t="shared" si="347"/>
        <v>#N/A</v>
      </c>
      <c r="HT269" t="e">
        <f t="shared" si="293"/>
        <v>#N/A</v>
      </c>
      <c r="HU269" t="e">
        <f t="shared" si="294"/>
        <v>#N/A</v>
      </c>
      <c r="HV269" t="e">
        <f t="shared" si="295"/>
        <v>#N/A</v>
      </c>
      <c r="HW269" t="e">
        <f t="shared" si="296"/>
        <v>#N/A</v>
      </c>
      <c r="HX269" t="e">
        <f t="shared" si="297"/>
        <v>#N/A</v>
      </c>
      <c r="HY269" t="e">
        <f t="shared" si="298"/>
        <v>#N/A</v>
      </c>
      <c r="HZ269" s="55">
        <f>IF(OR(Исходн.данные.!AI269="Оз_Ч_П",Исходн.данные.!AI269="Оз_З_П",Исходн.данные.!AI269="Яр_зер"),12,30)</f>
        <v>30</v>
      </c>
      <c r="IA269" t="e">
        <f t="shared" si="348"/>
        <v>#N/A</v>
      </c>
      <c r="IB269" t="e">
        <f t="shared" si="349"/>
        <v>#N/A</v>
      </c>
      <c r="IC269" t="e">
        <f t="shared" si="350"/>
        <v>#N/A</v>
      </c>
      <c r="ID269" s="11" t="e">
        <f t="shared" si="351"/>
        <v>#N/A</v>
      </c>
      <c r="IE269" s="11" t="e">
        <f t="shared" si="352"/>
        <v>#N/A</v>
      </c>
      <c r="IF269" s="11" t="e">
        <f t="shared" si="353"/>
        <v>#N/A</v>
      </c>
    </row>
    <row r="270" spans="35:240" x14ac:dyDescent="0.2">
      <c r="AI270">
        <f>IF(Исходн.данные.!I270&gt;6,1,1.85-(0.148*Исходн.данные.!I270))</f>
        <v>1.85</v>
      </c>
      <c r="AJ270">
        <f>IF(Исходн.данные.!I270&gt;6,1,2.434-(0.246*Исходн.данные.!I270))</f>
        <v>2.4340000000000002</v>
      </c>
      <c r="AL270" s="148" t="b">
        <f>IF(Исходн.данные.!$P270="Ум",N_OrgUd_2g_um,IF(Исходн.данные.!$P270="Об",N_OrgUd_2g_ob))</f>
        <v>0</v>
      </c>
      <c r="AM270" s="148" t="b">
        <f>IF(Исходн.данные.!$P270="Ум",P_OrgUd_2g_um,IF(Исходн.данные.!$P270="Об",P_OrgUd_2g_ob))</f>
        <v>0</v>
      </c>
      <c r="AN270" s="148" t="b">
        <f>IF(Исходн.данные.!$P270="Ум",K_OrgUd_2g_um,IF(Исходн.данные.!$P270="Об",K_OrgUd_2g_ob))</f>
        <v>0</v>
      </c>
      <c r="AO270" s="148" t="b">
        <f>IF(Исходн.данные.!$P270="Ум",N_OrgUd_1g_um,IF(Исходн.данные.!$P270="Об",N_OrgUd_1g_ob))</f>
        <v>0</v>
      </c>
      <c r="AP270" s="148" t="b">
        <f>IF(Исходн.данные.!$P270="Ум",P_OrgUd_1g_um,IF(Исходн.данные.!$P270="Об",P_OrgUd_1g_ob))</f>
        <v>0</v>
      </c>
      <c r="AQ270" s="148" t="b">
        <f>IF(Исходн.данные.!$P270="Ум",K_OrgUd_1g_um,IF(Исходн.данные.!$P270="Об",K_OrgUd_1g_ob))</f>
        <v>0</v>
      </c>
      <c r="AR270" t="b">
        <f>IF(Исходн.данные.!$P270="Ум",N_MinUd_2g_um,IF(Исходн.данные.!$P270="Об",N_MinUd_2g_ob))</f>
        <v>0</v>
      </c>
      <c r="AS270" t="b">
        <f>IF(Исходн.данные.!$P270="Ум",P_MinUd_2g_um,IF(Исходн.данные.!$P270="Об",P_MinUd_2g_ob))</f>
        <v>0</v>
      </c>
      <c r="AT270" t="b">
        <f>IF(Исходн.данные.!$P270="Ум",K_MinUd_2g_um,IF(Исходн.данные.!$P270="Об",K_MinUd_2g_ob))</f>
        <v>0</v>
      </c>
      <c r="AU270" t="b">
        <f>IF(Исходн.данные.!$P270="Ум",N_MinUd_1g_um,IF(Исходн.данные.!$P270="Об",N_MinUd_1g_ob))</f>
        <v>0</v>
      </c>
      <c r="AV270" t="b">
        <f>IF(Исходн.данные.!P270="Ум",P_MinUd_1g_um,IF(Исходн.данные.!P270="Об",P_MinUd_1g_ob))</f>
        <v>0</v>
      </c>
      <c r="AW270" t="b">
        <f>IF(Исходн.данные.!P270="Ум",K_MinUd_1g_um,IF(Исходн.данные.!P270="Об",K_MinUd_1g_ob))</f>
        <v>0</v>
      </c>
      <c r="AY270" t="e">
        <f>VLOOKUP(Исходн.данные.!T270,Справ!$A$3:$N$57,12)</f>
        <v>#N/A</v>
      </c>
      <c r="AZ270" t="e">
        <f>VLOOKUP(Исходн.данные.!T270,Справ!$A$3:$N$57,13)</f>
        <v>#N/A</v>
      </c>
      <c r="BA270" t="e">
        <f>VLOOKUP(Исходн.данные.!T270,Справ!$A$3:$N$57,14)</f>
        <v>#N/A</v>
      </c>
      <c r="BB270">
        <f>IF(Исходн.данные.!AH270=0,0,25)</f>
        <v>0</v>
      </c>
      <c r="BC270" s="141">
        <f>IF(Исходн.данные.!AH270=0,0,IF(Исходн.данные.!T270=0,25,BD270))</f>
        <v>0</v>
      </c>
      <c r="BD270" s="168" t="e">
        <f>AY270+AZ270*Исходн.данные.!U270-POWER(BA270,2)*Исходн.данные.!U270</f>
        <v>#N/A</v>
      </c>
      <c r="BE27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0" s="25">
        <f>IF(Исходн.данные.!AH270=0,0,MIN(HN270:HP270))</f>
        <v>0</v>
      </c>
      <c r="BG270" s="9">
        <f>IF(Исходн.данные.!AH270=0,0,IF((HO270+10*0.25/HG270/HL270)&lt;17,17,HO270+10*0.25/HG270/HL270))</f>
        <v>0</v>
      </c>
      <c r="BH270" s="181">
        <f>IF(Исходн.данные.!AH270=0,0,HW270*HF270*HL270/AU270*AI270+Исходн.данные.!S270*10)</f>
        <v>0</v>
      </c>
      <c r="BI270" s="10"/>
      <c r="BJ270" s="182">
        <f>IF(Исходн.данные.!AH270=0,0,IF(HX270*HG270*HL270/AV270&lt;0,0,HX270*HG270*HL270/AV270*AJ270))</f>
        <v>0</v>
      </c>
      <c r="BK270" s="182">
        <f>IF(Исходн.данные.!AH270=0,0,HY270*HH270*HM270/AW270)</f>
        <v>0</v>
      </c>
      <c r="BL270" s="10">
        <f>IF(OR(Исходн.данные.!$AH270=$BP$1,Исходн.данные.!$AH270=$BP$2),0,IF(BH270&lt;0,0,IF(OR(Исходн.данные.!T270=Расчет!$BP$1,Исходн.данные.!T270=Расчет!$BP$2,Исходн.данные.!T270=Расчет!$BT$5,Исходн.данные.!T270=Расчет!$BT$6),BH270*0.5,IF(OR(Исходн.данные.!T270=Расчет!$BS$9,Исходн.данные.!T270=Расчет!$BS$10,Исходн.данные.!T270=Расчет!$BS$11,Исходн.данные.!T270=Расчет!$BS$12,Исходн.данные.!T270=Расчет!$BP$5),BH270*0.8,BH270))))</f>
        <v>0</v>
      </c>
      <c r="BM270" s="10">
        <f>IF(OR(Исходн.данные.!$AH270=$BP$1,Исходн.данные.!$AH270=$BP$2),0,IF(BJ270&lt;0,0,IF(Исходн.данные.!I270&lt;4.5,BJ270*1.2,IF(Исходн.данные.!I270&gt;5.1,BJ270,BJ270*((5.1-Исходн.данные.!I270)*0.333+1)))))</f>
        <v>0</v>
      </c>
      <c r="BN270" s="10">
        <f>IF(OR(Исходн.данные.!$AH270=$BP$1,Исходн.данные.!$AH270=$BP$2),60-Исходн.данные.!AF270,IF(BK270&lt;0,0,IF(Исходн.данные.!I270&lt;4.5,BK270*1.2,IF(Исходн.данные.!I270&gt;5.1,BK270,BK270*((5.1-Исходн.данные.!I270)*0.333+1)))))</f>
        <v>0</v>
      </c>
      <c r="BO270" s="9">
        <f>IF(BL270&lt;0,0,BL270*Исходн.данные.!$AJ270/1000)</f>
        <v>0</v>
      </c>
      <c r="BP270" s="9">
        <f>IF(BM270&lt;0,0,BM270*Исходн.данные.!$AJ270/1000)</f>
        <v>0</v>
      </c>
      <c r="BQ270" s="9">
        <f>IF(BN270&lt;0,0,BN270*Исходн.данные.!$AJ270/1000)</f>
        <v>0</v>
      </c>
      <c r="BR270" s="9">
        <f t="shared" si="303"/>
        <v>0</v>
      </c>
      <c r="BS270" s="10" t="str">
        <f t="shared" si="304"/>
        <v>Аммофос 12:52:00</v>
      </c>
      <c r="BT270" s="10" t="str">
        <f t="shared" si="305"/>
        <v>Аммофос 12:52:00</v>
      </c>
      <c r="BU270" s="10" t="str">
        <f t="shared" si="306"/>
        <v>Диаммофоска</v>
      </c>
      <c r="BV270" s="10">
        <f t="shared" si="307"/>
        <v>0</v>
      </c>
      <c r="BW270" s="10"/>
      <c r="BX270" s="10"/>
      <c r="BY270" s="9">
        <f>IF(BL270&lt;0,0,IF(OR(Исходн.данные.!AI270=Расчет!$BU$6,Исходн.данные.!AI270=Расчет!$BU$7),Расчет!BV270,IF(Исходн.данные.!$AG270=$BV$11,BL270,IF(OR(Исходн.данные.!$AH270=$BQ$7,Исходн.данные.!$AH270=$BQ$8),CB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0,IF(Исходн.данные.!$AI270=$BU$11,"Нет",IF(BL270&gt;30,30,BL270)))))))</f>
        <v>0</v>
      </c>
      <c r="BZ270" s="9">
        <f>IF(AND(Исходн.данные.!$AG270=$BV$11,BM270&lt;10),10,IF(Исходн.данные.!$AG270=$BV$11,BM270,IF(OR(Исходн.данные.!$AH270=$BQ$7,Исходн.данные.!$AH270=$BQ$8),CC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10,IF(Исходн.данные.!$AI270=$BU$11,"Нет",IF(BM270&gt;60,60,IF(BM270&lt;10,10,BM270)))))))</f>
        <v>10</v>
      </c>
      <c r="CA270" s="39">
        <f>IF(BN270&lt;0,0,IF(Исходн.данные.!$AG270=$BV$11,BN270,IF(OR(Исходн.данные.!$AH270=$BQ$7,Исходн.данные.!$AH270=$BQ$8),CD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0,IF(Исходн.данные.!$AI270=$BU$11,"Нет",IF(BN270&gt;30,30,BN270))))))</f>
        <v>0</v>
      </c>
      <c r="CB270" s="9">
        <f t="shared" si="308"/>
        <v>0</v>
      </c>
      <c r="CC270" s="9">
        <f t="shared" si="309"/>
        <v>0</v>
      </c>
      <c r="CD270" s="9">
        <f t="shared" si="310"/>
        <v>0</v>
      </c>
      <c r="CE270" s="12">
        <f t="shared" si="311"/>
        <v>10</v>
      </c>
      <c r="CF270" s="9">
        <f t="shared" si="312"/>
        <v>0</v>
      </c>
      <c r="CG270" s="9" t="s">
        <v>231</v>
      </c>
      <c r="CH270" s="132" t="str">
        <f>IF(Исходн.данные.!AP270=Расчет!$CI$16,"Нет",IF(Исходн.данные.!AL270&gt;0,Исходн.данные.!AL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BH$4,IF(OR(Исходн.данные.!AI270=Исходн.данные.!$AI$6,Исходн.данные.!AI270=Исходн.данные.!$AI$7),Расчет!BS270,IF(AND($CF270=0,$CE270&gt;0),EV270,ER270)))))</f>
        <v>Аммофос 12:52:00</v>
      </c>
      <c r="CI270" s="274">
        <f>IF(Расчет!$CH270="Нет","Нет",IF(Исходн.данные.!$AL270&gt;0,VLOOKUP(Расчет!$CH270,АшламаДВ_Irekle,2,FALSE),VLOOKUP(Расчет!$CH270,АшламаДВ_Gomumy,2,FALSE)))</f>
        <v>0.12</v>
      </c>
      <c r="CJ270" s="274">
        <f>IF(Расчет!$CH270="Нет","Нет",IF(Исходн.данные.!$AL270&gt;0,VLOOKUP(Расчет!$CH270,АшламаДВ_Irekle,3,FALSE),VLOOKUP(Расчет!$CH270,АшламаДВ_Gomumy,3,FALSE)))</f>
        <v>0.52</v>
      </c>
      <c r="CK270" s="274">
        <f>IF(Расчет!$CH270="Нет","Нет",IF(Исходн.данные.!$AL270&gt;0,VLOOKUP(Расчет!$CH270,АшламаДВ_Irekle,4,FALSE),VLOOKUP(Расчет!$CH270,АшламаДВ_Gomumy,4,FALSE)))</f>
        <v>0</v>
      </c>
      <c r="CL270" s="70"/>
      <c r="CM270" s="70"/>
      <c r="CN270" s="70"/>
      <c r="CO270" s="70"/>
      <c r="CP270" s="70"/>
      <c r="CQ270" s="70"/>
      <c r="CR270" s="10">
        <f t="shared" si="313"/>
        <v>0</v>
      </c>
      <c r="CS270" s="10">
        <f t="shared" si="314"/>
        <v>19.23076923076923</v>
      </c>
      <c r="CT270" s="10">
        <f t="shared" si="315"/>
        <v>0</v>
      </c>
      <c r="CU270" s="39">
        <f>IF($CH270="Нет",0,IF(CI270=0,30/MIN(CJ270:CK270),IF(Исходн.данные.!$AG270=$BV$11,CR270,IF(OR(Исходн.данные.!$AH270=$BQ$7,Исходн.данные.!$AH270=$BQ$8),90/CI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0,IF(Исходн.данные.!$AI270=$BU$11,"Нет",30/CI270))))))</f>
        <v>250</v>
      </c>
      <c r="CV270" s="39">
        <f>IF($CH270="Нет",0,IF(Исходн.данные.!AH270=0,0,IF(CJ270=0,60/MIN(CI270,CK270),IF(Исходн.данные.!$AG270=$BV$11,CS270,IF(OR(Исходн.данные.!$AH270=$BQ$7,Исходн.данные.!$AH270=$BQ$8),90/CJ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10/CJ270,IF(Исходн.данные.!$AI270=$BU$11,"Нет",60/CJ270)))))))</f>
        <v>0</v>
      </c>
      <c r="CW270" s="39">
        <f>IF($CH270="Нет",0,IF(Исходн.данные.!AH270=0,0,IF(CK270=0,30/MIN(CI270:CJ270),IF(Исходн.данные.!$AG270=$BV$11,CT270,IF(OR(Исходн.данные.!$AH270=$BQ$7,Исходн.данные.!$AH270=$BQ$8),90/CK270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0,IF(Исходн.данные.!$AI270=$BU$11,"Нет",30/CK270)))))))</f>
        <v>0</v>
      </c>
      <c r="CX270" s="133">
        <f>IF(Исходн.данные.!$AG270=$BV$11,MAX(CU270:CW270),IF(OR(Исходн.данные.!$AH270=$BS$8,Исходн.данные.!$AH270=$BQ$9,Исходн.данные.!$AH270=$BQ$10,Исходн.данные.!$AH270=$BQ$11,Исходн.данные.!$AH270=$BQ$12,Исходн.данные.!$AH270=$BP$3,Исходн.данные.!$AH270=$BT$8,$FM270="Да"),CV270,MIN(CU270:CW270)))</f>
        <v>0</v>
      </c>
      <c r="CY270" s="133">
        <f>IF(Исходн.данные.!AH270=0,0,IF(CR270&gt;$CX270,$CX270,CR270))</f>
        <v>0</v>
      </c>
      <c r="CZ270" s="133">
        <f>IF(Исходн.данные.!AH270=0,0,IF(CS270&gt;$CX270,$CX270,CS270))</f>
        <v>0</v>
      </c>
      <c r="DA270" s="133">
        <f>IF(Исходн.данные.!AH270=0,0,IF(CT270&gt;$CX270,$CX270,CT270))</f>
        <v>0</v>
      </c>
      <c r="DB270" s="10">
        <f t="shared" si="316"/>
        <v>0</v>
      </c>
      <c r="DC270" s="39">
        <f>DB270*Исходн.данные.!AJ270/1000</f>
        <v>0</v>
      </c>
      <c r="DD270" s="71">
        <f t="shared" si="317"/>
        <v>0</v>
      </c>
      <c r="DE270" s="9">
        <f t="shared" si="318"/>
        <v>0</v>
      </c>
      <c r="DF270" s="9">
        <f t="shared" si="319"/>
        <v>0</v>
      </c>
      <c r="DG270" s="39">
        <f>IF(BL270&lt;0,0,IF($CH270="Нет",BL270,IF(OR(Исходн.данные.!$AH270=$BP$1,Исходн.данные.!$AH270=$BP$2),0,IF(Исходн.данные.!AI270=$BU$11,BL270,IF(BL270-DD270&lt;0,0,BL270-DD270)))))</f>
        <v>0</v>
      </c>
      <c r="DH270" s="39">
        <f>IF(BM270&lt;0,0,IF($CH270="Нет",BM270,IF(OR(Исходн.данные.!$AH270=$BP$1,Исходн.данные.!$AH270=$BP$2),0,IF(Исходн.данные.!AJ270=$BU$11,BM270,IF(BM270-DE270&lt;0,0,BM270-DE270)))))</f>
        <v>0</v>
      </c>
      <c r="DI270" s="39">
        <f>IF(BN270&lt;0,0,IF($CH270="Нет",BN270,IF(OR(Исходн.данные.!$AH270=$BP$1,Исходн.данные.!$AH270=$BP$2),0,IF(Исходн.данные.!AK270=$BU$11,BN270,IF(BN270-DF270&lt;0,0,BN270-DF270)))))</f>
        <v>0</v>
      </c>
      <c r="DJ270" s="12">
        <f t="shared" si="320"/>
        <v>0</v>
      </c>
      <c r="DK270" s="9">
        <f t="shared" si="321"/>
        <v>0</v>
      </c>
      <c r="DL270" s="39">
        <f>IF(Исходн.данные.!AM270&gt;0,Исходн.данные.!AM270,IF(EG270&gt;0,$BH$10,0))</f>
        <v>0</v>
      </c>
      <c r="DM270" s="186">
        <f>IF($DL270=0,0,IF(Исходн.данные.!AM270&gt;0,VLOOKUP($DL270,АшламаДВ_Irekle,2,FALSE),VLOOKUP($DL270,АшламаДВ_Gomumy,2,FALSE)))</f>
        <v>0</v>
      </c>
      <c r="DN270" s="10">
        <f t="shared" si="299"/>
        <v>0</v>
      </c>
      <c r="DO270" s="9" t="str">
        <f>IF(Исходн.данные.!AN270&gt;0,Исходн.данные.!AN270,Удобрения!$B$37 )</f>
        <v>Хлор.калий</v>
      </c>
      <c r="DP270" s="9">
        <f>IF(Исходн.данные.!AN270&gt;0,VLOOKUP(Исходн.данные.!AN270,АшламаДВ_Irekle,4,FALSE),VLOOKUP(DO270,АшламаДВ_Gomumy,4,FALSE))</f>
        <v>0.6</v>
      </c>
      <c r="DQ270" s="10">
        <f t="shared" si="300"/>
        <v>0</v>
      </c>
      <c r="DR270" s="132" t="str">
        <f>IF(Исходн.данные.!AO270&gt;0,Исходн.данные.!AO270,IF(DH270=0,BS$17,IF(AND($DK270=0,$DJ270&gt;0),EJ270,EN270)))</f>
        <v>Нет</v>
      </c>
      <c r="DS270" s="70" t="str">
        <f>IF($DR270="Нет","Нет",IF(Исходн.данные.!$AO270&gt;0,VLOOKUP($DR270,АшламаДВ_Irekle,2,FALSE),VLOOKUP($DR270,АшламаДВ_Gomumy,2,FALSE)))</f>
        <v>Нет</v>
      </c>
      <c r="DT270" s="70" t="str">
        <f>IF($DR270="Нет","Нет",IF(Исходн.данные.!$AO270&gt;0,VLOOKUP($DR270,АшламаДВ_Irekle,3,FALSE),VLOOKUP($DR270,АшламаДВ_Gomumy,3,FALSE)))</f>
        <v>Нет</v>
      </c>
      <c r="DU270" s="70" t="str">
        <f>IF($DR270="Нет","Нет",IF(Исходн.данные.!$AO270&gt;0,VLOOKUP($DR270,АшламаДВ_Irekle,4,FALSE),VLOOKUP($DR270,АшламаДВ_Gomumy,4,FALSE)))</f>
        <v>Нет</v>
      </c>
      <c r="DV270" s="70"/>
      <c r="DW270" s="70"/>
      <c r="DX270" s="70"/>
      <c r="DY270" s="10">
        <f t="shared" si="322"/>
        <v>0</v>
      </c>
      <c r="DZ270" s="10">
        <f t="shared" si="323"/>
        <v>0</v>
      </c>
      <c r="EA270" s="10">
        <f t="shared" si="324"/>
        <v>0</v>
      </c>
      <c r="EB270" s="10">
        <f t="shared" si="325"/>
        <v>0</v>
      </c>
      <c r="EC270" s="10">
        <f t="shared" si="326"/>
        <v>0</v>
      </c>
      <c r="ED270" s="10">
        <f t="shared" si="327"/>
        <v>0</v>
      </c>
      <c r="EE270" s="10">
        <f t="shared" si="328"/>
        <v>0</v>
      </c>
      <c r="EF270" s="39">
        <f>EB270*Исходн.данные.!AJ270/1000</f>
        <v>0</v>
      </c>
      <c r="EG270" s="9">
        <f t="shared" si="329"/>
        <v>0</v>
      </c>
      <c r="EH270" s="9">
        <f t="shared" si="330"/>
        <v>0</v>
      </c>
      <c r="EI270" s="39" t="e">
        <f t="shared" si="280"/>
        <v>#DIV/0!</v>
      </c>
      <c r="EJ270" s="9" t="str">
        <f t="shared" si="301"/>
        <v>Азопреципитат</v>
      </c>
      <c r="EK270" s="12">
        <f t="shared" si="281"/>
        <v>0.26</v>
      </c>
      <c r="EL270" s="12">
        <f t="shared" si="282"/>
        <v>0.13</v>
      </c>
      <c r="EM270" s="12">
        <f t="shared" si="283"/>
        <v>0</v>
      </c>
      <c r="EN270" s="12" t="str">
        <f t="shared" si="302"/>
        <v>Нет</v>
      </c>
      <c r="EO270" s="12">
        <f t="shared" si="284"/>
        <v>0</v>
      </c>
      <c r="EP270" s="12">
        <f t="shared" si="285"/>
        <v>0</v>
      </c>
      <c r="EQ270" s="12">
        <f t="shared" si="286"/>
        <v>0</v>
      </c>
      <c r="ER270" s="12" t="str">
        <f t="shared" si="331"/>
        <v>Диаммофоска</v>
      </c>
      <c r="ES270" s="12">
        <f t="shared" si="287"/>
        <v>0.1</v>
      </c>
      <c r="ET270" s="12">
        <f t="shared" si="288"/>
        <v>0.26</v>
      </c>
      <c r="EU270" s="12">
        <f t="shared" si="289"/>
        <v>0.26</v>
      </c>
      <c r="EV270" s="12" t="str">
        <f t="shared" si="332"/>
        <v>Аммофос 12:52:00</v>
      </c>
      <c r="EW270" s="12" t="str">
        <f t="shared" si="333"/>
        <v>Кемира Свекловичное-6</v>
      </c>
      <c r="EX270" s="12">
        <f t="shared" si="290"/>
        <v>0.16</v>
      </c>
      <c r="EY270" s="12">
        <f t="shared" si="291"/>
        <v>0.12</v>
      </c>
      <c r="EZ270" s="12">
        <f t="shared" si="292"/>
        <v>0.17</v>
      </c>
      <c r="FA270" s="38" t="e">
        <f>IF(AND(OR(FJ270=$FD$1,FM270=$FD$1,FO270=$FD$1,FQ270=$FD$1,FS270=$FD$1),FD270=$FD$1,Исходн.данные.!J270&lt;2,FU270=$FD$1),"Бор,Кобальт",IF(AND(FO270=$FD$1,FH270=$FD$1,Исходн.данные.!J270&lt;2,FU270=$FD$1),"Бор,Кобальт",IF(AND(OR(FJ270=$FD$1,FM270=$FD$1,FQ270=$FD$1),FE270=$FD$1,Исходн.данные.!J270&lt;2,FT270=$FD$1,FU270=$FD$1),"Бор,Медь,Цинк",IF(AND(OR(FJ270=$FD$1,FR270="Да"),FI270="Да",Исходн.данные.!J270&lt;2,FT270="Да",FU270="Да"),"Бор,Цинк,Медь",IF(AND(OR(FM270="Да",FQ270="Да"),FI270="Да",Исходн.данные.!J270&lt;2,FT270="Да",FU270="Да"),"Бор,Цинк",IF(AND(FN270="Да",OR(FD270="Да",FE270="Да")),"Бор",FB270))))))</f>
        <v>#N/A</v>
      </c>
      <c r="FB270" s="134" t="e">
        <f>IF(AND(OR(FD270="Да",FE270="Да",FF270="Да",FG270="Да",FH270="Да"),FO270="Да"),"Бор",IF(AND(FP270="Да",OR(FD270="Да",FE270="Да",FI270="Да")),"Бор",IF(AND(FS270="Да",FE270="Да"),"Бор,Медь",IF(AND(OR(FJ270="Да",FK270="Да",FL270="Да"),FE270="Да",Исходн.данные.!I270&lt;5,FT270="Да",FU270="Да"),"Молибден,Цинк",IF(AND(FM270="Да",OR(FE270="Да",FF270="Да",FG270="Да",FH270="Да",FI270="Да")),"Молибден,Цинк",IF(AND(OR(FJ270="Да",FK270="Да",FL270="Да",FM270="Да",FQ270="Да"),OR(FE270="Да",FF270="Да"),FT270="Да",FU270="Да",Исходн.данные.!I270&gt;5.5),"Медь,Цинк",FC270))))))</f>
        <v>#N/A</v>
      </c>
      <c r="FC270" s="23" t="e">
        <f t="shared" si="334"/>
        <v>#N/A</v>
      </c>
      <c r="FD270" s="38" t="str">
        <f>IF(OR(Исходн.данные.!F270=$CC$1,Исходн.данные.!F270=$CC$2,Исходн.данные.!F270=$CC$3,Исходн.данные.!F270=$CC$4),"Да","Нет")</f>
        <v>Нет</v>
      </c>
      <c r="FE270" s="38" t="str">
        <f>IF(Исходн.данные.!F270=$CC$5,"Да","Нет")</f>
        <v>Нет</v>
      </c>
      <c r="FF270" s="38" t="str">
        <f>IF(OR(Исходн.данные.!F270=$CC$6,Исходн.данные.!F270=$CC$7),"Да","Нет")</f>
        <v>Нет</v>
      </c>
      <c r="FG270" s="38" t="str">
        <f>IF(OR(Исходн.данные.!F270=$CC$8,Исходн.данные.!F270=$CC$9),"Да","Нет")</f>
        <v>Нет</v>
      </c>
      <c r="FH270" s="38" t="str">
        <f>IF(Исходн.данные.!F270=$CC$10,"Да","Нет")</f>
        <v>Нет</v>
      </c>
      <c r="FI270" s="38" t="str">
        <f>IF(OR(Исходн.данные.!F270=$CC$11,Исходн.данные.!F270=$CC$12),"Да","Нет")</f>
        <v>Нет</v>
      </c>
      <c r="FJ270" s="38" t="str">
        <f>IF(OR(Исходн.данные.!AH270=$BS$1,Исходн.данные.!AH270=$BQ$11,Исходн.данные.!AH270=$BQ$12),"Да","Нет")</f>
        <v>Нет</v>
      </c>
      <c r="FK270" s="38" t="str">
        <f>IF(OR(Исходн.данные.!AH270=$BS$2,Исходн.данные.!AH270=$BS$4),"Да","Нет")</f>
        <v>Нет</v>
      </c>
      <c r="FL270" s="38" t="str">
        <f>IF(OR(Исходн.данные.!AH270=$BS$3,Исходн.данные.!AH270=$BS$5),"Да","Нет")</f>
        <v>Нет</v>
      </c>
      <c r="FM270" s="38" t="str">
        <f>IF(OR(Исходн.данные.!AH270=$BS$9,Исходн.данные.!AH270=$BS$10,Исходн.данные.!AH270=$BS$11,Исходн.данные.!AH270=$BS$12),"Да","Нет")</f>
        <v>Нет</v>
      </c>
      <c r="FN270" s="38" t="str">
        <f>IF(OR(Исходн.данные.!AH270=$BS$6,Исходн.данные.!AH270=$BP$3),"Да","Нет")</f>
        <v>Нет</v>
      </c>
      <c r="FO270" s="38" t="str">
        <f>IF(Исходн.данные.!AH270=$BQ$9,"Да","Нет")</f>
        <v>Нет</v>
      </c>
      <c r="FP270" s="38" t="str">
        <f>IF(OR(Исходн.данные.!AH270=$BS$8,Исходн.данные.!AH270=$BT$8),"Да","Нет")</f>
        <v>Нет</v>
      </c>
      <c r="FQ270" s="38" t="str">
        <f>IF(OR(Исходн.данные.!AH270=$BQ$7,Исходн.данные.!AH270=$BQ$8),"Да","Нет")</f>
        <v>Нет</v>
      </c>
      <c r="FR270" s="38" t="str">
        <f>IF(Исходн.данные.!AI270=$BU$9,"Да","Нет")</f>
        <v>Нет</v>
      </c>
      <c r="FS270" s="38" t="str">
        <f>IF(OR(Исходн.данные.!AH270=$BP$1,Исходн.данные.!AH270=$BP$2),"Да","Нет")</f>
        <v>Нет</v>
      </c>
      <c r="FT270" s="38" t="e">
        <f>IF((Исходн.данные.!K270*GO270*GS270*GW270+BL270*0.6+Исходн.данные.!Q270*4.5*0.275)&gt;90,"Да","Нет")</f>
        <v>#N/A</v>
      </c>
      <c r="FU270" s="38" t="e">
        <f>IF((Исходн.данные.!M270*GS270*GZ270+BM270*0.225)&gt;35,"Да","Нет")</f>
        <v>#N/A</v>
      </c>
      <c r="FV270" s="38" t="str">
        <f>IF(Исходн.данные.!O270&gt;175,"Да","Нет")</f>
        <v>Нет</v>
      </c>
      <c r="FW270" s="39" t="str">
        <f>IF(Исходн.данные.!I270&gt;5.5,"Да","Нет")</f>
        <v>Нет</v>
      </c>
      <c r="FX270" s="39" t="str">
        <f>IF(Исходн.данные.!J270&lt;2,"Да","Нет")</f>
        <v>Да</v>
      </c>
      <c r="FY270" s="39" t="e">
        <f>IF(HF270=$FY$16,0,Исходн.данные.!K270*GO270*GS270*GW270/HF270)</f>
        <v>#N/A</v>
      </c>
      <c r="FZ270" s="39" t="e">
        <f>Исходн.данные.!M270*GS270*GZ270/HG270</f>
        <v>#N/A</v>
      </c>
      <c r="GA270" s="39" t="e">
        <f>IF(K_Wyn=$FY$16,0,IF(Исходн.данные.!N270=Исходн.данные.!$L$10,Исходн.данные.!O270/1.1*GS270*HC270/HH270,IF(Исходн.данные.!N270=Исходн.данные.!$L$12,Исходн.данные.!O270/1.5*GS270*HC270/HH270,Исходн.данные.!O270*GS270*HC270/HH270)))</f>
        <v>#N/A</v>
      </c>
      <c r="GB270" s="39" t="e">
        <f>IF(HF270=$FY$16,0,((Исходн.данные.!Q270*N_Org+Исходн.данные.!R270*N_Sider+Исходн.данные.!S270*N_Soloma)*AO270+Расчет!BC270*VLOOKUP(Исходн.данные.!T270,Справ!$A$3:$O$57,15)*AO270+BB270*VLOOKUP(Исходн.данные.!T270,Справ!$A$3:$O$57,15)*AL270+(Исходн.данные.!V270*N_Rizotorf+Исходн.данные.!W270*N_Rizoagr))/HF270)</f>
        <v>#N/A</v>
      </c>
      <c r="GC270" s="39" t="e">
        <f>IF(HG270=$FY$16,0,((Исходн.данные.!Q270*Р_Org+Исходн.данные.!R270*P_Sider+Исходн.данные.!S270*P_Soloma)*AP270+Расчет!BC270*VLOOKUP(Исходн.данные.!T270,Справ!$A$3:$P$57,16)*AP270+BB270*VLOOKUP(Исходн.данные.!T270,Справ!$A$3:$P$57,16)*AM270)/HG270)</f>
        <v>#N/A</v>
      </c>
      <c r="GD270" s="39" t="e">
        <f>IF(HH270=$FY$16,0,((Исходн.данные.!Q270*К_Org+Исходн.данные.!R270*K_Sider+Исходн.данные.!S270*K_Soloma)*AQ270+Расчет!BC270*VLOOKUP(Исходн.данные.!T270,Справ!$A$3:$Q$57,17)*AQ270+BB270*VLOOKUP(Исходн.данные.!T270,Справ!$A$3:$Q$57,17)*AN270)/HH270)</f>
        <v>#N/A</v>
      </c>
      <c r="GE270" s="39" t="e">
        <f>IF(HF270=$FY$16,0,(Исходн.данные.!X270*AR270+Исходн.данные.!AA270*N_Org*AL270+Исходн.данные.!AB270*N_Sider*AL270+Исходн.данные.!AC270*N_Soloma*AL270)/HF270)</f>
        <v>#N/A</v>
      </c>
      <c r="GF270" s="39" t="e">
        <f>IF(HG270=$FY$16,0,(Исходн.данные.!Y270*AS270+Исходн.данные.!AA270*Р_Org*AM270+Исходн.данные.!AB270*P_Sider*AM270+Исходн.данные.!AC270*P_Soloma*AM270)/HG270)</f>
        <v>#N/A</v>
      </c>
      <c r="GG270" s="39" t="e">
        <f>IF(HH270=$FY$16,0,(Исходн.данные.!Z270*AT270+Исходн.данные.!AA270*К_Org*AN270+Исходн.данные.!AB270*K_Sider*AN270+Исходн.данные.!AC270*K_Soloma*AN270)/HH270)</f>
        <v>#N/A</v>
      </c>
      <c r="GH270" s="39" t="e">
        <f>Исходн.данные.!AD270*AU270/HF270</f>
        <v>#N/A</v>
      </c>
      <c r="GI270" s="39" t="e">
        <f>Исходн.данные.!AE270*AV270/HG270</f>
        <v>#N/A</v>
      </c>
      <c r="GJ270" s="39" t="e">
        <f>Исходн.данные.!AF270*AW270/HH270</f>
        <v>#N/A</v>
      </c>
      <c r="GK270" s="55">
        <f>Исходн.данные.!AK270</f>
        <v>0</v>
      </c>
      <c r="GL270" s="11" t="e">
        <f t="shared" si="335"/>
        <v>#N/A</v>
      </c>
      <c r="GM270" s="11" t="e">
        <f t="shared" si="336"/>
        <v>#N/A</v>
      </c>
      <c r="GN270" s="11" t="e">
        <f t="shared" si="337"/>
        <v>#N/A</v>
      </c>
      <c r="GO270" s="57">
        <f t="shared" si="338"/>
        <v>19</v>
      </c>
      <c r="GP270" s="55">
        <f>IF(OR(Исходн.данные.!F270=$CE$1,Исходн.данные.!F270=$CE$2,Исходн.данные.!F270=$CE$3,Исходн.данные.!F270=$CE$4,Исходн.данные.!F270=$CE$5),GQ270,GR270)</f>
        <v>19</v>
      </c>
      <c r="GQ270" s="55">
        <f>IF(Исходн.данные.!F270=$CE$1,28,IF(Исходн.данные.!F270=$CE$2,26,IF(Исходн.данные.!F270=$CE$3,24,IF(Исходн.данные.!F270=$CE$4,22,IF(Исходн.данные.!F270=$CE$5,20,GR270)))))</f>
        <v>19</v>
      </c>
      <c r="GR270" s="55">
        <f>IF(Исходн.данные.!F270=$CE$6,18,IF(Исходн.данные.!F270=$CE$7,16,IF(Исходн.данные.!F270=$CE$8,14,IF(Исходн.данные.!F270=$CE$9,13,IF(Исходн.данные.!F270=$CE$10,12,19)))))</f>
        <v>19</v>
      </c>
      <c r="GS270" s="55">
        <f>IF(Исходн.данные.!G270="Пес",0.035*(40+2*Исходн.данные.!H270),IF(Исходн.данные.!G270="Суп",0.0325*(40+2*Исходн.данные.!H270),0.03*(40+2*Исходн.данные.!H270)))</f>
        <v>1.2</v>
      </c>
      <c r="GT270" s="55">
        <f>IF(Исходн.данные.!H270&lt;23,2.6,IF(AND(Исходн.данные.!H270&gt;22,Исходн.данные.!H270&lt;26),3,IF(AND(Исходн.данные.!H270&gt;25,Исходн.данные.!H270&lt;29),3.4,3.6)))</f>
        <v>2.6</v>
      </c>
      <c r="GU270" s="55">
        <f>IF(Исходн.данные.!H270&lt;23,2.8,IF(AND(Исходн.данные.!H270&gt;22,Исходн.данные.!H270&lt;26),3.2,IF(AND(Исходн.данные.!H270&gt;25,Исходн.данные.!H270&lt;29),3.6,3.9)))</f>
        <v>2.8</v>
      </c>
      <c r="GV270" s="55">
        <f>IF(Исходн.данные.!H270&lt;23,3,IF(AND(Исходн.данные.!H270&gt;22,Исходн.данные.!H270&lt;26),3.5,IF(AND(Исходн.данные.!H270&gt;25,Исходн.данные.!H270&lt;29),3.9,4.2)))</f>
        <v>3</v>
      </c>
      <c r="GW270" s="55" t="e">
        <f>IF(Исходн.данные.!P270="Ум",GX270,GY270)</f>
        <v>#N/A</v>
      </c>
      <c r="GX270" s="55" t="e">
        <f>VLOOKUP(Исходн.данные.!AI270,Коэффициенты!$J$7:$L$13,2,FALSE)</f>
        <v>#N/A</v>
      </c>
      <c r="GY270" s="55" t="e">
        <f>VLOOKUP(Исходн.данные.!AI270,Коэффициенты!$J$7:$L$13,3,FALSE)</f>
        <v>#N/A</v>
      </c>
      <c r="GZ270" s="55" t="e">
        <f>(IF(Исходн.данные.!M270&lt;50,0.11*VLOOKUP(Исходн.данные.!AH270,Культуры.Информация,7,FALSE),IF(Исходн.данные.!M270&gt;250,0.05*VLOOKUP(Исходн.данные.!AH270,Культуры.Информация,7,FALSE),VLOOKUP(Исходн.данные.!AH270,Культуры.Информация,5,FALSE)/100*($GX$6+$GY$6*Исходн.данные.!M270))))*Расчет2!AI270</f>
        <v>#N/A</v>
      </c>
      <c r="HA270" s="211"/>
      <c r="HB270" s="211"/>
      <c r="HC270" s="55" t="e">
        <f>(IF(Исходн.данные.!O270&lt;80,0.2*VLOOKUP(Исходн.данные.!AH270,Культуры.Информация,8,FALSE),IF(Исходн.данные.!O270&gt;240,0.09*VLOOKUP(Исходн.данные.!AH270,Культуры.Информация,8,FALSE),VLOOKUP(Исходн.данные.!AH270,Культуры.Информация,6,FALSE)/100*($HB$6+$HC$6*Исходн.данные.!O270))))*Расчет2!AJ270</f>
        <v>#N/A</v>
      </c>
      <c r="HD270" s="55">
        <f>IF(Исходн.данные.!O270&gt;240,0.09,IF(Исходн.данные.!O270&lt;30,0.3,$HE$10+$HD$10*Исходн.данные.!O270))</f>
        <v>0.3</v>
      </c>
      <c r="HE270" s="55">
        <f>IF(Исходн.данные.!O270&gt;240,0.17,IF(Исходн.данные.!O270&lt;30,0.5,$HF$12+$HE$12*Исходн.данные.!O270))</f>
        <v>0.5</v>
      </c>
      <c r="HF270" s="55" t="e">
        <f>VLOOKUP(Исходн.данные.!AH270,Справ!$A$3:$D$58,2,FALSE)</f>
        <v>#N/A</v>
      </c>
      <c r="HG270" s="55" t="e">
        <f>VLOOKUP(Исходн.данные.!AH270,Справ!$A$3:$D$58,3,FALSE)</f>
        <v>#N/A</v>
      </c>
      <c r="HH270" s="55" t="e">
        <f>VLOOKUP(Исходн.данные.!AH270,Справ!$A$3:$D$58,4,FALSE)</f>
        <v>#N/A</v>
      </c>
      <c r="HI270" s="11" t="e">
        <f t="shared" si="339"/>
        <v>#N/A</v>
      </c>
      <c r="HJ270" s="11" t="e">
        <f t="shared" si="340"/>
        <v>#N/A</v>
      </c>
      <c r="HK270" s="11" t="e">
        <f t="shared" si="341"/>
        <v>#N/A</v>
      </c>
      <c r="HL270" s="55">
        <f>IF(OR(Исходн.данные.!G270="Глин",Исходн.данные.!G270="Т_суг"),1.1,IF(Исходн.данные.!G270="Ср_суг",1,1))</f>
        <v>1</v>
      </c>
      <c r="HM270" s="55">
        <f>IF(OR(Исходн.данные.!G270="Глин",Исходн.данные.!G270="Т_суг"),0.9,IF(Исходн.данные.!G270="Ср_суг",1,1.2))</f>
        <v>1.2</v>
      </c>
      <c r="HN270" s="11" t="e">
        <f t="shared" si="342"/>
        <v>#N/A</v>
      </c>
      <c r="HO270" s="11" t="e">
        <f t="shared" si="343"/>
        <v>#N/A</v>
      </c>
      <c r="HP270" s="11" t="e">
        <f t="shared" si="344"/>
        <v>#N/A</v>
      </c>
      <c r="HQ270" t="e">
        <f t="shared" si="345"/>
        <v>#N/A</v>
      </c>
      <c r="HR270" t="e">
        <f t="shared" si="346"/>
        <v>#N/A</v>
      </c>
      <c r="HS270" t="e">
        <f t="shared" si="347"/>
        <v>#N/A</v>
      </c>
      <c r="HT270" t="e">
        <f t="shared" si="293"/>
        <v>#N/A</v>
      </c>
      <c r="HU270" t="e">
        <f t="shared" si="294"/>
        <v>#N/A</v>
      </c>
      <c r="HV270" t="e">
        <f t="shared" si="295"/>
        <v>#N/A</v>
      </c>
      <c r="HW270" t="e">
        <f t="shared" si="296"/>
        <v>#N/A</v>
      </c>
      <c r="HX270" t="e">
        <f t="shared" si="297"/>
        <v>#N/A</v>
      </c>
      <c r="HY270" t="e">
        <f t="shared" si="298"/>
        <v>#N/A</v>
      </c>
      <c r="HZ270" s="55">
        <f>IF(OR(Исходн.данные.!AI270="Оз_Ч_П",Исходн.данные.!AI270="Оз_З_П",Исходн.данные.!AI270="Яр_зер"),12,30)</f>
        <v>30</v>
      </c>
      <c r="IA270" t="e">
        <f t="shared" si="348"/>
        <v>#N/A</v>
      </c>
      <c r="IB270" t="e">
        <f t="shared" si="349"/>
        <v>#N/A</v>
      </c>
      <c r="IC270" t="e">
        <f t="shared" si="350"/>
        <v>#N/A</v>
      </c>
      <c r="ID270" s="11" t="e">
        <f t="shared" si="351"/>
        <v>#N/A</v>
      </c>
      <c r="IE270" s="11" t="e">
        <f t="shared" si="352"/>
        <v>#N/A</v>
      </c>
      <c r="IF270" s="11" t="e">
        <f t="shared" si="353"/>
        <v>#N/A</v>
      </c>
    </row>
    <row r="271" spans="35:240" x14ac:dyDescent="0.2">
      <c r="AI271">
        <f>IF(Исходн.данные.!I271&gt;6,1,1.85-(0.148*Исходн.данные.!I271))</f>
        <v>1.85</v>
      </c>
      <c r="AJ271">
        <f>IF(Исходн.данные.!I271&gt;6,1,2.434-(0.246*Исходн.данные.!I271))</f>
        <v>2.4340000000000002</v>
      </c>
      <c r="AL271" s="148" t="b">
        <f>IF(Исходн.данные.!$P271="Ум",N_OrgUd_2g_um,IF(Исходн.данные.!$P271="Об",N_OrgUd_2g_ob))</f>
        <v>0</v>
      </c>
      <c r="AM271" s="148" t="b">
        <f>IF(Исходн.данные.!$P271="Ум",P_OrgUd_2g_um,IF(Исходн.данные.!$P271="Об",P_OrgUd_2g_ob))</f>
        <v>0</v>
      </c>
      <c r="AN271" s="148" t="b">
        <f>IF(Исходн.данные.!$P271="Ум",K_OrgUd_2g_um,IF(Исходн.данные.!$P271="Об",K_OrgUd_2g_ob))</f>
        <v>0</v>
      </c>
      <c r="AO271" s="148" t="b">
        <f>IF(Исходн.данные.!$P271="Ум",N_OrgUd_1g_um,IF(Исходн.данные.!$P271="Об",N_OrgUd_1g_ob))</f>
        <v>0</v>
      </c>
      <c r="AP271" s="148" t="b">
        <f>IF(Исходн.данные.!$P271="Ум",P_OrgUd_1g_um,IF(Исходн.данные.!$P271="Об",P_OrgUd_1g_ob))</f>
        <v>0</v>
      </c>
      <c r="AQ271" s="148" t="b">
        <f>IF(Исходн.данные.!$P271="Ум",K_OrgUd_1g_um,IF(Исходн.данные.!$P271="Об",K_OrgUd_1g_ob))</f>
        <v>0</v>
      </c>
      <c r="AR271" t="b">
        <f>IF(Исходн.данные.!$P271="Ум",N_MinUd_2g_um,IF(Исходн.данные.!$P271="Об",N_MinUd_2g_ob))</f>
        <v>0</v>
      </c>
      <c r="AS271" t="b">
        <f>IF(Исходн.данные.!$P271="Ум",P_MinUd_2g_um,IF(Исходн.данные.!$P271="Об",P_MinUd_2g_ob))</f>
        <v>0</v>
      </c>
      <c r="AT271" t="b">
        <f>IF(Исходн.данные.!$P271="Ум",K_MinUd_2g_um,IF(Исходн.данные.!$P271="Об",K_MinUd_2g_ob))</f>
        <v>0</v>
      </c>
      <c r="AU271" t="b">
        <f>IF(Исходн.данные.!$P271="Ум",N_MinUd_1g_um,IF(Исходн.данные.!$P271="Об",N_MinUd_1g_ob))</f>
        <v>0</v>
      </c>
      <c r="AV271" t="b">
        <f>IF(Исходн.данные.!P271="Ум",P_MinUd_1g_um,IF(Исходн.данные.!P271="Об",P_MinUd_1g_ob))</f>
        <v>0</v>
      </c>
      <c r="AW271" t="b">
        <f>IF(Исходн.данные.!P271="Ум",K_MinUd_1g_um,IF(Исходн.данные.!P271="Об",K_MinUd_1g_ob))</f>
        <v>0</v>
      </c>
      <c r="AY271" t="e">
        <f>VLOOKUP(Исходн.данные.!T271,Справ!$A$3:$N$57,12)</f>
        <v>#N/A</v>
      </c>
      <c r="AZ271" t="e">
        <f>VLOOKUP(Исходн.данные.!T271,Справ!$A$3:$N$57,13)</f>
        <v>#N/A</v>
      </c>
      <c r="BA271" t="e">
        <f>VLOOKUP(Исходн.данные.!T271,Справ!$A$3:$N$57,14)</f>
        <v>#N/A</v>
      </c>
      <c r="BB271">
        <f>IF(Исходн.данные.!AH271=0,0,25)</f>
        <v>0</v>
      </c>
      <c r="BC271" s="141">
        <f>IF(Исходн.данные.!AH271=0,0,IF(Исходн.данные.!T271=0,25,BD271))</f>
        <v>0</v>
      </c>
      <c r="BD271" s="168" t="e">
        <f>AY271+AZ271*Исходн.данные.!U271-POWER(BA271,2)*Исходн.данные.!U271</f>
        <v>#N/A</v>
      </c>
      <c r="BE27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1" s="25">
        <f>IF(Исходн.данные.!AH271=0,0,MIN(HN271:HP271))</f>
        <v>0</v>
      </c>
      <c r="BG271" s="9">
        <f>IF(Исходн.данные.!AH271=0,0,IF((HO271+10*0.25/HG271/HL271)&lt;17,17,HO271+10*0.25/HG271/HL271))</f>
        <v>0</v>
      </c>
      <c r="BH271" s="181">
        <f>IF(Исходн.данные.!AH271=0,0,HW271*HF271*HL271/AU271*AI271+Исходн.данные.!S271*10)</f>
        <v>0</v>
      </c>
      <c r="BI271" s="10"/>
      <c r="BJ271" s="182">
        <f>IF(Исходн.данные.!AH271=0,0,IF(HX271*HG271*HL271/AV271&lt;0,0,HX271*HG271*HL271/AV271*AJ271))</f>
        <v>0</v>
      </c>
      <c r="BK271" s="182">
        <f>IF(Исходн.данные.!AH271=0,0,HY271*HH271*HM271/AW271)</f>
        <v>0</v>
      </c>
      <c r="BL271" s="10">
        <f>IF(OR(Исходн.данные.!$AH271=$BP$1,Исходн.данные.!$AH271=$BP$2),0,IF(BH271&lt;0,0,IF(OR(Исходн.данные.!T271=Расчет!$BP$1,Исходн.данные.!T271=Расчет!$BP$2,Исходн.данные.!T271=Расчет!$BT$5,Исходн.данные.!T271=Расчет!$BT$6),BH271*0.5,IF(OR(Исходн.данные.!T271=Расчет!$BS$9,Исходн.данные.!T271=Расчет!$BS$10,Исходн.данные.!T271=Расчет!$BS$11,Исходн.данные.!T271=Расчет!$BS$12,Исходн.данные.!T271=Расчет!$BP$5),BH271*0.8,BH271))))</f>
        <v>0</v>
      </c>
      <c r="BM271" s="10">
        <f>IF(OR(Исходн.данные.!$AH271=$BP$1,Исходн.данные.!$AH271=$BP$2),0,IF(BJ271&lt;0,0,IF(Исходн.данные.!I271&lt;4.5,BJ271*1.2,IF(Исходн.данные.!I271&gt;5.1,BJ271,BJ271*((5.1-Исходн.данные.!I271)*0.333+1)))))</f>
        <v>0</v>
      </c>
      <c r="BN271" s="10">
        <f>IF(OR(Исходн.данные.!$AH271=$BP$1,Исходн.данные.!$AH271=$BP$2),60-Исходн.данные.!AF271,IF(BK271&lt;0,0,IF(Исходн.данные.!I271&lt;4.5,BK271*1.2,IF(Исходн.данные.!I271&gt;5.1,BK271,BK271*((5.1-Исходн.данные.!I271)*0.333+1)))))</f>
        <v>0</v>
      </c>
      <c r="BO271" s="9">
        <f>IF(BL271&lt;0,0,BL271*Исходн.данные.!$AJ271/1000)</f>
        <v>0</v>
      </c>
      <c r="BP271" s="9">
        <f>IF(BM271&lt;0,0,BM271*Исходн.данные.!$AJ271/1000)</f>
        <v>0</v>
      </c>
      <c r="BQ271" s="9">
        <f>IF(BN271&lt;0,0,BN271*Исходн.данные.!$AJ271/1000)</f>
        <v>0</v>
      </c>
      <c r="BR271" s="9">
        <f t="shared" si="303"/>
        <v>0</v>
      </c>
      <c r="BS271" s="10" t="str">
        <f t="shared" si="304"/>
        <v>Аммофос 12:52:00</v>
      </c>
      <c r="BT271" s="10" t="str">
        <f t="shared" si="305"/>
        <v>Аммофос 12:52:00</v>
      </c>
      <c r="BU271" s="10" t="str">
        <f t="shared" si="306"/>
        <v>Диаммофоска</v>
      </c>
      <c r="BV271" s="10">
        <f t="shared" si="307"/>
        <v>0</v>
      </c>
      <c r="BW271" s="10"/>
      <c r="BX271" s="10"/>
      <c r="BY271" s="9">
        <f>IF(BL271&lt;0,0,IF(OR(Исходн.данные.!AI271=Расчет!$BU$6,Исходн.данные.!AI271=Расчет!$BU$7),Расчет!BV271,IF(Исходн.данные.!$AG271=$BV$11,BL271,IF(OR(Исходн.данные.!$AH271=$BQ$7,Исходн.данные.!$AH271=$BQ$8),CB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0,IF(Исходн.данные.!$AI271=$BU$11,"Нет",IF(BL271&gt;30,30,BL271)))))))</f>
        <v>0</v>
      </c>
      <c r="BZ271" s="9">
        <f>IF(AND(Исходн.данные.!$AG271=$BV$11,BM271&lt;10),10,IF(Исходн.данные.!$AG271=$BV$11,BM271,IF(OR(Исходн.данные.!$AH271=$BQ$7,Исходн.данные.!$AH271=$BQ$8),CC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10,IF(Исходн.данные.!$AI271=$BU$11,"Нет",IF(BM271&gt;60,60,IF(BM271&lt;10,10,BM271)))))))</f>
        <v>10</v>
      </c>
      <c r="CA271" s="39">
        <f>IF(BN271&lt;0,0,IF(Исходн.данные.!$AG271=$BV$11,BN271,IF(OR(Исходн.данные.!$AH271=$BQ$7,Исходн.данные.!$AH271=$BQ$8),CD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0,IF(Исходн.данные.!$AI271=$BU$11,"Нет",IF(BN271&gt;30,30,BN271))))))</f>
        <v>0</v>
      </c>
      <c r="CB271" s="9">
        <f t="shared" si="308"/>
        <v>0</v>
      </c>
      <c r="CC271" s="9">
        <f t="shared" si="309"/>
        <v>0</v>
      </c>
      <c r="CD271" s="9">
        <f t="shared" si="310"/>
        <v>0</v>
      </c>
      <c r="CE271" s="12">
        <f t="shared" si="311"/>
        <v>10</v>
      </c>
      <c r="CF271" s="9">
        <f t="shared" si="312"/>
        <v>0</v>
      </c>
      <c r="CG271" s="9" t="s">
        <v>231</v>
      </c>
      <c r="CH271" s="132" t="str">
        <f>IF(Исходн.данные.!AP271=Расчет!$CI$16,"Нет",IF(Исходн.данные.!AL271&gt;0,Исходн.данные.!AL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BH$4,IF(OR(Исходн.данные.!AI271=Исходн.данные.!$AI$6,Исходн.данные.!AI271=Исходн.данные.!$AI$7),Расчет!BS271,IF(AND($CF271=0,$CE271&gt;0),EV271,ER271)))))</f>
        <v>Аммофос 12:52:00</v>
      </c>
      <c r="CI271" s="274">
        <f>IF(Расчет!$CH271="Нет","Нет",IF(Исходн.данные.!$AL271&gt;0,VLOOKUP(Расчет!$CH271,АшламаДВ_Irekle,2,FALSE),VLOOKUP(Расчет!$CH271,АшламаДВ_Gomumy,2,FALSE)))</f>
        <v>0.12</v>
      </c>
      <c r="CJ271" s="274">
        <f>IF(Расчет!$CH271="Нет","Нет",IF(Исходн.данные.!$AL271&gt;0,VLOOKUP(Расчет!$CH271,АшламаДВ_Irekle,3,FALSE),VLOOKUP(Расчет!$CH271,АшламаДВ_Gomumy,3,FALSE)))</f>
        <v>0.52</v>
      </c>
      <c r="CK271" s="274">
        <f>IF(Расчет!$CH271="Нет","Нет",IF(Исходн.данные.!$AL271&gt;0,VLOOKUP(Расчет!$CH271,АшламаДВ_Irekle,4,FALSE),VLOOKUP(Расчет!$CH271,АшламаДВ_Gomumy,4,FALSE)))</f>
        <v>0</v>
      </c>
      <c r="CL271" s="70"/>
      <c r="CM271" s="70"/>
      <c r="CN271" s="70"/>
      <c r="CO271" s="70"/>
      <c r="CP271" s="70"/>
      <c r="CQ271" s="70"/>
      <c r="CR271" s="10">
        <f t="shared" si="313"/>
        <v>0</v>
      </c>
      <c r="CS271" s="10">
        <f t="shared" si="314"/>
        <v>19.23076923076923</v>
      </c>
      <c r="CT271" s="10">
        <f t="shared" si="315"/>
        <v>0</v>
      </c>
      <c r="CU271" s="39">
        <f>IF($CH271="Нет",0,IF(CI271=0,30/MIN(CJ271:CK271),IF(Исходн.данные.!$AG271=$BV$11,CR271,IF(OR(Исходн.данные.!$AH271=$BQ$7,Исходн.данные.!$AH271=$BQ$8),90/CI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0,IF(Исходн.данные.!$AI271=$BU$11,"Нет",30/CI271))))))</f>
        <v>250</v>
      </c>
      <c r="CV271" s="39">
        <f>IF($CH271="Нет",0,IF(Исходн.данные.!AH271=0,0,IF(CJ271=0,60/MIN(CI271,CK271),IF(Исходн.данные.!$AG271=$BV$11,CS271,IF(OR(Исходн.данные.!$AH271=$BQ$7,Исходн.данные.!$AH271=$BQ$8),90/CJ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10/CJ271,IF(Исходн.данные.!$AI271=$BU$11,"Нет",60/CJ271)))))))</f>
        <v>0</v>
      </c>
      <c r="CW271" s="39">
        <f>IF($CH271="Нет",0,IF(Исходн.данные.!AH271=0,0,IF(CK271=0,30/MIN(CI271:CJ271),IF(Исходн.данные.!$AG271=$BV$11,CT271,IF(OR(Исходн.данные.!$AH271=$BQ$7,Исходн.данные.!$AH271=$BQ$8),90/CK271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0,IF(Исходн.данные.!$AI271=$BU$11,"Нет",30/CK271)))))))</f>
        <v>0</v>
      </c>
      <c r="CX271" s="133">
        <f>IF(Исходн.данные.!$AG271=$BV$11,MAX(CU271:CW271),IF(OR(Исходн.данные.!$AH271=$BS$8,Исходн.данные.!$AH271=$BQ$9,Исходн.данные.!$AH271=$BQ$10,Исходн.данные.!$AH271=$BQ$11,Исходн.данные.!$AH271=$BQ$12,Исходн.данные.!$AH271=$BP$3,Исходн.данные.!$AH271=$BT$8,$FM271="Да"),CV271,MIN(CU271:CW271)))</f>
        <v>0</v>
      </c>
      <c r="CY271" s="133">
        <f>IF(Исходн.данные.!AH271=0,0,IF(CR271&gt;$CX271,$CX271,CR271))</f>
        <v>0</v>
      </c>
      <c r="CZ271" s="133">
        <f>IF(Исходн.данные.!AH271=0,0,IF(CS271&gt;$CX271,$CX271,CS271))</f>
        <v>0</v>
      </c>
      <c r="DA271" s="133">
        <f>IF(Исходн.данные.!AH271=0,0,IF(CT271&gt;$CX271,$CX271,CT271))</f>
        <v>0</v>
      </c>
      <c r="DB271" s="10">
        <f t="shared" si="316"/>
        <v>0</v>
      </c>
      <c r="DC271" s="39">
        <f>DB271*Исходн.данные.!AJ271/1000</f>
        <v>0</v>
      </c>
      <c r="DD271" s="71">
        <f t="shared" si="317"/>
        <v>0</v>
      </c>
      <c r="DE271" s="9">
        <f t="shared" si="318"/>
        <v>0</v>
      </c>
      <c r="DF271" s="9">
        <f t="shared" si="319"/>
        <v>0</v>
      </c>
      <c r="DG271" s="39">
        <f>IF(BL271&lt;0,0,IF($CH271="Нет",BL271,IF(OR(Исходн.данные.!$AH271=$BP$1,Исходн.данные.!$AH271=$BP$2),0,IF(Исходн.данные.!AI271=$BU$11,BL271,IF(BL271-DD271&lt;0,0,BL271-DD271)))))</f>
        <v>0</v>
      </c>
      <c r="DH271" s="39">
        <f>IF(BM271&lt;0,0,IF($CH271="Нет",BM271,IF(OR(Исходн.данные.!$AH271=$BP$1,Исходн.данные.!$AH271=$BP$2),0,IF(Исходн.данные.!AJ271=$BU$11,BM271,IF(BM271-DE271&lt;0,0,BM271-DE271)))))</f>
        <v>0</v>
      </c>
      <c r="DI271" s="39">
        <f>IF(BN271&lt;0,0,IF($CH271="Нет",BN271,IF(OR(Исходн.данные.!$AH271=$BP$1,Исходн.данные.!$AH271=$BP$2),0,IF(Исходн.данные.!AK271=$BU$11,BN271,IF(BN271-DF271&lt;0,0,BN271-DF271)))))</f>
        <v>0</v>
      </c>
      <c r="DJ271" s="12">
        <f t="shared" si="320"/>
        <v>0</v>
      </c>
      <c r="DK271" s="9">
        <f t="shared" si="321"/>
        <v>0</v>
      </c>
      <c r="DL271" s="39">
        <f>IF(Исходн.данные.!AM271&gt;0,Исходн.данные.!AM271,IF(EG271&gt;0,$BH$10,0))</f>
        <v>0</v>
      </c>
      <c r="DM271" s="186">
        <f>IF($DL271=0,0,IF(Исходн.данные.!AM271&gt;0,VLOOKUP($DL271,АшламаДВ_Irekle,2,FALSE),VLOOKUP($DL271,АшламаДВ_Gomumy,2,FALSE)))</f>
        <v>0</v>
      </c>
      <c r="DN271" s="10">
        <f t="shared" si="299"/>
        <v>0</v>
      </c>
      <c r="DO271" s="9" t="str">
        <f>IF(Исходн.данные.!AN271&gt;0,Исходн.данные.!AN271,Удобрения!$B$37 )</f>
        <v>Хлор.калий</v>
      </c>
      <c r="DP271" s="9">
        <f>IF(Исходн.данные.!AN271&gt;0,VLOOKUP(Исходн.данные.!AN271,АшламаДВ_Irekle,4,FALSE),VLOOKUP(DO271,АшламаДВ_Gomumy,4,FALSE))</f>
        <v>0.6</v>
      </c>
      <c r="DQ271" s="10">
        <f t="shared" si="300"/>
        <v>0</v>
      </c>
      <c r="DR271" s="132" t="str">
        <f>IF(Исходн.данные.!AO271&gt;0,Исходн.данные.!AO271,IF(DH271=0,BS$17,IF(AND($DK271=0,$DJ271&gt;0),EJ271,EN271)))</f>
        <v>Нет</v>
      </c>
      <c r="DS271" s="70" t="str">
        <f>IF($DR271="Нет","Нет",IF(Исходн.данные.!$AO271&gt;0,VLOOKUP($DR271,АшламаДВ_Irekle,2,FALSE),VLOOKUP($DR271,АшламаДВ_Gomumy,2,FALSE)))</f>
        <v>Нет</v>
      </c>
      <c r="DT271" s="70" t="str">
        <f>IF($DR271="Нет","Нет",IF(Исходн.данные.!$AO271&gt;0,VLOOKUP($DR271,АшламаДВ_Irekle,3,FALSE),VLOOKUP($DR271,АшламаДВ_Gomumy,3,FALSE)))</f>
        <v>Нет</v>
      </c>
      <c r="DU271" s="70" t="str">
        <f>IF($DR271="Нет","Нет",IF(Исходн.данные.!$AO271&gt;0,VLOOKUP($DR271,АшламаДВ_Irekle,4,FALSE),VLOOKUP($DR271,АшламаДВ_Gomumy,4,FALSE)))</f>
        <v>Нет</v>
      </c>
      <c r="DV271" s="70"/>
      <c r="DW271" s="70"/>
      <c r="DX271" s="70"/>
      <c r="DY271" s="10">
        <f t="shared" si="322"/>
        <v>0</v>
      </c>
      <c r="DZ271" s="10">
        <f t="shared" si="323"/>
        <v>0</v>
      </c>
      <c r="EA271" s="10">
        <f t="shared" si="324"/>
        <v>0</v>
      </c>
      <c r="EB271" s="10">
        <f t="shared" si="325"/>
        <v>0</v>
      </c>
      <c r="EC271" s="10">
        <f t="shared" si="326"/>
        <v>0</v>
      </c>
      <c r="ED271" s="10">
        <f t="shared" si="327"/>
        <v>0</v>
      </c>
      <c r="EE271" s="10">
        <f t="shared" si="328"/>
        <v>0</v>
      </c>
      <c r="EF271" s="39">
        <f>EB271*Исходн.данные.!AJ271/1000</f>
        <v>0</v>
      </c>
      <c r="EG271" s="9">
        <f t="shared" si="329"/>
        <v>0</v>
      </c>
      <c r="EH271" s="9">
        <f t="shared" si="330"/>
        <v>0</v>
      </c>
      <c r="EI271" s="39" t="e">
        <f t="shared" si="280"/>
        <v>#DIV/0!</v>
      </c>
      <c r="EJ271" s="9" t="str">
        <f t="shared" si="301"/>
        <v>Азопреципитат</v>
      </c>
      <c r="EK271" s="12">
        <f t="shared" si="281"/>
        <v>0.26</v>
      </c>
      <c r="EL271" s="12">
        <f t="shared" si="282"/>
        <v>0.13</v>
      </c>
      <c r="EM271" s="12">
        <f t="shared" si="283"/>
        <v>0</v>
      </c>
      <c r="EN271" s="12" t="str">
        <f t="shared" si="302"/>
        <v>Нет</v>
      </c>
      <c r="EO271" s="12">
        <f t="shared" si="284"/>
        <v>0</v>
      </c>
      <c r="EP271" s="12">
        <f t="shared" si="285"/>
        <v>0</v>
      </c>
      <c r="EQ271" s="12">
        <f t="shared" si="286"/>
        <v>0</v>
      </c>
      <c r="ER271" s="12" t="str">
        <f t="shared" si="331"/>
        <v>Диаммофоска</v>
      </c>
      <c r="ES271" s="12">
        <f t="shared" si="287"/>
        <v>0.1</v>
      </c>
      <c r="ET271" s="12">
        <f t="shared" si="288"/>
        <v>0.26</v>
      </c>
      <c r="EU271" s="12">
        <f t="shared" si="289"/>
        <v>0.26</v>
      </c>
      <c r="EV271" s="12" t="str">
        <f t="shared" si="332"/>
        <v>Аммофос 12:52:00</v>
      </c>
      <c r="EW271" s="12" t="str">
        <f t="shared" si="333"/>
        <v>Кемира Свекловичное-6</v>
      </c>
      <c r="EX271" s="12">
        <f t="shared" si="290"/>
        <v>0.16</v>
      </c>
      <c r="EY271" s="12">
        <f t="shared" si="291"/>
        <v>0.12</v>
      </c>
      <c r="EZ271" s="12">
        <f t="shared" si="292"/>
        <v>0.17</v>
      </c>
      <c r="FA271" s="38" t="e">
        <f>IF(AND(OR(FJ271=$FD$1,FM271=$FD$1,FO271=$FD$1,FQ271=$FD$1,FS271=$FD$1),FD271=$FD$1,Исходн.данные.!J271&lt;2,FU271=$FD$1),"Бор,Кобальт",IF(AND(FO271=$FD$1,FH271=$FD$1,Исходн.данные.!J271&lt;2,FU271=$FD$1),"Бор,Кобальт",IF(AND(OR(FJ271=$FD$1,FM271=$FD$1,FQ271=$FD$1),FE271=$FD$1,Исходн.данные.!J271&lt;2,FT271=$FD$1,FU271=$FD$1),"Бор,Медь,Цинк",IF(AND(OR(FJ271=$FD$1,FR271="Да"),FI271="Да",Исходн.данные.!J271&lt;2,FT271="Да",FU271="Да"),"Бор,Цинк,Медь",IF(AND(OR(FM271="Да",FQ271="Да"),FI271="Да",Исходн.данные.!J271&lt;2,FT271="Да",FU271="Да"),"Бор,Цинк",IF(AND(FN271="Да",OR(FD271="Да",FE271="Да")),"Бор",FB271))))))</f>
        <v>#N/A</v>
      </c>
      <c r="FB271" s="134" t="e">
        <f>IF(AND(OR(FD271="Да",FE271="Да",FF271="Да",FG271="Да",FH271="Да"),FO271="Да"),"Бор",IF(AND(FP271="Да",OR(FD271="Да",FE271="Да",FI271="Да")),"Бор",IF(AND(FS271="Да",FE271="Да"),"Бор,Медь",IF(AND(OR(FJ271="Да",FK271="Да",FL271="Да"),FE271="Да",Исходн.данные.!I271&lt;5,FT271="Да",FU271="Да"),"Молибден,Цинк",IF(AND(FM271="Да",OR(FE271="Да",FF271="Да",FG271="Да",FH271="Да",FI271="Да")),"Молибден,Цинк",IF(AND(OR(FJ271="Да",FK271="Да",FL271="Да",FM271="Да",FQ271="Да"),OR(FE271="Да",FF271="Да"),FT271="Да",FU271="Да",Исходн.данные.!I271&gt;5.5),"Медь,Цинк",FC271))))))</f>
        <v>#N/A</v>
      </c>
      <c r="FC271" s="23" t="e">
        <f t="shared" si="334"/>
        <v>#N/A</v>
      </c>
      <c r="FD271" s="38" t="str">
        <f>IF(OR(Исходн.данные.!F271=$CC$1,Исходн.данные.!F271=$CC$2,Исходн.данные.!F271=$CC$3,Исходн.данные.!F271=$CC$4),"Да","Нет")</f>
        <v>Нет</v>
      </c>
      <c r="FE271" s="38" t="str">
        <f>IF(Исходн.данные.!F271=$CC$5,"Да","Нет")</f>
        <v>Нет</v>
      </c>
      <c r="FF271" s="38" t="str">
        <f>IF(OR(Исходн.данные.!F271=$CC$6,Исходн.данные.!F271=$CC$7),"Да","Нет")</f>
        <v>Нет</v>
      </c>
      <c r="FG271" s="38" t="str">
        <f>IF(OR(Исходн.данные.!F271=$CC$8,Исходн.данные.!F271=$CC$9),"Да","Нет")</f>
        <v>Нет</v>
      </c>
      <c r="FH271" s="38" t="str">
        <f>IF(Исходн.данные.!F271=$CC$10,"Да","Нет")</f>
        <v>Нет</v>
      </c>
      <c r="FI271" s="38" t="str">
        <f>IF(OR(Исходн.данные.!F271=$CC$11,Исходн.данные.!F271=$CC$12),"Да","Нет")</f>
        <v>Нет</v>
      </c>
      <c r="FJ271" s="38" t="str">
        <f>IF(OR(Исходн.данные.!AH271=$BS$1,Исходн.данные.!AH271=$BQ$11,Исходн.данные.!AH271=$BQ$12),"Да","Нет")</f>
        <v>Нет</v>
      </c>
      <c r="FK271" s="38" t="str">
        <f>IF(OR(Исходн.данные.!AH271=$BS$2,Исходн.данные.!AH271=$BS$4),"Да","Нет")</f>
        <v>Нет</v>
      </c>
      <c r="FL271" s="38" t="str">
        <f>IF(OR(Исходн.данные.!AH271=$BS$3,Исходн.данные.!AH271=$BS$5),"Да","Нет")</f>
        <v>Нет</v>
      </c>
      <c r="FM271" s="38" t="str">
        <f>IF(OR(Исходн.данные.!AH271=$BS$9,Исходн.данные.!AH271=$BS$10,Исходн.данные.!AH271=$BS$11,Исходн.данные.!AH271=$BS$12),"Да","Нет")</f>
        <v>Нет</v>
      </c>
      <c r="FN271" s="38" t="str">
        <f>IF(OR(Исходн.данные.!AH271=$BS$6,Исходн.данные.!AH271=$BP$3),"Да","Нет")</f>
        <v>Нет</v>
      </c>
      <c r="FO271" s="38" t="str">
        <f>IF(Исходн.данные.!AH271=$BQ$9,"Да","Нет")</f>
        <v>Нет</v>
      </c>
      <c r="FP271" s="38" t="str">
        <f>IF(OR(Исходн.данные.!AH271=$BS$8,Исходн.данные.!AH271=$BT$8),"Да","Нет")</f>
        <v>Нет</v>
      </c>
      <c r="FQ271" s="38" t="str">
        <f>IF(OR(Исходн.данные.!AH271=$BQ$7,Исходн.данные.!AH271=$BQ$8),"Да","Нет")</f>
        <v>Нет</v>
      </c>
      <c r="FR271" s="38" t="str">
        <f>IF(Исходн.данные.!AI271=$BU$9,"Да","Нет")</f>
        <v>Нет</v>
      </c>
      <c r="FS271" s="38" t="str">
        <f>IF(OR(Исходн.данные.!AH271=$BP$1,Исходн.данные.!AH271=$BP$2),"Да","Нет")</f>
        <v>Нет</v>
      </c>
      <c r="FT271" s="38" t="e">
        <f>IF((Исходн.данные.!K271*GO271*GS271*GW271+BL271*0.6+Исходн.данные.!Q271*4.5*0.275)&gt;90,"Да","Нет")</f>
        <v>#N/A</v>
      </c>
      <c r="FU271" s="38" t="e">
        <f>IF((Исходн.данные.!M271*GS271*GZ271+BM271*0.225)&gt;35,"Да","Нет")</f>
        <v>#N/A</v>
      </c>
      <c r="FV271" s="38" t="str">
        <f>IF(Исходн.данные.!O271&gt;175,"Да","Нет")</f>
        <v>Нет</v>
      </c>
      <c r="FW271" s="39" t="str">
        <f>IF(Исходн.данные.!I271&gt;5.5,"Да","Нет")</f>
        <v>Нет</v>
      </c>
      <c r="FX271" s="39" t="str">
        <f>IF(Исходн.данные.!J271&lt;2,"Да","Нет")</f>
        <v>Да</v>
      </c>
      <c r="FY271" s="39" t="e">
        <f>IF(HF271=$FY$16,0,Исходн.данные.!K271*GO271*GS271*GW271/HF271)</f>
        <v>#N/A</v>
      </c>
      <c r="FZ271" s="39" t="e">
        <f>Исходн.данные.!M271*GS271*GZ271/HG271</f>
        <v>#N/A</v>
      </c>
      <c r="GA271" s="39" t="e">
        <f>IF(K_Wyn=$FY$16,0,IF(Исходн.данные.!N271=Исходн.данные.!$L$10,Исходн.данные.!O271/1.1*GS271*HC271/HH271,IF(Исходн.данные.!N271=Исходн.данные.!$L$12,Исходн.данные.!O271/1.5*GS271*HC271/HH271,Исходн.данные.!O271*GS271*HC271/HH271)))</f>
        <v>#N/A</v>
      </c>
      <c r="GB271" s="39" t="e">
        <f>IF(HF271=$FY$16,0,((Исходн.данные.!Q271*N_Org+Исходн.данные.!R271*N_Sider+Исходн.данные.!S271*N_Soloma)*AO271+Расчет!BC271*VLOOKUP(Исходн.данные.!T271,Справ!$A$3:$O$57,15)*AO271+BB271*VLOOKUP(Исходн.данные.!T271,Справ!$A$3:$O$57,15)*AL271+(Исходн.данные.!V271*N_Rizotorf+Исходн.данные.!W271*N_Rizoagr))/HF271)</f>
        <v>#N/A</v>
      </c>
      <c r="GC271" s="39" t="e">
        <f>IF(HG271=$FY$16,0,((Исходн.данные.!Q271*Р_Org+Исходн.данные.!R271*P_Sider+Исходн.данные.!S271*P_Soloma)*AP271+Расчет!BC271*VLOOKUP(Исходн.данные.!T271,Справ!$A$3:$P$57,16)*AP271+BB271*VLOOKUP(Исходн.данные.!T271,Справ!$A$3:$P$57,16)*AM271)/HG271)</f>
        <v>#N/A</v>
      </c>
      <c r="GD271" s="39" t="e">
        <f>IF(HH271=$FY$16,0,((Исходн.данные.!Q271*К_Org+Исходн.данные.!R271*K_Sider+Исходн.данные.!S271*K_Soloma)*AQ271+Расчет!BC271*VLOOKUP(Исходн.данные.!T271,Справ!$A$3:$Q$57,17)*AQ271+BB271*VLOOKUP(Исходн.данные.!T271,Справ!$A$3:$Q$57,17)*AN271)/HH271)</f>
        <v>#N/A</v>
      </c>
      <c r="GE271" s="39" t="e">
        <f>IF(HF271=$FY$16,0,(Исходн.данные.!X271*AR271+Исходн.данные.!AA271*N_Org*AL271+Исходн.данные.!AB271*N_Sider*AL271+Исходн.данные.!AC271*N_Soloma*AL271)/HF271)</f>
        <v>#N/A</v>
      </c>
      <c r="GF271" s="39" t="e">
        <f>IF(HG271=$FY$16,0,(Исходн.данные.!Y271*AS271+Исходн.данные.!AA271*Р_Org*AM271+Исходн.данные.!AB271*P_Sider*AM271+Исходн.данные.!AC271*P_Soloma*AM271)/HG271)</f>
        <v>#N/A</v>
      </c>
      <c r="GG271" s="39" t="e">
        <f>IF(HH271=$FY$16,0,(Исходн.данные.!Z271*AT271+Исходн.данные.!AA271*К_Org*AN271+Исходн.данные.!AB271*K_Sider*AN271+Исходн.данные.!AC271*K_Soloma*AN271)/HH271)</f>
        <v>#N/A</v>
      </c>
      <c r="GH271" s="39" t="e">
        <f>Исходн.данные.!AD271*AU271/HF271</f>
        <v>#N/A</v>
      </c>
      <c r="GI271" s="39" t="e">
        <f>Исходн.данные.!AE271*AV271/HG271</f>
        <v>#N/A</v>
      </c>
      <c r="GJ271" s="39" t="e">
        <f>Исходн.данные.!AF271*AW271/HH271</f>
        <v>#N/A</v>
      </c>
      <c r="GK271" s="55">
        <f>Исходн.данные.!AK271</f>
        <v>0</v>
      </c>
      <c r="GL271" s="11" t="e">
        <f t="shared" si="335"/>
        <v>#N/A</v>
      </c>
      <c r="GM271" s="11" t="e">
        <f t="shared" si="336"/>
        <v>#N/A</v>
      </c>
      <c r="GN271" s="11" t="e">
        <f t="shared" si="337"/>
        <v>#N/A</v>
      </c>
      <c r="GO271" s="57">
        <f t="shared" si="338"/>
        <v>19</v>
      </c>
      <c r="GP271" s="55">
        <f>IF(OR(Исходн.данные.!F271=$CE$1,Исходн.данные.!F271=$CE$2,Исходн.данные.!F271=$CE$3,Исходн.данные.!F271=$CE$4,Исходн.данные.!F271=$CE$5),GQ271,GR271)</f>
        <v>19</v>
      </c>
      <c r="GQ271" s="55">
        <f>IF(Исходн.данные.!F271=$CE$1,28,IF(Исходн.данные.!F271=$CE$2,26,IF(Исходн.данные.!F271=$CE$3,24,IF(Исходн.данные.!F271=$CE$4,22,IF(Исходн.данные.!F271=$CE$5,20,GR271)))))</f>
        <v>19</v>
      </c>
      <c r="GR271" s="55">
        <f>IF(Исходн.данные.!F271=$CE$6,18,IF(Исходн.данные.!F271=$CE$7,16,IF(Исходн.данные.!F271=$CE$8,14,IF(Исходн.данные.!F271=$CE$9,13,IF(Исходн.данные.!F271=$CE$10,12,19)))))</f>
        <v>19</v>
      </c>
      <c r="GS271" s="55">
        <f>IF(Исходн.данные.!G271="Пес",0.035*(40+2*Исходн.данные.!H271),IF(Исходн.данные.!G271="Суп",0.0325*(40+2*Исходн.данные.!H271),0.03*(40+2*Исходн.данные.!H271)))</f>
        <v>1.2</v>
      </c>
      <c r="GT271" s="55">
        <f>IF(Исходн.данные.!H271&lt;23,2.6,IF(AND(Исходн.данные.!H271&gt;22,Исходн.данные.!H271&lt;26),3,IF(AND(Исходн.данные.!H271&gt;25,Исходн.данные.!H271&lt;29),3.4,3.6)))</f>
        <v>2.6</v>
      </c>
      <c r="GU271" s="55">
        <f>IF(Исходн.данные.!H271&lt;23,2.8,IF(AND(Исходн.данные.!H271&gt;22,Исходн.данные.!H271&lt;26),3.2,IF(AND(Исходн.данные.!H271&gt;25,Исходн.данные.!H271&lt;29),3.6,3.9)))</f>
        <v>2.8</v>
      </c>
      <c r="GV271" s="55">
        <f>IF(Исходн.данные.!H271&lt;23,3,IF(AND(Исходн.данные.!H271&gt;22,Исходн.данные.!H271&lt;26),3.5,IF(AND(Исходн.данные.!H271&gt;25,Исходн.данные.!H271&lt;29),3.9,4.2)))</f>
        <v>3</v>
      </c>
      <c r="GW271" s="55" t="e">
        <f>IF(Исходн.данные.!P271="Ум",GX271,GY271)</f>
        <v>#N/A</v>
      </c>
      <c r="GX271" s="55" t="e">
        <f>VLOOKUP(Исходн.данные.!AI271,Коэффициенты!$J$7:$L$13,2,FALSE)</f>
        <v>#N/A</v>
      </c>
      <c r="GY271" s="55" t="e">
        <f>VLOOKUP(Исходн.данные.!AI271,Коэффициенты!$J$7:$L$13,3,FALSE)</f>
        <v>#N/A</v>
      </c>
      <c r="GZ271" s="55" t="e">
        <f>(IF(Исходн.данные.!M271&lt;50,0.11*VLOOKUP(Исходн.данные.!AH271,Культуры.Информация,7,FALSE),IF(Исходн.данные.!M271&gt;250,0.05*VLOOKUP(Исходн.данные.!AH271,Культуры.Информация,7,FALSE),VLOOKUP(Исходн.данные.!AH271,Культуры.Информация,5,FALSE)/100*($GX$6+$GY$6*Исходн.данные.!M271))))*Расчет2!AI271</f>
        <v>#N/A</v>
      </c>
      <c r="HA271" s="211"/>
      <c r="HB271" s="211"/>
      <c r="HC271" s="55" t="e">
        <f>(IF(Исходн.данные.!O271&lt;80,0.2*VLOOKUP(Исходн.данные.!AH271,Культуры.Информация,8,FALSE),IF(Исходн.данные.!O271&gt;240,0.09*VLOOKUP(Исходн.данные.!AH271,Культуры.Информация,8,FALSE),VLOOKUP(Исходн.данные.!AH271,Культуры.Информация,6,FALSE)/100*($HB$6+$HC$6*Исходн.данные.!O271))))*Расчет2!AJ271</f>
        <v>#N/A</v>
      </c>
      <c r="HD271" s="55">
        <f>IF(Исходн.данные.!O271&gt;240,0.09,IF(Исходн.данные.!O271&lt;30,0.3,$HE$10+$HD$10*Исходн.данные.!O271))</f>
        <v>0.3</v>
      </c>
      <c r="HE271" s="55">
        <f>IF(Исходн.данные.!O271&gt;240,0.17,IF(Исходн.данные.!O271&lt;30,0.5,$HF$12+$HE$12*Исходн.данные.!O271))</f>
        <v>0.5</v>
      </c>
      <c r="HF271" s="55" t="e">
        <f>VLOOKUP(Исходн.данные.!AH271,Справ!$A$3:$D$58,2,FALSE)</f>
        <v>#N/A</v>
      </c>
      <c r="HG271" s="55" t="e">
        <f>VLOOKUP(Исходн.данные.!AH271,Справ!$A$3:$D$58,3,FALSE)</f>
        <v>#N/A</v>
      </c>
      <c r="HH271" s="55" t="e">
        <f>VLOOKUP(Исходн.данные.!AH271,Справ!$A$3:$D$58,4,FALSE)</f>
        <v>#N/A</v>
      </c>
      <c r="HI271" s="11" t="e">
        <f t="shared" si="339"/>
        <v>#N/A</v>
      </c>
      <c r="HJ271" s="11" t="e">
        <f t="shared" si="340"/>
        <v>#N/A</v>
      </c>
      <c r="HK271" s="11" t="e">
        <f t="shared" si="341"/>
        <v>#N/A</v>
      </c>
      <c r="HL271" s="55">
        <f>IF(OR(Исходн.данные.!G271="Глин",Исходн.данные.!G271="Т_суг"),1.1,IF(Исходн.данные.!G271="Ср_суг",1,1))</f>
        <v>1</v>
      </c>
      <c r="HM271" s="55">
        <f>IF(OR(Исходн.данные.!G271="Глин",Исходн.данные.!G271="Т_суг"),0.9,IF(Исходн.данные.!G271="Ср_суг",1,1.2))</f>
        <v>1.2</v>
      </c>
      <c r="HN271" s="11" t="e">
        <f t="shared" si="342"/>
        <v>#N/A</v>
      </c>
      <c r="HO271" s="11" t="e">
        <f t="shared" si="343"/>
        <v>#N/A</v>
      </c>
      <c r="HP271" s="11" t="e">
        <f t="shared" si="344"/>
        <v>#N/A</v>
      </c>
      <c r="HQ271" t="e">
        <f t="shared" si="345"/>
        <v>#N/A</v>
      </c>
      <c r="HR271" t="e">
        <f t="shared" si="346"/>
        <v>#N/A</v>
      </c>
      <c r="HS271" t="e">
        <f t="shared" si="347"/>
        <v>#N/A</v>
      </c>
      <c r="HT271" t="e">
        <f t="shared" si="293"/>
        <v>#N/A</v>
      </c>
      <c r="HU271" t="e">
        <f t="shared" si="294"/>
        <v>#N/A</v>
      </c>
      <c r="HV271" t="e">
        <f t="shared" si="295"/>
        <v>#N/A</v>
      </c>
      <c r="HW271" t="e">
        <f t="shared" si="296"/>
        <v>#N/A</v>
      </c>
      <c r="HX271" t="e">
        <f t="shared" si="297"/>
        <v>#N/A</v>
      </c>
      <c r="HY271" t="e">
        <f t="shared" si="298"/>
        <v>#N/A</v>
      </c>
      <c r="HZ271" s="55">
        <f>IF(OR(Исходн.данные.!AI271="Оз_Ч_П",Исходн.данные.!AI271="Оз_З_П",Исходн.данные.!AI271="Яр_зер"),12,30)</f>
        <v>30</v>
      </c>
      <c r="IA271" t="e">
        <f t="shared" si="348"/>
        <v>#N/A</v>
      </c>
      <c r="IB271" t="e">
        <f t="shared" si="349"/>
        <v>#N/A</v>
      </c>
      <c r="IC271" t="e">
        <f t="shared" si="350"/>
        <v>#N/A</v>
      </c>
      <c r="ID271" s="11" t="e">
        <f t="shared" si="351"/>
        <v>#N/A</v>
      </c>
      <c r="IE271" s="11" t="e">
        <f t="shared" si="352"/>
        <v>#N/A</v>
      </c>
      <c r="IF271" s="11" t="e">
        <f t="shared" si="353"/>
        <v>#N/A</v>
      </c>
    </row>
    <row r="272" spans="35:240" x14ac:dyDescent="0.2">
      <c r="AI272">
        <f>IF(Исходн.данные.!I272&gt;6,1,1.85-(0.148*Исходн.данные.!I272))</f>
        <v>1.85</v>
      </c>
      <c r="AJ272">
        <f>IF(Исходн.данные.!I272&gt;6,1,2.434-(0.246*Исходн.данные.!I272))</f>
        <v>2.4340000000000002</v>
      </c>
      <c r="AL272" s="148" t="b">
        <f>IF(Исходн.данные.!$P272="Ум",N_OrgUd_2g_um,IF(Исходн.данные.!$P272="Об",N_OrgUd_2g_ob))</f>
        <v>0</v>
      </c>
      <c r="AM272" s="148" t="b">
        <f>IF(Исходн.данные.!$P272="Ум",P_OrgUd_2g_um,IF(Исходн.данные.!$P272="Об",P_OrgUd_2g_ob))</f>
        <v>0</v>
      </c>
      <c r="AN272" s="148" t="b">
        <f>IF(Исходн.данные.!$P272="Ум",K_OrgUd_2g_um,IF(Исходн.данные.!$P272="Об",K_OrgUd_2g_ob))</f>
        <v>0</v>
      </c>
      <c r="AO272" s="148" t="b">
        <f>IF(Исходн.данные.!$P272="Ум",N_OrgUd_1g_um,IF(Исходн.данные.!$P272="Об",N_OrgUd_1g_ob))</f>
        <v>0</v>
      </c>
      <c r="AP272" s="148" t="b">
        <f>IF(Исходн.данные.!$P272="Ум",P_OrgUd_1g_um,IF(Исходн.данные.!$P272="Об",P_OrgUd_1g_ob))</f>
        <v>0</v>
      </c>
      <c r="AQ272" s="148" t="b">
        <f>IF(Исходн.данные.!$P272="Ум",K_OrgUd_1g_um,IF(Исходн.данные.!$P272="Об",K_OrgUd_1g_ob))</f>
        <v>0</v>
      </c>
      <c r="AR272" t="b">
        <f>IF(Исходн.данные.!$P272="Ум",N_MinUd_2g_um,IF(Исходн.данные.!$P272="Об",N_MinUd_2g_ob))</f>
        <v>0</v>
      </c>
      <c r="AS272" t="b">
        <f>IF(Исходн.данные.!$P272="Ум",P_MinUd_2g_um,IF(Исходн.данные.!$P272="Об",P_MinUd_2g_ob))</f>
        <v>0</v>
      </c>
      <c r="AT272" t="b">
        <f>IF(Исходн.данные.!$P272="Ум",K_MinUd_2g_um,IF(Исходн.данные.!$P272="Об",K_MinUd_2g_ob))</f>
        <v>0</v>
      </c>
      <c r="AU272" t="b">
        <f>IF(Исходн.данные.!$P272="Ум",N_MinUd_1g_um,IF(Исходн.данные.!$P272="Об",N_MinUd_1g_ob))</f>
        <v>0</v>
      </c>
      <c r="AV272" t="b">
        <f>IF(Исходн.данные.!P272="Ум",P_MinUd_1g_um,IF(Исходн.данные.!P272="Об",P_MinUd_1g_ob))</f>
        <v>0</v>
      </c>
      <c r="AW272" t="b">
        <f>IF(Исходн.данные.!P272="Ум",K_MinUd_1g_um,IF(Исходн.данные.!P272="Об",K_MinUd_1g_ob))</f>
        <v>0</v>
      </c>
      <c r="AY272" t="e">
        <f>VLOOKUP(Исходн.данные.!T272,Справ!$A$3:$N$57,12)</f>
        <v>#N/A</v>
      </c>
      <c r="AZ272" t="e">
        <f>VLOOKUP(Исходн.данные.!T272,Справ!$A$3:$N$57,13)</f>
        <v>#N/A</v>
      </c>
      <c r="BA272" t="e">
        <f>VLOOKUP(Исходн.данные.!T272,Справ!$A$3:$N$57,14)</f>
        <v>#N/A</v>
      </c>
      <c r="BB272">
        <f>IF(Исходн.данные.!AH272=0,0,25)</f>
        <v>0</v>
      </c>
      <c r="BC272" s="141">
        <f>IF(Исходн.данные.!AH272=0,0,IF(Исходн.данные.!T272=0,25,BD272))</f>
        <v>0</v>
      </c>
      <c r="BD272" s="168" t="e">
        <f>AY272+AZ272*Исходн.данные.!U272-POWER(BA272,2)*Исходн.данные.!U272</f>
        <v>#N/A</v>
      </c>
      <c r="BE27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2" s="25">
        <f>IF(Исходн.данные.!AH272=0,0,MIN(HN272:HP272))</f>
        <v>0</v>
      </c>
      <c r="BG272" s="9">
        <f>IF(Исходн.данные.!AH272=0,0,IF((HO272+10*0.25/HG272/HL272)&lt;17,17,HO272+10*0.25/HG272/HL272))</f>
        <v>0</v>
      </c>
      <c r="BH272" s="181">
        <f>IF(Исходн.данные.!AH272=0,0,HW272*HF272*HL272/AU272*AI272+Исходн.данные.!S272*10)</f>
        <v>0</v>
      </c>
      <c r="BI272" s="10"/>
      <c r="BJ272" s="182">
        <f>IF(Исходн.данные.!AH272=0,0,IF(HX272*HG272*HL272/AV272&lt;0,0,HX272*HG272*HL272/AV272*AJ272))</f>
        <v>0</v>
      </c>
      <c r="BK272" s="182">
        <f>IF(Исходн.данные.!AH272=0,0,HY272*HH272*HM272/AW272)</f>
        <v>0</v>
      </c>
      <c r="BL272" s="10">
        <f>IF(OR(Исходн.данные.!$AH272=$BP$1,Исходн.данные.!$AH272=$BP$2),0,IF(BH272&lt;0,0,IF(OR(Исходн.данные.!T272=Расчет!$BP$1,Исходн.данные.!T272=Расчет!$BP$2,Исходн.данные.!T272=Расчет!$BT$5,Исходн.данные.!T272=Расчет!$BT$6),BH272*0.5,IF(OR(Исходн.данные.!T272=Расчет!$BS$9,Исходн.данные.!T272=Расчет!$BS$10,Исходн.данные.!T272=Расчет!$BS$11,Исходн.данные.!T272=Расчет!$BS$12,Исходн.данные.!T272=Расчет!$BP$5),BH272*0.8,BH272))))</f>
        <v>0</v>
      </c>
      <c r="BM272" s="10">
        <f>IF(OR(Исходн.данные.!$AH272=$BP$1,Исходн.данные.!$AH272=$BP$2),0,IF(BJ272&lt;0,0,IF(Исходн.данные.!I272&lt;4.5,BJ272*1.2,IF(Исходн.данные.!I272&gt;5.1,BJ272,BJ272*((5.1-Исходн.данные.!I272)*0.333+1)))))</f>
        <v>0</v>
      </c>
      <c r="BN272" s="10">
        <f>IF(OR(Исходн.данные.!$AH272=$BP$1,Исходн.данные.!$AH272=$BP$2),60-Исходн.данные.!AF272,IF(BK272&lt;0,0,IF(Исходн.данные.!I272&lt;4.5,BK272*1.2,IF(Исходн.данные.!I272&gt;5.1,BK272,BK272*((5.1-Исходн.данные.!I272)*0.333+1)))))</f>
        <v>0</v>
      </c>
      <c r="BO272" s="9">
        <f>IF(BL272&lt;0,0,BL272*Исходн.данные.!$AJ272/1000)</f>
        <v>0</v>
      </c>
      <c r="BP272" s="9">
        <f>IF(BM272&lt;0,0,BM272*Исходн.данные.!$AJ272/1000)</f>
        <v>0</v>
      </c>
      <c r="BQ272" s="9">
        <f>IF(BN272&lt;0,0,BN272*Исходн.данные.!$AJ272/1000)</f>
        <v>0</v>
      </c>
      <c r="BR272" s="9">
        <f t="shared" si="303"/>
        <v>0</v>
      </c>
      <c r="BS272" s="10" t="str">
        <f t="shared" si="304"/>
        <v>Аммофос 12:52:00</v>
      </c>
      <c r="BT272" s="10" t="str">
        <f t="shared" si="305"/>
        <v>Аммофос 12:52:00</v>
      </c>
      <c r="BU272" s="10" t="str">
        <f t="shared" si="306"/>
        <v>Диаммофоска</v>
      </c>
      <c r="BV272" s="10">
        <f t="shared" si="307"/>
        <v>0</v>
      </c>
      <c r="BW272" s="10"/>
      <c r="BX272" s="10"/>
      <c r="BY272" s="9">
        <f>IF(BL272&lt;0,0,IF(OR(Исходн.данные.!AI272=Расчет!$BU$6,Исходн.данные.!AI272=Расчет!$BU$7),Расчет!BV272,IF(Исходн.данные.!$AG272=$BV$11,BL272,IF(OR(Исходн.данные.!$AH272=$BQ$7,Исходн.данные.!$AH272=$BQ$8),CB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0,IF(Исходн.данные.!$AI272=$BU$11,"Нет",IF(BL272&gt;30,30,BL272)))))))</f>
        <v>0</v>
      </c>
      <c r="BZ272" s="9">
        <f>IF(AND(Исходн.данные.!$AG272=$BV$11,BM272&lt;10),10,IF(Исходн.данные.!$AG272=$BV$11,BM272,IF(OR(Исходн.данные.!$AH272=$BQ$7,Исходн.данные.!$AH272=$BQ$8),CC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10,IF(Исходн.данные.!$AI272=$BU$11,"Нет",IF(BM272&gt;60,60,IF(BM272&lt;10,10,BM272)))))))</f>
        <v>10</v>
      </c>
      <c r="CA272" s="39">
        <f>IF(BN272&lt;0,0,IF(Исходн.данные.!$AG272=$BV$11,BN272,IF(OR(Исходн.данные.!$AH272=$BQ$7,Исходн.данные.!$AH272=$BQ$8),CD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0,IF(Исходн.данные.!$AI272=$BU$11,"Нет",IF(BN272&gt;30,30,BN272))))))</f>
        <v>0</v>
      </c>
      <c r="CB272" s="9">
        <f t="shared" si="308"/>
        <v>0</v>
      </c>
      <c r="CC272" s="9">
        <f t="shared" si="309"/>
        <v>0</v>
      </c>
      <c r="CD272" s="9">
        <f t="shared" si="310"/>
        <v>0</v>
      </c>
      <c r="CE272" s="12">
        <f t="shared" si="311"/>
        <v>10</v>
      </c>
      <c r="CF272" s="9">
        <f t="shared" si="312"/>
        <v>0</v>
      </c>
      <c r="CG272" s="9" t="s">
        <v>231</v>
      </c>
      <c r="CH272" s="132" t="str">
        <f>IF(Исходн.данные.!AP272=Расчет!$CI$16,"Нет",IF(Исходн.данные.!AL272&gt;0,Исходн.данные.!AL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BH$4,IF(OR(Исходн.данные.!AI272=Исходн.данные.!$AI$6,Исходн.данные.!AI272=Исходн.данные.!$AI$7),Расчет!BS272,IF(AND($CF272=0,$CE272&gt;0),EV272,ER272)))))</f>
        <v>Аммофос 12:52:00</v>
      </c>
      <c r="CI272" s="274">
        <f>IF(Расчет!$CH272="Нет","Нет",IF(Исходн.данные.!$AL272&gt;0,VLOOKUP(Расчет!$CH272,АшламаДВ_Irekle,2,FALSE),VLOOKUP(Расчет!$CH272,АшламаДВ_Gomumy,2,FALSE)))</f>
        <v>0.12</v>
      </c>
      <c r="CJ272" s="274">
        <f>IF(Расчет!$CH272="Нет","Нет",IF(Исходн.данные.!$AL272&gt;0,VLOOKUP(Расчет!$CH272,АшламаДВ_Irekle,3,FALSE),VLOOKUP(Расчет!$CH272,АшламаДВ_Gomumy,3,FALSE)))</f>
        <v>0.52</v>
      </c>
      <c r="CK272" s="274">
        <f>IF(Расчет!$CH272="Нет","Нет",IF(Исходн.данные.!$AL272&gt;0,VLOOKUP(Расчет!$CH272,АшламаДВ_Irekle,4,FALSE),VLOOKUP(Расчет!$CH272,АшламаДВ_Gomumy,4,FALSE)))</f>
        <v>0</v>
      </c>
      <c r="CL272" s="70"/>
      <c r="CM272" s="70"/>
      <c r="CN272" s="70"/>
      <c r="CO272" s="70"/>
      <c r="CP272" s="70"/>
      <c r="CQ272" s="70"/>
      <c r="CR272" s="10">
        <f t="shared" si="313"/>
        <v>0</v>
      </c>
      <c r="CS272" s="10">
        <f t="shared" si="314"/>
        <v>19.23076923076923</v>
      </c>
      <c r="CT272" s="10">
        <f t="shared" si="315"/>
        <v>0</v>
      </c>
      <c r="CU272" s="39">
        <f>IF($CH272="Нет",0,IF(CI272=0,30/MIN(CJ272:CK272),IF(Исходн.данные.!$AG272=$BV$11,CR272,IF(OR(Исходн.данные.!$AH272=$BQ$7,Исходн.данные.!$AH272=$BQ$8),90/CI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0,IF(Исходн.данные.!$AI272=$BU$11,"Нет",30/CI272))))))</f>
        <v>250</v>
      </c>
      <c r="CV272" s="39">
        <f>IF($CH272="Нет",0,IF(Исходн.данные.!AH272=0,0,IF(CJ272=0,60/MIN(CI272,CK272),IF(Исходн.данные.!$AG272=$BV$11,CS272,IF(OR(Исходн.данные.!$AH272=$BQ$7,Исходн.данные.!$AH272=$BQ$8),90/CJ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10/CJ272,IF(Исходн.данные.!$AI272=$BU$11,"Нет",60/CJ272)))))))</f>
        <v>0</v>
      </c>
      <c r="CW272" s="39">
        <f>IF($CH272="Нет",0,IF(Исходн.данные.!AH272=0,0,IF(CK272=0,30/MIN(CI272:CJ272),IF(Исходн.данные.!$AG272=$BV$11,CT272,IF(OR(Исходн.данные.!$AH272=$BQ$7,Исходн.данные.!$AH272=$BQ$8),90/CK272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0,IF(Исходн.данные.!$AI272=$BU$11,"Нет",30/CK272)))))))</f>
        <v>0</v>
      </c>
      <c r="CX272" s="133">
        <f>IF(Исходн.данные.!$AG272=$BV$11,MAX(CU272:CW272),IF(OR(Исходн.данные.!$AH272=$BS$8,Исходн.данные.!$AH272=$BQ$9,Исходн.данные.!$AH272=$BQ$10,Исходн.данные.!$AH272=$BQ$11,Исходн.данные.!$AH272=$BQ$12,Исходн.данные.!$AH272=$BP$3,Исходн.данные.!$AH272=$BT$8,$FM272="Да"),CV272,MIN(CU272:CW272)))</f>
        <v>0</v>
      </c>
      <c r="CY272" s="133">
        <f>IF(Исходн.данные.!AH272=0,0,IF(CR272&gt;$CX272,$CX272,CR272))</f>
        <v>0</v>
      </c>
      <c r="CZ272" s="133">
        <f>IF(Исходн.данные.!AH272=0,0,IF(CS272&gt;$CX272,$CX272,CS272))</f>
        <v>0</v>
      </c>
      <c r="DA272" s="133">
        <f>IF(Исходн.данные.!AH272=0,0,IF(CT272&gt;$CX272,$CX272,CT272))</f>
        <v>0</v>
      </c>
      <c r="DB272" s="10">
        <f t="shared" si="316"/>
        <v>0</v>
      </c>
      <c r="DC272" s="39">
        <f>DB272*Исходн.данные.!AJ272/1000</f>
        <v>0</v>
      </c>
      <c r="DD272" s="71">
        <f t="shared" si="317"/>
        <v>0</v>
      </c>
      <c r="DE272" s="9">
        <f t="shared" si="318"/>
        <v>0</v>
      </c>
      <c r="DF272" s="9">
        <f t="shared" si="319"/>
        <v>0</v>
      </c>
      <c r="DG272" s="39">
        <f>IF(BL272&lt;0,0,IF($CH272="Нет",BL272,IF(OR(Исходн.данные.!$AH272=$BP$1,Исходн.данные.!$AH272=$BP$2),0,IF(Исходн.данные.!AI272=$BU$11,BL272,IF(BL272-DD272&lt;0,0,BL272-DD272)))))</f>
        <v>0</v>
      </c>
      <c r="DH272" s="39">
        <f>IF(BM272&lt;0,0,IF($CH272="Нет",BM272,IF(OR(Исходн.данные.!$AH272=$BP$1,Исходн.данные.!$AH272=$BP$2),0,IF(Исходн.данные.!AJ272=$BU$11,BM272,IF(BM272-DE272&lt;0,0,BM272-DE272)))))</f>
        <v>0</v>
      </c>
      <c r="DI272" s="39">
        <f>IF(BN272&lt;0,0,IF($CH272="Нет",BN272,IF(OR(Исходн.данные.!$AH272=$BP$1,Исходн.данные.!$AH272=$BP$2),0,IF(Исходн.данные.!AK272=$BU$11,BN272,IF(BN272-DF272&lt;0,0,BN272-DF272)))))</f>
        <v>0</v>
      </c>
      <c r="DJ272" s="12">
        <f t="shared" si="320"/>
        <v>0</v>
      </c>
      <c r="DK272" s="9">
        <f t="shared" si="321"/>
        <v>0</v>
      </c>
      <c r="DL272" s="39">
        <f>IF(Исходн.данные.!AM272&gt;0,Исходн.данные.!AM272,IF(EG272&gt;0,$BH$10,0))</f>
        <v>0</v>
      </c>
      <c r="DM272" s="186">
        <f>IF($DL272=0,0,IF(Исходн.данные.!AM272&gt;0,VLOOKUP($DL272,АшламаДВ_Irekle,2,FALSE),VLOOKUP($DL272,АшламаДВ_Gomumy,2,FALSE)))</f>
        <v>0</v>
      </c>
      <c r="DN272" s="10">
        <f t="shared" si="299"/>
        <v>0</v>
      </c>
      <c r="DO272" s="9" t="str">
        <f>IF(Исходн.данные.!AN272&gt;0,Исходн.данные.!AN272,Удобрения!$B$37 )</f>
        <v>Хлор.калий</v>
      </c>
      <c r="DP272" s="9">
        <f>IF(Исходн.данные.!AN272&gt;0,VLOOKUP(Исходн.данные.!AN272,АшламаДВ_Irekle,4,FALSE),VLOOKUP(DO272,АшламаДВ_Gomumy,4,FALSE))</f>
        <v>0.6</v>
      </c>
      <c r="DQ272" s="10">
        <f t="shared" si="300"/>
        <v>0</v>
      </c>
      <c r="DR272" s="132" t="str">
        <f>IF(Исходн.данные.!AO272&gt;0,Исходн.данные.!AO272,IF(DH272=0,BS$17,IF(AND($DK272=0,$DJ272&gt;0),EJ272,EN272)))</f>
        <v>Нет</v>
      </c>
      <c r="DS272" s="70" t="str">
        <f>IF($DR272="Нет","Нет",IF(Исходн.данные.!$AO272&gt;0,VLOOKUP($DR272,АшламаДВ_Irekle,2,FALSE),VLOOKUP($DR272,АшламаДВ_Gomumy,2,FALSE)))</f>
        <v>Нет</v>
      </c>
      <c r="DT272" s="70" t="str">
        <f>IF($DR272="Нет","Нет",IF(Исходн.данные.!$AO272&gt;0,VLOOKUP($DR272,АшламаДВ_Irekle,3,FALSE),VLOOKUP($DR272,АшламаДВ_Gomumy,3,FALSE)))</f>
        <v>Нет</v>
      </c>
      <c r="DU272" s="70" t="str">
        <f>IF($DR272="Нет","Нет",IF(Исходн.данные.!$AO272&gt;0,VLOOKUP($DR272,АшламаДВ_Irekle,4,FALSE),VLOOKUP($DR272,АшламаДВ_Gomumy,4,FALSE)))</f>
        <v>Нет</v>
      </c>
      <c r="DV272" s="70"/>
      <c r="DW272" s="70"/>
      <c r="DX272" s="70"/>
      <c r="DY272" s="10">
        <f t="shared" si="322"/>
        <v>0</v>
      </c>
      <c r="DZ272" s="10">
        <f t="shared" si="323"/>
        <v>0</v>
      </c>
      <c r="EA272" s="10">
        <f t="shared" si="324"/>
        <v>0</v>
      </c>
      <c r="EB272" s="10">
        <f t="shared" si="325"/>
        <v>0</v>
      </c>
      <c r="EC272" s="10">
        <f t="shared" si="326"/>
        <v>0</v>
      </c>
      <c r="ED272" s="10">
        <f t="shared" si="327"/>
        <v>0</v>
      </c>
      <c r="EE272" s="10">
        <f t="shared" si="328"/>
        <v>0</v>
      </c>
      <c r="EF272" s="39">
        <f>EB272*Исходн.данные.!AJ272/1000</f>
        <v>0</v>
      </c>
      <c r="EG272" s="9">
        <f t="shared" si="329"/>
        <v>0</v>
      </c>
      <c r="EH272" s="9">
        <f t="shared" si="330"/>
        <v>0</v>
      </c>
      <c r="EI272" s="39" t="e">
        <f t="shared" si="280"/>
        <v>#DIV/0!</v>
      </c>
      <c r="EJ272" s="9" t="str">
        <f t="shared" si="301"/>
        <v>Азопреципитат</v>
      </c>
      <c r="EK272" s="12">
        <f t="shared" si="281"/>
        <v>0.26</v>
      </c>
      <c r="EL272" s="12">
        <f t="shared" si="282"/>
        <v>0.13</v>
      </c>
      <c r="EM272" s="12">
        <f t="shared" si="283"/>
        <v>0</v>
      </c>
      <c r="EN272" s="12" t="str">
        <f t="shared" si="302"/>
        <v>Нет</v>
      </c>
      <c r="EO272" s="12">
        <f t="shared" si="284"/>
        <v>0</v>
      </c>
      <c r="EP272" s="12">
        <f t="shared" si="285"/>
        <v>0</v>
      </c>
      <c r="EQ272" s="12">
        <f t="shared" si="286"/>
        <v>0</v>
      </c>
      <c r="ER272" s="12" t="str">
        <f t="shared" si="331"/>
        <v>Диаммофоска</v>
      </c>
      <c r="ES272" s="12">
        <f t="shared" si="287"/>
        <v>0.1</v>
      </c>
      <c r="ET272" s="12">
        <f t="shared" si="288"/>
        <v>0.26</v>
      </c>
      <c r="EU272" s="12">
        <f t="shared" si="289"/>
        <v>0.26</v>
      </c>
      <c r="EV272" s="12" t="str">
        <f t="shared" si="332"/>
        <v>Аммофос 12:52:00</v>
      </c>
      <c r="EW272" s="12" t="str">
        <f t="shared" si="333"/>
        <v>Кемира Свекловичное-6</v>
      </c>
      <c r="EX272" s="12">
        <f t="shared" si="290"/>
        <v>0.16</v>
      </c>
      <c r="EY272" s="12">
        <f t="shared" si="291"/>
        <v>0.12</v>
      </c>
      <c r="EZ272" s="12">
        <f t="shared" si="292"/>
        <v>0.17</v>
      </c>
      <c r="FA272" s="38" t="e">
        <f>IF(AND(OR(FJ272=$FD$1,FM272=$FD$1,FO272=$FD$1,FQ272=$FD$1,FS272=$FD$1),FD272=$FD$1,Исходн.данные.!J272&lt;2,FU272=$FD$1),"Бор,Кобальт",IF(AND(FO272=$FD$1,FH272=$FD$1,Исходн.данные.!J272&lt;2,FU272=$FD$1),"Бор,Кобальт",IF(AND(OR(FJ272=$FD$1,FM272=$FD$1,FQ272=$FD$1),FE272=$FD$1,Исходн.данные.!J272&lt;2,FT272=$FD$1,FU272=$FD$1),"Бор,Медь,Цинк",IF(AND(OR(FJ272=$FD$1,FR272="Да"),FI272="Да",Исходн.данные.!J272&lt;2,FT272="Да",FU272="Да"),"Бор,Цинк,Медь",IF(AND(OR(FM272="Да",FQ272="Да"),FI272="Да",Исходн.данные.!J272&lt;2,FT272="Да",FU272="Да"),"Бор,Цинк",IF(AND(FN272="Да",OR(FD272="Да",FE272="Да")),"Бор",FB272))))))</f>
        <v>#N/A</v>
      </c>
      <c r="FB272" s="134" t="e">
        <f>IF(AND(OR(FD272="Да",FE272="Да",FF272="Да",FG272="Да",FH272="Да"),FO272="Да"),"Бор",IF(AND(FP272="Да",OR(FD272="Да",FE272="Да",FI272="Да")),"Бор",IF(AND(FS272="Да",FE272="Да"),"Бор,Медь",IF(AND(OR(FJ272="Да",FK272="Да",FL272="Да"),FE272="Да",Исходн.данные.!I272&lt;5,FT272="Да",FU272="Да"),"Молибден,Цинк",IF(AND(FM272="Да",OR(FE272="Да",FF272="Да",FG272="Да",FH272="Да",FI272="Да")),"Молибден,Цинк",IF(AND(OR(FJ272="Да",FK272="Да",FL272="Да",FM272="Да",FQ272="Да"),OR(FE272="Да",FF272="Да"),FT272="Да",FU272="Да",Исходн.данные.!I272&gt;5.5),"Медь,Цинк",FC272))))))</f>
        <v>#N/A</v>
      </c>
      <c r="FC272" s="23" t="e">
        <f t="shared" si="334"/>
        <v>#N/A</v>
      </c>
      <c r="FD272" s="38" t="str">
        <f>IF(OR(Исходн.данные.!F272=$CC$1,Исходн.данные.!F272=$CC$2,Исходн.данные.!F272=$CC$3,Исходн.данные.!F272=$CC$4),"Да","Нет")</f>
        <v>Нет</v>
      </c>
      <c r="FE272" s="38" t="str">
        <f>IF(Исходн.данные.!F272=$CC$5,"Да","Нет")</f>
        <v>Нет</v>
      </c>
      <c r="FF272" s="38" t="str">
        <f>IF(OR(Исходн.данные.!F272=$CC$6,Исходн.данные.!F272=$CC$7),"Да","Нет")</f>
        <v>Нет</v>
      </c>
      <c r="FG272" s="38" t="str">
        <f>IF(OR(Исходн.данные.!F272=$CC$8,Исходн.данные.!F272=$CC$9),"Да","Нет")</f>
        <v>Нет</v>
      </c>
      <c r="FH272" s="38" t="str">
        <f>IF(Исходн.данные.!F272=$CC$10,"Да","Нет")</f>
        <v>Нет</v>
      </c>
      <c r="FI272" s="38" t="str">
        <f>IF(OR(Исходн.данные.!F272=$CC$11,Исходн.данные.!F272=$CC$12),"Да","Нет")</f>
        <v>Нет</v>
      </c>
      <c r="FJ272" s="38" t="str">
        <f>IF(OR(Исходн.данные.!AH272=$BS$1,Исходн.данные.!AH272=$BQ$11,Исходн.данные.!AH272=$BQ$12),"Да","Нет")</f>
        <v>Нет</v>
      </c>
      <c r="FK272" s="38" t="str">
        <f>IF(OR(Исходн.данные.!AH272=$BS$2,Исходн.данные.!AH272=$BS$4),"Да","Нет")</f>
        <v>Нет</v>
      </c>
      <c r="FL272" s="38" t="str">
        <f>IF(OR(Исходн.данные.!AH272=$BS$3,Исходн.данные.!AH272=$BS$5),"Да","Нет")</f>
        <v>Нет</v>
      </c>
      <c r="FM272" s="38" t="str">
        <f>IF(OR(Исходн.данные.!AH272=$BS$9,Исходн.данные.!AH272=$BS$10,Исходн.данные.!AH272=$BS$11,Исходн.данные.!AH272=$BS$12),"Да","Нет")</f>
        <v>Нет</v>
      </c>
      <c r="FN272" s="38" t="str">
        <f>IF(OR(Исходн.данные.!AH272=$BS$6,Исходн.данные.!AH272=$BP$3),"Да","Нет")</f>
        <v>Нет</v>
      </c>
      <c r="FO272" s="38" t="str">
        <f>IF(Исходн.данные.!AH272=$BQ$9,"Да","Нет")</f>
        <v>Нет</v>
      </c>
      <c r="FP272" s="38" t="str">
        <f>IF(OR(Исходн.данные.!AH272=$BS$8,Исходн.данные.!AH272=$BT$8),"Да","Нет")</f>
        <v>Нет</v>
      </c>
      <c r="FQ272" s="38" t="str">
        <f>IF(OR(Исходн.данные.!AH272=$BQ$7,Исходн.данные.!AH272=$BQ$8),"Да","Нет")</f>
        <v>Нет</v>
      </c>
      <c r="FR272" s="38" t="str">
        <f>IF(Исходн.данные.!AI272=$BU$9,"Да","Нет")</f>
        <v>Нет</v>
      </c>
      <c r="FS272" s="38" t="str">
        <f>IF(OR(Исходн.данные.!AH272=$BP$1,Исходн.данные.!AH272=$BP$2),"Да","Нет")</f>
        <v>Нет</v>
      </c>
      <c r="FT272" s="38" t="e">
        <f>IF((Исходн.данные.!K272*GO272*GS272*GW272+BL272*0.6+Исходн.данные.!Q272*4.5*0.275)&gt;90,"Да","Нет")</f>
        <v>#N/A</v>
      </c>
      <c r="FU272" s="38" t="e">
        <f>IF((Исходн.данные.!M272*GS272*GZ272+BM272*0.225)&gt;35,"Да","Нет")</f>
        <v>#N/A</v>
      </c>
      <c r="FV272" s="38" t="str">
        <f>IF(Исходн.данные.!O272&gt;175,"Да","Нет")</f>
        <v>Нет</v>
      </c>
      <c r="FW272" s="39" t="str">
        <f>IF(Исходн.данные.!I272&gt;5.5,"Да","Нет")</f>
        <v>Нет</v>
      </c>
      <c r="FX272" s="39" t="str">
        <f>IF(Исходн.данные.!J272&lt;2,"Да","Нет")</f>
        <v>Да</v>
      </c>
      <c r="FY272" s="39" t="e">
        <f>IF(HF272=$FY$16,0,Исходн.данные.!K272*GO272*GS272*GW272/HF272)</f>
        <v>#N/A</v>
      </c>
      <c r="FZ272" s="39" t="e">
        <f>Исходн.данные.!M272*GS272*GZ272/HG272</f>
        <v>#N/A</v>
      </c>
      <c r="GA272" s="39" t="e">
        <f>IF(K_Wyn=$FY$16,0,IF(Исходн.данные.!N272=Исходн.данные.!$L$10,Исходн.данные.!O272/1.1*GS272*HC272/HH272,IF(Исходн.данные.!N272=Исходн.данные.!$L$12,Исходн.данные.!O272/1.5*GS272*HC272/HH272,Исходн.данные.!O272*GS272*HC272/HH272)))</f>
        <v>#N/A</v>
      </c>
      <c r="GB272" s="39" t="e">
        <f>IF(HF272=$FY$16,0,((Исходн.данные.!Q272*N_Org+Исходн.данные.!R272*N_Sider+Исходн.данные.!S272*N_Soloma)*AO272+Расчет!BC272*VLOOKUP(Исходн.данные.!T272,Справ!$A$3:$O$57,15)*AO272+BB272*VLOOKUP(Исходн.данные.!T272,Справ!$A$3:$O$57,15)*AL272+(Исходн.данные.!V272*N_Rizotorf+Исходн.данные.!W272*N_Rizoagr))/HF272)</f>
        <v>#N/A</v>
      </c>
      <c r="GC272" s="39" t="e">
        <f>IF(HG272=$FY$16,0,((Исходн.данные.!Q272*Р_Org+Исходн.данные.!R272*P_Sider+Исходн.данные.!S272*P_Soloma)*AP272+Расчет!BC272*VLOOKUP(Исходн.данные.!T272,Справ!$A$3:$P$57,16)*AP272+BB272*VLOOKUP(Исходн.данные.!T272,Справ!$A$3:$P$57,16)*AM272)/HG272)</f>
        <v>#N/A</v>
      </c>
      <c r="GD272" s="39" t="e">
        <f>IF(HH272=$FY$16,0,((Исходн.данные.!Q272*К_Org+Исходн.данные.!R272*K_Sider+Исходн.данные.!S272*K_Soloma)*AQ272+Расчет!BC272*VLOOKUP(Исходн.данные.!T272,Справ!$A$3:$Q$57,17)*AQ272+BB272*VLOOKUP(Исходн.данные.!T272,Справ!$A$3:$Q$57,17)*AN272)/HH272)</f>
        <v>#N/A</v>
      </c>
      <c r="GE272" s="39" t="e">
        <f>IF(HF272=$FY$16,0,(Исходн.данные.!X272*AR272+Исходн.данные.!AA272*N_Org*AL272+Исходн.данные.!AB272*N_Sider*AL272+Исходн.данные.!AC272*N_Soloma*AL272)/HF272)</f>
        <v>#N/A</v>
      </c>
      <c r="GF272" s="39" t="e">
        <f>IF(HG272=$FY$16,0,(Исходн.данные.!Y272*AS272+Исходн.данные.!AA272*Р_Org*AM272+Исходн.данные.!AB272*P_Sider*AM272+Исходн.данные.!AC272*P_Soloma*AM272)/HG272)</f>
        <v>#N/A</v>
      </c>
      <c r="GG272" s="39" t="e">
        <f>IF(HH272=$FY$16,0,(Исходн.данные.!Z272*AT272+Исходн.данные.!AA272*К_Org*AN272+Исходн.данные.!AB272*K_Sider*AN272+Исходн.данные.!AC272*K_Soloma*AN272)/HH272)</f>
        <v>#N/A</v>
      </c>
      <c r="GH272" s="39" t="e">
        <f>Исходн.данные.!AD272*AU272/HF272</f>
        <v>#N/A</v>
      </c>
      <c r="GI272" s="39" t="e">
        <f>Исходн.данные.!AE272*AV272/HG272</f>
        <v>#N/A</v>
      </c>
      <c r="GJ272" s="39" t="e">
        <f>Исходн.данные.!AF272*AW272/HH272</f>
        <v>#N/A</v>
      </c>
      <c r="GK272" s="55">
        <f>Исходн.данные.!AK272</f>
        <v>0</v>
      </c>
      <c r="GL272" s="11" t="e">
        <f t="shared" si="335"/>
        <v>#N/A</v>
      </c>
      <c r="GM272" s="11" t="e">
        <f t="shared" si="336"/>
        <v>#N/A</v>
      </c>
      <c r="GN272" s="11" t="e">
        <f t="shared" si="337"/>
        <v>#N/A</v>
      </c>
      <c r="GO272" s="57">
        <f t="shared" si="338"/>
        <v>19</v>
      </c>
      <c r="GP272" s="55">
        <f>IF(OR(Исходн.данные.!F272=$CE$1,Исходн.данные.!F272=$CE$2,Исходн.данные.!F272=$CE$3,Исходн.данные.!F272=$CE$4,Исходн.данные.!F272=$CE$5),GQ272,GR272)</f>
        <v>19</v>
      </c>
      <c r="GQ272" s="55">
        <f>IF(Исходн.данные.!F272=$CE$1,28,IF(Исходн.данные.!F272=$CE$2,26,IF(Исходн.данные.!F272=$CE$3,24,IF(Исходн.данные.!F272=$CE$4,22,IF(Исходн.данные.!F272=$CE$5,20,GR272)))))</f>
        <v>19</v>
      </c>
      <c r="GR272" s="55">
        <f>IF(Исходн.данные.!F272=$CE$6,18,IF(Исходн.данные.!F272=$CE$7,16,IF(Исходн.данные.!F272=$CE$8,14,IF(Исходн.данные.!F272=$CE$9,13,IF(Исходн.данные.!F272=$CE$10,12,19)))))</f>
        <v>19</v>
      </c>
      <c r="GS272" s="55">
        <f>IF(Исходн.данные.!G272="Пес",0.035*(40+2*Исходн.данные.!H272),IF(Исходн.данные.!G272="Суп",0.0325*(40+2*Исходн.данные.!H272),0.03*(40+2*Исходн.данные.!H272)))</f>
        <v>1.2</v>
      </c>
      <c r="GT272" s="55">
        <f>IF(Исходн.данные.!H272&lt;23,2.6,IF(AND(Исходн.данные.!H272&gt;22,Исходн.данные.!H272&lt;26),3,IF(AND(Исходн.данные.!H272&gt;25,Исходн.данные.!H272&lt;29),3.4,3.6)))</f>
        <v>2.6</v>
      </c>
      <c r="GU272" s="55">
        <f>IF(Исходн.данные.!H272&lt;23,2.8,IF(AND(Исходн.данные.!H272&gt;22,Исходн.данные.!H272&lt;26),3.2,IF(AND(Исходн.данные.!H272&gt;25,Исходн.данные.!H272&lt;29),3.6,3.9)))</f>
        <v>2.8</v>
      </c>
      <c r="GV272" s="55">
        <f>IF(Исходн.данные.!H272&lt;23,3,IF(AND(Исходн.данные.!H272&gt;22,Исходн.данные.!H272&lt;26),3.5,IF(AND(Исходн.данные.!H272&gt;25,Исходн.данные.!H272&lt;29),3.9,4.2)))</f>
        <v>3</v>
      </c>
      <c r="GW272" s="55" t="e">
        <f>IF(Исходн.данные.!P272="Ум",GX272,GY272)</f>
        <v>#N/A</v>
      </c>
      <c r="GX272" s="55" t="e">
        <f>VLOOKUP(Исходн.данные.!AI272,Коэффициенты!$J$7:$L$13,2,FALSE)</f>
        <v>#N/A</v>
      </c>
      <c r="GY272" s="55" t="e">
        <f>VLOOKUP(Исходн.данные.!AI272,Коэффициенты!$J$7:$L$13,3,FALSE)</f>
        <v>#N/A</v>
      </c>
      <c r="GZ272" s="55" t="e">
        <f>(IF(Исходн.данные.!M272&lt;50,0.11*VLOOKUP(Исходн.данные.!AH272,Культуры.Информация,7,FALSE),IF(Исходн.данные.!M272&gt;250,0.05*VLOOKUP(Исходн.данные.!AH272,Культуры.Информация,7,FALSE),VLOOKUP(Исходн.данные.!AH272,Культуры.Информация,5,FALSE)/100*($GX$6+$GY$6*Исходн.данные.!M272))))*Расчет2!AI272</f>
        <v>#N/A</v>
      </c>
      <c r="HA272" s="211"/>
      <c r="HB272" s="211"/>
      <c r="HC272" s="55" t="e">
        <f>(IF(Исходн.данные.!O272&lt;80,0.2*VLOOKUP(Исходн.данные.!AH272,Культуры.Информация,8,FALSE),IF(Исходн.данные.!O272&gt;240,0.09*VLOOKUP(Исходн.данные.!AH272,Культуры.Информация,8,FALSE),VLOOKUP(Исходн.данные.!AH272,Культуры.Информация,6,FALSE)/100*($HB$6+$HC$6*Исходн.данные.!O272))))*Расчет2!AJ272</f>
        <v>#N/A</v>
      </c>
      <c r="HD272" s="55">
        <f>IF(Исходн.данные.!O272&gt;240,0.09,IF(Исходн.данные.!O272&lt;30,0.3,$HE$10+$HD$10*Исходн.данные.!O272))</f>
        <v>0.3</v>
      </c>
      <c r="HE272" s="55">
        <f>IF(Исходн.данные.!O272&gt;240,0.17,IF(Исходн.данные.!O272&lt;30,0.5,$HF$12+$HE$12*Исходн.данные.!O272))</f>
        <v>0.5</v>
      </c>
      <c r="HF272" s="55" t="e">
        <f>VLOOKUP(Исходн.данные.!AH272,Справ!$A$3:$D$58,2,FALSE)</f>
        <v>#N/A</v>
      </c>
      <c r="HG272" s="55" t="e">
        <f>VLOOKUP(Исходн.данные.!AH272,Справ!$A$3:$D$58,3,FALSE)</f>
        <v>#N/A</v>
      </c>
      <c r="HH272" s="55" t="e">
        <f>VLOOKUP(Исходн.данные.!AH272,Справ!$A$3:$D$58,4,FALSE)</f>
        <v>#N/A</v>
      </c>
      <c r="HI272" s="11" t="e">
        <f t="shared" si="339"/>
        <v>#N/A</v>
      </c>
      <c r="HJ272" s="11" t="e">
        <f t="shared" si="340"/>
        <v>#N/A</v>
      </c>
      <c r="HK272" s="11" t="e">
        <f t="shared" si="341"/>
        <v>#N/A</v>
      </c>
      <c r="HL272" s="55">
        <f>IF(OR(Исходн.данные.!G272="Глин",Исходн.данные.!G272="Т_суг"),1.1,IF(Исходн.данные.!G272="Ср_суг",1,1))</f>
        <v>1</v>
      </c>
      <c r="HM272" s="55">
        <f>IF(OR(Исходн.данные.!G272="Глин",Исходн.данные.!G272="Т_суг"),0.9,IF(Исходн.данные.!G272="Ср_суг",1,1.2))</f>
        <v>1.2</v>
      </c>
      <c r="HN272" s="11" t="e">
        <f t="shared" si="342"/>
        <v>#N/A</v>
      </c>
      <c r="HO272" s="11" t="e">
        <f t="shared" si="343"/>
        <v>#N/A</v>
      </c>
      <c r="HP272" s="11" t="e">
        <f t="shared" si="344"/>
        <v>#N/A</v>
      </c>
      <c r="HQ272" t="e">
        <f t="shared" si="345"/>
        <v>#N/A</v>
      </c>
      <c r="HR272" t="e">
        <f t="shared" si="346"/>
        <v>#N/A</v>
      </c>
      <c r="HS272" t="e">
        <f t="shared" si="347"/>
        <v>#N/A</v>
      </c>
      <c r="HT272" t="e">
        <f t="shared" si="293"/>
        <v>#N/A</v>
      </c>
      <c r="HU272" t="e">
        <f t="shared" si="294"/>
        <v>#N/A</v>
      </c>
      <c r="HV272" t="e">
        <f t="shared" si="295"/>
        <v>#N/A</v>
      </c>
      <c r="HW272" t="e">
        <f t="shared" si="296"/>
        <v>#N/A</v>
      </c>
      <c r="HX272" t="e">
        <f t="shared" si="297"/>
        <v>#N/A</v>
      </c>
      <c r="HY272" t="e">
        <f t="shared" si="298"/>
        <v>#N/A</v>
      </c>
      <c r="HZ272" s="55">
        <f>IF(OR(Исходн.данные.!AI272="Оз_Ч_П",Исходн.данные.!AI272="Оз_З_П",Исходн.данные.!AI272="Яр_зер"),12,30)</f>
        <v>30</v>
      </c>
      <c r="IA272" t="e">
        <f t="shared" si="348"/>
        <v>#N/A</v>
      </c>
      <c r="IB272" t="e">
        <f t="shared" si="349"/>
        <v>#N/A</v>
      </c>
      <c r="IC272" t="e">
        <f t="shared" si="350"/>
        <v>#N/A</v>
      </c>
      <c r="ID272" s="11" t="e">
        <f t="shared" si="351"/>
        <v>#N/A</v>
      </c>
      <c r="IE272" s="11" t="e">
        <f t="shared" si="352"/>
        <v>#N/A</v>
      </c>
      <c r="IF272" s="11" t="e">
        <f t="shared" si="353"/>
        <v>#N/A</v>
      </c>
    </row>
    <row r="273" spans="35:240" x14ac:dyDescent="0.2">
      <c r="AI273">
        <f>IF(Исходн.данные.!I273&gt;6,1,1.85-(0.148*Исходн.данные.!I273))</f>
        <v>1.85</v>
      </c>
      <c r="AJ273">
        <f>IF(Исходн.данные.!I273&gt;6,1,2.434-(0.246*Исходн.данные.!I273))</f>
        <v>2.4340000000000002</v>
      </c>
      <c r="AL273" s="148" t="b">
        <f>IF(Исходн.данные.!$P273="Ум",N_OrgUd_2g_um,IF(Исходн.данные.!$P273="Об",N_OrgUd_2g_ob))</f>
        <v>0</v>
      </c>
      <c r="AM273" s="148" t="b">
        <f>IF(Исходн.данные.!$P273="Ум",P_OrgUd_2g_um,IF(Исходн.данные.!$P273="Об",P_OrgUd_2g_ob))</f>
        <v>0</v>
      </c>
      <c r="AN273" s="148" t="b">
        <f>IF(Исходн.данные.!$P273="Ум",K_OrgUd_2g_um,IF(Исходн.данные.!$P273="Об",K_OrgUd_2g_ob))</f>
        <v>0</v>
      </c>
      <c r="AO273" s="148" t="b">
        <f>IF(Исходн.данные.!$P273="Ум",N_OrgUd_1g_um,IF(Исходн.данные.!$P273="Об",N_OrgUd_1g_ob))</f>
        <v>0</v>
      </c>
      <c r="AP273" s="148" t="b">
        <f>IF(Исходн.данные.!$P273="Ум",P_OrgUd_1g_um,IF(Исходн.данные.!$P273="Об",P_OrgUd_1g_ob))</f>
        <v>0</v>
      </c>
      <c r="AQ273" s="148" t="b">
        <f>IF(Исходн.данные.!$P273="Ум",K_OrgUd_1g_um,IF(Исходн.данные.!$P273="Об",K_OrgUd_1g_ob))</f>
        <v>0</v>
      </c>
      <c r="AR273" t="b">
        <f>IF(Исходн.данные.!$P273="Ум",N_MinUd_2g_um,IF(Исходн.данные.!$P273="Об",N_MinUd_2g_ob))</f>
        <v>0</v>
      </c>
      <c r="AS273" t="b">
        <f>IF(Исходн.данные.!$P273="Ум",P_MinUd_2g_um,IF(Исходн.данные.!$P273="Об",P_MinUd_2g_ob))</f>
        <v>0</v>
      </c>
      <c r="AT273" t="b">
        <f>IF(Исходн.данные.!$P273="Ум",K_MinUd_2g_um,IF(Исходн.данные.!$P273="Об",K_MinUd_2g_ob))</f>
        <v>0</v>
      </c>
      <c r="AU273" t="b">
        <f>IF(Исходн.данные.!$P273="Ум",N_MinUd_1g_um,IF(Исходн.данные.!$P273="Об",N_MinUd_1g_ob))</f>
        <v>0</v>
      </c>
      <c r="AV273" t="b">
        <f>IF(Исходн.данные.!P273="Ум",P_MinUd_1g_um,IF(Исходн.данные.!P273="Об",P_MinUd_1g_ob))</f>
        <v>0</v>
      </c>
      <c r="AW273" t="b">
        <f>IF(Исходн.данные.!P273="Ум",K_MinUd_1g_um,IF(Исходн.данные.!P273="Об",K_MinUd_1g_ob))</f>
        <v>0</v>
      </c>
      <c r="AY273" t="e">
        <f>VLOOKUP(Исходн.данные.!T273,Справ!$A$3:$N$57,12)</f>
        <v>#N/A</v>
      </c>
      <c r="AZ273" t="e">
        <f>VLOOKUP(Исходн.данные.!T273,Справ!$A$3:$N$57,13)</f>
        <v>#N/A</v>
      </c>
      <c r="BA273" t="e">
        <f>VLOOKUP(Исходн.данные.!T273,Справ!$A$3:$N$57,14)</f>
        <v>#N/A</v>
      </c>
      <c r="BB273">
        <f>IF(Исходн.данные.!AH273=0,0,25)</f>
        <v>0</v>
      </c>
      <c r="BC273" s="141">
        <f>IF(Исходн.данные.!AH273=0,0,IF(Исходн.данные.!T273=0,25,BD273))</f>
        <v>0</v>
      </c>
      <c r="BD273" s="168" t="e">
        <f>AY273+AZ273*Исходн.данные.!U273-POWER(BA273,2)*Исходн.данные.!U273</f>
        <v>#N/A</v>
      </c>
      <c r="BE27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3" s="25">
        <f>IF(Исходн.данные.!AH273=0,0,MIN(HN273:HP273))</f>
        <v>0</v>
      </c>
      <c r="BG273" s="9">
        <f>IF(Исходн.данные.!AH273=0,0,IF((HO273+10*0.25/HG273/HL273)&lt;17,17,HO273+10*0.25/HG273/HL273))</f>
        <v>0</v>
      </c>
      <c r="BH273" s="181">
        <f>IF(Исходн.данные.!AH273=0,0,HW273*HF273*HL273/AU273*AI273+Исходн.данные.!S273*10)</f>
        <v>0</v>
      </c>
      <c r="BI273" s="10"/>
      <c r="BJ273" s="182">
        <f>IF(Исходн.данные.!AH273=0,0,IF(HX273*HG273*HL273/AV273&lt;0,0,HX273*HG273*HL273/AV273*AJ273))</f>
        <v>0</v>
      </c>
      <c r="BK273" s="182">
        <f>IF(Исходн.данные.!AH273=0,0,HY273*HH273*HM273/AW273)</f>
        <v>0</v>
      </c>
      <c r="BL273" s="10">
        <f>IF(OR(Исходн.данные.!$AH273=$BP$1,Исходн.данные.!$AH273=$BP$2),0,IF(BH273&lt;0,0,IF(OR(Исходн.данные.!T273=Расчет!$BP$1,Исходн.данные.!T273=Расчет!$BP$2,Исходн.данные.!T273=Расчет!$BT$5,Исходн.данные.!T273=Расчет!$BT$6),BH273*0.5,IF(OR(Исходн.данные.!T273=Расчет!$BS$9,Исходн.данные.!T273=Расчет!$BS$10,Исходн.данные.!T273=Расчет!$BS$11,Исходн.данные.!T273=Расчет!$BS$12,Исходн.данные.!T273=Расчет!$BP$5),BH273*0.8,BH273))))</f>
        <v>0</v>
      </c>
      <c r="BM273" s="10">
        <f>IF(OR(Исходн.данные.!$AH273=$BP$1,Исходн.данные.!$AH273=$BP$2),0,IF(BJ273&lt;0,0,IF(Исходн.данные.!I273&lt;4.5,BJ273*1.2,IF(Исходн.данные.!I273&gt;5.1,BJ273,BJ273*((5.1-Исходн.данные.!I273)*0.333+1)))))</f>
        <v>0</v>
      </c>
      <c r="BN273" s="10">
        <f>IF(OR(Исходн.данные.!$AH273=$BP$1,Исходн.данные.!$AH273=$BP$2),60-Исходн.данные.!AF273,IF(BK273&lt;0,0,IF(Исходн.данные.!I273&lt;4.5,BK273*1.2,IF(Исходн.данные.!I273&gt;5.1,BK273,BK273*((5.1-Исходн.данные.!I273)*0.333+1)))))</f>
        <v>0</v>
      </c>
      <c r="BO273" s="9">
        <f>IF(BL273&lt;0,0,BL273*Исходн.данные.!$AJ273/1000)</f>
        <v>0</v>
      </c>
      <c r="BP273" s="9">
        <f>IF(BM273&lt;0,0,BM273*Исходн.данные.!$AJ273/1000)</f>
        <v>0</v>
      </c>
      <c r="BQ273" s="9">
        <f>IF(BN273&lt;0,0,BN273*Исходн.данные.!$AJ273/1000)</f>
        <v>0</v>
      </c>
      <c r="BR273" s="9">
        <f t="shared" si="303"/>
        <v>0</v>
      </c>
      <c r="BS273" s="10" t="str">
        <f t="shared" si="304"/>
        <v>Аммофос 12:52:00</v>
      </c>
      <c r="BT273" s="10" t="str">
        <f t="shared" si="305"/>
        <v>Аммофос 12:52:00</v>
      </c>
      <c r="BU273" s="10" t="str">
        <f t="shared" si="306"/>
        <v>Диаммофоска</v>
      </c>
      <c r="BV273" s="10">
        <f t="shared" si="307"/>
        <v>0</v>
      </c>
      <c r="BW273" s="10"/>
      <c r="BX273" s="10"/>
      <c r="BY273" s="9">
        <f>IF(BL273&lt;0,0,IF(OR(Исходн.данные.!AI273=Расчет!$BU$6,Исходн.данные.!AI273=Расчет!$BU$7),Расчет!BV273,IF(Исходн.данные.!$AG273=$BV$11,BL273,IF(OR(Исходн.данные.!$AH273=$BQ$7,Исходн.данные.!$AH273=$BQ$8),CB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0,IF(Исходн.данные.!$AI273=$BU$11,"Нет",IF(BL273&gt;30,30,BL273)))))))</f>
        <v>0</v>
      </c>
      <c r="BZ273" s="9">
        <f>IF(AND(Исходн.данные.!$AG273=$BV$11,BM273&lt;10),10,IF(Исходн.данные.!$AG273=$BV$11,BM273,IF(OR(Исходн.данные.!$AH273=$BQ$7,Исходн.данные.!$AH273=$BQ$8),CC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10,IF(Исходн.данные.!$AI273=$BU$11,"Нет",IF(BM273&gt;60,60,IF(BM273&lt;10,10,BM273)))))))</f>
        <v>10</v>
      </c>
      <c r="CA273" s="39">
        <f>IF(BN273&lt;0,0,IF(Исходн.данные.!$AG273=$BV$11,BN273,IF(OR(Исходн.данные.!$AH273=$BQ$7,Исходн.данные.!$AH273=$BQ$8),CD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0,IF(Исходн.данные.!$AI273=$BU$11,"Нет",IF(BN273&gt;30,30,BN273))))))</f>
        <v>0</v>
      </c>
      <c r="CB273" s="9">
        <f t="shared" si="308"/>
        <v>0</v>
      </c>
      <c r="CC273" s="9">
        <f t="shared" si="309"/>
        <v>0</v>
      </c>
      <c r="CD273" s="9">
        <f t="shared" si="310"/>
        <v>0</v>
      </c>
      <c r="CE273" s="12">
        <f t="shared" si="311"/>
        <v>10</v>
      </c>
      <c r="CF273" s="9">
        <f t="shared" si="312"/>
        <v>0</v>
      </c>
      <c r="CG273" s="9" t="s">
        <v>231</v>
      </c>
      <c r="CH273" s="132" t="str">
        <f>IF(Исходн.данные.!AP273=Расчет!$CI$16,"Нет",IF(Исходн.данные.!AL273&gt;0,Исходн.данные.!AL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BH$4,IF(OR(Исходн.данные.!AI273=Исходн.данные.!$AI$6,Исходн.данные.!AI273=Исходн.данные.!$AI$7),Расчет!BS273,IF(AND($CF273=0,$CE273&gt;0),EV273,ER273)))))</f>
        <v>Аммофос 12:52:00</v>
      </c>
      <c r="CI273" s="274">
        <f>IF(Расчет!$CH273="Нет","Нет",IF(Исходн.данные.!$AL273&gt;0,VLOOKUP(Расчет!$CH273,АшламаДВ_Irekle,2,FALSE),VLOOKUP(Расчет!$CH273,АшламаДВ_Gomumy,2,FALSE)))</f>
        <v>0.12</v>
      </c>
      <c r="CJ273" s="274">
        <f>IF(Расчет!$CH273="Нет","Нет",IF(Исходн.данные.!$AL273&gt;0,VLOOKUP(Расчет!$CH273,АшламаДВ_Irekle,3,FALSE),VLOOKUP(Расчет!$CH273,АшламаДВ_Gomumy,3,FALSE)))</f>
        <v>0.52</v>
      </c>
      <c r="CK273" s="274">
        <f>IF(Расчет!$CH273="Нет","Нет",IF(Исходн.данные.!$AL273&gt;0,VLOOKUP(Расчет!$CH273,АшламаДВ_Irekle,4,FALSE),VLOOKUP(Расчет!$CH273,АшламаДВ_Gomumy,4,FALSE)))</f>
        <v>0</v>
      </c>
      <c r="CL273" s="70"/>
      <c r="CM273" s="70"/>
      <c r="CN273" s="70"/>
      <c r="CO273" s="70"/>
      <c r="CP273" s="70"/>
      <c r="CQ273" s="70"/>
      <c r="CR273" s="10">
        <f t="shared" si="313"/>
        <v>0</v>
      </c>
      <c r="CS273" s="10">
        <f t="shared" si="314"/>
        <v>19.23076923076923</v>
      </c>
      <c r="CT273" s="10">
        <f t="shared" si="315"/>
        <v>0</v>
      </c>
      <c r="CU273" s="39">
        <f>IF($CH273="Нет",0,IF(CI273=0,30/MIN(CJ273:CK273),IF(Исходн.данные.!$AG273=$BV$11,CR273,IF(OR(Исходн.данные.!$AH273=$BQ$7,Исходн.данные.!$AH273=$BQ$8),90/CI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0,IF(Исходн.данные.!$AI273=$BU$11,"Нет",30/CI273))))))</f>
        <v>250</v>
      </c>
      <c r="CV273" s="39">
        <f>IF($CH273="Нет",0,IF(Исходн.данные.!AH273=0,0,IF(CJ273=0,60/MIN(CI273,CK273),IF(Исходн.данные.!$AG273=$BV$11,CS273,IF(OR(Исходн.данные.!$AH273=$BQ$7,Исходн.данные.!$AH273=$BQ$8),90/CJ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10/CJ273,IF(Исходн.данные.!$AI273=$BU$11,"Нет",60/CJ273)))))))</f>
        <v>0</v>
      </c>
      <c r="CW273" s="39">
        <f>IF($CH273="Нет",0,IF(Исходн.данные.!AH273=0,0,IF(CK273=0,30/MIN(CI273:CJ273),IF(Исходн.данные.!$AG273=$BV$11,CT273,IF(OR(Исходн.данные.!$AH273=$BQ$7,Исходн.данные.!$AH273=$BQ$8),90/CK273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0,IF(Исходн.данные.!$AI273=$BU$11,"Нет",30/CK273)))))))</f>
        <v>0</v>
      </c>
      <c r="CX273" s="133">
        <f>IF(Исходн.данные.!$AG273=$BV$11,MAX(CU273:CW273),IF(OR(Исходн.данные.!$AH273=$BS$8,Исходн.данные.!$AH273=$BQ$9,Исходн.данные.!$AH273=$BQ$10,Исходн.данные.!$AH273=$BQ$11,Исходн.данные.!$AH273=$BQ$12,Исходн.данные.!$AH273=$BP$3,Исходн.данные.!$AH273=$BT$8,$FM273="Да"),CV273,MIN(CU273:CW273)))</f>
        <v>0</v>
      </c>
      <c r="CY273" s="133">
        <f>IF(Исходн.данные.!AH273=0,0,IF(CR273&gt;$CX273,$CX273,CR273))</f>
        <v>0</v>
      </c>
      <c r="CZ273" s="133">
        <f>IF(Исходн.данные.!AH273=0,0,IF(CS273&gt;$CX273,$CX273,CS273))</f>
        <v>0</v>
      </c>
      <c r="DA273" s="133">
        <f>IF(Исходн.данные.!AH273=0,0,IF(CT273&gt;$CX273,$CX273,CT273))</f>
        <v>0</v>
      </c>
      <c r="DB273" s="10">
        <f t="shared" si="316"/>
        <v>0</v>
      </c>
      <c r="DC273" s="39">
        <f>DB273*Исходн.данные.!AJ273/1000</f>
        <v>0</v>
      </c>
      <c r="DD273" s="71">
        <f t="shared" si="317"/>
        <v>0</v>
      </c>
      <c r="DE273" s="9">
        <f t="shared" si="318"/>
        <v>0</v>
      </c>
      <c r="DF273" s="9">
        <f t="shared" si="319"/>
        <v>0</v>
      </c>
      <c r="DG273" s="39">
        <f>IF(BL273&lt;0,0,IF($CH273="Нет",BL273,IF(OR(Исходн.данные.!$AH273=$BP$1,Исходн.данные.!$AH273=$BP$2),0,IF(Исходн.данные.!AI273=$BU$11,BL273,IF(BL273-DD273&lt;0,0,BL273-DD273)))))</f>
        <v>0</v>
      </c>
      <c r="DH273" s="39">
        <f>IF(BM273&lt;0,0,IF($CH273="Нет",BM273,IF(OR(Исходн.данные.!$AH273=$BP$1,Исходн.данные.!$AH273=$BP$2),0,IF(Исходн.данные.!AJ273=$BU$11,BM273,IF(BM273-DE273&lt;0,0,BM273-DE273)))))</f>
        <v>0</v>
      </c>
      <c r="DI273" s="39">
        <f>IF(BN273&lt;0,0,IF($CH273="Нет",BN273,IF(OR(Исходн.данные.!$AH273=$BP$1,Исходн.данные.!$AH273=$BP$2),0,IF(Исходн.данные.!AK273=$BU$11,BN273,IF(BN273-DF273&lt;0,0,BN273-DF273)))))</f>
        <v>0</v>
      </c>
      <c r="DJ273" s="12">
        <f t="shared" si="320"/>
        <v>0</v>
      </c>
      <c r="DK273" s="9">
        <f t="shared" si="321"/>
        <v>0</v>
      </c>
      <c r="DL273" s="39">
        <f>IF(Исходн.данные.!AM273&gt;0,Исходн.данные.!AM273,IF(EG273&gt;0,$BH$10,0))</f>
        <v>0</v>
      </c>
      <c r="DM273" s="186">
        <f>IF($DL273=0,0,IF(Исходн.данные.!AM273&gt;0,VLOOKUP($DL273,АшламаДВ_Irekle,2,FALSE),VLOOKUP($DL273,АшламаДВ_Gomumy,2,FALSE)))</f>
        <v>0</v>
      </c>
      <c r="DN273" s="10">
        <f t="shared" si="299"/>
        <v>0</v>
      </c>
      <c r="DO273" s="9" t="str">
        <f>IF(Исходн.данные.!AN273&gt;0,Исходн.данные.!AN273,Удобрения!$B$37 )</f>
        <v>Хлор.калий</v>
      </c>
      <c r="DP273" s="9">
        <f>IF(Исходн.данные.!AN273&gt;0,VLOOKUP(Исходн.данные.!AN273,АшламаДВ_Irekle,4,FALSE),VLOOKUP(DO273,АшламаДВ_Gomumy,4,FALSE))</f>
        <v>0.6</v>
      </c>
      <c r="DQ273" s="10">
        <f t="shared" si="300"/>
        <v>0</v>
      </c>
      <c r="DR273" s="132" t="str">
        <f>IF(Исходн.данные.!AO273&gt;0,Исходн.данные.!AO273,IF(DH273=0,BS$17,IF(AND($DK273=0,$DJ273&gt;0),EJ273,EN273)))</f>
        <v>Нет</v>
      </c>
      <c r="DS273" s="70" t="str">
        <f>IF($DR273="Нет","Нет",IF(Исходн.данные.!$AO273&gt;0,VLOOKUP($DR273,АшламаДВ_Irekle,2,FALSE),VLOOKUP($DR273,АшламаДВ_Gomumy,2,FALSE)))</f>
        <v>Нет</v>
      </c>
      <c r="DT273" s="70" t="str">
        <f>IF($DR273="Нет","Нет",IF(Исходн.данные.!$AO273&gt;0,VLOOKUP($DR273,АшламаДВ_Irekle,3,FALSE),VLOOKUP($DR273,АшламаДВ_Gomumy,3,FALSE)))</f>
        <v>Нет</v>
      </c>
      <c r="DU273" s="70" t="str">
        <f>IF($DR273="Нет","Нет",IF(Исходн.данные.!$AO273&gt;0,VLOOKUP($DR273,АшламаДВ_Irekle,4,FALSE),VLOOKUP($DR273,АшламаДВ_Gomumy,4,FALSE)))</f>
        <v>Нет</v>
      </c>
      <c r="DV273" s="70"/>
      <c r="DW273" s="70"/>
      <c r="DX273" s="70"/>
      <c r="DY273" s="10">
        <f t="shared" si="322"/>
        <v>0</v>
      </c>
      <c r="DZ273" s="10">
        <f t="shared" si="323"/>
        <v>0</v>
      </c>
      <c r="EA273" s="10">
        <f t="shared" si="324"/>
        <v>0</v>
      </c>
      <c r="EB273" s="10">
        <f t="shared" si="325"/>
        <v>0</v>
      </c>
      <c r="EC273" s="10">
        <f t="shared" si="326"/>
        <v>0</v>
      </c>
      <c r="ED273" s="10">
        <f t="shared" si="327"/>
        <v>0</v>
      </c>
      <c r="EE273" s="10">
        <f t="shared" si="328"/>
        <v>0</v>
      </c>
      <c r="EF273" s="39">
        <f>EB273*Исходн.данные.!AJ273/1000</f>
        <v>0</v>
      </c>
      <c r="EG273" s="9">
        <f t="shared" si="329"/>
        <v>0</v>
      </c>
      <c r="EH273" s="9">
        <f t="shared" si="330"/>
        <v>0</v>
      </c>
      <c r="EI273" s="39" t="e">
        <f t="shared" si="280"/>
        <v>#DIV/0!</v>
      </c>
      <c r="EJ273" s="9" t="str">
        <f t="shared" si="301"/>
        <v>Азопреципитат</v>
      </c>
      <c r="EK273" s="12">
        <f t="shared" si="281"/>
        <v>0.26</v>
      </c>
      <c r="EL273" s="12">
        <f t="shared" si="282"/>
        <v>0.13</v>
      </c>
      <c r="EM273" s="12">
        <f t="shared" si="283"/>
        <v>0</v>
      </c>
      <c r="EN273" s="12" t="str">
        <f t="shared" si="302"/>
        <v>Нет</v>
      </c>
      <c r="EO273" s="12">
        <f t="shared" si="284"/>
        <v>0</v>
      </c>
      <c r="EP273" s="12">
        <f t="shared" si="285"/>
        <v>0</v>
      </c>
      <c r="EQ273" s="12">
        <f t="shared" si="286"/>
        <v>0</v>
      </c>
      <c r="ER273" s="12" t="str">
        <f t="shared" si="331"/>
        <v>Диаммофоска</v>
      </c>
      <c r="ES273" s="12">
        <f t="shared" si="287"/>
        <v>0.1</v>
      </c>
      <c r="ET273" s="12">
        <f t="shared" si="288"/>
        <v>0.26</v>
      </c>
      <c r="EU273" s="12">
        <f t="shared" si="289"/>
        <v>0.26</v>
      </c>
      <c r="EV273" s="12" t="str">
        <f t="shared" si="332"/>
        <v>Аммофос 12:52:00</v>
      </c>
      <c r="EW273" s="12" t="str">
        <f t="shared" si="333"/>
        <v>Кемира Свекловичное-6</v>
      </c>
      <c r="EX273" s="12">
        <f t="shared" si="290"/>
        <v>0.16</v>
      </c>
      <c r="EY273" s="12">
        <f t="shared" si="291"/>
        <v>0.12</v>
      </c>
      <c r="EZ273" s="12">
        <f t="shared" si="292"/>
        <v>0.17</v>
      </c>
      <c r="FA273" s="38" t="e">
        <f>IF(AND(OR(FJ273=$FD$1,FM273=$FD$1,FO273=$FD$1,FQ273=$FD$1,FS273=$FD$1),FD273=$FD$1,Исходн.данные.!J273&lt;2,FU273=$FD$1),"Бор,Кобальт",IF(AND(FO273=$FD$1,FH273=$FD$1,Исходн.данные.!J273&lt;2,FU273=$FD$1),"Бор,Кобальт",IF(AND(OR(FJ273=$FD$1,FM273=$FD$1,FQ273=$FD$1),FE273=$FD$1,Исходн.данные.!J273&lt;2,FT273=$FD$1,FU273=$FD$1),"Бор,Медь,Цинк",IF(AND(OR(FJ273=$FD$1,FR273="Да"),FI273="Да",Исходн.данные.!J273&lt;2,FT273="Да",FU273="Да"),"Бор,Цинк,Медь",IF(AND(OR(FM273="Да",FQ273="Да"),FI273="Да",Исходн.данные.!J273&lt;2,FT273="Да",FU273="Да"),"Бор,Цинк",IF(AND(FN273="Да",OR(FD273="Да",FE273="Да")),"Бор",FB273))))))</f>
        <v>#N/A</v>
      </c>
      <c r="FB273" s="134" t="e">
        <f>IF(AND(OR(FD273="Да",FE273="Да",FF273="Да",FG273="Да",FH273="Да"),FO273="Да"),"Бор",IF(AND(FP273="Да",OR(FD273="Да",FE273="Да",FI273="Да")),"Бор",IF(AND(FS273="Да",FE273="Да"),"Бор,Медь",IF(AND(OR(FJ273="Да",FK273="Да",FL273="Да"),FE273="Да",Исходн.данные.!I273&lt;5,FT273="Да",FU273="Да"),"Молибден,Цинк",IF(AND(FM273="Да",OR(FE273="Да",FF273="Да",FG273="Да",FH273="Да",FI273="Да")),"Молибден,Цинк",IF(AND(OR(FJ273="Да",FK273="Да",FL273="Да",FM273="Да",FQ273="Да"),OR(FE273="Да",FF273="Да"),FT273="Да",FU273="Да",Исходн.данные.!I273&gt;5.5),"Медь,Цинк",FC273))))))</f>
        <v>#N/A</v>
      </c>
      <c r="FC273" s="23" t="e">
        <f t="shared" si="334"/>
        <v>#N/A</v>
      </c>
      <c r="FD273" s="38" t="str">
        <f>IF(OR(Исходн.данные.!F273=$CC$1,Исходн.данные.!F273=$CC$2,Исходн.данные.!F273=$CC$3,Исходн.данные.!F273=$CC$4),"Да","Нет")</f>
        <v>Нет</v>
      </c>
      <c r="FE273" s="38" t="str">
        <f>IF(Исходн.данные.!F273=$CC$5,"Да","Нет")</f>
        <v>Нет</v>
      </c>
      <c r="FF273" s="38" t="str">
        <f>IF(OR(Исходн.данные.!F273=$CC$6,Исходн.данные.!F273=$CC$7),"Да","Нет")</f>
        <v>Нет</v>
      </c>
      <c r="FG273" s="38" t="str">
        <f>IF(OR(Исходн.данные.!F273=$CC$8,Исходн.данные.!F273=$CC$9),"Да","Нет")</f>
        <v>Нет</v>
      </c>
      <c r="FH273" s="38" t="str">
        <f>IF(Исходн.данные.!F273=$CC$10,"Да","Нет")</f>
        <v>Нет</v>
      </c>
      <c r="FI273" s="38" t="str">
        <f>IF(OR(Исходн.данные.!F273=$CC$11,Исходн.данные.!F273=$CC$12),"Да","Нет")</f>
        <v>Нет</v>
      </c>
      <c r="FJ273" s="38" t="str">
        <f>IF(OR(Исходн.данные.!AH273=$BS$1,Исходн.данные.!AH273=$BQ$11,Исходн.данные.!AH273=$BQ$12),"Да","Нет")</f>
        <v>Нет</v>
      </c>
      <c r="FK273" s="38" t="str">
        <f>IF(OR(Исходн.данные.!AH273=$BS$2,Исходн.данные.!AH273=$BS$4),"Да","Нет")</f>
        <v>Нет</v>
      </c>
      <c r="FL273" s="38" t="str">
        <f>IF(OR(Исходн.данные.!AH273=$BS$3,Исходн.данные.!AH273=$BS$5),"Да","Нет")</f>
        <v>Нет</v>
      </c>
      <c r="FM273" s="38" t="str">
        <f>IF(OR(Исходн.данные.!AH273=$BS$9,Исходн.данные.!AH273=$BS$10,Исходн.данные.!AH273=$BS$11,Исходн.данные.!AH273=$BS$12),"Да","Нет")</f>
        <v>Нет</v>
      </c>
      <c r="FN273" s="38" t="str">
        <f>IF(OR(Исходн.данные.!AH273=$BS$6,Исходн.данные.!AH273=$BP$3),"Да","Нет")</f>
        <v>Нет</v>
      </c>
      <c r="FO273" s="38" t="str">
        <f>IF(Исходн.данные.!AH273=$BQ$9,"Да","Нет")</f>
        <v>Нет</v>
      </c>
      <c r="FP273" s="38" t="str">
        <f>IF(OR(Исходн.данные.!AH273=$BS$8,Исходн.данные.!AH273=$BT$8),"Да","Нет")</f>
        <v>Нет</v>
      </c>
      <c r="FQ273" s="38" t="str">
        <f>IF(OR(Исходн.данные.!AH273=$BQ$7,Исходн.данные.!AH273=$BQ$8),"Да","Нет")</f>
        <v>Нет</v>
      </c>
      <c r="FR273" s="38" t="str">
        <f>IF(Исходн.данные.!AI273=$BU$9,"Да","Нет")</f>
        <v>Нет</v>
      </c>
      <c r="FS273" s="38" t="str">
        <f>IF(OR(Исходн.данные.!AH273=$BP$1,Исходн.данные.!AH273=$BP$2),"Да","Нет")</f>
        <v>Нет</v>
      </c>
      <c r="FT273" s="38" t="e">
        <f>IF((Исходн.данные.!K273*GO273*GS273*GW273+BL273*0.6+Исходн.данные.!Q273*4.5*0.275)&gt;90,"Да","Нет")</f>
        <v>#N/A</v>
      </c>
      <c r="FU273" s="38" t="e">
        <f>IF((Исходн.данные.!M273*GS273*GZ273+BM273*0.225)&gt;35,"Да","Нет")</f>
        <v>#N/A</v>
      </c>
      <c r="FV273" s="38" t="str">
        <f>IF(Исходн.данные.!O273&gt;175,"Да","Нет")</f>
        <v>Нет</v>
      </c>
      <c r="FW273" s="39" t="str">
        <f>IF(Исходн.данные.!I273&gt;5.5,"Да","Нет")</f>
        <v>Нет</v>
      </c>
      <c r="FX273" s="39" t="str">
        <f>IF(Исходн.данные.!J273&lt;2,"Да","Нет")</f>
        <v>Да</v>
      </c>
      <c r="FY273" s="39" t="e">
        <f>IF(HF273=$FY$16,0,Исходн.данные.!K273*GO273*GS273*GW273/HF273)</f>
        <v>#N/A</v>
      </c>
      <c r="FZ273" s="39" t="e">
        <f>Исходн.данные.!M273*GS273*GZ273/HG273</f>
        <v>#N/A</v>
      </c>
      <c r="GA273" s="39" t="e">
        <f>IF(K_Wyn=$FY$16,0,IF(Исходн.данные.!N273=Исходн.данные.!$L$10,Исходн.данные.!O273/1.1*GS273*HC273/HH273,IF(Исходн.данные.!N273=Исходн.данные.!$L$12,Исходн.данные.!O273/1.5*GS273*HC273/HH273,Исходн.данные.!O273*GS273*HC273/HH273)))</f>
        <v>#N/A</v>
      </c>
      <c r="GB273" s="39" t="e">
        <f>IF(HF273=$FY$16,0,((Исходн.данные.!Q273*N_Org+Исходн.данные.!R273*N_Sider+Исходн.данные.!S273*N_Soloma)*AO273+Расчет!BC273*VLOOKUP(Исходн.данные.!T273,Справ!$A$3:$O$57,15)*AO273+BB273*VLOOKUP(Исходн.данные.!T273,Справ!$A$3:$O$57,15)*AL273+(Исходн.данные.!V273*N_Rizotorf+Исходн.данные.!W273*N_Rizoagr))/HF273)</f>
        <v>#N/A</v>
      </c>
      <c r="GC273" s="39" t="e">
        <f>IF(HG273=$FY$16,0,((Исходн.данные.!Q273*Р_Org+Исходн.данные.!R273*P_Sider+Исходн.данные.!S273*P_Soloma)*AP273+Расчет!BC273*VLOOKUP(Исходн.данные.!T273,Справ!$A$3:$P$57,16)*AP273+BB273*VLOOKUP(Исходн.данные.!T273,Справ!$A$3:$P$57,16)*AM273)/HG273)</f>
        <v>#N/A</v>
      </c>
      <c r="GD273" s="39" t="e">
        <f>IF(HH273=$FY$16,0,((Исходн.данные.!Q273*К_Org+Исходн.данные.!R273*K_Sider+Исходн.данные.!S273*K_Soloma)*AQ273+Расчет!BC273*VLOOKUP(Исходн.данные.!T273,Справ!$A$3:$Q$57,17)*AQ273+BB273*VLOOKUP(Исходн.данные.!T273,Справ!$A$3:$Q$57,17)*AN273)/HH273)</f>
        <v>#N/A</v>
      </c>
      <c r="GE273" s="39" t="e">
        <f>IF(HF273=$FY$16,0,(Исходн.данные.!X273*AR273+Исходн.данные.!AA273*N_Org*AL273+Исходн.данные.!AB273*N_Sider*AL273+Исходн.данные.!AC273*N_Soloma*AL273)/HF273)</f>
        <v>#N/A</v>
      </c>
      <c r="GF273" s="39" t="e">
        <f>IF(HG273=$FY$16,0,(Исходн.данные.!Y273*AS273+Исходн.данные.!AA273*Р_Org*AM273+Исходн.данные.!AB273*P_Sider*AM273+Исходн.данные.!AC273*P_Soloma*AM273)/HG273)</f>
        <v>#N/A</v>
      </c>
      <c r="GG273" s="39" t="e">
        <f>IF(HH273=$FY$16,0,(Исходн.данные.!Z273*AT273+Исходн.данные.!AA273*К_Org*AN273+Исходн.данные.!AB273*K_Sider*AN273+Исходн.данные.!AC273*K_Soloma*AN273)/HH273)</f>
        <v>#N/A</v>
      </c>
      <c r="GH273" s="39" t="e">
        <f>Исходн.данные.!AD273*AU273/HF273</f>
        <v>#N/A</v>
      </c>
      <c r="GI273" s="39" t="e">
        <f>Исходн.данные.!AE273*AV273/HG273</f>
        <v>#N/A</v>
      </c>
      <c r="GJ273" s="39" t="e">
        <f>Исходн.данные.!AF273*AW273/HH273</f>
        <v>#N/A</v>
      </c>
      <c r="GK273" s="55">
        <f>Исходн.данные.!AK273</f>
        <v>0</v>
      </c>
      <c r="GL273" s="11" t="e">
        <f t="shared" si="335"/>
        <v>#N/A</v>
      </c>
      <c r="GM273" s="11" t="e">
        <f t="shared" si="336"/>
        <v>#N/A</v>
      </c>
      <c r="GN273" s="11" t="e">
        <f t="shared" si="337"/>
        <v>#N/A</v>
      </c>
      <c r="GO273" s="57">
        <f t="shared" si="338"/>
        <v>19</v>
      </c>
      <c r="GP273" s="55">
        <f>IF(OR(Исходн.данные.!F273=$CE$1,Исходн.данные.!F273=$CE$2,Исходн.данные.!F273=$CE$3,Исходн.данные.!F273=$CE$4,Исходн.данные.!F273=$CE$5),GQ273,GR273)</f>
        <v>19</v>
      </c>
      <c r="GQ273" s="55">
        <f>IF(Исходн.данные.!F273=$CE$1,28,IF(Исходн.данные.!F273=$CE$2,26,IF(Исходн.данные.!F273=$CE$3,24,IF(Исходн.данные.!F273=$CE$4,22,IF(Исходн.данные.!F273=$CE$5,20,GR273)))))</f>
        <v>19</v>
      </c>
      <c r="GR273" s="55">
        <f>IF(Исходн.данные.!F273=$CE$6,18,IF(Исходн.данные.!F273=$CE$7,16,IF(Исходн.данные.!F273=$CE$8,14,IF(Исходн.данные.!F273=$CE$9,13,IF(Исходн.данные.!F273=$CE$10,12,19)))))</f>
        <v>19</v>
      </c>
      <c r="GS273" s="55">
        <f>IF(Исходн.данные.!G273="Пес",0.035*(40+2*Исходн.данные.!H273),IF(Исходн.данные.!G273="Суп",0.0325*(40+2*Исходн.данные.!H273),0.03*(40+2*Исходн.данные.!H273)))</f>
        <v>1.2</v>
      </c>
      <c r="GT273" s="55">
        <f>IF(Исходн.данные.!H273&lt;23,2.6,IF(AND(Исходн.данные.!H273&gt;22,Исходн.данные.!H273&lt;26),3,IF(AND(Исходн.данные.!H273&gt;25,Исходн.данные.!H273&lt;29),3.4,3.6)))</f>
        <v>2.6</v>
      </c>
      <c r="GU273" s="55">
        <f>IF(Исходн.данные.!H273&lt;23,2.8,IF(AND(Исходн.данные.!H273&gt;22,Исходн.данные.!H273&lt;26),3.2,IF(AND(Исходн.данные.!H273&gt;25,Исходн.данные.!H273&lt;29),3.6,3.9)))</f>
        <v>2.8</v>
      </c>
      <c r="GV273" s="55">
        <f>IF(Исходн.данные.!H273&lt;23,3,IF(AND(Исходн.данные.!H273&gt;22,Исходн.данные.!H273&lt;26),3.5,IF(AND(Исходн.данные.!H273&gt;25,Исходн.данные.!H273&lt;29),3.9,4.2)))</f>
        <v>3</v>
      </c>
      <c r="GW273" s="55" t="e">
        <f>IF(Исходн.данные.!P273="Ум",GX273,GY273)</f>
        <v>#N/A</v>
      </c>
      <c r="GX273" s="55" t="e">
        <f>VLOOKUP(Исходн.данные.!AI273,Коэффициенты!$J$7:$L$13,2,FALSE)</f>
        <v>#N/A</v>
      </c>
      <c r="GY273" s="55" t="e">
        <f>VLOOKUP(Исходн.данные.!AI273,Коэффициенты!$J$7:$L$13,3,FALSE)</f>
        <v>#N/A</v>
      </c>
      <c r="GZ273" s="55" t="e">
        <f>(IF(Исходн.данные.!M273&lt;50,0.11*VLOOKUP(Исходн.данные.!AH273,Культуры.Информация,7,FALSE),IF(Исходн.данные.!M273&gt;250,0.05*VLOOKUP(Исходн.данные.!AH273,Культуры.Информация,7,FALSE),VLOOKUP(Исходн.данные.!AH273,Культуры.Информация,5,FALSE)/100*($GX$6+$GY$6*Исходн.данные.!M273))))*Расчет2!AI273</f>
        <v>#N/A</v>
      </c>
      <c r="HA273" s="211"/>
      <c r="HB273" s="211"/>
      <c r="HC273" s="55" t="e">
        <f>(IF(Исходн.данные.!O273&lt;80,0.2*VLOOKUP(Исходн.данные.!AH273,Культуры.Информация,8,FALSE),IF(Исходн.данные.!O273&gt;240,0.09*VLOOKUP(Исходн.данные.!AH273,Культуры.Информация,8,FALSE),VLOOKUP(Исходн.данные.!AH273,Культуры.Информация,6,FALSE)/100*($HB$6+$HC$6*Исходн.данные.!O273))))*Расчет2!AJ273</f>
        <v>#N/A</v>
      </c>
      <c r="HD273" s="55">
        <f>IF(Исходн.данные.!O273&gt;240,0.09,IF(Исходн.данные.!O273&lt;30,0.3,$HE$10+$HD$10*Исходн.данные.!O273))</f>
        <v>0.3</v>
      </c>
      <c r="HE273" s="55">
        <f>IF(Исходн.данные.!O273&gt;240,0.17,IF(Исходн.данные.!O273&lt;30,0.5,$HF$12+$HE$12*Исходн.данные.!O273))</f>
        <v>0.5</v>
      </c>
      <c r="HF273" s="55" t="e">
        <f>VLOOKUP(Исходн.данные.!AH273,Справ!$A$3:$D$58,2,FALSE)</f>
        <v>#N/A</v>
      </c>
      <c r="HG273" s="55" t="e">
        <f>VLOOKUP(Исходн.данные.!AH273,Справ!$A$3:$D$58,3,FALSE)</f>
        <v>#N/A</v>
      </c>
      <c r="HH273" s="55" t="e">
        <f>VLOOKUP(Исходн.данные.!AH273,Справ!$A$3:$D$58,4,FALSE)</f>
        <v>#N/A</v>
      </c>
      <c r="HI273" s="11" t="e">
        <f t="shared" si="339"/>
        <v>#N/A</v>
      </c>
      <c r="HJ273" s="11" t="e">
        <f t="shared" si="340"/>
        <v>#N/A</v>
      </c>
      <c r="HK273" s="11" t="e">
        <f t="shared" si="341"/>
        <v>#N/A</v>
      </c>
      <c r="HL273" s="55">
        <f>IF(OR(Исходн.данные.!G273="Глин",Исходн.данные.!G273="Т_суг"),1.1,IF(Исходн.данные.!G273="Ср_суг",1,1))</f>
        <v>1</v>
      </c>
      <c r="HM273" s="55">
        <f>IF(OR(Исходн.данные.!G273="Глин",Исходн.данные.!G273="Т_суг"),0.9,IF(Исходн.данные.!G273="Ср_суг",1,1.2))</f>
        <v>1.2</v>
      </c>
      <c r="HN273" s="11" t="e">
        <f t="shared" si="342"/>
        <v>#N/A</v>
      </c>
      <c r="HO273" s="11" t="e">
        <f t="shared" si="343"/>
        <v>#N/A</v>
      </c>
      <c r="HP273" s="11" t="e">
        <f t="shared" si="344"/>
        <v>#N/A</v>
      </c>
      <c r="HQ273" t="e">
        <f t="shared" si="345"/>
        <v>#N/A</v>
      </c>
      <c r="HR273" t="e">
        <f t="shared" si="346"/>
        <v>#N/A</v>
      </c>
      <c r="HS273" t="e">
        <f t="shared" si="347"/>
        <v>#N/A</v>
      </c>
      <c r="HT273" t="e">
        <f t="shared" si="293"/>
        <v>#N/A</v>
      </c>
      <c r="HU273" t="e">
        <f t="shared" si="294"/>
        <v>#N/A</v>
      </c>
      <c r="HV273" t="e">
        <f t="shared" si="295"/>
        <v>#N/A</v>
      </c>
      <c r="HW273" t="e">
        <f t="shared" si="296"/>
        <v>#N/A</v>
      </c>
      <c r="HX273" t="e">
        <f t="shared" si="297"/>
        <v>#N/A</v>
      </c>
      <c r="HY273" t="e">
        <f t="shared" si="298"/>
        <v>#N/A</v>
      </c>
      <c r="HZ273" s="55">
        <f>IF(OR(Исходн.данные.!AI273="Оз_Ч_П",Исходн.данные.!AI273="Оз_З_П",Исходн.данные.!AI273="Яр_зер"),12,30)</f>
        <v>30</v>
      </c>
      <c r="IA273" t="e">
        <f t="shared" si="348"/>
        <v>#N/A</v>
      </c>
      <c r="IB273" t="e">
        <f t="shared" si="349"/>
        <v>#N/A</v>
      </c>
      <c r="IC273" t="e">
        <f t="shared" si="350"/>
        <v>#N/A</v>
      </c>
      <c r="ID273" s="11" t="e">
        <f t="shared" si="351"/>
        <v>#N/A</v>
      </c>
      <c r="IE273" s="11" t="e">
        <f t="shared" si="352"/>
        <v>#N/A</v>
      </c>
      <c r="IF273" s="11" t="e">
        <f t="shared" si="353"/>
        <v>#N/A</v>
      </c>
    </row>
    <row r="274" spans="35:240" x14ac:dyDescent="0.2">
      <c r="AI274">
        <f>IF(Исходн.данные.!I274&gt;6,1,1.85-(0.148*Исходн.данные.!I274))</f>
        <v>1.85</v>
      </c>
      <c r="AJ274">
        <f>IF(Исходн.данные.!I274&gt;6,1,2.434-(0.246*Исходн.данные.!I274))</f>
        <v>2.4340000000000002</v>
      </c>
      <c r="AL274" s="148" t="b">
        <f>IF(Исходн.данные.!$P274="Ум",N_OrgUd_2g_um,IF(Исходн.данные.!$P274="Об",N_OrgUd_2g_ob))</f>
        <v>0</v>
      </c>
      <c r="AM274" s="148" t="b">
        <f>IF(Исходн.данные.!$P274="Ум",P_OrgUd_2g_um,IF(Исходн.данные.!$P274="Об",P_OrgUd_2g_ob))</f>
        <v>0</v>
      </c>
      <c r="AN274" s="148" t="b">
        <f>IF(Исходн.данные.!$P274="Ум",K_OrgUd_2g_um,IF(Исходн.данные.!$P274="Об",K_OrgUd_2g_ob))</f>
        <v>0</v>
      </c>
      <c r="AO274" s="148" t="b">
        <f>IF(Исходн.данные.!$P274="Ум",N_OrgUd_1g_um,IF(Исходн.данные.!$P274="Об",N_OrgUd_1g_ob))</f>
        <v>0</v>
      </c>
      <c r="AP274" s="148" t="b">
        <f>IF(Исходн.данные.!$P274="Ум",P_OrgUd_1g_um,IF(Исходн.данные.!$P274="Об",P_OrgUd_1g_ob))</f>
        <v>0</v>
      </c>
      <c r="AQ274" s="148" t="b">
        <f>IF(Исходн.данные.!$P274="Ум",K_OrgUd_1g_um,IF(Исходн.данные.!$P274="Об",K_OrgUd_1g_ob))</f>
        <v>0</v>
      </c>
      <c r="AR274" t="b">
        <f>IF(Исходн.данные.!$P274="Ум",N_MinUd_2g_um,IF(Исходн.данные.!$P274="Об",N_MinUd_2g_ob))</f>
        <v>0</v>
      </c>
      <c r="AS274" t="b">
        <f>IF(Исходн.данные.!$P274="Ум",P_MinUd_2g_um,IF(Исходн.данные.!$P274="Об",P_MinUd_2g_ob))</f>
        <v>0</v>
      </c>
      <c r="AT274" t="b">
        <f>IF(Исходн.данные.!$P274="Ум",K_MinUd_2g_um,IF(Исходн.данные.!$P274="Об",K_MinUd_2g_ob))</f>
        <v>0</v>
      </c>
      <c r="AU274" t="b">
        <f>IF(Исходн.данные.!$P274="Ум",N_MinUd_1g_um,IF(Исходн.данные.!$P274="Об",N_MinUd_1g_ob))</f>
        <v>0</v>
      </c>
      <c r="AV274" t="b">
        <f>IF(Исходн.данные.!P274="Ум",P_MinUd_1g_um,IF(Исходн.данные.!P274="Об",P_MinUd_1g_ob))</f>
        <v>0</v>
      </c>
      <c r="AW274" t="b">
        <f>IF(Исходн.данные.!P274="Ум",K_MinUd_1g_um,IF(Исходн.данные.!P274="Об",K_MinUd_1g_ob))</f>
        <v>0</v>
      </c>
      <c r="AY274" t="e">
        <f>VLOOKUP(Исходн.данные.!T274,Справ!$A$3:$N$57,12)</f>
        <v>#N/A</v>
      </c>
      <c r="AZ274" t="e">
        <f>VLOOKUP(Исходн.данные.!T274,Справ!$A$3:$N$57,13)</f>
        <v>#N/A</v>
      </c>
      <c r="BA274" t="e">
        <f>VLOOKUP(Исходн.данные.!T274,Справ!$A$3:$N$57,14)</f>
        <v>#N/A</v>
      </c>
      <c r="BB274">
        <f>IF(Исходн.данные.!AH274=0,0,25)</f>
        <v>0</v>
      </c>
      <c r="BC274" s="141">
        <f>IF(Исходн.данные.!AH274=0,0,IF(Исходн.данные.!T274=0,25,BD274))</f>
        <v>0</v>
      </c>
      <c r="BD274" s="168" t="e">
        <f>AY274+AZ274*Исходн.данные.!U274-POWER(BA274,2)*Исходн.данные.!U274</f>
        <v>#N/A</v>
      </c>
      <c r="BE27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4" s="25">
        <f>IF(Исходн.данные.!AH274=0,0,MIN(HN274:HP274))</f>
        <v>0</v>
      </c>
      <c r="BG274" s="9">
        <f>IF(Исходн.данные.!AH274=0,0,IF((HO274+10*0.25/HG274/HL274)&lt;17,17,HO274+10*0.25/HG274/HL274))</f>
        <v>0</v>
      </c>
      <c r="BH274" s="181">
        <f>IF(Исходн.данные.!AH274=0,0,HW274*HF274*HL274/AU274*AI274+Исходн.данные.!S274*10)</f>
        <v>0</v>
      </c>
      <c r="BI274" s="10"/>
      <c r="BJ274" s="182">
        <f>IF(Исходн.данные.!AH274=0,0,IF(HX274*HG274*HL274/AV274&lt;0,0,HX274*HG274*HL274/AV274*AJ274))</f>
        <v>0</v>
      </c>
      <c r="BK274" s="182">
        <f>IF(Исходн.данные.!AH274=0,0,HY274*HH274*HM274/AW274)</f>
        <v>0</v>
      </c>
      <c r="BL274" s="10">
        <f>IF(OR(Исходн.данные.!$AH274=$BP$1,Исходн.данные.!$AH274=$BP$2),0,IF(BH274&lt;0,0,IF(OR(Исходн.данные.!T274=Расчет!$BP$1,Исходн.данные.!T274=Расчет!$BP$2,Исходн.данные.!T274=Расчет!$BT$5,Исходн.данные.!T274=Расчет!$BT$6),BH274*0.5,IF(OR(Исходн.данные.!T274=Расчет!$BS$9,Исходн.данные.!T274=Расчет!$BS$10,Исходн.данные.!T274=Расчет!$BS$11,Исходн.данные.!T274=Расчет!$BS$12,Исходн.данные.!T274=Расчет!$BP$5),BH274*0.8,BH274))))</f>
        <v>0</v>
      </c>
      <c r="BM274" s="10">
        <f>IF(OR(Исходн.данные.!$AH274=$BP$1,Исходн.данные.!$AH274=$BP$2),0,IF(BJ274&lt;0,0,IF(Исходн.данные.!I274&lt;4.5,BJ274*1.2,IF(Исходн.данные.!I274&gt;5.1,BJ274,BJ274*((5.1-Исходн.данные.!I274)*0.333+1)))))</f>
        <v>0</v>
      </c>
      <c r="BN274" s="10">
        <f>IF(OR(Исходн.данные.!$AH274=$BP$1,Исходн.данные.!$AH274=$BP$2),60-Исходн.данные.!AF274,IF(BK274&lt;0,0,IF(Исходн.данные.!I274&lt;4.5,BK274*1.2,IF(Исходн.данные.!I274&gt;5.1,BK274,BK274*((5.1-Исходн.данные.!I274)*0.333+1)))))</f>
        <v>0</v>
      </c>
      <c r="BO274" s="9">
        <f>IF(BL274&lt;0,0,BL274*Исходн.данные.!$AJ274/1000)</f>
        <v>0</v>
      </c>
      <c r="BP274" s="9">
        <f>IF(BM274&lt;0,0,BM274*Исходн.данные.!$AJ274/1000)</f>
        <v>0</v>
      </c>
      <c r="BQ274" s="9">
        <f>IF(BN274&lt;0,0,BN274*Исходн.данные.!$AJ274/1000)</f>
        <v>0</v>
      </c>
      <c r="BR274" s="9">
        <f t="shared" si="303"/>
        <v>0</v>
      </c>
      <c r="BS274" s="10" t="str">
        <f t="shared" si="304"/>
        <v>Аммофос 12:52:00</v>
      </c>
      <c r="BT274" s="10" t="str">
        <f t="shared" si="305"/>
        <v>Аммофос 12:52:00</v>
      </c>
      <c r="BU274" s="10" t="str">
        <f t="shared" si="306"/>
        <v>Диаммофоска</v>
      </c>
      <c r="BV274" s="10">
        <f t="shared" si="307"/>
        <v>0</v>
      </c>
      <c r="BW274" s="10"/>
      <c r="BX274" s="10"/>
      <c r="BY274" s="9">
        <f>IF(BL274&lt;0,0,IF(OR(Исходн.данные.!AI274=Расчет!$BU$6,Исходн.данные.!AI274=Расчет!$BU$7),Расчет!BV274,IF(Исходн.данные.!$AG274=$BV$11,BL274,IF(OR(Исходн.данные.!$AH274=$BQ$7,Исходн.данные.!$AH274=$BQ$8),CB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0,IF(Исходн.данные.!$AI274=$BU$11,"Нет",IF(BL274&gt;30,30,BL274)))))))</f>
        <v>0</v>
      </c>
      <c r="BZ274" s="9">
        <f>IF(AND(Исходн.данные.!$AG274=$BV$11,BM274&lt;10),10,IF(Исходн.данные.!$AG274=$BV$11,BM274,IF(OR(Исходн.данные.!$AH274=$BQ$7,Исходн.данные.!$AH274=$BQ$8),CC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10,IF(Исходн.данные.!$AI274=$BU$11,"Нет",IF(BM274&gt;60,60,IF(BM274&lt;10,10,BM274)))))))</f>
        <v>10</v>
      </c>
      <c r="CA274" s="39">
        <f>IF(BN274&lt;0,0,IF(Исходн.данные.!$AG274=$BV$11,BN274,IF(OR(Исходн.данные.!$AH274=$BQ$7,Исходн.данные.!$AH274=$BQ$8),CD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0,IF(Исходн.данные.!$AI274=$BU$11,"Нет",IF(BN274&gt;30,30,BN274))))))</f>
        <v>0</v>
      </c>
      <c r="CB274" s="9">
        <f t="shared" si="308"/>
        <v>0</v>
      </c>
      <c r="CC274" s="9">
        <f t="shared" si="309"/>
        <v>0</v>
      </c>
      <c r="CD274" s="9">
        <f t="shared" si="310"/>
        <v>0</v>
      </c>
      <c r="CE274" s="12">
        <f t="shared" si="311"/>
        <v>10</v>
      </c>
      <c r="CF274" s="9">
        <f t="shared" si="312"/>
        <v>0</v>
      </c>
      <c r="CG274" s="9" t="s">
        <v>231</v>
      </c>
      <c r="CH274" s="132" t="str">
        <f>IF(Исходн.данные.!AP274=Расчет!$CI$16,"Нет",IF(Исходн.данные.!AL274&gt;0,Исходн.данные.!AL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BH$4,IF(OR(Исходн.данные.!AI274=Исходн.данные.!$AI$6,Исходн.данные.!AI274=Исходн.данные.!$AI$7),Расчет!BS274,IF(AND($CF274=0,$CE274&gt;0),EV274,ER274)))))</f>
        <v>Аммофос 12:52:00</v>
      </c>
      <c r="CI274" s="274">
        <f>IF(Расчет!$CH274="Нет","Нет",IF(Исходн.данные.!$AL274&gt;0,VLOOKUP(Расчет!$CH274,АшламаДВ_Irekle,2,FALSE),VLOOKUP(Расчет!$CH274,АшламаДВ_Gomumy,2,FALSE)))</f>
        <v>0.12</v>
      </c>
      <c r="CJ274" s="274">
        <f>IF(Расчет!$CH274="Нет","Нет",IF(Исходн.данные.!$AL274&gt;0,VLOOKUP(Расчет!$CH274,АшламаДВ_Irekle,3,FALSE),VLOOKUP(Расчет!$CH274,АшламаДВ_Gomumy,3,FALSE)))</f>
        <v>0.52</v>
      </c>
      <c r="CK274" s="274">
        <f>IF(Расчет!$CH274="Нет","Нет",IF(Исходн.данные.!$AL274&gt;0,VLOOKUP(Расчет!$CH274,АшламаДВ_Irekle,4,FALSE),VLOOKUP(Расчет!$CH274,АшламаДВ_Gomumy,4,FALSE)))</f>
        <v>0</v>
      </c>
      <c r="CL274" s="70"/>
      <c r="CM274" s="70"/>
      <c r="CN274" s="70"/>
      <c r="CO274" s="70"/>
      <c r="CP274" s="70"/>
      <c r="CQ274" s="70"/>
      <c r="CR274" s="10">
        <f t="shared" si="313"/>
        <v>0</v>
      </c>
      <c r="CS274" s="10">
        <f t="shared" si="314"/>
        <v>19.23076923076923</v>
      </c>
      <c r="CT274" s="10">
        <f t="shared" si="315"/>
        <v>0</v>
      </c>
      <c r="CU274" s="39">
        <f>IF($CH274="Нет",0,IF(CI274=0,30/MIN(CJ274:CK274),IF(Исходн.данные.!$AG274=$BV$11,CR274,IF(OR(Исходн.данные.!$AH274=$BQ$7,Исходн.данные.!$AH274=$BQ$8),90/CI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0,IF(Исходн.данные.!$AI274=$BU$11,"Нет",30/CI274))))))</f>
        <v>250</v>
      </c>
      <c r="CV274" s="39">
        <f>IF($CH274="Нет",0,IF(Исходн.данные.!AH274=0,0,IF(CJ274=0,60/MIN(CI274,CK274),IF(Исходн.данные.!$AG274=$BV$11,CS274,IF(OR(Исходн.данные.!$AH274=$BQ$7,Исходн.данные.!$AH274=$BQ$8),90/CJ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10/CJ274,IF(Исходн.данные.!$AI274=$BU$11,"Нет",60/CJ274)))))))</f>
        <v>0</v>
      </c>
      <c r="CW274" s="39">
        <f>IF($CH274="Нет",0,IF(Исходн.данные.!AH274=0,0,IF(CK274=0,30/MIN(CI274:CJ274),IF(Исходн.данные.!$AG274=$BV$11,CT274,IF(OR(Исходн.данные.!$AH274=$BQ$7,Исходн.данные.!$AH274=$BQ$8),90/CK274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0,IF(Исходн.данные.!$AI274=$BU$11,"Нет",30/CK274)))))))</f>
        <v>0</v>
      </c>
      <c r="CX274" s="133">
        <f>IF(Исходн.данные.!$AG274=$BV$11,MAX(CU274:CW274),IF(OR(Исходн.данные.!$AH274=$BS$8,Исходн.данные.!$AH274=$BQ$9,Исходн.данные.!$AH274=$BQ$10,Исходн.данные.!$AH274=$BQ$11,Исходн.данные.!$AH274=$BQ$12,Исходн.данные.!$AH274=$BP$3,Исходн.данные.!$AH274=$BT$8,$FM274="Да"),CV274,MIN(CU274:CW274)))</f>
        <v>0</v>
      </c>
      <c r="CY274" s="133">
        <f>IF(Исходн.данные.!AH274=0,0,IF(CR274&gt;$CX274,$CX274,CR274))</f>
        <v>0</v>
      </c>
      <c r="CZ274" s="133">
        <f>IF(Исходн.данные.!AH274=0,0,IF(CS274&gt;$CX274,$CX274,CS274))</f>
        <v>0</v>
      </c>
      <c r="DA274" s="133">
        <f>IF(Исходн.данные.!AH274=0,0,IF(CT274&gt;$CX274,$CX274,CT274))</f>
        <v>0</v>
      </c>
      <c r="DB274" s="10">
        <f t="shared" si="316"/>
        <v>0</v>
      </c>
      <c r="DC274" s="39">
        <f>DB274*Исходн.данные.!AJ274/1000</f>
        <v>0</v>
      </c>
      <c r="DD274" s="71">
        <f t="shared" si="317"/>
        <v>0</v>
      </c>
      <c r="DE274" s="9">
        <f t="shared" si="318"/>
        <v>0</v>
      </c>
      <c r="DF274" s="9">
        <f t="shared" si="319"/>
        <v>0</v>
      </c>
      <c r="DG274" s="39">
        <f>IF(BL274&lt;0,0,IF($CH274="Нет",BL274,IF(OR(Исходн.данные.!$AH274=$BP$1,Исходн.данные.!$AH274=$BP$2),0,IF(Исходн.данные.!AI274=$BU$11,BL274,IF(BL274-DD274&lt;0,0,BL274-DD274)))))</f>
        <v>0</v>
      </c>
      <c r="DH274" s="39">
        <f>IF(BM274&lt;0,0,IF($CH274="Нет",BM274,IF(OR(Исходн.данные.!$AH274=$BP$1,Исходн.данные.!$AH274=$BP$2),0,IF(Исходн.данные.!AJ274=$BU$11,BM274,IF(BM274-DE274&lt;0,0,BM274-DE274)))))</f>
        <v>0</v>
      </c>
      <c r="DI274" s="39">
        <f>IF(BN274&lt;0,0,IF($CH274="Нет",BN274,IF(OR(Исходн.данные.!$AH274=$BP$1,Исходн.данные.!$AH274=$BP$2),0,IF(Исходн.данные.!AK274=$BU$11,BN274,IF(BN274-DF274&lt;0,0,BN274-DF274)))))</f>
        <v>0</v>
      </c>
      <c r="DJ274" s="12">
        <f t="shared" si="320"/>
        <v>0</v>
      </c>
      <c r="DK274" s="9">
        <f t="shared" si="321"/>
        <v>0</v>
      </c>
      <c r="DL274" s="39">
        <f>IF(Исходн.данные.!AM274&gt;0,Исходн.данные.!AM274,IF(EG274&gt;0,$BH$10,0))</f>
        <v>0</v>
      </c>
      <c r="DM274" s="186">
        <f>IF($DL274=0,0,IF(Исходн.данные.!AM274&gt;0,VLOOKUP($DL274,АшламаДВ_Irekle,2,FALSE),VLOOKUP($DL274,АшламаДВ_Gomumy,2,FALSE)))</f>
        <v>0</v>
      </c>
      <c r="DN274" s="10">
        <f t="shared" si="299"/>
        <v>0</v>
      </c>
      <c r="DO274" s="9" t="str">
        <f>IF(Исходн.данные.!AN274&gt;0,Исходн.данные.!AN274,Удобрения!$B$37 )</f>
        <v>Хлор.калий</v>
      </c>
      <c r="DP274" s="9">
        <f>IF(Исходн.данные.!AN274&gt;0,VLOOKUP(Исходн.данные.!AN274,АшламаДВ_Irekle,4,FALSE),VLOOKUP(DO274,АшламаДВ_Gomumy,4,FALSE))</f>
        <v>0.6</v>
      </c>
      <c r="DQ274" s="10">
        <f t="shared" si="300"/>
        <v>0</v>
      </c>
      <c r="DR274" s="132" t="str">
        <f>IF(Исходн.данные.!AO274&gt;0,Исходн.данные.!AO274,IF(DH274=0,BS$17,IF(AND($DK274=0,$DJ274&gt;0),EJ274,EN274)))</f>
        <v>Нет</v>
      </c>
      <c r="DS274" s="70" t="str">
        <f>IF($DR274="Нет","Нет",IF(Исходн.данные.!$AO274&gt;0,VLOOKUP($DR274,АшламаДВ_Irekle,2,FALSE),VLOOKUP($DR274,АшламаДВ_Gomumy,2,FALSE)))</f>
        <v>Нет</v>
      </c>
      <c r="DT274" s="70" t="str">
        <f>IF($DR274="Нет","Нет",IF(Исходн.данные.!$AO274&gt;0,VLOOKUP($DR274,АшламаДВ_Irekle,3,FALSE),VLOOKUP($DR274,АшламаДВ_Gomumy,3,FALSE)))</f>
        <v>Нет</v>
      </c>
      <c r="DU274" s="70" t="str">
        <f>IF($DR274="Нет","Нет",IF(Исходн.данные.!$AO274&gt;0,VLOOKUP($DR274,АшламаДВ_Irekle,4,FALSE),VLOOKUP($DR274,АшламаДВ_Gomumy,4,FALSE)))</f>
        <v>Нет</v>
      </c>
      <c r="DV274" s="70"/>
      <c r="DW274" s="70"/>
      <c r="DX274" s="70"/>
      <c r="DY274" s="10">
        <f t="shared" si="322"/>
        <v>0</v>
      </c>
      <c r="DZ274" s="10">
        <f t="shared" si="323"/>
        <v>0</v>
      </c>
      <c r="EA274" s="10">
        <f t="shared" si="324"/>
        <v>0</v>
      </c>
      <c r="EB274" s="10">
        <f t="shared" si="325"/>
        <v>0</v>
      </c>
      <c r="EC274" s="10">
        <f t="shared" si="326"/>
        <v>0</v>
      </c>
      <c r="ED274" s="10">
        <f t="shared" si="327"/>
        <v>0</v>
      </c>
      <c r="EE274" s="10">
        <f t="shared" si="328"/>
        <v>0</v>
      </c>
      <c r="EF274" s="39">
        <f>EB274*Исходн.данные.!AJ274/1000</f>
        <v>0</v>
      </c>
      <c r="EG274" s="9">
        <f t="shared" si="329"/>
        <v>0</v>
      </c>
      <c r="EH274" s="9">
        <f t="shared" si="330"/>
        <v>0</v>
      </c>
      <c r="EI274" s="39" t="e">
        <f t="shared" si="280"/>
        <v>#DIV/0!</v>
      </c>
      <c r="EJ274" s="9" t="str">
        <f t="shared" si="301"/>
        <v>Азопреципитат</v>
      </c>
      <c r="EK274" s="12">
        <f t="shared" si="281"/>
        <v>0.26</v>
      </c>
      <c r="EL274" s="12">
        <f t="shared" si="282"/>
        <v>0.13</v>
      </c>
      <c r="EM274" s="12">
        <f t="shared" si="283"/>
        <v>0</v>
      </c>
      <c r="EN274" s="12" t="str">
        <f t="shared" si="302"/>
        <v>Нет</v>
      </c>
      <c r="EO274" s="12">
        <f t="shared" si="284"/>
        <v>0</v>
      </c>
      <c r="EP274" s="12">
        <f t="shared" si="285"/>
        <v>0</v>
      </c>
      <c r="EQ274" s="12">
        <f t="shared" si="286"/>
        <v>0</v>
      </c>
      <c r="ER274" s="12" t="str">
        <f t="shared" si="331"/>
        <v>Диаммофоска</v>
      </c>
      <c r="ES274" s="12">
        <f t="shared" si="287"/>
        <v>0.1</v>
      </c>
      <c r="ET274" s="12">
        <f t="shared" si="288"/>
        <v>0.26</v>
      </c>
      <c r="EU274" s="12">
        <f t="shared" si="289"/>
        <v>0.26</v>
      </c>
      <c r="EV274" s="12" t="str">
        <f t="shared" si="332"/>
        <v>Аммофос 12:52:00</v>
      </c>
      <c r="EW274" s="12" t="str">
        <f t="shared" si="333"/>
        <v>Кемира Свекловичное-6</v>
      </c>
      <c r="EX274" s="12">
        <f t="shared" si="290"/>
        <v>0.16</v>
      </c>
      <c r="EY274" s="12">
        <f t="shared" si="291"/>
        <v>0.12</v>
      </c>
      <c r="EZ274" s="12">
        <f t="shared" si="292"/>
        <v>0.17</v>
      </c>
      <c r="FA274" s="38" t="e">
        <f>IF(AND(OR(FJ274=$FD$1,FM274=$FD$1,FO274=$FD$1,FQ274=$FD$1,FS274=$FD$1),FD274=$FD$1,Исходн.данные.!J274&lt;2,FU274=$FD$1),"Бор,Кобальт",IF(AND(FO274=$FD$1,FH274=$FD$1,Исходн.данные.!J274&lt;2,FU274=$FD$1),"Бор,Кобальт",IF(AND(OR(FJ274=$FD$1,FM274=$FD$1,FQ274=$FD$1),FE274=$FD$1,Исходн.данные.!J274&lt;2,FT274=$FD$1,FU274=$FD$1),"Бор,Медь,Цинк",IF(AND(OR(FJ274=$FD$1,FR274="Да"),FI274="Да",Исходн.данные.!J274&lt;2,FT274="Да",FU274="Да"),"Бор,Цинк,Медь",IF(AND(OR(FM274="Да",FQ274="Да"),FI274="Да",Исходн.данные.!J274&lt;2,FT274="Да",FU274="Да"),"Бор,Цинк",IF(AND(FN274="Да",OR(FD274="Да",FE274="Да")),"Бор",FB274))))))</f>
        <v>#N/A</v>
      </c>
      <c r="FB274" s="134" t="e">
        <f>IF(AND(OR(FD274="Да",FE274="Да",FF274="Да",FG274="Да",FH274="Да"),FO274="Да"),"Бор",IF(AND(FP274="Да",OR(FD274="Да",FE274="Да",FI274="Да")),"Бор",IF(AND(FS274="Да",FE274="Да"),"Бор,Медь",IF(AND(OR(FJ274="Да",FK274="Да",FL274="Да"),FE274="Да",Исходн.данные.!I274&lt;5,FT274="Да",FU274="Да"),"Молибден,Цинк",IF(AND(FM274="Да",OR(FE274="Да",FF274="Да",FG274="Да",FH274="Да",FI274="Да")),"Молибден,Цинк",IF(AND(OR(FJ274="Да",FK274="Да",FL274="Да",FM274="Да",FQ274="Да"),OR(FE274="Да",FF274="Да"),FT274="Да",FU274="Да",Исходн.данные.!I274&gt;5.5),"Медь,Цинк",FC274))))))</f>
        <v>#N/A</v>
      </c>
      <c r="FC274" s="23" t="e">
        <f t="shared" si="334"/>
        <v>#N/A</v>
      </c>
      <c r="FD274" s="38" t="str">
        <f>IF(OR(Исходн.данные.!F274=$CC$1,Исходн.данные.!F274=$CC$2,Исходн.данные.!F274=$CC$3,Исходн.данные.!F274=$CC$4),"Да","Нет")</f>
        <v>Нет</v>
      </c>
      <c r="FE274" s="38" t="str">
        <f>IF(Исходн.данные.!F274=$CC$5,"Да","Нет")</f>
        <v>Нет</v>
      </c>
      <c r="FF274" s="38" t="str">
        <f>IF(OR(Исходн.данные.!F274=$CC$6,Исходн.данные.!F274=$CC$7),"Да","Нет")</f>
        <v>Нет</v>
      </c>
      <c r="FG274" s="38" t="str">
        <f>IF(OR(Исходн.данные.!F274=$CC$8,Исходн.данные.!F274=$CC$9),"Да","Нет")</f>
        <v>Нет</v>
      </c>
      <c r="FH274" s="38" t="str">
        <f>IF(Исходн.данные.!F274=$CC$10,"Да","Нет")</f>
        <v>Нет</v>
      </c>
      <c r="FI274" s="38" t="str">
        <f>IF(OR(Исходн.данные.!F274=$CC$11,Исходн.данные.!F274=$CC$12),"Да","Нет")</f>
        <v>Нет</v>
      </c>
      <c r="FJ274" s="38" t="str">
        <f>IF(OR(Исходн.данные.!AH274=$BS$1,Исходн.данные.!AH274=$BQ$11,Исходн.данные.!AH274=$BQ$12),"Да","Нет")</f>
        <v>Нет</v>
      </c>
      <c r="FK274" s="38" t="str">
        <f>IF(OR(Исходн.данные.!AH274=$BS$2,Исходн.данные.!AH274=$BS$4),"Да","Нет")</f>
        <v>Нет</v>
      </c>
      <c r="FL274" s="38" t="str">
        <f>IF(OR(Исходн.данные.!AH274=$BS$3,Исходн.данные.!AH274=$BS$5),"Да","Нет")</f>
        <v>Нет</v>
      </c>
      <c r="FM274" s="38" t="str">
        <f>IF(OR(Исходн.данные.!AH274=$BS$9,Исходн.данные.!AH274=$BS$10,Исходн.данные.!AH274=$BS$11,Исходн.данные.!AH274=$BS$12),"Да","Нет")</f>
        <v>Нет</v>
      </c>
      <c r="FN274" s="38" t="str">
        <f>IF(OR(Исходн.данные.!AH274=$BS$6,Исходн.данные.!AH274=$BP$3),"Да","Нет")</f>
        <v>Нет</v>
      </c>
      <c r="FO274" s="38" t="str">
        <f>IF(Исходн.данные.!AH274=$BQ$9,"Да","Нет")</f>
        <v>Нет</v>
      </c>
      <c r="FP274" s="38" t="str">
        <f>IF(OR(Исходн.данные.!AH274=$BS$8,Исходн.данные.!AH274=$BT$8),"Да","Нет")</f>
        <v>Нет</v>
      </c>
      <c r="FQ274" s="38" t="str">
        <f>IF(OR(Исходн.данные.!AH274=$BQ$7,Исходн.данные.!AH274=$BQ$8),"Да","Нет")</f>
        <v>Нет</v>
      </c>
      <c r="FR274" s="38" t="str">
        <f>IF(Исходн.данные.!AI274=$BU$9,"Да","Нет")</f>
        <v>Нет</v>
      </c>
      <c r="FS274" s="38" t="str">
        <f>IF(OR(Исходн.данные.!AH274=$BP$1,Исходн.данные.!AH274=$BP$2),"Да","Нет")</f>
        <v>Нет</v>
      </c>
      <c r="FT274" s="38" t="e">
        <f>IF((Исходн.данные.!K274*GO274*GS274*GW274+BL274*0.6+Исходн.данные.!Q274*4.5*0.275)&gt;90,"Да","Нет")</f>
        <v>#N/A</v>
      </c>
      <c r="FU274" s="38" t="e">
        <f>IF((Исходн.данные.!M274*GS274*GZ274+BM274*0.225)&gt;35,"Да","Нет")</f>
        <v>#N/A</v>
      </c>
      <c r="FV274" s="38" t="str">
        <f>IF(Исходн.данные.!O274&gt;175,"Да","Нет")</f>
        <v>Нет</v>
      </c>
      <c r="FW274" s="39" t="str">
        <f>IF(Исходн.данные.!I274&gt;5.5,"Да","Нет")</f>
        <v>Нет</v>
      </c>
      <c r="FX274" s="39" t="str">
        <f>IF(Исходн.данные.!J274&lt;2,"Да","Нет")</f>
        <v>Да</v>
      </c>
      <c r="FY274" s="39" t="e">
        <f>IF(HF274=$FY$16,0,Исходн.данные.!K274*GO274*GS274*GW274/HF274)</f>
        <v>#N/A</v>
      </c>
      <c r="FZ274" s="39" t="e">
        <f>Исходн.данные.!M274*GS274*GZ274/HG274</f>
        <v>#N/A</v>
      </c>
      <c r="GA274" s="39" t="e">
        <f>IF(K_Wyn=$FY$16,0,IF(Исходн.данные.!N274=Исходн.данные.!$L$10,Исходн.данные.!O274/1.1*GS274*HC274/HH274,IF(Исходн.данные.!N274=Исходн.данные.!$L$12,Исходн.данные.!O274/1.5*GS274*HC274/HH274,Исходн.данные.!O274*GS274*HC274/HH274)))</f>
        <v>#N/A</v>
      </c>
      <c r="GB274" s="39" t="e">
        <f>IF(HF274=$FY$16,0,((Исходн.данные.!Q274*N_Org+Исходн.данные.!R274*N_Sider+Исходн.данные.!S274*N_Soloma)*AO274+Расчет!BC274*VLOOKUP(Исходн.данные.!T274,Справ!$A$3:$O$57,15)*AO274+BB274*VLOOKUP(Исходн.данные.!T274,Справ!$A$3:$O$57,15)*AL274+(Исходн.данные.!V274*N_Rizotorf+Исходн.данные.!W274*N_Rizoagr))/HF274)</f>
        <v>#N/A</v>
      </c>
      <c r="GC274" s="39" t="e">
        <f>IF(HG274=$FY$16,0,((Исходн.данные.!Q274*Р_Org+Исходн.данные.!R274*P_Sider+Исходн.данные.!S274*P_Soloma)*AP274+Расчет!BC274*VLOOKUP(Исходн.данные.!T274,Справ!$A$3:$P$57,16)*AP274+BB274*VLOOKUP(Исходн.данные.!T274,Справ!$A$3:$P$57,16)*AM274)/HG274)</f>
        <v>#N/A</v>
      </c>
      <c r="GD274" s="39" t="e">
        <f>IF(HH274=$FY$16,0,((Исходн.данные.!Q274*К_Org+Исходн.данные.!R274*K_Sider+Исходн.данные.!S274*K_Soloma)*AQ274+Расчет!BC274*VLOOKUP(Исходн.данные.!T274,Справ!$A$3:$Q$57,17)*AQ274+BB274*VLOOKUP(Исходн.данные.!T274,Справ!$A$3:$Q$57,17)*AN274)/HH274)</f>
        <v>#N/A</v>
      </c>
      <c r="GE274" s="39" t="e">
        <f>IF(HF274=$FY$16,0,(Исходн.данные.!X274*AR274+Исходн.данные.!AA274*N_Org*AL274+Исходн.данные.!AB274*N_Sider*AL274+Исходн.данные.!AC274*N_Soloma*AL274)/HF274)</f>
        <v>#N/A</v>
      </c>
      <c r="GF274" s="39" t="e">
        <f>IF(HG274=$FY$16,0,(Исходн.данные.!Y274*AS274+Исходн.данные.!AA274*Р_Org*AM274+Исходн.данные.!AB274*P_Sider*AM274+Исходн.данные.!AC274*P_Soloma*AM274)/HG274)</f>
        <v>#N/A</v>
      </c>
      <c r="GG274" s="39" t="e">
        <f>IF(HH274=$FY$16,0,(Исходн.данные.!Z274*AT274+Исходн.данные.!AA274*К_Org*AN274+Исходн.данные.!AB274*K_Sider*AN274+Исходн.данные.!AC274*K_Soloma*AN274)/HH274)</f>
        <v>#N/A</v>
      </c>
      <c r="GH274" s="39" t="e">
        <f>Исходн.данные.!AD274*AU274/HF274</f>
        <v>#N/A</v>
      </c>
      <c r="GI274" s="39" t="e">
        <f>Исходн.данные.!AE274*AV274/HG274</f>
        <v>#N/A</v>
      </c>
      <c r="GJ274" s="39" t="e">
        <f>Исходн.данные.!AF274*AW274/HH274</f>
        <v>#N/A</v>
      </c>
      <c r="GK274" s="55">
        <f>Исходн.данные.!AK274</f>
        <v>0</v>
      </c>
      <c r="GL274" s="11" t="e">
        <f t="shared" si="335"/>
        <v>#N/A</v>
      </c>
      <c r="GM274" s="11" t="e">
        <f t="shared" si="336"/>
        <v>#N/A</v>
      </c>
      <c r="GN274" s="11" t="e">
        <f t="shared" si="337"/>
        <v>#N/A</v>
      </c>
      <c r="GO274" s="57">
        <f t="shared" si="338"/>
        <v>19</v>
      </c>
      <c r="GP274" s="55">
        <f>IF(OR(Исходн.данные.!F274=$CE$1,Исходн.данные.!F274=$CE$2,Исходн.данные.!F274=$CE$3,Исходн.данные.!F274=$CE$4,Исходн.данные.!F274=$CE$5),GQ274,GR274)</f>
        <v>19</v>
      </c>
      <c r="GQ274" s="55">
        <f>IF(Исходн.данные.!F274=$CE$1,28,IF(Исходн.данные.!F274=$CE$2,26,IF(Исходн.данные.!F274=$CE$3,24,IF(Исходн.данные.!F274=$CE$4,22,IF(Исходн.данные.!F274=$CE$5,20,GR274)))))</f>
        <v>19</v>
      </c>
      <c r="GR274" s="55">
        <f>IF(Исходн.данные.!F274=$CE$6,18,IF(Исходн.данные.!F274=$CE$7,16,IF(Исходн.данные.!F274=$CE$8,14,IF(Исходн.данные.!F274=$CE$9,13,IF(Исходн.данные.!F274=$CE$10,12,19)))))</f>
        <v>19</v>
      </c>
      <c r="GS274" s="55">
        <f>IF(Исходн.данные.!G274="Пес",0.035*(40+2*Исходн.данные.!H274),IF(Исходн.данные.!G274="Суп",0.0325*(40+2*Исходн.данные.!H274),0.03*(40+2*Исходн.данные.!H274)))</f>
        <v>1.2</v>
      </c>
      <c r="GT274" s="55">
        <f>IF(Исходн.данные.!H274&lt;23,2.6,IF(AND(Исходн.данные.!H274&gt;22,Исходн.данные.!H274&lt;26),3,IF(AND(Исходн.данные.!H274&gt;25,Исходн.данные.!H274&lt;29),3.4,3.6)))</f>
        <v>2.6</v>
      </c>
      <c r="GU274" s="55">
        <f>IF(Исходн.данные.!H274&lt;23,2.8,IF(AND(Исходн.данные.!H274&gt;22,Исходн.данные.!H274&lt;26),3.2,IF(AND(Исходн.данные.!H274&gt;25,Исходн.данные.!H274&lt;29),3.6,3.9)))</f>
        <v>2.8</v>
      </c>
      <c r="GV274" s="55">
        <f>IF(Исходн.данные.!H274&lt;23,3,IF(AND(Исходн.данные.!H274&gt;22,Исходн.данные.!H274&lt;26),3.5,IF(AND(Исходн.данные.!H274&gt;25,Исходн.данные.!H274&lt;29),3.9,4.2)))</f>
        <v>3</v>
      </c>
      <c r="GW274" s="55" t="e">
        <f>IF(Исходн.данные.!P274="Ум",GX274,GY274)</f>
        <v>#N/A</v>
      </c>
      <c r="GX274" s="55" t="e">
        <f>VLOOKUP(Исходн.данные.!AI274,Коэффициенты!$J$7:$L$13,2,FALSE)</f>
        <v>#N/A</v>
      </c>
      <c r="GY274" s="55" t="e">
        <f>VLOOKUP(Исходн.данные.!AI274,Коэффициенты!$J$7:$L$13,3,FALSE)</f>
        <v>#N/A</v>
      </c>
      <c r="GZ274" s="55" t="e">
        <f>(IF(Исходн.данные.!M274&lt;50,0.11*VLOOKUP(Исходн.данные.!AH274,Культуры.Информация,7,FALSE),IF(Исходн.данные.!M274&gt;250,0.05*VLOOKUP(Исходн.данные.!AH274,Культуры.Информация,7,FALSE),VLOOKUP(Исходн.данные.!AH274,Культуры.Информация,5,FALSE)/100*($GX$6+$GY$6*Исходн.данные.!M274))))*Расчет2!AI274</f>
        <v>#N/A</v>
      </c>
      <c r="HA274" s="211"/>
      <c r="HB274" s="211"/>
      <c r="HC274" s="55" t="e">
        <f>(IF(Исходн.данные.!O274&lt;80,0.2*VLOOKUP(Исходн.данные.!AH274,Культуры.Информация,8,FALSE),IF(Исходн.данные.!O274&gt;240,0.09*VLOOKUP(Исходн.данные.!AH274,Культуры.Информация,8,FALSE),VLOOKUP(Исходн.данные.!AH274,Культуры.Информация,6,FALSE)/100*($HB$6+$HC$6*Исходн.данные.!O274))))*Расчет2!AJ274</f>
        <v>#N/A</v>
      </c>
      <c r="HD274" s="55">
        <f>IF(Исходн.данные.!O274&gt;240,0.09,IF(Исходн.данные.!O274&lt;30,0.3,$HE$10+$HD$10*Исходн.данные.!O274))</f>
        <v>0.3</v>
      </c>
      <c r="HE274" s="55">
        <f>IF(Исходн.данные.!O274&gt;240,0.17,IF(Исходн.данные.!O274&lt;30,0.5,$HF$12+$HE$12*Исходн.данные.!O274))</f>
        <v>0.5</v>
      </c>
      <c r="HF274" s="55" t="e">
        <f>VLOOKUP(Исходн.данные.!AH274,Справ!$A$3:$D$58,2,FALSE)</f>
        <v>#N/A</v>
      </c>
      <c r="HG274" s="55" t="e">
        <f>VLOOKUP(Исходн.данные.!AH274,Справ!$A$3:$D$58,3,FALSE)</f>
        <v>#N/A</v>
      </c>
      <c r="HH274" s="55" t="e">
        <f>VLOOKUP(Исходн.данные.!AH274,Справ!$A$3:$D$58,4,FALSE)</f>
        <v>#N/A</v>
      </c>
      <c r="HI274" s="11" t="e">
        <f t="shared" si="339"/>
        <v>#N/A</v>
      </c>
      <c r="HJ274" s="11" t="e">
        <f t="shared" si="340"/>
        <v>#N/A</v>
      </c>
      <c r="HK274" s="11" t="e">
        <f t="shared" si="341"/>
        <v>#N/A</v>
      </c>
      <c r="HL274" s="55">
        <f>IF(OR(Исходн.данные.!G274="Глин",Исходн.данные.!G274="Т_суг"),1.1,IF(Исходн.данные.!G274="Ср_суг",1,1))</f>
        <v>1</v>
      </c>
      <c r="HM274" s="55">
        <f>IF(OR(Исходн.данные.!G274="Глин",Исходн.данные.!G274="Т_суг"),0.9,IF(Исходн.данные.!G274="Ср_суг",1,1.2))</f>
        <v>1.2</v>
      </c>
      <c r="HN274" s="11" t="e">
        <f t="shared" si="342"/>
        <v>#N/A</v>
      </c>
      <c r="HO274" s="11" t="e">
        <f t="shared" si="343"/>
        <v>#N/A</v>
      </c>
      <c r="HP274" s="11" t="e">
        <f t="shared" si="344"/>
        <v>#N/A</v>
      </c>
      <c r="HQ274" t="e">
        <f t="shared" si="345"/>
        <v>#N/A</v>
      </c>
      <c r="HR274" t="e">
        <f t="shared" si="346"/>
        <v>#N/A</v>
      </c>
      <c r="HS274" t="e">
        <f t="shared" si="347"/>
        <v>#N/A</v>
      </c>
      <c r="HT274" t="e">
        <f t="shared" si="293"/>
        <v>#N/A</v>
      </c>
      <c r="HU274" t="e">
        <f t="shared" si="294"/>
        <v>#N/A</v>
      </c>
      <c r="HV274" t="e">
        <f t="shared" si="295"/>
        <v>#N/A</v>
      </c>
      <c r="HW274" t="e">
        <f t="shared" si="296"/>
        <v>#N/A</v>
      </c>
      <c r="HX274" t="e">
        <f t="shared" si="297"/>
        <v>#N/A</v>
      </c>
      <c r="HY274" t="e">
        <f t="shared" si="298"/>
        <v>#N/A</v>
      </c>
      <c r="HZ274" s="55">
        <f>IF(OR(Исходн.данные.!AI274="Оз_Ч_П",Исходн.данные.!AI274="Оз_З_П",Исходн.данные.!AI274="Яр_зер"),12,30)</f>
        <v>30</v>
      </c>
      <c r="IA274" t="e">
        <f t="shared" si="348"/>
        <v>#N/A</v>
      </c>
      <c r="IB274" t="e">
        <f t="shared" si="349"/>
        <v>#N/A</v>
      </c>
      <c r="IC274" t="e">
        <f t="shared" si="350"/>
        <v>#N/A</v>
      </c>
      <c r="ID274" s="11" t="e">
        <f t="shared" si="351"/>
        <v>#N/A</v>
      </c>
      <c r="IE274" s="11" t="e">
        <f t="shared" si="352"/>
        <v>#N/A</v>
      </c>
      <c r="IF274" s="11" t="e">
        <f t="shared" si="353"/>
        <v>#N/A</v>
      </c>
    </row>
    <row r="275" spans="35:240" x14ac:dyDescent="0.2">
      <c r="AI275">
        <f>IF(Исходн.данные.!I275&gt;6,1,1.85-(0.148*Исходн.данные.!I275))</f>
        <v>1.85</v>
      </c>
      <c r="AJ275">
        <f>IF(Исходн.данные.!I275&gt;6,1,2.434-(0.246*Исходн.данные.!I275))</f>
        <v>2.4340000000000002</v>
      </c>
      <c r="AL275" s="148" t="b">
        <f>IF(Исходн.данные.!$P275="Ум",N_OrgUd_2g_um,IF(Исходн.данные.!$P275="Об",N_OrgUd_2g_ob))</f>
        <v>0</v>
      </c>
      <c r="AM275" s="148" t="b">
        <f>IF(Исходн.данные.!$P275="Ум",P_OrgUd_2g_um,IF(Исходн.данные.!$P275="Об",P_OrgUd_2g_ob))</f>
        <v>0</v>
      </c>
      <c r="AN275" s="148" t="b">
        <f>IF(Исходн.данные.!$P275="Ум",K_OrgUd_2g_um,IF(Исходн.данные.!$P275="Об",K_OrgUd_2g_ob))</f>
        <v>0</v>
      </c>
      <c r="AO275" s="148" t="b">
        <f>IF(Исходн.данные.!$P275="Ум",N_OrgUd_1g_um,IF(Исходн.данные.!$P275="Об",N_OrgUd_1g_ob))</f>
        <v>0</v>
      </c>
      <c r="AP275" s="148" t="b">
        <f>IF(Исходн.данные.!$P275="Ум",P_OrgUd_1g_um,IF(Исходн.данные.!$P275="Об",P_OrgUd_1g_ob))</f>
        <v>0</v>
      </c>
      <c r="AQ275" s="148" t="b">
        <f>IF(Исходн.данные.!$P275="Ум",K_OrgUd_1g_um,IF(Исходн.данные.!$P275="Об",K_OrgUd_1g_ob))</f>
        <v>0</v>
      </c>
      <c r="AR275" t="b">
        <f>IF(Исходн.данные.!$P275="Ум",N_MinUd_2g_um,IF(Исходн.данные.!$P275="Об",N_MinUd_2g_ob))</f>
        <v>0</v>
      </c>
      <c r="AS275" t="b">
        <f>IF(Исходн.данные.!$P275="Ум",P_MinUd_2g_um,IF(Исходн.данные.!$P275="Об",P_MinUd_2g_ob))</f>
        <v>0</v>
      </c>
      <c r="AT275" t="b">
        <f>IF(Исходн.данные.!$P275="Ум",K_MinUd_2g_um,IF(Исходн.данные.!$P275="Об",K_MinUd_2g_ob))</f>
        <v>0</v>
      </c>
      <c r="AU275" t="b">
        <f>IF(Исходн.данные.!$P275="Ум",N_MinUd_1g_um,IF(Исходн.данные.!$P275="Об",N_MinUd_1g_ob))</f>
        <v>0</v>
      </c>
      <c r="AV275" t="b">
        <f>IF(Исходн.данные.!P275="Ум",P_MinUd_1g_um,IF(Исходн.данные.!P275="Об",P_MinUd_1g_ob))</f>
        <v>0</v>
      </c>
      <c r="AW275" t="b">
        <f>IF(Исходн.данные.!P275="Ум",K_MinUd_1g_um,IF(Исходн.данные.!P275="Об",K_MinUd_1g_ob))</f>
        <v>0</v>
      </c>
      <c r="AY275" t="e">
        <f>VLOOKUP(Исходн.данные.!T275,Справ!$A$3:$N$57,12)</f>
        <v>#N/A</v>
      </c>
      <c r="AZ275" t="e">
        <f>VLOOKUP(Исходн.данные.!T275,Справ!$A$3:$N$57,13)</f>
        <v>#N/A</v>
      </c>
      <c r="BA275" t="e">
        <f>VLOOKUP(Исходн.данные.!T275,Справ!$A$3:$N$57,14)</f>
        <v>#N/A</v>
      </c>
      <c r="BB275">
        <f>IF(Исходн.данные.!AH275=0,0,25)</f>
        <v>0</v>
      </c>
      <c r="BC275" s="141">
        <f>IF(Исходн.данные.!AH275=0,0,IF(Исходн.данные.!T275=0,25,BD275))</f>
        <v>0</v>
      </c>
      <c r="BD275" s="168" t="e">
        <f>AY275+AZ275*Исходн.данные.!U275-POWER(BA275,2)*Исходн.данные.!U275</f>
        <v>#N/A</v>
      </c>
      <c r="BE27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5" s="25">
        <f>IF(Исходн.данные.!AH275=0,0,MIN(HN275:HP275))</f>
        <v>0</v>
      </c>
      <c r="BG275" s="9">
        <f>IF(Исходн.данные.!AH275=0,0,IF((HO275+10*0.25/HG275/HL275)&lt;17,17,HO275+10*0.25/HG275/HL275))</f>
        <v>0</v>
      </c>
      <c r="BH275" s="181">
        <f>IF(Исходн.данные.!AH275=0,0,HW275*HF275*HL275/AU275*AI275+Исходн.данные.!S275*10)</f>
        <v>0</v>
      </c>
      <c r="BI275" s="10"/>
      <c r="BJ275" s="182">
        <f>IF(Исходн.данные.!AH275=0,0,IF(HX275*HG275*HL275/AV275&lt;0,0,HX275*HG275*HL275/AV275*AJ275))</f>
        <v>0</v>
      </c>
      <c r="BK275" s="182">
        <f>IF(Исходн.данные.!AH275=0,0,HY275*HH275*HM275/AW275)</f>
        <v>0</v>
      </c>
      <c r="BL275" s="10">
        <f>IF(OR(Исходн.данные.!$AH275=$BP$1,Исходн.данные.!$AH275=$BP$2),0,IF(BH275&lt;0,0,IF(OR(Исходн.данные.!T275=Расчет!$BP$1,Исходн.данные.!T275=Расчет!$BP$2,Исходн.данные.!T275=Расчет!$BT$5,Исходн.данные.!T275=Расчет!$BT$6),BH275*0.5,IF(OR(Исходн.данные.!T275=Расчет!$BS$9,Исходн.данные.!T275=Расчет!$BS$10,Исходн.данные.!T275=Расчет!$BS$11,Исходн.данные.!T275=Расчет!$BS$12,Исходн.данные.!T275=Расчет!$BP$5),BH275*0.8,BH275))))</f>
        <v>0</v>
      </c>
      <c r="BM275" s="10">
        <f>IF(OR(Исходн.данные.!$AH275=$BP$1,Исходн.данные.!$AH275=$BP$2),0,IF(BJ275&lt;0,0,IF(Исходн.данные.!I275&lt;4.5,BJ275*1.2,IF(Исходн.данные.!I275&gt;5.1,BJ275,BJ275*((5.1-Исходн.данные.!I275)*0.333+1)))))</f>
        <v>0</v>
      </c>
      <c r="BN275" s="10">
        <f>IF(OR(Исходн.данные.!$AH275=$BP$1,Исходн.данные.!$AH275=$BP$2),60-Исходн.данные.!AF275,IF(BK275&lt;0,0,IF(Исходн.данные.!I275&lt;4.5,BK275*1.2,IF(Исходн.данные.!I275&gt;5.1,BK275,BK275*((5.1-Исходн.данные.!I275)*0.333+1)))))</f>
        <v>0</v>
      </c>
      <c r="BO275" s="9">
        <f>IF(BL275&lt;0,0,BL275*Исходн.данные.!$AJ275/1000)</f>
        <v>0</v>
      </c>
      <c r="BP275" s="9">
        <f>IF(BM275&lt;0,0,BM275*Исходн.данные.!$AJ275/1000)</f>
        <v>0</v>
      </c>
      <c r="BQ275" s="9">
        <f>IF(BN275&lt;0,0,BN275*Исходн.данные.!$AJ275/1000)</f>
        <v>0</v>
      </c>
      <c r="BR275" s="9">
        <f t="shared" si="303"/>
        <v>0</v>
      </c>
      <c r="BS275" s="10" t="str">
        <f t="shared" si="304"/>
        <v>Аммофос 12:52:00</v>
      </c>
      <c r="BT275" s="10" t="str">
        <f t="shared" si="305"/>
        <v>Аммофос 12:52:00</v>
      </c>
      <c r="BU275" s="10" t="str">
        <f t="shared" si="306"/>
        <v>Диаммофоска</v>
      </c>
      <c r="BV275" s="10">
        <f t="shared" si="307"/>
        <v>0</v>
      </c>
      <c r="BW275" s="10"/>
      <c r="BX275" s="10"/>
      <c r="BY275" s="9">
        <f>IF(BL275&lt;0,0,IF(OR(Исходн.данные.!AI275=Расчет!$BU$6,Исходн.данные.!AI275=Расчет!$BU$7),Расчет!BV275,IF(Исходн.данные.!$AG275=$BV$11,BL275,IF(OR(Исходн.данные.!$AH275=$BQ$7,Исходн.данные.!$AH275=$BQ$8),CB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0,IF(Исходн.данные.!$AI275=$BU$11,"Нет",IF(BL275&gt;30,30,BL275)))))))</f>
        <v>0</v>
      </c>
      <c r="BZ275" s="9">
        <f>IF(AND(Исходн.данные.!$AG275=$BV$11,BM275&lt;10),10,IF(Исходн.данные.!$AG275=$BV$11,BM275,IF(OR(Исходн.данные.!$AH275=$BQ$7,Исходн.данные.!$AH275=$BQ$8),CC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10,IF(Исходн.данные.!$AI275=$BU$11,"Нет",IF(BM275&gt;60,60,IF(BM275&lt;10,10,BM275)))))))</f>
        <v>10</v>
      </c>
      <c r="CA275" s="39">
        <f>IF(BN275&lt;0,0,IF(Исходн.данные.!$AG275=$BV$11,BN275,IF(OR(Исходн.данные.!$AH275=$BQ$7,Исходн.данные.!$AH275=$BQ$8),CD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0,IF(Исходн.данные.!$AI275=$BU$11,"Нет",IF(BN275&gt;30,30,BN275))))))</f>
        <v>0</v>
      </c>
      <c r="CB275" s="9">
        <f t="shared" si="308"/>
        <v>0</v>
      </c>
      <c r="CC275" s="9">
        <f t="shared" si="309"/>
        <v>0</v>
      </c>
      <c r="CD275" s="9">
        <f t="shared" si="310"/>
        <v>0</v>
      </c>
      <c r="CE275" s="12">
        <f t="shared" si="311"/>
        <v>10</v>
      </c>
      <c r="CF275" s="9">
        <f t="shared" si="312"/>
        <v>0</v>
      </c>
      <c r="CG275" s="9" t="s">
        <v>231</v>
      </c>
      <c r="CH275" s="132" t="str">
        <f>IF(Исходн.данные.!AP275=Расчет!$CI$16,"Нет",IF(Исходн.данные.!AL275&gt;0,Исходн.данные.!AL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BH$4,IF(OR(Исходн.данные.!AI275=Исходн.данные.!$AI$6,Исходн.данные.!AI275=Исходн.данные.!$AI$7),Расчет!BS275,IF(AND($CF275=0,$CE275&gt;0),EV275,ER275)))))</f>
        <v>Аммофос 12:52:00</v>
      </c>
      <c r="CI275" s="274">
        <f>IF(Расчет!$CH275="Нет","Нет",IF(Исходн.данные.!$AL275&gt;0,VLOOKUP(Расчет!$CH275,АшламаДВ_Irekle,2,FALSE),VLOOKUP(Расчет!$CH275,АшламаДВ_Gomumy,2,FALSE)))</f>
        <v>0.12</v>
      </c>
      <c r="CJ275" s="274">
        <f>IF(Расчет!$CH275="Нет","Нет",IF(Исходн.данные.!$AL275&gt;0,VLOOKUP(Расчет!$CH275,АшламаДВ_Irekle,3,FALSE),VLOOKUP(Расчет!$CH275,АшламаДВ_Gomumy,3,FALSE)))</f>
        <v>0.52</v>
      </c>
      <c r="CK275" s="274">
        <f>IF(Расчет!$CH275="Нет","Нет",IF(Исходн.данные.!$AL275&gt;0,VLOOKUP(Расчет!$CH275,АшламаДВ_Irekle,4,FALSE),VLOOKUP(Расчет!$CH275,АшламаДВ_Gomumy,4,FALSE)))</f>
        <v>0</v>
      </c>
      <c r="CL275" s="70"/>
      <c r="CM275" s="70"/>
      <c r="CN275" s="70"/>
      <c r="CO275" s="70"/>
      <c r="CP275" s="70"/>
      <c r="CQ275" s="70"/>
      <c r="CR275" s="10">
        <f t="shared" si="313"/>
        <v>0</v>
      </c>
      <c r="CS275" s="10">
        <f t="shared" si="314"/>
        <v>19.23076923076923</v>
      </c>
      <c r="CT275" s="10">
        <f t="shared" si="315"/>
        <v>0</v>
      </c>
      <c r="CU275" s="39">
        <f>IF($CH275="Нет",0,IF(CI275=0,30/MIN(CJ275:CK275),IF(Исходн.данные.!$AG275=$BV$11,CR275,IF(OR(Исходн.данные.!$AH275=$BQ$7,Исходн.данные.!$AH275=$BQ$8),90/CI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0,IF(Исходн.данные.!$AI275=$BU$11,"Нет",30/CI275))))))</f>
        <v>250</v>
      </c>
      <c r="CV275" s="39">
        <f>IF($CH275="Нет",0,IF(Исходн.данные.!AH275=0,0,IF(CJ275=0,60/MIN(CI275,CK275),IF(Исходн.данные.!$AG275=$BV$11,CS275,IF(OR(Исходн.данные.!$AH275=$BQ$7,Исходн.данные.!$AH275=$BQ$8),90/CJ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10/CJ275,IF(Исходн.данные.!$AI275=$BU$11,"Нет",60/CJ275)))))))</f>
        <v>0</v>
      </c>
      <c r="CW275" s="39">
        <f>IF($CH275="Нет",0,IF(Исходн.данные.!AH275=0,0,IF(CK275=0,30/MIN(CI275:CJ275),IF(Исходн.данные.!$AG275=$BV$11,CT275,IF(OR(Исходн.данные.!$AH275=$BQ$7,Исходн.данные.!$AH275=$BQ$8),90/CK275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0,IF(Исходн.данные.!$AI275=$BU$11,"Нет",30/CK275)))))))</f>
        <v>0</v>
      </c>
      <c r="CX275" s="133">
        <f>IF(Исходн.данные.!$AG275=$BV$11,MAX(CU275:CW275),IF(OR(Исходн.данные.!$AH275=$BS$8,Исходн.данные.!$AH275=$BQ$9,Исходн.данные.!$AH275=$BQ$10,Исходн.данные.!$AH275=$BQ$11,Исходн.данные.!$AH275=$BQ$12,Исходн.данные.!$AH275=$BP$3,Исходн.данные.!$AH275=$BT$8,$FM275="Да"),CV275,MIN(CU275:CW275)))</f>
        <v>0</v>
      </c>
      <c r="CY275" s="133">
        <f>IF(Исходн.данные.!AH275=0,0,IF(CR275&gt;$CX275,$CX275,CR275))</f>
        <v>0</v>
      </c>
      <c r="CZ275" s="133">
        <f>IF(Исходн.данные.!AH275=0,0,IF(CS275&gt;$CX275,$CX275,CS275))</f>
        <v>0</v>
      </c>
      <c r="DA275" s="133">
        <f>IF(Исходн.данные.!AH275=0,0,IF(CT275&gt;$CX275,$CX275,CT275))</f>
        <v>0</v>
      </c>
      <c r="DB275" s="10">
        <f t="shared" si="316"/>
        <v>0</v>
      </c>
      <c r="DC275" s="39">
        <f>DB275*Исходн.данные.!AJ275/1000</f>
        <v>0</v>
      </c>
      <c r="DD275" s="71">
        <f t="shared" si="317"/>
        <v>0</v>
      </c>
      <c r="DE275" s="9">
        <f t="shared" si="318"/>
        <v>0</v>
      </c>
      <c r="DF275" s="9">
        <f t="shared" si="319"/>
        <v>0</v>
      </c>
      <c r="DG275" s="39">
        <f>IF(BL275&lt;0,0,IF($CH275="Нет",BL275,IF(OR(Исходн.данные.!$AH275=$BP$1,Исходн.данные.!$AH275=$BP$2),0,IF(Исходн.данные.!AI275=$BU$11,BL275,IF(BL275-DD275&lt;0,0,BL275-DD275)))))</f>
        <v>0</v>
      </c>
      <c r="DH275" s="39">
        <f>IF(BM275&lt;0,0,IF($CH275="Нет",BM275,IF(OR(Исходн.данные.!$AH275=$BP$1,Исходн.данные.!$AH275=$BP$2),0,IF(Исходн.данные.!AJ275=$BU$11,BM275,IF(BM275-DE275&lt;0,0,BM275-DE275)))))</f>
        <v>0</v>
      </c>
      <c r="DI275" s="39">
        <f>IF(BN275&lt;0,0,IF($CH275="Нет",BN275,IF(OR(Исходн.данные.!$AH275=$BP$1,Исходн.данные.!$AH275=$BP$2),0,IF(Исходн.данные.!AK275=$BU$11,BN275,IF(BN275-DF275&lt;0,0,BN275-DF275)))))</f>
        <v>0</v>
      </c>
      <c r="DJ275" s="12">
        <f t="shared" si="320"/>
        <v>0</v>
      </c>
      <c r="DK275" s="9">
        <f t="shared" si="321"/>
        <v>0</v>
      </c>
      <c r="DL275" s="39">
        <f>IF(Исходн.данные.!AM275&gt;0,Исходн.данные.!AM275,IF(EG275&gt;0,$BH$10,0))</f>
        <v>0</v>
      </c>
      <c r="DM275" s="186">
        <f>IF($DL275=0,0,IF(Исходн.данные.!AM275&gt;0,VLOOKUP($DL275,АшламаДВ_Irekle,2,FALSE),VLOOKUP($DL275,АшламаДВ_Gomumy,2,FALSE)))</f>
        <v>0</v>
      </c>
      <c r="DN275" s="10">
        <f t="shared" si="299"/>
        <v>0</v>
      </c>
      <c r="DO275" s="9" t="str">
        <f>IF(Исходн.данные.!AN275&gt;0,Исходн.данные.!AN275,Удобрения!$B$37 )</f>
        <v>Хлор.калий</v>
      </c>
      <c r="DP275" s="9">
        <f>IF(Исходн.данные.!AN275&gt;0,VLOOKUP(Исходн.данные.!AN275,АшламаДВ_Irekle,4,FALSE),VLOOKUP(DO275,АшламаДВ_Gomumy,4,FALSE))</f>
        <v>0.6</v>
      </c>
      <c r="DQ275" s="10">
        <f t="shared" si="300"/>
        <v>0</v>
      </c>
      <c r="DR275" s="132" t="str">
        <f>IF(Исходн.данные.!AO275&gt;0,Исходн.данные.!AO275,IF(DH275=0,BS$17,IF(AND($DK275=0,$DJ275&gt;0),EJ275,EN275)))</f>
        <v>Нет</v>
      </c>
      <c r="DS275" s="70" t="str">
        <f>IF($DR275="Нет","Нет",IF(Исходн.данные.!$AO275&gt;0,VLOOKUP($DR275,АшламаДВ_Irekle,2,FALSE),VLOOKUP($DR275,АшламаДВ_Gomumy,2,FALSE)))</f>
        <v>Нет</v>
      </c>
      <c r="DT275" s="70" t="str">
        <f>IF($DR275="Нет","Нет",IF(Исходн.данные.!$AO275&gt;0,VLOOKUP($DR275,АшламаДВ_Irekle,3,FALSE),VLOOKUP($DR275,АшламаДВ_Gomumy,3,FALSE)))</f>
        <v>Нет</v>
      </c>
      <c r="DU275" s="70" t="str">
        <f>IF($DR275="Нет","Нет",IF(Исходн.данные.!$AO275&gt;0,VLOOKUP($DR275,АшламаДВ_Irekle,4,FALSE),VLOOKUP($DR275,АшламаДВ_Gomumy,4,FALSE)))</f>
        <v>Нет</v>
      </c>
      <c r="DV275" s="70"/>
      <c r="DW275" s="70"/>
      <c r="DX275" s="70"/>
      <c r="DY275" s="10">
        <f t="shared" si="322"/>
        <v>0</v>
      </c>
      <c r="DZ275" s="10">
        <f t="shared" si="323"/>
        <v>0</v>
      </c>
      <c r="EA275" s="10">
        <f t="shared" si="324"/>
        <v>0</v>
      </c>
      <c r="EB275" s="10">
        <f t="shared" si="325"/>
        <v>0</v>
      </c>
      <c r="EC275" s="10">
        <f t="shared" si="326"/>
        <v>0</v>
      </c>
      <c r="ED275" s="10">
        <f t="shared" si="327"/>
        <v>0</v>
      </c>
      <c r="EE275" s="10">
        <f t="shared" si="328"/>
        <v>0</v>
      </c>
      <c r="EF275" s="39">
        <f>EB275*Исходн.данные.!AJ275/1000</f>
        <v>0</v>
      </c>
      <c r="EG275" s="9">
        <f t="shared" si="329"/>
        <v>0</v>
      </c>
      <c r="EH275" s="9">
        <f t="shared" si="330"/>
        <v>0</v>
      </c>
      <c r="EI275" s="39" t="e">
        <f t="shared" si="280"/>
        <v>#DIV/0!</v>
      </c>
      <c r="EJ275" s="9" t="str">
        <f t="shared" si="301"/>
        <v>Азопреципитат</v>
      </c>
      <c r="EK275" s="12">
        <f t="shared" si="281"/>
        <v>0.26</v>
      </c>
      <c r="EL275" s="12">
        <f t="shared" si="282"/>
        <v>0.13</v>
      </c>
      <c r="EM275" s="12">
        <f t="shared" si="283"/>
        <v>0</v>
      </c>
      <c r="EN275" s="12" t="str">
        <f t="shared" si="302"/>
        <v>Нет</v>
      </c>
      <c r="EO275" s="12">
        <f t="shared" si="284"/>
        <v>0</v>
      </c>
      <c r="EP275" s="12">
        <f t="shared" si="285"/>
        <v>0</v>
      </c>
      <c r="EQ275" s="12">
        <f t="shared" si="286"/>
        <v>0</v>
      </c>
      <c r="ER275" s="12" t="str">
        <f t="shared" si="331"/>
        <v>Диаммофоска</v>
      </c>
      <c r="ES275" s="12">
        <f t="shared" si="287"/>
        <v>0.1</v>
      </c>
      <c r="ET275" s="12">
        <f t="shared" si="288"/>
        <v>0.26</v>
      </c>
      <c r="EU275" s="12">
        <f t="shared" si="289"/>
        <v>0.26</v>
      </c>
      <c r="EV275" s="12" t="str">
        <f t="shared" si="332"/>
        <v>Аммофос 12:52:00</v>
      </c>
      <c r="EW275" s="12" t="str">
        <f t="shared" si="333"/>
        <v>Кемира Свекловичное-6</v>
      </c>
      <c r="EX275" s="12">
        <f t="shared" si="290"/>
        <v>0.16</v>
      </c>
      <c r="EY275" s="12">
        <f t="shared" si="291"/>
        <v>0.12</v>
      </c>
      <c r="EZ275" s="12">
        <f t="shared" si="292"/>
        <v>0.17</v>
      </c>
      <c r="FA275" s="38" t="e">
        <f>IF(AND(OR(FJ275=$FD$1,FM275=$FD$1,FO275=$FD$1,FQ275=$FD$1,FS275=$FD$1),FD275=$FD$1,Исходн.данные.!J275&lt;2,FU275=$FD$1),"Бор,Кобальт",IF(AND(FO275=$FD$1,FH275=$FD$1,Исходн.данные.!J275&lt;2,FU275=$FD$1),"Бор,Кобальт",IF(AND(OR(FJ275=$FD$1,FM275=$FD$1,FQ275=$FD$1),FE275=$FD$1,Исходн.данные.!J275&lt;2,FT275=$FD$1,FU275=$FD$1),"Бор,Медь,Цинк",IF(AND(OR(FJ275=$FD$1,FR275="Да"),FI275="Да",Исходн.данные.!J275&lt;2,FT275="Да",FU275="Да"),"Бор,Цинк,Медь",IF(AND(OR(FM275="Да",FQ275="Да"),FI275="Да",Исходн.данные.!J275&lt;2,FT275="Да",FU275="Да"),"Бор,Цинк",IF(AND(FN275="Да",OR(FD275="Да",FE275="Да")),"Бор",FB275))))))</f>
        <v>#N/A</v>
      </c>
      <c r="FB275" s="134" t="e">
        <f>IF(AND(OR(FD275="Да",FE275="Да",FF275="Да",FG275="Да",FH275="Да"),FO275="Да"),"Бор",IF(AND(FP275="Да",OR(FD275="Да",FE275="Да",FI275="Да")),"Бор",IF(AND(FS275="Да",FE275="Да"),"Бор,Медь",IF(AND(OR(FJ275="Да",FK275="Да",FL275="Да"),FE275="Да",Исходн.данные.!I275&lt;5,FT275="Да",FU275="Да"),"Молибден,Цинк",IF(AND(FM275="Да",OR(FE275="Да",FF275="Да",FG275="Да",FH275="Да",FI275="Да")),"Молибден,Цинк",IF(AND(OR(FJ275="Да",FK275="Да",FL275="Да",FM275="Да",FQ275="Да"),OR(FE275="Да",FF275="Да"),FT275="Да",FU275="Да",Исходн.данные.!I275&gt;5.5),"Медь,Цинк",FC275))))))</f>
        <v>#N/A</v>
      </c>
      <c r="FC275" s="23" t="e">
        <f t="shared" si="334"/>
        <v>#N/A</v>
      </c>
      <c r="FD275" s="38" t="str">
        <f>IF(OR(Исходн.данные.!F275=$CC$1,Исходн.данные.!F275=$CC$2,Исходн.данные.!F275=$CC$3,Исходн.данные.!F275=$CC$4),"Да","Нет")</f>
        <v>Нет</v>
      </c>
      <c r="FE275" s="38" t="str">
        <f>IF(Исходн.данные.!F275=$CC$5,"Да","Нет")</f>
        <v>Нет</v>
      </c>
      <c r="FF275" s="38" t="str">
        <f>IF(OR(Исходн.данные.!F275=$CC$6,Исходн.данные.!F275=$CC$7),"Да","Нет")</f>
        <v>Нет</v>
      </c>
      <c r="FG275" s="38" t="str">
        <f>IF(OR(Исходн.данные.!F275=$CC$8,Исходн.данные.!F275=$CC$9),"Да","Нет")</f>
        <v>Нет</v>
      </c>
      <c r="FH275" s="38" t="str">
        <f>IF(Исходн.данные.!F275=$CC$10,"Да","Нет")</f>
        <v>Нет</v>
      </c>
      <c r="FI275" s="38" t="str">
        <f>IF(OR(Исходн.данные.!F275=$CC$11,Исходн.данные.!F275=$CC$12),"Да","Нет")</f>
        <v>Нет</v>
      </c>
      <c r="FJ275" s="38" t="str">
        <f>IF(OR(Исходн.данные.!AH275=$BS$1,Исходн.данные.!AH275=$BQ$11,Исходн.данные.!AH275=$BQ$12),"Да","Нет")</f>
        <v>Нет</v>
      </c>
      <c r="FK275" s="38" t="str">
        <f>IF(OR(Исходн.данные.!AH275=$BS$2,Исходн.данные.!AH275=$BS$4),"Да","Нет")</f>
        <v>Нет</v>
      </c>
      <c r="FL275" s="38" t="str">
        <f>IF(OR(Исходн.данные.!AH275=$BS$3,Исходн.данные.!AH275=$BS$5),"Да","Нет")</f>
        <v>Нет</v>
      </c>
      <c r="FM275" s="38" t="str">
        <f>IF(OR(Исходн.данные.!AH275=$BS$9,Исходн.данные.!AH275=$BS$10,Исходн.данные.!AH275=$BS$11,Исходн.данные.!AH275=$BS$12),"Да","Нет")</f>
        <v>Нет</v>
      </c>
      <c r="FN275" s="38" t="str">
        <f>IF(OR(Исходн.данные.!AH275=$BS$6,Исходн.данные.!AH275=$BP$3),"Да","Нет")</f>
        <v>Нет</v>
      </c>
      <c r="FO275" s="38" t="str">
        <f>IF(Исходн.данные.!AH275=$BQ$9,"Да","Нет")</f>
        <v>Нет</v>
      </c>
      <c r="FP275" s="38" t="str">
        <f>IF(OR(Исходн.данные.!AH275=$BS$8,Исходн.данные.!AH275=$BT$8),"Да","Нет")</f>
        <v>Нет</v>
      </c>
      <c r="FQ275" s="38" t="str">
        <f>IF(OR(Исходн.данные.!AH275=$BQ$7,Исходн.данные.!AH275=$BQ$8),"Да","Нет")</f>
        <v>Нет</v>
      </c>
      <c r="FR275" s="38" t="str">
        <f>IF(Исходн.данные.!AI275=$BU$9,"Да","Нет")</f>
        <v>Нет</v>
      </c>
      <c r="FS275" s="38" t="str">
        <f>IF(OR(Исходн.данные.!AH275=$BP$1,Исходн.данные.!AH275=$BP$2),"Да","Нет")</f>
        <v>Нет</v>
      </c>
      <c r="FT275" s="38" t="e">
        <f>IF((Исходн.данные.!K275*GO275*GS275*GW275+BL275*0.6+Исходн.данные.!Q275*4.5*0.275)&gt;90,"Да","Нет")</f>
        <v>#N/A</v>
      </c>
      <c r="FU275" s="38" t="e">
        <f>IF((Исходн.данные.!M275*GS275*GZ275+BM275*0.225)&gt;35,"Да","Нет")</f>
        <v>#N/A</v>
      </c>
      <c r="FV275" s="38" t="str">
        <f>IF(Исходн.данные.!O275&gt;175,"Да","Нет")</f>
        <v>Нет</v>
      </c>
      <c r="FW275" s="39" t="str">
        <f>IF(Исходн.данные.!I275&gt;5.5,"Да","Нет")</f>
        <v>Нет</v>
      </c>
      <c r="FX275" s="39" t="str">
        <f>IF(Исходн.данные.!J275&lt;2,"Да","Нет")</f>
        <v>Да</v>
      </c>
      <c r="FY275" s="39" t="e">
        <f>IF(HF275=$FY$16,0,Исходн.данные.!K275*GO275*GS275*GW275/HF275)</f>
        <v>#N/A</v>
      </c>
      <c r="FZ275" s="39" t="e">
        <f>Исходн.данные.!M275*GS275*GZ275/HG275</f>
        <v>#N/A</v>
      </c>
      <c r="GA275" s="39" t="e">
        <f>IF(K_Wyn=$FY$16,0,IF(Исходн.данные.!N275=Исходн.данные.!$L$10,Исходн.данные.!O275/1.1*GS275*HC275/HH275,IF(Исходн.данные.!N275=Исходн.данные.!$L$12,Исходн.данные.!O275/1.5*GS275*HC275/HH275,Исходн.данные.!O275*GS275*HC275/HH275)))</f>
        <v>#N/A</v>
      </c>
      <c r="GB275" s="39" t="e">
        <f>IF(HF275=$FY$16,0,((Исходн.данные.!Q275*N_Org+Исходн.данные.!R275*N_Sider+Исходн.данные.!S275*N_Soloma)*AO275+Расчет!BC275*VLOOKUP(Исходн.данные.!T275,Справ!$A$3:$O$57,15)*AO275+BB275*VLOOKUP(Исходн.данные.!T275,Справ!$A$3:$O$57,15)*AL275+(Исходн.данные.!V275*N_Rizotorf+Исходн.данные.!W275*N_Rizoagr))/HF275)</f>
        <v>#N/A</v>
      </c>
      <c r="GC275" s="39" t="e">
        <f>IF(HG275=$FY$16,0,((Исходн.данные.!Q275*Р_Org+Исходн.данные.!R275*P_Sider+Исходн.данные.!S275*P_Soloma)*AP275+Расчет!BC275*VLOOKUP(Исходн.данные.!T275,Справ!$A$3:$P$57,16)*AP275+BB275*VLOOKUP(Исходн.данные.!T275,Справ!$A$3:$P$57,16)*AM275)/HG275)</f>
        <v>#N/A</v>
      </c>
      <c r="GD275" s="39" t="e">
        <f>IF(HH275=$FY$16,0,((Исходн.данные.!Q275*К_Org+Исходн.данные.!R275*K_Sider+Исходн.данные.!S275*K_Soloma)*AQ275+Расчет!BC275*VLOOKUP(Исходн.данные.!T275,Справ!$A$3:$Q$57,17)*AQ275+BB275*VLOOKUP(Исходн.данные.!T275,Справ!$A$3:$Q$57,17)*AN275)/HH275)</f>
        <v>#N/A</v>
      </c>
      <c r="GE275" s="39" t="e">
        <f>IF(HF275=$FY$16,0,(Исходн.данные.!X275*AR275+Исходн.данные.!AA275*N_Org*AL275+Исходн.данные.!AB275*N_Sider*AL275+Исходн.данные.!AC275*N_Soloma*AL275)/HF275)</f>
        <v>#N/A</v>
      </c>
      <c r="GF275" s="39" t="e">
        <f>IF(HG275=$FY$16,0,(Исходн.данные.!Y275*AS275+Исходн.данные.!AA275*Р_Org*AM275+Исходн.данные.!AB275*P_Sider*AM275+Исходн.данные.!AC275*P_Soloma*AM275)/HG275)</f>
        <v>#N/A</v>
      </c>
      <c r="GG275" s="39" t="e">
        <f>IF(HH275=$FY$16,0,(Исходн.данные.!Z275*AT275+Исходн.данные.!AA275*К_Org*AN275+Исходн.данные.!AB275*K_Sider*AN275+Исходн.данные.!AC275*K_Soloma*AN275)/HH275)</f>
        <v>#N/A</v>
      </c>
      <c r="GH275" s="39" t="e">
        <f>Исходн.данные.!AD275*AU275/HF275</f>
        <v>#N/A</v>
      </c>
      <c r="GI275" s="39" t="e">
        <f>Исходн.данные.!AE275*AV275/HG275</f>
        <v>#N/A</v>
      </c>
      <c r="GJ275" s="39" t="e">
        <f>Исходн.данные.!AF275*AW275/HH275</f>
        <v>#N/A</v>
      </c>
      <c r="GK275" s="55">
        <f>Исходн.данные.!AK275</f>
        <v>0</v>
      </c>
      <c r="GL275" s="11" t="e">
        <f t="shared" si="335"/>
        <v>#N/A</v>
      </c>
      <c r="GM275" s="11" t="e">
        <f t="shared" si="336"/>
        <v>#N/A</v>
      </c>
      <c r="GN275" s="11" t="e">
        <f t="shared" si="337"/>
        <v>#N/A</v>
      </c>
      <c r="GO275" s="57">
        <f t="shared" si="338"/>
        <v>19</v>
      </c>
      <c r="GP275" s="55">
        <f>IF(OR(Исходн.данные.!F275=$CE$1,Исходн.данные.!F275=$CE$2,Исходн.данные.!F275=$CE$3,Исходн.данные.!F275=$CE$4,Исходн.данные.!F275=$CE$5),GQ275,GR275)</f>
        <v>19</v>
      </c>
      <c r="GQ275" s="55">
        <f>IF(Исходн.данные.!F275=$CE$1,28,IF(Исходн.данные.!F275=$CE$2,26,IF(Исходн.данные.!F275=$CE$3,24,IF(Исходн.данные.!F275=$CE$4,22,IF(Исходн.данные.!F275=$CE$5,20,GR275)))))</f>
        <v>19</v>
      </c>
      <c r="GR275" s="55">
        <f>IF(Исходн.данные.!F275=$CE$6,18,IF(Исходн.данные.!F275=$CE$7,16,IF(Исходн.данные.!F275=$CE$8,14,IF(Исходн.данные.!F275=$CE$9,13,IF(Исходн.данные.!F275=$CE$10,12,19)))))</f>
        <v>19</v>
      </c>
      <c r="GS275" s="55">
        <f>IF(Исходн.данные.!G275="Пес",0.035*(40+2*Исходн.данные.!H275),IF(Исходн.данные.!G275="Суп",0.0325*(40+2*Исходн.данные.!H275),0.03*(40+2*Исходн.данные.!H275)))</f>
        <v>1.2</v>
      </c>
      <c r="GT275" s="55">
        <f>IF(Исходн.данные.!H275&lt;23,2.6,IF(AND(Исходн.данные.!H275&gt;22,Исходн.данные.!H275&lt;26),3,IF(AND(Исходн.данные.!H275&gt;25,Исходн.данные.!H275&lt;29),3.4,3.6)))</f>
        <v>2.6</v>
      </c>
      <c r="GU275" s="55">
        <f>IF(Исходн.данные.!H275&lt;23,2.8,IF(AND(Исходн.данные.!H275&gt;22,Исходн.данные.!H275&lt;26),3.2,IF(AND(Исходн.данные.!H275&gt;25,Исходн.данные.!H275&lt;29),3.6,3.9)))</f>
        <v>2.8</v>
      </c>
      <c r="GV275" s="55">
        <f>IF(Исходн.данные.!H275&lt;23,3,IF(AND(Исходн.данные.!H275&gt;22,Исходн.данные.!H275&lt;26),3.5,IF(AND(Исходн.данные.!H275&gt;25,Исходн.данные.!H275&lt;29),3.9,4.2)))</f>
        <v>3</v>
      </c>
      <c r="GW275" s="55" t="e">
        <f>IF(Исходн.данные.!P275="Ум",GX275,GY275)</f>
        <v>#N/A</v>
      </c>
      <c r="GX275" s="55" t="e">
        <f>VLOOKUP(Исходн.данные.!AI275,Коэффициенты!$J$7:$L$13,2,FALSE)</f>
        <v>#N/A</v>
      </c>
      <c r="GY275" s="55" t="e">
        <f>VLOOKUP(Исходн.данные.!AI275,Коэффициенты!$J$7:$L$13,3,FALSE)</f>
        <v>#N/A</v>
      </c>
      <c r="GZ275" s="55" t="e">
        <f>(IF(Исходн.данные.!M275&lt;50,0.11*VLOOKUP(Исходн.данные.!AH275,Культуры.Информация,7,FALSE),IF(Исходн.данные.!M275&gt;250,0.05*VLOOKUP(Исходн.данные.!AH275,Культуры.Информация,7,FALSE),VLOOKUP(Исходн.данные.!AH275,Культуры.Информация,5,FALSE)/100*($GX$6+$GY$6*Исходн.данные.!M275))))*Расчет2!AI275</f>
        <v>#N/A</v>
      </c>
      <c r="HA275" s="211"/>
      <c r="HB275" s="211"/>
      <c r="HC275" s="55" t="e">
        <f>(IF(Исходн.данные.!O275&lt;80,0.2*VLOOKUP(Исходн.данные.!AH275,Культуры.Информация,8,FALSE),IF(Исходн.данные.!O275&gt;240,0.09*VLOOKUP(Исходн.данные.!AH275,Культуры.Информация,8,FALSE),VLOOKUP(Исходн.данные.!AH275,Культуры.Информация,6,FALSE)/100*($HB$6+$HC$6*Исходн.данные.!O275))))*Расчет2!AJ275</f>
        <v>#N/A</v>
      </c>
      <c r="HD275" s="55">
        <f>IF(Исходн.данные.!O275&gt;240,0.09,IF(Исходн.данные.!O275&lt;30,0.3,$HE$10+$HD$10*Исходн.данные.!O275))</f>
        <v>0.3</v>
      </c>
      <c r="HE275" s="55">
        <f>IF(Исходн.данные.!O275&gt;240,0.17,IF(Исходн.данные.!O275&lt;30,0.5,$HF$12+$HE$12*Исходн.данные.!O275))</f>
        <v>0.5</v>
      </c>
      <c r="HF275" s="55" t="e">
        <f>VLOOKUP(Исходн.данные.!AH275,Справ!$A$3:$D$58,2,FALSE)</f>
        <v>#N/A</v>
      </c>
      <c r="HG275" s="55" t="e">
        <f>VLOOKUP(Исходн.данные.!AH275,Справ!$A$3:$D$58,3,FALSE)</f>
        <v>#N/A</v>
      </c>
      <c r="HH275" s="55" t="e">
        <f>VLOOKUP(Исходн.данные.!AH275,Справ!$A$3:$D$58,4,FALSE)</f>
        <v>#N/A</v>
      </c>
      <c r="HI275" s="11" t="e">
        <f t="shared" si="339"/>
        <v>#N/A</v>
      </c>
      <c r="HJ275" s="11" t="e">
        <f t="shared" si="340"/>
        <v>#N/A</v>
      </c>
      <c r="HK275" s="11" t="e">
        <f t="shared" si="341"/>
        <v>#N/A</v>
      </c>
      <c r="HL275" s="55">
        <f>IF(OR(Исходн.данные.!G275="Глин",Исходн.данные.!G275="Т_суг"),1.1,IF(Исходн.данные.!G275="Ср_суг",1,1))</f>
        <v>1</v>
      </c>
      <c r="HM275" s="55">
        <f>IF(OR(Исходн.данные.!G275="Глин",Исходн.данные.!G275="Т_суг"),0.9,IF(Исходн.данные.!G275="Ср_суг",1,1.2))</f>
        <v>1.2</v>
      </c>
      <c r="HN275" s="11" t="e">
        <f t="shared" si="342"/>
        <v>#N/A</v>
      </c>
      <c r="HO275" s="11" t="e">
        <f t="shared" si="343"/>
        <v>#N/A</v>
      </c>
      <c r="HP275" s="11" t="e">
        <f t="shared" si="344"/>
        <v>#N/A</v>
      </c>
      <c r="HQ275" t="e">
        <f t="shared" si="345"/>
        <v>#N/A</v>
      </c>
      <c r="HR275" t="e">
        <f t="shared" si="346"/>
        <v>#N/A</v>
      </c>
      <c r="HS275" t="e">
        <f t="shared" si="347"/>
        <v>#N/A</v>
      </c>
      <c r="HT275" t="e">
        <f t="shared" si="293"/>
        <v>#N/A</v>
      </c>
      <c r="HU275" t="e">
        <f t="shared" si="294"/>
        <v>#N/A</v>
      </c>
      <c r="HV275" t="e">
        <f t="shared" si="295"/>
        <v>#N/A</v>
      </c>
      <c r="HW275" t="e">
        <f t="shared" si="296"/>
        <v>#N/A</v>
      </c>
      <c r="HX275" t="e">
        <f t="shared" si="297"/>
        <v>#N/A</v>
      </c>
      <c r="HY275" t="e">
        <f t="shared" si="298"/>
        <v>#N/A</v>
      </c>
      <c r="HZ275" s="55">
        <f>IF(OR(Исходн.данные.!AI275="Оз_Ч_П",Исходн.данные.!AI275="Оз_З_П",Исходн.данные.!AI275="Яр_зер"),12,30)</f>
        <v>30</v>
      </c>
      <c r="IA275" t="e">
        <f t="shared" si="348"/>
        <v>#N/A</v>
      </c>
      <c r="IB275" t="e">
        <f t="shared" si="349"/>
        <v>#N/A</v>
      </c>
      <c r="IC275" t="e">
        <f t="shared" si="350"/>
        <v>#N/A</v>
      </c>
      <c r="ID275" s="11" t="e">
        <f t="shared" si="351"/>
        <v>#N/A</v>
      </c>
      <c r="IE275" s="11" t="e">
        <f t="shared" si="352"/>
        <v>#N/A</v>
      </c>
      <c r="IF275" s="11" t="e">
        <f t="shared" si="353"/>
        <v>#N/A</v>
      </c>
    </row>
    <row r="276" spans="35:240" x14ac:dyDescent="0.2">
      <c r="AI276">
        <f>IF(Исходн.данные.!I276&gt;6,1,1.85-(0.148*Исходн.данные.!I276))</f>
        <v>1.85</v>
      </c>
      <c r="AJ276">
        <f>IF(Исходн.данные.!I276&gt;6,1,2.434-(0.246*Исходн.данные.!I276))</f>
        <v>2.4340000000000002</v>
      </c>
      <c r="AL276" s="148" t="b">
        <f>IF(Исходн.данные.!$P276="Ум",N_OrgUd_2g_um,IF(Исходн.данные.!$P276="Об",N_OrgUd_2g_ob))</f>
        <v>0</v>
      </c>
      <c r="AM276" s="148" t="b">
        <f>IF(Исходн.данные.!$P276="Ум",P_OrgUd_2g_um,IF(Исходн.данные.!$P276="Об",P_OrgUd_2g_ob))</f>
        <v>0</v>
      </c>
      <c r="AN276" s="148" t="b">
        <f>IF(Исходн.данные.!$P276="Ум",K_OrgUd_2g_um,IF(Исходн.данные.!$P276="Об",K_OrgUd_2g_ob))</f>
        <v>0</v>
      </c>
      <c r="AO276" s="148" t="b">
        <f>IF(Исходн.данные.!$P276="Ум",N_OrgUd_1g_um,IF(Исходн.данные.!$P276="Об",N_OrgUd_1g_ob))</f>
        <v>0</v>
      </c>
      <c r="AP276" s="148" t="b">
        <f>IF(Исходн.данные.!$P276="Ум",P_OrgUd_1g_um,IF(Исходн.данные.!$P276="Об",P_OrgUd_1g_ob))</f>
        <v>0</v>
      </c>
      <c r="AQ276" s="148" t="b">
        <f>IF(Исходн.данные.!$P276="Ум",K_OrgUd_1g_um,IF(Исходн.данные.!$P276="Об",K_OrgUd_1g_ob))</f>
        <v>0</v>
      </c>
      <c r="AR276" t="b">
        <f>IF(Исходн.данные.!$P276="Ум",N_MinUd_2g_um,IF(Исходн.данные.!$P276="Об",N_MinUd_2g_ob))</f>
        <v>0</v>
      </c>
      <c r="AS276" t="b">
        <f>IF(Исходн.данные.!$P276="Ум",P_MinUd_2g_um,IF(Исходн.данные.!$P276="Об",P_MinUd_2g_ob))</f>
        <v>0</v>
      </c>
      <c r="AT276" t="b">
        <f>IF(Исходн.данные.!$P276="Ум",K_MinUd_2g_um,IF(Исходн.данные.!$P276="Об",K_MinUd_2g_ob))</f>
        <v>0</v>
      </c>
      <c r="AU276" t="b">
        <f>IF(Исходн.данные.!$P276="Ум",N_MinUd_1g_um,IF(Исходн.данные.!$P276="Об",N_MinUd_1g_ob))</f>
        <v>0</v>
      </c>
      <c r="AV276" t="b">
        <f>IF(Исходн.данные.!P276="Ум",P_MinUd_1g_um,IF(Исходн.данные.!P276="Об",P_MinUd_1g_ob))</f>
        <v>0</v>
      </c>
      <c r="AW276" t="b">
        <f>IF(Исходн.данные.!P276="Ум",K_MinUd_1g_um,IF(Исходн.данные.!P276="Об",K_MinUd_1g_ob))</f>
        <v>0</v>
      </c>
      <c r="AY276" t="e">
        <f>VLOOKUP(Исходн.данные.!T276,Справ!$A$3:$N$57,12)</f>
        <v>#N/A</v>
      </c>
      <c r="AZ276" t="e">
        <f>VLOOKUP(Исходн.данные.!T276,Справ!$A$3:$N$57,13)</f>
        <v>#N/A</v>
      </c>
      <c r="BA276" t="e">
        <f>VLOOKUP(Исходн.данные.!T276,Справ!$A$3:$N$57,14)</f>
        <v>#N/A</v>
      </c>
      <c r="BB276">
        <f>IF(Исходн.данные.!AH276=0,0,25)</f>
        <v>0</v>
      </c>
      <c r="BC276" s="141">
        <f>IF(Исходн.данные.!AH276=0,0,IF(Исходн.данные.!T276=0,25,BD276))</f>
        <v>0</v>
      </c>
      <c r="BD276" s="168" t="e">
        <f>AY276+AZ276*Исходн.данные.!U276-POWER(BA276,2)*Исходн.данные.!U276</f>
        <v>#N/A</v>
      </c>
      <c r="BE27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6" s="25">
        <f>IF(Исходн.данные.!AH276=0,0,MIN(HN276:HP276))</f>
        <v>0</v>
      </c>
      <c r="BG276" s="9">
        <f>IF(Исходн.данные.!AH276=0,0,IF((HO276+10*0.25/HG276/HL276)&lt;17,17,HO276+10*0.25/HG276/HL276))</f>
        <v>0</v>
      </c>
      <c r="BH276" s="181">
        <f>IF(Исходн.данные.!AH276=0,0,HW276*HF276*HL276/AU276*AI276+Исходн.данные.!S276*10)</f>
        <v>0</v>
      </c>
      <c r="BI276" s="10"/>
      <c r="BJ276" s="182">
        <f>IF(Исходн.данные.!AH276=0,0,IF(HX276*HG276*HL276/AV276&lt;0,0,HX276*HG276*HL276/AV276*AJ276))</f>
        <v>0</v>
      </c>
      <c r="BK276" s="182">
        <f>IF(Исходн.данные.!AH276=0,0,HY276*HH276*HM276/AW276)</f>
        <v>0</v>
      </c>
      <c r="BL276" s="10">
        <f>IF(OR(Исходн.данные.!$AH276=$BP$1,Исходн.данные.!$AH276=$BP$2),0,IF(BH276&lt;0,0,IF(OR(Исходн.данные.!T276=Расчет!$BP$1,Исходн.данные.!T276=Расчет!$BP$2,Исходн.данные.!T276=Расчет!$BT$5,Исходн.данные.!T276=Расчет!$BT$6),BH276*0.5,IF(OR(Исходн.данные.!T276=Расчет!$BS$9,Исходн.данные.!T276=Расчет!$BS$10,Исходн.данные.!T276=Расчет!$BS$11,Исходн.данные.!T276=Расчет!$BS$12,Исходн.данные.!T276=Расчет!$BP$5),BH276*0.8,BH276))))</f>
        <v>0</v>
      </c>
      <c r="BM276" s="10">
        <f>IF(OR(Исходн.данные.!$AH276=$BP$1,Исходн.данные.!$AH276=$BP$2),0,IF(BJ276&lt;0,0,IF(Исходн.данные.!I276&lt;4.5,BJ276*1.2,IF(Исходн.данные.!I276&gt;5.1,BJ276,BJ276*((5.1-Исходн.данные.!I276)*0.333+1)))))</f>
        <v>0</v>
      </c>
      <c r="BN276" s="10">
        <f>IF(OR(Исходн.данные.!$AH276=$BP$1,Исходн.данные.!$AH276=$BP$2),60-Исходн.данные.!AF276,IF(BK276&lt;0,0,IF(Исходн.данные.!I276&lt;4.5,BK276*1.2,IF(Исходн.данные.!I276&gt;5.1,BK276,BK276*((5.1-Исходн.данные.!I276)*0.333+1)))))</f>
        <v>0</v>
      </c>
      <c r="BO276" s="9">
        <f>IF(BL276&lt;0,0,BL276*Исходн.данные.!$AJ276/1000)</f>
        <v>0</v>
      </c>
      <c r="BP276" s="9">
        <f>IF(BM276&lt;0,0,BM276*Исходн.данные.!$AJ276/1000)</f>
        <v>0</v>
      </c>
      <c r="BQ276" s="9">
        <f>IF(BN276&lt;0,0,BN276*Исходн.данные.!$AJ276/1000)</f>
        <v>0</v>
      </c>
      <c r="BR276" s="9">
        <f t="shared" si="303"/>
        <v>0</v>
      </c>
      <c r="BS276" s="10" t="str">
        <f t="shared" si="304"/>
        <v>Аммофос 12:52:00</v>
      </c>
      <c r="BT276" s="10" t="str">
        <f t="shared" si="305"/>
        <v>Аммофос 12:52:00</v>
      </c>
      <c r="BU276" s="10" t="str">
        <f t="shared" si="306"/>
        <v>Диаммофоска</v>
      </c>
      <c r="BV276" s="10">
        <f t="shared" si="307"/>
        <v>0</v>
      </c>
      <c r="BW276" s="10"/>
      <c r="BX276" s="10"/>
      <c r="BY276" s="9">
        <f>IF(BL276&lt;0,0,IF(OR(Исходн.данные.!AI276=Расчет!$BU$6,Исходн.данные.!AI276=Расчет!$BU$7),Расчет!BV276,IF(Исходн.данные.!$AG276=$BV$11,BL276,IF(OR(Исходн.данные.!$AH276=$BQ$7,Исходн.данные.!$AH276=$BQ$8),CB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0,IF(Исходн.данные.!$AI276=$BU$11,"Нет",IF(BL276&gt;30,30,BL276)))))))</f>
        <v>0</v>
      </c>
      <c r="BZ276" s="9">
        <f>IF(AND(Исходн.данные.!$AG276=$BV$11,BM276&lt;10),10,IF(Исходн.данные.!$AG276=$BV$11,BM276,IF(OR(Исходн.данные.!$AH276=$BQ$7,Исходн.данные.!$AH276=$BQ$8),CC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10,IF(Исходн.данные.!$AI276=$BU$11,"Нет",IF(BM276&gt;60,60,IF(BM276&lt;10,10,BM276)))))))</f>
        <v>10</v>
      </c>
      <c r="CA276" s="39">
        <f>IF(BN276&lt;0,0,IF(Исходн.данные.!$AG276=$BV$11,BN276,IF(OR(Исходн.данные.!$AH276=$BQ$7,Исходн.данные.!$AH276=$BQ$8),CD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0,IF(Исходн.данные.!$AI276=$BU$11,"Нет",IF(BN276&gt;30,30,BN276))))))</f>
        <v>0</v>
      </c>
      <c r="CB276" s="9">
        <f t="shared" si="308"/>
        <v>0</v>
      </c>
      <c r="CC276" s="9">
        <f t="shared" si="309"/>
        <v>0</v>
      </c>
      <c r="CD276" s="9">
        <f t="shared" si="310"/>
        <v>0</v>
      </c>
      <c r="CE276" s="12">
        <f t="shared" si="311"/>
        <v>10</v>
      </c>
      <c r="CF276" s="9">
        <f t="shared" si="312"/>
        <v>0</v>
      </c>
      <c r="CG276" s="9" t="s">
        <v>231</v>
      </c>
      <c r="CH276" s="132" t="str">
        <f>IF(Исходн.данные.!AP276=Расчет!$CI$16,"Нет",IF(Исходн.данные.!AL276&gt;0,Исходн.данные.!AL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BH$4,IF(OR(Исходн.данные.!AI276=Исходн.данные.!$AI$6,Исходн.данные.!AI276=Исходн.данные.!$AI$7),Расчет!BS276,IF(AND($CF276=0,$CE276&gt;0),EV276,ER276)))))</f>
        <v>Аммофос 12:52:00</v>
      </c>
      <c r="CI276" s="274">
        <f>IF(Расчет!$CH276="Нет","Нет",IF(Исходн.данные.!$AL276&gt;0,VLOOKUP(Расчет!$CH276,АшламаДВ_Irekle,2,FALSE),VLOOKUP(Расчет!$CH276,АшламаДВ_Gomumy,2,FALSE)))</f>
        <v>0.12</v>
      </c>
      <c r="CJ276" s="274">
        <f>IF(Расчет!$CH276="Нет","Нет",IF(Исходн.данные.!$AL276&gt;0,VLOOKUP(Расчет!$CH276,АшламаДВ_Irekle,3,FALSE),VLOOKUP(Расчет!$CH276,АшламаДВ_Gomumy,3,FALSE)))</f>
        <v>0.52</v>
      </c>
      <c r="CK276" s="274">
        <f>IF(Расчет!$CH276="Нет","Нет",IF(Исходн.данные.!$AL276&gt;0,VLOOKUP(Расчет!$CH276,АшламаДВ_Irekle,4,FALSE),VLOOKUP(Расчет!$CH276,АшламаДВ_Gomumy,4,FALSE)))</f>
        <v>0</v>
      </c>
      <c r="CL276" s="70"/>
      <c r="CM276" s="70"/>
      <c r="CN276" s="70"/>
      <c r="CO276" s="70"/>
      <c r="CP276" s="70"/>
      <c r="CQ276" s="70"/>
      <c r="CR276" s="10">
        <f t="shared" si="313"/>
        <v>0</v>
      </c>
      <c r="CS276" s="10">
        <f t="shared" si="314"/>
        <v>19.23076923076923</v>
      </c>
      <c r="CT276" s="10">
        <f t="shared" si="315"/>
        <v>0</v>
      </c>
      <c r="CU276" s="39">
        <f>IF($CH276="Нет",0,IF(CI276=0,30/MIN(CJ276:CK276),IF(Исходн.данные.!$AG276=$BV$11,CR276,IF(OR(Исходн.данные.!$AH276=$BQ$7,Исходн.данные.!$AH276=$BQ$8),90/CI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0,IF(Исходн.данные.!$AI276=$BU$11,"Нет",30/CI276))))))</f>
        <v>250</v>
      </c>
      <c r="CV276" s="39">
        <f>IF($CH276="Нет",0,IF(Исходн.данные.!AH276=0,0,IF(CJ276=0,60/MIN(CI276,CK276),IF(Исходн.данные.!$AG276=$BV$11,CS276,IF(OR(Исходн.данные.!$AH276=$BQ$7,Исходн.данные.!$AH276=$BQ$8),90/CJ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10/CJ276,IF(Исходн.данные.!$AI276=$BU$11,"Нет",60/CJ276)))))))</f>
        <v>0</v>
      </c>
      <c r="CW276" s="39">
        <f>IF($CH276="Нет",0,IF(Исходн.данные.!AH276=0,0,IF(CK276=0,30/MIN(CI276:CJ276),IF(Исходн.данные.!$AG276=$BV$11,CT276,IF(OR(Исходн.данные.!$AH276=$BQ$7,Исходн.данные.!$AH276=$BQ$8),90/CK276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0,IF(Исходн.данные.!$AI276=$BU$11,"Нет",30/CK276)))))))</f>
        <v>0</v>
      </c>
      <c r="CX276" s="133">
        <f>IF(Исходн.данные.!$AG276=$BV$11,MAX(CU276:CW276),IF(OR(Исходн.данные.!$AH276=$BS$8,Исходн.данные.!$AH276=$BQ$9,Исходн.данные.!$AH276=$BQ$10,Исходн.данные.!$AH276=$BQ$11,Исходн.данные.!$AH276=$BQ$12,Исходн.данные.!$AH276=$BP$3,Исходн.данные.!$AH276=$BT$8,$FM276="Да"),CV276,MIN(CU276:CW276)))</f>
        <v>0</v>
      </c>
      <c r="CY276" s="133">
        <f>IF(Исходн.данные.!AH276=0,0,IF(CR276&gt;$CX276,$CX276,CR276))</f>
        <v>0</v>
      </c>
      <c r="CZ276" s="133">
        <f>IF(Исходн.данные.!AH276=0,0,IF(CS276&gt;$CX276,$CX276,CS276))</f>
        <v>0</v>
      </c>
      <c r="DA276" s="133">
        <f>IF(Исходн.данные.!AH276=0,0,IF(CT276&gt;$CX276,$CX276,CT276))</f>
        <v>0</v>
      </c>
      <c r="DB276" s="10">
        <f t="shared" si="316"/>
        <v>0</v>
      </c>
      <c r="DC276" s="39">
        <f>DB276*Исходн.данные.!AJ276/1000</f>
        <v>0</v>
      </c>
      <c r="DD276" s="71">
        <f t="shared" si="317"/>
        <v>0</v>
      </c>
      <c r="DE276" s="9">
        <f t="shared" si="318"/>
        <v>0</v>
      </c>
      <c r="DF276" s="9">
        <f t="shared" si="319"/>
        <v>0</v>
      </c>
      <c r="DG276" s="39">
        <f>IF(BL276&lt;0,0,IF($CH276="Нет",BL276,IF(OR(Исходн.данные.!$AH276=$BP$1,Исходн.данные.!$AH276=$BP$2),0,IF(Исходн.данные.!AI276=$BU$11,BL276,IF(BL276-DD276&lt;0,0,BL276-DD276)))))</f>
        <v>0</v>
      </c>
      <c r="DH276" s="39">
        <f>IF(BM276&lt;0,0,IF($CH276="Нет",BM276,IF(OR(Исходн.данные.!$AH276=$BP$1,Исходн.данные.!$AH276=$BP$2),0,IF(Исходн.данные.!AJ276=$BU$11,BM276,IF(BM276-DE276&lt;0,0,BM276-DE276)))))</f>
        <v>0</v>
      </c>
      <c r="DI276" s="39">
        <f>IF(BN276&lt;0,0,IF($CH276="Нет",BN276,IF(OR(Исходн.данные.!$AH276=$BP$1,Исходн.данные.!$AH276=$BP$2),0,IF(Исходн.данные.!AK276=$BU$11,BN276,IF(BN276-DF276&lt;0,0,BN276-DF276)))))</f>
        <v>0</v>
      </c>
      <c r="DJ276" s="12">
        <f t="shared" si="320"/>
        <v>0</v>
      </c>
      <c r="DK276" s="9">
        <f t="shared" si="321"/>
        <v>0</v>
      </c>
      <c r="DL276" s="39">
        <f>IF(Исходн.данные.!AM276&gt;0,Исходн.данные.!AM276,IF(EG276&gt;0,$BH$10,0))</f>
        <v>0</v>
      </c>
      <c r="DM276" s="186">
        <f>IF($DL276=0,0,IF(Исходн.данные.!AM276&gt;0,VLOOKUP($DL276,АшламаДВ_Irekle,2,FALSE),VLOOKUP($DL276,АшламаДВ_Gomumy,2,FALSE)))</f>
        <v>0</v>
      </c>
      <c r="DN276" s="10">
        <f t="shared" si="299"/>
        <v>0</v>
      </c>
      <c r="DO276" s="9" t="str">
        <f>IF(Исходн.данные.!AN276&gt;0,Исходн.данные.!AN276,Удобрения!$B$37 )</f>
        <v>Хлор.калий</v>
      </c>
      <c r="DP276" s="9">
        <f>IF(Исходн.данные.!AN276&gt;0,VLOOKUP(Исходн.данные.!AN276,АшламаДВ_Irekle,4,FALSE),VLOOKUP(DO276,АшламаДВ_Gomumy,4,FALSE))</f>
        <v>0.6</v>
      </c>
      <c r="DQ276" s="10">
        <f t="shared" si="300"/>
        <v>0</v>
      </c>
      <c r="DR276" s="132" t="str">
        <f>IF(Исходн.данные.!AO276&gt;0,Исходн.данные.!AO276,IF(DH276=0,BS$17,IF(AND($DK276=0,$DJ276&gt;0),EJ276,EN276)))</f>
        <v>Нет</v>
      </c>
      <c r="DS276" s="70" t="str">
        <f>IF($DR276="Нет","Нет",IF(Исходн.данные.!$AO276&gt;0,VLOOKUP($DR276,АшламаДВ_Irekle,2,FALSE),VLOOKUP($DR276,АшламаДВ_Gomumy,2,FALSE)))</f>
        <v>Нет</v>
      </c>
      <c r="DT276" s="70" t="str">
        <f>IF($DR276="Нет","Нет",IF(Исходн.данные.!$AO276&gt;0,VLOOKUP($DR276,АшламаДВ_Irekle,3,FALSE),VLOOKUP($DR276,АшламаДВ_Gomumy,3,FALSE)))</f>
        <v>Нет</v>
      </c>
      <c r="DU276" s="70" t="str">
        <f>IF($DR276="Нет","Нет",IF(Исходн.данные.!$AO276&gt;0,VLOOKUP($DR276,АшламаДВ_Irekle,4,FALSE),VLOOKUP($DR276,АшламаДВ_Gomumy,4,FALSE)))</f>
        <v>Нет</v>
      </c>
      <c r="DV276" s="70"/>
      <c r="DW276" s="70"/>
      <c r="DX276" s="70"/>
      <c r="DY276" s="10">
        <f t="shared" si="322"/>
        <v>0</v>
      </c>
      <c r="DZ276" s="10">
        <f t="shared" si="323"/>
        <v>0</v>
      </c>
      <c r="EA276" s="10">
        <f t="shared" si="324"/>
        <v>0</v>
      </c>
      <c r="EB276" s="10">
        <f t="shared" si="325"/>
        <v>0</v>
      </c>
      <c r="EC276" s="10">
        <f t="shared" si="326"/>
        <v>0</v>
      </c>
      <c r="ED276" s="10">
        <f t="shared" si="327"/>
        <v>0</v>
      </c>
      <c r="EE276" s="10">
        <f t="shared" si="328"/>
        <v>0</v>
      </c>
      <c r="EF276" s="39">
        <f>EB276*Исходн.данные.!AJ276/1000</f>
        <v>0</v>
      </c>
      <c r="EG276" s="9">
        <f t="shared" si="329"/>
        <v>0</v>
      </c>
      <c r="EH276" s="9">
        <f t="shared" si="330"/>
        <v>0</v>
      </c>
      <c r="EI276" s="39" t="e">
        <f t="shared" si="280"/>
        <v>#DIV/0!</v>
      </c>
      <c r="EJ276" s="9" t="str">
        <f t="shared" si="301"/>
        <v>Азопреципитат</v>
      </c>
      <c r="EK276" s="12">
        <f t="shared" si="281"/>
        <v>0.26</v>
      </c>
      <c r="EL276" s="12">
        <f t="shared" si="282"/>
        <v>0.13</v>
      </c>
      <c r="EM276" s="12">
        <f t="shared" si="283"/>
        <v>0</v>
      </c>
      <c r="EN276" s="12" t="str">
        <f t="shared" si="302"/>
        <v>Нет</v>
      </c>
      <c r="EO276" s="12">
        <f t="shared" si="284"/>
        <v>0</v>
      </c>
      <c r="EP276" s="12">
        <f t="shared" si="285"/>
        <v>0</v>
      </c>
      <c r="EQ276" s="12">
        <f t="shared" si="286"/>
        <v>0</v>
      </c>
      <c r="ER276" s="12" t="str">
        <f t="shared" si="331"/>
        <v>Диаммофоска</v>
      </c>
      <c r="ES276" s="12">
        <f t="shared" si="287"/>
        <v>0.1</v>
      </c>
      <c r="ET276" s="12">
        <f t="shared" si="288"/>
        <v>0.26</v>
      </c>
      <c r="EU276" s="12">
        <f t="shared" si="289"/>
        <v>0.26</v>
      </c>
      <c r="EV276" s="12" t="str">
        <f t="shared" si="332"/>
        <v>Аммофос 12:52:00</v>
      </c>
      <c r="EW276" s="12" t="str">
        <f t="shared" si="333"/>
        <v>Кемира Свекловичное-6</v>
      </c>
      <c r="EX276" s="12">
        <f t="shared" si="290"/>
        <v>0.16</v>
      </c>
      <c r="EY276" s="12">
        <f t="shared" si="291"/>
        <v>0.12</v>
      </c>
      <c r="EZ276" s="12">
        <f t="shared" si="292"/>
        <v>0.17</v>
      </c>
      <c r="FA276" s="38" t="e">
        <f>IF(AND(OR(FJ276=$FD$1,FM276=$FD$1,FO276=$FD$1,FQ276=$FD$1,FS276=$FD$1),FD276=$FD$1,Исходн.данные.!J276&lt;2,FU276=$FD$1),"Бор,Кобальт",IF(AND(FO276=$FD$1,FH276=$FD$1,Исходн.данные.!J276&lt;2,FU276=$FD$1),"Бор,Кобальт",IF(AND(OR(FJ276=$FD$1,FM276=$FD$1,FQ276=$FD$1),FE276=$FD$1,Исходн.данные.!J276&lt;2,FT276=$FD$1,FU276=$FD$1),"Бор,Медь,Цинк",IF(AND(OR(FJ276=$FD$1,FR276="Да"),FI276="Да",Исходн.данные.!J276&lt;2,FT276="Да",FU276="Да"),"Бор,Цинк,Медь",IF(AND(OR(FM276="Да",FQ276="Да"),FI276="Да",Исходн.данные.!J276&lt;2,FT276="Да",FU276="Да"),"Бор,Цинк",IF(AND(FN276="Да",OR(FD276="Да",FE276="Да")),"Бор",FB276))))))</f>
        <v>#N/A</v>
      </c>
      <c r="FB276" s="134" t="e">
        <f>IF(AND(OR(FD276="Да",FE276="Да",FF276="Да",FG276="Да",FH276="Да"),FO276="Да"),"Бор",IF(AND(FP276="Да",OR(FD276="Да",FE276="Да",FI276="Да")),"Бор",IF(AND(FS276="Да",FE276="Да"),"Бор,Медь",IF(AND(OR(FJ276="Да",FK276="Да",FL276="Да"),FE276="Да",Исходн.данные.!I276&lt;5,FT276="Да",FU276="Да"),"Молибден,Цинк",IF(AND(FM276="Да",OR(FE276="Да",FF276="Да",FG276="Да",FH276="Да",FI276="Да")),"Молибден,Цинк",IF(AND(OR(FJ276="Да",FK276="Да",FL276="Да",FM276="Да",FQ276="Да"),OR(FE276="Да",FF276="Да"),FT276="Да",FU276="Да",Исходн.данные.!I276&gt;5.5),"Медь,Цинк",FC276))))))</f>
        <v>#N/A</v>
      </c>
      <c r="FC276" s="23" t="e">
        <f t="shared" si="334"/>
        <v>#N/A</v>
      </c>
      <c r="FD276" s="38" t="str">
        <f>IF(OR(Исходн.данные.!F276=$CC$1,Исходн.данные.!F276=$CC$2,Исходн.данные.!F276=$CC$3,Исходн.данные.!F276=$CC$4),"Да","Нет")</f>
        <v>Нет</v>
      </c>
      <c r="FE276" s="38" t="str">
        <f>IF(Исходн.данные.!F276=$CC$5,"Да","Нет")</f>
        <v>Нет</v>
      </c>
      <c r="FF276" s="38" t="str">
        <f>IF(OR(Исходн.данные.!F276=$CC$6,Исходн.данные.!F276=$CC$7),"Да","Нет")</f>
        <v>Нет</v>
      </c>
      <c r="FG276" s="38" t="str">
        <f>IF(OR(Исходн.данные.!F276=$CC$8,Исходн.данные.!F276=$CC$9),"Да","Нет")</f>
        <v>Нет</v>
      </c>
      <c r="FH276" s="38" t="str">
        <f>IF(Исходн.данные.!F276=$CC$10,"Да","Нет")</f>
        <v>Нет</v>
      </c>
      <c r="FI276" s="38" t="str">
        <f>IF(OR(Исходн.данные.!F276=$CC$11,Исходн.данные.!F276=$CC$12),"Да","Нет")</f>
        <v>Нет</v>
      </c>
      <c r="FJ276" s="38" t="str">
        <f>IF(OR(Исходн.данные.!AH276=$BS$1,Исходн.данные.!AH276=$BQ$11,Исходн.данные.!AH276=$BQ$12),"Да","Нет")</f>
        <v>Нет</v>
      </c>
      <c r="FK276" s="38" t="str">
        <f>IF(OR(Исходн.данные.!AH276=$BS$2,Исходн.данные.!AH276=$BS$4),"Да","Нет")</f>
        <v>Нет</v>
      </c>
      <c r="FL276" s="38" t="str">
        <f>IF(OR(Исходн.данные.!AH276=$BS$3,Исходн.данные.!AH276=$BS$5),"Да","Нет")</f>
        <v>Нет</v>
      </c>
      <c r="FM276" s="38" t="str">
        <f>IF(OR(Исходн.данные.!AH276=$BS$9,Исходн.данные.!AH276=$BS$10,Исходн.данные.!AH276=$BS$11,Исходн.данные.!AH276=$BS$12),"Да","Нет")</f>
        <v>Нет</v>
      </c>
      <c r="FN276" s="38" t="str">
        <f>IF(OR(Исходн.данные.!AH276=$BS$6,Исходн.данные.!AH276=$BP$3),"Да","Нет")</f>
        <v>Нет</v>
      </c>
      <c r="FO276" s="38" t="str">
        <f>IF(Исходн.данные.!AH276=$BQ$9,"Да","Нет")</f>
        <v>Нет</v>
      </c>
      <c r="FP276" s="38" t="str">
        <f>IF(OR(Исходн.данные.!AH276=$BS$8,Исходн.данные.!AH276=$BT$8),"Да","Нет")</f>
        <v>Нет</v>
      </c>
      <c r="FQ276" s="38" t="str">
        <f>IF(OR(Исходн.данные.!AH276=$BQ$7,Исходн.данные.!AH276=$BQ$8),"Да","Нет")</f>
        <v>Нет</v>
      </c>
      <c r="FR276" s="38" t="str">
        <f>IF(Исходн.данные.!AI276=$BU$9,"Да","Нет")</f>
        <v>Нет</v>
      </c>
      <c r="FS276" s="38" t="str">
        <f>IF(OR(Исходн.данные.!AH276=$BP$1,Исходн.данные.!AH276=$BP$2),"Да","Нет")</f>
        <v>Нет</v>
      </c>
      <c r="FT276" s="38" t="e">
        <f>IF((Исходн.данные.!K276*GO276*GS276*GW276+BL276*0.6+Исходн.данные.!Q276*4.5*0.275)&gt;90,"Да","Нет")</f>
        <v>#N/A</v>
      </c>
      <c r="FU276" s="38" t="e">
        <f>IF((Исходн.данные.!M276*GS276*GZ276+BM276*0.225)&gt;35,"Да","Нет")</f>
        <v>#N/A</v>
      </c>
      <c r="FV276" s="38" t="str">
        <f>IF(Исходн.данные.!O276&gt;175,"Да","Нет")</f>
        <v>Нет</v>
      </c>
      <c r="FW276" s="39" t="str">
        <f>IF(Исходн.данные.!I276&gt;5.5,"Да","Нет")</f>
        <v>Нет</v>
      </c>
      <c r="FX276" s="39" t="str">
        <f>IF(Исходн.данные.!J276&lt;2,"Да","Нет")</f>
        <v>Да</v>
      </c>
      <c r="FY276" s="39" t="e">
        <f>IF(HF276=$FY$16,0,Исходн.данные.!K276*GO276*GS276*GW276/HF276)</f>
        <v>#N/A</v>
      </c>
      <c r="FZ276" s="39" t="e">
        <f>Исходн.данные.!M276*GS276*GZ276/HG276</f>
        <v>#N/A</v>
      </c>
      <c r="GA276" s="39" t="e">
        <f>IF(K_Wyn=$FY$16,0,IF(Исходн.данные.!N276=Исходн.данные.!$L$10,Исходн.данные.!O276/1.1*GS276*HC276/HH276,IF(Исходн.данные.!N276=Исходн.данные.!$L$12,Исходн.данные.!O276/1.5*GS276*HC276/HH276,Исходн.данные.!O276*GS276*HC276/HH276)))</f>
        <v>#N/A</v>
      </c>
      <c r="GB276" s="39" t="e">
        <f>IF(HF276=$FY$16,0,((Исходн.данные.!Q276*N_Org+Исходн.данные.!R276*N_Sider+Исходн.данные.!S276*N_Soloma)*AO276+Расчет!BC276*VLOOKUP(Исходн.данные.!T276,Справ!$A$3:$O$57,15)*AO276+BB276*VLOOKUP(Исходн.данные.!T276,Справ!$A$3:$O$57,15)*AL276+(Исходн.данные.!V276*N_Rizotorf+Исходн.данные.!W276*N_Rizoagr))/HF276)</f>
        <v>#N/A</v>
      </c>
      <c r="GC276" s="39" t="e">
        <f>IF(HG276=$FY$16,0,((Исходн.данные.!Q276*Р_Org+Исходн.данные.!R276*P_Sider+Исходн.данные.!S276*P_Soloma)*AP276+Расчет!BC276*VLOOKUP(Исходн.данные.!T276,Справ!$A$3:$P$57,16)*AP276+BB276*VLOOKUP(Исходн.данные.!T276,Справ!$A$3:$P$57,16)*AM276)/HG276)</f>
        <v>#N/A</v>
      </c>
      <c r="GD276" s="39" t="e">
        <f>IF(HH276=$FY$16,0,((Исходн.данные.!Q276*К_Org+Исходн.данные.!R276*K_Sider+Исходн.данные.!S276*K_Soloma)*AQ276+Расчет!BC276*VLOOKUP(Исходн.данные.!T276,Справ!$A$3:$Q$57,17)*AQ276+BB276*VLOOKUP(Исходн.данные.!T276,Справ!$A$3:$Q$57,17)*AN276)/HH276)</f>
        <v>#N/A</v>
      </c>
      <c r="GE276" s="39" t="e">
        <f>IF(HF276=$FY$16,0,(Исходн.данные.!X276*AR276+Исходн.данные.!AA276*N_Org*AL276+Исходн.данные.!AB276*N_Sider*AL276+Исходн.данные.!AC276*N_Soloma*AL276)/HF276)</f>
        <v>#N/A</v>
      </c>
      <c r="GF276" s="39" t="e">
        <f>IF(HG276=$FY$16,0,(Исходн.данные.!Y276*AS276+Исходн.данные.!AA276*Р_Org*AM276+Исходн.данные.!AB276*P_Sider*AM276+Исходн.данные.!AC276*P_Soloma*AM276)/HG276)</f>
        <v>#N/A</v>
      </c>
      <c r="GG276" s="39" t="e">
        <f>IF(HH276=$FY$16,0,(Исходн.данные.!Z276*AT276+Исходн.данные.!AA276*К_Org*AN276+Исходн.данные.!AB276*K_Sider*AN276+Исходн.данные.!AC276*K_Soloma*AN276)/HH276)</f>
        <v>#N/A</v>
      </c>
      <c r="GH276" s="39" t="e">
        <f>Исходн.данные.!AD276*AU276/HF276</f>
        <v>#N/A</v>
      </c>
      <c r="GI276" s="39" t="e">
        <f>Исходн.данные.!AE276*AV276/HG276</f>
        <v>#N/A</v>
      </c>
      <c r="GJ276" s="39" t="e">
        <f>Исходн.данные.!AF276*AW276/HH276</f>
        <v>#N/A</v>
      </c>
      <c r="GK276" s="55">
        <f>Исходн.данные.!AK276</f>
        <v>0</v>
      </c>
      <c r="GL276" s="11" t="e">
        <f t="shared" si="335"/>
        <v>#N/A</v>
      </c>
      <c r="GM276" s="11" t="e">
        <f t="shared" si="336"/>
        <v>#N/A</v>
      </c>
      <c r="GN276" s="11" t="e">
        <f t="shared" si="337"/>
        <v>#N/A</v>
      </c>
      <c r="GO276" s="57">
        <f t="shared" si="338"/>
        <v>19</v>
      </c>
      <c r="GP276" s="55">
        <f>IF(OR(Исходн.данные.!F276=$CE$1,Исходн.данные.!F276=$CE$2,Исходн.данные.!F276=$CE$3,Исходн.данные.!F276=$CE$4,Исходн.данные.!F276=$CE$5),GQ276,GR276)</f>
        <v>19</v>
      </c>
      <c r="GQ276" s="55">
        <f>IF(Исходн.данные.!F276=$CE$1,28,IF(Исходн.данные.!F276=$CE$2,26,IF(Исходн.данные.!F276=$CE$3,24,IF(Исходн.данные.!F276=$CE$4,22,IF(Исходн.данные.!F276=$CE$5,20,GR276)))))</f>
        <v>19</v>
      </c>
      <c r="GR276" s="55">
        <f>IF(Исходн.данные.!F276=$CE$6,18,IF(Исходн.данные.!F276=$CE$7,16,IF(Исходн.данные.!F276=$CE$8,14,IF(Исходн.данные.!F276=$CE$9,13,IF(Исходн.данные.!F276=$CE$10,12,19)))))</f>
        <v>19</v>
      </c>
      <c r="GS276" s="55">
        <f>IF(Исходн.данные.!G276="Пес",0.035*(40+2*Исходн.данные.!H276),IF(Исходн.данные.!G276="Суп",0.0325*(40+2*Исходн.данные.!H276),0.03*(40+2*Исходн.данные.!H276)))</f>
        <v>1.2</v>
      </c>
      <c r="GT276" s="55">
        <f>IF(Исходн.данные.!H276&lt;23,2.6,IF(AND(Исходн.данные.!H276&gt;22,Исходн.данные.!H276&lt;26),3,IF(AND(Исходн.данные.!H276&gt;25,Исходн.данные.!H276&lt;29),3.4,3.6)))</f>
        <v>2.6</v>
      </c>
      <c r="GU276" s="55">
        <f>IF(Исходн.данные.!H276&lt;23,2.8,IF(AND(Исходн.данные.!H276&gt;22,Исходн.данные.!H276&lt;26),3.2,IF(AND(Исходн.данные.!H276&gt;25,Исходн.данные.!H276&lt;29),3.6,3.9)))</f>
        <v>2.8</v>
      </c>
      <c r="GV276" s="55">
        <f>IF(Исходн.данные.!H276&lt;23,3,IF(AND(Исходн.данные.!H276&gt;22,Исходн.данные.!H276&lt;26),3.5,IF(AND(Исходн.данные.!H276&gt;25,Исходн.данные.!H276&lt;29),3.9,4.2)))</f>
        <v>3</v>
      </c>
      <c r="GW276" s="55" t="e">
        <f>IF(Исходн.данные.!P276="Ум",GX276,GY276)</f>
        <v>#N/A</v>
      </c>
      <c r="GX276" s="55" t="e">
        <f>VLOOKUP(Исходн.данные.!AI276,Коэффициенты!$J$7:$L$13,2,FALSE)</f>
        <v>#N/A</v>
      </c>
      <c r="GY276" s="55" t="e">
        <f>VLOOKUP(Исходн.данные.!AI276,Коэффициенты!$J$7:$L$13,3,FALSE)</f>
        <v>#N/A</v>
      </c>
      <c r="GZ276" s="55" t="e">
        <f>(IF(Исходн.данные.!M276&lt;50,0.11*VLOOKUP(Исходн.данные.!AH276,Культуры.Информация,7,FALSE),IF(Исходн.данные.!M276&gt;250,0.05*VLOOKUP(Исходн.данные.!AH276,Культуры.Информация,7,FALSE),VLOOKUP(Исходн.данные.!AH276,Культуры.Информация,5,FALSE)/100*($GX$6+$GY$6*Исходн.данные.!M276))))*Расчет2!AI276</f>
        <v>#N/A</v>
      </c>
      <c r="HA276" s="211"/>
      <c r="HB276" s="211"/>
      <c r="HC276" s="55" t="e">
        <f>(IF(Исходн.данные.!O276&lt;80,0.2*VLOOKUP(Исходн.данные.!AH276,Культуры.Информация,8,FALSE),IF(Исходн.данные.!O276&gt;240,0.09*VLOOKUP(Исходн.данные.!AH276,Культуры.Информация,8,FALSE),VLOOKUP(Исходн.данные.!AH276,Культуры.Информация,6,FALSE)/100*($HB$6+$HC$6*Исходн.данные.!O276))))*Расчет2!AJ276</f>
        <v>#N/A</v>
      </c>
      <c r="HD276" s="55">
        <f>IF(Исходн.данные.!O276&gt;240,0.09,IF(Исходн.данные.!O276&lt;30,0.3,$HE$10+$HD$10*Исходн.данные.!O276))</f>
        <v>0.3</v>
      </c>
      <c r="HE276" s="55">
        <f>IF(Исходн.данные.!O276&gt;240,0.17,IF(Исходн.данные.!O276&lt;30,0.5,$HF$12+$HE$12*Исходн.данные.!O276))</f>
        <v>0.5</v>
      </c>
      <c r="HF276" s="55" t="e">
        <f>VLOOKUP(Исходн.данные.!AH276,Справ!$A$3:$D$58,2,FALSE)</f>
        <v>#N/A</v>
      </c>
      <c r="HG276" s="55" t="e">
        <f>VLOOKUP(Исходн.данные.!AH276,Справ!$A$3:$D$58,3,FALSE)</f>
        <v>#N/A</v>
      </c>
      <c r="HH276" s="55" t="e">
        <f>VLOOKUP(Исходн.данные.!AH276,Справ!$A$3:$D$58,4,FALSE)</f>
        <v>#N/A</v>
      </c>
      <c r="HI276" s="11" t="e">
        <f t="shared" si="339"/>
        <v>#N/A</v>
      </c>
      <c r="HJ276" s="11" t="e">
        <f t="shared" si="340"/>
        <v>#N/A</v>
      </c>
      <c r="HK276" s="11" t="e">
        <f t="shared" si="341"/>
        <v>#N/A</v>
      </c>
      <c r="HL276" s="55">
        <f>IF(OR(Исходн.данные.!G276="Глин",Исходн.данные.!G276="Т_суг"),1.1,IF(Исходн.данные.!G276="Ср_суг",1,1))</f>
        <v>1</v>
      </c>
      <c r="HM276" s="55">
        <f>IF(OR(Исходн.данные.!G276="Глин",Исходн.данные.!G276="Т_суг"),0.9,IF(Исходн.данные.!G276="Ср_суг",1,1.2))</f>
        <v>1.2</v>
      </c>
      <c r="HN276" s="11" t="e">
        <f t="shared" si="342"/>
        <v>#N/A</v>
      </c>
      <c r="HO276" s="11" t="e">
        <f t="shared" si="343"/>
        <v>#N/A</v>
      </c>
      <c r="HP276" s="11" t="e">
        <f t="shared" si="344"/>
        <v>#N/A</v>
      </c>
      <c r="HQ276" t="e">
        <f t="shared" si="345"/>
        <v>#N/A</v>
      </c>
      <c r="HR276" t="e">
        <f t="shared" si="346"/>
        <v>#N/A</v>
      </c>
      <c r="HS276" t="e">
        <f t="shared" si="347"/>
        <v>#N/A</v>
      </c>
      <c r="HT276" t="e">
        <f t="shared" si="293"/>
        <v>#N/A</v>
      </c>
      <c r="HU276" t="e">
        <f t="shared" si="294"/>
        <v>#N/A</v>
      </c>
      <c r="HV276" t="e">
        <f t="shared" si="295"/>
        <v>#N/A</v>
      </c>
      <c r="HW276" t="e">
        <f t="shared" si="296"/>
        <v>#N/A</v>
      </c>
      <c r="HX276" t="e">
        <f t="shared" si="297"/>
        <v>#N/A</v>
      </c>
      <c r="HY276" t="e">
        <f t="shared" si="298"/>
        <v>#N/A</v>
      </c>
      <c r="HZ276" s="55">
        <f>IF(OR(Исходн.данные.!AI276="Оз_Ч_П",Исходн.данные.!AI276="Оз_З_П",Исходн.данные.!AI276="Яр_зер"),12,30)</f>
        <v>30</v>
      </c>
      <c r="IA276" t="e">
        <f t="shared" si="348"/>
        <v>#N/A</v>
      </c>
      <c r="IB276" t="e">
        <f t="shared" si="349"/>
        <v>#N/A</v>
      </c>
      <c r="IC276" t="e">
        <f t="shared" si="350"/>
        <v>#N/A</v>
      </c>
      <c r="ID276" s="11" t="e">
        <f t="shared" si="351"/>
        <v>#N/A</v>
      </c>
      <c r="IE276" s="11" t="e">
        <f t="shared" si="352"/>
        <v>#N/A</v>
      </c>
      <c r="IF276" s="11" t="e">
        <f t="shared" si="353"/>
        <v>#N/A</v>
      </c>
    </row>
    <row r="277" spans="35:240" x14ac:dyDescent="0.2">
      <c r="AI277">
        <f>IF(Исходн.данные.!I277&gt;6,1,1.85-(0.148*Исходн.данные.!I277))</f>
        <v>1.85</v>
      </c>
      <c r="AJ277">
        <f>IF(Исходн.данные.!I277&gt;6,1,2.434-(0.246*Исходн.данные.!I277))</f>
        <v>2.4340000000000002</v>
      </c>
      <c r="AL277" s="148" t="b">
        <f>IF(Исходн.данные.!$P277="Ум",N_OrgUd_2g_um,IF(Исходн.данные.!$P277="Об",N_OrgUd_2g_ob))</f>
        <v>0</v>
      </c>
      <c r="AM277" s="148" t="b">
        <f>IF(Исходн.данные.!$P277="Ум",P_OrgUd_2g_um,IF(Исходн.данные.!$P277="Об",P_OrgUd_2g_ob))</f>
        <v>0</v>
      </c>
      <c r="AN277" s="148" t="b">
        <f>IF(Исходн.данные.!$P277="Ум",K_OrgUd_2g_um,IF(Исходн.данные.!$P277="Об",K_OrgUd_2g_ob))</f>
        <v>0</v>
      </c>
      <c r="AO277" s="148" t="b">
        <f>IF(Исходн.данные.!$P277="Ум",N_OrgUd_1g_um,IF(Исходн.данные.!$P277="Об",N_OrgUd_1g_ob))</f>
        <v>0</v>
      </c>
      <c r="AP277" s="148" t="b">
        <f>IF(Исходн.данные.!$P277="Ум",P_OrgUd_1g_um,IF(Исходн.данные.!$P277="Об",P_OrgUd_1g_ob))</f>
        <v>0</v>
      </c>
      <c r="AQ277" s="148" t="b">
        <f>IF(Исходн.данные.!$P277="Ум",K_OrgUd_1g_um,IF(Исходн.данные.!$P277="Об",K_OrgUd_1g_ob))</f>
        <v>0</v>
      </c>
      <c r="AR277" t="b">
        <f>IF(Исходн.данные.!$P277="Ум",N_MinUd_2g_um,IF(Исходн.данные.!$P277="Об",N_MinUd_2g_ob))</f>
        <v>0</v>
      </c>
      <c r="AS277" t="b">
        <f>IF(Исходн.данные.!$P277="Ум",P_MinUd_2g_um,IF(Исходн.данные.!$P277="Об",P_MinUd_2g_ob))</f>
        <v>0</v>
      </c>
      <c r="AT277" t="b">
        <f>IF(Исходн.данные.!$P277="Ум",K_MinUd_2g_um,IF(Исходн.данные.!$P277="Об",K_MinUd_2g_ob))</f>
        <v>0</v>
      </c>
      <c r="AU277" t="b">
        <f>IF(Исходн.данные.!$P277="Ум",N_MinUd_1g_um,IF(Исходн.данные.!$P277="Об",N_MinUd_1g_ob))</f>
        <v>0</v>
      </c>
      <c r="AV277" t="b">
        <f>IF(Исходн.данные.!P277="Ум",P_MinUd_1g_um,IF(Исходн.данные.!P277="Об",P_MinUd_1g_ob))</f>
        <v>0</v>
      </c>
      <c r="AW277" t="b">
        <f>IF(Исходн.данные.!P277="Ум",K_MinUd_1g_um,IF(Исходн.данные.!P277="Об",K_MinUd_1g_ob))</f>
        <v>0</v>
      </c>
      <c r="AY277" t="e">
        <f>VLOOKUP(Исходн.данные.!T277,Справ!$A$3:$N$57,12)</f>
        <v>#N/A</v>
      </c>
      <c r="AZ277" t="e">
        <f>VLOOKUP(Исходн.данные.!T277,Справ!$A$3:$N$57,13)</f>
        <v>#N/A</v>
      </c>
      <c r="BA277" t="e">
        <f>VLOOKUP(Исходн.данные.!T277,Справ!$A$3:$N$57,14)</f>
        <v>#N/A</v>
      </c>
      <c r="BB277">
        <f>IF(Исходн.данные.!AH277=0,0,25)</f>
        <v>0</v>
      </c>
      <c r="BC277" s="141">
        <f>IF(Исходн.данные.!AH277=0,0,IF(Исходн.данные.!T277=0,25,BD277))</f>
        <v>0</v>
      </c>
      <c r="BD277" s="168" t="e">
        <f>AY277+AZ277*Исходн.данные.!U277-POWER(BA277,2)*Исходн.данные.!U277</f>
        <v>#N/A</v>
      </c>
      <c r="BE27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7" s="25">
        <f>IF(Исходн.данные.!AH277=0,0,MIN(HN277:HP277))</f>
        <v>0</v>
      </c>
      <c r="BG277" s="9">
        <f>IF(Исходн.данные.!AH277=0,0,IF((HO277+10*0.25/HG277/HL277)&lt;17,17,HO277+10*0.25/HG277/HL277))</f>
        <v>0</v>
      </c>
      <c r="BH277" s="181">
        <f>IF(Исходн.данные.!AH277=0,0,HW277*HF277*HL277/AU277*AI277+Исходн.данные.!S277*10)</f>
        <v>0</v>
      </c>
      <c r="BI277" s="10"/>
      <c r="BJ277" s="182">
        <f>IF(Исходн.данные.!AH277=0,0,IF(HX277*HG277*HL277/AV277&lt;0,0,HX277*HG277*HL277/AV277*AJ277))</f>
        <v>0</v>
      </c>
      <c r="BK277" s="182">
        <f>IF(Исходн.данные.!AH277=0,0,HY277*HH277*HM277/AW277)</f>
        <v>0</v>
      </c>
      <c r="BL277" s="10">
        <f>IF(OR(Исходн.данные.!$AH277=$BP$1,Исходн.данные.!$AH277=$BP$2),0,IF(BH277&lt;0,0,IF(OR(Исходн.данные.!T277=Расчет!$BP$1,Исходн.данные.!T277=Расчет!$BP$2,Исходн.данные.!T277=Расчет!$BT$5,Исходн.данные.!T277=Расчет!$BT$6),BH277*0.5,IF(OR(Исходн.данные.!T277=Расчет!$BS$9,Исходн.данные.!T277=Расчет!$BS$10,Исходн.данные.!T277=Расчет!$BS$11,Исходн.данные.!T277=Расчет!$BS$12,Исходн.данные.!T277=Расчет!$BP$5),BH277*0.8,BH277))))</f>
        <v>0</v>
      </c>
      <c r="BM277" s="10">
        <f>IF(OR(Исходн.данные.!$AH277=$BP$1,Исходн.данные.!$AH277=$BP$2),0,IF(BJ277&lt;0,0,IF(Исходн.данные.!I277&lt;4.5,BJ277*1.2,IF(Исходн.данные.!I277&gt;5.1,BJ277,BJ277*((5.1-Исходн.данные.!I277)*0.333+1)))))</f>
        <v>0</v>
      </c>
      <c r="BN277" s="10">
        <f>IF(OR(Исходн.данные.!$AH277=$BP$1,Исходн.данные.!$AH277=$BP$2),60-Исходн.данные.!AF277,IF(BK277&lt;0,0,IF(Исходн.данные.!I277&lt;4.5,BK277*1.2,IF(Исходн.данные.!I277&gt;5.1,BK277,BK277*((5.1-Исходн.данные.!I277)*0.333+1)))))</f>
        <v>0</v>
      </c>
      <c r="BO277" s="9">
        <f>IF(BL277&lt;0,0,BL277*Исходн.данные.!$AJ277/1000)</f>
        <v>0</v>
      </c>
      <c r="BP277" s="9">
        <f>IF(BM277&lt;0,0,BM277*Исходн.данные.!$AJ277/1000)</f>
        <v>0</v>
      </c>
      <c r="BQ277" s="9">
        <f>IF(BN277&lt;0,0,BN277*Исходн.данные.!$AJ277/1000)</f>
        <v>0</v>
      </c>
      <c r="BR277" s="9">
        <f t="shared" si="303"/>
        <v>0</v>
      </c>
      <c r="BS277" s="10" t="str">
        <f t="shared" si="304"/>
        <v>Аммофос 12:52:00</v>
      </c>
      <c r="BT277" s="10" t="str">
        <f t="shared" si="305"/>
        <v>Аммофос 12:52:00</v>
      </c>
      <c r="BU277" s="10" t="str">
        <f t="shared" si="306"/>
        <v>Диаммофоска</v>
      </c>
      <c r="BV277" s="10">
        <f t="shared" si="307"/>
        <v>0</v>
      </c>
      <c r="BW277" s="10"/>
      <c r="BX277" s="10"/>
      <c r="BY277" s="9">
        <f>IF(BL277&lt;0,0,IF(OR(Исходн.данные.!AI277=Расчет!$BU$6,Исходн.данные.!AI277=Расчет!$BU$7),Расчет!BV277,IF(Исходн.данные.!$AG277=$BV$11,BL277,IF(OR(Исходн.данные.!$AH277=$BQ$7,Исходн.данные.!$AH277=$BQ$8),CB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0,IF(Исходн.данные.!$AI277=$BU$11,"Нет",IF(BL277&gt;30,30,BL277)))))))</f>
        <v>0</v>
      </c>
      <c r="BZ277" s="9">
        <f>IF(AND(Исходн.данные.!$AG277=$BV$11,BM277&lt;10),10,IF(Исходн.данные.!$AG277=$BV$11,BM277,IF(OR(Исходн.данные.!$AH277=$BQ$7,Исходн.данные.!$AH277=$BQ$8),CC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10,IF(Исходн.данные.!$AI277=$BU$11,"Нет",IF(BM277&gt;60,60,IF(BM277&lt;10,10,BM277)))))))</f>
        <v>10</v>
      </c>
      <c r="CA277" s="39">
        <f>IF(BN277&lt;0,0,IF(Исходн.данные.!$AG277=$BV$11,BN277,IF(OR(Исходн.данные.!$AH277=$BQ$7,Исходн.данные.!$AH277=$BQ$8),CD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0,IF(Исходн.данные.!$AI277=$BU$11,"Нет",IF(BN277&gt;30,30,BN277))))))</f>
        <v>0</v>
      </c>
      <c r="CB277" s="9">
        <f t="shared" si="308"/>
        <v>0</v>
      </c>
      <c r="CC277" s="9">
        <f t="shared" si="309"/>
        <v>0</v>
      </c>
      <c r="CD277" s="9">
        <f t="shared" si="310"/>
        <v>0</v>
      </c>
      <c r="CE277" s="12">
        <f t="shared" si="311"/>
        <v>10</v>
      </c>
      <c r="CF277" s="9">
        <f t="shared" si="312"/>
        <v>0</v>
      </c>
      <c r="CG277" s="9" t="s">
        <v>231</v>
      </c>
      <c r="CH277" s="132" t="str">
        <f>IF(Исходн.данные.!AP277=Расчет!$CI$16,"Нет",IF(Исходн.данные.!AL277&gt;0,Исходн.данные.!AL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BH$4,IF(OR(Исходн.данные.!AI277=Исходн.данные.!$AI$6,Исходн.данные.!AI277=Исходн.данные.!$AI$7),Расчет!BS277,IF(AND($CF277=0,$CE277&gt;0),EV277,ER277)))))</f>
        <v>Аммофос 12:52:00</v>
      </c>
      <c r="CI277" s="274">
        <f>IF(Расчет!$CH277="Нет","Нет",IF(Исходн.данные.!$AL277&gt;0,VLOOKUP(Расчет!$CH277,АшламаДВ_Irekle,2,FALSE),VLOOKUP(Расчет!$CH277,АшламаДВ_Gomumy,2,FALSE)))</f>
        <v>0.12</v>
      </c>
      <c r="CJ277" s="274">
        <f>IF(Расчет!$CH277="Нет","Нет",IF(Исходн.данные.!$AL277&gt;0,VLOOKUP(Расчет!$CH277,АшламаДВ_Irekle,3,FALSE),VLOOKUP(Расчет!$CH277,АшламаДВ_Gomumy,3,FALSE)))</f>
        <v>0.52</v>
      </c>
      <c r="CK277" s="274">
        <f>IF(Расчет!$CH277="Нет","Нет",IF(Исходн.данные.!$AL277&gt;0,VLOOKUP(Расчет!$CH277,АшламаДВ_Irekle,4,FALSE),VLOOKUP(Расчет!$CH277,АшламаДВ_Gomumy,4,FALSE)))</f>
        <v>0</v>
      </c>
      <c r="CL277" s="70"/>
      <c r="CM277" s="70"/>
      <c r="CN277" s="70"/>
      <c r="CO277" s="70"/>
      <c r="CP277" s="70"/>
      <c r="CQ277" s="70"/>
      <c r="CR277" s="10">
        <f t="shared" si="313"/>
        <v>0</v>
      </c>
      <c r="CS277" s="10">
        <f t="shared" si="314"/>
        <v>19.23076923076923</v>
      </c>
      <c r="CT277" s="10">
        <f t="shared" si="315"/>
        <v>0</v>
      </c>
      <c r="CU277" s="39">
        <f>IF($CH277="Нет",0,IF(CI277=0,30/MIN(CJ277:CK277),IF(Исходн.данные.!$AG277=$BV$11,CR277,IF(OR(Исходн.данные.!$AH277=$BQ$7,Исходн.данные.!$AH277=$BQ$8),90/CI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0,IF(Исходн.данные.!$AI277=$BU$11,"Нет",30/CI277))))))</f>
        <v>250</v>
      </c>
      <c r="CV277" s="39">
        <f>IF($CH277="Нет",0,IF(Исходн.данные.!AH277=0,0,IF(CJ277=0,60/MIN(CI277,CK277),IF(Исходн.данные.!$AG277=$BV$11,CS277,IF(OR(Исходн.данные.!$AH277=$BQ$7,Исходн.данные.!$AH277=$BQ$8),90/CJ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10/CJ277,IF(Исходн.данные.!$AI277=$BU$11,"Нет",60/CJ277)))))))</f>
        <v>0</v>
      </c>
      <c r="CW277" s="39">
        <f>IF($CH277="Нет",0,IF(Исходн.данные.!AH277=0,0,IF(CK277=0,30/MIN(CI277:CJ277),IF(Исходн.данные.!$AG277=$BV$11,CT277,IF(OR(Исходн.данные.!$AH277=$BQ$7,Исходн.данные.!$AH277=$BQ$8),90/CK277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0,IF(Исходн.данные.!$AI277=$BU$11,"Нет",30/CK277)))))))</f>
        <v>0</v>
      </c>
      <c r="CX277" s="133">
        <f>IF(Исходн.данные.!$AG277=$BV$11,MAX(CU277:CW277),IF(OR(Исходн.данные.!$AH277=$BS$8,Исходн.данные.!$AH277=$BQ$9,Исходн.данные.!$AH277=$BQ$10,Исходн.данные.!$AH277=$BQ$11,Исходн.данные.!$AH277=$BQ$12,Исходн.данные.!$AH277=$BP$3,Исходн.данные.!$AH277=$BT$8,$FM277="Да"),CV277,MIN(CU277:CW277)))</f>
        <v>0</v>
      </c>
      <c r="CY277" s="133">
        <f>IF(Исходн.данные.!AH277=0,0,IF(CR277&gt;$CX277,$CX277,CR277))</f>
        <v>0</v>
      </c>
      <c r="CZ277" s="133">
        <f>IF(Исходн.данные.!AH277=0,0,IF(CS277&gt;$CX277,$CX277,CS277))</f>
        <v>0</v>
      </c>
      <c r="DA277" s="133">
        <f>IF(Исходн.данные.!AH277=0,0,IF(CT277&gt;$CX277,$CX277,CT277))</f>
        <v>0</v>
      </c>
      <c r="DB277" s="10">
        <f t="shared" si="316"/>
        <v>0</v>
      </c>
      <c r="DC277" s="39">
        <f>DB277*Исходн.данные.!AJ277/1000</f>
        <v>0</v>
      </c>
      <c r="DD277" s="71">
        <f t="shared" si="317"/>
        <v>0</v>
      </c>
      <c r="DE277" s="9">
        <f t="shared" si="318"/>
        <v>0</v>
      </c>
      <c r="DF277" s="9">
        <f t="shared" si="319"/>
        <v>0</v>
      </c>
      <c r="DG277" s="39">
        <f>IF(BL277&lt;0,0,IF($CH277="Нет",BL277,IF(OR(Исходн.данные.!$AH277=$BP$1,Исходн.данные.!$AH277=$BP$2),0,IF(Исходн.данные.!AI277=$BU$11,BL277,IF(BL277-DD277&lt;0,0,BL277-DD277)))))</f>
        <v>0</v>
      </c>
      <c r="DH277" s="39">
        <f>IF(BM277&lt;0,0,IF($CH277="Нет",BM277,IF(OR(Исходн.данные.!$AH277=$BP$1,Исходн.данные.!$AH277=$BP$2),0,IF(Исходн.данные.!AJ277=$BU$11,BM277,IF(BM277-DE277&lt;0,0,BM277-DE277)))))</f>
        <v>0</v>
      </c>
      <c r="DI277" s="39">
        <f>IF(BN277&lt;0,0,IF($CH277="Нет",BN277,IF(OR(Исходн.данные.!$AH277=$BP$1,Исходн.данные.!$AH277=$BP$2),0,IF(Исходн.данные.!AK277=$BU$11,BN277,IF(BN277-DF277&lt;0,0,BN277-DF277)))))</f>
        <v>0</v>
      </c>
      <c r="DJ277" s="12">
        <f t="shared" si="320"/>
        <v>0</v>
      </c>
      <c r="DK277" s="9">
        <f t="shared" si="321"/>
        <v>0</v>
      </c>
      <c r="DL277" s="39">
        <f>IF(Исходн.данные.!AM277&gt;0,Исходн.данные.!AM277,IF(EG277&gt;0,$BH$10,0))</f>
        <v>0</v>
      </c>
      <c r="DM277" s="186">
        <f>IF($DL277=0,0,IF(Исходн.данные.!AM277&gt;0,VLOOKUP($DL277,АшламаДВ_Irekle,2,FALSE),VLOOKUP($DL277,АшламаДВ_Gomumy,2,FALSE)))</f>
        <v>0</v>
      </c>
      <c r="DN277" s="10">
        <f t="shared" si="299"/>
        <v>0</v>
      </c>
      <c r="DO277" s="9" t="str">
        <f>IF(Исходн.данные.!AN277&gt;0,Исходн.данные.!AN277,Удобрения!$B$37 )</f>
        <v>Хлор.калий</v>
      </c>
      <c r="DP277" s="9">
        <f>IF(Исходн.данные.!AN277&gt;0,VLOOKUP(Исходн.данные.!AN277,АшламаДВ_Irekle,4,FALSE),VLOOKUP(DO277,АшламаДВ_Gomumy,4,FALSE))</f>
        <v>0.6</v>
      </c>
      <c r="DQ277" s="10">
        <f t="shared" si="300"/>
        <v>0</v>
      </c>
      <c r="DR277" s="132" t="str">
        <f>IF(Исходн.данные.!AO277&gt;0,Исходн.данные.!AO277,IF(DH277=0,BS$17,IF(AND($DK277=0,$DJ277&gt;0),EJ277,EN277)))</f>
        <v>Нет</v>
      </c>
      <c r="DS277" s="70" t="str">
        <f>IF($DR277="Нет","Нет",IF(Исходн.данные.!$AO277&gt;0,VLOOKUP($DR277,АшламаДВ_Irekle,2,FALSE),VLOOKUP($DR277,АшламаДВ_Gomumy,2,FALSE)))</f>
        <v>Нет</v>
      </c>
      <c r="DT277" s="70" t="str">
        <f>IF($DR277="Нет","Нет",IF(Исходн.данные.!$AO277&gt;0,VLOOKUP($DR277,АшламаДВ_Irekle,3,FALSE),VLOOKUP($DR277,АшламаДВ_Gomumy,3,FALSE)))</f>
        <v>Нет</v>
      </c>
      <c r="DU277" s="70" t="str">
        <f>IF($DR277="Нет","Нет",IF(Исходн.данные.!$AO277&gt;0,VLOOKUP($DR277,АшламаДВ_Irekle,4,FALSE),VLOOKUP($DR277,АшламаДВ_Gomumy,4,FALSE)))</f>
        <v>Нет</v>
      </c>
      <c r="DV277" s="70"/>
      <c r="DW277" s="70"/>
      <c r="DX277" s="70"/>
      <c r="DY277" s="10">
        <f t="shared" si="322"/>
        <v>0</v>
      </c>
      <c r="DZ277" s="10">
        <f t="shared" si="323"/>
        <v>0</v>
      </c>
      <c r="EA277" s="10">
        <f t="shared" si="324"/>
        <v>0</v>
      </c>
      <c r="EB277" s="10">
        <f t="shared" si="325"/>
        <v>0</v>
      </c>
      <c r="EC277" s="10">
        <f t="shared" si="326"/>
        <v>0</v>
      </c>
      <c r="ED277" s="10">
        <f t="shared" si="327"/>
        <v>0</v>
      </c>
      <c r="EE277" s="10">
        <f t="shared" si="328"/>
        <v>0</v>
      </c>
      <c r="EF277" s="39">
        <f>EB277*Исходн.данные.!AJ277/1000</f>
        <v>0</v>
      </c>
      <c r="EG277" s="9">
        <f t="shared" si="329"/>
        <v>0</v>
      </c>
      <c r="EH277" s="9">
        <f t="shared" si="330"/>
        <v>0</v>
      </c>
      <c r="EI277" s="39" t="e">
        <f t="shared" si="280"/>
        <v>#DIV/0!</v>
      </c>
      <c r="EJ277" s="9" t="str">
        <f t="shared" si="301"/>
        <v>Азопреципитат</v>
      </c>
      <c r="EK277" s="12">
        <f t="shared" si="281"/>
        <v>0.26</v>
      </c>
      <c r="EL277" s="12">
        <f t="shared" si="282"/>
        <v>0.13</v>
      </c>
      <c r="EM277" s="12">
        <f t="shared" si="283"/>
        <v>0</v>
      </c>
      <c r="EN277" s="12" t="str">
        <f t="shared" si="302"/>
        <v>Нет</v>
      </c>
      <c r="EO277" s="12">
        <f t="shared" si="284"/>
        <v>0</v>
      </c>
      <c r="EP277" s="12">
        <f t="shared" si="285"/>
        <v>0</v>
      </c>
      <c r="EQ277" s="12">
        <f t="shared" si="286"/>
        <v>0</v>
      </c>
      <c r="ER277" s="12" t="str">
        <f t="shared" si="331"/>
        <v>Диаммофоска</v>
      </c>
      <c r="ES277" s="12">
        <f t="shared" si="287"/>
        <v>0.1</v>
      </c>
      <c r="ET277" s="12">
        <f t="shared" si="288"/>
        <v>0.26</v>
      </c>
      <c r="EU277" s="12">
        <f t="shared" si="289"/>
        <v>0.26</v>
      </c>
      <c r="EV277" s="12" t="str">
        <f t="shared" si="332"/>
        <v>Аммофос 12:52:00</v>
      </c>
      <c r="EW277" s="12" t="str">
        <f t="shared" si="333"/>
        <v>Кемира Свекловичное-6</v>
      </c>
      <c r="EX277" s="12">
        <f t="shared" si="290"/>
        <v>0.16</v>
      </c>
      <c r="EY277" s="12">
        <f t="shared" si="291"/>
        <v>0.12</v>
      </c>
      <c r="EZ277" s="12">
        <f t="shared" si="292"/>
        <v>0.17</v>
      </c>
      <c r="FA277" s="38" t="e">
        <f>IF(AND(OR(FJ277=$FD$1,FM277=$FD$1,FO277=$FD$1,FQ277=$FD$1,FS277=$FD$1),FD277=$FD$1,Исходн.данные.!J277&lt;2,FU277=$FD$1),"Бор,Кобальт",IF(AND(FO277=$FD$1,FH277=$FD$1,Исходн.данные.!J277&lt;2,FU277=$FD$1),"Бор,Кобальт",IF(AND(OR(FJ277=$FD$1,FM277=$FD$1,FQ277=$FD$1),FE277=$FD$1,Исходн.данные.!J277&lt;2,FT277=$FD$1,FU277=$FD$1),"Бор,Медь,Цинк",IF(AND(OR(FJ277=$FD$1,FR277="Да"),FI277="Да",Исходн.данные.!J277&lt;2,FT277="Да",FU277="Да"),"Бор,Цинк,Медь",IF(AND(OR(FM277="Да",FQ277="Да"),FI277="Да",Исходн.данные.!J277&lt;2,FT277="Да",FU277="Да"),"Бор,Цинк",IF(AND(FN277="Да",OR(FD277="Да",FE277="Да")),"Бор",FB277))))))</f>
        <v>#N/A</v>
      </c>
      <c r="FB277" s="134" t="e">
        <f>IF(AND(OR(FD277="Да",FE277="Да",FF277="Да",FG277="Да",FH277="Да"),FO277="Да"),"Бор",IF(AND(FP277="Да",OR(FD277="Да",FE277="Да",FI277="Да")),"Бор",IF(AND(FS277="Да",FE277="Да"),"Бор,Медь",IF(AND(OR(FJ277="Да",FK277="Да",FL277="Да"),FE277="Да",Исходн.данные.!I277&lt;5,FT277="Да",FU277="Да"),"Молибден,Цинк",IF(AND(FM277="Да",OR(FE277="Да",FF277="Да",FG277="Да",FH277="Да",FI277="Да")),"Молибден,Цинк",IF(AND(OR(FJ277="Да",FK277="Да",FL277="Да",FM277="Да",FQ277="Да"),OR(FE277="Да",FF277="Да"),FT277="Да",FU277="Да",Исходн.данные.!I277&gt;5.5),"Медь,Цинк",FC277))))))</f>
        <v>#N/A</v>
      </c>
      <c r="FC277" s="23" t="e">
        <f t="shared" si="334"/>
        <v>#N/A</v>
      </c>
      <c r="FD277" s="38" t="str">
        <f>IF(OR(Исходн.данные.!F277=$CC$1,Исходн.данные.!F277=$CC$2,Исходн.данные.!F277=$CC$3,Исходн.данные.!F277=$CC$4),"Да","Нет")</f>
        <v>Нет</v>
      </c>
      <c r="FE277" s="38" t="str">
        <f>IF(Исходн.данные.!F277=$CC$5,"Да","Нет")</f>
        <v>Нет</v>
      </c>
      <c r="FF277" s="38" t="str">
        <f>IF(OR(Исходн.данные.!F277=$CC$6,Исходн.данные.!F277=$CC$7),"Да","Нет")</f>
        <v>Нет</v>
      </c>
      <c r="FG277" s="38" t="str">
        <f>IF(OR(Исходн.данные.!F277=$CC$8,Исходн.данные.!F277=$CC$9),"Да","Нет")</f>
        <v>Нет</v>
      </c>
      <c r="FH277" s="38" t="str">
        <f>IF(Исходн.данные.!F277=$CC$10,"Да","Нет")</f>
        <v>Нет</v>
      </c>
      <c r="FI277" s="38" t="str">
        <f>IF(OR(Исходн.данные.!F277=$CC$11,Исходн.данные.!F277=$CC$12),"Да","Нет")</f>
        <v>Нет</v>
      </c>
      <c r="FJ277" s="38" t="str">
        <f>IF(OR(Исходн.данные.!AH277=$BS$1,Исходн.данные.!AH277=$BQ$11,Исходн.данные.!AH277=$BQ$12),"Да","Нет")</f>
        <v>Нет</v>
      </c>
      <c r="FK277" s="38" t="str">
        <f>IF(OR(Исходн.данные.!AH277=$BS$2,Исходн.данные.!AH277=$BS$4),"Да","Нет")</f>
        <v>Нет</v>
      </c>
      <c r="FL277" s="38" t="str">
        <f>IF(OR(Исходн.данные.!AH277=$BS$3,Исходн.данные.!AH277=$BS$5),"Да","Нет")</f>
        <v>Нет</v>
      </c>
      <c r="FM277" s="38" t="str">
        <f>IF(OR(Исходн.данные.!AH277=$BS$9,Исходн.данные.!AH277=$BS$10,Исходн.данные.!AH277=$BS$11,Исходн.данные.!AH277=$BS$12),"Да","Нет")</f>
        <v>Нет</v>
      </c>
      <c r="FN277" s="38" t="str">
        <f>IF(OR(Исходн.данные.!AH277=$BS$6,Исходн.данные.!AH277=$BP$3),"Да","Нет")</f>
        <v>Нет</v>
      </c>
      <c r="FO277" s="38" t="str">
        <f>IF(Исходн.данные.!AH277=$BQ$9,"Да","Нет")</f>
        <v>Нет</v>
      </c>
      <c r="FP277" s="38" t="str">
        <f>IF(OR(Исходн.данные.!AH277=$BS$8,Исходн.данные.!AH277=$BT$8),"Да","Нет")</f>
        <v>Нет</v>
      </c>
      <c r="FQ277" s="38" t="str">
        <f>IF(OR(Исходн.данные.!AH277=$BQ$7,Исходн.данные.!AH277=$BQ$8),"Да","Нет")</f>
        <v>Нет</v>
      </c>
      <c r="FR277" s="38" t="str">
        <f>IF(Исходн.данные.!AI277=$BU$9,"Да","Нет")</f>
        <v>Нет</v>
      </c>
      <c r="FS277" s="38" t="str">
        <f>IF(OR(Исходн.данные.!AH277=$BP$1,Исходн.данные.!AH277=$BP$2),"Да","Нет")</f>
        <v>Нет</v>
      </c>
      <c r="FT277" s="38" t="e">
        <f>IF((Исходн.данные.!K277*GO277*GS277*GW277+BL277*0.6+Исходн.данные.!Q277*4.5*0.275)&gt;90,"Да","Нет")</f>
        <v>#N/A</v>
      </c>
      <c r="FU277" s="38" t="e">
        <f>IF((Исходн.данные.!M277*GS277*GZ277+BM277*0.225)&gt;35,"Да","Нет")</f>
        <v>#N/A</v>
      </c>
      <c r="FV277" s="38" t="str">
        <f>IF(Исходн.данные.!O277&gt;175,"Да","Нет")</f>
        <v>Нет</v>
      </c>
      <c r="FW277" s="39" t="str">
        <f>IF(Исходн.данные.!I277&gt;5.5,"Да","Нет")</f>
        <v>Нет</v>
      </c>
      <c r="FX277" s="39" t="str">
        <f>IF(Исходн.данные.!J277&lt;2,"Да","Нет")</f>
        <v>Да</v>
      </c>
      <c r="FY277" s="39" t="e">
        <f>IF(HF277=$FY$16,0,Исходн.данные.!K277*GO277*GS277*GW277/HF277)</f>
        <v>#N/A</v>
      </c>
      <c r="FZ277" s="39" t="e">
        <f>Исходн.данные.!M277*GS277*GZ277/HG277</f>
        <v>#N/A</v>
      </c>
      <c r="GA277" s="39" t="e">
        <f>IF(K_Wyn=$FY$16,0,IF(Исходн.данные.!N277=Исходн.данные.!$L$10,Исходн.данные.!O277/1.1*GS277*HC277/HH277,IF(Исходн.данные.!N277=Исходн.данные.!$L$12,Исходн.данные.!O277/1.5*GS277*HC277/HH277,Исходн.данные.!O277*GS277*HC277/HH277)))</f>
        <v>#N/A</v>
      </c>
      <c r="GB277" s="39" t="e">
        <f>IF(HF277=$FY$16,0,((Исходн.данные.!Q277*N_Org+Исходн.данные.!R277*N_Sider+Исходн.данные.!S277*N_Soloma)*AO277+Расчет!BC277*VLOOKUP(Исходн.данные.!T277,Справ!$A$3:$O$57,15)*AO277+BB277*VLOOKUP(Исходн.данные.!T277,Справ!$A$3:$O$57,15)*AL277+(Исходн.данные.!V277*N_Rizotorf+Исходн.данные.!W277*N_Rizoagr))/HF277)</f>
        <v>#N/A</v>
      </c>
      <c r="GC277" s="39" t="e">
        <f>IF(HG277=$FY$16,0,((Исходн.данные.!Q277*Р_Org+Исходн.данные.!R277*P_Sider+Исходн.данные.!S277*P_Soloma)*AP277+Расчет!BC277*VLOOKUP(Исходн.данные.!T277,Справ!$A$3:$P$57,16)*AP277+BB277*VLOOKUP(Исходн.данные.!T277,Справ!$A$3:$P$57,16)*AM277)/HG277)</f>
        <v>#N/A</v>
      </c>
      <c r="GD277" s="39" t="e">
        <f>IF(HH277=$FY$16,0,((Исходн.данные.!Q277*К_Org+Исходн.данные.!R277*K_Sider+Исходн.данные.!S277*K_Soloma)*AQ277+Расчет!BC277*VLOOKUP(Исходн.данные.!T277,Справ!$A$3:$Q$57,17)*AQ277+BB277*VLOOKUP(Исходн.данные.!T277,Справ!$A$3:$Q$57,17)*AN277)/HH277)</f>
        <v>#N/A</v>
      </c>
      <c r="GE277" s="39" t="e">
        <f>IF(HF277=$FY$16,0,(Исходн.данные.!X277*AR277+Исходн.данные.!AA277*N_Org*AL277+Исходн.данные.!AB277*N_Sider*AL277+Исходн.данные.!AC277*N_Soloma*AL277)/HF277)</f>
        <v>#N/A</v>
      </c>
      <c r="GF277" s="39" t="e">
        <f>IF(HG277=$FY$16,0,(Исходн.данные.!Y277*AS277+Исходн.данные.!AA277*Р_Org*AM277+Исходн.данные.!AB277*P_Sider*AM277+Исходн.данные.!AC277*P_Soloma*AM277)/HG277)</f>
        <v>#N/A</v>
      </c>
      <c r="GG277" s="39" t="e">
        <f>IF(HH277=$FY$16,0,(Исходн.данные.!Z277*AT277+Исходн.данные.!AA277*К_Org*AN277+Исходн.данные.!AB277*K_Sider*AN277+Исходн.данные.!AC277*K_Soloma*AN277)/HH277)</f>
        <v>#N/A</v>
      </c>
      <c r="GH277" s="39" t="e">
        <f>Исходн.данные.!AD277*AU277/HF277</f>
        <v>#N/A</v>
      </c>
      <c r="GI277" s="39" t="e">
        <f>Исходн.данные.!AE277*AV277/HG277</f>
        <v>#N/A</v>
      </c>
      <c r="GJ277" s="39" t="e">
        <f>Исходн.данные.!AF277*AW277/HH277</f>
        <v>#N/A</v>
      </c>
      <c r="GK277" s="55">
        <f>Исходн.данные.!AK277</f>
        <v>0</v>
      </c>
      <c r="GL277" s="11" t="e">
        <f t="shared" si="335"/>
        <v>#N/A</v>
      </c>
      <c r="GM277" s="11" t="e">
        <f t="shared" si="336"/>
        <v>#N/A</v>
      </c>
      <c r="GN277" s="11" t="e">
        <f t="shared" si="337"/>
        <v>#N/A</v>
      </c>
      <c r="GO277" s="57">
        <f t="shared" si="338"/>
        <v>19</v>
      </c>
      <c r="GP277" s="55">
        <f>IF(OR(Исходн.данные.!F277=$CE$1,Исходн.данные.!F277=$CE$2,Исходн.данные.!F277=$CE$3,Исходн.данные.!F277=$CE$4,Исходн.данные.!F277=$CE$5),GQ277,GR277)</f>
        <v>19</v>
      </c>
      <c r="GQ277" s="55">
        <f>IF(Исходн.данные.!F277=$CE$1,28,IF(Исходн.данные.!F277=$CE$2,26,IF(Исходн.данные.!F277=$CE$3,24,IF(Исходн.данные.!F277=$CE$4,22,IF(Исходн.данные.!F277=$CE$5,20,GR277)))))</f>
        <v>19</v>
      </c>
      <c r="GR277" s="55">
        <f>IF(Исходн.данные.!F277=$CE$6,18,IF(Исходн.данные.!F277=$CE$7,16,IF(Исходн.данные.!F277=$CE$8,14,IF(Исходн.данные.!F277=$CE$9,13,IF(Исходн.данные.!F277=$CE$10,12,19)))))</f>
        <v>19</v>
      </c>
      <c r="GS277" s="55">
        <f>IF(Исходн.данные.!G277="Пес",0.035*(40+2*Исходн.данные.!H277),IF(Исходн.данные.!G277="Суп",0.0325*(40+2*Исходн.данные.!H277),0.03*(40+2*Исходн.данные.!H277)))</f>
        <v>1.2</v>
      </c>
      <c r="GT277" s="55">
        <f>IF(Исходн.данные.!H277&lt;23,2.6,IF(AND(Исходн.данные.!H277&gt;22,Исходн.данные.!H277&lt;26),3,IF(AND(Исходн.данные.!H277&gt;25,Исходн.данные.!H277&lt;29),3.4,3.6)))</f>
        <v>2.6</v>
      </c>
      <c r="GU277" s="55">
        <f>IF(Исходн.данные.!H277&lt;23,2.8,IF(AND(Исходн.данные.!H277&gt;22,Исходн.данные.!H277&lt;26),3.2,IF(AND(Исходн.данные.!H277&gt;25,Исходн.данные.!H277&lt;29),3.6,3.9)))</f>
        <v>2.8</v>
      </c>
      <c r="GV277" s="55">
        <f>IF(Исходн.данные.!H277&lt;23,3,IF(AND(Исходн.данные.!H277&gt;22,Исходн.данные.!H277&lt;26),3.5,IF(AND(Исходн.данные.!H277&gt;25,Исходн.данные.!H277&lt;29),3.9,4.2)))</f>
        <v>3</v>
      </c>
      <c r="GW277" s="55" t="e">
        <f>IF(Исходн.данные.!P277="Ум",GX277,GY277)</f>
        <v>#N/A</v>
      </c>
      <c r="GX277" s="55" t="e">
        <f>VLOOKUP(Исходн.данные.!AI277,Коэффициенты!$J$7:$L$13,2,FALSE)</f>
        <v>#N/A</v>
      </c>
      <c r="GY277" s="55" t="e">
        <f>VLOOKUP(Исходн.данные.!AI277,Коэффициенты!$J$7:$L$13,3,FALSE)</f>
        <v>#N/A</v>
      </c>
      <c r="GZ277" s="55" t="e">
        <f>(IF(Исходн.данные.!M277&lt;50,0.11*VLOOKUP(Исходн.данные.!AH277,Культуры.Информация,7,FALSE),IF(Исходн.данные.!M277&gt;250,0.05*VLOOKUP(Исходн.данные.!AH277,Культуры.Информация,7,FALSE),VLOOKUP(Исходн.данные.!AH277,Культуры.Информация,5,FALSE)/100*($GX$6+$GY$6*Исходн.данные.!M277))))*Расчет2!AI277</f>
        <v>#N/A</v>
      </c>
      <c r="HA277" s="211"/>
      <c r="HB277" s="211"/>
      <c r="HC277" s="55" t="e">
        <f>(IF(Исходн.данные.!O277&lt;80,0.2*VLOOKUP(Исходн.данные.!AH277,Культуры.Информация,8,FALSE),IF(Исходн.данные.!O277&gt;240,0.09*VLOOKUP(Исходн.данные.!AH277,Культуры.Информация,8,FALSE),VLOOKUP(Исходн.данные.!AH277,Культуры.Информация,6,FALSE)/100*($HB$6+$HC$6*Исходн.данные.!O277))))*Расчет2!AJ277</f>
        <v>#N/A</v>
      </c>
      <c r="HD277" s="55">
        <f>IF(Исходн.данные.!O277&gt;240,0.09,IF(Исходн.данные.!O277&lt;30,0.3,$HE$10+$HD$10*Исходн.данные.!O277))</f>
        <v>0.3</v>
      </c>
      <c r="HE277" s="55">
        <f>IF(Исходн.данные.!O277&gt;240,0.17,IF(Исходн.данные.!O277&lt;30,0.5,$HF$12+$HE$12*Исходн.данные.!O277))</f>
        <v>0.5</v>
      </c>
      <c r="HF277" s="55" t="e">
        <f>VLOOKUP(Исходн.данные.!AH277,Справ!$A$3:$D$58,2,FALSE)</f>
        <v>#N/A</v>
      </c>
      <c r="HG277" s="55" t="e">
        <f>VLOOKUP(Исходн.данные.!AH277,Справ!$A$3:$D$58,3,FALSE)</f>
        <v>#N/A</v>
      </c>
      <c r="HH277" s="55" t="e">
        <f>VLOOKUP(Исходн.данные.!AH277,Справ!$A$3:$D$58,4,FALSE)</f>
        <v>#N/A</v>
      </c>
      <c r="HI277" s="11" t="e">
        <f t="shared" si="339"/>
        <v>#N/A</v>
      </c>
      <c r="HJ277" s="11" t="e">
        <f t="shared" si="340"/>
        <v>#N/A</v>
      </c>
      <c r="HK277" s="11" t="e">
        <f t="shared" si="341"/>
        <v>#N/A</v>
      </c>
      <c r="HL277" s="55">
        <f>IF(OR(Исходн.данные.!G277="Глин",Исходн.данные.!G277="Т_суг"),1.1,IF(Исходн.данные.!G277="Ср_суг",1,1))</f>
        <v>1</v>
      </c>
      <c r="HM277" s="55">
        <f>IF(OR(Исходн.данные.!G277="Глин",Исходн.данные.!G277="Т_суг"),0.9,IF(Исходн.данные.!G277="Ср_суг",1,1.2))</f>
        <v>1.2</v>
      </c>
      <c r="HN277" s="11" t="e">
        <f t="shared" si="342"/>
        <v>#N/A</v>
      </c>
      <c r="HO277" s="11" t="e">
        <f t="shared" si="343"/>
        <v>#N/A</v>
      </c>
      <c r="HP277" s="11" t="e">
        <f t="shared" si="344"/>
        <v>#N/A</v>
      </c>
      <c r="HQ277" t="e">
        <f t="shared" si="345"/>
        <v>#N/A</v>
      </c>
      <c r="HR277" t="e">
        <f t="shared" si="346"/>
        <v>#N/A</v>
      </c>
      <c r="HS277" t="e">
        <f t="shared" si="347"/>
        <v>#N/A</v>
      </c>
      <c r="HT277" t="e">
        <f t="shared" si="293"/>
        <v>#N/A</v>
      </c>
      <c r="HU277" t="e">
        <f t="shared" si="294"/>
        <v>#N/A</v>
      </c>
      <c r="HV277" t="e">
        <f t="shared" si="295"/>
        <v>#N/A</v>
      </c>
      <c r="HW277" t="e">
        <f t="shared" si="296"/>
        <v>#N/A</v>
      </c>
      <c r="HX277" t="e">
        <f t="shared" si="297"/>
        <v>#N/A</v>
      </c>
      <c r="HY277" t="e">
        <f t="shared" si="298"/>
        <v>#N/A</v>
      </c>
      <c r="HZ277" s="55">
        <f>IF(OR(Исходн.данные.!AI277="Оз_Ч_П",Исходн.данные.!AI277="Оз_З_П",Исходн.данные.!AI277="Яр_зер"),12,30)</f>
        <v>30</v>
      </c>
      <c r="IA277" t="e">
        <f t="shared" si="348"/>
        <v>#N/A</v>
      </c>
      <c r="IB277" t="e">
        <f t="shared" si="349"/>
        <v>#N/A</v>
      </c>
      <c r="IC277" t="e">
        <f t="shared" si="350"/>
        <v>#N/A</v>
      </c>
      <c r="ID277" s="11" t="e">
        <f t="shared" si="351"/>
        <v>#N/A</v>
      </c>
      <c r="IE277" s="11" t="e">
        <f t="shared" si="352"/>
        <v>#N/A</v>
      </c>
      <c r="IF277" s="11" t="e">
        <f t="shared" si="353"/>
        <v>#N/A</v>
      </c>
    </row>
    <row r="278" spans="35:240" x14ac:dyDescent="0.2">
      <c r="AI278">
        <f>IF(Исходн.данные.!I278&gt;6,1,1.85-(0.148*Исходн.данные.!I278))</f>
        <v>1.85</v>
      </c>
      <c r="AJ278">
        <f>IF(Исходн.данные.!I278&gt;6,1,2.434-(0.246*Исходн.данные.!I278))</f>
        <v>2.4340000000000002</v>
      </c>
      <c r="AL278" s="148" t="b">
        <f>IF(Исходн.данные.!$P278="Ум",N_OrgUd_2g_um,IF(Исходн.данные.!$P278="Об",N_OrgUd_2g_ob))</f>
        <v>0</v>
      </c>
      <c r="AM278" s="148" t="b">
        <f>IF(Исходн.данные.!$P278="Ум",P_OrgUd_2g_um,IF(Исходн.данные.!$P278="Об",P_OrgUd_2g_ob))</f>
        <v>0</v>
      </c>
      <c r="AN278" s="148" t="b">
        <f>IF(Исходн.данные.!$P278="Ум",K_OrgUd_2g_um,IF(Исходн.данные.!$P278="Об",K_OrgUd_2g_ob))</f>
        <v>0</v>
      </c>
      <c r="AO278" s="148" t="b">
        <f>IF(Исходн.данные.!$P278="Ум",N_OrgUd_1g_um,IF(Исходн.данные.!$P278="Об",N_OrgUd_1g_ob))</f>
        <v>0</v>
      </c>
      <c r="AP278" s="148" t="b">
        <f>IF(Исходн.данные.!$P278="Ум",P_OrgUd_1g_um,IF(Исходн.данные.!$P278="Об",P_OrgUd_1g_ob))</f>
        <v>0</v>
      </c>
      <c r="AQ278" s="148" t="b">
        <f>IF(Исходн.данные.!$P278="Ум",K_OrgUd_1g_um,IF(Исходн.данные.!$P278="Об",K_OrgUd_1g_ob))</f>
        <v>0</v>
      </c>
      <c r="AR278" t="b">
        <f>IF(Исходн.данные.!$P278="Ум",N_MinUd_2g_um,IF(Исходн.данные.!$P278="Об",N_MinUd_2g_ob))</f>
        <v>0</v>
      </c>
      <c r="AS278" t="b">
        <f>IF(Исходн.данные.!$P278="Ум",P_MinUd_2g_um,IF(Исходн.данные.!$P278="Об",P_MinUd_2g_ob))</f>
        <v>0</v>
      </c>
      <c r="AT278" t="b">
        <f>IF(Исходн.данные.!$P278="Ум",K_MinUd_2g_um,IF(Исходн.данные.!$P278="Об",K_MinUd_2g_ob))</f>
        <v>0</v>
      </c>
      <c r="AU278" t="b">
        <f>IF(Исходн.данные.!$P278="Ум",N_MinUd_1g_um,IF(Исходн.данные.!$P278="Об",N_MinUd_1g_ob))</f>
        <v>0</v>
      </c>
      <c r="AV278" t="b">
        <f>IF(Исходн.данные.!P278="Ум",P_MinUd_1g_um,IF(Исходн.данные.!P278="Об",P_MinUd_1g_ob))</f>
        <v>0</v>
      </c>
      <c r="AW278" t="b">
        <f>IF(Исходн.данные.!P278="Ум",K_MinUd_1g_um,IF(Исходн.данные.!P278="Об",K_MinUd_1g_ob))</f>
        <v>0</v>
      </c>
      <c r="AY278" t="e">
        <f>VLOOKUP(Исходн.данные.!T278,Справ!$A$3:$N$57,12)</f>
        <v>#N/A</v>
      </c>
      <c r="AZ278" t="e">
        <f>VLOOKUP(Исходн.данные.!T278,Справ!$A$3:$N$57,13)</f>
        <v>#N/A</v>
      </c>
      <c r="BA278" t="e">
        <f>VLOOKUP(Исходн.данные.!T278,Справ!$A$3:$N$57,14)</f>
        <v>#N/A</v>
      </c>
      <c r="BB278">
        <f>IF(Исходн.данные.!AH278=0,0,25)</f>
        <v>0</v>
      </c>
      <c r="BC278" s="141">
        <f>IF(Исходн.данные.!AH278=0,0,IF(Исходн.данные.!T278=0,25,BD278))</f>
        <v>0</v>
      </c>
      <c r="BD278" s="168" t="e">
        <f>AY278+AZ278*Исходн.данные.!U278-POWER(BA278,2)*Исходн.данные.!U278</f>
        <v>#N/A</v>
      </c>
      <c r="BE27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8" s="25">
        <f>IF(Исходн.данные.!AH278=0,0,MIN(HN278:HP278))</f>
        <v>0</v>
      </c>
      <c r="BG278" s="9">
        <f>IF(Исходн.данные.!AH278=0,0,IF((HO278+10*0.25/HG278/HL278)&lt;17,17,HO278+10*0.25/HG278/HL278))</f>
        <v>0</v>
      </c>
      <c r="BH278" s="181">
        <f>IF(Исходн.данные.!AH278=0,0,HW278*HF278*HL278/AU278*AI278+Исходн.данные.!S278*10)</f>
        <v>0</v>
      </c>
      <c r="BI278" s="10"/>
      <c r="BJ278" s="182">
        <f>IF(Исходн.данные.!AH278=0,0,IF(HX278*HG278*HL278/AV278&lt;0,0,HX278*HG278*HL278/AV278*AJ278))</f>
        <v>0</v>
      </c>
      <c r="BK278" s="182">
        <f>IF(Исходн.данные.!AH278=0,0,HY278*HH278*HM278/AW278)</f>
        <v>0</v>
      </c>
      <c r="BL278" s="10">
        <f>IF(OR(Исходн.данные.!$AH278=$BP$1,Исходн.данные.!$AH278=$BP$2),0,IF(BH278&lt;0,0,IF(OR(Исходн.данные.!T278=Расчет!$BP$1,Исходн.данные.!T278=Расчет!$BP$2,Исходн.данные.!T278=Расчет!$BT$5,Исходн.данные.!T278=Расчет!$BT$6),BH278*0.5,IF(OR(Исходн.данные.!T278=Расчет!$BS$9,Исходн.данные.!T278=Расчет!$BS$10,Исходн.данные.!T278=Расчет!$BS$11,Исходн.данные.!T278=Расчет!$BS$12,Исходн.данные.!T278=Расчет!$BP$5),BH278*0.8,BH278))))</f>
        <v>0</v>
      </c>
      <c r="BM278" s="10">
        <f>IF(OR(Исходн.данные.!$AH278=$BP$1,Исходн.данные.!$AH278=$BP$2),0,IF(BJ278&lt;0,0,IF(Исходн.данные.!I278&lt;4.5,BJ278*1.2,IF(Исходн.данные.!I278&gt;5.1,BJ278,BJ278*((5.1-Исходн.данные.!I278)*0.333+1)))))</f>
        <v>0</v>
      </c>
      <c r="BN278" s="10">
        <f>IF(OR(Исходн.данные.!$AH278=$BP$1,Исходн.данные.!$AH278=$BP$2),60-Исходн.данные.!AF278,IF(BK278&lt;0,0,IF(Исходн.данные.!I278&lt;4.5,BK278*1.2,IF(Исходн.данные.!I278&gt;5.1,BK278,BK278*((5.1-Исходн.данные.!I278)*0.333+1)))))</f>
        <v>0</v>
      </c>
      <c r="BO278" s="9">
        <f>IF(BL278&lt;0,0,BL278*Исходн.данные.!$AJ278/1000)</f>
        <v>0</v>
      </c>
      <c r="BP278" s="9">
        <f>IF(BM278&lt;0,0,BM278*Исходн.данные.!$AJ278/1000)</f>
        <v>0</v>
      </c>
      <c r="BQ278" s="9">
        <f>IF(BN278&lt;0,0,BN278*Исходн.данные.!$AJ278/1000)</f>
        <v>0</v>
      </c>
      <c r="BR278" s="9">
        <f t="shared" si="303"/>
        <v>0</v>
      </c>
      <c r="BS278" s="10" t="str">
        <f t="shared" si="304"/>
        <v>Аммофос 12:52:00</v>
      </c>
      <c r="BT278" s="10" t="str">
        <f t="shared" si="305"/>
        <v>Аммофос 12:52:00</v>
      </c>
      <c r="BU278" s="10" t="str">
        <f t="shared" si="306"/>
        <v>Диаммофоска</v>
      </c>
      <c r="BV278" s="10">
        <f t="shared" si="307"/>
        <v>0</v>
      </c>
      <c r="BW278" s="10"/>
      <c r="BX278" s="10"/>
      <c r="BY278" s="9">
        <f>IF(BL278&lt;0,0,IF(OR(Исходн.данные.!AI278=Расчет!$BU$6,Исходн.данные.!AI278=Расчет!$BU$7),Расчет!BV278,IF(Исходн.данные.!$AG278=$BV$11,BL278,IF(OR(Исходн.данные.!$AH278=$BQ$7,Исходн.данные.!$AH278=$BQ$8),CB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0,IF(Исходн.данные.!$AI278=$BU$11,"Нет",IF(BL278&gt;30,30,BL278)))))))</f>
        <v>0</v>
      </c>
      <c r="BZ278" s="9">
        <f>IF(AND(Исходн.данные.!$AG278=$BV$11,BM278&lt;10),10,IF(Исходн.данные.!$AG278=$BV$11,BM278,IF(OR(Исходн.данные.!$AH278=$BQ$7,Исходн.данные.!$AH278=$BQ$8),CC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10,IF(Исходн.данные.!$AI278=$BU$11,"Нет",IF(BM278&gt;60,60,IF(BM278&lt;10,10,BM278)))))))</f>
        <v>10</v>
      </c>
      <c r="CA278" s="39">
        <f>IF(BN278&lt;0,0,IF(Исходн.данные.!$AG278=$BV$11,BN278,IF(OR(Исходн.данные.!$AH278=$BQ$7,Исходн.данные.!$AH278=$BQ$8),CD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0,IF(Исходн.данные.!$AI278=$BU$11,"Нет",IF(BN278&gt;30,30,BN278))))))</f>
        <v>0</v>
      </c>
      <c r="CB278" s="9">
        <f t="shared" si="308"/>
        <v>0</v>
      </c>
      <c r="CC278" s="9">
        <f t="shared" si="309"/>
        <v>0</v>
      </c>
      <c r="CD278" s="9">
        <f t="shared" si="310"/>
        <v>0</v>
      </c>
      <c r="CE278" s="12">
        <f t="shared" si="311"/>
        <v>10</v>
      </c>
      <c r="CF278" s="9">
        <f t="shared" si="312"/>
        <v>0</v>
      </c>
      <c r="CG278" s="9" t="s">
        <v>231</v>
      </c>
      <c r="CH278" s="132" t="str">
        <f>IF(Исходн.данные.!AP278=Расчет!$CI$16,"Нет",IF(Исходн.данные.!AL278&gt;0,Исходн.данные.!AL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BH$4,IF(OR(Исходн.данные.!AI278=Исходн.данные.!$AI$6,Исходн.данные.!AI278=Исходн.данные.!$AI$7),Расчет!BS278,IF(AND($CF278=0,$CE278&gt;0),EV278,ER278)))))</f>
        <v>Аммофос 12:52:00</v>
      </c>
      <c r="CI278" s="274">
        <f>IF(Расчет!$CH278="Нет","Нет",IF(Исходн.данные.!$AL278&gt;0,VLOOKUP(Расчет!$CH278,АшламаДВ_Irekle,2,FALSE),VLOOKUP(Расчет!$CH278,АшламаДВ_Gomumy,2,FALSE)))</f>
        <v>0.12</v>
      </c>
      <c r="CJ278" s="274">
        <f>IF(Расчет!$CH278="Нет","Нет",IF(Исходн.данные.!$AL278&gt;0,VLOOKUP(Расчет!$CH278,АшламаДВ_Irekle,3,FALSE),VLOOKUP(Расчет!$CH278,АшламаДВ_Gomumy,3,FALSE)))</f>
        <v>0.52</v>
      </c>
      <c r="CK278" s="274">
        <f>IF(Расчет!$CH278="Нет","Нет",IF(Исходн.данные.!$AL278&gt;0,VLOOKUP(Расчет!$CH278,АшламаДВ_Irekle,4,FALSE),VLOOKUP(Расчет!$CH278,АшламаДВ_Gomumy,4,FALSE)))</f>
        <v>0</v>
      </c>
      <c r="CL278" s="70"/>
      <c r="CM278" s="70"/>
      <c r="CN278" s="70"/>
      <c r="CO278" s="70"/>
      <c r="CP278" s="70"/>
      <c r="CQ278" s="70"/>
      <c r="CR278" s="10">
        <f t="shared" si="313"/>
        <v>0</v>
      </c>
      <c r="CS278" s="10">
        <f t="shared" si="314"/>
        <v>19.23076923076923</v>
      </c>
      <c r="CT278" s="10">
        <f t="shared" si="315"/>
        <v>0</v>
      </c>
      <c r="CU278" s="39">
        <f>IF($CH278="Нет",0,IF(CI278=0,30/MIN(CJ278:CK278),IF(Исходн.данные.!$AG278=$BV$11,CR278,IF(OR(Исходн.данные.!$AH278=$BQ$7,Исходн.данные.!$AH278=$BQ$8),90/CI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0,IF(Исходн.данные.!$AI278=$BU$11,"Нет",30/CI278))))))</f>
        <v>250</v>
      </c>
      <c r="CV278" s="39">
        <f>IF($CH278="Нет",0,IF(Исходн.данные.!AH278=0,0,IF(CJ278=0,60/MIN(CI278,CK278),IF(Исходн.данные.!$AG278=$BV$11,CS278,IF(OR(Исходн.данные.!$AH278=$BQ$7,Исходн.данные.!$AH278=$BQ$8),90/CJ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10/CJ278,IF(Исходн.данные.!$AI278=$BU$11,"Нет",60/CJ278)))))))</f>
        <v>0</v>
      </c>
      <c r="CW278" s="39">
        <f>IF($CH278="Нет",0,IF(Исходн.данные.!AH278=0,0,IF(CK278=0,30/MIN(CI278:CJ278),IF(Исходн.данные.!$AG278=$BV$11,CT278,IF(OR(Исходн.данные.!$AH278=$BQ$7,Исходн.данные.!$AH278=$BQ$8),90/CK278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0,IF(Исходн.данные.!$AI278=$BU$11,"Нет",30/CK278)))))))</f>
        <v>0</v>
      </c>
      <c r="CX278" s="133">
        <f>IF(Исходн.данные.!$AG278=$BV$11,MAX(CU278:CW278),IF(OR(Исходн.данные.!$AH278=$BS$8,Исходн.данные.!$AH278=$BQ$9,Исходн.данные.!$AH278=$BQ$10,Исходн.данные.!$AH278=$BQ$11,Исходн.данные.!$AH278=$BQ$12,Исходн.данные.!$AH278=$BP$3,Исходн.данные.!$AH278=$BT$8,$FM278="Да"),CV278,MIN(CU278:CW278)))</f>
        <v>0</v>
      </c>
      <c r="CY278" s="133">
        <f>IF(Исходн.данные.!AH278=0,0,IF(CR278&gt;$CX278,$CX278,CR278))</f>
        <v>0</v>
      </c>
      <c r="CZ278" s="133">
        <f>IF(Исходн.данные.!AH278=0,0,IF(CS278&gt;$CX278,$CX278,CS278))</f>
        <v>0</v>
      </c>
      <c r="DA278" s="133">
        <f>IF(Исходн.данные.!AH278=0,0,IF(CT278&gt;$CX278,$CX278,CT278))</f>
        <v>0</v>
      </c>
      <c r="DB278" s="10">
        <f t="shared" si="316"/>
        <v>0</v>
      </c>
      <c r="DC278" s="39">
        <f>DB278*Исходн.данные.!AJ278/1000</f>
        <v>0</v>
      </c>
      <c r="DD278" s="71">
        <f t="shared" si="317"/>
        <v>0</v>
      </c>
      <c r="DE278" s="9">
        <f t="shared" si="318"/>
        <v>0</v>
      </c>
      <c r="DF278" s="9">
        <f t="shared" si="319"/>
        <v>0</v>
      </c>
      <c r="DG278" s="39">
        <f>IF(BL278&lt;0,0,IF($CH278="Нет",BL278,IF(OR(Исходн.данные.!$AH278=$BP$1,Исходн.данные.!$AH278=$BP$2),0,IF(Исходн.данные.!AI278=$BU$11,BL278,IF(BL278-DD278&lt;0,0,BL278-DD278)))))</f>
        <v>0</v>
      </c>
      <c r="DH278" s="39">
        <f>IF(BM278&lt;0,0,IF($CH278="Нет",BM278,IF(OR(Исходн.данные.!$AH278=$BP$1,Исходн.данные.!$AH278=$BP$2),0,IF(Исходн.данные.!AJ278=$BU$11,BM278,IF(BM278-DE278&lt;0,0,BM278-DE278)))))</f>
        <v>0</v>
      </c>
      <c r="DI278" s="39">
        <f>IF(BN278&lt;0,0,IF($CH278="Нет",BN278,IF(OR(Исходн.данные.!$AH278=$BP$1,Исходн.данные.!$AH278=$BP$2),0,IF(Исходн.данные.!AK278=$BU$11,BN278,IF(BN278-DF278&lt;0,0,BN278-DF278)))))</f>
        <v>0</v>
      </c>
      <c r="DJ278" s="12">
        <f t="shared" si="320"/>
        <v>0</v>
      </c>
      <c r="DK278" s="9">
        <f t="shared" si="321"/>
        <v>0</v>
      </c>
      <c r="DL278" s="39">
        <f>IF(Исходн.данные.!AM278&gt;0,Исходн.данные.!AM278,IF(EG278&gt;0,$BH$10,0))</f>
        <v>0</v>
      </c>
      <c r="DM278" s="186">
        <f>IF($DL278=0,0,IF(Исходн.данные.!AM278&gt;0,VLOOKUP($DL278,АшламаДВ_Irekle,2,FALSE),VLOOKUP($DL278,АшламаДВ_Gomumy,2,FALSE)))</f>
        <v>0</v>
      </c>
      <c r="DN278" s="10">
        <f t="shared" si="299"/>
        <v>0</v>
      </c>
      <c r="DO278" s="9" t="str">
        <f>IF(Исходн.данные.!AN278&gt;0,Исходн.данные.!AN278,Удобрения!$B$37 )</f>
        <v>Хлор.калий</v>
      </c>
      <c r="DP278" s="9">
        <f>IF(Исходн.данные.!AN278&gt;0,VLOOKUP(Исходн.данные.!AN278,АшламаДВ_Irekle,4,FALSE),VLOOKUP(DO278,АшламаДВ_Gomumy,4,FALSE))</f>
        <v>0.6</v>
      </c>
      <c r="DQ278" s="10">
        <f t="shared" si="300"/>
        <v>0</v>
      </c>
      <c r="DR278" s="132" t="str">
        <f>IF(Исходн.данные.!AO278&gt;0,Исходн.данные.!AO278,IF(DH278=0,BS$17,IF(AND($DK278=0,$DJ278&gt;0),EJ278,EN278)))</f>
        <v>Нет</v>
      </c>
      <c r="DS278" s="70" t="str">
        <f>IF($DR278="Нет","Нет",IF(Исходн.данные.!$AO278&gt;0,VLOOKUP($DR278,АшламаДВ_Irekle,2,FALSE),VLOOKUP($DR278,АшламаДВ_Gomumy,2,FALSE)))</f>
        <v>Нет</v>
      </c>
      <c r="DT278" s="70" t="str">
        <f>IF($DR278="Нет","Нет",IF(Исходн.данные.!$AO278&gt;0,VLOOKUP($DR278,АшламаДВ_Irekle,3,FALSE),VLOOKUP($DR278,АшламаДВ_Gomumy,3,FALSE)))</f>
        <v>Нет</v>
      </c>
      <c r="DU278" s="70" t="str">
        <f>IF($DR278="Нет","Нет",IF(Исходн.данные.!$AO278&gt;0,VLOOKUP($DR278,АшламаДВ_Irekle,4,FALSE),VLOOKUP($DR278,АшламаДВ_Gomumy,4,FALSE)))</f>
        <v>Нет</v>
      </c>
      <c r="DV278" s="70"/>
      <c r="DW278" s="70"/>
      <c r="DX278" s="70"/>
      <c r="DY278" s="10">
        <f t="shared" si="322"/>
        <v>0</v>
      </c>
      <c r="DZ278" s="10">
        <f t="shared" si="323"/>
        <v>0</v>
      </c>
      <c r="EA278" s="10">
        <f t="shared" si="324"/>
        <v>0</v>
      </c>
      <c r="EB278" s="10">
        <f t="shared" si="325"/>
        <v>0</v>
      </c>
      <c r="EC278" s="10">
        <f t="shared" si="326"/>
        <v>0</v>
      </c>
      <c r="ED278" s="10">
        <f t="shared" si="327"/>
        <v>0</v>
      </c>
      <c r="EE278" s="10">
        <f t="shared" si="328"/>
        <v>0</v>
      </c>
      <c r="EF278" s="39">
        <f>EB278*Исходн.данные.!AJ278/1000</f>
        <v>0</v>
      </c>
      <c r="EG278" s="9">
        <f t="shared" si="329"/>
        <v>0</v>
      </c>
      <c r="EH278" s="9">
        <f t="shared" si="330"/>
        <v>0</v>
      </c>
      <c r="EI278" s="39" t="e">
        <f t="shared" ref="EI278:EI341" si="354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#DIV/0!</v>
      </c>
      <c r="EJ278" s="9" t="str">
        <f t="shared" si="301"/>
        <v>Азопреципитат</v>
      </c>
      <c r="EK278" s="12">
        <f t="shared" ref="EK278:EK341" si="355">VLOOKUP($EJ278,АшламаДВ_Gomumy,2,FALSE)</f>
        <v>0.26</v>
      </c>
      <c r="EL278" s="12">
        <f t="shared" ref="EL278:EL341" si="356">VLOOKUP($EJ278,АшламаДВ_Gomumy,3,FALSE)</f>
        <v>0.13</v>
      </c>
      <c r="EM278" s="12">
        <f t="shared" ref="EM278:EM341" si="357">VLOOKUP($EJ278,АшламаДВ_Gomumy,4,FALSE)</f>
        <v>0</v>
      </c>
      <c r="EN278" s="12" t="str">
        <f t="shared" si="302"/>
        <v>Нет</v>
      </c>
      <c r="EO278" s="12">
        <f t="shared" ref="EO278:EO341" si="358">IF($EN278="Нет",0,VLOOKUP($EN278,АшламаДВ_Gomumy,2,FALSE))</f>
        <v>0</v>
      </c>
      <c r="EP278" s="12">
        <f t="shared" ref="EP278:EP341" si="359">IF($EN278="Нет",0,VLOOKUP($EN278,АшламаДВ_Gomumy,3,FALSE))</f>
        <v>0</v>
      </c>
      <c r="EQ278" s="12">
        <f t="shared" ref="EQ278:EQ341" si="360">IF($EN278="Нет",0,VLOOKUP($EN278,АшламаДВ_Gomumy,4,FALSE))</f>
        <v>0</v>
      </c>
      <c r="ER278" s="12" t="str">
        <f t="shared" si="331"/>
        <v>Диаммофоска</v>
      </c>
      <c r="ES278" s="12">
        <f t="shared" ref="ES278:ES341" si="361">VLOOKUP(ER278,АшламаДВ_Gomumy,2,FALSE)</f>
        <v>0.1</v>
      </c>
      <c r="ET278" s="12">
        <f t="shared" ref="ET278:ET341" si="362">VLOOKUP(ER278,АшламаДВ_Gomumy,3,FALSE)</f>
        <v>0.26</v>
      </c>
      <c r="EU278" s="12">
        <f t="shared" ref="EU278:EU341" si="363">VLOOKUP(ER278,АшламаДВ_Gomumy,4,FALSE)</f>
        <v>0.26</v>
      </c>
      <c r="EV278" s="12" t="str">
        <f t="shared" si="332"/>
        <v>Аммофос 12:52:00</v>
      </c>
      <c r="EW278" s="12" t="str">
        <f t="shared" si="333"/>
        <v>Кемира Свекловичное-6</v>
      </c>
      <c r="EX278" s="12">
        <f t="shared" ref="EX278:EX341" si="364">VLOOKUP($EW278,АшламаДВ_Gomumy,2,FALSE)</f>
        <v>0.16</v>
      </c>
      <c r="EY278" s="12">
        <f t="shared" ref="EY278:EY341" si="365">VLOOKUP($EW278,АшламаДВ_Gomumy,3,FALSE)</f>
        <v>0.12</v>
      </c>
      <c r="EZ278" s="12">
        <f t="shared" ref="EZ278:EZ341" si="366">VLOOKUP($EW278,АшламаДВ_Gomumy,4,FALSE)</f>
        <v>0.17</v>
      </c>
      <c r="FA278" s="38" t="e">
        <f>IF(AND(OR(FJ278=$FD$1,FM278=$FD$1,FO278=$FD$1,FQ278=$FD$1,FS278=$FD$1),FD278=$FD$1,Исходн.данные.!J278&lt;2,FU278=$FD$1),"Бор,Кобальт",IF(AND(FO278=$FD$1,FH278=$FD$1,Исходн.данные.!J278&lt;2,FU278=$FD$1),"Бор,Кобальт",IF(AND(OR(FJ278=$FD$1,FM278=$FD$1,FQ278=$FD$1),FE278=$FD$1,Исходн.данные.!J278&lt;2,FT278=$FD$1,FU278=$FD$1),"Бор,Медь,Цинк",IF(AND(OR(FJ278=$FD$1,FR278="Да"),FI278="Да",Исходн.данные.!J278&lt;2,FT278="Да",FU278="Да"),"Бор,Цинк,Медь",IF(AND(OR(FM278="Да",FQ278="Да"),FI278="Да",Исходн.данные.!J278&lt;2,FT278="Да",FU278="Да"),"Бор,Цинк",IF(AND(FN278="Да",OR(FD278="Да",FE278="Да")),"Бор",FB278))))))</f>
        <v>#N/A</v>
      </c>
      <c r="FB278" s="134" t="e">
        <f>IF(AND(OR(FD278="Да",FE278="Да",FF278="Да",FG278="Да",FH278="Да"),FO278="Да"),"Бор",IF(AND(FP278="Да",OR(FD278="Да",FE278="Да",FI278="Да")),"Бор",IF(AND(FS278="Да",FE278="Да"),"Бор,Медь",IF(AND(OR(FJ278="Да",FK278="Да",FL278="Да"),FE278="Да",Исходн.данные.!I278&lt;5,FT278="Да",FU278="Да"),"Молибден,Цинк",IF(AND(FM278="Да",OR(FE278="Да",FF278="Да",FG278="Да",FH278="Да",FI278="Да")),"Молибден,Цинк",IF(AND(OR(FJ278="Да",FK278="Да",FL278="Да",FM278="Да",FQ278="Да"),OR(FE278="Да",FF278="Да"),FT278="Да",FU278="Да",Исходн.данные.!I278&gt;5.5),"Медь,Цинк",FC278))))))</f>
        <v>#N/A</v>
      </c>
      <c r="FC278" s="23" t="e">
        <f t="shared" si="334"/>
        <v>#N/A</v>
      </c>
      <c r="FD278" s="38" t="str">
        <f>IF(OR(Исходн.данные.!F278=$CC$1,Исходн.данные.!F278=$CC$2,Исходн.данные.!F278=$CC$3,Исходн.данные.!F278=$CC$4),"Да","Нет")</f>
        <v>Нет</v>
      </c>
      <c r="FE278" s="38" t="str">
        <f>IF(Исходн.данные.!F278=$CC$5,"Да","Нет")</f>
        <v>Нет</v>
      </c>
      <c r="FF278" s="38" t="str">
        <f>IF(OR(Исходн.данные.!F278=$CC$6,Исходн.данные.!F278=$CC$7),"Да","Нет")</f>
        <v>Нет</v>
      </c>
      <c r="FG278" s="38" t="str">
        <f>IF(OR(Исходн.данные.!F278=$CC$8,Исходн.данные.!F278=$CC$9),"Да","Нет")</f>
        <v>Нет</v>
      </c>
      <c r="FH278" s="38" t="str">
        <f>IF(Исходн.данные.!F278=$CC$10,"Да","Нет")</f>
        <v>Нет</v>
      </c>
      <c r="FI278" s="38" t="str">
        <f>IF(OR(Исходн.данные.!F278=$CC$11,Исходн.данные.!F278=$CC$12),"Да","Нет")</f>
        <v>Нет</v>
      </c>
      <c r="FJ278" s="38" t="str">
        <f>IF(OR(Исходн.данные.!AH278=$BS$1,Исходн.данные.!AH278=$BQ$11,Исходн.данные.!AH278=$BQ$12),"Да","Нет")</f>
        <v>Нет</v>
      </c>
      <c r="FK278" s="38" t="str">
        <f>IF(OR(Исходн.данные.!AH278=$BS$2,Исходн.данные.!AH278=$BS$4),"Да","Нет")</f>
        <v>Нет</v>
      </c>
      <c r="FL278" s="38" t="str">
        <f>IF(OR(Исходн.данные.!AH278=$BS$3,Исходн.данные.!AH278=$BS$5),"Да","Нет")</f>
        <v>Нет</v>
      </c>
      <c r="FM278" s="38" t="str">
        <f>IF(OR(Исходн.данные.!AH278=$BS$9,Исходн.данные.!AH278=$BS$10,Исходн.данные.!AH278=$BS$11,Исходн.данные.!AH278=$BS$12),"Да","Нет")</f>
        <v>Нет</v>
      </c>
      <c r="FN278" s="38" t="str">
        <f>IF(OR(Исходн.данные.!AH278=$BS$6,Исходн.данные.!AH278=$BP$3),"Да","Нет")</f>
        <v>Нет</v>
      </c>
      <c r="FO278" s="38" t="str">
        <f>IF(Исходн.данные.!AH278=$BQ$9,"Да","Нет")</f>
        <v>Нет</v>
      </c>
      <c r="FP278" s="38" t="str">
        <f>IF(OR(Исходн.данные.!AH278=$BS$8,Исходн.данные.!AH278=$BT$8),"Да","Нет")</f>
        <v>Нет</v>
      </c>
      <c r="FQ278" s="38" t="str">
        <f>IF(OR(Исходн.данные.!AH278=$BQ$7,Исходн.данные.!AH278=$BQ$8),"Да","Нет")</f>
        <v>Нет</v>
      </c>
      <c r="FR278" s="38" t="str">
        <f>IF(Исходн.данные.!AI278=$BU$9,"Да","Нет")</f>
        <v>Нет</v>
      </c>
      <c r="FS278" s="38" t="str">
        <f>IF(OR(Исходн.данные.!AH278=$BP$1,Исходн.данные.!AH278=$BP$2),"Да","Нет")</f>
        <v>Нет</v>
      </c>
      <c r="FT278" s="38" t="e">
        <f>IF((Исходн.данные.!K278*GO278*GS278*GW278+BL278*0.6+Исходн.данные.!Q278*4.5*0.275)&gt;90,"Да","Нет")</f>
        <v>#N/A</v>
      </c>
      <c r="FU278" s="38" t="e">
        <f>IF((Исходн.данные.!M278*GS278*GZ278+BM278*0.225)&gt;35,"Да","Нет")</f>
        <v>#N/A</v>
      </c>
      <c r="FV278" s="38" t="str">
        <f>IF(Исходн.данные.!O278&gt;175,"Да","Нет")</f>
        <v>Нет</v>
      </c>
      <c r="FW278" s="39" t="str">
        <f>IF(Исходн.данные.!I278&gt;5.5,"Да","Нет")</f>
        <v>Нет</v>
      </c>
      <c r="FX278" s="39" t="str">
        <f>IF(Исходн.данные.!J278&lt;2,"Да","Нет")</f>
        <v>Да</v>
      </c>
      <c r="FY278" s="39" t="e">
        <f>IF(HF278=$FY$16,0,Исходн.данные.!K278*GO278*GS278*GW278/HF278)</f>
        <v>#N/A</v>
      </c>
      <c r="FZ278" s="39" t="e">
        <f>Исходн.данные.!M278*GS278*GZ278/HG278</f>
        <v>#N/A</v>
      </c>
      <c r="GA278" s="39" t="e">
        <f>IF(K_Wyn=$FY$16,0,IF(Исходн.данные.!N278=Исходн.данные.!$L$10,Исходн.данные.!O278/1.1*GS278*HC278/HH278,IF(Исходн.данные.!N278=Исходн.данные.!$L$12,Исходн.данные.!O278/1.5*GS278*HC278/HH278,Исходн.данные.!O278*GS278*HC278/HH278)))</f>
        <v>#N/A</v>
      </c>
      <c r="GB278" s="39" t="e">
        <f>IF(HF278=$FY$16,0,((Исходн.данные.!Q278*N_Org+Исходн.данные.!R278*N_Sider+Исходн.данные.!S278*N_Soloma)*AO278+Расчет!BC278*VLOOKUP(Исходн.данные.!T278,Справ!$A$3:$O$57,15)*AO278+BB278*VLOOKUP(Исходн.данные.!T278,Справ!$A$3:$O$57,15)*AL278+(Исходн.данные.!V278*N_Rizotorf+Исходн.данные.!W278*N_Rizoagr))/HF278)</f>
        <v>#N/A</v>
      </c>
      <c r="GC278" s="39" t="e">
        <f>IF(HG278=$FY$16,0,((Исходн.данные.!Q278*Р_Org+Исходн.данные.!R278*P_Sider+Исходн.данные.!S278*P_Soloma)*AP278+Расчет!BC278*VLOOKUP(Исходн.данные.!T278,Справ!$A$3:$P$57,16)*AP278+BB278*VLOOKUP(Исходн.данные.!T278,Справ!$A$3:$P$57,16)*AM278)/HG278)</f>
        <v>#N/A</v>
      </c>
      <c r="GD278" s="39" t="e">
        <f>IF(HH278=$FY$16,0,((Исходн.данные.!Q278*К_Org+Исходн.данные.!R278*K_Sider+Исходн.данные.!S278*K_Soloma)*AQ278+Расчет!BC278*VLOOKUP(Исходн.данные.!T278,Справ!$A$3:$Q$57,17)*AQ278+BB278*VLOOKUP(Исходн.данные.!T278,Справ!$A$3:$Q$57,17)*AN278)/HH278)</f>
        <v>#N/A</v>
      </c>
      <c r="GE278" s="39" t="e">
        <f>IF(HF278=$FY$16,0,(Исходн.данные.!X278*AR278+Исходн.данные.!AA278*N_Org*AL278+Исходн.данные.!AB278*N_Sider*AL278+Исходн.данные.!AC278*N_Soloma*AL278)/HF278)</f>
        <v>#N/A</v>
      </c>
      <c r="GF278" s="39" t="e">
        <f>IF(HG278=$FY$16,0,(Исходн.данные.!Y278*AS278+Исходн.данные.!AA278*Р_Org*AM278+Исходн.данные.!AB278*P_Sider*AM278+Исходн.данные.!AC278*P_Soloma*AM278)/HG278)</f>
        <v>#N/A</v>
      </c>
      <c r="GG278" s="39" t="e">
        <f>IF(HH278=$FY$16,0,(Исходн.данные.!Z278*AT278+Исходн.данные.!AA278*К_Org*AN278+Исходн.данные.!AB278*K_Sider*AN278+Исходн.данные.!AC278*K_Soloma*AN278)/HH278)</f>
        <v>#N/A</v>
      </c>
      <c r="GH278" s="39" t="e">
        <f>Исходн.данные.!AD278*AU278/HF278</f>
        <v>#N/A</v>
      </c>
      <c r="GI278" s="39" t="e">
        <f>Исходн.данные.!AE278*AV278/HG278</f>
        <v>#N/A</v>
      </c>
      <c r="GJ278" s="39" t="e">
        <f>Исходн.данные.!AF278*AW278/HH278</f>
        <v>#N/A</v>
      </c>
      <c r="GK278" s="55">
        <f>Исходн.данные.!AK278</f>
        <v>0</v>
      </c>
      <c r="GL278" s="11" t="e">
        <f t="shared" si="335"/>
        <v>#N/A</v>
      </c>
      <c r="GM278" s="11" t="e">
        <f t="shared" si="336"/>
        <v>#N/A</v>
      </c>
      <c r="GN278" s="11" t="e">
        <f t="shared" si="337"/>
        <v>#N/A</v>
      </c>
      <c r="GO278" s="57">
        <f t="shared" si="338"/>
        <v>19</v>
      </c>
      <c r="GP278" s="55">
        <f>IF(OR(Исходн.данные.!F278=$CE$1,Исходн.данные.!F278=$CE$2,Исходн.данные.!F278=$CE$3,Исходн.данные.!F278=$CE$4,Исходн.данные.!F278=$CE$5),GQ278,GR278)</f>
        <v>19</v>
      </c>
      <c r="GQ278" s="55">
        <f>IF(Исходн.данные.!F278=$CE$1,28,IF(Исходн.данные.!F278=$CE$2,26,IF(Исходн.данные.!F278=$CE$3,24,IF(Исходн.данные.!F278=$CE$4,22,IF(Исходн.данные.!F278=$CE$5,20,GR278)))))</f>
        <v>19</v>
      </c>
      <c r="GR278" s="55">
        <f>IF(Исходн.данные.!F278=$CE$6,18,IF(Исходн.данные.!F278=$CE$7,16,IF(Исходн.данные.!F278=$CE$8,14,IF(Исходн.данные.!F278=$CE$9,13,IF(Исходн.данные.!F278=$CE$10,12,19)))))</f>
        <v>19</v>
      </c>
      <c r="GS278" s="55">
        <f>IF(Исходн.данные.!G278="Пес",0.035*(40+2*Исходн.данные.!H278),IF(Исходн.данные.!G278="Суп",0.0325*(40+2*Исходн.данные.!H278),0.03*(40+2*Исходн.данные.!H278)))</f>
        <v>1.2</v>
      </c>
      <c r="GT278" s="55">
        <f>IF(Исходн.данные.!H278&lt;23,2.6,IF(AND(Исходн.данные.!H278&gt;22,Исходн.данные.!H278&lt;26),3,IF(AND(Исходн.данные.!H278&gt;25,Исходн.данные.!H278&lt;29),3.4,3.6)))</f>
        <v>2.6</v>
      </c>
      <c r="GU278" s="55">
        <f>IF(Исходн.данные.!H278&lt;23,2.8,IF(AND(Исходн.данные.!H278&gt;22,Исходн.данные.!H278&lt;26),3.2,IF(AND(Исходн.данные.!H278&gt;25,Исходн.данные.!H278&lt;29),3.6,3.9)))</f>
        <v>2.8</v>
      </c>
      <c r="GV278" s="55">
        <f>IF(Исходн.данные.!H278&lt;23,3,IF(AND(Исходн.данные.!H278&gt;22,Исходн.данные.!H278&lt;26),3.5,IF(AND(Исходн.данные.!H278&gt;25,Исходн.данные.!H278&lt;29),3.9,4.2)))</f>
        <v>3</v>
      </c>
      <c r="GW278" s="55" t="e">
        <f>IF(Исходн.данные.!P278="Ум",GX278,GY278)</f>
        <v>#N/A</v>
      </c>
      <c r="GX278" s="55" t="e">
        <f>VLOOKUP(Исходн.данные.!AI278,Коэффициенты!$J$7:$L$13,2,FALSE)</f>
        <v>#N/A</v>
      </c>
      <c r="GY278" s="55" t="e">
        <f>VLOOKUP(Исходн.данные.!AI278,Коэффициенты!$J$7:$L$13,3,FALSE)</f>
        <v>#N/A</v>
      </c>
      <c r="GZ278" s="55" t="e">
        <f>(IF(Исходн.данные.!M278&lt;50,0.11*VLOOKUP(Исходн.данные.!AH278,Культуры.Информация,7,FALSE),IF(Исходн.данные.!M278&gt;250,0.05*VLOOKUP(Исходн.данные.!AH278,Культуры.Информация,7,FALSE),VLOOKUP(Исходн.данные.!AH278,Культуры.Информация,5,FALSE)/100*($GX$6+$GY$6*Исходн.данные.!M278))))*Расчет2!AI278</f>
        <v>#N/A</v>
      </c>
      <c r="HA278" s="211"/>
      <c r="HB278" s="211"/>
      <c r="HC278" s="55" t="e">
        <f>(IF(Исходн.данные.!O278&lt;80,0.2*VLOOKUP(Исходн.данные.!AH278,Культуры.Информация,8,FALSE),IF(Исходн.данные.!O278&gt;240,0.09*VLOOKUP(Исходн.данные.!AH278,Культуры.Информация,8,FALSE),VLOOKUP(Исходн.данные.!AH278,Культуры.Информация,6,FALSE)/100*($HB$6+$HC$6*Исходн.данные.!O278))))*Расчет2!AJ278</f>
        <v>#N/A</v>
      </c>
      <c r="HD278" s="55">
        <f>IF(Исходн.данные.!O278&gt;240,0.09,IF(Исходн.данные.!O278&lt;30,0.3,$HE$10+$HD$10*Исходн.данные.!O278))</f>
        <v>0.3</v>
      </c>
      <c r="HE278" s="55">
        <f>IF(Исходн.данные.!O278&gt;240,0.17,IF(Исходн.данные.!O278&lt;30,0.5,$HF$12+$HE$12*Исходн.данные.!O278))</f>
        <v>0.5</v>
      </c>
      <c r="HF278" s="55" t="e">
        <f>VLOOKUP(Исходн.данные.!AH278,Справ!$A$3:$D$58,2,FALSE)</f>
        <v>#N/A</v>
      </c>
      <c r="HG278" s="55" t="e">
        <f>VLOOKUP(Исходн.данные.!AH278,Справ!$A$3:$D$58,3,FALSE)</f>
        <v>#N/A</v>
      </c>
      <c r="HH278" s="55" t="e">
        <f>VLOOKUP(Исходн.данные.!AH278,Справ!$A$3:$D$58,4,FALSE)</f>
        <v>#N/A</v>
      </c>
      <c r="HI278" s="11" t="e">
        <f t="shared" si="339"/>
        <v>#N/A</v>
      </c>
      <c r="HJ278" s="11" t="e">
        <f t="shared" si="340"/>
        <v>#N/A</v>
      </c>
      <c r="HK278" s="11" t="e">
        <f t="shared" si="341"/>
        <v>#N/A</v>
      </c>
      <c r="HL278" s="55">
        <f>IF(OR(Исходн.данные.!G278="Глин",Исходн.данные.!G278="Т_суг"),1.1,IF(Исходн.данные.!G278="Ср_суг",1,1))</f>
        <v>1</v>
      </c>
      <c r="HM278" s="55">
        <f>IF(OR(Исходн.данные.!G278="Глин",Исходн.данные.!G278="Т_суг"),0.9,IF(Исходн.данные.!G278="Ср_суг",1,1.2))</f>
        <v>1.2</v>
      </c>
      <c r="HN278" s="11" t="e">
        <f t="shared" si="342"/>
        <v>#N/A</v>
      </c>
      <c r="HO278" s="11" t="e">
        <f t="shared" si="343"/>
        <v>#N/A</v>
      </c>
      <c r="HP278" s="11" t="e">
        <f t="shared" si="344"/>
        <v>#N/A</v>
      </c>
      <c r="HQ278" t="e">
        <f t="shared" si="345"/>
        <v>#N/A</v>
      </c>
      <c r="HR278" t="e">
        <f t="shared" si="346"/>
        <v>#N/A</v>
      </c>
      <c r="HS278" t="e">
        <f t="shared" si="347"/>
        <v>#N/A</v>
      </c>
      <c r="HT278" t="e">
        <f t="shared" ref="HT278:HT341" si="367">GK278-HN278</f>
        <v>#N/A</v>
      </c>
      <c r="HU278" t="e">
        <f t="shared" ref="HU278:HU341" si="368">GK278-HO278</f>
        <v>#N/A</v>
      </c>
      <c r="HV278" t="e">
        <f t="shared" ref="HV278:HV341" si="369">GK278-HP278</f>
        <v>#N/A</v>
      </c>
      <c r="HW278" t="e">
        <f t="shared" ref="HW278:HW341" si="370">IF(GK278=0,HI278,HT278)</f>
        <v>#N/A</v>
      </c>
      <c r="HX278" t="e">
        <f t="shared" ref="HX278:HX341" si="371">IF(GK278=0,HJ278,HU278)</f>
        <v>#N/A</v>
      </c>
      <c r="HY278" t="e">
        <f t="shared" ref="HY278:HY341" si="372">IF(GK278=0,HK278,HV278)</f>
        <v>#N/A</v>
      </c>
      <c r="HZ278" s="55">
        <f>IF(OR(Исходн.данные.!AI278="Оз_Ч_П",Исходн.данные.!AI278="Оз_З_П",Исходн.данные.!AI278="Яр_зер"),12,30)</f>
        <v>30</v>
      </c>
      <c r="IA278" t="e">
        <f t="shared" si="348"/>
        <v>#N/A</v>
      </c>
      <c r="IB278" t="e">
        <f t="shared" si="349"/>
        <v>#N/A</v>
      </c>
      <c r="IC278" t="e">
        <f t="shared" si="350"/>
        <v>#N/A</v>
      </c>
      <c r="ID278" s="11" t="e">
        <f t="shared" si="351"/>
        <v>#N/A</v>
      </c>
      <c r="IE278" s="11" t="e">
        <f t="shared" si="352"/>
        <v>#N/A</v>
      </c>
      <c r="IF278" s="11" t="e">
        <f t="shared" si="353"/>
        <v>#N/A</v>
      </c>
    </row>
    <row r="279" spans="35:240" x14ac:dyDescent="0.2">
      <c r="AI279">
        <f>IF(Исходн.данные.!I279&gt;6,1,1.85-(0.148*Исходн.данные.!I279))</f>
        <v>1.85</v>
      </c>
      <c r="AJ279">
        <f>IF(Исходн.данные.!I279&gt;6,1,2.434-(0.246*Исходн.данные.!I279))</f>
        <v>2.4340000000000002</v>
      </c>
      <c r="AL279" s="148" t="b">
        <f>IF(Исходн.данные.!$P279="Ум",N_OrgUd_2g_um,IF(Исходн.данные.!$P279="Об",N_OrgUd_2g_ob))</f>
        <v>0</v>
      </c>
      <c r="AM279" s="148" t="b">
        <f>IF(Исходн.данные.!$P279="Ум",P_OrgUd_2g_um,IF(Исходн.данные.!$P279="Об",P_OrgUd_2g_ob))</f>
        <v>0</v>
      </c>
      <c r="AN279" s="148" t="b">
        <f>IF(Исходн.данные.!$P279="Ум",K_OrgUd_2g_um,IF(Исходн.данные.!$P279="Об",K_OrgUd_2g_ob))</f>
        <v>0</v>
      </c>
      <c r="AO279" s="148" t="b">
        <f>IF(Исходн.данные.!$P279="Ум",N_OrgUd_1g_um,IF(Исходн.данные.!$P279="Об",N_OrgUd_1g_ob))</f>
        <v>0</v>
      </c>
      <c r="AP279" s="148" t="b">
        <f>IF(Исходн.данные.!$P279="Ум",P_OrgUd_1g_um,IF(Исходн.данные.!$P279="Об",P_OrgUd_1g_ob))</f>
        <v>0</v>
      </c>
      <c r="AQ279" s="148" t="b">
        <f>IF(Исходн.данные.!$P279="Ум",K_OrgUd_1g_um,IF(Исходн.данные.!$P279="Об",K_OrgUd_1g_ob))</f>
        <v>0</v>
      </c>
      <c r="AR279" t="b">
        <f>IF(Исходн.данные.!$P279="Ум",N_MinUd_2g_um,IF(Исходн.данные.!$P279="Об",N_MinUd_2g_ob))</f>
        <v>0</v>
      </c>
      <c r="AS279" t="b">
        <f>IF(Исходн.данные.!$P279="Ум",P_MinUd_2g_um,IF(Исходн.данные.!$P279="Об",P_MinUd_2g_ob))</f>
        <v>0</v>
      </c>
      <c r="AT279" t="b">
        <f>IF(Исходн.данные.!$P279="Ум",K_MinUd_2g_um,IF(Исходн.данные.!$P279="Об",K_MinUd_2g_ob))</f>
        <v>0</v>
      </c>
      <c r="AU279" t="b">
        <f>IF(Исходн.данные.!$P279="Ум",N_MinUd_1g_um,IF(Исходн.данные.!$P279="Об",N_MinUd_1g_ob))</f>
        <v>0</v>
      </c>
      <c r="AV279" t="b">
        <f>IF(Исходн.данные.!P279="Ум",P_MinUd_1g_um,IF(Исходн.данные.!P279="Об",P_MinUd_1g_ob))</f>
        <v>0</v>
      </c>
      <c r="AW279" t="b">
        <f>IF(Исходн.данные.!P279="Ум",K_MinUd_1g_um,IF(Исходн.данные.!P279="Об",K_MinUd_1g_ob))</f>
        <v>0</v>
      </c>
      <c r="AY279" t="e">
        <f>VLOOKUP(Исходн.данные.!T279,Справ!$A$3:$N$57,12)</f>
        <v>#N/A</v>
      </c>
      <c r="AZ279" t="e">
        <f>VLOOKUP(Исходн.данные.!T279,Справ!$A$3:$N$57,13)</f>
        <v>#N/A</v>
      </c>
      <c r="BA279" t="e">
        <f>VLOOKUP(Исходн.данные.!T279,Справ!$A$3:$N$57,14)</f>
        <v>#N/A</v>
      </c>
      <c r="BB279">
        <f>IF(Исходн.данные.!AH279=0,0,25)</f>
        <v>0</v>
      </c>
      <c r="BC279" s="141">
        <f>IF(Исходн.данные.!AH279=0,0,IF(Исходн.данные.!T279=0,25,BD279))</f>
        <v>0</v>
      </c>
      <c r="BD279" s="168" t="e">
        <f>AY279+AZ279*Исходн.данные.!U279-POWER(BA279,2)*Исходн.данные.!U279</f>
        <v>#N/A</v>
      </c>
      <c r="BE27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79" s="25">
        <f>IF(Исходн.данные.!AH279=0,0,MIN(HN279:HP279))</f>
        <v>0</v>
      </c>
      <c r="BG279" s="9">
        <f>IF(Исходн.данные.!AH279=0,0,IF((HO279+10*0.25/HG279/HL279)&lt;17,17,HO279+10*0.25/HG279/HL279))</f>
        <v>0</v>
      </c>
      <c r="BH279" s="181">
        <f>IF(Исходн.данные.!AH279=0,0,HW279*HF279*HL279/AU279*AI279+Исходн.данные.!S279*10)</f>
        <v>0</v>
      </c>
      <c r="BI279" s="10"/>
      <c r="BJ279" s="182">
        <f>IF(Исходн.данные.!AH279=0,0,IF(HX279*HG279*HL279/AV279&lt;0,0,HX279*HG279*HL279/AV279*AJ279))</f>
        <v>0</v>
      </c>
      <c r="BK279" s="182">
        <f>IF(Исходн.данные.!AH279=0,0,HY279*HH279*HM279/AW279)</f>
        <v>0</v>
      </c>
      <c r="BL279" s="10">
        <f>IF(OR(Исходн.данные.!$AH279=$BP$1,Исходн.данные.!$AH279=$BP$2),0,IF(BH279&lt;0,0,IF(OR(Исходн.данные.!T279=Расчет!$BP$1,Исходн.данные.!T279=Расчет!$BP$2,Исходн.данные.!T279=Расчет!$BT$5,Исходн.данные.!T279=Расчет!$BT$6),BH279*0.5,IF(OR(Исходн.данные.!T279=Расчет!$BS$9,Исходн.данные.!T279=Расчет!$BS$10,Исходн.данные.!T279=Расчет!$BS$11,Исходн.данные.!T279=Расчет!$BS$12,Исходн.данные.!T279=Расчет!$BP$5),BH279*0.8,BH279))))</f>
        <v>0</v>
      </c>
      <c r="BM279" s="10">
        <f>IF(OR(Исходн.данные.!$AH279=$BP$1,Исходн.данные.!$AH279=$BP$2),0,IF(BJ279&lt;0,0,IF(Исходн.данные.!I279&lt;4.5,BJ279*1.2,IF(Исходн.данные.!I279&gt;5.1,BJ279,BJ279*((5.1-Исходн.данные.!I279)*0.333+1)))))</f>
        <v>0</v>
      </c>
      <c r="BN279" s="10">
        <f>IF(OR(Исходн.данные.!$AH279=$BP$1,Исходн.данные.!$AH279=$BP$2),60-Исходн.данные.!AF279,IF(BK279&lt;0,0,IF(Исходн.данные.!I279&lt;4.5,BK279*1.2,IF(Исходн.данные.!I279&gt;5.1,BK279,BK279*((5.1-Исходн.данные.!I279)*0.333+1)))))</f>
        <v>0</v>
      </c>
      <c r="BO279" s="9">
        <f>IF(BL279&lt;0,0,BL279*Исходн.данные.!$AJ279/1000)</f>
        <v>0</v>
      </c>
      <c r="BP279" s="9">
        <f>IF(BM279&lt;0,0,BM279*Исходн.данные.!$AJ279/1000)</f>
        <v>0</v>
      </c>
      <c r="BQ279" s="9">
        <f>IF(BN279&lt;0,0,BN279*Исходн.данные.!$AJ279/1000)</f>
        <v>0</v>
      </c>
      <c r="BR279" s="9">
        <f t="shared" si="303"/>
        <v>0</v>
      </c>
      <c r="BS279" s="10" t="str">
        <f t="shared" si="304"/>
        <v>Аммофос 12:52:00</v>
      </c>
      <c r="BT279" s="10" t="str">
        <f t="shared" si="305"/>
        <v>Аммофос 12:52:00</v>
      </c>
      <c r="BU279" s="10" t="str">
        <f t="shared" si="306"/>
        <v>Диаммофоска</v>
      </c>
      <c r="BV279" s="10">
        <f t="shared" si="307"/>
        <v>0</v>
      </c>
      <c r="BW279" s="10"/>
      <c r="BX279" s="10"/>
      <c r="BY279" s="9">
        <f>IF(BL279&lt;0,0,IF(OR(Исходн.данные.!AI279=Расчет!$BU$6,Исходн.данные.!AI279=Расчет!$BU$7),Расчет!BV279,IF(Исходн.данные.!$AG279=$BV$11,BL279,IF(OR(Исходн.данные.!$AH279=$BQ$7,Исходн.данные.!$AH279=$BQ$8),CB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0,IF(Исходн.данные.!$AI279=$BU$11,"Нет",IF(BL279&gt;30,30,BL279)))))))</f>
        <v>0</v>
      </c>
      <c r="BZ279" s="9">
        <f>IF(AND(Исходн.данные.!$AG279=$BV$11,BM279&lt;10),10,IF(Исходн.данные.!$AG279=$BV$11,BM279,IF(OR(Исходн.данные.!$AH279=$BQ$7,Исходн.данные.!$AH279=$BQ$8),CC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10,IF(Исходн.данные.!$AI279=$BU$11,"Нет",IF(BM279&gt;60,60,IF(BM279&lt;10,10,BM279)))))))</f>
        <v>10</v>
      </c>
      <c r="CA279" s="39">
        <f>IF(BN279&lt;0,0,IF(Исходн.данные.!$AG279=$BV$11,BN279,IF(OR(Исходн.данные.!$AH279=$BQ$7,Исходн.данные.!$AH279=$BQ$8),CD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0,IF(Исходн.данные.!$AI279=$BU$11,"Нет",IF(BN279&gt;30,30,BN279))))))</f>
        <v>0</v>
      </c>
      <c r="CB279" s="9">
        <f t="shared" si="308"/>
        <v>0</v>
      </c>
      <c r="CC279" s="9">
        <f t="shared" si="309"/>
        <v>0</v>
      </c>
      <c r="CD279" s="9">
        <f t="shared" si="310"/>
        <v>0</v>
      </c>
      <c r="CE279" s="12">
        <f t="shared" si="311"/>
        <v>10</v>
      </c>
      <c r="CF279" s="9">
        <f t="shared" si="312"/>
        <v>0</v>
      </c>
      <c r="CG279" s="9" t="s">
        <v>231</v>
      </c>
      <c r="CH279" s="132" t="str">
        <f>IF(Исходн.данные.!AP279=Расчет!$CI$16,"Нет",IF(Исходн.данные.!AL279&gt;0,Исходн.данные.!AL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BH$4,IF(OR(Исходн.данные.!AI279=Исходн.данные.!$AI$6,Исходн.данные.!AI279=Исходн.данные.!$AI$7),Расчет!BS279,IF(AND($CF279=0,$CE279&gt;0),EV279,ER279)))))</f>
        <v>Аммофос 12:52:00</v>
      </c>
      <c r="CI279" s="274">
        <f>IF(Расчет!$CH279="Нет","Нет",IF(Исходн.данные.!$AL279&gt;0,VLOOKUP(Расчет!$CH279,АшламаДВ_Irekle,2,FALSE),VLOOKUP(Расчет!$CH279,АшламаДВ_Gomumy,2,FALSE)))</f>
        <v>0.12</v>
      </c>
      <c r="CJ279" s="274">
        <f>IF(Расчет!$CH279="Нет","Нет",IF(Исходн.данные.!$AL279&gt;0,VLOOKUP(Расчет!$CH279,АшламаДВ_Irekle,3,FALSE),VLOOKUP(Расчет!$CH279,АшламаДВ_Gomumy,3,FALSE)))</f>
        <v>0.52</v>
      </c>
      <c r="CK279" s="274">
        <f>IF(Расчет!$CH279="Нет","Нет",IF(Исходн.данные.!$AL279&gt;0,VLOOKUP(Расчет!$CH279,АшламаДВ_Irekle,4,FALSE),VLOOKUP(Расчет!$CH279,АшламаДВ_Gomumy,4,FALSE)))</f>
        <v>0</v>
      </c>
      <c r="CL279" s="70"/>
      <c r="CM279" s="70"/>
      <c r="CN279" s="70"/>
      <c r="CO279" s="70"/>
      <c r="CP279" s="70"/>
      <c r="CQ279" s="70"/>
      <c r="CR279" s="10">
        <f t="shared" si="313"/>
        <v>0</v>
      </c>
      <c r="CS279" s="10">
        <f t="shared" si="314"/>
        <v>19.23076923076923</v>
      </c>
      <c r="CT279" s="10">
        <f t="shared" si="315"/>
        <v>0</v>
      </c>
      <c r="CU279" s="39">
        <f>IF($CH279="Нет",0,IF(CI279=0,30/MIN(CJ279:CK279),IF(Исходн.данные.!$AG279=$BV$11,CR279,IF(OR(Исходн.данные.!$AH279=$BQ$7,Исходн.данные.!$AH279=$BQ$8),90/CI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0,IF(Исходн.данные.!$AI279=$BU$11,"Нет",30/CI279))))))</f>
        <v>250</v>
      </c>
      <c r="CV279" s="39">
        <f>IF($CH279="Нет",0,IF(Исходн.данные.!AH279=0,0,IF(CJ279=0,60/MIN(CI279,CK279),IF(Исходн.данные.!$AG279=$BV$11,CS279,IF(OR(Исходн.данные.!$AH279=$BQ$7,Исходн.данные.!$AH279=$BQ$8),90/CJ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10/CJ279,IF(Исходн.данные.!$AI279=$BU$11,"Нет",60/CJ279)))))))</f>
        <v>0</v>
      </c>
      <c r="CW279" s="39">
        <f>IF($CH279="Нет",0,IF(Исходн.данные.!AH279=0,0,IF(CK279=0,30/MIN(CI279:CJ279),IF(Исходн.данные.!$AG279=$BV$11,CT279,IF(OR(Исходн.данные.!$AH279=$BQ$7,Исходн.данные.!$AH279=$BQ$8),90/CK279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0,IF(Исходн.данные.!$AI279=$BU$11,"Нет",30/CK279)))))))</f>
        <v>0</v>
      </c>
      <c r="CX279" s="133">
        <f>IF(Исходн.данные.!$AG279=$BV$11,MAX(CU279:CW279),IF(OR(Исходн.данные.!$AH279=$BS$8,Исходн.данные.!$AH279=$BQ$9,Исходн.данные.!$AH279=$BQ$10,Исходн.данные.!$AH279=$BQ$11,Исходн.данные.!$AH279=$BQ$12,Исходн.данные.!$AH279=$BP$3,Исходн.данные.!$AH279=$BT$8,$FM279="Да"),CV279,MIN(CU279:CW279)))</f>
        <v>0</v>
      </c>
      <c r="CY279" s="133">
        <f>IF(Исходн.данные.!AH279=0,0,IF(CR279&gt;$CX279,$CX279,CR279))</f>
        <v>0</v>
      </c>
      <c r="CZ279" s="133">
        <f>IF(Исходн.данные.!AH279=0,0,IF(CS279&gt;$CX279,$CX279,CS279))</f>
        <v>0</v>
      </c>
      <c r="DA279" s="133">
        <f>IF(Исходн.данные.!AH279=0,0,IF(CT279&gt;$CX279,$CX279,CT279))</f>
        <v>0</v>
      </c>
      <c r="DB279" s="10">
        <f t="shared" si="316"/>
        <v>0</v>
      </c>
      <c r="DC279" s="39">
        <f>DB279*Исходн.данные.!AJ279/1000</f>
        <v>0</v>
      </c>
      <c r="DD279" s="71">
        <f t="shared" si="317"/>
        <v>0</v>
      </c>
      <c r="DE279" s="9">
        <f t="shared" si="318"/>
        <v>0</v>
      </c>
      <c r="DF279" s="9">
        <f t="shared" si="319"/>
        <v>0</v>
      </c>
      <c r="DG279" s="39">
        <f>IF(BL279&lt;0,0,IF($CH279="Нет",BL279,IF(OR(Исходн.данные.!$AH279=$BP$1,Исходн.данные.!$AH279=$BP$2),0,IF(Исходн.данные.!AI279=$BU$11,BL279,IF(BL279-DD279&lt;0,0,BL279-DD279)))))</f>
        <v>0</v>
      </c>
      <c r="DH279" s="39">
        <f>IF(BM279&lt;0,0,IF($CH279="Нет",BM279,IF(OR(Исходн.данные.!$AH279=$BP$1,Исходн.данные.!$AH279=$BP$2),0,IF(Исходн.данные.!AJ279=$BU$11,BM279,IF(BM279-DE279&lt;0,0,BM279-DE279)))))</f>
        <v>0</v>
      </c>
      <c r="DI279" s="39">
        <f>IF(BN279&lt;0,0,IF($CH279="Нет",BN279,IF(OR(Исходн.данные.!$AH279=$BP$1,Исходн.данные.!$AH279=$BP$2),0,IF(Исходн.данные.!AK279=$BU$11,BN279,IF(BN279-DF279&lt;0,0,BN279-DF279)))))</f>
        <v>0</v>
      </c>
      <c r="DJ279" s="12">
        <f t="shared" si="320"/>
        <v>0</v>
      </c>
      <c r="DK279" s="9">
        <f t="shared" si="321"/>
        <v>0</v>
      </c>
      <c r="DL279" s="39">
        <f>IF(Исходн.данные.!AM279&gt;0,Исходн.данные.!AM279,IF(EG279&gt;0,$BH$10,0))</f>
        <v>0</v>
      </c>
      <c r="DM279" s="186">
        <f>IF($DL279=0,0,IF(Исходн.данные.!AM279&gt;0,VLOOKUP($DL279,АшламаДВ_Irekle,2,FALSE),VLOOKUP($DL279,АшламаДВ_Gomumy,2,FALSE)))</f>
        <v>0</v>
      </c>
      <c r="DN279" s="10">
        <f t="shared" ref="DN279:DN342" si="373">IF(DL279=0,0,EG279/DM279)</f>
        <v>0</v>
      </c>
      <c r="DO279" s="9" t="str">
        <f>IF(Исходн.данные.!AN279&gt;0,Исходн.данные.!AN279,Удобрения!$B$37 )</f>
        <v>Хлор.калий</v>
      </c>
      <c r="DP279" s="9">
        <f>IF(Исходн.данные.!AN279&gt;0,VLOOKUP(Исходн.данные.!AN279,АшламаДВ_Irekle,4,FALSE),VLOOKUP(DO279,АшламаДВ_Gomumy,4,FALSE))</f>
        <v>0.6</v>
      </c>
      <c r="DQ279" s="10">
        <f t="shared" ref="DQ279:DQ342" si="374">IF(OR(EH279=0,EH279&lt;0),0,EH279/DP279)</f>
        <v>0</v>
      </c>
      <c r="DR279" s="132" t="str">
        <f>IF(Исходн.данные.!AO279&gt;0,Исходн.данные.!AO279,IF(DH279=0,BS$17,IF(AND($DK279=0,$DJ279&gt;0),EJ279,EN279)))</f>
        <v>Нет</v>
      </c>
      <c r="DS279" s="70" t="str">
        <f>IF($DR279="Нет","Нет",IF(Исходн.данные.!$AO279&gt;0,VLOOKUP($DR279,АшламаДВ_Irekle,2,FALSE),VLOOKUP($DR279,АшламаДВ_Gomumy,2,FALSE)))</f>
        <v>Нет</v>
      </c>
      <c r="DT279" s="70" t="str">
        <f>IF($DR279="Нет","Нет",IF(Исходн.данные.!$AO279&gt;0,VLOOKUP($DR279,АшламаДВ_Irekle,3,FALSE),VLOOKUP($DR279,АшламаДВ_Gomumy,3,FALSE)))</f>
        <v>Нет</v>
      </c>
      <c r="DU279" s="70" t="str">
        <f>IF($DR279="Нет","Нет",IF(Исходн.данные.!$AO279&gt;0,VLOOKUP($DR279,АшламаДВ_Irekle,4,FALSE),VLOOKUP($DR279,АшламаДВ_Gomumy,4,FALSE)))</f>
        <v>Нет</v>
      </c>
      <c r="DV279" s="70"/>
      <c r="DW279" s="70"/>
      <c r="DX279" s="70"/>
      <c r="DY279" s="10">
        <f t="shared" si="322"/>
        <v>0</v>
      </c>
      <c r="DZ279" s="10">
        <f t="shared" si="323"/>
        <v>0</v>
      </c>
      <c r="EA279" s="10">
        <f t="shared" si="324"/>
        <v>0</v>
      </c>
      <c r="EB279" s="10">
        <f t="shared" si="325"/>
        <v>0</v>
      </c>
      <c r="EC279" s="10">
        <f t="shared" si="326"/>
        <v>0</v>
      </c>
      <c r="ED279" s="10">
        <f t="shared" si="327"/>
        <v>0</v>
      </c>
      <c r="EE279" s="10">
        <f t="shared" si="328"/>
        <v>0</v>
      </c>
      <c r="EF279" s="39">
        <f>EB279*Исходн.данные.!AJ279/1000</f>
        <v>0</v>
      </c>
      <c r="EG279" s="9">
        <f t="shared" si="329"/>
        <v>0</v>
      </c>
      <c r="EH279" s="9">
        <f t="shared" si="330"/>
        <v>0</v>
      </c>
      <c r="EI279" s="39" t="e">
        <f t="shared" si="354"/>
        <v>#DIV/0!</v>
      </c>
      <c r="EJ279" s="9" t="str">
        <f t="shared" ref="EJ279:EJ342" si="375">IF($DJ279&gt;2.6,BH$4,IF($DJ279&gt;0.9,BH$3,IF($DJ279&gt;0.5,BH$2,BH$1)))</f>
        <v>Азопреципитат</v>
      </c>
      <c r="EK279" s="12">
        <f t="shared" si="355"/>
        <v>0.26</v>
      </c>
      <c r="EL279" s="12">
        <f t="shared" si="356"/>
        <v>0.13</v>
      </c>
      <c r="EM279" s="12">
        <f t="shared" si="357"/>
        <v>0</v>
      </c>
      <c r="EN279" s="12" t="str">
        <f t="shared" ref="EN279:EN342" si="376">IF(DH279=0,"Нет",IF($DK279&gt;1.4,BS$14,IF($DJ279&gt;2.2,BH$9,IF($DJ279&gt;1.5,BH$8,IF($DJ279&gt;1,BH$7,IF($DJ279&gt;0.5,BH$6,BH$5))))))</f>
        <v>Нет</v>
      </c>
      <c r="EO279" s="12">
        <f t="shared" si="358"/>
        <v>0</v>
      </c>
      <c r="EP279" s="12">
        <f t="shared" si="359"/>
        <v>0</v>
      </c>
      <c r="EQ279" s="12">
        <f t="shared" si="360"/>
        <v>0</v>
      </c>
      <c r="ER279" s="12" t="str">
        <f t="shared" si="331"/>
        <v>Диаммофоска</v>
      </c>
      <c r="ES279" s="12">
        <f t="shared" si="361"/>
        <v>0.1</v>
      </c>
      <c r="ET279" s="12">
        <f t="shared" si="362"/>
        <v>0.26</v>
      </c>
      <c r="EU279" s="12">
        <f t="shared" si="363"/>
        <v>0.26</v>
      </c>
      <c r="EV279" s="12" t="str">
        <f t="shared" si="332"/>
        <v>Аммофос 12:52:00</v>
      </c>
      <c r="EW279" s="12" t="str">
        <f t="shared" si="333"/>
        <v>Кемира Свекловичное-6</v>
      </c>
      <c r="EX279" s="12">
        <f t="shared" si="364"/>
        <v>0.16</v>
      </c>
      <c r="EY279" s="12">
        <f t="shared" si="365"/>
        <v>0.12</v>
      </c>
      <c r="EZ279" s="12">
        <f t="shared" si="366"/>
        <v>0.17</v>
      </c>
      <c r="FA279" s="38" t="e">
        <f>IF(AND(OR(FJ279=$FD$1,FM279=$FD$1,FO279=$FD$1,FQ279=$FD$1,FS279=$FD$1),FD279=$FD$1,Исходн.данные.!J279&lt;2,FU279=$FD$1),"Бор,Кобальт",IF(AND(FO279=$FD$1,FH279=$FD$1,Исходн.данные.!J279&lt;2,FU279=$FD$1),"Бор,Кобальт",IF(AND(OR(FJ279=$FD$1,FM279=$FD$1,FQ279=$FD$1),FE279=$FD$1,Исходн.данные.!J279&lt;2,FT279=$FD$1,FU279=$FD$1),"Бор,Медь,Цинк",IF(AND(OR(FJ279=$FD$1,FR279="Да"),FI279="Да",Исходн.данные.!J279&lt;2,FT279="Да",FU279="Да"),"Бор,Цинк,Медь",IF(AND(OR(FM279="Да",FQ279="Да"),FI279="Да",Исходн.данные.!J279&lt;2,FT279="Да",FU279="Да"),"Бор,Цинк",IF(AND(FN279="Да",OR(FD279="Да",FE279="Да")),"Бор",FB279))))))</f>
        <v>#N/A</v>
      </c>
      <c r="FB279" s="134" t="e">
        <f>IF(AND(OR(FD279="Да",FE279="Да",FF279="Да",FG279="Да",FH279="Да"),FO279="Да"),"Бор",IF(AND(FP279="Да",OR(FD279="Да",FE279="Да",FI279="Да")),"Бор",IF(AND(FS279="Да",FE279="Да"),"Бор,Медь",IF(AND(OR(FJ279="Да",FK279="Да",FL279="Да"),FE279="Да",Исходн.данные.!I279&lt;5,FT279="Да",FU279="Да"),"Молибден,Цинк",IF(AND(FM279="Да",OR(FE279="Да",FF279="Да",FG279="Да",FH279="Да",FI279="Да")),"Молибден,Цинк",IF(AND(OR(FJ279="Да",FK279="Да",FL279="Да",FM279="Да",FQ279="Да"),OR(FE279="Да",FF279="Да"),FT279="Да",FU279="Да",Исходн.данные.!I279&gt;5.5),"Медь,Цинк",FC279))))))</f>
        <v>#N/A</v>
      </c>
      <c r="FC279" s="23" t="e">
        <f t="shared" si="334"/>
        <v>#N/A</v>
      </c>
      <c r="FD279" s="38" t="str">
        <f>IF(OR(Исходн.данные.!F279=$CC$1,Исходн.данные.!F279=$CC$2,Исходн.данные.!F279=$CC$3,Исходн.данные.!F279=$CC$4),"Да","Нет")</f>
        <v>Нет</v>
      </c>
      <c r="FE279" s="38" t="str">
        <f>IF(Исходн.данные.!F279=$CC$5,"Да","Нет")</f>
        <v>Нет</v>
      </c>
      <c r="FF279" s="38" t="str">
        <f>IF(OR(Исходн.данные.!F279=$CC$6,Исходн.данные.!F279=$CC$7),"Да","Нет")</f>
        <v>Нет</v>
      </c>
      <c r="FG279" s="38" t="str">
        <f>IF(OR(Исходн.данные.!F279=$CC$8,Исходн.данные.!F279=$CC$9),"Да","Нет")</f>
        <v>Нет</v>
      </c>
      <c r="FH279" s="38" t="str">
        <f>IF(Исходн.данные.!F279=$CC$10,"Да","Нет")</f>
        <v>Нет</v>
      </c>
      <c r="FI279" s="38" t="str">
        <f>IF(OR(Исходн.данные.!F279=$CC$11,Исходн.данные.!F279=$CC$12),"Да","Нет")</f>
        <v>Нет</v>
      </c>
      <c r="FJ279" s="38" t="str">
        <f>IF(OR(Исходн.данные.!AH279=$BS$1,Исходн.данные.!AH279=$BQ$11,Исходн.данные.!AH279=$BQ$12),"Да","Нет")</f>
        <v>Нет</v>
      </c>
      <c r="FK279" s="38" t="str">
        <f>IF(OR(Исходн.данные.!AH279=$BS$2,Исходн.данные.!AH279=$BS$4),"Да","Нет")</f>
        <v>Нет</v>
      </c>
      <c r="FL279" s="38" t="str">
        <f>IF(OR(Исходн.данные.!AH279=$BS$3,Исходн.данные.!AH279=$BS$5),"Да","Нет")</f>
        <v>Нет</v>
      </c>
      <c r="FM279" s="38" t="str">
        <f>IF(OR(Исходн.данные.!AH279=$BS$9,Исходн.данные.!AH279=$BS$10,Исходн.данные.!AH279=$BS$11,Исходн.данные.!AH279=$BS$12),"Да","Нет")</f>
        <v>Нет</v>
      </c>
      <c r="FN279" s="38" t="str">
        <f>IF(OR(Исходн.данные.!AH279=$BS$6,Исходн.данные.!AH279=$BP$3),"Да","Нет")</f>
        <v>Нет</v>
      </c>
      <c r="FO279" s="38" t="str">
        <f>IF(Исходн.данные.!AH279=$BQ$9,"Да","Нет")</f>
        <v>Нет</v>
      </c>
      <c r="FP279" s="38" t="str">
        <f>IF(OR(Исходн.данные.!AH279=$BS$8,Исходн.данные.!AH279=$BT$8),"Да","Нет")</f>
        <v>Нет</v>
      </c>
      <c r="FQ279" s="38" t="str">
        <f>IF(OR(Исходн.данные.!AH279=$BQ$7,Исходн.данные.!AH279=$BQ$8),"Да","Нет")</f>
        <v>Нет</v>
      </c>
      <c r="FR279" s="38" t="str">
        <f>IF(Исходн.данные.!AI279=$BU$9,"Да","Нет")</f>
        <v>Нет</v>
      </c>
      <c r="FS279" s="38" t="str">
        <f>IF(OR(Исходн.данные.!AH279=$BP$1,Исходн.данные.!AH279=$BP$2),"Да","Нет")</f>
        <v>Нет</v>
      </c>
      <c r="FT279" s="38" t="e">
        <f>IF((Исходн.данные.!K279*GO279*GS279*GW279+BL279*0.6+Исходн.данные.!Q279*4.5*0.275)&gt;90,"Да","Нет")</f>
        <v>#N/A</v>
      </c>
      <c r="FU279" s="38" t="e">
        <f>IF((Исходн.данные.!M279*GS279*GZ279+BM279*0.225)&gt;35,"Да","Нет")</f>
        <v>#N/A</v>
      </c>
      <c r="FV279" s="38" t="str">
        <f>IF(Исходн.данные.!O279&gt;175,"Да","Нет")</f>
        <v>Нет</v>
      </c>
      <c r="FW279" s="39" t="str">
        <f>IF(Исходн.данные.!I279&gt;5.5,"Да","Нет")</f>
        <v>Нет</v>
      </c>
      <c r="FX279" s="39" t="str">
        <f>IF(Исходн.данные.!J279&lt;2,"Да","Нет")</f>
        <v>Да</v>
      </c>
      <c r="FY279" s="39" t="e">
        <f>IF(HF279=$FY$16,0,Исходн.данные.!K279*GO279*GS279*GW279/HF279)</f>
        <v>#N/A</v>
      </c>
      <c r="FZ279" s="39" t="e">
        <f>Исходн.данные.!M279*GS279*GZ279/HG279</f>
        <v>#N/A</v>
      </c>
      <c r="GA279" s="39" t="e">
        <f>IF(K_Wyn=$FY$16,0,IF(Исходн.данные.!N279=Исходн.данные.!$L$10,Исходн.данные.!O279/1.1*GS279*HC279/HH279,IF(Исходн.данные.!N279=Исходн.данные.!$L$12,Исходн.данные.!O279/1.5*GS279*HC279/HH279,Исходн.данные.!O279*GS279*HC279/HH279)))</f>
        <v>#N/A</v>
      </c>
      <c r="GB279" s="39" t="e">
        <f>IF(HF279=$FY$16,0,((Исходн.данные.!Q279*N_Org+Исходн.данные.!R279*N_Sider+Исходн.данные.!S279*N_Soloma)*AO279+Расчет!BC279*VLOOKUP(Исходн.данные.!T279,Справ!$A$3:$O$57,15)*AO279+BB279*VLOOKUP(Исходн.данные.!T279,Справ!$A$3:$O$57,15)*AL279+(Исходн.данные.!V279*N_Rizotorf+Исходн.данные.!W279*N_Rizoagr))/HF279)</f>
        <v>#N/A</v>
      </c>
      <c r="GC279" s="39" t="e">
        <f>IF(HG279=$FY$16,0,((Исходн.данные.!Q279*Р_Org+Исходн.данные.!R279*P_Sider+Исходн.данные.!S279*P_Soloma)*AP279+Расчет!BC279*VLOOKUP(Исходн.данные.!T279,Справ!$A$3:$P$57,16)*AP279+BB279*VLOOKUP(Исходн.данные.!T279,Справ!$A$3:$P$57,16)*AM279)/HG279)</f>
        <v>#N/A</v>
      </c>
      <c r="GD279" s="39" t="e">
        <f>IF(HH279=$FY$16,0,((Исходн.данные.!Q279*К_Org+Исходн.данные.!R279*K_Sider+Исходн.данные.!S279*K_Soloma)*AQ279+Расчет!BC279*VLOOKUP(Исходн.данные.!T279,Справ!$A$3:$Q$57,17)*AQ279+BB279*VLOOKUP(Исходн.данные.!T279,Справ!$A$3:$Q$57,17)*AN279)/HH279)</f>
        <v>#N/A</v>
      </c>
      <c r="GE279" s="39" t="e">
        <f>IF(HF279=$FY$16,0,(Исходн.данные.!X279*AR279+Исходн.данные.!AA279*N_Org*AL279+Исходн.данные.!AB279*N_Sider*AL279+Исходн.данные.!AC279*N_Soloma*AL279)/HF279)</f>
        <v>#N/A</v>
      </c>
      <c r="GF279" s="39" t="e">
        <f>IF(HG279=$FY$16,0,(Исходн.данные.!Y279*AS279+Исходн.данные.!AA279*Р_Org*AM279+Исходн.данные.!AB279*P_Sider*AM279+Исходн.данные.!AC279*P_Soloma*AM279)/HG279)</f>
        <v>#N/A</v>
      </c>
      <c r="GG279" s="39" t="e">
        <f>IF(HH279=$FY$16,0,(Исходн.данные.!Z279*AT279+Исходн.данные.!AA279*К_Org*AN279+Исходн.данные.!AB279*K_Sider*AN279+Исходн.данные.!AC279*K_Soloma*AN279)/HH279)</f>
        <v>#N/A</v>
      </c>
      <c r="GH279" s="39" t="e">
        <f>Исходн.данные.!AD279*AU279/HF279</f>
        <v>#N/A</v>
      </c>
      <c r="GI279" s="39" t="e">
        <f>Исходн.данные.!AE279*AV279/HG279</f>
        <v>#N/A</v>
      </c>
      <c r="GJ279" s="39" t="e">
        <f>Исходн.данные.!AF279*AW279/HH279</f>
        <v>#N/A</v>
      </c>
      <c r="GK279" s="55">
        <f>Исходн.данные.!AK279</f>
        <v>0</v>
      </c>
      <c r="GL279" s="11" t="e">
        <f t="shared" si="335"/>
        <v>#N/A</v>
      </c>
      <c r="GM279" s="11" t="e">
        <f t="shared" si="336"/>
        <v>#N/A</v>
      </c>
      <c r="GN279" s="11" t="e">
        <f t="shared" si="337"/>
        <v>#N/A</v>
      </c>
      <c r="GO279" s="57">
        <f t="shared" si="338"/>
        <v>19</v>
      </c>
      <c r="GP279" s="55">
        <f>IF(OR(Исходн.данные.!F279=$CE$1,Исходн.данные.!F279=$CE$2,Исходн.данные.!F279=$CE$3,Исходн.данные.!F279=$CE$4,Исходн.данные.!F279=$CE$5),GQ279,GR279)</f>
        <v>19</v>
      </c>
      <c r="GQ279" s="55">
        <f>IF(Исходн.данные.!F279=$CE$1,28,IF(Исходн.данные.!F279=$CE$2,26,IF(Исходн.данные.!F279=$CE$3,24,IF(Исходн.данные.!F279=$CE$4,22,IF(Исходн.данные.!F279=$CE$5,20,GR279)))))</f>
        <v>19</v>
      </c>
      <c r="GR279" s="55">
        <f>IF(Исходн.данные.!F279=$CE$6,18,IF(Исходн.данные.!F279=$CE$7,16,IF(Исходн.данные.!F279=$CE$8,14,IF(Исходн.данные.!F279=$CE$9,13,IF(Исходн.данные.!F279=$CE$10,12,19)))))</f>
        <v>19</v>
      </c>
      <c r="GS279" s="55">
        <f>IF(Исходн.данные.!G279="Пес",0.035*(40+2*Исходн.данные.!H279),IF(Исходн.данные.!G279="Суп",0.0325*(40+2*Исходн.данные.!H279),0.03*(40+2*Исходн.данные.!H279)))</f>
        <v>1.2</v>
      </c>
      <c r="GT279" s="55">
        <f>IF(Исходн.данные.!H279&lt;23,2.6,IF(AND(Исходн.данные.!H279&gt;22,Исходн.данные.!H279&lt;26),3,IF(AND(Исходн.данные.!H279&gt;25,Исходн.данные.!H279&lt;29),3.4,3.6)))</f>
        <v>2.6</v>
      </c>
      <c r="GU279" s="55">
        <f>IF(Исходн.данные.!H279&lt;23,2.8,IF(AND(Исходн.данные.!H279&gt;22,Исходн.данные.!H279&lt;26),3.2,IF(AND(Исходн.данные.!H279&gt;25,Исходн.данные.!H279&lt;29),3.6,3.9)))</f>
        <v>2.8</v>
      </c>
      <c r="GV279" s="55">
        <f>IF(Исходн.данные.!H279&lt;23,3,IF(AND(Исходн.данные.!H279&gt;22,Исходн.данные.!H279&lt;26),3.5,IF(AND(Исходн.данные.!H279&gt;25,Исходн.данные.!H279&lt;29),3.9,4.2)))</f>
        <v>3</v>
      </c>
      <c r="GW279" s="55" t="e">
        <f>IF(Исходн.данные.!P279="Ум",GX279,GY279)</f>
        <v>#N/A</v>
      </c>
      <c r="GX279" s="55" t="e">
        <f>VLOOKUP(Исходн.данные.!AI279,Коэффициенты!$J$7:$L$13,2,FALSE)</f>
        <v>#N/A</v>
      </c>
      <c r="GY279" s="55" t="e">
        <f>VLOOKUP(Исходн.данные.!AI279,Коэффициенты!$J$7:$L$13,3,FALSE)</f>
        <v>#N/A</v>
      </c>
      <c r="GZ279" s="55" t="e">
        <f>(IF(Исходн.данные.!M279&lt;50,0.11*VLOOKUP(Исходн.данные.!AH279,Культуры.Информация,7,FALSE),IF(Исходн.данные.!M279&gt;250,0.05*VLOOKUP(Исходн.данные.!AH279,Культуры.Информация,7,FALSE),VLOOKUP(Исходн.данные.!AH279,Культуры.Информация,5,FALSE)/100*($GX$6+$GY$6*Исходн.данные.!M279))))*Расчет2!AI279</f>
        <v>#N/A</v>
      </c>
      <c r="HA279" s="211"/>
      <c r="HB279" s="211"/>
      <c r="HC279" s="55" t="e">
        <f>(IF(Исходн.данные.!O279&lt;80,0.2*VLOOKUP(Исходн.данные.!AH279,Культуры.Информация,8,FALSE),IF(Исходн.данные.!O279&gt;240,0.09*VLOOKUP(Исходн.данные.!AH279,Культуры.Информация,8,FALSE),VLOOKUP(Исходн.данные.!AH279,Культуры.Информация,6,FALSE)/100*($HB$6+$HC$6*Исходн.данные.!O279))))*Расчет2!AJ279</f>
        <v>#N/A</v>
      </c>
      <c r="HD279" s="55">
        <f>IF(Исходн.данные.!O279&gt;240,0.09,IF(Исходн.данные.!O279&lt;30,0.3,$HE$10+$HD$10*Исходн.данные.!O279))</f>
        <v>0.3</v>
      </c>
      <c r="HE279" s="55">
        <f>IF(Исходн.данные.!O279&gt;240,0.17,IF(Исходн.данные.!O279&lt;30,0.5,$HF$12+$HE$12*Исходн.данные.!O279))</f>
        <v>0.5</v>
      </c>
      <c r="HF279" s="55" t="e">
        <f>VLOOKUP(Исходн.данные.!AH279,Справ!$A$3:$D$58,2,FALSE)</f>
        <v>#N/A</v>
      </c>
      <c r="HG279" s="55" t="e">
        <f>VLOOKUP(Исходн.данные.!AH279,Справ!$A$3:$D$58,3,FALSE)</f>
        <v>#N/A</v>
      </c>
      <c r="HH279" s="55" t="e">
        <f>VLOOKUP(Исходн.данные.!AH279,Справ!$A$3:$D$58,4,FALSE)</f>
        <v>#N/A</v>
      </c>
      <c r="HI279" s="11" t="e">
        <f t="shared" si="339"/>
        <v>#N/A</v>
      </c>
      <c r="HJ279" s="11" t="e">
        <f t="shared" si="340"/>
        <v>#N/A</v>
      </c>
      <c r="HK279" s="11" t="e">
        <f t="shared" si="341"/>
        <v>#N/A</v>
      </c>
      <c r="HL279" s="55">
        <f>IF(OR(Исходн.данные.!G279="Глин",Исходн.данные.!G279="Т_суг"),1.1,IF(Исходн.данные.!G279="Ср_суг",1,1))</f>
        <v>1</v>
      </c>
      <c r="HM279" s="55">
        <f>IF(OR(Исходн.данные.!G279="Глин",Исходн.данные.!G279="Т_суг"),0.9,IF(Исходн.данные.!G279="Ср_суг",1,1.2))</f>
        <v>1.2</v>
      </c>
      <c r="HN279" s="11" t="e">
        <f t="shared" si="342"/>
        <v>#N/A</v>
      </c>
      <c r="HO279" s="11" t="e">
        <f t="shared" si="343"/>
        <v>#N/A</v>
      </c>
      <c r="HP279" s="11" t="e">
        <f t="shared" si="344"/>
        <v>#N/A</v>
      </c>
      <c r="HQ279" t="e">
        <f t="shared" si="345"/>
        <v>#N/A</v>
      </c>
      <c r="HR279" t="e">
        <f t="shared" si="346"/>
        <v>#N/A</v>
      </c>
      <c r="HS279" t="e">
        <f t="shared" si="347"/>
        <v>#N/A</v>
      </c>
      <c r="HT279" t="e">
        <f t="shared" si="367"/>
        <v>#N/A</v>
      </c>
      <c r="HU279" t="e">
        <f t="shared" si="368"/>
        <v>#N/A</v>
      </c>
      <c r="HV279" t="e">
        <f t="shared" si="369"/>
        <v>#N/A</v>
      </c>
      <c r="HW279" t="e">
        <f t="shared" si="370"/>
        <v>#N/A</v>
      </c>
      <c r="HX279" t="e">
        <f t="shared" si="371"/>
        <v>#N/A</v>
      </c>
      <c r="HY279" t="e">
        <f t="shared" si="372"/>
        <v>#N/A</v>
      </c>
      <c r="HZ279" s="55">
        <f>IF(OR(Исходн.данные.!AI279="Оз_Ч_П",Исходн.данные.!AI279="Оз_З_П",Исходн.данные.!AI279="Яр_зер"),12,30)</f>
        <v>30</v>
      </c>
      <c r="IA279" t="e">
        <f t="shared" si="348"/>
        <v>#N/A</v>
      </c>
      <c r="IB279" t="e">
        <f t="shared" si="349"/>
        <v>#N/A</v>
      </c>
      <c r="IC279" t="e">
        <f t="shared" si="350"/>
        <v>#N/A</v>
      </c>
      <c r="ID279" s="11" t="e">
        <f t="shared" si="351"/>
        <v>#N/A</v>
      </c>
      <c r="IE279" s="11" t="e">
        <f t="shared" si="352"/>
        <v>#N/A</v>
      </c>
      <c r="IF279" s="11" t="e">
        <f t="shared" si="353"/>
        <v>#N/A</v>
      </c>
    </row>
    <row r="280" spans="35:240" x14ac:dyDescent="0.2">
      <c r="AI280">
        <f>IF(Исходн.данные.!I280&gt;6,1,1.85-(0.148*Исходн.данные.!I280))</f>
        <v>1.85</v>
      </c>
      <c r="AJ280">
        <f>IF(Исходн.данные.!I280&gt;6,1,2.434-(0.246*Исходн.данные.!I280))</f>
        <v>2.4340000000000002</v>
      </c>
      <c r="AL280" s="148" t="b">
        <f>IF(Исходн.данные.!$P280="Ум",N_OrgUd_2g_um,IF(Исходн.данные.!$P280="Об",N_OrgUd_2g_ob))</f>
        <v>0</v>
      </c>
      <c r="AM280" s="148" t="b">
        <f>IF(Исходн.данные.!$P280="Ум",P_OrgUd_2g_um,IF(Исходн.данные.!$P280="Об",P_OrgUd_2g_ob))</f>
        <v>0</v>
      </c>
      <c r="AN280" s="148" t="b">
        <f>IF(Исходн.данные.!$P280="Ум",K_OrgUd_2g_um,IF(Исходн.данные.!$P280="Об",K_OrgUd_2g_ob))</f>
        <v>0</v>
      </c>
      <c r="AO280" s="148" t="b">
        <f>IF(Исходн.данные.!$P280="Ум",N_OrgUd_1g_um,IF(Исходн.данные.!$P280="Об",N_OrgUd_1g_ob))</f>
        <v>0</v>
      </c>
      <c r="AP280" s="148" t="b">
        <f>IF(Исходн.данные.!$P280="Ум",P_OrgUd_1g_um,IF(Исходн.данные.!$P280="Об",P_OrgUd_1g_ob))</f>
        <v>0</v>
      </c>
      <c r="AQ280" s="148" t="b">
        <f>IF(Исходн.данные.!$P280="Ум",K_OrgUd_1g_um,IF(Исходн.данные.!$P280="Об",K_OrgUd_1g_ob))</f>
        <v>0</v>
      </c>
      <c r="AR280" t="b">
        <f>IF(Исходн.данные.!$P280="Ум",N_MinUd_2g_um,IF(Исходн.данные.!$P280="Об",N_MinUd_2g_ob))</f>
        <v>0</v>
      </c>
      <c r="AS280" t="b">
        <f>IF(Исходн.данные.!$P280="Ум",P_MinUd_2g_um,IF(Исходн.данные.!$P280="Об",P_MinUd_2g_ob))</f>
        <v>0</v>
      </c>
      <c r="AT280" t="b">
        <f>IF(Исходн.данные.!$P280="Ум",K_MinUd_2g_um,IF(Исходн.данные.!$P280="Об",K_MinUd_2g_ob))</f>
        <v>0</v>
      </c>
      <c r="AU280" t="b">
        <f>IF(Исходн.данные.!$P280="Ум",N_MinUd_1g_um,IF(Исходн.данные.!$P280="Об",N_MinUd_1g_ob))</f>
        <v>0</v>
      </c>
      <c r="AV280" t="b">
        <f>IF(Исходн.данные.!P280="Ум",P_MinUd_1g_um,IF(Исходн.данные.!P280="Об",P_MinUd_1g_ob))</f>
        <v>0</v>
      </c>
      <c r="AW280" t="b">
        <f>IF(Исходн.данные.!P280="Ум",K_MinUd_1g_um,IF(Исходн.данные.!P280="Об",K_MinUd_1g_ob))</f>
        <v>0</v>
      </c>
      <c r="AY280" t="e">
        <f>VLOOKUP(Исходн.данные.!T280,Справ!$A$3:$N$57,12)</f>
        <v>#N/A</v>
      </c>
      <c r="AZ280" t="e">
        <f>VLOOKUP(Исходн.данные.!T280,Справ!$A$3:$N$57,13)</f>
        <v>#N/A</v>
      </c>
      <c r="BA280" t="e">
        <f>VLOOKUP(Исходн.данные.!T280,Справ!$A$3:$N$57,14)</f>
        <v>#N/A</v>
      </c>
      <c r="BB280">
        <f>IF(Исходн.данные.!AH280=0,0,25)</f>
        <v>0</v>
      </c>
      <c r="BC280" s="141">
        <f>IF(Исходн.данные.!AH280=0,0,IF(Исходн.данные.!T280=0,25,BD280))</f>
        <v>0</v>
      </c>
      <c r="BD280" s="168" t="e">
        <f>AY280+AZ280*Исходн.данные.!U280-POWER(BA280,2)*Исходн.данные.!U280</f>
        <v>#N/A</v>
      </c>
      <c r="BE28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0" s="25">
        <f>IF(Исходн.данные.!AH280=0,0,MIN(HN280:HP280))</f>
        <v>0</v>
      </c>
      <c r="BG280" s="9">
        <f>IF(Исходн.данные.!AH280=0,0,IF((HO280+10*0.25/HG280/HL280)&lt;17,17,HO280+10*0.25/HG280/HL280))</f>
        <v>0</v>
      </c>
      <c r="BH280" s="181">
        <f>IF(Исходн.данные.!AH280=0,0,HW280*HF280*HL280/AU280*AI280+Исходн.данные.!S280*10)</f>
        <v>0</v>
      </c>
      <c r="BI280" s="10"/>
      <c r="BJ280" s="182">
        <f>IF(Исходн.данные.!AH280=0,0,IF(HX280*HG280*HL280/AV280&lt;0,0,HX280*HG280*HL280/AV280*AJ280))</f>
        <v>0</v>
      </c>
      <c r="BK280" s="182">
        <f>IF(Исходн.данные.!AH280=0,0,HY280*HH280*HM280/AW280)</f>
        <v>0</v>
      </c>
      <c r="BL280" s="10">
        <f>IF(OR(Исходн.данные.!$AH280=$BP$1,Исходн.данные.!$AH280=$BP$2),0,IF(BH280&lt;0,0,IF(OR(Исходн.данные.!T280=Расчет!$BP$1,Исходн.данные.!T280=Расчет!$BP$2,Исходн.данные.!T280=Расчет!$BT$5,Исходн.данные.!T280=Расчет!$BT$6),BH280*0.5,IF(OR(Исходн.данные.!T280=Расчет!$BS$9,Исходн.данные.!T280=Расчет!$BS$10,Исходн.данные.!T280=Расчет!$BS$11,Исходн.данные.!T280=Расчет!$BS$12,Исходн.данные.!T280=Расчет!$BP$5),BH280*0.8,BH280))))</f>
        <v>0</v>
      </c>
      <c r="BM280" s="10">
        <f>IF(OR(Исходн.данные.!$AH280=$BP$1,Исходн.данные.!$AH280=$BP$2),0,IF(BJ280&lt;0,0,IF(Исходн.данные.!I280&lt;4.5,BJ280*1.2,IF(Исходн.данные.!I280&gt;5.1,BJ280,BJ280*((5.1-Исходн.данные.!I280)*0.333+1)))))</f>
        <v>0</v>
      </c>
      <c r="BN280" s="10">
        <f>IF(OR(Исходн.данные.!$AH280=$BP$1,Исходн.данные.!$AH280=$BP$2),60-Исходн.данные.!AF280,IF(BK280&lt;0,0,IF(Исходн.данные.!I280&lt;4.5,BK280*1.2,IF(Исходн.данные.!I280&gt;5.1,BK280,BK280*((5.1-Исходн.данные.!I280)*0.333+1)))))</f>
        <v>0</v>
      </c>
      <c r="BO280" s="9">
        <f>IF(BL280&lt;0,0,BL280*Исходн.данные.!$AJ280/1000)</f>
        <v>0</v>
      </c>
      <c r="BP280" s="9">
        <f>IF(BM280&lt;0,0,BM280*Исходн.данные.!$AJ280/1000)</f>
        <v>0</v>
      </c>
      <c r="BQ280" s="9">
        <f>IF(BN280&lt;0,0,BN280*Исходн.данные.!$AJ280/1000)</f>
        <v>0</v>
      </c>
      <c r="BR280" s="9">
        <f t="shared" si="303"/>
        <v>0</v>
      </c>
      <c r="BS280" s="10" t="str">
        <f t="shared" si="304"/>
        <v>Аммофос 12:52:00</v>
      </c>
      <c r="BT280" s="10" t="str">
        <f t="shared" si="305"/>
        <v>Аммофос 12:52:00</v>
      </c>
      <c r="BU280" s="10" t="str">
        <f t="shared" si="306"/>
        <v>Диаммофоска</v>
      </c>
      <c r="BV280" s="10">
        <f t="shared" si="307"/>
        <v>0</v>
      </c>
      <c r="BW280" s="10"/>
      <c r="BX280" s="10"/>
      <c r="BY280" s="9">
        <f>IF(BL280&lt;0,0,IF(OR(Исходн.данные.!AI280=Расчет!$BU$6,Исходн.данные.!AI280=Расчет!$BU$7),Расчет!BV280,IF(Исходн.данные.!$AG280=$BV$11,BL280,IF(OR(Исходн.данные.!$AH280=$BQ$7,Исходн.данные.!$AH280=$BQ$8),CB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0,IF(Исходн.данные.!$AI280=$BU$11,"Нет",IF(BL280&gt;30,30,BL280)))))))</f>
        <v>0</v>
      </c>
      <c r="BZ280" s="9">
        <f>IF(AND(Исходн.данные.!$AG280=$BV$11,BM280&lt;10),10,IF(Исходн.данные.!$AG280=$BV$11,BM280,IF(OR(Исходн.данные.!$AH280=$BQ$7,Исходн.данные.!$AH280=$BQ$8),CC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10,IF(Исходн.данные.!$AI280=$BU$11,"Нет",IF(BM280&gt;60,60,IF(BM280&lt;10,10,BM280)))))))</f>
        <v>10</v>
      </c>
      <c r="CA280" s="39">
        <f>IF(BN280&lt;0,0,IF(Исходн.данные.!$AG280=$BV$11,BN280,IF(OR(Исходн.данные.!$AH280=$BQ$7,Исходн.данные.!$AH280=$BQ$8),CD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0,IF(Исходн.данные.!$AI280=$BU$11,"Нет",IF(BN280&gt;30,30,BN280))))))</f>
        <v>0</v>
      </c>
      <c r="CB280" s="9">
        <f t="shared" si="308"/>
        <v>0</v>
      </c>
      <c r="CC280" s="9">
        <f t="shared" si="309"/>
        <v>0</v>
      </c>
      <c r="CD280" s="9">
        <f t="shared" si="310"/>
        <v>0</v>
      </c>
      <c r="CE280" s="12">
        <f t="shared" si="311"/>
        <v>10</v>
      </c>
      <c r="CF280" s="9">
        <f t="shared" si="312"/>
        <v>0</v>
      </c>
      <c r="CG280" s="9" t="s">
        <v>231</v>
      </c>
      <c r="CH280" s="132" t="str">
        <f>IF(Исходн.данные.!AP280=Расчет!$CI$16,"Нет",IF(Исходн.данные.!AL280&gt;0,Исходн.данные.!AL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BH$4,IF(OR(Исходн.данные.!AI280=Исходн.данные.!$AI$6,Исходн.данные.!AI280=Исходн.данные.!$AI$7),Расчет!BS280,IF(AND($CF280=0,$CE280&gt;0),EV280,ER280)))))</f>
        <v>Аммофос 12:52:00</v>
      </c>
      <c r="CI280" s="274">
        <f>IF(Расчет!$CH280="Нет","Нет",IF(Исходн.данные.!$AL280&gt;0,VLOOKUP(Расчет!$CH280,АшламаДВ_Irekle,2,FALSE),VLOOKUP(Расчет!$CH280,АшламаДВ_Gomumy,2,FALSE)))</f>
        <v>0.12</v>
      </c>
      <c r="CJ280" s="274">
        <f>IF(Расчет!$CH280="Нет","Нет",IF(Исходн.данные.!$AL280&gt;0,VLOOKUP(Расчет!$CH280,АшламаДВ_Irekle,3,FALSE),VLOOKUP(Расчет!$CH280,АшламаДВ_Gomumy,3,FALSE)))</f>
        <v>0.52</v>
      </c>
      <c r="CK280" s="274">
        <f>IF(Расчет!$CH280="Нет","Нет",IF(Исходн.данные.!$AL280&gt;0,VLOOKUP(Расчет!$CH280,АшламаДВ_Irekle,4,FALSE),VLOOKUP(Расчет!$CH280,АшламаДВ_Gomumy,4,FALSE)))</f>
        <v>0</v>
      </c>
      <c r="CL280" s="70"/>
      <c r="CM280" s="70"/>
      <c r="CN280" s="70"/>
      <c r="CO280" s="70"/>
      <c r="CP280" s="70"/>
      <c r="CQ280" s="70"/>
      <c r="CR280" s="10">
        <f t="shared" si="313"/>
        <v>0</v>
      </c>
      <c r="CS280" s="10">
        <f t="shared" si="314"/>
        <v>19.23076923076923</v>
      </c>
      <c r="CT280" s="10">
        <f t="shared" si="315"/>
        <v>0</v>
      </c>
      <c r="CU280" s="39">
        <f>IF($CH280="Нет",0,IF(CI280=0,30/MIN(CJ280:CK280),IF(Исходн.данные.!$AG280=$BV$11,CR280,IF(OR(Исходн.данные.!$AH280=$BQ$7,Исходн.данные.!$AH280=$BQ$8),90/CI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0,IF(Исходн.данные.!$AI280=$BU$11,"Нет",30/CI280))))))</f>
        <v>250</v>
      </c>
      <c r="CV280" s="39">
        <f>IF($CH280="Нет",0,IF(Исходн.данные.!AH280=0,0,IF(CJ280=0,60/MIN(CI280,CK280),IF(Исходн.данные.!$AG280=$BV$11,CS280,IF(OR(Исходн.данные.!$AH280=$BQ$7,Исходн.данные.!$AH280=$BQ$8),90/CJ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10/CJ280,IF(Исходн.данные.!$AI280=$BU$11,"Нет",60/CJ280)))))))</f>
        <v>0</v>
      </c>
      <c r="CW280" s="39">
        <f>IF($CH280="Нет",0,IF(Исходн.данные.!AH280=0,0,IF(CK280=0,30/MIN(CI280:CJ280),IF(Исходн.данные.!$AG280=$BV$11,CT280,IF(OR(Исходн.данные.!$AH280=$BQ$7,Исходн.данные.!$AH280=$BQ$8),90/CK280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0,IF(Исходн.данные.!$AI280=$BU$11,"Нет",30/CK280)))))))</f>
        <v>0</v>
      </c>
      <c r="CX280" s="133">
        <f>IF(Исходн.данные.!$AG280=$BV$11,MAX(CU280:CW280),IF(OR(Исходн.данные.!$AH280=$BS$8,Исходн.данные.!$AH280=$BQ$9,Исходн.данные.!$AH280=$BQ$10,Исходн.данные.!$AH280=$BQ$11,Исходн.данные.!$AH280=$BQ$12,Исходн.данные.!$AH280=$BP$3,Исходн.данные.!$AH280=$BT$8,$FM280="Да"),CV280,MIN(CU280:CW280)))</f>
        <v>0</v>
      </c>
      <c r="CY280" s="133">
        <f>IF(Исходн.данные.!AH280=0,0,IF(CR280&gt;$CX280,$CX280,CR280))</f>
        <v>0</v>
      </c>
      <c r="CZ280" s="133">
        <f>IF(Исходн.данные.!AH280=0,0,IF(CS280&gt;$CX280,$CX280,CS280))</f>
        <v>0</v>
      </c>
      <c r="DA280" s="133">
        <f>IF(Исходн.данные.!AH280=0,0,IF(CT280&gt;$CX280,$CX280,CT280))</f>
        <v>0</v>
      </c>
      <c r="DB280" s="10">
        <f t="shared" si="316"/>
        <v>0</v>
      </c>
      <c r="DC280" s="39">
        <f>DB280*Исходн.данные.!AJ280/1000</f>
        <v>0</v>
      </c>
      <c r="DD280" s="71">
        <f t="shared" si="317"/>
        <v>0</v>
      </c>
      <c r="DE280" s="9">
        <f t="shared" si="318"/>
        <v>0</v>
      </c>
      <c r="DF280" s="9">
        <f t="shared" si="319"/>
        <v>0</v>
      </c>
      <c r="DG280" s="39">
        <f>IF(BL280&lt;0,0,IF($CH280="Нет",BL280,IF(OR(Исходн.данные.!$AH280=$BP$1,Исходн.данные.!$AH280=$BP$2),0,IF(Исходн.данные.!AI280=$BU$11,BL280,IF(BL280-DD280&lt;0,0,BL280-DD280)))))</f>
        <v>0</v>
      </c>
      <c r="DH280" s="39">
        <f>IF(BM280&lt;0,0,IF($CH280="Нет",BM280,IF(OR(Исходн.данные.!$AH280=$BP$1,Исходн.данные.!$AH280=$BP$2),0,IF(Исходн.данные.!AJ280=$BU$11,BM280,IF(BM280-DE280&lt;0,0,BM280-DE280)))))</f>
        <v>0</v>
      </c>
      <c r="DI280" s="39">
        <f>IF(BN280&lt;0,0,IF($CH280="Нет",BN280,IF(OR(Исходн.данные.!$AH280=$BP$1,Исходн.данные.!$AH280=$BP$2),0,IF(Исходн.данные.!AK280=$BU$11,BN280,IF(BN280-DF280&lt;0,0,BN280-DF280)))))</f>
        <v>0</v>
      </c>
      <c r="DJ280" s="12">
        <f t="shared" si="320"/>
        <v>0</v>
      </c>
      <c r="DK280" s="9">
        <f t="shared" si="321"/>
        <v>0</v>
      </c>
      <c r="DL280" s="39">
        <f>IF(Исходн.данные.!AM280&gt;0,Исходн.данные.!AM280,IF(EG280&gt;0,$BH$10,0))</f>
        <v>0</v>
      </c>
      <c r="DM280" s="186">
        <f>IF($DL280=0,0,IF(Исходн.данные.!AM280&gt;0,VLOOKUP($DL280,АшламаДВ_Irekle,2,FALSE),VLOOKUP($DL280,АшламаДВ_Gomumy,2,FALSE)))</f>
        <v>0</v>
      </c>
      <c r="DN280" s="10">
        <f t="shared" si="373"/>
        <v>0</v>
      </c>
      <c r="DO280" s="9" t="str">
        <f>IF(Исходн.данные.!AN280&gt;0,Исходн.данные.!AN280,Удобрения!$B$37 )</f>
        <v>Хлор.калий</v>
      </c>
      <c r="DP280" s="9">
        <f>IF(Исходн.данные.!AN280&gt;0,VLOOKUP(Исходн.данные.!AN280,АшламаДВ_Irekle,4,FALSE),VLOOKUP(DO280,АшламаДВ_Gomumy,4,FALSE))</f>
        <v>0.6</v>
      </c>
      <c r="DQ280" s="10">
        <f t="shared" si="374"/>
        <v>0</v>
      </c>
      <c r="DR280" s="132" t="str">
        <f>IF(Исходн.данные.!AO280&gt;0,Исходн.данные.!AO280,IF(DH280=0,BS$17,IF(AND($DK280=0,$DJ280&gt;0),EJ280,EN280)))</f>
        <v>Нет</v>
      </c>
      <c r="DS280" s="70" t="str">
        <f>IF($DR280="Нет","Нет",IF(Исходн.данные.!$AO280&gt;0,VLOOKUP($DR280,АшламаДВ_Irekle,2,FALSE),VLOOKUP($DR280,АшламаДВ_Gomumy,2,FALSE)))</f>
        <v>Нет</v>
      </c>
      <c r="DT280" s="70" t="str">
        <f>IF($DR280="Нет","Нет",IF(Исходн.данные.!$AO280&gt;0,VLOOKUP($DR280,АшламаДВ_Irekle,3,FALSE),VLOOKUP($DR280,АшламаДВ_Gomumy,3,FALSE)))</f>
        <v>Нет</v>
      </c>
      <c r="DU280" s="70" t="str">
        <f>IF($DR280="Нет","Нет",IF(Исходн.данные.!$AO280&gt;0,VLOOKUP($DR280,АшламаДВ_Irekle,4,FALSE),VLOOKUP($DR280,АшламаДВ_Gomumy,4,FALSE)))</f>
        <v>Нет</v>
      </c>
      <c r="DV280" s="70"/>
      <c r="DW280" s="70"/>
      <c r="DX280" s="70"/>
      <c r="DY280" s="10">
        <f t="shared" si="322"/>
        <v>0</v>
      </c>
      <c r="DZ280" s="10">
        <f t="shared" si="323"/>
        <v>0</v>
      </c>
      <c r="EA280" s="10">
        <f t="shared" si="324"/>
        <v>0</v>
      </c>
      <c r="EB280" s="10">
        <f t="shared" si="325"/>
        <v>0</v>
      </c>
      <c r="EC280" s="10">
        <f t="shared" si="326"/>
        <v>0</v>
      </c>
      <c r="ED280" s="10">
        <f t="shared" si="327"/>
        <v>0</v>
      </c>
      <c r="EE280" s="10">
        <f t="shared" si="328"/>
        <v>0</v>
      </c>
      <c r="EF280" s="39">
        <f>EB280*Исходн.данные.!AJ280/1000</f>
        <v>0</v>
      </c>
      <c r="EG280" s="9">
        <f t="shared" si="329"/>
        <v>0</v>
      </c>
      <c r="EH280" s="9">
        <f t="shared" si="330"/>
        <v>0</v>
      </c>
      <c r="EI280" s="39" t="e">
        <f t="shared" si="354"/>
        <v>#DIV/0!</v>
      </c>
      <c r="EJ280" s="9" t="str">
        <f t="shared" si="375"/>
        <v>Азопреципитат</v>
      </c>
      <c r="EK280" s="12">
        <f t="shared" si="355"/>
        <v>0.26</v>
      </c>
      <c r="EL280" s="12">
        <f t="shared" si="356"/>
        <v>0.13</v>
      </c>
      <c r="EM280" s="12">
        <f t="shared" si="357"/>
        <v>0</v>
      </c>
      <c r="EN280" s="12" t="str">
        <f t="shared" si="376"/>
        <v>Нет</v>
      </c>
      <c r="EO280" s="12">
        <f t="shared" si="358"/>
        <v>0</v>
      </c>
      <c r="EP280" s="12">
        <f t="shared" si="359"/>
        <v>0</v>
      </c>
      <c r="EQ280" s="12">
        <f t="shared" si="360"/>
        <v>0</v>
      </c>
      <c r="ER280" s="12" t="str">
        <f t="shared" si="331"/>
        <v>Диаммофоска</v>
      </c>
      <c r="ES280" s="12">
        <f t="shared" si="361"/>
        <v>0.1</v>
      </c>
      <c r="ET280" s="12">
        <f t="shared" si="362"/>
        <v>0.26</v>
      </c>
      <c r="EU280" s="12">
        <f t="shared" si="363"/>
        <v>0.26</v>
      </c>
      <c r="EV280" s="12" t="str">
        <f t="shared" si="332"/>
        <v>Аммофос 12:52:00</v>
      </c>
      <c r="EW280" s="12" t="str">
        <f t="shared" si="333"/>
        <v>Кемира Свекловичное-6</v>
      </c>
      <c r="EX280" s="12">
        <f t="shared" si="364"/>
        <v>0.16</v>
      </c>
      <c r="EY280" s="12">
        <f t="shared" si="365"/>
        <v>0.12</v>
      </c>
      <c r="EZ280" s="12">
        <f t="shared" si="366"/>
        <v>0.17</v>
      </c>
      <c r="FA280" s="38" t="e">
        <f>IF(AND(OR(FJ280=$FD$1,FM280=$FD$1,FO280=$FD$1,FQ280=$FD$1,FS280=$FD$1),FD280=$FD$1,Исходн.данные.!J280&lt;2,FU280=$FD$1),"Бор,Кобальт",IF(AND(FO280=$FD$1,FH280=$FD$1,Исходн.данные.!J280&lt;2,FU280=$FD$1),"Бор,Кобальт",IF(AND(OR(FJ280=$FD$1,FM280=$FD$1,FQ280=$FD$1),FE280=$FD$1,Исходн.данные.!J280&lt;2,FT280=$FD$1,FU280=$FD$1),"Бор,Медь,Цинк",IF(AND(OR(FJ280=$FD$1,FR280="Да"),FI280="Да",Исходн.данные.!J280&lt;2,FT280="Да",FU280="Да"),"Бор,Цинк,Медь",IF(AND(OR(FM280="Да",FQ280="Да"),FI280="Да",Исходн.данные.!J280&lt;2,FT280="Да",FU280="Да"),"Бор,Цинк",IF(AND(FN280="Да",OR(FD280="Да",FE280="Да")),"Бор",FB280))))))</f>
        <v>#N/A</v>
      </c>
      <c r="FB280" s="134" t="e">
        <f>IF(AND(OR(FD280="Да",FE280="Да",FF280="Да",FG280="Да",FH280="Да"),FO280="Да"),"Бор",IF(AND(FP280="Да",OR(FD280="Да",FE280="Да",FI280="Да")),"Бор",IF(AND(FS280="Да",FE280="Да"),"Бор,Медь",IF(AND(OR(FJ280="Да",FK280="Да",FL280="Да"),FE280="Да",Исходн.данные.!I280&lt;5,FT280="Да",FU280="Да"),"Молибден,Цинк",IF(AND(FM280="Да",OR(FE280="Да",FF280="Да",FG280="Да",FH280="Да",FI280="Да")),"Молибден,Цинк",IF(AND(OR(FJ280="Да",FK280="Да",FL280="Да",FM280="Да",FQ280="Да"),OR(FE280="Да",FF280="Да"),FT280="Да",FU280="Да",Исходн.данные.!I280&gt;5.5),"Медь,Цинк",FC280))))))</f>
        <v>#N/A</v>
      </c>
      <c r="FC280" s="23" t="e">
        <f t="shared" si="334"/>
        <v>#N/A</v>
      </c>
      <c r="FD280" s="38" t="str">
        <f>IF(OR(Исходн.данные.!F280=$CC$1,Исходн.данные.!F280=$CC$2,Исходн.данные.!F280=$CC$3,Исходн.данные.!F280=$CC$4),"Да","Нет")</f>
        <v>Нет</v>
      </c>
      <c r="FE280" s="38" t="str">
        <f>IF(Исходн.данные.!F280=$CC$5,"Да","Нет")</f>
        <v>Нет</v>
      </c>
      <c r="FF280" s="38" t="str">
        <f>IF(OR(Исходн.данные.!F280=$CC$6,Исходн.данные.!F280=$CC$7),"Да","Нет")</f>
        <v>Нет</v>
      </c>
      <c r="FG280" s="38" t="str">
        <f>IF(OR(Исходн.данные.!F280=$CC$8,Исходн.данные.!F280=$CC$9),"Да","Нет")</f>
        <v>Нет</v>
      </c>
      <c r="FH280" s="38" t="str">
        <f>IF(Исходн.данные.!F280=$CC$10,"Да","Нет")</f>
        <v>Нет</v>
      </c>
      <c r="FI280" s="38" t="str">
        <f>IF(OR(Исходн.данные.!F280=$CC$11,Исходн.данные.!F280=$CC$12),"Да","Нет")</f>
        <v>Нет</v>
      </c>
      <c r="FJ280" s="38" t="str">
        <f>IF(OR(Исходн.данные.!AH280=$BS$1,Исходн.данные.!AH280=$BQ$11,Исходн.данные.!AH280=$BQ$12),"Да","Нет")</f>
        <v>Нет</v>
      </c>
      <c r="FK280" s="38" t="str">
        <f>IF(OR(Исходн.данные.!AH280=$BS$2,Исходн.данные.!AH280=$BS$4),"Да","Нет")</f>
        <v>Нет</v>
      </c>
      <c r="FL280" s="38" t="str">
        <f>IF(OR(Исходн.данные.!AH280=$BS$3,Исходн.данные.!AH280=$BS$5),"Да","Нет")</f>
        <v>Нет</v>
      </c>
      <c r="FM280" s="38" t="str">
        <f>IF(OR(Исходн.данные.!AH280=$BS$9,Исходн.данные.!AH280=$BS$10,Исходн.данные.!AH280=$BS$11,Исходн.данные.!AH280=$BS$12),"Да","Нет")</f>
        <v>Нет</v>
      </c>
      <c r="FN280" s="38" t="str">
        <f>IF(OR(Исходн.данные.!AH280=$BS$6,Исходн.данные.!AH280=$BP$3),"Да","Нет")</f>
        <v>Нет</v>
      </c>
      <c r="FO280" s="38" t="str">
        <f>IF(Исходн.данные.!AH280=$BQ$9,"Да","Нет")</f>
        <v>Нет</v>
      </c>
      <c r="FP280" s="38" t="str">
        <f>IF(OR(Исходн.данные.!AH280=$BS$8,Исходн.данные.!AH280=$BT$8),"Да","Нет")</f>
        <v>Нет</v>
      </c>
      <c r="FQ280" s="38" t="str">
        <f>IF(OR(Исходн.данные.!AH280=$BQ$7,Исходн.данные.!AH280=$BQ$8),"Да","Нет")</f>
        <v>Нет</v>
      </c>
      <c r="FR280" s="38" t="str">
        <f>IF(Исходн.данные.!AI280=$BU$9,"Да","Нет")</f>
        <v>Нет</v>
      </c>
      <c r="FS280" s="38" t="str">
        <f>IF(OR(Исходн.данные.!AH280=$BP$1,Исходн.данные.!AH280=$BP$2),"Да","Нет")</f>
        <v>Нет</v>
      </c>
      <c r="FT280" s="38" t="e">
        <f>IF((Исходн.данные.!K280*GO280*GS280*GW280+BL280*0.6+Исходн.данные.!Q280*4.5*0.275)&gt;90,"Да","Нет")</f>
        <v>#N/A</v>
      </c>
      <c r="FU280" s="38" t="e">
        <f>IF((Исходн.данные.!M280*GS280*GZ280+BM280*0.225)&gt;35,"Да","Нет")</f>
        <v>#N/A</v>
      </c>
      <c r="FV280" s="38" t="str">
        <f>IF(Исходн.данные.!O280&gt;175,"Да","Нет")</f>
        <v>Нет</v>
      </c>
      <c r="FW280" s="39" t="str">
        <f>IF(Исходн.данные.!I280&gt;5.5,"Да","Нет")</f>
        <v>Нет</v>
      </c>
      <c r="FX280" s="39" t="str">
        <f>IF(Исходн.данные.!J280&lt;2,"Да","Нет")</f>
        <v>Да</v>
      </c>
      <c r="FY280" s="39" t="e">
        <f>IF(HF280=$FY$16,0,Исходн.данные.!K280*GO280*GS280*GW280/HF280)</f>
        <v>#N/A</v>
      </c>
      <c r="FZ280" s="39" t="e">
        <f>Исходн.данные.!M280*GS280*GZ280/HG280</f>
        <v>#N/A</v>
      </c>
      <c r="GA280" s="39" t="e">
        <f>IF(K_Wyn=$FY$16,0,IF(Исходн.данные.!N280=Исходн.данные.!$L$10,Исходн.данные.!O280/1.1*GS280*HC280/HH280,IF(Исходн.данные.!N280=Исходн.данные.!$L$12,Исходн.данные.!O280/1.5*GS280*HC280/HH280,Исходн.данные.!O280*GS280*HC280/HH280)))</f>
        <v>#N/A</v>
      </c>
      <c r="GB280" s="39" t="e">
        <f>IF(HF280=$FY$16,0,((Исходн.данные.!Q280*N_Org+Исходн.данные.!R280*N_Sider+Исходн.данные.!S280*N_Soloma)*AO280+Расчет!BC280*VLOOKUP(Исходн.данные.!T280,Справ!$A$3:$O$57,15)*AO280+BB280*VLOOKUP(Исходн.данные.!T280,Справ!$A$3:$O$57,15)*AL280+(Исходн.данные.!V280*N_Rizotorf+Исходн.данные.!W280*N_Rizoagr))/HF280)</f>
        <v>#N/A</v>
      </c>
      <c r="GC280" s="39" t="e">
        <f>IF(HG280=$FY$16,0,((Исходн.данные.!Q280*Р_Org+Исходн.данные.!R280*P_Sider+Исходн.данные.!S280*P_Soloma)*AP280+Расчет!BC280*VLOOKUP(Исходн.данные.!T280,Справ!$A$3:$P$57,16)*AP280+BB280*VLOOKUP(Исходн.данные.!T280,Справ!$A$3:$P$57,16)*AM280)/HG280)</f>
        <v>#N/A</v>
      </c>
      <c r="GD280" s="39" t="e">
        <f>IF(HH280=$FY$16,0,((Исходн.данные.!Q280*К_Org+Исходн.данные.!R280*K_Sider+Исходн.данные.!S280*K_Soloma)*AQ280+Расчет!BC280*VLOOKUP(Исходн.данные.!T280,Справ!$A$3:$Q$57,17)*AQ280+BB280*VLOOKUP(Исходн.данные.!T280,Справ!$A$3:$Q$57,17)*AN280)/HH280)</f>
        <v>#N/A</v>
      </c>
      <c r="GE280" s="39" t="e">
        <f>IF(HF280=$FY$16,0,(Исходн.данные.!X280*AR280+Исходн.данные.!AA280*N_Org*AL280+Исходн.данные.!AB280*N_Sider*AL280+Исходн.данные.!AC280*N_Soloma*AL280)/HF280)</f>
        <v>#N/A</v>
      </c>
      <c r="GF280" s="39" t="e">
        <f>IF(HG280=$FY$16,0,(Исходн.данные.!Y280*AS280+Исходн.данные.!AA280*Р_Org*AM280+Исходн.данные.!AB280*P_Sider*AM280+Исходн.данные.!AC280*P_Soloma*AM280)/HG280)</f>
        <v>#N/A</v>
      </c>
      <c r="GG280" s="39" t="e">
        <f>IF(HH280=$FY$16,0,(Исходн.данные.!Z280*AT280+Исходн.данные.!AA280*К_Org*AN280+Исходн.данные.!AB280*K_Sider*AN280+Исходн.данные.!AC280*K_Soloma*AN280)/HH280)</f>
        <v>#N/A</v>
      </c>
      <c r="GH280" s="39" t="e">
        <f>Исходн.данные.!AD280*AU280/HF280</f>
        <v>#N/A</v>
      </c>
      <c r="GI280" s="39" t="e">
        <f>Исходн.данные.!AE280*AV280/HG280</f>
        <v>#N/A</v>
      </c>
      <c r="GJ280" s="39" t="e">
        <f>Исходн.данные.!AF280*AW280/HH280</f>
        <v>#N/A</v>
      </c>
      <c r="GK280" s="55">
        <f>Исходн.данные.!AK280</f>
        <v>0</v>
      </c>
      <c r="GL280" s="11" t="e">
        <f t="shared" si="335"/>
        <v>#N/A</v>
      </c>
      <c r="GM280" s="11" t="e">
        <f t="shared" si="336"/>
        <v>#N/A</v>
      </c>
      <c r="GN280" s="11" t="e">
        <f t="shared" si="337"/>
        <v>#N/A</v>
      </c>
      <c r="GO280" s="57">
        <f t="shared" si="338"/>
        <v>19</v>
      </c>
      <c r="GP280" s="55">
        <f>IF(OR(Исходн.данные.!F280=$CE$1,Исходн.данные.!F280=$CE$2,Исходн.данные.!F280=$CE$3,Исходн.данные.!F280=$CE$4,Исходн.данные.!F280=$CE$5),GQ280,GR280)</f>
        <v>19</v>
      </c>
      <c r="GQ280" s="55">
        <f>IF(Исходн.данные.!F280=$CE$1,28,IF(Исходн.данные.!F280=$CE$2,26,IF(Исходн.данные.!F280=$CE$3,24,IF(Исходн.данные.!F280=$CE$4,22,IF(Исходн.данные.!F280=$CE$5,20,GR280)))))</f>
        <v>19</v>
      </c>
      <c r="GR280" s="55">
        <f>IF(Исходн.данные.!F280=$CE$6,18,IF(Исходн.данные.!F280=$CE$7,16,IF(Исходн.данные.!F280=$CE$8,14,IF(Исходн.данные.!F280=$CE$9,13,IF(Исходн.данные.!F280=$CE$10,12,19)))))</f>
        <v>19</v>
      </c>
      <c r="GS280" s="55">
        <f>IF(Исходн.данные.!G280="Пес",0.035*(40+2*Исходн.данные.!H280),IF(Исходн.данные.!G280="Суп",0.0325*(40+2*Исходн.данные.!H280),0.03*(40+2*Исходн.данные.!H280)))</f>
        <v>1.2</v>
      </c>
      <c r="GT280" s="55">
        <f>IF(Исходн.данные.!H280&lt;23,2.6,IF(AND(Исходн.данные.!H280&gt;22,Исходн.данные.!H280&lt;26),3,IF(AND(Исходн.данные.!H280&gt;25,Исходн.данные.!H280&lt;29),3.4,3.6)))</f>
        <v>2.6</v>
      </c>
      <c r="GU280" s="55">
        <f>IF(Исходн.данные.!H280&lt;23,2.8,IF(AND(Исходн.данные.!H280&gt;22,Исходн.данные.!H280&lt;26),3.2,IF(AND(Исходн.данные.!H280&gt;25,Исходн.данные.!H280&lt;29),3.6,3.9)))</f>
        <v>2.8</v>
      </c>
      <c r="GV280" s="55">
        <f>IF(Исходн.данные.!H280&lt;23,3,IF(AND(Исходн.данные.!H280&gt;22,Исходн.данные.!H280&lt;26),3.5,IF(AND(Исходн.данные.!H280&gt;25,Исходн.данные.!H280&lt;29),3.9,4.2)))</f>
        <v>3</v>
      </c>
      <c r="GW280" s="55" t="e">
        <f>IF(Исходн.данные.!P280="Ум",GX280,GY280)</f>
        <v>#N/A</v>
      </c>
      <c r="GX280" s="55" t="e">
        <f>VLOOKUP(Исходн.данные.!AI280,Коэффициенты!$J$7:$L$13,2,FALSE)</f>
        <v>#N/A</v>
      </c>
      <c r="GY280" s="55" t="e">
        <f>VLOOKUP(Исходн.данные.!AI280,Коэффициенты!$J$7:$L$13,3,FALSE)</f>
        <v>#N/A</v>
      </c>
      <c r="GZ280" s="55" t="e">
        <f>(IF(Исходн.данные.!M280&lt;50,0.11*VLOOKUP(Исходн.данные.!AH280,Культуры.Информация,7,FALSE),IF(Исходн.данные.!M280&gt;250,0.05*VLOOKUP(Исходн.данные.!AH280,Культуры.Информация,7,FALSE),VLOOKUP(Исходн.данные.!AH280,Культуры.Информация,5,FALSE)/100*($GX$6+$GY$6*Исходн.данные.!M280))))*Расчет2!AI280</f>
        <v>#N/A</v>
      </c>
      <c r="HA280" s="211"/>
      <c r="HB280" s="211"/>
      <c r="HC280" s="55" t="e">
        <f>(IF(Исходн.данные.!O280&lt;80,0.2*VLOOKUP(Исходн.данные.!AH280,Культуры.Информация,8,FALSE),IF(Исходн.данные.!O280&gt;240,0.09*VLOOKUP(Исходн.данные.!AH280,Культуры.Информация,8,FALSE),VLOOKUP(Исходн.данные.!AH280,Культуры.Информация,6,FALSE)/100*($HB$6+$HC$6*Исходн.данные.!O280))))*Расчет2!AJ280</f>
        <v>#N/A</v>
      </c>
      <c r="HD280" s="55">
        <f>IF(Исходн.данные.!O280&gt;240,0.09,IF(Исходн.данные.!O280&lt;30,0.3,$HE$10+$HD$10*Исходн.данные.!O280))</f>
        <v>0.3</v>
      </c>
      <c r="HE280" s="55">
        <f>IF(Исходн.данные.!O280&gt;240,0.17,IF(Исходн.данные.!O280&lt;30,0.5,$HF$12+$HE$12*Исходн.данные.!O280))</f>
        <v>0.5</v>
      </c>
      <c r="HF280" s="55" t="e">
        <f>VLOOKUP(Исходн.данные.!AH280,Справ!$A$3:$D$58,2,FALSE)</f>
        <v>#N/A</v>
      </c>
      <c r="HG280" s="55" t="e">
        <f>VLOOKUP(Исходн.данные.!AH280,Справ!$A$3:$D$58,3,FALSE)</f>
        <v>#N/A</v>
      </c>
      <c r="HH280" s="55" t="e">
        <f>VLOOKUP(Исходн.данные.!AH280,Справ!$A$3:$D$58,4,FALSE)</f>
        <v>#N/A</v>
      </c>
      <c r="HI280" s="11" t="e">
        <f t="shared" si="339"/>
        <v>#N/A</v>
      </c>
      <c r="HJ280" s="11" t="e">
        <f t="shared" si="340"/>
        <v>#N/A</v>
      </c>
      <c r="HK280" s="11" t="e">
        <f t="shared" si="341"/>
        <v>#N/A</v>
      </c>
      <c r="HL280" s="55">
        <f>IF(OR(Исходн.данные.!G280="Глин",Исходн.данные.!G280="Т_суг"),1.1,IF(Исходн.данные.!G280="Ср_суг",1,1))</f>
        <v>1</v>
      </c>
      <c r="HM280" s="55">
        <f>IF(OR(Исходн.данные.!G280="Глин",Исходн.данные.!G280="Т_суг"),0.9,IF(Исходн.данные.!G280="Ср_суг",1,1.2))</f>
        <v>1.2</v>
      </c>
      <c r="HN280" s="11" t="e">
        <f t="shared" si="342"/>
        <v>#N/A</v>
      </c>
      <c r="HO280" s="11" t="e">
        <f t="shared" si="343"/>
        <v>#N/A</v>
      </c>
      <c r="HP280" s="11" t="e">
        <f t="shared" si="344"/>
        <v>#N/A</v>
      </c>
      <c r="HQ280" t="e">
        <f t="shared" si="345"/>
        <v>#N/A</v>
      </c>
      <c r="HR280" t="e">
        <f t="shared" si="346"/>
        <v>#N/A</v>
      </c>
      <c r="HS280" t="e">
        <f t="shared" si="347"/>
        <v>#N/A</v>
      </c>
      <c r="HT280" t="e">
        <f t="shared" si="367"/>
        <v>#N/A</v>
      </c>
      <c r="HU280" t="e">
        <f t="shared" si="368"/>
        <v>#N/A</v>
      </c>
      <c r="HV280" t="e">
        <f t="shared" si="369"/>
        <v>#N/A</v>
      </c>
      <c r="HW280" t="e">
        <f t="shared" si="370"/>
        <v>#N/A</v>
      </c>
      <c r="HX280" t="e">
        <f t="shared" si="371"/>
        <v>#N/A</v>
      </c>
      <c r="HY280" t="e">
        <f t="shared" si="372"/>
        <v>#N/A</v>
      </c>
      <c r="HZ280" s="55">
        <f>IF(OR(Исходн.данные.!AI280="Оз_Ч_П",Исходн.данные.!AI280="Оз_З_П",Исходн.данные.!AI280="Яр_зер"),12,30)</f>
        <v>30</v>
      </c>
      <c r="IA280" t="e">
        <f t="shared" si="348"/>
        <v>#N/A</v>
      </c>
      <c r="IB280" t="e">
        <f t="shared" si="349"/>
        <v>#N/A</v>
      </c>
      <c r="IC280" t="e">
        <f t="shared" si="350"/>
        <v>#N/A</v>
      </c>
      <c r="ID280" s="11" t="e">
        <f t="shared" si="351"/>
        <v>#N/A</v>
      </c>
      <c r="IE280" s="11" t="e">
        <f t="shared" si="352"/>
        <v>#N/A</v>
      </c>
      <c r="IF280" s="11" t="e">
        <f t="shared" si="353"/>
        <v>#N/A</v>
      </c>
    </row>
    <row r="281" spans="35:240" x14ac:dyDescent="0.2">
      <c r="AI281">
        <f>IF(Исходн.данные.!I281&gt;6,1,1.85-(0.148*Исходн.данные.!I281))</f>
        <v>1.85</v>
      </c>
      <c r="AJ281">
        <f>IF(Исходн.данные.!I281&gt;6,1,2.434-(0.246*Исходн.данные.!I281))</f>
        <v>2.4340000000000002</v>
      </c>
      <c r="AL281" s="148" t="b">
        <f>IF(Исходн.данные.!$P281="Ум",N_OrgUd_2g_um,IF(Исходн.данные.!$P281="Об",N_OrgUd_2g_ob))</f>
        <v>0</v>
      </c>
      <c r="AM281" s="148" t="b">
        <f>IF(Исходн.данные.!$P281="Ум",P_OrgUd_2g_um,IF(Исходн.данные.!$P281="Об",P_OrgUd_2g_ob))</f>
        <v>0</v>
      </c>
      <c r="AN281" s="148" t="b">
        <f>IF(Исходн.данные.!$P281="Ум",K_OrgUd_2g_um,IF(Исходн.данные.!$P281="Об",K_OrgUd_2g_ob))</f>
        <v>0</v>
      </c>
      <c r="AO281" s="148" t="b">
        <f>IF(Исходн.данные.!$P281="Ум",N_OrgUd_1g_um,IF(Исходн.данные.!$P281="Об",N_OrgUd_1g_ob))</f>
        <v>0</v>
      </c>
      <c r="AP281" s="148" t="b">
        <f>IF(Исходн.данные.!$P281="Ум",P_OrgUd_1g_um,IF(Исходн.данные.!$P281="Об",P_OrgUd_1g_ob))</f>
        <v>0</v>
      </c>
      <c r="AQ281" s="148" t="b">
        <f>IF(Исходн.данные.!$P281="Ум",K_OrgUd_1g_um,IF(Исходн.данные.!$P281="Об",K_OrgUd_1g_ob))</f>
        <v>0</v>
      </c>
      <c r="AR281" t="b">
        <f>IF(Исходн.данные.!$P281="Ум",N_MinUd_2g_um,IF(Исходн.данные.!$P281="Об",N_MinUd_2g_ob))</f>
        <v>0</v>
      </c>
      <c r="AS281" t="b">
        <f>IF(Исходн.данные.!$P281="Ум",P_MinUd_2g_um,IF(Исходн.данные.!$P281="Об",P_MinUd_2g_ob))</f>
        <v>0</v>
      </c>
      <c r="AT281" t="b">
        <f>IF(Исходн.данные.!$P281="Ум",K_MinUd_2g_um,IF(Исходн.данные.!$P281="Об",K_MinUd_2g_ob))</f>
        <v>0</v>
      </c>
      <c r="AU281" t="b">
        <f>IF(Исходн.данные.!$P281="Ум",N_MinUd_1g_um,IF(Исходн.данные.!$P281="Об",N_MinUd_1g_ob))</f>
        <v>0</v>
      </c>
      <c r="AV281" t="b">
        <f>IF(Исходн.данные.!P281="Ум",P_MinUd_1g_um,IF(Исходн.данные.!P281="Об",P_MinUd_1g_ob))</f>
        <v>0</v>
      </c>
      <c r="AW281" t="b">
        <f>IF(Исходн.данные.!P281="Ум",K_MinUd_1g_um,IF(Исходн.данные.!P281="Об",K_MinUd_1g_ob))</f>
        <v>0</v>
      </c>
      <c r="AY281" t="e">
        <f>VLOOKUP(Исходн.данные.!T281,Справ!$A$3:$N$57,12)</f>
        <v>#N/A</v>
      </c>
      <c r="AZ281" t="e">
        <f>VLOOKUP(Исходн.данные.!T281,Справ!$A$3:$N$57,13)</f>
        <v>#N/A</v>
      </c>
      <c r="BA281" t="e">
        <f>VLOOKUP(Исходн.данные.!T281,Справ!$A$3:$N$57,14)</f>
        <v>#N/A</v>
      </c>
      <c r="BB281">
        <f>IF(Исходн.данные.!AH281=0,0,25)</f>
        <v>0</v>
      </c>
      <c r="BC281" s="141">
        <f>IF(Исходн.данные.!AH281=0,0,IF(Исходн.данные.!T281=0,25,BD281))</f>
        <v>0</v>
      </c>
      <c r="BD281" s="168" t="e">
        <f>AY281+AZ281*Исходн.данные.!U281-POWER(BA281,2)*Исходн.данные.!U281</f>
        <v>#N/A</v>
      </c>
      <c r="BE28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1" s="25">
        <f>IF(Исходн.данные.!AH281=0,0,MIN(HN281:HP281))</f>
        <v>0</v>
      </c>
      <c r="BG281" s="9">
        <f>IF(Исходн.данные.!AH281=0,0,IF((HO281+10*0.25/HG281/HL281)&lt;17,17,HO281+10*0.25/HG281/HL281))</f>
        <v>0</v>
      </c>
      <c r="BH281" s="181">
        <f>IF(Исходн.данные.!AH281=0,0,HW281*HF281*HL281/AU281*AI281+Исходн.данные.!S281*10)</f>
        <v>0</v>
      </c>
      <c r="BI281" s="10"/>
      <c r="BJ281" s="182">
        <f>IF(Исходн.данные.!AH281=0,0,IF(HX281*HG281*HL281/AV281&lt;0,0,HX281*HG281*HL281/AV281*AJ281))</f>
        <v>0</v>
      </c>
      <c r="BK281" s="182">
        <f>IF(Исходн.данные.!AH281=0,0,HY281*HH281*HM281/AW281)</f>
        <v>0</v>
      </c>
      <c r="BL281" s="10">
        <f>IF(OR(Исходн.данные.!$AH281=$BP$1,Исходн.данные.!$AH281=$BP$2),0,IF(BH281&lt;0,0,IF(OR(Исходн.данные.!T281=Расчет!$BP$1,Исходн.данные.!T281=Расчет!$BP$2,Исходн.данные.!T281=Расчет!$BT$5,Исходн.данные.!T281=Расчет!$BT$6),BH281*0.5,IF(OR(Исходн.данные.!T281=Расчет!$BS$9,Исходн.данные.!T281=Расчет!$BS$10,Исходн.данные.!T281=Расчет!$BS$11,Исходн.данные.!T281=Расчет!$BS$12,Исходн.данные.!T281=Расчет!$BP$5),BH281*0.8,BH281))))</f>
        <v>0</v>
      </c>
      <c r="BM281" s="10">
        <f>IF(OR(Исходн.данные.!$AH281=$BP$1,Исходн.данные.!$AH281=$BP$2),0,IF(BJ281&lt;0,0,IF(Исходн.данные.!I281&lt;4.5,BJ281*1.2,IF(Исходн.данные.!I281&gt;5.1,BJ281,BJ281*((5.1-Исходн.данные.!I281)*0.333+1)))))</f>
        <v>0</v>
      </c>
      <c r="BN281" s="10">
        <f>IF(OR(Исходн.данные.!$AH281=$BP$1,Исходн.данные.!$AH281=$BP$2),60-Исходн.данные.!AF281,IF(BK281&lt;0,0,IF(Исходн.данные.!I281&lt;4.5,BK281*1.2,IF(Исходн.данные.!I281&gt;5.1,BK281,BK281*((5.1-Исходн.данные.!I281)*0.333+1)))))</f>
        <v>0</v>
      </c>
      <c r="BO281" s="9">
        <f>IF(BL281&lt;0,0,BL281*Исходн.данные.!$AJ281/1000)</f>
        <v>0</v>
      </c>
      <c r="BP281" s="9">
        <f>IF(BM281&lt;0,0,BM281*Исходн.данные.!$AJ281/1000)</f>
        <v>0</v>
      </c>
      <c r="BQ281" s="9">
        <f>IF(BN281&lt;0,0,BN281*Исходн.данные.!$AJ281/1000)</f>
        <v>0</v>
      </c>
      <c r="BR281" s="9">
        <f t="shared" si="303"/>
        <v>0</v>
      </c>
      <c r="BS281" s="10" t="str">
        <f t="shared" si="304"/>
        <v>Аммофос 12:52:00</v>
      </c>
      <c r="BT281" s="10" t="str">
        <f t="shared" si="305"/>
        <v>Аммофос 12:52:00</v>
      </c>
      <c r="BU281" s="10" t="str">
        <f t="shared" si="306"/>
        <v>Диаммофоска</v>
      </c>
      <c r="BV281" s="10">
        <f t="shared" si="307"/>
        <v>0</v>
      </c>
      <c r="BW281" s="10"/>
      <c r="BX281" s="10"/>
      <c r="BY281" s="9">
        <f>IF(BL281&lt;0,0,IF(OR(Исходн.данные.!AI281=Расчет!$BU$6,Исходн.данные.!AI281=Расчет!$BU$7),Расчет!BV281,IF(Исходн.данные.!$AG281=$BV$11,BL281,IF(OR(Исходн.данные.!$AH281=$BQ$7,Исходн.данные.!$AH281=$BQ$8),CB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0,IF(Исходн.данные.!$AI281=$BU$11,"Нет",IF(BL281&gt;30,30,BL281)))))))</f>
        <v>0</v>
      </c>
      <c r="BZ281" s="9">
        <f>IF(AND(Исходн.данные.!$AG281=$BV$11,BM281&lt;10),10,IF(Исходн.данные.!$AG281=$BV$11,BM281,IF(OR(Исходн.данные.!$AH281=$BQ$7,Исходн.данные.!$AH281=$BQ$8),CC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10,IF(Исходн.данные.!$AI281=$BU$11,"Нет",IF(BM281&gt;60,60,IF(BM281&lt;10,10,BM281)))))))</f>
        <v>10</v>
      </c>
      <c r="CA281" s="39">
        <f>IF(BN281&lt;0,0,IF(Исходн.данные.!$AG281=$BV$11,BN281,IF(OR(Исходн.данные.!$AH281=$BQ$7,Исходн.данные.!$AH281=$BQ$8),CD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0,IF(Исходн.данные.!$AI281=$BU$11,"Нет",IF(BN281&gt;30,30,BN281))))))</f>
        <v>0</v>
      </c>
      <c r="CB281" s="9">
        <f t="shared" si="308"/>
        <v>0</v>
      </c>
      <c r="CC281" s="9">
        <f t="shared" si="309"/>
        <v>0</v>
      </c>
      <c r="CD281" s="9">
        <f t="shared" si="310"/>
        <v>0</v>
      </c>
      <c r="CE281" s="12">
        <f t="shared" si="311"/>
        <v>10</v>
      </c>
      <c r="CF281" s="9">
        <f t="shared" si="312"/>
        <v>0</v>
      </c>
      <c r="CG281" s="9" t="s">
        <v>231</v>
      </c>
      <c r="CH281" s="132" t="str">
        <f>IF(Исходн.данные.!AP281=Расчет!$CI$16,"Нет",IF(Исходн.данные.!AL281&gt;0,Исходн.данные.!AL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BH$4,IF(OR(Исходн.данные.!AI281=Исходн.данные.!$AI$6,Исходн.данные.!AI281=Исходн.данные.!$AI$7),Расчет!BS281,IF(AND($CF281=0,$CE281&gt;0),EV281,ER281)))))</f>
        <v>Аммофос 12:52:00</v>
      </c>
      <c r="CI281" s="274">
        <f>IF(Расчет!$CH281="Нет","Нет",IF(Исходн.данные.!$AL281&gt;0,VLOOKUP(Расчет!$CH281,АшламаДВ_Irekle,2,FALSE),VLOOKUP(Расчет!$CH281,АшламаДВ_Gomumy,2,FALSE)))</f>
        <v>0.12</v>
      </c>
      <c r="CJ281" s="274">
        <f>IF(Расчет!$CH281="Нет","Нет",IF(Исходн.данные.!$AL281&gt;0,VLOOKUP(Расчет!$CH281,АшламаДВ_Irekle,3,FALSE),VLOOKUP(Расчет!$CH281,АшламаДВ_Gomumy,3,FALSE)))</f>
        <v>0.52</v>
      </c>
      <c r="CK281" s="274">
        <f>IF(Расчет!$CH281="Нет","Нет",IF(Исходн.данные.!$AL281&gt;0,VLOOKUP(Расчет!$CH281,АшламаДВ_Irekle,4,FALSE),VLOOKUP(Расчет!$CH281,АшламаДВ_Gomumy,4,FALSE)))</f>
        <v>0</v>
      </c>
      <c r="CL281" s="70"/>
      <c r="CM281" s="70"/>
      <c r="CN281" s="70"/>
      <c r="CO281" s="70"/>
      <c r="CP281" s="70"/>
      <c r="CQ281" s="70"/>
      <c r="CR281" s="10">
        <f t="shared" si="313"/>
        <v>0</v>
      </c>
      <c r="CS281" s="10">
        <f t="shared" si="314"/>
        <v>19.23076923076923</v>
      </c>
      <c r="CT281" s="10">
        <f t="shared" si="315"/>
        <v>0</v>
      </c>
      <c r="CU281" s="39">
        <f>IF($CH281="Нет",0,IF(CI281=0,30/MIN(CJ281:CK281),IF(Исходн.данные.!$AG281=$BV$11,CR281,IF(OR(Исходн.данные.!$AH281=$BQ$7,Исходн.данные.!$AH281=$BQ$8),90/CI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0,IF(Исходн.данные.!$AI281=$BU$11,"Нет",30/CI281))))))</f>
        <v>250</v>
      </c>
      <c r="CV281" s="39">
        <f>IF($CH281="Нет",0,IF(Исходн.данные.!AH281=0,0,IF(CJ281=0,60/MIN(CI281,CK281),IF(Исходн.данные.!$AG281=$BV$11,CS281,IF(OR(Исходн.данные.!$AH281=$BQ$7,Исходн.данные.!$AH281=$BQ$8),90/CJ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10/CJ281,IF(Исходн.данные.!$AI281=$BU$11,"Нет",60/CJ281)))))))</f>
        <v>0</v>
      </c>
      <c r="CW281" s="39">
        <f>IF($CH281="Нет",0,IF(Исходн.данные.!AH281=0,0,IF(CK281=0,30/MIN(CI281:CJ281),IF(Исходн.данные.!$AG281=$BV$11,CT281,IF(OR(Исходн.данные.!$AH281=$BQ$7,Исходн.данные.!$AH281=$BQ$8),90/CK281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0,IF(Исходн.данные.!$AI281=$BU$11,"Нет",30/CK281)))))))</f>
        <v>0</v>
      </c>
      <c r="CX281" s="133">
        <f>IF(Исходн.данные.!$AG281=$BV$11,MAX(CU281:CW281),IF(OR(Исходн.данные.!$AH281=$BS$8,Исходн.данные.!$AH281=$BQ$9,Исходн.данные.!$AH281=$BQ$10,Исходн.данные.!$AH281=$BQ$11,Исходн.данные.!$AH281=$BQ$12,Исходн.данные.!$AH281=$BP$3,Исходн.данные.!$AH281=$BT$8,$FM281="Да"),CV281,MIN(CU281:CW281)))</f>
        <v>0</v>
      </c>
      <c r="CY281" s="133">
        <f>IF(Исходн.данные.!AH281=0,0,IF(CR281&gt;$CX281,$CX281,CR281))</f>
        <v>0</v>
      </c>
      <c r="CZ281" s="133">
        <f>IF(Исходн.данные.!AH281=0,0,IF(CS281&gt;$CX281,$CX281,CS281))</f>
        <v>0</v>
      </c>
      <c r="DA281" s="133">
        <f>IF(Исходн.данные.!AH281=0,0,IF(CT281&gt;$CX281,$CX281,CT281))</f>
        <v>0</v>
      </c>
      <c r="DB281" s="10">
        <f t="shared" si="316"/>
        <v>0</v>
      </c>
      <c r="DC281" s="39">
        <f>DB281*Исходн.данные.!AJ281/1000</f>
        <v>0</v>
      </c>
      <c r="DD281" s="71">
        <f t="shared" si="317"/>
        <v>0</v>
      </c>
      <c r="DE281" s="9">
        <f t="shared" si="318"/>
        <v>0</v>
      </c>
      <c r="DF281" s="9">
        <f t="shared" si="319"/>
        <v>0</v>
      </c>
      <c r="DG281" s="39">
        <f>IF(BL281&lt;0,0,IF($CH281="Нет",BL281,IF(OR(Исходн.данные.!$AH281=$BP$1,Исходн.данные.!$AH281=$BP$2),0,IF(Исходн.данные.!AI281=$BU$11,BL281,IF(BL281-DD281&lt;0,0,BL281-DD281)))))</f>
        <v>0</v>
      </c>
      <c r="DH281" s="39">
        <f>IF(BM281&lt;0,0,IF($CH281="Нет",BM281,IF(OR(Исходн.данные.!$AH281=$BP$1,Исходн.данные.!$AH281=$BP$2),0,IF(Исходн.данные.!AJ281=$BU$11,BM281,IF(BM281-DE281&lt;0,0,BM281-DE281)))))</f>
        <v>0</v>
      </c>
      <c r="DI281" s="39">
        <f>IF(BN281&lt;0,0,IF($CH281="Нет",BN281,IF(OR(Исходн.данные.!$AH281=$BP$1,Исходн.данные.!$AH281=$BP$2),0,IF(Исходн.данные.!AK281=$BU$11,BN281,IF(BN281-DF281&lt;0,0,BN281-DF281)))))</f>
        <v>0</v>
      </c>
      <c r="DJ281" s="12">
        <f t="shared" si="320"/>
        <v>0</v>
      </c>
      <c r="DK281" s="9">
        <f t="shared" si="321"/>
        <v>0</v>
      </c>
      <c r="DL281" s="39">
        <f>IF(Исходн.данные.!AM281&gt;0,Исходн.данные.!AM281,IF(EG281&gt;0,$BH$10,0))</f>
        <v>0</v>
      </c>
      <c r="DM281" s="186">
        <f>IF($DL281=0,0,IF(Исходн.данные.!AM281&gt;0,VLOOKUP($DL281,АшламаДВ_Irekle,2,FALSE),VLOOKUP($DL281,АшламаДВ_Gomumy,2,FALSE)))</f>
        <v>0</v>
      </c>
      <c r="DN281" s="10">
        <f t="shared" si="373"/>
        <v>0</v>
      </c>
      <c r="DO281" s="9" t="str">
        <f>IF(Исходн.данные.!AN281&gt;0,Исходн.данные.!AN281,Удобрения!$B$37 )</f>
        <v>Хлор.калий</v>
      </c>
      <c r="DP281" s="9">
        <f>IF(Исходн.данные.!AN281&gt;0,VLOOKUP(Исходн.данные.!AN281,АшламаДВ_Irekle,4,FALSE),VLOOKUP(DO281,АшламаДВ_Gomumy,4,FALSE))</f>
        <v>0.6</v>
      </c>
      <c r="DQ281" s="10">
        <f t="shared" si="374"/>
        <v>0</v>
      </c>
      <c r="DR281" s="132" t="str">
        <f>IF(Исходн.данные.!AO281&gt;0,Исходн.данные.!AO281,IF(DH281=0,BS$17,IF(AND($DK281=0,$DJ281&gt;0),EJ281,EN281)))</f>
        <v>Нет</v>
      </c>
      <c r="DS281" s="70" t="str">
        <f>IF($DR281="Нет","Нет",IF(Исходн.данные.!$AO281&gt;0,VLOOKUP($DR281,АшламаДВ_Irekle,2,FALSE),VLOOKUP($DR281,АшламаДВ_Gomumy,2,FALSE)))</f>
        <v>Нет</v>
      </c>
      <c r="DT281" s="70" t="str">
        <f>IF($DR281="Нет","Нет",IF(Исходн.данные.!$AO281&gt;0,VLOOKUP($DR281,АшламаДВ_Irekle,3,FALSE),VLOOKUP($DR281,АшламаДВ_Gomumy,3,FALSE)))</f>
        <v>Нет</v>
      </c>
      <c r="DU281" s="70" t="str">
        <f>IF($DR281="Нет","Нет",IF(Исходн.данные.!$AO281&gt;0,VLOOKUP($DR281,АшламаДВ_Irekle,4,FALSE),VLOOKUP($DR281,АшламаДВ_Gomumy,4,FALSE)))</f>
        <v>Нет</v>
      </c>
      <c r="DV281" s="70"/>
      <c r="DW281" s="70"/>
      <c r="DX281" s="70"/>
      <c r="DY281" s="10">
        <f t="shared" si="322"/>
        <v>0</v>
      </c>
      <c r="DZ281" s="10">
        <f t="shared" si="323"/>
        <v>0</v>
      </c>
      <c r="EA281" s="10">
        <f t="shared" si="324"/>
        <v>0</v>
      </c>
      <c r="EB281" s="10">
        <f t="shared" si="325"/>
        <v>0</v>
      </c>
      <c r="EC281" s="10">
        <f t="shared" si="326"/>
        <v>0</v>
      </c>
      <c r="ED281" s="10">
        <f t="shared" si="327"/>
        <v>0</v>
      </c>
      <c r="EE281" s="10">
        <f t="shared" si="328"/>
        <v>0</v>
      </c>
      <c r="EF281" s="39">
        <f>EB281*Исходн.данные.!AJ281/1000</f>
        <v>0</v>
      </c>
      <c r="EG281" s="9">
        <f t="shared" si="329"/>
        <v>0</v>
      </c>
      <c r="EH281" s="9">
        <f t="shared" si="330"/>
        <v>0</v>
      </c>
      <c r="EI281" s="39" t="e">
        <f t="shared" si="354"/>
        <v>#DIV/0!</v>
      </c>
      <c r="EJ281" s="9" t="str">
        <f t="shared" si="375"/>
        <v>Азопреципитат</v>
      </c>
      <c r="EK281" s="12">
        <f t="shared" si="355"/>
        <v>0.26</v>
      </c>
      <c r="EL281" s="12">
        <f t="shared" si="356"/>
        <v>0.13</v>
      </c>
      <c r="EM281" s="12">
        <f t="shared" si="357"/>
        <v>0</v>
      </c>
      <c r="EN281" s="12" t="str">
        <f t="shared" si="376"/>
        <v>Нет</v>
      </c>
      <c r="EO281" s="12">
        <f t="shared" si="358"/>
        <v>0</v>
      </c>
      <c r="EP281" s="12">
        <f t="shared" si="359"/>
        <v>0</v>
      </c>
      <c r="EQ281" s="12">
        <f t="shared" si="360"/>
        <v>0</v>
      </c>
      <c r="ER281" s="12" t="str">
        <f t="shared" si="331"/>
        <v>Диаммофоска</v>
      </c>
      <c r="ES281" s="12">
        <f t="shared" si="361"/>
        <v>0.1</v>
      </c>
      <c r="ET281" s="12">
        <f t="shared" si="362"/>
        <v>0.26</v>
      </c>
      <c r="EU281" s="12">
        <f t="shared" si="363"/>
        <v>0.26</v>
      </c>
      <c r="EV281" s="12" t="str">
        <f t="shared" si="332"/>
        <v>Аммофос 12:52:00</v>
      </c>
      <c r="EW281" s="12" t="str">
        <f t="shared" si="333"/>
        <v>Кемира Свекловичное-6</v>
      </c>
      <c r="EX281" s="12">
        <f t="shared" si="364"/>
        <v>0.16</v>
      </c>
      <c r="EY281" s="12">
        <f t="shared" si="365"/>
        <v>0.12</v>
      </c>
      <c r="EZ281" s="12">
        <f t="shared" si="366"/>
        <v>0.17</v>
      </c>
      <c r="FA281" s="38" t="e">
        <f>IF(AND(OR(FJ281=$FD$1,FM281=$FD$1,FO281=$FD$1,FQ281=$FD$1,FS281=$FD$1),FD281=$FD$1,Исходн.данные.!J281&lt;2,FU281=$FD$1),"Бор,Кобальт",IF(AND(FO281=$FD$1,FH281=$FD$1,Исходн.данные.!J281&lt;2,FU281=$FD$1),"Бор,Кобальт",IF(AND(OR(FJ281=$FD$1,FM281=$FD$1,FQ281=$FD$1),FE281=$FD$1,Исходн.данные.!J281&lt;2,FT281=$FD$1,FU281=$FD$1),"Бор,Медь,Цинк",IF(AND(OR(FJ281=$FD$1,FR281="Да"),FI281="Да",Исходн.данные.!J281&lt;2,FT281="Да",FU281="Да"),"Бор,Цинк,Медь",IF(AND(OR(FM281="Да",FQ281="Да"),FI281="Да",Исходн.данные.!J281&lt;2,FT281="Да",FU281="Да"),"Бор,Цинк",IF(AND(FN281="Да",OR(FD281="Да",FE281="Да")),"Бор",FB281))))))</f>
        <v>#N/A</v>
      </c>
      <c r="FB281" s="134" t="e">
        <f>IF(AND(OR(FD281="Да",FE281="Да",FF281="Да",FG281="Да",FH281="Да"),FO281="Да"),"Бор",IF(AND(FP281="Да",OR(FD281="Да",FE281="Да",FI281="Да")),"Бор",IF(AND(FS281="Да",FE281="Да"),"Бор,Медь",IF(AND(OR(FJ281="Да",FK281="Да",FL281="Да"),FE281="Да",Исходн.данные.!I281&lt;5,FT281="Да",FU281="Да"),"Молибден,Цинк",IF(AND(FM281="Да",OR(FE281="Да",FF281="Да",FG281="Да",FH281="Да",FI281="Да")),"Молибден,Цинк",IF(AND(OR(FJ281="Да",FK281="Да",FL281="Да",FM281="Да",FQ281="Да"),OR(FE281="Да",FF281="Да"),FT281="Да",FU281="Да",Исходн.данные.!I281&gt;5.5),"Медь,Цинк",FC281))))))</f>
        <v>#N/A</v>
      </c>
      <c r="FC281" s="23" t="e">
        <f t="shared" si="334"/>
        <v>#N/A</v>
      </c>
      <c r="FD281" s="38" t="str">
        <f>IF(OR(Исходн.данные.!F281=$CC$1,Исходн.данные.!F281=$CC$2,Исходн.данные.!F281=$CC$3,Исходн.данные.!F281=$CC$4),"Да","Нет")</f>
        <v>Нет</v>
      </c>
      <c r="FE281" s="38" t="str">
        <f>IF(Исходн.данные.!F281=$CC$5,"Да","Нет")</f>
        <v>Нет</v>
      </c>
      <c r="FF281" s="38" t="str">
        <f>IF(OR(Исходн.данные.!F281=$CC$6,Исходн.данные.!F281=$CC$7),"Да","Нет")</f>
        <v>Нет</v>
      </c>
      <c r="FG281" s="38" t="str">
        <f>IF(OR(Исходн.данные.!F281=$CC$8,Исходн.данные.!F281=$CC$9),"Да","Нет")</f>
        <v>Нет</v>
      </c>
      <c r="FH281" s="38" t="str">
        <f>IF(Исходн.данные.!F281=$CC$10,"Да","Нет")</f>
        <v>Нет</v>
      </c>
      <c r="FI281" s="38" t="str">
        <f>IF(OR(Исходн.данные.!F281=$CC$11,Исходн.данные.!F281=$CC$12),"Да","Нет")</f>
        <v>Нет</v>
      </c>
      <c r="FJ281" s="38" t="str">
        <f>IF(OR(Исходн.данные.!AH281=$BS$1,Исходн.данные.!AH281=$BQ$11,Исходн.данные.!AH281=$BQ$12),"Да","Нет")</f>
        <v>Нет</v>
      </c>
      <c r="FK281" s="38" t="str">
        <f>IF(OR(Исходн.данные.!AH281=$BS$2,Исходн.данные.!AH281=$BS$4),"Да","Нет")</f>
        <v>Нет</v>
      </c>
      <c r="FL281" s="38" t="str">
        <f>IF(OR(Исходн.данные.!AH281=$BS$3,Исходн.данные.!AH281=$BS$5),"Да","Нет")</f>
        <v>Нет</v>
      </c>
      <c r="FM281" s="38" t="str">
        <f>IF(OR(Исходн.данные.!AH281=$BS$9,Исходн.данные.!AH281=$BS$10,Исходн.данные.!AH281=$BS$11,Исходн.данные.!AH281=$BS$12),"Да","Нет")</f>
        <v>Нет</v>
      </c>
      <c r="FN281" s="38" t="str">
        <f>IF(OR(Исходн.данные.!AH281=$BS$6,Исходн.данные.!AH281=$BP$3),"Да","Нет")</f>
        <v>Нет</v>
      </c>
      <c r="FO281" s="38" t="str">
        <f>IF(Исходн.данные.!AH281=$BQ$9,"Да","Нет")</f>
        <v>Нет</v>
      </c>
      <c r="FP281" s="38" t="str">
        <f>IF(OR(Исходн.данные.!AH281=$BS$8,Исходн.данные.!AH281=$BT$8),"Да","Нет")</f>
        <v>Нет</v>
      </c>
      <c r="FQ281" s="38" t="str">
        <f>IF(OR(Исходн.данные.!AH281=$BQ$7,Исходн.данные.!AH281=$BQ$8),"Да","Нет")</f>
        <v>Нет</v>
      </c>
      <c r="FR281" s="38" t="str">
        <f>IF(Исходн.данные.!AI281=$BU$9,"Да","Нет")</f>
        <v>Нет</v>
      </c>
      <c r="FS281" s="38" t="str">
        <f>IF(OR(Исходн.данные.!AH281=$BP$1,Исходн.данные.!AH281=$BP$2),"Да","Нет")</f>
        <v>Нет</v>
      </c>
      <c r="FT281" s="38" t="e">
        <f>IF((Исходн.данные.!K281*GO281*GS281*GW281+BL281*0.6+Исходн.данные.!Q281*4.5*0.275)&gt;90,"Да","Нет")</f>
        <v>#N/A</v>
      </c>
      <c r="FU281" s="38" t="e">
        <f>IF((Исходн.данные.!M281*GS281*GZ281+BM281*0.225)&gt;35,"Да","Нет")</f>
        <v>#N/A</v>
      </c>
      <c r="FV281" s="38" t="str">
        <f>IF(Исходн.данные.!O281&gt;175,"Да","Нет")</f>
        <v>Нет</v>
      </c>
      <c r="FW281" s="39" t="str">
        <f>IF(Исходн.данные.!I281&gt;5.5,"Да","Нет")</f>
        <v>Нет</v>
      </c>
      <c r="FX281" s="39" t="str">
        <f>IF(Исходн.данные.!J281&lt;2,"Да","Нет")</f>
        <v>Да</v>
      </c>
      <c r="FY281" s="39" t="e">
        <f>IF(HF281=$FY$16,0,Исходн.данные.!K281*GO281*GS281*GW281/HF281)</f>
        <v>#N/A</v>
      </c>
      <c r="FZ281" s="39" t="e">
        <f>Исходн.данные.!M281*GS281*GZ281/HG281</f>
        <v>#N/A</v>
      </c>
      <c r="GA281" s="39" t="e">
        <f>IF(K_Wyn=$FY$16,0,IF(Исходн.данные.!N281=Исходн.данные.!$L$10,Исходн.данные.!O281/1.1*GS281*HC281/HH281,IF(Исходн.данные.!N281=Исходн.данные.!$L$12,Исходн.данные.!O281/1.5*GS281*HC281/HH281,Исходн.данные.!O281*GS281*HC281/HH281)))</f>
        <v>#N/A</v>
      </c>
      <c r="GB281" s="39" t="e">
        <f>IF(HF281=$FY$16,0,((Исходн.данные.!Q281*N_Org+Исходн.данные.!R281*N_Sider+Исходн.данные.!S281*N_Soloma)*AO281+Расчет!BC281*VLOOKUP(Исходн.данные.!T281,Справ!$A$3:$O$57,15)*AO281+BB281*VLOOKUP(Исходн.данные.!T281,Справ!$A$3:$O$57,15)*AL281+(Исходн.данные.!V281*N_Rizotorf+Исходн.данные.!W281*N_Rizoagr))/HF281)</f>
        <v>#N/A</v>
      </c>
      <c r="GC281" s="39" t="e">
        <f>IF(HG281=$FY$16,0,((Исходн.данные.!Q281*Р_Org+Исходн.данные.!R281*P_Sider+Исходн.данные.!S281*P_Soloma)*AP281+Расчет!BC281*VLOOKUP(Исходн.данные.!T281,Справ!$A$3:$P$57,16)*AP281+BB281*VLOOKUP(Исходн.данные.!T281,Справ!$A$3:$P$57,16)*AM281)/HG281)</f>
        <v>#N/A</v>
      </c>
      <c r="GD281" s="39" t="e">
        <f>IF(HH281=$FY$16,0,((Исходн.данные.!Q281*К_Org+Исходн.данные.!R281*K_Sider+Исходн.данные.!S281*K_Soloma)*AQ281+Расчет!BC281*VLOOKUP(Исходн.данные.!T281,Справ!$A$3:$Q$57,17)*AQ281+BB281*VLOOKUP(Исходн.данные.!T281,Справ!$A$3:$Q$57,17)*AN281)/HH281)</f>
        <v>#N/A</v>
      </c>
      <c r="GE281" s="39" t="e">
        <f>IF(HF281=$FY$16,0,(Исходн.данные.!X281*AR281+Исходн.данные.!AA281*N_Org*AL281+Исходн.данные.!AB281*N_Sider*AL281+Исходн.данные.!AC281*N_Soloma*AL281)/HF281)</f>
        <v>#N/A</v>
      </c>
      <c r="GF281" s="39" t="e">
        <f>IF(HG281=$FY$16,0,(Исходн.данные.!Y281*AS281+Исходн.данные.!AA281*Р_Org*AM281+Исходн.данные.!AB281*P_Sider*AM281+Исходн.данные.!AC281*P_Soloma*AM281)/HG281)</f>
        <v>#N/A</v>
      </c>
      <c r="GG281" s="39" t="e">
        <f>IF(HH281=$FY$16,0,(Исходн.данные.!Z281*AT281+Исходн.данные.!AA281*К_Org*AN281+Исходн.данные.!AB281*K_Sider*AN281+Исходн.данные.!AC281*K_Soloma*AN281)/HH281)</f>
        <v>#N/A</v>
      </c>
      <c r="GH281" s="39" t="e">
        <f>Исходн.данные.!AD281*AU281/HF281</f>
        <v>#N/A</v>
      </c>
      <c r="GI281" s="39" t="e">
        <f>Исходн.данные.!AE281*AV281/HG281</f>
        <v>#N/A</v>
      </c>
      <c r="GJ281" s="39" t="e">
        <f>Исходн.данные.!AF281*AW281/HH281</f>
        <v>#N/A</v>
      </c>
      <c r="GK281" s="55">
        <f>Исходн.данные.!AK281</f>
        <v>0</v>
      </c>
      <c r="GL281" s="11" t="e">
        <f t="shared" si="335"/>
        <v>#N/A</v>
      </c>
      <c r="GM281" s="11" t="e">
        <f t="shared" si="336"/>
        <v>#N/A</v>
      </c>
      <c r="GN281" s="11" t="e">
        <f t="shared" si="337"/>
        <v>#N/A</v>
      </c>
      <c r="GO281" s="57">
        <f t="shared" si="338"/>
        <v>19</v>
      </c>
      <c r="GP281" s="55">
        <f>IF(OR(Исходн.данные.!F281=$CE$1,Исходн.данные.!F281=$CE$2,Исходн.данные.!F281=$CE$3,Исходн.данные.!F281=$CE$4,Исходн.данные.!F281=$CE$5),GQ281,GR281)</f>
        <v>19</v>
      </c>
      <c r="GQ281" s="55">
        <f>IF(Исходн.данные.!F281=$CE$1,28,IF(Исходн.данные.!F281=$CE$2,26,IF(Исходн.данные.!F281=$CE$3,24,IF(Исходн.данные.!F281=$CE$4,22,IF(Исходн.данные.!F281=$CE$5,20,GR281)))))</f>
        <v>19</v>
      </c>
      <c r="GR281" s="55">
        <f>IF(Исходн.данные.!F281=$CE$6,18,IF(Исходн.данные.!F281=$CE$7,16,IF(Исходн.данные.!F281=$CE$8,14,IF(Исходн.данные.!F281=$CE$9,13,IF(Исходн.данные.!F281=$CE$10,12,19)))))</f>
        <v>19</v>
      </c>
      <c r="GS281" s="55">
        <f>IF(Исходн.данные.!G281="Пес",0.035*(40+2*Исходн.данные.!H281),IF(Исходн.данные.!G281="Суп",0.0325*(40+2*Исходн.данные.!H281),0.03*(40+2*Исходн.данные.!H281)))</f>
        <v>1.2</v>
      </c>
      <c r="GT281" s="55">
        <f>IF(Исходн.данные.!H281&lt;23,2.6,IF(AND(Исходн.данные.!H281&gt;22,Исходн.данные.!H281&lt;26),3,IF(AND(Исходн.данные.!H281&gt;25,Исходн.данные.!H281&lt;29),3.4,3.6)))</f>
        <v>2.6</v>
      </c>
      <c r="GU281" s="55">
        <f>IF(Исходн.данные.!H281&lt;23,2.8,IF(AND(Исходн.данные.!H281&gt;22,Исходн.данные.!H281&lt;26),3.2,IF(AND(Исходн.данные.!H281&gt;25,Исходн.данные.!H281&lt;29),3.6,3.9)))</f>
        <v>2.8</v>
      </c>
      <c r="GV281" s="55">
        <f>IF(Исходн.данные.!H281&lt;23,3,IF(AND(Исходн.данные.!H281&gt;22,Исходн.данные.!H281&lt;26),3.5,IF(AND(Исходн.данные.!H281&gt;25,Исходн.данные.!H281&lt;29),3.9,4.2)))</f>
        <v>3</v>
      </c>
      <c r="GW281" s="55" t="e">
        <f>IF(Исходн.данные.!P281="Ум",GX281,GY281)</f>
        <v>#N/A</v>
      </c>
      <c r="GX281" s="55" t="e">
        <f>VLOOKUP(Исходн.данные.!AI281,Коэффициенты!$J$7:$L$13,2,FALSE)</f>
        <v>#N/A</v>
      </c>
      <c r="GY281" s="55" t="e">
        <f>VLOOKUP(Исходн.данные.!AI281,Коэффициенты!$J$7:$L$13,3,FALSE)</f>
        <v>#N/A</v>
      </c>
      <c r="GZ281" s="55" t="e">
        <f>(IF(Исходн.данные.!M281&lt;50,0.11*VLOOKUP(Исходн.данные.!AH281,Культуры.Информация,7,FALSE),IF(Исходн.данные.!M281&gt;250,0.05*VLOOKUP(Исходн.данные.!AH281,Культуры.Информация,7,FALSE),VLOOKUP(Исходн.данные.!AH281,Культуры.Информация,5,FALSE)/100*($GX$6+$GY$6*Исходн.данные.!M281))))*Расчет2!AI281</f>
        <v>#N/A</v>
      </c>
      <c r="HA281" s="211"/>
      <c r="HB281" s="211"/>
      <c r="HC281" s="55" t="e">
        <f>(IF(Исходн.данные.!O281&lt;80,0.2*VLOOKUP(Исходн.данные.!AH281,Культуры.Информация,8,FALSE),IF(Исходн.данные.!O281&gt;240,0.09*VLOOKUP(Исходн.данные.!AH281,Культуры.Информация,8,FALSE),VLOOKUP(Исходн.данные.!AH281,Культуры.Информация,6,FALSE)/100*($HB$6+$HC$6*Исходн.данные.!O281))))*Расчет2!AJ281</f>
        <v>#N/A</v>
      </c>
      <c r="HD281" s="55">
        <f>IF(Исходн.данные.!O281&gt;240,0.09,IF(Исходн.данные.!O281&lt;30,0.3,$HE$10+$HD$10*Исходн.данные.!O281))</f>
        <v>0.3</v>
      </c>
      <c r="HE281" s="55">
        <f>IF(Исходн.данные.!O281&gt;240,0.17,IF(Исходн.данные.!O281&lt;30,0.5,$HF$12+$HE$12*Исходн.данные.!O281))</f>
        <v>0.5</v>
      </c>
      <c r="HF281" s="55" t="e">
        <f>VLOOKUP(Исходн.данные.!AH281,Справ!$A$3:$D$58,2,FALSE)</f>
        <v>#N/A</v>
      </c>
      <c r="HG281" s="55" t="e">
        <f>VLOOKUP(Исходн.данные.!AH281,Справ!$A$3:$D$58,3,FALSE)</f>
        <v>#N/A</v>
      </c>
      <c r="HH281" s="55" t="e">
        <f>VLOOKUP(Исходн.данные.!AH281,Справ!$A$3:$D$58,4,FALSE)</f>
        <v>#N/A</v>
      </c>
      <c r="HI281" s="11" t="e">
        <f t="shared" si="339"/>
        <v>#N/A</v>
      </c>
      <c r="HJ281" s="11" t="e">
        <f t="shared" si="340"/>
        <v>#N/A</v>
      </c>
      <c r="HK281" s="11" t="e">
        <f t="shared" si="341"/>
        <v>#N/A</v>
      </c>
      <c r="HL281" s="55">
        <f>IF(OR(Исходн.данные.!G281="Глин",Исходн.данные.!G281="Т_суг"),1.1,IF(Исходн.данные.!G281="Ср_суг",1,1))</f>
        <v>1</v>
      </c>
      <c r="HM281" s="55">
        <f>IF(OR(Исходн.данные.!G281="Глин",Исходн.данные.!G281="Т_суг"),0.9,IF(Исходн.данные.!G281="Ср_суг",1,1.2))</f>
        <v>1.2</v>
      </c>
      <c r="HN281" s="11" t="e">
        <f t="shared" si="342"/>
        <v>#N/A</v>
      </c>
      <c r="HO281" s="11" t="e">
        <f t="shared" si="343"/>
        <v>#N/A</v>
      </c>
      <c r="HP281" s="11" t="e">
        <f t="shared" si="344"/>
        <v>#N/A</v>
      </c>
      <c r="HQ281" t="e">
        <f t="shared" si="345"/>
        <v>#N/A</v>
      </c>
      <c r="HR281" t="e">
        <f t="shared" si="346"/>
        <v>#N/A</v>
      </c>
      <c r="HS281" t="e">
        <f t="shared" si="347"/>
        <v>#N/A</v>
      </c>
      <c r="HT281" t="e">
        <f t="shared" si="367"/>
        <v>#N/A</v>
      </c>
      <c r="HU281" t="e">
        <f t="shared" si="368"/>
        <v>#N/A</v>
      </c>
      <c r="HV281" t="e">
        <f t="shared" si="369"/>
        <v>#N/A</v>
      </c>
      <c r="HW281" t="e">
        <f t="shared" si="370"/>
        <v>#N/A</v>
      </c>
      <c r="HX281" t="e">
        <f t="shared" si="371"/>
        <v>#N/A</v>
      </c>
      <c r="HY281" t="e">
        <f t="shared" si="372"/>
        <v>#N/A</v>
      </c>
      <c r="HZ281" s="55">
        <f>IF(OR(Исходн.данные.!AI281="Оз_Ч_П",Исходн.данные.!AI281="Оз_З_П",Исходн.данные.!AI281="Яр_зер"),12,30)</f>
        <v>30</v>
      </c>
      <c r="IA281" t="e">
        <f t="shared" si="348"/>
        <v>#N/A</v>
      </c>
      <c r="IB281" t="e">
        <f t="shared" si="349"/>
        <v>#N/A</v>
      </c>
      <c r="IC281" t="e">
        <f t="shared" si="350"/>
        <v>#N/A</v>
      </c>
      <c r="ID281" s="11" t="e">
        <f t="shared" si="351"/>
        <v>#N/A</v>
      </c>
      <c r="IE281" s="11" t="e">
        <f t="shared" si="352"/>
        <v>#N/A</v>
      </c>
      <c r="IF281" s="11" t="e">
        <f t="shared" si="353"/>
        <v>#N/A</v>
      </c>
    </row>
    <row r="282" spans="35:240" x14ac:dyDescent="0.2">
      <c r="AI282">
        <f>IF(Исходн.данные.!I282&gt;6,1,1.85-(0.148*Исходн.данные.!I282))</f>
        <v>1.85</v>
      </c>
      <c r="AJ282">
        <f>IF(Исходн.данные.!I282&gt;6,1,2.434-(0.246*Исходн.данные.!I282))</f>
        <v>2.4340000000000002</v>
      </c>
      <c r="AL282" s="148" t="b">
        <f>IF(Исходн.данные.!$P282="Ум",N_OrgUd_2g_um,IF(Исходн.данные.!$P282="Об",N_OrgUd_2g_ob))</f>
        <v>0</v>
      </c>
      <c r="AM282" s="148" t="b">
        <f>IF(Исходн.данные.!$P282="Ум",P_OrgUd_2g_um,IF(Исходн.данные.!$P282="Об",P_OrgUd_2g_ob))</f>
        <v>0</v>
      </c>
      <c r="AN282" s="148" t="b">
        <f>IF(Исходн.данные.!$P282="Ум",K_OrgUd_2g_um,IF(Исходн.данные.!$P282="Об",K_OrgUd_2g_ob))</f>
        <v>0</v>
      </c>
      <c r="AO282" s="148" t="b">
        <f>IF(Исходн.данные.!$P282="Ум",N_OrgUd_1g_um,IF(Исходн.данные.!$P282="Об",N_OrgUd_1g_ob))</f>
        <v>0</v>
      </c>
      <c r="AP282" s="148" t="b">
        <f>IF(Исходн.данные.!$P282="Ум",P_OrgUd_1g_um,IF(Исходн.данные.!$P282="Об",P_OrgUd_1g_ob))</f>
        <v>0</v>
      </c>
      <c r="AQ282" s="148" t="b">
        <f>IF(Исходн.данные.!$P282="Ум",K_OrgUd_1g_um,IF(Исходн.данные.!$P282="Об",K_OrgUd_1g_ob))</f>
        <v>0</v>
      </c>
      <c r="AR282" t="b">
        <f>IF(Исходн.данные.!$P282="Ум",N_MinUd_2g_um,IF(Исходн.данные.!$P282="Об",N_MinUd_2g_ob))</f>
        <v>0</v>
      </c>
      <c r="AS282" t="b">
        <f>IF(Исходн.данные.!$P282="Ум",P_MinUd_2g_um,IF(Исходн.данные.!$P282="Об",P_MinUd_2g_ob))</f>
        <v>0</v>
      </c>
      <c r="AT282" t="b">
        <f>IF(Исходн.данные.!$P282="Ум",K_MinUd_2g_um,IF(Исходн.данные.!$P282="Об",K_MinUd_2g_ob))</f>
        <v>0</v>
      </c>
      <c r="AU282" t="b">
        <f>IF(Исходн.данные.!$P282="Ум",N_MinUd_1g_um,IF(Исходн.данные.!$P282="Об",N_MinUd_1g_ob))</f>
        <v>0</v>
      </c>
      <c r="AV282" t="b">
        <f>IF(Исходн.данные.!P282="Ум",P_MinUd_1g_um,IF(Исходн.данные.!P282="Об",P_MinUd_1g_ob))</f>
        <v>0</v>
      </c>
      <c r="AW282" t="b">
        <f>IF(Исходн.данные.!P282="Ум",K_MinUd_1g_um,IF(Исходн.данные.!P282="Об",K_MinUd_1g_ob))</f>
        <v>0</v>
      </c>
      <c r="AY282" t="e">
        <f>VLOOKUP(Исходн.данные.!T282,Справ!$A$3:$N$57,12)</f>
        <v>#N/A</v>
      </c>
      <c r="AZ282" t="e">
        <f>VLOOKUP(Исходн.данные.!T282,Справ!$A$3:$N$57,13)</f>
        <v>#N/A</v>
      </c>
      <c r="BA282" t="e">
        <f>VLOOKUP(Исходн.данные.!T282,Справ!$A$3:$N$57,14)</f>
        <v>#N/A</v>
      </c>
      <c r="BB282">
        <f>IF(Исходн.данные.!AH282=0,0,25)</f>
        <v>0</v>
      </c>
      <c r="BC282" s="141">
        <f>IF(Исходн.данные.!AH282=0,0,IF(Исходн.данные.!T282=0,25,BD282))</f>
        <v>0</v>
      </c>
      <c r="BD282" s="168" t="e">
        <f>AY282+AZ282*Исходн.данные.!U282-POWER(BA282,2)*Исходн.данные.!U282</f>
        <v>#N/A</v>
      </c>
      <c r="BE28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2" s="25">
        <f>IF(Исходн.данные.!AH282=0,0,MIN(HN282:HP282))</f>
        <v>0</v>
      </c>
      <c r="BG282" s="9">
        <f>IF(Исходн.данные.!AH282=0,0,IF((HO282+10*0.25/HG282/HL282)&lt;17,17,HO282+10*0.25/HG282/HL282))</f>
        <v>0</v>
      </c>
      <c r="BH282" s="181">
        <f>IF(Исходн.данные.!AH282=0,0,HW282*HF282*HL282/AU282*AI282+Исходн.данные.!S282*10)</f>
        <v>0</v>
      </c>
      <c r="BI282" s="10"/>
      <c r="BJ282" s="182">
        <f>IF(Исходн.данные.!AH282=0,0,IF(HX282*HG282*HL282/AV282&lt;0,0,HX282*HG282*HL282/AV282*AJ282))</f>
        <v>0</v>
      </c>
      <c r="BK282" s="182">
        <f>IF(Исходн.данные.!AH282=0,0,HY282*HH282*HM282/AW282)</f>
        <v>0</v>
      </c>
      <c r="BL282" s="10">
        <f>IF(OR(Исходн.данные.!$AH282=$BP$1,Исходн.данные.!$AH282=$BP$2),0,IF(BH282&lt;0,0,IF(OR(Исходн.данные.!T282=Расчет!$BP$1,Исходн.данные.!T282=Расчет!$BP$2,Исходн.данные.!T282=Расчет!$BT$5,Исходн.данные.!T282=Расчет!$BT$6),BH282*0.5,IF(OR(Исходн.данные.!T282=Расчет!$BS$9,Исходн.данные.!T282=Расчет!$BS$10,Исходн.данные.!T282=Расчет!$BS$11,Исходн.данные.!T282=Расчет!$BS$12,Исходн.данные.!T282=Расчет!$BP$5),BH282*0.8,BH282))))</f>
        <v>0</v>
      </c>
      <c r="BM282" s="10">
        <f>IF(OR(Исходн.данные.!$AH282=$BP$1,Исходн.данные.!$AH282=$BP$2),0,IF(BJ282&lt;0,0,IF(Исходн.данные.!I282&lt;4.5,BJ282*1.2,IF(Исходн.данные.!I282&gt;5.1,BJ282,BJ282*((5.1-Исходн.данные.!I282)*0.333+1)))))</f>
        <v>0</v>
      </c>
      <c r="BN282" s="10">
        <f>IF(OR(Исходн.данные.!$AH282=$BP$1,Исходн.данные.!$AH282=$BP$2),60-Исходн.данные.!AF282,IF(BK282&lt;0,0,IF(Исходн.данные.!I282&lt;4.5,BK282*1.2,IF(Исходн.данные.!I282&gt;5.1,BK282,BK282*((5.1-Исходн.данные.!I282)*0.333+1)))))</f>
        <v>0</v>
      </c>
      <c r="BO282" s="9">
        <f>IF(BL282&lt;0,0,BL282*Исходн.данные.!$AJ282/1000)</f>
        <v>0</v>
      </c>
      <c r="BP282" s="9">
        <f>IF(BM282&lt;0,0,BM282*Исходн.данные.!$AJ282/1000)</f>
        <v>0</v>
      </c>
      <c r="BQ282" s="9">
        <f>IF(BN282&lt;0,0,BN282*Исходн.данные.!$AJ282/1000)</f>
        <v>0</v>
      </c>
      <c r="BR282" s="9">
        <f t="shared" si="303"/>
        <v>0</v>
      </c>
      <c r="BS282" s="10" t="str">
        <f t="shared" si="304"/>
        <v>Аммофос 12:52:00</v>
      </c>
      <c r="BT282" s="10" t="str">
        <f t="shared" si="305"/>
        <v>Аммофос 12:52:00</v>
      </c>
      <c r="BU282" s="10" t="str">
        <f t="shared" si="306"/>
        <v>Диаммофоска</v>
      </c>
      <c r="BV282" s="10">
        <f t="shared" si="307"/>
        <v>0</v>
      </c>
      <c r="BW282" s="10"/>
      <c r="BX282" s="10"/>
      <c r="BY282" s="9">
        <f>IF(BL282&lt;0,0,IF(OR(Исходн.данные.!AI282=Расчет!$BU$6,Исходн.данные.!AI282=Расчет!$BU$7),Расчет!BV282,IF(Исходн.данные.!$AG282=$BV$11,BL282,IF(OR(Исходн.данные.!$AH282=$BQ$7,Исходн.данные.!$AH282=$BQ$8),CB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0,IF(Исходн.данные.!$AI282=$BU$11,"Нет",IF(BL282&gt;30,30,BL282)))))))</f>
        <v>0</v>
      </c>
      <c r="BZ282" s="9">
        <f>IF(AND(Исходн.данные.!$AG282=$BV$11,BM282&lt;10),10,IF(Исходн.данные.!$AG282=$BV$11,BM282,IF(OR(Исходн.данные.!$AH282=$BQ$7,Исходн.данные.!$AH282=$BQ$8),CC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10,IF(Исходн.данные.!$AI282=$BU$11,"Нет",IF(BM282&gt;60,60,IF(BM282&lt;10,10,BM282)))))))</f>
        <v>10</v>
      </c>
      <c r="CA282" s="39">
        <f>IF(BN282&lt;0,0,IF(Исходн.данные.!$AG282=$BV$11,BN282,IF(OR(Исходн.данные.!$AH282=$BQ$7,Исходн.данные.!$AH282=$BQ$8),CD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0,IF(Исходн.данные.!$AI282=$BU$11,"Нет",IF(BN282&gt;30,30,BN282))))))</f>
        <v>0</v>
      </c>
      <c r="CB282" s="9">
        <f t="shared" si="308"/>
        <v>0</v>
      </c>
      <c r="CC282" s="9">
        <f t="shared" si="309"/>
        <v>0</v>
      </c>
      <c r="CD282" s="9">
        <f t="shared" si="310"/>
        <v>0</v>
      </c>
      <c r="CE282" s="12">
        <f t="shared" si="311"/>
        <v>10</v>
      </c>
      <c r="CF282" s="9">
        <f t="shared" si="312"/>
        <v>0</v>
      </c>
      <c r="CG282" s="9" t="s">
        <v>231</v>
      </c>
      <c r="CH282" s="132" t="str">
        <f>IF(Исходн.данные.!AP282=Расчет!$CI$16,"Нет",IF(Исходн.данные.!AL282&gt;0,Исходн.данные.!AL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BH$4,IF(OR(Исходн.данные.!AI282=Исходн.данные.!$AI$6,Исходн.данные.!AI282=Исходн.данные.!$AI$7),Расчет!BS282,IF(AND($CF282=0,$CE282&gt;0),EV282,ER282)))))</f>
        <v>Аммофос 12:52:00</v>
      </c>
      <c r="CI282" s="274">
        <f>IF(Расчет!$CH282="Нет","Нет",IF(Исходн.данные.!$AL282&gt;0,VLOOKUP(Расчет!$CH282,АшламаДВ_Irekle,2,FALSE),VLOOKUP(Расчет!$CH282,АшламаДВ_Gomumy,2,FALSE)))</f>
        <v>0.12</v>
      </c>
      <c r="CJ282" s="274">
        <f>IF(Расчет!$CH282="Нет","Нет",IF(Исходн.данные.!$AL282&gt;0,VLOOKUP(Расчет!$CH282,АшламаДВ_Irekle,3,FALSE),VLOOKUP(Расчет!$CH282,АшламаДВ_Gomumy,3,FALSE)))</f>
        <v>0.52</v>
      </c>
      <c r="CK282" s="274">
        <f>IF(Расчет!$CH282="Нет","Нет",IF(Исходн.данные.!$AL282&gt;0,VLOOKUP(Расчет!$CH282,АшламаДВ_Irekle,4,FALSE),VLOOKUP(Расчет!$CH282,АшламаДВ_Gomumy,4,FALSE)))</f>
        <v>0</v>
      </c>
      <c r="CL282" s="70"/>
      <c r="CM282" s="70"/>
      <c r="CN282" s="70"/>
      <c r="CO282" s="70"/>
      <c r="CP282" s="70"/>
      <c r="CQ282" s="70"/>
      <c r="CR282" s="10">
        <f t="shared" si="313"/>
        <v>0</v>
      </c>
      <c r="CS282" s="10">
        <f t="shared" si="314"/>
        <v>19.23076923076923</v>
      </c>
      <c r="CT282" s="10">
        <f t="shared" si="315"/>
        <v>0</v>
      </c>
      <c r="CU282" s="39">
        <f>IF($CH282="Нет",0,IF(CI282=0,30/MIN(CJ282:CK282),IF(Исходн.данные.!$AG282=$BV$11,CR282,IF(OR(Исходн.данные.!$AH282=$BQ$7,Исходн.данные.!$AH282=$BQ$8),90/CI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0,IF(Исходн.данные.!$AI282=$BU$11,"Нет",30/CI282))))))</f>
        <v>250</v>
      </c>
      <c r="CV282" s="39">
        <f>IF($CH282="Нет",0,IF(Исходн.данные.!AH282=0,0,IF(CJ282=0,60/MIN(CI282,CK282),IF(Исходн.данные.!$AG282=$BV$11,CS282,IF(OR(Исходн.данные.!$AH282=$BQ$7,Исходн.данные.!$AH282=$BQ$8),90/CJ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10/CJ282,IF(Исходн.данные.!$AI282=$BU$11,"Нет",60/CJ282)))))))</f>
        <v>0</v>
      </c>
      <c r="CW282" s="39">
        <f>IF($CH282="Нет",0,IF(Исходн.данные.!AH282=0,0,IF(CK282=0,30/MIN(CI282:CJ282),IF(Исходн.данные.!$AG282=$BV$11,CT282,IF(OR(Исходн.данные.!$AH282=$BQ$7,Исходн.данные.!$AH282=$BQ$8),90/CK282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0,IF(Исходн.данные.!$AI282=$BU$11,"Нет",30/CK282)))))))</f>
        <v>0</v>
      </c>
      <c r="CX282" s="133">
        <f>IF(Исходн.данные.!$AG282=$BV$11,MAX(CU282:CW282),IF(OR(Исходн.данные.!$AH282=$BS$8,Исходн.данные.!$AH282=$BQ$9,Исходн.данные.!$AH282=$BQ$10,Исходн.данные.!$AH282=$BQ$11,Исходн.данные.!$AH282=$BQ$12,Исходн.данные.!$AH282=$BP$3,Исходн.данные.!$AH282=$BT$8,$FM282="Да"),CV282,MIN(CU282:CW282)))</f>
        <v>0</v>
      </c>
      <c r="CY282" s="133">
        <f>IF(Исходн.данные.!AH282=0,0,IF(CR282&gt;$CX282,$CX282,CR282))</f>
        <v>0</v>
      </c>
      <c r="CZ282" s="133">
        <f>IF(Исходн.данные.!AH282=0,0,IF(CS282&gt;$CX282,$CX282,CS282))</f>
        <v>0</v>
      </c>
      <c r="DA282" s="133">
        <f>IF(Исходн.данные.!AH282=0,0,IF(CT282&gt;$CX282,$CX282,CT282))</f>
        <v>0</v>
      </c>
      <c r="DB282" s="10">
        <f t="shared" si="316"/>
        <v>0</v>
      </c>
      <c r="DC282" s="39">
        <f>DB282*Исходн.данные.!AJ282/1000</f>
        <v>0</v>
      </c>
      <c r="DD282" s="71">
        <f t="shared" si="317"/>
        <v>0</v>
      </c>
      <c r="DE282" s="9">
        <f t="shared" si="318"/>
        <v>0</v>
      </c>
      <c r="DF282" s="9">
        <f t="shared" si="319"/>
        <v>0</v>
      </c>
      <c r="DG282" s="39">
        <f>IF(BL282&lt;0,0,IF($CH282="Нет",BL282,IF(OR(Исходн.данные.!$AH282=$BP$1,Исходн.данные.!$AH282=$BP$2),0,IF(Исходн.данные.!AI282=$BU$11,BL282,IF(BL282-DD282&lt;0,0,BL282-DD282)))))</f>
        <v>0</v>
      </c>
      <c r="DH282" s="39">
        <f>IF(BM282&lt;0,0,IF($CH282="Нет",BM282,IF(OR(Исходн.данные.!$AH282=$BP$1,Исходн.данные.!$AH282=$BP$2),0,IF(Исходн.данные.!AJ282=$BU$11,BM282,IF(BM282-DE282&lt;0,0,BM282-DE282)))))</f>
        <v>0</v>
      </c>
      <c r="DI282" s="39">
        <f>IF(BN282&lt;0,0,IF($CH282="Нет",BN282,IF(OR(Исходн.данные.!$AH282=$BP$1,Исходн.данные.!$AH282=$BP$2),0,IF(Исходн.данные.!AK282=$BU$11,BN282,IF(BN282-DF282&lt;0,0,BN282-DF282)))))</f>
        <v>0</v>
      </c>
      <c r="DJ282" s="12">
        <f t="shared" si="320"/>
        <v>0</v>
      </c>
      <c r="DK282" s="9">
        <f t="shared" si="321"/>
        <v>0</v>
      </c>
      <c r="DL282" s="39">
        <f>IF(Исходн.данные.!AM282&gt;0,Исходн.данные.!AM282,IF(EG282&gt;0,$BH$10,0))</f>
        <v>0</v>
      </c>
      <c r="DM282" s="186">
        <f>IF($DL282=0,0,IF(Исходн.данные.!AM282&gt;0,VLOOKUP($DL282,АшламаДВ_Irekle,2,FALSE),VLOOKUP($DL282,АшламаДВ_Gomumy,2,FALSE)))</f>
        <v>0</v>
      </c>
      <c r="DN282" s="10">
        <f t="shared" si="373"/>
        <v>0</v>
      </c>
      <c r="DO282" s="9" t="str">
        <f>IF(Исходн.данные.!AN282&gt;0,Исходн.данные.!AN282,Удобрения!$B$37 )</f>
        <v>Хлор.калий</v>
      </c>
      <c r="DP282" s="9">
        <f>IF(Исходн.данные.!AN282&gt;0,VLOOKUP(Исходн.данные.!AN282,АшламаДВ_Irekle,4,FALSE),VLOOKUP(DO282,АшламаДВ_Gomumy,4,FALSE))</f>
        <v>0.6</v>
      </c>
      <c r="DQ282" s="10">
        <f t="shared" si="374"/>
        <v>0</v>
      </c>
      <c r="DR282" s="132" t="str">
        <f>IF(Исходн.данные.!AO282&gt;0,Исходн.данные.!AO282,IF(DH282=0,BS$17,IF(AND($DK282=0,$DJ282&gt;0),EJ282,EN282)))</f>
        <v>Нет</v>
      </c>
      <c r="DS282" s="70" t="str">
        <f>IF($DR282="Нет","Нет",IF(Исходн.данные.!$AO282&gt;0,VLOOKUP($DR282,АшламаДВ_Irekle,2,FALSE),VLOOKUP($DR282,АшламаДВ_Gomumy,2,FALSE)))</f>
        <v>Нет</v>
      </c>
      <c r="DT282" s="70" t="str">
        <f>IF($DR282="Нет","Нет",IF(Исходн.данные.!$AO282&gt;0,VLOOKUP($DR282,АшламаДВ_Irekle,3,FALSE),VLOOKUP($DR282,АшламаДВ_Gomumy,3,FALSE)))</f>
        <v>Нет</v>
      </c>
      <c r="DU282" s="70" t="str">
        <f>IF($DR282="Нет","Нет",IF(Исходн.данные.!$AO282&gt;0,VLOOKUP($DR282,АшламаДВ_Irekle,4,FALSE),VLOOKUP($DR282,АшламаДВ_Gomumy,4,FALSE)))</f>
        <v>Нет</v>
      </c>
      <c r="DV282" s="70"/>
      <c r="DW282" s="70"/>
      <c r="DX282" s="70"/>
      <c r="DY282" s="10">
        <f t="shared" si="322"/>
        <v>0</v>
      </c>
      <c r="DZ282" s="10">
        <f t="shared" si="323"/>
        <v>0</v>
      </c>
      <c r="EA282" s="10">
        <f t="shared" si="324"/>
        <v>0</v>
      </c>
      <c r="EB282" s="10">
        <f t="shared" si="325"/>
        <v>0</v>
      </c>
      <c r="EC282" s="10">
        <f t="shared" si="326"/>
        <v>0</v>
      </c>
      <c r="ED282" s="10">
        <f t="shared" si="327"/>
        <v>0</v>
      </c>
      <c r="EE282" s="10">
        <f t="shared" si="328"/>
        <v>0</v>
      </c>
      <c r="EF282" s="39">
        <f>EB282*Исходн.данные.!AJ282/1000</f>
        <v>0</v>
      </c>
      <c r="EG282" s="9">
        <f t="shared" si="329"/>
        <v>0</v>
      </c>
      <c r="EH282" s="9">
        <f t="shared" si="330"/>
        <v>0</v>
      </c>
      <c r="EI282" s="39" t="e">
        <f t="shared" si="354"/>
        <v>#DIV/0!</v>
      </c>
      <c r="EJ282" s="9" t="str">
        <f t="shared" si="375"/>
        <v>Азопреципитат</v>
      </c>
      <c r="EK282" s="12">
        <f t="shared" si="355"/>
        <v>0.26</v>
      </c>
      <c r="EL282" s="12">
        <f t="shared" si="356"/>
        <v>0.13</v>
      </c>
      <c r="EM282" s="12">
        <f t="shared" si="357"/>
        <v>0</v>
      </c>
      <c r="EN282" s="12" t="str">
        <f t="shared" si="376"/>
        <v>Нет</v>
      </c>
      <c r="EO282" s="12">
        <f t="shared" si="358"/>
        <v>0</v>
      </c>
      <c r="EP282" s="12">
        <f t="shared" si="359"/>
        <v>0</v>
      </c>
      <c r="EQ282" s="12">
        <f t="shared" si="360"/>
        <v>0</v>
      </c>
      <c r="ER282" s="12" t="str">
        <f t="shared" si="331"/>
        <v>Диаммофоска</v>
      </c>
      <c r="ES282" s="12">
        <f t="shared" si="361"/>
        <v>0.1</v>
      </c>
      <c r="ET282" s="12">
        <f t="shared" si="362"/>
        <v>0.26</v>
      </c>
      <c r="EU282" s="12">
        <f t="shared" si="363"/>
        <v>0.26</v>
      </c>
      <c r="EV282" s="12" t="str">
        <f t="shared" si="332"/>
        <v>Аммофос 12:52:00</v>
      </c>
      <c r="EW282" s="12" t="str">
        <f t="shared" si="333"/>
        <v>Кемира Свекловичное-6</v>
      </c>
      <c r="EX282" s="12">
        <f t="shared" si="364"/>
        <v>0.16</v>
      </c>
      <c r="EY282" s="12">
        <f t="shared" si="365"/>
        <v>0.12</v>
      </c>
      <c r="EZ282" s="12">
        <f t="shared" si="366"/>
        <v>0.17</v>
      </c>
      <c r="FA282" s="38" t="e">
        <f>IF(AND(OR(FJ282=$FD$1,FM282=$FD$1,FO282=$FD$1,FQ282=$FD$1,FS282=$FD$1),FD282=$FD$1,Исходн.данные.!J282&lt;2,FU282=$FD$1),"Бор,Кобальт",IF(AND(FO282=$FD$1,FH282=$FD$1,Исходн.данные.!J282&lt;2,FU282=$FD$1),"Бор,Кобальт",IF(AND(OR(FJ282=$FD$1,FM282=$FD$1,FQ282=$FD$1),FE282=$FD$1,Исходн.данные.!J282&lt;2,FT282=$FD$1,FU282=$FD$1),"Бор,Медь,Цинк",IF(AND(OR(FJ282=$FD$1,FR282="Да"),FI282="Да",Исходн.данные.!J282&lt;2,FT282="Да",FU282="Да"),"Бор,Цинк,Медь",IF(AND(OR(FM282="Да",FQ282="Да"),FI282="Да",Исходн.данные.!J282&lt;2,FT282="Да",FU282="Да"),"Бор,Цинк",IF(AND(FN282="Да",OR(FD282="Да",FE282="Да")),"Бор",FB282))))))</f>
        <v>#N/A</v>
      </c>
      <c r="FB282" s="134" t="e">
        <f>IF(AND(OR(FD282="Да",FE282="Да",FF282="Да",FG282="Да",FH282="Да"),FO282="Да"),"Бор",IF(AND(FP282="Да",OR(FD282="Да",FE282="Да",FI282="Да")),"Бор",IF(AND(FS282="Да",FE282="Да"),"Бор,Медь",IF(AND(OR(FJ282="Да",FK282="Да",FL282="Да"),FE282="Да",Исходн.данные.!I282&lt;5,FT282="Да",FU282="Да"),"Молибден,Цинк",IF(AND(FM282="Да",OR(FE282="Да",FF282="Да",FG282="Да",FH282="Да",FI282="Да")),"Молибден,Цинк",IF(AND(OR(FJ282="Да",FK282="Да",FL282="Да",FM282="Да",FQ282="Да"),OR(FE282="Да",FF282="Да"),FT282="Да",FU282="Да",Исходн.данные.!I282&gt;5.5),"Медь,Цинк",FC282))))))</f>
        <v>#N/A</v>
      </c>
      <c r="FC282" s="23" t="e">
        <f t="shared" si="334"/>
        <v>#N/A</v>
      </c>
      <c r="FD282" s="38" t="str">
        <f>IF(OR(Исходн.данные.!F282=$CC$1,Исходн.данные.!F282=$CC$2,Исходн.данные.!F282=$CC$3,Исходн.данные.!F282=$CC$4),"Да","Нет")</f>
        <v>Нет</v>
      </c>
      <c r="FE282" s="38" t="str">
        <f>IF(Исходн.данные.!F282=$CC$5,"Да","Нет")</f>
        <v>Нет</v>
      </c>
      <c r="FF282" s="38" t="str">
        <f>IF(OR(Исходн.данные.!F282=$CC$6,Исходн.данные.!F282=$CC$7),"Да","Нет")</f>
        <v>Нет</v>
      </c>
      <c r="FG282" s="38" t="str">
        <f>IF(OR(Исходн.данные.!F282=$CC$8,Исходн.данные.!F282=$CC$9),"Да","Нет")</f>
        <v>Нет</v>
      </c>
      <c r="FH282" s="38" t="str">
        <f>IF(Исходн.данные.!F282=$CC$10,"Да","Нет")</f>
        <v>Нет</v>
      </c>
      <c r="FI282" s="38" t="str">
        <f>IF(OR(Исходн.данные.!F282=$CC$11,Исходн.данные.!F282=$CC$12),"Да","Нет")</f>
        <v>Нет</v>
      </c>
      <c r="FJ282" s="38" t="str">
        <f>IF(OR(Исходн.данные.!AH282=$BS$1,Исходн.данные.!AH282=$BQ$11,Исходн.данные.!AH282=$BQ$12),"Да","Нет")</f>
        <v>Нет</v>
      </c>
      <c r="FK282" s="38" t="str">
        <f>IF(OR(Исходн.данные.!AH282=$BS$2,Исходн.данные.!AH282=$BS$4),"Да","Нет")</f>
        <v>Нет</v>
      </c>
      <c r="FL282" s="38" t="str">
        <f>IF(OR(Исходн.данные.!AH282=$BS$3,Исходн.данные.!AH282=$BS$5),"Да","Нет")</f>
        <v>Нет</v>
      </c>
      <c r="FM282" s="38" t="str">
        <f>IF(OR(Исходн.данные.!AH282=$BS$9,Исходн.данные.!AH282=$BS$10,Исходн.данные.!AH282=$BS$11,Исходн.данные.!AH282=$BS$12),"Да","Нет")</f>
        <v>Нет</v>
      </c>
      <c r="FN282" s="38" t="str">
        <f>IF(OR(Исходн.данные.!AH282=$BS$6,Исходн.данные.!AH282=$BP$3),"Да","Нет")</f>
        <v>Нет</v>
      </c>
      <c r="FO282" s="38" t="str">
        <f>IF(Исходн.данные.!AH282=$BQ$9,"Да","Нет")</f>
        <v>Нет</v>
      </c>
      <c r="FP282" s="38" t="str">
        <f>IF(OR(Исходн.данные.!AH282=$BS$8,Исходн.данные.!AH282=$BT$8),"Да","Нет")</f>
        <v>Нет</v>
      </c>
      <c r="FQ282" s="38" t="str">
        <f>IF(OR(Исходн.данные.!AH282=$BQ$7,Исходн.данные.!AH282=$BQ$8),"Да","Нет")</f>
        <v>Нет</v>
      </c>
      <c r="FR282" s="38" t="str">
        <f>IF(Исходн.данные.!AI282=$BU$9,"Да","Нет")</f>
        <v>Нет</v>
      </c>
      <c r="FS282" s="38" t="str">
        <f>IF(OR(Исходн.данные.!AH282=$BP$1,Исходн.данные.!AH282=$BP$2),"Да","Нет")</f>
        <v>Нет</v>
      </c>
      <c r="FT282" s="38" t="e">
        <f>IF((Исходн.данные.!K282*GO282*GS282*GW282+BL282*0.6+Исходн.данные.!Q282*4.5*0.275)&gt;90,"Да","Нет")</f>
        <v>#N/A</v>
      </c>
      <c r="FU282" s="38" t="e">
        <f>IF((Исходн.данные.!M282*GS282*GZ282+BM282*0.225)&gt;35,"Да","Нет")</f>
        <v>#N/A</v>
      </c>
      <c r="FV282" s="38" t="str">
        <f>IF(Исходн.данные.!O282&gt;175,"Да","Нет")</f>
        <v>Нет</v>
      </c>
      <c r="FW282" s="39" t="str">
        <f>IF(Исходн.данные.!I282&gt;5.5,"Да","Нет")</f>
        <v>Нет</v>
      </c>
      <c r="FX282" s="39" t="str">
        <f>IF(Исходн.данные.!J282&lt;2,"Да","Нет")</f>
        <v>Да</v>
      </c>
      <c r="FY282" s="39" t="e">
        <f>IF(HF282=$FY$16,0,Исходн.данные.!K282*GO282*GS282*GW282/HF282)</f>
        <v>#N/A</v>
      </c>
      <c r="FZ282" s="39" t="e">
        <f>Исходн.данные.!M282*GS282*GZ282/HG282</f>
        <v>#N/A</v>
      </c>
      <c r="GA282" s="39" t="e">
        <f>IF(K_Wyn=$FY$16,0,IF(Исходн.данные.!N282=Исходн.данные.!$L$10,Исходн.данные.!O282/1.1*GS282*HC282/HH282,IF(Исходн.данные.!N282=Исходн.данные.!$L$12,Исходн.данные.!O282/1.5*GS282*HC282/HH282,Исходн.данные.!O282*GS282*HC282/HH282)))</f>
        <v>#N/A</v>
      </c>
      <c r="GB282" s="39" t="e">
        <f>IF(HF282=$FY$16,0,((Исходн.данные.!Q282*N_Org+Исходн.данные.!R282*N_Sider+Исходн.данные.!S282*N_Soloma)*AO282+Расчет!BC282*VLOOKUP(Исходн.данные.!T282,Справ!$A$3:$O$57,15)*AO282+BB282*VLOOKUP(Исходн.данные.!T282,Справ!$A$3:$O$57,15)*AL282+(Исходн.данные.!V282*N_Rizotorf+Исходн.данные.!W282*N_Rizoagr))/HF282)</f>
        <v>#N/A</v>
      </c>
      <c r="GC282" s="39" t="e">
        <f>IF(HG282=$FY$16,0,((Исходн.данные.!Q282*Р_Org+Исходн.данные.!R282*P_Sider+Исходн.данные.!S282*P_Soloma)*AP282+Расчет!BC282*VLOOKUP(Исходн.данные.!T282,Справ!$A$3:$P$57,16)*AP282+BB282*VLOOKUP(Исходн.данные.!T282,Справ!$A$3:$P$57,16)*AM282)/HG282)</f>
        <v>#N/A</v>
      </c>
      <c r="GD282" s="39" t="e">
        <f>IF(HH282=$FY$16,0,((Исходн.данные.!Q282*К_Org+Исходн.данные.!R282*K_Sider+Исходн.данные.!S282*K_Soloma)*AQ282+Расчет!BC282*VLOOKUP(Исходн.данные.!T282,Справ!$A$3:$Q$57,17)*AQ282+BB282*VLOOKUP(Исходн.данные.!T282,Справ!$A$3:$Q$57,17)*AN282)/HH282)</f>
        <v>#N/A</v>
      </c>
      <c r="GE282" s="39" t="e">
        <f>IF(HF282=$FY$16,0,(Исходн.данные.!X282*AR282+Исходн.данные.!AA282*N_Org*AL282+Исходн.данные.!AB282*N_Sider*AL282+Исходн.данные.!AC282*N_Soloma*AL282)/HF282)</f>
        <v>#N/A</v>
      </c>
      <c r="GF282" s="39" t="e">
        <f>IF(HG282=$FY$16,0,(Исходн.данные.!Y282*AS282+Исходн.данные.!AA282*Р_Org*AM282+Исходн.данные.!AB282*P_Sider*AM282+Исходн.данные.!AC282*P_Soloma*AM282)/HG282)</f>
        <v>#N/A</v>
      </c>
      <c r="GG282" s="39" t="e">
        <f>IF(HH282=$FY$16,0,(Исходн.данные.!Z282*AT282+Исходн.данные.!AA282*К_Org*AN282+Исходн.данные.!AB282*K_Sider*AN282+Исходн.данные.!AC282*K_Soloma*AN282)/HH282)</f>
        <v>#N/A</v>
      </c>
      <c r="GH282" s="39" t="e">
        <f>Исходн.данные.!AD282*AU282/HF282</f>
        <v>#N/A</v>
      </c>
      <c r="GI282" s="39" t="e">
        <f>Исходн.данные.!AE282*AV282/HG282</f>
        <v>#N/A</v>
      </c>
      <c r="GJ282" s="39" t="e">
        <f>Исходн.данные.!AF282*AW282/HH282</f>
        <v>#N/A</v>
      </c>
      <c r="GK282" s="55">
        <f>Исходн.данные.!AK282</f>
        <v>0</v>
      </c>
      <c r="GL282" s="11" t="e">
        <f t="shared" si="335"/>
        <v>#N/A</v>
      </c>
      <c r="GM282" s="11" t="e">
        <f t="shared" si="336"/>
        <v>#N/A</v>
      </c>
      <c r="GN282" s="11" t="e">
        <f t="shared" si="337"/>
        <v>#N/A</v>
      </c>
      <c r="GO282" s="57">
        <f t="shared" si="338"/>
        <v>19</v>
      </c>
      <c r="GP282" s="55">
        <f>IF(OR(Исходн.данные.!F282=$CE$1,Исходн.данные.!F282=$CE$2,Исходн.данные.!F282=$CE$3,Исходн.данные.!F282=$CE$4,Исходн.данные.!F282=$CE$5),GQ282,GR282)</f>
        <v>19</v>
      </c>
      <c r="GQ282" s="55">
        <f>IF(Исходн.данные.!F282=$CE$1,28,IF(Исходн.данные.!F282=$CE$2,26,IF(Исходн.данные.!F282=$CE$3,24,IF(Исходн.данные.!F282=$CE$4,22,IF(Исходн.данные.!F282=$CE$5,20,GR282)))))</f>
        <v>19</v>
      </c>
      <c r="GR282" s="55">
        <f>IF(Исходн.данные.!F282=$CE$6,18,IF(Исходн.данные.!F282=$CE$7,16,IF(Исходн.данные.!F282=$CE$8,14,IF(Исходн.данные.!F282=$CE$9,13,IF(Исходн.данные.!F282=$CE$10,12,19)))))</f>
        <v>19</v>
      </c>
      <c r="GS282" s="55">
        <f>IF(Исходн.данные.!G282="Пес",0.035*(40+2*Исходн.данные.!H282),IF(Исходн.данные.!G282="Суп",0.0325*(40+2*Исходн.данные.!H282),0.03*(40+2*Исходн.данные.!H282)))</f>
        <v>1.2</v>
      </c>
      <c r="GT282" s="55">
        <f>IF(Исходн.данные.!H282&lt;23,2.6,IF(AND(Исходн.данные.!H282&gt;22,Исходн.данные.!H282&lt;26),3,IF(AND(Исходн.данные.!H282&gt;25,Исходн.данные.!H282&lt;29),3.4,3.6)))</f>
        <v>2.6</v>
      </c>
      <c r="GU282" s="55">
        <f>IF(Исходн.данные.!H282&lt;23,2.8,IF(AND(Исходн.данные.!H282&gt;22,Исходн.данные.!H282&lt;26),3.2,IF(AND(Исходн.данные.!H282&gt;25,Исходн.данные.!H282&lt;29),3.6,3.9)))</f>
        <v>2.8</v>
      </c>
      <c r="GV282" s="55">
        <f>IF(Исходн.данные.!H282&lt;23,3,IF(AND(Исходн.данные.!H282&gt;22,Исходн.данные.!H282&lt;26),3.5,IF(AND(Исходн.данные.!H282&gt;25,Исходн.данные.!H282&lt;29),3.9,4.2)))</f>
        <v>3</v>
      </c>
      <c r="GW282" s="55" t="e">
        <f>IF(Исходн.данные.!P282="Ум",GX282,GY282)</f>
        <v>#N/A</v>
      </c>
      <c r="GX282" s="55" t="e">
        <f>VLOOKUP(Исходн.данные.!AI282,Коэффициенты!$J$7:$L$13,2,FALSE)</f>
        <v>#N/A</v>
      </c>
      <c r="GY282" s="55" t="e">
        <f>VLOOKUP(Исходн.данные.!AI282,Коэффициенты!$J$7:$L$13,3,FALSE)</f>
        <v>#N/A</v>
      </c>
      <c r="GZ282" s="55" t="e">
        <f>(IF(Исходн.данные.!M282&lt;50,0.11*VLOOKUP(Исходн.данные.!AH282,Культуры.Информация,7,FALSE),IF(Исходн.данные.!M282&gt;250,0.05*VLOOKUP(Исходн.данные.!AH282,Культуры.Информация,7,FALSE),VLOOKUP(Исходн.данные.!AH282,Культуры.Информация,5,FALSE)/100*($GX$6+$GY$6*Исходн.данные.!M282))))*Расчет2!AI282</f>
        <v>#N/A</v>
      </c>
      <c r="HA282" s="211"/>
      <c r="HB282" s="211"/>
      <c r="HC282" s="55" t="e">
        <f>(IF(Исходн.данные.!O282&lt;80,0.2*VLOOKUP(Исходн.данные.!AH282,Культуры.Информация,8,FALSE),IF(Исходн.данные.!O282&gt;240,0.09*VLOOKUP(Исходн.данные.!AH282,Культуры.Информация,8,FALSE),VLOOKUP(Исходн.данные.!AH282,Культуры.Информация,6,FALSE)/100*($HB$6+$HC$6*Исходн.данные.!O282))))*Расчет2!AJ282</f>
        <v>#N/A</v>
      </c>
      <c r="HD282" s="55">
        <f>IF(Исходн.данные.!O282&gt;240,0.09,IF(Исходн.данные.!O282&lt;30,0.3,$HE$10+$HD$10*Исходн.данные.!O282))</f>
        <v>0.3</v>
      </c>
      <c r="HE282" s="55">
        <f>IF(Исходн.данные.!O282&gt;240,0.17,IF(Исходн.данные.!O282&lt;30,0.5,$HF$12+$HE$12*Исходн.данные.!O282))</f>
        <v>0.5</v>
      </c>
      <c r="HF282" s="55" t="e">
        <f>VLOOKUP(Исходн.данные.!AH282,Справ!$A$3:$D$58,2,FALSE)</f>
        <v>#N/A</v>
      </c>
      <c r="HG282" s="55" t="e">
        <f>VLOOKUP(Исходн.данные.!AH282,Справ!$A$3:$D$58,3,FALSE)</f>
        <v>#N/A</v>
      </c>
      <c r="HH282" s="55" t="e">
        <f>VLOOKUP(Исходн.данные.!AH282,Справ!$A$3:$D$58,4,FALSE)</f>
        <v>#N/A</v>
      </c>
      <c r="HI282" s="11" t="e">
        <f t="shared" si="339"/>
        <v>#N/A</v>
      </c>
      <c r="HJ282" s="11" t="e">
        <f t="shared" si="340"/>
        <v>#N/A</v>
      </c>
      <c r="HK282" s="11" t="e">
        <f t="shared" si="341"/>
        <v>#N/A</v>
      </c>
      <c r="HL282" s="55">
        <f>IF(OR(Исходн.данные.!G282="Глин",Исходн.данные.!G282="Т_суг"),1.1,IF(Исходн.данные.!G282="Ср_суг",1,1))</f>
        <v>1</v>
      </c>
      <c r="HM282" s="55">
        <f>IF(OR(Исходн.данные.!G282="Глин",Исходн.данные.!G282="Т_суг"),0.9,IF(Исходн.данные.!G282="Ср_суг",1,1.2))</f>
        <v>1.2</v>
      </c>
      <c r="HN282" s="11" t="e">
        <f t="shared" si="342"/>
        <v>#N/A</v>
      </c>
      <c r="HO282" s="11" t="e">
        <f t="shared" si="343"/>
        <v>#N/A</v>
      </c>
      <c r="HP282" s="11" t="e">
        <f t="shared" si="344"/>
        <v>#N/A</v>
      </c>
      <c r="HQ282" t="e">
        <f t="shared" si="345"/>
        <v>#N/A</v>
      </c>
      <c r="HR282" t="e">
        <f t="shared" si="346"/>
        <v>#N/A</v>
      </c>
      <c r="HS282" t="e">
        <f t="shared" si="347"/>
        <v>#N/A</v>
      </c>
      <c r="HT282" t="e">
        <f t="shared" si="367"/>
        <v>#N/A</v>
      </c>
      <c r="HU282" t="e">
        <f t="shared" si="368"/>
        <v>#N/A</v>
      </c>
      <c r="HV282" t="e">
        <f t="shared" si="369"/>
        <v>#N/A</v>
      </c>
      <c r="HW282" t="e">
        <f t="shared" si="370"/>
        <v>#N/A</v>
      </c>
      <c r="HX282" t="e">
        <f t="shared" si="371"/>
        <v>#N/A</v>
      </c>
      <c r="HY282" t="e">
        <f t="shared" si="372"/>
        <v>#N/A</v>
      </c>
      <c r="HZ282" s="55">
        <f>IF(OR(Исходн.данные.!AI282="Оз_Ч_П",Исходн.данные.!AI282="Оз_З_П",Исходн.данные.!AI282="Яр_зер"),12,30)</f>
        <v>30</v>
      </c>
      <c r="IA282" t="e">
        <f t="shared" si="348"/>
        <v>#N/A</v>
      </c>
      <c r="IB282" t="e">
        <f t="shared" si="349"/>
        <v>#N/A</v>
      </c>
      <c r="IC282" t="e">
        <f t="shared" si="350"/>
        <v>#N/A</v>
      </c>
      <c r="ID282" s="11" t="e">
        <f t="shared" si="351"/>
        <v>#N/A</v>
      </c>
      <c r="IE282" s="11" t="e">
        <f t="shared" si="352"/>
        <v>#N/A</v>
      </c>
      <c r="IF282" s="11" t="e">
        <f t="shared" si="353"/>
        <v>#N/A</v>
      </c>
    </row>
    <row r="283" spans="35:240" x14ac:dyDescent="0.2">
      <c r="AI283">
        <f>IF(Исходн.данные.!I283&gt;6,1,1.85-(0.148*Исходн.данные.!I283))</f>
        <v>1.85</v>
      </c>
      <c r="AJ283">
        <f>IF(Исходн.данные.!I283&gt;6,1,2.434-(0.246*Исходн.данные.!I283))</f>
        <v>2.4340000000000002</v>
      </c>
      <c r="AL283" s="148" t="b">
        <f>IF(Исходн.данные.!$P283="Ум",N_OrgUd_2g_um,IF(Исходн.данные.!$P283="Об",N_OrgUd_2g_ob))</f>
        <v>0</v>
      </c>
      <c r="AM283" s="148" t="b">
        <f>IF(Исходн.данные.!$P283="Ум",P_OrgUd_2g_um,IF(Исходн.данные.!$P283="Об",P_OrgUd_2g_ob))</f>
        <v>0</v>
      </c>
      <c r="AN283" s="148" t="b">
        <f>IF(Исходн.данные.!$P283="Ум",K_OrgUd_2g_um,IF(Исходн.данные.!$P283="Об",K_OrgUd_2g_ob))</f>
        <v>0</v>
      </c>
      <c r="AO283" s="148" t="b">
        <f>IF(Исходн.данные.!$P283="Ум",N_OrgUd_1g_um,IF(Исходн.данные.!$P283="Об",N_OrgUd_1g_ob))</f>
        <v>0</v>
      </c>
      <c r="AP283" s="148" t="b">
        <f>IF(Исходн.данные.!$P283="Ум",P_OrgUd_1g_um,IF(Исходн.данные.!$P283="Об",P_OrgUd_1g_ob))</f>
        <v>0</v>
      </c>
      <c r="AQ283" s="148" t="b">
        <f>IF(Исходн.данные.!$P283="Ум",K_OrgUd_1g_um,IF(Исходн.данные.!$P283="Об",K_OrgUd_1g_ob))</f>
        <v>0</v>
      </c>
      <c r="AR283" t="b">
        <f>IF(Исходн.данные.!$P283="Ум",N_MinUd_2g_um,IF(Исходн.данные.!$P283="Об",N_MinUd_2g_ob))</f>
        <v>0</v>
      </c>
      <c r="AS283" t="b">
        <f>IF(Исходн.данные.!$P283="Ум",P_MinUd_2g_um,IF(Исходн.данные.!$P283="Об",P_MinUd_2g_ob))</f>
        <v>0</v>
      </c>
      <c r="AT283" t="b">
        <f>IF(Исходн.данные.!$P283="Ум",K_MinUd_2g_um,IF(Исходн.данные.!$P283="Об",K_MinUd_2g_ob))</f>
        <v>0</v>
      </c>
      <c r="AU283" t="b">
        <f>IF(Исходн.данные.!$P283="Ум",N_MinUd_1g_um,IF(Исходн.данные.!$P283="Об",N_MinUd_1g_ob))</f>
        <v>0</v>
      </c>
      <c r="AV283" t="b">
        <f>IF(Исходн.данные.!P283="Ум",P_MinUd_1g_um,IF(Исходн.данные.!P283="Об",P_MinUd_1g_ob))</f>
        <v>0</v>
      </c>
      <c r="AW283" t="b">
        <f>IF(Исходн.данные.!P283="Ум",K_MinUd_1g_um,IF(Исходн.данные.!P283="Об",K_MinUd_1g_ob))</f>
        <v>0</v>
      </c>
      <c r="AY283" t="e">
        <f>VLOOKUP(Исходн.данные.!T283,Справ!$A$3:$N$57,12)</f>
        <v>#N/A</v>
      </c>
      <c r="AZ283" t="e">
        <f>VLOOKUP(Исходн.данные.!T283,Справ!$A$3:$N$57,13)</f>
        <v>#N/A</v>
      </c>
      <c r="BA283" t="e">
        <f>VLOOKUP(Исходн.данные.!T283,Справ!$A$3:$N$57,14)</f>
        <v>#N/A</v>
      </c>
      <c r="BB283">
        <f>IF(Исходн.данные.!AH283=0,0,25)</f>
        <v>0</v>
      </c>
      <c r="BC283" s="141">
        <f>IF(Исходн.данные.!AH283=0,0,IF(Исходн.данные.!T283=0,25,BD283))</f>
        <v>0</v>
      </c>
      <c r="BD283" s="168" t="e">
        <f>AY283+AZ283*Исходн.данные.!U283-POWER(BA283,2)*Исходн.данные.!U283</f>
        <v>#N/A</v>
      </c>
      <c r="BE28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3" s="25">
        <f>IF(Исходн.данные.!AH283=0,0,MIN(HN283:HP283))</f>
        <v>0</v>
      </c>
      <c r="BG283" s="9">
        <f>IF(Исходн.данные.!AH283=0,0,IF((HO283+10*0.25/HG283/HL283)&lt;17,17,HO283+10*0.25/HG283/HL283))</f>
        <v>0</v>
      </c>
      <c r="BH283" s="181">
        <f>IF(Исходн.данные.!AH283=0,0,HW283*HF283*HL283/AU283*AI283+Исходн.данные.!S283*10)</f>
        <v>0</v>
      </c>
      <c r="BI283" s="10"/>
      <c r="BJ283" s="182">
        <f>IF(Исходн.данные.!AH283=0,0,IF(HX283*HG283*HL283/AV283&lt;0,0,HX283*HG283*HL283/AV283*AJ283))</f>
        <v>0</v>
      </c>
      <c r="BK283" s="182">
        <f>IF(Исходн.данные.!AH283=0,0,HY283*HH283*HM283/AW283)</f>
        <v>0</v>
      </c>
      <c r="BL283" s="10">
        <f>IF(OR(Исходн.данные.!$AH283=$BP$1,Исходн.данные.!$AH283=$BP$2),0,IF(BH283&lt;0,0,IF(OR(Исходн.данные.!T283=Расчет!$BP$1,Исходн.данные.!T283=Расчет!$BP$2,Исходн.данные.!T283=Расчет!$BT$5,Исходн.данные.!T283=Расчет!$BT$6),BH283*0.5,IF(OR(Исходн.данные.!T283=Расчет!$BS$9,Исходн.данные.!T283=Расчет!$BS$10,Исходн.данные.!T283=Расчет!$BS$11,Исходн.данные.!T283=Расчет!$BS$12,Исходн.данные.!T283=Расчет!$BP$5),BH283*0.8,BH283))))</f>
        <v>0</v>
      </c>
      <c r="BM283" s="10">
        <f>IF(OR(Исходн.данные.!$AH283=$BP$1,Исходн.данные.!$AH283=$BP$2),0,IF(BJ283&lt;0,0,IF(Исходн.данные.!I283&lt;4.5,BJ283*1.2,IF(Исходн.данные.!I283&gt;5.1,BJ283,BJ283*((5.1-Исходн.данные.!I283)*0.333+1)))))</f>
        <v>0</v>
      </c>
      <c r="BN283" s="10">
        <f>IF(OR(Исходн.данные.!$AH283=$BP$1,Исходн.данные.!$AH283=$BP$2),60-Исходн.данные.!AF283,IF(BK283&lt;0,0,IF(Исходн.данные.!I283&lt;4.5,BK283*1.2,IF(Исходн.данные.!I283&gt;5.1,BK283,BK283*((5.1-Исходн.данные.!I283)*0.333+1)))))</f>
        <v>0</v>
      </c>
      <c r="BO283" s="9">
        <f>IF(BL283&lt;0,0,BL283*Исходн.данные.!$AJ283/1000)</f>
        <v>0</v>
      </c>
      <c r="BP283" s="9">
        <f>IF(BM283&lt;0,0,BM283*Исходн.данные.!$AJ283/1000)</f>
        <v>0</v>
      </c>
      <c r="BQ283" s="9">
        <f>IF(BN283&lt;0,0,BN283*Исходн.данные.!$AJ283/1000)</f>
        <v>0</v>
      </c>
      <c r="BR283" s="9">
        <f t="shared" si="303"/>
        <v>0</v>
      </c>
      <c r="BS283" s="10" t="str">
        <f t="shared" si="304"/>
        <v>Аммофос 12:52:00</v>
      </c>
      <c r="BT283" s="10" t="str">
        <f t="shared" si="305"/>
        <v>Аммофос 12:52:00</v>
      </c>
      <c r="BU283" s="10" t="str">
        <f t="shared" si="306"/>
        <v>Диаммофоска</v>
      </c>
      <c r="BV283" s="10">
        <f t="shared" si="307"/>
        <v>0</v>
      </c>
      <c r="BW283" s="10"/>
      <c r="BX283" s="10"/>
      <c r="BY283" s="9">
        <f>IF(BL283&lt;0,0,IF(OR(Исходн.данные.!AI283=Расчет!$BU$6,Исходн.данные.!AI283=Расчет!$BU$7),Расчет!BV283,IF(Исходн.данные.!$AG283=$BV$11,BL283,IF(OR(Исходн.данные.!$AH283=$BQ$7,Исходн.данные.!$AH283=$BQ$8),CB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0,IF(Исходн.данные.!$AI283=$BU$11,"Нет",IF(BL283&gt;30,30,BL283)))))))</f>
        <v>0</v>
      </c>
      <c r="BZ283" s="9">
        <f>IF(AND(Исходн.данные.!$AG283=$BV$11,BM283&lt;10),10,IF(Исходн.данные.!$AG283=$BV$11,BM283,IF(OR(Исходн.данные.!$AH283=$BQ$7,Исходн.данные.!$AH283=$BQ$8),CC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10,IF(Исходн.данные.!$AI283=$BU$11,"Нет",IF(BM283&gt;60,60,IF(BM283&lt;10,10,BM283)))))))</f>
        <v>10</v>
      </c>
      <c r="CA283" s="39">
        <f>IF(BN283&lt;0,0,IF(Исходн.данные.!$AG283=$BV$11,BN283,IF(OR(Исходн.данные.!$AH283=$BQ$7,Исходн.данные.!$AH283=$BQ$8),CD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0,IF(Исходн.данные.!$AI283=$BU$11,"Нет",IF(BN283&gt;30,30,BN283))))))</f>
        <v>0</v>
      </c>
      <c r="CB283" s="9">
        <f t="shared" si="308"/>
        <v>0</v>
      </c>
      <c r="CC283" s="9">
        <f t="shared" si="309"/>
        <v>0</v>
      </c>
      <c r="CD283" s="9">
        <f t="shared" si="310"/>
        <v>0</v>
      </c>
      <c r="CE283" s="12">
        <f t="shared" si="311"/>
        <v>10</v>
      </c>
      <c r="CF283" s="9">
        <f t="shared" si="312"/>
        <v>0</v>
      </c>
      <c r="CG283" s="9" t="s">
        <v>231</v>
      </c>
      <c r="CH283" s="132" t="str">
        <f>IF(Исходн.данные.!AP283=Расчет!$CI$16,"Нет",IF(Исходн.данные.!AL283&gt;0,Исходн.данные.!AL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BH$4,IF(OR(Исходн.данные.!AI283=Исходн.данные.!$AI$6,Исходн.данные.!AI283=Исходн.данные.!$AI$7),Расчет!BS283,IF(AND($CF283=0,$CE283&gt;0),EV283,ER283)))))</f>
        <v>Аммофос 12:52:00</v>
      </c>
      <c r="CI283" s="274">
        <f>IF(Расчет!$CH283="Нет","Нет",IF(Исходн.данные.!$AL283&gt;0,VLOOKUP(Расчет!$CH283,АшламаДВ_Irekle,2,FALSE),VLOOKUP(Расчет!$CH283,АшламаДВ_Gomumy,2,FALSE)))</f>
        <v>0.12</v>
      </c>
      <c r="CJ283" s="274">
        <f>IF(Расчет!$CH283="Нет","Нет",IF(Исходн.данные.!$AL283&gt;0,VLOOKUP(Расчет!$CH283,АшламаДВ_Irekle,3,FALSE),VLOOKUP(Расчет!$CH283,АшламаДВ_Gomumy,3,FALSE)))</f>
        <v>0.52</v>
      </c>
      <c r="CK283" s="274">
        <f>IF(Расчет!$CH283="Нет","Нет",IF(Исходн.данные.!$AL283&gt;0,VLOOKUP(Расчет!$CH283,АшламаДВ_Irekle,4,FALSE),VLOOKUP(Расчет!$CH283,АшламаДВ_Gomumy,4,FALSE)))</f>
        <v>0</v>
      </c>
      <c r="CL283" s="70"/>
      <c r="CM283" s="70"/>
      <c r="CN283" s="70"/>
      <c r="CO283" s="70"/>
      <c r="CP283" s="70"/>
      <c r="CQ283" s="70"/>
      <c r="CR283" s="10">
        <f t="shared" si="313"/>
        <v>0</v>
      </c>
      <c r="CS283" s="10">
        <f t="shared" si="314"/>
        <v>19.23076923076923</v>
      </c>
      <c r="CT283" s="10">
        <f t="shared" si="315"/>
        <v>0</v>
      </c>
      <c r="CU283" s="39">
        <f>IF($CH283="Нет",0,IF(CI283=0,30/MIN(CJ283:CK283),IF(Исходн.данные.!$AG283=$BV$11,CR283,IF(OR(Исходн.данные.!$AH283=$BQ$7,Исходн.данные.!$AH283=$BQ$8),90/CI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0,IF(Исходн.данные.!$AI283=$BU$11,"Нет",30/CI283))))))</f>
        <v>250</v>
      </c>
      <c r="CV283" s="39">
        <f>IF($CH283="Нет",0,IF(Исходн.данные.!AH283=0,0,IF(CJ283=0,60/MIN(CI283,CK283),IF(Исходн.данные.!$AG283=$BV$11,CS283,IF(OR(Исходн.данные.!$AH283=$BQ$7,Исходн.данные.!$AH283=$BQ$8),90/CJ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10/CJ283,IF(Исходн.данные.!$AI283=$BU$11,"Нет",60/CJ283)))))))</f>
        <v>0</v>
      </c>
      <c r="CW283" s="39">
        <f>IF($CH283="Нет",0,IF(Исходн.данные.!AH283=0,0,IF(CK283=0,30/MIN(CI283:CJ283),IF(Исходн.данные.!$AG283=$BV$11,CT283,IF(OR(Исходн.данные.!$AH283=$BQ$7,Исходн.данные.!$AH283=$BQ$8),90/CK283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0,IF(Исходн.данные.!$AI283=$BU$11,"Нет",30/CK283)))))))</f>
        <v>0</v>
      </c>
      <c r="CX283" s="133">
        <f>IF(Исходн.данные.!$AG283=$BV$11,MAX(CU283:CW283),IF(OR(Исходн.данные.!$AH283=$BS$8,Исходн.данные.!$AH283=$BQ$9,Исходн.данные.!$AH283=$BQ$10,Исходн.данные.!$AH283=$BQ$11,Исходн.данные.!$AH283=$BQ$12,Исходн.данные.!$AH283=$BP$3,Исходн.данные.!$AH283=$BT$8,$FM283="Да"),CV283,MIN(CU283:CW283)))</f>
        <v>0</v>
      </c>
      <c r="CY283" s="133">
        <f>IF(Исходн.данные.!AH283=0,0,IF(CR283&gt;$CX283,$CX283,CR283))</f>
        <v>0</v>
      </c>
      <c r="CZ283" s="133">
        <f>IF(Исходн.данные.!AH283=0,0,IF(CS283&gt;$CX283,$CX283,CS283))</f>
        <v>0</v>
      </c>
      <c r="DA283" s="133">
        <f>IF(Исходн.данные.!AH283=0,0,IF(CT283&gt;$CX283,$CX283,CT283))</f>
        <v>0</v>
      </c>
      <c r="DB283" s="10">
        <f t="shared" si="316"/>
        <v>0</v>
      </c>
      <c r="DC283" s="39">
        <f>DB283*Исходн.данные.!AJ283/1000</f>
        <v>0</v>
      </c>
      <c r="DD283" s="71">
        <f t="shared" si="317"/>
        <v>0</v>
      </c>
      <c r="DE283" s="9">
        <f t="shared" si="318"/>
        <v>0</v>
      </c>
      <c r="DF283" s="9">
        <f t="shared" si="319"/>
        <v>0</v>
      </c>
      <c r="DG283" s="39">
        <f>IF(BL283&lt;0,0,IF($CH283="Нет",BL283,IF(OR(Исходн.данные.!$AH283=$BP$1,Исходн.данные.!$AH283=$BP$2),0,IF(Исходн.данные.!AI283=$BU$11,BL283,IF(BL283-DD283&lt;0,0,BL283-DD283)))))</f>
        <v>0</v>
      </c>
      <c r="DH283" s="39">
        <f>IF(BM283&lt;0,0,IF($CH283="Нет",BM283,IF(OR(Исходн.данные.!$AH283=$BP$1,Исходн.данные.!$AH283=$BP$2),0,IF(Исходн.данные.!AJ283=$BU$11,BM283,IF(BM283-DE283&lt;0,0,BM283-DE283)))))</f>
        <v>0</v>
      </c>
      <c r="DI283" s="39">
        <f>IF(BN283&lt;0,0,IF($CH283="Нет",BN283,IF(OR(Исходн.данные.!$AH283=$BP$1,Исходн.данные.!$AH283=$BP$2),0,IF(Исходн.данные.!AK283=$BU$11,BN283,IF(BN283-DF283&lt;0,0,BN283-DF283)))))</f>
        <v>0</v>
      </c>
      <c r="DJ283" s="12">
        <f t="shared" si="320"/>
        <v>0</v>
      </c>
      <c r="DK283" s="9">
        <f t="shared" si="321"/>
        <v>0</v>
      </c>
      <c r="DL283" s="39">
        <f>IF(Исходн.данные.!AM283&gt;0,Исходн.данные.!AM283,IF(EG283&gt;0,$BH$10,0))</f>
        <v>0</v>
      </c>
      <c r="DM283" s="186">
        <f>IF($DL283=0,0,IF(Исходн.данные.!AM283&gt;0,VLOOKUP($DL283,АшламаДВ_Irekle,2,FALSE),VLOOKUP($DL283,АшламаДВ_Gomumy,2,FALSE)))</f>
        <v>0</v>
      </c>
      <c r="DN283" s="10">
        <f t="shared" si="373"/>
        <v>0</v>
      </c>
      <c r="DO283" s="9" t="str">
        <f>IF(Исходн.данные.!AN283&gt;0,Исходн.данные.!AN283,Удобрения!$B$37 )</f>
        <v>Хлор.калий</v>
      </c>
      <c r="DP283" s="9">
        <f>IF(Исходн.данные.!AN283&gt;0,VLOOKUP(Исходн.данные.!AN283,АшламаДВ_Irekle,4,FALSE),VLOOKUP(DO283,АшламаДВ_Gomumy,4,FALSE))</f>
        <v>0.6</v>
      </c>
      <c r="DQ283" s="10">
        <f t="shared" si="374"/>
        <v>0</v>
      </c>
      <c r="DR283" s="132" t="str">
        <f>IF(Исходн.данные.!AO283&gt;0,Исходн.данные.!AO283,IF(DH283=0,BS$17,IF(AND($DK283=0,$DJ283&gt;0),EJ283,EN283)))</f>
        <v>Нет</v>
      </c>
      <c r="DS283" s="70" t="str">
        <f>IF($DR283="Нет","Нет",IF(Исходн.данные.!$AO283&gt;0,VLOOKUP($DR283,АшламаДВ_Irekle,2,FALSE),VLOOKUP($DR283,АшламаДВ_Gomumy,2,FALSE)))</f>
        <v>Нет</v>
      </c>
      <c r="DT283" s="70" t="str">
        <f>IF($DR283="Нет","Нет",IF(Исходн.данные.!$AO283&gt;0,VLOOKUP($DR283,АшламаДВ_Irekle,3,FALSE),VLOOKUP($DR283,АшламаДВ_Gomumy,3,FALSE)))</f>
        <v>Нет</v>
      </c>
      <c r="DU283" s="70" t="str">
        <f>IF($DR283="Нет","Нет",IF(Исходн.данные.!$AO283&gt;0,VLOOKUP($DR283,АшламаДВ_Irekle,4,FALSE),VLOOKUP($DR283,АшламаДВ_Gomumy,4,FALSE)))</f>
        <v>Нет</v>
      </c>
      <c r="DV283" s="70"/>
      <c r="DW283" s="70"/>
      <c r="DX283" s="70"/>
      <c r="DY283" s="10">
        <f t="shared" si="322"/>
        <v>0</v>
      </c>
      <c r="DZ283" s="10">
        <f t="shared" si="323"/>
        <v>0</v>
      </c>
      <c r="EA283" s="10">
        <f t="shared" si="324"/>
        <v>0</v>
      </c>
      <c r="EB283" s="10">
        <f t="shared" si="325"/>
        <v>0</v>
      </c>
      <c r="EC283" s="10">
        <f t="shared" si="326"/>
        <v>0</v>
      </c>
      <c r="ED283" s="10">
        <f t="shared" si="327"/>
        <v>0</v>
      </c>
      <c r="EE283" s="10">
        <f t="shared" si="328"/>
        <v>0</v>
      </c>
      <c r="EF283" s="39">
        <f>EB283*Исходн.данные.!AJ283/1000</f>
        <v>0</v>
      </c>
      <c r="EG283" s="9">
        <f t="shared" si="329"/>
        <v>0</v>
      </c>
      <c r="EH283" s="9">
        <f t="shared" si="330"/>
        <v>0</v>
      </c>
      <c r="EI283" s="39" t="e">
        <f t="shared" si="354"/>
        <v>#DIV/0!</v>
      </c>
      <c r="EJ283" s="9" t="str">
        <f t="shared" si="375"/>
        <v>Азопреципитат</v>
      </c>
      <c r="EK283" s="12">
        <f t="shared" si="355"/>
        <v>0.26</v>
      </c>
      <c r="EL283" s="12">
        <f t="shared" si="356"/>
        <v>0.13</v>
      </c>
      <c r="EM283" s="12">
        <f t="shared" si="357"/>
        <v>0</v>
      </c>
      <c r="EN283" s="12" t="str">
        <f t="shared" si="376"/>
        <v>Нет</v>
      </c>
      <c r="EO283" s="12">
        <f t="shared" si="358"/>
        <v>0</v>
      </c>
      <c r="EP283" s="12">
        <f t="shared" si="359"/>
        <v>0</v>
      </c>
      <c r="EQ283" s="12">
        <f t="shared" si="360"/>
        <v>0</v>
      </c>
      <c r="ER283" s="12" t="str">
        <f t="shared" si="331"/>
        <v>Диаммофоска</v>
      </c>
      <c r="ES283" s="12">
        <f t="shared" si="361"/>
        <v>0.1</v>
      </c>
      <c r="ET283" s="12">
        <f t="shared" si="362"/>
        <v>0.26</v>
      </c>
      <c r="EU283" s="12">
        <f t="shared" si="363"/>
        <v>0.26</v>
      </c>
      <c r="EV283" s="12" t="str">
        <f t="shared" si="332"/>
        <v>Аммофос 12:52:00</v>
      </c>
      <c r="EW283" s="12" t="str">
        <f t="shared" si="333"/>
        <v>Кемира Свекловичное-6</v>
      </c>
      <c r="EX283" s="12">
        <f t="shared" si="364"/>
        <v>0.16</v>
      </c>
      <c r="EY283" s="12">
        <f t="shared" si="365"/>
        <v>0.12</v>
      </c>
      <c r="EZ283" s="12">
        <f t="shared" si="366"/>
        <v>0.17</v>
      </c>
      <c r="FA283" s="38" t="e">
        <f>IF(AND(OR(FJ283=$FD$1,FM283=$FD$1,FO283=$FD$1,FQ283=$FD$1,FS283=$FD$1),FD283=$FD$1,Исходн.данные.!J283&lt;2,FU283=$FD$1),"Бор,Кобальт",IF(AND(FO283=$FD$1,FH283=$FD$1,Исходн.данные.!J283&lt;2,FU283=$FD$1),"Бор,Кобальт",IF(AND(OR(FJ283=$FD$1,FM283=$FD$1,FQ283=$FD$1),FE283=$FD$1,Исходн.данные.!J283&lt;2,FT283=$FD$1,FU283=$FD$1),"Бор,Медь,Цинк",IF(AND(OR(FJ283=$FD$1,FR283="Да"),FI283="Да",Исходн.данные.!J283&lt;2,FT283="Да",FU283="Да"),"Бор,Цинк,Медь",IF(AND(OR(FM283="Да",FQ283="Да"),FI283="Да",Исходн.данные.!J283&lt;2,FT283="Да",FU283="Да"),"Бор,Цинк",IF(AND(FN283="Да",OR(FD283="Да",FE283="Да")),"Бор",FB283))))))</f>
        <v>#N/A</v>
      </c>
      <c r="FB283" s="134" t="e">
        <f>IF(AND(OR(FD283="Да",FE283="Да",FF283="Да",FG283="Да",FH283="Да"),FO283="Да"),"Бор",IF(AND(FP283="Да",OR(FD283="Да",FE283="Да",FI283="Да")),"Бор",IF(AND(FS283="Да",FE283="Да"),"Бор,Медь",IF(AND(OR(FJ283="Да",FK283="Да",FL283="Да"),FE283="Да",Исходн.данные.!I283&lt;5,FT283="Да",FU283="Да"),"Молибден,Цинк",IF(AND(FM283="Да",OR(FE283="Да",FF283="Да",FG283="Да",FH283="Да",FI283="Да")),"Молибден,Цинк",IF(AND(OR(FJ283="Да",FK283="Да",FL283="Да",FM283="Да",FQ283="Да"),OR(FE283="Да",FF283="Да"),FT283="Да",FU283="Да",Исходн.данные.!I283&gt;5.5),"Медь,Цинк",FC283))))))</f>
        <v>#N/A</v>
      </c>
      <c r="FC283" s="23" t="e">
        <f t="shared" si="334"/>
        <v>#N/A</v>
      </c>
      <c r="FD283" s="38" t="str">
        <f>IF(OR(Исходн.данные.!F283=$CC$1,Исходн.данные.!F283=$CC$2,Исходн.данные.!F283=$CC$3,Исходн.данные.!F283=$CC$4),"Да","Нет")</f>
        <v>Нет</v>
      </c>
      <c r="FE283" s="38" t="str">
        <f>IF(Исходн.данные.!F283=$CC$5,"Да","Нет")</f>
        <v>Нет</v>
      </c>
      <c r="FF283" s="38" t="str">
        <f>IF(OR(Исходн.данные.!F283=$CC$6,Исходн.данные.!F283=$CC$7),"Да","Нет")</f>
        <v>Нет</v>
      </c>
      <c r="FG283" s="38" t="str">
        <f>IF(OR(Исходн.данные.!F283=$CC$8,Исходн.данные.!F283=$CC$9),"Да","Нет")</f>
        <v>Нет</v>
      </c>
      <c r="FH283" s="38" t="str">
        <f>IF(Исходн.данные.!F283=$CC$10,"Да","Нет")</f>
        <v>Нет</v>
      </c>
      <c r="FI283" s="38" t="str">
        <f>IF(OR(Исходн.данные.!F283=$CC$11,Исходн.данные.!F283=$CC$12),"Да","Нет")</f>
        <v>Нет</v>
      </c>
      <c r="FJ283" s="38" t="str">
        <f>IF(OR(Исходн.данные.!AH283=$BS$1,Исходн.данные.!AH283=$BQ$11,Исходн.данные.!AH283=$BQ$12),"Да","Нет")</f>
        <v>Нет</v>
      </c>
      <c r="FK283" s="38" t="str">
        <f>IF(OR(Исходн.данные.!AH283=$BS$2,Исходн.данные.!AH283=$BS$4),"Да","Нет")</f>
        <v>Нет</v>
      </c>
      <c r="FL283" s="38" t="str">
        <f>IF(OR(Исходн.данные.!AH283=$BS$3,Исходн.данные.!AH283=$BS$5),"Да","Нет")</f>
        <v>Нет</v>
      </c>
      <c r="FM283" s="38" t="str">
        <f>IF(OR(Исходн.данные.!AH283=$BS$9,Исходн.данные.!AH283=$BS$10,Исходн.данные.!AH283=$BS$11,Исходн.данные.!AH283=$BS$12),"Да","Нет")</f>
        <v>Нет</v>
      </c>
      <c r="FN283" s="38" t="str">
        <f>IF(OR(Исходн.данные.!AH283=$BS$6,Исходн.данные.!AH283=$BP$3),"Да","Нет")</f>
        <v>Нет</v>
      </c>
      <c r="FO283" s="38" t="str">
        <f>IF(Исходн.данные.!AH283=$BQ$9,"Да","Нет")</f>
        <v>Нет</v>
      </c>
      <c r="FP283" s="38" t="str">
        <f>IF(OR(Исходн.данные.!AH283=$BS$8,Исходн.данные.!AH283=$BT$8),"Да","Нет")</f>
        <v>Нет</v>
      </c>
      <c r="FQ283" s="38" t="str">
        <f>IF(OR(Исходн.данные.!AH283=$BQ$7,Исходн.данные.!AH283=$BQ$8),"Да","Нет")</f>
        <v>Нет</v>
      </c>
      <c r="FR283" s="38" t="str">
        <f>IF(Исходн.данные.!AI283=$BU$9,"Да","Нет")</f>
        <v>Нет</v>
      </c>
      <c r="FS283" s="38" t="str">
        <f>IF(OR(Исходн.данные.!AH283=$BP$1,Исходн.данные.!AH283=$BP$2),"Да","Нет")</f>
        <v>Нет</v>
      </c>
      <c r="FT283" s="38" t="e">
        <f>IF((Исходн.данные.!K283*GO283*GS283*GW283+BL283*0.6+Исходн.данные.!Q283*4.5*0.275)&gt;90,"Да","Нет")</f>
        <v>#N/A</v>
      </c>
      <c r="FU283" s="38" t="e">
        <f>IF((Исходн.данные.!M283*GS283*GZ283+BM283*0.225)&gt;35,"Да","Нет")</f>
        <v>#N/A</v>
      </c>
      <c r="FV283" s="38" t="str">
        <f>IF(Исходн.данные.!O283&gt;175,"Да","Нет")</f>
        <v>Нет</v>
      </c>
      <c r="FW283" s="39" t="str">
        <f>IF(Исходн.данные.!I283&gt;5.5,"Да","Нет")</f>
        <v>Нет</v>
      </c>
      <c r="FX283" s="39" t="str">
        <f>IF(Исходн.данные.!J283&lt;2,"Да","Нет")</f>
        <v>Да</v>
      </c>
      <c r="FY283" s="39" t="e">
        <f>IF(HF283=$FY$16,0,Исходн.данные.!K283*GO283*GS283*GW283/HF283)</f>
        <v>#N/A</v>
      </c>
      <c r="FZ283" s="39" t="e">
        <f>Исходн.данные.!M283*GS283*GZ283/HG283</f>
        <v>#N/A</v>
      </c>
      <c r="GA283" s="39" t="e">
        <f>IF(K_Wyn=$FY$16,0,IF(Исходн.данные.!N283=Исходн.данные.!$L$10,Исходн.данные.!O283/1.1*GS283*HC283/HH283,IF(Исходн.данные.!N283=Исходн.данные.!$L$12,Исходн.данные.!O283/1.5*GS283*HC283/HH283,Исходн.данные.!O283*GS283*HC283/HH283)))</f>
        <v>#N/A</v>
      </c>
      <c r="GB283" s="39" t="e">
        <f>IF(HF283=$FY$16,0,((Исходн.данные.!Q283*N_Org+Исходн.данные.!R283*N_Sider+Исходн.данные.!S283*N_Soloma)*AO283+Расчет!BC283*VLOOKUP(Исходн.данные.!T283,Справ!$A$3:$O$57,15)*AO283+BB283*VLOOKUP(Исходн.данные.!T283,Справ!$A$3:$O$57,15)*AL283+(Исходн.данные.!V283*N_Rizotorf+Исходн.данные.!W283*N_Rizoagr))/HF283)</f>
        <v>#N/A</v>
      </c>
      <c r="GC283" s="39" t="e">
        <f>IF(HG283=$FY$16,0,((Исходн.данные.!Q283*Р_Org+Исходн.данные.!R283*P_Sider+Исходн.данные.!S283*P_Soloma)*AP283+Расчет!BC283*VLOOKUP(Исходн.данные.!T283,Справ!$A$3:$P$57,16)*AP283+BB283*VLOOKUP(Исходн.данные.!T283,Справ!$A$3:$P$57,16)*AM283)/HG283)</f>
        <v>#N/A</v>
      </c>
      <c r="GD283" s="39" t="e">
        <f>IF(HH283=$FY$16,0,((Исходн.данные.!Q283*К_Org+Исходн.данные.!R283*K_Sider+Исходн.данные.!S283*K_Soloma)*AQ283+Расчет!BC283*VLOOKUP(Исходн.данные.!T283,Справ!$A$3:$Q$57,17)*AQ283+BB283*VLOOKUP(Исходн.данные.!T283,Справ!$A$3:$Q$57,17)*AN283)/HH283)</f>
        <v>#N/A</v>
      </c>
      <c r="GE283" s="39" t="e">
        <f>IF(HF283=$FY$16,0,(Исходн.данные.!X283*AR283+Исходн.данные.!AA283*N_Org*AL283+Исходн.данные.!AB283*N_Sider*AL283+Исходн.данные.!AC283*N_Soloma*AL283)/HF283)</f>
        <v>#N/A</v>
      </c>
      <c r="GF283" s="39" t="e">
        <f>IF(HG283=$FY$16,0,(Исходн.данные.!Y283*AS283+Исходн.данные.!AA283*Р_Org*AM283+Исходн.данные.!AB283*P_Sider*AM283+Исходн.данные.!AC283*P_Soloma*AM283)/HG283)</f>
        <v>#N/A</v>
      </c>
      <c r="GG283" s="39" t="e">
        <f>IF(HH283=$FY$16,0,(Исходн.данные.!Z283*AT283+Исходн.данные.!AA283*К_Org*AN283+Исходн.данные.!AB283*K_Sider*AN283+Исходн.данные.!AC283*K_Soloma*AN283)/HH283)</f>
        <v>#N/A</v>
      </c>
      <c r="GH283" s="39" t="e">
        <f>Исходн.данные.!AD283*AU283/HF283</f>
        <v>#N/A</v>
      </c>
      <c r="GI283" s="39" t="e">
        <f>Исходн.данные.!AE283*AV283/HG283</f>
        <v>#N/A</v>
      </c>
      <c r="GJ283" s="39" t="e">
        <f>Исходн.данные.!AF283*AW283/HH283</f>
        <v>#N/A</v>
      </c>
      <c r="GK283" s="55">
        <f>Исходн.данные.!AK283</f>
        <v>0</v>
      </c>
      <c r="GL283" s="11" t="e">
        <f t="shared" si="335"/>
        <v>#N/A</v>
      </c>
      <c r="GM283" s="11" t="e">
        <f t="shared" si="336"/>
        <v>#N/A</v>
      </c>
      <c r="GN283" s="11" t="e">
        <f t="shared" si="337"/>
        <v>#N/A</v>
      </c>
      <c r="GO283" s="57">
        <f t="shared" si="338"/>
        <v>19</v>
      </c>
      <c r="GP283" s="55">
        <f>IF(OR(Исходн.данные.!F283=$CE$1,Исходн.данные.!F283=$CE$2,Исходн.данные.!F283=$CE$3,Исходн.данные.!F283=$CE$4,Исходн.данные.!F283=$CE$5),GQ283,GR283)</f>
        <v>19</v>
      </c>
      <c r="GQ283" s="55">
        <f>IF(Исходн.данные.!F283=$CE$1,28,IF(Исходн.данные.!F283=$CE$2,26,IF(Исходн.данные.!F283=$CE$3,24,IF(Исходн.данные.!F283=$CE$4,22,IF(Исходн.данные.!F283=$CE$5,20,GR283)))))</f>
        <v>19</v>
      </c>
      <c r="GR283" s="55">
        <f>IF(Исходн.данные.!F283=$CE$6,18,IF(Исходн.данные.!F283=$CE$7,16,IF(Исходн.данные.!F283=$CE$8,14,IF(Исходн.данные.!F283=$CE$9,13,IF(Исходн.данные.!F283=$CE$10,12,19)))))</f>
        <v>19</v>
      </c>
      <c r="GS283" s="55">
        <f>IF(Исходн.данные.!G283="Пес",0.035*(40+2*Исходн.данные.!H283),IF(Исходн.данные.!G283="Суп",0.0325*(40+2*Исходн.данные.!H283),0.03*(40+2*Исходн.данные.!H283)))</f>
        <v>1.2</v>
      </c>
      <c r="GT283" s="55">
        <f>IF(Исходн.данные.!H283&lt;23,2.6,IF(AND(Исходн.данные.!H283&gt;22,Исходн.данные.!H283&lt;26),3,IF(AND(Исходн.данные.!H283&gt;25,Исходн.данные.!H283&lt;29),3.4,3.6)))</f>
        <v>2.6</v>
      </c>
      <c r="GU283" s="55">
        <f>IF(Исходн.данные.!H283&lt;23,2.8,IF(AND(Исходн.данные.!H283&gt;22,Исходн.данные.!H283&lt;26),3.2,IF(AND(Исходн.данные.!H283&gt;25,Исходн.данные.!H283&lt;29),3.6,3.9)))</f>
        <v>2.8</v>
      </c>
      <c r="GV283" s="55">
        <f>IF(Исходн.данные.!H283&lt;23,3,IF(AND(Исходн.данные.!H283&gt;22,Исходн.данные.!H283&lt;26),3.5,IF(AND(Исходн.данные.!H283&gt;25,Исходн.данные.!H283&lt;29),3.9,4.2)))</f>
        <v>3</v>
      </c>
      <c r="GW283" s="55" t="e">
        <f>IF(Исходн.данные.!P283="Ум",GX283,GY283)</f>
        <v>#N/A</v>
      </c>
      <c r="GX283" s="55" t="e">
        <f>VLOOKUP(Исходн.данные.!AI283,Коэффициенты!$J$7:$L$13,2,FALSE)</f>
        <v>#N/A</v>
      </c>
      <c r="GY283" s="55" t="e">
        <f>VLOOKUP(Исходн.данные.!AI283,Коэффициенты!$J$7:$L$13,3,FALSE)</f>
        <v>#N/A</v>
      </c>
      <c r="GZ283" s="55" t="e">
        <f>(IF(Исходн.данные.!M283&lt;50,0.11*VLOOKUP(Исходн.данные.!AH283,Культуры.Информация,7,FALSE),IF(Исходн.данные.!M283&gt;250,0.05*VLOOKUP(Исходн.данные.!AH283,Культуры.Информация,7,FALSE),VLOOKUP(Исходн.данные.!AH283,Культуры.Информация,5,FALSE)/100*($GX$6+$GY$6*Исходн.данные.!M283))))*Расчет2!AI283</f>
        <v>#N/A</v>
      </c>
      <c r="HA283" s="211"/>
      <c r="HB283" s="211"/>
      <c r="HC283" s="55" t="e">
        <f>(IF(Исходн.данные.!O283&lt;80,0.2*VLOOKUP(Исходн.данные.!AH283,Культуры.Информация,8,FALSE),IF(Исходн.данные.!O283&gt;240,0.09*VLOOKUP(Исходн.данные.!AH283,Культуры.Информация,8,FALSE),VLOOKUP(Исходн.данные.!AH283,Культуры.Информация,6,FALSE)/100*($HB$6+$HC$6*Исходн.данные.!O283))))*Расчет2!AJ283</f>
        <v>#N/A</v>
      </c>
      <c r="HD283" s="55">
        <f>IF(Исходн.данные.!O283&gt;240,0.09,IF(Исходн.данные.!O283&lt;30,0.3,$HE$10+$HD$10*Исходн.данные.!O283))</f>
        <v>0.3</v>
      </c>
      <c r="HE283" s="55">
        <f>IF(Исходн.данные.!O283&gt;240,0.17,IF(Исходн.данные.!O283&lt;30,0.5,$HF$12+$HE$12*Исходн.данные.!O283))</f>
        <v>0.5</v>
      </c>
      <c r="HF283" s="55" t="e">
        <f>VLOOKUP(Исходн.данные.!AH283,Справ!$A$3:$D$58,2,FALSE)</f>
        <v>#N/A</v>
      </c>
      <c r="HG283" s="55" t="e">
        <f>VLOOKUP(Исходн.данные.!AH283,Справ!$A$3:$D$58,3,FALSE)</f>
        <v>#N/A</v>
      </c>
      <c r="HH283" s="55" t="e">
        <f>VLOOKUP(Исходн.данные.!AH283,Справ!$A$3:$D$58,4,FALSE)</f>
        <v>#N/A</v>
      </c>
      <c r="HI283" s="11" t="e">
        <f t="shared" si="339"/>
        <v>#N/A</v>
      </c>
      <c r="HJ283" s="11" t="e">
        <f t="shared" si="340"/>
        <v>#N/A</v>
      </c>
      <c r="HK283" s="11" t="e">
        <f t="shared" si="341"/>
        <v>#N/A</v>
      </c>
      <c r="HL283" s="55">
        <f>IF(OR(Исходн.данные.!G283="Глин",Исходн.данные.!G283="Т_суг"),1.1,IF(Исходн.данные.!G283="Ср_суг",1,1))</f>
        <v>1</v>
      </c>
      <c r="HM283" s="55">
        <f>IF(OR(Исходн.данные.!G283="Глин",Исходн.данные.!G283="Т_суг"),0.9,IF(Исходн.данные.!G283="Ср_суг",1,1.2))</f>
        <v>1.2</v>
      </c>
      <c r="HN283" s="11" t="e">
        <f t="shared" si="342"/>
        <v>#N/A</v>
      </c>
      <c r="HO283" s="11" t="e">
        <f t="shared" si="343"/>
        <v>#N/A</v>
      </c>
      <c r="HP283" s="11" t="e">
        <f t="shared" si="344"/>
        <v>#N/A</v>
      </c>
      <c r="HQ283" t="e">
        <f t="shared" si="345"/>
        <v>#N/A</v>
      </c>
      <c r="HR283" t="e">
        <f t="shared" si="346"/>
        <v>#N/A</v>
      </c>
      <c r="HS283" t="e">
        <f t="shared" si="347"/>
        <v>#N/A</v>
      </c>
      <c r="HT283" t="e">
        <f t="shared" si="367"/>
        <v>#N/A</v>
      </c>
      <c r="HU283" t="e">
        <f t="shared" si="368"/>
        <v>#N/A</v>
      </c>
      <c r="HV283" t="e">
        <f t="shared" si="369"/>
        <v>#N/A</v>
      </c>
      <c r="HW283" t="e">
        <f t="shared" si="370"/>
        <v>#N/A</v>
      </c>
      <c r="HX283" t="e">
        <f t="shared" si="371"/>
        <v>#N/A</v>
      </c>
      <c r="HY283" t="e">
        <f t="shared" si="372"/>
        <v>#N/A</v>
      </c>
      <c r="HZ283" s="55">
        <f>IF(OR(Исходн.данные.!AI283="Оз_Ч_П",Исходн.данные.!AI283="Оз_З_П",Исходн.данные.!AI283="Яр_зер"),12,30)</f>
        <v>30</v>
      </c>
      <c r="IA283" t="e">
        <f t="shared" si="348"/>
        <v>#N/A</v>
      </c>
      <c r="IB283" t="e">
        <f t="shared" si="349"/>
        <v>#N/A</v>
      </c>
      <c r="IC283" t="e">
        <f t="shared" si="350"/>
        <v>#N/A</v>
      </c>
      <c r="ID283" s="11" t="e">
        <f t="shared" si="351"/>
        <v>#N/A</v>
      </c>
      <c r="IE283" s="11" t="e">
        <f t="shared" si="352"/>
        <v>#N/A</v>
      </c>
      <c r="IF283" s="11" t="e">
        <f t="shared" si="353"/>
        <v>#N/A</v>
      </c>
    </row>
    <row r="284" spans="35:240" x14ac:dyDescent="0.2">
      <c r="AI284">
        <f>IF(Исходн.данные.!I284&gt;6,1,1.85-(0.148*Исходн.данные.!I284))</f>
        <v>1.85</v>
      </c>
      <c r="AJ284">
        <f>IF(Исходн.данные.!I284&gt;6,1,2.434-(0.246*Исходн.данные.!I284))</f>
        <v>2.4340000000000002</v>
      </c>
      <c r="AL284" s="148" t="b">
        <f>IF(Исходн.данные.!$P284="Ум",N_OrgUd_2g_um,IF(Исходн.данные.!$P284="Об",N_OrgUd_2g_ob))</f>
        <v>0</v>
      </c>
      <c r="AM284" s="148" t="b">
        <f>IF(Исходн.данные.!$P284="Ум",P_OrgUd_2g_um,IF(Исходн.данные.!$P284="Об",P_OrgUd_2g_ob))</f>
        <v>0</v>
      </c>
      <c r="AN284" s="148" t="b">
        <f>IF(Исходн.данные.!$P284="Ум",K_OrgUd_2g_um,IF(Исходн.данные.!$P284="Об",K_OrgUd_2g_ob))</f>
        <v>0</v>
      </c>
      <c r="AO284" s="148" t="b">
        <f>IF(Исходн.данные.!$P284="Ум",N_OrgUd_1g_um,IF(Исходн.данные.!$P284="Об",N_OrgUd_1g_ob))</f>
        <v>0</v>
      </c>
      <c r="AP284" s="148" t="b">
        <f>IF(Исходн.данные.!$P284="Ум",P_OrgUd_1g_um,IF(Исходн.данные.!$P284="Об",P_OrgUd_1g_ob))</f>
        <v>0</v>
      </c>
      <c r="AQ284" s="148" t="b">
        <f>IF(Исходн.данные.!$P284="Ум",K_OrgUd_1g_um,IF(Исходн.данные.!$P284="Об",K_OrgUd_1g_ob))</f>
        <v>0</v>
      </c>
      <c r="AR284" t="b">
        <f>IF(Исходн.данные.!$P284="Ум",N_MinUd_2g_um,IF(Исходн.данные.!$P284="Об",N_MinUd_2g_ob))</f>
        <v>0</v>
      </c>
      <c r="AS284" t="b">
        <f>IF(Исходн.данные.!$P284="Ум",P_MinUd_2g_um,IF(Исходн.данные.!$P284="Об",P_MinUd_2g_ob))</f>
        <v>0</v>
      </c>
      <c r="AT284" t="b">
        <f>IF(Исходн.данные.!$P284="Ум",K_MinUd_2g_um,IF(Исходн.данные.!$P284="Об",K_MinUd_2g_ob))</f>
        <v>0</v>
      </c>
      <c r="AU284" t="b">
        <f>IF(Исходн.данные.!$P284="Ум",N_MinUd_1g_um,IF(Исходн.данные.!$P284="Об",N_MinUd_1g_ob))</f>
        <v>0</v>
      </c>
      <c r="AV284" t="b">
        <f>IF(Исходн.данные.!P284="Ум",P_MinUd_1g_um,IF(Исходн.данные.!P284="Об",P_MinUd_1g_ob))</f>
        <v>0</v>
      </c>
      <c r="AW284" t="b">
        <f>IF(Исходн.данные.!P284="Ум",K_MinUd_1g_um,IF(Исходн.данные.!P284="Об",K_MinUd_1g_ob))</f>
        <v>0</v>
      </c>
      <c r="AY284" t="e">
        <f>VLOOKUP(Исходн.данные.!T284,Справ!$A$3:$N$57,12)</f>
        <v>#N/A</v>
      </c>
      <c r="AZ284" t="e">
        <f>VLOOKUP(Исходн.данные.!T284,Справ!$A$3:$N$57,13)</f>
        <v>#N/A</v>
      </c>
      <c r="BA284" t="e">
        <f>VLOOKUP(Исходн.данные.!T284,Справ!$A$3:$N$57,14)</f>
        <v>#N/A</v>
      </c>
      <c r="BB284">
        <f>IF(Исходн.данные.!AH284=0,0,25)</f>
        <v>0</v>
      </c>
      <c r="BC284" s="141">
        <f>IF(Исходн.данные.!AH284=0,0,IF(Исходн.данные.!T284=0,25,BD284))</f>
        <v>0</v>
      </c>
      <c r="BD284" s="168" t="e">
        <f>AY284+AZ284*Исходн.данные.!U284-POWER(BA284,2)*Исходн.данные.!U284</f>
        <v>#N/A</v>
      </c>
      <c r="BE28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4" s="25">
        <f>IF(Исходн.данные.!AH284=0,0,MIN(HN284:HP284))</f>
        <v>0</v>
      </c>
      <c r="BG284" s="9">
        <f>IF(Исходн.данные.!AH284=0,0,IF((HO284+10*0.25/HG284/HL284)&lt;17,17,HO284+10*0.25/HG284/HL284))</f>
        <v>0</v>
      </c>
      <c r="BH284" s="181">
        <f>IF(Исходн.данные.!AH284=0,0,HW284*HF284*HL284/AU284*AI284+Исходн.данные.!S284*10)</f>
        <v>0</v>
      </c>
      <c r="BI284" s="10"/>
      <c r="BJ284" s="182">
        <f>IF(Исходн.данные.!AH284=0,0,IF(HX284*HG284*HL284/AV284&lt;0,0,HX284*HG284*HL284/AV284*AJ284))</f>
        <v>0</v>
      </c>
      <c r="BK284" s="182">
        <f>IF(Исходн.данные.!AH284=0,0,HY284*HH284*HM284/AW284)</f>
        <v>0</v>
      </c>
      <c r="BL284" s="10">
        <f>IF(OR(Исходн.данные.!$AH284=$BP$1,Исходн.данные.!$AH284=$BP$2),0,IF(BH284&lt;0,0,IF(OR(Исходн.данные.!T284=Расчет!$BP$1,Исходн.данные.!T284=Расчет!$BP$2,Исходн.данные.!T284=Расчет!$BT$5,Исходн.данные.!T284=Расчет!$BT$6),BH284*0.5,IF(OR(Исходн.данные.!T284=Расчет!$BS$9,Исходн.данные.!T284=Расчет!$BS$10,Исходн.данные.!T284=Расчет!$BS$11,Исходн.данные.!T284=Расчет!$BS$12,Исходн.данные.!T284=Расчет!$BP$5),BH284*0.8,BH284))))</f>
        <v>0</v>
      </c>
      <c r="BM284" s="10">
        <f>IF(OR(Исходн.данные.!$AH284=$BP$1,Исходн.данные.!$AH284=$BP$2),0,IF(BJ284&lt;0,0,IF(Исходн.данные.!I284&lt;4.5,BJ284*1.2,IF(Исходн.данные.!I284&gt;5.1,BJ284,BJ284*((5.1-Исходн.данные.!I284)*0.333+1)))))</f>
        <v>0</v>
      </c>
      <c r="BN284" s="10">
        <f>IF(OR(Исходн.данные.!$AH284=$BP$1,Исходн.данные.!$AH284=$BP$2),60-Исходн.данные.!AF284,IF(BK284&lt;0,0,IF(Исходн.данные.!I284&lt;4.5,BK284*1.2,IF(Исходн.данные.!I284&gt;5.1,BK284,BK284*((5.1-Исходн.данные.!I284)*0.333+1)))))</f>
        <v>0</v>
      </c>
      <c r="BO284" s="9">
        <f>IF(BL284&lt;0,0,BL284*Исходн.данные.!$AJ284/1000)</f>
        <v>0</v>
      </c>
      <c r="BP284" s="9">
        <f>IF(BM284&lt;0,0,BM284*Исходн.данные.!$AJ284/1000)</f>
        <v>0</v>
      </c>
      <c r="BQ284" s="9">
        <f>IF(BN284&lt;0,0,BN284*Исходн.данные.!$AJ284/1000)</f>
        <v>0</v>
      </c>
      <c r="BR284" s="9">
        <f t="shared" si="303"/>
        <v>0</v>
      </c>
      <c r="BS284" s="10" t="str">
        <f t="shared" si="304"/>
        <v>Аммофос 12:52:00</v>
      </c>
      <c r="BT284" s="10" t="str">
        <f t="shared" si="305"/>
        <v>Аммофос 12:52:00</v>
      </c>
      <c r="BU284" s="10" t="str">
        <f t="shared" si="306"/>
        <v>Диаммофоска</v>
      </c>
      <c r="BV284" s="10">
        <f t="shared" si="307"/>
        <v>0</v>
      </c>
      <c r="BW284" s="10"/>
      <c r="BX284" s="10"/>
      <c r="BY284" s="9">
        <f>IF(BL284&lt;0,0,IF(OR(Исходн.данные.!AI284=Расчет!$BU$6,Исходн.данные.!AI284=Расчет!$BU$7),Расчет!BV284,IF(Исходн.данные.!$AG284=$BV$11,BL284,IF(OR(Исходн.данные.!$AH284=$BQ$7,Исходн.данные.!$AH284=$BQ$8),CB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0,IF(Исходн.данные.!$AI284=$BU$11,"Нет",IF(BL284&gt;30,30,BL284)))))))</f>
        <v>0</v>
      </c>
      <c r="BZ284" s="9">
        <f>IF(AND(Исходн.данные.!$AG284=$BV$11,BM284&lt;10),10,IF(Исходн.данные.!$AG284=$BV$11,BM284,IF(OR(Исходн.данные.!$AH284=$BQ$7,Исходн.данные.!$AH284=$BQ$8),CC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10,IF(Исходн.данные.!$AI284=$BU$11,"Нет",IF(BM284&gt;60,60,IF(BM284&lt;10,10,BM284)))))))</f>
        <v>10</v>
      </c>
      <c r="CA284" s="39">
        <f>IF(BN284&lt;0,0,IF(Исходн.данные.!$AG284=$BV$11,BN284,IF(OR(Исходн.данные.!$AH284=$BQ$7,Исходн.данные.!$AH284=$BQ$8),CD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0,IF(Исходн.данные.!$AI284=$BU$11,"Нет",IF(BN284&gt;30,30,BN284))))))</f>
        <v>0</v>
      </c>
      <c r="CB284" s="9">
        <f t="shared" si="308"/>
        <v>0</v>
      </c>
      <c r="CC284" s="9">
        <f t="shared" si="309"/>
        <v>0</v>
      </c>
      <c r="CD284" s="9">
        <f t="shared" si="310"/>
        <v>0</v>
      </c>
      <c r="CE284" s="12">
        <f t="shared" si="311"/>
        <v>10</v>
      </c>
      <c r="CF284" s="9">
        <f t="shared" si="312"/>
        <v>0</v>
      </c>
      <c r="CG284" s="9" t="s">
        <v>231</v>
      </c>
      <c r="CH284" s="132" t="str">
        <f>IF(Исходн.данные.!AP284=Расчет!$CI$16,"Нет",IF(Исходн.данные.!AL284&gt;0,Исходн.данные.!AL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BH$4,IF(OR(Исходн.данные.!AI284=Исходн.данные.!$AI$6,Исходн.данные.!AI284=Исходн.данные.!$AI$7),Расчет!BS284,IF(AND($CF284=0,$CE284&gt;0),EV284,ER284)))))</f>
        <v>Аммофос 12:52:00</v>
      </c>
      <c r="CI284" s="274">
        <f>IF(Расчет!$CH284="Нет","Нет",IF(Исходн.данные.!$AL284&gt;0,VLOOKUP(Расчет!$CH284,АшламаДВ_Irekle,2,FALSE),VLOOKUP(Расчет!$CH284,АшламаДВ_Gomumy,2,FALSE)))</f>
        <v>0.12</v>
      </c>
      <c r="CJ284" s="274">
        <f>IF(Расчет!$CH284="Нет","Нет",IF(Исходн.данные.!$AL284&gt;0,VLOOKUP(Расчет!$CH284,АшламаДВ_Irekle,3,FALSE),VLOOKUP(Расчет!$CH284,АшламаДВ_Gomumy,3,FALSE)))</f>
        <v>0.52</v>
      </c>
      <c r="CK284" s="274">
        <f>IF(Расчет!$CH284="Нет","Нет",IF(Исходн.данные.!$AL284&gt;0,VLOOKUP(Расчет!$CH284,АшламаДВ_Irekle,4,FALSE),VLOOKUP(Расчет!$CH284,АшламаДВ_Gomumy,4,FALSE)))</f>
        <v>0</v>
      </c>
      <c r="CL284" s="70"/>
      <c r="CM284" s="70"/>
      <c r="CN284" s="70"/>
      <c r="CO284" s="70"/>
      <c r="CP284" s="70"/>
      <c r="CQ284" s="70"/>
      <c r="CR284" s="10">
        <f t="shared" si="313"/>
        <v>0</v>
      </c>
      <c r="CS284" s="10">
        <f t="shared" si="314"/>
        <v>19.23076923076923</v>
      </c>
      <c r="CT284" s="10">
        <f t="shared" si="315"/>
        <v>0</v>
      </c>
      <c r="CU284" s="39">
        <f>IF($CH284="Нет",0,IF(CI284=0,30/MIN(CJ284:CK284),IF(Исходн.данные.!$AG284=$BV$11,CR284,IF(OR(Исходн.данные.!$AH284=$BQ$7,Исходн.данные.!$AH284=$BQ$8),90/CI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0,IF(Исходн.данные.!$AI284=$BU$11,"Нет",30/CI284))))))</f>
        <v>250</v>
      </c>
      <c r="CV284" s="39">
        <f>IF($CH284="Нет",0,IF(Исходн.данные.!AH284=0,0,IF(CJ284=0,60/MIN(CI284,CK284),IF(Исходн.данные.!$AG284=$BV$11,CS284,IF(OR(Исходн.данные.!$AH284=$BQ$7,Исходн.данные.!$AH284=$BQ$8),90/CJ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10/CJ284,IF(Исходн.данные.!$AI284=$BU$11,"Нет",60/CJ284)))))))</f>
        <v>0</v>
      </c>
      <c r="CW284" s="39">
        <f>IF($CH284="Нет",0,IF(Исходн.данные.!AH284=0,0,IF(CK284=0,30/MIN(CI284:CJ284),IF(Исходн.данные.!$AG284=$BV$11,CT284,IF(OR(Исходн.данные.!$AH284=$BQ$7,Исходн.данные.!$AH284=$BQ$8),90/CK284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0,IF(Исходн.данные.!$AI284=$BU$11,"Нет",30/CK284)))))))</f>
        <v>0</v>
      </c>
      <c r="CX284" s="133">
        <f>IF(Исходн.данные.!$AG284=$BV$11,MAX(CU284:CW284),IF(OR(Исходн.данные.!$AH284=$BS$8,Исходн.данные.!$AH284=$BQ$9,Исходн.данные.!$AH284=$BQ$10,Исходн.данные.!$AH284=$BQ$11,Исходн.данные.!$AH284=$BQ$12,Исходн.данные.!$AH284=$BP$3,Исходн.данные.!$AH284=$BT$8,$FM284="Да"),CV284,MIN(CU284:CW284)))</f>
        <v>0</v>
      </c>
      <c r="CY284" s="133">
        <f>IF(Исходн.данные.!AH284=0,0,IF(CR284&gt;$CX284,$CX284,CR284))</f>
        <v>0</v>
      </c>
      <c r="CZ284" s="133">
        <f>IF(Исходн.данные.!AH284=0,0,IF(CS284&gt;$CX284,$CX284,CS284))</f>
        <v>0</v>
      </c>
      <c r="DA284" s="133">
        <f>IF(Исходн.данные.!AH284=0,0,IF(CT284&gt;$CX284,$CX284,CT284))</f>
        <v>0</v>
      </c>
      <c r="DB284" s="10">
        <f t="shared" si="316"/>
        <v>0</v>
      </c>
      <c r="DC284" s="39">
        <f>DB284*Исходн.данные.!AJ284/1000</f>
        <v>0</v>
      </c>
      <c r="DD284" s="71">
        <f t="shared" si="317"/>
        <v>0</v>
      </c>
      <c r="DE284" s="9">
        <f t="shared" si="318"/>
        <v>0</v>
      </c>
      <c r="DF284" s="9">
        <f t="shared" si="319"/>
        <v>0</v>
      </c>
      <c r="DG284" s="39">
        <f>IF(BL284&lt;0,0,IF($CH284="Нет",BL284,IF(OR(Исходн.данные.!$AH284=$BP$1,Исходн.данные.!$AH284=$BP$2),0,IF(Исходн.данные.!AI284=$BU$11,BL284,IF(BL284-DD284&lt;0,0,BL284-DD284)))))</f>
        <v>0</v>
      </c>
      <c r="DH284" s="39">
        <f>IF(BM284&lt;0,0,IF($CH284="Нет",BM284,IF(OR(Исходн.данные.!$AH284=$BP$1,Исходн.данные.!$AH284=$BP$2),0,IF(Исходн.данные.!AJ284=$BU$11,BM284,IF(BM284-DE284&lt;0,0,BM284-DE284)))))</f>
        <v>0</v>
      </c>
      <c r="DI284" s="39">
        <f>IF(BN284&lt;0,0,IF($CH284="Нет",BN284,IF(OR(Исходн.данные.!$AH284=$BP$1,Исходн.данные.!$AH284=$BP$2),0,IF(Исходн.данные.!AK284=$BU$11,BN284,IF(BN284-DF284&lt;0,0,BN284-DF284)))))</f>
        <v>0</v>
      </c>
      <c r="DJ284" s="12">
        <f t="shared" si="320"/>
        <v>0</v>
      </c>
      <c r="DK284" s="9">
        <f t="shared" si="321"/>
        <v>0</v>
      </c>
      <c r="DL284" s="39">
        <f>IF(Исходн.данные.!AM284&gt;0,Исходн.данные.!AM284,IF(EG284&gt;0,$BH$10,0))</f>
        <v>0</v>
      </c>
      <c r="DM284" s="186">
        <f>IF($DL284=0,0,IF(Исходн.данные.!AM284&gt;0,VLOOKUP($DL284,АшламаДВ_Irekle,2,FALSE),VLOOKUP($DL284,АшламаДВ_Gomumy,2,FALSE)))</f>
        <v>0</v>
      </c>
      <c r="DN284" s="10">
        <f t="shared" si="373"/>
        <v>0</v>
      </c>
      <c r="DO284" s="9" t="str">
        <f>IF(Исходн.данные.!AN284&gt;0,Исходн.данные.!AN284,Удобрения!$B$37 )</f>
        <v>Хлор.калий</v>
      </c>
      <c r="DP284" s="9">
        <f>IF(Исходн.данные.!AN284&gt;0,VLOOKUP(Исходн.данные.!AN284,АшламаДВ_Irekle,4,FALSE),VLOOKUP(DO284,АшламаДВ_Gomumy,4,FALSE))</f>
        <v>0.6</v>
      </c>
      <c r="DQ284" s="10">
        <f t="shared" si="374"/>
        <v>0</v>
      </c>
      <c r="DR284" s="132" t="str">
        <f>IF(Исходн.данные.!AO284&gt;0,Исходн.данные.!AO284,IF(DH284=0,BS$17,IF(AND($DK284=0,$DJ284&gt;0),EJ284,EN284)))</f>
        <v>Нет</v>
      </c>
      <c r="DS284" s="70" t="str">
        <f>IF($DR284="Нет","Нет",IF(Исходн.данные.!$AO284&gt;0,VLOOKUP($DR284,АшламаДВ_Irekle,2,FALSE),VLOOKUP($DR284,АшламаДВ_Gomumy,2,FALSE)))</f>
        <v>Нет</v>
      </c>
      <c r="DT284" s="70" t="str">
        <f>IF($DR284="Нет","Нет",IF(Исходн.данные.!$AO284&gt;0,VLOOKUP($DR284,АшламаДВ_Irekle,3,FALSE),VLOOKUP($DR284,АшламаДВ_Gomumy,3,FALSE)))</f>
        <v>Нет</v>
      </c>
      <c r="DU284" s="70" t="str">
        <f>IF($DR284="Нет","Нет",IF(Исходн.данные.!$AO284&gt;0,VLOOKUP($DR284,АшламаДВ_Irekle,4,FALSE),VLOOKUP($DR284,АшламаДВ_Gomumy,4,FALSE)))</f>
        <v>Нет</v>
      </c>
      <c r="DV284" s="70"/>
      <c r="DW284" s="70"/>
      <c r="DX284" s="70"/>
      <c r="DY284" s="10">
        <f t="shared" si="322"/>
        <v>0</v>
      </c>
      <c r="DZ284" s="10">
        <f t="shared" si="323"/>
        <v>0</v>
      </c>
      <c r="EA284" s="10">
        <f t="shared" si="324"/>
        <v>0</v>
      </c>
      <c r="EB284" s="10">
        <f t="shared" si="325"/>
        <v>0</v>
      </c>
      <c r="EC284" s="10">
        <f t="shared" si="326"/>
        <v>0</v>
      </c>
      <c r="ED284" s="10">
        <f t="shared" si="327"/>
        <v>0</v>
      </c>
      <c r="EE284" s="10">
        <f t="shared" si="328"/>
        <v>0</v>
      </c>
      <c r="EF284" s="39">
        <f>EB284*Исходн.данные.!AJ284/1000</f>
        <v>0</v>
      </c>
      <c r="EG284" s="9">
        <f t="shared" si="329"/>
        <v>0</v>
      </c>
      <c r="EH284" s="9">
        <f t="shared" si="330"/>
        <v>0</v>
      </c>
      <c r="EI284" s="39" t="e">
        <f t="shared" si="354"/>
        <v>#DIV/0!</v>
      </c>
      <c r="EJ284" s="9" t="str">
        <f t="shared" si="375"/>
        <v>Азопреципитат</v>
      </c>
      <c r="EK284" s="12">
        <f t="shared" si="355"/>
        <v>0.26</v>
      </c>
      <c r="EL284" s="12">
        <f t="shared" si="356"/>
        <v>0.13</v>
      </c>
      <c r="EM284" s="12">
        <f t="shared" si="357"/>
        <v>0</v>
      </c>
      <c r="EN284" s="12" t="str">
        <f t="shared" si="376"/>
        <v>Нет</v>
      </c>
      <c r="EO284" s="12">
        <f t="shared" si="358"/>
        <v>0</v>
      </c>
      <c r="EP284" s="12">
        <f t="shared" si="359"/>
        <v>0</v>
      </c>
      <c r="EQ284" s="12">
        <f t="shared" si="360"/>
        <v>0</v>
      </c>
      <c r="ER284" s="12" t="str">
        <f t="shared" si="331"/>
        <v>Диаммофоска</v>
      </c>
      <c r="ES284" s="12">
        <f t="shared" si="361"/>
        <v>0.1</v>
      </c>
      <c r="ET284" s="12">
        <f t="shared" si="362"/>
        <v>0.26</v>
      </c>
      <c r="EU284" s="12">
        <f t="shared" si="363"/>
        <v>0.26</v>
      </c>
      <c r="EV284" s="12" t="str">
        <f t="shared" si="332"/>
        <v>Аммофос 12:52:00</v>
      </c>
      <c r="EW284" s="12" t="str">
        <f t="shared" si="333"/>
        <v>Кемира Свекловичное-6</v>
      </c>
      <c r="EX284" s="12">
        <f t="shared" si="364"/>
        <v>0.16</v>
      </c>
      <c r="EY284" s="12">
        <f t="shared" si="365"/>
        <v>0.12</v>
      </c>
      <c r="EZ284" s="12">
        <f t="shared" si="366"/>
        <v>0.17</v>
      </c>
      <c r="FA284" s="38" t="e">
        <f>IF(AND(OR(FJ284=$FD$1,FM284=$FD$1,FO284=$FD$1,FQ284=$FD$1,FS284=$FD$1),FD284=$FD$1,Исходн.данные.!J284&lt;2,FU284=$FD$1),"Бор,Кобальт",IF(AND(FO284=$FD$1,FH284=$FD$1,Исходн.данные.!J284&lt;2,FU284=$FD$1),"Бор,Кобальт",IF(AND(OR(FJ284=$FD$1,FM284=$FD$1,FQ284=$FD$1),FE284=$FD$1,Исходн.данные.!J284&lt;2,FT284=$FD$1,FU284=$FD$1),"Бор,Медь,Цинк",IF(AND(OR(FJ284=$FD$1,FR284="Да"),FI284="Да",Исходн.данные.!J284&lt;2,FT284="Да",FU284="Да"),"Бор,Цинк,Медь",IF(AND(OR(FM284="Да",FQ284="Да"),FI284="Да",Исходн.данные.!J284&lt;2,FT284="Да",FU284="Да"),"Бор,Цинк",IF(AND(FN284="Да",OR(FD284="Да",FE284="Да")),"Бор",FB284))))))</f>
        <v>#N/A</v>
      </c>
      <c r="FB284" s="134" t="e">
        <f>IF(AND(OR(FD284="Да",FE284="Да",FF284="Да",FG284="Да",FH284="Да"),FO284="Да"),"Бор",IF(AND(FP284="Да",OR(FD284="Да",FE284="Да",FI284="Да")),"Бор",IF(AND(FS284="Да",FE284="Да"),"Бор,Медь",IF(AND(OR(FJ284="Да",FK284="Да",FL284="Да"),FE284="Да",Исходн.данные.!I284&lt;5,FT284="Да",FU284="Да"),"Молибден,Цинк",IF(AND(FM284="Да",OR(FE284="Да",FF284="Да",FG284="Да",FH284="Да",FI284="Да")),"Молибден,Цинк",IF(AND(OR(FJ284="Да",FK284="Да",FL284="Да",FM284="Да",FQ284="Да"),OR(FE284="Да",FF284="Да"),FT284="Да",FU284="Да",Исходн.данные.!I284&gt;5.5),"Медь,Цинк",FC284))))))</f>
        <v>#N/A</v>
      </c>
      <c r="FC284" s="23" t="e">
        <f t="shared" si="334"/>
        <v>#N/A</v>
      </c>
      <c r="FD284" s="38" t="str">
        <f>IF(OR(Исходн.данные.!F284=$CC$1,Исходн.данные.!F284=$CC$2,Исходн.данные.!F284=$CC$3,Исходн.данные.!F284=$CC$4),"Да","Нет")</f>
        <v>Нет</v>
      </c>
      <c r="FE284" s="38" t="str">
        <f>IF(Исходн.данные.!F284=$CC$5,"Да","Нет")</f>
        <v>Нет</v>
      </c>
      <c r="FF284" s="38" t="str">
        <f>IF(OR(Исходн.данные.!F284=$CC$6,Исходн.данные.!F284=$CC$7),"Да","Нет")</f>
        <v>Нет</v>
      </c>
      <c r="FG284" s="38" t="str">
        <f>IF(OR(Исходн.данные.!F284=$CC$8,Исходн.данные.!F284=$CC$9),"Да","Нет")</f>
        <v>Нет</v>
      </c>
      <c r="FH284" s="38" t="str">
        <f>IF(Исходн.данные.!F284=$CC$10,"Да","Нет")</f>
        <v>Нет</v>
      </c>
      <c r="FI284" s="38" t="str">
        <f>IF(OR(Исходн.данные.!F284=$CC$11,Исходн.данные.!F284=$CC$12),"Да","Нет")</f>
        <v>Нет</v>
      </c>
      <c r="FJ284" s="38" t="str">
        <f>IF(OR(Исходн.данные.!AH284=$BS$1,Исходн.данные.!AH284=$BQ$11,Исходн.данные.!AH284=$BQ$12),"Да","Нет")</f>
        <v>Нет</v>
      </c>
      <c r="FK284" s="38" t="str">
        <f>IF(OR(Исходн.данные.!AH284=$BS$2,Исходн.данные.!AH284=$BS$4),"Да","Нет")</f>
        <v>Нет</v>
      </c>
      <c r="FL284" s="38" t="str">
        <f>IF(OR(Исходн.данные.!AH284=$BS$3,Исходн.данные.!AH284=$BS$5),"Да","Нет")</f>
        <v>Нет</v>
      </c>
      <c r="FM284" s="38" t="str">
        <f>IF(OR(Исходн.данные.!AH284=$BS$9,Исходн.данные.!AH284=$BS$10,Исходн.данные.!AH284=$BS$11,Исходн.данные.!AH284=$BS$12),"Да","Нет")</f>
        <v>Нет</v>
      </c>
      <c r="FN284" s="38" t="str">
        <f>IF(OR(Исходн.данные.!AH284=$BS$6,Исходн.данные.!AH284=$BP$3),"Да","Нет")</f>
        <v>Нет</v>
      </c>
      <c r="FO284" s="38" t="str">
        <f>IF(Исходн.данные.!AH284=$BQ$9,"Да","Нет")</f>
        <v>Нет</v>
      </c>
      <c r="FP284" s="38" t="str">
        <f>IF(OR(Исходн.данные.!AH284=$BS$8,Исходн.данные.!AH284=$BT$8),"Да","Нет")</f>
        <v>Нет</v>
      </c>
      <c r="FQ284" s="38" t="str">
        <f>IF(OR(Исходн.данные.!AH284=$BQ$7,Исходн.данные.!AH284=$BQ$8),"Да","Нет")</f>
        <v>Нет</v>
      </c>
      <c r="FR284" s="38" t="str">
        <f>IF(Исходн.данные.!AI284=$BU$9,"Да","Нет")</f>
        <v>Нет</v>
      </c>
      <c r="FS284" s="38" t="str">
        <f>IF(OR(Исходн.данные.!AH284=$BP$1,Исходн.данные.!AH284=$BP$2),"Да","Нет")</f>
        <v>Нет</v>
      </c>
      <c r="FT284" s="38" t="e">
        <f>IF((Исходн.данные.!K284*GO284*GS284*GW284+BL284*0.6+Исходн.данные.!Q284*4.5*0.275)&gt;90,"Да","Нет")</f>
        <v>#N/A</v>
      </c>
      <c r="FU284" s="38" t="e">
        <f>IF((Исходн.данные.!M284*GS284*GZ284+BM284*0.225)&gt;35,"Да","Нет")</f>
        <v>#N/A</v>
      </c>
      <c r="FV284" s="38" t="str">
        <f>IF(Исходн.данные.!O284&gt;175,"Да","Нет")</f>
        <v>Нет</v>
      </c>
      <c r="FW284" s="39" t="str">
        <f>IF(Исходн.данные.!I284&gt;5.5,"Да","Нет")</f>
        <v>Нет</v>
      </c>
      <c r="FX284" s="39" t="str">
        <f>IF(Исходн.данные.!J284&lt;2,"Да","Нет")</f>
        <v>Да</v>
      </c>
      <c r="FY284" s="39" t="e">
        <f>IF(HF284=$FY$16,0,Исходн.данные.!K284*GO284*GS284*GW284/HF284)</f>
        <v>#N/A</v>
      </c>
      <c r="FZ284" s="39" t="e">
        <f>Исходн.данные.!M284*GS284*GZ284/HG284</f>
        <v>#N/A</v>
      </c>
      <c r="GA284" s="39" t="e">
        <f>IF(K_Wyn=$FY$16,0,IF(Исходн.данные.!N284=Исходн.данные.!$L$10,Исходн.данные.!O284/1.1*GS284*HC284/HH284,IF(Исходн.данные.!N284=Исходн.данные.!$L$12,Исходн.данные.!O284/1.5*GS284*HC284/HH284,Исходн.данные.!O284*GS284*HC284/HH284)))</f>
        <v>#N/A</v>
      </c>
      <c r="GB284" s="39" t="e">
        <f>IF(HF284=$FY$16,0,((Исходн.данные.!Q284*N_Org+Исходн.данные.!R284*N_Sider+Исходн.данные.!S284*N_Soloma)*AO284+Расчет!BC284*VLOOKUP(Исходн.данные.!T284,Справ!$A$3:$O$57,15)*AO284+BB284*VLOOKUP(Исходн.данные.!T284,Справ!$A$3:$O$57,15)*AL284+(Исходн.данные.!V284*N_Rizotorf+Исходн.данные.!W284*N_Rizoagr))/HF284)</f>
        <v>#N/A</v>
      </c>
      <c r="GC284" s="39" t="e">
        <f>IF(HG284=$FY$16,0,((Исходн.данные.!Q284*Р_Org+Исходн.данные.!R284*P_Sider+Исходн.данные.!S284*P_Soloma)*AP284+Расчет!BC284*VLOOKUP(Исходн.данные.!T284,Справ!$A$3:$P$57,16)*AP284+BB284*VLOOKUP(Исходн.данные.!T284,Справ!$A$3:$P$57,16)*AM284)/HG284)</f>
        <v>#N/A</v>
      </c>
      <c r="GD284" s="39" t="e">
        <f>IF(HH284=$FY$16,0,((Исходн.данные.!Q284*К_Org+Исходн.данные.!R284*K_Sider+Исходн.данные.!S284*K_Soloma)*AQ284+Расчет!BC284*VLOOKUP(Исходн.данные.!T284,Справ!$A$3:$Q$57,17)*AQ284+BB284*VLOOKUP(Исходн.данные.!T284,Справ!$A$3:$Q$57,17)*AN284)/HH284)</f>
        <v>#N/A</v>
      </c>
      <c r="GE284" s="39" t="e">
        <f>IF(HF284=$FY$16,0,(Исходн.данные.!X284*AR284+Исходн.данные.!AA284*N_Org*AL284+Исходн.данные.!AB284*N_Sider*AL284+Исходн.данные.!AC284*N_Soloma*AL284)/HF284)</f>
        <v>#N/A</v>
      </c>
      <c r="GF284" s="39" t="e">
        <f>IF(HG284=$FY$16,0,(Исходн.данные.!Y284*AS284+Исходн.данные.!AA284*Р_Org*AM284+Исходн.данные.!AB284*P_Sider*AM284+Исходн.данные.!AC284*P_Soloma*AM284)/HG284)</f>
        <v>#N/A</v>
      </c>
      <c r="GG284" s="39" t="e">
        <f>IF(HH284=$FY$16,0,(Исходн.данные.!Z284*AT284+Исходн.данные.!AA284*К_Org*AN284+Исходн.данные.!AB284*K_Sider*AN284+Исходн.данные.!AC284*K_Soloma*AN284)/HH284)</f>
        <v>#N/A</v>
      </c>
      <c r="GH284" s="39" t="e">
        <f>Исходн.данные.!AD284*AU284/HF284</f>
        <v>#N/A</v>
      </c>
      <c r="GI284" s="39" t="e">
        <f>Исходн.данные.!AE284*AV284/HG284</f>
        <v>#N/A</v>
      </c>
      <c r="GJ284" s="39" t="e">
        <f>Исходн.данные.!AF284*AW284/HH284</f>
        <v>#N/A</v>
      </c>
      <c r="GK284" s="55">
        <f>Исходн.данные.!AK284</f>
        <v>0</v>
      </c>
      <c r="GL284" s="11" t="e">
        <f t="shared" si="335"/>
        <v>#N/A</v>
      </c>
      <c r="GM284" s="11" t="e">
        <f t="shared" si="336"/>
        <v>#N/A</v>
      </c>
      <c r="GN284" s="11" t="e">
        <f t="shared" si="337"/>
        <v>#N/A</v>
      </c>
      <c r="GO284" s="57">
        <f t="shared" si="338"/>
        <v>19</v>
      </c>
      <c r="GP284" s="55">
        <f>IF(OR(Исходн.данные.!F284=$CE$1,Исходн.данные.!F284=$CE$2,Исходн.данные.!F284=$CE$3,Исходн.данные.!F284=$CE$4,Исходн.данные.!F284=$CE$5),GQ284,GR284)</f>
        <v>19</v>
      </c>
      <c r="GQ284" s="55">
        <f>IF(Исходн.данные.!F284=$CE$1,28,IF(Исходн.данные.!F284=$CE$2,26,IF(Исходн.данные.!F284=$CE$3,24,IF(Исходн.данные.!F284=$CE$4,22,IF(Исходн.данные.!F284=$CE$5,20,GR284)))))</f>
        <v>19</v>
      </c>
      <c r="GR284" s="55">
        <f>IF(Исходн.данные.!F284=$CE$6,18,IF(Исходн.данные.!F284=$CE$7,16,IF(Исходн.данные.!F284=$CE$8,14,IF(Исходн.данные.!F284=$CE$9,13,IF(Исходн.данные.!F284=$CE$10,12,19)))))</f>
        <v>19</v>
      </c>
      <c r="GS284" s="55">
        <f>IF(Исходн.данные.!G284="Пес",0.035*(40+2*Исходн.данные.!H284),IF(Исходн.данные.!G284="Суп",0.0325*(40+2*Исходн.данные.!H284),0.03*(40+2*Исходн.данные.!H284)))</f>
        <v>1.2</v>
      </c>
      <c r="GT284" s="55">
        <f>IF(Исходн.данные.!H284&lt;23,2.6,IF(AND(Исходн.данные.!H284&gt;22,Исходн.данные.!H284&lt;26),3,IF(AND(Исходн.данные.!H284&gt;25,Исходн.данные.!H284&lt;29),3.4,3.6)))</f>
        <v>2.6</v>
      </c>
      <c r="GU284" s="55">
        <f>IF(Исходн.данные.!H284&lt;23,2.8,IF(AND(Исходн.данные.!H284&gt;22,Исходн.данные.!H284&lt;26),3.2,IF(AND(Исходн.данные.!H284&gt;25,Исходн.данные.!H284&lt;29),3.6,3.9)))</f>
        <v>2.8</v>
      </c>
      <c r="GV284" s="55">
        <f>IF(Исходн.данные.!H284&lt;23,3,IF(AND(Исходн.данные.!H284&gt;22,Исходн.данные.!H284&lt;26),3.5,IF(AND(Исходн.данные.!H284&gt;25,Исходн.данные.!H284&lt;29),3.9,4.2)))</f>
        <v>3</v>
      </c>
      <c r="GW284" s="55" t="e">
        <f>IF(Исходн.данные.!P284="Ум",GX284,GY284)</f>
        <v>#N/A</v>
      </c>
      <c r="GX284" s="55" t="e">
        <f>VLOOKUP(Исходн.данные.!AI284,Коэффициенты!$J$7:$L$13,2,FALSE)</f>
        <v>#N/A</v>
      </c>
      <c r="GY284" s="55" t="e">
        <f>VLOOKUP(Исходн.данные.!AI284,Коэффициенты!$J$7:$L$13,3,FALSE)</f>
        <v>#N/A</v>
      </c>
      <c r="GZ284" s="55" t="e">
        <f>(IF(Исходн.данные.!M284&lt;50,0.11*VLOOKUP(Исходн.данные.!AH284,Культуры.Информация,7,FALSE),IF(Исходн.данные.!M284&gt;250,0.05*VLOOKUP(Исходн.данные.!AH284,Культуры.Информация,7,FALSE),VLOOKUP(Исходн.данные.!AH284,Культуры.Информация,5,FALSE)/100*($GX$6+$GY$6*Исходн.данные.!M284))))*Расчет2!AI284</f>
        <v>#N/A</v>
      </c>
      <c r="HA284" s="211"/>
      <c r="HB284" s="211"/>
      <c r="HC284" s="55" t="e">
        <f>(IF(Исходн.данные.!O284&lt;80,0.2*VLOOKUP(Исходн.данные.!AH284,Культуры.Информация,8,FALSE),IF(Исходн.данные.!O284&gt;240,0.09*VLOOKUP(Исходн.данные.!AH284,Культуры.Информация,8,FALSE),VLOOKUP(Исходн.данные.!AH284,Культуры.Информация,6,FALSE)/100*($HB$6+$HC$6*Исходн.данные.!O284))))*Расчет2!AJ284</f>
        <v>#N/A</v>
      </c>
      <c r="HD284" s="55">
        <f>IF(Исходн.данные.!O284&gt;240,0.09,IF(Исходн.данные.!O284&lt;30,0.3,$HE$10+$HD$10*Исходн.данные.!O284))</f>
        <v>0.3</v>
      </c>
      <c r="HE284" s="55">
        <f>IF(Исходн.данные.!O284&gt;240,0.17,IF(Исходн.данные.!O284&lt;30,0.5,$HF$12+$HE$12*Исходн.данные.!O284))</f>
        <v>0.5</v>
      </c>
      <c r="HF284" s="55" t="e">
        <f>VLOOKUP(Исходн.данные.!AH284,Справ!$A$3:$D$58,2,FALSE)</f>
        <v>#N/A</v>
      </c>
      <c r="HG284" s="55" t="e">
        <f>VLOOKUP(Исходн.данные.!AH284,Справ!$A$3:$D$58,3,FALSE)</f>
        <v>#N/A</v>
      </c>
      <c r="HH284" s="55" t="e">
        <f>VLOOKUP(Исходн.данные.!AH284,Справ!$A$3:$D$58,4,FALSE)</f>
        <v>#N/A</v>
      </c>
      <c r="HI284" s="11" t="e">
        <f t="shared" si="339"/>
        <v>#N/A</v>
      </c>
      <c r="HJ284" s="11" t="e">
        <f t="shared" si="340"/>
        <v>#N/A</v>
      </c>
      <c r="HK284" s="11" t="e">
        <f t="shared" si="341"/>
        <v>#N/A</v>
      </c>
      <c r="HL284" s="55">
        <f>IF(OR(Исходн.данные.!G284="Глин",Исходн.данные.!G284="Т_суг"),1.1,IF(Исходн.данные.!G284="Ср_суг",1,1))</f>
        <v>1</v>
      </c>
      <c r="HM284" s="55">
        <f>IF(OR(Исходн.данные.!G284="Глин",Исходн.данные.!G284="Т_суг"),0.9,IF(Исходн.данные.!G284="Ср_суг",1,1.2))</f>
        <v>1.2</v>
      </c>
      <c r="HN284" s="11" t="e">
        <f t="shared" si="342"/>
        <v>#N/A</v>
      </c>
      <c r="HO284" s="11" t="e">
        <f t="shared" si="343"/>
        <v>#N/A</v>
      </c>
      <c r="HP284" s="11" t="e">
        <f t="shared" si="344"/>
        <v>#N/A</v>
      </c>
      <c r="HQ284" t="e">
        <f t="shared" si="345"/>
        <v>#N/A</v>
      </c>
      <c r="HR284" t="e">
        <f t="shared" si="346"/>
        <v>#N/A</v>
      </c>
      <c r="HS284" t="e">
        <f t="shared" si="347"/>
        <v>#N/A</v>
      </c>
      <c r="HT284" t="e">
        <f t="shared" si="367"/>
        <v>#N/A</v>
      </c>
      <c r="HU284" t="e">
        <f t="shared" si="368"/>
        <v>#N/A</v>
      </c>
      <c r="HV284" t="e">
        <f t="shared" si="369"/>
        <v>#N/A</v>
      </c>
      <c r="HW284" t="e">
        <f t="shared" si="370"/>
        <v>#N/A</v>
      </c>
      <c r="HX284" t="e">
        <f t="shared" si="371"/>
        <v>#N/A</v>
      </c>
      <c r="HY284" t="e">
        <f t="shared" si="372"/>
        <v>#N/A</v>
      </c>
      <c r="HZ284" s="55">
        <f>IF(OR(Исходн.данные.!AI284="Оз_Ч_П",Исходн.данные.!AI284="Оз_З_П",Исходн.данные.!AI284="Яр_зер"),12,30)</f>
        <v>30</v>
      </c>
      <c r="IA284" t="e">
        <f t="shared" si="348"/>
        <v>#N/A</v>
      </c>
      <c r="IB284" t="e">
        <f t="shared" si="349"/>
        <v>#N/A</v>
      </c>
      <c r="IC284" t="e">
        <f t="shared" si="350"/>
        <v>#N/A</v>
      </c>
      <c r="ID284" s="11" t="e">
        <f t="shared" si="351"/>
        <v>#N/A</v>
      </c>
      <c r="IE284" s="11" t="e">
        <f t="shared" si="352"/>
        <v>#N/A</v>
      </c>
      <c r="IF284" s="11" t="e">
        <f t="shared" si="353"/>
        <v>#N/A</v>
      </c>
    </row>
    <row r="285" spans="35:240" x14ac:dyDescent="0.2">
      <c r="AI285">
        <f>IF(Исходн.данные.!I285&gt;6,1,1.85-(0.148*Исходн.данные.!I285))</f>
        <v>1.85</v>
      </c>
      <c r="AJ285">
        <f>IF(Исходн.данные.!I285&gt;6,1,2.434-(0.246*Исходн.данные.!I285))</f>
        <v>2.4340000000000002</v>
      </c>
      <c r="AL285" s="148" t="b">
        <f>IF(Исходн.данные.!$P285="Ум",N_OrgUd_2g_um,IF(Исходн.данные.!$P285="Об",N_OrgUd_2g_ob))</f>
        <v>0</v>
      </c>
      <c r="AM285" s="148" t="b">
        <f>IF(Исходн.данные.!$P285="Ум",P_OrgUd_2g_um,IF(Исходн.данные.!$P285="Об",P_OrgUd_2g_ob))</f>
        <v>0</v>
      </c>
      <c r="AN285" s="148" t="b">
        <f>IF(Исходн.данные.!$P285="Ум",K_OrgUd_2g_um,IF(Исходн.данные.!$P285="Об",K_OrgUd_2g_ob))</f>
        <v>0</v>
      </c>
      <c r="AO285" s="148" t="b">
        <f>IF(Исходн.данные.!$P285="Ум",N_OrgUd_1g_um,IF(Исходн.данные.!$P285="Об",N_OrgUd_1g_ob))</f>
        <v>0</v>
      </c>
      <c r="AP285" s="148" t="b">
        <f>IF(Исходн.данные.!$P285="Ум",P_OrgUd_1g_um,IF(Исходн.данные.!$P285="Об",P_OrgUd_1g_ob))</f>
        <v>0</v>
      </c>
      <c r="AQ285" s="148" t="b">
        <f>IF(Исходн.данные.!$P285="Ум",K_OrgUd_1g_um,IF(Исходн.данные.!$P285="Об",K_OrgUd_1g_ob))</f>
        <v>0</v>
      </c>
      <c r="AR285" t="b">
        <f>IF(Исходн.данные.!$P285="Ум",N_MinUd_2g_um,IF(Исходн.данные.!$P285="Об",N_MinUd_2g_ob))</f>
        <v>0</v>
      </c>
      <c r="AS285" t="b">
        <f>IF(Исходн.данные.!$P285="Ум",P_MinUd_2g_um,IF(Исходн.данные.!$P285="Об",P_MinUd_2g_ob))</f>
        <v>0</v>
      </c>
      <c r="AT285" t="b">
        <f>IF(Исходн.данные.!$P285="Ум",K_MinUd_2g_um,IF(Исходн.данные.!$P285="Об",K_MinUd_2g_ob))</f>
        <v>0</v>
      </c>
      <c r="AU285" t="b">
        <f>IF(Исходн.данные.!$P285="Ум",N_MinUd_1g_um,IF(Исходн.данные.!$P285="Об",N_MinUd_1g_ob))</f>
        <v>0</v>
      </c>
      <c r="AV285" t="b">
        <f>IF(Исходн.данные.!P285="Ум",P_MinUd_1g_um,IF(Исходн.данные.!P285="Об",P_MinUd_1g_ob))</f>
        <v>0</v>
      </c>
      <c r="AW285" t="b">
        <f>IF(Исходн.данные.!P285="Ум",K_MinUd_1g_um,IF(Исходн.данные.!P285="Об",K_MinUd_1g_ob))</f>
        <v>0</v>
      </c>
      <c r="AY285" t="e">
        <f>VLOOKUP(Исходн.данные.!T285,Справ!$A$3:$N$57,12)</f>
        <v>#N/A</v>
      </c>
      <c r="AZ285" t="e">
        <f>VLOOKUP(Исходн.данные.!T285,Справ!$A$3:$N$57,13)</f>
        <v>#N/A</v>
      </c>
      <c r="BA285" t="e">
        <f>VLOOKUP(Исходн.данные.!T285,Справ!$A$3:$N$57,14)</f>
        <v>#N/A</v>
      </c>
      <c r="BB285">
        <f>IF(Исходн.данные.!AH285=0,0,25)</f>
        <v>0</v>
      </c>
      <c r="BC285" s="141">
        <f>IF(Исходн.данные.!AH285=0,0,IF(Исходн.данные.!T285=0,25,BD285))</f>
        <v>0</v>
      </c>
      <c r="BD285" s="168" t="e">
        <f>AY285+AZ285*Исходн.данные.!U285-POWER(BA285,2)*Исходн.данные.!U285</f>
        <v>#N/A</v>
      </c>
      <c r="BE28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5" s="25">
        <f>IF(Исходн.данные.!AH285=0,0,MIN(HN285:HP285))</f>
        <v>0</v>
      </c>
      <c r="BG285" s="9">
        <f>IF(Исходн.данные.!AH285=0,0,IF((HO285+10*0.25/HG285/HL285)&lt;17,17,HO285+10*0.25/HG285/HL285))</f>
        <v>0</v>
      </c>
      <c r="BH285" s="181">
        <f>IF(Исходн.данные.!AH285=0,0,HW285*HF285*HL285/AU285*AI285+Исходн.данные.!S285*10)</f>
        <v>0</v>
      </c>
      <c r="BI285" s="10"/>
      <c r="BJ285" s="182">
        <f>IF(Исходн.данные.!AH285=0,0,IF(HX285*HG285*HL285/AV285&lt;0,0,HX285*HG285*HL285/AV285*AJ285))</f>
        <v>0</v>
      </c>
      <c r="BK285" s="182">
        <f>IF(Исходн.данные.!AH285=0,0,HY285*HH285*HM285/AW285)</f>
        <v>0</v>
      </c>
      <c r="BL285" s="10">
        <f>IF(OR(Исходн.данные.!$AH285=$BP$1,Исходн.данные.!$AH285=$BP$2),0,IF(BH285&lt;0,0,IF(OR(Исходн.данные.!T285=Расчет!$BP$1,Исходн.данные.!T285=Расчет!$BP$2,Исходн.данные.!T285=Расчет!$BT$5,Исходн.данные.!T285=Расчет!$BT$6),BH285*0.5,IF(OR(Исходн.данные.!T285=Расчет!$BS$9,Исходн.данные.!T285=Расчет!$BS$10,Исходн.данные.!T285=Расчет!$BS$11,Исходн.данные.!T285=Расчет!$BS$12,Исходн.данные.!T285=Расчет!$BP$5),BH285*0.8,BH285))))</f>
        <v>0</v>
      </c>
      <c r="BM285" s="10">
        <f>IF(OR(Исходн.данные.!$AH285=$BP$1,Исходн.данные.!$AH285=$BP$2),0,IF(BJ285&lt;0,0,IF(Исходн.данные.!I285&lt;4.5,BJ285*1.2,IF(Исходн.данные.!I285&gt;5.1,BJ285,BJ285*((5.1-Исходн.данные.!I285)*0.333+1)))))</f>
        <v>0</v>
      </c>
      <c r="BN285" s="10">
        <f>IF(OR(Исходн.данные.!$AH285=$BP$1,Исходн.данные.!$AH285=$BP$2),60-Исходн.данные.!AF285,IF(BK285&lt;0,0,IF(Исходн.данные.!I285&lt;4.5,BK285*1.2,IF(Исходн.данные.!I285&gt;5.1,BK285,BK285*((5.1-Исходн.данные.!I285)*0.333+1)))))</f>
        <v>0</v>
      </c>
      <c r="BO285" s="9">
        <f>IF(BL285&lt;0,0,BL285*Исходн.данные.!$AJ285/1000)</f>
        <v>0</v>
      </c>
      <c r="BP285" s="9">
        <f>IF(BM285&lt;0,0,BM285*Исходн.данные.!$AJ285/1000)</f>
        <v>0</v>
      </c>
      <c r="BQ285" s="9">
        <f>IF(BN285&lt;0,0,BN285*Исходн.данные.!$AJ285/1000)</f>
        <v>0</v>
      </c>
      <c r="BR285" s="9">
        <f t="shared" si="303"/>
        <v>0</v>
      </c>
      <c r="BS285" s="10" t="str">
        <f t="shared" si="304"/>
        <v>Аммофос 12:52:00</v>
      </c>
      <c r="BT285" s="10" t="str">
        <f t="shared" si="305"/>
        <v>Аммофос 12:52:00</v>
      </c>
      <c r="BU285" s="10" t="str">
        <f t="shared" si="306"/>
        <v>Диаммофоска</v>
      </c>
      <c r="BV285" s="10">
        <f t="shared" si="307"/>
        <v>0</v>
      </c>
      <c r="BW285" s="10"/>
      <c r="BX285" s="10"/>
      <c r="BY285" s="9">
        <f>IF(BL285&lt;0,0,IF(OR(Исходн.данные.!AI285=Расчет!$BU$6,Исходн.данные.!AI285=Расчет!$BU$7),Расчет!BV285,IF(Исходн.данные.!$AG285=$BV$11,BL285,IF(OR(Исходн.данные.!$AH285=$BQ$7,Исходн.данные.!$AH285=$BQ$8),CB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0,IF(Исходн.данные.!$AI285=$BU$11,"Нет",IF(BL285&gt;30,30,BL285)))))))</f>
        <v>0</v>
      </c>
      <c r="BZ285" s="9">
        <f>IF(AND(Исходн.данные.!$AG285=$BV$11,BM285&lt;10),10,IF(Исходн.данные.!$AG285=$BV$11,BM285,IF(OR(Исходн.данные.!$AH285=$BQ$7,Исходн.данные.!$AH285=$BQ$8),CC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10,IF(Исходн.данные.!$AI285=$BU$11,"Нет",IF(BM285&gt;60,60,IF(BM285&lt;10,10,BM285)))))))</f>
        <v>10</v>
      </c>
      <c r="CA285" s="39">
        <f>IF(BN285&lt;0,0,IF(Исходн.данные.!$AG285=$BV$11,BN285,IF(OR(Исходн.данные.!$AH285=$BQ$7,Исходн.данные.!$AH285=$BQ$8),CD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0,IF(Исходн.данные.!$AI285=$BU$11,"Нет",IF(BN285&gt;30,30,BN285))))))</f>
        <v>0</v>
      </c>
      <c r="CB285" s="9">
        <f t="shared" si="308"/>
        <v>0</v>
      </c>
      <c r="CC285" s="9">
        <f t="shared" si="309"/>
        <v>0</v>
      </c>
      <c r="CD285" s="9">
        <f t="shared" si="310"/>
        <v>0</v>
      </c>
      <c r="CE285" s="12">
        <f t="shared" si="311"/>
        <v>10</v>
      </c>
      <c r="CF285" s="9">
        <f t="shared" si="312"/>
        <v>0</v>
      </c>
      <c r="CG285" s="9" t="s">
        <v>231</v>
      </c>
      <c r="CH285" s="132" t="str">
        <f>IF(Исходн.данные.!AP285=Расчет!$CI$16,"Нет",IF(Исходн.данные.!AL285&gt;0,Исходн.данные.!AL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BH$4,IF(OR(Исходн.данные.!AI285=Исходн.данные.!$AI$6,Исходн.данные.!AI285=Исходн.данные.!$AI$7),Расчет!BS285,IF(AND($CF285=0,$CE285&gt;0),EV285,ER285)))))</f>
        <v>Аммофос 12:52:00</v>
      </c>
      <c r="CI285" s="274">
        <f>IF(Расчет!$CH285="Нет","Нет",IF(Исходн.данные.!$AL285&gt;0,VLOOKUP(Расчет!$CH285,АшламаДВ_Irekle,2,FALSE),VLOOKUP(Расчет!$CH285,АшламаДВ_Gomumy,2,FALSE)))</f>
        <v>0.12</v>
      </c>
      <c r="CJ285" s="274">
        <f>IF(Расчет!$CH285="Нет","Нет",IF(Исходн.данные.!$AL285&gt;0,VLOOKUP(Расчет!$CH285,АшламаДВ_Irekle,3,FALSE),VLOOKUP(Расчет!$CH285,АшламаДВ_Gomumy,3,FALSE)))</f>
        <v>0.52</v>
      </c>
      <c r="CK285" s="274">
        <f>IF(Расчет!$CH285="Нет","Нет",IF(Исходн.данные.!$AL285&gt;0,VLOOKUP(Расчет!$CH285,АшламаДВ_Irekle,4,FALSE),VLOOKUP(Расчет!$CH285,АшламаДВ_Gomumy,4,FALSE)))</f>
        <v>0</v>
      </c>
      <c r="CL285" s="70"/>
      <c r="CM285" s="70"/>
      <c r="CN285" s="70"/>
      <c r="CO285" s="70"/>
      <c r="CP285" s="70"/>
      <c r="CQ285" s="70"/>
      <c r="CR285" s="10">
        <f t="shared" si="313"/>
        <v>0</v>
      </c>
      <c r="CS285" s="10">
        <f t="shared" si="314"/>
        <v>19.23076923076923</v>
      </c>
      <c r="CT285" s="10">
        <f t="shared" si="315"/>
        <v>0</v>
      </c>
      <c r="CU285" s="39">
        <f>IF($CH285="Нет",0,IF(CI285=0,30/MIN(CJ285:CK285),IF(Исходн.данные.!$AG285=$BV$11,CR285,IF(OR(Исходн.данные.!$AH285=$BQ$7,Исходн.данные.!$AH285=$BQ$8),90/CI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0,IF(Исходн.данные.!$AI285=$BU$11,"Нет",30/CI285))))))</f>
        <v>250</v>
      </c>
      <c r="CV285" s="39">
        <f>IF($CH285="Нет",0,IF(Исходн.данные.!AH285=0,0,IF(CJ285=0,60/MIN(CI285,CK285),IF(Исходн.данные.!$AG285=$BV$11,CS285,IF(OR(Исходн.данные.!$AH285=$BQ$7,Исходн.данные.!$AH285=$BQ$8),90/CJ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10/CJ285,IF(Исходн.данные.!$AI285=$BU$11,"Нет",60/CJ285)))))))</f>
        <v>0</v>
      </c>
      <c r="CW285" s="39">
        <f>IF($CH285="Нет",0,IF(Исходн.данные.!AH285=0,0,IF(CK285=0,30/MIN(CI285:CJ285),IF(Исходн.данные.!$AG285=$BV$11,CT285,IF(OR(Исходн.данные.!$AH285=$BQ$7,Исходн.данные.!$AH285=$BQ$8),90/CK285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0,IF(Исходн.данные.!$AI285=$BU$11,"Нет",30/CK285)))))))</f>
        <v>0</v>
      </c>
      <c r="CX285" s="133">
        <f>IF(Исходн.данные.!$AG285=$BV$11,MAX(CU285:CW285),IF(OR(Исходн.данные.!$AH285=$BS$8,Исходн.данные.!$AH285=$BQ$9,Исходн.данные.!$AH285=$BQ$10,Исходн.данные.!$AH285=$BQ$11,Исходн.данные.!$AH285=$BQ$12,Исходн.данные.!$AH285=$BP$3,Исходн.данные.!$AH285=$BT$8,$FM285="Да"),CV285,MIN(CU285:CW285)))</f>
        <v>0</v>
      </c>
      <c r="CY285" s="133">
        <f>IF(Исходн.данные.!AH285=0,0,IF(CR285&gt;$CX285,$CX285,CR285))</f>
        <v>0</v>
      </c>
      <c r="CZ285" s="133">
        <f>IF(Исходн.данные.!AH285=0,0,IF(CS285&gt;$CX285,$CX285,CS285))</f>
        <v>0</v>
      </c>
      <c r="DA285" s="133">
        <f>IF(Исходн.данные.!AH285=0,0,IF(CT285&gt;$CX285,$CX285,CT285))</f>
        <v>0</v>
      </c>
      <c r="DB285" s="10">
        <f t="shared" si="316"/>
        <v>0</v>
      </c>
      <c r="DC285" s="39">
        <f>DB285*Исходн.данные.!AJ285/1000</f>
        <v>0</v>
      </c>
      <c r="DD285" s="71">
        <f t="shared" si="317"/>
        <v>0</v>
      </c>
      <c r="DE285" s="9">
        <f t="shared" si="318"/>
        <v>0</v>
      </c>
      <c r="DF285" s="9">
        <f t="shared" si="319"/>
        <v>0</v>
      </c>
      <c r="DG285" s="39">
        <f>IF(BL285&lt;0,0,IF($CH285="Нет",BL285,IF(OR(Исходн.данные.!$AH285=$BP$1,Исходн.данные.!$AH285=$BP$2),0,IF(Исходн.данные.!AI285=$BU$11,BL285,IF(BL285-DD285&lt;0,0,BL285-DD285)))))</f>
        <v>0</v>
      </c>
      <c r="DH285" s="39">
        <f>IF(BM285&lt;0,0,IF($CH285="Нет",BM285,IF(OR(Исходн.данные.!$AH285=$BP$1,Исходн.данные.!$AH285=$BP$2),0,IF(Исходн.данные.!AJ285=$BU$11,BM285,IF(BM285-DE285&lt;0,0,BM285-DE285)))))</f>
        <v>0</v>
      </c>
      <c r="DI285" s="39">
        <f>IF(BN285&lt;0,0,IF($CH285="Нет",BN285,IF(OR(Исходн.данные.!$AH285=$BP$1,Исходн.данные.!$AH285=$BP$2),0,IF(Исходн.данные.!AK285=$BU$11,BN285,IF(BN285-DF285&lt;0,0,BN285-DF285)))))</f>
        <v>0</v>
      </c>
      <c r="DJ285" s="12">
        <f t="shared" si="320"/>
        <v>0</v>
      </c>
      <c r="DK285" s="9">
        <f t="shared" si="321"/>
        <v>0</v>
      </c>
      <c r="DL285" s="39">
        <f>IF(Исходн.данные.!AM285&gt;0,Исходн.данные.!AM285,IF(EG285&gt;0,$BH$10,0))</f>
        <v>0</v>
      </c>
      <c r="DM285" s="186">
        <f>IF($DL285=0,0,IF(Исходн.данные.!AM285&gt;0,VLOOKUP($DL285,АшламаДВ_Irekle,2,FALSE),VLOOKUP($DL285,АшламаДВ_Gomumy,2,FALSE)))</f>
        <v>0</v>
      </c>
      <c r="DN285" s="10">
        <f t="shared" si="373"/>
        <v>0</v>
      </c>
      <c r="DO285" s="9" t="str">
        <f>IF(Исходн.данные.!AN285&gt;0,Исходн.данные.!AN285,Удобрения!$B$37 )</f>
        <v>Хлор.калий</v>
      </c>
      <c r="DP285" s="9">
        <f>IF(Исходн.данные.!AN285&gt;0,VLOOKUP(Исходн.данные.!AN285,АшламаДВ_Irekle,4,FALSE),VLOOKUP(DO285,АшламаДВ_Gomumy,4,FALSE))</f>
        <v>0.6</v>
      </c>
      <c r="DQ285" s="10">
        <f t="shared" si="374"/>
        <v>0</v>
      </c>
      <c r="DR285" s="132" t="str">
        <f>IF(Исходн.данные.!AO285&gt;0,Исходн.данные.!AO285,IF(DH285=0,BS$17,IF(AND($DK285=0,$DJ285&gt;0),EJ285,EN285)))</f>
        <v>Нет</v>
      </c>
      <c r="DS285" s="70" t="str">
        <f>IF($DR285="Нет","Нет",IF(Исходн.данные.!$AO285&gt;0,VLOOKUP($DR285,АшламаДВ_Irekle,2,FALSE),VLOOKUP($DR285,АшламаДВ_Gomumy,2,FALSE)))</f>
        <v>Нет</v>
      </c>
      <c r="DT285" s="70" t="str">
        <f>IF($DR285="Нет","Нет",IF(Исходн.данные.!$AO285&gt;0,VLOOKUP($DR285,АшламаДВ_Irekle,3,FALSE),VLOOKUP($DR285,АшламаДВ_Gomumy,3,FALSE)))</f>
        <v>Нет</v>
      </c>
      <c r="DU285" s="70" t="str">
        <f>IF($DR285="Нет","Нет",IF(Исходн.данные.!$AO285&gt;0,VLOOKUP($DR285,АшламаДВ_Irekle,4,FALSE),VLOOKUP($DR285,АшламаДВ_Gomumy,4,FALSE)))</f>
        <v>Нет</v>
      </c>
      <c r="DV285" s="70"/>
      <c r="DW285" s="70"/>
      <c r="DX285" s="70"/>
      <c r="DY285" s="10">
        <f t="shared" si="322"/>
        <v>0</v>
      </c>
      <c r="DZ285" s="10">
        <f t="shared" si="323"/>
        <v>0</v>
      </c>
      <c r="EA285" s="10">
        <f t="shared" si="324"/>
        <v>0</v>
      </c>
      <c r="EB285" s="10">
        <f t="shared" si="325"/>
        <v>0</v>
      </c>
      <c r="EC285" s="10">
        <f t="shared" si="326"/>
        <v>0</v>
      </c>
      <c r="ED285" s="10">
        <f t="shared" si="327"/>
        <v>0</v>
      </c>
      <c r="EE285" s="10">
        <f t="shared" si="328"/>
        <v>0</v>
      </c>
      <c r="EF285" s="39">
        <f>EB285*Исходн.данные.!AJ285/1000</f>
        <v>0</v>
      </c>
      <c r="EG285" s="9">
        <f t="shared" si="329"/>
        <v>0</v>
      </c>
      <c r="EH285" s="9">
        <f t="shared" si="330"/>
        <v>0</v>
      </c>
      <c r="EI285" s="39" t="e">
        <f t="shared" si="354"/>
        <v>#DIV/0!</v>
      </c>
      <c r="EJ285" s="9" t="str">
        <f t="shared" si="375"/>
        <v>Азопреципитат</v>
      </c>
      <c r="EK285" s="12">
        <f t="shared" si="355"/>
        <v>0.26</v>
      </c>
      <c r="EL285" s="12">
        <f t="shared" si="356"/>
        <v>0.13</v>
      </c>
      <c r="EM285" s="12">
        <f t="shared" si="357"/>
        <v>0</v>
      </c>
      <c r="EN285" s="12" t="str">
        <f t="shared" si="376"/>
        <v>Нет</v>
      </c>
      <c r="EO285" s="12">
        <f t="shared" si="358"/>
        <v>0</v>
      </c>
      <c r="EP285" s="12">
        <f t="shared" si="359"/>
        <v>0</v>
      </c>
      <c r="EQ285" s="12">
        <f t="shared" si="360"/>
        <v>0</v>
      </c>
      <c r="ER285" s="12" t="str">
        <f t="shared" si="331"/>
        <v>Диаммофоска</v>
      </c>
      <c r="ES285" s="12">
        <f t="shared" si="361"/>
        <v>0.1</v>
      </c>
      <c r="ET285" s="12">
        <f t="shared" si="362"/>
        <v>0.26</v>
      </c>
      <c r="EU285" s="12">
        <f t="shared" si="363"/>
        <v>0.26</v>
      </c>
      <c r="EV285" s="12" t="str">
        <f t="shared" si="332"/>
        <v>Аммофос 12:52:00</v>
      </c>
      <c r="EW285" s="12" t="str">
        <f t="shared" si="333"/>
        <v>Кемира Свекловичное-6</v>
      </c>
      <c r="EX285" s="12">
        <f t="shared" si="364"/>
        <v>0.16</v>
      </c>
      <c r="EY285" s="12">
        <f t="shared" si="365"/>
        <v>0.12</v>
      </c>
      <c r="EZ285" s="12">
        <f t="shared" si="366"/>
        <v>0.17</v>
      </c>
      <c r="FA285" s="38" t="e">
        <f>IF(AND(OR(FJ285=$FD$1,FM285=$FD$1,FO285=$FD$1,FQ285=$FD$1,FS285=$FD$1),FD285=$FD$1,Исходн.данные.!J285&lt;2,FU285=$FD$1),"Бор,Кобальт",IF(AND(FO285=$FD$1,FH285=$FD$1,Исходн.данные.!J285&lt;2,FU285=$FD$1),"Бор,Кобальт",IF(AND(OR(FJ285=$FD$1,FM285=$FD$1,FQ285=$FD$1),FE285=$FD$1,Исходн.данные.!J285&lt;2,FT285=$FD$1,FU285=$FD$1),"Бор,Медь,Цинк",IF(AND(OR(FJ285=$FD$1,FR285="Да"),FI285="Да",Исходн.данные.!J285&lt;2,FT285="Да",FU285="Да"),"Бор,Цинк,Медь",IF(AND(OR(FM285="Да",FQ285="Да"),FI285="Да",Исходн.данные.!J285&lt;2,FT285="Да",FU285="Да"),"Бор,Цинк",IF(AND(FN285="Да",OR(FD285="Да",FE285="Да")),"Бор",FB285))))))</f>
        <v>#N/A</v>
      </c>
      <c r="FB285" s="134" t="e">
        <f>IF(AND(OR(FD285="Да",FE285="Да",FF285="Да",FG285="Да",FH285="Да"),FO285="Да"),"Бор",IF(AND(FP285="Да",OR(FD285="Да",FE285="Да",FI285="Да")),"Бор",IF(AND(FS285="Да",FE285="Да"),"Бор,Медь",IF(AND(OR(FJ285="Да",FK285="Да",FL285="Да"),FE285="Да",Исходн.данные.!I285&lt;5,FT285="Да",FU285="Да"),"Молибден,Цинк",IF(AND(FM285="Да",OR(FE285="Да",FF285="Да",FG285="Да",FH285="Да",FI285="Да")),"Молибден,Цинк",IF(AND(OR(FJ285="Да",FK285="Да",FL285="Да",FM285="Да",FQ285="Да"),OR(FE285="Да",FF285="Да"),FT285="Да",FU285="Да",Исходн.данные.!I285&gt;5.5),"Медь,Цинк",FC285))))))</f>
        <v>#N/A</v>
      </c>
      <c r="FC285" s="23" t="e">
        <f t="shared" si="334"/>
        <v>#N/A</v>
      </c>
      <c r="FD285" s="38" t="str">
        <f>IF(OR(Исходн.данные.!F285=$CC$1,Исходн.данные.!F285=$CC$2,Исходн.данные.!F285=$CC$3,Исходн.данные.!F285=$CC$4),"Да","Нет")</f>
        <v>Нет</v>
      </c>
      <c r="FE285" s="38" t="str">
        <f>IF(Исходн.данные.!F285=$CC$5,"Да","Нет")</f>
        <v>Нет</v>
      </c>
      <c r="FF285" s="38" t="str">
        <f>IF(OR(Исходн.данные.!F285=$CC$6,Исходн.данные.!F285=$CC$7),"Да","Нет")</f>
        <v>Нет</v>
      </c>
      <c r="FG285" s="38" t="str">
        <f>IF(OR(Исходн.данные.!F285=$CC$8,Исходн.данные.!F285=$CC$9),"Да","Нет")</f>
        <v>Нет</v>
      </c>
      <c r="FH285" s="38" t="str">
        <f>IF(Исходн.данные.!F285=$CC$10,"Да","Нет")</f>
        <v>Нет</v>
      </c>
      <c r="FI285" s="38" t="str">
        <f>IF(OR(Исходн.данные.!F285=$CC$11,Исходн.данные.!F285=$CC$12),"Да","Нет")</f>
        <v>Нет</v>
      </c>
      <c r="FJ285" s="38" t="str">
        <f>IF(OR(Исходн.данные.!AH285=$BS$1,Исходн.данные.!AH285=$BQ$11,Исходн.данные.!AH285=$BQ$12),"Да","Нет")</f>
        <v>Нет</v>
      </c>
      <c r="FK285" s="38" t="str">
        <f>IF(OR(Исходн.данные.!AH285=$BS$2,Исходн.данные.!AH285=$BS$4),"Да","Нет")</f>
        <v>Нет</v>
      </c>
      <c r="FL285" s="38" t="str">
        <f>IF(OR(Исходн.данные.!AH285=$BS$3,Исходн.данные.!AH285=$BS$5),"Да","Нет")</f>
        <v>Нет</v>
      </c>
      <c r="FM285" s="38" t="str">
        <f>IF(OR(Исходн.данные.!AH285=$BS$9,Исходн.данные.!AH285=$BS$10,Исходн.данные.!AH285=$BS$11,Исходн.данные.!AH285=$BS$12),"Да","Нет")</f>
        <v>Нет</v>
      </c>
      <c r="FN285" s="38" t="str">
        <f>IF(OR(Исходн.данные.!AH285=$BS$6,Исходн.данные.!AH285=$BP$3),"Да","Нет")</f>
        <v>Нет</v>
      </c>
      <c r="FO285" s="38" t="str">
        <f>IF(Исходн.данные.!AH285=$BQ$9,"Да","Нет")</f>
        <v>Нет</v>
      </c>
      <c r="FP285" s="38" t="str">
        <f>IF(OR(Исходн.данные.!AH285=$BS$8,Исходн.данные.!AH285=$BT$8),"Да","Нет")</f>
        <v>Нет</v>
      </c>
      <c r="FQ285" s="38" t="str">
        <f>IF(OR(Исходн.данные.!AH285=$BQ$7,Исходн.данные.!AH285=$BQ$8),"Да","Нет")</f>
        <v>Нет</v>
      </c>
      <c r="FR285" s="38" t="str">
        <f>IF(Исходн.данные.!AI285=$BU$9,"Да","Нет")</f>
        <v>Нет</v>
      </c>
      <c r="FS285" s="38" t="str">
        <f>IF(OR(Исходн.данные.!AH285=$BP$1,Исходн.данные.!AH285=$BP$2),"Да","Нет")</f>
        <v>Нет</v>
      </c>
      <c r="FT285" s="38" t="e">
        <f>IF((Исходн.данные.!K285*GO285*GS285*GW285+BL285*0.6+Исходн.данные.!Q285*4.5*0.275)&gt;90,"Да","Нет")</f>
        <v>#N/A</v>
      </c>
      <c r="FU285" s="38" t="e">
        <f>IF((Исходн.данные.!M285*GS285*GZ285+BM285*0.225)&gt;35,"Да","Нет")</f>
        <v>#N/A</v>
      </c>
      <c r="FV285" s="38" t="str">
        <f>IF(Исходн.данные.!O285&gt;175,"Да","Нет")</f>
        <v>Нет</v>
      </c>
      <c r="FW285" s="39" t="str">
        <f>IF(Исходн.данные.!I285&gt;5.5,"Да","Нет")</f>
        <v>Нет</v>
      </c>
      <c r="FX285" s="39" t="str">
        <f>IF(Исходн.данные.!J285&lt;2,"Да","Нет")</f>
        <v>Да</v>
      </c>
      <c r="FY285" s="39" t="e">
        <f>IF(HF285=$FY$16,0,Исходн.данные.!K285*GO285*GS285*GW285/HF285)</f>
        <v>#N/A</v>
      </c>
      <c r="FZ285" s="39" t="e">
        <f>Исходн.данные.!M285*GS285*GZ285/HG285</f>
        <v>#N/A</v>
      </c>
      <c r="GA285" s="39" t="e">
        <f>IF(K_Wyn=$FY$16,0,IF(Исходн.данные.!N285=Исходн.данные.!$L$10,Исходн.данные.!O285/1.1*GS285*HC285/HH285,IF(Исходн.данные.!N285=Исходн.данные.!$L$12,Исходн.данные.!O285/1.5*GS285*HC285/HH285,Исходн.данные.!O285*GS285*HC285/HH285)))</f>
        <v>#N/A</v>
      </c>
      <c r="GB285" s="39" t="e">
        <f>IF(HF285=$FY$16,0,((Исходн.данные.!Q285*N_Org+Исходн.данные.!R285*N_Sider+Исходн.данные.!S285*N_Soloma)*AO285+Расчет!BC285*VLOOKUP(Исходн.данные.!T285,Справ!$A$3:$O$57,15)*AO285+BB285*VLOOKUP(Исходн.данные.!T285,Справ!$A$3:$O$57,15)*AL285+(Исходн.данные.!V285*N_Rizotorf+Исходн.данные.!W285*N_Rizoagr))/HF285)</f>
        <v>#N/A</v>
      </c>
      <c r="GC285" s="39" t="e">
        <f>IF(HG285=$FY$16,0,((Исходн.данные.!Q285*Р_Org+Исходн.данные.!R285*P_Sider+Исходн.данные.!S285*P_Soloma)*AP285+Расчет!BC285*VLOOKUP(Исходн.данные.!T285,Справ!$A$3:$P$57,16)*AP285+BB285*VLOOKUP(Исходн.данные.!T285,Справ!$A$3:$P$57,16)*AM285)/HG285)</f>
        <v>#N/A</v>
      </c>
      <c r="GD285" s="39" t="e">
        <f>IF(HH285=$FY$16,0,((Исходн.данные.!Q285*К_Org+Исходн.данные.!R285*K_Sider+Исходн.данные.!S285*K_Soloma)*AQ285+Расчет!BC285*VLOOKUP(Исходн.данные.!T285,Справ!$A$3:$Q$57,17)*AQ285+BB285*VLOOKUP(Исходн.данные.!T285,Справ!$A$3:$Q$57,17)*AN285)/HH285)</f>
        <v>#N/A</v>
      </c>
      <c r="GE285" s="39" t="e">
        <f>IF(HF285=$FY$16,0,(Исходн.данные.!X285*AR285+Исходн.данные.!AA285*N_Org*AL285+Исходн.данные.!AB285*N_Sider*AL285+Исходн.данные.!AC285*N_Soloma*AL285)/HF285)</f>
        <v>#N/A</v>
      </c>
      <c r="GF285" s="39" t="e">
        <f>IF(HG285=$FY$16,0,(Исходн.данные.!Y285*AS285+Исходн.данные.!AA285*Р_Org*AM285+Исходн.данные.!AB285*P_Sider*AM285+Исходн.данные.!AC285*P_Soloma*AM285)/HG285)</f>
        <v>#N/A</v>
      </c>
      <c r="GG285" s="39" t="e">
        <f>IF(HH285=$FY$16,0,(Исходн.данные.!Z285*AT285+Исходн.данные.!AA285*К_Org*AN285+Исходн.данные.!AB285*K_Sider*AN285+Исходн.данные.!AC285*K_Soloma*AN285)/HH285)</f>
        <v>#N/A</v>
      </c>
      <c r="GH285" s="39" t="e">
        <f>Исходн.данные.!AD285*AU285/HF285</f>
        <v>#N/A</v>
      </c>
      <c r="GI285" s="39" t="e">
        <f>Исходн.данные.!AE285*AV285/HG285</f>
        <v>#N/A</v>
      </c>
      <c r="GJ285" s="39" t="e">
        <f>Исходн.данные.!AF285*AW285/HH285</f>
        <v>#N/A</v>
      </c>
      <c r="GK285" s="55">
        <f>Исходн.данные.!AK285</f>
        <v>0</v>
      </c>
      <c r="GL285" s="11" t="e">
        <f t="shared" si="335"/>
        <v>#N/A</v>
      </c>
      <c r="GM285" s="11" t="e">
        <f t="shared" si="336"/>
        <v>#N/A</v>
      </c>
      <c r="GN285" s="11" t="e">
        <f t="shared" si="337"/>
        <v>#N/A</v>
      </c>
      <c r="GO285" s="57">
        <f t="shared" si="338"/>
        <v>19</v>
      </c>
      <c r="GP285" s="55">
        <f>IF(OR(Исходн.данные.!F285=$CE$1,Исходн.данные.!F285=$CE$2,Исходн.данные.!F285=$CE$3,Исходн.данные.!F285=$CE$4,Исходн.данные.!F285=$CE$5),GQ285,GR285)</f>
        <v>19</v>
      </c>
      <c r="GQ285" s="55">
        <f>IF(Исходн.данные.!F285=$CE$1,28,IF(Исходн.данные.!F285=$CE$2,26,IF(Исходн.данные.!F285=$CE$3,24,IF(Исходн.данные.!F285=$CE$4,22,IF(Исходн.данные.!F285=$CE$5,20,GR285)))))</f>
        <v>19</v>
      </c>
      <c r="GR285" s="55">
        <f>IF(Исходн.данные.!F285=$CE$6,18,IF(Исходн.данные.!F285=$CE$7,16,IF(Исходн.данные.!F285=$CE$8,14,IF(Исходн.данные.!F285=$CE$9,13,IF(Исходн.данные.!F285=$CE$10,12,19)))))</f>
        <v>19</v>
      </c>
      <c r="GS285" s="55">
        <f>IF(Исходн.данные.!G285="Пес",0.035*(40+2*Исходн.данные.!H285),IF(Исходн.данные.!G285="Суп",0.0325*(40+2*Исходн.данные.!H285),0.03*(40+2*Исходн.данные.!H285)))</f>
        <v>1.2</v>
      </c>
      <c r="GT285" s="55">
        <f>IF(Исходн.данные.!H285&lt;23,2.6,IF(AND(Исходн.данные.!H285&gt;22,Исходн.данные.!H285&lt;26),3,IF(AND(Исходн.данные.!H285&gt;25,Исходн.данные.!H285&lt;29),3.4,3.6)))</f>
        <v>2.6</v>
      </c>
      <c r="GU285" s="55">
        <f>IF(Исходн.данные.!H285&lt;23,2.8,IF(AND(Исходн.данные.!H285&gt;22,Исходн.данные.!H285&lt;26),3.2,IF(AND(Исходн.данные.!H285&gt;25,Исходн.данные.!H285&lt;29),3.6,3.9)))</f>
        <v>2.8</v>
      </c>
      <c r="GV285" s="55">
        <f>IF(Исходн.данные.!H285&lt;23,3,IF(AND(Исходн.данные.!H285&gt;22,Исходн.данные.!H285&lt;26),3.5,IF(AND(Исходн.данные.!H285&gt;25,Исходн.данные.!H285&lt;29),3.9,4.2)))</f>
        <v>3</v>
      </c>
      <c r="GW285" s="55" t="e">
        <f>IF(Исходн.данные.!P285="Ум",GX285,GY285)</f>
        <v>#N/A</v>
      </c>
      <c r="GX285" s="55" t="e">
        <f>VLOOKUP(Исходн.данные.!AI285,Коэффициенты!$J$7:$L$13,2,FALSE)</f>
        <v>#N/A</v>
      </c>
      <c r="GY285" s="55" t="e">
        <f>VLOOKUP(Исходн.данные.!AI285,Коэффициенты!$J$7:$L$13,3,FALSE)</f>
        <v>#N/A</v>
      </c>
      <c r="GZ285" s="55" t="e">
        <f>(IF(Исходн.данные.!M285&lt;50,0.11*VLOOKUP(Исходн.данные.!AH285,Культуры.Информация,7,FALSE),IF(Исходн.данные.!M285&gt;250,0.05*VLOOKUP(Исходн.данные.!AH285,Культуры.Информация,7,FALSE),VLOOKUP(Исходн.данные.!AH285,Культуры.Информация,5,FALSE)/100*($GX$6+$GY$6*Исходн.данные.!M285))))*Расчет2!AI285</f>
        <v>#N/A</v>
      </c>
      <c r="HA285" s="211"/>
      <c r="HB285" s="211"/>
      <c r="HC285" s="55" t="e">
        <f>(IF(Исходн.данные.!O285&lt;80,0.2*VLOOKUP(Исходн.данные.!AH285,Культуры.Информация,8,FALSE),IF(Исходн.данные.!O285&gt;240,0.09*VLOOKUP(Исходн.данные.!AH285,Культуры.Информация,8,FALSE),VLOOKUP(Исходн.данные.!AH285,Культуры.Информация,6,FALSE)/100*($HB$6+$HC$6*Исходн.данные.!O285))))*Расчет2!AJ285</f>
        <v>#N/A</v>
      </c>
      <c r="HD285" s="55">
        <f>IF(Исходн.данные.!O285&gt;240,0.09,IF(Исходн.данные.!O285&lt;30,0.3,$HE$10+$HD$10*Исходн.данные.!O285))</f>
        <v>0.3</v>
      </c>
      <c r="HE285" s="55">
        <f>IF(Исходн.данные.!O285&gt;240,0.17,IF(Исходн.данные.!O285&lt;30,0.5,$HF$12+$HE$12*Исходн.данные.!O285))</f>
        <v>0.5</v>
      </c>
      <c r="HF285" s="55" t="e">
        <f>VLOOKUP(Исходн.данные.!AH285,Справ!$A$3:$D$58,2,FALSE)</f>
        <v>#N/A</v>
      </c>
      <c r="HG285" s="55" t="e">
        <f>VLOOKUP(Исходн.данные.!AH285,Справ!$A$3:$D$58,3,FALSE)</f>
        <v>#N/A</v>
      </c>
      <c r="HH285" s="55" t="e">
        <f>VLOOKUP(Исходн.данные.!AH285,Справ!$A$3:$D$58,4,FALSE)</f>
        <v>#N/A</v>
      </c>
      <c r="HI285" s="11" t="e">
        <f t="shared" si="339"/>
        <v>#N/A</v>
      </c>
      <c r="HJ285" s="11" t="e">
        <f t="shared" si="340"/>
        <v>#N/A</v>
      </c>
      <c r="HK285" s="11" t="e">
        <f t="shared" si="341"/>
        <v>#N/A</v>
      </c>
      <c r="HL285" s="55">
        <f>IF(OR(Исходн.данные.!G285="Глин",Исходн.данные.!G285="Т_суг"),1.1,IF(Исходн.данные.!G285="Ср_суг",1,1))</f>
        <v>1</v>
      </c>
      <c r="HM285" s="55">
        <f>IF(OR(Исходн.данные.!G285="Глин",Исходн.данные.!G285="Т_суг"),0.9,IF(Исходн.данные.!G285="Ср_суг",1,1.2))</f>
        <v>1.2</v>
      </c>
      <c r="HN285" s="11" t="e">
        <f t="shared" si="342"/>
        <v>#N/A</v>
      </c>
      <c r="HO285" s="11" t="e">
        <f t="shared" si="343"/>
        <v>#N/A</v>
      </c>
      <c r="HP285" s="11" t="e">
        <f t="shared" si="344"/>
        <v>#N/A</v>
      </c>
      <c r="HQ285" t="e">
        <f t="shared" si="345"/>
        <v>#N/A</v>
      </c>
      <c r="HR285" t="e">
        <f t="shared" si="346"/>
        <v>#N/A</v>
      </c>
      <c r="HS285" t="e">
        <f t="shared" si="347"/>
        <v>#N/A</v>
      </c>
      <c r="HT285" t="e">
        <f t="shared" si="367"/>
        <v>#N/A</v>
      </c>
      <c r="HU285" t="e">
        <f t="shared" si="368"/>
        <v>#N/A</v>
      </c>
      <c r="HV285" t="e">
        <f t="shared" si="369"/>
        <v>#N/A</v>
      </c>
      <c r="HW285" t="e">
        <f t="shared" si="370"/>
        <v>#N/A</v>
      </c>
      <c r="HX285" t="e">
        <f t="shared" si="371"/>
        <v>#N/A</v>
      </c>
      <c r="HY285" t="e">
        <f t="shared" si="372"/>
        <v>#N/A</v>
      </c>
      <c r="HZ285" s="55">
        <f>IF(OR(Исходн.данные.!AI285="Оз_Ч_П",Исходн.данные.!AI285="Оз_З_П",Исходн.данные.!AI285="Яр_зер"),12,30)</f>
        <v>30</v>
      </c>
      <c r="IA285" t="e">
        <f t="shared" si="348"/>
        <v>#N/A</v>
      </c>
      <c r="IB285" t="e">
        <f t="shared" si="349"/>
        <v>#N/A</v>
      </c>
      <c r="IC285" t="e">
        <f t="shared" si="350"/>
        <v>#N/A</v>
      </c>
      <c r="ID285" s="11" t="e">
        <f t="shared" si="351"/>
        <v>#N/A</v>
      </c>
      <c r="IE285" s="11" t="e">
        <f t="shared" si="352"/>
        <v>#N/A</v>
      </c>
      <c r="IF285" s="11" t="e">
        <f t="shared" si="353"/>
        <v>#N/A</v>
      </c>
    </row>
    <row r="286" spans="35:240" x14ac:dyDescent="0.2">
      <c r="AI286">
        <f>IF(Исходн.данные.!I286&gt;6,1,1.85-(0.148*Исходн.данные.!I286))</f>
        <v>1.85</v>
      </c>
      <c r="AJ286">
        <f>IF(Исходн.данные.!I286&gt;6,1,2.434-(0.246*Исходн.данные.!I286))</f>
        <v>2.4340000000000002</v>
      </c>
      <c r="AL286" s="148" t="b">
        <f>IF(Исходн.данные.!$P286="Ум",N_OrgUd_2g_um,IF(Исходн.данные.!$P286="Об",N_OrgUd_2g_ob))</f>
        <v>0</v>
      </c>
      <c r="AM286" s="148" t="b">
        <f>IF(Исходн.данные.!$P286="Ум",P_OrgUd_2g_um,IF(Исходн.данные.!$P286="Об",P_OrgUd_2g_ob))</f>
        <v>0</v>
      </c>
      <c r="AN286" s="148" t="b">
        <f>IF(Исходн.данные.!$P286="Ум",K_OrgUd_2g_um,IF(Исходн.данные.!$P286="Об",K_OrgUd_2g_ob))</f>
        <v>0</v>
      </c>
      <c r="AO286" s="148" t="b">
        <f>IF(Исходн.данные.!$P286="Ум",N_OrgUd_1g_um,IF(Исходн.данные.!$P286="Об",N_OrgUd_1g_ob))</f>
        <v>0</v>
      </c>
      <c r="AP286" s="148" t="b">
        <f>IF(Исходн.данные.!$P286="Ум",P_OrgUd_1g_um,IF(Исходн.данные.!$P286="Об",P_OrgUd_1g_ob))</f>
        <v>0</v>
      </c>
      <c r="AQ286" s="148" t="b">
        <f>IF(Исходн.данные.!$P286="Ум",K_OrgUd_1g_um,IF(Исходн.данные.!$P286="Об",K_OrgUd_1g_ob))</f>
        <v>0</v>
      </c>
      <c r="AR286" t="b">
        <f>IF(Исходн.данные.!$P286="Ум",N_MinUd_2g_um,IF(Исходн.данные.!$P286="Об",N_MinUd_2g_ob))</f>
        <v>0</v>
      </c>
      <c r="AS286" t="b">
        <f>IF(Исходн.данные.!$P286="Ум",P_MinUd_2g_um,IF(Исходн.данные.!$P286="Об",P_MinUd_2g_ob))</f>
        <v>0</v>
      </c>
      <c r="AT286" t="b">
        <f>IF(Исходн.данные.!$P286="Ум",K_MinUd_2g_um,IF(Исходн.данные.!$P286="Об",K_MinUd_2g_ob))</f>
        <v>0</v>
      </c>
      <c r="AU286" t="b">
        <f>IF(Исходн.данные.!$P286="Ум",N_MinUd_1g_um,IF(Исходн.данные.!$P286="Об",N_MinUd_1g_ob))</f>
        <v>0</v>
      </c>
      <c r="AV286" t="b">
        <f>IF(Исходн.данные.!P286="Ум",P_MinUd_1g_um,IF(Исходн.данные.!P286="Об",P_MinUd_1g_ob))</f>
        <v>0</v>
      </c>
      <c r="AW286" t="b">
        <f>IF(Исходн.данные.!P286="Ум",K_MinUd_1g_um,IF(Исходн.данные.!P286="Об",K_MinUd_1g_ob))</f>
        <v>0</v>
      </c>
      <c r="AY286" t="e">
        <f>VLOOKUP(Исходн.данные.!T286,Справ!$A$3:$N$57,12)</f>
        <v>#N/A</v>
      </c>
      <c r="AZ286" t="e">
        <f>VLOOKUP(Исходн.данные.!T286,Справ!$A$3:$N$57,13)</f>
        <v>#N/A</v>
      </c>
      <c r="BA286" t="e">
        <f>VLOOKUP(Исходн.данные.!T286,Справ!$A$3:$N$57,14)</f>
        <v>#N/A</v>
      </c>
      <c r="BB286">
        <f>IF(Исходн.данные.!AH286=0,0,25)</f>
        <v>0</v>
      </c>
      <c r="BC286" s="141">
        <f>IF(Исходн.данные.!AH286=0,0,IF(Исходн.данные.!T286=0,25,BD286))</f>
        <v>0</v>
      </c>
      <c r="BD286" s="168" t="e">
        <f>AY286+AZ286*Исходн.данные.!U286-POWER(BA286,2)*Исходн.данные.!U286</f>
        <v>#N/A</v>
      </c>
      <c r="BE28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6" s="25">
        <f>IF(Исходн.данные.!AH286=0,0,MIN(HN286:HP286))</f>
        <v>0</v>
      </c>
      <c r="BG286" s="9">
        <f>IF(Исходн.данные.!AH286=0,0,IF((HO286+10*0.25/HG286/HL286)&lt;17,17,HO286+10*0.25/HG286/HL286))</f>
        <v>0</v>
      </c>
      <c r="BH286" s="181">
        <f>IF(Исходн.данные.!AH286=0,0,HW286*HF286*HL286/AU286*AI286+Исходн.данные.!S286*10)</f>
        <v>0</v>
      </c>
      <c r="BI286" s="10"/>
      <c r="BJ286" s="182">
        <f>IF(Исходн.данные.!AH286=0,0,IF(HX286*HG286*HL286/AV286&lt;0,0,HX286*HG286*HL286/AV286*AJ286))</f>
        <v>0</v>
      </c>
      <c r="BK286" s="182">
        <f>IF(Исходн.данные.!AH286=0,0,HY286*HH286*HM286/AW286)</f>
        <v>0</v>
      </c>
      <c r="BL286" s="10">
        <f>IF(OR(Исходн.данные.!$AH286=$BP$1,Исходн.данные.!$AH286=$BP$2),0,IF(BH286&lt;0,0,IF(OR(Исходн.данные.!T286=Расчет!$BP$1,Исходн.данные.!T286=Расчет!$BP$2,Исходн.данные.!T286=Расчет!$BT$5,Исходн.данные.!T286=Расчет!$BT$6),BH286*0.5,IF(OR(Исходн.данные.!T286=Расчет!$BS$9,Исходн.данные.!T286=Расчет!$BS$10,Исходн.данные.!T286=Расчет!$BS$11,Исходн.данные.!T286=Расчет!$BS$12,Исходн.данные.!T286=Расчет!$BP$5),BH286*0.8,BH286))))</f>
        <v>0</v>
      </c>
      <c r="BM286" s="10">
        <f>IF(OR(Исходн.данные.!$AH286=$BP$1,Исходн.данные.!$AH286=$BP$2),0,IF(BJ286&lt;0,0,IF(Исходн.данные.!I286&lt;4.5,BJ286*1.2,IF(Исходн.данные.!I286&gt;5.1,BJ286,BJ286*((5.1-Исходн.данные.!I286)*0.333+1)))))</f>
        <v>0</v>
      </c>
      <c r="BN286" s="10">
        <f>IF(OR(Исходн.данные.!$AH286=$BP$1,Исходн.данные.!$AH286=$BP$2),60-Исходн.данные.!AF286,IF(BK286&lt;0,0,IF(Исходн.данные.!I286&lt;4.5,BK286*1.2,IF(Исходн.данные.!I286&gt;5.1,BK286,BK286*((5.1-Исходн.данные.!I286)*0.333+1)))))</f>
        <v>0</v>
      </c>
      <c r="BO286" s="9">
        <f>IF(BL286&lt;0,0,BL286*Исходн.данные.!$AJ286/1000)</f>
        <v>0</v>
      </c>
      <c r="BP286" s="9">
        <f>IF(BM286&lt;0,0,BM286*Исходн.данные.!$AJ286/1000)</f>
        <v>0</v>
      </c>
      <c r="BQ286" s="9">
        <f>IF(BN286&lt;0,0,BN286*Исходн.данные.!$AJ286/1000)</f>
        <v>0</v>
      </c>
      <c r="BR286" s="9">
        <f t="shared" ref="BR286:BR349" si="377">SUMIF(BO286:BQ286,"&gt;0")</f>
        <v>0</v>
      </c>
      <c r="BS286" s="10" t="str">
        <f t="shared" ref="BS286:BS349" si="378">IF(AND($CF286=0,$CE286&gt;0),BT286,BU286)</f>
        <v>Аммофос 12:52:00</v>
      </c>
      <c r="BT286" s="10" t="str">
        <f t="shared" ref="BT286:BT349" si="379">IF(CE286&gt;3.3,$BH$4,IF(CE286&gt;1.5,$BH$3,IF(CE286&gt;0.75,$BH$2,$BH$1)))</f>
        <v>Аммофос 12:52:00</v>
      </c>
      <c r="BU286" s="10" t="str">
        <f t="shared" ref="BU286:BU349" si="380">IF(CE286&gt;2.4,$BH$9,IF(CE286&gt;1.8,$BH$8,IF(CE286&gt;1.1,$BH$7,IF(CE286&gt;0.65,$BH$6,$BH$5))))</f>
        <v>Диаммофоска</v>
      </c>
      <c r="BV286" s="10">
        <f t="shared" ref="BV286:BV349" si="381">IF(BL286&lt;0,0,IF(BL286*0.3&gt;30,30,BL286*0.3))</f>
        <v>0</v>
      </c>
      <c r="BW286" s="10"/>
      <c r="BX286" s="10"/>
      <c r="BY286" s="9">
        <f>IF(BL286&lt;0,0,IF(OR(Исходн.данные.!AI286=Расчет!$BU$6,Исходн.данные.!AI286=Расчет!$BU$7),Расчет!BV286,IF(Исходн.данные.!$AG286=$BV$11,BL286,IF(OR(Исходн.данные.!$AH286=$BQ$7,Исходн.данные.!$AH286=$BQ$8),CB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0,IF(Исходн.данные.!$AI286=$BU$11,"Нет",IF(BL286&gt;30,30,BL286)))))))</f>
        <v>0</v>
      </c>
      <c r="BZ286" s="9">
        <f>IF(AND(Исходн.данные.!$AG286=$BV$11,BM286&lt;10),10,IF(Исходн.данные.!$AG286=$BV$11,BM286,IF(OR(Исходн.данные.!$AH286=$BQ$7,Исходн.данные.!$AH286=$BQ$8),CC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10,IF(Исходн.данные.!$AI286=$BU$11,"Нет",IF(BM286&gt;60,60,IF(BM286&lt;10,10,BM286)))))))</f>
        <v>10</v>
      </c>
      <c r="CA286" s="39">
        <f>IF(BN286&lt;0,0,IF(Исходн.данные.!$AG286=$BV$11,BN286,IF(OR(Исходн.данные.!$AH286=$BQ$7,Исходн.данные.!$AH286=$BQ$8),CD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0,IF(Исходн.данные.!$AI286=$BU$11,"Нет",IF(BN286&gt;30,30,BN286))))))</f>
        <v>0</v>
      </c>
      <c r="CB286" s="9">
        <f t="shared" ref="CB286:CB349" si="382">IF(BL286&lt;0,0,IF(BL286&gt;90,90,BL286))</f>
        <v>0</v>
      </c>
      <c r="CC286" s="9">
        <f t="shared" ref="CC286:CC349" si="383">IF(BM286&lt;0,0,IF(BM286&gt;90,90,BM286))</f>
        <v>0</v>
      </c>
      <c r="CD286" s="9">
        <f t="shared" ref="CD286:CD349" si="384">IF(BN286&lt;0,0,IF(BN286&gt;90,90,BN286))</f>
        <v>0</v>
      </c>
      <c r="CE286" s="12">
        <f t="shared" ref="CE286:CE349" si="385">IF(BZ286="Нет",0,IF($BY286&gt;0,BZ286/$BY286,BZ286/1))</f>
        <v>10</v>
      </c>
      <c r="CF286" s="9">
        <f t="shared" ref="CF286:CF349" si="386">IF(BZ286="Нет",0,IF($BZ286&gt;0,CA286/$BZ286,CA286/1))</f>
        <v>0</v>
      </c>
      <c r="CG286" s="9" t="s">
        <v>231</v>
      </c>
      <c r="CH286" s="132" t="str">
        <f>IF(Исходн.данные.!AP286=Расчет!$CI$16,"Нет",IF(Исходн.данные.!AL286&gt;0,Исходн.данные.!AL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BH$4,IF(OR(Исходн.данные.!AI286=Исходн.данные.!$AI$6,Исходн.данные.!AI286=Исходн.данные.!$AI$7),Расчет!BS286,IF(AND($CF286=0,$CE286&gt;0),EV286,ER286)))))</f>
        <v>Аммофос 12:52:00</v>
      </c>
      <c r="CI286" s="274">
        <f>IF(Расчет!$CH286="Нет","Нет",IF(Исходн.данные.!$AL286&gt;0,VLOOKUP(Расчет!$CH286,АшламаДВ_Irekle,2,FALSE),VLOOKUP(Расчет!$CH286,АшламаДВ_Gomumy,2,FALSE)))</f>
        <v>0.12</v>
      </c>
      <c r="CJ286" s="274">
        <f>IF(Расчет!$CH286="Нет","Нет",IF(Исходн.данные.!$AL286&gt;0,VLOOKUP(Расчет!$CH286,АшламаДВ_Irekle,3,FALSE),VLOOKUP(Расчет!$CH286,АшламаДВ_Gomumy,3,FALSE)))</f>
        <v>0.52</v>
      </c>
      <c r="CK286" s="274">
        <f>IF(Расчет!$CH286="Нет","Нет",IF(Исходн.данные.!$AL286&gt;0,VLOOKUP(Расчет!$CH286,АшламаДВ_Irekle,4,FALSE),VLOOKUP(Расчет!$CH286,АшламаДВ_Gomumy,4,FALSE)))</f>
        <v>0</v>
      </c>
      <c r="CL286" s="70"/>
      <c r="CM286" s="70"/>
      <c r="CN286" s="70"/>
      <c r="CO286" s="70"/>
      <c r="CP286" s="70"/>
      <c r="CQ286" s="70"/>
      <c r="CR286" s="10">
        <f t="shared" ref="CR286:CR349" si="387">IF($CH286="Нет",0,IF(BY286&gt;0,BY286/CI286,0))</f>
        <v>0</v>
      </c>
      <c r="CS286" s="10">
        <f t="shared" ref="CS286:CS349" si="388">IF($CH286="Нет",0,IF(BZ286&gt;0,BZ286/CJ286,0))</f>
        <v>19.23076923076923</v>
      </c>
      <c r="CT286" s="10">
        <f t="shared" ref="CT286:CT349" si="389">IF($CH286="Нет",0,IF(CA286&gt;0,CA286/CK286,0))</f>
        <v>0</v>
      </c>
      <c r="CU286" s="39">
        <f>IF($CH286="Нет",0,IF(CI286=0,30/MIN(CJ286:CK286),IF(Исходн.данные.!$AG286=$BV$11,CR286,IF(OR(Исходн.данные.!$AH286=$BQ$7,Исходн.данные.!$AH286=$BQ$8),90/CI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0,IF(Исходн.данные.!$AI286=$BU$11,"Нет",30/CI286))))))</f>
        <v>250</v>
      </c>
      <c r="CV286" s="39">
        <f>IF($CH286="Нет",0,IF(Исходн.данные.!AH286=0,0,IF(CJ286=0,60/MIN(CI286,CK286),IF(Исходн.данные.!$AG286=$BV$11,CS286,IF(OR(Исходн.данные.!$AH286=$BQ$7,Исходн.данные.!$AH286=$BQ$8),90/CJ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10/CJ286,IF(Исходн.данные.!$AI286=$BU$11,"Нет",60/CJ286)))))))</f>
        <v>0</v>
      </c>
      <c r="CW286" s="39">
        <f>IF($CH286="Нет",0,IF(Исходн.данные.!AH286=0,0,IF(CK286=0,30/MIN(CI286:CJ286),IF(Исходн.данные.!$AG286=$BV$11,CT286,IF(OR(Исходн.данные.!$AH286=$BQ$7,Исходн.данные.!$AH286=$BQ$8),90/CK286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0,IF(Исходн.данные.!$AI286=$BU$11,"Нет",30/CK286)))))))</f>
        <v>0</v>
      </c>
      <c r="CX286" s="133">
        <f>IF(Исходн.данные.!$AG286=$BV$11,MAX(CU286:CW286),IF(OR(Исходн.данные.!$AH286=$BS$8,Исходн.данные.!$AH286=$BQ$9,Исходн.данные.!$AH286=$BQ$10,Исходн.данные.!$AH286=$BQ$11,Исходн.данные.!$AH286=$BQ$12,Исходн.данные.!$AH286=$BP$3,Исходн.данные.!$AH286=$BT$8,$FM286="Да"),CV286,MIN(CU286:CW286)))</f>
        <v>0</v>
      </c>
      <c r="CY286" s="133">
        <f>IF(Исходн.данные.!AH286=0,0,IF(CR286&gt;$CX286,$CX286,CR286))</f>
        <v>0</v>
      </c>
      <c r="CZ286" s="133">
        <f>IF(Исходн.данные.!AH286=0,0,IF(CS286&gt;$CX286,$CX286,CS286))</f>
        <v>0</v>
      </c>
      <c r="DA286" s="133">
        <f>IF(Исходн.данные.!AH286=0,0,IF(CT286&gt;$CX286,$CX286,CT286))</f>
        <v>0</v>
      </c>
      <c r="DB286" s="10">
        <f t="shared" ref="DB286:DB349" si="390">IF(BY286="Нет",0,CZ286)</f>
        <v>0</v>
      </c>
      <c r="DC286" s="39">
        <f>DB286*Исходн.данные.!AJ286/1000</f>
        <v>0</v>
      </c>
      <c r="DD286" s="71">
        <f t="shared" ref="DD286:DD349" si="391">$DB286*CI286</f>
        <v>0</v>
      </c>
      <c r="DE286" s="9">
        <f t="shared" ref="DE286:DE349" si="392">$DB286*CJ286</f>
        <v>0</v>
      </c>
      <c r="DF286" s="9">
        <f t="shared" ref="DF286:DF349" si="393">$DB286*CK286</f>
        <v>0</v>
      </c>
      <c r="DG286" s="39">
        <f>IF(BL286&lt;0,0,IF($CH286="Нет",BL286,IF(OR(Исходн.данные.!$AH286=$BP$1,Исходн.данные.!$AH286=$BP$2),0,IF(Исходн.данные.!AI286=$BU$11,BL286,IF(BL286-DD286&lt;0,0,BL286-DD286)))))</f>
        <v>0</v>
      </c>
      <c r="DH286" s="39">
        <f>IF(BM286&lt;0,0,IF($CH286="Нет",BM286,IF(OR(Исходн.данные.!$AH286=$BP$1,Исходн.данные.!$AH286=$BP$2),0,IF(Исходн.данные.!AJ286=$BU$11,BM286,IF(BM286-DE286&lt;0,0,BM286-DE286)))))</f>
        <v>0</v>
      </c>
      <c r="DI286" s="39">
        <f>IF(BN286&lt;0,0,IF($CH286="Нет",BN286,IF(OR(Исходн.данные.!$AH286=$BP$1,Исходн.данные.!$AH286=$BP$2),0,IF(Исходн.данные.!AK286=$BU$11,BN286,IF(BN286-DF286&lt;0,0,BN286-DF286)))))</f>
        <v>0</v>
      </c>
      <c r="DJ286" s="12">
        <f t="shared" ref="DJ286:DJ349" si="394">IF(DG286&gt;0,DH286/DG286,DH286)</f>
        <v>0</v>
      </c>
      <c r="DK286" s="9">
        <f t="shared" ref="DK286:DK349" si="395">IF(DH286&gt;0,DI286/DH286,DI286)</f>
        <v>0</v>
      </c>
      <c r="DL286" s="39">
        <f>IF(Исходн.данные.!AM286&gt;0,Исходн.данные.!AM286,IF(EG286&gt;0,$BH$10,0))</f>
        <v>0</v>
      </c>
      <c r="DM286" s="186">
        <f>IF($DL286=0,0,IF(Исходн.данные.!AM286&gt;0,VLOOKUP($DL286,АшламаДВ_Irekle,2,FALSE),VLOOKUP($DL286,АшламаДВ_Gomumy,2,FALSE)))</f>
        <v>0</v>
      </c>
      <c r="DN286" s="10">
        <f t="shared" si="373"/>
        <v>0</v>
      </c>
      <c r="DO286" s="9" t="str">
        <f>IF(Исходн.данные.!AN286&gt;0,Исходн.данные.!AN286,Удобрения!$B$37 )</f>
        <v>Хлор.калий</v>
      </c>
      <c r="DP286" s="9">
        <f>IF(Исходн.данные.!AN286&gt;0,VLOOKUP(Исходн.данные.!AN286,АшламаДВ_Irekle,4,FALSE),VLOOKUP(DO286,АшламаДВ_Gomumy,4,FALSE))</f>
        <v>0.6</v>
      </c>
      <c r="DQ286" s="10">
        <f t="shared" si="374"/>
        <v>0</v>
      </c>
      <c r="DR286" s="132" t="str">
        <f>IF(Исходн.данные.!AO286&gt;0,Исходн.данные.!AO286,IF(DH286=0,BS$17,IF(AND($DK286=0,$DJ286&gt;0),EJ286,EN286)))</f>
        <v>Нет</v>
      </c>
      <c r="DS286" s="70" t="str">
        <f>IF($DR286="Нет","Нет",IF(Исходн.данные.!$AO286&gt;0,VLOOKUP($DR286,АшламаДВ_Irekle,2,FALSE),VLOOKUP($DR286,АшламаДВ_Gomumy,2,FALSE)))</f>
        <v>Нет</v>
      </c>
      <c r="DT286" s="70" t="str">
        <f>IF($DR286="Нет","Нет",IF(Исходн.данные.!$AO286&gt;0,VLOOKUP($DR286,АшламаДВ_Irekle,3,FALSE),VLOOKUP($DR286,АшламаДВ_Gomumy,3,FALSE)))</f>
        <v>Нет</v>
      </c>
      <c r="DU286" s="70" t="str">
        <f>IF($DR286="Нет","Нет",IF(Исходн.данные.!$AO286&gt;0,VLOOKUP($DR286,АшламаДВ_Irekle,4,FALSE),VLOOKUP($DR286,АшламаДВ_Gomumy,4,FALSE)))</f>
        <v>Нет</v>
      </c>
      <c r="DV286" s="70"/>
      <c r="DW286" s="70"/>
      <c r="DX286" s="70"/>
      <c r="DY286" s="10">
        <f t="shared" ref="DY286:DY349" si="396">IF(DS286="Нет",0,IF(DS286=0,0,IF(DG286&gt;0,DG286/DS286,0)))</f>
        <v>0</v>
      </c>
      <c r="DZ286" s="10">
        <f t="shared" ref="DZ286:DZ349" si="397">IF(DT286="Нет",0,IF(DT286=0,0,IF(DH286&gt;0,DH286/DT286,0)))</f>
        <v>0</v>
      </c>
      <c r="EA286" s="10">
        <f t="shared" ref="EA286:EA349" si="398">IF(DU286="Нет",0,IF(DU286=0,0,IF(DI286&gt;0,DI286/DU286,0)))</f>
        <v>0</v>
      </c>
      <c r="EB286" s="10">
        <f t="shared" ref="EB286:EB349" si="399">DZ286</f>
        <v>0</v>
      </c>
      <c r="EC286" s="10">
        <f t="shared" ref="EC286:EC349" si="400">IF(DS286="Нет",0,$EB286*DS286)</f>
        <v>0</v>
      </c>
      <c r="ED286" s="10">
        <f t="shared" ref="ED286:ED349" si="401">IF(DT286="Нет",0,$EB286*DT286)</f>
        <v>0</v>
      </c>
      <c r="EE286" s="10">
        <f t="shared" ref="EE286:EE349" si="402">IF(DU286="Нет",0,$EB286*DU286)</f>
        <v>0</v>
      </c>
      <c r="EF286" s="39">
        <f>EB286*Исходн.данные.!AJ286/1000</f>
        <v>0</v>
      </c>
      <c r="EG286" s="9">
        <f t="shared" ref="EG286:EG349" si="403">DG286-EC286</f>
        <v>0</v>
      </c>
      <c r="EH286" s="9">
        <f t="shared" ref="EH286:EH349" si="404">DI286-EE286</f>
        <v>0</v>
      </c>
      <c r="EI286" s="39" t="e">
        <f t="shared" si="354"/>
        <v>#DIV/0!</v>
      </c>
      <c r="EJ286" s="9" t="str">
        <f t="shared" si="375"/>
        <v>Азопреципитат</v>
      </c>
      <c r="EK286" s="12">
        <f t="shared" si="355"/>
        <v>0.26</v>
      </c>
      <c r="EL286" s="12">
        <f t="shared" si="356"/>
        <v>0.13</v>
      </c>
      <c r="EM286" s="12">
        <f t="shared" si="357"/>
        <v>0</v>
      </c>
      <c r="EN286" s="12" t="str">
        <f t="shared" si="376"/>
        <v>Нет</v>
      </c>
      <c r="EO286" s="12">
        <f t="shared" si="358"/>
        <v>0</v>
      </c>
      <c r="EP286" s="12">
        <f t="shared" si="359"/>
        <v>0</v>
      </c>
      <c r="EQ286" s="12">
        <f t="shared" si="360"/>
        <v>0</v>
      </c>
      <c r="ER286" s="12" t="str">
        <f t="shared" ref="ER286:ER349" si="405">IF($BZ286=0,"Нет",IF($CA286/$BZ286&gt;1.4,BS$14,IF($CE286&gt;2.2,BH$9,IF($CE286&gt;1.5,BH$8,IF($CE286&gt;1,BH$7,IF($CE286&gt;0.5,BH$6,BH$5))))))</f>
        <v>Диаммофоска</v>
      </c>
      <c r="ES286" s="12">
        <f t="shared" si="361"/>
        <v>0.1</v>
      </c>
      <c r="ET286" s="12">
        <f t="shared" si="362"/>
        <v>0.26</v>
      </c>
      <c r="EU286" s="12">
        <f t="shared" si="363"/>
        <v>0.26</v>
      </c>
      <c r="EV286" s="12" t="str">
        <f t="shared" ref="EV286:EV349" si="406">IF(CE286&gt;2.6,$BH$4,IF(CE286&gt;0.9,$BH$3,IF(CE286&gt;0.5,$BH$2,$BH$1)))</f>
        <v>Аммофос 12:52:00</v>
      </c>
      <c r="EW286" s="12" t="str">
        <f t="shared" ref="EW286:EW349" si="407">IF($CF286&lt;0.14,BH$17,IF($CF286&lt;0.25,BH$16,IF($CF286&lt;0.51,BH$15,IF($CF286&lt;0.7,BH$14,IF($CF286&lt;1,BH$13,BH$12)))))</f>
        <v>Кемира Свекловичное-6</v>
      </c>
      <c r="EX286" s="12">
        <f t="shared" si="364"/>
        <v>0.16</v>
      </c>
      <c r="EY286" s="12">
        <f t="shared" si="365"/>
        <v>0.12</v>
      </c>
      <c r="EZ286" s="12">
        <f t="shared" si="366"/>
        <v>0.17</v>
      </c>
      <c r="FA286" s="38" t="e">
        <f>IF(AND(OR(FJ286=$FD$1,FM286=$FD$1,FO286=$FD$1,FQ286=$FD$1,FS286=$FD$1),FD286=$FD$1,Исходн.данные.!J286&lt;2,FU286=$FD$1),"Бор,Кобальт",IF(AND(FO286=$FD$1,FH286=$FD$1,Исходн.данные.!J286&lt;2,FU286=$FD$1),"Бор,Кобальт",IF(AND(OR(FJ286=$FD$1,FM286=$FD$1,FQ286=$FD$1),FE286=$FD$1,Исходн.данные.!J286&lt;2,FT286=$FD$1,FU286=$FD$1),"Бор,Медь,Цинк",IF(AND(OR(FJ286=$FD$1,FR286="Да"),FI286="Да",Исходн.данные.!J286&lt;2,FT286="Да",FU286="Да"),"Бор,Цинк,Медь",IF(AND(OR(FM286="Да",FQ286="Да"),FI286="Да",Исходн.данные.!J286&lt;2,FT286="Да",FU286="Да"),"Бор,Цинк",IF(AND(FN286="Да",OR(FD286="Да",FE286="Да")),"Бор",FB286))))))</f>
        <v>#N/A</v>
      </c>
      <c r="FB286" s="134" t="e">
        <f>IF(AND(OR(FD286="Да",FE286="Да",FF286="Да",FG286="Да",FH286="Да"),FO286="Да"),"Бор",IF(AND(FP286="Да",OR(FD286="Да",FE286="Да",FI286="Да")),"Бор",IF(AND(FS286="Да",FE286="Да"),"Бор,Медь",IF(AND(OR(FJ286="Да",FK286="Да",FL286="Да"),FE286="Да",Исходн.данные.!I286&lt;5,FT286="Да",FU286="Да"),"Молибден,Цинк",IF(AND(FM286="Да",OR(FE286="Да",FF286="Да",FG286="Да",FH286="Да",FI286="Да")),"Молибден,Цинк",IF(AND(OR(FJ286="Да",FK286="Да",FL286="Да",FM286="Да",FQ286="Да"),OR(FE286="Да",FF286="Да"),FT286="Да",FU286="Да",Исходн.данные.!I286&gt;5.5),"Медь,Цинк",FC286))))))</f>
        <v>#N/A</v>
      </c>
      <c r="FC286" s="23" t="e">
        <f t="shared" ref="FC286:FC349" si="408">IF(AND(OR(FJ286="Да",FL286="Да"),OR(FG286=$DF$12,FH286=$DF$12),FT286=$DF$12,FU286=$DF$12,FW286=$DF$12),"Медь,Цинк,Марганец",IF(AND(OR(FK286=$DF$12,FM286=$DF$12,FQ286=$DF$12),OR(FG286=$DF$12,FH286=$DF$12),FT286=$DF$12,FU286=$DF$12,FW286=$DF$12),"Медь,Цинк",IF(AND(FS286=$DF$12,OR(FE286=$DF$12,FF286=$DF$12,FG286=$DF$12,FH286=$DF$12),FT286=$DF$12,FW286=$DF$12),"Медь",IF(AND(OR(FJ286=$DF$12,FL286=$DF$12,FR286=$DF$12),FI286=$DF$12,FT286=$DF$12,FU285=$DF$12,FV286=$DF$12,FW286=$DF$12),"Цинк,Марганец","Не требуется"))))</f>
        <v>#N/A</v>
      </c>
      <c r="FD286" s="38" t="str">
        <f>IF(OR(Исходн.данные.!F286=$CC$1,Исходн.данные.!F286=$CC$2,Исходн.данные.!F286=$CC$3,Исходн.данные.!F286=$CC$4),"Да","Нет")</f>
        <v>Нет</v>
      </c>
      <c r="FE286" s="38" t="str">
        <f>IF(Исходн.данные.!F286=$CC$5,"Да","Нет")</f>
        <v>Нет</v>
      </c>
      <c r="FF286" s="38" t="str">
        <f>IF(OR(Исходн.данные.!F286=$CC$6,Исходн.данные.!F286=$CC$7),"Да","Нет")</f>
        <v>Нет</v>
      </c>
      <c r="FG286" s="38" t="str">
        <f>IF(OR(Исходн.данные.!F286=$CC$8,Исходн.данные.!F286=$CC$9),"Да","Нет")</f>
        <v>Нет</v>
      </c>
      <c r="FH286" s="38" t="str">
        <f>IF(Исходн.данные.!F286=$CC$10,"Да","Нет")</f>
        <v>Нет</v>
      </c>
      <c r="FI286" s="38" t="str">
        <f>IF(OR(Исходн.данные.!F286=$CC$11,Исходн.данные.!F286=$CC$12),"Да","Нет")</f>
        <v>Нет</v>
      </c>
      <c r="FJ286" s="38" t="str">
        <f>IF(OR(Исходн.данные.!AH286=$BS$1,Исходн.данные.!AH286=$BQ$11,Исходн.данные.!AH286=$BQ$12),"Да","Нет")</f>
        <v>Нет</v>
      </c>
      <c r="FK286" s="38" t="str">
        <f>IF(OR(Исходн.данные.!AH286=$BS$2,Исходн.данные.!AH286=$BS$4),"Да","Нет")</f>
        <v>Нет</v>
      </c>
      <c r="FL286" s="38" t="str">
        <f>IF(OR(Исходн.данные.!AH286=$BS$3,Исходн.данные.!AH286=$BS$5),"Да","Нет")</f>
        <v>Нет</v>
      </c>
      <c r="FM286" s="38" t="str">
        <f>IF(OR(Исходн.данные.!AH286=$BS$9,Исходн.данные.!AH286=$BS$10,Исходн.данные.!AH286=$BS$11,Исходн.данные.!AH286=$BS$12),"Да","Нет")</f>
        <v>Нет</v>
      </c>
      <c r="FN286" s="38" t="str">
        <f>IF(OR(Исходн.данные.!AH286=$BS$6,Исходн.данные.!AH286=$BP$3),"Да","Нет")</f>
        <v>Нет</v>
      </c>
      <c r="FO286" s="38" t="str">
        <f>IF(Исходн.данные.!AH286=$BQ$9,"Да","Нет")</f>
        <v>Нет</v>
      </c>
      <c r="FP286" s="38" t="str">
        <f>IF(OR(Исходн.данные.!AH286=$BS$8,Исходн.данные.!AH286=$BT$8),"Да","Нет")</f>
        <v>Нет</v>
      </c>
      <c r="FQ286" s="38" t="str">
        <f>IF(OR(Исходн.данные.!AH286=$BQ$7,Исходн.данные.!AH286=$BQ$8),"Да","Нет")</f>
        <v>Нет</v>
      </c>
      <c r="FR286" s="38" t="str">
        <f>IF(Исходн.данные.!AI286=$BU$9,"Да","Нет")</f>
        <v>Нет</v>
      </c>
      <c r="FS286" s="38" t="str">
        <f>IF(OR(Исходн.данные.!AH286=$BP$1,Исходн.данные.!AH286=$BP$2),"Да","Нет")</f>
        <v>Нет</v>
      </c>
      <c r="FT286" s="38" t="e">
        <f>IF((Исходн.данные.!K286*GO286*GS286*GW286+BL286*0.6+Исходн.данные.!Q286*4.5*0.275)&gt;90,"Да","Нет")</f>
        <v>#N/A</v>
      </c>
      <c r="FU286" s="38" t="e">
        <f>IF((Исходн.данные.!M286*GS286*GZ286+BM286*0.225)&gt;35,"Да","Нет")</f>
        <v>#N/A</v>
      </c>
      <c r="FV286" s="38" t="str">
        <f>IF(Исходн.данные.!O286&gt;175,"Да","Нет")</f>
        <v>Нет</v>
      </c>
      <c r="FW286" s="39" t="str">
        <f>IF(Исходн.данные.!I286&gt;5.5,"Да","Нет")</f>
        <v>Нет</v>
      </c>
      <c r="FX286" s="39" t="str">
        <f>IF(Исходн.данные.!J286&lt;2,"Да","Нет")</f>
        <v>Да</v>
      </c>
      <c r="FY286" s="39" t="e">
        <f>IF(HF286=$FY$16,0,Исходн.данные.!K286*GO286*GS286*GW286/HF286)</f>
        <v>#N/A</v>
      </c>
      <c r="FZ286" s="39" t="e">
        <f>Исходн.данные.!M286*GS286*GZ286/HG286</f>
        <v>#N/A</v>
      </c>
      <c r="GA286" s="39" t="e">
        <f>IF(K_Wyn=$FY$16,0,IF(Исходн.данные.!N286=Исходн.данные.!$L$10,Исходн.данные.!O286/1.1*GS286*HC286/HH286,IF(Исходн.данные.!N286=Исходн.данные.!$L$12,Исходн.данные.!O286/1.5*GS286*HC286/HH286,Исходн.данные.!O286*GS286*HC286/HH286)))</f>
        <v>#N/A</v>
      </c>
      <c r="GB286" s="39" t="e">
        <f>IF(HF286=$FY$16,0,((Исходн.данные.!Q286*N_Org+Исходн.данные.!R286*N_Sider+Исходн.данные.!S286*N_Soloma)*AO286+Расчет!BC286*VLOOKUP(Исходн.данные.!T286,Справ!$A$3:$O$57,15)*AO286+BB286*VLOOKUP(Исходн.данные.!T286,Справ!$A$3:$O$57,15)*AL286+(Исходн.данные.!V286*N_Rizotorf+Исходн.данные.!W286*N_Rizoagr))/HF286)</f>
        <v>#N/A</v>
      </c>
      <c r="GC286" s="39" t="e">
        <f>IF(HG286=$FY$16,0,((Исходн.данные.!Q286*Р_Org+Исходн.данные.!R286*P_Sider+Исходн.данные.!S286*P_Soloma)*AP286+Расчет!BC286*VLOOKUP(Исходн.данные.!T286,Справ!$A$3:$P$57,16)*AP286+BB286*VLOOKUP(Исходн.данные.!T286,Справ!$A$3:$P$57,16)*AM286)/HG286)</f>
        <v>#N/A</v>
      </c>
      <c r="GD286" s="39" t="e">
        <f>IF(HH286=$FY$16,0,((Исходн.данные.!Q286*К_Org+Исходн.данные.!R286*K_Sider+Исходн.данные.!S286*K_Soloma)*AQ286+Расчет!BC286*VLOOKUP(Исходн.данные.!T286,Справ!$A$3:$Q$57,17)*AQ286+BB286*VLOOKUP(Исходн.данные.!T286,Справ!$A$3:$Q$57,17)*AN286)/HH286)</f>
        <v>#N/A</v>
      </c>
      <c r="GE286" s="39" t="e">
        <f>IF(HF286=$FY$16,0,(Исходн.данные.!X286*AR286+Исходн.данные.!AA286*N_Org*AL286+Исходн.данные.!AB286*N_Sider*AL286+Исходн.данные.!AC286*N_Soloma*AL286)/HF286)</f>
        <v>#N/A</v>
      </c>
      <c r="GF286" s="39" t="e">
        <f>IF(HG286=$FY$16,0,(Исходн.данные.!Y286*AS286+Исходн.данные.!AA286*Р_Org*AM286+Исходн.данные.!AB286*P_Sider*AM286+Исходн.данные.!AC286*P_Soloma*AM286)/HG286)</f>
        <v>#N/A</v>
      </c>
      <c r="GG286" s="39" t="e">
        <f>IF(HH286=$FY$16,0,(Исходн.данные.!Z286*AT286+Исходн.данные.!AA286*К_Org*AN286+Исходн.данные.!AB286*K_Sider*AN286+Исходн.данные.!AC286*K_Soloma*AN286)/HH286)</f>
        <v>#N/A</v>
      </c>
      <c r="GH286" s="39" t="e">
        <f>Исходн.данные.!AD286*AU286/HF286</f>
        <v>#N/A</v>
      </c>
      <c r="GI286" s="39" t="e">
        <f>Исходн.данные.!AE286*AV286/HG286</f>
        <v>#N/A</v>
      </c>
      <c r="GJ286" s="39" t="e">
        <f>Исходн.данные.!AF286*AW286/HH286</f>
        <v>#N/A</v>
      </c>
      <c r="GK286" s="55">
        <f>Исходн.данные.!AK286</f>
        <v>0</v>
      </c>
      <c r="GL286" s="11" t="e">
        <f t="shared" ref="GL286:GL349" si="409">FY286</f>
        <v>#N/A</v>
      </c>
      <c r="GM286" s="11" t="e">
        <f t="shared" ref="GM286:GM349" si="410">FZ286</f>
        <v>#N/A</v>
      </c>
      <c r="GN286" s="11" t="e">
        <f t="shared" ref="GN286:GN349" si="411">GA286</f>
        <v>#N/A</v>
      </c>
      <c r="GO286" s="57">
        <f t="shared" ref="GO286:GO349" si="412">GP286</f>
        <v>19</v>
      </c>
      <c r="GP286" s="55">
        <f>IF(OR(Исходн.данные.!F286=$CE$1,Исходн.данные.!F286=$CE$2,Исходн.данные.!F286=$CE$3,Исходн.данные.!F286=$CE$4,Исходн.данные.!F286=$CE$5),GQ286,GR286)</f>
        <v>19</v>
      </c>
      <c r="GQ286" s="55">
        <f>IF(Исходн.данные.!F286=$CE$1,28,IF(Исходн.данные.!F286=$CE$2,26,IF(Исходн.данные.!F286=$CE$3,24,IF(Исходн.данные.!F286=$CE$4,22,IF(Исходн.данные.!F286=$CE$5,20,GR286)))))</f>
        <v>19</v>
      </c>
      <c r="GR286" s="55">
        <f>IF(Исходн.данные.!F286=$CE$6,18,IF(Исходн.данные.!F286=$CE$7,16,IF(Исходн.данные.!F286=$CE$8,14,IF(Исходн.данные.!F286=$CE$9,13,IF(Исходн.данные.!F286=$CE$10,12,19)))))</f>
        <v>19</v>
      </c>
      <c r="GS286" s="55">
        <f>IF(Исходн.данные.!G286="Пес",0.035*(40+2*Исходн.данные.!H286),IF(Исходн.данные.!G286="Суп",0.0325*(40+2*Исходн.данные.!H286),0.03*(40+2*Исходн.данные.!H286)))</f>
        <v>1.2</v>
      </c>
      <c r="GT286" s="55">
        <f>IF(Исходн.данные.!H286&lt;23,2.6,IF(AND(Исходн.данные.!H286&gt;22,Исходн.данные.!H286&lt;26),3,IF(AND(Исходн.данные.!H286&gt;25,Исходн.данные.!H286&lt;29),3.4,3.6)))</f>
        <v>2.6</v>
      </c>
      <c r="GU286" s="55">
        <f>IF(Исходн.данные.!H286&lt;23,2.8,IF(AND(Исходн.данные.!H286&gt;22,Исходн.данные.!H286&lt;26),3.2,IF(AND(Исходн.данные.!H286&gt;25,Исходн.данные.!H286&lt;29),3.6,3.9)))</f>
        <v>2.8</v>
      </c>
      <c r="GV286" s="55">
        <f>IF(Исходн.данные.!H286&lt;23,3,IF(AND(Исходн.данные.!H286&gt;22,Исходн.данные.!H286&lt;26),3.5,IF(AND(Исходн.данные.!H286&gt;25,Исходн.данные.!H286&lt;29),3.9,4.2)))</f>
        <v>3</v>
      </c>
      <c r="GW286" s="55" t="e">
        <f>IF(Исходн.данные.!P286="Ум",GX286,GY286)</f>
        <v>#N/A</v>
      </c>
      <c r="GX286" s="55" t="e">
        <f>VLOOKUP(Исходн.данные.!AI286,Коэффициенты!$J$7:$L$13,2,FALSE)</f>
        <v>#N/A</v>
      </c>
      <c r="GY286" s="55" t="e">
        <f>VLOOKUP(Исходн.данные.!AI286,Коэффициенты!$J$7:$L$13,3,FALSE)</f>
        <v>#N/A</v>
      </c>
      <c r="GZ286" s="55" t="e">
        <f>(IF(Исходн.данные.!M286&lt;50,0.11*VLOOKUP(Исходн.данные.!AH286,Культуры.Информация,7,FALSE),IF(Исходн.данные.!M286&gt;250,0.05*VLOOKUP(Исходн.данные.!AH286,Культуры.Информация,7,FALSE),VLOOKUP(Исходн.данные.!AH286,Культуры.Информация,5,FALSE)/100*($GX$6+$GY$6*Исходн.данные.!M286))))*Расчет2!AI286</f>
        <v>#N/A</v>
      </c>
      <c r="HA286" s="211"/>
      <c r="HB286" s="211"/>
      <c r="HC286" s="55" t="e">
        <f>(IF(Исходн.данные.!O286&lt;80,0.2*VLOOKUP(Исходн.данные.!AH286,Культуры.Информация,8,FALSE),IF(Исходн.данные.!O286&gt;240,0.09*VLOOKUP(Исходн.данные.!AH286,Культуры.Информация,8,FALSE),VLOOKUP(Исходн.данные.!AH286,Культуры.Информация,6,FALSE)/100*($HB$6+$HC$6*Исходн.данные.!O286))))*Расчет2!AJ286</f>
        <v>#N/A</v>
      </c>
      <c r="HD286" s="55">
        <f>IF(Исходн.данные.!O286&gt;240,0.09,IF(Исходн.данные.!O286&lt;30,0.3,$HE$10+$HD$10*Исходн.данные.!O286))</f>
        <v>0.3</v>
      </c>
      <c r="HE286" s="55">
        <f>IF(Исходн.данные.!O286&gt;240,0.17,IF(Исходн.данные.!O286&lt;30,0.5,$HF$12+$HE$12*Исходн.данные.!O286))</f>
        <v>0.5</v>
      </c>
      <c r="HF286" s="55" t="e">
        <f>VLOOKUP(Исходн.данные.!AH286,Справ!$A$3:$D$58,2,FALSE)</f>
        <v>#N/A</v>
      </c>
      <c r="HG286" s="55" t="e">
        <f>VLOOKUP(Исходн.данные.!AH286,Справ!$A$3:$D$58,3,FALSE)</f>
        <v>#N/A</v>
      </c>
      <c r="HH286" s="55" t="e">
        <f>VLOOKUP(Исходн.данные.!AH286,Справ!$A$3:$D$58,4,FALSE)</f>
        <v>#N/A</v>
      </c>
      <c r="HI286" s="11" t="e">
        <f t="shared" ref="HI286:HI349" si="413">$BG286-HQ286</f>
        <v>#N/A</v>
      </c>
      <c r="HJ286" s="11" t="e">
        <f t="shared" ref="HJ286:HJ349" si="414">$BG286-HR286</f>
        <v>#N/A</v>
      </c>
      <c r="HK286" s="11" t="e">
        <f t="shared" ref="HK286:HK349" si="415">$BG286-HS286</f>
        <v>#N/A</v>
      </c>
      <c r="HL286" s="55">
        <f>IF(OR(Исходн.данные.!G286="Глин",Исходн.данные.!G286="Т_суг"),1.1,IF(Исходн.данные.!G286="Ср_суг",1,1))</f>
        <v>1</v>
      </c>
      <c r="HM286" s="55">
        <f>IF(OR(Исходн.данные.!G286="Глин",Исходн.данные.!G286="Т_суг"),0.9,IF(Исходн.данные.!G286="Ср_суг",1,1.2))</f>
        <v>1.2</v>
      </c>
      <c r="HN286" s="11" t="e">
        <f t="shared" ref="HN286:HN349" si="416">FY286+GB286+GE286+GH286</f>
        <v>#N/A</v>
      </c>
      <c r="HO286" s="11" t="e">
        <f t="shared" ref="HO286:HO349" si="417">FZ286+GC286+GF286+GI286</f>
        <v>#N/A</v>
      </c>
      <c r="HP286" s="11" t="e">
        <f t="shared" ref="HP286:HP349" si="418">GA286+GD286+GG286+GJ286</f>
        <v>#N/A</v>
      </c>
      <c r="HQ286" t="e">
        <f t="shared" ref="HQ286:HQ349" si="419">HN286</f>
        <v>#N/A</v>
      </c>
      <c r="HR286" t="e">
        <f t="shared" ref="HR286:HR349" si="420">HO286</f>
        <v>#N/A</v>
      </c>
      <c r="HS286" t="e">
        <f t="shared" ref="HS286:HS349" si="421">HP286</f>
        <v>#N/A</v>
      </c>
      <c r="HT286" t="e">
        <f t="shared" si="367"/>
        <v>#N/A</v>
      </c>
      <c r="HU286" t="e">
        <f t="shared" si="368"/>
        <v>#N/A</v>
      </c>
      <c r="HV286" t="e">
        <f t="shared" si="369"/>
        <v>#N/A</v>
      </c>
      <c r="HW286" t="e">
        <f t="shared" si="370"/>
        <v>#N/A</v>
      </c>
      <c r="HX286" t="e">
        <f t="shared" si="371"/>
        <v>#N/A</v>
      </c>
      <c r="HY286" t="e">
        <f t="shared" si="372"/>
        <v>#N/A</v>
      </c>
      <c r="HZ286" s="55">
        <f>IF(OR(Исходн.данные.!AI286="Оз_Ч_П",Исходн.данные.!AI286="Оз_З_П",Исходн.данные.!AI286="Яр_зер"),12,30)</f>
        <v>30</v>
      </c>
      <c r="IA286" t="e">
        <f t="shared" ref="IA286:IA349" si="422">ABS(AVERAGE(HN286:HP286)-HN286)</f>
        <v>#N/A</v>
      </c>
      <c r="IB286" t="e">
        <f t="shared" ref="IB286:IB349" si="423">ABS(AVERAGE(HN286:HP286)-HO286)</f>
        <v>#N/A</v>
      </c>
      <c r="IC286" t="e">
        <f t="shared" ref="IC286:IC349" si="424">ABS(AVERAGE(HN286:HP286)-HP286)</f>
        <v>#N/A</v>
      </c>
      <c r="ID286" s="11" t="e">
        <f t="shared" ref="ID286:ID349" si="425">MAX(HN286:HP286)</f>
        <v>#N/A</v>
      </c>
      <c r="IE286" s="11" t="e">
        <f t="shared" ref="IE286:IE349" si="426">AVERAGE(HN286:HP286)</f>
        <v>#N/A</v>
      </c>
      <c r="IF286" s="11" t="e">
        <f t="shared" ref="IF286:IF349" si="427">MIN(HN286:HP286)</f>
        <v>#N/A</v>
      </c>
    </row>
    <row r="287" spans="35:240" x14ac:dyDescent="0.2">
      <c r="AI287">
        <f>IF(Исходн.данные.!I287&gt;6,1,1.85-(0.148*Исходн.данные.!I287))</f>
        <v>1.85</v>
      </c>
      <c r="AJ287">
        <f>IF(Исходн.данные.!I287&gt;6,1,2.434-(0.246*Исходн.данные.!I287))</f>
        <v>2.4340000000000002</v>
      </c>
      <c r="AL287" s="148" t="b">
        <f>IF(Исходн.данные.!$P287="Ум",N_OrgUd_2g_um,IF(Исходн.данные.!$P287="Об",N_OrgUd_2g_ob))</f>
        <v>0</v>
      </c>
      <c r="AM287" s="148" t="b">
        <f>IF(Исходн.данные.!$P287="Ум",P_OrgUd_2g_um,IF(Исходн.данные.!$P287="Об",P_OrgUd_2g_ob))</f>
        <v>0</v>
      </c>
      <c r="AN287" s="148" t="b">
        <f>IF(Исходн.данные.!$P287="Ум",K_OrgUd_2g_um,IF(Исходн.данные.!$P287="Об",K_OrgUd_2g_ob))</f>
        <v>0</v>
      </c>
      <c r="AO287" s="148" t="b">
        <f>IF(Исходн.данные.!$P287="Ум",N_OrgUd_1g_um,IF(Исходн.данные.!$P287="Об",N_OrgUd_1g_ob))</f>
        <v>0</v>
      </c>
      <c r="AP287" s="148" t="b">
        <f>IF(Исходн.данные.!$P287="Ум",P_OrgUd_1g_um,IF(Исходн.данные.!$P287="Об",P_OrgUd_1g_ob))</f>
        <v>0</v>
      </c>
      <c r="AQ287" s="148" t="b">
        <f>IF(Исходн.данные.!$P287="Ум",K_OrgUd_1g_um,IF(Исходн.данные.!$P287="Об",K_OrgUd_1g_ob))</f>
        <v>0</v>
      </c>
      <c r="AR287" t="b">
        <f>IF(Исходн.данные.!$P287="Ум",N_MinUd_2g_um,IF(Исходн.данные.!$P287="Об",N_MinUd_2g_ob))</f>
        <v>0</v>
      </c>
      <c r="AS287" t="b">
        <f>IF(Исходн.данные.!$P287="Ум",P_MinUd_2g_um,IF(Исходн.данные.!$P287="Об",P_MinUd_2g_ob))</f>
        <v>0</v>
      </c>
      <c r="AT287" t="b">
        <f>IF(Исходн.данные.!$P287="Ум",K_MinUd_2g_um,IF(Исходн.данные.!$P287="Об",K_MinUd_2g_ob))</f>
        <v>0</v>
      </c>
      <c r="AU287" t="b">
        <f>IF(Исходн.данные.!$P287="Ум",N_MinUd_1g_um,IF(Исходн.данные.!$P287="Об",N_MinUd_1g_ob))</f>
        <v>0</v>
      </c>
      <c r="AV287" t="b">
        <f>IF(Исходн.данные.!P287="Ум",P_MinUd_1g_um,IF(Исходн.данные.!P287="Об",P_MinUd_1g_ob))</f>
        <v>0</v>
      </c>
      <c r="AW287" t="b">
        <f>IF(Исходн.данные.!P287="Ум",K_MinUd_1g_um,IF(Исходн.данные.!P287="Об",K_MinUd_1g_ob))</f>
        <v>0</v>
      </c>
      <c r="AY287" t="e">
        <f>VLOOKUP(Исходн.данные.!T287,Справ!$A$3:$N$57,12)</f>
        <v>#N/A</v>
      </c>
      <c r="AZ287" t="e">
        <f>VLOOKUP(Исходн.данные.!T287,Справ!$A$3:$N$57,13)</f>
        <v>#N/A</v>
      </c>
      <c r="BA287" t="e">
        <f>VLOOKUP(Исходн.данные.!T287,Справ!$A$3:$N$57,14)</f>
        <v>#N/A</v>
      </c>
      <c r="BB287">
        <f>IF(Исходн.данные.!AH287=0,0,25)</f>
        <v>0</v>
      </c>
      <c r="BC287" s="141">
        <f>IF(Исходн.данные.!AH287=0,0,IF(Исходн.данные.!T287=0,25,BD287))</f>
        <v>0</v>
      </c>
      <c r="BD287" s="168" t="e">
        <f>AY287+AZ287*Исходн.данные.!U287-POWER(BA287,2)*Исходн.данные.!U287</f>
        <v>#N/A</v>
      </c>
      <c r="BE28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7" s="25">
        <f>IF(Исходн.данные.!AH287=0,0,MIN(HN287:HP287))</f>
        <v>0</v>
      </c>
      <c r="BG287" s="9">
        <f>IF(Исходн.данные.!AH287=0,0,IF((HO287+10*0.25/HG287/HL287)&lt;17,17,HO287+10*0.25/HG287/HL287))</f>
        <v>0</v>
      </c>
      <c r="BH287" s="181">
        <f>IF(Исходн.данные.!AH287=0,0,HW287*HF287*HL287/AU287*AI287+Исходн.данные.!S287*10)</f>
        <v>0</v>
      </c>
      <c r="BI287" s="10"/>
      <c r="BJ287" s="182">
        <f>IF(Исходн.данные.!AH287=0,0,IF(HX287*HG287*HL287/AV287&lt;0,0,HX287*HG287*HL287/AV287*AJ287))</f>
        <v>0</v>
      </c>
      <c r="BK287" s="182">
        <f>IF(Исходн.данные.!AH287=0,0,HY287*HH287*HM287/AW287)</f>
        <v>0</v>
      </c>
      <c r="BL287" s="10">
        <f>IF(OR(Исходн.данные.!$AH287=$BP$1,Исходн.данные.!$AH287=$BP$2),0,IF(BH287&lt;0,0,IF(OR(Исходн.данные.!T287=Расчет!$BP$1,Исходн.данные.!T287=Расчет!$BP$2,Исходн.данные.!T287=Расчет!$BT$5,Исходн.данные.!T287=Расчет!$BT$6),BH287*0.5,IF(OR(Исходн.данные.!T287=Расчет!$BS$9,Исходн.данные.!T287=Расчет!$BS$10,Исходн.данные.!T287=Расчет!$BS$11,Исходн.данные.!T287=Расчет!$BS$12,Исходн.данные.!T287=Расчет!$BP$5),BH287*0.8,BH287))))</f>
        <v>0</v>
      </c>
      <c r="BM287" s="10">
        <f>IF(OR(Исходн.данные.!$AH287=$BP$1,Исходн.данные.!$AH287=$BP$2),0,IF(BJ287&lt;0,0,IF(Исходн.данные.!I287&lt;4.5,BJ287*1.2,IF(Исходн.данные.!I287&gt;5.1,BJ287,BJ287*((5.1-Исходн.данные.!I287)*0.333+1)))))</f>
        <v>0</v>
      </c>
      <c r="BN287" s="10">
        <f>IF(OR(Исходн.данные.!$AH287=$BP$1,Исходн.данные.!$AH287=$BP$2),60-Исходн.данные.!AF287,IF(BK287&lt;0,0,IF(Исходн.данные.!I287&lt;4.5,BK287*1.2,IF(Исходн.данные.!I287&gt;5.1,BK287,BK287*((5.1-Исходн.данные.!I287)*0.333+1)))))</f>
        <v>0</v>
      </c>
      <c r="BO287" s="9">
        <f>IF(BL287&lt;0,0,BL287*Исходн.данные.!$AJ287/1000)</f>
        <v>0</v>
      </c>
      <c r="BP287" s="9">
        <f>IF(BM287&lt;0,0,BM287*Исходн.данные.!$AJ287/1000)</f>
        <v>0</v>
      </c>
      <c r="BQ287" s="9">
        <f>IF(BN287&lt;0,0,BN287*Исходн.данные.!$AJ287/1000)</f>
        <v>0</v>
      </c>
      <c r="BR287" s="9">
        <f t="shared" si="377"/>
        <v>0</v>
      </c>
      <c r="BS287" s="10" t="str">
        <f t="shared" si="378"/>
        <v>Аммофос 12:52:00</v>
      </c>
      <c r="BT287" s="10" t="str">
        <f t="shared" si="379"/>
        <v>Аммофос 12:52:00</v>
      </c>
      <c r="BU287" s="10" t="str">
        <f t="shared" si="380"/>
        <v>Диаммофоска</v>
      </c>
      <c r="BV287" s="10">
        <f t="shared" si="381"/>
        <v>0</v>
      </c>
      <c r="BW287" s="10"/>
      <c r="BX287" s="10"/>
      <c r="BY287" s="9">
        <f>IF(BL287&lt;0,0,IF(OR(Исходн.данные.!AI287=Расчет!$BU$6,Исходн.данные.!AI287=Расчет!$BU$7),Расчет!BV287,IF(Исходн.данные.!$AG287=$BV$11,BL287,IF(OR(Исходн.данные.!$AH287=$BQ$7,Исходн.данные.!$AH287=$BQ$8),CB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0,IF(Исходн.данные.!$AI287=$BU$11,"Нет",IF(BL287&gt;30,30,BL287)))))))</f>
        <v>0</v>
      </c>
      <c r="BZ287" s="9">
        <f>IF(AND(Исходн.данные.!$AG287=$BV$11,BM287&lt;10),10,IF(Исходн.данные.!$AG287=$BV$11,BM287,IF(OR(Исходн.данные.!$AH287=$BQ$7,Исходн.данные.!$AH287=$BQ$8),CC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10,IF(Исходн.данные.!$AI287=$BU$11,"Нет",IF(BM287&gt;60,60,IF(BM287&lt;10,10,BM287)))))))</f>
        <v>10</v>
      </c>
      <c r="CA287" s="39">
        <f>IF(BN287&lt;0,0,IF(Исходн.данные.!$AG287=$BV$11,BN287,IF(OR(Исходн.данные.!$AH287=$BQ$7,Исходн.данные.!$AH287=$BQ$8),CD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0,IF(Исходн.данные.!$AI287=$BU$11,"Нет",IF(BN287&gt;30,30,BN287))))))</f>
        <v>0</v>
      </c>
      <c r="CB287" s="9">
        <f t="shared" si="382"/>
        <v>0</v>
      </c>
      <c r="CC287" s="9">
        <f t="shared" si="383"/>
        <v>0</v>
      </c>
      <c r="CD287" s="9">
        <f t="shared" si="384"/>
        <v>0</v>
      </c>
      <c r="CE287" s="12">
        <f t="shared" si="385"/>
        <v>10</v>
      </c>
      <c r="CF287" s="9">
        <f t="shared" si="386"/>
        <v>0</v>
      </c>
      <c r="CG287" s="9" t="s">
        <v>231</v>
      </c>
      <c r="CH287" s="132" t="str">
        <f>IF(Исходн.данные.!AP287=Расчет!$CI$16,"Нет",IF(Исходн.данные.!AL287&gt;0,Исходн.данные.!AL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BH$4,IF(OR(Исходн.данные.!AI287=Исходн.данные.!$AI$6,Исходн.данные.!AI287=Исходн.данные.!$AI$7),Расчет!BS287,IF(AND($CF287=0,$CE287&gt;0),EV287,ER287)))))</f>
        <v>Аммофос 12:52:00</v>
      </c>
      <c r="CI287" s="274">
        <f>IF(Расчет!$CH287="Нет","Нет",IF(Исходн.данные.!$AL287&gt;0,VLOOKUP(Расчет!$CH287,АшламаДВ_Irekle,2,FALSE),VLOOKUP(Расчет!$CH287,АшламаДВ_Gomumy,2,FALSE)))</f>
        <v>0.12</v>
      </c>
      <c r="CJ287" s="274">
        <f>IF(Расчет!$CH287="Нет","Нет",IF(Исходн.данные.!$AL287&gt;0,VLOOKUP(Расчет!$CH287,АшламаДВ_Irekle,3,FALSE),VLOOKUP(Расчет!$CH287,АшламаДВ_Gomumy,3,FALSE)))</f>
        <v>0.52</v>
      </c>
      <c r="CK287" s="274">
        <f>IF(Расчет!$CH287="Нет","Нет",IF(Исходн.данные.!$AL287&gt;0,VLOOKUP(Расчет!$CH287,АшламаДВ_Irekle,4,FALSE),VLOOKUP(Расчет!$CH287,АшламаДВ_Gomumy,4,FALSE)))</f>
        <v>0</v>
      </c>
      <c r="CL287" s="70"/>
      <c r="CM287" s="70"/>
      <c r="CN287" s="70"/>
      <c r="CO287" s="70"/>
      <c r="CP287" s="70"/>
      <c r="CQ287" s="70"/>
      <c r="CR287" s="10">
        <f t="shared" si="387"/>
        <v>0</v>
      </c>
      <c r="CS287" s="10">
        <f t="shared" si="388"/>
        <v>19.23076923076923</v>
      </c>
      <c r="CT287" s="10">
        <f t="shared" si="389"/>
        <v>0</v>
      </c>
      <c r="CU287" s="39">
        <f>IF($CH287="Нет",0,IF(CI287=0,30/MIN(CJ287:CK287),IF(Исходн.данные.!$AG287=$BV$11,CR287,IF(OR(Исходн.данные.!$AH287=$BQ$7,Исходн.данные.!$AH287=$BQ$8),90/CI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0,IF(Исходн.данные.!$AI287=$BU$11,"Нет",30/CI287))))))</f>
        <v>250</v>
      </c>
      <c r="CV287" s="39">
        <f>IF($CH287="Нет",0,IF(Исходн.данные.!AH287=0,0,IF(CJ287=0,60/MIN(CI287,CK287),IF(Исходн.данные.!$AG287=$BV$11,CS287,IF(OR(Исходн.данные.!$AH287=$BQ$7,Исходн.данные.!$AH287=$BQ$8),90/CJ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10/CJ287,IF(Исходн.данные.!$AI287=$BU$11,"Нет",60/CJ287)))))))</f>
        <v>0</v>
      </c>
      <c r="CW287" s="39">
        <f>IF($CH287="Нет",0,IF(Исходн.данные.!AH287=0,0,IF(CK287=0,30/MIN(CI287:CJ287),IF(Исходн.данные.!$AG287=$BV$11,CT287,IF(OR(Исходн.данные.!$AH287=$BQ$7,Исходн.данные.!$AH287=$BQ$8),90/CK287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0,IF(Исходн.данные.!$AI287=$BU$11,"Нет",30/CK287)))))))</f>
        <v>0</v>
      </c>
      <c r="CX287" s="133">
        <f>IF(Исходн.данные.!$AG287=$BV$11,MAX(CU287:CW287),IF(OR(Исходн.данные.!$AH287=$BS$8,Исходн.данные.!$AH287=$BQ$9,Исходн.данные.!$AH287=$BQ$10,Исходн.данные.!$AH287=$BQ$11,Исходн.данные.!$AH287=$BQ$12,Исходн.данные.!$AH287=$BP$3,Исходн.данные.!$AH287=$BT$8,$FM287="Да"),CV287,MIN(CU287:CW287)))</f>
        <v>0</v>
      </c>
      <c r="CY287" s="133">
        <f>IF(Исходн.данные.!AH287=0,0,IF(CR287&gt;$CX287,$CX287,CR287))</f>
        <v>0</v>
      </c>
      <c r="CZ287" s="133">
        <f>IF(Исходн.данные.!AH287=0,0,IF(CS287&gt;$CX287,$CX287,CS287))</f>
        <v>0</v>
      </c>
      <c r="DA287" s="133">
        <f>IF(Исходн.данные.!AH287=0,0,IF(CT287&gt;$CX287,$CX287,CT287))</f>
        <v>0</v>
      </c>
      <c r="DB287" s="10">
        <f t="shared" si="390"/>
        <v>0</v>
      </c>
      <c r="DC287" s="39">
        <f>DB287*Исходн.данные.!AJ287/1000</f>
        <v>0</v>
      </c>
      <c r="DD287" s="71">
        <f t="shared" si="391"/>
        <v>0</v>
      </c>
      <c r="DE287" s="9">
        <f t="shared" si="392"/>
        <v>0</v>
      </c>
      <c r="DF287" s="9">
        <f t="shared" si="393"/>
        <v>0</v>
      </c>
      <c r="DG287" s="39">
        <f>IF(BL287&lt;0,0,IF($CH287="Нет",BL287,IF(OR(Исходн.данные.!$AH287=$BP$1,Исходн.данные.!$AH287=$BP$2),0,IF(Исходн.данные.!AI287=$BU$11,BL287,IF(BL287-DD287&lt;0,0,BL287-DD287)))))</f>
        <v>0</v>
      </c>
      <c r="DH287" s="39">
        <f>IF(BM287&lt;0,0,IF($CH287="Нет",BM287,IF(OR(Исходн.данные.!$AH287=$BP$1,Исходн.данные.!$AH287=$BP$2),0,IF(Исходн.данные.!AJ287=$BU$11,BM287,IF(BM287-DE287&lt;0,0,BM287-DE287)))))</f>
        <v>0</v>
      </c>
      <c r="DI287" s="39">
        <f>IF(BN287&lt;0,0,IF($CH287="Нет",BN287,IF(OR(Исходн.данные.!$AH287=$BP$1,Исходн.данные.!$AH287=$BP$2),0,IF(Исходн.данные.!AK287=$BU$11,BN287,IF(BN287-DF287&lt;0,0,BN287-DF287)))))</f>
        <v>0</v>
      </c>
      <c r="DJ287" s="12">
        <f t="shared" si="394"/>
        <v>0</v>
      </c>
      <c r="DK287" s="9">
        <f t="shared" si="395"/>
        <v>0</v>
      </c>
      <c r="DL287" s="39">
        <f>IF(Исходн.данные.!AM287&gt;0,Исходн.данные.!AM287,IF(EG287&gt;0,$BH$10,0))</f>
        <v>0</v>
      </c>
      <c r="DM287" s="186">
        <f>IF($DL287=0,0,IF(Исходн.данные.!AM287&gt;0,VLOOKUP($DL287,АшламаДВ_Irekle,2,FALSE),VLOOKUP($DL287,АшламаДВ_Gomumy,2,FALSE)))</f>
        <v>0</v>
      </c>
      <c r="DN287" s="10">
        <f t="shared" si="373"/>
        <v>0</v>
      </c>
      <c r="DO287" s="9" t="str">
        <f>IF(Исходн.данные.!AN287&gt;0,Исходн.данные.!AN287,Удобрения!$B$37 )</f>
        <v>Хлор.калий</v>
      </c>
      <c r="DP287" s="9">
        <f>IF(Исходн.данные.!AN287&gt;0,VLOOKUP(Исходн.данные.!AN287,АшламаДВ_Irekle,4,FALSE),VLOOKUP(DO287,АшламаДВ_Gomumy,4,FALSE))</f>
        <v>0.6</v>
      </c>
      <c r="DQ287" s="10">
        <f t="shared" si="374"/>
        <v>0</v>
      </c>
      <c r="DR287" s="132" t="str">
        <f>IF(Исходн.данные.!AO287&gt;0,Исходн.данные.!AO287,IF(DH287=0,BS$17,IF(AND($DK287=0,$DJ287&gt;0),EJ287,EN287)))</f>
        <v>Нет</v>
      </c>
      <c r="DS287" s="70" t="str">
        <f>IF($DR287="Нет","Нет",IF(Исходн.данные.!$AO287&gt;0,VLOOKUP($DR287,АшламаДВ_Irekle,2,FALSE),VLOOKUP($DR287,АшламаДВ_Gomumy,2,FALSE)))</f>
        <v>Нет</v>
      </c>
      <c r="DT287" s="70" t="str">
        <f>IF($DR287="Нет","Нет",IF(Исходн.данные.!$AO287&gt;0,VLOOKUP($DR287,АшламаДВ_Irekle,3,FALSE),VLOOKUP($DR287,АшламаДВ_Gomumy,3,FALSE)))</f>
        <v>Нет</v>
      </c>
      <c r="DU287" s="70" t="str">
        <f>IF($DR287="Нет","Нет",IF(Исходн.данные.!$AO287&gt;0,VLOOKUP($DR287,АшламаДВ_Irekle,4,FALSE),VLOOKUP($DR287,АшламаДВ_Gomumy,4,FALSE)))</f>
        <v>Нет</v>
      </c>
      <c r="DV287" s="70"/>
      <c r="DW287" s="70"/>
      <c r="DX287" s="70"/>
      <c r="DY287" s="10">
        <f t="shared" si="396"/>
        <v>0</v>
      </c>
      <c r="DZ287" s="10">
        <f t="shared" si="397"/>
        <v>0</v>
      </c>
      <c r="EA287" s="10">
        <f t="shared" si="398"/>
        <v>0</v>
      </c>
      <c r="EB287" s="10">
        <f t="shared" si="399"/>
        <v>0</v>
      </c>
      <c r="EC287" s="10">
        <f t="shared" si="400"/>
        <v>0</v>
      </c>
      <c r="ED287" s="10">
        <f t="shared" si="401"/>
        <v>0</v>
      </c>
      <c r="EE287" s="10">
        <f t="shared" si="402"/>
        <v>0</v>
      </c>
      <c r="EF287" s="39">
        <f>EB287*Исходн.данные.!AJ287/1000</f>
        <v>0</v>
      </c>
      <c r="EG287" s="9">
        <f t="shared" si="403"/>
        <v>0</v>
      </c>
      <c r="EH287" s="9">
        <f t="shared" si="404"/>
        <v>0</v>
      </c>
      <c r="EI287" s="39" t="e">
        <f t="shared" si="354"/>
        <v>#DIV/0!</v>
      </c>
      <c r="EJ287" s="9" t="str">
        <f t="shared" si="375"/>
        <v>Азопреципитат</v>
      </c>
      <c r="EK287" s="12">
        <f t="shared" si="355"/>
        <v>0.26</v>
      </c>
      <c r="EL287" s="12">
        <f t="shared" si="356"/>
        <v>0.13</v>
      </c>
      <c r="EM287" s="12">
        <f t="shared" si="357"/>
        <v>0</v>
      </c>
      <c r="EN287" s="12" t="str">
        <f t="shared" si="376"/>
        <v>Нет</v>
      </c>
      <c r="EO287" s="12">
        <f t="shared" si="358"/>
        <v>0</v>
      </c>
      <c r="EP287" s="12">
        <f t="shared" si="359"/>
        <v>0</v>
      </c>
      <c r="EQ287" s="12">
        <f t="shared" si="360"/>
        <v>0</v>
      </c>
      <c r="ER287" s="12" t="str">
        <f t="shared" si="405"/>
        <v>Диаммофоска</v>
      </c>
      <c r="ES287" s="12">
        <f t="shared" si="361"/>
        <v>0.1</v>
      </c>
      <c r="ET287" s="12">
        <f t="shared" si="362"/>
        <v>0.26</v>
      </c>
      <c r="EU287" s="12">
        <f t="shared" si="363"/>
        <v>0.26</v>
      </c>
      <c r="EV287" s="12" t="str">
        <f t="shared" si="406"/>
        <v>Аммофос 12:52:00</v>
      </c>
      <c r="EW287" s="12" t="str">
        <f t="shared" si="407"/>
        <v>Кемира Свекловичное-6</v>
      </c>
      <c r="EX287" s="12">
        <f t="shared" si="364"/>
        <v>0.16</v>
      </c>
      <c r="EY287" s="12">
        <f t="shared" si="365"/>
        <v>0.12</v>
      </c>
      <c r="EZ287" s="12">
        <f t="shared" si="366"/>
        <v>0.17</v>
      </c>
      <c r="FA287" s="38" t="e">
        <f>IF(AND(OR(FJ287=$FD$1,FM287=$FD$1,FO287=$FD$1,FQ287=$FD$1,FS287=$FD$1),FD287=$FD$1,Исходн.данные.!J287&lt;2,FU287=$FD$1),"Бор,Кобальт",IF(AND(FO287=$FD$1,FH287=$FD$1,Исходн.данные.!J287&lt;2,FU287=$FD$1),"Бор,Кобальт",IF(AND(OR(FJ287=$FD$1,FM287=$FD$1,FQ287=$FD$1),FE287=$FD$1,Исходн.данные.!J287&lt;2,FT287=$FD$1,FU287=$FD$1),"Бор,Медь,Цинк",IF(AND(OR(FJ287=$FD$1,FR287="Да"),FI287="Да",Исходн.данные.!J287&lt;2,FT287="Да",FU287="Да"),"Бор,Цинк,Медь",IF(AND(OR(FM287="Да",FQ287="Да"),FI287="Да",Исходн.данные.!J287&lt;2,FT287="Да",FU287="Да"),"Бор,Цинк",IF(AND(FN287="Да",OR(FD287="Да",FE287="Да")),"Бор",FB287))))))</f>
        <v>#N/A</v>
      </c>
      <c r="FB287" s="134" t="e">
        <f>IF(AND(OR(FD287="Да",FE287="Да",FF287="Да",FG287="Да",FH287="Да"),FO287="Да"),"Бор",IF(AND(FP287="Да",OR(FD287="Да",FE287="Да",FI287="Да")),"Бор",IF(AND(FS287="Да",FE287="Да"),"Бор,Медь",IF(AND(OR(FJ287="Да",FK287="Да",FL287="Да"),FE287="Да",Исходн.данные.!I287&lt;5,FT287="Да",FU287="Да"),"Молибден,Цинк",IF(AND(FM287="Да",OR(FE287="Да",FF287="Да",FG287="Да",FH287="Да",FI287="Да")),"Молибден,Цинк",IF(AND(OR(FJ287="Да",FK287="Да",FL287="Да",FM287="Да",FQ287="Да"),OR(FE287="Да",FF287="Да"),FT287="Да",FU287="Да",Исходн.данные.!I287&gt;5.5),"Медь,Цинк",FC287))))))</f>
        <v>#N/A</v>
      </c>
      <c r="FC287" s="23" t="e">
        <f t="shared" si="408"/>
        <v>#N/A</v>
      </c>
      <c r="FD287" s="38" t="str">
        <f>IF(OR(Исходн.данные.!F287=$CC$1,Исходн.данные.!F287=$CC$2,Исходн.данные.!F287=$CC$3,Исходн.данные.!F287=$CC$4),"Да","Нет")</f>
        <v>Нет</v>
      </c>
      <c r="FE287" s="38" t="str">
        <f>IF(Исходн.данные.!F287=$CC$5,"Да","Нет")</f>
        <v>Нет</v>
      </c>
      <c r="FF287" s="38" t="str">
        <f>IF(OR(Исходн.данные.!F287=$CC$6,Исходн.данные.!F287=$CC$7),"Да","Нет")</f>
        <v>Нет</v>
      </c>
      <c r="FG287" s="38" t="str">
        <f>IF(OR(Исходн.данные.!F287=$CC$8,Исходн.данные.!F287=$CC$9),"Да","Нет")</f>
        <v>Нет</v>
      </c>
      <c r="FH287" s="38" t="str">
        <f>IF(Исходн.данные.!F287=$CC$10,"Да","Нет")</f>
        <v>Нет</v>
      </c>
      <c r="FI287" s="38" t="str">
        <f>IF(OR(Исходн.данные.!F287=$CC$11,Исходн.данные.!F287=$CC$12),"Да","Нет")</f>
        <v>Нет</v>
      </c>
      <c r="FJ287" s="38" t="str">
        <f>IF(OR(Исходн.данные.!AH287=$BS$1,Исходн.данные.!AH287=$BQ$11,Исходн.данные.!AH287=$BQ$12),"Да","Нет")</f>
        <v>Нет</v>
      </c>
      <c r="FK287" s="38" t="str">
        <f>IF(OR(Исходн.данные.!AH287=$BS$2,Исходн.данные.!AH287=$BS$4),"Да","Нет")</f>
        <v>Нет</v>
      </c>
      <c r="FL287" s="38" t="str">
        <f>IF(OR(Исходн.данные.!AH287=$BS$3,Исходн.данные.!AH287=$BS$5),"Да","Нет")</f>
        <v>Нет</v>
      </c>
      <c r="FM287" s="38" t="str">
        <f>IF(OR(Исходн.данные.!AH287=$BS$9,Исходн.данные.!AH287=$BS$10,Исходн.данные.!AH287=$BS$11,Исходн.данные.!AH287=$BS$12),"Да","Нет")</f>
        <v>Нет</v>
      </c>
      <c r="FN287" s="38" t="str">
        <f>IF(OR(Исходн.данные.!AH287=$BS$6,Исходн.данные.!AH287=$BP$3),"Да","Нет")</f>
        <v>Нет</v>
      </c>
      <c r="FO287" s="38" t="str">
        <f>IF(Исходн.данные.!AH287=$BQ$9,"Да","Нет")</f>
        <v>Нет</v>
      </c>
      <c r="FP287" s="38" t="str">
        <f>IF(OR(Исходн.данные.!AH287=$BS$8,Исходн.данные.!AH287=$BT$8),"Да","Нет")</f>
        <v>Нет</v>
      </c>
      <c r="FQ287" s="38" t="str">
        <f>IF(OR(Исходн.данные.!AH287=$BQ$7,Исходн.данные.!AH287=$BQ$8),"Да","Нет")</f>
        <v>Нет</v>
      </c>
      <c r="FR287" s="38" t="str">
        <f>IF(Исходн.данные.!AI287=$BU$9,"Да","Нет")</f>
        <v>Нет</v>
      </c>
      <c r="FS287" s="38" t="str">
        <f>IF(OR(Исходн.данные.!AH287=$BP$1,Исходн.данные.!AH287=$BP$2),"Да","Нет")</f>
        <v>Нет</v>
      </c>
      <c r="FT287" s="38" t="e">
        <f>IF((Исходн.данные.!K287*GO287*GS287*GW287+BL287*0.6+Исходн.данные.!Q287*4.5*0.275)&gt;90,"Да","Нет")</f>
        <v>#N/A</v>
      </c>
      <c r="FU287" s="38" t="e">
        <f>IF((Исходн.данные.!M287*GS287*GZ287+BM287*0.225)&gt;35,"Да","Нет")</f>
        <v>#N/A</v>
      </c>
      <c r="FV287" s="38" t="str">
        <f>IF(Исходн.данные.!O287&gt;175,"Да","Нет")</f>
        <v>Нет</v>
      </c>
      <c r="FW287" s="39" t="str">
        <f>IF(Исходн.данные.!I287&gt;5.5,"Да","Нет")</f>
        <v>Нет</v>
      </c>
      <c r="FX287" s="39" t="str">
        <f>IF(Исходн.данные.!J287&lt;2,"Да","Нет")</f>
        <v>Да</v>
      </c>
      <c r="FY287" s="39" t="e">
        <f>IF(HF287=$FY$16,0,Исходн.данные.!K287*GO287*GS287*GW287/HF287)</f>
        <v>#N/A</v>
      </c>
      <c r="FZ287" s="39" t="e">
        <f>Исходн.данные.!M287*GS287*GZ287/HG287</f>
        <v>#N/A</v>
      </c>
      <c r="GA287" s="39" t="e">
        <f>IF(K_Wyn=$FY$16,0,IF(Исходн.данные.!N287=Исходн.данные.!$L$10,Исходн.данные.!O287/1.1*GS287*HC287/HH287,IF(Исходн.данные.!N287=Исходн.данные.!$L$12,Исходн.данные.!O287/1.5*GS287*HC287/HH287,Исходн.данные.!O287*GS287*HC287/HH287)))</f>
        <v>#N/A</v>
      </c>
      <c r="GB287" s="39" t="e">
        <f>IF(HF287=$FY$16,0,((Исходн.данные.!Q287*N_Org+Исходн.данные.!R287*N_Sider+Исходн.данные.!S287*N_Soloma)*AO287+Расчет!BC287*VLOOKUP(Исходн.данные.!T287,Справ!$A$3:$O$57,15)*AO287+BB287*VLOOKUP(Исходн.данные.!T287,Справ!$A$3:$O$57,15)*AL287+(Исходн.данные.!V287*N_Rizotorf+Исходн.данные.!W287*N_Rizoagr))/HF287)</f>
        <v>#N/A</v>
      </c>
      <c r="GC287" s="39" t="e">
        <f>IF(HG287=$FY$16,0,((Исходн.данные.!Q287*Р_Org+Исходн.данные.!R287*P_Sider+Исходн.данные.!S287*P_Soloma)*AP287+Расчет!BC287*VLOOKUP(Исходн.данные.!T287,Справ!$A$3:$P$57,16)*AP287+BB287*VLOOKUP(Исходн.данные.!T287,Справ!$A$3:$P$57,16)*AM287)/HG287)</f>
        <v>#N/A</v>
      </c>
      <c r="GD287" s="39" t="e">
        <f>IF(HH287=$FY$16,0,((Исходн.данные.!Q287*К_Org+Исходн.данные.!R287*K_Sider+Исходн.данные.!S287*K_Soloma)*AQ287+Расчет!BC287*VLOOKUP(Исходн.данные.!T287,Справ!$A$3:$Q$57,17)*AQ287+BB287*VLOOKUP(Исходн.данные.!T287,Справ!$A$3:$Q$57,17)*AN287)/HH287)</f>
        <v>#N/A</v>
      </c>
      <c r="GE287" s="39" t="e">
        <f>IF(HF287=$FY$16,0,(Исходн.данные.!X287*AR287+Исходн.данные.!AA287*N_Org*AL287+Исходн.данные.!AB287*N_Sider*AL287+Исходн.данные.!AC287*N_Soloma*AL287)/HF287)</f>
        <v>#N/A</v>
      </c>
      <c r="GF287" s="39" t="e">
        <f>IF(HG287=$FY$16,0,(Исходн.данные.!Y287*AS287+Исходн.данные.!AA287*Р_Org*AM287+Исходн.данные.!AB287*P_Sider*AM287+Исходн.данные.!AC287*P_Soloma*AM287)/HG287)</f>
        <v>#N/A</v>
      </c>
      <c r="GG287" s="39" t="e">
        <f>IF(HH287=$FY$16,0,(Исходн.данные.!Z287*AT287+Исходн.данные.!AA287*К_Org*AN287+Исходн.данные.!AB287*K_Sider*AN287+Исходн.данные.!AC287*K_Soloma*AN287)/HH287)</f>
        <v>#N/A</v>
      </c>
      <c r="GH287" s="39" t="e">
        <f>Исходн.данные.!AD287*AU287/HF287</f>
        <v>#N/A</v>
      </c>
      <c r="GI287" s="39" t="e">
        <f>Исходн.данные.!AE287*AV287/HG287</f>
        <v>#N/A</v>
      </c>
      <c r="GJ287" s="39" t="e">
        <f>Исходн.данные.!AF287*AW287/HH287</f>
        <v>#N/A</v>
      </c>
      <c r="GK287" s="55">
        <f>Исходн.данные.!AK287</f>
        <v>0</v>
      </c>
      <c r="GL287" s="11" t="e">
        <f t="shared" si="409"/>
        <v>#N/A</v>
      </c>
      <c r="GM287" s="11" t="e">
        <f t="shared" si="410"/>
        <v>#N/A</v>
      </c>
      <c r="GN287" s="11" t="e">
        <f t="shared" si="411"/>
        <v>#N/A</v>
      </c>
      <c r="GO287" s="57">
        <f t="shared" si="412"/>
        <v>19</v>
      </c>
      <c r="GP287" s="55">
        <f>IF(OR(Исходн.данные.!F287=$CE$1,Исходн.данные.!F287=$CE$2,Исходн.данные.!F287=$CE$3,Исходн.данные.!F287=$CE$4,Исходн.данные.!F287=$CE$5),GQ287,GR287)</f>
        <v>19</v>
      </c>
      <c r="GQ287" s="55">
        <f>IF(Исходн.данные.!F287=$CE$1,28,IF(Исходн.данные.!F287=$CE$2,26,IF(Исходн.данные.!F287=$CE$3,24,IF(Исходн.данные.!F287=$CE$4,22,IF(Исходн.данные.!F287=$CE$5,20,GR287)))))</f>
        <v>19</v>
      </c>
      <c r="GR287" s="55">
        <f>IF(Исходн.данные.!F287=$CE$6,18,IF(Исходн.данные.!F287=$CE$7,16,IF(Исходн.данные.!F287=$CE$8,14,IF(Исходн.данные.!F287=$CE$9,13,IF(Исходн.данные.!F287=$CE$10,12,19)))))</f>
        <v>19</v>
      </c>
      <c r="GS287" s="55">
        <f>IF(Исходн.данные.!G287="Пес",0.035*(40+2*Исходн.данные.!H287),IF(Исходн.данные.!G287="Суп",0.0325*(40+2*Исходн.данные.!H287),0.03*(40+2*Исходн.данные.!H287)))</f>
        <v>1.2</v>
      </c>
      <c r="GT287" s="55">
        <f>IF(Исходн.данные.!H287&lt;23,2.6,IF(AND(Исходн.данные.!H287&gt;22,Исходн.данные.!H287&lt;26),3,IF(AND(Исходн.данные.!H287&gt;25,Исходн.данные.!H287&lt;29),3.4,3.6)))</f>
        <v>2.6</v>
      </c>
      <c r="GU287" s="55">
        <f>IF(Исходн.данные.!H287&lt;23,2.8,IF(AND(Исходн.данные.!H287&gt;22,Исходн.данные.!H287&lt;26),3.2,IF(AND(Исходн.данные.!H287&gt;25,Исходн.данные.!H287&lt;29),3.6,3.9)))</f>
        <v>2.8</v>
      </c>
      <c r="GV287" s="55">
        <f>IF(Исходн.данные.!H287&lt;23,3,IF(AND(Исходн.данные.!H287&gt;22,Исходн.данные.!H287&lt;26),3.5,IF(AND(Исходн.данные.!H287&gt;25,Исходн.данные.!H287&lt;29),3.9,4.2)))</f>
        <v>3</v>
      </c>
      <c r="GW287" s="55" t="e">
        <f>IF(Исходн.данные.!P287="Ум",GX287,GY287)</f>
        <v>#N/A</v>
      </c>
      <c r="GX287" s="55" t="e">
        <f>VLOOKUP(Исходн.данные.!AI287,Коэффициенты!$J$7:$L$13,2,FALSE)</f>
        <v>#N/A</v>
      </c>
      <c r="GY287" s="55" t="e">
        <f>VLOOKUP(Исходн.данные.!AI287,Коэффициенты!$J$7:$L$13,3,FALSE)</f>
        <v>#N/A</v>
      </c>
      <c r="GZ287" s="55" t="e">
        <f>(IF(Исходн.данные.!M287&lt;50,0.11*VLOOKUP(Исходн.данные.!AH287,Культуры.Информация,7,FALSE),IF(Исходн.данные.!M287&gt;250,0.05*VLOOKUP(Исходн.данные.!AH287,Культуры.Информация,7,FALSE),VLOOKUP(Исходн.данные.!AH287,Культуры.Информация,5,FALSE)/100*($GX$6+$GY$6*Исходн.данные.!M287))))*Расчет2!AI287</f>
        <v>#N/A</v>
      </c>
      <c r="HA287" s="211"/>
      <c r="HB287" s="211"/>
      <c r="HC287" s="55" t="e">
        <f>(IF(Исходн.данные.!O287&lt;80,0.2*VLOOKUP(Исходн.данные.!AH287,Культуры.Информация,8,FALSE),IF(Исходн.данные.!O287&gt;240,0.09*VLOOKUP(Исходн.данные.!AH287,Культуры.Информация,8,FALSE),VLOOKUP(Исходн.данные.!AH287,Культуры.Информация,6,FALSE)/100*($HB$6+$HC$6*Исходн.данные.!O287))))*Расчет2!AJ287</f>
        <v>#N/A</v>
      </c>
      <c r="HD287" s="55">
        <f>IF(Исходн.данные.!O287&gt;240,0.09,IF(Исходн.данные.!O287&lt;30,0.3,$HE$10+$HD$10*Исходн.данные.!O287))</f>
        <v>0.3</v>
      </c>
      <c r="HE287" s="55">
        <f>IF(Исходн.данные.!O287&gt;240,0.17,IF(Исходн.данные.!O287&lt;30,0.5,$HF$12+$HE$12*Исходн.данные.!O287))</f>
        <v>0.5</v>
      </c>
      <c r="HF287" s="55" t="e">
        <f>VLOOKUP(Исходн.данные.!AH287,Справ!$A$3:$D$58,2,FALSE)</f>
        <v>#N/A</v>
      </c>
      <c r="HG287" s="55" t="e">
        <f>VLOOKUP(Исходн.данные.!AH287,Справ!$A$3:$D$58,3,FALSE)</f>
        <v>#N/A</v>
      </c>
      <c r="HH287" s="55" t="e">
        <f>VLOOKUP(Исходн.данные.!AH287,Справ!$A$3:$D$58,4,FALSE)</f>
        <v>#N/A</v>
      </c>
      <c r="HI287" s="11" t="e">
        <f t="shared" si="413"/>
        <v>#N/A</v>
      </c>
      <c r="HJ287" s="11" t="e">
        <f t="shared" si="414"/>
        <v>#N/A</v>
      </c>
      <c r="HK287" s="11" t="e">
        <f t="shared" si="415"/>
        <v>#N/A</v>
      </c>
      <c r="HL287" s="55">
        <f>IF(OR(Исходн.данные.!G287="Глин",Исходн.данные.!G287="Т_суг"),1.1,IF(Исходн.данные.!G287="Ср_суг",1,1))</f>
        <v>1</v>
      </c>
      <c r="HM287" s="55">
        <f>IF(OR(Исходн.данные.!G287="Глин",Исходн.данные.!G287="Т_суг"),0.9,IF(Исходн.данные.!G287="Ср_суг",1,1.2))</f>
        <v>1.2</v>
      </c>
      <c r="HN287" s="11" t="e">
        <f t="shared" si="416"/>
        <v>#N/A</v>
      </c>
      <c r="HO287" s="11" t="e">
        <f t="shared" si="417"/>
        <v>#N/A</v>
      </c>
      <c r="HP287" s="11" t="e">
        <f t="shared" si="418"/>
        <v>#N/A</v>
      </c>
      <c r="HQ287" t="e">
        <f t="shared" si="419"/>
        <v>#N/A</v>
      </c>
      <c r="HR287" t="e">
        <f t="shared" si="420"/>
        <v>#N/A</v>
      </c>
      <c r="HS287" t="e">
        <f t="shared" si="421"/>
        <v>#N/A</v>
      </c>
      <c r="HT287" t="e">
        <f t="shared" si="367"/>
        <v>#N/A</v>
      </c>
      <c r="HU287" t="e">
        <f t="shared" si="368"/>
        <v>#N/A</v>
      </c>
      <c r="HV287" t="e">
        <f t="shared" si="369"/>
        <v>#N/A</v>
      </c>
      <c r="HW287" t="e">
        <f t="shared" si="370"/>
        <v>#N/A</v>
      </c>
      <c r="HX287" t="e">
        <f t="shared" si="371"/>
        <v>#N/A</v>
      </c>
      <c r="HY287" t="e">
        <f t="shared" si="372"/>
        <v>#N/A</v>
      </c>
      <c r="HZ287" s="55">
        <f>IF(OR(Исходн.данные.!AI287="Оз_Ч_П",Исходн.данные.!AI287="Оз_З_П",Исходн.данные.!AI287="Яр_зер"),12,30)</f>
        <v>30</v>
      </c>
      <c r="IA287" t="e">
        <f t="shared" si="422"/>
        <v>#N/A</v>
      </c>
      <c r="IB287" t="e">
        <f t="shared" si="423"/>
        <v>#N/A</v>
      </c>
      <c r="IC287" t="e">
        <f t="shared" si="424"/>
        <v>#N/A</v>
      </c>
      <c r="ID287" s="11" t="e">
        <f t="shared" si="425"/>
        <v>#N/A</v>
      </c>
      <c r="IE287" s="11" t="e">
        <f t="shared" si="426"/>
        <v>#N/A</v>
      </c>
      <c r="IF287" s="11" t="e">
        <f t="shared" si="427"/>
        <v>#N/A</v>
      </c>
    </row>
    <row r="288" spans="35:240" x14ac:dyDescent="0.2">
      <c r="AI288">
        <f>IF(Исходн.данные.!I288&gt;6,1,1.85-(0.148*Исходн.данные.!I288))</f>
        <v>1.85</v>
      </c>
      <c r="AJ288">
        <f>IF(Исходн.данные.!I288&gt;6,1,2.434-(0.246*Исходн.данные.!I288))</f>
        <v>2.4340000000000002</v>
      </c>
      <c r="AL288" s="148" t="b">
        <f>IF(Исходн.данные.!$P288="Ум",N_OrgUd_2g_um,IF(Исходн.данные.!$P288="Об",N_OrgUd_2g_ob))</f>
        <v>0</v>
      </c>
      <c r="AM288" s="148" t="b">
        <f>IF(Исходн.данные.!$P288="Ум",P_OrgUd_2g_um,IF(Исходн.данные.!$P288="Об",P_OrgUd_2g_ob))</f>
        <v>0</v>
      </c>
      <c r="AN288" s="148" t="b">
        <f>IF(Исходн.данные.!$P288="Ум",K_OrgUd_2g_um,IF(Исходн.данные.!$P288="Об",K_OrgUd_2g_ob))</f>
        <v>0</v>
      </c>
      <c r="AO288" s="148" t="b">
        <f>IF(Исходн.данные.!$P288="Ум",N_OrgUd_1g_um,IF(Исходн.данные.!$P288="Об",N_OrgUd_1g_ob))</f>
        <v>0</v>
      </c>
      <c r="AP288" s="148" t="b">
        <f>IF(Исходн.данные.!$P288="Ум",P_OrgUd_1g_um,IF(Исходн.данные.!$P288="Об",P_OrgUd_1g_ob))</f>
        <v>0</v>
      </c>
      <c r="AQ288" s="148" t="b">
        <f>IF(Исходн.данные.!$P288="Ум",K_OrgUd_1g_um,IF(Исходн.данные.!$P288="Об",K_OrgUd_1g_ob))</f>
        <v>0</v>
      </c>
      <c r="AR288" t="b">
        <f>IF(Исходн.данные.!$P288="Ум",N_MinUd_2g_um,IF(Исходн.данные.!$P288="Об",N_MinUd_2g_ob))</f>
        <v>0</v>
      </c>
      <c r="AS288" t="b">
        <f>IF(Исходн.данные.!$P288="Ум",P_MinUd_2g_um,IF(Исходн.данные.!$P288="Об",P_MinUd_2g_ob))</f>
        <v>0</v>
      </c>
      <c r="AT288" t="b">
        <f>IF(Исходн.данные.!$P288="Ум",K_MinUd_2g_um,IF(Исходн.данные.!$P288="Об",K_MinUd_2g_ob))</f>
        <v>0</v>
      </c>
      <c r="AU288" t="b">
        <f>IF(Исходн.данные.!$P288="Ум",N_MinUd_1g_um,IF(Исходн.данные.!$P288="Об",N_MinUd_1g_ob))</f>
        <v>0</v>
      </c>
      <c r="AV288" t="b">
        <f>IF(Исходн.данные.!P288="Ум",P_MinUd_1g_um,IF(Исходн.данные.!P288="Об",P_MinUd_1g_ob))</f>
        <v>0</v>
      </c>
      <c r="AW288" t="b">
        <f>IF(Исходн.данные.!P288="Ум",K_MinUd_1g_um,IF(Исходн.данные.!P288="Об",K_MinUd_1g_ob))</f>
        <v>0</v>
      </c>
      <c r="AY288" t="e">
        <f>VLOOKUP(Исходн.данные.!T288,Справ!$A$3:$N$57,12)</f>
        <v>#N/A</v>
      </c>
      <c r="AZ288" t="e">
        <f>VLOOKUP(Исходн.данные.!T288,Справ!$A$3:$N$57,13)</f>
        <v>#N/A</v>
      </c>
      <c r="BA288" t="e">
        <f>VLOOKUP(Исходн.данные.!T288,Справ!$A$3:$N$57,14)</f>
        <v>#N/A</v>
      </c>
      <c r="BB288">
        <f>IF(Исходн.данные.!AH288=0,0,25)</f>
        <v>0</v>
      </c>
      <c r="BC288" s="141">
        <f>IF(Исходн.данные.!AH288=0,0,IF(Исходн.данные.!T288=0,25,BD288))</f>
        <v>0</v>
      </c>
      <c r="BD288" s="168" t="e">
        <f>AY288+AZ288*Исходн.данные.!U288-POWER(BA288,2)*Исходн.данные.!U288</f>
        <v>#N/A</v>
      </c>
      <c r="BE28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8" s="25">
        <f>IF(Исходн.данные.!AH288=0,0,MIN(HN288:HP288))</f>
        <v>0</v>
      </c>
      <c r="BG288" s="9">
        <f>IF(Исходн.данные.!AH288=0,0,IF((HO288+10*0.25/HG288/HL288)&lt;17,17,HO288+10*0.25/HG288/HL288))</f>
        <v>0</v>
      </c>
      <c r="BH288" s="181">
        <f>IF(Исходн.данные.!AH288=0,0,HW288*HF288*HL288/AU288*AI288+Исходн.данные.!S288*10)</f>
        <v>0</v>
      </c>
      <c r="BI288" s="10"/>
      <c r="BJ288" s="182">
        <f>IF(Исходн.данные.!AH288=0,0,IF(HX288*HG288*HL288/AV288&lt;0,0,HX288*HG288*HL288/AV288*AJ288))</f>
        <v>0</v>
      </c>
      <c r="BK288" s="182">
        <f>IF(Исходн.данные.!AH288=0,0,HY288*HH288*HM288/AW288)</f>
        <v>0</v>
      </c>
      <c r="BL288" s="10">
        <f>IF(OR(Исходн.данные.!$AH288=$BP$1,Исходн.данные.!$AH288=$BP$2),0,IF(BH288&lt;0,0,IF(OR(Исходн.данные.!T288=Расчет!$BP$1,Исходн.данные.!T288=Расчет!$BP$2,Исходн.данные.!T288=Расчет!$BT$5,Исходн.данные.!T288=Расчет!$BT$6),BH288*0.5,IF(OR(Исходн.данные.!T288=Расчет!$BS$9,Исходн.данные.!T288=Расчет!$BS$10,Исходн.данные.!T288=Расчет!$BS$11,Исходн.данные.!T288=Расчет!$BS$12,Исходн.данные.!T288=Расчет!$BP$5),BH288*0.8,BH288))))</f>
        <v>0</v>
      </c>
      <c r="BM288" s="10">
        <f>IF(OR(Исходн.данные.!$AH288=$BP$1,Исходн.данные.!$AH288=$BP$2),0,IF(BJ288&lt;0,0,IF(Исходн.данные.!I288&lt;4.5,BJ288*1.2,IF(Исходн.данные.!I288&gt;5.1,BJ288,BJ288*((5.1-Исходн.данные.!I288)*0.333+1)))))</f>
        <v>0</v>
      </c>
      <c r="BN288" s="10">
        <f>IF(OR(Исходн.данные.!$AH288=$BP$1,Исходн.данные.!$AH288=$BP$2),60-Исходн.данные.!AF288,IF(BK288&lt;0,0,IF(Исходн.данные.!I288&lt;4.5,BK288*1.2,IF(Исходн.данные.!I288&gt;5.1,BK288,BK288*((5.1-Исходн.данные.!I288)*0.333+1)))))</f>
        <v>0</v>
      </c>
      <c r="BO288" s="9">
        <f>IF(BL288&lt;0,0,BL288*Исходн.данные.!$AJ288/1000)</f>
        <v>0</v>
      </c>
      <c r="BP288" s="9">
        <f>IF(BM288&lt;0,0,BM288*Исходн.данные.!$AJ288/1000)</f>
        <v>0</v>
      </c>
      <c r="BQ288" s="9">
        <f>IF(BN288&lt;0,0,BN288*Исходн.данные.!$AJ288/1000)</f>
        <v>0</v>
      </c>
      <c r="BR288" s="9">
        <f t="shared" si="377"/>
        <v>0</v>
      </c>
      <c r="BS288" s="10" t="str">
        <f t="shared" si="378"/>
        <v>Аммофос 12:52:00</v>
      </c>
      <c r="BT288" s="10" t="str">
        <f t="shared" si="379"/>
        <v>Аммофос 12:52:00</v>
      </c>
      <c r="BU288" s="10" t="str">
        <f t="shared" si="380"/>
        <v>Диаммофоска</v>
      </c>
      <c r="BV288" s="10">
        <f t="shared" si="381"/>
        <v>0</v>
      </c>
      <c r="BW288" s="10"/>
      <c r="BX288" s="10"/>
      <c r="BY288" s="9">
        <f>IF(BL288&lt;0,0,IF(OR(Исходн.данные.!AI288=Расчет!$BU$6,Исходн.данные.!AI288=Расчет!$BU$7),Расчет!BV288,IF(Исходн.данные.!$AG288=$BV$11,BL288,IF(OR(Исходн.данные.!$AH288=$BQ$7,Исходн.данные.!$AH288=$BQ$8),CB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0,IF(Исходн.данные.!$AI288=$BU$11,"Нет",IF(BL288&gt;30,30,BL288)))))))</f>
        <v>0</v>
      </c>
      <c r="BZ288" s="9">
        <f>IF(AND(Исходн.данные.!$AG288=$BV$11,BM288&lt;10),10,IF(Исходн.данные.!$AG288=$BV$11,BM288,IF(OR(Исходн.данные.!$AH288=$BQ$7,Исходн.данные.!$AH288=$BQ$8),CC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10,IF(Исходн.данные.!$AI288=$BU$11,"Нет",IF(BM288&gt;60,60,IF(BM288&lt;10,10,BM288)))))))</f>
        <v>10</v>
      </c>
      <c r="CA288" s="39">
        <f>IF(BN288&lt;0,0,IF(Исходн.данные.!$AG288=$BV$11,BN288,IF(OR(Исходн.данные.!$AH288=$BQ$7,Исходн.данные.!$AH288=$BQ$8),CD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0,IF(Исходн.данные.!$AI288=$BU$11,"Нет",IF(BN288&gt;30,30,BN288))))))</f>
        <v>0</v>
      </c>
      <c r="CB288" s="9">
        <f t="shared" si="382"/>
        <v>0</v>
      </c>
      <c r="CC288" s="9">
        <f t="shared" si="383"/>
        <v>0</v>
      </c>
      <c r="CD288" s="9">
        <f t="shared" si="384"/>
        <v>0</v>
      </c>
      <c r="CE288" s="12">
        <f t="shared" si="385"/>
        <v>10</v>
      </c>
      <c r="CF288" s="9">
        <f t="shared" si="386"/>
        <v>0</v>
      </c>
      <c r="CG288" s="9" t="s">
        <v>231</v>
      </c>
      <c r="CH288" s="132" t="str">
        <f>IF(Исходн.данные.!AP288=Расчет!$CI$16,"Нет",IF(Исходн.данные.!AL288&gt;0,Исходн.данные.!AL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BH$4,IF(OR(Исходн.данные.!AI288=Исходн.данные.!$AI$6,Исходн.данные.!AI288=Исходн.данные.!$AI$7),Расчет!BS288,IF(AND($CF288=0,$CE288&gt;0),EV288,ER288)))))</f>
        <v>Аммофос 12:52:00</v>
      </c>
      <c r="CI288" s="274">
        <f>IF(Расчет!$CH288="Нет","Нет",IF(Исходн.данные.!$AL288&gt;0,VLOOKUP(Расчет!$CH288,АшламаДВ_Irekle,2,FALSE),VLOOKUP(Расчет!$CH288,АшламаДВ_Gomumy,2,FALSE)))</f>
        <v>0.12</v>
      </c>
      <c r="CJ288" s="274">
        <f>IF(Расчет!$CH288="Нет","Нет",IF(Исходн.данные.!$AL288&gt;0,VLOOKUP(Расчет!$CH288,АшламаДВ_Irekle,3,FALSE),VLOOKUP(Расчет!$CH288,АшламаДВ_Gomumy,3,FALSE)))</f>
        <v>0.52</v>
      </c>
      <c r="CK288" s="274">
        <f>IF(Расчет!$CH288="Нет","Нет",IF(Исходн.данные.!$AL288&gt;0,VLOOKUP(Расчет!$CH288,АшламаДВ_Irekle,4,FALSE),VLOOKUP(Расчет!$CH288,АшламаДВ_Gomumy,4,FALSE)))</f>
        <v>0</v>
      </c>
      <c r="CL288" s="70"/>
      <c r="CM288" s="70"/>
      <c r="CN288" s="70"/>
      <c r="CO288" s="70"/>
      <c r="CP288" s="70"/>
      <c r="CQ288" s="70"/>
      <c r="CR288" s="10">
        <f t="shared" si="387"/>
        <v>0</v>
      </c>
      <c r="CS288" s="10">
        <f t="shared" si="388"/>
        <v>19.23076923076923</v>
      </c>
      <c r="CT288" s="10">
        <f t="shared" si="389"/>
        <v>0</v>
      </c>
      <c r="CU288" s="39">
        <f>IF($CH288="Нет",0,IF(CI288=0,30/MIN(CJ288:CK288),IF(Исходн.данные.!$AG288=$BV$11,CR288,IF(OR(Исходн.данные.!$AH288=$BQ$7,Исходн.данные.!$AH288=$BQ$8),90/CI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0,IF(Исходн.данные.!$AI288=$BU$11,"Нет",30/CI288))))))</f>
        <v>250</v>
      </c>
      <c r="CV288" s="39">
        <f>IF($CH288="Нет",0,IF(Исходн.данные.!AH288=0,0,IF(CJ288=0,60/MIN(CI288,CK288),IF(Исходн.данные.!$AG288=$BV$11,CS288,IF(OR(Исходн.данные.!$AH288=$BQ$7,Исходн.данные.!$AH288=$BQ$8),90/CJ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10/CJ288,IF(Исходн.данные.!$AI288=$BU$11,"Нет",60/CJ288)))))))</f>
        <v>0</v>
      </c>
      <c r="CW288" s="39">
        <f>IF($CH288="Нет",0,IF(Исходн.данные.!AH288=0,0,IF(CK288=0,30/MIN(CI288:CJ288),IF(Исходн.данные.!$AG288=$BV$11,CT288,IF(OR(Исходн.данные.!$AH288=$BQ$7,Исходн.данные.!$AH288=$BQ$8),90/CK288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0,IF(Исходн.данные.!$AI288=$BU$11,"Нет",30/CK288)))))))</f>
        <v>0</v>
      </c>
      <c r="CX288" s="133">
        <f>IF(Исходн.данные.!$AG288=$BV$11,MAX(CU288:CW288),IF(OR(Исходн.данные.!$AH288=$BS$8,Исходн.данные.!$AH288=$BQ$9,Исходн.данные.!$AH288=$BQ$10,Исходн.данные.!$AH288=$BQ$11,Исходн.данные.!$AH288=$BQ$12,Исходн.данные.!$AH288=$BP$3,Исходн.данные.!$AH288=$BT$8,$FM288="Да"),CV288,MIN(CU288:CW288)))</f>
        <v>0</v>
      </c>
      <c r="CY288" s="133">
        <f>IF(Исходн.данные.!AH288=0,0,IF(CR288&gt;$CX288,$CX288,CR288))</f>
        <v>0</v>
      </c>
      <c r="CZ288" s="133">
        <f>IF(Исходн.данные.!AH288=0,0,IF(CS288&gt;$CX288,$CX288,CS288))</f>
        <v>0</v>
      </c>
      <c r="DA288" s="133">
        <f>IF(Исходн.данные.!AH288=0,0,IF(CT288&gt;$CX288,$CX288,CT288))</f>
        <v>0</v>
      </c>
      <c r="DB288" s="10">
        <f t="shared" si="390"/>
        <v>0</v>
      </c>
      <c r="DC288" s="39">
        <f>DB288*Исходн.данные.!AJ288/1000</f>
        <v>0</v>
      </c>
      <c r="DD288" s="71">
        <f t="shared" si="391"/>
        <v>0</v>
      </c>
      <c r="DE288" s="9">
        <f t="shared" si="392"/>
        <v>0</v>
      </c>
      <c r="DF288" s="9">
        <f t="shared" si="393"/>
        <v>0</v>
      </c>
      <c r="DG288" s="39">
        <f>IF(BL288&lt;0,0,IF($CH288="Нет",BL288,IF(OR(Исходн.данные.!$AH288=$BP$1,Исходн.данные.!$AH288=$BP$2),0,IF(Исходн.данные.!AI288=$BU$11,BL288,IF(BL288-DD288&lt;0,0,BL288-DD288)))))</f>
        <v>0</v>
      </c>
      <c r="DH288" s="39">
        <f>IF(BM288&lt;0,0,IF($CH288="Нет",BM288,IF(OR(Исходн.данные.!$AH288=$BP$1,Исходн.данные.!$AH288=$BP$2),0,IF(Исходн.данные.!AJ288=$BU$11,BM288,IF(BM288-DE288&lt;0,0,BM288-DE288)))))</f>
        <v>0</v>
      </c>
      <c r="DI288" s="39">
        <f>IF(BN288&lt;0,0,IF($CH288="Нет",BN288,IF(OR(Исходн.данные.!$AH288=$BP$1,Исходн.данные.!$AH288=$BP$2),0,IF(Исходн.данные.!AK288=$BU$11,BN288,IF(BN288-DF288&lt;0,0,BN288-DF288)))))</f>
        <v>0</v>
      </c>
      <c r="DJ288" s="12">
        <f t="shared" si="394"/>
        <v>0</v>
      </c>
      <c r="DK288" s="9">
        <f t="shared" si="395"/>
        <v>0</v>
      </c>
      <c r="DL288" s="39">
        <f>IF(Исходн.данные.!AM288&gt;0,Исходн.данные.!AM288,IF(EG288&gt;0,$BH$10,0))</f>
        <v>0</v>
      </c>
      <c r="DM288" s="186">
        <f>IF($DL288=0,0,IF(Исходн.данные.!AM288&gt;0,VLOOKUP($DL288,АшламаДВ_Irekle,2,FALSE),VLOOKUP($DL288,АшламаДВ_Gomumy,2,FALSE)))</f>
        <v>0</v>
      </c>
      <c r="DN288" s="10">
        <f t="shared" si="373"/>
        <v>0</v>
      </c>
      <c r="DO288" s="9" t="str">
        <f>IF(Исходн.данные.!AN288&gt;0,Исходн.данные.!AN288,Удобрения!$B$37 )</f>
        <v>Хлор.калий</v>
      </c>
      <c r="DP288" s="9">
        <f>IF(Исходн.данные.!AN288&gt;0,VLOOKUP(Исходн.данные.!AN288,АшламаДВ_Irekle,4,FALSE),VLOOKUP(DO288,АшламаДВ_Gomumy,4,FALSE))</f>
        <v>0.6</v>
      </c>
      <c r="DQ288" s="10">
        <f t="shared" si="374"/>
        <v>0</v>
      </c>
      <c r="DR288" s="132" t="str">
        <f>IF(Исходн.данные.!AO288&gt;0,Исходн.данные.!AO288,IF(DH288=0,BS$17,IF(AND($DK288=0,$DJ288&gt;0),EJ288,EN288)))</f>
        <v>Нет</v>
      </c>
      <c r="DS288" s="70" t="str">
        <f>IF($DR288="Нет","Нет",IF(Исходн.данные.!$AO288&gt;0,VLOOKUP($DR288,АшламаДВ_Irekle,2,FALSE),VLOOKUP($DR288,АшламаДВ_Gomumy,2,FALSE)))</f>
        <v>Нет</v>
      </c>
      <c r="DT288" s="70" t="str">
        <f>IF($DR288="Нет","Нет",IF(Исходн.данные.!$AO288&gt;0,VLOOKUP($DR288,АшламаДВ_Irekle,3,FALSE),VLOOKUP($DR288,АшламаДВ_Gomumy,3,FALSE)))</f>
        <v>Нет</v>
      </c>
      <c r="DU288" s="70" t="str">
        <f>IF($DR288="Нет","Нет",IF(Исходн.данные.!$AO288&gt;0,VLOOKUP($DR288,АшламаДВ_Irekle,4,FALSE),VLOOKUP($DR288,АшламаДВ_Gomumy,4,FALSE)))</f>
        <v>Нет</v>
      </c>
      <c r="DV288" s="70"/>
      <c r="DW288" s="70"/>
      <c r="DX288" s="70"/>
      <c r="DY288" s="10">
        <f t="shared" si="396"/>
        <v>0</v>
      </c>
      <c r="DZ288" s="10">
        <f t="shared" si="397"/>
        <v>0</v>
      </c>
      <c r="EA288" s="10">
        <f t="shared" si="398"/>
        <v>0</v>
      </c>
      <c r="EB288" s="10">
        <f t="shared" si="399"/>
        <v>0</v>
      </c>
      <c r="EC288" s="10">
        <f t="shared" si="400"/>
        <v>0</v>
      </c>
      <c r="ED288" s="10">
        <f t="shared" si="401"/>
        <v>0</v>
      </c>
      <c r="EE288" s="10">
        <f t="shared" si="402"/>
        <v>0</v>
      </c>
      <c r="EF288" s="39">
        <f>EB288*Исходн.данные.!AJ288/1000</f>
        <v>0</v>
      </c>
      <c r="EG288" s="9">
        <f t="shared" si="403"/>
        <v>0</v>
      </c>
      <c r="EH288" s="9">
        <f t="shared" si="404"/>
        <v>0</v>
      </c>
      <c r="EI288" s="39" t="e">
        <f t="shared" si="354"/>
        <v>#DIV/0!</v>
      </c>
      <c r="EJ288" s="9" t="str">
        <f t="shared" si="375"/>
        <v>Азопреципитат</v>
      </c>
      <c r="EK288" s="12">
        <f t="shared" si="355"/>
        <v>0.26</v>
      </c>
      <c r="EL288" s="12">
        <f t="shared" si="356"/>
        <v>0.13</v>
      </c>
      <c r="EM288" s="12">
        <f t="shared" si="357"/>
        <v>0</v>
      </c>
      <c r="EN288" s="12" t="str">
        <f t="shared" si="376"/>
        <v>Нет</v>
      </c>
      <c r="EO288" s="12">
        <f t="shared" si="358"/>
        <v>0</v>
      </c>
      <c r="EP288" s="12">
        <f t="shared" si="359"/>
        <v>0</v>
      </c>
      <c r="EQ288" s="12">
        <f t="shared" si="360"/>
        <v>0</v>
      </c>
      <c r="ER288" s="12" t="str">
        <f t="shared" si="405"/>
        <v>Диаммофоска</v>
      </c>
      <c r="ES288" s="12">
        <f t="shared" si="361"/>
        <v>0.1</v>
      </c>
      <c r="ET288" s="12">
        <f t="shared" si="362"/>
        <v>0.26</v>
      </c>
      <c r="EU288" s="12">
        <f t="shared" si="363"/>
        <v>0.26</v>
      </c>
      <c r="EV288" s="12" t="str">
        <f t="shared" si="406"/>
        <v>Аммофос 12:52:00</v>
      </c>
      <c r="EW288" s="12" t="str">
        <f t="shared" si="407"/>
        <v>Кемира Свекловичное-6</v>
      </c>
      <c r="EX288" s="12">
        <f t="shared" si="364"/>
        <v>0.16</v>
      </c>
      <c r="EY288" s="12">
        <f t="shared" si="365"/>
        <v>0.12</v>
      </c>
      <c r="EZ288" s="12">
        <f t="shared" si="366"/>
        <v>0.17</v>
      </c>
      <c r="FA288" s="38" t="e">
        <f>IF(AND(OR(FJ288=$FD$1,FM288=$FD$1,FO288=$FD$1,FQ288=$FD$1,FS288=$FD$1),FD288=$FD$1,Исходн.данные.!J288&lt;2,FU288=$FD$1),"Бор,Кобальт",IF(AND(FO288=$FD$1,FH288=$FD$1,Исходн.данные.!J288&lt;2,FU288=$FD$1),"Бор,Кобальт",IF(AND(OR(FJ288=$FD$1,FM288=$FD$1,FQ288=$FD$1),FE288=$FD$1,Исходн.данные.!J288&lt;2,FT288=$FD$1,FU288=$FD$1),"Бор,Медь,Цинк",IF(AND(OR(FJ288=$FD$1,FR288="Да"),FI288="Да",Исходн.данные.!J288&lt;2,FT288="Да",FU288="Да"),"Бор,Цинк,Медь",IF(AND(OR(FM288="Да",FQ288="Да"),FI288="Да",Исходн.данные.!J288&lt;2,FT288="Да",FU288="Да"),"Бор,Цинк",IF(AND(FN288="Да",OR(FD288="Да",FE288="Да")),"Бор",FB288))))))</f>
        <v>#N/A</v>
      </c>
      <c r="FB288" s="134" t="e">
        <f>IF(AND(OR(FD288="Да",FE288="Да",FF288="Да",FG288="Да",FH288="Да"),FO288="Да"),"Бор",IF(AND(FP288="Да",OR(FD288="Да",FE288="Да",FI288="Да")),"Бор",IF(AND(FS288="Да",FE288="Да"),"Бор,Медь",IF(AND(OR(FJ288="Да",FK288="Да",FL288="Да"),FE288="Да",Исходн.данные.!I288&lt;5,FT288="Да",FU288="Да"),"Молибден,Цинк",IF(AND(FM288="Да",OR(FE288="Да",FF288="Да",FG288="Да",FH288="Да",FI288="Да")),"Молибден,Цинк",IF(AND(OR(FJ288="Да",FK288="Да",FL288="Да",FM288="Да",FQ288="Да"),OR(FE288="Да",FF288="Да"),FT288="Да",FU288="Да",Исходн.данные.!I288&gt;5.5),"Медь,Цинк",FC288))))))</f>
        <v>#N/A</v>
      </c>
      <c r="FC288" s="23" t="e">
        <f t="shared" si="408"/>
        <v>#N/A</v>
      </c>
      <c r="FD288" s="38" t="str">
        <f>IF(OR(Исходн.данные.!F288=$CC$1,Исходн.данные.!F288=$CC$2,Исходн.данные.!F288=$CC$3,Исходн.данные.!F288=$CC$4),"Да","Нет")</f>
        <v>Нет</v>
      </c>
      <c r="FE288" s="38" t="str">
        <f>IF(Исходн.данные.!F288=$CC$5,"Да","Нет")</f>
        <v>Нет</v>
      </c>
      <c r="FF288" s="38" t="str">
        <f>IF(OR(Исходн.данные.!F288=$CC$6,Исходн.данные.!F288=$CC$7),"Да","Нет")</f>
        <v>Нет</v>
      </c>
      <c r="FG288" s="38" t="str">
        <f>IF(OR(Исходн.данные.!F288=$CC$8,Исходн.данные.!F288=$CC$9),"Да","Нет")</f>
        <v>Нет</v>
      </c>
      <c r="FH288" s="38" t="str">
        <f>IF(Исходн.данные.!F288=$CC$10,"Да","Нет")</f>
        <v>Нет</v>
      </c>
      <c r="FI288" s="38" t="str">
        <f>IF(OR(Исходн.данные.!F288=$CC$11,Исходн.данные.!F288=$CC$12),"Да","Нет")</f>
        <v>Нет</v>
      </c>
      <c r="FJ288" s="38" t="str">
        <f>IF(OR(Исходн.данные.!AH288=$BS$1,Исходн.данные.!AH288=$BQ$11,Исходн.данные.!AH288=$BQ$12),"Да","Нет")</f>
        <v>Нет</v>
      </c>
      <c r="FK288" s="38" t="str">
        <f>IF(OR(Исходн.данные.!AH288=$BS$2,Исходн.данные.!AH288=$BS$4),"Да","Нет")</f>
        <v>Нет</v>
      </c>
      <c r="FL288" s="38" t="str">
        <f>IF(OR(Исходн.данные.!AH288=$BS$3,Исходн.данные.!AH288=$BS$5),"Да","Нет")</f>
        <v>Нет</v>
      </c>
      <c r="FM288" s="38" t="str">
        <f>IF(OR(Исходн.данные.!AH288=$BS$9,Исходн.данные.!AH288=$BS$10,Исходн.данные.!AH288=$BS$11,Исходн.данные.!AH288=$BS$12),"Да","Нет")</f>
        <v>Нет</v>
      </c>
      <c r="FN288" s="38" t="str">
        <f>IF(OR(Исходн.данные.!AH288=$BS$6,Исходн.данные.!AH288=$BP$3),"Да","Нет")</f>
        <v>Нет</v>
      </c>
      <c r="FO288" s="38" t="str">
        <f>IF(Исходн.данные.!AH288=$BQ$9,"Да","Нет")</f>
        <v>Нет</v>
      </c>
      <c r="FP288" s="38" t="str">
        <f>IF(OR(Исходн.данные.!AH288=$BS$8,Исходн.данные.!AH288=$BT$8),"Да","Нет")</f>
        <v>Нет</v>
      </c>
      <c r="FQ288" s="38" t="str">
        <f>IF(OR(Исходн.данные.!AH288=$BQ$7,Исходн.данные.!AH288=$BQ$8),"Да","Нет")</f>
        <v>Нет</v>
      </c>
      <c r="FR288" s="38" t="str">
        <f>IF(Исходн.данные.!AI288=$BU$9,"Да","Нет")</f>
        <v>Нет</v>
      </c>
      <c r="FS288" s="38" t="str">
        <f>IF(OR(Исходн.данные.!AH288=$BP$1,Исходн.данные.!AH288=$BP$2),"Да","Нет")</f>
        <v>Нет</v>
      </c>
      <c r="FT288" s="38" t="e">
        <f>IF((Исходн.данные.!K288*GO288*GS288*GW288+BL288*0.6+Исходн.данные.!Q288*4.5*0.275)&gt;90,"Да","Нет")</f>
        <v>#N/A</v>
      </c>
      <c r="FU288" s="38" t="e">
        <f>IF((Исходн.данные.!M288*GS288*GZ288+BM288*0.225)&gt;35,"Да","Нет")</f>
        <v>#N/A</v>
      </c>
      <c r="FV288" s="38" t="str">
        <f>IF(Исходн.данные.!O288&gt;175,"Да","Нет")</f>
        <v>Нет</v>
      </c>
      <c r="FW288" s="39" t="str">
        <f>IF(Исходн.данные.!I288&gt;5.5,"Да","Нет")</f>
        <v>Нет</v>
      </c>
      <c r="FX288" s="39" t="str">
        <f>IF(Исходн.данные.!J288&lt;2,"Да","Нет")</f>
        <v>Да</v>
      </c>
      <c r="FY288" s="39" t="e">
        <f>IF(HF288=$FY$16,0,Исходн.данные.!K288*GO288*GS288*GW288/HF288)</f>
        <v>#N/A</v>
      </c>
      <c r="FZ288" s="39" t="e">
        <f>Исходн.данные.!M288*GS288*GZ288/HG288</f>
        <v>#N/A</v>
      </c>
      <c r="GA288" s="39" t="e">
        <f>IF(K_Wyn=$FY$16,0,IF(Исходн.данные.!N288=Исходн.данные.!$L$10,Исходн.данные.!O288/1.1*GS288*HC288/HH288,IF(Исходн.данные.!N288=Исходн.данные.!$L$12,Исходн.данные.!O288/1.5*GS288*HC288/HH288,Исходн.данные.!O288*GS288*HC288/HH288)))</f>
        <v>#N/A</v>
      </c>
      <c r="GB288" s="39" t="e">
        <f>IF(HF288=$FY$16,0,((Исходн.данные.!Q288*N_Org+Исходн.данные.!R288*N_Sider+Исходн.данные.!S288*N_Soloma)*AO288+Расчет!BC288*VLOOKUP(Исходн.данные.!T288,Справ!$A$3:$O$57,15)*AO288+BB288*VLOOKUP(Исходн.данные.!T288,Справ!$A$3:$O$57,15)*AL288+(Исходн.данные.!V288*N_Rizotorf+Исходн.данные.!W288*N_Rizoagr))/HF288)</f>
        <v>#N/A</v>
      </c>
      <c r="GC288" s="39" t="e">
        <f>IF(HG288=$FY$16,0,((Исходн.данные.!Q288*Р_Org+Исходн.данные.!R288*P_Sider+Исходн.данные.!S288*P_Soloma)*AP288+Расчет!BC288*VLOOKUP(Исходн.данные.!T288,Справ!$A$3:$P$57,16)*AP288+BB288*VLOOKUP(Исходн.данные.!T288,Справ!$A$3:$P$57,16)*AM288)/HG288)</f>
        <v>#N/A</v>
      </c>
      <c r="GD288" s="39" t="e">
        <f>IF(HH288=$FY$16,0,((Исходн.данные.!Q288*К_Org+Исходн.данные.!R288*K_Sider+Исходн.данные.!S288*K_Soloma)*AQ288+Расчет!BC288*VLOOKUP(Исходн.данные.!T288,Справ!$A$3:$Q$57,17)*AQ288+BB288*VLOOKUP(Исходн.данные.!T288,Справ!$A$3:$Q$57,17)*AN288)/HH288)</f>
        <v>#N/A</v>
      </c>
      <c r="GE288" s="39" t="e">
        <f>IF(HF288=$FY$16,0,(Исходн.данные.!X288*AR288+Исходн.данные.!AA288*N_Org*AL288+Исходн.данные.!AB288*N_Sider*AL288+Исходн.данные.!AC288*N_Soloma*AL288)/HF288)</f>
        <v>#N/A</v>
      </c>
      <c r="GF288" s="39" t="e">
        <f>IF(HG288=$FY$16,0,(Исходн.данные.!Y288*AS288+Исходн.данные.!AA288*Р_Org*AM288+Исходн.данные.!AB288*P_Sider*AM288+Исходн.данные.!AC288*P_Soloma*AM288)/HG288)</f>
        <v>#N/A</v>
      </c>
      <c r="GG288" s="39" t="e">
        <f>IF(HH288=$FY$16,0,(Исходн.данные.!Z288*AT288+Исходн.данные.!AA288*К_Org*AN288+Исходн.данные.!AB288*K_Sider*AN288+Исходн.данные.!AC288*K_Soloma*AN288)/HH288)</f>
        <v>#N/A</v>
      </c>
      <c r="GH288" s="39" t="e">
        <f>Исходн.данные.!AD288*AU288/HF288</f>
        <v>#N/A</v>
      </c>
      <c r="GI288" s="39" t="e">
        <f>Исходн.данные.!AE288*AV288/HG288</f>
        <v>#N/A</v>
      </c>
      <c r="GJ288" s="39" t="e">
        <f>Исходн.данные.!AF288*AW288/HH288</f>
        <v>#N/A</v>
      </c>
      <c r="GK288" s="55">
        <f>Исходн.данные.!AK288</f>
        <v>0</v>
      </c>
      <c r="GL288" s="11" t="e">
        <f t="shared" si="409"/>
        <v>#N/A</v>
      </c>
      <c r="GM288" s="11" t="e">
        <f t="shared" si="410"/>
        <v>#N/A</v>
      </c>
      <c r="GN288" s="11" t="e">
        <f t="shared" si="411"/>
        <v>#N/A</v>
      </c>
      <c r="GO288" s="57">
        <f t="shared" si="412"/>
        <v>19</v>
      </c>
      <c r="GP288" s="55">
        <f>IF(OR(Исходн.данные.!F288=$CE$1,Исходн.данные.!F288=$CE$2,Исходн.данные.!F288=$CE$3,Исходн.данные.!F288=$CE$4,Исходн.данные.!F288=$CE$5),GQ288,GR288)</f>
        <v>19</v>
      </c>
      <c r="GQ288" s="55">
        <f>IF(Исходн.данные.!F288=$CE$1,28,IF(Исходн.данные.!F288=$CE$2,26,IF(Исходн.данные.!F288=$CE$3,24,IF(Исходн.данные.!F288=$CE$4,22,IF(Исходн.данные.!F288=$CE$5,20,GR288)))))</f>
        <v>19</v>
      </c>
      <c r="GR288" s="55">
        <f>IF(Исходн.данные.!F288=$CE$6,18,IF(Исходн.данные.!F288=$CE$7,16,IF(Исходн.данные.!F288=$CE$8,14,IF(Исходн.данные.!F288=$CE$9,13,IF(Исходн.данные.!F288=$CE$10,12,19)))))</f>
        <v>19</v>
      </c>
      <c r="GS288" s="55">
        <f>IF(Исходн.данные.!G288="Пес",0.035*(40+2*Исходн.данные.!H288),IF(Исходн.данные.!G288="Суп",0.0325*(40+2*Исходн.данные.!H288),0.03*(40+2*Исходн.данные.!H288)))</f>
        <v>1.2</v>
      </c>
      <c r="GT288" s="55">
        <f>IF(Исходн.данные.!H288&lt;23,2.6,IF(AND(Исходн.данные.!H288&gt;22,Исходн.данные.!H288&lt;26),3,IF(AND(Исходн.данные.!H288&gt;25,Исходн.данные.!H288&lt;29),3.4,3.6)))</f>
        <v>2.6</v>
      </c>
      <c r="GU288" s="55">
        <f>IF(Исходн.данные.!H288&lt;23,2.8,IF(AND(Исходн.данные.!H288&gt;22,Исходн.данные.!H288&lt;26),3.2,IF(AND(Исходн.данные.!H288&gt;25,Исходн.данные.!H288&lt;29),3.6,3.9)))</f>
        <v>2.8</v>
      </c>
      <c r="GV288" s="55">
        <f>IF(Исходн.данные.!H288&lt;23,3,IF(AND(Исходн.данные.!H288&gt;22,Исходн.данные.!H288&lt;26),3.5,IF(AND(Исходн.данные.!H288&gt;25,Исходн.данные.!H288&lt;29),3.9,4.2)))</f>
        <v>3</v>
      </c>
      <c r="GW288" s="55" t="e">
        <f>IF(Исходн.данные.!P288="Ум",GX288,GY288)</f>
        <v>#N/A</v>
      </c>
      <c r="GX288" s="55" t="e">
        <f>VLOOKUP(Исходн.данные.!AI288,Коэффициенты!$J$7:$L$13,2,FALSE)</f>
        <v>#N/A</v>
      </c>
      <c r="GY288" s="55" t="e">
        <f>VLOOKUP(Исходн.данные.!AI288,Коэффициенты!$J$7:$L$13,3,FALSE)</f>
        <v>#N/A</v>
      </c>
      <c r="GZ288" s="55" t="e">
        <f>(IF(Исходн.данные.!M288&lt;50,0.11*VLOOKUP(Исходн.данные.!AH288,Культуры.Информация,7,FALSE),IF(Исходн.данные.!M288&gt;250,0.05*VLOOKUP(Исходн.данные.!AH288,Культуры.Информация,7,FALSE),VLOOKUP(Исходн.данные.!AH288,Культуры.Информация,5,FALSE)/100*($GX$6+$GY$6*Исходн.данные.!M288))))*Расчет2!AI288</f>
        <v>#N/A</v>
      </c>
      <c r="HA288" s="211"/>
      <c r="HB288" s="211"/>
      <c r="HC288" s="55" t="e">
        <f>(IF(Исходн.данные.!O288&lt;80,0.2*VLOOKUP(Исходн.данные.!AH288,Культуры.Информация,8,FALSE),IF(Исходн.данные.!O288&gt;240,0.09*VLOOKUP(Исходн.данные.!AH288,Культуры.Информация,8,FALSE),VLOOKUP(Исходн.данные.!AH288,Культуры.Информация,6,FALSE)/100*($HB$6+$HC$6*Исходн.данные.!O288))))*Расчет2!AJ288</f>
        <v>#N/A</v>
      </c>
      <c r="HD288" s="55">
        <f>IF(Исходн.данные.!O288&gt;240,0.09,IF(Исходн.данные.!O288&lt;30,0.3,$HE$10+$HD$10*Исходн.данные.!O288))</f>
        <v>0.3</v>
      </c>
      <c r="HE288" s="55">
        <f>IF(Исходн.данные.!O288&gt;240,0.17,IF(Исходн.данные.!O288&lt;30,0.5,$HF$12+$HE$12*Исходн.данные.!O288))</f>
        <v>0.5</v>
      </c>
      <c r="HF288" s="55" t="e">
        <f>VLOOKUP(Исходн.данные.!AH288,Справ!$A$3:$D$58,2,FALSE)</f>
        <v>#N/A</v>
      </c>
      <c r="HG288" s="55" t="e">
        <f>VLOOKUP(Исходн.данные.!AH288,Справ!$A$3:$D$58,3,FALSE)</f>
        <v>#N/A</v>
      </c>
      <c r="HH288" s="55" t="e">
        <f>VLOOKUP(Исходн.данные.!AH288,Справ!$A$3:$D$58,4,FALSE)</f>
        <v>#N/A</v>
      </c>
      <c r="HI288" s="11" t="e">
        <f t="shared" si="413"/>
        <v>#N/A</v>
      </c>
      <c r="HJ288" s="11" t="e">
        <f t="shared" si="414"/>
        <v>#N/A</v>
      </c>
      <c r="HK288" s="11" t="e">
        <f t="shared" si="415"/>
        <v>#N/A</v>
      </c>
      <c r="HL288" s="55">
        <f>IF(OR(Исходн.данные.!G288="Глин",Исходн.данные.!G288="Т_суг"),1.1,IF(Исходн.данные.!G288="Ср_суг",1,1))</f>
        <v>1</v>
      </c>
      <c r="HM288" s="55">
        <f>IF(OR(Исходн.данные.!G288="Глин",Исходн.данные.!G288="Т_суг"),0.9,IF(Исходн.данные.!G288="Ср_суг",1,1.2))</f>
        <v>1.2</v>
      </c>
      <c r="HN288" s="11" t="e">
        <f t="shared" si="416"/>
        <v>#N/A</v>
      </c>
      <c r="HO288" s="11" t="e">
        <f t="shared" si="417"/>
        <v>#N/A</v>
      </c>
      <c r="HP288" s="11" t="e">
        <f t="shared" si="418"/>
        <v>#N/A</v>
      </c>
      <c r="HQ288" t="e">
        <f t="shared" si="419"/>
        <v>#N/A</v>
      </c>
      <c r="HR288" t="e">
        <f t="shared" si="420"/>
        <v>#N/A</v>
      </c>
      <c r="HS288" t="e">
        <f t="shared" si="421"/>
        <v>#N/A</v>
      </c>
      <c r="HT288" t="e">
        <f t="shared" si="367"/>
        <v>#N/A</v>
      </c>
      <c r="HU288" t="e">
        <f t="shared" si="368"/>
        <v>#N/A</v>
      </c>
      <c r="HV288" t="e">
        <f t="shared" si="369"/>
        <v>#N/A</v>
      </c>
      <c r="HW288" t="e">
        <f t="shared" si="370"/>
        <v>#N/A</v>
      </c>
      <c r="HX288" t="e">
        <f t="shared" si="371"/>
        <v>#N/A</v>
      </c>
      <c r="HY288" t="e">
        <f t="shared" si="372"/>
        <v>#N/A</v>
      </c>
      <c r="HZ288" s="55">
        <f>IF(OR(Исходн.данные.!AI288="Оз_Ч_П",Исходн.данные.!AI288="Оз_З_П",Исходн.данные.!AI288="Яр_зер"),12,30)</f>
        <v>30</v>
      </c>
      <c r="IA288" t="e">
        <f t="shared" si="422"/>
        <v>#N/A</v>
      </c>
      <c r="IB288" t="e">
        <f t="shared" si="423"/>
        <v>#N/A</v>
      </c>
      <c r="IC288" t="e">
        <f t="shared" si="424"/>
        <v>#N/A</v>
      </c>
      <c r="ID288" s="11" t="e">
        <f t="shared" si="425"/>
        <v>#N/A</v>
      </c>
      <c r="IE288" s="11" t="e">
        <f t="shared" si="426"/>
        <v>#N/A</v>
      </c>
      <c r="IF288" s="11" t="e">
        <f t="shared" si="427"/>
        <v>#N/A</v>
      </c>
    </row>
    <row r="289" spans="35:240" x14ac:dyDescent="0.2">
      <c r="AI289">
        <f>IF(Исходн.данные.!I289&gt;6,1,1.85-(0.148*Исходн.данные.!I289))</f>
        <v>1.85</v>
      </c>
      <c r="AJ289">
        <f>IF(Исходн.данные.!I289&gt;6,1,2.434-(0.246*Исходн.данные.!I289))</f>
        <v>2.4340000000000002</v>
      </c>
      <c r="AL289" s="148" t="b">
        <f>IF(Исходн.данные.!$P289="Ум",N_OrgUd_2g_um,IF(Исходн.данные.!$P289="Об",N_OrgUd_2g_ob))</f>
        <v>0</v>
      </c>
      <c r="AM289" s="148" t="b">
        <f>IF(Исходн.данные.!$P289="Ум",P_OrgUd_2g_um,IF(Исходн.данные.!$P289="Об",P_OrgUd_2g_ob))</f>
        <v>0</v>
      </c>
      <c r="AN289" s="148" t="b">
        <f>IF(Исходн.данные.!$P289="Ум",K_OrgUd_2g_um,IF(Исходн.данные.!$P289="Об",K_OrgUd_2g_ob))</f>
        <v>0</v>
      </c>
      <c r="AO289" s="148" t="b">
        <f>IF(Исходн.данные.!$P289="Ум",N_OrgUd_1g_um,IF(Исходн.данные.!$P289="Об",N_OrgUd_1g_ob))</f>
        <v>0</v>
      </c>
      <c r="AP289" s="148" t="b">
        <f>IF(Исходн.данные.!$P289="Ум",P_OrgUd_1g_um,IF(Исходн.данные.!$P289="Об",P_OrgUd_1g_ob))</f>
        <v>0</v>
      </c>
      <c r="AQ289" s="148" t="b">
        <f>IF(Исходн.данные.!$P289="Ум",K_OrgUd_1g_um,IF(Исходн.данные.!$P289="Об",K_OrgUd_1g_ob))</f>
        <v>0</v>
      </c>
      <c r="AR289" t="b">
        <f>IF(Исходн.данные.!$P289="Ум",N_MinUd_2g_um,IF(Исходн.данные.!$P289="Об",N_MinUd_2g_ob))</f>
        <v>0</v>
      </c>
      <c r="AS289" t="b">
        <f>IF(Исходн.данные.!$P289="Ум",P_MinUd_2g_um,IF(Исходн.данные.!$P289="Об",P_MinUd_2g_ob))</f>
        <v>0</v>
      </c>
      <c r="AT289" t="b">
        <f>IF(Исходн.данные.!$P289="Ум",K_MinUd_2g_um,IF(Исходн.данные.!$P289="Об",K_MinUd_2g_ob))</f>
        <v>0</v>
      </c>
      <c r="AU289" t="b">
        <f>IF(Исходн.данные.!$P289="Ум",N_MinUd_1g_um,IF(Исходн.данные.!$P289="Об",N_MinUd_1g_ob))</f>
        <v>0</v>
      </c>
      <c r="AV289" t="b">
        <f>IF(Исходн.данные.!P289="Ум",P_MinUd_1g_um,IF(Исходн.данные.!P289="Об",P_MinUd_1g_ob))</f>
        <v>0</v>
      </c>
      <c r="AW289" t="b">
        <f>IF(Исходн.данные.!P289="Ум",K_MinUd_1g_um,IF(Исходн.данные.!P289="Об",K_MinUd_1g_ob))</f>
        <v>0</v>
      </c>
      <c r="AY289" t="e">
        <f>VLOOKUP(Исходн.данные.!T289,Справ!$A$3:$N$57,12)</f>
        <v>#N/A</v>
      </c>
      <c r="AZ289" t="e">
        <f>VLOOKUP(Исходн.данные.!T289,Справ!$A$3:$N$57,13)</f>
        <v>#N/A</v>
      </c>
      <c r="BA289" t="e">
        <f>VLOOKUP(Исходн.данные.!T289,Справ!$A$3:$N$57,14)</f>
        <v>#N/A</v>
      </c>
      <c r="BB289">
        <f>IF(Исходн.данные.!AH289=0,0,25)</f>
        <v>0</v>
      </c>
      <c r="BC289" s="141">
        <f>IF(Исходн.данные.!AH289=0,0,IF(Исходн.данные.!T289=0,25,BD289))</f>
        <v>0</v>
      </c>
      <c r="BD289" s="168" t="e">
        <f>AY289+AZ289*Исходн.данные.!U289-POWER(BA289,2)*Исходн.данные.!U289</f>
        <v>#N/A</v>
      </c>
      <c r="BE28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89" s="25">
        <f>IF(Исходн.данные.!AH289=0,0,MIN(HN289:HP289))</f>
        <v>0</v>
      </c>
      <c r="BG289" s="9">
        <f>IF(Исходн.данные.!AH289=0,0,IF((HO289+10*0.25/HG289/HL289)&lt;17,17,HO289+10*0.25/HG289/HL289))</f>
        <v>0</v>
      </c>
      <c r="BH289" s="181">
        <f>IF(Исходн.данные.!AH289=0,0,HW289*HF289*HL289/AU289*AI289+Исходн.данные.!S289*10)</f>
        <v>0</v>
      </c>
      <c r="BI289" s="10"/>
      <c r="BJ289" s="182">
        <f>IF(Исходн.данные.!AH289=0,0,IF(HX289*HG289*HL289/AV289&lt;0,0,HX289*HG289*HL289/AV289*AJ289))</f>
        <v>0</v>
      </c>
      <c r="BK289" s="182">
        <f>IF(Исходн.данные.!AH289=0,0,HY289*HH289*HM289/AW289)</f>
        <v>0</v>
      </c>
      <c r="BL289" s="10">
        <f>IF(OR(Исходн.данные.!$AH289=$BP$1,Исходн.данные.!$AH289=$BP$2),0,IF(BH289&lt;0,0,IF(OR(Исходн.данные.!T289=Расчет!$BP$1,Исходн.данные.!T289=Расчет!$BP$2,Исходн.данные.!T289=Расчет!$BT$5,Исходн.данные.!T289=Расчет!$BT$6),BH289*0.5,IF(OR(Исходн.данные.!T289=Расчет!$BS$9,Исходн.данные.!T289=Расчет!$BS$10,Исходн.данные.!T289=Расчет!$BS$11,Исходн.данные.!T289=Расчет!$BS$12,Исходн.данные.!T289=Расчет!$BP$5),BH289*0.8,BH289))))</f>
        <v>0</v>
      </c>
      <c r="BM289" s="10">
        <f>IF(OR(Исходн.данные.!$AH289=$BP$1,Исходн.данные.!$AH289=$BP$2),0,IF(BJ289&lt;0,0,IF(Исходн.данные.!I289&lt;4.5,BJ289*1.2,IF(Исходн.данные.!I289&gt;5.1,BJ289,BJ289*((5.1-Исходн.данные.!I289)*0.333+1)))))</f>
        <v>0</v>
      </c>
      <c r="BN289" s="10">
        <f>IF(OR(Исходн.данные.!$AH289=$BP$1,Исходн.данные.!$AH289=$BP$2),60-Исходн.данные.!AF289,IF(BK289&lt;0,0,IF(Исходн.данные.!I289&lt;4.5,BK289*1.2,IF(Исходн.данные.!I289&gt;5.1,BK289,BK289*((5.1-Исходн.данные.!I289)*0.333+1)))))</f>
        <v>0</v>
      </c>
      <c r="BO289" s="9">
        <f>IF(BL289&lt;0,0,BL289*Исходн.данные.!$AJ289/1000)</f>
        <v>0</v>
      </c>
      <c r="BP289" s="9">
        <f>IF(BM289&lt;0,0,BM289*Исходн.данные.!$AJ289/1000)</f>
        <v>0</v>
      </c>
      <c r="BQ289" s="9">
        <f>IF(BN289&lt;0,0,BN289*Исходн.данные.!$AJ289/1000)</f>
        <v>0</v>
      </c>
      <c r="BR289" s="9">
        <f t="shared" si="377"/>
        <v>0</v>
      </c>
      <c r="BS289" s="10" t="str">
        <f t="shared" si="378"/>
        <v>Аммофос 12:52:00</v>
      </c>
      <c r="BT289" s="10" t="str">
        <f t="shared" si="379"/>
        <v>Аммофос 12:52:00</v>
      </c>
      <c r="BU289" s="10" t="str">
        <f t="shared" si="380"/>
        <v>Диаммофоска</v>
      </c>
      <c r="BV289" s="10">
        <f t="shared" si="381"/>
        <v>0</v>
      </c>
      <c r="BW289" s="10"/>
      <c r="BX289" s="10"/>
      <c r="BY289" s="9">
        <f>IF(BL289&lt;0,0,IF(OR(Исходн.данные.!AI289=Расчет!$BU$6,Исходн.данные.!AI289=Расчет!$BU$7),Расчет!BV289,IF(Исходн.данные.!$AG289=$BV$11,BL289,IF(OR(Исходн.данные.!$AH289=$BQ$7,Исходн.данные.!$AH289=$BQ$8),CB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0,IF(Исходн.данные.!$AI289=$BU$11,"Нет",IF(BL289&gt;30,30,BL289)))))))</f>
        <v>0</v>
      </c>
      <c r="BZ289" s="9">
        <f>IF(AND(Исходн.данные.!$AG289=$BV$11,BM289&lt;10),10,IF(Исходн.данные.!$AG289=$BV$11,BM289,IF(OR(Исходн.данные.!$AH289=$BQ$7,Исходн.данные.!$AH289=$BQ$8),CC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10,IF(Исходн.данные.!$AI289=$BU$11,"Нет",IF(BM289&gt;60,60,IF(BM289&lt;10,10,BM289)))))))</f>
        <v>10</v>
      </c>
      <c r="CA289" s="39">
        <f>IF(BN289&lt;0,0,IF(Исходн.данные.!$AG289=$BV$11,BN289,IF(OR(Исходн.данные.!$AH289=$BQ$7,Исходн.данные.!$AH289=$BQ$8),CD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0,IF(Исходн.данные.!$AI289=$BU$11,"Нет",IF(BN289&gt;30,30,BN289))))))</f>
        <v>0</v>
      </c>
      <c r="CB289" s="9">
        <f t="shared" si="382"/>
        <v>0</v>
      </c>
      <c r="CC289" s="9">
        <f t="shared" si="383"/>
        <v>0</v>
      </c>
      <c r="CD289" s="9">
        <f t="shared" si="384"/>
        <v>0</v>
      </c>
      <c r="CE289" s="12">
        <f t="shared" si="385"/>
        <v>10</v>
      </c>
      <c r="CF289" s="9">
        <f t="shared" si="386"/>
        <v>0</v>
      </c>
      <c r="CG289" s="9" t="s">
        <v>231</v>
      </c>
      <c r="CH289" s="132" t="str">
        <f>IF(Исходн.данные.!AP289=Расчет!$CI$16,"Нет",IF(Исходн.данные.!AL289&gt;0,Исходн.данные.!AL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BH$4,IF(OR(Исходн.данные.!AI289=Исходн.данные.!$AI$6,Исходн.данные.!AI289=Исходн.данные.!$AI$7),Расчет!BS289,IF(AND($CF289=0,$CE289&gt;0),EV289,ER289)))))</f>
        <v>Аммофос 12:52:00</v>
      </c>
      <c r="CI289" s="274">
        <f>IF(Расчет!$CH289="Нет","Нет",IF(Исходн.данные.!$AL289&gt;0,VLOOKUP(Расчет!$CH289,АшламаДВ_Irekle,2,FALSE),VLOOKUP(Расчет!$CH289,АшламаДВ_Gomumy,2,FALSE)))</f>
        <v>0.12</v>
      </c>
      <c r="CJ289" s="274">
        <f>IF(Расчет!$CH289="Нет","Нет",IF(Исходн.данные.!$AL289&gt;0,VLOOKUP(Расчет!$CH289,АшламаДВ_Irekle,3,FALSE),VLOOKUP(Расчет!$CH289,АшламаДВ_Gomumy,3,FALSE)))</f>
        <v>0.52</v>
      </c>
      <c r="CK289" s="274">
        <f>IF(Расчет!$CH289="Нет","Нет",IF(Исходн.данные.!$AL289&gt;0,VLOOKUP(Расчет!$CH289,АшламаДВ_Irekle,4,FALSE),VLOOKUP(Расчет!$CH289,АшламаДВ_Gomumy,4,FALSE)))</f>
        <v>0</v>
      </c>
      <c r="CL289" s="70"/>
      <c r="CM289" s="70"/>
      <c r="CN289" s="70"/>
      <c r="CO289" s="70"/>
      <c r="CP289" s="70"/>
      <c r="CQ289" s="70"/>
      <c r="CR289" s="10">
        <f t="shared" si="387"/>
        <v>0</v>
      </c>
      <c r="CS289" s="10">
        <f t="shared" si="388"/>
        <v>19.23076923076923</v>
      </c>
      <c r="CT289" s="10">
        <f t="shared" si="389"/>
        <v>0</v>
      </c>
      <c r="CU289" s="39">
        <f>IF($CH289="Нет",0,IF(CI289=0,30/MIN(CJ289:CK289),IF(Исходн.данные.!$AG289=$BV$11,CR289,IF(OR(Исходн.данные.!$AH289=$BQ$7,Исходн.данные.!$AH289=$BQ$8),90/CI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0,IF(Исходн.данные.!$AI289=$BU$11,"Нет",30/CI289))))))</f>
        <v>250</v>
      </c>
      <c r="CV289" s="39">
        <f>IF($CH289="Нет",0,IF(Исходн.данные.!AH289=0,0,IF(CJ289=0,60/MIN(CI289,CK289),IF(Исходн.данные.!$AG289=$BV$11,CS289,IF(OR(Исходн.данные.!$AH289=$BQ$7,Исходн.данные.!$AH289=$BQ$8),90/CJ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10/CJ289,IF(Исходн.данные.!$AI289=$BU$11,"Нет",60/CJ289)))))))</f>
        <v>0</v>
      </c>
      <c r="CW289" s="39">
        <f>IF($CH289="Нет",0,IF(Исходн.данные.!AH289=0,0,IF(CK289=0,30/MIN(CI289:CJ289),IF(Исходн.данные.!$AG289=$BV$11,CT289,IF(OR(Исходн.данные.!$AH289=$BQ$7,Исходн.данные.!$AH289=$BQ$8),90/CK289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0,IF(Исходн.данные.!$AI289=$BU$11,"Нет",30/CK289)))))))</f>
        <v>0</v>
      </c>
      <c r="CX289" s="133">
        <f>IF(Исходн.данные.!$AG289=$BV$11,MAX(CU289:CW289),IF(OR(Исходн.данные.!$AH289=$BS$8,Исходн.данные.!$AH289=$BQ$9,Исходн.данные.!$AH289=$BQ$10,Исходн.данные.!$AH289=$BQ$11,Исходн.данные.!$AH289=$BQ$12,Исходн.данные.!$AH289=$BP$3,Исходн.данные.!$AH289=$BT$8,$FM289="Да"),CV289,MIN(CU289:CW289)))</f>
        <v>0</v>
      </c>
      <c r="CY289" s="133">
        <f>IF(Исходн.данные.!AH289=0,0,IF(CR289&gt;$CX289,$CX289,CR289))</f>
        <v>0</v>
      </c>
      <c r="CZ289" s="133">
        <f>IF(Исходн.данные.!AH289=0,0,IF(CS289&gt;$CX289,$CX289,CS289))</f>
        <v>0</v>
      </c>
      <c r="DA289" s="133">
        <f>IF(Исходн.данные.!AH289=0,0,IF(CT289&gt;$CX289,$CX289,CT289))</f>
        <v>0</v>
      </c>
      <c r="DB289" s="10">
        <f t="shared" si="390"/>
        <v>0</v>
      </c>
      <c r="DC289" s="39">
        <f>DB289*Исходн.данные.!AJ289/1000</f>
        <v>0</v>
      </c>
      <c r="DD289" s="71">
        <f t="shared" si="391"/>
        <v>0</v>
      </c>
      <c r="DE289" s="9">
        <f t="shared" si="392"/>
        <v>0</v>
      </c>
      <c r="DF289" s="9">
        <f t="shared" si="393"/>
        <v>0</v>
      </c>
      <c r="DG289" s="39">
        <f>IF(BL289&lt;0,0,IF($CH289="Нет",BL289,IF(OR(Исходн.данные.!$AH289=$BP$1,Исходн.данные.!$AH289=$BP$2),0,IF(Исходн.данные.!AI289=$BU$11,BL289,IF(BL289-DD289&lt;0,0,BL289-DD289)))))</f>
        <v>0</v>
      </c>
      <c r="DH289" s="39">
        <f>IF(BM289&lt;0,0,IF($CH289="Нет",BM289,IF(OR(Исходн.данные.!$AH289=$BP$1,Исходн.данные.!$AH289=$BP$2),0,IF(Исходн.данные.!AJ289=$BU$11,BM289,IF(BM289-DE289&lt;0,0,BM289-DE289)))))</f>
        <v>0</v>
      </c>
      <c r="DI289" s="39">
        <f>IF(BN289&lt;0,0,IF($CH289="Нет",BN289,IF(OR(Исходн.данные.!$AH289=$BP$1,Исходн.данные.!$AH289=$BP$2),0,IF(Исходн.данные.!AK289=$BU$11,BN289,IF(BN289-DF289&lt;0,0,BN289-DF289)))))</f>
        <v>0</v>
      </c>
      <c r="DJ289" s="12">
        <f t="shared" si="394"/>
        <v>0</v>
      </c>
      <c r="DK289" s="9">
        <f t="shared" si="395"/>
        <v>0</v>
      </c>
      <c r="DL289" s="39">
        <f>IF(Исходн.данные.!AM289&gt;0,Исходн.данные.!AM289,IF(EG289&gt;0,$BH$10,0))</f>
        <v>0</v>
      </c>
      <c r="DM289" s="186">
        <f>IF($DL289=0,0,IF(Исходн.данные.!AM289&gt;0,VLOOKUP($DL289,АшламаДВ_Irekle,2,FALSE),VLOOKUP($DL289,АшламаДВ_Gomumy,2,FALSE)))</f>
        <v>0</v>
      </c>
      <c r="DN289" s="10">
        <f t="shared" si="373"/>
        <v>0</v>
      </c>
      <c r="DO289" s="9" t="str">
        <f>IF(Исходн.данные.!AN289&gt;0,Исходн.данные.!AN289,Удобрения!$B$37 )</f>
        <v>Хлор.калий</v>
      </c>
      <c r="DP289" s="9">
        <f>IF(Исходн.данные.!AN289&gt;0,VLOOKUP(Исходн.данные.!AN289,АшламаДВ_Irekle,4,FALSE),VLOOKUP(DO289,АшламаДВ_Gomumy,4,FALSE))</f>
        <v>0.6</v>
      </c>
      <c r="DQ289" s="10">
        <f t="shared" si="374"/>
        <v>0</v>
      </c>
      <c r="DR289" s="132" t="str">
        <f>IF(Исходн.данные.!AO289&gt;0,Исходн.данные.!AO289,IF(DH289=0,BS$17,IF(AND($DK289=0,$DJ289&gt;0),EJ289,EN289)))</f>
        <v>Нет</v>
      </c>
      <c r="DS289" s="70" t="str">
        <f>IF($DR289="Нет","Нет",IF(Исходн.данные.!$AO289&gt;0,VLOOKUP($DR289,АшламаДВ_Irekle,2,FALSE),VLOOKUP($DR289,АшламаДВ_Gomumy,2,FALSE)))</f>
        <v>Нет</v>
      </c>
      <c r="DT289" s="70" t="str">
        <f>IF($DR289="Нет","Нет",IF(Исходн.данные.!$AO289&gt;0,VLOOKUP($DR289,АшламаДВ_Irekle,3,FALSE),VLOOKUP($DR289,АшламаДВ_Gomumy,3,FALSE)))</f>
        <v>Нет</v>
      </c>
      <c r="DU289" s="70" t="str">
        <f>IF($DR289="Нет","Нет",IF(Исходн.данные.!$AO289&gt;0,VLOOKUP($DR289,АшламаДВ_Irekle,4,FALSE),VLOOKUP($DR289,АшламаДВ_Gomumy,4,FALSE)))</f>
        <v>Нет</v>
      </c>
      <c r="DV289" s="70"/>
      <c r="DW289" s="70"/>
      <c r="DX289" s="70"/>
      <c r="DY289" s="10">
        <f t="shared" si="396"/>
        <v>0</v>
      </c>
      <c r="DZ289" s="10">
        <f t="shared" si="397"/>
        <v>0</v>
      </c>
      <c r="EA289" s="10">
        <f t="shared" si="398"/>
        <v>0</v>
      </c>
      <c r="EB289" s="10">
        <f t="shared" si="399"/>
        <v>0</v>
      </c>
      <c r="EC289" s="10">
        <f t="shared" si="400"/>
        <v>0</v>
      </c>
      <c r="ED289" s="10">
        <f t="shared" si="401"/>
        <v>0</v>
      </c>
      <c r="EE289" s="10">
        <f t="shared" si="402"/>
        <v>0</v>
      </c>
      <c r="EF289" s="39">
        <f>EB289*Исходн.данные.!AJ289/1000</f>
        <v>0</v>
      </c>
      <c r="EG289" s="9">
        <f t="shared" si="403"/>
        <v>0</v>
      </c>
      <c r="EH289" s="9">
        <f t="shared" si="404"/>
        <v>0</v>
      </c>
      <c r="EI289" s="39" t="e">
        <f t="shared" si="354"/>
        <v>#DIV/0!</v>
      </c>
      <c r="EJ289" s="9" t="str">
        <f t="shared" si="375"/>
        <v>Азопреципитат</v>
      </c>
      <c r="EK289" s="12">
        <f t="shared" si="355"/>
        <v>0.26</v>
      </c>
      <c r="EL289" s="12">
        <f t="shared" si="356"/>
        <v>0.13</v>
      </c>
      <c r="EM289" s="12">
        <f t="shared" si="357"/>
        <v>0</v>
      </c>
      <c r="EN289" s="12" t="str">
        <f t="shared" si="376"/>
        <v>Нет</v>
      </c>
      <c r="EO289" s="12">
        <f t="shared" si="358"/>
        <v>0</v>
      </c>
      <c r="EP289" s="12">
        <f t="shared" si="359"/>
        <v>0</v>
      </c>
      <c r="EQ289" s="12">
        <f t="shared" si="360"/>
        <v>0</v>
      </c>
      <c r="ER289" s="12" t="str">
        <f t="shared" si="405"/>
        <v>Диаммофоска</v>
      </c>
      <c r="ES289" s="12">
        <f t="shared" si="361"/>
        <v>0.1</v>
      </c>
      <c r="ET289" s="12">
        <f t="shared" si="362"/>
        <v>0.26</v>
      </c>
      <c r="EU289" s="12">
        <f t="shared" si="363"/>
        <v>0.26</v>
      </c>
      <c r="EV289" s="12" t="str">
        <f t="shared" si="406"/>
        <v>Аммофос 12:52:00</v>
      </c>
      <c r="EW289" s="12" t="str">
        <f t="shared" si="407"/>
        <v>Кемира Свекловичное-6</v>
      </c>
      <c r="EX289" s="12">
        <f t="shared" si="364"/>
        <v>0.16</v>
      </c>
      <c r="EY289" s="12">
        <f t="shared" si="365"/>
        <v>0.12</v>
      </c>
      <c r="EZ289" s="12">
        <f t="shared" si="366"/>
        <v>0.17</v>
      </c>
      <c r="FA289" s="38" t="e">
        <f>IF(AND(OR(FJ289=$FD$1,FM289=$FD$1,FO289=$FD$1,FQ289=$FD$1,FS289=$FD$1),FD289=$FD$1,Исходн.данные.!J289&lt;2,FU289=$FD$1),"Бор,Кобальт",IF(AND(FO289=$FD$1,FH289=$FD$1,Исходн.данные.!J289&lt;2,FU289=$FD$1),"Бор,Кобальт",IF(AND(OR(FJ289=$FD$1,FM289=$FD$1,FQ289=$FD$1),FE289=$FD$1,Исходн.данные.!J289&lt;2,FT289=$FD$1,FU289=$FD$1),"Бор,Медь,Цинк",IF(AND(OR(FJ289=$FD$1,FR289="Да"),FI289="Да",Исходн.данные.!J289&lt;2,FT289="Да",FU289="Да"),"Бор,Цинк,Медь",IF(AND(OR(FM289="Да",FQ289="Да"),FI289="Да",Исходн.данные.!J289&lt;2,FT289="Да",FU289="Да"),"Бор,Цинк",IF(AND(FN289="Да",OR(FD289="Да",FE289="Да")),"Бор",FB289))))))</f>
        <v>#N/A</v>
      </c>
      <c r="FB289" s="134" t="e">
        <f>IF(AND(OR(FD289="Да",FE289="Да",FF289="Да",FG289="Да",FH289="Да"),FO289="Да"),"Бор",IF(AND(FP289="Да",OR(FD289="Да",FE289="Да",FI289="Да")),"Бор",IF(AND(FS289="Да",FE289="Да"),"Бор,Медь",IF(AND(OR(FJ289="Да",FK289="Да",FL289="Да"),FE289="Да",Исходн.данные.!I289&lt;5,FT289="Да",FU289="Да"),"Молибден,Цинк",IF(AND(FM289="Да",OR(FE289="Да",FF289="Да",FG289="Да",FH289="Да",FI289="Да")),"Молибден,Цинк",IF(AND(OR(FJ289="Да",FK289="Да",FL289="Да",FM289="Да",FQ289="Да"),OR(FE289="Да",FF289="Да"),FT289="Да",FU289="Да",Исходн.данные.!I289&gt;5.5),"Медь,Цинк",FC289))))))</f>
        <v>#N/A</v>
      </c>
      <c r="FC289" s="23" t="e">
        <f t="shared" si="408"/>
        <v>#N/A</v>
      </c>
      <c r="FD289" s="38" t="str">
        <f>IF(OR(Исходн.данные.!F289=$CC$1,Исходн.данные.!F289=$CC$2,Исходн.данные.!F289=$CC$3,Исходн.данные.!F289=$CC$4),"Да","Нет")</f>
        <v>Нет</v>
      </c>
      <c r="FE289" s="38" t="str">
        <f>IF(Исходн.данные.!F289=$CC$5,"Да","Нет")</f>
        <v>Нет</v>
      </c>
      <c r="FF289" s="38" t="str">
        <f>IF(OR(Исходн.данные.!F289=$CC$6,Исходн.данные.!F289=$CC$7),"Да","Нет")</f>
        <v>Нет</v>
      </c>
      <c r="FG289" s="38" t="str">
        <f>IF(OR(Исходн.данные.!F289=$CC$8,Исходн.данные.!F289=$CC$9),"Да","Нет")</f>
        <v>Нет</v>
      </c>
      <c r="FH289" s="38" t="str">
        <f>IF(Исходн.данные.!F289=$CC$10,"Да","Нет")</f>
        <v>Нет</v>
      </c>
      <c r="FI289" s="38" t="str">
        <f>IF(OR(Исходн.данные.!F289=$CC$11,Исходн.данные.!F289=$CC$12),"Да","Нет")</f>
        <v>Нет</v>
      </c>
      <c r="FJ289" s="38" t="str">
        <f>IF(OR(Исходн.данные.!AH289=$BS$1,Исходн.данные.!AH289=$BQ$11,Исходн.данные.!AH289=$BQ$12),"Да","Нет")</f>
        <v>Нет</v>
      </c>
      <c r="FK289" s="38" t="str">
        <f>IF(OR(Исходн.данные.!AH289=$BS$2,Исходн.данные.!AH289=$BS$4),"Да","Нет")</f>
        <v>Нет</v>
      </c>
      <c r="FL289" s="38" t="str">
        <f>IF(OR(Исходн.данные.!AH289=$BS$3,Исходн.данные.!AH289=$BS$5),"Да","Нет")</f>
        <v>Нет</v>
      </c>
      <c r="FM289" s="38" t="str">
        <f>IF(OR(Исходн.данные.!AH289=$BS$9,Исходн.данные.!AH289=$BS$10,Исходн.данные.!AH289=$BS$11,Исходн.данные.!AH289=$BS$12),"Да","Нет")</f>
        <v>Нет</v>
      </c>
      <c r="FN289" s="38" t="str">
        <f>IF(OR(Исходн.данные.!AH289=$BS$6,Исходн.данные.!AH289=$BP$3),"Да","Нет")</f>
        <v>Нет</v>
      </c>
      <c r="FO289" s="38" t="str">
        <f>IF(Исходн.данные.!AH289=$BQ$9,"Да","Нет")</f>
        <v>Нет</v>
      </c>
      <c r="FP289" s="38" t="str">
        <f>IF(OR(Исходн.данные.!AH289=$BS$8,Исходн.данные.!AH289=$BT$8),"Да","Нет")</f>
        <v>Нет</v>
      </c>
      <c r="FQ289" s="38" t="str">
        <f>IF(OR(Исходн.данные.!AH289=$BQ$7,Исходн.данные.!AH289=$BQ$8),"Да","Нет")</f>
        <v>Нет</v>
      </c>
      <c r="FR289" s="38" t="str">
        <f>IF(Исходн.данные.!AI289=$BU$9,"Да","Нет")</f>
        <v>Нет</v>
      </c>
      <c r="FS289" s="38" t="str">
        <f>IF(OR(Исходн.данные.!AH289=$BP$1,Исходн.данные.!AH289=$BP$2),"Да","Нет")</f>
        <v>Нет</v>
      </c>
      <c r="FT289" s="38" t="e">
        <f>IF((Исходн.данные.!K289*GO289*GS289*GW289+BL289*0.6+Исходн.данные.!Q289*4.5*0.275)&gt;90,"Да","Нет")</f>
        <v>#N/A</v>
      </c>
      <c r="FU289" s="38" t="e">
        <f>IF((Исходн.данные.!M289*GS289*GZ289+BM289*0.225)&gt;35,"Да","Нет")</f>
        <v>#N/A</v>
      </c>
      <c r="FV289" s="38" t="str">
        <f>IF(Исходн.данные.!O289&gt;175,"Да","Нет")</f>
        <v>Нет</v>
      </c>
      <c r="FW289" s="39" t="str">
        <f>IF(Исходн.данные.!I289&gt;5.5,"Да","Нет")</f>
        <v>Нет</v>
      </c>
      <c r="FX289" s="39" t="str">
        <f>IF(Исходн.данные.!J289&lt;2,"Да","Нет")</f>
        <v>Да</v>
      </c>
      <c r="FY289" s="39" t="e">
        <f>IF(HF289=$FY$16,0,Исходн.данные.!K289*GO289*GS289*GW289/HF289)</f>
        <v>#N/A</v>
      </c>
      <c r="FZ289" s="39" t="e">
        <f>Исходн.данные.!M289*GS289*GZ289/HG289</f>
        <v>#N/A</v>
      </c>
      <c r="GA289" s="39" t="e">
        <f>IF(K_Wyn=$FY$16,0,IF(Исходн.данные.!N289=Исходн.данные.!$L$10,Исходн.данные.!O289/1.1*GS289*HC289/HH289,IF(Исходн.данные.!N289=Исходн.данные.!$L$12,Исходн.данные.!O289/1.5*GS289*HC289/HH289,Исходн.данные.!O289*GS289*HC289/HH289)))</f>
        <v>#N/A</v>
      </c>
      <c r="GB289" s="39" t="e">
        <f>IF(HF289=$FY$16,0,((Исходн.данные.!Q289*N_Org+Исходн.данные.!R289*N_Sider+Исходн.данные.!S289*N_Soloma)*AO289+Расчет!BC289*VLOOKUP(Исходн.данные.!T289,Справ!$A$3:$O$57,15)*AO289+BB289*VLOOKUP(Исходн.данные.!T289,Справ!$A$3:$O$57,15)*AL289+(Исходн.данные.!V289*N_Rizotorf+Исходн.данные.!W289*N_Rizoagr))/HF289)</f>
        <v>#N/A</v>
      </c>
      <c r="GC289" s="39" t="e">
        <f>IF(HG289=$FY$16,0,((Исходн.данные.!Q289*Р_Org+Исходн.данные.!R289*P_Sider+Исходн.данные.!S289*P_Soloma)*AP289+Расчет!BC289*VLOOKUP(Исходн.данные.!T289,Справ!$A$3:$P$57,16)*AP289+BB289*VLOOKUP(Исходн.данные.!T289,Справ!$A$3:$P$57,16)*AM289)/HG289)</f>
        <v>#N/A</v>
      </c>
      <c r="GD289" s="39" t="e">
        <f>IF(HH289=$FY$16,0,((Исходн.данные.!Q289*К_Org+Исходн.данные.!R289*K_Sider+Исходн.данные.!S289*K_Soloma)*AQ289+Расчет!BC289*VLOOKUP(Исходн.данные.!T289,Справ!$A$3:$Q$57,17)*AQ289+BB289*VLOOKUP(Исходн.данные.!T289,Справ!$A$3:$Q$57,17)*AN289)/HH289)</f>
        <v>#N/A</v>
      </c>
      <c r="GE289" s="39" t="e">
        <f>IF(HF289=$FY$16,0,(Исходн.данные.!X289*AR289+Исходн.данные.!AA289*N_Org*AL289+Исходн.данные.!AB289*N_Sider*AL289+Исходн.данные.!AC289*N_Soloma*AL289)/HF289)</f>
        <v>#N/A</v>
      </c>
      <c r="GF289" s="39" t="e">
        <f>IF(HG289=$FY$16,0,(Исходн.данные.!Y289*AS289+Исходн.данные.!AA289*Р_Org*AM289+Исходн.данные.!AB289*P_Sider*AM289+Исходн.данные.!AC289*P_Soloma*AM289)/HG289)</f>
        <v>#N/A</v>
      </c>
      <c r="GG289" s="39" t="e">
        <f>IF(HH289=$FY$16,0,(Исходн.данные.!Z289*AT289+Исходн.данные.!AA289*К_Org*AN289+Исходн.данные.!AB289*K_Sider*AN289+Исходн.данные.!AC289*K_Soloma*AN289)/HH289)</f>
        <v>#N/A</v>
      </c>
      <c r="GH289" s="39" t="e">
        <f>Исходн.данные.!AD289*AU289/HF289</f>
        <v>#N/A</v>
      </c>
      <c r="GI289" s="39" t="e">
        <f>Исходн.данные.!AE289*AV289/HG289</f>
        <v>#N/A</v>
      </c>
      <c r="GJ289" s="39" t="e">
        <f>Исходн.данные.!AF289*AW289/HH289</f>
        <v>#N/A</v>
      </c>
      <c r="GK289" s="55">
        <f>Исходн.данные.!AK289</f>
        <v>0</v>
      </c>
      <c r="GL289" s="11" t="e">
        <f t="shared" si="409"/>
        <v>#N/A</v>
      </c>
      <c r="GM289" s="11" t="e">
        <f t="shared" si="410"/>
        <v>#N/A</v>
      </c>
      <c r="GN289" s="11" t="e">
        <f t="shared" si="411"/>
        <v>#N/A</v>
      </c>
      <c r="GO289" s="57">
        <f t="shared" si="412"/>
        <v>19</v>
      </c>
      <c r="GP289" s="55">
        <f>IF(OR(Исходн.данные.!F289=$CE$1,Исходн.данные.!F289=$CE$2,Исходн.данные.!F289=$CE$3,Исходн.данные.!F289=$CE$4,Исходн.данные.!F289=$CE$5),GQ289,GR289)</f>
        <v>19</v>
      </c>
      <c r="GQ289" s="55">
        <f>IF(Исходн.данные.!F289=$CE$1,28,IF(Исходн.данные.!F289=$CE$2,26,IF(Исходн.данные.!F289=$CE$3,24,IF(Исходн.данные.!F289=$CE$4,22,IF(Исходн.данные.!F289=$CE$5,20,GR289)))))</f>
        <v>19</v>
      </c>
      <c r="GR289" s="55">
        <f>IF(Исходн.данные.!F289=$CE$6,18,IF(Исходн.данные.!F289=$CE$7,16,IF(Исходн.данные.!F289=$CE$8,14,IF(Исходн.данные.!F289=$CE$9,13,IF(Исходн.данные.!F289=$CE$10,12,19)))))</f>
        <v>19</v>
      </c>
      <c r="GS289" s="55">
        <f>IF(Исходн.данные.!G289="Пес",0.035*(40+2*Исходн.данные.!H289),IF(Исходн.данные.!G289="Суп",0.0325*(40+2*Исходн.данные.!H289),0.03*(40+2*Исходн.данные.!H289)))</f>
        <v>1.2</v>
      </c>
      <c r="GT289" s="55">
        <f>IF(Исходн.данные.!H289&lt;23,2.6,IF(AND(Исходн.данные.!H289&gt;22,Исходн.данные.!H289&lt;26),3,IF(AND(Исходн.данные.!H289&gt;25,Исходн.данные.!H289&lt;29),3.4,3.6)))</f>
        <v>2.6</v>
      </c>
      <c r="GU289" s="55">
        <f>IF(Исходн.данные.!H289&lt;23,2.8,IF(AND(Исходн.данные.!H289&gt;22,Исходн.данные.!H289&lt;26),3.2,IF(AND(Исходн.данные.!H289&gt;25,Исходн.данные.!H289&lt;29),3.6,3.9)))</f>
        <v>2.8</v>
      </c>
      <c r="GV289" s="55">
        <f>IF(Исходн.данные.!H289&lt;23,3,IF(AND(Исходн.данные.!H289&gt;22,Исходн.данные.!H289&lt;26),3.5,IF(AND(Исходн.данные.!H289&gt;25,Исходн.данные.!H289&lt;29),3.9,4.2)))</f>
        <v>3</v>
      </c>
      <c r="GW289" s="55" t="e">
        <f>IF(Исходн.данные.!P289="Ум",GX289,GY289)</f>
        <v>#N/A</v>
      </c>
      <c r="GX289" s="55" t="e">
        <f>VLOOKUP(Исходн.данные.!AI289,Коэффициенты!$J$7:$L$13,2,FALSE)</f>
        <v>#N/A</v>
      </c>
      <c r="GY289" s="55" t="e">
        <f>VLOOKUP(Исходн.данные.!AI289,Коэффициенты!$J$7:$L$13,3,FALSE)</f>
        <v>#N/A</v>
      </c>
      <c r="GZ289" s="55" t="e">
        <f>(IF(Исходн.данные.!M289&lt;50,0.11*VLOOKUP(Исходн.данные.!AH289,Культуры.Информация,7,FALSE),IF(Исходн.данные.!M289&gt;250,0.05*VLOOKUP(Исходн.данные.!AH289,Культуры.Информация,7,FALSE),VLOOKUP(Исходн.данные.!AH289,Культуры.Информация,5,FALSE)/100*($GX$6+$GY$6*Исходн.данные.!M289))))*Расчет2!AI289</f>
        <v>#N/A</v>
      </c>
      <c r="HA289" s="211"/>
      <c r="HB289" s="211"/>
      <c r="HC289" s="55" t="e">
        <f>(IF(Исходн.данные.!O289&lt;80,0.2*VLOOKUP(Исходн.данные.!AH289,Культуры.Информация,8,FALSE),IF(Исходн.данные.!O289&gt;240,0.09*VLOOKUP(Исходн.данные.!AH289,Культуры.Информация,8,FALSE),VLOOKUP(Исходн.данные.!AH289,Культуры.Информация,6,FALSE)/100*($HB$6+$HC$6*Исходн.данные.!O289))))*Расчет2!AJ289</f>
        <v>#N/A</v>
      </c>
      <c r="HD289" s="55">
        <f>IF(Исходн.данные.!O289&gt;240,0.09,IF(Исходн.данные.!O289&lt;30,0.3,$HE$10+$HD$10*Исходн.данные.!O289))</f>
        <v>0.3</v>
      </c>
      <c r="HE289" s="55">
        <f>IF(Исходн.данные.!O289&gt;240,0.17,IF(Исходн.данные.!O289&lt;30,0.5,$HF$12+$HE$12*Исходн.данные.!O289))</f>
        <v>0.5</v>
      </c>
      <c r="HF289" s="55" t="e">
        <f>VLOOKUP(Исходн.данные.!AH289,Справ!$A$3:$D$58,2,FALSE)</f>
        <v>#N/A</v>
      </c>
      <c r="HG289" s="55" t="e">
        <f>VLOOKUP(Исходн.данные.!AH289,Справ!$A$3:$D$58,3,FALSE)</f>
        <v>#N/A</v>
      </c>
      <c r="HH289" s="55" t="e">
        <f>VLOOKUP(Исходн.данные.!AH289,Справ!$A$3:$D$58,4,FALSE)</f>
        <v>#N/A</v>
      </c>
      <c r="HI289" s="11" t="e">
        <f t="shared" si="413"/>
        <v>#N/A</v>
      </c>
      <c r="HJ289" s="11" t="e">
        <f t="shared" si="414"/>
        <v>#N/A</v>
      </c>
      <c r="HK289" s="11" t="e">
        <f t="shared" si="415"/>
        <v>#N/A</v>
      </c>
      <c r="HL289" s="55">
        <f>IF(OR(Исходн.данные.!G289="Глин",Исходн.данные.!G289="Т_суг"),1.1,IF(Исходн.данные.!G289="Ср_суг",1,1))</f>
        <v>1</v>
      </c>
      <c r="HM289" s="55">
        <f>IF(OR(Исходн.данные.!G289="Глин",Исходн.данные.!G289="Т_суг"),0.9,IF(Исходн.данные.!G289="Ср_суг",1,1.2))</f>
        <v>1.2</v>
      </c>
      <c r="HN289" s="11" t="e">
        <f t="shared" si="416"/>
        <v>#N/A</v>
      </c>
      <c r="HO289" s="11" t="e">
        <f t="shared" si="417"/>
        <v>#N/A</v>
      </c>
      <c r="HP289" s="11" t="e">
        <f t="shared" si="418"/>
        <v>#N/A</v>
      </c>
      <c r="HQ289" t="e">
        <f t="shared" si="419"/>
        <v>#N/A</v>
      </c>
      <c r="HR289" t="e">
        <f t="shared" si="420"/>
        <v>#N/A</v>
      </c>
      <c r="HS289" t="e">
        <f t="shared" si="421"/>
        <v>#N/A</v>
      </c>
      <c r="HT289" t="e">
        <f t="shared" si="367"/>
        <v>#N/A</v>
      </c>
      <c r="HU289" t="e">
        <f t="shared" si="368"/>
        <v>#N/A</v>
      </c>
      <c r="HV289" t="e">
        <f t="shared" si="369"/>
        <v>#N/A</v>
      </c>
      <c r="HW289" t="e">
        <f t="shared" si="370"/>
        <v>#N/A</v>
      </c>
      <c r="HX289" t="e">
        <f t="shared" si="371"/>
        <v>#N/A</v>
      </c>
      <c r="HY289" t="e">
        <f t="shared" si="372"/>
        <v>#N/A</v>
      </c>
      <c r="HZ289" s="55">
        <f>IF(OR(Исходн.данные.!AI289="Оз_Ч_П",Исходн.данные.!AI289="Оз_З_П",Исходн.данные.!AI289="Яр_зер"),12,30)</f>
        <v>30</v>
      </c>
      <c r="IA289" t="e">
        <f t="shared" si="422"/>
        <v>#N/A</v>
      </c>
      <c r="IB289" t="e">
        <f t="shared" si="423"/>
        <v>#N/A</v>
      </c>
      <c r="IC289" t="e">
        <f t="shared" si="424"/>
        <v>#N/A</v>
      </c>
      <c r="ID289" s="11" t="e">
        <f t="shared" si="425"/>
        <v>#N/A</v>
      </c>
      <c r="IE289" s="11" t="e">
        <f t="shared" si="426"/>
        <v>#N/A</v>
      </c>
      <c r="IF289" s="11" t="e">
        <f t="shared" si="427"/>
        <v>#N/A</v>
      </c>
    </row>
    <row r="290" spans="35:240" x14ac:dyDescent="0.2">
      <c r="AI290">
        <f>IF(Исходн.данные.!I290&gt;6,1,1.85-(0.148*Исходн.данные.!I290))</f>
        <v>1.85</v>
      </c>
      <c r="AJ290">
        <f>IF(Исходн.данные.!I290&gt;6,1,2.434-(0.246*Исходн.данные.!I290))</f>
        <v>2.4340000000000002</v>
      </c>
      <c r="AL290" s="148" t="b">
        <f>IF(Исходн.данные.!$P290="Ум",N_OrgUd_2g_um,IF(Исходн.данные.!$P290="Об",N_OrgUd_2g_ob))</f>
        <v>0</v>
      </c>
      <c r="AM290" s="148" t="b">
        <f>IF(Исходн.данные.!$P290="Ум",P_OrgUd_2g_um,IF(Исходн.данные.!$P290="Об",P_OrgUd_2g_ob))</f>
        <v>0</v>
      </c>
      <c r="AN290" s="148" t="b">
        <f>IF(Исходн.данные.!$P290="Ум",K_OrgUd_2g_um,IF(Исходн.данные.!$P290="Об",K_OrgUd_2g_ob))</f>
        <v>0</v>
      </c>
      <c r="AO290" s="148" t="b">
        <f>IF(Исходн.данные.!$P290="Ум",N_OrgUd_1g_um,IF(Исходн.данные.!$P290="Об",N_OrgUd_1g_ob))</f>
        <v>0</v>
      </c>
      <c r="AP290" s="148" t="b">
        <f>IF(Исходн.данные.!$P290="Ум",P_OrgUd_1g_um,IF(Исходн.данные.!$P290="Об",P_OrgUd_1g_ob))</f>
        <v>0</v>
      </c>
      <c r="AQ290" s="148" t="b">
        <f>IF(Исходн.данные.!$P290="Ум",K_OrgUd_1g_um,IF(Исходн.данные.!$P290="Об",K_OrgUd_1g_ob))</f>
        <v>0</v>
      </c>
      <c r="AR290" t="b">
        <f>IF(Исходн.данные.!$P290="Ум",N_MinUd_2g_um,IF(Исходн.данные.!$P290="Об",N_MinUd_2g_ob))</f>
        <v>0</v>
      </c>
      <c r="AS290" t="b">
        <f>IF(Исходн.данные.!$P290="Ум",P_MinUd_2g_um,IF(Исходн.данные.!$P290="Об",P_MinUd_2g_ob))</f>
        <v>0</v>
      </c>
      <c r="AT290" t="b">
        <f>IF(Исходн.данные.!$P290="Ум",K_MinUd_2g_um,IF(Исходн.данные.!$P290="Об",K_MinUd_2g_ob))</f>
        <v>0</v>
      </c>
      <c r="AU290" t="b">
        <f>IF(Исходн.данные.!$P290="Ум",N_MinUd_1g_um,IF(Исходн.данные.!$P290="Об",N_MinUd_1g_ob))</f>
        <v>0</v>
      </c>
      <c r="AV290" t="b">
        <f>IF(Исходн.данные.!P290="Ум",P_MinUd_1g_um,IF(Исходн.данные.!P290="Об",P_MinUd_1g_ob))</f>
        <v>0</v>
      </c>
      <c r="AW290" t="b">
        <f>IF(Исходн.данные.!P290="Ум",K_MinUd_1g_um,IF(Исходн.данные.!P290="Об",K_MinUd_1g_ob))</f>
        <v>0</v>
      </c>
      <c r="AY290" t="e">
        <f>VLOOKUP(Исходн.данные.!T290,Справ!$A$3:$N$57,12)</f>
        <v>#N/A</v>
      </c>
      <c r="AZ290" t="e">
        <f>VLOOKUP(Исходн.данные.!T290,Справ!$A$3:$N$57,13)</f>
        <v>#N/A</v>
      </c>
      <c r="BA290" t="e">
        <f>VLOOKUP(Исходн.данные.!T290,Справ!$A$3:$N$57,14)</f>
        <v>#N/A</v>
      </c>
      <c r="BB290">
        <f>IF(Исходн.данные.!AH290=0,0,25)</f>
        <v>0</v>
      </c>
      <c r="BC290" s="141">
        <f>IF(Исходн.данные.!AH290=0,0,IF(Исходн.данные.!T290=0,25,BD290))</f>
        <v>0</v>
      </c>
      <c r="BD290" s="168" t="e">
        <f>AY290+AZ290*Исходн.данные.!U290-POWER(BA290,2)*Исходн.данные.!U290</f>
        <v>#N/A</v>
      </c>
      <c r="BE29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0" s="25">
        <f>IF(Исходн.данные.!AH290=0,0,MIN(HN290:HP290))</f>
        <v>0</v>
      </c>
      <c r="BG290" s="9">
        <f>IF(Исходн.данные.!AH290=0,0,IF((HO290+10*0.25/HG290/HL290)&lt;17,17,HO290+10*0.25/HG290/HL290))</f>
        <v>0</v>
      </c>
      <c r="BH290" s="181">
        <f>IF(Исходн.данные.!AH290=0,0,HW290*HF290*HL290/AU290*AI290+Исходн.данные.!S290*10)</f>
        <v>0</v>
      </c>
      <c r="BI290" s="10"/>
      <c r="BJ290" s="182">
        <f>IF(Исходн.данные.!AH290=0,0,IF(HX290*HG290*HL290/AV290&lt;0,0,HX290*HG290*HL290/AV290*AJ290))</f>
        <v>0</v>
      </c>
      <c r="BK290" s="182">
        <f>IF(Исходн.данные.!AH290=0,0,HY290*HH290*HM290/AW290)</f>
        <v>0</v>
      </c>
      <c r="BL290" s="10">
        <f>IF(OR(Исходн.данные.!$AH290=$BP$1,Исходн.данные.!$AH290=$BP$2),0,IF(BH290&lt;0,0,IF(OR(Исходн.данные.!T290=Расчет!$BP$1,Исходн.данные.!T290=Расчет!$BP$2,Исходн.данные.!T290=Расчет!$BT$5,Исходн.данные.!T290=Расчет!$BT$6),BH290*0.5,IF(OR(Исходн.данные.!T290=Расчет!$BS$9,Исходн.данные.!T290=Расчет!$BS$10,Исходн.данные.!T290=Расчет!$BS$11,Исходн.данные.!T290=Расчет!$BS$12,Исходн.данные.!T290=Расчет!$BP$5),BH290*0.8,BH290))))</f>
        <v>0</v>
      </c>
      <c r="BM290" s="10">
        <f>IF(OR(Исходн.данные.!$AH290=$BP$1,Исходн.данные.!$AH290=$BP$2),0,IF(BJ290&lt;0,0,IF(Исходн.данные.!I290&lt;4.5,BJ290*1.2,IF(Исходн.данные.!I290&gt;5.1,BJ290,BJ290*((5.1-Исходн.данные.!I290)*0.333+1)))))</f>
        <v>0</v>
      </c>
      <c r="BN290" s="10">
        <f>IF(OR(Исходн.данные.!$AH290=$BP$1,Исходн.данные.!$AH290=$BP$2),60-Исходн.данные.!AF290,IF(BK290&lt;0,0,IF(Исходн.данные.!I290&lt;4.5,BK290*1.2,IF(Исходн.данные.!I290&gt;5.1,BK290,BK290*((5.1-Исходн.данные.!I290)*0.333+1)))))</f>
        <v>0</v>
      </c>
      <c r="BO290" s="9">
        <f>IF(BL290&lt;0,0,BL290*Исходн.данные.!$AJ290/1000)</f>
        <v>0</v>
      </c>
      <c r="BP290" s="9">
        <f>IF(BM290&lt;0,0,BM290*Исходн.данные.!$AJ290/1000)</f>
        <v>0</v>
      </c>
      <c r="BQ290" s="9">
        <f>IF(BN290&lt;0,0,BN290*Исходн.данные.!$AJ290/1000)</f>
        <v>0</v>
      </c>
      <c r="BR290" s="9">
        <f t="shared" si="377"/>
        <v>0</v>
      </c>
      <c r="BS290" s="10" t="str">
        <f t="shared" si="378"/>
        <v>Аммофос 12:52:00</v>
      </c>
      <c r="BT290" s="10" t="str">
        <f t="shared" si="379"/>
        <v>Аммофос 12:52:00</v>
      </c>
      <c r="BU290" s="10" t="str">
        <f t="shared" si="380"/>
        <v>Диаммофоска</v>
      </c>
      <c r="BV290" s="10">
        <f t="shared" si="381"/>
        <v>0</v>
      </c>
      <c r="BW290" s="10"/>
      <c r="BX290" s="10"/>
      <c r="BY290" s="9">
        <f>IF(BL290&lt;0,0,IF(OR(Исходн.данные.!AI290=Расчет!$BU$6,Исходн.данные.!AI290=Расчет!$BU$7),Расчет!BV290,IF(Исходн.данные.!$AG290=$BV$11,BL290,IF(OR(Исходн.данные.!$AH290=$BQ$7,Исходн.данные.!$AH290=$BQ$8),CB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0,IF(Исходн.данные.!$AI290=$BU$11,"Нет",IF(BL290&gt;30,30,BL290)))))))</f>
        <v>0</v>
      </c>
      <c r="BZ290" s="9">
        <f>IF(AND(Исходн.данные.!$AG290=$BV$11,BM290&lt;10),10,IF(Исходн.данные.!$AG290=$BV$11,BM290,IF(OR(Исходн.данные.!$AH290=$BQ$7,Исходн.данные.!$AH290=$BQ$8),CC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10,IF(Исходн.данные.!$AI290=$BU$11,"Нет",IF(BM290&gt;60,60,IF(BM290&lt;10,10,BM290)))))))</f>
        <v>10</v>
      </c>
      <c r="CA290" s="39">
        <f>IF(BN290&lt;0,0,IF(Исходн.данные.!$AG290=$BV$11,BN290,IF(OR(Исходн.данные.!$AH290=$BQ$7,Исходн.данные.!$AH290=$BQ$8),CD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0,IF(Исходн.данные.!$AI290=$BU$11,"Нет",IF(BN290&gt;30,30,BN290))))))</f>
        <v>0</v>
      </c>
      <c r="CB290" s="9">
        <f t="shared" si="382"/>
        <v>0</v>
      </c>
      <c r="CC290" s="9">
        <f t="shared" si="383"/>
        <v>0</v>
      </c>
      <c r="CD290" s="9">
        <f t="shared" si="384"/>
        <v>0</v>
      </c>
      <c r="CE290" s="12">
        <f t="shared" si="385"/>
        <v>10</v>
      </c>
      <c r="CF290" s="9">
        <f t="shared" si="386"/>
        <v>0</v>
      </c>
      <c r="CG290" s="9" t="s">
        <v>231</v>
      </c>
      <c r="CH290" s="132" t="str">
        <f>IF(Исходн.данные.!AP290=Расчет!$CI$16,"Нет",IF(Исходн.данные.!AL290&gt;0,Исходн.данные.!AL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BH$4,IF(OR(Исходн.данные.!AI290=Исходн.данные.!$AI$6,Исходн.данные.!AI290=Исходн.данные.!$AI$7),Расчет!BS290,IF(AND($CF290=0,$CE290&gt;0),EV290,ER290)))))</f>
        <v>Аммофос 12:52:00</v>
      </c>
      <c r="CI290" s="274">
        <f>IF(Расчет!$CH290="Нет","Нет",IF(Исходн.данные.!$AL290&gt;0,VLOOKUP(Расчет!$CH290,АшламаДВ_Irekle,2,FALSE),VLOOKUP(Расчет!$CH290,АшламаДВ_Gomumy,2,FALSE)))</f>
        <v>0.12</v>
      </c>
      <c r="CJ290" s="274">
        <f>IF(Расчет!$CH290="Нет","Нет",IF(Исходн.данные.!$AL290&gt;0,VLOOKUP(Расчет!$CH290,АшламаДВ_Irekle,3,FALSE),VLOOKUP(Расчет!$CH290,АшламаДВ_Gomumy,3,FALSE)))</f>
        <v>0.52</v>
      </c>
      <c r="CK290" s="274">
        <f>IF(Расчет!$CH290="Нет","Нет",IF(Исходн.данные.!$AL290&gt;0,VLOOKUP(Расчет!$CH290,АшламаДВ_Irekle,4,FALSE),VLOOKUP(Расчет!$CH290,АшламаДВ_Gomumy,4,FALSE)))</f>
        <v>0</v>
      </c>
      <c r="CL290" s="70"/>
      <c r="CM290" s="70"/>
      <c r="CN290" s="70"/>
      <c r="CO290" s="70"/>
      <c r="CP290" s="70"/>
      <c r="CQ290" s="70"/>
      <c r="CR290" s="10">
        <f t="shared" si="387"/>
        <v>0</v>
      </c>
      <c r="CS290" s="10">
        <f t="shared" si="388"/>
        <v>19.23076923076923</v>
      </c>
      <c r="CT290" s="10">
        <f t="shared" si="389"/>
        <v>0</v>
      </c>
      <c r="CU290" s="39">
        <f>IF($CH290="Нет",0,IF(CI290=0,30/MIN(CJ290:CK290),IF(Исходн.данные.!$AG290=$BV$11,CR290,IF(OR(Исходн.данные.!$AH290=$BQ$7,Исходн.данные.!$AH290=$BQ$8),90/CI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0,IF(Исходн.данные.!$AI290=$BU$11,"Нет",30/CI290))))))</f>
        <v>250</v>
      </c>
      <c r="CV290" s="39">
        <f>IF($CH290="Нет",0,IF(Исходн.данные.!AH290=0,0,IF(CJ290=0,60/MIN(CI290,CK290),IF(Исходн.данные.!$AG290=$BV$11,CS290,IF(OR(Исходн.данные.!$AH290=$BQ$7,Исходн.данные.!$AH290=$BQ$8),90/CJ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10/CJ290,IF(Исходн.данные.!$AI290=$BU$11,"Нет",60/CJ290)))))))</f>
        <v>0</v>
      </c>
      <c r="CW290" s="39">
        <f>IF($CH290="Нет",0,IF(Исходн.данные.!AH290=0,0,IF(CK290=0,30/MIN(CI290:CJ290),IF(Исходн.данные.!$AG290=$BV$11,CT290,IF(OR(Исходн.данные.!$AH290=$BQ$7,Исходн.данные.!$AH290=$BQ$8),90/CK290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0,IF(Исходн.данные.!$AI290=$BU$11,"Нет",30/CK290)))))))</f>
        <v>0</v>
      </c>
      <c r="CX290" s="133">
        <f>IF(Исходн.данные.!$AG290=$BV$11,MAX(CU290:CW290),IF(OR(Исходн.данные.!$AH290=$BS$8,Исходн.данные.!$AH290=$BQ$9,Исходн.данные.!$AH290=$BQ$10,Исходн.данные.!$AH290=$BQ$11,Исходн.данные.!$AH290=$BQ$12,Исходн.данные.!$AH290=$BP$3,Исходн.данные.!$AH290=$BT$8,$FM290="Да"),CV290,MIN(CU290:CW290)))</f>
        <v>0</v>
      </c>
      <c r="CY290" s="133">
        <f>IF(Исходн.данные.!AH290=0,0,IF(CR290&gt;$CX290,$CX290,CR290))</f>
        <v>0</v>
      </c>
      <c r="CZ290" s="133">
        <f>IF(Исходн.данные.!AH290=0,0,IF(CS290&gt;$CX290,$CX290,CS290))</f>
        <v>0</v>
      </c>
      <c r="DA290" s="133">
        <f>IF(Исходн.данные.!AH290=0,0,IF(CT290&gt;$CX290,$CX290,CT290))</f>
        <v>0</v>
      </c>
      <c r="DB290" s="10">
        <f t="shared" si="390"/>
        <v>0</v>
      </c>
      <c r="DC290" s="39">
        <f>DB290*Исходн.данные.!AJ290/1000</f>
        <v>0</v>
      </c>
      <c r="DD290" s="71">
        <f t="shared" si="391"/>
        <v>0</v>
      </c>
      <c r="DE290" s="9">
        <f t="shared" si="392"/>
        <v>0</v>
      </c>
      <c r="DF290" s="9">
        <f t="shared" si="393"/>
        <v>0</v>
      </c>
      <c r="DG290" s="39">
        <f>IF(BL290&lt;0,0,IF($CH290="Нет",BL290,IF(OR(Исходн.данные.!$AH290=$BP$1,Исходн.данные.!$AH290=$BP$2),0,IF(Исходн.данные.!AI290=$BU$11,BL290,IF(BL290-DD290&lt;0,0,BL290-DD290)))))</f>
        <v>0</v>
      </c>
      <c r="DH290" s="39">
        <f>IF(BM290&lt;0,0,IF($CH290="Нет",BM290,IF(OR(Исходн.данные.!$AH290=$BP$1,Исходн.данные.!$AH290=$BP$2),0,IF(Исходн.данные.!AJ290=$BU$11,BM290,IF(BM290-DE290&lt;0,0,BM290-DE290)))))</f>
        <v>0</v>
      </c>
      <c r="DI290" s="39">
        <f>IF(BN290&lt;0,0,IF($CH290="Нет",BN290,IF(OR(Исходн.данные.!$AH290=$BP$1,Исходн.данные.!$AH290=$BP$2),0,IF(Исходн.данные.!AK290=$BU$11,BN290,IF(BN290-DF290&lt;0,0,BN290-DF290)))))</f>
        <v>0</v>
      </c>
      <c r="DJ290" s="12">
        <f t="shared" si="394"/>
        <v>0</v>
      </c>
      <c r="DK290" s="9">
        <f t="shared" si="395"/>
        <v>0</v>
      </c>
      <c r="DL290" s="39">
        <f>IF(Исходн.данные.!AM290&gt;0,Исходн.данные.!AM290,IF(EG290&gt;0,$BH$10,0))</f>
        <v>0</v>
      </c>
      <c r="DM290" s="186">
        <f>IF($DL290=0,0,IF(Исходн.данные.!AM290&gt;0,VLOOKUP($DL290,АшламаДВ_Irekle,2,FALSE),VLOOKUP($DL290,АшламаДВ_Gomumy,2,FALSE)))</f>
        <v>0</v>
      </c>
      <c r="DN290" s="10">
        <f t="shared" si="373"/>
        <v>0</v>
      </c>
      <c r="DO290" s="9" t="str">
        <f>IF(Исходн.данные.!AN290&gt;0,Исходн.данные.!AN290,Удобрения!$B$37 )</f>
        <v>Хлор.калий</v>
      </c>
      <c r="DP290" s="9">
        <f>IF(Исходн.данные.!AN290&gt;0,VLOOKUP(Исходн.данные.!AN290,АшламаДВ_Irekle,4,FALSE),VLOOKUP(DO290,АшламаДВ_Gomumy,4,FALSE))</f>
        <v>0.6</v>
      </c>
      <c r="DQ290" s="10">
        <f t="shared" si="374"/>
        <v>0</v>
      </c>
      <c r="DR290" s="132" t="str">
        <f>IF(Исходн.данные.!AO290&gt;0,Исходн.данные.!AO290,IF(DH290=0,BS$17,IF(AND($DK290=0,$DJ290&gt;0),EJ290,EN290)))</f>
        <v>Нет</v>
      </c>
      <c r="DS290" s="70" t="str">
        <f>IF($DR290="Нет","Нет",IF(Исходн.данные.!$AO290&gt;0,VLOOKUP($DR290,АшламаДВ_Irekle,2,FALSE),VLOOKUP($DR290,АшламаДВ_Gomumy,2,FALSE)))</f>
        <v>Нет</v>
      </c>
      <c r="DT290" s="70" t="str">
        <f>IF($DR290="Нет","Нет",IF(Исходн.данные.!$AO290&gt;0,VLOOKUP($DR290,АшламаДВ_Irekle,3,FALSE),VLOOKUP($DR290,АшламаДВ_Gomumy,3,FALSE)))</f>
        <v>Нет</v>
      </c>
      <c r="DU290" s="70" t="str">
        <f>IF($DR290="Нет","Нет",IF(Исходн.данные.!$AO290&gt;0,VLOOKUP($DR290,АшламаДВ_Irekle,4,FALSE),VLOOKUP($DR290,АшламаДВ_Gomumy,4,FALSE)))</f>
        <v>Нет</v>
      </c>
      <c r="DV290" s="70"/>
      <c r="DW290" s="70"/>
      <c r="DX290" s="70"/>
      <c r="DY290" s="10">
        <f t="shared" si="396"/>
        <v>0</v>
      </c>
      <c r="DZ290" s="10">
        <f t="shared" si="397"/>
        <v>0</v>
      </c>
      <c r="EA290" s="10">
        <f t="shared" si="398"/>
        <v>0</v>
      </c>
      <c r="EB290" s="10">
        <f t="shared" si="399"/>
        <v>0</v>
      </c>
      <c r="EC290" s="10">
        <f t="shared" si="400"/>
        <v>0</v>
      </c>
      <c r="ED290" s="10">
        <f t="shared" si="401"/>
        <v>0</v>
      </c>
      <c r="EE290" s="10">
        <f t="shared" si="402"/>
        <v>0</v>
      </c>
      <c r="EF290" s="39">
        <f>EB290*Исходн.данные.!AJ290/1000</f>
        <v>0</v>
      </c>
      <c r="EG290" s="9">
        <f t="shared" si="403"/>
        <v>0</v>
      </c>
      <c r="EH290" s="9">
        <f t="shared" si="404"/>
        <v>0</v>
      </c>
      <c r="EI290" s="39" t="e">
        <f t="shared" si="354"/>
        <v>#DIV/0!</v>
      </c>
      <c r="EJ290" s="9" t="str">
        <f t="shared" si="375"/>
        <v>Азопреципитат</v>
      </c>
      <c r="EK290" s="12">
        <f t="shared" si="355"/>
        <v>0.26</v>
      </c>
      <c r="EL290" s="12">
        <f t="shared" si="356"/>
        <v>0.13</v>
      </c>
      <c r="EM290" s="12">
        <f t="shared" si="357"/>
        <v>0</v>
      </c>
      <c r="EN290" s="12" t="str">
        <f t="shared" si="376"/>
        <v>Нет</v>
      </c>
      <c r="EO290" s="12">
        <f t="shared" si="358"/>
        <v>0</v>
      </c>
      <c r="EP290" s="12">
        <f t="shared" si="359"/>
        <v>0</v>
      </c>
      <c r="EQ290" s="12">
        <f t="shared" si="360"/>
        <v>0</v>
      </c>
      <c r="ER290" s="12" t="str">
        <f t="shared" si="405"/>
        <v>Диаммофоска</v>
      </c>
      <c r="ES290" s="12">
        <f t="shared" si="361"/>
        <v>0.1</v>
      </c>
      <c r="ET290" s="12">
        <f t="shared" si="362"/>
        <v>0.26</v>
      </c>
      <c r="EU290" s="12">
        <f t="shared" si="363"/>
        <v>0.26</v>
      </c>
      <c r="EV290" s="12" t="str">
        <f t="shared" si="406"/>
        <v>Аммофос 12:52:00</v>
      </c>
      <c r="EW290" s="12" t="str">
        <f t="shared" si="407"/>
        <v>Кемира Свекловичное-6</v>
      </c>
      <c r="EX290" s="12">
        <f t="shared" si="364"/>
        <v>0.16</v>
      </c>
      <c r="EY290" s="12">
        <f t="shared" si="365"/>
        <v>0.12</v>
      </c>
      <c r="EZ290" s="12">
        <f t="shared" si="366"/>
        <v>0.17</v>
      </c>
      <c r="FA290" s="38" t="e">
        <f>IF(AND(OR(FJ290=$FD$1,FM290=$FD$1,FO290=$FD$1,FQ290=$FD$1,FS290=$FD$1),FD290=$FD$1,Исходн.данные.!J290&lt;2,FU290=$FD$1),"Бор,Кобальт",IF(AND(FO290=$FD$1,FH290=$FD$1,Исходн.данные.!J290&lt;2,FU290=$FD$1),"Бор,Кобальт",IF(AND(OR(FJ290=$FD$1,FM290=$FD$1,FQ290=$FD$1),FE290=$FD$1,Исходн.данные.!J290&lt;2,FT290=$FD$1,FU290=$FD$1),"Бор,Медь,Цинк",IF(AND(OR(FJ290=$FD$1,FR290="Да"),FI290="Да",Исходн.данные.!J290&lt;2,FT290="Да",FU290="Да"),"Бор,Цинк,Медь",IF(AND(OR(FM290="Да",FQ290="Да"),FI290="Да",Исходн.данные.!J290&lt;2,FT290="Да",FU290="Да"),"Бор,Цинк",IF(AND(FN290="Да",OR(FD290="Да",FE290="Да")),"Бор",FB290))))))</f>
        <v>#N/A</v>
      </c>
      <c r="FB290" s="134" t="e">
        <f>IF(AND(OR(FD290="Да",FE290="Да",FF290="Да",FG290="Да",FH290="Да"),FO290="Да"),"Бор",IF(AND(FP290="Да",OR(FD290="Да",FE290="Да",FI290="Да")),"Бор",IF(AND(FS290="Да",FE290="Да"),"Бор,Медь",IF(AND(OR(FJ290="Да",FK290="Да",FL290="Да"),FE290="Да",Исходн.данные.!I290&lt;5,FT290="Да",FU290="Да"),"Молибден,Цинк",IF(AND(FM290="Да",OR(FE290="Да",FF290="Да",FG290="Да",FH290="Да",FI290="Да")),"Молибден,Цинк",IF(AND(OR(FJ290="Да",FK290="Да",FL290="Да",FM290="Да",FQ290="Да"),OR(FE290="Да",FF290="Да"),FT290="Да",FU290="Да",Исходн.данные.!I290&gt;5.5),"Медь,Цинк",FC290))))))</f>
        <v>#N/A</v>
      </c>
      <c r="FC290" s="23" t="e">
        <f t="shared" si="408"/>
        <v>#N/A</v>
      </c>
      <c r="FD290" s="38" t="str">
        <f>IF(OR(Исходн.данные.!F290=$CC$1,Исходн.данные.!F290=$CC$2,Исходн.данные.!F290=$CC$3,Исходн.данные.!F290=$CC$4),"Да","Нет")</f>
        <v>Нет</v>
      </c>
      <c r="FE290" s="38" t="str">
        <f>IF(Исходн.данные.!F290=$CC$5,"Да","Нет")</f>
        <v>Нет</v>
      </c>
      <c r="FF290" s="38" t="str">
        <f>IF(OR(Исходн.данные.!F290=$CC$6,Исходн.данные.!F290=$CC$7),"Да","Нет")</f>
        <v>Нет</v>
      </c>
      <c r="FG290" s="38" t="str">
        <f>IF(OR(Исходн.данные.!F290=$CC$8,Исходн.данные.!F290=$CC$9),"Да","Нет")</f>
        <v>Нет</v>
      </c>
      <c r="FH290" s="38" t="str">
        <f>IF(Исходн.данные.!F290=$CC$10,"Да","Нет")</f>
        <v>Нет</v>
      </c>
      <c r="FI290" s="38" t="str">
        <f>IF(OR(Исходн.данные.!F290=$CC$11,Исходн.данные.!F290=$CC$12),"Да","Нет")</f>
        <v>Нет</v>
      </c>
      <c r="FJ290" s="38" t="str">
        <f>IF(OR(Исходн.данные.!AH290=$BS$1,Исходн.данные.!AH290=$BQ$11,Исходн.данные.!AH290=$BQ$12),"Да","Нет")</f>
        <v>Нет</v>
      </c>
      <c r="FK290" s="38" t="str">
        <f>IF(OR(Исходн.данные.!AH290=$BS$2,Исходн.данные.!AH290=$BS$4),"Да","Нет")</f>
        <v>Нет</v>
      </c>
      <c r="FL290" s="38" t="str">
        <f>IF(OR(Исходн.данные.!AH290=$BS$3,Исходн.данные.!AH290=$BS$5),"Да","Нет")</f>
        <v>Нет</v>
      </c>
      <c r="FM290" s="38" t="str">
        <f>IF(OR(Исходн.данные.!AH290=$BS$9,Исходн.данные.!AH290=$BS$10,Исходн.данные.!AH290=$BS$11,Исходн.данные.!AH290=$BS$12),"Да","Нет")</f>
        <v>Нет</v>
      </c>
      <c r="FN290" s="38" t="str">
        <f>IF(OR(Исходн.данные.!AH290=$BS$6,Исходн.данные.!AH290=$BP$3),"Да","Нет")</f>
        <v>Нет</v>
      </c>
      <c r="FO290" s="38" t="str">
        <f>IF(Исходн.данные.!AH290=$BQ$9,"Да","Нет")</f>
        <v>Нет</v>
      </c>
      <c r="FP290" s="38" t="str">
        <f>IF(OR(Исходн.данные.!AH290=$BS$8,Исходн.данные.!AH290=$BT$8),"Да","Нет")</f>
        <v>Нет</v>
      </c>
      <c r="FQ290" s="38" t="str">
        <f>IF(OR(Исходн.данные.!AH290=$BQ$7,Исходн.данные.!AH290=$BQ$8),"Да","Нет")</f>
        <v>Нет</v>
      </c>
      <c r="FR290" s="38" t="str">
        <f>IF(Исходн.данные.!AI290=$BU$9,"Да","Нет")</f>
        <v>Нет</v>
      </c>
      <c r="FS290" s="38" t="str">
        <f>IF(OR(Исходн.данные.!AH290=$BP$1,Исходн.данные.!AH290=$BP$2),"Да","Нет")</f>
        <v>Нет</v>
      </c>
      <c r="FT290" s="38" t="e">
        <f>IF((Исходн.данные.!K290*GO290*GS290*GW290+BL290*0.6+Исходн.данные.!Q290*4.5*0.275)&gt;90,"Да","Нет")</f>
        <v>#N/A</v>
      </c>
      <c r="FU290" s="38" t="e">
        <f>IF((Исходн.данные.!M290*GS290*GZ290+BM290*0.225)&gt;35,"Да","Нет")</f>
        <v>#N/A</v>
      </c>
      <c r="FV290" s="38" t="str">
        <f>IF(Исходн.данные.!O290&gt;175,"Да","Нет")</f>
        <v>Нет</v>
      </c>
      <c r="FW290" s="39" t="str">
        <f>IF(Исходн.данные.!I290&gt;5.5,"Да","Нет")</f>
        <v>Нет</v>
      </c>
      <c r="FX290" s="39" t="str">
        <f>IF(Исходн.данные.!J290&lt;2,"Да","Нет")</f>
        <v>Да</v>
      </c>
      <c r="FY290" s="39" t="e">
        <f>IF(HF290=$FY$16,0,Исходн.данные.!K290*GO290*GS290*GW290/HF290)</f>
        <v>#N/A</v>
      </c>
      <c r="FZ290" s="39" t="e">
        <f>Исходн.данные.!M290*GS290*GZ290/HG290</f>
        <v>#N/A</v>
      </c>
      <c r="GA290" s="39" t="e">
        <f>IF(K_Wyn=$FY$16,0,IF(Исходн.данные.!N290=Исходн.данные.!$L$10,Исходн.данные.!O290/1.1*GS290*HC290/HH290,IF(Исходн.данные.!N290=Исходн.данные.!$L$12,Исходн.данные.!O290/1.5*GS290*HC290/HH290,Исходн.данные.!O290*GS290*HC290/HH290)))</f>
        <v>#N/A</v>
      </c>
      <c r="GB290" s="39" t="e">
        <f>IF(HF290=$FY$16,0,((Исходн.данные.!Q290*N_Org+Исходн.данные.!R290*N_Sider+Исходн.данные.!S290*N_Soloma)*AO290+Расчет!BC290*VLOOKUP(Исходн.данные.!T290,Справ!$A$3:$O$57,15)*AO290+BB290*VLOOKUP(Исходн.данные.!T290,Справ!$A$3:$O$57,15)*AL290+(Исходн.данные.!V290*N_Rizotorf+Исходн.данные.!W290*N_Rizoagr))/HF290)</f>
        <v>#N/A</v>
      </c>
      <c r="GC290" s="39" t="e">
        <f>IF(HG290=$FY$16,0,((Исходн.данные.!Q290*Р_Org+Исходн.данные.!R290*P_Sider+Исходн.данные.!S290*P_Soloma)*AP290+Расчет!BC290*VLOOKUP(Исходн.данные.!T290,Справ!$A$3:$P$57,16)*AP290+BB290*VLOOKUP(Исходн.данные.!T290,Справ!$A$3:$P$57,16)*AM290)/HG290)</f>
        <v>#N/A</v>
      </c>
      <c r="GD290" s="39" t="e">
        <f>IF(HH290=$FY$16,0,((Исходн.данные.!Q290*К_Org+Исходн.данные.!R290*K_Sider+Исходн.данные.!S290*K_Soloma)*AQ290+Расчет!BC290*VLOOKUP(Исходн.данные.!T290,Справ!$A$3:$Q$57,17)*AQ290+BB290*VLOOKUP(Исходн.данные.!T290,Справ!$A$3:$Q$57,17)*AN290)/HH290)</f>
        <v>#N/A</v>
      </c>
      <c r="GE290" s="39" t="e">
        <f>IF(HF290=$FY$16,0,(Исходн.данные.!X290*AR290+Исходн.данные.!AA290*N_Org*AL290+Исходн.данные.!AB290*N_Sider*AL290+Исходн.данные.!AC290*N_Soloma*AL290)/HF290)</f>
        <v>#N/A</v>
      </c>
      <c r="GF290" s="39" t="e">
        <f>IF(HG290=$FY$16,0,(Исходн.данные.!Y290*AS290+Исходн.данные.!AA290*Р_Org*AM290+Исходн.данные.!AB290*P_Sider*AM290+Исходн.данные.!AC290*P_Soloma*AM290)/HG290)</f>
        <v>#N/A</v>
      </c>
      <c r="GG290" s="39" t="e">
        <f>IF(HH290=$FY$16,0,(Исходн.данные.!Z290*AT290+Исходн.данные.!AA290*К_Org*AN290+Исходн.данные.!AB290*K_Sider*AN290+Исходн.данные.!AC290*K_Soloma*AN290)/HH290)</f>
        <v>#N/A</v>
      </c>
      <c r="GH290" s="39" t="e">
        <f>Исходн.данные.!AD290*AU290/HF290</f>
        <v>#N/A</v>
      </c>
      <c r="GI290" s="39" t="e">
        <f>Исходн.данные.!AE290*AV290/HG290</f>
        <v>#N/A</v>
      </c>
      <c r="GJ290" s="39" t="e">
        <f>Исходн.данные.!AF290*AW290/HH290</f>
        <v>#N/A</v>
      </c>
      <c r="GK290" s="55">
        <f>Исходн.данные.!AK290</f>
        <v>0</v>
      </c>
      <c r="GL290" s="11" t="e">
        <f t="shared" si="409"/>
        <v>#N/A</v>
      </c>
      <c r="GM290" s="11" t="e">
        <f t="shared" si="410"/>
        <v>#N/A</v>
      </c>
      <c r="GN290" s="11" t="e">
        <f t="shared" si="411"/>
        <v>#N/A</v>
      </c>
      <c r="GO290" s="57">
        <f t="shared" si="412"/>
        <v>19</v>
      </c>
      <c r="GP290" s="55">
        <f>IF(OR(Исходн.данные.!F290=$CE$1,Исходн.данные.!F290=$CE$2,Исходн.данные.!F290=$CE$3,Исходн.данные.!F290=$CE$4,Исходн.данные.!F290=$CE$5),GQ290,GR290)</f>
        <v>19</v>
      </c>
      <c r="GQ290" s="55">
        <f>IF(Исходн.данные.!F290=$CE$1,28,IF(Исходн.данные.!F290=$CE$2,26,IF(Исходн.данные.!F290=$CE$3,24,IF(Исходн.данные.!F290=$CE$4,22,IF(Исходн.данные.!F290=$CE$5,20,GR290)))))</f>
        <v>19</v>
      </c>
      <c r="GR290" s="55">
        <f>IF(Исходн.данные.!F290=$CE$6,18,IF(Исходн.данные.!F290=$CE$7,16,IF(Исходн.данные.!F290=$CE$8,14,IF(Исходн.данные.!F290=$CE$9,13,IF(Исходн.данные.!F290=$CE$10,12,19)))))</f>
        <v>19</v>
      </c>
      <c r="GS290" s="55">
        <f>IF(Исходн.данные.!G290="Пес",0.035*(40+2*Исходн.данные.!H290),IF(Исходн.данные.!G290="Суп",0.0325*(40+2*Исходн.данные.!H290),0.03*(40+2*Исходн.данные.!H290)))</f>
        <v>1.2</v>
      </c>
      <c r="GT290" s="55">
        <f>IF(Исходн.данные.!H290&lt;23,2.6,IF(AND(Исходн.данные.!H290&gt;22,Исходн.данные.!H290&lt;26),3,IF(AND(Исходн.данные.!H290&gt;25,Исходн.данные.!H290&lt;29),3.4,3.6)))</f>
        <v>2.6</v>
      </c>
      <c r="GU290" s="55">
        <f>IF(Исходн.данные.!H290&lt;23,2.8,IF(AND(Исходн.данные.!H290&gt;22,Исходн.данные.!H290&lt;26),3.2,IF(AND(Исходн.данные.!H290&gt;25,Исходн.данные.!H290&lt;29),3.6,3.9)))</f>
        <v>2.8</v>
      </c>
      <c r="GV290" s="55">
        <f>IF(Исходн.данные.!H290&lt;23,3,IF(AND(Исходн.данные.!H290&gt;22,Исходн.данные.!H290&lt;26),3.5,IF(AND(Исходн.данные.!H290&gt;25,Исходн.данные.!H290&lt;29),3.9,4.2)))</f>
        <v>3</v>
      </c>
      <c r="GW290" s="55" t="e">
        <f>IF(Исходн.данные.!P290="Ум",GX290,GY290)</f>
        <v>#N/A</v>
      </c>
      <c r="GX290" s="55" t="e">
        <f>VLOOKUP(Исходн.данные.!AI290,Коэффициенты!$J$7:$L$13,2,FALSE)</f>
        <v>#N/A</v>
      </c>
      <c r="GY290" s="55" t="e">
        <f>VLOOKUP(Исходн.данные.!AI290,Коэффициенты!$J$7:$L$13,3,FALSE)</f>
        <v>#N/A</v>
      </c>
      <c r="GZ290" s="55" t="e">
        <f>(IF(Исходн.данные.!M290&lt;50,0.11*VLOOKUP(Исходн.данные.!AH290,Культуры.Информация,7,FALSE),IF(Исходн.данные.!M290&gt;250,0.05*VLOOKUP(Исходн.данные.!AH290,Культуры.Информация,7,FALSE),VLOOKUP(Исходн.данные.!AH290,Культуры.Информация,5,FALSE)/100*($GX$6+$GY$6*Исходн.данные.!M290))))*Расчет2!AI290</f>
        <v>#N/A</v>
      </c>
      <c r="HA290" s="211"/>
      <c r="HB290" s="211"/>
      <c r="HC290" s="55" t="e">
        <f>(IF(Исходн.данные.!O290&lt;80,0.2*VLOOKUP(Исходн.данные.!AH290,Культуры.Информация,8,FALSE),IF(Исходн.данные.!O290&gt;240,0.09*VLOOKUP(Исходн.данные.!AH290,Культуры.Информация,8,FALSE),VLOOKUP(Исходн.данные.!AH290,Культуры.Информация,6,FALSE)/100*($HB$6+$HC$6*Исходн.данные.!O290))))*Расчет2!AJ290</f>
        <v>#N/A</v>
      </c>
      <c r="HD290" s="55">
        <f>IF(Исходн.данные.!O290&gt;240,0.09,IF(Исходн.данные.!O290&lt;30,0.3,$HE$10+$HD$10*Исходн.данные.!O290))</f>
        <v>0.3</v>
      </c>
      <c r="HE290" s="55">
        <f>IF(Исходн.данные.!O290&gt;240,0.17,IF(Исходн.данные.!O290&lt;30,0.5,$HF$12+$HE$12*Исходн.данные.!O290))</f>
        <v>0.5</v>
      </c>
      <c r="HF290" s="55" t="e">
        <f>VLOOKUP(Исходн.данные.!AH290,Справ!$A$3:$D$58,2,FALSE)</f>
        <v>#N/A</v>
      </c>
      <c r="HG290" s="55" t="e">
        <f>VLOOKUP(Исходн.данные.!AH290,Справ!$A$3:$D$58,3,FALSE)</f>
        <v>#N/A</v>
      </c>
      <c r="HH290" s="55" t="e">
        <f>VLOOKUP(Исходн.данные.!AH290,Справ!$A$3:$D$58,4,FALSE)</f>
        <v>#N/A</v>
      </c>
      <c r="HI290" s="11" t="e">
        <f t="shared" si="413"/>
        <v>#N/A</v>
      </c>
      <c r="HJ290" s="11" t="e">
        <f t="shared" si="414"/>
        <v>#N/A</v>
      </c>
      <c r="HK290" s="11" t="e">
        <f t="shared" si="415"/>
        <v>#N/A</v>
      </c>
      <c r="HL290" s="55">
        <f>IF(OR(Исходн.данные.!G290="Глин",Исходн.данные.!G290="Т_суг"),1.1,IF(Исходн.данные.!G290="Ср_суг",1,1))</f>
        <v>1</v>
      </c>
      <c r="HM290" s="55">
        <f>IF(OR(Исходн.данные.!G290="Глин",Исходн.данные.!G290="Т_суг"),0.9,IF(Исходн.данные.!G290="Ср_суг",1,1.2))</f>
        <v>1.2</v>
      </c>
      <c r="HN290" s="11" t="e">
        <f t="shared" si="416"/>
        <v>#N/A</v>
      </c>
      <c r="HO290" s="11" t="e">
        <f t="shared" si="417"/>
        <v>#N/A</v>
      </c>
      <c r="HP290" s="11" t="e">
        <f t="shared" si="418"/>
        <v>#N/A</v>
      </c>
      <c r="HQ290" t="e">
        <f t="shared" si="419"/>
        <v>#N/A</v>
      </c>
      <c r="HR290" t="e">
        <f t="shared" si="420"/>
        <v>#N/A</v>
      </c>
      <c r="HS290" t="e">
        <f t="shared" si="421"/>
        <v>#N/A</v>
      </c>
      <c r="HT290" t="e">
        <f t="shared" si="367"/>
        <v>#N/A</v>
      </c>
      <c r="HU290" t="e">
        <f t="shared" si="368"/>
        <v>#N/A</v>
      </c>
      <c r="HV290" t="e">
        <f t="shared" si="369"/>
        <v>#N/A</v>
      </c>
      <c r="HW290" t="e">
        <f t="shared" si="370"/>
        <v>#N/A</v>
      </c>
      <c r="HX290" t="e">
        <f t="shared" si="371"/>
        <v>#N/A</v>
      </c>
      <c r="HY290" t="e">
        <f t="shared" si="372"/>
        <v>#N/A</v>
      </c>
      <c r="HZ290" s="55">
        <f>IF(OR(Исходн.данные.!AI290="Оз_Ч_П",Исходн.данные.!AI290="Оз_З_П",Исходн.данные.!AI290="Яр_зер"),12,30)</f>
        <v>30</v>
      </c>
      <c r="IA290" t="e">
        <f t="shared" si="422"/>
        <v>#N/A</v>
      </c>
      <c r="IB290" t="e">
        <f t="shared" si="423"/>
        <v>#N/A</v>
      </c>
      <c r="IC290" t="e">
        <f t="shared" si="424"/>
        <v>#N/A</v>
      </c>
      <c r="ID290" s="11" t="e">
        <f t="shared" si="425"/>
        <v>#N/A</v>
      </c>
      <c r="IE290" s="11" t="e">
        <f t="shared" si="426"/>
        <v>#N/A</v>
      </c>
      <c r="IF290" s="11" t="e">
        <f t="shared" si="427"/>
        <v>#N/A</v>
      </c>
    </row>
    <row r="291" spans="35:240" x14ac:dyDescent="0.2">
      <c r="AI291">
        <f>IF(Исходн.данные.!I291&gt;6,1,1.85-(0.148*Исходн.данные.!I291))</f>
        <v>1.85</v>
      </c>
      <c r="AJ291">
        <f>IF(Исходн.данные.!I291&gt;6,1,2.434-(0.246*Исходн.данные.!I291))</f>
        <v>2.4340000000000002</v>
      </c>
      <c r="AL291" s="148" t="b">
        <f>IF(Исходн.данные.!$P291="Ум",N_OrgUd_2g_um,IF(Исходн.данные.!$P291="Об",N_OrgUd_2g_ob))</f>
        <v>0</v>
      </c>
      <c r="AM291" s="148" t="b">
        <f>IF(Исходн.данные.!$P291="Ум",P_OrgUd_2g_um,IF(Исходн.данные.!$P291="Об",P_OrgUd_2g_ob))</f>
        <v>0</v>
      </c>
      <c r="AN291" s="148" t="b">
        <f>IF(Исходн.данные.!$P291="Ум",K_OrgUd_2g_um,IF(Исходн.данные.!$P291="Об",K_OrgUd_2g_ob))</f>
        <v>0</v>
      </c>
      <c r="AO291" s="148" t="b">
        <f>IF(Исходн.данные.!$P291="Ум",N_OrgUd_1g_um,IF(Исходн.данные.!$P291="Об",N_OrgUd_1g_ob))</f>
        <v>0</v>
      </c>
      <c r="AP291" s="148" t="b">
        <f>IF(Исходн.данные.!$P291="Ум",P_OrgUd_1g_um,IF(Исходн.данные.!$P291="Об",P_OrgUd_1g_ob))</f>
        <v>0</v>
      </c>
      <c r="AQ291" s="148" t="b">
        <f>IF(Исходн.данные.!$P291="Ум",K_OrgUd_1g_um,IF(Исходн.данные.!$P291="Об",K_OrgUd_1g_ob))</f>
        <v>0</v>
      </c>
      <c r="AR291" t="b">
        <f>IF(Исходн.данные.!$P291="Ум",N_MinUd_2g_um,IF(Исходн.данные.!$P291="Об",N_MinUd_2g_ob))</f>
        <v>0</v>
      </c>
      <c r="AS291" t="b">
        <f>IF(Исходн.данные.!$P291="Ум",P_MinUd_2g_um,IF(Исходн.данные.!$P291="Об",P_MinUd_2g_ob))</f>
        <v>0</v>
      </c>
      <c r="AT291" t="b">
        <f>IF(Исходн.данные.!$P291="Ум",K_MinUd_2g_um,IF(Исходн.данные.!$P291="Об",K_MinUd_2g_ob))</f>
        <v>0</v>
      </c>
      <c r="AU291" t="b">
        <f>IF(Исходн.данные.!$P291="Ум",N_MinUd_1g_um,IF(Исходн.данные.!$P291="Об",N_MinUd_1g_ob))</f>
        <v>0</v>
      </c>
      <c r="AV291" t="b">
        <f>IF(Исходн.данные.!P291="Ум",P_MinUd_1g_um,IF(Исходн.данные.!P291="Об",P_MinUd_1g_ob))</f>
        <v>0</v>
      </c>
      <c r="AW291" t="b">
        <f>IF(Исходн.данные.!P291="Ум",K_MinUd_1g_um,IF(Исходн.данные.!P291="Об",K_MinUd_1g_ob))</f>
        <v>0</v>
      </c>
      <c r="AY291" t="e">
        <f>VLOOKUP(Исходн.данные.!T291,Справ!$A$3:$N$57,12)</f>
        <v>#N/A</v>
      </c>
      <c r="AZ291" t="e">
        <f>VLOOKUP(Исходн.данные.!T291,Справ!$A$3:$N$57,13)</f>
        <v>#N/A</v>
      </c>
      <c r="BA291" t="e">
        <f>VLOOKUP(Исходн.данные.!T291,Справ!$A$3:$N$57,14)</f>
        <v>#N/A</v>
      </c>
      <c r="BB291">
        <f>IF(Исходн.данные.!AH291=0,0,25)</f>
        <v>0</v>
      </c>
      <c r="BC291" s="141">
        <f>IF(Исходн.данные.!AH291=0,0,IF(Исходн.данные.!T291=0,25,BD291))</f>
        <v>0</v>
      </c>
      <c r="BD291" s="168" t="e">
        <f>AY291+AZ291*Исходн.данные.!U291-POWER(BA291,2)*Исходн.данные.!U291</f>
        <v>#N/A</v>
      </c>
      <c r="BE29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1" s="25">
        <f>IF(Исходн.данные.!AH291=0,0,MIN(HN291:HP291))</f>
        <v>0</v>
      </c>
      <c r="BG291" s="9">
        <f>IF(Исходн.данные.!AH291=0,0,IF((HO291+10*0.25/HG291/HL291)&lt;17,17,HO291+10*0.25/HG291/HL291))</f>
        <v>0</v>
      </c>
      <c r="BH291" s="181">
        <f>IF(Исходн.данные.!AH291=0,0,HW291*HF291*HL291/AU291*AI291+Исходн.данные.!S291*10)</f>
        <v>0</v>
      </c>
      <c r="BI291" s="10"/>
      <c r="BJ291" s="182">
        <f>IF(Исходн.данные.!AH291=0,0,IF(HX291*HG291*HL291/AV291&lt;0,0,HX291*HG291*HL291/AV291*AJ291))</f>
        <v>0</v>
      </c>
      <c r="BK291" s="182">
        <f>IF(Исходн.данные.!AH291=0,0,HY291*HH291*HM291/AW291)</f>
        <v>0</v>
      </c>
      <c r="BL291" s="10">
        <f>IF(OR(Исходн.данные.!$AH291=$BP$1,Исходн.данные.!$AH291=$BP$2),0,IF(BH291&lt;0,0,IF(OR(Исходн.данные.!T291=Расчет!$BP$1,Исходн.данные.!T291=Расчет!$BP$2,Исходн.данные.!T291=Расчет!$BT$5,Исходн.данные.!T291=Расчет!$BT$6),BH291*0.5,IF(OR(Исходн.данные.!T291=Расчет!$BS$9,Исходн.данные.!T291=Расчет!$BS$10,Исходн.данные.!T291=Расчет!$BS$11,Исходн.данные.!T291=Расчет!$BS$12,Исходн.данные.!T291=Расчет!$BP$5),BH291*0.8,BH291))))</f>
        <v>0</v>
      </c>
      <c r="BM291" s="10">
        <f>IF(OR(Исходн.данные.!$AH291=$BP$1,Исходн.данные.!$AH291=$BP$2),0,IF(BJ291&lt;0,0,IF(Исходн.данные.!I291&lt;4.5,BJ291*1.2,IF(Исходн.данные.!I291&gt;5.1,BJ291,BJ291*((5.1-Исходн.данные.!I291)*0.333+1)))))</f>
        <v>0</v>
      </c>
      <c r="BN291" s="10">
        <f>IF(OR(Исходн.данные.!$AH291=$BP$1,Исходн.данные.!$AH291=$BP$2),60-Исходн.данные.!AF291,IF(BK291&lt;0,0,IF(Исходн.данные.!I291&lt;4.5,BK291*1.2,IF(Исходн.данные.!I291&gt;5.1,BK291,BK291*((5.1-Исходн.данные.!I291)*0.333+1)))))</f>
        <v>0</v>
      </c>
      <c r="BO291" s="9">
        <f>IF(BL291&lt;0,0,BL291*Исходн.данные.!$AJ291/1000)</f>
        <v>0</v>
      </c>
      <c r="BP291" s="9">
        <f>IF(BM291&lt;0,0,BM291*Исходн.данные.!$AJ291/1000)</f>
        <v>0</v>
      </c>
      <c r="BQ291" s="9">
        <f>IF(BN291&lt;0,0,BN291*Исходн.данные.!$AJ291/1000)</f>
        <v>0</v>
      </c>
      <c r="BR291" s="9">
        <f t="shared" si="377"/>
        <v>0</v>
      </c>
      <c r="BS291" s="10" t="str">
        <f t="shared" si="378"/>
        <v>Аммофос 12:52:00</v>
      </c>
      <c r="BT291" s="10" t="str">
        <f t="shared" si="379"/>
        <v>Аммофос 12:52:00</v>
      </c>
      <c r="BU291" s="10" t="str">
        <f t="shared" si="380"/>
        <v>Диаммофоска</v>
      </c>
      <c r="BV291" s="10">
        <f t="shared" si="381"/>
        <v>0</v>
      </c>
      <c r="BW291" s="10"/>
      <c r="BX291" s="10"/>
      <c r="BY291" s="9">
        <f>IF(BL291&lt;0,0,IF(OR(Исходн.данные.!AI291=Расчет!$BU$6,Исходн.данные.!AI291=Расчет!$BU$7),Расчет!BV291,IF(Исходн.данные.!$AG291=$BV$11,BL291,IF(OR(Исходн.данные.!$AH291=$BQ$7,Исходн.данные.!$AH291=$BQ$8),CB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0,IF(Исходн.данные.!$AI291=$BU$11,"Нет",IF(BL291&gt;30,30,BL291)))))))</f>
        <v>0</v>
      </c>
      <c r="BZ291" s="9">
        <f>IF(AND(Исходн.данные.!$AG291=$BV$11,BM291&lt;10),10,IF(Исходн.данные.!$AG291=$BV$11,BM291,IF(OR(Исходн.данные.!$AH291=$BQ$7,Исходн.данные.!$AH291=$BQ$8),CC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10,IF(Исходн.данные.!$AI291=$BU$11,"Нет",IF(BM291&gt;60,60,IF(BM291&lt;10,10,BM291)))))))</f>
        <v>10</v>
      </c>
      <c r="CA291" s="39">
        <f>IF(BN291&lt;0,0,IF(Исходн.данные.!$AG291=$BV$11,BN291,IF(OR(Исходн.данные.!$AH291=$BQ$7,Исходн.данные.!$AH291=$BQ$8),CD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0,IF(Исходн.данные.!$AI291=$BU$11,"Нет",IF(BN291&gt;30,30,BN291))))))</f>
        <v>0</v>
      </c>
      <c r="CB291" s="9">
        <f t="shared" si="382"/>
        <v>0</v>
      </c>
      <c r="CC291" s="9">
        <f t="shared" si="383"/>
        <v>0</v>
      </c>
      <c r="CD291" s="9">
        <f t="shared" si="384"/>
        <v>0</v>
      </c>
      <c r="CE291" s="12">
        <f t="shared" si="385"/>
        <v>10</v>
      </c>
      <c r="CF291" s="9">
        <f t="shared" si="386"/>
        <v>0</v>
      </c>
      <c r="CG291" s="9" t="s">
        <v>231</v>
      </c>
      <c r="CH291" s="132" t="str">
        <f>IF(Исходн.данные.!AP291=Расчет!$CI$16,"Нет",IF(Исходн.данные.!AL291&gt;0,Исходн.данные.!AL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BH$4,IF(OR(Исходн.данные.!AI291=Исходн.данные.!$AI$6,Исходн.данные.!AI291=Исходн.данные.!$AI$7),Расчет!BS291,IF(AND($CF291=0,$CE291&gt;0),EV291,ER291)))))</f>
        <v>Аммофос 12:52:00</v>
      </c>
      <c r="CI291" s="274">
        <f>IF(Расчет!$CH291="Нет","Нет",IF(Исходн.данные.!$AL291&gt;0,VLOOKUP(Расчет!$CH291,АшламаДВ_Irekle,2,FALSE),VLOOKUP(Расчет!$CH291,АшламаДВ_Gomumy,2,FALSE)))</f>
        <v>0.12</v>
      </c>
      <c r="CJ291" s="274">
        <f>IF(Расчет!$CH291="Нет","Нет",IF(Исходн.данные.!$AL291&gt;0,VLOOKUP(Расчет!$CH291,АшламаДВ_Irekle,3,FALSE),VLOOKUP(Расчет!$CH291,АшламаДВ_Gomumy,3,FALSE)))</f>
        <v>0.52</v>
      </c>
      <c r="CK291" s="274">
        <f>IF(Расчет!$CH291="Нет","Нет",IF(Исходн.данные.!$AL291&gt;0,VLOOKUP(Расчет!$CH291,АшламаДВ_Irekle,4,FALSE),VLOOKUP(Расчет!$CH291,АшламаДВ_Gomumy,4,FALSE)))</f>
        <v>0</v>
      </c>
      <c r="CL291" s="70"/>
      <c r="CM291" s="70"/>
      <c r="CN291" s="70"/>
      <c r="CO291" s="70"/>
      <c r="CP291" s="70"/>
      <c r="CQ291" s="70"/>
      <c r="CR291" s="10">
        <f t="shared" si="387"/>
        <v>0</v>
      </c>
      <c r="CS291" s="10">
        <f t="shared" si="388"/>
        <v>19.23076923076923</v>
      </c>
      <c r="CT291" s="10">
        <f t="shared" si="389"/>
        <v>0</v>
      </c>
      <c r="CU291" s="39">
        <f>IF($CH291="Нет",0,IF(CI291=0,30/MIN(CJ291:CK291),IF(Исходн.данные.!$AG291=$BV$11,CR291,IF(OR(Исходн.данные.!$AH291=$BQ$7,Исходн.данные.!$AH291=$BQ$8),90/CI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0,IF(Исходн.данные.!$AI291=$BU$11,"Нет",30/CI291))))))</f>
        <v>250</v>
      </c>
      <c r="CV291" s="39">
        <f>IF($CH291="Нет",0,IF(Исходн.данные.!AH291=0,0,IF(CJ291=0,60/MIN(CI291,CK291),IF(Исходн.данные.!$AG291=$BV$11,CS291,IF(OR(Исходн.данные.!$AH291=$BQ$7,Исходн.данные.!$AH291=$BQ$8),90/CJ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10/CJ291,IF(Исходн.данные.!$AI291=$BU$11,"Нет",60/CJ291)))))))</f>
        <v>0</v>
      </c>
      <c r="CW291" s="39">
        <f>IF($CH291="Нет",0,IF(Исходн.данные.!AH291=0,0,IF(CK291=0,30/MIN(CI291:CJ291),IF(Исходн.данные.!$AG291=$BV$11,CT291,IF(OR(Исходн.данные.!$AH291=$BQ$7,Исходн.данные.!$AH291=$BQ$8),90/CK291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0,IF(Исходн.данные.!$AI291=$BU$11,"Нет",30/CK291)))))))</f>
        <v>0</v>
      </c>
      <c r="CX291" s="133">
        <f>IF(Исходн.данные.!$AG291=$BV$11,MAX(CU291:CW291),IF(OR(Исходн.данные.!$AH291=$BS$8,Исходн.данные.!$AH291=$BQ$9,Исходн.данные.!$AH291=$BQ$10,Исходн.данные.!$AH291=$BQ$11,Исходн.данные.!$AH291=$BQ$12,Исходн.данные.!$AH291=$BP$3,Исходн.данные.!$AH291=$BT$8,$FM291="Да"),CV291,MIN(CU291:CW291)))</f>
        <v>0</v>
      </c>
      <c r="CY291" s="133">
        <f>IF(Исходн.данные.!AH291=0,0,IF(CR291&gt;$CX291,$CX291,CR291))</f>
        <v>0</v>
      </c>
      <c r="CZ291" s="133">
        <f>IF(Исходн.данные.!AH291=0,0,IF(CS291&gt;$CX291,$CX291,CS291))</f>
        <v>0</v>
      </c>
      <c r="DA291" s="133">
        <f>IF(Исходн.данные.!AH291=0,0,IF(CT291&gt;$CX291,$CX291,CT291))</f>
        <v>0</v>
      </c>
      <c r="DB291" s="10">
        <f t="shared" si="390"/>
        <v>0</v>
      </c>
      <c r="DC291" s="39">
        <f>DB291*Исходн.данные.!AJ291/1000</f>
        <v>0</v>
      </c>
      <c r="DD291" s="71">
        <f t="shared" si="391"/>
        <v>0</v>
      </c>
      <c r="DE291" s="9">
        <f t="shared" si="392"/>
        <v>0</v>
      </c>
      <c r="DF291" s="9">
        <f t="shared" si="393"/>
        <v>0</v>
      </c>
      <c r="DG291" s="39">
        <f>IF(BL291&lt;0,0,IF($CH291="Нет",BL291,IF(OR(Исходн.данные.!$AH291=$BP$1,Исходн.данные.!$AH291=$BP$2),0,IF(Исходн.данные.!AI291=$BU$11,BL291,IF(BL291-DD291&lt;0,0,BL291-DD291)))))</f>
        <v>0</v>
      </c>
      <c r="DH291" s="39">
        <f>IF(BM291&lt;0,0,IF($CH291="Нет",BM291,IF(OR(Исходн.данные.!$AH291=$BP$1,Исходн.данные.!$AH291=$BP$2),0,IF(Исходн.данные.!AJ291=$BU$11,BM291,IF(BM291-DE291&lt;0,0,BM291-DE291)))))</f>
        <v>0</v>
      </c>
      <c r="DI291" s="39">
        <f>IF(BN291&lt;0,0,IF($CH291="Нет",BN291,IF(OR(Исходн.данные.!$AH291=$BP$1,Исходн.данные.!$AH291=$BP$2),0,IF(Исходн.данные.!AK291=$BU$11,BN291,IF(BN291-DF291&lt;0,0,BN291-DF291)))))</f>
        <v>0</v>
      </c>
      <c r="DJ291" s="12">
        <f t="shared" si="394"/>
        <v>0</v>
      </c>
      <c r="DK291" s="9">
        <f t="shared" si="395"/>
        <v>0</v>
      </c>
      <c r="DL291" s="39">
        <f>IF(Исходн.данные.!AM291&gt;0,Исходн.данные.!AM291,IF(EG291&gt;0,$BH$10,0))</f>
        <v>0</v>
      </c>
      <c r="DM291" s="186">
        <f>IF($DL291=0,0,IF(Исходн.данные.!AM291&gt;0,VLOOKUP($DL291,АшламаДВ_Irekle,2,FALSE),VLOOKUP($DL291,АшламаДВ_Gomumy,2,FALSE)))</f>
        <v>0</v>
      </c>
      <c r="DN291" s="10">
        <f t="shared" si="373"/>
        <v>0</v>
      </c>
      <c r="DO291" s="9" t="str">
        <f>IF(Исходн.данные.!AN291&gt;0,Исходн.данные.!AN291,Удобрения!$B$37 )</f>
        <v>Хлор.калий</v>
      </c>
      <c r="DP291" s="9">
        <f>IF(Исходн.данные.!AN291&gt;0,VLOOKUP(Исходн.данные.!AN291,АшламаДВ_Irekle,4,FALSE),VLOOKUP(DO291,АшламаДВ_Gomumy,4,FALSE))</f>
        <v>0.6</v>
      </c>
      <c r="DQ291" s="10">
        <f t="shared" si="374"/>
        <v>0</v>
      </c>
      <c r="DR291" s="132" t="str">
        <f>IF(Исходн.данные.!AO291&gt;0,Исходн.данные.!AO291,IF(DH291=0,BS$17,IF(AND($DK291=0,$DJ291&gt;0),EJ291,EN291)))</f>
        <v>Нет</v>
      </c>
      <c r="DS291" s="70" t="str">
        <f>IF($DR291="Нет","Нет",IF(Исходн.данные.!$AO291&gt;0,VLOOKUP($DR291,АшламаДВ_Irekle,2,FALSE),VLOOKUP($DR291,АшламаДВ_Gomumy,2,FALSE)))</f>
        <v>Нет</v>
      </c>
      <c r="DT291" s="70" t="str">
        <f>IF($DR291="Нет","Нет",IF(Исходн.данные.!$AO291&gt;0,VLOOKUP($DR291,АшламаДВ_Irekle,3,FALSE),VLOOKUP($DR291,АшламаДВ_Gomumy,3,FALSE)))</f>
        <v>Нет</v>
      </c>
      <c r="DU291" s="70" t="str">
        <f>IF($DR291="Нет","Нет",IF(Исходн.данные.!$AO291&gt;0,VLOOKUP($DR291,АшламаДВ_Irekle,4,FALSE),VLOOKUP($DR291,АшламаДВ_Gomumy,4,FALSE)))</f>
        <v>Нет</v>
      </c>
      <c r="DV291" s="70"/>
      <c r="DW291" s="70"/>
      <c r="DX291" s="70"/>
      <c r="DY291" s="10">
        <f t="shared" si="396"/>
        <v>0</v>
      </c>
      <c r="DZ291" s="10">
        <f t="shared" si="397"/>
        <v>0</v>
      </c>
      <c r="EA291" s="10">
        <f t="shared" si="398"/>
        <v>0</v>
      </c>
      <c r="EB291" s="10">
        <f t="shared" si="399"/>
        <v>0</v>
      </c>
      <c r="EC291" s="10">
        <f t="shared" si="400"/>
        <v>0</v>
      </c>
      <c r="ED291" s="10">
        <f t="shared" si="401"/>
        <v>0</v>
      </c>
      <c r="EE291" s="10">
        <f t="shared" si="402"/>
        <v>0</v>
      </c>
      <c r="EF291" s="39">
        <f>EB291*Исходн.данные.!AJ291/1000</f>
        <v>0</v>
      </c>
      <c r="EG291" s="9">
        <f t="shared" si="403"/>
        <v>0</v>
      </c>
      <c r="EH291" s="9">
        <f t="shared" si="404"/>
        <v>0</v>
      </c>
      <c r="EI291" s="39" t="e">
        <f t="shared" si="354"/>
        <v>#DIV/0!</v>
      </c>
      <c r="EJ291" s="9" t="str">
        <f t="shared" si="375"/>
        <v>Азопреципитат</v>
      </c>
      <c r="EK291" s="12">
        <f t="shared" si="355"/>
        <v>0.26</v>
      </c>
      <c r="EL291" s="12">
        <f t="shared" si="356"/>
        <v>0.13</v>
      </c>
      <c r="EM291" s="12">
        <f t="shared" si="357"/>
        <v>0</v>
      </c>
      <c r="EN291" s="12" t="str">
        <f t="shared" si="376"/>
        <v>Нет</v>
      </c>
      <c r="EO291" s="12">
        <f t="shared" si="358"/>
        <v>0</v>
      </c>
      <c r="EP291" s="12">
        <f t="shared" si="359"/>
        <v>0</v>
      </c>
      <c r="EQ291" s="12">
        <f t="shared" si="360"/>
        <v>0</v>
      </c>
      <c r="ER291" s="12" t="str">
        <f t="shared" si="405"/>
        <v>Диаммофоска</v>
      </c>
      <c r="ES291" s="12">
        <f t="shared" si="361"/>
        <v>0.1</v>
      </c>
      <c r="ET291" s="12">
        <f t="shared" si="362"/>
        <v>0.26</v>
      </c>
      <c r="EU291" s="12">
        <f t="shared" si="363"/>
        <v>0.26</v>
      </c>
      <c r="EV291" s="12" t="str">
        <f t="shared" si="406"/>
        <v>Аммофос 12:52:00</v>
      </c>
      <c r="EW291" s="12" t="str">
        <f t="shared" si="407"/>
        <v>Кемира Свекловичное-6</v>
      </c>
      <c r="EX291" s="12">
        <f t="shared" si="364"/>
        <v>0.16</v>
      </c>
      <c r="EY291" s="12">
        <f t="shared" si="365"/>
        <v>0.12</v>
      </c>
      <c r="EZ291" s="12">
        <f t="shared" si="366"/>
        <v>0.17</v>
      </c>
      <c r="FA291" s="38" t="e">
        <f>IF(AND(OR(FJ291=$FD$1,FM291=$FD$1,FO291=$FD$1,FQ291=$FD$1,FS291=$FD$1),FD291=$FD$1,Исходн.данные.!J291&lt;2,FU291=$FD$1),"Бор,Кобальт",IF(AND(FO291=$FD$1,FH291=$FD$1,Исходн.данные.!J291&lt;2,FU291=$FD$1),"Бор,Кобальт",IF(AND(OR(FJ291=$FD$1,FM291=$FD$1,FQ291=$FD$1),FE291=$FD$1,Исходн.данные.!J291&lt;2,FT291=$FD$1,FU291=$FD$1),"Бор,Медь,Цинк",IF(AND(OR(FJ291=$FD$1,FR291="Да"),FI291="Да",Исходн.данные.!J291&lt;2,FT291="Да",FU291="Да"),"Бор,Цинк,Медь",IF(AND(OR(FM291="Да",FQ291="Да"),FI291="Да",Исходн.данные.!J291&lt;2,FT291="Да",FU291="Да"),"Бор,Цинк",IF(AND(FN291="Да",OR(FD291="Да",FE291="Да")),"Бор",FB291))))))</f>
        <v>#N/A</v>
      </c>
      <c r="FB291" s="134" t="e">
        <f>IF(AND(OR(FD291="Да",FE291="Да",FF291="Да",FG291="Да",FH291="Да"),FO291="Да"),"Бор",IF(AND(FP291="Да",OR(FD291="Да",FE291="Да",FI291="Да")),"Бор",IF(AND(FS291="Да",FE291="Да"),"Бор,Медь",IF(AND(OR(FJ291="Да",FK291="Да",FL291="Да"),FE291="Да",Исходн.данные.!I291&lt;5,FT291="Да",FU291="Да"),"Молибден,Цинк",IF(AND(FM291="Да",OR(FE291="Да",FF291="Да",FG291="Да",FH291="Да",FI291="Да")),"Молибден,Цинк",IF(AND(OR(FJ291="Да",FK291="Да",FL291="Да",FM291="Да",FQ291="Да"),OR(FE291="Да",FF291="Да"),FT291="Да",FU291="Да",Исходн.данные.!I291&gt;5.5),"Медь,Цинк",FC291))))))</f>
        <v>#N/A</v>
      </c>
      <c r="FC291" s="23" t="e">
        <f t="shared" si="408"/>
        <v>#N/A</v>
      </c>
      <c r="FD291" s="38" t="str">
        <f>IF(OR(Исходн.данные.!F291=$CC$1,Исходн.данные.!F291=$CC$2,Исходн.данные.!F291=$CC$3,Исходн.данные.!F291=$CC$4),"Да","Нет")</f>
        <v>Нет</v>
      </c>
      <c r="FE291" s="38" t="str">
        <f>IF(Исходн.данные.!F291=$CC$5,"Да","Нет")</f>
        <v>Нет</v>
      </c>
      <c r="FF291" s="38" t="str">
        <f>IF(OR(Исходн.данные.!F291=$CC$6,Исходн.данные.!F291=$CC$7),"Да","Нет")</f>
        <v>Нет</v>
      </c>
      <c r="FG291" s="38" t="str">
        <f>IF(OR(Исходн.данные.!F291=$CC$8,Исходн.данные.!F291=$CC$9),"Да","Нет")</f>
        <v>Нет</v>
      </c>
      <c r="FH291" s="38" t="str">
        <f>IF(Исходн.данные.!F291=$CC$10,"Да","Нет")</f>
        <v>Нет</v>
      </c>
      <c r="FI291" s="38" t="str">
        <f>IF(OR(Исходн.данные.!F291=$CC$11,Исходн.данные.!F291=$CC$12),"Да","Нет")</f>
        <v>Нет</v>
      </c>
      <c r="FJ291" s="38" t="str">
        <f>IF(OR(Исходн.данные.!AH291=$BS$1,Исходн.данные.!AH291=$BQ$11,Исходн.данные.!AH291=$BQ$12),"Да","Нет")</f>
        <v>Нет</v>
      </c>
      <c r="FK291" s="38" t="str">
        <f>IF(OR(Исходн.данные.!AH291=$BS$2,Исходн.данные.!AH291=$BS$4),"Да","Нет")</f>
        <v>Нет</v>
      </c>
      <c r="FL291" s="38" t="str">
        <f>IF(OR(Исходн.данные.!AH291=$BS$3,Исходн.данные.!AH291=$BS$5),"Да","Нет")</f>
        <v>Нет</v>
      </c>
      <c r="FM291" s="38" t="str">
        <f>IF(OR(Исходн.данные.!AH291=$BS$9,Исходн.данные.!AH291=$BS$10,Исходн.данные.!AH291=$BS$11,Исходн.данные.!AH291=$BS$12),"Да","Нет")</f>
        <v>Нет</v>
      </c>
      <c r="FN291" s="38" t="str">
        <f>IF(OR(Исходн.данные.!AH291=$BS$6,Исходн.данные.!AH291=$BP$3),"Да","Нет")</f>
        <v>Нет</v>
      </c>
      <c r="FO291" s="38" t="str">
        <f>IF(Исходн.данные.!AH291=$BQ$9,"Да","Нет")</f>
        <v>Нет</v>
      </c>
      <c r="FP291" s="38" t="str">
        <f>IF(OR(Исходн.данные.!AH291=$BS$8,Исходн.данные.!AH291=$BT$8),"Да","Нет")</f>
        <v>Нет</v>
      </c>
      <c r="FQ291" s="38" t="str">
        <f>IF(OR(Исходн.данные.!AH291=$BQ$7,Исходн.данные.!AH291=$BQ$8),"Да","Нет")</f>
        <v>Нет</v>
      </c>
      <c r="FR291" s="38" t="str">
        <f>IF(Исходн.данные.!AI291=$BU$9,"Да","Нет")</f>
        <v>Нет</v>
      </c>
      <c r="FS291" s="38" t="str">
        <f>IF(OR(Исходн.данные.!AH291=$BP$1,Исходн.данные.!AH291=$BP$2),"Да","Нет")</f>
        <v>Нет</v>
      </c>
      <c r="FT291" s="38" t="e">
        <f>IF((Исходн.данные.!K291*GO291*GS291*GW291+BL291*0.6+Исходн.данные.!Q291*4.5*0.275)&gt;90,"Да","Нет")</f>
        <v>#N/A</v>
      </c>
      <c r="FU291" s="38" t="e">
        <f>IF((Исходн.данные.!M291*GS291*GZ291+BM291*0.225)&gt;35,"Да","Нет")</f>
        <v>#N/A</v>
      </c>
      <c r="FV291" s="38" t="str">
        <f>IF(Исходн.данные.!O291&gt;175,"Да","Нет")</f>
        <v>Нет</v>
      </c>
      <c r="FW291" s="39" t="str">
        <f>IF(Исходн.данные.!I291&gt;5.5,"Да","Нет")</f>
        <v>Нет</v>
      </c>
      <c r="FX291" s="39" t="str">
        <f>IF(Исходн.данные.!J291&lt;2,"Да","Нет")</f>
        <v>Да</v>
      </c>
      <c r="FY291" s="39" t="e">
        <f>IF(HF291=$FY$16,0,Исходн.данные.!K291*GO291*GS291*GW291/HF291)</f>
        <v>#N/A</v>
      </c>
      <c r="FZ291" s="39" t="e">
        <f>Исходн.данные.!M291*GS291*GZ291/HG291</f>
        <v>#N/A</v>
      </c>
      <c r="GA291" s="39" t="e">
        <f>IF(K_Wyn=$FY$16,0,IF(Исходн.данные.!N291=Исходн.данные.!$L$10,Исходн.данные.!O291/1.1*GS291*HC291/HH291,IF(Исходн.данные.!N291=Исходн.данные.!$L$12,Исходн.данные.!O291/1.5*GS291*HC291/HH291,Исходн.данные.!O291*GS291*HC291/HH291)))</f>
        <v>#N/A</v>
      </c>
      <c r="GB291" s="39" t="e">
        <f>IF(HF291=$FY$16,0,((Исходн.данные.!Q291*N_Org+Исходн.данные.!R291*N_Sider+Исходн.данные.!S291*N_Soloma)*AO291+Расчет!BC291*VLOOKUP(Исходн.данные.!T291,Справ!$A$3:$O$57,15)*AO291+BB291*VLOOKUP(Исходн.данные.!T291,Справ!$A$3:$O$57,15)*AL291+(Исходн.данные.!V291*N_Rizotorf+Исходн.данные.!W291*N_Rizoagr))/HF291)</f>
        <v>#N/A</v>
      </c>
      <c r="GC291" s="39" t="e">
        <f>IF(HG291=$FY$16,0,((Исходн.данные.!Q291*Р_Org+Исходн.данные.!R291*P_Sider+Исходн.данные.!S291*P_Soloma)*AP291+Расчет!BC291*VLOOKUP(Исходн.данные.!T291,Справ!$A$3:$P$57,16)*AP291+BB291*VLOOKUP(Исходн.данные.!T291,Справ!$A$3:$P$57,16)*AM291)/HG291)</f>
        <v>#N/A</v>
      </c>
      <c r="GD291" s="39" t="e">
        <f>IF(HH291=$FY$16,0,((Исходн.данные.!Q291*К_Org+Исходн.данные.!R291*K_Sider+Исходн.данные.!S291*K_Soloma)*AQ291+Расчет!BC291*VLOOKUP(Исходн.данные.!T291,Справ!$A$3:$Q$57,17)*AQ291+BB291*VLOOKUP(Исходн.данные.!T291,Справ!$A$3:$Q$57,17)*AN291)/HH291)</f>
        <v>#N/A</v>
      </c>
      <c r="GE291" s="39" t="e">
        <f>IF(HF291=$FY$16,0,(Исходн.данные.!X291*AR291+Исходн.данные.!AA291*N_Org*AL291+Исходн.данные.!AB291*N_Sider*AL291+Исходн.данные.!AC291*N_Soloma*AL291)/HF291)</f>
        <v>#N/A</v>
      </c>
      <c r="GF291" s="39" t="e">
        <f>IF(HG291=$FY$16,0,(Исходн.данные.!Y291*AS291+Исходн.данные.!AA291*Р_Org*AM291+Исходн.данные.!AB291*P_Sider*AM291+Исходн.данные.!AC291*P_Soloma*AM291)/HG291)</f>
        <v>#N/A</v>
      </c>
      <c r="GG291" s="39" t="e">
        <f>IF(HH291=$FY$16,0,(Исходн.данные.!Z291*AT291+Исходн.данные.!AA291*К_Org*AN291+Исходн.данные.!AB291*K_Sider*AN291+Исходн.данные.!AC291*K_Soloma*AN291)/HH291)</f>
        <v>#N/A</v>
      </c>
      <c r="GH291" s="39" t="e">
        <f>Исходн.данные.!AD291*AU291/HF291</f>
        <v>#N/A</v>
      </c>
      <c r="GI291" s="39" t="e">
        <f>Исходн.данные.!AE291*AV291/HG291</f>
        <v>#N/A</v>
      </c>
      <c r="GJ291" s="39" t="e">
        <f>Исходн.данные.!AF291*AW291/HH291</f>
        <v>#N/A</v>
      </c>
      <c r="GK291" s="55">
        <f>Исходн.данные.!AK291</f>
        <v>0</v>
      </c>
      <c r="GL291" s="11" t="e">
        <f t="shared" si="409"/>
        <v>#N/A</v>
      </c>
      <c r="GM291" s="11" t="e">
        <f t="shared" si="410"/>
        <v>#N/A</v>
      </c>
      <c r="GN291" s="11" t="e">
        <f t="shared" si="411"/>
        <v>#N/A</v>
      </c>
      <c r="GO291" s="57">
        <f t="shared" si="412"/>
        <v>19</v>
      </c>
      <c r="GP291" s="55">
        <f>IF(OR(Исходн.данные.!F291=$CE$1,Исходн.данные.!F291=$CE$2,Исходн.данные.!F291=$CE$3,Исходн.данные.!F291=$CE$4,Исходн.данные.!F291=$CE$5),GQ291,GR291)</f>
        <v>19</v>
      </c>
      <c r="GQ291" s="55">
        <f>IF(Исходн.данные.!F291=$CE$1,28,IF(Исходн.данные.!F291=$CE$2,26,IF(Исходн.данные.!F291=$CE$3,24,IF(Исходн.данные.!F291=$CE$4,22,IF(Исходн.данные.!F291=$CE$5,20,GR291)))))</f>
        <v>19</v>
      </c>
      <c r="GR291" s="55">
        <f>IF(Исходн.данные.!F291=$CE$6,18,IF(Исходн.данные.!F291=$CE$7,16,IF(Исходн.данные.!F291=$CE$8,14,IF(Исходн.данные.!F291=$CE$9,13,IF(Исходн.данные.!F291=$CE$10,12,19)))))</f>
        <v>19</v>
      </c>
      <c r="GS291" s="55">
        <f>IF(Исходн.данные.!G291="Пес",0.035*(40+2*Исходн.данные.!H291),IF(Исходн.данные.!G291="Суп",0.0325*(40+2*Исходн.данные.!H291),0.03*(40+2*Исходн.данные.!H291)))</f>
        <v>1.2</v>
      </c>
      <c r="GT291" s="55">
        <f>IF(Исходн.данные.!H291&lt;23,2.6,IF(AND(Исходн.данные.!H291&gt;22,Исходн.данные.!H291&lt;26),3,IF(AND(Исходн.данные.!H291&gt;25,Исходн.данные.!H291&lt;29),3.4,3.6)))</f>
        <v>2.6</v>
      </c>
      <c r="GU291" s="55">
        <f>IF(Исходн.данные.!H291&lt;23,2.8,IF(AND(Исходн.данные.!H291&gt;22,Исходн.данные.!H291&lt;26),3.2,IF(AND(Исходн.данные.!H291&gt;25,Исходн.данные.!H291&lt;29),3.6,3.9)))</f>
        <v>2.8</v>
      </c>
      <c r="GV291" s="55">
        <f>IF(Исходн.данные.!H291&lt;23,3,IF(AND(Исходн.данные.!H291&gt;22,Исходн.данные.!H291&lt;26),3.5,IF(AND(Исходн.данные.!H291&gt;25,Исходн.данные.!H291&lt;29),3.9,4.2)))</f>
        <v>3</v>
      </c>
      <c r="GW291" s="55" t="e">
        <f>IF(Исходн.данные.!P291="Ум",GX291,GY291)</f>
        <v>#N/A</v>
      </c>
      <c r="GX291" s="55" t="e">
        <f>VLOOKUP(Исходн.данные.!AI291,Коэффициенты!$J$7:$L$13,2,FALSE)</f>
        <v>#N/A</v>
      </c>
      <c r="GY291" s="55" t="e">
        <f>VLOOKUP(Исходн.данные.!AI291,Коэффициенты!$J$7:$L$13,3,FALSE)</f>
        <v>#N/A</v>
      </c>
      <c r="GZ291" s="55" t="e">
        <f>(IF(Исходн.данные.!M291&lt;50,0.11*VLOOKUP(Исходн.данные.!AH291,Культуры.Информация,7,FALSE),IF(Исходн.данные.!M291&gt;250,0.05*VLOOKUP(Исходн.данные.!AH291,Культуры.Информация,7,FALSE),VLOOKUP(Исходн.данные.!AH291,Культуры.Информация,5,FALSE)/100*($GX$6+$GY$6*Исходн.данные.!M291))))*Расчет2!AI291</f>
        <v>#N/A</v>
      </c>
      <c r="HA291" s="211"/>
      <c r="HB291" s="211"/>
      <c r="HC291" s="55" t="e">
        <f>(IF(Исходн.данные.!O291&lt;80,0.2*VLOOKUP(Исходн.данные.!AH291,Культуры.Информация,8,FALSE),IF(Исходн.данные.!O291&gt;240,0.09*VLOOKUP(Исходн.данные.!AH291,Культуры.Информация,8,FALSE),VLOOKUP(Исходн.данные.!AH291,Культуры.Информация,6,FALSE)/100*($HB$6+$HC$6*Исходн.данные.!O291))))*Расчет2!AJ291</f>
        <v>#N/A</v>
      </c>
      <c r="HD291" s="55">
        <f>IF(Исходн.данные.!O291&gt;240,0.09,IF(Исходн.данные.!O291&lt;30,0.3,$HE$10+$HD$10*Исходн.данные.!O291))</f>
        <v>0.3</v>
      </c>
      <c r="HE291" s="55">
        <f>IF(Исходн.данные.!O291&gt;240,0.17,IF(Исходн.данные.!O291&lt;30,0.5,$HF$12+$HE$12*Исходн.данные.!O291))</f>
        <v>0.5</v>
      </c>
      <c r="HF291" s="55" t="e">
        <f>VLOOKUP(Исходн.данные.!AH291,Справ!$A$3:$D$58,2,FALSE)</f>
        <v>#N/A</v>
      </c>
      <c r="HG291" s="55" t="e">
        <f>VLOOKUP(Исходн.данные.!AH291,Справ!$A$3:$D$58,3,FALSE)</f>
        <v>#N/A</v>
      </c>
      <c r="HH291" s="55" t="e">
        <f>VLOOKUP(Исходн.данные.!AH291,Справ!$A$3:$D$58,4,FALSE)</f>
        <v>#N/A</v>
      </c>
      <c r="HI291" s="11" t="e">
        <f t="shared" si="413"/>
        <v>#N/A</v>
      </c>
      <c r="HJ291" s="11" t="e">
        <f t="shared" si="414"/>
        <v>#N/A</v>
      </c>
      <c r="HK291" s="11" t="e">
        <f t="shared" si="415"/>
        <v>#N/A</v>
      </c>
      <c r="HL291" s="55">
        <f>IF(OR(Исходн.данные.!G291="Глин",Исходн.данные.!G291="Т_суг"),1.1,IF(Исходн.данные.!G291="Ср_суг",1,1))</f>
        <v>1</v>
      </c>
      <c r="HM291" s="55">
        <f>IF(OR(Исходн.данные.!G291="Глин",Исходн.данные.!G291="Т_суг"),0.9,IF(Исходн.данные.!G291="Ср_суг",1,1.2))</f>
        <v>1.2</v>
      </c>
      <c r="HN291" s="11" t="e">
        <f t="shared" si="416"/>
        <v>#N/A</v>
      </c>
      <c r="HO291" s="11" t="e">
        <f t="shared" si="417"/>
        <v>#N/A</v>
      </c>
      <c r="HP291" s="11" t="e">
        <f t="shared" si="418"/>
        <v>#N/A</v>
      </c>
      <c r="HQ291" t="e">
        <f t="shared" si="419"/>
        <v>#N/A</v>
      </c>
      <c r="HR291" t="e">
        <f t="shared" si="420"/>
        <v>#N/A</v>
      </c>
      <c r="HS291" t="e">
        <f t="shared" si="421"/>
        <v>#N/A</v>
      </c>
      <c r="HT291" t="e">
        <f t="shared" si="367"/>
        <v>#N/A</v>
      </c>
      <c r="HU291" t="e">
        <f t="shared" si="368"/>
        <v>#N/A</v>
      </c>
      <c r="HV291" t="e">
        <f t="shared" si="369"/>
        <v>#N/A</v>
      </c>
      <c r="HW291" t="e">
        <f t="shared" si="370"/>
        <v>#N/A</v>
      </c>
      <c r="HX291" t="e">
        <f t="shared" si="371"/>
        <v>#N/A</v>
      </c>
      <c r="HY291" t="e">
        <f t="shared" si="372"/>
        <v>#N/A</v>
      </c>
      <c r="HZ291" s="55">
        <f>IF(OR(Исходн.данные.!AI291="Оз_Ч_П",Исходн.данные.!AI291="Оз_З_П",Исходн.данные.!AI291="Яр_зер"),12,30)</f>
        <v>30</v>
      </c>
      <c r="IA291" t="e">
        <f t="shared" si="422"/>
        <v>#N/A</v>
      </c>
      <c r="IB291" t="e">
        <f t="shared" si="423"/>
        <v>#N/A</v>
      </c>
      <c r="IC291" t="e">
        <f t="shared" si="424"/>
        <v>#N/A</v>
      </c>
      <c r="ID291" s="11" t="e">
        <f t="shared" si="425"/>
        <v>#N/A</v>
      </c>
      <c r="IE291" s="11" t="e">
        <f t="shared" si="426"/>
        <v>#N/A</v>
      </c>
      <c r="IF291" s="11" t="e">
        <f t="shared" si="427"/>
        <v>#N/A</v>
      </c>
    </row>
    <row r="292" spans="35:240" x14ac:dyDescent="0.2">
      <c r="AI292">
        <f>IF(Исходн.данные.!I292&gt;6,1,1.85-(0.148*Исходн.данные.!I292))</f>
        <v>1.85</v>
      </c>
      <c r="AJ292">
        <f>IF(Исходн.данные.!I292&gt;6,1,2.434-(0.246*Исходн.данные.!I292))</f>
        <v>2.4340000000000002</v>
      </c>
      <c r="AL292" s="148" t="b">
        <f>IF(Исходн.данные.!$P292="Ум",N_OrgUd_2g_um,IF(Исходн.данные.!$P292="Об",N_OrgUd_2g_ob))</f>
        <v>0</v>
      </c>
      <c r="AM292" s="148" t="b">
        <f>IF(Исходн.данные.!$P292="Ум",P_OrgUd_2g_um,IF(Исходн.данные.!$P292="Об",P_OrgUd_2g_ob))</f>
        <v>0</v>
      </c>
      <c r="AN292" s="148" t="b">
        <f>IF(Исходн.данные.!$P292="Ум",K_OrgUd_2g_um,IF(Исходн.данные.!$P292="Об",K_OrgUd_2g_ob))</f>
        <v>0</v>
      </c>
      <c r="AO292" s="148" t="b">
        <f>IF(Исходн.данные.!$P292="Ум",N_OrgUd_1g_um,IF(Исходн.данные.!$P292="Об",N_OrgUd_1g_ob))</f>
        <v>0</v>
      </c>
      <c r="AP292" s="148" t="b">
        <f>IF(Исходн.данные.!$P292="Ум",P_OrgUd_1g_um,IF(Исходн.данные.!$P292="Об",P_OrgUd_1g_ob))</f>
        <v>0</v>
      </c>
      <c r="AQ292" s="148" t="b">
        <f>IF(Исходн.данные.!$P292="Ум",K_OrgUd_1g_um,IF(Исходн.данные.!$P292="Об",K_OrgUd_1g_ob))</f>
        <v>0</v>
      </c>
      <c r="AR292" t="b">
        <f>IF(Исходн.данные.!$P292="Ум",N_MinUd_2g_um,IF(Исходн.данные.!$P292="Об",N_MinUd_2g_ob))</f>
        <v>0</v>
      </c>
      <c r="AS292" t="b">
        <f>IF(Исходн.данные.!$P292="Ум",P_MinUd_2g_um,IF(Исходн.данные.!$P292="Об",P_MinUd_2g_ob))</f>
        <v>0</v>
      </c>
      <c r="AT292" t="b">
        <f>IF(Исходн.данные.!$P292="Ум",K_MinUd_2g_um,IF(Исходн.данные.!$P292="Об",K_MinUd_2g_ob))</f>
        <v>0</v>
      </c>
      <c r="AU292" t="b">
        <f>IF(Исходн.данные.!$P292="Ум",N_MinUd_1g_um,IF(Исходн.данные.!$P292="Об",N_MinUd_1g_ob))</f>
        <v>0</v>
      </c>
      <c r="AV292" t="b">
        <f>IF(Исходн.данные.!P292="Ум",P_MinUd_1g_um,IF(Исходн.данные.!P292="Об",P_MinUd_1g_ob))</f>
        <v>0</v>
      </c>
      <c r="AW292" t="b">
        <f>IF(Исходн.данные.!P292="Ум",K_MinUd_1g_um,IF(Исходн.данные.!P292="Об",K_MinUd_1g_ob))</f>
        <v>0</v>
      </c>
      <c r="AY292" t="e">
        <f>VLOOKUP(Исходн.данные.!T292,Справ!$A$3:$N$57,12)</f>
        <v>#N/A</v>
      </c>
      <c r="AZ292" t="e">
        <f>VLOOKUP(Исходн.данные.!T292,Справ!$A$3:$N$57,13)</f>
        <v>#N/A</v>
      </c>
      <c r="BA292" t="e">
        <f>VLOOKUP(Исходн.данные.!T292,Справ!$A$3:$N$57,14)</f>
        <v>#N/A</v>
      </c>
      <c r="BB292">
        <f>IF(Исходн.данные.!AH292=0,0,25)</f>
        <v>0</v>
      </c>
      <c r="BC292" s="141">
        <f>IF(Исходн.данные.!AH292=0,0,IF(Исходн.данные.!T292=0,25,BD292))</f>
        <v>0</v>
      </c>
      <c r="BD292" s="168" t="e">
        <f>AY292+AZ292*Исходн.данные.!U292-POWER(BA292,2)*Исходн.данные.!U292</f>
        <v>#N/A</v>
      </c>
      <c r="BE29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2" s="25">
        <f>IF(Исходн.данные.!AH292=0,0,MIN(HN292:HP292))</f>
        <v>0</v>
      </c>
      <c r="BG292" s="9">
        <f>IF(Исходн.данные.!AH292=0,0,IF((HO292+10*0.25/HG292/HL292)&lt;17,17,HO292+10*0.25/HG292/HL292))</f>
        <v>0</v>
      </c>
      <c r="BH292" s="181">
        <f>IF(Исходн.данные.!AH292=0,0,HW292*HF292*HL292/AU292*AI292+Исходн.данные.!S292*10)</f>
        <v>0</v>
      </c>
      <c r="BI292" s="10"/>
      <c r="BJ292" s="182">
        <f>IF(Исходн.данные.!AH292=0,0,IF(HX292*HG292*HL292/AV292&lt;0,0,HX292*HG292*HL292/AV292*AJ292))</f>
        <v>0</v>
      </c>
      <c r="BK292" s="182">
        <f>IF(Исходн.данные.!AH292=0,0,HY292*HH292*HM292/AW292)</f>
        <v>0</v>
      </c>
      <c r="BL292" s="10">
        <f>IF(OR(Исходн.данные.!$AH292=$BP$1,Исходн.данные.!$AH292=$BP$2),0,IF(BH292&lt;0,0,IF(OR(Исходн.данные.!T292=Расчет!$BP$1,Исходн.данные.!T292=Расчет!$BP$2,Исходн.данные.!T292=Расчет!$BT$5,Исходн.данные.!T292=Расчет!$BT$6),BH292*0.5,IF(OR(Исходн.данные.!T292=Расчет!$BS$9,Исходн.данные.!T292=Расчет!$BS$10,Исходн.данные.!T292=Расчет!$BS$11,Исходн.данные.!T292=Расчет!$BS$12,Исходн.данные.!T292=Расчет!$BP$5),BH292*0.8,BH292))))</f>
        <v>0</v>
      </c>
      <c r="BM292" s="10">
        <f>IF(OR(Исходн.данные.!$AH292=$BP$1,Исходн.данные.!$AH292=$BP$2),0,IF(BJ292&lt;0,0,IF(Исходн.данные.!I292&lt;4.5,BJ292*1.2,IF(Исходн.данные.!I292&gt;5.1,BJ292,BJ292*((5.1-Исходн.данные.!I292)*0.333+1)))))</f>
        <v>0</v>
      </c>
      <c r="BN292" s="10">
        <f>IF(OR(Исходн.данные.!$AH292=$BP$1,Исходн.данные.!$AH292=$BP$2),60-Исходн.данные.!AF292,IF(BK292&lt;0,0,IF(Исходн.данные.!I292&lt;4.5,BK292*1.2,IF(Исходн.данные.!I292&gt;5.1,BK292,BK292*((5.1-Исходн.данные.!I292)*0.333+1)))))</f>
        <v>0</v>
      </c>
      <c r="BO292" s="9">
        <f>IF(BL292&lt;0,0,BL292*Исходн.данные.!$AJ292/1000)</f>
        <v>0</v>
      </c>
      <c r="BP292" s="9">
        <f>IF(BM292&lt;0,0,BM292*Исходн.данные.!$AJ292/1000)</f>
        <v>0</v>
      </c>
      <c r="BQ292" s="9">
        <f>IF(BN292&lt;0,0,BN292*Исходн.данные.!$AJ292/1000)</f>
        <v>0</v>
      </c>
      <c r="BR292" s="9">
        <f t="shared" si="377"/>
        <v>0</v>
      </c>
      <c r="BS292" s="10" t="str">
        <f t="shared" si="378"/>
        <v>Аммофос 12:52:00</v>
      </c>
      <c r="BT292" s="10" t="str">
        <f t="shared" si="379"/>
        <v>Аммофос 12:52:00</v>
      </c>
      <c r="BU292" s="10" t="str">
        <f t="shared" si="380"/>
        <v>Диаммофоска</v>
      </c>
      <c r="BV292" s="10">
        <f t="shared" si="381"/>
        <v>0</v>
      </c>
      <c r="BW292" s="10"/>
      <c r="BX292" s="10"/>
      <c r="BY292" s="9">
        <f>IF(BL292&lt;0,0,IF(OR(Исходн.данные.!AI292=Расчет!$BU$6,Исходн.данные.!AI292=Расчет!$BU$7),Расчет!BV292,IF(Исходн.данные.!$AG292=$BV$11,BL292,IF(OR(Исходн.данные.!$AH292=$BQ$7,Исходн.данные.!$AH292=$BQ$8),CB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0,IF(Исходн.данные.!$AI292=$BU$11,"Нет",IF(BL292&gt;30,30,BL292)))))))</f>
        <v>0</v>
      </c>
      <c r="BZ292" s="9">
        <f>IF(AND(Исходн.данные.!$AG292=$BV$11,BM292&lt;10),10,IF(Исходн.данные.!$AG292=$BV$11,BM292,IF(OR(Исходн.данные.!$AH292=$BQ$7,Исходн.данные.!$AH292=$BQ$8),CC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10,IF(Исходн.данные.!$AI292=$BU$11,"Нет",IF(BM292&gt;60,60,IF(BM292&lt;10,10,BM292)))))))</f>
        <v>10</v>
      </c>
      <c r="CA292" s="39">
        <f>IF(BN292&lt;0,0,IF(Исходн.данные.!$AG292=$BV$11,BN292,IF(OR(Исходн.данные.!$AH292=$BQ$7,Исходн.данные.!$AH292=$BQ$8),CD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0,IF(Исходн.данные.!$AI292=$BU$11,"Нет",IF(BN292&gt;30,30,BN292))))))</f>
        <v>0</v>
      </c>
      <c r="CB292" s="9">
        <f t="shared" si="382"/>
        <v>0</v>
      </c>
      <c r="CC292" s="9">
        <f t="shared" si="383"/>
        <v>0</v>
      </c>
      <c r="CD292" s="9">
        <f t="shared" si="384"/>
        <v>0</v>
      </c>
      <c r="CE292" s="12">
        <f t="shared" si="385"/>
        <v>10</v>
      </c>
      <c r="CF292" s="9">
        <f t="shared" si="386"/>
        <v>0</v>
      </c>
      <c r="CG292" s="9" t="s">
        <v>231</v>
      </c>
      <c r="CH292" s="132" t="str">
        <f>IF(Исходн.данные.!AP292=Расчет!$CI$16,"Нет",IF(Исходн.данные.!AL292&gt;0,Исходн.данные.!AL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BH$4,IF(OR(Исходн.данные.!AI292=Исходн.данные.!$AI$6,Исходн.данные.!AI292=Исходн.данные.!$AI$7),Расчет!BS292,IF(AND($CF292=0,$CE292&gt;0),EV292,ER292)))))</f>
        <v>Аммофос 12:52:00</v>
      </c>
      <c r="CI292" s="274">
        <f>IF(Расчет!$CH292="Нет","Нет",IF(Исходн.данные.!$AL292&gt;0,VLOOKUP(Расчет!$CH292,АшламаДВ_Irekle,2,FALSE),VLOOKUP(Расчет!$CH292,АшламаДВ_Gomumy,2,FALSE)))</f>
        <v>0.12</v>
      </c>
      <c r="CJ292" s="274">
        <f>IF(Расчет!$CH292="Нет","Нет",IF(Исходн.данные.!$AL292&gt;0,VLOOKUP(Расчет!$CH292,АшламаДВ_Irekle,3,FALSE),VLOOKUP(Расчет!$CH292,АшламаДВ_Gomumy,3,FALSE)))</f>
        <v>0.52</v>
      </c>
      <c r="CK292" s="274">
        <f>IF(Расчет!$CH292="Нет","Нет",IF(Исходн.данные.!$AL292&gt;0,VLOOKUP(Расчет!$CH292,АшламаДВ_Irekle,4,FALSE),VLOOKUP(Расчет!$CH292,АшламаДВ_Gomumy,4,FALSE)))</f>
        <v>0</v>
      </c>
      <c r="CL292" s="70"/>
      <c r="CM292" s="70"/>
      <c r="CN292" s="70"/>
      <c r="CO292" s="70"/>
      <c r="CP292" s="70"/>
      <c r="CQ292" s="70"/>
      <c r="CR292" s="10">
        <f t="shared" si="387"/>
        <v>0</v>
      </c>
      <c r="CS292" s="10">
        <f t="shared" si="388"/>
        <v>19.23076923076923</v>
      </c>
      <c r="CT292" s="10">
        <f t="shared" si="389"/>
        <v>0</v>
      </c>
      <c r="CU292" s="39">
        <f>IF($CH292="Нет",0,IF(CI292=0,30/MIN(CJ292:CK292),IF(Исходн.данные.!$AG292=$BV$11,CR292,IF(OR(Исходн.данные.!$AH292=$BQ$7,Исходн.данные.!$AH292=$BQ$8),90/CI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0,IF(Исходн.данные.!$AI292=$BU$11,"Нет",30/CI292))))))</f>
        <v>250</v>
      </c>
      <c r="CV292" s="39">
        <f>IF($CH292="Нет",0,IF(Исходн.данные.!AH292=0,0,IF(CJ292=0,60/MIN(CI292,CK292),IF(Исходн.данные.!$AG292=$BV$11,CS292,IF(OR(Исходн.данные.!$AH292=$BQ$7,Исходн.данные.!$AH292=$BQ$8),90/CJ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10/CJ292,IF(Исходн.данные.!$AI292=$BU$11,"Нет",60/CJ292)))))))</f>
        <v>0</v>
      </c>
      <c r="CW292" s="39">
        <f>IF($CH292="Нет",0,IF(Исходн.данные.!AH292=0,0,IF(CK292=0,30/MIN(CI292:CJ292),IF(Исходн.данные.!$AG292=$BV$11,CT292,IF(OR(Исходн.данные.!$AH292=$BQ$7,Исходн.данные.!$AH292=$BQ$8),90/CK292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0,IF(Исходн.данные.!$AI292=$BU$11,"Нет",30/CK292)))))))</f>
        <v>0</v>
      </c>
      <c r="CX292" s="133">
        <f>IF(Исходн.данные.!$AG292=$BV$11,MAX(CU292:CW292),IF(OR(Исходн.данные.!$AH292=$BS$8,Исходн.данные.!$AH292=$BQ$9,Исходн.данные.!$AH292=$BQ$10,Исходн.данные.!$AH292=$BQ$11,Исходн.данные.!$AH292=$BQ$12,Исходн.данные.!$AH292=$BP$3,Исходн.данные.!$AH292=$BT$8,$FM292="Да"),CV292,MIN(CU292:CW292)))</f>
        <v>0</v>
      </c>
      <c r="CY292" s="133">
        <f>IF(Исходн.данные.!AH292=0,0,IF(CR292&gt;$CX292,$CX292,CR292))</f>
        <v>0</v>
      </c>
      <c r="CZ292" s="133">
        <f>IF(Исходн.данные.!AH292=0,0,IF(CS292&gt;$CX292,$CX292,CS292))</f>
        <v>0</v>
      </c>
      <c r="DA292" s="133">
        <f>IF(Исходн.данные.!AH292=0,0,IF(CT292&gt;$CX292,$CX292,CT292))</f>
        <v>0</v>
      </c>
      <c r="DB292" s="10">
        <f t="shared" si="390"/>
        <v>0</v>
      </c>
      <c r="DC292" s="39">
        <f>DB292*Исходн.данные.!AJ292/1000</f>
        <v>0</v>
      </c>
      <c r="DD292" s="71">
        <f t="shared" si="391"/>
        <v>0</v>
      </c>
      <c r="DE292" s="9">
        <f t="shared" si="392"/>
        <v>0</v>
      </c>
      <c r="DF292" s="9">
        <f t="shared" si="393"/>
        <v>0</v>
      </c>
      <c r="DG292" s="39">
        <f>IF(BL292&lt;0,0,IF($CH292="Нет",BL292,IF(OR(Исходн.данные.!$AH292=$BP$1,Исходн.данные.!$AH292=$BP$2),0,IF(Исходн.данные.!AI292=$BU$11,BL292,IF(BL292-DD292&lt;0,0,BL292-DD292)))))</f>
        <v>0</v>
      </c>
      <c r="DH292" s="39">
        <f>IF(BM292&lt;0,0,IF($CH292="Нет",BM292,IF(OR(Исходн.данные.!$AH292=$BP$1,Исходн.данные.!$AH292=$BP$2),0,IF(Исходн.данные.!AJ292=$BU$11,BM292,IF(BM292-DE292&lt;0,0,BM292-DE292)))))</f>
        <v>0</v>
      </c>
      <c r="DI292" s="39">
        <f>IF(BN292&lt;0,0,IF($CH292="Нет",BN292,IF(OR(Исходн.данные.!$AH292=$BP$1,Исходн.данные.!$AH292=$BP$2),0,IF(Исходн.данные.!AK292=$BU$11,BN292,IF(BN292-DF292&lt;0,0,BN292-DF292)))))</f>
        <v>0</v>
      </c>
      <c r="DJ292" s="12">
        <f t="shared" si="394"/>
        <v>0</v>
      </c>
      <c r="DK292" s="9">
        <f t="shared" si="395"/>
        <v>0</v>
      </c>
      <c r="DL292" s="39">
        <f>IF(Исходн.данные.!AM292&gt;0,Исходн.данные.!AM292,IF(EG292&gt;0,$BH$10,0))</f>
        <v>0</v>
      </c>
      <c r="DM292" s="186">
        <f>IF($DL292=0,0,IF(Исходн.данные.!AM292&gt;0,VLOOKUP($DL292,АшламаДВ_Irekle,2,FALSE),VLOOKUP($DL292,АшламаДВ_Gomumy,2,FALSE)))</f>
        <v>0</v>
      </c>
      <c r="DN292" s="10">
        <f t="shared" si="373"/>
        <v>0</v>
      </c>
      <c r="DO292" s="9" t="str">
        <f>IF(Исходн.данные.!AN292&gt;0,Исходн.данные.!AN292,Удобрения!$B$37 )</f>
        <v>Хлор.калий</v>
      </c>
      <c r="DP292" s="9">
        <f>IF(Исходн.данные.!AN292&gt;0,VLOOKUP(Исходн.данные.!AN292,АшламаДВ_Irekle,4,FALSE),VLOOKUP(DO292,АшламаДВ_Gomumy,4,FALSE))</f>
        <v>0.6</v>
      </c>
      <c r="DQ292" s="10">
        <f t="shared" si="374"/>
        <v>0</v>
      </c>
      <c r="DR292" s="132" t="str">
        <f>IF(Исходн.данные.!AO292&gt;0,Исходн.данные.!AO292,IF(DH292=0,BS$17,IF(AND($DK292=0,$DJ292&gt;0),EJ292,EN292)))</f>
        <v>Нет</v>
      </c>
      <c r="DS292" s="70" t="str">
        <f>IF($DR292="Нет","Нет",IF(Исходн.данные.!$AO292&gt;0,VLOOKUP($DR292,АшламаДВ_Irekle,2,FALSE),VLOOKUP($DR292,АшламаДВ_Gomumy,2,FALSE)))</f>
        <v>Нет</v>
      </c>
      <c r="DT292" s="70" t="str">
        <f>IF($DR292="Нет","Нет",IF(Исходн.данные.!$AO292&gt;0,VLOOKUP($DR292,АшламаДВ_Irekle,3,FALSE),VLOOKUP($DR292,АшламаДВ_Gomumy,3,FALSE)))</f>
        <v>Нет</v>
      </c>
      <c r="DU292" s="70" t="str">
        <f>IF($DR292="Нет","Нет",IF(Исходн.данные.!$AO292&gt;0,VLOOKUP($DR292,АшламаДВ_Irekle,4,FALSE),VLOOKUP($DR292,АшламаДВ_Gomumy,4,FALSE)))</f>
        <v>Нет</v>
      </c>
      <c r="DV292" s="70"/>
      <c r="DW292" s="70"/>
      <c r="DX292" s="70"/>
      <c r="DY292" s="10">
        <f t="shared" si="396"/>
        <v>0</v>
      </c>
      <c r="DZ292" s="10">
        <f t="shared" si="397"/>
        <v>0</v>
      </c>
      <c r="EA292" s="10">
        <f t="shared" si="398"/>
        <v>0</v>
      </c>
      <c r="EB292" s="10">
        <f t="shared" si="399"/>
        <v>0</v>
      </c>
      <c r="EC292" s="10">
        <f t="shared" si="400"/>
        <v>0</v>
      </c>
      <c r="ED292" s="10">
        <f t="shared" si="401"/>
        <v>0</v>
      </c>
      <c r="EE292" s="10">
        <f t="shared" si="402"/>
        <v>0</v>
      </c>
      <c r="EF292" s="39">
        <f>EB292*Исходн.данные.!AJ292/1000</f>
        <v>0</v>
      </c>
      <c r="EG292" s="9">
        <f t="shared" si="403"/>
        <v>0</v>
      </c>
      <c r="EH292" s="9">
        <f t="shared" si="404"/>
        <v>0</v>
      </c>
      <c r="EI292" s="39" t="e">
        <f t="shared" si="354"/>
        <v>#DIV/0!</v>
      </c>
      <c r="EJ292" s="9" t="str">
        <f t="shared" si="375"/>
        <v>Азопреципитат</v>
      </c>
      <c r="EK292" s="12">
        <f t="shared" si="355"/>
        <v>0.26</v>
      </c>
      <c r="EL292" s="12">
        <f t="shared" si="356"/>
        <v>0.13</v>
      </c>
      <c r="EM292" s="12">
        <f t="shared" si="357"/>
        <v>0</v>
      </c>
      <c r="EN292" s="12" t="str">
        <f t="shared" si="376"/>
        <v>Нет</v>
      </c>
      <c r="EO292" s="12">
        <f t="shared" si="358"/>
        <v>0</v>
      </c>
      <c r="EP292" s="12">
        <f t="shared" si="359"/>
        <v>0</v>
      </c>
      <c r="EQ292" s="12">
        <f t="shared" si="360"/>
        <v>0</v>
      </c>
      <c r="ER292" s="12" t="str">
        <f t="shared" si="405"/>
        <v>Диаммофоска</v>
      </c>
      <c r="ES292" s="12">
        <f t="shared" si="361"/>
        <v>0.1</v>
      </c>
      <c r="ET292" s="12">
        <f t="shared" si="362"/>
        <v>0.26</v>
      </c>
      <c r="EU292" s="12">
        <f t="shared" si="363"/>
        <v>0.26</v>
      </c>
      <c r="EV292" s="12" t="str">
        <f t="shared" si="406"/>
        <v>Аммофос 12:52:00</v>
      </c>
      <c r="EW292" s="12" t="str">
        <f t="shared" si="407"/>
        <v>Кемира Свекловичное-6</v>
      </c>
      <c r="EX292" s="12">
        <f t="shared" si="364"/>
        <v>0.16</v>
      </c>
      <c r="EY292" s="12">
        <f t="shared" si="365"/>
        <v>0.12</v>
      </c>
      <c r="EZ292" s="12">
        <f t="shared" si="366"/>
        <v>0.17</v>
      </c>
      <c r="FA292" s="38" t="e">
        <f>IF(AND(OR(FJ292=$FD$1,FM292=$FD$1,FO292=$FD$1,FQ292=$FD$1,FS292=$FD$1),FD292=$FD$1,Исходн.данные.!J292&lt;2,FU292=$FD$1),"Бор,Кобальт",IF(AND(FO292=$FD$1,FH292=$FD$1,Исходн.данные.!J292&lt;2,FU292=$FD$1),"Бор,Кобальт",IF(AND(OR(FJ292=$FD$1,FM292=$FD$1,FQ292=$FD$1),FE292=$FD$1,Исходн.данные.!J292&lt;2,FT292=$FD$1,FU292=$FD$1),"Бор,Медь,Цинк",IF(AND(OR(FJ292=$FD$1,FR292="Да"),FI292="Да",Исходн.данные.!J292&lt;2,FT292="Да",FU292="Да"),"Бор,Цинк,Медь",IF(AND(OR(FM292="Да",FQ292="Да"),FI292="Да",Исходн.данные.!J292&lt;2,FT292="Да",FU292="Да"),"Бор,Цинк",IF(AND(FN292="Да",OR(FD292="Да",FE292="Да")),"Бор",FB292))))))</f>
        <v>#N/A</v>
      </c>
      <c r="FB292" s="134" t="e">
        <f>IF(AND(OR(FD292="Да",FE292="Да",FF292="Да",FG292="Да",FH292="Да"),FO292="Да"),"Бор",IF(AND(FP292="Да",OR(FD292="Да",FE292="Да",FI292="Да")),"Бор",IF(AND(FS292="Да",FE292="Да"),"Бор,Медь",IF(AND(OR(FJ292="Да",FK292="Да",FL292="Да"),FE292="Да",Исходн.данные.!I292&lt;5,FT292="Да",FU292="Да"),"Молибден,Цинк",IF(AND(FM292="Да",OR(FE292="Да",FF292="Да",FG292="Да",FH292="Да",FI292="Да")),"Молибден,Цинк",IF(AND(OR(FJ292="Да",FK292="Да",FL292="Да",FM292="Да",FQ292="Да"),OR(FE292="Да",FF292="Да"),FT292="Да",FU292="Да",Исходн.данные.!I292&gt;5.5),"Медь,Цинк",FC292))))))</f>
        <v>#N/A</v>
      </c>
      <c r="FC292" s="23" t="e">
        <f t="shared" si="408"/>
        <v>#N/A</v>
      </c>
      <c r="FD292" s="38" t="str">
        <f>IF(OR(Исходн.данные.!F292=$CC$1,Исходн.данные.!F292=$CC$2,Исходн.данные.!F292=$CC$3,Исходн.данные.!F292=$CC$4),"Да","Нет")</f>
        <v>Нет</v>
      </c>
      <c r="FE292" s="38" t="str">
        <f>IF(Исходн.данные.!F292=$CC$5,"Да","Нет")</f>
        <v>Нет</v>
      </c>
      <c r="FF292" s="38" t="str">
        <f>IF(OR(Исходн.данные.!F292=$CC$6,Исходн.данные.!F292=$CC$7),"Да","Нет")</f>
        <v>Нет</v>
      </c>
      <c r="FG292" s="38" t="str">
        <f>IF(OR(Исходн.данные.!F292=$CC$8,Исходн.данные.!F292=$CC$9),"Да","Нет")</f>
        <v>Нет</v>
      </c>
      <c r="FH292" s="38" t="str">
        <f>IF(Исходн.данные.!F292=$CC$10,"Да","Нет")</f>
        <v>Нет</v>
      </c>
      <c r="FI292" s="38" t="str">
        <f>IF(OR(Исходн.данные.!F292=$CC$11,Исходн.данные.!F292=$CC$12),"Да","Нет")</f>
        <v>Нет</v>
      </c>
      <c r="FJ292" s="38" t="str">
        <f>IF(OR(Исходн.данные.!AH292=$BS$1,Исходн.данные.!AH292=$BQ$11,Исходн.данные.!AH292=$BQ$12),"Да","Нет")</f>
        <v>Нет</v>
      </c>
      <c r="FK292" s="38" t="str">
        <f>IF(OR(Исходн.данные.!AH292=$BS$2,Исходн.данные.!AH292=$BS$4),"Да","Нет")</f>
        <v>Нет</v>
      </c>
      <c r="FL292" s="38" t="str">
        <f>IF(OR(Исходн.данные.!AH292=$BS$3,Исходн.данные.!AH292=$BS$5),"Да","Нет")</f>
        <v>Нет</v>
      </c>
      <c r="FM292" s="38" t="str">
        <f>IF(OR(Исходн.данные.!AH292=$BS$9,Исходн.данные.!AH292=$BS$10,Исходн.данные.!AH292=$BS$11,Исходн.данные.!AH292=$BS$12),"Да","Нет")</f>
        <v>Нет</v>
      </c>
      <c r="FN292" s="38" t="str">
        <f>IF(OR(Исходн.данные.!AH292=$BS$6,Исходн.данные.!AH292=$BP$3),"Да","Нет")</f>
        <v>Нет</v>
      </c>
      <c r="FO292" s="38" t="str">
        <f>IF(Исходн.данные.!AH292=$BQ$9,"Да","Нет")</f>
        <v>Нет</v>
      </c>
      <c r="FP292" s="38" t="str">
        <f>IF(OR(Исходн.данные.!AH292=$BS$8,Исходн.данные.!AH292=$BT$8),"Да","Нет")</f>
        <v>Нет</v>
      </c>
      <c r="FQ292" s="38" t="str">
        <f>IF(OR(Исходн.данные.!AH292=$BQ$7,Исходн.данные.!AH292=$BQ$8),"Да","Нет")</f>
        <v>Нет</v>
      </c>
      <c r="FR292" s="38" t="str">
        <f>IF(Исходн.данные.!AI292=$BU$9,"Да","Нет")</f>
        <v>Нет</v>
      </c>
      <c r="FS292" s="38" t="str">
        <f>IF(OR(Исходн.данные.!AH292=$BP$1,Исходн.данные.!AH292=$BP$2),"Да","Нет")</f>
        <v>Нет</v>
      </c>
      <c r="FT292" s="38" t="e">
        <f>IF((Исходн.данные.!K292*GO292*GS292*GW292+BL292*0.6+Исходн.данные.!Q292*4.5*0.275)&gt;90,"Да","Нет")</f>
        <v>#N/A</v>
      </c>
      <c r="FU292" s="38" t="e">
        <f>IF((Исходн.данные.!M292*GS292*GZ292+BM292*0.225)&gt;35,"Да","Нет")</f>
        <v>#N/A</v>
      </c>
      <c r="FV292" s="38" t="str">
        <f>IF(Исходн.данные.!O292&gt;175,"Да","Нет")</f>
        <v>Нет</v>
      </c>
      <c r="FW292" s="39" t="str">
        <f>IF(Исходн.данные.!I292&gt;5.5,"Да","Нет")</f>
        <v>Нет</v>
      </c>
      <c r="FX292" s="39" t="str">
        <f>IF(Исходн.данные.!J292&lt;2,"Да","Нет")</f>
        <v>Да</v>
      </c>
      <c r="FY292" s="39" t="e">
        <f>IF(HF292=$FY$16,0,Исходн.данные.!K292*GO292*GS292*GW292/HF292)</f>
        <v>#N/A</v>
      </c>
      <c r="FZ292" s="39" t="e">
        <f>Исходн.данные.!M292*GS292*GZ292/HG292</f>
        <v>#N/A</v>
      </c>
      <c r="GA292" s="39" t="e">
        <f>IF(K_Wyn=$FY$16,0,IF(Исходн.данные.!N292=Исходн.данные.!$L$10,Исходн.данные.!O292/1.1*GS292*HC292/HH292,IF(Исходн.данные.!N292=Исходн.данные.!$L$12,Исходн.данные.!O292/1.5*GS292*HC292/HH292,Исходн.данные.!O292*GS292*HC292/HH292)))</f>
        <v>#N/A</v>
      </c>
      <c r="GB292" s="39" t="e">
        <f>IF(HF292=$FY$16,0,((Исходн.данные.!Q292*N_Org+Исходн.данные.!R292*N_Sider+Исходн.данные.!S292*N_Soloma)*AO292+Расчет!BC292*VLOOKUP(Исходн.данные.!T292,Справ!$A$3:$O$57,15)*AO292+BB292*VLOOKUP(Исходн.данные.!T292,Справ!$A$3:$O$57,15)*AL292+(Исходн.данные.!V292*N_Rizotorf+Исходн.данные.!W292*N_Rizoagr))/HF292)</f>
        <v>#N/A</v>
      </c>
      <c r="GC292" s="39" t="e">
        <f>IF(HG292=$FY$16,0,((Исходн.данные.!Q292*Р_Org+Исходн.данные.!R292*P_Sider+Исходн.данные.!S292*P_Soloma)*AP292+Расчет!BC292*VLOOKUP(Исходн.данные.!T292,Справ!$A$3:$P$57,16)*AP292+BB292*VLOOKUP(Исходн.данные.!T292,Справ!$A$3:$P$57,16)*AM292)/HG292)</f>
        <v>#N/A</v>
      </c>
      <c r="GD292" s="39" t="e">
        <f>IF(HH292=$FY$16,0,((Исходн.данные.!Q292*К_Org+Исходн.данные.!R292*K_Sider+Исходн.данные.!S292*K_Soloma)*AQ292+Расчет!BC292*VLOOKUP(Исходн.данные.!T292,Справ!$A$3:$Q$57,17)*AQ292+BB292*VLOOKUP(Исходн.данные.!T292,Справ!$A$3:$Q$57,17)*AN292)/HH292)</f>
        <v>#N/A</v>
      </c>
      <c r="GE292" s="39" t="e">
        <f>IF(HF292=$FY$16,0,(Исходн.данные.!X292*AR292+Исходн.данные.!AA292*N_Org*AL292+Исходн.данные.!AB292*N_Sider*AL292+Исходн.данные.!AC292*N_Soloma*AL292)/HF292)</f>
        <v>#N/A</v>
      </c>
      <c r="GF292" s="39" t="e">
        <f>IF(HG292=$FY$16,0,(Исходн.данные.!Y292*AS292+Исходн.данные.!AA292*Р_Org*AM292+Исходн.данные.!AB292*P_Sider*AM292+Исходн.данные.!AC292*P_Soloma*AM292)/HG292)</f>
        <v>#N/A</v>
      </c>
      <c r="GG292" s="39" t="e">
        <f>IF(HH292=$FY$16,0,(Исходн.данные.!Z292*AT292+Исходн.данные.!AA292*К_Org*AN292+Исходн.данные.!AB292*K_Sider*AN292+Исходн.данные.!AC292*K_Soloma*AN292)/HH292)</f>
        <v>#N/A</v>
      </c>
      <c r="GH292" s="39" t="e">
        <f>Исходн.данные.!AD292*AU292/HF292</f>
        <v>#N/A</v>
      </c>
      <c r="GI292" s="39" t="e">
        <f>Исходн.данные.!AE292*AV292/HG292</f>
        <v>#N/A</v>
      </c>
      <c r="GJ292" s="39" t="e">
        <f>Исходн.данные.!AF292*AW292/HH292</f>
        <v>#N/A</v>
      </c>
      <c r="GK292" s="55">
        <f>Исходн.данные.!AK292</f>
        <v>0</v>
      </c>
      <c r="GL292" s="11" t="e">
        <f t="shared" si="409"/>
        <v>#N/A</v>
      </c>
      <c r="GM292" s="11" t="e">
        <f t="shared" si="410"/>
        <v>#N/A</v>
      </c>
      <c r="GN292" s="11" t="e">
        <f t="shared" si="411"/>
        <v>#N/A</v>
      </c>
      <c r="GO292" s="57">
        <f t="shared" si="412"/>
        <v>19</v>
      </c>
      <c r="GP292" s="55">
        <f>IF(OR(Исходн.данные.!F292=$CE$1,Исходн.данные.!F292=$CE$2,Исходн.данные.!F292=$CE$3,Исходн.данные.!F292=$CE$4,Исходн.данные.!F292=$CE$5),GQ292,GR292)</f>
        <v>19</v>
      </c>
      <c r="GQ292" s="55">
        <f>IF(Исходн.данные.!F292=$CE$1,28,IF(Исходн.данные.!F292=$CE$2,26,IF(Исходн.данные.!F292=$CE$3,24,IF(Исходн.данные.!F292=$CE$4,22,IF(Исходн.данные.!F292=$CE$5,20,GR292)))))</f>
        <v>19</v>
      </c>
      <c r="GR292" s="55">
        <f>IF(Исходн.данные.!F292=$CE$6,18,IF(Исходн.данные.!F292=$CE$7,16,IF(Исходн.данные.!F292=$CE$8,14,IF(Исходн.данные.!F292=$CE$9,13,IF(Исходн.данные.!F292=$CE$10,12,19)))))</f>
        <v>19</v>
      </c>
      <c r="GS292" s="55">
        <f>IF(Исходн.данные.!G292="Пес",0.035*(40+2*Исходн.данные.!H292),IF(Исходн.данные.!G292="Суп",0.0325*(40+2*Исходн.данные.!H292),0.03*(40+2*Исходн.данные.!H292)))</f>
        <v>1.2</v>
      </c>
      <c r="GT292" s="55">
        <f>IF(Исходн.данные.!H292&lt;23,2.6,IF(AND(Исходн.данные.!H292&gt;22,Исходн.данные.!H292&lt;26),3,IF(AND(Исходн.данные.!H292&gt;25,Исходн.данные.!H292&lt;29),3.4,3.6)))</f>
        <v>2.6</v>
      </c>
      <c r="GU292" s="55">
        <f>IF(Исходн.данные.!H292&lt;23,2.8,IF(AND(Исходн.данные.!H292&gt;22,Исходн.данные.!H292&lt;26),3.2,IF(AND(Исходн.данные.!H292&gt;25,Исходн.данные.!H292&lt;29),3.6,3.9)))</f>
        <v>2.8</v>
      </c>
      <c r="GV292" s="55">
        <f>IF(Исходн.данные.!H292&lt;23,3,IF(AND(Исходн.данные.!H292&gt;22,Исходн.данные.!H292&lt;26),3.5,IF(AND(Исходн.данные.!H292&gt;25,Исходн.данные.!H292&lt;29),3.9,4.2)))</f>
        <v>3</v>
      </c>
      <c r="GW292" s="55" t="e">
        <f>IF(Исходн.данные.!P292="Ум",GX292,GY292)</f>
        <v>#N/A</v>
      </c>
      <c r="GX292" s="55" t="e">
        <f>VLOOKUP(Исходн.данные.!AI292,Коэффициенты!$J$7:$L$13,2,FALSE)</f>
        <v>#N/A</v>
      </c>
      <c r="GY292" s="55" t="e">
        <f>VLOOKUP(Исходн.данные.!AI292,Коэффициенты!$J$7:$L$13,3,FALSE)</f>
        <v>#N/A</v>
      </c>
      <c r="GZ292" s="55" t="e">
        <f>(IF(Исходн.данные.!M292&lt;50,0.11*VLOOKUP(Исходн.данные.!AH292,Культуры.Информация,7,FALSE),IF(Исходн.данные.!M292&gt;250,0.05*VLOOKUP(Исходн.данные.!AH292,Культуры.Информация,7,FALSE),VLOOKUP(Исходн.данные.!AH292,Культуры.Информация,5,FALSE)/100*($GX$6+$GY$6*Исходн.данные.!M292))))*Расчет2!AI292</f>
        <v>#N/A</v>
      </c>
      <c r="HA292" s="211"/>
      <c r="HB292" s="211"/>
      <c r="HC292" s="55" t="e">
        <f>(IF(Исходн.данные.!O292&lt;80,0.2*VLOOKUP(Исходн.данные.!AH292,Культуры.Информация,8,FALSE),IF(Исходн.данные.!O292&gt;240,0.09*VLOOKUP(Исходн.данные.!AH292,Культуры.Информация,8,FALSE),VLOOKUP(Исходн.данные.!AH292,Культуры.Информация,6,FALSE)/100*($HB$6+$HC$6*Исходн.данные.!O292))))*Расчет2!AJ292</f>
        <v>#N/A</v>
      </c>
      <c r="HD292" s="55">
        <f>IF(Исходн.данные.!O292&gt;240,0.09,IF(Исходн.данные.!O292&lt;30,0.3,$HE$10+$HD$10*Исходн.данные.!O292))</f>
        <v>0.3</v>
      </c>
      <c r="HE292" s="55">
        <f>IF(Исходн.данные.!O292&gt;240,0.17,IF(Исходн.данные.!O292&lt;30,0.5,$HF$12+$HE$12*Исходн.данные.!O292))</f>
        <v>0.5</v>
      </c>
      <c r="HF292" s="55" t="e">
        <f>VLOOKUP(Исходн.данные.!AH292,Справ!$A$3:$D$58,2,FALSE)</f>
        <v>#N/A</v>
      </c>
      <c r="HG292" s="55" t="e">
        <f>VLOOKUP(Исходн.данные.!AH292,Справ!$A$3:$D$58,3,FALSE)</f>
        <v>#N/A</v>
      </c>
      <c r="HH292" s="55" t="e">
        <f>VLOOKUP(Исходн.данные.!AH292,Справ!$A$3:$D$58,4,FALSE)</f>
        <v>#N/A</v>
      </c>
      <c r="HI292" s="11" t="e">
        <f t="shared" si="413"/>
        <v>#N/A</v>
      </c>
      <c r="HJ292" s="11" t="e">
        <f t="shared" si="414"/>
        <v>#N/A</v>
      </c>
      <c r="HK292" s="11" t="e">
        <f t="shared" si="415"/>
        <v>#N/A</v>
      </c>
      <c r="HL292" s="55">
        <f>IF(OR(Исходн.данные.!G292="Глин",Исходн.данные.!G292="Т_суг"),1.1,IF(Исходн.данные.!G292="Ср_суг",1,1))</f>
        <v>1</v>
      </c>
      <c r="HM292" s="55">
        <f>IF(OR(Исходн.данные.!G292="Глин",Исходн.данные.!G292="Т_суг"),0.9,IF(Исходн.данные.!G292="Ср_суг",1,1.2))</f>
        <v>1.2</v>
      </c>
      <c r="HN292" s="11" t="e">
        <f t="shared" si="416"/>
        <v>#N/A</v>
      </c>
      <c r="HO292" s="11" t="e">
        <f t="shared" si="417"/>
        <v>#N/A</v>
      </c>
      <c r="HP292" s="11" t="e">
        <f t="shared" si="418"/>
        <v>#N/A</v>
      </c>
      <c r="HQ292" t="e">
        <f t="shared" si="419"/>
        <v>#N/A</v>
      </c>
      <c r="HR292" t="e">
        <f t="shared" si="420"/>
        <v>#N/A</v>
      </c>
      <c r="HS292" t="e">
        <f t="shared" si="421"/>
        <v>#N/A</v>
      </c>
      <c r="HT292" t="e">
        <f t="shared" si="367"/>
        <v>#N/A</v>
      </c>
      <c r="HU292" t="e">
        <f t="shared" si="368"/>
        <v>#N/A</v>
      </c>
      <c r="HV292" t="e">
        <f t="shared" si="369"/>
        <v>#N/A</v>
      </c>
      <c r="HW292" t="e">
        <f t="shared" si="370"/>
        <v>#N/A</v>
      </c>
      <c r="HX292" t="e">
        <f t="shared" si="371"/>
        <v>#N/A</v>
      </c>
      <c r="HY292" t="e">
        <f t="shared" si="372"/>
        <v>#N/A</v>
      </c>
      <c r="HZ292" s="55">
        <f>IF(OR(Исходн.данные.!AI292="Оз_Ч_П",Исходн.данные.!AI292="Оз_З_П",Исходн.данные.!AI292="Яр_зер"),12,30)</f>
        <v>30</v>
      </c>
      <c r="IA292" t="e">
        <f t="shared" si="422"/>
        <v>#N/A</v>
      </c>
      <c r="IB292" t="e">
        <f t="shared" si="423"/>
        <v>#N/A</v>
      </c>
      <c r="IC292" t="e">
        <f t="shared" si="424"/>
        <v>#N/A</v>
      </c>
      <c r="ID292" s="11" t="e">
        <f t="shared" si="425"/>
        <v>#N/A</v>
      </c>
      <c r="IE292" s="11" t="e">
        <f t="shared" si="426"/>
        <v>#N/A</v>
      </c>
      <c r="IF292" s="11" t="e">
        <f t="shared" si="427"/>
        <v>#N/A</v>
      </c>
    </row>
    <row r="293" spans="35:240" x14ac:dyDescent="0.2">
      <c r="AI293">
        <f>IF(Исходн.данные.!I293&gt;6,1,1.85-(0.148*Исходн.данные.!I293))</f>
        <v>1.85</v>
      </c>
      <c r="AJ293">
        <f>IF(Исходн.данные.!I293&gt;6,1,2.434-(0.246*Исходн.данные.!I293))</f>
        <v>2.4340000000000002</v>
      </c>
      <c r="AL293" s="148" t="b">
        <f>IF(Исходн.данные.!$P293="Ум",N_OrgUd_2g_um,IF(Исходн.данные.!$P293="Об",N_OrgUd_2g_ob))</f>
        <v>0</v>
      </c>
      <c r="AM293" s="148" t="b">
        <f>IF(Исходн.данные.!$P293="Ум",P_OrgUd_2g_um,IF(Исходн.данные.!$P293="Об",P_OrgUd_2g_ob))</f>
        <v>0</v>
      </c>
      <c r="AN293" s="148" t="b">
        <f>IF(Исходн.данные.!$P293="Ум",K_OrgUd_2g_um,IF(Исходн.данные.!$P293="Об",K_OrgUd_2g_ob))</f>
        <v>0</v>
      </c>
      <c r="AO293" s="148" t="b">
        <f>IF(Исходн.данные.!$P293="Ум",N_OrgUd_1g_um,IF(Исходн.данные.!$P293="Об",N_OrgUd_1g_ob))</f>
        <v>0</v>
      </c>
      <c r="AP293" s="148" t="b">
        <f>IF(Исходн.данные.!$P293="Ум",P_OrgUd_1g_um,IF(Исходн.данные.!$P293="Об",P_OrgUd_1g_ob))</f>
        <v>0</v>
      </c>
      <c r="AQ293" s="148" t="b">
        <f>IF(Исходн.данные.!$P293="Ум",K_OrgUd_1g_um,IF(Исходн.данные.!$P293="Об",K_OrgUd_1g_ob))</f>
        <v>0</v>
      </c>
      <c r="AR293" t="b">
        <f>IF(Исходн.данные.!$P293="Ум",N_MinUd_2g_um,IF(Исходн.данные.!$P293="Об",N_MinUd_2g_ob))</f>
        <v>0</v>
      </c>
      <c r="AS293" t="b">
        <f>IF(Исходн.данные.!$P293="Ум",P_MinUd_2g_um,IF(Исходн.данные.!$P293="Об",P_MinUd_2g_ob))</f>
        <v>0</v>
      </c>
      <c r="AT293" t="b">
        <f>IF(Исходн.данные.!$P293="Ум",K_MinUd_2g_um,IF(Исходн.данные.!$P293="Об",K_MinUd_2g_ob))</f>
        <v>0</v>
      </c>
      <c r="AU293" t="b">
        <f>IF(Исходн.данные.!$P293="Ум",N_MinUd_1g_um,IF(Исходн.данные.!$P293="Об",N_MinUd_1g_ob))</f>
        <v>0</v>
      </c>
      <c r="AV293" t="b">
        <f>IF(Исходн.данные.!P293="Ум",P_MinUd_1g_um,IF(Исходн.данные.!P293="Об",P_MinUd_1g_ob))</f>
        <v>0</v>
      </c>
      <c r="AW293" t="b">
        <f>IF(Исходн.данные.!P293="Ум",K_MinUd_1g_um,IF(Исходн.данные.!P293="Об",K_MinUd_1g_ob))</f>
        <v>0</v>
      </c>
      <c r="AY293" t="e">
        <f>VLOOKUP(Исходн.данные.!T293,Справ!$A$3:$N$57,12)</f>
        <v>#N/A</v>
      </c>
      <c r="AZ293" t="e">
        <f>VLOOKUP(Исходн.данные.!T293,Справ!$A$3:$N$57,13)</f>
        <v>#N/A</v>
      </c>
      <c r="BA293" t="e">
        <f>VLOOKUP(Исходн.данные.!T293,Справ!$A$3:$N$57,14)</f>
        <v>#N/A</v>
      </c>
      <c r="BB293">
        <f>IF(Исходн.данные.!AH293=0,0,25)</f>
        <v>0</v>
      </c>
      <c r="BC293" s="141">
        <f>IF(Исходн.данные.!AH293=0,0,IF(Исходн.данные.!T293=0,25,BD293))</f>
        <v>0</v>
      </c>
      <c r="BD293" s="168" t="e">
        <f>AY293+AZ293*Исходн.данные.!U293-POWER(BA293,2)*Исходн.данные.!U293</f>
        <v>#N/A</v>
      </c>
      <c r="BE29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3" s="25">
        <f>IF(Исходн.данные.!AH293=0,0,MIN(HN293:HP293))</f>
        <v>0</v>
      </c>
      <c r="BG293" s="9">
        <f>IF(Исходн.данные.!AH293=0,0,IF((HO293+10*0.25/HG293/HL293)&lt;17,17,HO293+10*0.25/HG293/HL293))</f>
        <v>0</v>
      </c>
      <c r="BH293" s="181">
        <f>IF(Исходн.данные.!AH293=0,0,HW293*HF293*HL293/AU293*AI293+Исходн.данные.!S293*10)</f>
        <v>0</v>
      </c>
      <c r="BI293" s="10"/>
      <c r="BJ293" s="182">
        <f>IF(Исходн.данные.!AH293=0,0,IF(HX293*HG293*HL293/AV293&lt;0,0,HX293*HG293*HL293/AV293*AJ293))</f>
        <v>0</v>
      </c>
      <c r="BK293" s="182">
        <f>IF(Исходн.данные.!AH293=0,0,HY293*HH293*HM293/AW293)</f>
        <v>0</v>
      </c>
      <c r="BL293" s="10">
        <f>IF(OR(Исходн.данные.!$AH293=$BP$1,Исходн.данные.!$AH293=$BP$2),0,IF(BH293&lt;0,0,IF(OR(Исходн.данные.!T293=Расчет!$BP$1,Исходн.данные.!T293=Расчет!$BP$2,Исходн.данные.!T293=Расчет!$BT$5,Исходн.данные.!T293=Расчет!$BT$6),BH293*0.5,IF(OR(Исходн.данные.!T293=Расчет!$BS$9,Исходн.данные.!T293=Расчет!$BS$10,Исходн.данные.!T293=Расчет!$BS$11,Исходн.данные.!T293=Расчет!$BS$12,Исходн.данные.!T293=Расчет!$BP$5),BH293*0.8,BH293))))</f>
        <v>0</v>
      </c>
      <c r="BM293" s="10">
        <f>IF(OR(Исходн.данные.!$AH293=$BP$1,Исходн.данные.!$AH293=$BP$2),0,IF(BJ293&lt;0,0,IF(Исходн.данные.!I293&lt;4.5,BJ293*1.2,IF(Исходн.данные.!I293&gt;5.1,BJ293,BJ293*((5.1-Исходн.данные.!I293)*0.333+1)))))</f>
        <v>0</v>
      </c>
      <c r="BN293" s="10">
        <f>IF(OR(Исходн.данные.!$AH293=$BP$1,Исходн.данные.!$AH293=$BP$2),60-Исходн.данные.!AF293,IF(BK293&lt;0,0,IF(Исходн.данные.!I293&lt;4.5,BK293*1.2,IF(Исходн.данные.!I293&gt;5.1,BK293,BK293*((5.1-Исходн.данные.!I293)*0.333+1)))))</f>
        <v>0</v>
      </c>
      <c r="BO293" s="9">
        <f>IF(BL293&lt;0,0,BL293*Исходн.данные.!$AJ293/1000)</f>
        <v>0</v>
      </c>
      <c r="BP293" s="9">
        <f>IF(BM293&lt;0,0,BM293*Исходн.данные.!$AJ293/1000)</f>
        <v>0</v>
      </c>
      <c r="BQ293" s="9">
        <f>IF(BN293&lt;0,0,BN293*Исходн.данные.!$AJ293/1000)</f>
        <v>0</v>
      </c>
      <c r="BR293" s="9">
        <f t="shared" si="377"/>
        <v>0</v>
      </c>
      <c r="BS293" s="10" t="str">
        <f t="shared" si="378"/>
        <v>Аммофос 12:52:00</v>
      </c>
      <c r="BT293" s="10" t="str">
        <f t="shared" si="379"/>
        <v>Аммофос 12:52:00</v>
      </c>
      <c r="BU293" s="10" t="str">
        <f t="shared" si="380"/>
        <v>Диаммофоска</v>
      </c>
      <c r="BV293" s="10">
        <f t="shared" si="381"/>
        <v>0</v>
      </c>
      <c r="BW293" s="10"/>
      <c r="BX293" s="10"/>
      <c r="BY293" s="9">
        <f>IF(BL293&lt;0,0,IF(OR(Исходн.данные.!AI293=Расчет!$BU$6,Исходн.данные.!AI293=Расчет!$BU$7),Расчет!BV293,IF(Исходн.данные.!$AG293=$BV$11,BL293,IF(OR(Исходн.данные.!$AH293=$BQ$7,Исходн.данные.!$AH293=$BQ$8),CB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0,IF(Исходн.данные.!$AI293=$BU$11,"Нет",IF(BL293&gt;30,30,BL293)))))))</f>
        <v>0</v>
      </c>
      <c r="BZ293" s="9">
        <f>IF(AND(Исходн.данные.!$AG293=$BV$11,BM293&lt;10),10,IF(Исходн.данные.!$AG293=$BV$11,BM293,IF(OR(Исходн.данные.!$AH293=$BQ$7,Исходн.данные.!$AH293=$BQ$8),CC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10,IF(Исходн.данные.!$AI293=$BU$11,"Нет",IF(BM293&gt;60,60,IF(BM293&lt;10,10,BM293)))))))</f>
        <v>10</v>
      </c>
      <c r="CA293" s="39">
        <f>IF(BN293&lt;0,0,IF(Исходн.данные.!$AG293=$BV$11,BN293,IF(OR(Исходн.данные.!$AH293=$BQ$7,Исходн.данные.!$AH293=$BQ$8),CD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0,IF(Исходн.данные.!$AI293=$BU$11,"Нет",IF(BN293&gt;30,30,BN293))))))</f>
        <v>0</v>
      </c>
      <c r="CB293" s="9">
        <f t="shared" si="382"/>
        <v>0</v>
      </c>
      <c r="CC293" s="9">
        <f t="shared" si="383"/>
        <v>0</v>
      </c>
      <c r="CD293" s="9">
        <f t="shared" si="384"/>
        <v>0</v>
      </c>
      <c r="CE293" s="12">
        <f t="shared" si="385"/>
        <v>10</v>
      </c>
      <c r="CF293" s="9">
        <f t="shared" si="386"/>
        <v>0</v>
      </c>
      <c r="CG293" s="9" t="s">
        <v>231</v>
      </c>
      <c r="CH293" s="132" t="str">
        <f>IF(Исходн.данные.!AP293=Расчет!$CI$16,"Нет",IF(Исходн.данные.!AL293&gt;0,Исходн.данные.!AL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BH$4,IF(OR(Исходн.данные.!AI293=Исходн.данные.!$AI$6,Исходн.данные.!AI293=Исходн.данные.!$AI$7),Расчет!BS293,IF(AND($CF293=0,$CE293&gt;0),EV293,ER293)))))</f>
        <v>Аммофос 12:52:00</v>
      </c>
      <c r="CI293" s="274">
        <f>IF(Расчет!$CH293="Нет","Нет",IF(Исходн.данные.!$AL293&gt;0,VLOOKUP(Расчет!$CH293,АшламаДВ_Irekle,2,FALSE),VLOOKUP(Расчет!$CH293,АшламаДВ_Gomumy,2,FALSE)))</f>
        <v>0.12</v>
      </c>
      <c r="CJ293" s="274">
        <f>IF(Расчет!$CH293="Нет","Нет",IF(Исходн.данные.!$AL293&gt;0,VLOOKUP(Расчет!$CH293,АшламаДВ_Irekle,3,FALSE),VLOOKUP(Расчет!$CH293,АшламаДВ_Gomumy,3,FALSE)))</f>
        <v>0.52</v>
      </c>
      <c r="CK293" s="274">
        <f>IF(Расчет!$CH293="Нет","Нет",IF(Исходн.данные.!$AL293&gt;0,VLOOKUP(Расчет!$CH293,АшламаДВ_Irekle,4,FALSE),VLOOKUP(Расчет!$CH293,АшламаДВ_Gomumy,4,FALSE)))</f>
        <v>0</v>
      </c>
      <c r="CL293" s="70"/>
      <c r="CM293" s="70"/>
      <c r="CN293" s="70"/>
      <c r="CO293" s="70"/>
      <c r="CP293" s="70"/>
      <c r="CQ293" s="70"/>
      <c r="CR293" s="10">
        <f t="shared" si="387"/>
        <v>0</v>
      </c>
      <c r="CS293" s="10">
        <f t="shared" si="388"/>
        <v>19.23076923076923</v>
      </c>
      <c r="CT293" s="10">
        <f t="shared" si="389"/>
        <v>0</v>
      </c>
      <c r="CU293" s="39">
        <f>IF($CH293="Нет",0,IF(CI293=0,30/MIN(CJ293:CK293),IF(Исходн.данные.!$AG293=$BV$11,CR293,IF(OR(Исходн.данные.!$AH293=$BQ$7,Исходн.данные.!$AH293=$BQ$8),90/CI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0,IF(Исходн.данные.!$AI293=$BU$11,"Нет",30/CI293))))))</f>
        <v>250</v>
      </c>
      <c r="CV293" s="39">
        <f>IF($CH293="Нет",0,IF(Исходн.данные.!AH293=0,0,IF(CJ293=0,60/MIN(CI293,CK293),IF(Исходн.данные.!$AG293=$BV$11,CS293,IF(OR(Исходн.данные.!$AH293=$BQ$7,Исходн.данные.!$AH293=$BQ$8),90/CJ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10/CJ293,IF(Исходн.данные.!$AI293=$BU$11,"Нет",60/CJ293)))))))</f>
        <v>0</v>
      </c>
      <c r="CW293" s="39">
        <f>IF($CH293="Нет",0,IF(Исходн.данные.!AH293=0,0,IF(CK293=0,30/MIN(CI293:CJ293),IF(Исходн.данные.!$AG293=$BV$11,CT293,IF(OR(Исходн.данные.!$AH293=$BQ$7,Исходн.данные.!$AH293=$BQ$8),90/CK293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0,IF(Исходн.данные.!$AI293=$BU$11,"Нет",30/CK293)))))))</f>
        <v>0</v>
      </c>
      <c r="CX293" s="133">
        <f>IF(Исходн.данные.!$AG293=$BV$11,MAX(CU293:CW293),IF(OR(Исходн.данные.!$AH293=$BS$8,Исходн.данные.!$AH293=$BQ$9,Исходн.данные.!$AH293=$BQ$10,Исходн.данные.!$AH293=$BQ$11,Исходн.данные.!$AH293=$BQ$12,Исходн.данные.!$AH293=$BP$3,Исходн.данные.!$AH293=$BT$8,$FM293="Да"),CV293,MIN(CU293:CW293)))</f>
        <v>0</v>
      </c>
      <c r="CY293" s="133">
        <f>IF(Исходн.данные.!AH293=0,0,IF(CR293&gt;$CX293,$CX293,CR293))</f>
        <v>0</v>
      </c>
      <c r="CZ293" s="133">
        <f>IF(Исходн.данные.!AH293=0,0,IF(CS293&gt;$CX293,$CX293,CS293))</f>
        <v>0</v>
      </c>
      <c r="DA293" s="133">
        <f>IF(Исходн.данные.!AH293=0,0,IF(CT293&gt;$CX293,$CX293,CT293))</f>
        <v>0</v>
      </c>
      <c r="DB293" s="10">
        <f t="shared" si="390"/>
        <v>0</v>
      </c>
      <c r="DC293" s="39">
        <f>DB293*Исходн.данные.!AJ293/1000</f>
        <v>0</v>
      </c>
      <c r="DD293" s="71">
        <f t="shared" si="391"/>
        <v>0</v>
      </c>
      <c r="DE293" s="9">
        <f t="shared" si="392"/>
        <v>0</v>
      </c>
      <c r="DF293" s="9">
        <f t="shared" si="393"/>
        <v>0</v>
      </c>
      <c r="DG293" s="39">
        <f>IF(BL293&lt;0,0,IF($CH293="Нет",BL293,IF(OR(Исходн.данные.!$AH293=$BP$1,Исходн.данные.!$AH293=$BP$2),0,IF(Исходн.данные.!AI293=$BU$11,BL293,IF(BL293-DD293&lt;0,0,BL293-DD293)))))</f>
        <v>0</v>
      </c>
      <c r="DH293" s="39">
        <f>IF(BM293&lt;0,0,IF($CH293="Нет",BM293,IF(OR(Исходн.данные.!$AH293=$BP$1,Исходн.данные.!$AH293=$BP$2),0,IF(Исходн.данные.!AJ293=$BU$11,BM293,IF(BM293-DE293&lt;0,0,BM293-DE293)))))</f>
        <v>0</v>
      </c>
      <c r="DI293" s="39">
        <f>IF(BN293&lt;0,0,IF($CH293="Нет",BN293,IF(OR(Исходн.данные.!$AH293=$BP$1,Исходн.данные.!$AH293=$BP$2),0,IF(Исходн.данные.!AK293=$BU$11,BN293,IF(BN293-DF293&lt;0,0,BN293-DF293)))))</f>
        <v>0</v>
      </c>
      <c r="DJ293" s="12">
        <f t="shared" si="394"/>
        <v>0</v>
      </c>
      <c r="DK293" s="9">
        <f t="shared" si="395"/>
        <v>0</v>
      </c>
      <c r="DL293" s="39">
        <f>IF(Исходн.данные.!AM293&gt;0,Исходн.данные.!AM293,IF(EG293&gt;0,$BH$10,0))</f>
        <v>0</v>
      </c>
      <c r="DM293" s="186">
        <f>IF($DL293=0,0,IF(Исходн.данные.!AM293&gt;0,VLOOKUP($DL293,АшламаДВ_Irekle,2,FALSE),VLOOKUP($DL293,АшламаДВ_Gomumy,2,FALSE)))</f>
        <v>0</v>
      </c>
      <c r="DN293" s="10">
        <f t="shared" si="373"/>
        <v>0</v>
      </c>
      <c r="DO293" s="9" t="str">
        <f>IF(Исходн.данные.!AN293&gt;0,Исходн.данные.!AN293,Удобрения!$B$37 )</f>
        <v>Хлор.калий</v>
      </c>
      <c r="DP293" s="9">
        <f>IF(Исходн.данные.!AN293&gt;0,VLOOKUP(Исходн.данные.!AN293,АшламаДВ_Irekle,4,FALSE),VLOOKUP(DO293,АшламаДВ_Gomumy,4,FALSE))</f>
        <v>0.6</v>
      </c>
      <c r="DQ293" s="10">
        <f t="shared" si="374"/>
        <v>0</v>
      </c>
      <c r="DR293" s="132" t="str">
        <f>IF(Исходн.данные.!AO293&gt;0,Исходн.данные.!AO293,IF(DH293=0,BS$17,IF(AND($DK293=0,$DJ293&gt;0),EJ293,EN293)))</f>
        <v>Нет</v>
      </c>
      <c r="DS293" s="70" t="str">
        <f>IF($DR293="Нет","Нет",IF(Исходн.данные.!$AO293&gt;0,VLOOKUP($DR293,АшламаДВ_Irekle,2,FALSE),VLOOKUP($DR293,АшламаДВ_Gomumy,2,FALSE)))</f>
        <v>Нет</v>
      </c>
      <c r="DT293" s="70" t="str">
        <f>IF($DR293="Нет","Нет",IF(Исходн.данные.!$AO293&gt;0,VLOOKUP($DR293,АшламаДВ_Irekle,3,FALSE),VLOOKUP($DR293,АшламаДВ_Gomumy,3,FALSE)))</f>
        <v>Нет</v>
      </c>
      <c r="DU293" s="70" t="str">
        <f>IF($DR293="Нет","Нет",IF(Исходн.данные.!$AO293&gt;0,VLOOKUP($DR293,АшламаДВ_Irekle,4,FALSE),VLOOKUP($DR293,АшламаДВ_Gomumy,4,FALSE)))</f>
        <v>Нет</v>
      </c>
      <c r="DV293" s="70"/>
      <c r="DW293" s="70"/>
      <c r="DX293" s="70"/>
      <c r="DY293" s="10">
        <f t="shared" si="396"/>
        <v>0</v>
      </c>
      <c r="DZ293" s="10">
        <f t="shared" si="397"/>
        <v>0</v>
      </c>
      <c r="EA293" s="10">
        <f t="shared" si="398"/>
        <v>0</v>
      </c>
      <c r="EB293" s="10">
        <f t="shared" si="399"/>
        <v>0</v>
      </c>
      <c r="EC293" s="10">
        <f t="shared" si="400"/>
        <v>0</v>
      </c>
      <c r="ED293" s="10">
        <f t="shared" si="401"/>
        <v>0</v>
      </c>
      <c r="EE293" s="10">
        <f t="shared" si="402"/>
        <v>0</v>
      </c>
      <c r="EF293" s="39">
        <f>EB293*Исходн.данные.!AJ293/1000</f>
        <v>0</v>
      </c>
      <c r="EG293" s="9">
        <f t="shared" si="403"/>
        <v>0</v>
      </c>
      <c r="EH293" s="9">
        <f t="shared" si="404"/>
        <v>0</v>
      </c>
      <c r="EI293" s="39" t="e">
        <f t="shared" si="354"/>
        <v>#DIV/0!</v>
      </c>
      <c r="EJ293" s="9" t="str">
        <f t="shared" si="375"/>
        <v>Азопреципитат</v>
      </c>
      <c r="EK293" s="12">
        <f t="shared" si="355"/>
        <v>0.26</v>
      </c>
      <c r="EL293" s="12">
        <f t="shared" si="356"/>
        <v>0.13</v>
      </c>
      <c r="EM293" s="12">
        <f t="shared" si="357"/>
        <v>0</v>
      </c>
      <c r="EN293" s="12" t="str">
        <f t="shared" si="376"/>
        <v>Нет</v>
      </c>
      <c r="EO293" s="12">
        <f t="shared" si="358"/>
        <v>0</v>
      </c>
      <c r="EP293" s="12">
        <f t="shared" si="359"/>
        <v>0</v>
      </c>
      <c r="EQ293" s="12">
        <f t="shared" si="360"/>
        <v>0</v>
      </c>
      <c r="ER293" s="12" t="str">
        <f t="shared" si="405"/>
        <v>Диаммофоска</v>
      </c>
      <c r="ES293" s="12">
        <f t="shared" si="361"/>
        <v>0.1</v>
      </c>
      <c r="ET293" s="12">
        <f t="shared" si="362"/>
        <v>0.26</v>
      </c>
      <c r="EU293" s="12">
        <f t="shared" si="363"/>
        <v>0.26</v>
      </c>
      <c r="EV293" s="12" t="str">
        <f t="shared" si="406"/>
        <v>Аммофос 12:52:00</v>
      </c>
      <c r="EW293" s="12" t="str">
        <f t="shared" si="407"/>
        <v>Кемира Свекловичное-6</v>
      </c>
      <c r="EX293" s="12">
        <f t="shared" si="364"/>
        <v>0.16</v>
      </c>
      <c r="EY293" s="12">
        <f t="shared" si="365"/>
        <v>0.12</v>
      </c>
      <c r="EZ293" s="12">
        <f t="shared" si="366"/>
        <v>0.17</v>
      </c>
      <c r="FA293" s="38" t="e">
        <f>IF(AND(OR(FJ293=$FD$1,FM293=$FD$1,FO293=$FD$1,FQ293=$FD$1,FS293=$FD$1),FD293=$FD$1,Исходн.данные.!J293&lt;2,FU293=$FD$1),"Бор,Кобальт",IF(AND(FO293=$FD$1,FH293=$FD$1,Исходн.данные.!J293&lt;2,FU293=$FD$1),"Бор,Кобальт",IF(AND(OR(FJ293=$FD$1,FM293=$FD$1,FQ293=$FD$1),FE293=$FD$1,Исходн.данные.!J293&lt;2,FT293=$FD$1,FU293=$FD$1),"Бор,Медь,Цинк",IF(AND(OR(FJ293=$FD$1,FR293="Да"),FI293="Да",Исходн.данные.!J293&lt;2,FT293="Да",FU293="Да"),"Бор,Цинк,Медь",IF(AND(OR(FM293="Да",FQ293="Да"),FI293="Да",Исходн.данные.!J293&lt;2,FT293="Да",FU293="Да"),"Бор,Цинк",IF(AND(FN293="Да",OR(FD293="Да",FE293="Да")),"Бор",FB293))))))</f>
        <v>#N/A</v>
      </c>
      <c r="FB293" s="134" t="e">
        <f>IF(AND(OR(FD293="Да",FE293="Да",FF293="Да",FG293="Да",FH293="Да"),FO293="Да"),"Бор",IF(AND(FP293="Да",OR(FD293="Да",FE293="Да",FI293="Да")),"Бор",IF(AND(FS293="Да",FE293="Да"),"Бор,Медь",IF(AND(OR(FJ293="Да",FK293="Да",FL293="Да"),FE293="Да",Исходн.данные.!I293&lt;5,FT293="Да",FU293="Да"),"Молибден,Цинк",IF(AND(FM293="Да",OR(FE293="Да",FF293="Да",FG293="Да",FH293="Да",FI293="Да")),"Молибден,Цинк",IF(AND(OR(FJ293="Да",FK293="Да",FL293="Да",FM293="Да",FQ293="Да"),OR(FE293="Да",FF293="Да"),FT293="Да",FU293="Да",Исходн.данные.!I293&gt;5.5),"Медь,Цинк",FC293))))))</f>
        <v>#N/A</v>
      </c>
      <c r="FC293" s="23" t="e">
        <f t="shared" si="408"/>
        <v>#N/A</v>
      </c>
      <c r="FD293" s="38" t="str">
        <f>IF(OR(Исходн.данные.!F293=$CC$1,Исходн.данные.!F293=$CC$2,Исходн.данные.!F293=$CC$3,Исходн.данные.!F293=$CC$4),"Да","Нет")</f>
        <v>Нет</v>
      </c>
      <c r="FE293" s="38" t="str">
        <f>IF(Исходн.данные.!F293=$CC$5,"Да","Нет")</f>
        <v>Нет</v>
      </c>
      <c r="FF293" s="38" t="str">
        <f>IF(OR(Исходн.данные.!F293=$CC$6,Исходн.данные.!F293=$CC$7),"Да","Нет")</f>
        <v>Нет</v>
      </c>
      <c r="FG293" s="38" t="str">
        <f>IF(OR(Исходн.данные.!F293=$CC$8,Исходн.данные.!F293=$CC$9),"Да","Нет")</f>
        <v>Нет</v>
      </c>
      <c r="FH293" s="38" t="str">
        <f>IF(Исходн.данные.!F293=$CC$10,"Да","Нет")</f>
        <v>Нет</v>
      </c>
      <c r="FI293" s="38" t="str">
        <f>IF(OR(Исходн.данные.!F293=$CC$11,Исходн.данные.!F293=$CC$12),"Да","Нет")</f>
        <v>Нет</v>
      </c>
      <c r="FJ293" s="38" t="str">
        <f>IF(OR(Исходн.данные.!AH293=$BS$1,Исходн.данные.!AH293=$BQ$11,Исходн.данные.!AH293=$BQ$12),"Да","Нет")</f>
        <v>Нет</v>
      </c>
      <c r="FK293" s="38" t="str">
        <f>IF(OR(Исходн.данные.!AH293=$BS$2,Исходн.данные.!AH293=$BS$4),"Да","Нет")</f>
        <v>Нет</v>
      </c>
      <c r="FL293" s="38" t="str">
        <f>IF(OR(Исходн.данные.!AH293=$BS$3,Исходн.данные.!AH293=$BS$5),"Да","Нет")</f>
        <v>Нет</v>
      </c>
      <c r="FM293" s="38" t="str">
        <f>IF(OR(Исходн.данные.!AH293=$BS$9,Исходн.данные.!AH293=$BS$10,Исходн.данные.!AH293=$BS$11,Исходн.данные.!AH293=$BS$12),"Да","Нет")</f>
        <v>Нет</v>
      </c>
      <c r="FN293" s="38" t="str">
        <f>IF(OR(Исходн.данные.!AH293=$BS$6,Исходн.данные.!AH293=$BP$3),"Да","Нет")</f>
        <v>Нет</v>
      </c>
      <c r="FO293" s="38" t="str">
        <f>IF(Исходн.данные.!AH293=$BQ$9,"Да","Нет")</f>
        <v>Нет</v>
      </c>
      <c r="FP293" s="38" t="str">
        <f>IF(OR(Исходн.данные.!AH293=$BS$8,Исходн.данные.!AH293=$BT$8),"Да","Нет")</f>
        <v>Нет</v>
      </c>
      <c r="FQ293" s="38" t="str">
        <f>IF(OR(Исходн.данные.!AH293=$BQ$7,Исходн.данные.!AH293=$BQ$8),"Да","Нет")</f>
        <v>Нет</v>
      </c>
      <c r="FR293" s="38" t="str">
        <f>IF(Исходн.данные.!AI293=$BU$9,"Да","Нет")</f>
        <v>Нет</v>
      </c>
      <c r="FS293" s="38" t="str">
        <f>IF(OR(Исходн.данные.!AH293=$BP$1,Исходн.данные.!AH293=$BP$2),"Да","Нет")</f>
        <v>Нет</v>
      </c>
      <c r="FT293" s="38" t="e">
        <f>IF((Исходн.данные.!K293*GO293*GS293*GW293+BL293*0.6+Исходн.данные.!Q293*4.5*0.275)&gt;90,"Да","Нет")</f>
        <v>#N/A</v>
      </c>
      <c r="FU293" s="38" t="e">
        <f>IF((Исходн.данные.!M293*GS293*GZ293+BM293*0.225)&gt;35,"Да","Нет")</f>
        <v>#N/A</v>
      </c>
      <c r="FV293" s="38" t="str">
        <f>IF(Исходн.данные.!O293&gt;175,"Да","Нет")</f>
        <v>Нет</v>
      </c>
      <c r="FW293" s="39" t="str">
        <f>IF(Исходн.данные.!I293&gt;5.5,"Да","Нет")</f>
        <v>Нет</v>
      </c>
      <c r="FX293" s="39" t="str">
        <f>IF(Исходн.данные.!J293&lt;2,"Да","Нет")</f>
        <v>Да</v>
      </c>
      <c r="FY293" s="39" t="e">
        <f>IF(HF293=$FY$16,0,Исходн.данные.!K293*GO293*GS293*GW293/HF293)</f>
        <v>#N/A</v>
      </c>
      <c r="FZ293" s="39" t="e">
        <f>Исходн.данные.!M293*GS293*GZ293/HG293</f>
        <v>#N/A</v>
      </c>
      <c r="GA293" s="39" t="e">
        <f>IF(K_Wyn=$FY$16,0,IF(Исходн.данные.!N293=Исходн.данные.!$L$10,Исходн.данные.!O293/1.1*GS293*HC293/HH293,IF(Исходн.данные.!N293=Исходн.данные.!$L$12,Исходн.данные.!O293/1.5*GS293*HC293/HH293,Исходн.данные.!O293*GS293*HC293/HH293)))</f>
        <v>#N/A</v>
      </c>
      <c r="GB293" s="39" t="e">
        <f>IF(HF293=$FY$16,0,((Исходн.данные.!Q293*N_Org+Исходн.данные.!R293*N_Sider+Исходн.данные.!S293*N_Soloma)*AO293+Расчет!BC293*VLOOKUP(Исходн.данные.!T293,Справ!$A$3:$O$57,15)*AO293+BB293*VLOOKUP(Исходн.данные.!T293,Справ!$A$3:$O$57,15)*AL293+(Исходн.данные.!V293*N_Rizotorf+Исходн.данные.!W293*N_Rizoagr))/HF293)</f>
        <v>#N/A</v>
      </c>
      <c r="GC293" s="39" t="e">
        <f>IF(HG293=$FY$16,0,((Исходн.данные.!Q293*Р_Org+Исходн.данные.!R293*P_Sider+Исходн.данные.!S293*P_Soloma)*AP293+Расчет!BC293*VLOOKUP(Исходн.данные.!T293,Справ!$A$3:$P$57,16)*AP293+BB293*VLOOKUP(Исходн.данные.!T293,Справ!$A$3:$P$57,16)*AM293)/HG293)</f>
        <v>#N/A</v>
      </c>
      <c r="GD293" s="39" t="e">
        <f>IF(HH293=$FY$16,0,((Исходн.данные.!Q293*К_Org+Исходн.данные.!R293*K_Sider+Исходн.данные.!S293*K_Soloma)*AQ293+Расчет!BC293*VLOOKUP(Исходн.данные.!T293,Справ!$A$3:$Q$57,17)*AQ293+BB293*VLOOKUP(Исходн.данные.!T293,Справ!$A$3:$Q$57,17)*AN293)/HH293)</f>
        <v>#N/A</v>
      </c>
      <c r="GE293" s="39" t="e">
        <f>IF(HF293=$FY$16,0,(Исходн.данные.!X293*AR293+Исходн.данные.!AA293*N_Org*AL293+Исходн.данные.!AB293*N_Sider*AL293+Исходн.данные.!AC293*N_Soloma*AL293)/HF293)</f>
        <v>#N/A</v>
      </c>
      <c r="GF293" s="39" t="e">
        <f>IF(HG293=$FY$16,0,(Исходн.данные.!Y293*AS293+Исходн.данные.!AA293*Р_Org*AM293+Исходн.данные.!AB293*P_Sider*AM293+Исходн.данные.!AC293*P_Soloma*AM293)/HG293)</f>
        <v>#N/A</v>
      </c>
      <c r="GG293" s="39" t="e">
        <f>IF(HH293=$FY$16,0,(Исходн.данные.!Z293*AT293+Исходн.данные.!AA293*К_Org*AN293+Исходн.данные.!AB293*K_Sider*AN293+Исходн.данные.!AC293*K_Soloma*AN293)/HH293)</f>
        <v>#N/A</v>
      </c>
      <c r="GH293" s="39" t="e">
        <f>Исходн.данные.!AD293*AU293/HF293</f>
        <v>#N/A</v>
      </c>
      <c r="GI293" s="39" t="e">
        <f>Исходн.данные.!AE293*AV293/HG293</f>
        <v>#N/A</v>
      </c>
      <c r="GJ293" s="39" t="e">
        <f>Исходн.данные.!AF293*AW293/HH293</f>
        <v>#N/A</v>
      </c>
      <c r="GK293" s="55">
        <f>Исходн.данные.!AK293</f>
        <v>0</v>
      </c>
      <c r="GL293" s="11" t="e">
        <f t="shared" si="409"/>
        <v>#N/A</v>
      </c>
      <c r="GM293" s="11" t="e">
        <f t="shared" si="410"/>
        <v>#N/A</v>
      </c>
      <c r="GN293" s="11" t="e">
        <f t="shared" si="411"/>
        <v>#N/A</v>
      </c>
      <c r="GO293" s="57">
        <f t="shared" si="412"/>
        <v>19</v>
      </c>
      <c r="GP293" s="55">
        <f>IF(OR(Исходн.данные.!F293=$CE$1,Исходн.данные.!F293=$CE$2,Исходн.данные.!F293=$CE$3,Исходн.данные.!F293=$CE$4,Исходн.данные.!F293=$CE$5),GQ293,GR293)</f>
        <v>19</v>
      </c>
      <c r="GQ293" s="55">
        <f>IF(Исходн.данные.!F293=$CE$1,28,IF(Исходн.данные.!F293=$CE$2,26,IF(Исходн.данные.!F293=$CE$3,24,IF(Исходн.данные.!F293=$CE$4,22,IF(Исходн.данные.!F293=$CE$5,20,GR293)))))</f>
        <v>19</v>
      </c>
      <c r="GR293" s="55">
        <f>IF(Исходн.данные.!F293=$CE$6,18,IF(Исходн.данные.!F293=$CE$7,16,IF(Исходн.данные.!F293=$CE$8,14,IF(Исходн.данные.!F293=$CE$9,13,IF(Исходн.данные.!F293=$CE$10,12,19)))))</f>
        <v>19</v>
      </c>
      <c r="GS293" s="55">
        <f>IF(Исходн.данные.!G293="Пес",0.035*(40+2*Исходн.данные.!H293),IF(Исходн.данные.!G293="Суп",0.0325*(40+2*Исходн.данные.!H293),0.03*(40+2*Исходн.данные.!H293)))</f>
        <v>1.2</v>
      </c>
      <c r="GT293" s="55">
        <f>IF(Исходн.данные.!H293&lt;23,2.6,IF(AND(Исходн.данные.!H293&gt;22,Исходн.данные.!H293&lt;26),3,IF(AND(Исходн.данные.!H293&gt;25,Исходн.данные.!H293&lt;29),3.4,3.6)))</f>
        <v>2.6</v>
      </c>
      <c r="GU293" s="55">
        <f>IF(Исходн.данные.!H293&lt;23,2.8,IF(AND(Исходн.данные.!H293&gt;22,Исходн.данные.!H293&lt;26),3.2,IF(AND(Исходн.данные.!H293&gt;25,Исходн.данные.!H293&lt;29),3.6,3.9)))</f>
        <v>2.8</v>
      </c>
      <c r="GV293" s="55">
        <f>IF(Исходн.данные.!H293&lt;23,3,IF(AND(Исходн.данные.!H293&gt;22,Исходн.данные.!H293&lt;26),3.5,IF(AND(Исходн.данные.!H293&gt;25,Исходн.данные.!H293&lt;29),3.9,4.2)))</f>
        <v>3</v>
      </c>
      <c r="GW293" s="55" t="e">
        <f>IF(Исходн.данные.!P293="Ум",GX293,GY293)</f>
        <v>#N/A</v>
      </c>
      <c r="GX293" s="55" t="e">
        <f>VLOOKUP(Исходн.данные.!AI293,Коэффициенты!$J$7:$L$13,2,FALSE)</f>
        <v>#N/A</v>
      </c>
      <c r="GY293" s="55" t="e">
        <f>VLOOKUP(Исходн.данные.!AI293,Коэффициенты!$J$7:$L$13,3,FALSE)</f>
        <v>#N/A</v>
      </c>
      <c r="GZ293" s="55" t="e">
        <f>(IF(Исходн.данные.!M293&lt;50,0.11*VLOOKUP(Исходн.данные.!AH293,Культуры.Информация,7,FALSE),IF(Исходн.данные.!M293&gt;250,0.05*VLOOKUP(Исходн.данные.!AH293,Культуры.Информация,7,FALSE),VLOOKUP(Исходн.данные.!AH293,Культуры.Информация,5,FALSE)/100*($GX$6+$GY$6*Исходн.данные.!M293))))*Расчет2!AI293</f>
        <v>#N/A</v>
      </c>
      <c r="HA293" s="211"/>
      <c r="HB293" s="211"/>
      <c r="HC293" s="55" t="e">
        <f>(IF(Исходн.данные.!O293&lt;80,0.2*VLOOKUP(Исходн.данные.!AH293,Культуры.Информация,8,FALSE),IF(Исходн.данные.!O293&gt;240,0.09*VLOOKUP(Исходн.данные.!AH293,Культуры.Информация,8,FALSE),VLOOKUP(Исходн.данные.!AH293,Культуры.Информация,6,FALSE)/100*($HB$6+$HC$6*Исходн.данные.!O293))))*Расчет2!AJ293</f>
        <v>#N/A</v>
      </c>
      <c r="HD293" s="55">
        <f>IF(Исходн.данные.!O293&gt;240,0.09,IF(Исходн.данные.!O293&lt;30,0.3,$HE$10+$HD$10*Исходн.данные.!O293))</f>
        <v>0.3</v>
      </c>
      <c r="HE293" s="55">
        <f>IF(Исходн.данные.!O293&gt;240,0.17,IF(Исходн.данные.!O293&lt;30,0.5,$HF$12+$HE$12*Исходн.данные.!O293))</f>
        <v>0.5</v>
      </c>
      <c r="HF293" s="55" t="e">
        <f>VLOOKUP(Исходн.данные.!AH293,Справ!$A$3:$D$58,2,FALSE)</f>
        <v>#N/A</v>
      </c>
      <c r="HG293" s="55" t="e">
        <f>VLOOKUP(Исходн.данные.!AH293,Справ!$A$3:$D$58,3,FALSE)</f>
        <v>#N/A</v>
      </c>
      <c r="HH293" s="55" t="e">
        <f>VLOOKUP(Исходн.данные.!AH293,Справ!$A$3:$D$58,4,FALSE)</f>
        <v>#N/A</v>
      </c>
      <c r="HI293" s="11" t="e">
        <f t="shared" si="413"/>
        <v>#N/A</v>
      </c>
      <c r="HJ293" s="11" t="e">
        <f t="shared" si="414"/>
        <v>#N/A</v>
      </c>
      <c r="HK293" s="11" t="e">
        <f t="shared" si="415"/>
        <v>#N/A</v>
      </c>
      <c r="HL293" s="55">
        <f>IF(OR(Исходн.данные.!G293="Глин",Исходн.данные.!G293="Т_суг"),1.1,IF(Исходн.данные.!G293="Ср_суг",1,1))</f>
        <v>1</v>
      </c>
      <c r="HM293" s="55">
        <f>IF(OR(Исходн.данные.!G293="Глин",Исходн.данные.!G293="Т_суг"),0.9,IF(Исходн.данные.!G293="Ср_суг",1,1.2))</f>
        <v>1.2</v>
      </c>
      <c r="HN293" s="11" t="e">
        <f t="shared" si="416"/>
        <v>#N/A</v>
      </c>
      <c r="HO293" s="11" t="e">
        <f t="shared" si="417"/>
        <v>#N/A</v>
      </c>
      <c r="HP293" s="11" t="e">
        <f t="shared" si="418"/>
        <v>#N/A</v>
      </c>
      <c r="HQ293" t="e">
        <f t="shared" si="419"/>
        <v>#N/A</v>
      </c>
      <c r="HR293" t="e">
        <f t="shared" si="420"/>
        <v>#N/A</v>
      </c>
      <c r="HS293" t="e">
        <f t="shared" si="421"/>
        <v>#N/A</v>
      </c>
      <c r="HT293" t="e">
        <f t="shared" si="367"/>
        <v>#N/A</v>
      </c>
      <c r="HU293" t="e">
        <f t="shared" si="368"/>
        <v>#N/A</v>
      </c>
      <c r="HV293" t="e">
        <f t="shared" si="369"/>
        <v>#N/A</v>
      </c>
      <c r="HW293" t="e">
        <f t="shared" si="370"/>
        <v>#N/A</v>
      </c>
      <c r="HX293" t="e">
        <f t="shared" si="371"/>
        <v>#N/A</v>
      </c>
      <c r="HY293" t="e">
        <f t="shared" si="372"/>
        <v>#N/A</v>
      </c>
      <c r="HZ293" s="55">
        <f>IF(OR(Исходн.данные.!AI293="Оз_Ч_П",Исходн.данные.!AI293="Оз_З_П",Исходн.данные.!AI293="Яр_зер"),12,30)</f>
        <v>30</v>
      </c>
      <c r="IA293" t="e">
        <f t="shared" si="422"/>
        <v>#N/A</v>
      </c>
      <c r="IB293" t="e">
        <f t="shared" si="423"/>
        <v>#N/A</v>
      </c>
      <c r="IC293" t="e">
        <f t="shared" si="424"/>
        <v>#N/A</v>
      </c>
      <c r="ID293" s="11" t="e">
        <f t="shared" si="425"/>
        <v>#N/A</v>
      </c>
      <c r="IE293" s="11" t="e">
        <f t="shared" si="426"/>
        <v>#N/A</v>
      </c>
      <c r="IF293" s="11" t="e">
        <f t="shared" si="427"/>
        <v>#N/A</v>
      </c>
    </row>
    <row r="294" spans="35:240" x14ac:dyDescent="0.2">
      <c r="AI294">
        <f>IF(Исходн.данные.!I294&gt;6,1,1.85-(0.148*Исходн.данные.!I294))</f>
        <v>1.85</v>
      </c>
      <c r="AJ294">
        <f>IF(Исходн.данные.!I294&gt;6,1,2.434-(0.246*Исходн.данные.!I294))</f>
        <v>2.4340000000000002</v>
      </c>
      <c r="AL294" s="148" t="b">
        <f>IF(Исходн.данные.!$P294="Ум",N_OrgUd_2g_um,IF(Исходн.данные.!$P294="Об",N_OrgUd_2g_ob))</f>
        <v>0</v>
      </c>
      <c r="AM294" s="148" t="b">
        <f>IF(Исходн.данные.!$P294="Ум",P_OrgUd_2g_um,IF(Исходн.данные.!$P294="Об",P_OrgUd_2g_ob))</f>
        <v>0</v>
      </c>
      <c r="AN294" s="148" t="b">
        <f>IF(Исходн.данные.!$P294="Ум",K_OrgUd_2g_um,IF(Исходн.данные.!$P294="Об",K_OrgUd_2g_ob))</f>
        <v>0</v>
      </c>
      <c r="AO294" s="148" t="b">
        <f>IF(Исходн.данные.!$P294="Ум",N_OrgUd_1g_um,IF(Исходн.данные.!$P294="Об",N_OrgUd_1g_ob))</f>
        <v>0</v>
      </c>
      <c r="AP294" s="148" t="b">
        <f>IF(Исходн.данные.!$P294="Ум",P_OrgUd_1g_um,IF(Исходн.данные.!$P294="Об",P_OrgUd_1g_ob))</f>
        <v>0</v>
      </c>
      <c r="AQ294" s="148" t="b">
        <f>IF(Исходн.данные.!$P294="Ум",K_OrgUd_1g_um,IF(Исходн.данные.!$P294="Об",K_OrgUd_1g_ob))</f>
        <v>0</v>
      </c>
      <c r="AR294" t="b">
        <f>IF(Исходн.данные.!$P294="Ум",N_MinUd_2g_um,IF(Исходн.данные.!$P294="Об",N_MinUd_2g_ob))</f>
        <v>0</v>
      </c>
      <c r="AS294" t="b">
        <f>IF(Исходн.данные.!$P294="Ум",P_MinUd_2g_um,IF(Исходн.данные.!$P294="Об",P_MinUd_2g_ob))</f>
        <v>0</v>
      </c>
      <c r="AT294" t="b">
        <f>IF(Исходн.данные.!$P294="Ум",K_MinUd_2g_um,IF(Исходн.данные.!$P294="Об",K_MinUd_2g_ob))</f>
        <v>0</v>
      </c>
      <c r="AU294" t="b">
        <f>IF(Исходн.данные.!$P294="Ум",N_MinUd_1g_um,IF(Исходн.данные.!$P294="Об",N_MinUd_1g_ob))</f>
        <v>0</v>
      </c>
      <c r="AV294" t="b">
        <f>IF(Исходн.данные.!P294="Ум",P_MinUd_1g_um,IF(Исходн.данные.!P294="Об",P_MinUd_1g_ob))</f>
        <v>0</v>
      </c>
      <c r="AW294" t="b">
        <f>IF(Исходн.данные.!P294="Ум",K_MinUd_1g_um,IF(Исходн.данные.!P294="Об",K_MinUd_1g_ob))</f>
        <v>0</v>
      </c>
      <c r="AY294" t="e">
        <f>VLOOKUP(Исходн.данные.!T294,Справ!$A$3:$N$57,12)</f>
        <v>#N/A</v>
      </c>
      <c r="AZ294" t="e">
        <f>VLOOKUP(Исходн.данные.!T294,Справ!$A$3:$N$57,13)</f>
        <v>#N/A</v>
      </c>
      <c r="BA294" t="e">
        <f>VLOOKUP(Исходн.данные.!T294,Справ!$A$3:$N$57,14)</f>
        <v>#N/A</v>
      </c>
      <c r="BB294">
        <f>IF(Исходн.данные.!AH294=0,0,25)</f>
        <v>0</v>
      </c>
      <c r="BC294" s="141">
        <f>IF(Исходн.данные.!AH294=0,0,IF(Исходн.данные.!T294=0,25,BD294))</f>
        <v>0</v>
      </c>
      <c r="BD294" s="168" t="e">
        <f>AY294+AZ294*Исходн.данные.!U294-POWER(BA294,2)*Исходн.данные.!U294</f>
        <v>#N/A</v>
      </c>
      <c r="BE29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4" s="25">
        <f>IF(Исходн.данные.!AH294=0,0,MIN(HN294:HP294))</f>
        <v>0</v>
      </c>
      <c r="BG294" s="9">
        <f>IF(Исходн.данные.!AH294=0,0,IF((HO294+10*0.25/HG294/HL294)&lt;17,17,HO294+10*0.25/HG294/HL294))</f>
        <v>0</v>
      </c>
      <c r="BH294" s="181">
        <f>IF(Исходн.данные.!AH294=0,0,HW294*HF294*HL294/AU294*AI294+Исходн.данные.!S294*10)</f>
        <v>0</v>
      </c>
      <c r="BI294" s="10"/>
      <c r="BJ294" s="182">
        <f>IF(Исходн.данные.!AH294=0,0,IF(HX294*HG294*HL294/AV294&lt;0,0,HX294*HG294*HL294/AV294*AJ294))</f>
        <v>0</v>
      </c>
      <c r="BK294" s="182">
        <f>IF(Исходн.данные.!AH294=0,0,HY294*HH294*HM294/AW294)</f>
        <v>0</v>
      </c>
      <c r="BL294" s="10">
        <f>IF(OR(Исходн.данные.!$AH294=$BP$1,Исходн.данные.!$AH294=$BP$2),0,IF(BH294&lt;0,0,IF(OR(Исходн.данные.!T294=Расчет!$BP$1,Исходн.данные.!T294=Расчет!$BP$2,Исходн.данные.!T294=Расчет!$BT$5,Исходн.данные.!T294=Расчет!$BT$6),BH294*0.5,IF(OR(Исходн.данные.!T294=Расчет!$BS$9,Исходн.данные.!T294=Расчет!$BS$10,Исходн.данные.!T294=Расчет!$BS$11,Исходн.данные.!T294=Расчет!$BS$12,Исходн.данные.!T294=Расчет!$BP$5),BH294*0.8,BH294))))</f>
        <v>0</v>
      </c>
      <c r="BM294" s="10">
        <f>IF(OR(Исходн.данные.!$AH294=$BP$1,Исходн.данные.!$AH294=$BP$2),0,IF(BJ294&lt;0,0,IF(Исходн.данные.!I294&lt;4.5,BJ294*1.2,IF(Исходн.данные.!I294&gt;5.1,BJ294,BJ294*((5.1-Исходн.данные.!I294)*0.333+1)))))</f>
        <v>0</v>
      </c>
      <c r="BN294" s="10">
        <f>IF(OR(Исходн.данные.!$AH294=$BP$1,Исходн.данные.!$AH294=$BP$2),60-Исходн.данные.!AF294,IF(BK294&lt;0,0,IF(Исходн.данные.!I294&lt;4.5,BK294*1.2,IF(Исходн.данные.!I294&gt;5.1,BK294,BK294*((5.1-Исходн.данные.!I294)*0.333+1)))))</f>
        <v>0</v>
      </c>
      <c r="BO294" s="9">
        <f>IF(BL294&lt;0,0,BL294*Исходн.данные.!$AJ294/1000)</f>
        <v>0</v>
      </c>
      <c r="BP294" s="9">
        <f>IF(BM294&lt;0,0,BM294*Исходн.данные.!$AJ294/1000)</f>
        <v>0</v>
      </c>
      <c r="BQ294" s="9">
        <f>IF(BN294&lt;0,0,BN294*Исходн.данные.!$AJ294/1000)</f>
        <v>0</v>
      </c>
      <c r="BR294" s="9">
        <f t="shared" si="377"/>
        <v>0</v>
      </c>
      <c r="BS294" s="10" t="str">
        <f t="shared" si="378"/>
        <v>Аммофос 12:52:00</v>
      </c>
      <c r="BT294" s="10" t="str">
        <f t="shared" si="379"/>
        <v>Аммофос 12:52:00</v>
      </c>
      <c r="BU294" s="10" t="str">
        <f t="shared" si="380"/>
        <v>Диаммофоска</v>
      </c>
      <c r="BV294" s="10">
        <f t="shared" si="381"/>
        <v>0</v>
      </c>
      <c r="BW294" s="10"/>
      <c r="BX294" s="10"/>
      <c r="BY294" s="9">
        <f>IF(BL294&lt;0,0,IF(OR(Исходн.данные.!AI294=Расчет!$BU$6,Исходн.данные.!AI294=Расчет!$BU$7),Расчет!BV294,IF(Исходн.данные.!$AG294=$BV$11,BL294,IF(OR(Исходн.данные.!$AH294=$BQ$7,Исходн.данные.!$AH294=$BQ$8),CB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0,IF(Исходн.данные.!$AI294=$BU$11,"Нет",IF(BL294&gt;30,30,BL294)))))))</f>
        <v>0</v>
      </c>
      <c r="BZ294" s="9">
        <f>IF(AND(Исходн.данные.!$AG294=$BV$11,BM294&lt;10),10,IF(Исходн.данные.!$AG294=$BV$11,BM294,IF(OR(Исходн.данные.!$AH294=$BQ$7,Исходн.данные.!$AH294=$BQ$8),CC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10,IF(Исходн.данные.!$AI294=$BU$11,"Нет",IF(BM294&gt;60,60,IF(BM294&lt;10,10,BM294)))))))</f>
        <v>10</v>
      </c>
      <c r="CA294" s="39">
        <f>IF(BN294&lt;0,0,IF(Исходн.данные.!$AG294=$BV$11,BN294,IF(OR(Исходн.данные.!$AH294=$BQ$7,Исходн.данные.!$AH294=$BQ$8),CD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0,IF(Исходн.данные.!$AI294=$BU$11,"Нет",IF(BN294&gt;30,30,BN294))))))</f>
        <v>0</v>
      </c>
      <c r="CB294" s="9">
        <f t="shared" si="382"/>
        <v>0</v>
      </c>
      <c r="CC294" s="9">
        <f t="shared" si="383"/>
        <v>0</v>
      </c>
      <c r="CD294" s="9">
        <f t="shared" si="384"/>
        <v>0</v>
      </c>
      <c r="CE294" s="12">
        <f t="shared" si="385"/>
        <v>10</v>
      </c>
      <c r="CF294" s="9">
        <f t="shared" si="386"/>
        <v>0</v>
      </c>
      <c r="CG294" s="9" t="s">
        <v>231</v>
      </c>
      <c r="CH294" s="132" t="str">
        <f>IF(Исходн.данные.!AP294=Расчет!$CI$16,"Нет",IF(Исходн.данные.!AL294&gt;0,Исходн.данные.!AL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BH$4,IF(OR(Исходн.данные.!AI294=Исходн.данные.!$AI$6,Исходн.данные.!AI294=Исходн.данные.!$AI$7),Расчет!BS294,IF(AND($CF294=0,$CE294&gt;0),EV294,ER294)))))</f>
        <v>Аммофос 12:52:00</v>
      </c>
      <c r="CI294" s="274">
        <f>IF(Расчет!$CH294="Нет","Нет",IF(Исходн.данные.!$AL294&gt;0,VLOOKUP(Расчет!$CH294,АшламаДВ_Irekle,2,FALSE),VLOOKUP(Расчет!$CH294,АшламаДВ_Gomumy,2,FALSE)))</f>
        <v>0.12</v>
      </c>
      <c r="CJ294" s="274">
        <f>IF(Расчет!$CH294="Нет","Нет",IF(Исходн.данные.!$AL294&gt;0,VLOOKUP(Расчет!$CH294,АшламаДВ_Irekle,3,FALSE),VLOOKUP(Расчет!$CH294,АшламаДВ_Gomumy,3,FALSE)))</f>
        <v>0.52</v>
      </c>
      <c r="CK294" s="274">
        <f>IF(Расчет!$CH294="Нет","Нет",IF(Исходн.данные.!$AL294&gt;0,VLOOKUP(Расчет!$CH294,АшламаДВ_Irekle,4,FALSE),VLOOKUP(Расчет!$CH294,АшламаДВ_Gomumy,4,FALSE)))</f>
        <v>0</v>
      </c>
      <c r="CL294" s="70"/>
      <c r="CM294" s="70"/>
      <c r="CN294" s="70"/>
      <c r="CO294" s="70"/>
      <c r="CP294" s="70"/>
      <c r="CQ294" s="70"/>
      <c r="CR294" s="10">
        <f t="shared" si="387"/>
        <v>0</v>
      </c>
      <c r="CS294" s="10">
        <f t="shared" si="388"/>
        <v>19.23076923076923</v>
      </c>
      <c r="CT294" s="10">
        <f t="shared" si="389"/>
        <v>0</v>
      </c>
      <c r="CU294" s="39">
        <f>IF($CH294="Нет",0,IF(CI294=0,30/MIN(CJ294:CK294),IF(Исходн.данные.!$AG294=$BV$11,CR294,IF(OR(Исходн.данные.!$AH294=$BQ$7,Исходн.данные.!$AH294=$BQ$8),90/CI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0,IF(Исходн.данные.!$AI294=$BU$11,"Нет",30/CI294))))))</f>
        <v>250</v>
      </c>
      <c r="CV294" s="39">
        <f>IF($CH294="Нет",0,IF(Исходн.данные.!AH294=0,0,IF(CJ294=0,60/MIN(CI294,CK294),IF(Исходн.данные.!$AG294=$BV$11,CS294,IF(OR(Исходн.данные.!$AH294=$BQ$7,Исходн.данные.!$AH294=$BQ$8),90/CJ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10/CJ294,IF(Исходн.данные.!$AI294=$BU$11,"Нет",60/CJ294)))))))</f>
        <v>0</v>
      </c>
      <c r="CW294" s="39">
        <f>IF($CH294="Нет",0,IF(Исходн.данные.!AH294=0,0,IF(CK294=0,30/MIN(CI294:CJ294),IF(Исходн.данные.!$AG294=$BV$11,CT294,IF(OR(Исходн.данные.!$AH294=$BQ$7,Исходн.данные.!$AH294=$BQ$8),90/CK294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0,IF(Исходн.данные.!$AI294=$BU$11,"Нет",30/CK294)))))))</f>
        <v>0</v>
      </c>
      <c r="CX294" s="133">
        <f>IF(Исходн.данные.!$AG294=$BV$11,MAX(CU294:CW294),IF(OR(Исходн.данные.!$AH294=$BS$8,Исходн.данные.!$AH294=$BQ$9,Исходн.данные.!$AH294=$BQ$10,Исходн.данные.!$AH294=$BQ$11,Исходн.данные.!$AH294=$BQ$12,Исходн.данные.!$AH294=$BP$3,Исходн.данные.!$AH294=$BT$8,$FM294="Да"),CV294,MIN(CU294:CW294)))</f>
        <v>0</v>
      </c>
      <c r="CY294" s="133">
        <f>IF(Исходн.данные.!AH294=0,0,IF(CR294&gt;$CX294,$CX294,CR294))</f>
        <v>0</v>
      </c>
      <c r="CZ294" s="133">
        <f>IF(Исходн.данные.!AH294=0,0,IF(CS294&gt;$CX294,$CX294,CS294))</f>
        <v>0</v>
      </c>
      <c r="DA294" s="133">
        <f>IF(Исходн.данные.!AH294=0,0,IF(CT294&gt;$CX294,$CX294,CT294))</f>
        <v>0</v>
      </c>
      <c r="DB294" s="10">
        <f t="shared" si="390"/>
        <v>0</v>
      </c>
      <c r="DC294" s="39">
        <f>DB294*Исходн.данные.!AJ294/1000</f>
        <v>0</v>
      </c>
      <c r="DD294" s="71">
        <f t="shared" si="391"/>
        <v>0</v>
      </c>
      <c r="DE294" s="9">
        <f t="shared" si="392"/>
        <v>0</v>
      </c>
      <c r="DF294" s="9">
        <f t="shared" si="393"/>
        <v>0</v>
      </c>
      <c r="DG294" s="39">
        <f>IF(BL294&lt;0,0,IF($CH294="Нет",BL294,IF(OR(Исходн.данные.!$AH294=$BP$1,Исходн.данные.!$AH294=$BP$2),0,IF(Исходн.данные.!AI294=$BU$11,BL294,IF(BL294-DD294&lt;0,0,BL294-DD294)))))</f>
        <v>0</v>
      </c>
      <c r="DH294" s="39">
        <f>IF(BM294&lt;0,0,IF($CH294="Нет",BM294,IF(OR(Исходн.данные.!$AH294=$BP$1,Исходн.данные.!$AH294=$BP$2),0,IF(Исходн.данные.!AJ294=$BU$11,BM294,IF(BM294-DE294&lt;0,0,BM294-DE294)))))</f>
        <v>0</v>
      </c>
      <c r="DI294" s="39">
        <f>IF(BN294&lt;0,0,IF($CH294="Нет",BN294,IF(OR(Исходн.данные.!$AH294=$BP$1,Исходн.данные.!$AH294=$BP$2),0,IF(Исходн.данные.!AK294=$BU$11,BN294,IF(BN294-DF294&lt;0,0,BN294-DF294)))))</f>
        <v>0</v>
      </c>
      <c r="DJ294" s="12">
        <f t="shared" si="394"/>
        <v>0</v>
      </c>
      <c r="DK294" s="9">
        <f t="shared" si="395"/>
        <v>0</v>
      </c>
      <c r="DL294" s="39">
        <f>IF(Исходн.данные.!AM294&gt;0,Исходн.данные.!AM294,IF(EG294&gt;0,$BH$10,0))</f>
        <v>0</v>
      </c>
      <c r="DM294" s="186">
        <f>IF($DL294=0,0,IF(Исходн.данные.!AM294&gt;0,VLOOKUP($DL294,АшламаДВ_Irekle,2,FALSE),VLOOKUP($DL294,АшламаДВ_Gomumy,2,FALSE)))</f>
        <v>0</v>
      </c>
      <c r="DN294" s="10">
        <f t="shared" si="373"/>
        <v>0</v>
      </c>
      <c r="DO294" s="9" t="str">
        <f>IF(Исходн.данные.!AN294&gt;0,Исходн.данные.!AN294,Удобрения!$B$37 )</f>
        <v>Хлор.калий</v>
      </c>
      <c r="DP294" s="9">
        <f>IF(Исходн.данные.!AN294&gt;0,VLOOKUP(Исходн.данные.!AN294,АшламаДВ_Irekle,4,FALSE),VLOOKUP(DO294,АшламаДВ_Gomumy,4,FALSE))</f>
        <v>0.6</v>
      </c>
      <c r="DQ294" s="10">
        <f t="shared" si="374"/>
        <v>0</v>
      </c>
      <c r="DR294" s="132" t="str">
        <f>IF(Исходн.данные.!AO294&gt;0,Исходн.данные.!AO294,IF(DH294=0,BS$17,IF(AND($DK294=0,$DJ294&gt;0),EJ294,EN294)))</f>
        <v>Нет</v>
      </c>
      <c r="DS294" s="70" t="str">
        <f>IF($DR294="Нет","Нет",IF(Исходн.данные.!$AO294&gt;0,VLOOKUP($DR294,АшламаДВ_Irekle,2,FALSE),VLOOKUP($DR294,АшламаДВ_Gomumy,2,FALSE)))</f>
        <v>Нет</v>
      </c>
      <c r="DT294" s="70" t="str">
        <f>IF($DR294="Нет","Нет",IF(Исходн.данные.!$AO294&gt;0,VLOOKUP($DR294,АшламаДВ_Irekle,3,FALSE),VLOOKUP($DR294,АшламаДВ_Gomumy,3,FALSE)))</f>
        <v>Нет</v>
      </c>
      <c r="DU294" s="70" t="str">
        <f>IF($DR294="Нет","Нет",IF(Исходн.данные.!$AO294&gt;0,VLOOKUP($DR294,АшламаДВ_Irekle,4,FALSE),VLOOKUP($DR294,АшламаДВ_Gomumy,4,FALSE)))</f>
        <v>Нет</v>
      </c>
      <c r="DV294" s="70"/>
      <c r="DW294" s="70"/>
      <c r="DX294" s="70"/>
      <c r="DY294" s="10">
        <f t="shared" si="396"/>
        <v>0</v>
      </c>
      <c r="DZ294" s="10">
        <f t="shared" si="397"/>
        <v>0</v>
      </c>
      <c r="EA294" s="10">
        <f t="shared" si="398"/>
        <v>0</v>
      </c>
      <c r="EB294" s="10">
        <f t="shared" si="399"/>
        <v>0</v>
      </c>
      <c r="EC294" s="10">
        <f t="shared" si="400"/>
        <v>0</v>
      </c>
      <c r="ED294" s="10">
        <f t="shared" si="401"/>
        <v>0</v>
      </c>
      <c r="EE294" s="10">
        <f t="shared" si="402"/>
        <v>0</v>
      </c>
      <c r="EF294" s="39">
        <f>EB294*Исходн.данные.!AJ294/1000</f>
        <v>0</v>
      </c>
      <c r="EG294" s="9">
        <f t="shared" si="403"/>
        <v>0</v>
      </c>
      <c r="EH294" s="9">
        <f t="shared" si="404"/>
        <v>0</v>
      </c>
      <c r="EI294" s="39" t="e">
        <f t="shared" si="354"/>
        <v>#DIV/0!</v>
      </c>
      <c r="EJ294" s="9" t="str">
        <f t="shared" si="375"/>
        <v>Азопреципитат</v>
      </c>
      <c r="EK294" s="12">
        <f t="shared" si="355"/>
        <v>0.26</v>
      </c>
      <c r="EL294" s="12">
        <f t="shared" si="356"/>
        <v>0.13</v>
      </c>
      <c r="EM294" s="12">
        <f t="shared" si="357"/>
        <v>0</v>
      </c>
      <c r="EN294" s="12" t="str">
        <f t="shared" si="376"/>
        <v>Нет</v>
      </c>
      <c r="EO294" s="12">
        <f t="shared" si="358"/>
        <v>0</v>
      </c>
      <c r="EP294" s="12">
        <f t="shared" si="359"/>
        <v>0</v>
      </c>
      <c r="EQ294" s="12">
        <f t="shared" si="360"/>
        <v>0</v>
      </c>
      <c r="ER294" s="12" t="str">
        <f t="shared" si="405"/>
        <v>Диаммофоска</v>
      </c>
      <c r="ES294" s="12">
        <f t="shared" si="361"/>
        <v>0.1</v>
      </c>
      <c r="ET294" s="12">
        <f t="shared" si="362"/>
        <v>0.26</v>
      </c>
      <c r="EU294" s="12">
        <f t="shared" si="363"/>
        <v>0.26</v>
      </c>
      <c r="EV294" s="12" t="str">
        <f t="shared" si="406"/>
        <v>Аммофос 12:52:00</v>
      </c>
      <c r="EW294" s="12" t="str">
        <f t="shared" si="407"/>
        <v>Кемира Свекловичное-6</v>
      </c>
      <c r="EX294" s="12">
        <f t="shared" si="364"/>
        <v>0.16</v>
      </c>
      <c r="EY294" s="12">
        <f t="shared" si="365"/>
        <v>0.12</v>
      </c>
      <c r="EZ294" s="12">
        <f t="shared" si="366"/>
        <v>0.17</v>
      </c>
      <c r="FA294" s="38" t="e">
        <f>IF(AND(OR(FJ294=$FD$1,FM294=$FD$1,FO294=$FD$1,FQ294=$FD$1,FS294=$FD$1),FD294=$FD$1,Исходн.данные.!J294&lt;2,FU294=$FD$1),"Бор,Кобальт",IF(AND(FO294=$FD$1,FH294=$FD$1,Исходн.данные.!J294&lt;2,FU294=$FD$1),"Бор,Кобальт",IF(AND(OR(FJ294=$FD$1,FM294=$FD$1,FQ294=$FD$1),FE294=$FD$1,Исходн.данные.!J294&lt;2,FT294=$FD$1,FU294=$FD$1),"Бор,Медь,Цинк",IF(AND(OR(FJ294=$FD$1,FR294="Да"),FI294="Да",Исходн.данные.!J294&lt;2,FT294="Да",FU294="Да"),"Бор,Цинк,Медь",IF(AND(OR(FM294="Да",FQ294="Да"),FI294="Да",Исходн.данные.!J294&lt;2,FT294="Да",FU294="Да"),"Бор,Цинк",IF(AND(FN294="Да",OR(FD294="Да",FE294="Да")),"Бор",FB294))))))</f>
        <v>#N/A</v>
      </c>
      <c r="FB294" s="134" t="e">
        <f>IF(AND(OR(FD294="Да",FE294="Да",FF294="Да",FG294="Да",FH294="Да"),FO294="Да"),"Бор",IF(AND(FP294="Да",OR(FD294="Да",FE294="Да",FI294="Да")),"Бор",IF(AND(FS294="Да",FE294="Да"),"Бор,Медь",IF(AND(OR(FJ294="Да",FK294="Да",FL294="Да"),FE294="Да",Исходн.данные.!I294&lt;5,FT294="Да",FU294="Да"),"Молибден,Цинк",IF(AND(FM294="Да",OR(FE294="Да",FF294="Да",FG294="Да",FH294="Да",FI294="Да")),"Молибден,Цинк",IF(AND(OR(FJ294="Да",FK294="Да",FL294="Да",FM294="Да",FQ294="Да"),OR(FE294="Да",FF294="Да"),FT294="Да",FU294="Да",Исходн.данные.!I294&gt;5.5),"Медь,Цинк",FC294))))))</f>
        <v>#N/A</v>
      </c>
      <c r="FC294" s="23" t="e">
        <f t="shared" si="408"/>
        <v>#N/A</v>
      </c>
      <c r="FD294" s="38" t="str">
        <f>IF(OR(Исходн.данные.!F294=$CC$1,Исходн.данные.!F294=$CC$2,Исходн.данные.!F294=$CC$3,Исходн.данные.!F294=$CC$4),"Да","Нет")</f>
        <v>Нет</v>
      </c>
      <c r="FE294" s="38" t="str">
        <f>IF(Исходн.данные.!F294=$CC$5,"Да","Нет")</f>
        <v>Нет</v>
      </c>
      <c r="FF294" s="38" t="str">
        <f>IF(OR(Исходн.данные.!F294=$CC$6,Исходн.данные.!F294=$CC$7),"Да","Нет")</f>
        <v>Нет</v>
      </c>
      <c r="FG294" s="38" t="str">
        <f>IF(OR(Исходн.данные.!F294=$CC$8,Исходн.данные.!F294=$CC$9),"Да","Нет")</f>
        <v>Нет</v>
      </c>
      <c r="FH294" s="38" t="str">
        <f>IF(Исходн.данные.!F294=$CC$10,"Да","Нет")</f>
        <v>Нет</v>
      </c>
      <c r="FI294" s="38" t="str">
        <f>IF(OR(Исходн.данные.!F294=$CC$11,Исходн.данные.!F294=$CC$12),"Да","Нет")</f>
        <v>Нет</v>
      </c>
      <c r="FJ294" s="38" t="str">
        <f>IF(OR(Исходн.данные.!AH294=$BS$1,Исходн.данные.!AH294=$BQ$11,Исходн.данные.!AH294=$BQ$12),"Да","Нет")</f>
        <v>Нет</v>
      </c>
      <c r="FK294" s="38" t="str">
        <f>IF(OR(Исходн.данные.!AH294=$BS$2,Исходн.данные.!AH294=$BS$4),"Да","Нет")</f>
        <v>Нет</v>
      </c>
      <c r="FL294" s="38" t="str">
        <f>IF(OR(Исходн.данные.!AH294=$BS$3,Исходн.данные.!AH294=$BS$5),"Да","Нет")</f>
        <v>Нет</v>
      </c>
      <c r="FM294" s="38" t="str">
        <f>IF(OR(Исходн.данные.!AH294=$BS$9,Исходн.данные.!AH294=$BS$10,Исходн.данные.!AH294=$BS$11,Исходн.данные.!AH294=$BS$12),"Да","Нет")</f>
        <v>Нет</v>
      </c>
      <c r="FN294" s="38" t="str">
        <f>IF(OR(Исходн.данные.!AH294=$BS$6,Исходн.данные.!AH294=$BP$3),"Да","Нет")</f>
        <v>Нет</v>
      </c>
      <c r="FO294" s="38" t="str">
        <f>IF(Исходн.данные.!AH294=$BQ$9,"Да","Нет")</f>
        <v>Нет</v>
      </c>
      <c r="FP294" s="38" t="str">
        <f>IF(OR(Исходн.данные.!AH294=$BS$8,Исходн.данные.!AH294=$BT$8),"Да","Нет")</f>
        <v>Нет</v>
      </c>
      <c r="FQ294" s="38" t="str">
        <f>IF(OR(Исходн.данные.!AH294=$BQ$7,Исходн.данные.!AH294=$BQ$8),"Да","Нет")</f>
        <v>Нет</v>
      </c>
      <c r="FR294" s="38" t="str">
        <f>IF(Исходн.данные.!AI294=$BU$9,"Да","Нет")</f>
        <v>Нет</v>
      </c>
      <c r="FS294" s="38" t="str">
        <f>IF(OR(Исходн.данные.!AH294=$BP$1,Исходн.данные.!AH294=$BP$2),"Да","Нет")</f>
        <v>Нет</v>
      </c>
      <c r="FT294" s="38" t="e">
        <f>IF((Исходн.данные.!K294*GO294*GS294*GW294+BL294*0.6+Исходн.данные.!Q294*4.5*0.275)&gt;90,"Да","Нет")</f>
        <v>#N/A</v>
      </c>
      <c r="FU294" s="38" t="e">
        <f>IF((Исходн.данные.!M294*GS294*GZ294+BM294*0.225)&gt;35,"Да","Нет")</f>
        <v>#N/A</v>
      </c>
      <c r="FV294" s="38" t="str">
        <f>IF(Исходн.данные.!O294&gt;175,"Да","Нет")</f>
        <v>Нет</v>
      </c>
      <c r="FW294" s="39" t="str">
        <f>IF(Исходн.данные.!I294&gt;5.5,"Да","Нет")</f>
        <v>Нет</v>
      </c>
      <c r="FX294" s="39" t="str">
        <f>IF(Исходн.данные.!J294&lt;2,"Да","Нет")</f>
        <v>Да</v>
      </c>
      <c r="FY294" s="39" t="e">
        <f>IF(HF294=$FY$16,0,Исходн.данные.!K294*GO294*GS294*GW294/HF294)</f>
        <v>#N/A</v>
      </c>
      <c r="FZ294" s="39" t="e">
        <f>Исходн.данные.!M294*GS294*GZ294/HG294</f>
        <v>#N/A</v>
      </c>
      <c r="GA294" s="39" t="e">
        <f>IF(K_Wyn=$FY$16,0,IF(Исходн.данные.!N294=Исходн.данные.!$L$10,Исходн.данные.!O294/1.1*GS294*HC294/HH294,IF(Исходн.данные.!N294=Исходн.данные.!$L$12,Исходн.данные.!O294/1.5*GS294*HC294/HH294,Исходн.данные.!O294*GS294*HC294/HH294)))</f>
        <v>#N/A</v>
      </c>
      <c r="GB294" s="39" t="e">
        <f>IF(HF294=$FY$16,0,((Исходн.данные.!Q294*N_Org+Исходн.данные.!R294*N_Sider+Исходн.данные.!S294*N_Soloma)*AO294+Расчет!BC294*VLOOKUP(Исходн.данные.!T294,Справ!$A$3:$O$57,15)*AO294+BB294*VLOOKUP(Исходн.данные.!T294,Справ!$A$3:$O$57,15)*AL294+(Исходн.данные.!V294*N_Rizotorf+Исходн.данные.!W294*N_Rizoagr))/HF294)</f>
        <v>#N/A</v>
      </c>
      <c r="GC294" s="39" t="e">
        <f>IF(HG294=$FY$16,0,((Исходн.данные.!Q294*Р_Org+Исходн.данные.!R294*P_Sider+Исходн.данные.!S294*P_Soloma)*AP294+Расчет!BC294*VLOOKUP(Исходн.данные.!T294,Справ!$A$3:$P$57,16)*AP294+BB294*VLOOKUP(Исходн.данные.!T294,Справ!$A$3:$P$57,16)*AM294)/HG294)</f>
        <v>#N/A</v>
      </c>
      <c r="GD294" s="39" t="e">
        <f>IF(HH294=$FY$16,0,((Исходн.данные.!Q294*К_Org+Исходн.данные.!R294*K_Sider+Исходн.данные.!S294*K_Soloma)*AQ294+Расчет!BC294*VLOOKUP(Исходн.данные.!T294,Справ!$A$3:$Q$57,17)*AQ294+BB294*VLOOKUP(Исходн.данные.!T294,Справ!$A$3:$Q$57,17)*AN294)/HH294)</f>
        <v>#N/A</v>
      </c>
      <c r="GE294" s="39" t="e">
        <f>IF(HF294=$FY$16,0,(Исходн.данные.!X294*AR294+Исходн.данные.!AA294*N_Org*AL294+Исходн.данные.!AB294*N_Sider*AL294+Исходн.данные.!AC294*N_Soloma*AL294)/HF294)</f>
        <v>#N/A</v>
      </c>
      <c r="GF294" s="39" t="e">
        <f>IF(HG294=$FY$16,0,(Исходн.данные.!Y294*AS294+Исходн.данные.!AA294*Р_Org*AM294+Исходн.данные.!AB294*P_Sider*AM294+Исходн.данные.!AC294*P_Soloma*AM294)/HG294)</f>
        <v>#N/A</v>
      </c>
      <c r="GG294" s="39" t="e">
        <f>IF(HH294=$FY$16,0,(Исходн.данные.!Z294*AT294+Исходн.данные.!AA294*К_Org*AN294+Исходн.данные.!AB294*K_Sider*AN294+Исходн.данные.!AC294*K_Soloma*AN294)/HH294)</f>
        <v>#N/A</v>
      </c>
      <c r="GH294" s="39" t="e">
        <f>Исходн.данные.!AD294*AU294/HF294</f>
        <v>#N/A</v>
      </c>
      <c r="GI294" s="39" t="e">
        <f>Исходн.данные.!AE294*AV294/HG294</f>
        <v>#N/A</v>
      </c>
      <c r="GJ294" s="39" t="e">
        <f>Исходн.данные.!AF294*AW294/HH294</f>
        <v>#N/A</v>
      </c>
      <c r="GK294" s="55">
        <f>Исходн.данные.!AK294</f>
        <v>0</v>
      </c>
      <c r="GL294" s="11" t="e">
        <f t="shared" si="409"/>
        <v>#N/A</v>
      </c>
      <c r="GM294" s="11" t="e">
        <f t="shared" si="410"/>
        <v>#N/A</v>
      </c>
      <c r="GN294" s="11" t="e">
        <f t="shared" si="411"/>
        <v>#N/A</v>
      </c>
      <c r="GO294" s="57">
        <f t="shared" si="412"/>
        <v>19</v>
      </c>
      <c r="GP294" s="55">
        <f>IF(OR(Исходн.данные.!F294=$CE$1,Исходн.данные.!F294=$CE$2,Исходн.данные.!F294=$CE$3,Исходн.данные.!F294=$CE$4,Исходн.данные.!F294=$CE$5),GQ294,GR294)</f>
        <v>19</v>
      </c>
      <c r="GQ294" s="55">
        <f>IF(Исходн.данные.!F294=$CE$1,28,IF(Исходн.данные.!F294=$CE$2,26,IF(Исходн.данные.!F294=$CE$3,24,IF(Исходн.данные.!F294=$CE$4,22,IF(Исходн.данные.!F294=$CE$5,20,GR294)))))</f>
        <v>19</v>
      </c>
      <c r="GR294" s="55">
        <f>IF(Исходн.данные.!F294=$CE$6,18,IF(Исходн.данные.!F294=$CE$7,16,IF(Исходн.данные.!F294=$CE$8,14,IF(Исходн.данные.!F294=$CE$9,13,IF(Исходн.данные.!F294=$CE$10,12,19)))))</f>
        <v>19</v>
      </c>
      <c r="GS294" s="55">
        <f>IF(Исходн.данные.!G294="Пес",0.035*(40+2*Исходн.данные.!H294),IF(Исходн.данные.!G294="Суп",0.0325*(40+2*Исходн.данные.!H294),0.03*(40+2*Исходн.данные.!H294)))</f>
        <v>1.2</v>
      </c>
      <c r="GT294" s="55">
        <f>IF(Исходн.данные.!H294&lt;23,2.6,IF(AND(Исходн.данные.!H294&gt;22,Исходн.данные.!H294&lt;26),3,IF(AND(Исходн.данные.!H294&gt;25,Исходн.данные.!H294&lt;29),3.4,3.6)))</f>
        <v>2.6</v>
      </c>
      <c r="GU294" s="55">
        <f>IF(Исходн.данные.!H294&lt;23,2.8,IF(AND(Исходн.данные.!H294&gt;22,Исходн.данные.!H294&lt;26),3.2,IF(AND(Исходн.данные.!H294&gt;25,Исходн.данные.!H294&lt;29),3.6,3.9)))</f>
        <v>2.8</v>
      </c>
      <c r="GV294" s="55">
        <f>IF(Исходн.данные.!H294&lt;23,3,IF(AND(Исходн.данные.!H294&gt;22,Исходн.данные.!H294&lt;26),3.5,IF(AND(Исходн.данные.!H294&gt;25,Исходн.данные.!H294&lt;29),3.9,4.2)))</f>
        <v>3</v>
      </c>
      <c r="GW294" s="55" t="e">
        <f>IF(Исходн.данные.!P294="Ум",GX294,GY294)</f>
        <v>#N/A</v>
      </c>
      <c r="GX294" s="55" t="e">
        <f>VLOOKUP(Исходн.данные.!AI294,Коэффициенты!$J$7:$L$13,2,FALSE)</f>
        <v>#N/A</v>
      </c>
      <c r="GY294" s="55" t="e">
        <f>VLOOKUP(Исходн.данные.!AI294,Коэффициенты!$J$7:$L$13,3,FALSE)</f>
        <v>#N/A</v>
      </c>
      <c r="GZ294" s="55" t="e">
        <f>(IF(Исходн.данные.!M294&lt;50,0.11*VLOOKUP(Исходн.данные.!AH294,Культуры.Информация,7,FALSE),IF(Исходн.данные.!M294&gt;250,0.05*VLOOKUP(Исходн.данные.!AH294,Культуры.Информация,7,FALSE),VLOOKUP(Исходн.данные.!AH294,Культуры.Информация,5,FALSE)/100*($GX$6+$GY$6*Исходн.данные.!M294))))*Расчет2!AI294</f>
        <v>#N/A</v>
      </c>
      <c r="HA294" s="211"/>
      <c r="HB294" s="211"/>
      <c r="HC294" s="55" t="e">
        <f>(IF(Исходн.данные.!O294&lt;80,0.2*VLOOKUP(Исходн.данные.!AH294,Культуры.Информация,8,FALSE),IF(Исходн.данные.!O294&gt;240,0.09*VLOOKUP(Исходн.данные.!AH294,Культуры.Информация,8,FALSE),VLOOKUP(Исходн.данные.!AH294,Культуры.Информация,6,FALSE)/100*($HB$6+$HC$6*Исходн.данные.!O294))))*Расчет2!AJ294</f>
        <v>#N/A</v>
      </c>
      <c r="HD294" s="55">
        <f>IF(Исходн.данные.!O294&gt;240,0.09,IF(Исходн.данные.!O294&lt;30,0.3,$HE$10+$HD$10*Исходн.данные.!O294))</f>
        <v>0.3</v>
      </c>
      <c r="HE294" s="55">
        <f>IF(Исходн.данные.!O294&gt;240,0.17,IF(Исходн.данные.!O294&lt;30,0.5,$HF$12+$HE$12*Исходн.данные.!O294))</f>
        <v>0.5</v>
      </c>
      <c r="HF294" s="55" t="e">
        <f>VLOOKUP(Исходн.данные.!AH294,Справ!$A$3:$D$58,2,FALSE)</f>
        <v>#N/A</v>
      </c>
      <c r="HG294" s="55" t="e">
        <f>VLOOKUP(Исходн.данные.!AH294,Справ!$A$3:$D$58,3,FALSE)</f>
        <v>#N/A</v>
      </c>
      <c r="HH294" s="55" t="e">
        <f>VLOOKUP(Исходн.данные.!AH294,Справ!$A$3:$D$58,4,FALSE)</f>
        <v>#N/A</v>
      </c>
      <c r="HI294" s="11" t="e">
        <f t="shared" si="413"/>
        <v>#N/A</v>
      </c>
      <c r="HJ294" s="11" t="e">
        <f t="shared" si="414"/>
        <v>#N/A</v>
      </c>
      <c r="HK294" s="11" t="e">
        <f t="shared" si="415"/>
        <v>#N/A</v>
      </c>
      <c r="HL294" s="55">
        <f>IF(OR(Исходн.данные.!G294="Глин",Исходн.данные.!G294="Т_суг"),1.1,IF(Исходн.данные.!G294="Ср_суг",1,1))</f>
        <v>1</v>
      </c>
      <c r="HM294" s="55">
        <f>IF(OR(Исходн.данные.!G294="Глин",Исходн.данные.!G294="Т_суг"),0.9,IF(Исходн.данные.!G294="Ср_суг",1,1.2))</f>
        <v>1.2</v>
      </c>
      <c r="HN294" s="11" t="e">
        <f t="shared" si="416"/>
        <v>#N/A</v>
      </c>
      <c r="HO294" s="11" t="e">
        <f t="shared" si="417"/>
        <v>#N/A</v>
      </c>
      <c r="HP294" s="11" t="e">
        <f t="shared" si="418"/>
        <v>#N/A</v>
      </c>
      <c r="HQ294" t="e">
        <f t="shared" si="419"/>
        <v>#N/A</v>
      </c>
      <c r="HR294" t="e">
        <f t="shared" si="420"/>
        <v>#N/A</v>
      </c>
      <c r="HS294" t="e">
        <f t="shared" si="421"/>
        <v>#N/A</v>
      </c>
      <c r="HT294" t="e">
        <f t="shared" si="367"/>
        <v>#N/A</v>
      </c>
      <c r="HU294" t="e">
        <f t="shared" si="368"/>
        <v>#N/A</v>
      </c>
      <c r="HV294" t="e">
        <f t="shared" si="369"/>
        <v>#N/A</v>
      </c>
      <c r="HW294" t="e">
        <f t="shared" si="370"/>
        <v>#N/A</v>
      </c>
      <c r="HX294" t="e">
        <f t="shared" si="371"/>
        <v>#N/A</v>
      </c>
      <c r="HY294" t="e">
        <f t="shared" si="372"/>
        <v>#N/A</v>
      </c>
      <c r="HZ294" s="55">
        <f>IF(OR(Исходн.данные.!AI294="Оз_Ч_П",Исходн.данные.!AI294="Оз_З_П",Исходн.данные.!AI294="Яр_зер"),12,30)</f>
        <v>30</v>
      </c>
      <c r="IA294" t="e">
        <f t="shared" si="422"/>
        <v>#N/A</v>
      </c>
      <c r="IB294" t="e">
        <f t="shared" si="423"/>
        <v>#N/A</v>
      </c>
      <c r="IC294" t="e">
        <f t="shared" si="424"/>
        <v>#N/A</v>
      </c>
      <c r="ID294" s="11" t="e">
        <f t="shared" si="425"/>
        <v>#N/A</v>
      </c>
      <c r="IE294" s="11" t="e">
        <f t="shared" si="426"/>
        <v>#N/A</v>
      </c>
      <c r="IF294" s="11" t="e">
        <f t="shared" si="427"/>
        <v>#N/A</v>
      </c>
    </row>
    <row r="295" spans="35:240" x14ac:dyDescent="0.2">
      <c r="AI295">
        <f>IF(Исходн.данные.!I295&gt;6,1,1.85-(0.148*Исходн.данные.!I295))</f>
        <v>1.85</v>
      </c>
      <c r="AJ295">
        <f>IF(Исходн.данные.!I295&gt;6,1,2.434-(0.246*Исходн.данные.!I295))</f>
        <v>2.4340000000000002</v>
      </c>
      <c r="AL295" s="148" t="b">
        <f>IF(Исходн.данные.!$P295="Ум",N_OrgUd_2g_um,IF(Исходн.данные.!$P295="Об",N_OrgUd_2g_ob))</f>
        <v>0</v>
      </c>
      <c r="AM295" s="148" t="b">
        <f>IF(Исходн.данные.!$P295="Ум",P_OrgUd_2g_um,IF(Исходн.данные.!$P295="Об",P_OrgUd_2g_ob))</f>
        <v>0</v>
      </c>
      <c r="AN295" s="148" t="b">
        <f>IF(Исходн.данные.!$P295="Ум",K_OrgUd_2g_um,IF(Исходн.данные.!$P295="Об",K_OrgUd_2g_ob))</f>
        <v>0</v>
      </c>
      <c r="AO295" s="148" t="b">
        <f>IF(Исходн.данные.!$P295="Ум",N_OrgUd_1g_um,IF(Исходн.данные.!$P295="Об",N_OrgUd_1g_ob))</f>
        <v>0</v>
      </c>
      <c r="AP295" s="148" t="b">
        <f>IF(Исходн.данные.!$P295="Ум",P_OrgUd_1g_um,IF(Исходн.данные.!$P295="Об",P_OrgUd_1g_ob))</f>
        <v>0</v>
      </c>
      <c r="AQ295" s="148" t="b">
        <f>IF(Исходн.данные.!$P295="Ум",K_OrgUd_1g_um,IF(Исходн.данные.!$P295="Об",K_OrgUd_1g_ob))</f>
        <v>0</v>
      </c>
      <c r="AR295" t="b">
        <f>IF(Исходн.данные.!$P295="Ум",N_MinUd_2g_um,IF(Исходн.данные.!$P295="Об",N_MinUd_2g_ob))</f>
        <v>0</v>
      </c>
      <c r="AS295" t="b">
        <f>IF(Исходн.данные.!$P295="Ум",P_MinUd_2g_um,IF(Исходн.данные.!$P295="Об",P_MinUd_2g_ob))</f>
        <v>0</v>
      </c>
      <c r="AT295" t="b">
        <f>IF(Исходн.данные.!$P295="Ум",K_MinUd_2g_um,IF(Исходн.данные.!$P295="Об",K_MinUd_2g_ob))</f>
        <v>0</v>
      </c>
      <c r="AU295" t="b">
        <f>IF(Исходн.данные.!$P295="Ум",N_MinUd_1g_um,IF(Исходн.данные.!$P295="Об",N_MinUd_1g_ob))</f>
        <v>0</v>
      </c>
      <c r="AV295" t="b">
        <f>IF(Исходн.данные.!P295="Ум",P_MinUd_1g_um,IF(Исходн.данные.!P295="Об",P_MinUd_1g_ob))</f>
        <v>0</v>
      </c>
      <c r="AW295" t="b">
        <f>IF(Исходн.данные.!P295="Ум",K_MinUd_1g_um,IF(Исходн.данные.!P295="Об",K_MinUd_1g_ob))</f>
        <v>0</v>
      </c>
      <c r="AY295" t="e">
        <f>VLOOKUP(Исходн.данные.!T295,Справ!$A$3:$N$57,12)</f>
        <v>#N/A</v>
      </c>
      <c r="AZ295" t="e">
        <f>VLOOKUP(Исходн.данные.!T295,Справ!$A$3:$N$57,13)</f>
        <v>#N/A</v>
      </c>
      <c r="BA295" t="e">
        <f>VLOOKUP(Исходн.данные.!T295,Справ!$A$3:$N$57,14)</f>
        <v>#N/A</v>
      </c>
      <c r="BB295">
        <f>IF(Исходн.данные.!AH295=0,0,25)</f>
        <v>0</v>
      </c>
      <c r="BC295" s="141">
        <f>IF(Исходн.данные.!AH295=0,0,IF(Исходн.данные.!T295=0,25,BD295))</f>
        <v>0</v>
      </c>
      <c r="BD295" s="168" t="e">
        <f>AY295+AZ295*Исходн.данные.!U295-POWER(BA295,2)*Исходн.данные.!U295</f>
        <v>#N/A</v>
      </c>
      <c r="BE29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5" s="25">
        <f>IF(Исходн.данные.!AH295=0,0,MIN(HN295:HP295))</f>
        <v>0</v>
      </c>
      <c r="BG295" s="9">
        <f>IF(Исходн.данные.!AH295=0,0,IF((HO295+10*0.25/HG295/HL295)&lt;17,17,HO295+10*0.25/HG295/HL295))</f>
        <v>0</v>
      </c>
      <c r="BH295" s="181">
        <f>IF(Исходн.данные.!AH295=0,0,HW295*HF295*HL295/AU295*AI295+Исходн.данные.!S295*10)</f>
        <v>0</v>
      </c>
      <c r="BI295" s="10"/>
      <c r="BJ295" s="182">
        <f>IF(Исходн.данные.!AH295=0,0,IF(HX295*HG295*HL295/AV295&lt;0,0,HX295*HG295*HL295/AV295*AJ295))</f>
        <v>0</v>
      </c>
      <c r="BK295" s="182">
        <f>IF(Исходн.данные.!AH295=0,0,HY295*HH295*HM295/AW295)</f>
        <v>0</v>
      </c>
      <c r="BL295" s="10">
        <f>IF(OR(Исходн.данные.!$AH295=$BP$1,Исходн.данные.!$AH295=$BP$2),0,IF(BH295&lt;0,0,IF(OR(Исходн.данные.!T295=Расчет!$BP$1,Исходн.данные.!T295=Расчет!$BP$2,Исходн.данные.!T295=Расчет!$BT$5,Исходн.данные.!T295=Расчет!$BT$6),BH295*0.5,IF(OR(Исходн.данные.!T295=Расчет!$BS$9,Исходн.данные.!T295=Расчет!$BS$10,Исходн.данные.!T295=Расчет!$BS$11,Исходн.данные.!T295=Расчет!$BS$12,Исходн.данные.!T295=Расчет!$BP$5),BH295*0.8,BH295))))</f>
        <v>0</v>
      </c>
      <c r="BM295" s="10">
        <f>IF(OR(Исходн.данные.!$AH295=$BP$1,Исходн.данные.!$AH295=$BP$2),0,IF(BJ295&lt;0,0,IF(Исходн.данные.!I295&lt;4.5,BJ295*1.2,IF(Исходн.данные.!I295&gt;5.1,BJ295,BJ295*((5.1-Исходн.данные.!I295)*0.333+1)))))</f>
        <v>0</v>
      </c>
      <c r="BN295" s="10">
        <f>IF(OR(Исходн.данные.!$AH295=$BP$1,Исходн.данные.!$AH295=$BP$2),60-Исходн.данные.!AF295,IF(BK295&lt;0,0,IF(Исходн.данные.!I295&lt;4.5,BK295*1.2,IF(Исходн.данные.!I295&gt;5.1,BK295,BK295*((5.1-Исходн.данные.!I295)*0.333+1)))))</f>
        <v>0</v>
      </c>
      <c r="BO295" s="9">
        <f>IF(BL295&lt;0,0,BL295*Исходн.данные.!$AJ295/1000)</f>
        <v>0</v>
      </c>
      <c r="BP295" s="9">
        <f>IF(BM295&lt;0,0,BM295*Исходн.данные.!$AJ295/1000)</f>
        <v>0</v>
      </c>
      <c r="BQ295" s="9">
        <f>IF(BN295&lt;0,0,BN295*Исходн.данные.!$AJ295/1000)</f>
        <v>0</v>
      </c>
      <c r="BR295" s="9">
        <f t="shared" si="377"/>
        <v>0</v>
      </c>
      <c r="BS295" s="10" t="str">
        <f t="shared" si="378"/>
        <v>Аммофос 12:52:00</v>
      </c>
      <c r="BT295" s="10" t="str">
        <f t="shared" si="379"/>
        <v>Аммофос 12:52:00</v>
      </c>
      <c r="BU295" s="10" t="str">
        <f t="shared" si="380"/>
        <v>Диаммофоска</v>
      </c>
      <c r="BV295" s="10">
        <f t="shared" si="381"/>
        <v>0</v>
      </c>
      <c r="BW295" s="10"/>
      <c r="BX295" s="10"/>
      <c r="BY295" s="9">
        <f>IF(BL295&lt;0,0,IF(OR(Исходн.данные.!AI295=Расчет!$BU$6,Исходн.данные.!AI295=Расчет!$BU$7),Расчет!BV295,IF(Исходн.данные.!$AG295=$BV$11,BL295,IF(OR(Исходн.данные.!$AH295=$BQ$7,Исходн.данные.!$AH295=$BQ$8),CB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0,IF(Исходн.данные.!$AI295=$BU$11,"Нет",IF(BL295&gt;30,30,BL295)))))))</f>
        <v>0</v>
      </c>
      <c r="BZ295" s="9">
        <f>IF(AND(Исходн.данные.!$AG295=$BV$11,BM295&lt;10),10,IF(Исходн.данные.!$AG295=$BV$11,BM295,IF(OR(Исходн.данные.!$AH295=$BQ$7,Исходн.данные.!$AH295=$BQ$8),CC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10,IF(Исходн.данные.!$AI295=$BU$11,"Нет",IF(BM295&gt;60,60,IF(BM295&lt;10,10,BM295)))))))</f>
        <v>10</v>
      </c>
      <c r="CA295" s="39">
        <f>IF(BN295&lt;0,0,IF(Исходн.данные.!$AG295=$BV$11,BN295,IF(OR(Исходн.данные.!$AH295=$BQ$7,Исходн.данные.!$AH295=$BQ$8),CD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0,IF(Исходн.данные.!$AI295=$BU$11,"Нет",IF(BN295&gt;30,30,BN295))))))</f>
        <v>0</v>
      </c>
      <c r="CB295" s="9">
        <f t="shared" si="382"/>
        <v>0</v>
      </c>
      <c r="CC295" s="9">
        <f t="shared" si="383"/>
        <v>0</v>
      </c>
      <c r="CD295" s="9">
        <f t="shared" si="384"/>
        <v>0</v>
      </c>
      <c r="CE295" s="12">
        <f t="shared" si="385"/>
        <v>10</v>
      </c>
      <c r="CF295" s="9">
        <f t="shared" si="386"/>
        <v>0</v>
      </c>
      <c r="CG295" s="9" t="s">
        <v>231</v>
      </c>
      <c r="CH295" s="132" t="str">
        <f>IF(Исходн.данные.!AP295=Расчет!$CI$16,"Нет",IF(Исходн.данные.!AL295&gt;0,Исходн.данные.!AL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BH$4,IF(OR(Исходн.данные.!AI295=Исходн.данные.!$AI$6,Исходн.данные.!AI295=Исходн.данные.!$AI$7),Расчет!BS295,IF(AND($CF295=0,$CE295&gt;0),EV295,ER295)))))</f>
        <v>Аммофос 12:52:00</v>
      </c>
      <c r="CI295" s="274">
        <f>IF(Расчет!$CH295="Нет","Нет",IF(Исходн.данные.!$AL295&gt;0,VLOOKUP(Расчет!$CH295,АшламаДВ_Irekle,2,FALSE),VLOOKUP(Расчет!$CH295,АшламаДВ_Gomumy,2,FALSE)))</f>
        <v>0.12</v>
      </c>
      <c r="CJ295" s="274">
        <f>IF(Расчет!$CH295="Нет","Нет",IF(Исходн.данные.!$AL295&gt;0,VLOOKUP(Расчет!$CH295,АшламаДВ_Irekle,3,FALSE),VLOOKUP(Расчет!$CH295,АшламаДВ_Gomumy,3,FALSE)))</f>
        <v>0.52</v>
      </c>
      <c r="CK295" s="274">
        <f>IF(Расчет!$CH295="Нет","Нет",IF(Исходн.данные.!$AL295&gt;0,VLOOKUP(Расчет!$CH295,АшламаДВ_Irekle,4,FALSE),VLOOKUP(Расчет!$CH295,АшламаДВ_Gomumy,4,FALSE)))</f>
        <v>0</v>
      </c>
      <c r="CL295" s="70"/>
      <c r="CM295" s="70"/>
      <c r="CN295" s="70"/>
      <c r="CO295" s="70"/>
      <c r="CP295" s="70"/>
      <c r="CQ295" s="70"/>
      <c r="CR295" s="10">
        <f t="shared" si="387"/>
        <v>0</v>
      </c>
      <c r="CS295" s="10">
        <f t="shared" si="388"/>
        <v>19.23076923076923</v>
      </c>
      <c r="CT295" s="10">
        <f t="shared" si="389"/>
        <v>0</v>
      </c>
      <c r="CU295" s="39">
        <f>IF($CH295="Нет",0,IF(CI295=0,30/MIN(CJ295:CK295),IF(Исходн.данные.!$AG295=$BV$11,CR295,IF(OR(Исходн.данные.!$AH295=$BQ$7,Исходн.данные.!$AH295=$BQ$8),90/CI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0,IF(Исходн.данные.!$AI295=$BU$11,"Нет",30/CI295))))))</f>
        <v>250</v>
      </c>
      <c r="CV295" s="39">
        <f>IF($CH295="Нет",0,IF(Исходн.данные.!AH295=0,0,IF(CJ295=0,60/MIN(CI295,CK295),IF(Исходн.данные.!$AG295=$BV$11,CS295,IF(OR(Исходн.данные.!$AH295=$BQ$7,Исходн.данные.!$AH295=$BQ$8),90/CJ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10/CJ295,IF(Исходн.данные.!$AI295=$BU$11,"Нет",60/CJ295)))))))</f>
        <v>0</v>
      </c>
      <c r="CW295" s="39">
        <f>IF($CH295="Нет",0,IF(Исходн.данные.!AH295=0,0,IF(CK295=0,30/MIN(CI295:CJ295),IF(Исходн.данные.!$AG295=$BV$11,CT295,IF(OR(Исходн.данные.!$AH295=$BQ$7,Исходн.данные.!$AH295=$BQ$8),90/CK295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0,IF(Исходн.данные.!$AI295=$BU$11,"Нет",30/CK295)))))))</f>
        <v>0</v>
      </c>
      <c r="CX295" s="133">
        <f>IF(Исходн.данные.!$AG295=$BV$11,MAX(CU295:CW295),IF(OR(Исходн.данные.!$AH295=$BS$8,Исходн.данные.!$AH295=$BQ$9,Исходн.данные.!$AH295=$BQ$10,Исходн.данные.!$AH295=$BQ$11,Исходн.данные.!$AH295=$BQ$12,Исходн.данные.!$AH295=$BP$3,Исходн.данные.!$AH295=$BT$8,$FM295="Да"),CV295,MIN(CU295:CW295)))</f>
        <v>0</v>
      </c>
      <c r="CY295" s="133">
        <f>IF(Исходн.данные.!AH295=0,0,IF(CR295&gt;$CX295,$CX295,CR295))</f>
        <v>0</v>
      </c>
      <c r="CZ295" s="133">
        <f>IF(Исходн.данные.!AH295=0,0,IF(CS295&gt;$CX295,$CX295,CS295))</f>
        <v>0</v>
      </c>
      <c r="DA295" s="133">
        <f>IF(Исходн.данные.!AH295=0,0,IF(CT295&gt;$CX295,$CX295,CT295))</f>
        <v>0</v>
      </c>
      <c r="DB295" s="10">
        <f t="shared" si="390"/>
        <v>0</v>
      </c>
      <c r="DC295" s="39">
        <f>DB295*Исходн.данные.!AJ295/1000</f>
        <v>0</v>
      </c>
      <c r="DD295" s="71">
        <f t="shared" si="391"/>
        <v>0</v>
      </c>
      <c r="DE295" s="9">
        <f t="shared" si="392"/>
        <v>0</v>
      </c>
      <c r="DF295" s="9">
        <f t="shared" si="393"/>
        <v>0</v>
      </c>
      <c r="DG295" s="39">
        <f>IF(BL295&lt;0,0,IF($CH295="Нет",BL295,IF(OR(Исходн.данные.!$AH295=$BP$1,Исходн.данные.!$AH295=$BP$2),0,IF(Исходн.данные.!AI295=$BU$11,BL295,IF(BL295-DD295&lt;0,0,BL295-DD295)))))</f>
        <v>0</v>
      </c>
      <c r="DH295" s="39">
        <f>IF(BM295&lt;0,0,IF($CH295="Нет",BM295,IF(OR(Исходн.данные.!$AH295=$BP$1,Исходн.данные.!$AH295=$BP$2),0,IF(Исходн.данные.!AJ295=$BU$11,BM295,IF(BM295-DE295&lt;0,0,BM295-DE295)))))</f>
        <v>0</v>
      </c>
      <c r="DI295" s="39">
        <f>IF(BN295&lt;0,0,IF($CH295="Нет",BN295,IF(OR(Исходн.данные.!$AH295=$BP$1,Исходн.данные.!$AH295=$BP$2),0,IF(Исходн.данные.!AK295=$BU$11,BN295,IF(BN295-DF295&lt;0,0,BN295-DF295)))))</f>
        <v>0</v>
      </c>
      <c r="DJ295" s="12">
        <f t="shared" si="394"/>
        <v>0</v>
      </c>
      <c r="DK295" s="9">
        <f t="shared" si="395"/>
        <v>0</v>
      </c>
      <c r="DL295" s="39">
        <f>IF(Исходн.данные.!AM295&gt;0,Исходн.данные.!AM295,IF(EG295&gt;0,$BH$10,0))</f>
        <v>0</v>
      </c>
      <c r="DM295" s="186">
        <f>IF($DL295=0,0,IF(Исходн.данные.!AM295&gt;0,VLOOKUP($DL295,АшламаДВ_Irekle,2,FALSE),VLOOKUP($DL295,АшламаДВ_Gomumy,2,FALSE)))</f>
        <v>0</v>
      </c>
      <c r="DN295" s="10">
        <f t="shared" si="373"/>
        <v>0</v>
      </c>
      <c r="DO295" s="9" t="str">
        <f>IF(Исходн.данные.!AN295&gt;0,Исходн.данные.!AN295,Удобрения!$B$37 )</f>
        <v>Хлор.калий</v>
      </c>
      <c r="DP295" s="9">
        <f>IF(Исходн.данные.!AN295&gt;0,VLOOKUP(Исходн.данные.!AN295,АшламаДВ_Irekle,4,FALSE),VLOOKUP(DO295,АшламаДВ_Gomumy,4,FALSE))</f>
        <v>0.6</v>
      </c>
      <c r="DQ295" s="10">
        <f t="shared" si="374"/>
        <v>0</v>
      </c>
      <c r="DR295" s="132" t="str">
        <f>IF(Исходн.данные.!AO295&gt;0,Исходн.данные.!AO295,IF(DH295=0,BS$17,IF(AND($DK295=0,$DJ295&gt;0),EJ295,EN295)))</f>
        <v>Нет</v>
      </c>
      <c r="DS295" s="70" t="str">
        <f>IF($DR295="Нет","Нет",IF(Исходн.данные.!$AO295&gt;0,VLOOKUP($DR295,АшламаДВ_Irekle,2,FALSE),VLOOKUP($DR295,АшламаДВ_Gomumy,2,FALSE)))</f>
        <v>Нет</v>
      </c>
      <c r="DT295" s="70" t="str">
        <f>IF($DR295="Нет","Нет",IF(Исходн.данные.!$AO295&gt;0,VLOOKUP($DR295,АшламаДВ_Irekle,3,FALSE),VLOOKUP($DR295,АшламаДВ_Gomumy,3,FALSE)))</f>
        <v>Нет</v>
      </c>
      <c r="DU295" s="70" t="str">
        <f>IF($DR295="Нет","Нет",IF(Исходн.данные.!$AO295&gt;0,VLOOKUP($DR295,АшламаДВ_Irekle,4,FALSE),VLOOKUP($DR295,АшламаДВ_Gomumy,4,FALSE)))</f>
        <v>Нет</v>
      </c>
      <c r="DV295" s="70"/>
      <c r="DW295" s="70"/>
      <c r="DX295" s="70"/>
      <c r="DY295" s="10">
        <f t="shared" si="396"/>
        <v>0</v>
      </c>
      <c r="DZ295" s="10">
        <f t="shared" si="397"/>
        <v>0</v>
      </c>
      <c r="EA295" s="10">
        <f t="shared" si="398"/>
        <v>0</v>
      </c>
      <c r="EB295" s="10">
        <f t="shared" si="399"/>
        <v>0</v>
      </c>
      <c r="EC295" s="10">
        <f t="shared" si="400"/>
        <v>0</v>
      </c>
      <c r="ED295" s="10">
        <f t="shared" si="401"/>
        <v>0</v>
      </c>
      <c r="EE295" s="10">
        <f t="shared" si="402"/>
        <v>0</v>
      </c>
      <c r="EF295" s="39">
        <f>EB295*Исходн.данные.!AJ295/1000</f>
        <v>0</v>
      </c>
      <c r="EG295" s="9">
        <f t="shared" si="403"/>
        <v>0</v>
      </c>
      <c r="EH295" s="9">
        <f t="shared" si="404"/>
        <v>0</v>
      </c>
      <c r="EI295" s="39" t="e">
        <f t="shared" si="354"/>
        <v>#DIV/0!</v>
      </c>
      <c r="EJ295" s="9" t="str">
        <f t="shared" si="375"/>
        <v>Азопреципитат</v>
      </c>
      <c r="EK295" s="12">
        <f t="shared" si="355"/>
        <v>0.26</v>
      </c>
      <c r="EL295" s="12">
        <f t="shared" si="356"/>
        <v>0.13</v>
      </c>
      <c r="EM295" s="12">
        <f t="shared" si="357"/>
        <v>0</v>
      </c>
      <c r="EN295" s="12" t="str">
        <f t="shared" si="376"/>
        <v>Нет</v>
      </c>
      <c r="EO295" s="12">
        <f t="shared" si="358"/>
        <v>0</v>
      </c>
      <c r="EP295" s="12">
        <f t="shared" si="359"/>
        <v>0</v>
      </c>
      <c r="EQ295" s="12">
        <f t="shared" si="360"/>
        <v>0</v>
      </c>
      <c r="ER295" s="12" t="str">
        <f t="shared" si="405"/>
        <v>Диаммофоска</v>
      </c>
      <c r="ES295" s="12">
        <f t="shared" si="361"/>
        <v>0.1</v>
      </c>
      <c r="ET295" s="12">
        <f t="shared" si="362"/>
        <v>0.26</v>
      </c>
      <c r="EU295" s="12">
        <f t="shared" si="363"/>
        <v>0.26</v>
      </c>
      <c r="EV295" s="12" t="str">
        <f t="shared" si="406"/>
        <v>Аммофос 12:52:00</v>
      </c>
      <c r="EW295" s="12" t="str">
        <f t="shared" si="407"/>
        <v>Кемира Свекловичное-6</v>
      </c>
      <c r="EX295" s="12">
        <f t="shared" si="364"/>
        <v>0.16</v>
      </c>
      <c r="EY295" s="12">
        <f t="shared" si="365"/>
        <v>0.12</v>
      </c>
      <c r="EZ295" s="12">
        <f t="shared" si="366"/>
        <v>0.17</v>
      </c>
      <c r="FA295" s="38" t="e">
        <f>IF(AND(OR(FJ295=$FD$1,FM295=$FD$1,FO295=$FD$1,FQ295=$FD$1,FS295=$FD$1),FD295=$FD$1,Исходн.данные.!J295&lt;2,FU295=$FD$1),"Бор,Кобальт",IF(AND(FO295=$FD$1,FH295=$FD$1,Исходн.данные.!J295&lt;2,FU295=$FD$1),"Бор,Кобальт",IF(AND(OR(FJ295=$FD$1,FM295=$FD$1,FQ295=$FD$1),FE295=$FD$1,Исходн.данные.!J295&lt;2,FT295=$FD$1,FU295=$FD$1),"Бор,Медь,Цинк",IF(AND(OR(FJ295=$FD$1,FR295="Да"),FI295="Да",Исходн.данные.!J295&lt;2,FT295="Да",FU295="Да"),"Бор,Цинк,Медь",IF(AND(OR(FM295="Да",FQ295="Да"),FI295="Да",Исходн.данные.!J295&lt;2,FT295="Да",FU295="Да"),"Бор,Цинк",IF(AND(FN295="Да",OR(FD295="Да",FE295="Да")),"Бор",FB295))))))</f>
        <v>#N/A</v>
      </c>
      <c r="FB295" s="134" t="e">
        <f>IF(AND(OR(FD295="Да",FE295="Да",FF295="Да",FG295="Да",FH295="Да"),FO295="Да"),"Бор",IF(AND(FP295="Да",OR(FD295="Да",FE295="Да",FI295="Да")),"Бор",IF(AND(FS295="Да",FE295="Да"),"Бор,Медь",IF(AND(OR(FJ295="Да",FK295="Да",FL295="Да"),FE295="Да",Исходн.данные.!I295&lt;5,FT295="Да",FU295="Да"),"Молибден,Цинк",IF(AND(FM295="Да",OR(FE295="Да",FF295="Да",FG295="Да",FH295="Да",FI295="Да")),"Молибден,Цинк",IF(AND(OR(FJ295="Да",FK295="Да",FL295="Да",FM295="Да",FQ295="Да"),OR(FE295="Да",FF295="Да"),FT295="Да",FU295="Да",Исходн.данные.!I295&gt;5.5),"Медь,Цинк",FC295))))))</f>
        <v>#N/A</v>
      </c>
      <c r="FC295" s="23" t="e">
        <f t="shared" si="408"/>
        <v>#N/A</v>
      </c>
      <c r="FD295" s="38" t="str">
        <f>IF(OR(Исходн.данные.!F295=$CC$1,Исходн.данные.!F295=$CC$2,Исходн.данные.!F295=$CC$3,Исходн.данные.!F295=$CC$4),"Да","Нет")</f>
        <v>Нет</v>
      </c>
      <c r="FE295" s="38" t="str">
        <f>IF(Исходн.данные.!F295=$CC$5,"Да","Нет")</f>
        <v>Нет</v>
      </c>
      <c r="FF295" s="38" t="str">
        <f>IF(OR(Исходн.данные.!F295=$CC$6,Исходн.данные.!F295=$CC$7),"Да","Нет")</f>
        <v>Нет</v>
      </c>
      <c r="FG295" s="38" t="str">
        <f>IF(OR(Исходн.данные.!F295=$CC$8,Исходн.данные.!F295=$CC$9),"Да","Нет")</f>
        <v>Нет</v>
      </c>
      <c r="FH295" s="38" t="str">
        <f>IF(Исходн.данные.!F295=$CC$10,"Да","Нет")</f>
        <v>Нет</v>
      </c>
      <c r="FI295" s="38" t="str">
        <f>IF(OR(Исходн.данные.!F295=$CC$11,Исходн.данные.!F295=$CC$12),"Да","Нет")</f>
        <v>Нет</v>
      </c>
      <c r="FJ295" s="38" t="str">
        <f>IF(OR(Исходн.данные.!AH295=$BS$1,Исходн.данные.!AH295=$BQ$11,Исходн.данные.!AH295=$BQ$12),"Да","Нет")</f>
        <v>Нет</v>
      </c>
      <c r="FK295" s="38" t="str">
        <f>IF(OR(Исходн.данные.!AH295=$BS$2,Исходн.данные.!AH295=$BS$4),"Да","Нет")</f>
        <v>Нет</v>
      </c>
      <c r="FL295" s="38" t="str">
        <f>IF(OR(Исходн.данные.!AH295=$BS$3,Исходн.данные.!AH295=$BS$5),"Да","Нет")</f>
        <v>Нет</v>
      </c>
      <c r="FM295" s="38" t="str">
        <f>IF(OR(Исходн.данные.!AH295=$BS$9,Исходн.данные.!AH295=$BS$10,Исходн.данные.!AH295=$BS$11,Исходн.данные.!AH295=$BS$12),"Да","Нет")</f>
        <v>Нет</v>
      </c>
      <c r="FN295" s="38" t="str">
        <f>IF(OR(Исходн.данные.!AH295=$BS$6,Исходн.данные.!AH295=$BP$3),"Да","Нет")</f>
        <v>Нет</v>
      </c>
      <c r="FO295" s="38" t="str">
        <f>IF(Исходн.данные.!AH295=$BQ$9,"Да","Нет")</f>
        <v>Нет</v>
      </c>
      <c r="FP295" s="38" t="str">
        <f>IF(OR(Исходн.данные.!AH295=$BS$8,Исходн.данные.!AH295=$BT$8),"Да","Нет")</f>
        <v>Нет</v>
      </c>
      <c r="FQ295" s="38" t="str">
        <f>IF(OR(Исходн.данные.!AH295=$BQ$7,Исходн.данные.!AH295=$BQ$8),"Да","Нет")</f>
        <v>Нет</v>
      </c>
      <c r="FR295" s="38" t="str">
        <f>IF(Исходн.данные.!AI295=$BU$9,"Да","Нет")</f>
        <v>Нет</v>
      </c>
      <c r="FS295" s="38" t="str">
        <f>IF(OR(Исходн.данные.!AH295=$BP$1,Исходн.данные.!AH295=$BP$2),"Да","Нет")</f>
        <v>Нет</v>
      </c>
      <c r="FT295" s="38" t="e">
        <f>IF((Исходн.данные.!K295*GO295*GS295*GW295+BL295*0.6+Исходн.данные.!Q295*4.5*0.275)&gt;90,"Да","Нет")</f>
        <v>#N/A</v>
      </c>
      <c r="FU295" s="38" t="e">
        <f>IF((Исходн.данные.!M295*GS295*GZ295+BM295*0.225)&gt;35,"Да","Нет")</f>
        <v>#N/A</v>
      </c>
      <c r="FV295" s="38" t="str">
        <f>IF(Исходн.данные.!O295&gt;175,"Да","Нет")</f>
        <v>Нет</v>
      </c>
      <c r="FW295" s="39" t="str">
        <f>IF(Исходн.данные.!I295&gt;5.5,"Да","Нет")</f>
        <v>Нет</v>
      </c>
      <c r="FX295" s="39" t="str">
        <f>IF(Исходн.данные.!J295&lt;2,"Да","Нет")</f>
        <v>Да</v>
      </c>
      <c r="FY295" s="39" t="e">
        <f>IF(HF295=$FY$16,0,Исходн.данные.!K295*GO295*GS295*GW295/HF295)</f>
        <v>#N/A</v>
      </c>
      <c r="FZ295" s="39" t="e">
        <f>Исходн.данные.!M295*GS295*GZ295/HG295</f>
        <v>#N/A</v>
      </c>
      <c r="GA295" s="39" t="e">
        <f>IF(K_Wyn=$FY$16,0,IF(Исходн.данные.!N295=Исходн.данные.!$L$10,Исходн.данные.!O295/1.1*GS295*HC295/HH295,IF(Исходн.данные.!N295=Исходн.данные.!$L$12,Исходн.данные.!O295/1.5*GS295*HC295/HH295,Исходн.данные.!O295*GS295*HC295/HH295)))</f>
        <v>#N/A</v>
      </c>
      <c r="GB295" s="39" t="e">
        <f>IF(HF295=$FY$16,0,((Исходн.данные.!Q295*N_Org+Исходн.данные.!R295*N_Sider+Исходн.данные.!S295*N_Soloma)*AO295+Расчет!BC295*VLOOKUP(Исходн.данные.!T295,Справ!$A$3:$O$57,15)*AO295+BB295*VLOOKUP(Исходн.данные.!T295,Справ!$A$3:$O$57,15)*AL295+(Исходн.данные.!V295*N_Rizotorf+Исходн.данные.!W295*N_Rizoagr))/HF295)</f>
        <v>#N/A</v>
      </c>
      <c r="GC295" s="39" t="e">
        <f>IF(HG295=$FY$16,0,((Исходн.данные.!Q295*Р_Org+Исходн.данные.!R295*P_Sider+Исходн.данные.!S295*P_Soloma)*AP295+Расчет!BC295*VLOOKUP(Исходн.данные.!T295,Справ!$A$3:$P$57,16)*AP295+BB295*VLOOKUP(Исходн.данные.!T295,Справ!$A$3:$P$57,16)*AM295)/HG295)</f>
        <v>#N/A</v>
      </c>
      <c r="GD295" s="39" t="e">
        <f>IF(HH295=$FY$16,0,((Исходн.данные.!Q295*К_Org+Исходн.данные.!R295*K_Sider+Исходн.данные.!S295*K_Soloma)*AQ295+Расчет!BC295*VLOOKUP(Исходн.данные.!T295,Справ!$A$3:$Q$57,17)*AQ295+BB295*VLOOKUP(Исходн.данные.!T295,Справ!$A$3:$Q$57,17)*AN295)/HH295)</f>
        <v>#N/A</v>
      </c>
      <c r="GE295" s="39" t="e">
        <f>IF(HF295=$FY$16,0,(Исходн.данные.!X295*AR295+Исходн.данные.!AA295*N_Org*AL295+Исходн.данные.!AB295*N_Sider*AL295+Исходн.данные.!AC295*N_Soloma*AL295)/HF295)</f>
        <v>#N/A</v>
      </c>
      <c r="GF295" s="39" t="e">
        <f>IF(HG295=$FY$16,0,(Исходн.данные.!Y295*AS295+Исходн.данные.!AA295*Р_Org*AM295+Исходн.данные.!AB295*P_Sider*AM295+Исходн.данные.!AC295*P_Soloma*AM295)/HG295)</f>
        <v>#N/A</v>
      </c>
      <c r="GG295" s="39" t="e">
        <f>IF(HH295=$FY$16,0,(Исходн.данные.!Z295*AT295+Исходн.данные.!AA295*К_Org*AN295+Исходн.данные.!AB295*K_Sider*AN295+Исходн.данные.!AC295*K_Soloma*AN295)/HH295)</f>
        <v>#N/A</v>
      </c>
      <c r="GH295" s="39" t="e">
        <f>Исходн.данные.!AD295*AU295/HF295</f>
        <v>#N/A</v>
      </c>
      <c r="GI295" s="39" t="e">
        <f>Исходн.данные.!AE295*AV295/HG295</f>
        <v>#N/A</v>
      </c>
      <c r="GJ295" s="39" t="e">
        <f>Исходн.данные.!AF295*AW295/HH295</f>
        <v>#N/A</v>
      </c>
      <c r="GK295" s="55">
        <f>Исходн.данные.!AK295</f>
        <v>0</v>
      </c>
      <c r="GL295" s="11" t="e">
        <f t="shared" si="409"/>
        <v>#N/A</v>
      </c>
      <c r="GM295" s="11" t="e">
        <f t="shared" si="410"/>
        <v>#N/A</v>
      </c>
      <c r="GN295" s="11" t="e">
        <f t="shared" si="411"/>
        <v>#N/A</v>
      </c>
      <c r="GO295" s="57">
        <f t="shared" si="412"/>
        <v>19</v>
      </c>
      <c r="GP295" s="55">
        <f>IF(OR(Исходн.данные.!F295=$CE$1,Исходн.данные.!F295=$CE$2,Исходн.данные.!F295=$CE$3,Исходн.данные.!F295=$CE$4,Исходн.данные.!F295=$CE$5),GQ295,GR295)</f>
        <v>19</v>
      </c>
      <c r="GQ295" s="55">
        <f>IF(Исходн.данные.!F295=$CE$1,28,IF(Исходн.данные.!F295=$CE$2,26,IF(Исходн.данные.!F295=$CE$3,24,IF(Исходн.данные.!F295=$CE$4,22,IF(Исходн.данные.!F295=$CE$5,20,GR295)))))</f>
        <v>19</v>
      </c>
      <c r="GR295" s="55">
        <f>IF(Исходн.данные.!F295=$CE$6,18,IF(Исходн.данные.!F295=$CE$7,16,IF(Исходн.данные.!F295=$CE$8,14,IF(Исходн.данные.!F295=$CE$9,13,IF(Исходн.данные.!F295=$CE$10,12,19)))))</f>
        <v>19</v>
      </c>
      <c r="GS295" s="55">
        <f>IF(Исходн.данные.!G295="Пес",0.035*(40+2*Исходн.данные.!H295),IF(Исходн.данные.!G295="Суп",0.0325*(40+2*Исходн.данные.!H295),0.03*(40+2*Исходн.данные.!H295)))</f>
        <v>1.2</v>
      </c>
      <c r="GT295" s="55">
        <f>IF(Исходн.данные.!H295&lt;23,2.6,IF(AND(Исходн.данные.!H295&gt;22,Исходн.данные.!H295&lt;26),3,IF(AND(Исходн.данные.!H295&gt;25,Исходн.данные.!H295&lt;29),3.4,3.6)))</f>
        <v>2.6</v>
      </c>
      <c r="GU295" s="55">
        <f>IF(Исходн.данные.!H295&lt;23,2.8,IF(AND(Исходн.данные.!H295&gt;22,Исходн.данные.!H295&lt;26),3.2,IF(AND(Исходн.данные.!H295&gt;25,Исходн.данные.!H295&lt;29),3.6,3.9)))</f>
        <v>2.8</v>
      </c>
      <c r="GV295" s="55">
        <f>IF(Исходн.данные.!H295&lt;23,3,IF(AND(Исходн.данные.!H295&gt;22,Исходн.данные.!H295&lt;26),3.5,IF(AND(Исходн.данные.!H295&gt;25,Исходн.данные.!H295&lt;29),3.9,4.2)))</f>
        <v>3</v>
      </c>
      <c r="GW295" s="55" t="e">
        <f>IF(Исходн.данные.!P295="Ум",GX295,GY295)</f>
        <v>#N/A</v>
      </c>
      <c r="GX295" s="55" t="e">
        <f>VLOOKUP(Исходн.данные.!AI295,Коэффициенты!$J$7:$L$13,2,FALSE)</f>
        <v>#N/A</v>
      </c>
      <c r="GY295" s="55" t="e">
        <f>VLOOKUP(Исходн.данные.!AI295,Коэффициенты!$J$7:$L$13,3,FALSE)</f>
        <v>#N/A</v>
      </c>
      <c r="GZ295" s="55" t="e">
        <f>(IF(Исходн.данные.!M295&lt;50,0.11*VLOOKUP(Исходн.данные.!AH295,Культуры.Информация,7,FALSE),IF(Исходн.данные.!M295&gt;250,0.05*VLOOKUP(Исходн.данные.!AH295,Культуры.Информация,7,FALSE),VLOOKUP(Исходн.данные.!AH295,Культуры.Информация,5,FALSE)/100*($GX$6+$GY$6*Исходн.данные.!M295))))*Расчет2!AI295</f>
        <v>#N/A</v>
      </c>
      <c r="HA295" s="211"/>
      <c r="HB295" s="211"/>
      <c r="HC295" s="55" t="e">
        <f>(IF(Исходн.данные.!O295&lt;80,0.2*VLOOKUP(Исходн.данные.!AH295,Культуры.Информация,8,FALSE),IF(Исходн.данные.!O295&gt;240,0.09*VLOOKUP(Исходн.данные.!AH295,Культуры.Информация,8,FALSE),VLOOKUP(Исходн.данные.!AH295,Культуры.Информация,6,FALSE)/100*($HB$6+$HC$6*Исходн.данные.!O295))))*Расчет2!AJ295</f>
        <v>#N/A</v>
      </c>
      <c r="HD295" s="55">
        <f>IF(Исходн.данные.!O295&gt;240,0.09,IF(Исходн.данные.!O295&lt;30,0.3,$HE$10+$HD$10*Исходн.данные.!O295))</f>
        <v>0.3</v>
      </c>
      <c r="HE295" s="55">
        <f>IF(Исходн.данные.!O295&gt;240,0.17,IF(Исходн.данные.!O295&lt;30,0.5,$HF$12+$HE$12*Исходн.данные.!O295))</f>
        <v>0.5</v>
      </c>
      <c r="HF295" s="55" t="e">
        <f>VLOOKUP(Исходн.данные.!AH295,Справ!$A$3:$D$58,2,FALSE)</f>
        <v>#N/A</v>
      </c>
      <c r="HG295" s="55" t="e">
        <f>VLOOKUP(Исходн.данные.!AH295,Справ!$A$3:$D$58,3,FALSE)</f>
        <v>#N/A</v>
      </c>
      <c r="HH295" s="55" t="e">
        <f>VLOOKUP(Исходн.данные.!AH295,Справ!$A$3:$D$58,4,FALSE)</f>
        <v>#N/A</v>
      </c>
      <c r="HI295" s="11" t="e">
        <f t="shared" si="413"/>
        <v>#N/A</v>
      </c>
      <c r="HJ295" s="11" t="e">
        <f t="shared" si="414"/>
        <v>#N/A</v>
      </c>
      <c r="HK295" s="11" t="e">
        <f t="shared" si="415"/>
        <v>#N/A</v>
      </c>
      <c r="HL295" s="55">
        <f>IF(OR(Исходн.данные.!G295="Глин",Исходн.данные.!G295="Т_суг"),1.1,IF(Исходн.данные.!G295="Ср_суг",1,1))</f>
        <v>1</v>
      </c>
      <c r="HM295" s="55">
        <f>IF(OR(Исходн.данные.!G295="Глин",Исходн.данные.!G295="Т_суг"),0.9,IF(Исходн.данные.!G295="Ср_суг",1,1.2))</f>
        <v>1.2</v>
      </c>
      <c r="HN295" s="11" t="e">
        <f t="shared" si="416"/>
        <v>#N/A</v>
      </c>
      <c r="HO295" s="11" t="e">
        <f t="shared" si="417"/>
        <v>#N/A</v>
      </c>
      <c r="HP295" s="11" t="e">
        <f t="shared" si="418"/>
        <v>#N/A</v>
      </c>
      <c r="HQ295" t="e">
        <f t="shared" si="419"/>
        <v>#N/A</v>
      </c>
      <c r="HR295" t="e">
        <f t="shared" si="420"/>
        <v>#N/A</v>
      </c>
      <c r="HS295" t="e">
        <f t="shared" si="421"/>
        <v>#N/A</v>
      </c>
      <c r="HT295" t="e">
        <f t="shared" si="367"/>
        <v>#N/A</v>
      </c>
      <c r="HU295" t="e">
        <f t="shared" si="368"/>
        <v>#N/A</v>
      </c>
      <c r="HV295" t="e">
        <f t="shared" si="369"/>
        <v>#N/A</v>
      </c>
      <c r="HW295" t="e">
        <f t="shared" si="370"/>
        <v>#N/A</v>
      </c>
      <c r="HX295" t="e">
        <f t="shared" si="371"/>
        <v>#N/A</v>
      </c>
      <c r="HY295" t="e">
        <f t="shared" si="372"/>
        <v>#N/A</v>
      </c>
      <c r="HZ295" s="55">
        <f>IF(OR(Исходн.данные.!AI295="Оз_Ч_П",Исходн.данные.!AI295="Оз_З_П",Исходн.данные.!AI295="Яр_зер"),12,30)</f>
        <v>30</v>
      </c>
      <c r="IA295" t="e">
        <f t="shared" si="422"/>
        <v>#N/A</v>
      </c>
      <c r="IB295" t="e">
        <f t="shared" si="423"/>
        <v>#N/A</v>
      </c>
      <c r="IC295" t="e">
        <f t="shared" si="424"/>
        <v>#N/A</v>
      </c>
      <c r="ID295" s="11" t="e">
        <f t="shared" si="425"/>
        <v>#N/A</v>
      </c>
      <c r="IE295" s="11" t="e">
        <f t="shared" si="426"/>
        <v>#N/A</v>
      </c>
      <c r="IF295" s="11" t="e">
        <f t="shared" si="427"/>
        <v>#N/A</v>
      </c>
    </row>
    <row r="296" spans="35:240" x14ac:dyDescent="0.2">
      <c r="AI296">
        <f>IF(Исходн.данные.!I296&gt;6,1,1.85-(0.148*Исходн.данные.!I296))</f>
        <v>1.85</v>
      </c>
      <c r="AJ296">
        <f>IF(Исходн.данные.!I296&gt;6,1,2.434-(0.246*Исходн.данные.!I296))</f>
        <v>2.4340000000000002</v>
      </c>
      <c r="AL296" s="148" t="b">
        <f>IF(Исходн.данные.!$P296="Ум",N_OrgUd_2g_um,IF(Исходн.данные.!$P296="Об",N_OrgUd_2g_ob))</f>
        <v>0</v>
      </c>
      <c r="AM296" s="148" t="b">
        <f>IF(Исходн.данные.!$P296="Ум",P_OrgUd_2g_um,IF(Исходн.данные.!$P296="Об",P_OrgUd_2g_ob))</f>
        <v>0</v>
      </c>
      <c r="AN296" s="148" t="b">
        <f>IF(Исходн.данные.!$P296="Ум",K_OrgUd_2g_um,IF(Исходн.данные.!$P296="Об",K_OrgUd_2g_ob))</f>
        <v>0</v>
      </c>
      <c r="AO296" s="148" t="b">
        <f>IF(Исходн.данные.!$P296="Ум",N_OrgUd_1g_um,IF(Исходн.данные.!$P296="Об",N_OrgUd_1g_ob))</f>
        <v>0</v>
      </c>
      <c r="AP296" s="148" t="b">
        <f>IF(Исходн.данные.!$P296="Ум",P_OrgUd_1g_um,IF(Исходн.данные.!$P296="Об",P_OrgUd_1g_ob))</f>
        <v>0</v>
      </c>
      <c r="AQ296" s="148" t="b">
        <f>IF(Исходн.данные.!$P296="Ум",K_OrgUd_1g_um,IF(Исходн.данные.!$P296="Об",K_OrgUd_1g_ob))</f>
        <v>0</v>
      </c>
      <c r="AR296" t="b">
        <f>IF(Исходн.данные.!$P296="Ум",N_MinUd_2g_um,IF(Исходн.данные.!$P296="Об",N_MinUd_2g_ob))</f>
        <v>0</v>
      </c>
      <c r="AS296" t="b">
        <f>IF(Исходн.данные.!$P296="Ум",P_MinUd_2g_um,IF(Исходн.данные.!$P296="Об",P_MinUd_2g_ob))</f>
        <v>0</v>
      </c>
      <c r="AT296" t="b">
        <f>IF(Исходн.данные.!$P296="Ум",K_MinUd_2g_um,IF(Исходн.данные.!$P296="Об",K_MinUd_2g_ob))</f>
        <v>0</v>
      </c>
      <c r="AU296" t="b">
        <f>IF(Исходн.данные.!$P296="Ум",N_MinUd_1g_um,IF(Исходн.данные.!$P296="Об",N_MinUd_1g_ob))</f>
        <v>0</v>
      </c>
      <c r="AV296" t="b">
        <f>IF(Исходн.данные.!P296="Ум",P_MinUd_1g_um,IF(Исходн.данные.!P296="Об",P_MinUd_1g_ob))</f>
        <v>0</v>
      </c>
      <c r="AW296" t="b">
        <f>IF(Исходн.данные.!P296="Ум",K_MinUd_1g_um,IF(Исходн.данные.!P296="Об",K_MinUd_1g_ob))</f>
        <v>0</v>
      </c>
      <c r="AY296" t="e">
        <f>VLOOKUP(Исходн.данные.!T296,Справ!$A$3:$N$57,12)</f>
        <v>#N/A</v>
      </c>
      <c r="AZ296" t="e">
        <f>VLOOKUP(Исходн.данные.!T296,Справ!$A$3:$N$57,13)</f>
        <v>#N/A</v>
      </c>
      <c r="BA296" t="e">
        <f>VLOOKUP(Исходн.данные.!T296,Справ!$A$3:$N$57,14)</f>
        <v>#N/A</v>
      </c>
      <c r="BB296">
        <f>IF(Исходн.данные.!AH296=0,0,25)</f>
        <v>0</v>
      </c>
      <c r="BC296" s="141">
        <f>IF(Исходн.данные.!AH296=0,0,IF(Исходн.данные.!T296=0,25,BD296))</f>
        <v>0</v>
      </c>
      <c r="BD296" s="168" t="e">
        <f>AY296+AZ296*Исходн.данные.!U296-POWER(BA296,2)*Исходн.данные.!U296</f>
        <v>#N/A</v>
      </c>
      <c r="BE29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6" s="25">
        <f>IF(Исходн.данные.!AH296=0,0,MIN(HN296:HP296))</f>
        <v>0</v>
      </c>
      <c r="BG296" s="9">
        <f>IF(Исходн.данные.!AH296=0,0,IF((HO296+10*0.25/HG296/HL296)&lt;17,17,HO296+10*0.25/HG296/HL296))</f>
        <v>0</v>
      </c>
      <c r="BH296" s="181">
        <f>IF(Исходн.данные.!AH296=0,0,HW296*HF296*HL296/AU296*AI296+Исходн.данные.!S296*10)</f>
        <v>0</v>
      </c>
      <c r="BI296" s="10"/>
      <c r="BJ296" s="182">
        <f>IF(Исходн.данные.!AH296=0,0,IF(HX296*HG296*HL296/AV296&lt;0,0,HX296*HG296*HL296/AV296*AJ296))</f>
        <v>0</v>
      </c>
      <c r="BK296" s="182">
        <f>IF(Исходн.данные.!AH296=0,0,HY296*HH296*HM296/AW296)</f>
        <v>0</v>
      </c>
      <c r="BL296" s="10">
        <f>IF(OR(Исходн.данные.!$AH296=$BP$1,Исходн.данные.!$AH296=$BP$2),0,IF(BH296&lt;0,0,IF(OR(Исходн.данные.!T296=Расчет!$BP$1,Исходн.данные.!T296=Расчет!$BP$2,Исходн.данные.!T296=Расчет!$BT$5,Исходн.данные.!T296=Расчет!$BT$6),BH296*0.5,IF(OR(Исходн.данные.!T296=Расчет!$BS$9,Исходн.данные.!T296=Расчет!$BS$10,Исходн.данные.!T296=Расчет!$BS$11,Исходн.данные.!T296=Расчет!$BS$12,Исходн.данные.!T296=Расчет!$BP$5),BH296*0.8,BH296))))</f>
        <v>0</v>
      </c>
      <c r="BM296" s="10">
        <f>IF(OR(Исходн.данные.!$AH296=$BP$1,Исходн.данные.!$AH296=$BP$2),0,IF(BJ296&lt;0,0,IF(Исходн.данные.!I296&lt;4.5,BJ296*1.2,IF(Исходн.данные.!I296&gt;5.1,BJ296,BJ296*((5.1-Исходн.данные.!I296)*0.333+1)))))</f>
        <v>0</v>
      </c>
      <c r="BN296" s="10">
        <f>IF(OR(Исходн.данные.!$AH296=$BP$1,Исходн.данные.!$AH296=$BP$2),60-Исходн.данные.!AF296,IF(BK296&lt;0,0,IF(Исходн.данные.!I296&lt;4.5,BK296*1.2,IF(Исходн.данные.!I296&gt;5.1,BK296,BK296*((5.1-Исходн.данные.!I296)*0.333+1)))))</f>
        <v>0</v>
      </c>
      <c r="BO296" s="9">
        <f>IF(BL296&lt;0,0,BL296*Исходн.данные.!$AJ296/1000)</f>
        <v>0</v>
      </c>
      <c r="BP296" s="9">
        <f>IF(BM296&lt;0,0,BM296*Исходн.данные.!$AJ296/1000)</f>
        <v>0</v>
      </c>
      <c r="BQ296" s="9">
        <f>IF(BN296&lt;0,0,BN296*Исходн.данные.!$AJ296/1000)</f>
        <v>0</v>
      </c>
      <c r="BR296" s="9">
        <f t="shared" si="377"/>
        <v>0</v>
      </c>
      <c r="BS296" s="10" t="str">
        <f t="shared" si="378"/>
        <v>Аммофос 12:52:00</v>
      </c>
      <c r="BT296" s="10" t="str">
        <f t="shared" si="379"/>
        <v>Аммофос 12:52:00</v>
      </c>
      <c r="BU296" s="10" t="str">
        <f t="shared" si="380"/>
        <v>Диаммофоска</v>
      </c>
      <c r="BV296" s="10">
        <f t="shared" si="381"/>
        <v>0</v>
      </c>
      <c r="BW296" s="10"/>
      <c r="BX296" s="10"/>
      <c r="BY296" s="9">
        <f>IF(BL296&lt;0,0,IF(OR(Исходн.данные.!AI296=Расчет!$BU$6,Исходн.данные.!AI296=Расчет!$BU$7),Расчет!BV296,IF(Исходн.данные.!$AG296=$BV$11,BL296,IF(OR(Исходн.данные.!$AH296=$BQ$7,Исходн.данные.!$AH296=$BQ$8),CB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0,IF(Исходн.данные.!$AI296=$BU$11,"Нет",IF(BL296&gt;30,30,BL296)))))))</f>
        <v>0</v>
      </c>
      <c r="BZ296" s="9">
        <f>IF(AND(Исходн.данные.!$AG296=$BV$11,BM296&lt;10),10,IF(Исходн.данные.!$AG296=$BV$11,BM296,IF(OR(Исходн.данные.!$AH296=$BQ$7,Исходн.данные.!$AH296=$BQ$8),CC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10,IF(Исходн.данные.!$AI296=$BU$11,"Нет",IF(BM296&gt;60,60,IF(BM296&lt;10,10,BM296)))))))</f>
        <v>10</v>
      </c>
      <c r="CA296" s="39">
        <f>IF(BN296&lt;0,0,IF(Исходн.данные.!$AG296=$BV$11,BN296,IF(OR(Исходн.данные.!$AH296=$BQ$7,Исходн.данные.!$AH296=$BQ$8),CD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0,IF(Исходн.данные.!$AI296=$BU$11,"Нет",IF(BN296&gt;30,30,BN296))))))</f>
        <v>0</v>
      </c>
      <c r="CB296" s="9">
        <f t="shared" si="382"/>
        <v>0</v>
      </c>
      <c r="CC296" s="9">
        <f t="shared" si="383"/>
        <v>0</v>
      </c>
      <c r="CD296" s="9">
        <f t="shared" si="384"/>
        <v>0</v>
      </c>
      <c r="CE296" s="12">
        <f t="shared" si="385"/>
        <v>10</v>
      </c>
      <c r="CF296" s="9">
        <f t="shared" si="386"/>
        <v>0</v>
      </c>
      <c r="CG296" s="9" t="s">
        <v>231</v>
      </c>
      <c r="CH296" s="132" t="str">
        <f>IF(Исходн.данные.!AP296=Расчет!$CI$16,"Нет",IF(Исходн.данные.!AL296&gt;0,Исходн.данные.!AL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BH$4,IF(OR(Исходн.данные.!AI296=Исходн.данные.!$AI$6,Исходн.данные.!AI296=Исходн.данные.!$AI$7),Расчет!BS296,IF(AND($CF296=0,$CE296&gt;0),EV296,ER296)))))</f>
        <v>Аммофос 12:52:00</v>
      </c>
      <c r="CI296" s="274">
        <f>IF(Расчет!$CH296="Нет","Нет",IF(Исходн.данные.!$AL296&gt;0,VLOOKUP(Расчет!$CH296,АшламаДВ_Irekle,2,FALSE),VLOOKUP(Расчет!$CH296,АшламаДВ_Gomumy,2,FALSE)))</f>
        <v>0.12</v>
      </c>
      <c r="CJ296" s="274">
        <f>IF(Расчет!$CH296="Нет","Нет",IF(Исходн.данные.!$AL296&gt;0,VLOOKUP(Расчет!$CH296,АшламаДВ_Irekle,3,FALSE),VLOOKUP(Расчет!$CH296,АшламаДВ_Gomumy,3,FALSE)))</f>
        <v>0.52</v>
      </c>
      <c r="CK296" s="274">
        <f>IF(Расчет!$CH296="Нет","Нет",IF(Исходн.данные.!$AL296&gt;0,VLOOKUP(Расчет!$CH296,АшламаДВ_Irekle,4,FALSE),VLOOKUP(Расчет!$CH296,АшламаДВ_Gomumy,4,FALSE)))</f>
        <v>0</v>
      </c>
      <c r="CL296" s="70"/>
      <c r="CM296" s="70"/>
      <c r="CN296" s="70"/>
      <c r="CO296" s="70"/>
      <c r="CP296" s="70"/>
      <c r="CQ296" s="70"/>
      <c r="CR296" s="10">
        <f t="shared" si="387"/>
        <v>0</v>
      </c>
      <c r="CS296" s="10">
        <f t="shared" si="388"/>
        <v>19.23076923076923</v>
      </c>
      <c r="CT296" s="10">
        <f t="shared" si="389"/>
        <v>0</v>
      </c>
      <c r="CU296" s="39">
        <f>IF($CH296="Нет",0,IF(CI296=0,30/MIN(CJ296:CK296),IF(Исходн.данные.!$AG296=$BV$11,CR296,IF(OR(Исходн.данные.!$AH296=$BQ$7,Исходн.данные.!$AH296=$BQ$8),90/CI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0,IF(Исходн.данные.!$AI296=$BU$11,"Нет",30/CI296))))))</f>
        <v>250</v>
      </c>
      <c r="CV296" s="39">
        <f>IF($CH296="Нет",0,IF(Исходн.данные.!AH296=0,0,IF(CJ296=0,60/MIN(CI296,CK296),IF(Исходн.данные.!$AG296=$BV$11,CS296,IF(OR(Исходн.данные.!$AH296=$BQ$7,Исходн.данные.!$AH296=$BQ$8),90/CJ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10/CJ296,IF(Исходн.данные.!$AI296=$BU$11,"Нет",60/CJ296)))))))</f>
        <v>0</v>
      </c>
      <c r="CW296" s="39">
        <f>IF($CH296="Нет",0,IF(Исходн.данные.!AH296=0,0,IF(CK296=0,30/MIN(CI296:CJ296),IF(Исходн.данные.!$AG296=$BV$11,CT296,IF(OR(Исходн.данные.!$AH296=$BQ$7,Исходн.данные.!$AH296=$BQ$8),90/CK296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0,IF(Исходн.данные.!$AI296=$BU$11,"Нет",30/CK296)))))))</f>
        <v>0</v>
      </c>
      <c r="CX296" s="133">
        <f>IF(Исходн.данные.!$AG296=$BV$11,MAX(CU296:CW296),IF(OR(Исходн.данные.!$AH296=$BS$8,Исходн.данные.!$AH296=$BQ$9,Исходн.данные.!$AH296=$BQ$10,Исходн.данные.!$AH296=$BQ$11,Исходн.данные.!$AH296=$BQ$12,Исходн.данные.!$AH296=$BP$3,Исходн.данные.!$AH296=$BT$8,$FM296="Да"),CV296,MIN(CU296:CW296)))</f>
        <v>0</v>
      </c>
      <c r="CY296" s="133">
        <f>IF(Исходн.данные.!AH296=0,0,IF(CR296&gt;$CX296,$CX296,CR296))</f>
        <v>0</v>
      </c>
      <c r="CZ296" s="133">
        <f>IF(Исходн.данные.!AH296=0,0,IF(CS296&gt;$CX296,$CX296,CS296))</f>
        <v>0</v>
      </c>
      <c r="DA296" s="133">
        <f>IF(Исходн.данные.!AH296=0,0,IF(CT296&gt;$CX296,$CX296,CT296))</f>
        <v>0</v>
      </c>
      <c r="DB296" s="10">
        <f t="shared" si="390"/>
        <v>0</v>
      </c>
      <c r="DC296" s="39">
        <f>DB296*Исходн.данные.!AJ296/1000</f>
        <v>0</v>
      </c>
      <c r="DD296" s="71">
        <f t="shared" si="391"/>
        <v>0</v>
      </c>
      <c r="DE296" s="9">
        <f t="shared" si="392"/>
        <v>0</v>
      </c>
      <c r="DF296" s="9">
        <f t="shared" si="393"/>
        <v>0</v>
      </c>
      <c r="DG296" s="39">
        <f>IF(BL296&lt;0,0,IF($CH296="Нет",BL296,IF(OR(Исходн.данные.!$AH296=$BP$1,Исходн.данные.!$AH296=$BP$2),0,IF(Исходн.данные.!AI296=$BU$11,BL296,IF(BL296-DD296&lt;0,0,BL296-DD296)))))</f>
        <v>0</v>
      </c>
      <c r="DH296" s="39">
        <f>IF(BM296&lt;0,0,IF($CH296="Нет",BM296,IF(OR(Исходн.данные.!$AH296=$BP$1,Исходн.данные.!$AH296=$BP$2),0,IF(Исходн.данные.!AJ296=$BU$11,BM296,IF(BM296-DE296&lt;0,0,BM296-DE296)))))</f>
        <v>0</v>
      </c>
      <c r="DI296" s="39">
        <f>IF(BN296&lt;0,0,IF($CH296="Нет",BN296,IF(OR(Исходн.данные.!$AH296=$BP$1,Исходн.данные.!$AH296=$BP$2),0,IF(Исходн.данные.!AK296=$BU$11,BN296,IF(BN296-DF296&lt;0,0,BN296-DF296)))))</f>
        <v>0</v>
      </c>
      <c r="DJ296" s="12">
        <f t="shared" si="394"/>
        <v>0</v>
      </c>
      <c r="DK296" s="9">
        <f t="shared" si="395"/>
        <v>0</v>
      </c>
      <c r="DL296" s="39">
        <f>IF(Исходн.данные.!AM296&gt;0,Исходн.данные.!AM296,IF(EG296&gt;0,$BH$10,0))</f>
        <v>0</v>
      </c>
      <c r="DM296" s="186">
        <f>IF($DL296=0,0,IF(Исходн.данные.!AM296&gt;0,VLOOKUP($DL296,АшламаДВ_Irekle,2,FALSE),VLOOKUP($DL296,АшламаДВ_Gomumy,2,FALSE)))</f>
        <v>0</v>
      </c>
      <c r="DN296" s="10">
        <f t="shared" si="373"/>
        <v>0</v>
      </c>
      <c r="DO296" s="9" t="str">
        <f>IF(Исходн.данные.!AN296&gt;0,Исходн.данные.!AN296,Удобрения!$B$37 )</f>
        <v>Хлор.калий</v>
      </c>
      <c r="DP296" s="9">
        <f>IF(Исходн.данные.!AN296&gt;0,VLOOKUP(Исходн.данные.!AN296,АшламаДВ_Irekle,4,FALSE),VLOOKUP(DO296,АшламаДВ_Gomumy,4,FALSE))</f>
        <v>0.6</v>
      </c>
      <c r="DQ296" s="10">
        <f t="shared" si="374"/>
        <v>0</v>
      </c>
      <c r="DR296" s="132" t="str">
        <f>IF(Исходн.данные.!AO296&gt;0,Исходн.данные.!AO296,IF(DH296=0,BS$17,IF(AND($DK296=0,$DJ296&gt;0),EJ296,EN296)))</f>
        <v>Нет</v>
      </c>
      <c r="DS296" s="70" t="str">
        <f>IF($DR296="Нет","Нет",IF(Исходн.данные.!$AO296&gt;0,VLOOKUP($DR296,АшламаДВ_Irekle,2,FALSE),VLOOKUP($DR296,АшламаДВ_Gomumy,2,FALSE)))</f>
        <v>Нет</v>
      </c>
      <c r="DT296" s="70" t="str">
        <f>IF($DR296="Нет","Нет",IF(Исходн.данные.!$AO296&gt;0,VLOOKUP($DR296,АшламаДВ_Irekle,3,FALSE),VLOOKUP($DR296,АшламаДВ_Gomumy,3,FALSE)))</f>
        <v>Нет</v>
      </c>
      <c r="DU296" s="70" t="str">
        <f>IF($DR296="Нет","Нет",IF(Исходн.данные.!$AO296&gt;0,VLOOKUP($DR296,АшламаДВ_Irekle,4,FALSE),VLOOKUP($DR296,АшламаДВ_Gomumy,4,FALSE)))</f>
        <v>Нет</v>
      </c>
      <c r="DV296" s="70"/>
      <c r="DW296" s="70"/>
      <c r="DX296" s="70"/>
      <c r="DY296" s="10">
        <f t="shared" si="396"/>
        <v>0</v>
      </c>
      <c r="DZ296" s="10">
        <f t="shared" si="397"/>
        <v>0</v>
      </c>
      <c r="EA296" s="10">
        <f t="shared" si="398"/>
        <v>0</v>
      </c>
      <c r="EB296" s="10">
        <f t="shared" si="399"/>
        <v>0</v>
      </c>
      <c r="EC296" s="10">
        <f t="shared" si="400"/>
        <v>0</v>
      </c>
      <c r="ED296" s="10">
        <f t="shared" si="401"/>
        <v>0</v>
      </c>
      <c r="EE296" s="10">
        <f t="shared" si="402"/>
        <v>0</v>
      </c>
      <c r="EF296" s="39">
        <f>EB296*Исходн.данные.!AJ296/1000</f>
        <v>0</v>
      </c>
      <c r="EG296" s="9">
        <f t="shared" si="403"/>
        <v>0</v>
      </c>
      <c r="EH296" s="9">
        <f t="shared" si="404"/>
        <v>0</v>
      </c>
      <c r="EI296" s="39" t="e">
        <f t="shared" si="354"/>
        <v>#DIV/0!</v>
      </c>
      <c r="EJ296" s="9" t="str">
        <f t="shared" si="375"/>
        <v>Азопреципитат</v>
      </c>
      <c r="EK296" s="12">
        <f t="shared" si="355"/>
        <v>0.26</v>
      </c>
      <c r="EL296" s="12">
        <f t="shared" si="356"/>
        <v>0.13</v>
      </c>
      <c r="EM296" s="12">
        <f t="shared" si="357"/>
        <v>0</v>
      </c>
      <c r="EN296" s="12" t="str">
        <f t="shared" si="376"/>
        <v>Нет</v>
      </c>
      <c r="EO296" s="12">
        <f t="shared" si="358"/>
        <v>0</v>
      </c>
      <c r="EP296" s="12">
        <f t="shared" si="359"/>
        <v>0</v>
      </c>
      <c r="EQ296" s="12">
        <f t="shared" si="360"/>
        <v>0</v>
      </c>
      <c r="ER296" s="12" t="str">
        <f t="shared" si="405"/>
        <v>Диаммофоска</v>
      </c>
      <c r="ES296" s="12">
        <f t="shared" si="361"/>
        <v>0.1</v>
      </c>
      <c r="ET296" s="12">
        <f t="shared" si="362"/>
        <v>0.26</v>
      </c>
      <c r="EU296" s="12">
        <f t="shared" si="363"/>
        <v>0.26</v>
      </c>
      <c r="EV296" s="12" t="str">
        <f t="shared" si="406"/>
        <v>Аммофос 12:52:00</v>
      </c>
      <c r="EW296" s="12" t="str">
        <f t="shared" si="407"/>
        <v>Кемира Свекловичное-6</v>
      </c>
      <c r="EX296" s="12">
        <f t="shared" si="364"/>
        <v>0.16</v>
      </c>
      <c r="EY296" s="12">
        <f t="shared" si="365"/>
        <v>0.12</v>
      </c>
      <c r="EZ296" s="12">
        <f t="shared" si="366"/>
        <v>0.17</v>
      </c>
      <c r="FA296" s="38" t="e">
        <f>IF(AND(OR(FJ296=$FD$1,FM296=$FD$1,FO296=$FD$1,FQ296=$FD$1,FS296=$FD$1),FD296=$FD$1,Исходн.данные.!J296&lt;2,FU296=$FD$1),"Бор,Кобальт",IF(AND(FO296=$FD$1,FH296=$FD$1,Исходн.данные.!J296&lt;2,FU296=$FD$1),"Бор,Кобальт",IF(AND(OR(FJ296=$FD$1,FM296=$FD$1,FQ296=$FD$1),FE296=$FD$1,Исходн.данные.!J296&lt;2,FT296=$FD$1,FU296=$FD$1),"Бор,Медь,Цинк",IF(AND(OR(FJ296=$FD$1,FR296="Да"),FI296="Да",Исходн.данные.!J296&lt;2,FT296="Да",FU296="Да"),"Бор,Цинк,Медь",IF(AND(OR(FM296="Да",FQ296="Да"),FI296="Да",Исходн.данные.!J296&lt;2,FT296="Да",FU296="Да"),"Бор,Цинк",IF(AND(FN296="Да",OR(FD296="Да",FE296="Да")),"Бор",FB296))))))</f>
        <v>#N/A</v>
      </c>
      <c r="FB296" s="134" t="e">
        <f>IF(AND(OR(FD296="Да",FE296="Да",FF296="Да",FG296="Да",FH296="Да"),FO296="Да"),"Бор",IF(AND(FP296="Да",OR(FD296="Да",FE296="Да",FI296="Да")),"Бор",IF(AND(FS296="Да",FE296="Да"),"Бор,Медь",IF(AND(OR(FJ296="Да",FK296="Да",FL296="Да"),FE296="Да",Исходн.данные.!I296&lt;5,FT296="Да",FU296="Да"),"Молибден,Цинк",IF(AND(FM296="Да",OR(FE296="Да",FF296="Да",FG296="Да",FH296="Да",FI296="Да")),"Молибден,Цинк",IF(AND(OR(FJ296="Да",FK296="Да",FL296="Да",FM296="Да",FQ296="Да"),OR(FE296="Да",FF296="Да"),FT296="Да",FU296="Да",Исходн.данные.!I296&gt;5.5),"Медь,Цинк",FC296))))))</f>
        <v>#N/A</v>
      </c>
      <c r="FC296" s="23" t="e">
        <f t="shared" si="408"/>
        <v>#N/A</v>
      </c>
      <c r="FD296" s="38" t="str">
        <f>IF(OR(Исходн.данные.!F296=$CC$1,Исходн.данные.!F296=$CC$2,Исходн.данные.!F296=$CC$3,Исходн.данные.!F296=$CC$4),"Да","Нет")</f>
        <v>Нет</v>
      </c>
      <c r="FE296" s="38" t="str">
        <f>IF(Исходн.данные.!F296=$CC$5,"Да","Нет")</f>
        <v>Нет</v>
      </c>
      <c r="FF296" s="38" t="str">
        <f>IF(OR(Исходн.данные.!F296=$CC$6,Исходн.данные.!F296=$CC$7),"Да","Нет")</f>
        <v>Нет</v>
      </c>
      <c r="FG296" s="38" t="str">
        <f>IF(OR(Исходн.данные.!F296=$CC$8,Исходн.данные.!F296=$CC$9),"Да","Нет")</f>
        <v>Нет</v>
      </c>
      <c r="FH296" s="38" t="str">
        <f>IF(Исходн.данные.!F296=$CC$10,"Да","Нет")</f>
        <v>Нет</v>
      </c>
      <c r="FI296" s="38" t="str">
        <f>IF(OR(Исходн.данные.!F296=$CC$11,Исходн.данные.!F296=$CC$12),"Да","Нет")</f>
        <v>Нет</v>
      </c>
      <c r="FJ296" s="38" t="str">
        <f>IF(OR(Исходн.данные.!AH296=$BS$1,Исходн.данные.!AH296=$BQ$11,Исходн.данные.!AH296=$BQ$12),"Да","Нет")</f>
        <v>Нет</v>
      </c>
      <c r="FK296" s="38" t="str">
        <f>IF(OR(Исходн.данные.!AH296=$BS$2,Исходн.данные.!AH296=$BS$4),"Да","Нет")</f>
        <v>Нет</v>
      </c>
      <c r="FL296" s="38" t="str">
        <f>IF(OR(Исходн.данные.!AH296=$BS$3,Исходн.данные.!AH296=$BS$5),"Да","Нет")</f>
        <v>Нет</v>
      </c>
      <c r="FM296" s="38" t="str">
        <f>IF(OR(Исходн.данные.!AH296=$BS$9,Исходн.данные.!AH296=$BS$10,Исходн.данные.!AH296=$BS$11,Исходн.данные.!AH296=$BS$12),"Да","Нет")</f>
        <v>Нет</v>
      </c>
      <c r="FN296" s="38" t="str">
        <f>IF(OR(Исходн.данные.!AH296=$BS$6,Исходн.данные.!AH296=$BP$3),"Да","Нет")</f>
        <v>Нет</v>
      </c>
      <c r="FO296" s="38" t="str">
        <f>IF(Исходн.данные.!AH296=$BQ$9,"Да","Нет")</f>
        <v>Нет</v>
      </c>
      <c r="FP296" s="38" t="str">
        <f>IF(OR(Исходн.данные.!AH296=$BS$8,Исходн.данные.!AH296=$BT$8),"Да","Нет")</f>
        <v>Нет</v>
      </c>
      <c r="FQ296" s="38" t="str">
        <f>IF(OR(Исходн.данные.!AH296=$BQ$7,Исходн.данные.!AH296=$BQ$8),"Да","Нет")</f>
        <v>Нет</v>
      </c>
      <c r="FR296" s="38" t="str">
        <f>IF(Исходн.данные.!AI296=$BU$9,"Да","Нет")</f>
        <v>Нет</v>
      </c>
      <c r="FS296" s="38" t="str">
        <f>IF(OR(Исходн.данные.!AH296=$BP$1,Исходн.данные.!AH296=$BP$2),"Да","Нет")</f>
        <v>Нет</v>
      </c>
      <c r="FT296" s="38" t="e">
        <f>IF((Исходн.данные.!K296*GO296*GS296*GW296+BL296*0.6+Исходн.данные.!Q296*4.5*0.275)&gt;90,"Да","Нет")</f>
        <v>#N/A</v>
      </c>
      <c r="FU296" s="38" t="e">
        <f>IF((Исходн.данные.!M296*GS296*GZ296+BM296*0.225)&gt;35,"Да","Нет")</f>
        <v>#N/A</v>
      </c>
      <c r="FV296" s="38" t="str">
        <f>IF(Исходн.данные.!O296&gt;175,"Да","Нет")</f>
        <v>Нет</v>
      </c>
      <c r="FW296" s="39" t="str">
        <f>IF(Исходн.данные.!I296&gt;5.5,"Да","Нет")</f>
        <v>Нет</v>
      </c>
      <c r="FX296" s="39" t="str">
        <f>IF(Исходн.данные.!J296&lt;2,"Да","Нет")</f>
        <v>Да</v>
      </c>
      <c r="FY296" s="39" t="e">
        <f>IF(HF296=$FY$16,0,Исходн.данные.!K296*GO296*GS296*GW296/HF296)</f>
        <v>#N/A</v>
      </c>
      <c r="FZ296" s="39" t="e">
        <f>Исходн.данные.!M296*GS296*GZ296/HG296</f>
        <v>#N/A</v>
      </c>
      <c r="GA296" s="39" t="e">
        <f>IF(K_Wyn=$FY$16,0,IF(Исходн.данные.!N296=Исходн.данные.!$L$10,Исходн.данные.!O296/1.1*GS296*HC296/HH296,IF(Исходн.данные.!N296=Исходн.данные.!$L$12,Исходн.данные.!O296/1.5*GS296*HC296/HH296,Исходн.данные.!O296*GS296*HC296/HH296)))</f>
        <v>#N/A</v>
      </c>
      <c r="GB296" s="39" t="e">
        <f>IF(HF296=$FY$16,0,((Исходн.данные.!Q296*N_Org+Исходн.данные.!R296*N_Sider+Исходн.данные.!S296*N_Soloma)*AO296+Расчет!BC296*VLOOKUP(Исходн.данные.!T296,Справ!$A$3:$O$57,15)*AO296+BB296*VLOOKUP(Исходн.данные.!T296,Справ!$A$3:$O$57,15)*AL296+(Исходн.данные.!V296*N_Rizotorf+Исходн.данные.!W296*N_Rizoagr))/HF296)</f>
        <v>#N/A</v>
      </c>
      <c r="GC296" s="39" t="e">
        <f>IF(HG296=$FY$16,0,((Исходн.данные.!Q296*Р_Org+Исходн.данные.!R296*P_Sider+Исходн.данные.!S296*P_Soloma)*AP296+Расчет!BC296*VLOOKUP(Исходн.данные.!T296,Справ!$A$3:$P$57,16)*AP296+BB296*VLOOKUP(Исходн.данные.!T296,Справ!$A$3:$P$57,16)*AM296)/HG296)</f>
        <v>#N/A</v>
      </c>
      <c r="GD296" s="39" t="e">
        <f>IF(HH296=$FY$16,0,((Исходн.данные.!Q296*К_Org+Исходн.данные.!R296*K_Sider+Исходн.данные.!S296*K_Soloma)*AQ296+Расчет!BC296*VLOOKUP(Исходн.данные.!T296,Справ!$A$3:$Q$57,17)*AQ296+BB296*VLOOKUP(Исходн.данные.!T296,Справ!$A$3:$Q$57,17)*AN296)/HH296)</f>
        <v>#N/A</v>
      </c>
      <c r="GE296" s="39" t="e">
        <f>IF(HF296=$FY$16,0,(Исходн.данные.!X296*AR296+Исходн.данные.!AA296*N_Org*AL296+Исходн.данные.!AB296*N_Sider*AL296+Исходн.данные.!AC296*N_Soloma*AL296)/HF296)</f>
        <v>#N/A</v>
      </c>
      <c r="GF296" s="39" t="e">
        <f>IF(HG296=$FY$16,0,(Исходн.данные.!Y296*AS296+Исходн.данные.!AA296*Р_Org*AM296+Исходн.данные.!AB296*P_Sider*AM296+Исходн.данные.!AC296*P_Soloma*AM296)/HG296)</f>
        <v>#N/A</v>
      </c>
      <c r="GG296" s="39" t="e">
        <f>IF(HH296=$FY$16,0,(Исходн.данные.!Z296*AT296+Исходн.данные.!AA296*К_Org*AN296+Исходн.данные.!AB296*K_Sider*AN296+Исходн.данные.!AC296*K_Soloma*AN296)/HH296)</f>
        <v>#N/A</v>
      </c>
      <c r="GH296" s="39" t="e">
        <f>Исходн.данные.!AD296*AU296/HF296</f>
        <v>#N/A</v>
      </c>
      <c r="GI296" s="39" t="e">
        <f>Исходн.данные.!AE296*AV296/HG296</f>
        <v>#N/A</v>
      </c>
      <c r="GJ296" s="39" t="e">
        <f>Исходн.данные.!AF296*AW296/HH296</f>
        <v>#N/A</v>
      </c>
      <c r="GK296" s="55">
        <f>Исходн.данные.!AK296</f>
        <v>0</v>
      </c>
      <c r="GL296" s="11" t="e">
        <f t="shared" si="409"/>
        <v>#N/A</v>
      </c>
      <c r="GM296" s="11" t="e">
        <f t="shared" si="410"/>
        <v>#N/A</v>
      </c>
      <c r="GN296" s="11" t="e">
        <f t="shared" si="411"/>
        <v>#N/A</v>
      </c>
      <c r="GO296" s="57">
        <f t="shared" si="412"/>
        <v>19</v>
      </c>
      <c r="GP296" s="55">
        <f>IF(OR(Исходн.данные.!F296=$CE$1,Исходн.данные.!F296=$CE$2,Исходн.данные.!F296=$CE$3,Исходн.данные.!F296=$CE$4,Исходн.данные.!F296=$CE$5),GQ296,GR296)</f>
        <v>19</v>
      </c>
      <c r="GQ296" s="55">
        <f>IF(Исходн.данные.!F296=$CE$1,28,IF(Исходн.данные.!F296=$CE$2,26,IF(Исходн.данные.!F296=$CE$3,24,IF(Исходн.данные.!F296=$CE$4,22,IF(Исходн.данные.!F296=$CE$5,20,GR296)))))</f>
        <v>19</v>
      </c>
      <c r="GR296" s="55">
        <f>IF(Исходн.данные.!F296=$CE$6,18,IF(Исходн.данные.!F296=$CE$7,16,IF(Исходн.данные.!F296=$CE$8,14,IF(Исходн.данные.!F296=$CE$9,13,IF(Исходн.данные.!F296=$CE$10,12,19)))))</f>
        <v>19</v>
      </c>
      <c r="GS296" s="55">
        <f>IF(Исходн.данные.!G296="Пес",0.035*(40+2*Исходн.данные.!H296),IF(Исходн.данные.!G296="Суп",0.0325*(40+2*Исходн.данные.!H296),0.03*(40+2*Исходн.данные.!H296)))</f>
        <v>1.2</v>
      </c>
      <c r="GT296" s="55">
        <f>IF(Исходн.данные.!H296&lt;23,2.6,IF(AND(Исходн.данные.!H296&gt;22,Исходн.данные.!H296&lt;26),3,IF(AND(Исходн.данные.!H296&gt;25,Исходн.данные.!H296&lt;29),3.4,3.6)))</f>
        <v>2.6</v>
      </c>
      <c r="GU296" s="55">
        <f>IF(Исходн.данные.!H296&lt;23,2.8,IF(AND(Исходн.данные.!H296&gt;22,Исходн.данные.!H296&lt;26),3.2,IF(AND(Исходн.данные.!H296&gt;25,Исходн.данные.!H296&lt;29),3.6,3.9)))</f>
        <v>2.8</v>
      </c>
      <c r="GV296" s="55">
        <f>IF(Исходн.данные.!H296&lt;23,3,IF(AND(Исходн.данные.!H296&gt;22,Исходн.данные.!H296&lt;26),3.5,IF(AND(Исходн.данные.!H296&gt;25,Исходн.данные.!H296&lt;29),3.9,4.2)))</f>
        <v>3</v>
      </c>
      <c r="GW296" s="55" t="e">
        <f>IF(Исходн.данные.!P296="Ум",GX296,GY296)</f>
        <v>#N/A</v>
      </c>
      <c r="GX296" s="55" t="e">
        <f>VLOOKUP(Исходн.данные.!AI296,Коэффициенты!$J$7:$L$13,2,FALSE)</f>
        <v>#N/A</v>
      </c>
      <c r="GY296" s="55" t="e">
        <f>VLOOKUP(Исходн.данные.!AI296,Коэффициенты!$J$7:$L$13,3,FALSE)</f>
        <v>#N/A</v>
      </c>
      <c r="GZ296" s="55" t="e">
        <f>(IF(Исходн.данные.!M296&lt;50,0.11*VLOOKUP(Исходн.данные.!AH296,Культуры.Информация,7,FALSE),IF(Исходн.данные.!M296&gt;250,0.05*VLOOKUP(Исходн.данные.!AH296,Культуры.Информация,7,FALSE),VLOOKUP(Исходн.данные.!AH296,Культуры.Информация,5,FALSE)/100*($GX$6+$GY$6*Исходн.данные.!M296))))*Расчет2!AI296</f>
        <v>#N/A</v>
      </c>
      <c r="HA296" s="211"/>
      <c r="HB296" s="211"/>
      <c r="HC296" s="55" t="e">
        <f>(IF(Исходн.данные.!O296&lt;80,0.2*VLOOKUP(Исходн.данные.!AH296,Культуры.Информация,8,FALSE),IF(Исходн.данные.!O296&gt;240,0.09*VLOOKUP(Исходн.данные.!AH296,Культуры.Информация,8,FALSE),VLOOKUP(Исходн.данные.!AH296,Культуры.Информация,6,FALSE)/100*($HB$6+$HC$6*Исходн.данные.!O296))))*Расчет2!AJ296</f>
        <v>#N/A</v>
      </c>
      <c r="HD296" s="55">
        <f>IF(Исходн.данные.!O296&gt;240,0.09,IF(Исходн.данные.!O296&lt;30,0.3,$HE$10+$HD$10*Исходн.данные.!O296))</f>
        <v>0.3</v>
      </c>
      <c r="HE296" s="55">
        <f>IF(Исходн.данные.!O296&gt;240,0.17,IF(Исходн.данные.!O296&lt;30,0.5,$HF$12+$HE$12*Исходн.данные.!O296))</f>
        <v>0.5</v>
      </c>
      <c r="HF296" s="55" t="e">
        <f>VLOOKUP(Исходн.данные.!AH296,Справ!$A$3:$D$58,2,FALSE)</f>
        <v>#N/A</v>
      </c>
      <c r="HG296" s="55" t="e">
        <f>VLOOKUP(Исходн.данные.!AH296,Справ!$A$3:$D$58,3,FALSE)</f>
        <v>#N/A</v>
      </c>
      <c r="HH296" s="55" t="e">
        <f>VLOOKUP(Исходн.данные.!AH296,Справ!$A$3:$D$58,4,FALSE)</f>
        <v>#N/A</v>
      </c>
      <c r="HI296" s="11" t="e">
        <f t="shared" si="413"/>
        <v>#N/A</v>
      </c>
      <c r="HJ296" s="11" t="e">
        <f t="shared" si="414"/>
        <v>#N/A</v>
      </c>
      <c r="HK296" s="11" t="e">
        <f t="shared" si="415"/>
        <v>#N/A</v>
      </c>
      <c r="HL296" s="55">
        <f>IF(OR(Исходн.данные.!G296="Глин",Исходн.данные.!G296="Т_суг"),1.1,IF(Исходн.данные.!G296="Ср_суг",1,1))</f>
        <v>1</v>
      </c>
      <c r="HM296" s="55">
        <f>IF(OR(Исходн.данные.!G296="Глин",Исходн.данные.!G296="Т_суг"),0.9,IF(Исходн.данные.!G296="Ср_суг",1,1.2))</f>
        <v>1.2</v>
      </c>
      <c r="HN296" s="11" t="e">
        <f t="shared" si="416"/>
        <v>#N/A</v>
      </c>
      <c r="HO296" s="11" t="e">
        <f t="shared" si="417"/>
        <v>#N/A</v>
      </c>
      <c r="HP296" s="11" t="e">
        <f t="shared" si="418"/>
        <v>#N/A</v>
      </c>
      <c r="HQ296" t="e">
        <f t="shared" si="419"/>
        <v>#N/A</v>
      </c>
      <c r="HR296" t="e">
        <f t="shared" si="420"/>
        <v>#N/A</v>
      </c>
      <c r="HS296" t="e">
        <f t="shared" si="421"/>
        <v>#N/A</v>
      </c>
      <c r="HT296" t="e">
        <f t="shared" si="367"/>
        <v>#N/A</v>
      </c>
      <c r="HU296" t="e">
        <f t="shared" si="368"/>
        <v>#N/A</v>
      </c>
      <c r="HV296" t="e">
        <f t="shared" si="369"/>
        <v>#N/A</v>
      </c>
      <c r="HW296" t="e">
        <f t="shared" si="370"/>
        <v>#N/A</v>
      </c>
      <c r="HX296" t="e">
        <f t="shared" si="371"/>
        <v>#N/A</v>
      </c>
      <c r="HY296" t="e">
        <f t="shared" si="372"/>
        <v>#N/A</v>
      </c>
      <c r="HZ296" s="55">
        <f>IF(OR(Исходн.данные.!AI296="Оз_Ч_П",Исходн.данные.!AI296="Оз_З_П",Исходн.данные.!AI296="Яр_зер"),12,30)</f>
        <v>30</v>
      </c>
      <c r="IA296" t="e">
        <f t="shared" si="422"/>
        <v>#N/A</v>
      </c>
      <c r="IB296" t="e">
        <f t="shared" si="423"/>
        <v>#N/A</v>
      </c>
      <c r="IC296" t="e">
        <f t="shared" si="424"/>
        <v>#N/A</v>
      </c>
      <c r="ID296" s="11" t="e">
        <f t="shared" si="425"/>
        <v>#N/A</v>
      </c>
      <c r="IE296" s="11" t="e">
        <f t="shared" si="426"/>
        <v>#N/A</v>
      </c>
      <c r="IF296" s="11" t="e">
        <f t="shared" si="427"/>
        <v>#N/A</v>
      </c>
    </row>
    <row r="297" spans="35:240" x14ac:dyDescent="0.2">
      <c r="AI297">
        <f>IF(Исходн.данные.!I297&gt;6,1,1.85-(0.148*Исходн.данные.!I297))</f>
        <v>1.85</v>
      </c>
      <c r="AJ297">
        <f>IF(Исходн.данные.!I297&gt;6,1,2.434-(0.246*Исходн.данные.!I297))</f>
        <v>2.4340000000000002</v>
      </c>
      <c r="AL297" s="148" t="b">
        <f>IF(Исходн.данные.!$P297="Ум",N_OrgUd_2g_um,IF(Исходн.данные.!$P297="Об",N_OrgUd_2g_ob))</f>
        <v>0</v>
      </c>
      <c r="AM297" s="148" t="b">
        <f>IF(Исходн.данные.!$P297="Ум",P_OrgUd_2g_um,IF(Исходн.данные.!$P297="Об",P_OrgUd_2g_ob))</f>
        <v>0</v>
      </c>
      <c r="AN297" s="148" t="b">
        <f>IF(Исходн.данные.!$P297="Ум",K_OrgUd_2g_um,IF(Исходн.данные.!$P297="Об",K_OrgUd_2g_ob))</f>
        <v>0</v>
      </c>
      <c r="AO297" s="148" t="b">
        <f>IF(Исходн.данные.!$P297="Ум",N_OrgUd_1g_um,IF(Исходн.данные.!$P297="Об",N_OrgUd_1g_ob))</f>
        <v>0</v>
      </c>
      <c r="AP297" s="148" t="b">
        <f>IF(Исходн.данные.!$P297="Ум",P_OrgUd_1g_um,IF(Исходн.данные.!$P297="Об",P_OrgUd_1g_ob))</f>
        <v>0</v>
      </c>
      <c r="AQ297" s="148" t="b">
        <f>IF(Исходн.данные.!$P297="Ум",K_OrgUd_1g_um,IF(Исходн.данные.!$P297="Об",K_OrgUd_1g_ob))</f>
        <v>0</v>
      </c>
      <c r="AR297" t="b">
        <f>IF(Исходн.данные.!$P297="Ум",N_MinUd_2g_um,IF(Исходн.данные.!$P297="Об",N_MinUd_2g_ob))</f>
        <v>0</v>
      </c>
      <c r="AS297" t="b">
        <f>IF(Исходн.данные.!$P297="Ум",P_MinUd_2g_um,IF(Исходн.данные.!$P297="Об",P_MinUd_2g_ob))</f>
        <v>0</v>
      </c>
      <c r="AT297" t="b">
        <f>IF(Исходн.данные.!$P297="Ум",K_MinUd_2g_um,IF(Исходн.данные.!$P297="Об",K_MinUd_2g_ob))</f>
        <v>0</v>
      </c>
      <c r="AU297" t="b">
        <f>IF(Исходн.данные.!$P297="Ум",N_MinUd_1g_um,IF(Исходн.данные.!$P297="Об",N_MinUd_1g_ob))</f>
        <v>0</v>
      </c>
      <c r="AV297" t="b">
        <f>IF(Исходн.данные.!P297="Ум",P_MinUd_1g_um,IF(Исходн.данные.!P297="Об",P_MinUd_1g_ob))</f>
        <v>0</v>
      </c>
      <c r="AW297" t="b">
        <f>IF(Исходн.данные.!P297="Ум",K_MinUd_1g_um,IF(Исходн.данные.!P297="Об",K_MinUd_1g_ob))</f>
        <v>0</v>
      </c>
      <c r="AY297" t="e">
        <f>VLOOKUP(Исходн.данные.!T297,Справ!$A$3:$N$57,12)</f>
        <v>#N/A</v>
      </c>
      <c r="AZ297" t="e">
        <f>VLOOKUP(Исходн.данные.!T297,Справ!$A$3:$N$57,13)</f>
        <v>#N/A</v>
      </c>
      <c r="BA297" t="e">
        <f>VLOOKUP(Исходн.данные.!T297,Справ!$A$3:$N$57,14)</f>
        <v>#N/A</v>
      </c>
      <c r="BB297">
        <f>IF(Исходн.данные.!AH297=0,0,25)</f>
        <v>0</v>
      </c>
      <c r="BC297" s="141">
        <f>IF(Исходн.данные.!AH297=0,0,IF(Исходн.данные.!T297=0,25,BD297))</f>
        <v>0</v>
      </c>
      <c r="BD297" s="168" t="e">
        <f>AY297+AZ297*Исходн.данные.!U297-POWER(BA297,2)*Исходн.данные.!U297</f>
        <v>#N/A</v>
      </c>
      <c r="BE29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7" s="25">
        <f>IF(Исходн.данные.!AH297=0,0,MIN(HN297:HP297))</f>
        <v>0</v>
      </c>
      <c r="BG297" s="9">
        <f>IF(Исходн.данные.!AH297=0,0,IF((HO297+10*0.25/HG297/HL297)&lt;17,17,HO297+10*0.25/HG297/HL297))</f>
        <v>0</v>
      </c>
      <c r="BH297" s="181">
        <f>IF(Исходн.данные.!AH297=0,0,HW297*HF297*HL297/AU297*AI297+Исходн.данные.!S297*10)</f>
        <v>0</v>
      </c>
      <c r="BI297" s="10"/>
      <c r="BJ297" s="182">
        <f>IF(Исходн.данные.!AH297=0,0,IF(HX297*HG297*HL297/AV297&lt;0,0,HX297*HG297*HL297/AV297*AJ297))</f>
        <v>0</v>
      </c>
      <c r="BK297" s="182">
        <f>IF(Исходн.данные.!AH297=0,0,HY297*HH297*HM297/AW297)</f>
        <v>0</v>
      </c>
      <c r="BL297" s="10">
        <f>IF(OR(Исходн.данные.!$AH297=$BP$1,Исходн.данные.!$AH297=$BP$2),0,IF(BH297&lt;0,0,IF(OR(Исходн.данные.!T297=Расчет!$BP$1,Исходн.данные.!T297=Расчет!$BP$2,Исходн.данные.!T297=Расчет!$BT$5,Исходн.данные.!T297=Расчет!$BT$6),BH297*0.5,IF(OR(Исходн.данные.!T297=Расчет!$BS$9,Исходн.данные.!T297=Расчет!$BS$10,Исходн.данные.!T297=Расчет!$BS$11,Исходн.данные.!T297=Расчет!$BS$12,Исходн.данные.!T297=Расчет!$BP$5),BH297*0.8,BH297))))</f>
        <v>0</v>
      </c>
      <c r="BM297" s="10">
        <f>IF(OR(Исходн.данные.!$AH297=$BP$1,Исходн.данные.!$AH297=$BP$2),0,IF(BJ297&lt;0,0,IF(Исходн.данные.!I297&lt;4.5,BJ297*1.2,IF(Исходн.данные.!I297&gt;5.1,BJ297,BJ297*((5.1-Исходн.данные.!I297)*0.333+1)))))</f>
        <v>0</v>
      </c>
      <c r="BN297" s="10">
        <f>IF(OR(Исходн.данные.!$AH297=$BP$1,Исходн.данные.!$AH297=$BP$2),60-Исходн.данные.!AF297,IF(BK297&lt;0,0,IF(Исходн.данные.!I297&lt;4.5,BK297*1.2,IF(Исходн.данные.!I297&gt;5.1,BK297,BK297*((5.1-Исходн.данные.!I297)*0.333+1)))))</f>
        <v>0</v>
      </c>
      <c r="BO297" s="9">
        <f>IF(BL297&lt;0,0,BL297*Исходн.данные.!$AJ297/1000)</f>
        <v>0</v>
      </c>
      <c r="BP297" s="9">
        <f>IF(BM297&lt;0,0,BM297*Исходн.данные.!$AJ297/1000)</f>
        <v>0</v>
      </c>
      <c r="BQ297" s="9">
        <f>IF(BN297&lt;0,0,BN297*Исходн.данные.!$AJ297/1000)</f>
        <v>0</v>
      </c>
      <c r="BR297" s="9">
        <f t="shared" si="377"/>
        <v>0</v>
      </c>
      <c r="BS297" s="10" t="str">
        <f t="shared" si="378"/>
        <v>Аммофос 12:52:00</v>
      </c>
      <c r="BT297" s="10" t="str">
        <f t="shared" si="379"/>
        <v>Аммофос 12:52:00</v>
      </c>
      <c r="BU297" s="10" t="str">
        <f t="shared" si="380"/>
        <v>Диаммофоска</v>
      </c>
      <c r="BV297" s="10">
        <f t="shared" si="381"/>
        <v>0</v>
      </c>
      <c r="BW297" s="10"/>
      <c r="BX297" s="10"/>
      <c r="BY297" s="9">
        <f>IF(BL297&lt;0,0,IF(OR(Исходн.данные.!AI297=Расчет!$BU$6,Исходн.данные.!AI297=Расчет!$BU$7),Расчет!BV297,IF(Исходн.данные.!$AG297=$BV$11,BL297,IF(OR(Исходн.данные.!$AH297=$BQ$7,Исходн.данные.!$AH297=$BQ$8),CB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0,IF(Исходн.данные.!$AI297=$BU$11,"Нет",IF(BL297&gt;30,30,BL297)))))))</f>
        <v>0</v>
      </c>
      <c r="BZ297" s="9">
        <f>IF(AND(Исходн.данные.!$AG297=$BV$11,BM297&lt;10),10,IF(Исходн.данные.!$AG297=$BV$11,BM297,IF(OR(Исходн.данные.!$AH297=$BQ$7,Исходн.данные.!$AH297=$BQ$8),CC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10,IF(Исходн.данные.!$AI297=$BU$11,"Нет",IF(BM297&gt;60,60,IF(BM297&lt;10,10,BM297)))))))</f>
        <v>10</v>
      </c>
      <c r="CA297" s="39">
        <f>IF(BN297&lt;0,0,IF(Исходн.данные.!$AG297=$BV$11,BN297,IF(OR(Исходн.данные.!$AH297=$BQ$7,Исходн.данные.!$AH297=$BQ$8),CD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0,IF(Исходн.данные.!$AI297=$BU$11,"Нет",IF(BN297&gt;30,30,BN297))))))</f>
        <v>0</v>
      </c>
      <c r="CB297" s="9">
        <f t="shared" si="382"/>
        <v>0</v>
      </c>
      <c r="CC297" s="9">
        <f t="shared" si="383"/>
        <v>0</v>
      </c>
      <c r="CD297" s="9">
        <f t="shared" si="384"/>
        <v>0</v>
      </c>
      <c r="CE297" s="12">
        <f t="shared" si="385"/>
        <v>10</v>
      </c>
      <c r="CF297" s="9">
        <f t="shared" si="386"/>
        <v>0</v>
      </c>
      <c r="CG297" s="9" t="s">
        <v>231</v>
      </c>
      <c r="CH297" s="132" t="str">
        <f>IF(Исходн.данные.!AP297=Расчет!$CI$16,"Нет",IF(Исходн.данные.!AL297&gt;0,Исходн.данные.!AL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BH$4,IF(OR(Исходн.данные.!AI297=Исходн.данные.!$AI$6,Исходн.данные.!AI297=Исходн.данные.!$AI$7),Расчет!BS297,IF(AND($CF297=0,$CE297&gt;0),EV297,ER297)))))</f>
        <v>Аммофос 12:52:00</v>
      </c>
      <c r="CI297" s="274">
        <f>IF(Расчет!$CH297="Нет","Нет",IF(Исходн.данные.!$AL297&gt;0,VLOOKUP(Расчет!$CH297,АшламаДВ_Irekle,2,FALSE),VLOOKUP(Расчет!$CH297,АшламаДВ_Gomumy,2,FALSE)))</f>
        <v>0.12</v>
      </c>
      <c r="CJ297" s="274">
        <f>IF(Расчет!$CH297="Нет","Нет",IF(Исходн.данные.!$AL297&gt;0,VLOOKUP(Расчет!$CH297,АшламаДВ_Irekle,3,FALSE),VLOOKUP(Расчет!$CH297,АшламаДВ_Gomumy,3,FALSE)))</f>
        <v>0.52</v>
      </c>
      <c r="CK297" s="274">
        <f>IF(Расчет!$CH297="Нет","Нет",IF(Исходн.данные.!$AL297&gt;0,VLOOKUP(Расчет!$CH297,АшламаДВ_Irekle,4,FALSE),VLOOKUP(Расчет!$CH297,АшламаДВ_Gomumy,4,FALSE)))</f>
        <v>0</v>
      </c>
      <c r="CL297" s="70"/>
      <c r="CM297" s="70"/>
      <c r="CN297" s="70"/>
      <c r="CO297" s="70"/>
      <c r="CP297" s="70"/>
      <c r="CQ297" s="70"/>
      <c r="CR297" s="10">
        <f t="shared" si="387"/>
        <v>0</v>
      </c>
      <c r="CS297" s="10">
        <f t="shared" si="388"/>
        <v>19.23076923076923</v>
      </c>
      <c r="CT297" s="10">
        <f t="shared" si="389"/>
        <v>0</v>
      </c>
      <c r="CU297" s="39">
        <f>IF($CH297="Нет",0,IF(CI297=0,30/MIN(CJ297:CK297),IF(Исходн.данные.!$AG297=$BV$11,CR297,IF(OR(Исходн.данные.!$AH297=$BQ$7,Исходн.данные.!$AH297=$BQ$8),90/CI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0,IF(Исходн.данные.!$AI297=$BU$11,"Нет",30/CI297))))))</f>
        <v>250</v>
      </c>
      <c r="CV297" s="39">
        <f>IF($CH297="Нет",0,IF(Исходн.данные.!AH297=0,0,IF(CJ297=0,60/MIN(CI297,CK297),IF(Исходн.данные.!$AG297=$BV$11,CS297,IF(OR(Исходн.данные.!$AH297=$BQ$7,Исходн.данные.!$AH297=$BQ$8),90/CJ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10/CJ297,IF(Исходн.данные.!$AI297=$BU$11,"Нет",60/CJ297)))))))</f>
        <v>0</v>
      </c>
      <c r="CW297" s="39">
        <f>IF($CH297="Нет",0,IF(Исходн.данные.!AH297=0,0,IF(CK297=0,30/MIN(CI297:CJ297),IF(Исходн.данные.!$AG297=$BV$11,CT297,IF(OR(Исходн.данные.!$AH297=$BQ$7,Исходн.данные.!$AH297=$BQ$8),90/CK297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0,IF(Исходн.данные.!$AI297=$BU$11,"Нет",30/CK297)))))))</f>
        <v>0</v>
      </c>
      <c r="CX297" s="133">
        <f>IF(Исходн.данные.!$AG297=$BV$11,MAX(CU297:CW297),IF(OR(Исходн.данные.!$AH297=$BS$8,Исходн.данные.!$AH297=$BQ$9,Исходн.данные.!$AH297=$BQ$10,Исходн.данные.!$AH297=$BQ$11,Исходн.данные.!$AH297=$BQ$12,Исходн.данные.!$AH297=$BP$3,Исходн.данные.!$AH297=$BT$8,$FM297="Да"),CV297,MIN(CU297:CW297)))</f>
        <v>0</v>
      </c>
      <c r="CY297" s="133">
        <f>IF(Исходн.данные.!AH297=0,0,IF(CR297&gt;$CX297,$CX297,CR297))</f>
        <v>0</v>
      </c>
      <c r="CZ297" s="133">
        <f>IF(Исходн.данные.!AH297=0,0,IF(CS297&gt;$CX297,$CX297,CS297))</f>
        <v>0</v>
      </c>
      <c r="DA297" s="133">
        <f>IF(Исходн.данные.!AH297=0,0,IF(CT297&gt;$CX297,$CX297,CT297))</f>
        <v>0</v>
      </c>
      <c r="DB297" s="10">
        <f t="shared" si="390"/>
        <v>0</v>
      </c>
      <c r="DC297" s="39">
        <f>DB297*Исходн.данные.!AJ297/1000</f>
        <v>0</v>
      </c>
      <c r="DD297" s="71">
        <f t="shared" si="391"/>
        <v>0</v>
      </c>
      <c r="DE297" s="9">
        <f t="shared" si="392"/>
        <v>0</v>
      </c>
      <c r="DF297" s="9">
        <f t="shared" si="393"/>
        <v>0</v>
      </c>
      <c r="DG297" s="39">
        <f>IF(BL297&lt;0,0,IF($CH297="Нет",BL297,IF(OR(Исходн.данные.!$AH297=$BP$1,Исходн.данные.!$AH297=$BP$2),0,IF(Исходн.данные.!AI297=$BU$11,BL297,IF(BL297-DD297&lt;0,0,BL297-DD297)))))</f>
        <v>0</v>
      </c>
      <c r="DH297" s="39">
        <f>IF(BM297&lt;0,0,IF($CH297="Нет",BM297,IF(OR(Исходн.данные.!$AH297=$BP$1,Исходн.данные.!$AH297=$BP$2),0,IF(Исходн.данные.!AJ297=$BU$11,BM297,IF(BM297-DE297&lt;0,0,BM297-DE297)))))</f>
        <v>0</v>
      </c>
      <c r="DI297" s="39">
        <f>IF(BN297&lt;0,0,IF($CH297="Нет",BN297,IF(OR(Исходн.данные.!$AH297=$BP$1,Исходн.данные.!$AH297=$BP$2),0,IF(Исходн.данные.!AK297=$BU$11,BN297,IF(BN297-DF297&lt;0,0,BN297-DF297)))))</f>
        <v>0</v>
      </c>
      <c r="DJ297" s="12">
        <f t="shared" si="394"/>
        <v>0</v>
      </c>
      <c r="DK297" s="9">
        <f t="shared" si="395"/>
        <v>0</v>
      </c>
      <c r="DL297" s="39">
        <f>IF(Исходн.данные.!AM297&gt;0,Исходн.данные.!AM297,IF(EG297&gt;0,$BH$10,0))</f>
        <v>0</v>
      </c>
      <c r="DM297" s="186">
        <f>IF($DL297=0,0,IF(Исходн.данные.!AM297&gt;0,VLOOKUP($DL297,АшламаДВ_Irekle,2,FALSE),VLOOKUP($DL297,АшламаДВ_Gomumy,2,FALSE)))</f>
        <v>0</v>
      </c>
      <c r="DN297" s="10">
        <f t="shared" si="373"/>
        <v>0</v>
      </c>
      <c r="DO297" s="9" t="str">
        <f>IF(Исходн.данные.!AN297&gt;0,Исходн.данные.!AN297,Удобрения!$B$37 )</f>
        <v>Хлор.калий</v>
      </c>
      <c r="DP297" s="9">
        <f>IF(Исходн.данные.!AN297&gt;0,VLOOKUP(Исходн.данные.!AN297,АшламаДВ_Irekle,4,FALSE),VLOOKUP(DO297,АшламаДВ_Gomumy,4,FALSE))</f>
        <v>0.6</v>
      </c>
      <c r="DQ297" s="10">
        <f t="shared" si="374"/>
        <v>0</v>
      </c>
      <c r="DR297" s="132" t="str">
        <f>IF(Исходн.данные.!AO297&gt;0,Исходн.данные.!AO297,IF(DH297=0,BS$17,IF(AND($DK297=0,$DJ297&gt;0),EJ297,EN297)))</f>
        <v>Нет</v>
      </c>
      <c r="DS297" s="70" t="str">
        <f>IF($DR297="Нет","Нет",IF(Исходн.данные.!$AO297&gt;0,VLOOKUP($DR297,АшламаДВ_Irekle,2,FALSE),VLOOKUP($DR297,АшламаДВ_Gomumy,2,FALSE)))</f>
        <v>Нет</v>
      </c>
      <c r="DT297" s="70" t="str">
        <f>IF($DR297="Нет","Нет",IF(Исходн.данные.!$AO297&gt;0,VLOOKUP($DR297,АшламаДВ_Irekle,3,FALSE),VLOOKUP($DR297,АшламаДВ_Gomumy,3,FALSE)))</f>
        <v>Нет</v>
      </c>
      <c r="DU297" s="70" t="str">
        <f>IF($DR297="Нет","Нет",IF(Исходн.данные.!$AO297&gt;0,VLOOKUP($DR297,АшламаДВ_Irekle,4,FALSE),VLOOKUP($DR297,АшламаДВ_Gomumy,4,FALSE)))</f>
        <v>Нет</v>
      </c>
      <c r="DV297" s="70"/>
      <c r="DW297" s="70"/>
      <c r="DX297" s="70"/>
      <c r="DY297" s="10">
        <f t="shared" si="396"/>
        <v>0</v>
      </c>
      <c r="DZ297" s="10">
        <f t="shared" si="397"/>
        <v>0</v>
      </c>
      <c r="EA297" s="10">
        <f t="shared" si="398"/>
        <v>0</v>
      </c>
      <c r="EB297" s="10">
        <f t="shared" si="399"/>
        <v>0</v>
      </c>
      <c r="EC297" s="10">
        <f t="shared" si="400"/>
        <v>0</v>
      </c>
      <c r="ED297" s="10">
        <f t="shared" si="401"/>
        <v>0</v>
      </c>
      <c r="EE297" s="10">
        <f t="shared" si="402"/>
        <v>0</v>
      </c>
      <c r="EF297" s="39">
        <f>EB297*Исходн.данные.!AJ297/1000</f>
        <v>0</v>
      </c>
      <c r="EG297" s="9">
        <f t="shared" si="403"/>
        <v>0</v>
      </c>
      <c r="EH297" s="9">
        <f t="shared" si="404"/>
        <v>0</v>
      </c>
      <c r="EI297" s="39" t="e">
        <f t="shared" si="354"/>
        <v>#DIV/0!</v>
      </c>
      <c r="EJ297" s="9" t="str">
        <f t="shared" si="375"/>
        <v>Азопреципитат</v>
      </c>
      <c r="EK297" s="12">
        <f t="shared" si="355"/>
        <v>0.26</v>
      </c>
      <c r="EL297" s="12">
        <f t="shared" si="356"/>
        <v>0.13</v>
      </c>
      <c r="EM297" s="12">
        <f t="shared" si="357"/>
        <v>0</v>
      </c>
      <c r="EN297" s="12" t="str">
        <f t="shared" si="376"/>
        <v>Нет</v>
      </c>
      <c r="EO297" s="12">
        <f t="shared" si="358"/>
        <v>0</v>
      </c>
      <c r="EP297" s="12">
        <f t="shared" si="359"/>
        <v>0</v>
      </c>
      <c r="EQ297" s="12">
        <f t="shared" si="360"/>
        <v>0</v>
      </c>
      <c r="ER297" s="12" t="str">
        <f t="shared" si="405"/>
        <v>Диаммофоска</v>
      </c>
      <c r="ES297" s="12">
        <f t="shared" si="361"/>
        <v>0.1</v>
      </c>
      <c r="ET297" s="12">
        <f t="shared" si="362"/>
        <v>0.26</v>
      </c>
      <c r="EU297" s="12">
        <f t="shared" si="363"/>
        <v>0.26</v>
      </c>
      <c r="EV297" s="12" t="str">
        <f t="shared" si="406"/>
        <v>Аммофос 12:52:00</v>
      </c>
      <c r="EW297" s="12" t="str">
        <f t="shared" si="407"/>
        <v>Кемира Свекловичное-6</v>
      </c>
      <c r="EX297" s="12">
        <f t="shared" si="364"/>
        <v>0.16</v>
      </c>
      <c r="EY297" s="12">
        <f t="shared" si="365"/>
        <v>0.12</v>
      </c>
      <c r="EZ297" s="12">
        <f t="shared" si="366"/>
        <v>0.17</v>
      </c>
      <c r="FA297" s="38" t="e">
        <f>IF(AND(OR(FJ297=$FD$1,FM297=$FD$1,FO297=$FD$1,FQ297=$FD$1,FS297=$FD$1),FD297=$FD$1,Исходн.данные.!J297&lt;2,FU297=$FD$1),"Бор,Кобальт",IF(AND(FO297=$FD$1,FH297=$FD$1,Исходн.данные.!J297&lt;2,FU297=$FD$1),"Бор,Кобальт",IF(AND(OR(FJ297=$FD$1,FM297=$FD$1,FQ297=$FD$1),FE297=$FD$1,Исходн.данные.!J297&lt;2,FT297=$FD$1,FU297=$FD$1),"Бор,Медь,Цинк",IF(AND(OR(FJ297=$FD$1,FR297="Да"),FI297="Да",Исходн.данные.!J297&lt;2,FT297="Да",FU297="Да"),"Бор,Цинк,Медь",IF(AND(OR(FM297="Да",FQ297="Да"),FI297="Да",Исходн.данные.!J297&lt;2,FT297="Да",FU297="Да"),"Бор,Цинк",IF(AND(FN297="Да",OR(FD297="Да",FE297="Да")),"Бор",FB297))))))</f>
        <v>#N/A</v>
      </c>
      <c r="FB297" s="134" t="e">
        <f>IF(AND(OR(FD297="Да",FE297="Да",FF297="Да",FG297="Да",FH297="Да"),FO297="Да"),"Бор",IF(AND(FP297="Да",OR(FD297="Да",FE297="Да",FI297="Да")),"Бор",IF(AND(FS297="Да",FE297="Да"),"Бор,Медь",IF(AND(OR(FJ297="Да",FK297="Да",FL297="Да"),FE297="Да",Исходн.данные.!I297&lt;5,FT297="Да",FU297="Да"),"Молибден,Цинк",IF(AND(FM297="Да",OR(FE297="Да",FF297="Да",FG297="Да",FH297="Да",FI297="Да")),"Молибден,Цинк",IF(AND(OR(FJ297="Да",FK297="Да",FL297="Да",FM297="Да",FQ297="Да"),OR(FE297="Да",FF297="Да"),FT297="Да",FU297="Да",Исходн.данные.!I297&gt;5.5),"Медь,Цинк",FC297))))))</f>
        <v>#N/A</v>
      </c>
      <c r="FC297" s="23" t="e">
        <f t="shared" si="408"/>
        <v>#N/A</v>
      </c>
      <c r="FD297" s="38" t="str">
        <f>IF(OR(Исходн.данные.!F297=$CC$1,Исходн.данные.!F297=$CC$2,Исходн.данные.!F297=$CC$3,Исходн.данные.!F297=$CC$4),"Да","Нет")</f>
        <v>Нет</v>
      </c>
      <c r="FE297" s="38" t="str">
        <f>IF(Исходн.данные.!F297=$CC$5,"Да","Нет")</f>
        <v>Нет</v>
      </c>
      <c r="FF297" s="38" t="str">
        <f>IF(OR(Исходн.данные.!F297=$CC$6,Исходн.данные.!F297=$CC$7),"Да","Нет")</f>
        <v>Нет</v>
      </c>
      <c r="FG297" s="38" t="str">
        <f>IF(OR(Исходн.данные.!F297=$CC$8,Исходн.данные.!F297=$CC$9),"Да","Нет")</f>
        <v>Нет</v>
      </c>
      <c r="FH297" s="38" t="str">
        <f>IF(Исходн.данные.!F297=$CC$10,"Да","Нет")</f>
        <v>Нет</v>
      </c>
      <c r="FI297" s="38" t="str">
        <f>IF(OR(Исходн.данные.!F297=$CC$11,Исходн.данные.!F297=$CC$12),"Да","Нет")</f>
        <v>Нет</v>
      </c>
      <c r="FJ297" s="38" t="str">
        <f>IF(OR(Исходн.данные.!AH297=$BS$1,Исходн.данные.!AH297=$BQ$11,Исходн.данные.!AH297=$BQ$12),"Да","Нет")</f>
        <v>Нет</v>
      </c>
      <c r="FK297" s="38" t="str">
        <f>IF(OR(Исходн.данные.!AH297=$BS$2,Исходн.данные.!AH297=$BS$4),"Да","Нет")</f>
        <v>Нет</v>
      </c>
      <c r="FL297" s="38" t="str">
        <f>IF(OR(Исходн.данные.!AH297=$BS$3,Исходн.данные.!AH297=$BS$5),"Да","Нет")</f>
        <v>Нет</v>
      </c>
      <c r="FM297" s="38" t="str">
        <f>IF(OR(Исходн.данные.!AH297=$BS$9,Исходн.данные.!AH297=$BS$10,Исходн.данные.!AH297=$BS$11,Исходн.данные.!AH297=$BS$12),"Да","Нет")</f>
        <v>Нет</v>
      </c>
      <c r="FN297" s="38" t="str">
        <f>IF(OR(Исходн.данные.!AH297=$BS$6,Исходн.данные.!AH297=$BP$3),"Да","Нет")</f>
        <v>Нет</v>
      </c>
      <c r="FO297" s="38" t="str">
        <f>IF(Исходн.данные.!AH297=$BQ$9,"Да","Нет")</f>
        <v>Нет</v>
      </c>
      <c r="FP297" s="38" t="str">
        <f>IF(OR(Исходн.данные.!AH297=$BS$8,Исходн.данные.!AH297=$BT$8),"Да","Нет")</f>
        <v>Нет</v>
      </c>
      <c r="FQ297" s="38" t="str">
        <f>IF(OR(Исходн.данные.!AH297=$BQ$7,Исходн.данные.!AH297=$BQ$8),"Да","Нет")</f>
        <v>Нет</v>
      </c>
      <c r="FR297" s="38" t="str">
        <f>IF(Исходн.данные.!AI297=$BU$9,"Да","Нет")</f>
        <v>Нет</v>
      </c>
      <c r="FS297" s="38" t="str">
        <f>IF(OR(Исходн.данные.!AH297=$BP$1,Исходн.данные.!AH297=$BP$2),"Да","Нет")</f>
        <v>Нет</v>
      </c>
      <c r="FT297" s="38" t="e">
        <f>IF((Исходн.данные.!K297*GO297*GS297*GW297+BL297*0.6+Исходн.данные.!Q297*4.5*0.275)&gt;90,"Да","Нет")</f>
        <v>#N/A</v>
      </c>
      <c r="FU297" s="38" t="e">
        <f>IF((Исходн.данные.!M297*GS297*GZ297+BM297*0.225)&gt;35,"Да","Нет")</f>
        <v>#N/A</v>
      </c>
      <c r="FV297" s="38" t="str">
        <f>IF(Исходн.данные.!O297&gt;175,"Да","Нет")</f>
        <v>Нет</v>
      </c>
      <c r="FW297" s="39" t="str">
        <f>IF(Исходн.данные.!I297&gt;5.5,"Да","Нет")</f>
        <v>Нет</v>
      </c>
      <c r="FX297" s="39" t="str">
        <f>IF(Исходн.данные.!J297&lt;2,"Да","Нет")</f>
        <v>Да</v>
      </c>
      <c r="FY297" s="39" t="e">
        <f>IF(HF297=$FY$16,0,Исходн.данные.!K297*GO297*GS297*GW297/HF297)</f>
        <v>#N/A</v>
      </c>
      <c r="FZ297" s="39" t="e">
        <f>Исходн.данные.!M297*GS297*GZ297/HG297</f>
        <v>#N/A</v>
      </c>
      <c r="GA297" s="39" t="e">
        <f>IF(K_Wyn=$FY$16,0,IF(Исходн.данные.!N297=Исходн.данные.!$L$10,Исходн.данные.!O297/1.1*GS297*HC297/HH297,IF(Исходн.данные.!N297=Исходн.данные.!$L$12,Исходн.данные.!O297/1.5*GS297*HC297/HH297,Исходн.данные.!O297*GS297*HC297/HH297)))</f>
        <v>#N/A</v>
      </c>
      <c r="GB297" s="39" t="e">
        <f>IF(HF297=$FY$16,0,((Исходн.данные.!Q297*N_Org+Исходн.данные.!R297*N_Sider+Исходн.данные.!S297*N_Soloma)*AO297+Расчет!BC297*VLOOKUP(Исходн.данные.!T297,Справ!$A$3:$O$57,15)*AO297+BB297*VLOOKUP(Исходн.данные.!T297,Справ!$A$3:$O$57,15)*AL297+(Исходн.данные.!V297*N_Rizotorf+Исходн.данные.!W297*N_Rizoagr))/HF297)</f>
        <v>#N/A</v>
      </c>
      <c r="GC297" s="39" t="e">
        <f>IF(HG297=$FY$16,0,((Исходн.данные.!Q297*Р_Org+Исходн.данные.!R297*P_Sider+Исходн.данные.!S297*P_Soloma)*AP297+Расчет!BC297*VLOOKUP(Исходн.данные.!T297,Справ!$A$3:$P$57,16)*AP297+BB297*VLOOKUP(Исходн.данные.!T297,Справ!$A$3:$P$57,16)*AM297)/HG297)</f>
        <v>#N/A</v>
      </c>
      <c r="GD297" s="39" t="e">
        <f>IF(HH297=$FY$16,0,((Исходн.данные.!Q297*К_Org+Исходн.данные.!R297*K_Sider+Исходн.данные.!S297*K_Soloma)*AQ297+Расчет!BC297*VLOOKUP(Исходн.данные.!T297,Справ!$A$3:$Q$57,17)*AQ297+BB297*VLOOKUP(Исходн.данные.!T297,Справ!$A$3:$Q$57,17)*AN297)/HH297)</f>
        <v>#N/A</v>
      </c>
      <c r="GE297" s="39" t="e">
        <f>IF(HF297=$FY$16,0,(Исходн.данные.!X297*AR297+Исходн.данные.!AA297*N_Org*AL297+Исходн.данные.!AB297*N_Sider*AL297+Исходн.данные.!AC297*N_Soloma*AL297)/HF297)</f>
        <v>#N/A</v>
      </c>
      <c r="GF297" s="39" t="e">
        <f>IF(HG297=$FY$16,0,(Исходн.данные.!Y297*AS297+Исходн.данные.!AA297*Р_Org*AM297+Исходн.данные.!AB297*P_Sider*AM297+Исходн.данные.!AC297*P_Soloma*AM297)/HG297)</f>
        <v>#N/A</v>
      </c>
      <c r="GG297" s="39" t="e">
        <f>IF(HH297=$FY$16,0,(Исходн.данные.!Z297*AT297+Исходн.данные.!AA297*К_Org*AN297+Исходн.данные.!AB297*K_Sider*AN297+Исходн.данные.!AC297*K_Soloma*AN297)/HH297)</f>
        <v>#N/A</v>
      </c>
      <c r="GH297" s="39" t="e">
        <f>Исходн.данные.!AD297*AU297/HF297</f>
        <v>#N/A</v>
      </c>
      <c r="GI297" s="39" t="e">
        <f>Исходн.данные.!AE297*AV297/HG297</f>
        <v>#N/A</v>
      </c>
      <c r="GJ297" s="39" t="e">
        <f>Исходн.данные.!AF297*AW297/HH297</f>
        <v>#N/A</v>
      </c>
      <c r="GK297" s="55">
        <f>Исходн.данные.!AK297</f>
        <v>0</v>
      </c>
      <c r="GL297" s="11" t="e">
        <f t="shared" si="409"/>
        <v>#N/A</v>
      </c>
      <c r="GM297" s="11" t="e">
        <f t="shared" si="410"/>
        <v>#N/A</v>
      </c>
      <c r="GN297" s="11" t="e">
        <f t="shared" si="411"/>
        <v>#N/A</v>
      </c>
      <c r="GO297" s="57">
        <f t="shared" si="412"/>
        <v>19</v>
      </c>
      <c r="GP297" s="55">
        <f>IF(OR(Исходн.данные.!F297=$CE$1,Исходн.данные.!F297=$CE$2,Исходн.данные.!F297=$CE$3,Исходн.данные.!F297=$CE$4,Исходн.данные.!F297=$CE$5),GQ297,GR297)</f>
        <v>19</v>
      </c>
      <c r="GQ297" s="55">
        <f>IF(Исходн.данные.!F297=$CE$1,28,IF(Исходн.данные.!F297=$CE$2,26,IF(Исходн.данные.!F297=$CE$3,24,IF(Исходн.данные.!F297=$CE$4,22,IF(Исходн.данные.!F297=$CE$5,20,GR297)))))</f>
        <v>19</v>
      </c>
      <c r="GR297" s="55">
        <f>IF(Исходн.данные.!F297=$CE$6,18,IF(Исходн.данные.!F297=$CE$7,16,IF(Исходн.данные.!F297=$CE$8,14,IF(Исходн.данные.!F297=$CE$9,13,IF(Исходн.данные.!F297=$CE$10,12,19)))))</f>
        <v>19</v>
      </c>
      <c r="GS297" s="55">
        <f>IF(Исходн.данные.!G297="Пес",0.035*(40+2*Исходн.данные.!H297),IF(Исходн.данные.!G297="Суп",0.0325*(40+2*Исходн.данные.!H297),0.03*(40+2*Исходн.данные.!H297)))</f>
        <v>1.2</v>
      </c>
      <c r="GT297" s="55">
        <f>IF(Исходн.данные.!H297&lt;23,2.6,IF(AND(Исходн.данные.!H297&gt;22,Исходн.данные.!H297&lt;26),3,IF(AND(Исходн.данные.!H297&gt;25,Исходн.данные.!H297&lt;29),3.4,3.6)))</f>
        <v>2.6</v>
      </c>
      <c r="GU297" s="55">
        <f>IF(Исходн.данные.!H297&lt;23,2.8,IF(AND(Исходн.данные.!H297&gt;22,Исходн.данные.!H297&lt;26),3.2,IF(AND(Исходн.данные.!H297&gt;25,Исходн.данные.!H297&lt;29),3.6,3.9)))</f>
        <v>2.8</v>
      </c>
      <c r="GV297" s="55">
        <f>IF(Исходн.данные.!H297&lt;23,3,IF(AND(Исходн.данные.!H297&gt;22,Исходн.данные.!H297&lt;26),3.5,IF(AND(Исходн.данные.!H297&gt;25,Исходн.данные.!H297&lt;29),3.9,4.2)))</f>
        <v>3</v>
      </c>
      <c r="GW297" s="55" t="e">
        <f>IF(Исходн.данные.!P297="Ум",GX297,GY297)</f>
        <v>#N/A</v>
      </c>
      <c r="GX297" s="55" t="e">
        <f>VLOOKUP(Исходн.данные.!AI297,Коэффициенты!$J$7:$L$13,2,FALSE)</f>
        <v>#N/A</v>
      </c>
      <c r="GY297" s="55" t="e">
        <f>VLOOKUP(Исходн.данные.!AI297,Коэффициенты!$J$7:$L$13,3,FALSE)</f>
        <v>#N/A</v>
      </c>
      <c r="GZ297" s="55" t="e">
        <f>(IF(Исходн.данные.!M297&lt;50,0.11*VLOOKUP(Исходн.данные.!AH297,Культуры.Информация,7,FALSE),IF(Исходн.данные.!M297&gt;250,0.05*VLOOKUP(Исходн.данные.!AH297,Культуры.Информация,7,FALSE),VLOOKUP(Исходн.данные.!AH297,Культуры.Информация,5,FALSE)/100*($GX$6+$GY$6*Исходн.данные.!M297))))*Расчет2!AI297</f>
        <v>#N/A</v>
      </c>
      <c r="HA297" s="211"/>
      <c r="HB297" s="211"/>
      <c r="HC297" s="55" t="e">
        <f>(IF(Исходн.данные.!O297&lt;80,0.2*VLOOKUP(Исходн.данные.!AH297,Культуры.Информация,8,FALSE),IF(Исходн.данные.!O297&gt;240,0.09*VLOOKUP(Исходн.данные.!AH297,Культуры.Информация,8,FALSE),VLOOKUP(Исходн.данные.!AH297,Культуры.Информация,6,FALSE)/100*($HB$6+$HC$6*Исходн.данные.!O297))))*Расчет2!AJ297</f>
        <v>#N/A</v>
      </c>
      <c r="HD297" s="55">
        <f>IF(Исходн.данные.!O297&gt;240,0.09,IF(Исходн.данные.!O297&lt;30,0.3,$HE$10+$HD$10*Исходн.данные.!O297))</f>
        <v>0.3</v>
      </c>
      <c r="HE297" s="55">
        <f>IF(Исходн.данные.!O297&gt;240,0.17,IF(Исходн.данные.!O297&lt;30,0.5,$HF$12+$HE$12*Исходн.данные.!O297))</f>
        <v>0.5</v>
      </c>
      <c r="HF297" s="55" t="e">
        <f>VLOOKUP(Исходн.данные.!AH297,Справ!$A$3:$D$58,2,FALSE)</f>
        <v>#N/A</v>
      </c>
      <c r="HG297" s="55" t="e">
        <f>VLOOKUP(Исходн.данные.!AH297,Справ!$A$3:$D$58,3,FALSE)</f>
        <v>#N/A</v>
      </c>
      <c r="HH297" s="55" t="e">
        <f>VLOOKUP(Исходн.данные.!AH297,Справ!$A$3:$D$58,4,FALSE)</f>
        <v>#N/A</v>
      </c>
      <c r="HI297" s="11" t="e">
        <f t="shared" si="413"/>
        <v>#N/A</v>
      </c>
      <c r="HJ297" s="11" t="e">
        <f t="shared" si="414"/>
        <v>#N/A</v>
      </c>
      <c r="HK297" s="11" t="e">
        <f t="shared" si="415"/>
        <v>#N/A</v>
      </c>
      <c r="HL297" s="55">
        <f>IF(OR(Исходн.данные.!G297="Глин",Исходн.данные.!G297="Т_суг"),1.1,IF(Исходн.данные.!G297="Ср_суг",1,1))</f>
        <v>1</v>
      </c>
      <c r="HM297" s="55">
        <f>IF(OR(Исходн.данные.!G297="Глин",Исходн.данные.!G297="Т_суг"),0.9,IF(Исходн.данные.!G297="Ср_суг",1,1.2))</f>
        <v>1.2</v>
      </c>
      <c r="HN297" s="11" t="e">
        <f t="shared" si="416"/>
        <v>#N/A</v>
      </c>
      <c r="HO297" s="11" t="e">
        <f t="shared" si="417"/>
        <v>#N/A</v>
      </c>
      <c r="HP297" s="11" t="e">
        <f t="shared" si="418"/>
        <v>#N/A</v>
      </c>
      <c r="HQ297" t="e">
        <f t="shared" si="419"/>
        <v>#N/A</v>
      </c>
      <c r="HR297" t="e">
        <f t="shared" si="420"/>
        <v>#N/A</v>
      </c>
      <c r="HS297" t="e">
        <f t="shared" si="421"/>
        <v>#N/A</v>
      </c>
      <c r="HT297" t="e">
        <f t="shared" si="367"/>
        <v>#N/A</v>
      </c>
      <c r="HU297" t="e">
        <f t="shared" si="368"/>
        <v>#N/A</v>
      </c>
      <c r="HV297" t="e">
        <f t="shared" si="369"/>
        <v>#N/A</v>
      </c>
      <c r="HW297" t="e">
        <f t="shared" si="370"/>
        <v>#N/A</v>
      </c>
      <c r="HX297" t="e">
        <f t="shared" si="371"/>
        <v>#N/A</v>
      </c>
      <c r="HY297" t="e">
        <f t="shared" si="372"/>
        <v>#N/A</v>
      </c>
      <c r="HZ297" s="55">
        <f>IF(OR(Исходн.данные.!AI297="Оз_Ч_П",Исходн.данные.!AI297="Оз_З_П",Исходн.данные.!AI297="Яр_зер"),12,30)</f>
        <v>30</v>
      </c>
      <c r="IA297" t="e">
        <f t="shared" si="422"/>
        <v>#N/A</v>
      </c>
      <c r="IB297" t="e">
        <f t="shared" si="423"/>
        <v>#N/A</v>
      </c>
      <c r="IC297" t="e">
        <f t="shared" si="424"/>
        <v>#N/A</v>
      </c>
      <c r="ID297" s="11" t="e">
        <f t="shared" si="425"/>
        <v>#N/A</v>
      </c>
      <c r="IE297" s="11" t="e">
        <f t="shared" si="426"/>
        <v>#N/A</v>
      </c>
      <c r="IF297" s="11" t="e">
        <f t="shared" si="427"/>
        <v>#N/A</v>
      </c>
    </row>
    <row r="298" spans="35:240" x14ac:dyDescent="0.2">
      <c r="AI298">
        <f>IF(Исходн.данные.!I298&gt;6,1,1.85-(0.148*Исходн.данные.!I298))</f>
        <v>1.85</v>
      </c>
      <c r="AJ298">
        <f>IF(Исходн.данные.!I298&gt;6,1,2.434-(0.246*Исходн.данные.!I298))</f>
        <v>2.4340000000000002</v>
      </c>
      <c r="AL298" s="148" t="b">
        <f>IF(Исходн.данные.!$P298="Ум",N_OrgUd_2g_um,IF(Исходн.данные.!$P298="Об",N_OrgUd_2g_ob))</f>
        <v>0</v>
      </c>
      <c r="AM298" s="148" t="b">
        <f>IF(Исходн.данные.!$P298="Ум",P_OrgUd_2g_um,IF(Исходн.данные.!$P298="Об",P_OrgUd_2g_ob))</f>
        <v>0</v>
      </c>
      <c r="AN298" s="148" t="b">
        <f>IF(Исходн.данные.!$P298="Ум",K_OrgUd_2g_um,IF(Исходн.данные.!$P298="Об",K_OrgUd_2g_ob))</f>
        <v>0</v>
      </c>
      <c r="AO298" s="148" t="b">
        <f>IF(Исходн.данные.!$P298="Ум",N_OrgUd_1g_um,IF(Исходн.данные.!$P298="Об",N_OrgUd_1g_ob))</f>
        <v>0</v>
      </c>
      <c r="AP298" s="148" t="b">
        <f>IF(Исходн.данные.!$P298="Ум",P_OrgUd_1g_um,IF(Исходн.данные.!$P298="Об",P_OrgUd_1g_ob))</f>
        <v>0</v>
      </c>
      <c r="AQ298" s="148" t="b">
        <f>IF(Исходн.данные.!$P298="Ум",K_OrgUd_1g_um,IF(Исходн.данные.!$P298="Об",K_OrgUd_1g_ob))</f>
        <v>0</v>
      </c>
      <c r="AR298" t="b">
        <f>IF(Исходн.данные.!$P298="Ум",N_MinUd_2g_um,IF(Исходн.данные.!$P298="Об",N_MinUd_2g_ob))</f>
        <v>0</v>
      </c>
      <c r="AS298" t="b">
        <f>IF(Исходн.данные.!$P298="Ум",P_MinUd_2g_um,IF(Исходн.данные.!$P298="Об",P_MinUd_2g_ob))</f>
        <v>0</v>
      </c>
      <c r="AT298" t="b">
        <f>IF(Исходн.данные.!$P298="Ум",K_MinUd_2g_um,IF(Исходн.данные.!$P298="Об",K_MinUd_2g_ob))</f>
        <v>0</v>
      </c>
      <c r="AU298" t="b">
        <f>IF(Исходн.данные.!$P298="Ум",N_MinUd_1g_um,IF(Исходн.данные.!$P298="Об",N_MinUd_1g_ob))</f>
        <v>0</v>
      </c>
      <c r="AV298" t="b">
        <f>IF(Исходн.данные.!P298="Ум",P_MinUd_1g_um,IF(Исходн.данные.!P298="Об",P_MinUd_1g_ob))</f>
        <v>0</v>
      </c>
      <c r="AW298" t="b">
        <f>IF(Исходн.данные.!P298="Ум",K_MinUd_1g_um,IF(Исходн.данные.!P298="Об",K_MinUd_1g_ob))</f>
        <v>0</v>
      </c>
      <c r="AY298" t="e">
        <f>VLOOKUP(Исходн.данные.!T298,Справ!$A$3:$N$57,12)</f>
        <v>#N/A</v>
      </c>
      <c r="AZ298" t="e">
        <f>VLOOKUP(Исходн.данные.!T298,Справ!$A$3:$N$57,13)</f>
        <v>#N/A</v>
      </c>
      <c r="BA298" t="e">
        <f>VLOOKUP(Исходн.данные.!T298,Справ!$A$3:$N$57,14)</f>
        <v>#N/A</v>
      </c>
      <c r="BB298">
        <f>IF(Исходн.данные.!AH298=0,0,25)</f>
        <v>0</v>
      </c>
      <c r="BC298" s="141">
        <f>IF(Исходн.данные.!AH298=0,0,IF(Исходн.данные.!T298=0,25,BD298))</f>
        <v>0</v>
      </c>
      <c r="BD298" s="168" t="e">
        <f>AY298+AZ298*Исходн.данные.!U298-POWER(BA298,2)*Исходн.данные.!U298</f>
        <v>#N/A</v>
      </c>
      <c r="BE29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8" s="25">
        <f>IF(Исходн.данные.!AH298=0,0,MIN(HN298:HP298))</f>
        <v>0</v>
      </c>
      <c r="BG298" s="9">
        <f>IF(Исходн.данные.!AH298=0,0,IF((HO298+10*0.25/HG298/HL298)&lt;17,17,HO298+10*0.25/HG298/HL298))</f>
        <v>0</v>
      </c>
      <c r="BH298" s="181">
        <f>IF(Исходн.данные.!AH298=0,0,HW298*HF298*HL298/AU298*AI298+Исходн.данные.!S298*10)</f>
        <v>0</v>
      </c>
      <c r="BI298" s="10"/>
      <c r="BJ298" s="182">
        <f>IF(Исходн.данные.!AH298=0,0,IF(HX298*HG298*HL298/AV298&lt;0,0,HX298*HG298*HL298/AV298*AJ298))</f>
        <v>0</v>
      </c>
      <c r="BK298" s="182">
        <f>IF(Исходн.данные.!AH298=0,0,HY298*HH298*HM298/AW298)</f>
        <v>0</v>
      </c>
      <c r="BL298" s="10">
        <f>IF(OR(Исходн.данные.!$AH298=$BP$1,Исходн.данные.!$AH298=$BP$2),0,IF(BH298&lt;0,0,IF(OR(Исходн.данные.!T298=Расчет!$BP$1,Исходн.данные.!T298=Расчет!$BP$2,Исходн.данные.!T298=Расчет!$BT$5,Исходн.данные.!T298=Расчет!$BT$6),BH298*0.5,IF(OR(Исходн.данные.!T298=Расчет!$BS$9,Исходн.данные.!T298=Расчет!$BS$10,Исходн.данные.!T298=Расчет!$BS$11,Исходн.данные.!T298=Расчет!$BS$12,Исходн.данные.!T298=Расчет!$BP$5),BH298*0.8,BH298))))</f>
        <v>0</v>
      </c>
      <c r="BM298" s="10">
        <f>IF(OR(Исходн.данные.!$AH298=$BP$1,Исходн.данные.!$AH298=$BP$2),0,IF(BJ298&lt;0,0,IF(Исходн.данные.!I298&lt;4.5,BJ298*1.2,IF(Исходн.данные.!I298&gt;5.1,BJ298,BJ298*((5.1-Исходн.данные.!I298)*0.333+1)))))</f>
        <v>0</v>
      </c>
      <c r="BN298" s="10">
        <f>IF(OR(Исходн.данные.!$AH298=$BP$1,Исходн.данные.!$AH298=$BP$2),60-Исходн.данные.!AF298,IF(BK298&lt;0,0,IF(Исходн.данные.!I298&lt;4.5,BK298*1.2,IF(Исходн.данные.!I298&gt;5.1,BK298,BK298*((5.1-Исходн.данные.!I298)*0.333+1)))))</f>
        <v>0</v>
      </c>
      <c r="BO298" s="9">
        <f>IF(BL298&lt;0,0,BL298*Исходн.данные.!$AJ298/1000)</f>
        <v>0</v>
      </c>
      <c r="BP298" s="9">
        <f>IF(BM298&lt;0,0,BM298*Исходн.данные.!$AJ298/1000)</f>
        <v>0</v>
      </c>
      <c r="BQ298" s="9">
        <f>IF(BN298&lt;0,0,BN298*Исходн.данные.!$AJ298/1000)</f>
        <v>0</v>
      </c>
      <c r="BR298" s="9">
        <f t="shared" si="377"/>
        <v>0</v>
      </c>
      <c r="BS298" s="10" t="str">
        <f t="shared" si="378"/>
        <v>Аммофос 12:52:00</v>
      </c>
      <c r="BT298" s="10" t="str">
        <f t="shared" si="379"/>
        <v>Аммофос 12:52:00</v>
      </c>
      <c r="BU298" s="10" t="str">
        <f t="shared" si="380"/>
        <v>Диаммофоска</v>
      </c>
      <c r="BV298" s="10">
        <f t="shared" si="381"/>
        <v>0</v>
      </c>
      <c r="BW298" s="10"/>
      <c r="BX298" s="10"/>
      <c r="BY298" s="9">
        <f>IF(BL298&lt;0,0,IF(OR(Исходн.данные.!AI298=Расчет!$BU$6,Исходн.данные.!AI298=Расчет!$BU$7),Расчет!BV298,IF(Исходн.данные.!$AG298=$BV$11,BL298,IF(OR(Исходн.данные.!$AH298=$BQ$7,Исходн.данные.!$AH298=$BQ$8),CB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0,IF(Исходн.данные.!$AI298=$BU$11,"Нет",IF(BL298&gt;30,30,BL298)))))))</f>
        <v>0</v>
      </c>
      <c r="BZ298" s="9">
        <f>IF(AND(Исходн.данные.!$AG298=$BV$11,BM298&lt;10),10,IF(Исходн.данные.!$AG298=$BV$11,BM298,IF(OR(Исходн.данные.!$AH298=$BQ$7,Исходн.данные.!$AH298=$BQ$8),CC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10,IF(Исходн.данные.!$AI298=$BU$11,"Нет",IF(BM298&gt;60,60,IF(BM298&lt;10,10,BM298)))))))</f>
        <v>10</v>
      </c>
      <c r="CA298" s="39">
        <f>IF(BN298&lt;0,0,IF(Исходн.данные.!$AG298=$BV$11,BN298,IF(OR(Исходн.данные.!$AH298=$BQ$7,Исходн.данные.!$AH298=$BQ$8),CD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0,IF(Исходн.данные.!$AI298=$BU$11,"Нет",IF(BN298&gt;30,30,BN298))))))</f>
        <v>0</v>
      </c>
      <c r="CB298" s="9">
        <f t="shared" si="382"/>
        <v>0</v>
      </c>
      <c r="CC298" s="9">
        <f t="shared" si="383"/>
        <v>0</v>
      </c>
      <c r="CD298" s="9">
        <f t="shared" si="384"/>
        <v>0</v>
      </c>
      <c r="CE298" s="12">
        <f t="shared" si="385"/>
        <v>10</v>
      </c>
      <c r="CF298" s="9">
        <f t="shared" si="386"/>
        <v>0</v>
      </c>
      <c r="CG298" s="9" t="s">
        <v>231</v>
      </c>
      <c r="CH298" s="132" t="str">
        <f>IF(Исходн.данные.!AP298=Расчет!$CI$16,"Нет",IF(Исходн.данные.!AL298&gt;0,Исходн.данные.!AL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BH$4,IF(OR(Исходн.данные.!AI298=Исходн.данные.!$AI$6,Исходн.данные.!AI298=Исходн.данные.!$AI$7),Расчет!BS298,IF(AND($CF298=0,$CE298&gt;0),EV298,ER298)))))</f>
        <v>Аммофос 12:52:00</v>
      </c>
      <c r="CI298" s="274">
        <f>IF(Расчет!$CH298="Нет","Нет",IF(Исходн.данные.!$AL298&gt;0,VLOOKUP(Расчет!$CH298,АшламаДВ_Irekle,2,FALSE),VLOOKUP(Расчет!$CH298,АшламаДВ_Gomumy,2,FALSE)))</f>
        <v>0.12</v>
      </c>
      <c r="CJ298" s="274">
        <f>IF(Расчет!$CH298="Нет","Нет",IF(Исходн.данные.!$AL298&gt;0,VLOOKUP(Расчет!$CH298,АшламаДВ_Irekle,3,FALSE),VLOOKUP(Расчет!$CH298,АшламаДВ_Gomumy,3,FALSE)))</f>
        <v>0.52</v>
      </c>
      <c r="CK298" s="274">
        <f>IF(Расчет!$CH298="Нет","Нет",IF(Исходн.данные.!$AL298&gt;0,VLOOKUP(Расчет!$CH298,АшламаДВ_Irekle,4,FALSE),VLOOKUP(Расчет!$CH298,АшламаДВ_Gomumy,4,FALSE)))</f>
        <v>0</v>
      </c>
      <c r="CL298" s="70"/>
      <c r="CM298" s="70"/>
      <c r="CN298" s="70"/>
      <c r="CO298" s="70"/>
      <c r="CP298" s="70"/>
      <c r="CQ298" s="70"/>
      <c r="CR298" s="10">
        <f t="shared" si="387"/>
        <v>0</v>
      </c>
      <c r="CS298" s="10">
        <f t="shared" si="388"/>
        <v>19.23076923076923</v>
      </c>
      <c r="CT298" s="10">
        <f t="shared" si="389"/>
        <v>0</v>
      </c>
      <c r="CU298" s="39">
        <f>IF($CH298="Нет",0,IF(CI298=0,30/MIN(CJ298:CK298),IF(Исходн.данные.!$AG298=$BV$11,CR298,IF(OR(Исходн.данные.!$AH298=$BQ$7,Исходн.данные.!$AH298=$BQ$8),90/CI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0,IF(Исходн.данные.!$AI298=$BU$11,"Нет",30/CI298))))))</f>
        <v>250</v>
      </c>
      <c r="CV298" s="39">
        <f>IF($CH298="Нет",0,IF(Исходн.данные.!AH298=0,0,IF(CJ298=0,60/MIN(CI298,CK298),IF(Исходн.данные.!$AG298=$BV$11,CS298,IF(OR(Исходн.данные.!$AH298=$BQ$7,Исходн.данные.!$AH298=$BQ$8),90/CJ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10/CJ298,IF(Исходн.данные.!$AI298=$BU$11,"Нет",60/CJ298)))))))</f>
        <v>0</v>
      </c>
      <c r="CW298" s="39">
        <f>IF($CH298="Нет",0,IF(Исходн.данные.!AH298=0,0,IF(CK298=0,30/MIN(CI298:CJ298),IF(Исходн.данные.!$AG298=$BV$11,CT298,IF(OR(Исходн.данные.!$AH298=$BQ$7,Исходн.данные.!$AH298=$BQ$8),90/CK298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0,IF(Исходн.данные.!$AI298=$BU$11,"Нет",30/CK298)))))))</f>
        <v>0</v>
      </c>
      <c r="CX298" s="133">
        <f>IF(Исходн.данные.!$AG298=$BV$11,MAX(CU298:CW298),IF(OR(Исходн.данные.!$AH298=$BS$8,Исходн.данные.!$AH298=$BQ$9,Исходн.данные.!$AH298=$BQ$10,Исходн.данные.!$AH298=$BQ$11,Исходн.данные.!$AH298=$BQ$12,Исходн.данные.!$AH298=$BP$3,Исходн.данные.!$AH298=$BT$8,$FM298="Да"),CV298,MIN(CU298:CW298)))</f>
        <v>0</v>
      </c>
      <c r="CY298" s="133">
        <f>IF(Исходн.данные.!AH298=0,0,IF(CR298&gt;$CX298,$CX298,CR298))</f>
        <v>0</v>
      </c>
      <c r="CZ298" s="133">
        <f>IF(Исходн.данные.!AH298=0,0,IF(CS298&gt;$CX298,$CX298,CS298))</f>
        <v>0</v>
      </c>
      <c r="DA298" s="133">
        <f>IF(Исходн.данные.!AH298=0,0,IF(CT298&gt;$CX298,$CX298,CT298))</f>
        <v>0</v>
      </c>
      <c r="DB298" s="10">
        <f t="shared" si="390"/>
        <v>0</v>
      </c>
      <c r="DC298" s="39">
        <f>DB298*Исходн.данные.!AJ298/1000</f>
        <v>0</v>
      </c>
      <c r="DD298" s="71">
        <f t="shared" si="391"/>
        <v>0</v>
      </c>
      <c r="DE298" s="9">
        <f t="shared" si="392"/>
        <v>0</v>
      </c>
      <c r="DF298" s="9">
        <f t="shared" si="393"/>
        <v>0</v>
      </c>
      <c r="DG298" s="39">
        <f>IF(BL298&lt;0,0,IF($CH298="Нет",BL298,IF(OR(Исходн.данные.!$AH298=$BP$1,Исходн.данные.!$AH298=$BP$2),0,IF(Исходн.данные.!AI298=$BU$11,BL298,IF(BL298-DD298&lt;0,0,BL298-DD298)))))</f>
        <v>0</v>
      </c>
      <c r="DH298" s="39">
        <f>IF(BM298&lt;0,0,IF($CH298="Нет",BM298,IF(OR(Исходн.данные.!$AH298=$BP$1,Исходн.данные.!$AH298=$BP$2),0,IF(Исходн.данные.!AJ298=$BU$11,BM298,IF(BM298-DE298&lt;0,0,BM298-DE298)))))</f>
        <v>0</v>
      </c>
      <c r="DI298" s="39">
        <f>IF(BN298&lt;0,0,IF($CH298="Нет",BN298,IF(OR(Исходн.данные.!$AH298=$BP$1,Исходн.данные.!$AH298=$BP$2),0,IF(Исходн.данные.!AK298=$BU$11,BN298,IF(BN298-DF298&lt;0,0,BN298-DF298)))))</f>
        <v>0</v>
      </c>
      <c r="DJ298" s="12">
        <f t="shared" si="394"/>
        <v>0</v>
      </c>
      <c r="DK298" s="9">
        <f t="shared" si="395"/>
        <v>0</v>
      </c>
      <c r="DL298" s="39">
        <f>IF(Исходн.данные.!AM298&gt;0,Исходн.данные.!AM298,IF(EG298&gt;0,$BH$10,0))</f>
        <v>0</v>
      </c>
      <c r="DM298" s="186">
        <f>IF($DL298=0,0,IF(Исходн.данные.!AM298&gt;0,VLOOKUP($DL298,АшламаДВ_Irekle,2,FALSE),VLOOKUP($DL298,АшламаДВ_Gomumy,2,FALSE)))</f>
        <v>0</v>
      </c>
      <c r="DN298" s="10">
        <f t="shared" si="373"/>
        <v>0</v>
      </c>
      <c r="DO298" s="9" t="str">
        <f>IF(Исходн.данные.!AN298&gt;0,Исходн.данные.!AN298,Удобрения!$B$37 )</f>
        <v>Хлор.калий</v>
      </c>
      <c r="DP298" s="9">
        <f>IF(Исходн.данные.!AN298&gt;0,VLOOKUP(Исходн.данные.!AN298,АшламаДВ_Irekle,4,FALSE),VLOOKUP(DO298,АшламаДВ_Gomumy,4,FALSE))</f>
        <v>0.6</v>
      </c>
      <c r="DQ298" s="10">
        <f t="shared" si="374"/>
        <v>0</v>
      </c>
      <c r="DR298" s="132" t="str">
        <f>IF(Исходн.данные.!AO298&gt;0,Исходн.данные.!AO298,IF(DH298=0,BS$17,IF(AND($DK298=0,$DJ298&gt;0),EJ298,EN298)))</f>
        <v>Нет</v>
      </c>
      <c r="DS298" s="70" t="str">
        <f>IF($DR298="Нет","Нет",IF(Исходн.данные.!$AO298&gt;0,VLOOKUP($DR298,АшламаДВ_Irekle,2,FALSE),VLOOKUP($DR298,АшламаДВ_Gomumy,2,FALSE)))</f>
        <v>Нет</v>
      </c>
      <c r="DT298" s="70" t="str">
        <f>IF($DR298="Нет","Нет",IF(Исходн.данные.!$AO298&gt;0,VLOOKUP($DR298,АшламаДВ_Irekle,3,FALSE),VLOOKUP($DR298,АшламаДВ_Gomumy,3,FALSE)))</f>
        <v>Нет</v>
      </c>
      <c r="DU298" s="70" t="str">
        <f>IF($DR298="Нет","Нет",IF(Исходн.данные.!$AO298&gt;0,VLOOKUP($DR298,АшламаДВ_Irekle,4,FALSE),VLOOKUP($DR298,АшламаДВ_Gomumy,4,FALSE)))</f>
        <v>Нет</v>
      </c>
      <c r="DV298" s="70"/>
      <c r="DW298" s="70"/>
      <c r="DX298" s="70"/>
      <c r="DY298" s="10">
        <f t="shared" si="396"/>
        <v>0</v>
      </c>
      <c r="DZ298" s="10">
        <f t="shared" si="397"/>
        <v>0</v>
      </c>
      <c r="EA298" s="10">
        <f t="shared" si="398"/>
        <v>0</v>
      </c>
      <c r="EB298" s="10">
        <f t="shared" si="399"/>
        <v>0</v>
      </c>
      <c r="EC298" s="10">
        <f t="shared" si="400"/>
        <v>0</v>
      </c>
      <c r="ED298" s="10">
        <f t="shared" si="401"/>
        <v>0</v>
      </c>
      <c r="EE298" s="10">
        <f t="shared" si="402"/>
        <v>0</v>
      </c>
      <c r="EF298" s="39">
        <f>EB298*Исходн.данные.!AJ298/1000</f>
        <v>0</v>
      </c>
      <c r="EG298" s="9">
        <f t="shared" si="403"/>
        <v>0</v>
      </c>
      <c r="EH298" s="9">
        <f t="shared" si="404"/>
        <v>0</v>
      </c>
      <c r="EI298" s="39" t="e">
        <f t="shared" si="354"/>
        <v>#DIV/0!</v>
      </c>
      <c r="EJ298" s="9" t="str">
        <f t="shared" si="375"/>
        <v>Азопреципитат</v>
      </c>
      <c r="EK298" s="12">
        <f t="shared" si="355"/>
        <v>0.26</v>
      </c>
      <c r="EL298" s="12">
        <f t="shared" si="356"/>
        <v>0.13</v>
      </c>
      <c r="EM298" s="12">
        <f t="shared" si="357"/>
        <v>0</v>
      </c>
      <c r="EN298" s="12" t="str">
        <f t="shared" si="376"/>
        <v>Нет</v>
      </c>
      <c r="EO298" s="12">
        <f t="shared" si="358"/>
        <v>0</v>
      </c>
      <c r="EP298" s="12">
        <f t="shared" si="359"/>
        <v>0</v>
      </c>
      <c r="EQ298" s="12">
        <f t="shared" si="360"/>
        <v>0</v>
      </c>
      <c r="ER298" s="12" t="str">
        <f t="shared" si="405"/>
        <v>Диаммофоска</v>
      </c>
      <c r="ES298" s="12">
        <f t="shared" si="361"/>
        <v>0.1</v>
      </c>
      <c r="ET298" s="12">
        <f t="shared" si="362"/>
        <v>0.26</v>
      </c>
      <c r="EU298" s="12">
        <f t="shared" si="363"/>
        <v>0.26</v>
      </c>
      <c r="EV298" s="12" t="str">
        <f t="shared" si="406"/>
        <v>Аммофос 12:52:00</v>
      </c>
      <c r="EW298" s="12" t="str">
        <f t="shared" si="407"/>
        <v>Кемира Свекловичное-6</v>
      </c>
      <c r="EX298" s="12">
        <f t="shared" si="364"/>
        <v>0.16</v>
      </c>
      <c r="EY298" s="12">
        <f t="shared" si="365"/>
        <v>0.12</v>
      </c>
      <c r="EZ298" s="12">
        <f t="shared" si="366"/>
        <v>0.17</v>
      </c>
      <c r="FA298" s="38" t="e">
        <f>IF(AND(OR(FJ298=$FD$1,FM298=$FD$1,FO298=$FD$1,FQ298=$FD$1,FS298=$FD$1),FD298=$FD$1,Исходн.данные.!J298&lt;2,FU298=$FD$1),"Бор,Кобальт",IF(AND(FO298=$FD$1,FH298=$FD$1,Исходн.данные.!J298&lt;2,FU298=$FD$1),"Бор,Кобальт",IF(AND(OR(FJ298=$FD$1,FM298=$FD$1,FQ298=$FD$1),FE298=$FD$1,Исходн.данные.!J298&lt;2,FT298=$FD$1,FU298=$FD$1),"Бор,Медь,Цинк",IF(AND(OR(FJ298=$FD$1,FR298="Да"),FI298="Да",Исходн.данные.!J298&lt;2,FT298="Да",FU298="Да"),"Бор,Цинк,Медь",IF(AND(OR(FM298="Да",FQ298="Да"),FI298="Да",Исходн.данные.!J298&lt;2,FT298="Да",FU298="Да"),"Бор,Цинк",IF(AND(FN298="Да",OR(FD298="Да",FE298="Да")),"Бор",FB298))))))</f>
        <v>#N/A</v>
      </c>
      <c r="FB298" s="134" t="e">
        <f>IF(AND(OR(FD298="Да",FE298="Да",FF298="Да",FG298="Да",FH298="Да"),FO298="Да"),"Бор",IF(AND(FP298="Да",OR(FD298="Да",FE298="Да",FI298="Да")),"Бор",IF(AND(FS298="Да",FE298="Да"),"Бор,Медь",IF(AND(OR(FJ298="Да",FK298="Да",FL298="Да"),FE298="Да",Исходн.данные.!I298&lt;5,FT298="Да",FU298="Да"),"Молибден,Цинк",IF(AND(FM298="Да",OR(FE298="Да",FF298="Да",FG298="Да",FH298="Да",FI298="Да")),"Молибден,Цинк",IF(AND(OR(FJ298="Да",FK298="Да",FL298="Да",FM298="Да",FQ298="Да"),OR(FE298="Да",FF298="Да"),FT298="Да",FU298="Да",Исходн.данные.!I298&gt;5.5),"Медь,Цинк",FC298))))))</f>
        <v>#N/A</v>
      </c>
      <c r="FC298" s="23" t="e">
        <f t="shared" si="408"/>
        <v>#N/A</v>
      </c>
      <c r="FD298" s="38" t="str">
        <f>IF(OR(Исходн.данные.!F298=$CC$1,Исходн.данные.!F298=$CC$2,Исходн.данные.!F298=$CC$3,Исходн.данные.!F298=$CC$4),"Да","Нет")</f>
        <v>Нет</v>
      </c>
      <c r="FE298" s="38" t="str">
        <f>IF(Исходн.данные.!F298=$CC$5,"Да","Нет")</f>
        <v>Нет</v>
      </c>
      <c r="FF298" s="38" t="str">
        <f>IF(OR(Исходн.данные.!F298=$CC$6,Исходн.данные.!F298=$CC$7),"Да","Нет")</f>
        <v>Нет</v>
      </c>
      <c r="FG298" s="38" t="str">
        <f>IF(OR(Исходн.данные.!F298=$CC$8,Исходн.данные.!F298=$CC$9),"Да","Нет")</f>
        <v>Нет</v>
      </c>
      <c r="FH298" s="38" t="str">
        <f>IF(Исходн.данные.!F298=$CC$10,"Да","Нет")</f>
        <v>Нет</v>
      </c>
      <c r="FI298" s="38" t="str">
        <f>IF(OR(Исходн.данные.!F298=$CC$11,Исходн.данные.!F298=$CC$12),"Да","Нет")</f>
        <v>Нет</v>
      </c>
      <c r="FJ298" s="38" t="str">
        <f>IF(OR(Исходн.данные.!AH298=$BS$1,Исходн.данные.!AH298=$BQ$11,Исходн.данные.!AH298=$BQ$12),"Да","Нет")</f>
        <v>Нет</v>
      </c>
      <c r="FK298" s="38" t="str">
        <f>IF(OR(Исходн.данные.!AH298=$BS$2,Исходн.данные.!AH298=$BS$4),"Да","Нет")</f>
        <v>Нет</v>
      </c>
      <c r="FL298" s="38" t="str">
        <f>IF(OR(Исходн.данные.!AH298=$BS$3,Исходн.данные.!AH298=$BS$5),"Да","Нет")</f>
        <v>Нет</v>
      </c>
      <c r="FM298" s="38" t="str">
        <f>IF(OR(Исходн.данные.!AH298=$BS$9,Исходн.данные.!AH298=$BS$10,Исходн.данные.!AH298=$BS$11,Исходн.данные.!AH298=$BS$12),"Да","Нет")</f>
        <v>Нет</v>
      </c>
      <c r="FN298" s="38" t="str">
        <f>IF(OR(Исходн.данные.!AH298=$BS$6,Исходн.данные.!AH298=$BP$3),"Да","Нет")</f>
        <v>Нет</v>
      </c>
      <c r="FO298" s="38" t="str">
        <f>IF(Исходн.данные.!AH298=$BQ$9,"Да","Нет")</f>
        <v>Нет</v>
      </c>
      <c r="FP298" s="38" t="str">
        <f>IF(OR(Исходн.данные.!AH298=$BS$8,Исходн.данные.!AH298=$BT$8),"Да","Нет")</f>
        <v>Нет</v>
      </c>
      <c r="FQ298" s="38" t="str">
        <f>IF(OR(Исходн.данные.!AH298=$BQ$7,Исходн.данные.!AH298=$BQ$8),"Да","Нет")</f>
        <v>Нет</v>
      </c>
      <c r="FR298" s="38" t="str">
        <f>IF(Исходн.данные.!AI298=$BU$9,"Да","Нет")</f>
        <v>Нет</v>
      </c>
      <c r="FS298" s="38" t="str">
        <f>IF(OR(Исходн.данные.!AH298=$BP$1,Исходн.данные.!AH298=$BP$2),"Да","Нет")</f>
        <v>Нет</v>
      </c>
      <c r="FT298" s="38" t="e">
        <f>IF((Исходн.данные.!K298*GO298*GS298*GW298+BL298*0.6+Исходн.данные.!Q298*4.5*0.275)&gt;90,"Да","Нет")</f>
        <v>#N/A</v>
      </c>
      <c r="FU298" s="38" t="e">
        <f>IF((Исходн.данные.!M298*GS298*GZ298+BM298*0.225)&gt;35,"Да","Нет")</f>
        <v>#N/A</v>
      </c>
      <c r="FV298" s="38" t="str">
        <f>IF(Исходн.данные.!O298&gt;175,"Да","Нет")</f>
        <v>Нет</v>
      </c>
      <c r="FW298" s="39" t="str">
        <f>IF(Исходн.данные.!I298&gt;5.5,"Да","Нет")</f>
        <v>Нет</v>
      </c>
      <c r="FX298" s="39" t="str">
        <f>IF(Исходн.данные.!J298&lt;2,"Да","Нет")</f>
        <v>Да</v>
      </c>
      <c r="FY298" s="39" t="e">
        <f>IF(HF298=$FY$16,0,Исходн.данные.!K298*GO298*GS298*GW298/HF298)</f>
        <v>#N/A</v>
      </c>
      <c r="FZ298" s="39" t="e">
        <f>Исходн.данные.!M298*GS298*GZ298/HG298</f>
        <v>#N/A</v>
      </c>
      <c r="GA298" s="39" t="e">
        <f>IF(K_Wyn=$FY$16,0,IF(Исходн.данные.!N298=Исходн.данные.!$L$10,Исходн.данные.!O298/1.1*GS298*HC298/HH298,IF(Исходн.данные.!N298=Исходн.данные.!$L$12,Исходн.данные.!O298/1.5*GS298*HC298/HH298,Исходн.данные.!O298*GS298*HC298/HH298)))</f>
        <v>#N/A</v>
      </c>
      <c r="GB298" s="39" t="e">
        <f>IF(HF298=$FY$16,0,((Исходн.данные.!Q298*N_Org+Исходн.данные.!R298*N_Sider+Исходн.данные.!S298*N_Soloma)*AO298+Расчет!BC298*VLOOKUP(Исходн.данные.!T298,Справ!$A$3:$O$57,15)*AO298+BB298*VLOOKUP(Исходн.данные.!T298,Справ!$A$3:$O$57,15)*AL298+(Исходн.данные.!V298*N_Rizotorf+Исходн.данные.!W298*N_Rizoagr))/HF298)</f>
        <v>#N/A</v>
      </c>
      <c r="GC298" s="39" t="e">
        <f>IF(HG298=$FY$16,0,((Исходн.данные.!Q298*Р_Org+Исходн.данные.!R298*P_Sider+Исходн.данные.!S298*P_Soloma)*AP298+Расчет!BC298*VLOOKUP(Исходн.данные.!T298,Справ!$A$3:$P$57,16)*AP298+BB298*VLOOKUP(Исходн.данные.!T298,Справ!$A$3:$P$57,16)*AM298)/HG298)</f>
        <v>#N/A</v>
      </c>
      <c r="GD298" s="39" t="e">
        <f>IF(HH298=$FY$16,0,((Исходн.данные.!Q298*К_Org+Исходн.данные.!R298*K_Sider+Исходн.данные.!S298*K_Soloma)*AQ298+Расчет!BC298*VLOOKUP(Исходн.данные.!T298,Справ!$A$3:$Q$57,17)*AQ298+BB298*VLOOKUP(Исходн.данные.!T298,Справ!$A$3:$Q$57,17)*AN298)/HH298)</f>
        <v>#N/A</v>
      </c>
      <c r="GE298" s="39" t="e">
        <f>IF(HF298=$FY$16,0,(Исходн.данные.!X298*AR298+Исходн.данные.!AA298*N_Org*AL298+Исходн.данные.!AB298*N_Sider*AL298+Исходн.данные.!AC298*N_Soloma*AL298)/HF298)</f>
        <v>#N/A</v>
      </c>
      <c r="GF298" s="39" t="e">
        <f>IF(HG298=$FY$16,0,(Исходн.данные.!Y298*AS298+Исходн.данные.!AA298*Р_Org*AM298+Исходн.данные.!AB298*P_Sider*AM298+Исходн.данные.!AC298*P_Soloma*AM298)/HG298)</f>
        <v>#N/A</v>
      </c>
      <c r="GG298" s="39" t="e">
        <f>IF(HH298=$FY$16,0,(Исходн.данные.!Z298*AT298+Исходн.данные.!AA298*К_Org*AN298+Исходн.данные.!AB298*K_Sider*AN298+Исходн.данные.!AC298*K_Soloma*AN298)/HH298)</f>
        <v>#N/A</v>
      </c>
      <c r="GH298" s="39" t="e">
        <f>Исходн.данные.!AD298*AU298/HF298</f>
        <v>#N/A</v>
      </c>
      <c r="GI298" s="39" t="e">
        <f>Исходн.данные.!AE298*AV298/HG298</f>
        <v>#N/A</v>
      </c>
      <c r="GJ298" s="39" t="e">
        <f>Исходн.данные.!AF298*AW298/HH298</f>
        <v>#N/A</v>
      </c>
      <c r="GK298" s="55">
        <f>Исходн.данные.!AK298</f>
        <v>0</v>
      </c>
      <c r="GL298" s="11" t="e">
        <f t="shared" si="409"/>
        <v>#N/A</v>
      </c>
      <c r="GM298" s="11" t="e">
        <f t="shared" si="410"/>
        <v>#N/A</v>
      </c>
      <c r="GN298" s="11" t="e">
        <f t="shared" si="411"/>
        <v>#N/A</v>
      </c>
      <c r="GO298" s="57">
        <f t="shared" si="412"/>
        <v>19</v>
      </c>
      <c r="GP298" s="55">
        <f>IF(OR(Исходн.данные.!F298=$CE$1,Исходн.данные.!F298=$CE$2,Исходн.данные.!F298=$CE$3,Исходн.данные.!F298=$CE$4,Исходн.данные.!F298=$CE$5),GQ298,GR298)</f>
        <v>19</v>
      </c>
      <c r="GQ298" s="55">
        <f>IF(Исходн.данные.!F298=$CE$1,28,IF(Исходн.данные.!F298=$CE$2,26,IF(Исходн.данные.!F298=$CE$3,24,IF(Исходн.данные.!F298=$CE$4,22,IF(Исходн.данные.!F298=$CE$5,20,GR298)))))</f>
        <v>19</v>
      </c>
      <c r="GR298" s="55">
        <f>IF(Исходн.данные.!F298=$CE$6,18,IF(Исходн.данные.!F298=$CE$7,16,IF(Исходн.данные.!F298=$CE$8,14,IF(Исходн.данные.!F298=$CE$9,13,IF(Исходн.данные.!F298=$CE$10,12,19)))))</f>
        <v>19</v>
      </c>
      <c r="GS298" s="55">
        <f>IF(Исходн.данные.!G298="Пес",0.035*(40+2*Исходн.данные.!H298),IF(Исходн.данные.!G298="Суп",0.0325*(40+2*Исходн.данные.!H298),0.03*(40+2*Исходн.данные.!H298)))</f>
        <v>1.2</v>
      </c>
      <c r="GT298" s="55">
        <f>IF(Исходн.данные.!H298&lt;23,2.6,IF(AND(Исходн.данные.!H298&gt;22,Исходн.данные.!H298&lt;26),3,IF(AND(Исходн.данные.!H298&gt;25,Исходн.данные.!H298&lt;29),3.4,3.6)))</f>
        <v>2.6</v>
      </c>
      <c r="GU298" s="55">
        <f>IF(Исходн.данные.!H298&lt;23,2.8,IF(AND(Исходн.данные.!H298&gt;22,Исходн.данные.!H298&lt;26),3.2,IF(AND(Исходн.данные.!H298&gt;25,Исходн.данные.!H298&lt;29),3.6,3.9)))</f>
        <v>2.8</v>
      </c>
      <c r="GV298" s="55">
        <f>IF(Исходн.данные.!H298&lt;23,3,IF(AND(Исходн.данные.!H298&gt;22,Исходн.данные.!H298&lt;26),3.5,IF(AND(Исходн.данные.!H298&gt;25,Исходн.данные.!H298&lt;29),3.9,4.2)))</f>
        <v>3</v>
      </c>
      <c r="GW298" s="55" t="e">
        <f>IF(Исходн.данные.!P298="Ум",GX298,GY298)</f>
        <v>#N/A</v>
      </c>
      <c r="GX298" s="55" t="e">
        <f>VLOOKUP(Исходн.данные.!AI298,Коэффициенты!$J$7:$L$13,2,FALSE)</f>
        <v>#N/A</v>
      </c>
      <c r="GY298" s="55" t="e">
        <f>VLOOKUP(Исходн.данные.!AI298,Коэффициенты!$J$7:$L$13,3,FALSE)</f>
        <v>#N/A</v>
      </c>
      <c r="GZ298" s="55" t="e">
        <f>(IF(Исходн.данные.!M298&lt;50,0.11*VLOOKUP(Исходн.данные.!AH298,Культуры.Информация,7,FALSE),IF(Исходн.данные.!M298&gt;250,0.05*VLOOKUP(Исходн.данные.!AH298,Культуры.Информация,7,FALSE),VLOOKUP(Исходн.данные.!AH298,Культуры.Информация,5,FALSE)/100*($GX$6+$GY$6*Исходн.данные.!M298))))*Расчет2!AI298</f>
        <v>#N/A</v>
      </c>
      <c r="HA298" s="211"/>
      <c r="HB298" s="211"/>
      <c r="HC298" s="55" t="e">
        <f>(IF(Исходн.данные.!O298&lt;80,0.2*VLOOKUP(Исходн.данные.!AH298,Культуры.Информация,8,FALSE),IF(Исходн.данные.!O298&gt;240,0.09*VLOOKUP(Исходн.данные.!AH298,Культуры.Информация,8,FALSE),VLOOKUP(Исходн.данные.!AH298,Культуры.Информация,6,FALSE)/100*($HB$6+$HC$6*Исходн.данные.!O298))))*Расчет2!AJ298</f>
        <v>#N/A</v>
      </c>
      <c r="HD298" s="55">
        <f>IF(Исходн.данные.!O298&gt;240,0.09,IF(Исходн.данные.!O298&lt;30,0.3,$HE$10+$HD$10*Исходн.данные.!O298))</f>
        <v>0.3</v>
      </c>
      <c r="HE298" s="55">
        <f>IF(Исходн.данные.!O298&gt;240,0.17,IF(Исходн.данные.!O298&lt;30,0.5,$HF$12+$HE$12*Исходн.данные.!O298))</f>
        <v>0.5</v>
      </c>
      <c r="HF298" s="55" t="e">
        <f>VLOOKUP(Исходн.данные.!AH298,Справ!$A$3:$D$58,2,FALSE)</f>
        <v>#N/A</v>
      </c>
      <c r="HG298" s="55" t="e">
        <f>VLOOKUP(Исходн.данные.!AH298,Справ!$A$3:$D$58,3,FALSE)</f>
        <v>#N/A</v>
      </c>
      <c r="HH298" s="55" t="e">
        <f>VLOOKUP(Исходн.данные.!AH298,Справ!$A$3:$D$58,4,FALSE)</f>
        <v>#N/A</v>
      </c>
      <c r="HI298" s="11" t="e">
        <f t="shared" si="413"/>
        <v>#N/A</v>
      </c>
      <c r="HJ298" s="11" t="e">
        <f t="shared" si="414"/>
        <v>#N/A</v>
      </c>
      <c r="HK298" s="11" t="e">
        <f t="shared" si="415"/>
        <v>#N/A</v>
      </c>
      <c r="HL298" s="55">
        <f>IF(OR(Исходн.данные.!G298="Глин",Исходн.данные.!G298="Т_суг"),1.1,IF(Исходн.данные.!G298="Ср_суг",1,1))</f>
        <v>1</v>
      </c>
      <c r="HM298" s="55">
        <f>IF(OR(Исходн.данные.!G298="Глин",Исходн.данные.!G298="Т_суг"),0.9,IF(Исходн.данные.!G298="Ср_суг",1,1.2))</f>
        <v>1.2</v>
      </c>
      <c r="HN298" s="11" t="e">
        <f t="shared" si="416"/>
        <v>#N/A</v>
      </c>
      <c r="HO298" s="11" t="e">
        <f t="shared" si="417"/>
        <v>#N/A</v>
      </c>
      <c r="HP298" s="11" t="e">
        <f t="shared" si="418"/>
        <v>#N/A</v>
      </c>
      <c r="HQ298" t="e">
        <f t="shared" si="419"/>
        <v>#N/A</v>
      </c>
      <c r="HR298" t="e">
        <f t="shared" si="420"/>
        <v>#N/A</v>
      </c>
      <c r="HS298" t="e">
        <f t="shared" si="421"/>
        <v>#N/A</v>
      </c>
      <c r="HT298" t="e">
        <f t="shared" si="367"/>
        <v>#N/A</v>
      </c>
      <c r="HU298" t="e">
        <f t="shared" si="368"/>
        <v>#N/A</v>
      </c>
      <c r="HV298" t="e">
        <f t="shared" si="369"/>
        <v>#N/A</v>
      </c>
      <c r="HW298" t="e">
        <f t="shared" si="370"/>
        <v>#N/A</v>
      </c>
      <c r="HX298" t="e">
        <f t="shared" si="371"/>
        <v>#N/A</v>
      </c>
      <c r="HY298" t="e">
        <f t="shared" si="372"/>
        <v>#N/A</v>
      </c>
      <c r="HZ298" s="55">
        <f>IF(OR(Исходн.данные.!AI298="Оз_Ч_П",Исходн.данные.!AI298="Оз_З_П",Исходн.данные.!AI298="Яр_зер"),12,30)</f>
        <v>30</v>
      </c>
      <c r="IA298" t="e">
        <f t="shared" si="422"/>
        <v>#N/A</v>
      </c>
      <c r="IB298" t="e">
        <f t="shared" si="423"/>
        <v>#N/A</v>
      </c>
      <c r="IC298" t="e">
        <f t="shared" si="424"/>
        <v>#N/A</v>
      </c>
      <c r="ID298" s="11" t="e">
        <f t="shared" si="425"/>
        <v>#N/A</v>
      </c>
      <c r="IE298" s="11" t="e">
        <f t="shared" si="426"/>
        <v>#N/A</v>
      </c>
      <c r="IF298" s="11" t="e">
        <f t="shared" si="427"/>
        <v>#N/A</v>
      </c>
    </row>
    <row r="299" spans="35:240" x14ac:dyDescent="0.2">
      <c r="AI299">
        <f>IF(Исходн.данные.!I299&gt;6,1,1.85-(0.148*Исходн.данные.!I299))</f>
        <v>1.85</v>
      </c>
      <c r="AJ299">
        <f>IF(Исходн.данные.!I299&gt;6,1,2.434-(0.246*Исходн.данные.!I299))</f>
        <v>2.4340000000000002</v>
      </c>
      <c r="AL299" s="148" t="b">
        <f>IF(Исходн.данные.!$P299="Ум",N_OrgUd_2g_um,IF(Исходн.данные.!$P299="Об",N_OrgUd_2g_ob))</f>
        <v>0</v>
      </c>
      <c r="AM299" s="148" t="b">
        <f>IF(Исходн.данные.!$P299="Ум",P_OrgUd_2g_um,IF(Исходн.данные.!$P299="Об",P_OrgUd_2g_ob))</f>
        <v>0</v>
      </c>
      <c r="AN299" s="148" t="b">
        <f>IF(Исходн.данные.!$P299="Ум",K_OrgUd_2g_um,IF(Исходн.данные.!$P299="Об",K_OrgUd_2g_ob))</f>
        <v>0</v>
      </c>
      <c r="AO299" s="148" t="b">
        <f>IF(Исходн.данные.!$P299="Ум",N_OrgUd_1g_um,IF(Исходн.данные.!$P299="Об",N_OrgUd_1g_ob))</f>
        <v>0</v>
      </c>
      <c r="AP299" s="148" t="b">
        <f>IF(Исходн.данные.!$P299="Ум",P_OrgUd_1g_um,IF(Исходн.данные.!$P299="Об",P_OrgUd_1g_ob))</f>
        <v>0</v>
      </c>
      <c r="AQ299" s="148" t="b">
        <f>IF(Исходн.данные.!$P299="Ум",K_OrgUd_1g_um,IF(Исходн.данные.!$P299="Об",K_OrgUd_1g_ob))</f>
        <v>0</v>
      </c>
      <c r="AR299" t="b">
        <f>IF(Исходн.данные.!$P299="Ум",N_MinUd_2g_um,IF(Исходн.данные.!$P299="Об",N_MinUd_2g_ob))</f>
        <v>0</v>
      </c>
      <c r="AS299" t="b">
        <f>IF(Исходн.данные.!$P299="Ум",P_MinUd_2g_um,IF(Исходн.данные.!$P299="Об",P_MinUd_2g_ob))</f>
        <v>0</v>
      </c>
      <c r="AT299" t="b">
        <f>IF(Исходн.данные.!$P299="Ум",K_MinUd_2g_um,IF(Исходн.данные.!$P299="Об",K_MinUd_2g_ob))</f>
        <v>0</v>
      </c>
      <c r="AU299" t="b">
        <f>IF(Исходн.данные.!$P299="Ум",N_MinUd_1g_um,IF(Исходн.данные.!$P299="Об",N_MinUd_1g_ob))</f>
        <v>0</v>
      </c>
      <c r="AV299" t="b">
        <f>IF(Исходн.данные.!P299="Ум",P_MinUd_1g_um,IF(Исходн.данные.!P299="Об",P_MinUd_1g_ob))</f>
        <v>0</v>
      </c>
      <c r="AW299" t="b">
        <f>IF(Исходн.данные.!P299="Ум",K_MinUd_1g_um,IF(Исходн.данные.!P299="Об",K_MinUd_1g_ob))</f>
        <v>0</v>
      </c>
      <c r="AY299" t="e">
        <f>VLOOKUP(Исходн.данные.!T299,Справ!$A$3:$N$57,12)</f>
        <v>#N/A</v>
      </c>
      <c r="AZ299" t="e">
        <f>VLOOKUP(Исходн.данные.!T299,Справ!$A$3:$N$57,13)</f>
        <v>#N/A</v>
      </c>
      <c r="BA299" t="e">
        <f>VLOOKUP(Исходн.данные.!T299,Справ!$A$3:$N$57,14)</f>
        <v>#N/A</v>
      </c>
      <c r="BB299">
        <f>IF(Исходн.данные.!AH299=0,0,25)</f>
        <v>0</v>
      </c>
      <c r="BC299" s="141">
        <f>IF(Исходн.данные.!AH299=0,0,IF(Исходн.данные.!T299=0,25,BD299))</f>
        <v>0</v>
      </c>
      <c r="BD299" s="168" t="e">
        <f>AY299+AZ299*Исходн.данные.!U299-POWER(BA299,2)*Исходн.данные.!U299</f>
        <v>#N/A</v>
      </c>
      <c r="BE29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299" s="25">
        <f>IF(Исходн.данные.!AH299=0,0,MIN(HN299:HP299))</f>
        <v>0</v>
      </c>
      <c r="BG299" s="9">
        <f>IF(Исходн.данные.!AH299=0,0,IF((HO299+10*0.25/HG299/HL299)&lt;17,17,HO299+10*0.25/HG299/HL299))</f>
        <v>0</v>
      </c>
      <c r="BH299" s="181">
        <f>IF(Исходн.данные.!AH299=0,0,HW299*HF299*HL299/AU299*AI299+Исходн.данные.!S299*10)</f>
        <v>0</v>
      </c>
      <c r="BI299" s="10"/>
      <c r="BJ299" s="182">
        <f>IF(Исходн.данные.!AH299=0,0,IF(HX299*HG299*HL299/AV299&lt;0,0,HX299*HG299*HL299/AV299*AJ299))</f>
        <v>0</v>
      </c>
      <c r="BK299" s="182">
        <f>IF(Исходн.данные.!AH299=0,0,HY299*HH299*HM299/AW299)</f>
        <v>0</v>
      </c>
      <c r="BL299" s="10">
        <f>IF(OR(Исходн.данные.!$AH299=$BP$1,Исходн.данные.!$AH299=$BP$2),0,IF(BH299&lt;0,0,IF(OR(Исходн.данные.!T299=Расчет!$BP$1,Исходн.данные.!T299=Расчет!$BP$2,Исходн.данные.!T299=Расчет!$BT$5,Исходн.данные.!T299=Расчет!$BT$6),BH299*0.5,IF(OR(Исходн.данные.!T299=Расчет!$BS$9,Исходн.данные.!T299=Расчет!$BS$10,Исходн.данные.!T299=Расчет!$BS$11,Исходн.данные.!T299=Расчет!$BS$12,Исходн.данные.!T299=Расчет!$BP$5),BH299*0.8,BH299))))</f>
        <v>0</v>
      </c>
      <c r="BM299" s="10">
        <f>IF(OR(Исходн.данные.!$AH299=$BP$1,Исходн.данные.!$AH299=$BP$2),0,IF(BJ299&lt;0,0,IF(Исходн.данные.!I299&lt;4.5,BJ299*1.2,IF(Исходн.данные.!I299&gt;5.1,BJ299,BJ299*((5.1-Исходн.данные.!I299)*0.333+1)))))</f>
        <v>0</v>
      </c>
      <c r="BN299" s="10">
        <f>IF(OR(Исходн.данные.!$AH299=$BP$1,Исходн.данные.!$AH299=$BP$2),60-Исходн.данные.!AF299,IF(BK299&lt;0,0,IF(Исходн.данные.!I299&lt;4.5,BK299*1.2,IF(Исходн.данные.!I299&gt;5.1,BK299,BK299*((5.1-Исходн.данные.!I299)*0.333+1)))))</f>
        <v>0</v>
      </c>
      <c r="BO299" s="9">
        <f>IF(BL299&lt;0,0,BL299*Исходн.данные.!$AJ299/1000)</f>
        <v>0</v>
      </c>
      <c r="BP299" s="9">
        <f>IF(BM299&lt;0,0,BM299*Исходн.данные.!$AJ299/1000)</f>
        <v>0</v>
      </c>
      <c r="BQ299" s="9">
        <f>IF(BN299&lt;0,0,BN299*Исходн.данные.!$AJ299/1000)</f>
        <v>0</v>
      </c>
      <c r="BR299" s="9">
        <f t="shared" si="377"/>
        <v>0</v>
      </c>
      <c r="BS299" s="10" t="str">
        <f t="shared" si="378"/>
        <v>Аммофос 12:52:00</v>
      </c>
      <c r="BT299" s="10" t="str">
        <f t="shared" si="379"/>
        <v>Аммофос 12:52:00</v>
      </c>
      <c r="BU299" s="10" t="str">
        <f t="shared" si="380"/>
        <v>Диаммофоска</v>
      </c>
      <c r="BV299" s="10">
        <f t="shared" si="381"/>
        <v>0</v>
      </c>
      <c r="BW299" s="10"/>
      <c r="BX299" s="10"/>
      <c r="BY299" s="9">
        <f>IF(BL299&lt;0,0,IF(OR(Исходн.данные.!AI299=Расчет!$BU$6,Исходн.данные.!AI299=Расчет!$BU$7),Расчет!BV299,IF(Исходн.данные.!$AG299=$BV$11,BL299,IF(OR(Исходн.данные.!$AH299=$BQ$7,Исходн.данные.!$AH299=$BQ$8),CB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0,IF(Исходн.данные.!$AI299=$BU$11,"Нет",IF(BL299&gt;30,30,BL299)))))))</f>
        <v>0</v>
      </c>
      <c r="BZ299" s="9">
        <f>IF(AND(Исходн.данные.!$AG299=$BV$11,BM299&lt;10),10,IF(Исходн.данные.!$AG299=$BV$11,BM299,IF(OR(Исходн.данные.!$AH299=$BQ$7,Исходн.данные.!$AH299=$BQ$8),CC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10,IF(Исходн.данные.!$AI299=$BU$11,"Нет",IF(BM299&gt;60,60,IF(BM299&lt;10,10,BM299)))))))</f>
        <v>10</v>
      </c>
      <c r="CA299" s="39">
        <f>IF(BN299&lt;0,0,IF(Исходн.данные.!$AG299=$BV$11,BN299,IF(OR(Исходн.данные.!$AH299=$BQ$7,Исходн.данные.!$AH299=$BQ$8),CD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0,IF(Исходн.данные.!$AI299=$BU$11,"Нет",IF(BN299&gt;30,30,BN299))))))</f>
        <v>0</v>
      </c>
      <c r="CB299" s="9">
        <f t="shared" si="382"/>
        <v>0</v>
      </c>
      <c r="CC299" s="9">
        <f t="shared" si="383"/>
        <v>0</v>
      </c>
      <c r="CD299" s="9">
        <f t="shared" si="384"/>
        <v>0</v>
      </c>
      <c r="CE299" s="12">
        <f t="shared" si="385"/>
        <v>10</v>
      </c>
      <c r="CF299" s="9">
        <f t="shared" si="386"/>
        <v>0</v>
      </c>
      <c r="CG299" s="9" t="s">
        <v>231</v>
      </c>
      <c r="CH299" s="132" t="str">
        <f>IF(Исходн.данные.!AP299=Расчет!$CI$16,"Нет",IF(Исходн.данные.!AL299&gt;0,Исходн.данные.!AL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BH$4,IF(OR(Исходн.данные.!AI299=Исходн.данные.!$AI$6,Исходн.данные.!AI299=Исходн.данные.!$AI$7),Расчет!BS299,IF(AND($CF299=0,$CE299&gt;0),EV299,ER299)))))</f>
        <v>Аммофос 12:52:00</v>
      </c>
      <c r="CI299" s="274">
        <f>IF(Расчет!$CH299="Нет","Нет",IF(Исходн.данные.!$AL299&gt;0,VLOOKUP(Расчет!$CH299,АшламаДВ_Irekle,2,FALSE),VLOOKUP(Расчет!$CH299,АшламаДВ_Gomumy,2,FALSE)))</f>
        <v>0.12</v>
      </c>
      <c r="CJ299" s="274">
        <f>IF(Расчет!$CH299="Нет","Нет",IF(Исходн.данные.!$AL299&gt;0,VLOOKUP(Расчет!$CH299,АшламаДВ_Irekle,3,FALSE),VLOOKUP(Расчет!$CH299,АшламаДВ_Gomumy,3,FALSE)))</f>
        <v>0.52</v>
      </c>
      <c r="CK299" s="274">
        <f>IF(Расчет!$CH299="Нет","Нет",IF(Исходн.данные.!$AL299&gt;0,VLOOKUP(Расчет!$CH299,АшламаДВ_Irekle,4,FALSE),VLOOKUP(Расчет!$CH299,АшламаДВ_Gomumy,4,FALSE)))</f>
        <v>0</v>
      </c>
      <c r="CL299" s="70"/>
      <c r="CM299" s="70"/>
      <c r="CN299" s="70"/>
      <c r="CO299" s="70"/>
      <c r="CP299" s="70"/>
      <c r="CQ299" s="70"/>
      <c r="CR299" s="10">
        <f t="shared" si="387"/>
        <v>0</v>
      </c>
      <c r="CS299" s="10">
        <f t="shared" si="388"/>
        <v>19.23076923076923</v>
      </c>
      <c r="CT299" s="10">
        <f t="shared" si="389"/>
        <v>0</v>
      </c>
      <c r="CU299" s="39">
        <f>IF($CH299="Нет",0,IF(CI299=0,30/MIN(CJ299:CK299),IF(Исходн.данные.!$AG299=$BV$11,CR299,IF(OR(Исходн.данные.!$AH299=$BQ$7,Исходн.данные.!$AH299=$BQ$8),90/CI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0,IF(Исходн.данные.!$AI299=$BU$11,"Нет",30/CI299))))))</f>
        <v>250</v>
      </c>
      <c r="CV299" s="39">
        <f>IF($CH299="Нет",0,IF(Исходн.данные.!AH299=0,0,IF(CJ299=0,60/MIN(CI299,CK299),IF(Исходн.данные.!$AG299=$BV$11,CS299,IF(OR(Исходн.данные.!$AH299=$BQ$7,Исходн.данные.!$AH299=$BQ$8),90/CJ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10/CJ299,IF(Исходн.данные.!$AI299=$BU$11,"Нет",60/CJ299)))))))</f>
        <v>0</v>
      </c>
      <c r="CW299" s="39">
        <f>IF($CH299="Нет",0,IF(Исходн.данные.!AH299=0,0,IF(CK299=0,30/MIN(CI299:CJ299),IF(Исходн.данные.!$AG299=$BV$11,CT299,IF(OR(Исходн.данные.!$AH299=$BQ$7,Исходн.данные.!$AH299=$BQ$8),90/CK299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0,IF(Исходн.данные.!$AI299=$BU$11,"Нет",30/CK299)))))))</f>
        <v>0</v>
      </c>
      <c r="CX299" s="133">
        <f>IF(Исходн.данные.!$AG299=$BV$11,MAX(CU299:CW299),IF(OR(Исходн.данные.!$AH299=$BS$8,Исходн.данные.!$AH299=$BQ$9,Исходн.данные.!$AH299=$BQ$10,Исходн.данные.!$AH299=$BQ$11,Исходн.данные.!$AH299=$BQ$12,Исходн.данные.!$AH299=$BP$3,Исходн.данные.!$AH299=$BT$8,$FM299="Да"),CV299,MIN(CU299:CW299)))</f>
        <v>0</v>
      </c>
      <c r="CY299" s="133">
        <f>IF(Исходн.данные.!AH299=0,0,IF(CR299&gt;$CX299,$CX299,CR299))</f>
        <v>0</v>
      </c>
      <c r="CZ299" s="133">
        <f>IF(Исходн.данные.!AH299=0,0,IF(CS299&gt;$CX299,$CX299,CS299))</f>
        <v>0</v>
      </c>
      <c r="DA299" s="133">
        <f>IF(Исходн.данные.!AH299=0,0,IF(CT299&gt;$CX299,$CX299,CT299))</f>
        <v>0</v>
      </c>
      <c r="DB299" s="10">
        <f t="shared" si="390"/>
        <v>0</v>
      </c>
      <c r="DC299" s="39">
        <f>DB299*Исходн.данные.!AJ299/1000</f>
        <v>0</v>
      </c>
      <c r="DD299" s="71">
        <f t="shared" si="391"/>
        <v>0</v>
      </c>
      <c r="DE299" s="9">
        <f t="shared" si="392"/>
        <v>0</v>
      </c>
      <c r="DF299" s="9">
        <f t="shared" si="393"/>
        <v>0</v>
      </c>
      <c r="DG299" s="39">
        <f>IF(BL299&lt;0,0,IF($CH299="Нет",BL299,IF(OR(Исходн.данные.!$AH299=$BP$1,Исходн.данные.!$AH299=$BP$2),0,IF(Исходн.данные.!AI299=$BU$11,BL299,IF(BL299-DD299&lt;0,0,BL299-DD299)))))</f>
        <v>0</v>
      </c>
      <c r="DH299" s="39">
        <f>IF(BM299&lt;0,0,IF($CH299="Нет",BM299,IF(OR(Исходн.данные.!$AH299=$BP$1,Исходн.данные.!$AH299=$BP$2),0,IF(Исходн.данные.!AJ299=$BU$11,BM299,IF(BM299-DE299&lt;0,0,BM299-DE299)))))</f>
        <v>0</v>
      </c>
      <c r="DI299" s="39">
        <f>IF(BN299&lt;0,0,IF($CH299="Нет",BN299,IF(OR(Исходн.данные.!$AH299=$BP$1,Исходн.данные.!$AH299=$BP$2),0,IF(Исходн.данные.!AK299=$BU$11,BN299,IF(BN299-DF299&lt;0,0,BN299-DF299)))))</f>
        <v>0</v>
      </c>
      <c r="DJ299" s="12">
        <f t="shared" si="394"/>
        <v>0</v>
      </c>
      <c r="DK299" s="9">
        <f t="shared" si="395"/>
        <v>0</v>
      </c>
      <c r="DL299" s="39">
        <f>IF(Исходн.данные.!AM299&gt;0,Исходн.данные.!AM299,IF(EG299&gt;0,$BH$10,0))</f>
        <v>0</v>
      </c>
      <c r="DM299" s="186">
        <f>IF($DL299=0,0,IF(Исходн.данные.!AM299&gt;0,VLOOKUP($DL299,АшламаДВ_Irekle,2,FALSE),VLOOKUP($DL299,АшламаДВ_Gomumy,2,FALSE)))</f>
        <v>0</v>
      </c>
      <c r="DN299" s="10">
        <f t="shared" si="373"/>
        <v>0</v>
      </c>
      <c r="DO299" s="9" t="str">
        <f>IF(Исходн.данные.!AN299&gt;0,Исходн.данные.!AN299,Удобрения!$B$37 )</f>
        <v>Хлор.калий</v>
      </c>
      <c r="DP299" s="9">
        <f>IF(Исходн.данные.!AN299&gt;0,VLOOKUP(Исходн.данные.!AN299,АшламаДВ_Irekle,4,FALSE),VLOOKUP(DO299,АшламаДВ_Gomumy,4,FALSE))</f>
        <v>0.6</v>
      </c>
      <c r="DQ299" s="10">
        <f t="shared" si="374"/>
        <v>0</v>
      </c>
      <c r="DR299" s="132" t="str">
        <f>IF(Исходн.данные.!AO299&gt;0,Исходн.данные.!AO299,IF(DH299=0,BS$17,IF(AND($DK299=0,$DJ299&gt;0),EJ299,EN299)))</f>
        <v>Нет</v>
      </c>
      <c r="DS299" s="70" t="str">
        <f>IF($DR299="Нет","Нет",IF(Исходн.данные.!$AO299&gt;0,VLOOKUP($DR299,АшламаДВ_Irekle,2,FALSE),VLOOKUP($DR299,АшламаДВ_Gomumy,2,FALSE)))</f>
        <v>Нет</v>
      </c>
      <c r="DT299" s="70" t="str">
        <f>IF($DR299="Нет","Нет",IF(Исходн.данные.!$AO299&gt;0,VLOOKUP($DR299,АшламаДВ_Irekle,3,FALSE),VLOOKUP($DR299,АшламаДВ_Gomumy,3,FALSE)))</f>
        <v>Нет</v>
      </c>
      <c r="DU299" s="70" t="str">
        <f>IF($DR299="Нет","Нет",IF(Исходн.данные.!$AO299&gt;0,VLOOKUP($DR299,АшламаДВ_Irekle,4,FALSE),VLOOKUP($DR299,АшламаДВ_Gomumy,4,FALSE)))</f>
        <v>Нет</v>
      </c>
      <c r="DV299" s="70"/>
      <c r="DW299" s="70"/>
      <c r="DX299" s="70"/>
      <c r="DY299" s="10">
        <f t="shared" si="396"/>
        <v>0</v>
      </c>
      <c r="DZ299" s="10">
        <f t="shared" si="397"/>
        <v>0</v>
      </c>
      <c r="EA299" s="10">
        <f t="shared" si="398"/>
        <v>0</v>
      </c>
      <c r="EB299" s="10">
        <f t="shared" si="399"/>
        <v>0</v>
      </c>
      <c r="EC299" s="10">
        <f t="shared" si="400"/>
        <v>0</v>
      </c>
      <c r="ED299" s="10">
        <f t="shared" si="401"/>
        <v>0</v>
      </c>
      <c r="EE299" s="10">
        <f t="shared" si="402"/>
        <v>0</v>
      </c>
      <c r="EF299" s="39">
        <f>EB299*Исходн.данные.!AJ299/1000</f>
        <v>0</v>
      </c>
      <c r="EG299" s="9">
        <f t="shared" si="403"/>
        <v>0</v>
      </c>
      <c r="EH299" s="9">
        <f t="shared" si="404"/>
        <v>0</v>
      </c>
      <c r="EI299" s="39" t="e">
        <f t="shared" si="354"/>
        <v>#DIV/0!</v>
      </c>
      <c r="EJ299" s="9" t="str">
        <f t="shared" si="375"/>
        <v>Азопреципитат</v>
      </c>
      <c r="EK299" s="12">
        <f t="shared" si="355"/>
        <v>0.26</v>
      </c>
      <c r="EL299" s="12">
        <f t="shared" si="356"/>
        <v>0.13</v>
      </c>
      <c r="EM299" s="12">
        <f t="shared" si="357"/>
        <v>0</v>
      </c>
      <c r="EN299" s="12" t="str">
        <f t="shared" si="376"/>
        <v>Нет</v>
      </c>
      <c r="EO299" s="12">
        <f t="shared" si="358"/>
        <v>0</v>
      </c>
      <c r="EP299" s="12">
        <f t="shared" si="359"/>
        <v>0</v>
      </c>
      <c r="EQ299" s="12">
        <f t="shared" si="360"/>
        <v>0</v>
      </c>
      <c r="ER299" s="12" t="str">
        <f t="shared" si="405"/>
        <v>Диаммофоска</v>
      </c>
      <c r="ES299" s="12">
        <f t="shared" si="361"/>
        <v>0.1</v>
      </c>
      <c r="ET299" s="12">
        <f t="shared" si="362"/>
        <v>0.26</v>
      </c>
      <c r="EU299" s="12">
        <f t="shared" si="363"/>
        <v>0.26</v>
      </c>
      <c r="EV299" s="12" t="str">
        <f t="shared" si="406"/>
        <v>Аммофос 12:52:00</v>
      </c>
      <c r="EW299" s="12" t="str">
        <f t="shared" si="407"/>
        <v>Кемира Свекловичное-6</v>
      </c>
      <c r="EX299" s="12">
        <f t="shared" si="364"/>
        <v>0.16</v>
      </c>
      <c r="EY299" s="12">
        <f t="shared" si="365"/>
        <v>0.12</v>
      </c>
      <c r="EZ299" s="12">
        <f t="shared" si="366"/>
        <v>0.17</v>
      </c>
      <c r="FA299" s="38" t="e">
        <f>IF(AND(OR(FJ299=$FD$1,FM299=$FD$1,FO299=$FD$1,FQ299=$FD$1,FS299=$FD$1),FD299=$FD$1,Исходн.данные.!J299&lt;2,FU299=$FD$1),"Бор,Кобальт",IF(AND(FO299=$FD$1,FH299=$FD$1,Исходн.данные.!J299&lt;2,FU299=$FD$1),"Бор,Кобальт",IF(AND(OR(FJ299=$FD$1,FM299=$FD$1,FQ299=$FD$1),FE299=$FD$1,Исходн.данные.!J299&lt;2,FT299=$FD$1,FU299=$FD$1),"Бор,Медь,Цинк",IF(AND(OR(FJ299=$FD$1,FR299="Да"),FI299="Да",Исходн.данные.!J299&lt;2,FT299="Да",FU299="Да"),"Бор,Цинк,Медь",IF(AND(OR(FM299="Да",FQ299="Да"),FI299="Да",Исходн.данные.!J299&lt;2,FT299="Да",FU299="Да"),"Бор,Цинк",IF(AND(FN299="Да",OR(FD299="Да",FE299="Да")),"Бор",FB299))))))</f>
        <v>#N/A</v>
      </c>
      <c r="FB299" s="134" t="e">
        <f>IF(AND(OR(FD299="Да",FE299="Да",FF299="Да",FG299="Да",FH299="Да"),FO299="Да"),"Бор",IF(AND(FP299="Да",OR(FD299="Да",FE299="Да",FI299="Да")),"Бор",IF(AND(FS299="Да",FE299="Да"),"Бор,Медь",IF(AND(OR(FJ299="Да",FK299="Да",FL299="Да"),FE299="Да",Исходн.данные.!I299&lt;5,FT299="Да",FU299="Да"),"Молибден,Цинк",IF(AND(FM299="Да",OR(FE299="Да",FF299="Да",FG299="Да",FH299="Да",FI299="Да")),"Молибден,Цинк",IF(AND(OR(FJ299="Да",FK299="Да",FL299="Да",FM299="Да",FQ299="Да"),OR(FE299="Да",FF299="Да"),FT299="Да",FU299="Да",Исходн.данные.!I299&gt;5.5),"Медь,Цинк",FC299))))))</f>
        <v>#N/A</v>
      </c>
      <c r="FC299" s="23" t="e">
        <f t="shared" si="408"/>
        <v>#N/A</v>
      </c>
      <c r="FD299" s="38" t="str">
        <f>IF(OR(Исходн.данные.!F299=$CC$1,Исходн.данные.!F299=$CC$2,Исходн.данные.!F299=$CC$3,Исходн.данные.!F299=$CC$4),"Да","Нет")</f>
        <v>Нет</v>
      </c>
      <c r="FE299" s="38" t="str">
        <f>IF(Исходн.данные.!F299=$CC$5,"Да","Нет")</f>
        <v>Нет</v>
      </c>
      <c r="FF299" s="38" t="str">
        <f>IF(OR(Исходн.данные.!F299=$CC$6,Исходн.данные.!F299=$CC$7),"Да","Нет")</f>
        <v>Нет</v>
      </c>
      <c r="FG299" s="38" t="str">
        <f>IF(OR(Исходн.данные.!F299=$CC$8,Исходн.данные.!F299=$CC$9),"Да","Нет")</f>
        <v>Нет</v>
      </c>
      <c r="FH299" s="38" t="str">
        <f>IF(Исходн.данные.!F299=$CC$10,"Да","Нет")</f>
        <v>Нет</v>
      </c>
      <c r="FI299" s="38" t="str">
        <f>IF(OR(Исходн.данные.!F299=$CC$11,Исходн.данные.!F299=$CC$12),"Да","Нет")</f>
        <v>Нет</v>
      </c>
      <c r="FJ299" s="38" t="str">
        <f>IF(OR(Исходн.данные.!AH299=$BS$1,Исходн.данные.!AH299=$BQ$11,Исходн.данные.!AH299=$BQ$12),"Да","Нет")</f>
        <v>Нет</v>
      </c>
      <c r="FK299" s="38" t="str">
        <f>IF(OR(Исходн.данные.!AH299=$BS$2,Исходн.данные.!AH299=$BS$4),"Да","Нет")</f>
        <v>Нет</v>
      </c>
      <c r="FL299" s="38" t="str">
        <f>IF(OR(Исходн.данные.!AH299=$BS$3,Исходн.данные.!AH299=$BS$5),"Да","Нет")</f>
        <v>Нет</v>
      </c>
      <c r="FM299" s="38" t="str">
        <f>IF(OR(Исходн.данные.!AH299=$BS$9,Исходн.данные.!AH299=$BS$10,Исходн.данные.!AH299=$BS$11,Исходн.данные.!AH299=$BS$12),"Да","Нет")</f>
        <v>Нет</v>
      </c>
      <c r="FN299" s="38" t="str">
        <f>IF(OR(Исходн.данные.!AH299=$BS$6,Исходн.данные.!AH299=$BP$3),"Да","Нет")</f>
        <v>Нет</v>
      </c>
      <c r="FO299" s="38" t="str">
        <f>IF(Исходн.данные.!AH299=$BQ$9,"Да","Нет")</f>
        <v>Нет</v>
      </c>
      <c r="FP299" s="38" t="str">
        <f>IF(OR(Исходн.данные.!AH299=$BS$8,Исходн.данные.!AH299=$BT$8),"Да","Нет")</f>
        <v>Нет</v>
      </c>
      <c r="FQ299" s="38" t="str">
        <f>IF(OR(Исходн.данные.!AH299=$BQ$7,Исходн.данные.!AH299=$BQ$8),"Да","Нет")</f>
        <v>Нет</v>
      </c>
      <c r="FR299" s="38" t="str">
        <f>IF(Исходн.данные.!AI299=$BU$9,"Да","Нет")</f>
        <v>Нет</v>
      </c>
      <c r="FS299" s="38" t="str">
        <f>IF(OR(Исходн.данные.!AH299=$BP$1,Исходн.данные.!AH299=$BP$2),"Да","Нет")</f>
        <v>Нет</v>
      </c>
      <c r="FT299" s="38" t="e">
        <f>IF((Исходн.данные.!K299*GO299*GS299*GW299+BL299*0.6+Исходн.данные.!Q299*4.5*0.275)&gt;90,"Да","Нет")</f>
        <v>#N/A</v>
      </c>
      <c r="FU299" s="38" t="e">
        <f>IF((Исходн.данные.!M299*GS299*GZ299+BM299*0.225)&gt;35,"Да","Нет")</f>
        <v>#N/A</v>
      </c>
      <c r="FV299" s="38" t="str">
        <f>IF(Исходн.данные.!O299&gt;175,"Да","Нет")</f>
        <v>Нет</v>
      </c>
      <c r="FW299" s="39" t="str">
        <f>IF(Исходн.данные.!I299&gt;5.5,"Да","Нет")</f>
        <v>Нет</v>
      </c>
      <c r="FX299" s="39" t="str">
        <f>IF(Исходн.данные.!J299&lt;2,"Да","Нет")</f>
        <v>Да</v>
      </c>
      <c r="FY299" s="39" t="e">
        <f>IF(HF299=$FY$16,0,Исходн.данные.!K299*GO299*GS299*GW299/HF299)</f>
        <v>#N/A</v>
      </c>
      <c r="FZ299" s="39" t="e">
        <f>Исходн.данные.!M299*GS299*GZ299/HG299</f>
        <v>#N/A</v>
      </c>
      <c r="GA299" s="39" t="e">
        <f>IF(K_Wyn=$FY$16,0,IF(Исходн.данные.!N299=Исходн.данные.!$L$10,Исходн.данные.!O299/1.1*GS299*HC299/HH299,IF(Исходн.данные.!N299=Исходн.данные.!$L$12,Исходн.данные.!O299/1.5*GS299*HC299/HH299,Исходн.данные.!O299*GS299*HC299/HH299)))</f>
        <v>#N/A</v>
      </c>
      <c r="GB299" s="39" t="e">
        <f>IF(HF299=$FY$16,0,((Исходн.данные.!Q299*N_Org+Исходн.данные.!R299*N_Sider+Исходн.данные.!S299*N_Soloma)*AO299+Расчет!BC299*VLOOKUP(Исходн.данные.!T299,Справ!$A$3:$O$57,15)*AO299+BB299*VLOOKUP(Исходн.данные.!T299,Справ!$A$3:$O$57,15)*AL299+(Исходн.данные.!V299*N_Rizotorf+Исходн.данные.!W299*N_Rizoagr))/HF299)</f>
        <v>#N/A</v>
      </c>
      <c r="GC299" s="39" t="e">
        <f>IF(HG299=$FY$16,0,((Исходн.данные.!Q299*Р_Org+Исходн.данные.!R299*P_Sider+Исходн.данные.!S299*P_Soloma)*AP299+Расчет!BC299*VLOOKUP(Исходн.данные.!T299,Справ!$A$3:$P$57,16)*AP299+BB299*VLOOKUP(Исходн.данные.!T299,Справ!$A$3:$P$57,16)*AM299)/HG299)</f>
        <v>#N/A</v>
      </c>
      <c r="GD299" s="39" t="e">
        <f>IF(HH299=$FY$16,0,((Исходн.данные.!Q299*К_Org+Исходн.данные.!R299*K_Sider+Исходн.данные.!S299*K_Soloma)*AQ299+Расчет!BC299*VLOOKUP(Исходн.данные.!T299,Справ!$A$3:$Q$57,17)*AQ299+BB299*VLOOKUP(Исходн.данные.!T299,Справ!$A$3:$Q$57,17)*AN299)/HH299)</f>
        <v>#N/A</v>
      </c>
      <c r="GE299" s="39" t="e">
        <f>IF(HF299=$FY$16,0,(Исходн.данные.!X299*AR299+Исходн.данные.!AA299*N_Org*AL299+Исходн.данные.!AB299*N_Sider*AL299+Исходн.данные.!AC299*N_Soloma*AL299)/HF299)</f>
        <v>#N/A</v>
      </c>
      <c r="GF299" s="39" t="e">
        <f>IF(HG299=$FY$16,0,(Исходн.данные.!Y299*AS299+Исходн.данные.!AA299*Р_Org*AM299+Исходн.данные.!AB299*P_Sider*AM299+Исходн.данные.!AC299*P_Soloma*AM299)/HG299)</f>
        <v>#N/A</v>
      </c>
      <c r="GG299" s="39" t="e">
        <f>IF(HH299=$FY$16,0,(Исходн.данные.!Z299*AT299+Исходн.данные.!AA299*К_Org*AN299+Исходн.данные.!AB299*K_Sider*AN299+Исходн.данные.!AC299*K_Soloma*AN299)/HH299)</f>
        <v>#N/A</v>
      </c>
      <c r="GH299" s="39" t="e">
        <f>Исходн.данные.!AD299*AU299/HF299</f>
        <v>#N/A</v>
      </c>
      <c r="GI299" s="39" t="e">
        <f>Исходн.данные.!AE299*AV299/HG299</f>
        <v>#N/A</v>
      </c>
      <c r="GJ299" s="39" t="e">
        <f>Исходн.данные.!AF299*AW299/HH299</f>
        <v>#N/A</v>
      </c>
      <c r="GK299" s="55">
        <f>Исходн.данные.!AK299</f>
        <v>0</v>
      </c>
      <c r="GL299" s="11" t="e">
        <f t="shared" si="409"/>
        <v>#N/A</v>
      </c>
      <c r="GM299" s="11" t="e">
        <f t="shared" si="410"/>
        <v>#N/A</v>
      </c>
      <c r="GN299" s="11" t="e">
        <f t="shared" si="411"/>
        <v>#N/A</v>
      </c>
      <c r="GO299" s="57">
        <f t="shared" si="412"/>
        <v>19</v>
      </c>
      <c r="GP299" s="55">
        <f>IF(OR(Исходн.данные.!F299=$CE$1,Исходн.данные.!F299=$CE$2,Исходн.данные.!F299=$CE$3,Исходн.данные.!F299=$CE$4,Исходн.данные.!F299=$CE$5),GQ299,GR299)</f>
        <v>19</v>
      </c>
      <c r="GQ299" s="55">
        <f>IF(Исходн.данные.!F299=$CE$1,28,IF(Исходн.данные.!F299=$CE$2,26,IF(Исходн.данные.!F299=$CE$3,24,IF(Исходн.данные.!F299=$CE$4,22,IF(Исходн.данные.!F299=$CE$5,20,GR299)))))</f>
        <v>19</v>
      </c>
      <c r="GR299" s="55">
        <f>IF(Исходн.данные.!F299=$CE$6,18,IF(Исходн.данные.!F299=$CE$7,16,IF(Исходн.данные.!F299=$CE$8,14,IF(Исходн.данные.!F299=$CE$9,13,IF(Исходн.данные.!F299=$CE$10,12,19)))))</f>
        <v>19</v>
      </c>
      <c r="GS299" s="55">
        <f>IF(Исходн.данные.!G299="Пес",0.035*(40+2*Исходн.данные.!H299),IF(Исходн.данные.!G299="Суп",0.0325*(40+2*Исходн.данные.!H299),0.03*(40+2*Исходн.данные.!H299)))</f>
        <v>1.2</v>
      </c>
      <c r="GT299" s="55">
        <f>IF(Исходн.данные.!H299&lt;23,2.6,IF(AND(Исходн.данные.!H299&gt;22,Исходн.данные.!H299&lt;26),3,IF(AND(Исходн.данные.!H299&gt;25,Исходн.данные.!H299&lt;29),3.4,3.6)))</f>
        <v>2.6</v>
      </c>
      <c r="GU299" s="55">
        <f>IF(Исходн.данные.!H299&lt;23,2.8,IF(AND(Исходн.данные.!H299&gt;22,Исходн.данные.!H299&lt;26),3.2,IF(AND(Исходн.данные.!H299&gt;25,Исходн.данные.!H299&lt;29),3.6,3.9)))</f>
        <v>2.8</v>
      </c>
      <c r="GV299" s="55">
        <f>IF(Исходн.данные.!H299&lt;23,3,IF(AND(Исходн.данные.!H299&gt;22,Исходн.данные.!H299&lt;26),3.5,IF(AND(Исходн.данные.!H299&gt;25,Исходн.данные.!H299&lt;29),3.9,4.2)))</f>
        <v>3</v>
      </c>
      <c r="GW299" s="55" t="e">
        <f>IF(Исходн.данные.!P299="Ум",GX299,GY299)</f>
        <v>#N/A</v>
      </c>
      <c r="GX299" s="55" t="e">
        <f>VLOOKUP(Исходн.данные.!AI299,Коэффициенты!$J$7:$L$13,2,FALSE)</f>
        <v>#N/A</v>
      </c>
      <c r="GY299" s="55" t="e">
        <f>VLOOKUP(Исходн.данные.!AI299,Коэффициенты!$J$7:$L$13,3,FALSE)</f>
        <v>#N/A</v>
      </c>
      <c r="GZ299" s="55" t="e">
        <f>(IF(Исходн.данные.!M299&lt;50,0.11*VLOOKUP(Исходн.данные.!AH299,Культуры.Информация,7,FALSE),IF(Исходн.данные.!M299&gt;250,0.05*VLOOKUP(Исходн.данные.!AH299,Культуры.Информация,7,FALSE),VLOOKUP(Исходн.данные.!AH299,Культуры.Информация,5,FALSE)/100*($GX$6+$GY$6*Исходн.данные.!M299))))*Расчет2!AI299</f>
        <v>#N/A</v>
      </c>
      <c r="HA299" s="211"/>
      <c r="HB299" s="211"/>
      <c r="HC299" s="55" t="e">
        <f>(IF(Исходн.данные.!O299&lt;80,0.2*VLOOKUP(Исходн.данные.!AH299,Культуры.Информация,8,FALSE),IF(Исходн.данные.!O299&gt;240,0.09*VLOOKUP(Исходн.данные.!AH299,Культуры.Информация,8,FALSE),VLOOKUP(Исходн.данные.!AH299,Культуры.Информация,6,FALSE)/100*($HB$6+$HC$6*Исходн.данные.!O299))))*Расчет2!AJ299</f>
        <v>#N/A</v>
      </c>
      <c r="HD299" s="55">
        <f>IF(Исходн.данные.!O299&gt;240,0.09,IF(Исходн.данные.!O299&lt;30,0.3,$HE$10+$HD$10*Исходн.данные.!O299))</f>
        <v>0.3</v>
      </c>
      <c r="HE299" s="55">
        <f>IF(Исходн.данные.!O299&gt;240,0.17,IF(Исходн.данные.!O299&lt;30,0.5,$HF$12+$HE$12*Исходн.данные.!O299))</f>
        <v>0.5</v>
      </c>
      <c r="HF299" s="55" t="e">
        <f>VLOOKUP(Исходн.данные.!AH299,Справ!$A$3:$D$58,2,FALSE)</f>
        <v>#N/A</v>
      </c>
      <c r="HG299" s="55" t="e">
        <f>VLOOKUP(Исходн.данные.!AH299,Справ!$A$3:$D$58,3,FALSE)</f>
        <v>#N/A</v>
      </c>
      <c r="HH299" s="55" t="e">
        <f>VLOOKUP(Исходн.данные.!AH299,Справ!$A$3:$D$58,4,FALSE)</f>
        <v>#N/A</v>
      </c>
      <c r="HI299" s="11" t="e">
        <f t="shared" si="413"/>
        <v>#N/A</v>
      </c>
      <c r="HJ299" s="11" t="e">
        <f t="shared" si="414"/>
        <v>#N/A</v>
      </c>
      <c r="HK299" s="11" t="e">
        <f t="shared" si="415"/>
        <v>#N/A</v>
      </c>
      <c r="HL299" s="55">
        <f>IF(OR(Исходн.данные.!G299="Глин",Исходн.данные.!G299="Т_суг"),1.1,IF(Исходн.данные.!G299="Ср_суг",1,1))</f>
        <v>1</v>
      </c>
      <c r="HM299" s="55">
        <f>IF(OR(Исходн.данные.!G299="Глин",Исходн.данные.!G299="Т_суг"),0.9,IF(Исходн.данные.!G299="Ср_суг",1,1.2))</f>
        <v>1.2</v>
      </c>
      <c r="HN299" s="11" t="e">
        <f t="shared" si="416"/>
        <v>#N/A</v>
      </c>
      <c r="HO299" s="11" t="e">
        <f t="shared" si="417"/>
        <v>#N/A</v>
      </c>
      <c r="HP299" s="11" t="e">
        <f t="shared" si="418"/>
        <v>#N/A</v>
      </c>
      <c r="HQ299" t="e">
        <f t="shared" si="419"/>
        <v>#N/A</v>
      </c>
      <c r="HR299" t="e">
        <f t="shared" si="420"/>
        <v>#N/A</v>
      </c>
      <c r="HS299" t="e">
        <f t="shared" si="421"/>
        <v>#N/A</v>
      </c>
      <c r="HT299" t="e">
        <f t="shared" si="367"/>
        <v>#N/A</v>
      </c>
      <c r="HU299" t="e">
        <f t="shared" si="368"/>
        <v>#N/A</v>
      </c>
      <c r="HV299" t="e">
        <f t="shared" si="369"/>
        <v>#N/A</v>
      </c>
      <c r="HW299" t="e">
        <f t="shared" si="370"/>
        <v>#N/A</v>
      </c>
      <c r="HX299" t="e">
        <f t="shared" si="371"/>
        <v>#N/A</v>
      </c>
      <c r="HY299" t="e">
        <f t="shared" si="372"/>
        <v>#N/A</v>
      </c>
      <c r="HZ299" s="55">
        <f>IF(OR(Исходн.данные.!AI299="Оз_Ч_П",Исходн.данные.!AI299="Оз_З_П",Исходн.данные.!AI299="Яр_зер"),12,30)</f>
        <v>30</v>
      </c>
      <c r="IA299" t="e">
        <f t="shared" si="422"/>
        <v>#N/A</v>
      </c>
      <c r="IB299" t="e">
        <f t="shared" si="423"/>
        <v>#N/A</v>
      </c>
      <c r="IC299" t="e">
        <f t="shared" si="424"/>
        <v>#N/A</v>
      </c>
      <c r="ID299" s="11" t="e">
        <f t="shared" si="425"/>
        <v>#N/A</v>
      </c>
      <c r="IE299" s="11" t="e">
        <f t="shared" si="426"/>
        <v>#N/A</v>
      </c>
      <c r="IF299" s="11" t="e">
        <f t="shared" si="427"/>
        <v>#N/A</v>
      </c>
    </row>
    <row r="300" spans="35:240" x14ac:dyDescent="0.2">
      <c r="AI300">
        <f>IF(Исходн.данные.!I300&gt;6,1,1.85-(0.148*Исходн.данные.!I300))</f>
        <v>1.85</v>
      </c>
      <c r="AJ300">
        <f>IF(Исходн.данные.!I300&gt;6,1,2.434-(0.246*Исходн.данные.!I300))</f>
        <v>2.4340000000000002</v>
      </c>
      <c r="AL300" s="148" t="b">
        <f>IF(Исходн.данные.!$P300="Ум",N_OrgUd_2g_um,IF(Исходн.данные.!$P300="Об",N_OrgUd_2g_ob))</f>
        <v>0</v>
      </c>
      <c r="AM300" s="148" t="b">
        <f>IF(Исходн.данные.!$P300="Ум",P_OrgUd_2g_um,IF(Исходн.данные.!$P300="Об",P_OrgUd_2g_ob))</f>
        <v>0</v>
      </c>
      <c r="AN300" s="148" t="b">
        <f>IF(Исходн.данные.!$P300="Ум",K_OrgUd_2g_um,IF(Исходн.данные.!$P300="Об",K_OrgUd_2g_ob))</f>
        <v>0</v>
      </c>
      <c r="AO300" s="148" t="b">
        <f>IF(Исходн.данные.!$P300="Ум",N_OrgUd_1g_um,IF(Исходн.данные.!$P300="Об",N_OrgUd_1g_ob))</f>
        <v>0</v>
      </c>
      <c r="AP300" s="148" t="b">
        <f>IF(Исходн.данные.!$P300="Ум",P_OrgUd_1g_um,IF(Исходн.данные.!$P300="Об",P_OrgUd_1g_ob))</f>
        <v>0</v>
      </c>
      <c r="AQ300" s="148" t="b">
        <f>IF(Исходн.данные.!$P300="Ум",K_OrgUd_1g_um,IF(Исходн.данные.!$P300="Об",K_OrgUd_1g_ob))</f>
        <v>0</v>
      </c>
      <c r="AR300" t="b">
        <f>IF(Исходн.данные.!$P300="Ум",N_MinUd_2g_um,IF(Исходн.данные.!$P300="Об",N_MinUd_2g_ob))</f>
        <v>0</v>
      </c>
      <c r="AS300" t="b">
        <f>IF(Исходн.данные.!$P300="Ум",P_MinUd_2g_um,IF(Исходн.данные.!$P300="Об",P_MinUd_2g_ob))</f>
        <v>0</v>
      </c>
      <c r="AT300" t="b">
        <f>IF(Исходн.данные.!$P300="Ум",K_MinUd_2g_um,IF(Исходн.данные.!$P300="Об",K_MinUd_2g_ob))</f>
        <v>0</v>
      </c>
      <c r="AU300" t="b">
        <f>IF(Исходн.данные.!$P300="Ум",N_MinUd_1g_um,IF(Исходн.данные.!$P300="Об",N_MinUd_1g_ob))</f>
        <v>0</v>
      </c>
      <c r="AV300" t="b">
        <f>IF(Исходн.данные.!P300="Ум",P_MinUd_1g_um,IF(Исходн.данные.!P300="Об",P_MinUd_1g_ob))</f>
        <v>0</v>
      </c>
      <c r="AW300" t="b">
        <f>IF(Исходн.данные.!P300="Ум",K_MinUd_1g_um,IF(Исходн.данные.!P300="Об",K_MinUd_1g_ob))</f>
        <v>0</v>
      </c>
      <c r="AY300" t="e">
        <f>VLOOKUP(Исходн.данные.!T300,Справ!$A$3:$N$57,12)</f>
        <v>#N/A</v>
      </c>
      <c r="AZ300" t="e">
        <f>VLOOKUP(Исходн.данные.!T300,Справ!$A$3:$N$57,13)</f>
        <v>#N/A</v>
      </c>
      <c r="BA300" t="e">
        <f>VLOOKUP(Исходн.данные.!T300,Справ!$A$3:$N$57,14)</f>
        <v>#N/A</v>
      </c>
      <c r="BB300">
        <f>IF(Исходн.данные.!AH300=0,0,25)</f>
        <v>0</v>
      </c>
      <c r="BC300" s="141">
        <f>IF(Исходн.данные.!AH300=0,0,IF(Исходн.данные.!T300=0,25,BD300))</f>
        <v>0</v>
      </c>
      <c r="BD300" s="168" t="e">
        <f>AY300+AZ300*Исходн.данные.!U300-POWER(BA300,2)*Исходн.данные.!U300</f>
        <v>#N/A</v>
      </c>
      <c r="BE30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0" s="25">
        <f>IF(Исходн.данные.!AH300=0,0,MIN(HN300:HP300))</f>
        <v>0</v>
      </c>
      <c r="BG300" s="9">
        <f>IF(Исходн.данные.!AH300=0,0,IF((HO300+10*0.25/HG300/HL300)&lt;17,17,HO300+10*0.25/HG300/HL300))</f>
        <v>0</v>
      </c>
      <c r="BH300" s="181">
        <f>IF(Исходн.данные.!AH300=0,0,HW300*HF300*HL300/AU300*AI300+Исходн.данные.!S300*10)</f>
        <v>0</v>
      </c>
      <c r="BI300" s="10"/>
      <c r="BJ300" s="182">
        <f>IF(Исходн.данные.!AH300=0,0,IF(HX300*HG300*HL300/AV300&lt;0,0,HX300*HG300*HL300/AV300*AJ300))</f>
        <v>0</v>
      </c>
      <c r="BK300" s="182">
        <f>IF(Исходн.данные.!AH300=0,0,HY300*HH300*HM300/AW300)</f>
        <v>0</v>
      </c>
      <c r="BL300" s="10">
        <f>IF(OR(Исходн.данные.!$AH300=$BP$1,Исходн.данные.!$AH300=$BP$2),0,IF(BH300&lt;0,0,IF(OR(Исходн.данные.!T300=Расчет!$BP$1,Исходн.данные.!T300=Расчет!$BP$2,Исходн.данные.!T300=Расчет!$BT$5,Исходн.данные.!T300=Расчет!$BT$6),BH300*0.5,IF(OR(Исходн.данные.!T300=Расчет!$BS$9,Исходн.данные.!T300=Расчет!$BS$10,Исходн.данные.!T300=Расчет!$BS$11,Исходн.данные.!T300=Расчет!$BS$12,Исходн.данные.!T300=Расчет!$BP$5),BH300*0.8,BH300))))</f>
        <v>0</v>
      </c>
      <c r="BM300" s="10">
        <f>IF(OR(Исходн.данные.!$AH300=$BP$1,Исходн.данные.!$AH300=$BP$2),0,IF(BJ300&lt;0,0,IF(Исходн.данные.!I300&lt;4.5,BJ300*1.2,IF(Исходн.данные.!I300&gt;5.1,BJ300,BJ300*((5.1-Исходн.данные.!I300)*0.333+1)))))</f>
        <v>0</v>
      </c>
      <c r="BN300" s="10">
        <f>IF(OR(Исходн.данные.!$AH300=$BP$1,Исходн.данные.!$AH300=$BP$2),60-Исходн.данные.!AF300,IF(BK300&lt;0,0,IF(Исходн.данные.!I300&lt;4.5,BK300*1.2,IF(Исходн.данные.!I300&gt;5.1,BK300,BK300*((5.1-Исходн.данные.!I300)*0.333+1)))))</f>
        <v>0</v>
      </c>
      <c r="BO300" s="9">
        <f>IF(BL300&lt;0,0,BL300*Исходн.данные.!$AJ300/1000)</f>
        <v>0</v>
      </c>
      <c r="BP300" s="9">
        <f>IF(BM300&lt;0,0,BM300*Исходн.данные.!$AJ300/1000)</f>
        <v>0</v>
      </c>
      <c r="BQ300" s="9">
        <f>IF(BN300&lt;0,0,BN300*Исходн.данные.!$AJ300/1000)</f>
        <v>0</v>
      </c>
      <c r="BR300" s="9">
        <f t="shared" si="377"/>
        <v>0</v>
      </c>
      <c r="BS300" s="10" t="str">
        <f t="shared" si="378"/>
        <v>Аммофос 12:52:00</v>
      </c>
      <c r="BT300" s="10" t="str">
        <f t="shared" si="379"/>
        <v>Аммофос 12:52:00</v>
      </c>
      <c r="BU300" s="10" t="str">
        <f t="shared" si="380"/>
        <v>Диаммофоска</v>
      </c>
      <c r="BV300" s="10">
        <f t="shared" si="381"/>
        <v>0</v>
      </c>
      <c r="BW300" s="10"/>
      <c r="BX300" s="10"/>
      <c r="BY300" s="9">
        <f>IF(BL300&lt;0,0,IF(OR(Исходн.данные.!AI300=Расчет!$BU$6,Исходн.данные.!AI300=Расчет!$BU$7),Расчет!BV300,IF(Исходн.данные.!$AG300=$BV$11,BL300,IF(OR(Исходн.данные.!$AH300=$BQ$7,Исходн.данные.!$AH300=$BQ$8),CB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0,IF(Исходн.данные.!$AI300=$BU$11,"Нет",IF(BL300&gt;30,30,BL300)))))))</f>
        <v>0</v>
      </c>
      <c r="BZ300" s="9">
        <f>IF(AND(Исходн.данные.!$AG300=$BV$11,BM300&lt;10),10,IF(Исходн.данные.!$AG300=$BV$11,BM300,IF(OR(Исходн.данные.!$AH300=$BQ$7,Исходн.данные.!$AH300=$BQ$8),CC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10,IF(Исходн.данные.!$AI300=$BU$11,"Нет",IF(BM300&gt;60,60,IF(BM300&lt;10,10,BM300)))))))</f>
        <v>10</v>
      </c>
      <c r="CA300" s="39">
        <f>IF(BN300&lt;0,0,IF(Исходн.данные.!$AG300=$BV$11,BN300,IF(OR(Исходн.данные.!$AH300=$BQ$7,Исходн.данные.!$AH300=$BQ$8),CD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0,IF(Исходн.данные.!$AI300=$BU$11,"Нет",IF(BN300&gt;30,30,BN300))))))</f>
        <v>0</v>
      </c>
      <c r="CB300" s="9">
        <f t="shared" si="382"/>
        <v>0</v>
      </c>
      <c r="CC300" s="9">
        <f t="shared" si="383"/>
        <v>0</v>
      </c>
      <c r="CD300" s="9">
        <f t="shared" si="384"/>
        <v>0</v>
      </c>
      <c r="CE300" s="12">
        <f t="shared" si="385"/>
        <v>10</v>
      </c>
      <c r="CF300" s="9">
        <f t="shared" si="386"/>
        <v>0</v>
      </c>
      <c r="CG300" s="9" t="s">
        <v>231</v>
      </c>
      <c r="CH300" s="132" t="str">
        <f>IF(Исходн.данные.!AP300=Расчет!$CI$16,"Нет",IF(Исходн.данные.!AL300&gt;0,Исходн.данные.!AL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BH$4,IF(OR(Исходн.данные.!AI300=Исходн.данные.!$AI$6,Исходн.данные.!AI300=Исходн.данные.!$AI$7),Расчет!BS300,IF(AND($CF300=0,$CE300&gt;0),EV300,ER300)))))</f>
        <v>Аммофос 12:52:00</v>
      </c>
      <c r="CI300" s="274">
        <f>IF(Расчет!$CH300="Нет","Нет",IF(Исходн.данные.!$AL300&gt;0,VLOOKUP(Расчет!$CH300,АшламаДВ_Irekle,2,FALSE),VLOOKUP(Расчет!$CH300,АшламаДВ_Gomumy,2,FALSE)))</f>
        <v>0.12</v>
      </c>
      <c r="CJ300" s="274">
        <f>IF(Расчет!$CH300="Нет","Нет",IF(Исходн.данные.!$AL300&gt;0,VLOOKUP(Расчет!$CH300,АшламаДВ_Irekle,3,FALSE),VLOOKUP(Расчет!$CH300,АшламаДВ_Gomumy,3,FALSE)))</f>
        <v>0.52</v>
      </c>
      <c r="CK300" s="274">
        <f>IF(Расчет!$CH300="Нет","Нет",IF(Исходн.данные.!$AL300&gt;0,VLOOKUP(Расчет!$CH300,АшламаДВ_Irekle,4,FALSE),VLOOKUP(Расчет!$CH300,АшламаДВ_Gomumy,4,FALSE)))</f>
        <v>0</v>
      </c>
      <c r="CL300" s="70"/>
      <c r="CM300" s="70"/>
      <c r="CN300" s="70"/>
      <c r="CO300" s="70"/>
      <c r="CP300" s="70"/>
      <c r="CQ300" s="70"/>
      <c r="CR300" s="10">
        <f t="shared" si="387"/>
        <v>0</v>
      </c>
      <c r="CS300" s="10">
        <f t="shared" si="388"/>
        <v>19.23076923076923</v>
      </c>
      <c r="CT300" s="10">
        <f t="shared" si="389"/>
        <v>0</v>
      </c>
      <c r="CU300" s="39">
        <f>IF($CH300="Нет",0,IF(CI300=0,30/MIN(CJ300:CK300),IF(Исходн.данные.!$AG300=$BV$11,CR300,IF(OR(Исходн.данные.!$AH300=$BQ$7,Исходн.данные.!$AH300=$BQ$8),90/CI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0,IF(Исходн.данные.!$AI300=$BU$11,"Нет",30/CI300))))))</f>
        <v>250</v>
      </c>
      <c r="CV300" s="39">
        <f>IF($CH300="Нет",0,IF(Исходн.данные.!AH300=0,0,IF(CJ300=0,60/MIN(CI300,CK300),IF(Исходн.данные.!$AG300=$BV$11,CS300,IF(OR(Исходн.данные.!$AH300=$BQ$7,Исходн.данные.!$AH300=$BQ$8),90/CJ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10/CJ300,IF(Исходн.данные.!$AI300=$BU$11,"Нет",60/CJ300)))))))</f>
        <v>0</v>
      </c>
      <c r="CW300" s="39">
        <f>IF($CH300="Нет",0,IF(Исходн.данные.!AH300=0,0,IF(CK300=0,30/MIN(CI300:CJ300),IF(Исходн.данные.!$AG300=$BV$11,CT300,IF(OR(Исходн.данные.!$AH300=$BQ$7,Исходн.данные.!$AH300=$BQ$8),90/CK300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0,IF(Исходн.данные.!$AI300=$BU$11,"Нет",30/CK300)))))))</f>
        <v>0</v>
      </c>
      <c r="CX300" s="133">
        <f>IF(Исходн.данные.!$AG300=$BV$11,MAX(CU300:CW300),IF(OR(Исходн.данные.!$AH300=$BS$8,Исходн.данные.!$AH300=$BQ$9,Исходн.данные.!$AH300=$BQ$10,Исходн.данные.!$AH300=$BQ$11,Исходн.данные.!$AH300=$BQ$12,Исходн.данные.!$AH300=$BP$3,Исходн.данные.!$AH300=$BT$8,$FM300="Да"),CV300,MIN(CU300:CW300)))</f>
        <v>0</v>
      </c>
      <c r="CY300" s="133">
        <f>IF(Исходн.данные.!AH300=0,0,IF(CR300&gt;$CX300,$CX300,CR300))</f>
        <v>0</v>
      </c>
      <c r="CZ300" s="133">
        <f>IF(Исходн.данные.!AH300=0,0,IF(CS300&gt;$CX300,$CX300,CS300))</f>
        <v>0</v>
      </c>
      <c r="DA300" s="133">
        <f>IF(Исходн.данные.!AH300=0,0,IF(CT300&gt;$CX300,$CX300,CT300))</f>
        <v>0</v>
      </c>
      <c r="DB300" s="10">
        <f t="shared" si="390"/>
        <v>0</v>
      </c>
      <c r="DC300" s="39">
        <f>DB300*Исходн.данные.!AJ300/1000</f>
        <v>0</v>
      </c>
      <c r="DD300" s="71">
        <f t="shared" si="391"/>
        <v>0</v>
      </c>
      <c r="DE300" s="9">
        <f t="shared" si="392"/>
        <v>0</v>
      </c>
      <c r="DF300" s="9">
        <f t="shared" si="393"/>
        <v>0</v>
      </c>
      <c r="DG300" s="39">
        <f>IF(BL300&lt;0,0,IF($CH300="Нет",BL300,IF(OR(Исходн.данные.!$AH300=$BP$1,Исходн.данные.!$AH300=$BP$2),0,IF(Исходн.данные.!AI300=$BU$11,BL300,IF(BL300-DD300&lt;0,0,BL300-DD300)))))</f>
        <v>0</v>
      </c>
      <c r="DH300" s="39">
        <f>IF(BM300&lt;0,0,IF($CH300="Нет",BM300,IF(OR(Исходн.данные.!$AH300=$BP$1,Исходн.данные.!$AH300=$BP$2),0,IF(Исходн.данные.!AJ300=$BU$11,BM300,IF(BM300-DE300&lt;0,0,BM300-DE300)))))</f>
        <v>0</v>
      </c>
      <c r="DI300" s="39">
        <f>IF(BN300&lt;0,0,IF($CH300="Нет",BN300,IF(OR(Исходн.данные.!$AH300=$BP$1,Исходн.данные.!$AH300=$BP$2),0,IF(Исходн.данные.!AK300=$BU$11,BN300,IF(BN300-DF300&lt;0,0,BN300-DF300)))))</f>
        <v>0</v>
      </c>
      <c r="DJ300" s="12">
        <f t="shared" si="394"/>
        <v>0</v>
      </c>
      <c r="DK300" s="9">
        <f t="shared" si="395"/>
        <v>0</v>
      </c>
      <c r="DL300" s="39">
        <f>IF(Исходн.данные.!AM300&gt;0,Исходн.данные.!AM300,IF(EG300&gt;0,$BH$10,0))</f>
        <v>0</v>
      </c>
      <c r="DM300" s="186">
        <f>IF($DL300=0,0,IF(Исходн.данные.!AM300&gt;0,VLOOKUP($DL300,АшламаДВ_Irekle,2,FALSE),VLOOKUP($DL300,АшламаДВ_Gomumy,2,FALSE)))</f>
        <v>0</v>
      </c>
      <c r="DN300" s="10">
        <f t="shared" si="373"/>
        <v>0</v>
      </c>
      <c r="DO300" s="9" t="str">
        <f>IF(Исходн.данные.!AN300&gt;0,Исходн.данные.!AN300,Удобрения!$B$37 )</f>
        <v>Хлор.калий</v>
      </c>
      <c r="DP300" s="9">
        <f>IF(Исходн.данные.!AN300&gt;0,VLOOKUP(Исходн.данные.!AN300,АшламаДВ_Irekle,4,FALSE),VLOOKUP(DO300,АшламаДВ_Gomumy,4,FALSE))</f>
        <v>0.6</v>
      </c>
      <c r="DQ300" s="10">
        <f t="shared" si="374"/>
        <v>0</v>
      </c>
      <c r="DR300" s="132" t="str">
        <f>IF(Исходн.данные.!AO300&gt;0,Исходн.данные.!AO300,IF(DH300=0,BS$17,IF(AND($DK300=0,$DJ300&gt;0),EJ300,EN300)))</f>
        <v>Нет</v>
      </c>
      <c r="DS300" s="70" t="str">
        <f>IF($DR300="Нет","Нет",IF(Исходн.данные.!$AO300&gt;0,VLOOKUP($DR300,АшламаДВ_Irekle,2,FALSE),VLOOKUP($DR300,АшламаДВ_Gomumy,2,FALSE)))</f>
        <v>Нет</v>
      </c>
      <c r="DT300" s="70" t="str">
        <f>IF($DR300="Нет","Нет",IF(Исходн.данные.!$AO300&gt;0,VLOOKUP($DR300,АшламаДВ_Irekle,3,FALSE),VLOOKUP($DR300,АшламаДВ_Gomumy,3,FALSE)))</f>
        <v>Нет</v>
      </c>
      <c r="DU300" s="70" t="str">
        <f>IF($DR300="Нет","Нет",IF(Исходн.данные.!$AO300&gt;0,VLOOKUP($DR300,АшламаДВ_Irekle,4,FALSE),VLOOKUP($DR300,АшламаДВ_Gomumy,4,FALSE)))</f>
        <v>Нет</v>
      </c>
      <c r="DV300" s="70"/>
      <c r="DW300" s="70"/>
      <c r="DX300" s="70"/>
      <c r="DY300" s="10">
        <f t="shared" si="396"/>
        <v>0</v>
      </c>
      <c r="DZ300" s="10">
        <f t="shared" si="397"/>
        <v>0</v>
      </c>
      <c r="EA300" s="10">
        <f t="shared" si="398"/>
        <v>0</v>
      </c>
      <c r="EB300" s="10">
        <f t="shared" si="399"/>
        <v>0</v>
      </c>
      <c r="EC300" s="10">
        <f t="shared" si="400"/>
        <v>0</v>
      </c>
      <c r="ED300" s="10">
        <f t="shared" si="401"/>
        <v>0</v>
      </c>
      <c r="EE300" s="10">
        <f t="shared" si="402"/>
        <v>0</v>
      </c>
      <c r="EF300" s="39">
        <f>EB300*Исходн.данные.!AJ300/1000</f>
        <v>0</v>
      </c>
      <c r="EG300" s="9">
        <f t="shared" si="403"/>
        <v>0</v>
      </c>
      <c r="EH300" s="9">
        <f t="shared" si="404"/>
        <v>0</v>
      </c>
      <c r="EI300" s="39" t="e">
        <f t="shared" si="354"/>
        <v>#DIV/0!</v>
      </c>
      <c r="EJ300" s="9" t="str">
        <f t="shared" si="375"/>
        <v>Азопреципитат</v>
      </c>
      <c r="EK300" s="12">
        <f t="shared" si="355"/>
        <v>0.26</v>
      </c>
      <c r="EL300" s="12">
        <f t="shared" si="356"/>
        <v>0.13</v>
      </c>
      <c r="EM300" s="12">
        <f t="shared" si="357"/>
        <v>0</v>
      </c>
      <c r="EN300" s="12" t="str">
        <f t="shared" si="376"/>
        <v>Нет</v>
      </c>
      <c r="EO300" s="12">
        <f t="shared" si="358"/>
        <v>0</v>
      </c>
      <c r="EP300" s="12">
        <f t="shared" si="359"/>
        <v>0</v>
      </c>
      <c r="EQ300" s="12">
        <f t="shared" si="360"/>
        <v>0</v>
      </c>
      <c r="ER300" s="12" t="str">
        <f t="shared" si="405"/>
        <v>Диаммофоска</v>
      </c>
      <c r="ES300" s="12">
        <f t="shared" si="361"/>
        <v>0.1</v>
      </c>
      <c r="ET300" s="12">
        <f t="shared" si="362"/>
        <v>0.26</v>
      </c>
      <c r="EU300" s="12">
        <f t="shared" si="363"/>
        <v>0.26</v>
      </c>
      <c r="EV300" s="12" t="str">
        <f t="shared" si="406"/>
        <v>Аммофос 12:52:00</v>
      </c>
      <c r="EW300" s="12" t="str">
        <f t="shared" si="407"/>
        <v>Кемира Свекловичное-6</v>
      </c>
      <c r="EX300" s="12">
        <f t="shared" si="364"/>
        <v>0.16</v>
      </c>
      <c r="EY300" s="12">
        <f t="shared" si="365"/>
        <v>0.12</v>
      </c>
      <c r="EZ300" s="12">
        <f t="shared" si="366"/>
        <v>0.17</v>
      </c>
      <c r="FA300" s="38" t="e">
        <f>IF(AND(OR(FJ300=$FD$1,FM300=$FD$1,FO300=$FD$1,FQ300=$FD$1,FS300=$FD$1),FD300=$FD$1,Исходн.данные.!J300&lt;2,FU300=$FD$1),"Бор,Кобальт",IF(AND(FO300=$FD$1,FH300=$FD$1,Исходн.данные.!J300&lt;2,FU300=$FD$1),"Бор,Кобальт",IF(AND(OR(FJ300=$FD$1,FM300=$FD$1,FQ300=$FD$1),FE300=$FD$1,Исходн.данные.!J300&lt;2,FT300=$FD$1,FU300=$FD$1),"Бор,Медь,Цинк",IF(AND(OR(FJ300=$FD$1,FR300="Да"),FI300="Да",Исходн.данные.!J300&lt;2,FT300="Да",FU300="Да"),"Бор,Цинк,Медь",IF(AND(OR(FM300="Да",FQ300="Да"),FI300="Да",Исходн.данные.!J300&lt;2,FT300="Да",FU300="Да"),"Бор,Цинк",IF(AND(FN300="Да",OR(FD300="Да",FE300="Да")),"Бор",FB300))))))</f>
        <v>#N/A</v>
      </c>
      <c r="FB300" s="134" t="e">
        <f>IF(AND(OR(FD300="Да",FE300="Да",FF300="Да",FG300="Да",FH300="Да"),FO300="Да"),"Бор",IF(AND(FP300="Да",OR(FD300="Да",FE300="Да",FI300="Да")),"Бор",IF(AND(FS300="Да",FE300="Да"),"Бор,Медь",IF(AND(OR(FJ300="Да",FK300="Да",FL300="Да"),FE300="Да",Исходн.данные.!I300&lt;5,FT300="Да",FU300="Да"),"Молибден,Цинк",IF(AND(FM300="Да",OR(FE300="Да",FF300="Да",FG300="Да",FH300="Да",FI300="Да")),"Молибден,Цинк",IF(AND(OR(FJ300="Да",FK300="Да",FL300="Да",FM300="Да",FQ300="Да"),OR(FE300="Да",FF300="Да"),FT300="Да",FU300="Да",Исходн.данные.!I300&gt;5.5),"Медь,Цинк",FC300))))))</f>
        <v>#N/A</v>
      </c>
      <c r="FC300" s="23" t="e">
        <f t="shared" si="408"/>
        <v>#N/A</v>
      </c>
      <c r="FD300" s="38" t="str">
        <f>IF(OR(Исходн.данные.!F300=$CC$1,Исходн.данные.!F300=$CC$2,Исходн.данные.!F300=$CC$3,Исходн.данные.!F300=$CC$4),"Да","Нет")</f>
        <v>Нет</v>
      </c>
      <c r="FE300" s="38" t="str">
        <f>IF(Исходн.данные.!F300=$CC$5,"Да","Нет")</f>
        <v>Нет</v>
      </c>
      <c r="FF300" s="38" t="str">
        <f>IF(OR(Исходн.данные.!F300=$CC$6,Исходн.данные.!F300=$CC$7),"Да","Нет")</f>
        <v>Нет</v>
      </c>
      <c r="FG300" s="38" t="str">
        <f>IF(OR(Исходн.данные.!F300=$CC$8,Исходн.данные.!F300=$CC$9),"Да","Нет")</f>
        <v>Нет</v>
      </c>
      <c r="FH300" s="38" t="str">
        <f>IF(Исходн.данные.!F300=$CC$10,"Да","Нет")</f>
        <v>Нет</v>
      </c>
      <c r="FI300" s="38" t="str">
        <f>IF(OR(Исходн.данные.!F300=$CC$11,Исходн.данные.!F300=$CC$12),"Да","Нет")</f>
        <v>Нет</v>
      </c>
      <c r="FJ300" s="38" t="str">
        <f>IF(OR(Исходн.данные.!AH300=$BS$1,Исходн.данные.!AH300=$BQ$11,Исходн.данные.!AH300=$BQ$12),"Да","Нет")</f>
        <v>Нет</v>
      </c>
      <c r="FK300" s="38" t="str">
        <f>IF(OR(Исходн.данные.!AH300=$BS$2,Исходн.данные.!AH300=$BS$4),"Да","Нет")</f>
        <v>Нет</v>
      </c>
      <c r="FL300" s="38" t="str">
        <f>IF(OR(Исходн.данные.!AH300=$BS$3,Исходн.данные.!AH300=$BS$5),"Да","Нет")</f>
        <v>Нет</v>
      </c>
      <c r="FM300" s="38" t="str">
        <f>IF(OR(Исходн.данные.!AH300=$BS$9,Исходн.данные.!AH300=$BS$10,Исходн.данные.!AH300=$BS$11,Исходн.данные.!AH300=$BS$12),"Да","Нет")</f>
        <v>Нет</v>
      </c>
      <c r="FN300" s="38" t="str">
        <f>IF(OR(Исходн.данные.!AH300=$BS$6,Исходн.данные.!AH300=$BP$3),"Да","Нет")</f>
        <v>Нет</v>
      </c>
      <c r="FO300" s="38" t="str">
        <f>IF(Исходн.данные.!AH300=$BQ$9,"Да","Нет")</f>
        <v>Нет</v>
      </c>
      <c r="FP300" s="38" t="str">
        <f>IF(OR(Исходн.данные.!AH300=$BS$8,Исходн.данные.!AH300=$BT$8),"Да","Нет")</f>
        <v>Нет</v>
      </c>
      <c r="FQ300" s="38" t="str">
        <f>IF(OR(Исходн.данные.!AH300=$BQ$7,Исходн.данные.!AH300=$BQ$8),"Да","Нет")</f>
        <v>Нет</v>
      </c>
      <c r="FR300" s="38" t="str">
        <f>IF(Исходн.данные.!AI300=$BU$9,"Да","Нет")</f>
        <v>Нет</v>
      </c>
      <c r="FS300" s="38" t="str">
        <f>IF(OR(Исходн.данные.!AH300=$BP$1,Исходн.данные.!AH300=$BP$2),"Да","Нет")</f>
        <v>Нет</v>
      </c>
      <c r="FT300" s="38" t="e">
        <f>IF((Исходн.данные.!K300*GO300*GS300*GW300+BL300*0.6+Исходн.данные.!Q300*4.5*0.275)&gt;90,"Да","Нет")</f>
        <v>#N/A</v>
      </c>
      <c r="FU300" s="38" t="e">
        <f>IF((Исходн.данные.!M300*GS300*GZ300+BM300*0.225)&gt;35,"Да","Нет")</f>
        <v>#N/A</v>
      </c>
      <c r="FV300" s="38" t="str">
        <f>IF(Исходн.данные.!O300&gt;175,"Да","Нет")</f>
        <v>Нет</v>
      </c>
      <c r="FW300" s="39" t="str">
        <f>IF(Исходн.данные.!I300&gt;5.5,"Да","Нет")</f>
        <v>Нет</v>
      </c>
      <c r="FX300" s="39" t="str">
        <f>IF(Исходн.данные.!J300&lt;2,"Да","Нет")</f>
        <v>Да</v>
      </c>
      <c r="FY300" s="39" t="e">
        <f>IF(HF300=$FY$16,0,Исходн.данные.!K300*GO300*GS300*GW300/HF300)</f>
        <v>#N/A</v>
      </c>
      <c r="FZ300" s="39" t="e">
        <f>Исходн.данные.!M300*GS300*GZ300/HG300</f>
        <v>#N/A</v>
      </c>
      <c r="GA300" s="39" t="e">
        <f>IF(K_Wyn=$FY$16,0,IF(Исходн.данные.!N300=Исходн.данные.!$L$10,Исходн.данные.!O300/1.1*GS300*HC300/HH300,IF(Исходн.данные.!N300=Исходн.данные.!$L$12,Исходн.данные.!O300/1.5*GS300*HC300/HH300,Исходн.данные.!O300*GS300*HC300/HH300)))</f>
        <v>#N/A</v>
      </c>
      <c r="GB300" s="39" t="e">
        <f>IF(HF300=$FY$16,0,((Исходн.данные.!Q300*N_Org+Исходн.данные.!R300*N_Sider+Исходн.данные.!S300*N_Soloma)*AO300+Расчет!BC300*VLOOKUP(Исходн.данные.!T300,Справ!$A$3:$O$57,15)*AO300+BB300*VLOOKUP(Исходн.данные.!T300,Справ!$A$3:$O$57,15)*AL300+(Исходн.данные.!V300*N_Rizotorf+Исходн.данные.!W300*N_Rizoagr))/HF300)</f>
        <v>#N/A</v>
      </c>
      <c r="GC300" s="39" t="e">
        <f>IF(HG300=$FY$16,0,((Исходн.данные.!Q300*Р_Org+Исходн.данные.!R300*P_Sider+Исходн.данные.!S300*P_Soloma)*AP300+Расчет!BC300*VLOOKUP(Исходн.данные.!T300,Справ!$A$3:$P$57,16)*AP300+BB300*VLOOKUP(Исходн.данные.!T300,Справ!$A$3:$P$57,16)*AM300)/HG300)</f>
        <v>#N/A</v>
      </c>
      <c r="GD300" s="39" t="e">
        <f>IF(HH300=$FY$16,0,((Исходн.данные.!Q300*К_Org+Исходн.данные.!R300*K_Sider+Исходн.данные.!S300*K_Soloma)*AQ300+Расчет!BC300*VLOOKUP(Исходн.данные.!T300,Справ!$A$3:$Q$57,17)*AQ300+BB300*VLOOKUP(Исходн.данные.!T300,Справ!$A$3:$Q$57,17)*AN300)/HH300)</f>
        <v>#N/A</v>
      </c>
      <c r="GE300" s="39" t="e">
        <f>IF(HF300=$FY$16,0,(Исходн.данные.!X300*AR300+Исходн.данные.!AA300*N_Org*AL300+Исходн.данные.!AB300*N_Sider*AL300+Исходн.данные.!AC300*N_Soloma*AL300)/HF300)</f>
        <v>#N/A</v>
      </c>
      <c r="GF300" s="39" t="e">
        <f>IF(HG300=$FY$16,0,(Исходн.данные.!Y300*AS300+Исходн.данные.!AA300*Р_Org*AM300+Исходн.данные.!AB300*P_Sider*AM300+Исходн.данные.!AC300*P_Soloma*AM300)/HG300)</f>
        <v>#N/A</v>
      </c>
      <c r="GG300" s="39" t="e">
        <f>IF(HH300=$FY$16,0,(Исходн.данные.!Z300*AT300+Исходн.данные.!AA300*К_Org*AN300+Исходн.данные.!AB300*K_Sider*AN300+Исходн.данные.!AC300*K_Soloma*AN300)/HH300)</f>
        <v>#N/A</v>
      </c>
      <c r="GH300" s="39" t="e">
        <f>Исходн.данные.!AD300*AU300/HF300</f>
        <v>#N/A</v>
      </c>
      <c r="GI300" s="39" t="e">
        <f>Исходн.данные.!AE300*AV300/HG300</f>
        <v>#N/A</v>
      </c>
      <c r="GJ300" s="39" t="e">
        <f>Исходн.данные.!AF300*AW300/HH300</f>
        <v>#N/A</v>
      </c>
      <c r="GK300" s="55">
        <f>Исходн.данные.!AK300</f>
        <v>0</v>
      </c>
      <c r="GL300" s="11" t="e">
        <f t="shared" si="409"/>
        <v>#N/A</v>
      </c>
      <c r="GM300" s="11" t="e">
        <f t="shared" si="410"/>
        <v>#N/A</v>
      </c>
      <c r="GN300" s="11" t="e">
        <f t="shared" si="411"/>
        <v>#N/A</v>
      </c>
      <c r="GO300" s="57">
        <f t="shared" si="412"/>
        <v>19</v>
      </c>
      <c r="GP300" s="55">
        <f>IF(OR(Исходн.данные.!F300=$CE$1,Исходн.данные.!F300=$CE$2,Исходн.данные.!F300=$CE$3,Исходн.данные.!F300=$CE$4,Исходн.данные.!F300=$CE$5),GQ300,GR300)</f>
        <v>19</v>
      </c>
      <c r="GQ300" s="55">
        <f>IF(Исходн.данные.!F300=$CE$1,28,IF(Исходн.данные.!F300=$CE$2,26,IF(Исходн.данные.!F300=$CE$3,24,IF(Исходн.данные.!F300=$CE$4,22,IF(Исходн.данные.!F300=$CE$5,20,GR300)))))</f>
        <v>19</v>
      </c>
      <c r="GR300" s="55">
        <f>IF(Исходн.данные.!F300=$CE$6,18,IF(Исходн.данные.!F300=$CE$7,16,IF(Исходн.данные.!F300=$CE$8,14,IF(Исходн.данные.!F300=$CE$9,13,IF(Исходн.данные.!F300=$CE$10,12,19)))))</f>
        <v>19</v>
      </c>
      <c r="GS300" s="55">
        <f>IF(Исходн.данные.!G300="Пес",0.035*(40+2*Исходн.данные.!H300),IF(Исходн.данные.!G300="Суп",0.0325*(40+2*Исходн.данные.!H300),0.03*(40+2*Исходн.данные.!H300)))</f>
        <v>1.2</v>
      </c>
      <c r="GT300" s="55">
        <f>IF(Исходн.данные.!H300&lt;23,2.6,IF(AND(Исходн.данные.!H300&gt;22,Исходн.данные.!H300&lt;26),3,IF(AND(Исходн.данные.!H300&gt;25,Исходн.данные.!H300&lt;29),3.4,3.6)))</f>
        <v>2.6</v>
      </c>
      <c r="GU300" s="55">
        <f>IF(Исходн.данные.!H300&lt;23,2.8,IF(AND(Исходн.данные.!H300&gt;22,Исходн.данные.!H300&lt;26),3.2,IF(AND(Исходн.данные.!H300&gt;25,Исходн.данные.!H300&lt;29),3.6,3.9)))</f>
        <v>2.8</v>
      </c>
      <c r="GV300" s="55">
        <f>IF(Исходн.данные.!H300&lt;23,3,IF(AND(Исходн.данные.!H300&gt;22,Исходн.данные.!H300&lt;26),3.5,IF(AND(Исходн.данные.!H300&gt;25,Исходн.данные.!H300&lt;29),3.9,4.2)))</f>
        <v>3</v>
      </c>
      <c r="GW300" s="55" t="e">
        <f>IF(Исходн.данные.!P300="Ум",GX300,GY300)</f>
        <v>#N/A</v>
      </c>
      <c r="GX300" s="55" t="e">
        <f>VLOOKUP(Исходн.данные.!AI300,Коэффициенты!$J$7:$L$13,2,FALSE)</f>
        <v>#N/A</v>
      </c>
      <c r="GY300" s="55" t="e">
        <f>VLOOKUP(Исходн.данные.!AI300,Коэффициенты!$J$7:$L$13,3,FALSE)</f>
        <v>#N/A</v>
      </c>
      <c r="GZ300" s="55" t="e">
        <f>(IF(Исходн.данные.!M300&lt;50,0.11*VLOOKUP(Исходн.данные.!AH300,Культуры.Информация,7,FALSE),IF(Исходн.данные.!M300&gt;250,0.05*VLOOKUP(Исходн.данные.!AH300,Культуры.Информация,7,FALSE),VLOOKUP(Исходн.данные.!AH300,Культуры.Информация,5,FALSE)/100*($GX$6+$GY$6*Исходн.данные.!M300))))*Расчет2!AI300</f>
        <v>#N/A</v>
      </c>
      <c r="HA300" s="211"/>
      <c r="HB300" s="211"/>
      <c r="HC300" s="55" t="e">
        <f>(IF(Исходн.данные.!O300&lt;80,0.2*VLOOKUP(Исходн.данные.!AH300,Культуры.Информация,8,FALSE),IF(Исходн.данные.!O300&gt;240,0.09*VLOOKUP(Исходн.данные.!AH300,Культуры.Информация,8,FALSE),VLOOKUP(Исходн.данные.!AH300,Культуры.Информация,6,FALSE)/100*($HB$6+$HC$6*Исходн.данные.!O300))))*Расчет2!AJ300</f>
        <v>#N/A</v>
      </c>
      <c r="HD300" s="55">
        <f>IF(Исходн.данные.!O300&gt;240,0.09,IF(Исходн.данные.!O300&lt;30,0.3,$HE$10+$HD$10*Исходн.данные.!O300))</f>
        <v>0.3</v>
      </c>
      <c r="HE300" s="55">
        <f>IF(Исходн.данные.!O300&gt;240,0.17,IF(Исходн.данные.!O300&lt;30,0.5,$HF$12+$HE$12*Исходн.данные.!O300))</f>
        <v>0.5</v>
      </c>
      <c r="HF300" s="55" t="e">
        <f>VLOOKUP(Исходн.данные.!AH300,Справ!$A$3:$D$58,2,FALSE)</f>
        <v>#N/A</v>
      </c>
      <c r="HG300" s="55" t="e">
        <f>VLOOKUP(Исходн.данные.!AH300,Справ!$A$3:$D$58,3,FALSE)</f>
        <v>#N/A</v>
      </c>
      <c r="HH300" s="55" t="e">
        <f>VLOOKUP(Исходн.данные.!AH300,Справ!$A$3:$D$58,4,FALSE)</f>
        <v>#N/A</v>
      </c>
      <c r="HI300" s="11" t="e">
        <f t="shared" si="413"/>
        <v>#N/A</v>
      </c>
      <c r="HJ300" s="11" t="e">
        <f t="shared" si="414"/>
        <v>#N/A</v>
      </c>
      <c r="HK300" s="11" t="e">
        <f t="shared" si="415"/>
        <v>#N/A</v>
      </c>
      <c r="HL300" s="55">
        <f>IF(OR(Исходн.данные.!G300="Глин",Исходн.данные.!G300="Т_суг"),1.1,IF(Исходн.данные.!G300="Ср_суг",1,1))</f>
        <v>1</v>
      </c>
      <c r="HM300" s="55">
        <f>IF(OR(Исходн.данные.!G300="Глин",Исходн.данные.!G300="Т_суг"),0.9,IF(Исходн.данные.!G300="Ср_суг",1,1.2))</f>
        <v>1.2</v>
      </c>
      <c r="HN300" s="11" t="e">
        <f t="shared" si="416"/>
        <v>#N/A</v>
      </c>
      <c r="HO300" s="11" t="e">
        <f t="shared" si="417"/>
        <v>#N/A</v>
      </c>
      <c r="HP300" s="11" t="e">
        <f t="shared" si="418"/>
        <v>#N/A</v>
      </c>
      <c r="HQ300" t="e">
        <f t="shared" si="419"/>
        <v>#N/A</v>
      </c>
      <c r="HR300" t="e">
        <f t="shared" si="420"/>
        <v>#N/A</v>
      </c>
      <c r="HS300" t="e">
        <f t="shared" si="421"/>
        <v>#N/A</v>
      </c>
      <c r="HT300" t="e">
        <f t="shared" si="367"/>
        <v>#N/A</v>
      </c>
      <c r="HU300" t="e">
        <f t="shared" si="368"/>
        <v>#N/A</v>
      </c>
      <c r="HV300" t="e">
        <f t="shared" si="369"/>
        <v>#N/A</v>
      </c>
      <c r="HW300" t="e">
        <f t="shared" si="370"/>
        <v>#N/A</v>
      </c>
      <c r="HX300" t="e">
        <f t="shared" si="371"/>
        <v>#N/A</v>
      </c>
      <c r="HY300" t="e">
        <f t="shared" si="372"/>
        <v>#N/A</v>
      </c>
      <c r="HZ300" s="55">
        <f>IF(OR(Исходн.данные.!AI300="Оз_Ч_П",Исходн.данные.!AI300="Оз_З_П",Исходн.данные.!AI300="Яр_зер"),12,30)</f>
        <v>30</v>
      </c>
      <c r="IA300" t="e">
        <f t="shared" si="422"/>
        <v>#N/A</v>
      </c>
      <c r="IB300" t="e">
        <f t="shared" si="423"/>
        <v>#N/A</v>
      </c>
      <c r="IC300" t="e">
        <f t="shared" si="424"/>
        <v>#N/A</v>
      </c>
      <c r="ID300" s="11" t="e">
        <f t="shared" si="425"/>
        <v>#N/A</v>
      </c>
      <c r="IE300" s="11" t="e">
        <f t="shared" si="426"/>
        <v>#N/A</v>
      </c>
      <c r="IF300" s="11" t="e">
        <f t="shared" si="427"/>
        <v>#N/A</v>
      </c>
    </row>
    <row r="301" spans="35:240" x14ac:dyDescent="0.2">
      <c r="AI301">
        <f>IF(Исходн.данные.!I301&gt;6,1,1.85-(0.148*Исходн.данные.!I301))</f>
        <v>1.85</v>
      </c>
      <c r="AJ301">
        <f>IF(Исходн.данные.!I301&gt;6,1,2.434-(0.246*Исходн.данные.!I301))</f>
        <v>2.4340000000000002</v>
      </c>
      <c r="AL301" s="148" t="b">
        <f>IF(Исходн.данные.!$P301="Ум",N_OrgUd_2g_um,IF(Исходн.данные.!$P301="Об",N_OrgUd_2g_ob))</f>
        <v>0</v>
      </c>
      <c r="AM301" s="148" t="b">
        <f>IF(Исходн.данные.!$P301="Ум",P_OrgUd_2g_um,IF(Исходн.данные.!$P301="Об",P_OrgUd_2g_ob))</f>
        <v>0</v>
      </c>
      <c r="AN301" s="148" t="b">
        <f>IF(Исходн.данные.!$P301="Ум",K_OrgUd_2g_um,IF(Исходн.данные.!$P301="Об",K_OrgUd_2g_ob))</f>
        <v>0</v>
      </c>
      <c r="AO301" s="148" t="b">
        <f>IF(Исходн.данные.!$P301="Ум",N_OrgUd_1g_um,IF(Исходн.данные.!$P301="Об",N_OrgUd_1g_ob))</f>
        <v>0</v>
      </c>
      <c r="AP301" s="148" t="b">
        <f>IF(Исходн.данные.!$P301="Ум",P_OrgUd_1g_um,IF(Исходн.данные.!$P301="Об",P_OrgUd_1g_ob))</f>
        <v>0</v>
      </c>
      <c r="AQ301" s="148" t="b">
        <f>IF(Исходн.данные.!$P301="Ум",K_OrgUd_1g_um,IF(Исходн.данные.!$P301="Об",K_OrgUd_1g_ob))</f>
        <v>0</v>
      </c>
      <c r="AR301" t="b">
        <f>IF(Исходн.данные.!$P301="Ум",N_MinUd_2g_um,IF(Исходн.данные.!$P301="Об",N_MinUd_2g_ob))</f>
        <v>0</v>
      </c>
      <c r="AS301" t="b">
        <f>IF(Исходн.данные.!$P301="Ум",P_MinUd_2g_um,IF(Исходн.данные.!$P301="Об",P_MinUd_2g_ob))</f>
        <v>0</v>
      </c>
      <c r="AT301" t="b">
        <f>IF(Исходн.данные.!$P301="Ум",K_MinUd_2g_um,IF(Исходн.данные.!$P301="Об",K_MinUd_2g_ob))</f>
        <v>0</v>
      </c>
      <c r="AU301" t="b">
        <f>IF(Исходн.данные.!$P301="Ум",N_MinUd_1g_um,IF(Исходн.данные.!$P301="Об",N_MinUd_1g_ob))</f>
        <v>0</v>
      </c>
      <c r="AV301" t="b">
        <f>IF(Исходн.данные.!P301="Ум",P_MinUd_1g_um,IF(Исходн.данные.!P301="Об",P_MinUd_1g_ob))</f>
        <v>0</v>
      </c>
      <c r="AW301" t="b">
        <f>IF(Исходн.данные.!P301="Ум",K_MinUd_1g_um,IF(Исходн.данные.!P301="Об",K_MinUd_1g_ob))</f>
        <v>0</v>
      </c>
      <c r="AY301" t="e">
        <f>VLOOKUP(Исходн.данные.!T301,Справ!$A$3:$N$57,12)</f>
        <v>#N/A</v>
      </c>
      <c r="AZ301" t="e">
        <f>VLOOKUP(Исходн.данные.!T301,Справ!$A$3:$N$57,13)</f>
        <v>#N/A</v>
      </c>
      <c r="BA301" t="e">
        <f>VLOOKUP(Исходн.данные.!T301,Справ!$A$3:$N$57,14)</f>
        <v>#N/A</v>
      </c>
      <c r="BB301">
        <f>IF(Исходн.данные.!AH301=0,0,25)</f>
        <v>0</v>
      </c>
      <c r="BC301" s="141">
        <f>IF(Исходн.данные.!AH301=0,0,IF(Исходн.данные.!T301=0,25,BD301))</f>
        <v>0</v>
      </c>
      <c r="BD301" s="168" t="e">
        <f>AY301+AZ301*Исходн.данные.!U301-POWER(BA301,2)*Исходн.данные.!U301</f>
        <v>#N/A</v>
      </c>
      <c r="BE30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1" s="25">
        <f>IF(Исходн.данные.!AH301=0,0,MIN(HN301:HP301))</f>
        <v>0</v>
      </c>
      <c r="BG301" s="9">
        <f>IF(Исходн.данные.!AH301=0,0,IF((HO301+10*0.25/HG301/HL301)&lt;17,17,HO301+10*0.25/HG301/HL301))</f>
        <v>0</v>
      </c>
      <c r="BH301" s="181">
        <f>IF(Исходн.данные.!AH301=0,0,HW301*HF301*HL301/AU301*AI301+Исходн.данные.!S301*10)</f>
        <v>0</v>
      </c>
      <c r="BI301" s="10"/>
      <c r="BJ301" s="182">
        <f>IF(Исходн.данные.!AH301=0,0,IF(HX301*HG301*HL301/AV301&lt;0,0,HX301*HG301*HL301/AV301*AJ301))</f>
        <v>0</v>
      </c>
      <c r="BK301" s="182">
        <f>IF(Исходн.данные.!AH301=0,0,HY301*HH301*HM301/AW301)</f>
        <v>0</v>
      </c>
      <c r="BL301" s="10">
        <f>IF(OR(Исходн.данные.!$AH301=$BP$1,Исходн.данные.!$AH301=$BP$2),0,IF(BH301&lt;0,0,IF(OR(Исходн.данные.!T301=Расчет!$BP$1,Исходн.данные.!T301=Расчет!$BP$2,Исходн.данные.!T301=Расчет!$BT$5,Исходн.данные.!T301=Расчет!$BT$6),BH301*0.5,IF(OR(Исходн.данные.!T301=Расчет!$BS$9,Исходн.данные.!T301=Расчет!$BS$10,Исходн.данные.!T301=Расчет!$BS$11,Исходн.данные.!T301=Расчет!$BS$12,Исходн.данные.!T301=Расчет!$BP$5),BH301*0.8,BH301))))</f>
        <v>0</v>
      </c>
      <c r="BM301" s="10">
        <f>IF(OR(Исходн.данные.!$AH301=$BP$1,Исходн.данные.!$AH301=$BP$2),0,IF(BJ301&lt;0,0,IF(Исходн.данные.!I301&lt;4.5,BJ301*1.2,IF(Исходн.данные.!I301&gt;5.1,BJ301,BJ301*((5.1-Исходн.данные.!I301)*0.333+1)))))</f>
        <v>0</v>
      </c>
      <c r="BN301" s="10">
        <f>IF(OR(Исходн.данные.!$AH301=$BP$1,Исходн.данные.!$AH301=$BP$2),60-Исходн.данные.!AF301,IF(BK301&lt;0,0,IF(Исходн.данные.!I301&lt;4.5,BK301*1.2,IF(Исходн.данные.!I301&gt;5.1,BK301,BK301*((5.1-Исходн.данные.!I301)*0.333+1)))))</f>
        <v>0</v>
      </c>
      <c r="BO301" s="9">
        <f>IF(BL301&lt;0,0,BL301*Исходн.данные.!$AJ301/1000)</f>
        <v>0</v>
      </c>
      <c r="BP301" s="9">
        <f>IF(BM301&lt;0,0,BM301*Исходн.данные.!$AJ301/1000)</f>
        <v>0</v>
      </c>
      <c r="BQ301" s="9">
        <f>IF(BN301&lt;0,0,BN301*Исходн.данные.!$AJ301/1000)</f>
        <v>0</v>
      </c>
      <c r="BR301" s="9">
        <f t="shared" si="377"/>
        <v>0</v>
      </c>
      <c r="BS301" s="10" t="str">
        <f t="shared" si="378"/>
        <v>Аммофос 12:52:00</v>
      </c>
      <c r="BT301" s="10" t="str">
        <f t="shared" si="379"/>
        <v>Аммофос 12:52:00</v>
      </c>
      <c r="BU301" s="10" t="str">
        <f t="shared" si="380"/>
        <v>Диаммофоска</v>
      </c>
      <c r="BV301" s="10">
        <f t="shared" si="381"/>
        <v>0</v>
      </c>
      <c r="BW301" s="10"/>
      <c r="BX301" s="10"/>
      <c r="BY301" s="9">
        <f>IF(BL301&lt;0,0,IF(OR(Исходн.данные.!AI301=Расчет!$BU$6,Исходн.данные.!AI301=Расчет!$BU$7),Расчет!BV301,IF(Исходн.данные.!$AG301=$BV$11,BL301,IF(OR(Исходн.данные.!$AH301=$BQ$7,Исходн.данные.!$AH301=$BQ$8),CB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0,IF(Исходн.данные.!$AI301=$BU$11,"Нет",IF(BL301&gt;30,30,BL301)))))))</f>
        <v>0</v>
      </c>
      <c r="BZ301" s="9">
        <f>IF(AND(Исходн.данные.!$AG301=$BV$11,BM301&lt;10),10,IF(Исходн.данные.!$AG301=$BV$11,BM301,IF(OR(Исходн.данные.!$AH301=$BQ$7,Исходн.данные.!$AH301=$BQ$8),CC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10,IF(Исходн.данные.!$AI301=$BU$11,"Нет",IF(BM301&gt;60,60,IF(BM301&lt;10,10,BM301)))))))</f>
        <v>10</v>
      </c>
      <c r="CA301" s="39">
        <f>IF(BN301&lt;0,0,IF(Исходн.данные.!$AG301=$BV$11,BN301,IF(OR(Исходн.данные.!$AH301=$BQ$7,Исходн.данные.!$AH301=$BQ$8),CD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0,IF(Исходн.данные.!$AI301=$BU$11,"Нет",IF(BN301&gt;30,30,BN301))))))</f>
        <v>0</v>
      </c>
      <c r="CB301" s="9">
        <f t="shared" si="382"/>
        <v>0</v>
      </c>
      <c r="CC301" s="9">
        <f t="shared" si="383"/>
        <v>0</v>
      </c>
      <c r="CD301" s="9">
        <f t="shared" si="384"/>
        <v>0</v>
      </c>
      <c r="CE301" s="12">
        <f t="shared" si="385"/>
        <v>10</v>
      </c>
      <c r="CF301" s="9">
        <f t="shared" si="386"/>
        <v>0</v>
      </c>
      <c r="CG301" s="9" t="s">
        <v>231</v>
      </c>
      <c r="CH301" s="132" t="str">
        <f>IF(Исходн.данные.!AP301=Расчет!$CI$16,"Нет",IF(Исходн.данные.!AL301&gt;0,Исходн.данные.!AL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BH$4,IF(OR(Исходн.данные.!AI301=Исходн.данные.!$AI$6,Исходн.данные.!AI301=Исходн.данные.!$AI$7),Расчет!BS301,IF(AND($CF301=0,$CE301&gt;0),EV301,ER301)))))</f>
        <v>Аммофос 12:52:00</v>
      </c>
      <c r="CI301" s="274">
        <f>IF(Расчет!$CH301="Нет","Нет",IF(Исходн.данные.!$AL301&gt;0,VLOOKUP(Расчет!$CH301,АшламаДВ_Irekle,2,FALSE),VLOOKUP(Расчет!$CH301,АшламаДВ_Gomumy,2,FALSE)))</f>
        <v>0.12</v>
      </c>
      <c r="CJ301" s="274">
        <f>IF(Расчет!$CH301="Нет","Нет",IF(Исходн.данные.!$AL301&gt;0,VLOOKUP(Расчет!$CH301,АшламаДВ_Irekle,3,FALSE),VLOOKUP(Расчет!$CH301,АшламаДВ_Gomumy,3,FALSE)))</f>
        <v>0.52</v>
      </c>
      <c r="CK301" s="274">
        <f>IF(Расчет!$CH301="Нет","Нет",IF(Исходн.данные.!$AL301&gt;0,VLOOKUP(Расчет!$CH301,АшламаДВ_Irekle,4,FALSE),VLOOKUP(Расчет!$CH301,АшламаДВ_Gomumy,4,FALSE)))</f>
        <v>0</v>
      </c>
      <c r="CL301" s="70"/>
      <c r="CM301" s="70"/>
      <c r="CN301" s="70"/>
      <c r="CO301" s="70"/>
      <c r="CP301" s="70"/>
      <c r="CQ301" s="70"/>
      <c r="CR301" s="10">
        <f t="shared" si="387"/>
        <v>0</v>
      </c>
      <c r="CS301" s="10">
        <f t="shared" si="388"/>
        <v>19.23076923076923</v>
      </c>
      <c r="CT301" s="10">
        <f t="shared" si="389"/>
        <v>0</v>
      </c>
      <c r="CU301" s="39">
        <f>IF($CH301="Нет",0,IF(CI301=0,30/MIN(CJ301:CK301),IF(Исходн.данные.!$AG301=$BV$11,CR301,IF(OR(Исходн.данные.!$AH301=$BQ$7,Исходн.данные.!$AH301=$BQ$8),90/CI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0,IF(Исходн.данные.!$AI301=$BU$11,"Нет",30/CI301))))))</f>
        <v>250</v>
      </c>
      <c r="CV301" s="39">
        <f>IF($CH301="Нет",0,IF(Исходн.данные.!AH301=0,0,IF(CJ301=0,60/MIN(CI301,CK301),IF(Исходн.данные.!$AG301=$BV$11,CS301,IF(OR(Исходн.данные.!$AH301=$BQ$7,Исходн.данные.!$AH301=$BQ$8),90/CJ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10/CJ301,IF(Исходн.данные.!$AI301=$BU$11,"Нет",60/CJ301)))))))</f>
        <v>0</v>
      </c>
      <c r="CW301" s="39">
        <f>IF($CH301="Нет",0,IF(Исходн.данные.!AH301=0,0,IF(CK301=0,30/MIN(CI301:CJ301),IF(Исходн.данные.!$AG301=$BV$11,CT301,IF(OR(Исходн.данные.!$AH301=$BQ$7,Исходн.данные.!$AH301=$BQ$8),90/CK301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0,IF(Исходн.данные.!$AI301=$BU$11,"Нет",30/CK301)))))))</f>
        <v>0</v>
      </c>
      <c r="CX301" s="133">
        <f>IF(Исходн.данные.!$AG301=$BV$11,MAX(CU301:CW301),IF(OR(Исходн.данные.!$AH301=$BS$8,Исходн.данные.!$AH301=$BQ$9,Исходн.данные.!$AH301=$BQ$10,Исходн.данные.!$AH301=$BQ$11,Исходн.данные.!$AH301=$BQ$12,Исходн.данные.!$AH301=$BP$3,Исходн.данные.!$AH301=$BT$8,$FM301="Да"),CV301,MIN(CU301:CW301)))</f>
        <v>0</v>
      </c>
      <c r="CY301" s="133">
        <f>IF(Исходн.данные.!AH301=0,0,IF(CR301&gt;$CX301,$CX301,CR301))</f>
        <v>0</v>
      </c>
      <c r="CZ301" s="133">
        <f>IF(Исходн.данные.!AH301=0,0,IF(CS301&gt;$CX301,$CX301,CS301))</f>
        <v>0</v>
      </c>
      <c r="DA301" s="133">
        <f>IF(Исходн.данные.!AH301=0,0,IF(CT301&gt;$CX301,$CX301,CT301))</f>
        <v>0</v>
      </c>
      <c r="DB301" s="10">
        <f t="shared" si="390"/>
        <v>0</v>
      </c>
      <c r="DC301" s="39">
        <f>DB301*Исходн.данные.!AJ301/1000</f>
        <v>0</v>
      </c>
      <c r="DD301" s="71">
        <f t="shared" si="391"/>
        <v>0</v>
      </c>
      <c r="DE301" s="9">
        <f t="shared" si="392"/>
        <v>0</v>
      </c>
      <c r="DF301" s="9">
        <f t="shared" si="393"/>
        <v>0</v>
      </c>
      <c r="DG301" s="39">
        <f>IF(BL301&lt;0,0,IF($CH301="Нет",BL301,IF(OR(Исходн.данные.!$AH301=$BP$1,Исходн.данные.!$AH301=$BP$2),0,IF(Исходн.данные.!AI301=$BU$11,BL301,IF(BL301-DD301&lt;0,0,BL301-DD301)))))</f>
        <v>0</v>
      </c>
      <c r="DH301" s="39">
        <f>IF(BM301&lt;0,0,IF($CH301="Нет",BM301,IF(OR(Исходн.данные.!$AH301=$BP$1,Исходн.данные.!$AH301=$BP$2),0,IF(Исходн.данные.!AJ301=$BU$11,BM301,IF(BM301-DE301&lt;0,0,BM301-DE301)))))</f>
        <v>0</v>
      </c>
      <c r="DI301" s="39">
        <f>IF(BN301&lt;0,0,IF($CH301="Нет",BN301,IF(OR(Исходн.данные.!$AH301=$BP$1,Исходн.данные.!$AH301=$BP$2),0,IF(Исходн.данные.!AK301=$BU$11,BN301,IF(BN301-DF301&lt;0,0,BN301-DF301)))))</f>
        <v>0</v>
      </c>
      <c r="DJ301" s="12">
        <f t="shared" si="394"/>
        <v>0</v>
      </c>
      <c r="DK301" s="9">
        <f t="shared" si="395"/>
        <v>0</v>
      </c>
      <c r="DL301" s="39">
        <f>IF(Исходн.данные.!AM301&gt;0,Исходн.данные.!AM301,IF(EG301&gt;0,$BH$10,0))</f>
        <v>0</v>
      </c>
      <c r="DM301" s="186">
        <f>IF($DL301=0,0,IF(Исходн.данные.!AM301&gt;0,VLOOKUP($DL301,АшламаДВ_Irekle,2,FALSE),VLOOKUP($DL301,АшламаДВ_Gomumy,2,FALSE)))</f>
        <v>0</v>
      </c>
      <c r="DN301" s="10">
        <f t="shared" si="373"/>
        <v>0</v>
      </c>
      <c r="DO301" s="9" t="str">
        <f>IF(Исходн.данные.!AN301&gt;0,Исходн.данные.!AN301,Удобрения!$B$37 )</f>
        <v>Хлор.калий</v>
      </c>
      <c r="DP301" s="9">
        <f>IF(Исходн.данные.!AN301&gt;0,VLOOKUP(Исходн.данные.!AN301,АшламаДВ_Irekle,4,FALSE),VLOOKUP(DO301,АшламаДВ_Gomumy,4,FALSE))</f>
        <v>0.6</v>
      </c>
      <c r="DQ301" s="10">
        <f t="shared" si="374"/>
        <v>0</v>
      </c>
      <c r="DR301" s="132" t="str">
        <f>IF(Исходн.данные.!AO301&gt;0,Исходн.данные.!AO301,IF(DH301=0,BS$17,IF(AND($DK301=0,$DJ301&gt;0),EJ301,EN301)))</f>
        <v>Нет</v>
      </c>
      <c r="DS301" s="70" t="str">
        <f>IF($DR301="Нет","Нет",IF(Исходн.данные.!$AO301&gt;0,VLOOKUP($DR301,АшламаДВ_Irekle,2,FALSE),VLOOKUP($DR301,АшламаДВ_Gomumy,2,FALSE)))</f>
        <v>Нет</v>
      </c>
      <c r="DT301" s="70" t="str">
        <f>IF($DR301="Нет","Нет",IF(Исходн.данные.!$AO301&gt;0,VLOOKUP($DR301,АшламаДВ_Irekle,3,FALSE),VLOOKUP($DR301,АшламаДВ_Gomumy,3,FALSE)))</f>
        <v>Нет</v>
      </c>
      <c r="DU301" s="70" t="str">
        <f>IF($DR301="Нет","Нет",IF(Исходн.данные.!$AO301&gt;0,VLOOKUP($DR301,АшламаДВ_Irekle,4,FALSE),VLOOKUP($DR301,АшламаДВ_Gomumy,4,FALSE)))</f>
        <v>Нет</v>
      </c>
      <c r="DV301" s="70"/>
      <c r="DW301" s="70"/>
      <c r="DX301" s="70"/>
      <c r="DY301" s="10">
        <f t="shared" si="396"/>
        <v>0</v>
      </c>
      <c r="DZ301" s="10">
        <f t="shared" si="397"/>
        <v>0</v>
      </c>
      <c r="EA301" s="10">
        <f t="shared" si="398"/>
        <v>0</v>
      </c>
      <c r="EB301" s="10">
        <f t="shared" si="399"/>
        <v>0</v>
      </c>
      <c r="EC301" s="10">
        <f t="shared" si="400"/>
        <v>0</v>
      </c>
      <c r="ED301" s="10">
        <f t="shared" si="401"/>
        <v>0</v>
      </c>
      <c r="EE301" s="10">
        <f t="shared" si="402"/>
        <v>0</v>
      </c>
      <c r="EF301" s="39">
        <f>EB301*Исходн.данные.!AJ301/1000</f>
        <v>0</v>
      </c>
      <c r="EG301" s="9">
        <f t="shared" si="403"/>
        <v>0</v>
      </c>
      <c r="EH301" s="9">
        <f t="shared" si="404"/>
        <v>0</v>
      </c>
      <c r="EI301" s="39" t="e">
        <f t="shared" si="354"/>
        <v>#DIV/0!</v>
      </c>
      <c r="EJ301" s="9" t="str">
        <f t="shared" si="375"/>
        <v>Азопреципитат</v>
      </c>
      <c r="EK301" s="12">
        <f t="shared" si="355"/>
        <v>0.26</v>
      </c>
      <c r="EL301" s="12">
        <f t="shared" si="356"/>
        <v>0.13</v>
      </c>
      <c r="EM301" s="12">
        <f t="shared" si="357"/>
        <v>0</v>
      </c>
      <c r="EN301" s="12" t="str">
        <f t="shared" si="376"/>
        <v>Нет</v>
      </c>
      <c r="EO301" s="12">
        <f t="shared" si="358"/>
        <v>0</v>
      </c>
      <c r="EP301" s="12">
        <f t="shared" si="359"/>
        <v>0</v>
      </c>
      <c r="EQ301" s="12">
        <f t="shared" si="360"/>
        <v>0</v>
      </c>
      <c r="ER301" s="12" t="str">
        <f t="shared" si="405"/>
        <v>Диаммофоска</v>
      </c>
      <c r="ES301" s="12">
        <f t="shared" si="361"/>
        <v>0.1</v>
      </c>
      <c r="ET301" s="12">
        <f t="shared" si="362"/>
        <v>0.26</v>
      </c>
      <c r="EU301" s="12">
        <f t="shared" si="363"/>
        <v>0.26</v>
      </c>
      <c r="EV301" s="12" t="str">
        <f t="shared" si="406"/>
        <v>Аммофос 12:52:00</v>
      </c>
      <c r="EW301" s="12" t="str">
        <f t="shared" si="407"/>
        <v>Кемира Свекловичное-6</v>
      </c>
      <c r="EX301" s="12">
        <f t="shared" si="364"/>
        <v>0.16</v>
      </c>
      <c r="EY301" s="12">
        <f t="shared" si="365"/>
        <v>0.12</v>
      </c>
      <c r="EZ301" s="12">
        <f t="shared" si="366"/>
        <v>0.17</v>
      </c>
      <c r="FA301" s="38" t="e">
        <f>IF(AND(OR(FJ301=$FD$1,FM301=$FD$1,FO301=$FD$1,FQ301=$FD$1,FS301=$FD$1),FD301=$FD$1,Исходн.данные.!J301&lt;2,FU301=$FD$1),"Бор,Кобальт",IF(AND(FO301=$FD$1,FH301=$FD$1,Исходн.данные.!J301&lt;2,FU301=$FD$1),"Бор,Кобальт",IF(AND(OR(FJ301=$FD$1,FM301=$FD$1,FQ301=$FD$1),FE301=$FD$1,Исходн.данные.!J301&lt;2,FT301=$FD$1,FU301=$FD$1),"Бор,Медь,Цинк",IF(AND(OR(FJ301=$FD$1,FR301="Да"),FI301="Да",Исходн.данные.!J301&lt;2,FT301="Да",FU301="Да"),"Бор,Цинк,Медь",IF(AND(OR(FM301="Да",FQ301="Да"),FI301="Да",Исходн.данные.!J301&lt;2,FT301="Да",FU301="Да"),"Бор,Цинк",IF(AND(FN301="Да",OR(FD301="Да",FE301="Да")),"Бор",FB301))))))</f>
        <v>#N/A</v>
      </c>
      <c r="FB301" s="134" t="e">
        <f>IF(AND(OR(FD301="Да",FE301="Да",FF301="Да",FG301="Да",FH301="Да"),FO301="Да"),"Бор",IF(AND(FP301="Да",OR(FD301="Да",FE301="Да",FI301="Да")),"Бор",IF(AND(FS301="Да",FE301="Да"),"Бор,Медь",IF(AND(OR(FJ301="Да",FK301="Да",FL301="Да"),FE301="Да",Исходн.данные.!I301&lt;5,FT301="Да",FU301="Да"),"Молибден,Цинк",IF(AND(FM301="Да",OR(FE301="Да",FF301="Да",FG301="Да",FH301="Да",FI301="Да")),"Молибден,Цинк",IF(AND(OR(FJ301="Да",FK301="Да",FL301="Да",FM301="Да",FQ301="Да"),OR(FE301="Да",FF301="Да"),FT301="Да",FU301="Да",Исходн.данные.!I301&gt;5.5),"Медь,Цинк",FC301))))))</f>
        <v>#N/A</v>
      </c>
      <c r="FC301" s="23" t="e">
        <f t="shared" si="408"/>
        <v>#N/A</v>
      </c>
      <c r="FD301" s="38" t="str">
        <f>IF(OR(Исходн.данные.!F301=$CC$1,Исходн.данные.!F301=$CC$2,Исходн.данные.!F301=$CC$3,Исходн.данные.!F301=$CC$4),"Да","Нет")</f>
        <v>Нет</v>
      </c>
      <c r="FE301" s="38" t="str">
        <f>IF(Исходн.данные.!F301=$CC$5,"Да","Нет")</f>
        <v>Нет</v>
      </c>
      <c r="FF301" s="38" t="str">
        <f>IF(OR(Исходн.данные.!F301=$CC$6,Исходн.данные.!F301=$CC$7),"Да","Нет")</f>
        <v>Нет</v>
      </c>
      <c r="FG301" s="38" t="str">
        <f>IF(OR(Исходн.данные.!F301=$CC$8,Исходн.данные.!F301=$CC$9),"Да","Нет")</f>
        <v>Нет</v>
      </c>
      <c r="FH301" s="38" t="str">
        <f>IF(Исходн.данные.!F301=$CC$10,"Да","Нет")</f>
        <v>Нет</v>
      </c>
      <c r="FI301" s="38" t="str">
        <f>IF(OR(Исходн.данные.!F301=$CC$11,Исходн.данные.!F301=$CC$12),"Да","Нет")</f>
        <v>Нет</v>
      </c>
      <c r="FJ301" s="38" t="str">
        <f>IF(OR(Исходн.данные.!AH301=$BS$1,Исходн.данные.!AH301=$BQ$11,Исходн.данные.!AH301=$BQ$12),"Да","Нет")</f>
        <v>Нет</v>
      </c>
      <c r="FK301" s="38" t="str">
        <f>IF(OR(Исходн.данные.!AH301=$BS$2,Исходн.данные.!AH301=$BS$4),"Да","Нет")</f>
        <v>Нет</v>
      </c>
      <c r="FL301" s="38" t="str">
        <f>IF(OR(Исходн.данные.!AH301=$BS$3,Исходн.данные.!AH301=$BS$5),"Да","Нет")</f>
        <v>Нет</v>
      </c>
      <c r="FM301" s="38" t="str">
        <f>IF(OR(Исходн.данные.!AH301=$BS$9,Исходн.данные.!AH301=$BS$10,Исходн.данные.!AH301=$BS$11,Исходн.данные.!AH301=$BS$12),"Да","Нет")</f>
        <v>Нет</v>
      </c>
      <c r="FN301" s="38" t="str">
        <f>IF(OR(Исходн.данные.!AH301=$BS$6,Исходн.данные.!AH301=$BP$3),"Да","Нет")</f>
        <v>Нет</v>
      </c>
      <c r="FO301" s="38" t="str">
        <f>IF(Исходн.данные.!AH301=$BQ$9,"Да","Нет")</f>
        <v>Нет</v>
      </c>
      <c r="FP301" s="38" t="str">
        <f>IF(OR(Исходн.данные.!AH301=$BS$8,Исходн.данные.!AH301=$BT$8),"Да","Нет")</f>
        <v>Нет</v>
      </c>
      <c r="FQ301" s="38" t="str">
        <f>IF(OR(Исходн.данные.!AH301=$BQ$7,Исходн.данные.!AH301=$BQ$8),"Да","Нет")</f>
        <v>Нет</v>
      </c>
      <c r="FR301" s="38" t="str">
        <f>IF(Исходн.данные.!AI301=$BU$9,"Да","Нет")</f>
        <v>Нет</v>
      </c>
      <c r="FS301" s="38" t="str">
        <f>IF(OR(Исходн.данные.!AH301=$BP$1,Исходн.данные.!AH301=$BP$2),"Да","Нет")</f>
        <v>Нет</v>
      </c>
      <c r="FT301" s="38" t="e">
        <f>IF((Исходн.данные.!K301*GO301*GS301*GW301+BL301*0.6+Исходн.данные.!Q301*4.5*0.275)&gt;90,"Да","Нет")</f>
        <v>#N/A</v>
      </c>
      <c r="FU301" s="38" t="e">
        <f>IF((Исходн.данные.!M301*GS301*GZ301+BM301*0.225)&gt;35,"Да","Нет")</f>
        <v>#N/A</v>
      </c>
      <c r="FV301" s="38" t="str">
        <f>IF(Исходн.данные.!O301&gt;175,"Да","Нет")</f>
        <v>Нет</v>
      </c>
      <c r="FW301" s="39" t="str">
        <f>IF(Исходн.данные.!I301&gt;5.5,"Да","Нет")</f>
        <v>Нет</v>
      </c>
      <c r="FX301" s="39" t="str">
        <f>IF(Исходн.данные.!J301&lt;2,"Да","Нет")</f>
        <v>Да</v>
      </c>
      <c r="FY301" s="39" t="e">
        <f>IF(HF301=$FY$16,0,Исходн.данные.!K301*GO301*GS301*GW301/HF301)</f>
        <v>#N/A</v>
      </c>
      <c r="FZ301" s="39" t="e">
        <f>Исходн.данные.!M301*GS301*GZ301/HG301</f>
        <v>#N/A</v>
      </c>
      <c r="GA301" s="39" t="e">
        <f>IF(K_Wyn=$FY$16,0,IF(Исходн.данные.!N301=Исходн.данные.!$L$10,Исходн.данные.!O301/1.1*GS301*HC301/HH301,IF(Исходн.данные.!N301=Исходн.данные.!$L$12,Исходн.данные.!O301/1.5*GS301*HC301/HH301,Исходн.данные.!O301*GS301*HC301/HH301)))</f>
        <v>#N/A</v>
      </c>
      <c r="GB301" s="39" t="e">
        <f>IF(HF301=$FY$16,0,((Исходн.данные.!Q301*N_Org+Исходн.данные.!R301*N_Sider+Исходн.данные.!S301*N_Soloma)*AO301+Расчет!BC301*VLOOKUP(Исходн.данные.!T301,Справ!$A$3:$O$57,15)*AO301+BB301*VLOOKUP(Исходн.данные.!T301,Справ!$A$3:$O$57,15)*AL301+(Исходн.данные.!V301*N_Rizotorf+Исходн.данные.!W301*N_Rizoagr))/HF301)</f>
        <v>#N/A</v>
      </c>
      <c r="GC301" s="39" t="e">
        <f>IF(HG301=$FY$16,0,((Исходн.данные.!Q301*Р_Org+Исходн.данные.!R301*P_Sider+Исходн.данные.!S301*P_Soloma)*AP301+Расчет!BC301*VLOOKUP(Исходн.данные.!T301,Справ!$A$3:$P$57,16)*AP301+BB301*VLOOKUP(Исходн.данные.!T301,Справ!$A$3:$P$57,16)*AM301)/HG301)</f>
        <v>#N/A</v>
      </c>
      <c r="GD301" s="39" t="e">
        <f>IF(HH301=$FY$16,0,((Исходн.данные.!Q301*К_Org+Исходн.данные.!R301*K_Sider+Исходн.данные.!S301*K_Soloma)*AQ301+Расчет!BC301*VLOOKUP(Исходн.данные.!T301,Справ!$A$3:$Q$57,17)*AQ301+BB301*VLOOKUP(Исходн.данные.!T301,Справ!$A$3:$Q$57,17)*AN301)/HH301)</f>
        <v>#N/A</v>
      </c>
      <c r="GE301" s="39" t="e">
        <f>IF(HF301=$FY$16,0,(Исходн.данные.!X301*AR301+Исходн.данные.!AA301*N_Org*AL301+Исходн.данные.!AB301*N_Sider*AL301+Исходн.данные.!AC301*N_Soloma*AL301)/HF301)</f>
        <v>#N/A</v>
      </c>
      <c r="GF301" s="39" t="e">
        <f>IF(HG301=$FY$16,0,(Исходн.данные.!Y301*AS301+Исходн.данные.!AA301*Р_Org*AM301+Исходн.данные.!AB301*P_Sider*AM301+Исходн.данные.!AC301*P_Soloma*AM301)/HG301)</f>
        <v>#N/A</v>
      </c>
      <c r="GG301" s="39" t="e">
        <f>IF(HH301=$FY$16,0,(Исходн.данные.!Z301*AT301+Исходн.данные.!AA301*К_Org*AN301+Исходн.данные.!AB301*K_Sider*AN301+Исходн.данные.!AC301*K_Soloma*AN301)/HH301)</f>
        <v>#N/A</v>
      </c>
      <c r="GH301" s="39" t="e">
        <f>Исходн.данные.!AD301*AU301/HF301</f>
        <v>#N/A</v>
      </c>
      <c r="GI301" s="39" t="e">
        <f>Исходн.данные.!AE301*AV301/HG301</f>
        <v>#N/A</v>
      </c>
      <c r="GJ301" s="39" t="e">
        <f>Исходн.данные.!AF301*AW301/HH301</f>
        <v>#N/A</v>
      </c>
      <c r="GK301" s="55">
        <f>Исходн.данные.!AK301</f>
        <v>0</v>
      </c>
      <c r="GL301" s="11" t="e">
        <f t="shared" si="409"/>
        <v>#N/A</v>
      </c>
      <c r="GM301" s="11" t="e">
        <f t="shared" si="410"/>
        <v>#N/A</v>
      </c>
      <c r="GN301" s="11" t="e">
        <f t="shared" si="411"/>
        <v>#N/A</v>
      </c>
      <c r="GO301" s="57">
        <f t="shared" si="412"/>
        <v>19</v>
      </c>
      <c r="GP301" s="55">
        <f>IF(OR(Исходн.данные.!F301=$CE$1,Исходн.данные.!F301=$CE$2,Исходн.данные.!F301=$CE$3,Исходн.данные.!F301=$CE$4,Исходн.данные.!F301=$CE$5),GQ301,GR301)</f>
        <v>19</v>
      </c>
      <c r="GQ301" s="55">
        <f>IF(Исходн.данные.!F301=$CE$1,28,IF(Исходн.данные.!F301=$CE$2,26,IF(Исходн.данные.!F301=$CE$3,24,IF(Исходн.данные.!F301=$CE$4,22,IF(Исходн.данные.!F301=$CE$5,20,GR301)))))</f>
        <v>19</v>
      </c>
      <c r="GR301" s="55">
        <f>IF(Исходн.данные.!F301=$CE$6,18,IF(Исходн.данные.!F301=$CE$7,16,IF(Исходн.данные.!F301=$CE$8,14,IF(Исходн.данные.!F301=$CE$9,13,IF(Исходн.данные.!F301=$CE$10,12,19)))))</f>
        <v>19</v>
      </c>
      <c r="GS301" s="55">
        <f>IF(Исходн.данные.!G301="Пес",0.035*(40+2*Исходн.данные.!H301),IF(Исходн.данные.!G301="Суп",0.0325*(40+2*Исходн.данные.!H301),0.03*(40+2*Исходн.данные.!H301)))</f>
        <v>1.2</v>
      </c>
      <c r="GT301" s="55">
        <f>IF(Исходн.данные.!H301&lt;23,2.6,IF(AND(Исходн.данные.!H301&gt;22,Исходн.данные.!H301&lt;26),3,IF(AND(Исходн.данные.!H301&gt;25,Исходн.данные.!H301&lt;29),3.4,3.6)))</f>
        <v>2.6</v>
      </c>
      <c r="GU301" s="55">
        <f>IF(Исходн.данные.!H301&lt;23,2.8,IF(AND(Исходн.данные.!H301&gt;22,Исходн.данные.!H301&lt;26),3.2,IF(AND(Исходн.данные.!H301&gt;25,Исходн.данные.!H301&lt;29),3.6,3.9)))</f>
        <v>2.8</v>
      </c>
      <c r="GV301" s="55">
        <f>IF(Исходн.данные.!H301&lt;23,3,IF(AND(Исходн.данные.!H301&gt;22,Исходн.данные.!H301&lt;26),3.5,IF(AND(Исходн.данные.!H301&gt;25,Исходн.данные.!H301&lt;29),3.9,4.2)))</f>
        <v>3</v>
      </c>
      <c r="GW301" s="55" t="e">
        <f>IF(Исходн.данные.!P301="Ум",GX301,GY301)</f>
        <v>#N/A</v>
      </c>
      <c r="GX301" s="55" t="e">
        <f>VLOOKUP(Исходн.данные.!AI301,Коэффициенты!$J$7:$L$13,2,FALSE)</f>
        <v>#N/A</v>
      </c>
      <c r="GY301" s="55" t="e">
        <f>VLOOKUP(Исходн.данные.!AI301,Коэффициенты!$J$7:$L$13,3,FALSE)</f>
        <v>#N/A</v>
      </c>
      <c r="GZ301" s="55" t="e">
        <f>(IF(Исходн.данные.!M301&lt;50,0.11*VLOOKUP(Исходн.данные.!AH301,Культуры.Информация,7,FALSE),IF(Исходн.данные.!M301&gt;250,0.05*VLOOKUP(Исходн.данные.!AH301,Культуры.Информация,7,FALSE),VLOOKUP(Исходн.данные.!AH301,Культуры.Информация,5,FALSE)/100*($GX$6+$GY$6*Исходн.данные.!M301))))*Расчет2!AI301</f>
        <v>#N/A</v>
      </c>
      <c r="HA301" s="211"/>
      <c r="HB301" s="211"/>
      <c r="HC301" s="55" t="e">
        <f>(IF(Исходн.данные.!O301&lt;80,0.2*VLOOKUP(Исходн.данные.!AH301,Культуры.Информация,8,FALSE),IF(Исходн.данные.!O301&gt;240,0.09*VLOOKUP(Исходн.данные.!AH301,Культуры.Информация,8,FALSE),VLOOKUP(Исходн.данные.!AH301,Культуры.Информация,6,FALSE)/100*($HB$6+$HC$6*Исходн.данные.!O301))))*Расчет2!AJ301</f>
        <v>#N/A</v>
      </c>
      <c r="HD301" s="55">
        <f>IF(Исходн.данные.!O301&gt;240,0.09,IF(Исходн.данные.!O301&lt;30,0.3,$HE$10+$HD$10*Исходн.данные.!O301))</f>
        <v>0.3</v>
      </c>
      <c r="HE301" s="55">
        <f>IF(Исходн.данные.!O301&gt;240,0.17,IF(Исходн.данные.!O301&lt;30,0.5,$HF$12+$HE$12*Исходн.данные.!O301))</f>
        <v>0.5</v>
      </c>
      <c r="HF301" s="55" t="e">
        <f>VLOOKUP(Исходн.данные.!AH301,Справ!$A$3:$D$58,2,FALSE)</f>
        <v>#N/A</v>
      </c>
      <c r="HG301" s="55" t="e">
        <f>VLOOKUP(Исходн.данные.!AH301,Справ!$A$3:$D$58,3,FALSE)</f>
        <v>#N/A</v>
      </c>
      <c r="HH301" s="55" t="e">
        <f>VLOOKUP(Исходн.данные.!AH301,Справ!$A$3:$D$58,4,FALSE)</f>
        <v>#N/A</v>
      </c>
      <c r="HI301" s="11" t="e">
        <f t="shared" si="413"/>
        <v>#N/A</v>
      </c>
      <c r="HJ301" s="11" t="e">
        <f t="shared" si="414"/>
        <v>#N/A</v>
      </c>
      <c r="HK301" s="11" t="e">
        <f t="shared" si="415"/>
        <v>#N/A</v>
      </c>
      <c r="HL301" s="55">
        <f>IF(OR(Исходн.данные.!G301="Глин",Исходн.данные.!G301="Т_суг"),1.1,IF(Исходн.данные.!G301="Ср_суг",1,1))</f>
        <v>1</v>
      </c>
      <c r="HM301" s="55">
        <f>IF(OR(Исходн.данные.!G301="Глин",Исходн.данные.!G301="Т_суг"),0.9,IF(Исходн.данные.!G301="Ср_суг",1,1.2))</f>
        <v>1.2</v>
      </c>
      <c r="HN301" s="11" t="e">
        <f t="shared" si="416"/>
        <v>#N/A</v>
      </c>
      <c r="HO301" s="11" t="e">
        <f t="shared" si="417"/>
        <v>#N/A</v>
      </c>
      <c r="HP301" s="11" t="e">
        <f t="shared" si="418"/>
        <v>#N/A</v>
      </c>
      <c r="HQ301" t="e">
        <f t="shared" si="419"/>
        <v>#N/A</v>
      </c>
      <c r="HR301" t="e">
        <f t="shared" si="420"/>
        <v>#N/A</v>
      </c>
      <c r="HS301" t="e">
        <f t="shared" si="421"/>
        <v>#N/A</v>
      </c>
      <c r="HT301" t="e">
        <f t="shared" si="367"/>
        <v>#N/A</v>
      </c>
      <c r="HU301" t="e">
        <f t="shared" si="368"/>
        <v>#N/A</v>
      </c>
      <c r="HV301" t="e">
        <f t="shared" si="369"/>
        <v>#N/A</v>
      </c>
      <c r="HW301" t="e">
        <f t="shared" si="370"/>
        <v>#N/A</v>
      </c>
      <c r="HX301" t="e">
        <f t="shared" si="371"/>
        <v>#N/A</v>
      </c>
      <c r="HY301" t="e">
        <f t="shared" si="372"/>
        <v>#N/A</v>
      </c>
      <c r="HZ301" s="55">
        <f>IF(OR(Исходн.данные.!AI301="Оз_Ч_П",Исходн.данные.!AI301="Оз_З_П",Исходн.данные.!AI301="Яр_зер"),12,30)</f>
        <v>30</v>
      </c>
      <c r="IA301" t="e">
        <f t="shared" si="422"/>
        <v>#N/A</v>
      </c>
      <c r="IB301" t="e">
        <f t="shared" si="423"/>
        <v>#N/A</v>
      </c>
      <c r="IC301" t="e">
        <f t="shared" si="424"/>
        <v>#N/A</v>
      </c>
      <c r="ID301" s="11" t="e">
        <f t="shared" si="425"/>
        <v>#N/A</v>
      </c>
      <c r="IE301" s="11" t="e">
        <f t="shared" si="426"/>
        <v>#N/A</v>
      </c>
      <c r="IF301" s="11" t="e">
        <f t="shared" si="427"/>
        <v>#N/A</v>
      </c>
    </row>
    <row r="302" spans="35:240" x14ac:dyDescent="0.2">
      <c r="AI302">
        <f>IF(Исходн.данные.!I302&gt;6,1,1.85-(0.148*Исходн.данные.!I302))</f>
        <v>1.85</v>
      </c>
      <c r="AJ302">
        <f>IF(Исходн.данные.!I302&gt;6,1,2.434-(0.246*Исходн.данные.!I302))</f>
        <v>2.4340000000000002</v>
      </c>
      <c r="AL302" s="148" t="b">
        <f>IF(Исходн.данные.!$P302="Ум",N_OrgUd_2g_um,IF(Исходн.данные.!$P302="Об",N_OrgUd_2g_ob))</f>
        <v>0</v>
      </c>
      <c r="AM302" s="148" t="b">
        <f>IF(Исходн.данные.!$P302="Ум",P_OrgUd_2g_um,IF(Исходн.данные.!$P302="Об",P_OrgUd_2g_ob))</f>
        <v>0</v>
      </c>
      <c r="AN302" s="148" t="b">
        <f>IF(Исходн.данные.!$P302="Ум",K_OrgUd_2g_um,IF(Исходн.данные.!$P302="Об",K_OrgUd_2g_ob))</f>
        <v>0</v>
      </c>
      <c r="AO302" s="148" t="b">
        <f>IF(Исходн.данные.!$P302="Ум",N_OrgUd_1g_um,IF(Исходн.данные.!$P302="Об",N_OrgUd_1g_ob))</f>
        <v>0</v>
      </c>
      <c r="AP302" s="148" t="b">
        <f>IF(Исходн.данные.!$P302="Ум",P_OrgUd_1g_um,IF(Исходн.данные.!$P302="Об",P_OrgUd_1g_ob))</f>
        <v>0</v>
      </c>
      <c r="AQ302" s="148" t="b">
        <f>IF(Исходн.данные.!$P302="Ум",K_OrgUd_1g_um,IF(Исходн.данные.!$P302="Об",K_OrgUd_1g_ob))</f>
        <v>0</v>
      </c>
      <c r="AR302" t="b">
        <f>IF(Исходн.данные.!$P302="Ум",N_MinUd_2g_um,IF(Исходн.данные.!$P302="Об",N_MinUd_2g_ob))</f>
        <v>0</v>
      </c>
      <c r="AS302" t="b">
        <f>IF(Исходн.данные.!$P302="Ум",P_MinUd_2g_um,IF(Исходн.данные.!$P302="Об",P_MinUd_2g_ob))</f>
        <v>0</v>
      </c>
      <c r="AT302" t="b">
        <f>IF(Исходн.данные.!$P302="Ум",K_MinUd_2g_um,IF(Исходн.данные.!$P302="Об",K_MinUd_2g_ob))</f>
        <v>0</v>
      </c>
      <c r="AU302" t="b">
        <f>IF(Исходн.данные.!$P302="Ум",N_MinUd_1g_um,IF(Исходн.данные.!$P302="Об",N_MinUd_1g_ob))</f>
        <v>0</v>
      </c>
      <c r="AV302" t="b">
        <f>IF(Исходн.данные.!P302="Ум",P_MinUd_1g_um,IF(Исходн.данные.!P302="Об",P_MinUd_1g_ob))</f>
        <v>0</v>
      </c>
      <c r="AW302" t="b">
        <f>IF(Исходн.данные.!P302="Ум",K_MinUd_1g_um,IF(Исходн.данные.!P302="Об",K_MinUd_1g_ob))</f>
        <v>0</v>
      </c>
      <c r="AY302" t="e">
        <f>VLOOKUP(Исходн.данные.!T302,Справ!$A$3:$N$57,12)</f>
        <v>#N/A</v>
      </c>
      <c r="AZ302" t="e">
        <f>VLOOKUP(Исходн.данные.!T302,Справ!$A$3:$N$57,13)</f>
        <v>#N/A</v>
      </c>
      <c r="BA302" t="e">
        <f>VLOOKUP(Исходн.данные.!T302,Справ!$A$3:$N$57,14)</f>
        <v>#N/A</v>
      </c>
      <c r="BB302">
        <f>IF(Исходн.данные.!AH302=0,0,25)</f>
        <v>0</v>
      </c>
      <c r="BC302" s="141">
        <f>IF(Исходн.данные.!AH302=0,0,IF(Исходн.данные.!T302=0,25,BD302))</f>
        <v>0</v>
      </c>
      <c r="BD302" s="168" t="e">
        <f>AY302+AZ302*Исходн.данные.!U302-POWER(BA302,2)*Исходн.данные.!U302</f>
        <v>#N/A</v>
      </c>
      <c r="BE30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2" s="25">
        <f>IF(Исходн.данные.!AH302=0,0,MIN(HN302:HP302))</f>
        <v>0</v>
      </c>
      <c r="BG302" s="9">
        <f>IF(Исходн.данные.!AH302=0,0,IF((HO302+10*0.25/HG302/HL302)&lt;17,17,HO302+10*0.25/HG302/HL302))</f>
        <v>0</v>
      </c>
      <c r="BH302" s="181">
        <f>IF(Исходн.данные.!AH302=0,0,HW302*HF302*HL302/AU302*AI302+Исходн.данные.!S302*10)</f>
        <v>0</v>
      </c>
      <c r="BI302" s="10"/>
      <c r="BJ302" s="182">
        <f>IF(Исходн.данные.!AH302=0,0,IF(HX302*HG302*HL302/AV302&lt;0,0,HX302*HG302*HL302/AV302*AJ302))</f>
        <v>0</v>
      </c>
      <c r="BK302" s="182">
        <f>IF(Исходн.данные.!AH302=0,0,HY302*HH302*HM302/AW302)</f>
        <v>0</v>
      </c>
      <c r="BL302" s="10">
        <f>IF(OR(Исходн.данные.!$AH302=$BP$1,Исходн.данные.!$AH302=$BP$2),0,IF(BH302&lt;0,0,IF(OR(Исходн.данные.!T302=Расчет!$BP$1,Исходн.данные.!T302=Расчет!$BP$2,Исходн.данные.!T302=Расчет!$BT$5,Исходн.данные.!T302=Расчет!$BT$6),BH302*0.5,IF(OR(Исходн.данные.!T302=Расчет!$BS$9,Исходн.данные.!T302=Расчет!$BS$10,Исходн.данные.!T302=Расчет!$BS$11,Исходн.данные.!T302=Расчет!$BS$12,Исходн.данные.!T302=Расчет!$BP$5),BH302*0.8,BH302))))</f>
        <v>0</v>
      </c>
      <c r="BM302" s="10">
        <f>IF(OR(Исходн.данные.!$AH302=$BP$1,Исходн.данные.!$AH302=$BP$2),0,IF(BJ302&lt;0,0,IF(Исходн.данные.!I302&lt;4.5,BJ302*1.2,IF(Исходн.данные.!I302&gt;5.1,BJ302,BJ302*((5.1-Исходн.данные.!I302)*0.333+1)))))</f>
        <v>0</v>
      </c>
      <c r="BN302" s="10">
        <f>IF(OR(Исходн.данные.!$AH302=$BP$1,Исходн.данные.!$AH302=$BP$2),60-Исходн.данные.!AF302,IF(BK302&lt;0,0,IF(Исходн.данные.!I302&lt;4.5,BK302*1.2,IF(Исходн.данные.!I302&gt;5.1,BK302,BK302*((5.1-Исходн.данные.!I302)*0.333+1)))))</f>
        <v>0</v>
      </c>
      <c r="BO302" s="9">
        <f>IF(BL302&lt;0,0,BL302*Исходн.данные.!$AJ302/1000)</f>
        <v>0</v>
      </c>
      <c r="BP302" s="9">
        <f>IF(BM302&lt;0,0,BM302*Исходн.данные.!$AJ302/1000)</f>
        <v>0</v>
      </c>
      <c r="BQ302" s="9">
        <f>IF(BN302&lt;0,0,BN302*Исходн.данные.!$AJ302/1000)</f>
        <v>0</v>
      </c>
      <c r="BR302" s="9">
        <f t="shared" si="377"/>
        <v>0</v>
      </c>
      <c r="BS302" s="10" t="str">
        <f t="shared" si="378"/>
        <v>Аммофос 12:52:00</v>
      </c>
      <c r="BT302" s="10" t="str">
        <f t="shared" si="379"/>
        <v>Аммофос 12:52:00</v>
      </c>
      <c r="BU302" s="10" t="str">
        <f t="shared" si="380"/>
        <v>Диаммофоска</v>
      </c>
      <c r="BV302" s="10">
        <f t="shared" si="381"/>
        <v>0</v>
      </c>
      <c r="BW302" s="10"/>
      <c r="BX302" s="10"/>
      <c r="BY302" s="9">
        <f>IF(BL302&lt;0,0,IF(OR(Исходн.данные.!AI302=Расчет!$BU$6,Исходн.данные.!AI302=Расчет!$BU$7),Расчет!BV302,IF(Исходн.данные.!$AG302=$BV$11,BL302,IF(OR(Исходн.данные.!$AH302=$BQ$7,Исходн.данные.!$AH302=$BQ$8),CB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0,IF(Исходн.данные.!$AI302=$BU$11,"Нет",IF(BL302&gt;30,30,BL302)))))))</f>
        <v>0</v>
      </c>
      <c r="BZ302" s="9">
        <f>IF(AND(Исходн.данные.!$AG302=$BV$11,BM302&lt;10),10,IF(Исходн.данные.!$AG302=$BV$11,BM302,IF(OR(Исходн.данные.!$AH302=$BQ$7,Исходн.данные.!$AH302=$BQ$8),CC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10,IF(Исходн.данные.!$AI302=$BU$11,"Нет",IF(BM302&gt;60,60,IF(BM302&lt;10,10,BM302)))))))</f>
        <v>10</v>
      </c>
      <c r="CA302" s="39">
        <f>IF(BN302&lt;0,0,IF(Исходн.данные.!$AG302=$BV$11,BN302,IF(OR(Исходн.данные.!$AH302=$BQ$7,Исходн.данные.!$AH302=$BQ$8),CD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0,IF(Исходн.данные.!$AI302=$BU$11,"Нет",IF(BN302&gt;30,30,BN302))))))</f>
        <v>0</v>
      </c>
      <c r="CB302" s="9">
        <f t="shared" si="382"/>
        <v>0</v>
      </c>
      <c r="CC302" s="9">
        <f t="shared" si="383"/>
        <v>0</v>
      </c>
      <c r="CD302" s="9">
        <f t="shared" si="384"/>
        <v>0</v>
      </c>
      <c r="CE302" s="12">
        <f t="shared" si="385"/>
        <v>10</v>
      </c>
      <c r="CF302" s="9">
        <f t="shared" si="386"/>
        <v>0</v>
      </c>
      <c r="CG302" s="9" t="s">
        <v>231</v>
      </c>
      <c r="CH302" s="132" t="str">
        <f>IF(Исходн.данные.!AP302=Расчет!$CI$16,"Нет",IF(Исходн.данные.!AL302&gt;0,Исходн.данные.!AL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BH$4,IF(OR(Исходн.данные.!AI302=Исходн.данные.!$AI$6,Исходн.данные.!AI302=Исходн.данные.!$AI$7),Расчет!BS302,IF(AND($CF302=0,$CE302&gt;0),EV302,ER302)))))</f>
        <v>Аммофос 12:52:00</v>
      </c>
      <c r="CI302" s="274">
        <f>IF(Расчет!$CH302="Нет","Нет",IF(Исходн.данные.!$AL302&gt;0,VLOOKUP(Расчет!$CH302,АшламаДВ_Irekle,2,FALSE),VLOOKUP(Расчет!$CH302,АшламаДВ_Gomumy,2,FALSE)))</f>
        <v>0.12</v>
      </c>
      <c r="CJ302" s="274">
        <f>IF(Расчет!$CH302="Нет","Нет",IF(Исходн.данные.!$AL302&gt;0,VLOOKUP(Расчет!$CH302,АшламаДВ_Irekle,3,FALSE),VLOOKUP(Расчет!$CH302,АшламаДВ_Gomumy,3,FALSE)))</f>
        <v>0.52</v>
      </c>
      <c r="CK302" s="274">
        <f>IF(Расчет!$CH302="Нет","Нет",IF(Исходн.данные.!$AL302&gt;0,VLOOKUP(Расчет!$CH302,АшламаДВ_Irekle,4,FALSE),VLOOKUP(Расчет!$CH302,АшламаДВ_Gomumy,4,FALSE)))</f>
        <v>0</v>
      </c>
      <c r="CL302" s="70"/>
      <c r="CM302" s="70"/>
      <c r="CN302" s="70"/>
      <c r="CO302" s="70"/>
      <c r="CP302" s="70"/>
      <c r="CQ302" s="70"/>
      <c r="CR302" s="10">
        <f t="shared" si="387"/>
        <v>0</v>
      </c>
      <c r="CS302" s="10">
        <f t="shared" si="388"/>
        <v>19.23076923076923</v>
      </c>
      <c r="CT302" s="10">
        <f t="shared" si="389"/>
        <v>0</v>
      </c>
      <c r="CU302" s="39">
        <f>IF($CH302="Нет",0,IF(CI302=0,30/MIN(CJ302:CK302),IF(Исходн.данные.!$AG302=$BV$11,CR302,IF(OR(Исходн.данные.!$AH302=$BQ$7,Исходн.данные.!$AH302=$BQ$8),90/CI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0,IF(Исходн.данные.!$AI302=$BU$11,"Нет",30/CI302))))))</f>
        <v>250</v>
      </c>
      <c r="CV302" s="39">
        <f>IF($CH302="Нет",0,IF(Исходн.данные.!AH302=0,0,IF(CJ302=0,60/MIN(CI302,CK302),IF(Исходн.данные.!$AG302=$BV$11,CS302,IF(OR(Исходн.данные.!$AH302=$BQ$7,Исходн.данные.!$AH302=$BQ$8),90/CJ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10/CJ302,IF(Исходн.данные.!$AI302=$BU$11,"Нет",60/CJ302)))))))</f>
        <v>0</v>
      </c>
      <c r="CW302" s="39">
        <f>IF($CH302="Нет",0,IF(Исходн.данные.!AH302=0,0,IF(CK302=0,30/MIN(CI302:CJ302),IF(Исходн.данные.!$AG302=$BV$11,CT302,IF(OR(Исходн.данные.!$AH302=$BQ$7,Исходн.данные.!$AH302=$BQ$8),90/CK302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0,IF(Исходн.данные.!$AI302=$BU$11,"Нет",30/CK302)))))))</f>
        <v>0</v>
      </c>
      <c r="CX302" s="133">
        <f>IF(Исходн.данные.!$AG302=$BV$11,MAX(CU302:CW302),IF(OR(Исходн.данные.!$AH302=$BS$8,Исходн.данные.!$AH302=$BQ$9,Исходн.данные.!$AH302=$BQ$10,Исходн.данные.!$AH302=$BQ$11,Исходн.данные.!$AH302=$BQ$12,Исходн.данные.!$AH302=$BP$3,Исходн.данные.!$AH302=$BT$8,$FM302="Да"),CV302,MIN(CU302:CW302)))</f>
        <v>0</v>
      </c>
      <c r="CY302" s="133">
        <f>IF(Исходн.данные.!AH302=0,0,IF(CR302&gt;$CX302,$CX302,CR302))</f>
        <v>0</v>
      </c>
      <c r="CZ302" s="133">
        <f>IF(Исходн.данные.!AH302=0,0,IF(CS302&gt;$CX302,$CX302,CS302))</f>
        <v>0</v>
      </c>
      <c r="DA302" s="133">
        <f>IF(Исходн.данные.!AH302=0,0,IF(CT302&gt;$CX302,$CX302,CT302))</f>
        <v>0</v>
      </c>
      <c r="DB302" s="10">
        <f t="shared" si="390"/>
        <v>0</v>
      </c>
      <c r="DC302" s="39">
        <f>DB302*Исходн.данные.!AJ302/1000</f>
        <v>0</v>
      </c>
      <c r="DD302" s="71">
        <f t="shared" si="391"/>
        <v>0</v>
      </c>
      <c r="DE302" s="9">
        <f t="shared" si="392"/>
        <v>0</v>
      </c>
      <c r="DF302" s="9">
        <f t="shared" si="393"/>
        <v>0</v>
      </c>
      <c r="DG302" s="39">
        <f>IF(BL302&lt;0,0,IF($CH302="Нет",BL302,IF(OR(Исходн.данные.!$AH302=$BP$1,Исходн.данные.!$AH302=$BP$2),0,IF(Исходн.данные.!AI302=$BU$11,BL302,IF(BL302-DD302&lt;0,0,BL302-DD302)))))</f>
        <v>0</v>
      </c>
      <c r="DH302" s="39">
        <f>IF(BM302&lt;0,0,IF($CH302="Нет",BM302,IF(OR(Исходн.данные.!$AH302=$BP$1,Исходн.данные.!$AH302=$BP$2),0,IF(Исходн.данные.!AJ302=$BU$11,BM302,IF(BM302-DE302&lt;0,0,BM302-DE302)))))</f>
        <v>0</v>
      </c>
      <c r="DI302" s="39">
        <f>IF(BN302&lt;0,0,IF($CH302="Нет",BN302,IF(OR(Исходн.данные.!$AH302=$BP$1,Исходн.данные.!$AH302=$BP$2),0,IF(Исходн.данные.!AK302=$BU$11,BN302,IF(BN302-DF302&lt;0,0,BN302-DF302)))))</f>
        <v>0</v>
      </c>
      <c r="DJ302" s="12">
        <f t="shared" si="394"/>
        <v>0</v>
      </c>
      <c r="DK302" s="9">
        <f t="shared" si="395"/>
        <v>0</v>
      </c>
      <c r="DL302" s="39">
        <f>IF(Исходн.данные.!AM302&gt;0,Исходн.данные.!AM302,IF(EG302&gt;0,$BH$10,0))</f>
        <v>0</v>
      </c>
      <c r="DM302" s="186">
        <f>IF($DL302=0,0,IF(Исходн.данные.!AM302&gt;0,VLOOKUP($DL302,АшламаДВ_Irekle,2,FALSE),VLOOKUP($DL302,АшламаДВ_Gomumy,2,FALSE)))</f>
        <v>0</v>
      </c>
      <c r="DN302" s="10">
        <f t="shared" si="373"/>
        <v>0</v>
      </c>
      <c r="DO302" s="9" t="str">
        <f>IF(Исходн.данные.!AN302&gt;0,Исходн.данные.!AN302,Удобрения!$B$37 )</f>
        <v>Хлор.калий</v>
      </c>
      <c r="DP302" s="9">
        <f>IF(Исходн.данные.!AN302&gt;0,VLOOKUP(Исходн.данные.!AN302,АшламаДВ_Irekle,4,FALSE),VLOOKUP(DO302,АшламаДВ_Gomumy,4,FALSE))</f>
        <v>0.6</v>
      </c>
      <c r="DQ302" s="10">
        <f t="shared" si="374"/>
        <v>0</v>
      </c>
      <c r="DR302" s="132" t="str">
        <f>IF(Исходн.данные.!AO302&gt;0,Исходн.данные.!AO302,IF(DH302=0,BS$17,IF(AND($DK302=0,$DJ302&gt;0),EJ302,EN302)))</f>
        <v>Нет</v>
      </c>
      <c r="DS302" s="70" t="str">
        <f>IF($DR302="Нет","Нет",IF(Исходн.данные.!$AO302&gt;0,VLOOKUP($DR302,АшламаДВ_Irekle,2,FALSE),VLOOKUP($DR302,АшламаДВ_Gomumy,2,FALSE)))</f>
        <v>Нет</v>
      </c>
      <c r="DT302" s="70" t="str">
        <f>IF($DR302="Нет","Нет",IF(Исходн.данные.!$AO302&gt;0,VLOOKUP($DR302,АшламаДВ_Irekle,3,FALSE),VLOOKUP($DR302,АшламаДВ_Gomumy,3,FALSE)))</f>
        <v>Нет</v>
      </c>
      <c r="DU302" s="70" t="str">
        <f>IF($DR302="Нет","Нет",IF(Исходн.данные.!$AO302&gt;0,VLOOKUP($DR302,АшламаДВ_Irekle,4,FALSE),VLOOKUP($DR302,АшламаДВ_Gomumy,4,FALSE)))</f>
        <v>Нет</v>
      </c>
      <c r="DV302" s="70"/>
      <c r="DW302" s="70"/>
      <c r="DX302" s="70"/>
      <c r="DY302" s="10">
        <f t="shared" si="396"/>
        <v>0</v>
      </c>
      <c r="DZ302" s="10">
        <f t="shared" si="397"/>
        <v>0</v>
      </c>
      <c r="EA302" s="10">
        <f t="shared" si="398"/>
        <v>0</v>
      </c>
      <c r="EB302" s="10">
        <f t="shared" si="399"/>
        <v>0</v>
      </c>
      <c r="EC302" s="10">
        <f t="shared" si="400"/>
        <v>0</v>
      </c>
      <c r="ED302" s="10">
        <f t="shared" si="401"/>
        <v>0</v>
      </c>
      <c r="EE302" s="10">
        <f t="shared" si="402"/>
        <v>0</v>
      </c>
      <c r="EF302" s="39">
        <f>EB302*Исходн.данные.!AJ302/1000</f>
        <v>0</v>
      </c>
      <c r="EG302" s="9">
        <f t="shared" si="403"/>
        <v>0</v>
      </c>
      <c r="EH302" s="9">
        <f t="shared" si="404"/>
        <v>0</v>
      </c>
      <c r="EI302" s="39" t="e">
        <f t="shared" si="354"/>
        <v>#DIV/0!</v>
      </c>
      <c r="EJ302" s="9" t="str">
        <f t="shared" si="375"/>
        <v>Азопреципитат</v>
      </c>
      <c r="EK302" s="12">
        <f t="shared" si="355"/>
        <v>0.26</v>
      </c>
      <c r="EL302" s="12">
        <f t="shared" si="356"/>
        <v>0.13</v>
      </c>
      <c r="EM302" s="12">
        <f t="shared" si="357"/>
        <v>0</v>
      </c>
      <c r="EN302" s="12" t="str">
        <f t="shared" si="376"/>
        <v>Нет</v>
      </c>
      <c r="EO302" s="12">
        <f t="shared" si="358"/>
        <v>0</v>
      </c>
      <c r="EP302" s="12">
        <f t="shared" si="359"/>
        <v>0</v>
      </c>
      <c r="EQ302" s="12">
        <f t="shared" si="360"/>
        <v>0</v>
      </c>
      <c r="ER302" s="12" t="str">
        <f t="shared" si="405"/>
        <v>Диаммофоска</v>
      </c>
      <c r="ES302" s="12">
        <f t="shared" si="361"/>
        <v>0.1</v>
      </c>
      <c r="ET302" s="12">
        <f t="shared" si="362"/>
        <v>0.26</v>
      </c>
      <c r="EU302" s="12">
        <f t="shared" si="363"/>
        <v>0.26</v>
      </c>
      <c r="EV302" s="12" t="str">
        <f t="shared" si="406"/>
        <v>Аммофос 12:52:00</v>
      </c>
      <c r="EW302" s="12" t="str">
        <f t="shared" si="407"/>
        <v>Кемира Свекловичное-6</v>
      </c>
      <c r="EX302" s="12">
        <f t="shared" si="364"/>
        <v>0.16</v>
      </c>
      <c r="EY302" s="12">
        <f t="shared" si="365"/>
        <v>0.12</v>
      </c>
      <c r="EZ302" s="12">
        <f t="shared" si="366"/>
        <v>0.17</v>
      </c>
      <c r="FA302" s="38" t="e">
        <f>IF(AND(OR(FJ302=$FD$1,FM302=$FD$1,FO302=$FD$1,FQ302=$FD$1,FS302=$FD$1),FD302=$FD$1,Исходн.данные.!J302&lt;2,FU302=$FD$1),"Бор,Кобальт",IF(AND(FO302=$FD$1,FH302=$FD$1,Исходн.данные.!J302&lt;2,FU302=$FD$1),"Бор,Кобальт",IF(AND(OR(FJ302=$FD$1,FM302=$FD$1,FQ302=$FD$1),FE302=$FD$1,Исходн.данные.!J302&lt;2,FT302=$FD$1,FU302=$FD$1),"Бор,Медь,Цинк",IF(AND(OR(FJ302=$FD$1,FR302="Да"),FI302="Да",Исходн.данные.!J302&lt;2,FT302="Да",FU302="Да"),"Бор,Цинк,Медь",IF(AND(OR(FM302="Да",FQ302="Да"),FI302="Да",Исходн.данные.!J302&lt;2,FT302="Да",FU302="Да"),"Бор,Цинк",IF(AND(FN302="Да",OR(FD302="Да",FE302="Да")),"Бор",FB302))))))</f>
        <v>#N/A</v>
      </c>
      <c r="FB302" s="134" t="e">
        <f>IF(AND(OR(FD302="Да",FE302="Да",FF302="Да",FG302="Да",FH302="Да"),FO302="Да"),"Бор",IF(AND(FP302="Да",OR(FD302="Да",FE302="Да",FI302="Да")),"Бор",IF(AND(FS302="Да",FE302="Да"),"Бор,Медь",IF(AND(OR(FJ302="Да",FK302="Да",FL302="Да"),FE302="Да",Исходн.данные.!I302&lt;5,FT302="Да",FU302="Да"),"Молибден,Цинк",IF(AND(FM302="Да",OR(FE302="Да",FF302="Да",FG302="Да",FH302="Да",FI302="Да")),"Молибден,Цинк",IF(AND(OR(FJ302="Да",FK302="Да",FL302="Да",FM302="Да",FQ302="Да"),OR(FE302="Да",FF302="Да"),FT302="Да",FU302="Да",Исходн.данные.!I302&gt;5.5),"Медь,Цинк",FC302))))))</f>
        <v>#N/A</v>
      </c>
      <c r="FC302" s="23" t="e">
        <f t="shared" si="408"/>
        <v>#N/A</v>
      </c>
      <c r="FD302" s="38" t="str">
        <f>IF(OR(Исходн.данные.!F302=$CC$1,Исходн.данные.!F302=$CC$2,Исходн.данные.!F302=$CC$3,Исходн.данные.!F302=$CC$4),"Да","Нет")</f>
        <v>Нет</v>
      </c>
      <c r="FE302" s="38" t="str">
        <f>IF(Исходн.данные.!F302=$CC$5,"Да","Нет")</f>
        <v>Нет</v>
      </c>
      <c r="FF302" s="38" t="str">
        <f>IF(OR(Исходн.данные.!F302=$CC$6,Исходн.данные.!F302=$CC$7),"Да","Нет")</f>
        <v>Нет</v>
      </c>
      <c r="FG302" s="38" t="str">
        <f>IF(OR(Исходн.данные.!F302=$CC$8,Исходн.данные.!F302=$CC$9),"Да","Нет")</f>
        <v>Нет</v>
      </c>
      <c r="FH302" s="38" t="str">
        <f>IF(Исходн.данные.!F302=$CC$10,"Да","Нет")</f>
        <v>Нет</v>
      </c>
      <c r="FI302" s="38" t="str">
        <f>IF(OR(Исходн.данные.!F302=$CC$11,Исходн.данные.!F302=$CC$12),"Да","Нет")</f>
        <v>Нет</v>
      </c>
      <c r="FJ302" s="38" t="str">
        <f>IF(OR(Исходн.данные.!AH302=$BS$1,Исходн.данные.!AH302=$BQ$11,Исходн.данные.!AH302=$BQ$12),"Да","Нет")</f>
        <v>Нет</v>
      </c>
      <c r="FK302" s="38" t="str">
        <f>IF(OR(Исходн.данные.!AH302=$BS$2,Исходн.данные.!AH302=$BS$4),"Да","Нет")</f>
        <v>Нет</v>
      </c>
      <c r="FL302" s="38" t="str">
        <f>IF(OR(Исходн.данные.!AH302=$BS$3,Исходн.данные.!AH302=$BS$5),"Да","Нет")</f>
        <v>Нет</v>
      </c>
      <c r="FM302" s="38" t="str">
        <f>IF(OR(Исходн.данные.!AH302=$BS$9,Исходн.данные.!AH302=$BS$10,Исходн.данные.!AH302=$BS$11,Исходн.данные.!AH302=$BS$12),"Да","Нет")</f>
        <v>Нет</v>
      </c>
      <c r="FN302" s="38" t="str">
        <f>IF(OR(Исходн.данные.!AH302=$BS$6,Исходн.данные.!AH302=$BP$3),"Да","Нет")</f>
        <v>Нет</v>
      </c>
      <c r="FO302" s="38" t="str">
        <f>IF(Исходн.данные.!AH302=$BQ$9,"Да","Нет")</f>
        <v>Нет</v>
      </c>
      <c r="FP302" s="38" t="str">
        <f>IF(OR(Исходн.данные.!AH302=$BS$8,Исходн.данные.!AH302=$BT$8),"Да","Нет")</f>
        <v>Нет</v>
      </c>
      <c r="FQ302" s="38" t="str">
        <f>IF(OR(Исходн.данные.!AH302=$BQ$7,Исходн.данные.!AH302=$BQ$8),"Да","Нет")</f>
        <v>Нет</v>
      </c>
      <c r="FR302" s="38" t="str">
        <f>IF(Исходн.данные.!AI302=$BU$9,"Да","Нет")</f>
        <v>Нет</v>
      </c>
      <c r="FS302" s="38" t="str">
        <f>IF(OR(Исходн.данные.!AH302=$BP$1,Исходн.данные.!AH302=$BP$2),"Да","Нет")</f>
        <v>Нет</v>
      </c>
      <c r="FT302" s="38" t="e">
        <f>IF((Исходн.данные.!K302*GO302*GS302*GW302+BL302*0.6+Исходн.данные.!Q302*4.5*0.275)&gt;90,"Да","Нет")</f>
        <v>#N/A</v>
      </c>
      <c r="FU302" s="38" t="e">
        <f>IF((Исходн.данные.!M302*GS302*GZ302+BM302*0.225)&gt;35,"Да","Нет")</f>
        <v>#N/A</v>
      </c>
      <c r="FV302" s="38" t="str">
        <f>IF(Исходн.данные.!O302&gt;175,"Да","Нет")</f>
        <v>Нет</v>
      </c>
      <c r="FW302" s="39" t="str">
        <f>IF(Исходн.данные.!I302&gt;5.5,"Да","Нет")</f>
        <v>Нет</v>
      </c>
      <c r="FX302" s="39" t="str">
        <f>IF(Исходн.данные.!J302&lt;2,"Да","Нет")</f>
        <v>Да</v>
      </c>
      <c r="FY302" s="39" t="e">
        <f>IF(HF302=$FY$16,0,Исходн.данные.!K302*GO302*GS302*GW302/HF302)</f>
        <v>#N/A</v>
      </c>
      <c r="FZ302" s="39" t="e">
        <f>Исходн.данные.!M302*GS302*GZ302/HG302</f>
        <v>#N/A</v>
      </c>
      <c r="GA302" s="39" t="e">
        <f>IF(K_Wyn=$FY$16,0,IF(Исходн.данные.!N302=Исходн.данные.!$L$10,Исходн.данные.!O302/1.1*GS302*HC302/HH302,IF(Исходн.данные.!N302=Исходн.данные.!$L$12,Исходн.данные.!O302/1.5*GS302*HC302/HH302,Исходн.данные.!O302*GS302*HC302/HH302)))</f>
        <v>#N/A</v>
      </c>
      <c r="GB302" s="39" t="e">
        <f>IF(HF302=$FY$16,0,((Исходн.данные.!Q302*N_Org+Исходн.данные.!R302*N_Sider+Исходн.данные.!S302*N_Soloma)*AO302+Расчет!BC302*VLOOKUP(Исходн.данные.!T302,Справ!$A$3:$O$57,15)*AO302+BB302*VLOOKUP(Исходн.данные.!T302,Справ!$A$3:$O$57,15)*AL302+(Исходн.данные.!V302*N_Rizotorf+Исходн.данные.!W302*N_Rizoagr))/HF302)</f>
        <v>#N/A</v>
      </c>
      <c r="GC302" s="39" t="e">
        <f>IF(HG302=$FY$16,0,((Исходн.данные.!Q302*Р_Org+Исходн.данные.!R302*P_Sider+Исходн.данные.!S302*P_Soloma)*AP302+Расчет!BC302*VLOOKUP(Исходн.данные.!T302,Справ!$A$3:$P$57,16)*AP302+BB302*VLOOKUP(Исходн.данные.!T302,Справ!$A$3:$P$57,16)*AM302)/HG302)</f>
        <v>#N/A</v>
      </c>
      <c r="GD302" s="39" t="e">
        <f>IF(HH302=$FY$16,0,((Исходн.данные.!Q302*К_Org+Исходн.данные.!R302*K_Sider+Исходн.данные.!S302*K_Soloma)*AQ302+Расчет!BC302*VLOOKUP(Исходн.данные.!T302,Справ!$A$3:$Q$57,17)*AQ302+BB302*VLOOKUP(Исходн.данные.!T302,Справ!$A$3:$Q$57,17)*AN302)/HH302)</f>
        <v>#N/A</v>
      </c>
      <c r="GE302" s="39" t="e">
        <f>IF(HF302=$FY$16,0,(Исходн.данные.!X302*AR302+Исходн.данные.!AA302*N_Org*AL302+Исходн.данные.!AB302*N_Sider*AL302+Исходн.данные.!AC302*N_Soloma*AL302)/HF302)</f>
        <v>#N/A</v>
      </c>
      <c r="GF302" s="39" t="e">
        <f>IF(HG302=$FY$16,0,(Исходн.данные.!Y302*AS302+Исходн.данные.!AA302*Р_Org*AM302+Исходн.данные.!AB302*P_Sider*AM302+Исходн.данные.!AC302*P_Soloma*AM302)/HG302)</f>
        <v>#N/A</v>
      </c>
      <c r="GG302" s="39" t="e">
        <f>IF(HH302=$FY$16,0,(Исходн.данные.!Z302*AT302+Исходн.данные.!AA302*К_Org*AN302+Исходн.данные.!AB302*K_Sider*AN302+Исходн.данные.!AC302*K_Soloma*AN302)/HH302)</f>
        <v>#N/A</v>
      </c>
      <c r="GH302" s="39" t="e">
        <f>Исходн.данные.!AD302*AU302/HF302</f>
        <v>#N/A</v>
      </c>
      <c r="GI302" s="39" t="e">
        <f>Исходн.данные.!AE302*AV302/HG302</f>
        <v>#N/A</v>
      </c>
      <c r="GJ302" s="39" t="e">
        <f>Исходн.данные.!AF302*AW302/HH302</f>
        <v>#N/A</v>
      </c>
      <c r="GK302" s="55">
        <f>Исходн.данные.!AK302</f>
        <v>0</v>
      </c>
      <c r="GL302" s="11" t="e">
        <f t="shared" si="409"/>
        <v>#N/A</v>
      </c>
      <c r="GM302" s="11" t="e">
        <f t="shared" si="410"/>
        <v>#N/A</v>
      </c>
      <c r="GN302" s="11" t="e">
        <f t="shared" si="411"/>
        <v>#N/A</v>
      </c>
      <c r="GO302" s="57">
        <f t="shared" si="412"/>
        <v>19</v>
      </c>
      <c r="GP302" s="55">
        <f>IF(OR(Исходн.данные.!F302=$CE$1,Исходн.данные.!F302=$CE$2,Исходн.данные.!F302=$CE$3,Исходн.данные.!F302=$CE$4,Исходн.данные.!F302=$CE$5),GQ302,GR302)</f>
        <v>19</v>
      </c>
      <c r="GQ302" s="55">
        <f>IF(Исходн.данные.!F302=$CE$1,28,IF(Исходн.данные.!F302=$CE$2,26,IF(Исходн.данные.!F302=$CE$3,24,IF(Исходн.данные.!F302=$CE$4,22,IF(Исходн.данные.!F302=$CE$5,20,GR302)))))</f>
        <v>19</v>
      </c>
      <c r="GR302" s="55">
        <f>IF(Исходн.данные.!F302=$CE$6,18,IF(Исходн.данные.!F302=$CE$7,16,IF(Исходн.данные.!F302=$CE$8,14,IF(Исходн.данные.!F302=$CE$9,13,IF(Исходн.данные.!F302=$CE$10,12,19)))))</f>
        <v>19</v>
      </c>
      <c r="GS302" s="55">
        <f>IF(Исходн.данные.!G302="Пес",0.035*(40+2*Исходн.данные.!H302),IF(Исходн.данные.!G302="Суп",0.0325*(40+2*Исходн.данные.!H302),0.03*(40+2*Исходн.данные.!H302)))</f>
        <v>1.2</v>
      </c>
      <c r="GT302" s="55">
        <f>IF(Исходн.данные.!H302&lt;23,2.6,IF(AND(Исходн.данные.!H302&gt;22,Исходн.данные.!H302&lt;26),3,IF(AND(Исходн.данные.!H302&gt;25,Исходн.данные.!H302&lt;29),3.4,3.6)))</f>
        <v>2.6</v>
      </c>
      <c r="GU302" s="55">
        <f>IF(Исходн.данные.!H302&lt;23,2.8,IF(AND(Исходн.данные.!H302&gt;22,Исходн.данные.!H302&lt;26),3.2,IF(AND(Исходн.данные.!H302&gt;25,Исходн.данные.!H302&lt;29),3.6,3.9)))</f>
        <v>2.8</v>
      </c>
      <c r="GV302" s="55">
        <f>IF(Исходн.данные.!H302&lt;23,3,IF(AND(Исходн.данные.!H302&gt;22,Исходн.данные.!H302&lt;26),3.5,IF(AND(Исходн.данные.!H302&gt;25,Исходн.данные.!H302&lt;29),3.9,4.2)))</f>
        <v>3</v>
      </c>
      <c r="GW302" s="55" t="e">
        <f>IF(Исходн.данные.!P302="Ум",GX302,GY302)</f>
        <v>#N/A</v>
      </c>
      <c r="GX302" s="55" t="e">
        <f>VLOOKUP(Исходн.данные.!AI302,Коэффициенты!$J$7:$L$13,2,FALSE)</f>
        <v>#N/A</v>
      </c>
      <c r="GY302" s="55" t="e">
        <f>VLOOKUP(Исходн.данные.!AI302,Коэффициенты!$J$7:$L$13,3,FALSE)</f>
        <v>#N/A</v>
      </c>
      <c r="GZ302" s="55" t="e">
        <f>(IF(Исходн.данные.!M302&lt;50,0.11*VLOOKUP(Исходн.данные.!AH302,Культуры.Информация,7,FALSE),IF(Исходн.данные.!M302&gt;250,0.05*VLOOKUP(Исходн.данные.!AH302,Культуры.Информация,7,FALSE),VLOOKUP(Исходн.данные.!AH302,Культуры.Информация,5,FALSE)/100*($GX$6+$GY$6*Исходн.данные.!M302))))*Расчет2!AI302</f>
        <v>#N/A</v>
      </c>
      <c r="HA302" s="211"/>
      <c r="HB302" s="211"/>
      <c r="HC302" s="55" t="e">
        <f>(IF(Исходн.данные.!O302&lt;80,0.2*VLOOKUP(Исходн.данные.!AH302,Культуры.Информация,8,FALSE),IF(Исходн.данные.!O302&gt;240,0.09*VLOOKUP(Исходн.данные.!AH302,Культуры.Информация,8,FALSE),VLOOKUP(Исходн.данные.!AH302,Культуры.Информация,6,FALSE)/100*($HB$6+$HC$6*Исходн.данные.!O302))))*Расчет2!AJ302</f>
        <v>#N/A</v>
      </c>
      <c r="HD302" s="55">
        <f>IF(Исходн.данные.!O302&gt;240,0.09,IF(Исходн.данные.!O302&lt;30,0.3,$HE$10+$HD$10*Исходн.данные.!O302))</f>
        <v>0.3</v>
      </c>
      <c r="HE302" s="55">
        <f>IF(Исходн.данные.!O302&gt;240,0.17,IF(Исходн.данные.!O302&lt;30,0.5,$HF$12+$HE$12*Исходн.данные.!O302))</f>
        <v>0.5</v>
      </c>
      <c r="HF302" s="55" t="e">
        <f>VLOOKUP(Исходн.данные.!AH302,Справ!$A$3:$D$58,2,FALSE)</f>
        <v>#N/A</v>
      </c>
      <c r="HG302" s="55" t="e">
        <f>VLOOKUP(Исходн.данные.!AH302,Справ!$A$3:$D$58,3,FALSE)</f>
        <v>#N/A</v>
      </c>
      <c r="HH302" s="55" t="e">
        <f>VLOOKUP(Исходн.данные.!AH302,Справ!$A$3:$D$58,4,FALSE)</f>
        <v>#N/A</v>
      </c>
      <c r="HI302" s="11" t="e">
        <f t="shared" si="413"/>
        <v>#N/A</v>
      </c>
      <c r="HJ302" s="11" t="e">
        <f t="shared" si="414"/>
        <v>#N/A</v>
      </c>
      <c r="HK302" s="11" t="e">
        <f t="shared" si="415"/>
        <v>#N/A</v>
      </c>
      <c r="HL302" s="55">
        <f>IF(OR(Исходн.данные.!G302="Глин",Исходн.данные.!G302="Т_суг"),1.1,IF(Исходн.данные.!G302="Ср_суг",1,1))</f>
        <v>1</v>
      </c>
      <c r="HM302" s="55">
        <f>IF(OR(Исходн.данные.!G302="Глин",Исходн.данные.!G302="Т_суг"),0.9,IF(Исходн.данные.!G302="Ср_суг",1,1.2))</f>
        <v>1.2</v>
      </c>
      <c r="HN302" s="11" t="e">
        <f t="shared" si="416"/>
        <v>#N/A</v>
      </c>
      <c r="HO302" s="11" t="e">
        <f t="shared" si="417"/>
        <v>#N/A</v>
      </c>
      <c r="HP302" s="11" t="e">
        <f t="shared" si="418"/>
        <v>#N/A</v>
      </c>
      <c r="HQ302" t="e">
        <f t="shared" si="419"/>
        <v>#N/A</v>
      </c>
      <c r="HR302" t="e">
        <f t="shared" si="420"/>
        <v>#N/A</v>
      </c>
      <c r="HS302" t="e">
        <f t="shared" si="421"/>
        <v>#N/A</v>
      </c>
      <c r="HT302" t="e">
        <f t="shared" si="367"/>
        <v>#N/A</v>
      </c>
      <c r="HU302" t="e">
        <f t="shared" si="368"/>
        <v>#N/A</v>
      </c>
      <c r="HV302" t="e">
        <f t="shared" si="369"/>
        <v>#N/A</v>
      </c>
      <c r="HW302" t="e">
        <f t="shared" si="370"/>
        <v>#N/A</v>
      </c>
      <c r="HX302" t="e">
        <f t="shared" si="371"/>
        <v>#N/A</v>
      </c>
      <c r="HY302" t="e">
        <f t="shared" si="372"/>
        <v>#N/A</v>
      </c>
      <c r="HZ302" s="55">
        <f>IF(OR(Исходн.данные.!AI302="Оз_Ч_П",Исходн.данные.!AI302="Оз_З_П",Исходн.данные.!AI302="Яр_зер"),12,30)</f>
        <v>30</v>
      </c>
      <c r="IA302" t="e">
        <f t="shared" si="422"/>
        <v>#N/A</v>
      </c>
      <c r="IB302" t="e">
        <f t="shared" si="423"/>
        <v>#N/A</v>
      </c>
      <c r="IC302" t="e">
        <f t="shared" si="424"/>
        <v>#N/A</v>
      </c>
      <c r="ID302" s="11" t="e">
        <f t="shared" si="425"/>
        <v>#N/A</v>
      </c>
      <c r="IE302" s="11" t="e">
        <f t="shared" si="426"/>
        <v>#N/A</v>
      </c>
      <c r="IF302" s="11" t="e">
        <f t="shared" si="427"/>
        <v>#N/A</v>
      </c>
    </row>
    <row r="303" spans="35:240" x14ac:dyDescent="0.2">
      <c r="AI303">
        <f>IF(Исходн.данные.!I303&gt;6,1,1.85-(0.148*Исходн.данные.!I303))</f>
        <v>1.85</v>
      </c>
      <c r="AJ303">
        <f>IF(Исходн.данные.!I303&gt;6,1,2.434-(0.246*Исходн.данные.!I303))</f>
        <v>2.4340000000000002</v>
      </c>
      <c r="AL303" s="148" t="b">
        <f>IF(Исходн.данные.!$P303="Ум",N_OrgUd_2g_um,IF(Исходн.данные.!$P303="Об",N_OrgUd_2g_ob))</f>
        <v>0</v>
      </c>
      <c r="AM303" s="148" t="b">
        <f>IF(Исходн.данные.!$P303="Ум",P_OrgUd_2g_um,IF(Исходн.данные.!$P303="Об",P_OrgUd_2g_ob))</f>
        <v>0</v>
      </c>
      <c r="AN303" s="148" t="b">
        <f>IF(Исходн.данные.!$P303="Ум",K_OrgUd_2g_um,IF(Исходн.данные.!$P303="Об",K_OrgUd_2g_ob))</f>
        <v>0</v>
      </c>
      <c r="AO303" s="148" t="b">
        <f>IF(Исходн.данные.!$P303="Ум",N_OrgUd_1g_um,IF(Исходн.данные.!$P303="Об",N_OrgUd_1g_ob))</f>
        <v>0</v>
      </c>
      <c r="AP303" s="148" t="b">
        <f>IF(Исходн.данные.!$P303="Ум",P_OrgUd_1g_um,IF(Исходн.данные.!$P303="Об",P_OrgUd_1g_ob))</f>
        <v>0</v>
      </c>
      <c r="AQ303" s="148" t="b">
        <f>IF(Исходн.данные.!$P303="Ум",K_OrgUd_1g_um,IF(Исходн.данные.!$P303="Об",K_OrgUd_1g_ob))</f>
        <v>0</v>
      </c>
      <c r="AR303" t="b">
        <f>IF(Исходн.данные.!$P303="Ум",N_MinUd_2g_um,IF(Исходн.данные.!$P303="Об",N_MinUd_2g_ob))</f>
        <v>0</v>
      </c>
      <c r="AS303" t="b">
        <f>IF(Исходн.данные.!$P303="Ум",P_MinUd_2g_um,IF(Исходн.данные.!$P303="Об",P_MinUd_2g_ob))</f>
        <v>0</v>
      </c>
      <c r="AT303" t="b">
        <f>IF(Исходн.данные.!$P303="Ум",K_MinUd_2g_um,IF(Исходн.данные.!$P303="Об",K_MinUd_2g_ob))</f>
        <v>0</v>
      </c>
      <c r="AU303" t="b">
        <f>IF(Исходн.данные.!$P303="Ум",N_MinUd_1g_um,IF(Исходн.данные.!$P303="Об",N_MinUd_1g_ob))</f>
        <v>0</v>
      </c>
      <c r="AV303" t="b">
        <f>IF(Исходн.данные.!P303="Ум",P_MinUd_1g_um,IF(Исходн.данные.!P303="Об",P_MinUd_1g_ob))</f>
        <v>0</v>
      </c>
      <c r="AW303" t="b">
        <f>IF(Исходн.данные.!P303="Ум",K_MinUd_1g_um,IF(Исходн.данные.!P303="Об",K_MinUd_1g_ob))</f>
        <v>0</v>
      </c>
      <c r="AY303" t="e">
        <f>VLOOKUP(Исходн.данные.!T303,Справ!$A$3:$N$57,12)</f>
        <v>#N/A</v>
      </c>
      <c r="AZ303" t="e">
        <f>VLOOKUP(Исходн.данные.!T303,Справ!$A$3:$N$57,13)</f>
        <v>#N/A</v>
      </c>
      <c r="BA303" t="e">
        <f>VLOOKUP(Исходн.данные.!T303,Справ!$A$3:$N$57,14)</f>
        <v>#N/A</v>
      </c>
      <c r="BB303">
        <f>IF(Исходн.данные.!AH303=0,0,25)</f>
        <v>0</v>
      </c>
      <c r="BC303" s="141">
        <f>IF(Исходн.данные.!AH303=0,0,IF(Исходн.данные.!T303=0,25,BD303))</f>
        <v>0</v>
      </c>
      <c r="BD303" s="168" t="e">
        <f>AY303+AZ303*Исходн.данные.!U303-POWER(BA303,2)*Исходн.данные.!U303</f>
        <v>#N/A</v>
      </c>
      <c r="BE30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3" s="25">
        <f>IF(Исходн.данные.!AH303=0,0,MIN(HN303:HP303))</f>
        <v>0</v>
      </c>
      <c r="BG303" s="9">
        <f>IF(Исходн.данные.!AH303=0,0,IF((HO303+10*0.25/HG303/HL303)&lt;17,17,HO303+10*0.25/HG303/HL303))</f>
        <v>0</v>
      </c>
      <c r="BH303" s="181">
        <f>IF(Исходн.данные.!AH303=0,0,HW303*HF303*HL303/AU303*AI303+Исходн.данные.!S303*10)</f>
        <v>0</v>
      </c>
      <c r="BI303" s="10"/>
      <c r="BJ303" s="182">
        <f>IF(Исходн.данные.!AH303=0,0,IF(HX303*HG303*HL303/AV303&lt;0,0,HX303*HG303*HL303/AV303*AJ303))</f>
        <v>0</v>
      </c>
      <c r="BK303" s="182">
        <f>IF(Исходн.данные.!AH303=0,0,HY303*HH303*HM303/AW303)</f>
        <v>0</v>
      </c>
      <c r="BL303" s="10">
        <f>IF(OR(Исходн.данные.!$AH303=$BP$1,Исходн.данные.!$AH303=$BP$2),0,IF(BH303&lt;0,0,IF(OR(Исходн.данные.!T303=Расчет!$BP$1,Исходн.данные.!T303=Расчет!$BP$2,Исходн.данные.!T303=Расчет!$BT$5,Исходн.данные.!T303=Расчет!$BT$6),BH303*0.5,IF(OR(Исходн.данные.!T303=Расчет!$BS$9,Исходн.данные.!T303=Расчет!$BS$10,Исходн.данные.!T303=Расчет!$BS$11,Исходн.данные.!T303=Расчет!$BS$12,Исходн.данные.!T303=Расчет!$BP$5),BH303*0.8,BH303))))</f>
        <v>0</v>
      </c>
      <c r="BM303" s="10">
        <f>IF(OR(Исходн.данные.!$AH303=$BP$1,Исходн.данные.!$AH303=$BP$2),0,IF(BJ303&lt;0,0,IF(Исходн.данные.!I303&lt;4.5,BJ303*1.2,IF(Исходн.данные.!I303&gt;5.1,BJ303,BJ303*((5.1-Исходн.данные.!I303)*0.333+1)))))</f>
        <v>0</v>
      </c>
      <c r="BN303" s="10">
        <f>IF(OR(Исходн.данные.!$AH303=$BP$1,Исходн.данные.!$AH303=$BP$2),60-Исходн.данные.!AF303,IF(BK303&lt;0,0,IF(Исходн.данные.!I303&lt;4.5,BK303*1.2,IF(Исходн.данные.!I303&gt;5.1,BK303,BK303*((5.1-Исходн.данные.!I303)*0.333+1)))))</f>
        <v>0</v>
      </c>
      <c r="BO303" s="9">
        <f>IF(BL303&lt;0,0,BL303*Исходн.данные.!$AJ303/1000)</f>
        <v>0</v>
      </c>
      <c r="BP303" s="9">
        <f>IF(BM303&lt;0,0,BM303*Исходн.данные.!$AJ303/1000)</f>
        <v>0</v>
      </c>
      <c r="BQ303" s="9">
        <f>IF(BN303&lt;0,0,BN303*Исходн.данные.!$AJ303/1000)</f>
        <v>0</v>
      </c>
      <c r="BR303" s="9">
        <f t="shared" si="377"/>
        <v>0</v>
      </c>
      <c r="BS303" s="10" t="str">
        <f t="shared" si="378"/>
        <v>Аммофос 12:52:00</v>
      </c>
      <c r="BT303" s="10" t="str">
        <f t="shared" si="379"/>
        <v>Аммофос 12:52:00</v>
      </c>
      <c r="BU303" s="10" t="str">
        <f t="shared" si="380"/>
        <v>Диаммофоска</v>
      </c>
      <c r="BV303" s="10">
        <f t="shared" si="381"/>
        <v>0</v>
      </c>
      <c r="BW303" s="10"/>
      <c r="BX303" s="10"/>
      <c r="BY303" s="9">
        <f>IF(BL303&lt;0,0,IF(OR(Исходн.данные.!AI303=Расчет!$BU$6,Исходн.данные.!AI303=Расчет!$BU$7),Расчет!BV303,IF(Исходн.данные.!$AG303=$BV$11,BL303,IF(OR(Исходн.данные.!$AH303=$BQ$7,Исходн.данные.!$AH303=$BQ$8),CB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0,IF(Исходн.данные.!$AI303=$BU$11,"Нет",IF(BL303&gt;30,30,BL303)))))))</f>
        <v>0</v>
      </c>
      <c r="BZ303" s="9">
        <f>IF(AND(Исходн.данные.!$AG303=$BV$11,BM303&lt;10),10,IF(Исходн.данные.!$AG303=$BV$11,BM303,IF(OR(Исходн.данные.!$AH303=$BQ$7,Исходн.данные.!$AH303=$BQ$8),CC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10,IF(Исходн.данные.!$AI303=$BU$11,"Нет",IF(BM303&gt;60,60,IF(BM303&lt;10,10,BM303)))))))</f>
        <v>10</v>
      </c>
      <c r="CA303" s="39">
        <f>IF(BN303&lt;0,0,IF(Исходн.данные.!$AG303=$BV$11,BN303,IF(OR(Исходн.данные.!$AH303=$BQ$7,Исходн.данные.!$AH303=$BQ$8),CD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0,IF(Исходн.данные.!$AI303=$BU$11,"Нет",IF(BN303&gt;30,30,BN303))))))</f>
        <v>0</v>
      </c>
      <c r="CB303" s="9">
        <f t="shared" si="382"/>
        <v>0</v>
      </c>
      <c r="CC303" s="9">
        <f t="shared" si="383"/>
        <v>0</v>
      </c>
      <c r="CD303" s="9">
        <f t="shared" si="384"/>
        <v>0</v>
      </c>
      <c r="CE303" s="12">
        <f t="shared" si="385"/>
        <v>10</v>
      </c>
      <c r="CF303" s="9">
        <f t="shared" si="386"/>
        <v>0</v>
      </c>
      <c r="CG303" s="9" t="s">
        <v>231</v>
      </c>
      <c r="CH303" s="132" t="str">
        <f>IF(Исходн.данные.!AP303=Расчет!$CI$16,"Нет",IF(Исходн.данные.!AL303&gt;0,Исходн.данные.!AL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BH$4,IF(OR(Исходн.данные.!AI303=Исходн.данные.!$AI$6,Исходн.данные.!AI303=Исходн.данные.!$AI$7),Расчет!BS303,IF(AND($CF303=0,$CE303&gt;0),EV303,ER303)))))</f>
        <v>Аммофос 12:52:00</v>
      </c>
      <c r="CI303" s="274">
        <f>IF(Расчет!$CH303="Нет","Нет",IF(Исходн.данные.!$AL303&gt;0,VLOOKUP(Расчет!$CH303,АшламаДВ_Irekle,2,FALSE),VLOOKUP(Расчет!$CH303,АшламаДВ_Gomumy,2,FALSE)))</f>
        <v>0.12</v>
      </c>
      <c r="CJ303" s="274">
        <f>IF(Расчет!$CH303="Нет","Нет",IF(Исходн.данные.!$AL303&gt;0,VLOOKUP(Расчет!$CH303,АшламаДВ_Irekle,3,FALSE),VLOOKUP(Расчет!$CH303,АшламаДВ_Gomumy,3,FALSE)))</f>
        <v>0.52</v>
      </c>
      <c r="CK303" s="274">
        <f>IF(Расчет!$CH303="Нет","Нет",IF(Исходн.данные.!$AL303&gt;0,VLOOKUP(Расчет!$CH303,АшламаДВ_Irekle,4,FALSE),VLOOKUP(Расчет!$CH303,АшламаДВ_Gomumy,4,FALSE)))</f>
        <v>0</v>
      </c>
      <c r="CL303" s="70"/>
      <c r="CM303" s="70"/>
      <c r="CN303" s="70"/>
      <c r="CO303" s="70"/>
      <c r="CP303" s="70"/>
      <c r="CQ303" s="70"/>
      <c r="CR303" s="10">
        <f t="shared" si="387"/>
        <v>0</v>
      </c>
      <c r="CS303" s="10">
        <f t="shared" si="388"/>
        <v>19.23076923076923</v>
      </c>
      <c r="CT303" s="10">
        <f t="shared" si="389"/>
        <v>0</v>
      </c>
      <c r="CU303" s="39">
        <f>IF($CH303="Нет",0,IF(CI303=0,30/MIN(CJ303:CK303),IF(Исходн.данные.!$AG303=$BV$11,CR303,IF(OR(Исходн.данные.!$AH303=$BQ$7,Исходн.данные.!$AH303=$BQ$8),90/CI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0,IF(Исходн.данные.!$AI303=$BU$11,"Нет",30/CI303))))))</f>
        <v>250</v>
      </c>
      <c r="CV303" s="39">
        <f>IF($CH303="Нет",0,IF(Исходн.данные.!AH303=0,0,IF(CJ303=0,60/MIN(CI303,CK303),IF(Исходн.данные.!$AG303=$BV$11,CS303,IF(OR(Исходн.данные.!$AH303=$BQ$7,Исходн.данные.!$AH303=$BQ$8),90/CJ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10/CJ303,IF(Исходн.данные.!$AI303=$BU$11,"Нет",60/CJ303)))))))</f>
        <v>0</v>
      </c>
      <c r="CW303" s="39">
        <f>IF($CH303="Нет",0,IF(Исходн.данные.!AH303=0,0,IF(CK303=0,30/MIN(CI303:CJ303),IF(Исходн.данные.!$AG303=$BV$11,CT303,IF(OR(Исходн.данные.!$AH303=$BQ$7,Исходн.данные.!$AH303=$BQ$8),90/CK303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0,IF(Исходн.данные.!$AI303=$BU$11,"Нет",30/CK303)))))))</f>
        <v>0</v>
      </c>
      <c r="CX303" s="133">
        <f>IF(Исходн.данные.!$AG303=$BV$11,MAX(CU303:CW303),IF(OR(Исходн.данные.!$AH303=$BS$8,Исходн.данные.!$AH303=$BQ$9,Исходн.данные.!$AH303=$BQ$10,Исходн.данные.!$AH303=$BQ$11,Исходн.данные.!$AH303=$BQ$12,Исходн.данные.!$AH303=$BP$3,Исходн.данные.!$AH303=$BT$8,$FM303="Да"),CV303,MIN(CU303:CW303)))</f>
        <v>0</v>
      </c>
      <c r="CY303" s="133">
        <f>IF(Исходн.данные.!AH303=0,0,IF(CR303&gt;$CX303,$CX303,CR303))</f>
        <v>0</v>
      </c>
      <c r="CZ303" s="133">
        <f>IF(Исходн.данные.!AH303=0,0,IF(CS303&gt;$CX303,$CX303,CS303))</f>
        <v>0</v>
      </c>
      <c r="DA303" s="133">
        <f>IF(Исходн.данные.!AH303=0,0,IF(CT303&gt;$CX303,$CX303,CT303))</f>
        <v>0</v>
      </c>
      <c r="DB303" s="10">
        <f t="shared" si="390"/>
        <v>0</v>
      </c>
      <c r="DC303" s="39">
        <f>DB303*Исходн.данные.!AJ303/1000</f>
        <v>0</v>
      </c>
      <c r="DD303" s="71">
        <f t="shared" si="391"/>
        <v>0</v>
      </c>
      <c r="DE303" s="9">
        <f t="shared" si="392"/>
        <v>0</v>
      </c>
      <c r="DF303" s="9">
        <f t="shared" si="393"/>
        <v>0</v>
      </c>
      <c r="DG303" s="39">
        <f>IF(BL303&lt;0,0,IF($CH303="Нет",BL303,IF(OR(Исходн.данные.!$AH303=$BP$1,Исходн.данные.!$AH303=$BP$2),0,IF(Исходн.данные.!AI303=$BU$11,BL303,IF(BL303-DD303&lt;0,0,BL303-DD303)))))</f>
        <v>0</v>
      </c>
      <c r="DH303" s="39">
        <f>IF(BM303&lt;0,0,IF($CH303="Нет",BM303,IF(OR(Исходн.данные.!$AH303=$BP$1,Исходн.данные.!$AH303=$BP$2),0,IF(Исходн.данные.!AJ303=$BU$11,BM303,IF(BM303-DE303&lt;0,0,BM303-DE303)))))</f>
        <v>0</v>
      </c>
      <c r="DI303" s="39">
        <f>IF(BN303&lt;0,0,IF($CH303="Нет",BN303,IF(OR(Исходн.данные.!$AH303=$BP$1,Исходн.данные.!$AH303=$BP$2),0,IF(Исходн.данные.!AK303=$BU$11,BN303,IF(BN303-DF303&lt;0,0,BN303-DF303)))))</f>
        <v>0</v>
      </c>
      <c r="DJ303" s="12">
        <f t="shared" si="394"/>
        <v>0</v>
      </c>
      <c r="DK303" s="9">
        <f t="shared" si="395"/>
        <v>0</v>
      </c>
      <c r="DL303" s="39">
        <f>IF(Исходн.данные.!AM303&gt;0,Исходн.данные.!AM303,IF(EG303&gt;0,$BH$10,0))</f>
        <v>0</v>
      </c>
      <c r="DM303" s="186">
        <f>IF($DL303=0,0,IF(Исходн.данные.!AM303&gt;0,VLOOKUP($DL303,АшламаДВ_Irekle,2,FALSE),VLOOKUP($DL303,АшламаДВ_Gomumy,2,FALSE)))</f>
        <v>0</v>
      </c>
      <c r="DN303" s="10">
        <f t="shared" si="373"/>
        <v>0</v>
      </c>
      <c r="DO303" s="9" t="str">
        <f>IF(Исходн.данные.!AN303&gt;0,Исходн.данные.!AN303,Удобрения!$B$37 )</f>
        <v>Хлор.калий</v>
      </c>
      <c r="DP303" s="9">
        <f>IF(Исходн.данные.!AN303&gt;0,VLOOKUP(Исходн.данные.!AN303,АшламаДВ_Irekle,4,FALSE),VLOOKUP(DO303,АшламаДВ_Gomumy,4,FALSE))</f>
        <v>0.6</v>
      </c>
      <c r="DQ303" s="10">
        <f t="shared" si="374"/>
        <v>0</v>
      </c>
      <c r="DR303" s="132" t="str">
        <f>IF(Исходн.данные.!AO303&gt;0,Исходн.данные.!AO303,IF(DH303=0,BS$17,IF(AND($DK303=0,$DJ303&gt;0),EJ303,EN303)))</f>
        <v>Нет</v>
      </c>
      <c r="DS303" s="70" t="str">
        <f>IF($DR303="Нет","Нет",IF(Исходн.данные.!$AO303&gt;0,VLOOKUP($DR303,АшламаДВ_Irekle,2,FALSE),VLOOKUP($DR303,АшламаДВ_Gomumy,2,FALSE)))</f>
        <v>Нет</v>
      </c>
      <c r="DT303" s="70" t="str">
        <f>IF($DR303="Нет","Нет",IF(Исходн.данные.!$AO303&gt;0,VLOOKUP($DR303,АшламаДВ_Irekle,3,FALSE),VLOOKUP($DR303,АшламаДВ_Gomumy,3,FALSE)))</f>
        <v>Нет</v>
      </c>
      <c r="DU303" s="70" t="str">
        <f>IF($DR303="Нет","Нет",IF(Исходн.данные.!$AO303&gt;0,VLOOKUP($DR303,АшламаДВ_Irekle,4,FALSE),VLOOKUP($DR303,АшламаДВ_Gomumy,4,FALSE)))</f>
        <v>Нет</v>
      </c>
      <c r="DV303" s="70"/>
      <c r="DW303" s="70"/>
      <c r="DX303" s="70"/>
      <c r="DY303" s="10">
        <f t="shared" si="396"/>
        <v>0</v>
      </c>
      <c r="DZ303" s="10">
        <f t="shared" si="397"/>
        <v>0</v>
      </c>
      <c r="EA303" s="10">
        <f t="shared" si="398"/>
        <v>0</v>
      </c>
      <c r="EB303" s="10">
        <f t="shared" si="399"/>
        <v>0</v>
      </c>
      <c r="EC303" s="10">
        <f t="shared" si="400"/>
        <v>0</v>
      </c>
      <c r="ED303" s="10">
        <f t="shared" si="401"/>
        <v>0</v>
      </c>
      <c r="EE303" s="10">
        <f t="shared" si="402"/>
        <v>0</v>
      </c>
      <c r="EF303" s="39">
        <f>EB303*Исходн.данные.!AJ303/1000</f>
        <v>0</v>
      </c>
      <c r="EG303" s="9">
        <f t="shared" si="403"/>
        <v>0</v>
      </c>
      <c r="EH303" s="9">
        <f t="shared" si="404"/>
        <v>0</v>
      </c>
      <c r="EI303" s="39" t="e">
        <f t="shared" si="354"/>
        <v>#DIV/0!</v>
      </c>
      <c r="EJ303" s="9" t="str">
        <f t="shared" si="375"/>
        <v>Азопреципитат</v>
      </c>
      <c r="EK303" s="12">
        <f t="shared" si="355"/>
        <v>0.26</v>
      </c>
      <c r="EL303" s="12">
        <f t="shared" si="356"/>
        <v>0.13</v>
      </c>
      <c r="EM303" s="12">
        <f t="shared" si="357"/>
        <v>0</v>
      </c>
      <c r="EN303" s="12" t="str">
        <f t="shared" si="376"/>
        <v>Нет</v>
      </c>
      <c r="EO303" s="12">
        <f t="shared" si="358"/>
        <v>0</v>
      </c>
      <c r="EP303" s="12">
        <f t="shared" si="359"/>
        <v>0</v>
      </c>
      <c r="EQ303" s="12">
        <f t="shared" si="360"/>
        <v>0</v>
      </c>
      <c r="ER303" s="12" t="str">
        <f t="shared" si="405"/>
        <v>Диаммофоска</v>
      </c>
      <c r="ES303" s="12">
        <f t="shared" si="361"/>
        <v>0.1</v>
      </c>
      <c r="ET303" s="12">
        <f t="shared" si="362"/>
        <v>0.26</v>
      </c>
      <c r="EU303" s="12">
        <f t="shared" si="363"/>
        <v>0.26</v>
      </c>
      <c r="EV303" s="12" t="str">
        <f t="shared" si="406"/>
        <v>Аммофос 12:52:00</v>
      </c>
      <c r="EW303" s="12" t="str">
        <f t="shared" si="407"/>
        <v>Кемира Свекловичное-6</v>
      </c>
      <c r="EX303" s="12">
        <f t="shared" si="364"/>
        <v>0.16</v>
      </c>
      <c r="EY303" s="12">
        <f t="shared" si="365"/>
        <v>0.12</v>
      </c>
      <c r="EZ303" s="12">
        <f t="shared" si="366"/>
        <v>0.17</v>
      </c>
      <c r="FA303" s="38" t="e">
        <f>IF(AND(OR(FJ303=$FD$1,FM303=$FD$1,FO303=$FD$1,FQ303=$FD$1,FS303=$FD$1),FD303=$FD$1,Исходн.данные.!J303&lt;2,FU303=$FD$1),"Бор,Кобальт",IF(AND(FO303=$FD$1,FH303=$FD$1,Исходн.данные.!J303&lt;2,FU303=$FD$1),"Бор,Кобальт",IF(AND(OR(FJ303=$FD$1,FM303=$FD$1,FQ303=$FD$1),FE303=$FD$1,Исходн.данные.!J303&lt;2,FT303=$FD$1,FU303=$FD$1),"Бор,Медь,Цинк",IF(AND(OR(FJ303=$FD$1,FR303="Да"),FI303="Да",Исходн.данные.!J303&lt;2,FT303="Да",FU303="Да"),"Бор,Цинк,Медь",IF(AND(OR(FM303="Да",FQ303="Да"),FI303="Да",Исходн.данные.!J303&lt;2,FT303="Да",FU303="Да"),"Бор,Цинк",IF(AND(FN303="Да",OR(FD303="Да",FE303="Да")),"Бор",FB303))))))</f>
        <v>#N/A</v>
      </c>
      <c r="FB303" s="134" t="e">
        <f>IF(AND(OR(FD303="Да",FE303="Да",FF303="Да",FG303="Да",FH303="Да"),FO303="Да"),"Бор",IF(AND(FP303="Да",OR(FD303="Да",FE303="Да",FI303="Да")),"Бор",IF(AND(FS303="Да",FE303="Да"),"Бор,Медь",IF(AND(OR(FJ303="Да",FK303="Да",FL303="Да"),FE303="Да",Исходн.данные.!I303&lt;5,FT303="Да",FU303="Да"),"Молибден,Цинк",IF(AND(FM303="Да",OR(FE303="Да",FF303="Да",FG303="Да",FH303="Да",FI303="Да")),"Молибден,Цинк",IF(AND(OR(FJ303="Да",FK303="Да",FL303="Да",FM303="Да",FQ303="Да"),OR(FE303="Да",FF303="Да"),FT303="Да",FU303="Да",Исходн.данные.!I303&gt;5.5),"Медь,Цинк",FC303))))))</f>
        <v>#N/A</v>
      </c>
      <c r="FC303" s="23" t="e">
        <f t="shared" si="408"/>
        <v>#N/A</v>
      </c>
      <c r="FD303" s="38" t="str">
        <f>IF(OR(Исходн.данные.!F303=$CC$1,Исходн.данные.!F303=$CC$2,Исходн.данные.!F303=$CC$3,Исходн.данные.!F303=$CC$4),"Да","Нет")</f>
        <v>Нет</v>
      </c>
      <c r="FE303" s="38" t="str">
        <f>IF(Исходн.данные.!F303=$CC$5,"Да","Нет")</f>
        <v>Нет</v>
      </c>
      <c r="FF303" s="38" t="str">
        <f>IF(OR(Исходн.данные.!F303=$CC$6,Исходн.данные.!F303=$CC$7),"Да","Нет")</f>
        <v>Нет</v>
      </c>
      <c r="FG303" s="38" t="str">
        <f>IF(OR(Исходн.данные.!F303=$CC$8,Исходн.данные.!F303=$CC$9),"Да","Нет")</f>
        <v>Нет</v>
      </c>
      <c r="FH303" s="38" t="str">
        <f>IF(Исходн.данные.!F303=$CC$10,"Да","Нет")</f>
        <v>Нет</v>
      </c>
      <c r="FI303" s="38" t="str">
        <f>IF(OR(Исходн.данные.!F303=$CC$11,Исходн.данные.!F303=$CC$12),"Да","Нет")</f>
        <v>Нет</v>
      </c>
      <c r="FJ303" s="38" t="str">
        <f>IF(OR(Исходн.данные.!AH303=$BS$1,Исходн.данные.!AH303=$BQ$11,Исходн.данные.!AH303=$BQ$12),"Да","Нет")</f>
        <v>Нет</v>
      </c>
      <c r="FK303" s="38" t="str">
        <f>IF(OR(Исходн.данные.!AH303=$BS$2,Исходн.данные.!AH303=$BS$4),"Да","Нет")</f>
        <v>Нет</v>
      </c>
      <c r="FL303" s="38" t="str">
        <f>IF(OR(Исходн.данные.!AH303=$BS$3,Исходн.данные.!AH303=$BS$5),"Да","Нет")</f>
        <v>Нет</v>
      </c>
      <c r="FM303" s="38" t="str">
        <f>IF(OR(Исходн.данные.!AH303=$BS$9,Исходн.данные.!AH303=$BS$10,Исходн.данные.!AH303=$BS$11,Исходн.данные.!AH303=$BS$12),"Да","Нет")</f>
        <v>Нет</v>
      </c>
      <c r="FN303" s="38" t="str">
        <f>IF(OR(Исходн.данные.!AH303=$BS$6,Исходн.данные.!AH303=$BP$3),"Да","Нет")</f>
        <v>Нет</v>
      </c>
      <c r="FO303" s="38" t="str">
        <f>IF(Исходн.данные.!AH303=$BQ$9,"Да","Нет")</f>
        <v>Нет</v>
      </c>
      <c r="FP303" s="38" t="str">
        <f>IF(OR(Исходн.данные.!AH303=$BS$8,Исходн.данные.!AH303=$BT$8),"Да","Нет")</f>
        <v>Нет</v>
      </c>
      <c r="FQ303" s="38" t="str">
        <f>IF(OR(Исходн.данные.!AH303=$BQ$7,Исходн.данные.!AH303=$BQ$8),"Да","Нет")</f>
        <v>Нет</v>
      </c>
      <c r="FR303" s="38" t="str">
        <f>IF(Исходн.данные.!AI303=$BU$9,"Да","Нет")</f>
        <v>Нет</v>
      </c>
      <c r="FS303" s="38" t="str">
        <f>IF(OR(Исходн.данные.!AH303=$BP$1,Исходн.данные.!AH303=$BP$2),"Да","Нет")</f>
        <v>Нет</v>
      </c>
      <c r="FT303" s="38" t="e">
        <f>IF((Исходн.данные.!K303*GO303*GS303*GW303+BL303*0.6+Исходн.данные.!Q303*4.5*0.275)&gt;90,"Да","Нет")</f>
        <v>#N/A</v>
      </c>
      <c r="FU303" s="38" t="e">
        <f>IF((Исходн.данные.!M303*GS303*GZ303+BM303*0.225)&gt;35,"Да","Нет")</f>
        <v>#N/A</v>
      </c>
      <c r="FV303" s="38" t="str">
        <f>IF(Исходн.данные.!O303&gt;175,"Да","Нет")</f>
        <v>Нет</v>
      </c>
      <c r="FW303" s="39" t="str">
        <f>IF(Исходн.данные.!I303&gt;5.5,"Да","Нет")</f>
        <v>Нет</v>
      </c>
      <c r="FX303" s="39" t="str">
        <f>IF(Исходн.данные.!J303&lt;2,"Да","Нет")</f>
        <v>Да</v>
      </c>
      <c r="FY303" s="39" t="e">
        <f>IF(HF303=$FY$16,0,Исходн.данные.!K303*GO303*GS303*GW303/HF303)</f>
        <v>#N/A</v>
      </c>
      <c r="FZ303" s="39" t="e">
        <f>Исходн.данные.!M303*GS303*GZ303/HG303</f>
        <v>#N/A</v>
      </c>
      <c r="GA303" s="39" t="e">
        <f>IF(K_Wyn=$FY$16,0,IF(Исходн.данные.!N303=Исходн.данные.!$L$10,Исходн.данные.!O303/1.1*GS303*HC303/HH303,IF(Исходн.данные.!N303=Исходн.данные.!$L$12,Исходн.данные.!O303/1.5*GS303*HC303/HH303,Исходн.данные.!O303*GS303*HC303/HH303)))</f>
        <v>#N/A</v>
      </c>
      <c r="GB303" s="39" t="e">
        <f>IF(HF303=$FY$16,0,((Исходн.данные.!Q303*N_Org+Исходн.данные.!R303*N_Sider+Исходн.данные.!S303*N_Soloma)*AO303+Расчет!BC303*VLOOKUP(Исходн.данные.!T303,Справ!$A$3:$O$57,15)*AO303+BB303*VLOOKUP(Исходн.данные.!T303,Справ!$A$3:$O$57,15)*AL303+(Исходн.данные.!V303*N_Rizotorf+Исходн.данные.!W303*N_Rizoagr))/HF303)</f>
        <v>#N/A</v>
      </c>
      <c r="GC303" s="39" t="e">
        <f>IF(HG303=$FY$16,0,((Исходн.данные.!Q303*Р_Org+Исходн.данные.!R303*P_Sider+Исходн.данные.!S303*P_Soloma)*AP303+Расчет!BC303*VLOOKUP(Исходн.данные.!T303,Справ!$A$3:$P$57,16)*AP303+BB303*VLOOKUP(Исходн.данные.!T303,Справ!$A$3:$P$57,16)*AM303)/HG303)</f>
        <v>#N/A</v>
      </c>
      <c r="GD303" s="39" t="e">
        <f>IF(HH303=$FY$16,0,((Исходн.данные.!Q303*К_Org+Исходн.данные.!R303*K_Sider+Исходн.данные.!S303*K_Soloma)*AQ303+Расчет!BC303*VLOOKUP(Исходн.данные.!T303,Справ!$A$3:$Q$57,17)*AQ303+BB303*VLOOKUP(Исходн.данные.!T303,Справ!$A$3:$Q$57,17)*AN303)/HH303)</f>
        <v>#N/A</v>
      </c>
      <c r="GE303" s="39" t="e">
        <f>IF(HF303=$FY$16,0,(Исходн.данные.!X303*AR303+Исходн.данные.!AA303*N_Org*AL303+Исходн.данные.!AB303*N_Sider*AL303+Исходн.данные.!AC303*N_Soloma*AL303)/HF303)</f>
        <v>#N/A</v>
      </c>
      <c r="GF303" s="39" t="e">
        <f>IF(HG303=$FY$16,0,(Исходн.данные.!Y303*AS303+Исходн.данные.!AA303*Р_Org*AM303+Исходн.данные.!AB303*P_Sider*AM303+Исходн.данные.!AC303*P_Soloma*AM303)/HG303)</f>
        <v>#N/A</v>
      </c>
      <c r="GG303" s="39" t="e">
        <f>IF(HH303=$FY$16,0,(Исходн.данные.!Z303*AT303+Исходн.данные.!AA303*К_Org*AN303+Исходн.данные.!AB303*K_Sider*AN303+Исходн.данные.!AC303*K_Soloma*AN303)/HH303)</f>
        <v>#N/A</v>
      </c>
      <c r="GH303" s="39" t="e">
        <f>Исходн.данные.!AD303*AU303/HF303</f>
        <v>#N/A</v>
      </c>
      <c r="GI303" s="39" t="e">
        <f>Исходн.данные.!AE303*AV303/HG303</f>
        <v>#N/A</v>
      </c>
      <c r="GJ303" s="39" t="e">
        <f>Исходн.данные.!AF303*AW303/HH303</f>
        <v>#N/A</v>
      </c>
      <c r="GK303" s="55">
        <f>Исходн.данные.!AK303</f>
        <v>0</v>
      </c>
      <c r="GL303" s="11" t="e">
        <f t="shared" si="409"/>
        <v>#N/A</v>
      </c>
      <c r="GM303" s="11" t="e">
        <f t="shared" si="410"/>
        <v>#N/A</v>
      </c>
      <c r="GN303" s="11" t="e">
        <f t="shared" si="411"/>
        <v>#N/A</v>
      </c>
      <c r="GO303" s="57">
        <f t="shared" si="412"/>
        <v>19</v>
      </c>
      <c r="GP303" s="55">
        <f>IF(OR(Исходн.данные.!F303=$CE$1,Исходн.данные.!F303=$CE$2,Исходн.данные.!F303=$CE$3,Исходн.данные.!F303=$CE$4,Исходн.данные.!F303=$CE$5),GQ303,GR303)</f>
        <v>19</v>
      </c>
      <c r="GQ303" s="55">
        <f>IF(Исходн.данные.!F303=$CE$1,28,IF(Исходн.данные.!F303=$CE$2,26,IF(Исходн.данные.!F303=$CE$3,24,IF(Исходн.данные.!F303=$CE$4,22,IF(Исходн.данные.!F303=$CE$5,20,GR303)))))</f>
        <v>19</v>
      </c>
      <c r="GR303" s="55">
        <f>IF(Исходн.данные.!F303=$CE$6,18,IF(Исходн.данные.!F303=$CE$7,16,IF(Исходн.данные.!F303=$CE$8,14,IF(Исходн.данные.!F303=$CE$9,13,IF(Исходн.данные.!F303=$CE$10,12,19)))))</f>
        <v>19</v>
      </c>
      <c r="GS303" s="55">
        <f>IF(Исходн.данные.!G303="Пес",0.035*(40+2*Исходн.данные.!H303),IF(Исходн.данные.!G303="Суп",0.0325*(40+2*Исходн.данные.!H303),0.03*(40+2*Исходн.данные.!H303)))</f>
        <v>1.2</v>
      </c>
      <c r="GT303" s="55">
        <f>IF(Исходн.данные.!H303&lt;23,2.6,IF(AND(Исходн.данные.!H303&gt;22,Исходн.данные.!H303&lt;26),3,IF(AND(Исходн.данные.!H303&gt;25,Исходн.данные.!H303&lt;29),3.4,3.6)))</f>
        <v>2.6</v>
      </c>
      <c r="GU303" s="55">
        <f>IF(Исходн.данные.!H303&lt;23,2.8,IF(AND(Исходн.данные.!H303&gt;22,Исходн.данные.!H303&lt;26),3.2,IF(AND(Исходн.данные.!H303&gt;25,Исходн.данные.!H303&lt;29),3.6,3.9)))</f>
        <v>2.8</v>
      </c>
      <c r="GV303" s="55">
        <f>IF(Исходн.данные.!H303&lt;23,3,IF(AND(Исходн.данные.!H303&gt;22,Исходн.данные.!H303&lt;26),3.5,IF(AND(Исходн.данные.!H303&gt;25,Исходн.данные.!H303&lt;29),3.9,4.2)))</f>
        <v>3</v>
      </c>
      <c r="GW303" s="55" t="e">
        <f>IF(Исходн.данные.!P303="Ум",GX303,GY303)</f>
        <v>#N/A</v>
      </c>
      <c r="GX303" s="55" t="e">
        <f>VLOOKUP(Исходн.данные.!AI303,Коэффициенты!$J$7:$L$13,2,FALSE)</f>
        <v>#N/A</v>
      </c>
      <c r="GY303" s="55" t="e">
        <f>VLOOKUP(Исходн.данные.!AI303,Коэффициенты!$J$7:$L$13,3,FALSE)</f>
        <v>#N/A</v>
      </c>
      <c r="GZ303" s="55" t="e">
        <f>(IF(Исходн.данные.!M303&lt;50,0.11*VLOOKUP(Исходн.данные.!AH303,Культуры.Информация,7,FALSE),IF(Исходн.данные.!M303&gt;250,0.05*VLOOKUP(Исходн.данные.!AH303,Культуры.Информация,7,FALSE),VLOOKUP(Исходн.данные.!AH303,Культуры.Информация,5,FALSE)/100*($GX$6+$GY$6*Исходн.данные.!M303))))*Расчет2!AI303</f>
        <v>#N/A</v>
      </c>
      <c r="HA303" s="211"/>
      <c r="HB303" s="211"/>
      <c r="HC303" s="55" t="e">
        <f>(IF(Исходн.данные.!O303&lt;80,0.2*VLOOKUP(Исходн.данные.!AH303,Культуры.Информация,8,FALSE),IF(Исходн.данные.!O303&gt;240,0.09*VLOOKUP(Исходн.данные.!AH303,Культуры.Информация,8,FALSE),VLOOKUP(Исходн.данные.!AH303,Культуры.Информация,6,FALSE)/100*($HB$6+$HC$6*Исходн.данные.!O303))))*Расчет2!AJ303</f>
        <v>#N/A</v>
      </c>
      <c r="HD303" s="55">
        <f>IF(Исходн.данные.!O303&gt;240,0.09,IF(Исходн.данные.!O303&lt;30,0.3,$HE$10+$HD$10*Исходн.данные.!O303))</f>
        <v>0.3</v>
      </c>
      <c r="HE303" s="55">
        <f>IF(Исходн.данные.!O303&gt;240,0.17,IF(Исходн.данные.!O303&lt;30,0.5,$HF$12+$HE$12*Исходн.данные.!O303))</f>
        <v>0.5</v>
      </c>
      <c r="HF303" s="55" t="e">
        <f>VLOOKUP(Исходн.данные.!AH303,Справ!$A$3:$D$58,2,FALSE)</f>
        <v>#N/A</v>
      </c>
      <c r="HG303" s="55" t="e">
        <f>VLOOKUP(Исходн.данные.!AH303,Справ!$A$3:$D$58,3,FALSE)</f>
        <v>#N/A</v>
      </c>
      <c r="HH303" s="55" t="e">
        <f>VLOOKUP(Исходн.данные.!AH303,Справ!$A$3:$D$58,4,FALSE)</f>
        <v>#N/A</v>
      </c>
      <c r="HI303" s="11" t="e">
        <f t="shared" si="413"/>
        <v>#N/A</v>
      </c>
      <c r="HJ303" s="11" t="e">
        <f t="shared" si="414"/>
        <v>#N/A</v>
      </c>
      <c r="HK303" s="11" t="e">
        <f t="shared" si="415"/>
        <v>#N/A</v>
      </c>
      <c r="HL303" s="55">
        <f>IF(OR(Исходн.данные.!G303="Глин",Исходн.данные.!G303="Т_суг"),1.1,IF(Исходн.данные.!G303="Ср_суг",1,1))</f>
        <v>1</v>
      </c>
      <c r="HM303" s="55">
        <f>IF(OR(Исходн.данные.!G303="Глин",Исходн.данные.!G303="Т_суг"),0.9,IF(Исходн.данные.!G303="Ср_суг",1,1.2))</f>
        <v>1.2</v>
      </c>
      <c r="HN303" s="11" t="e">
        <f t="shared" si="416"/>
        <v>#N/A</v>
      </c>
      <c r="HO303" s="11" t="e">
        <f t="shared" si="417"/>
        <v>#N/A</v>
      </c>
      <c r="HP303" s="11" t="e">
        <f t="shared" si="418"/>
        <v>#N/A</v>
      </c>
      <c r="HQ303" t="e">
        <f t="shared" si="419"/>
        <v>#N/A</v>
      </c>
      <c r="HR303" t="e">
        <f t="shared" si="420"/>
        <v>#N/A</v>
      </c>
      <c r="HS303" t="e">
        <f t="shared" si="421"/>
        <v>#N/A</v>
      </c>
      <c r="HT303" t="e">
        <f t="shared" si="367"/>
        <v>#N/A</v>
      </c>
      <c r="HU303" t="e">
        <f t="shared" si="368"/>
        <v>#N/A</v>
      </c>
      <c r="HV303" t="e">
        <f t="shared" si="369"/>
        <v>#N/A</v>
      </c>
      <c r="HW303" t="e">
        <f t="shared" si="370"/>
        <v>#N/A</v>
      </c>
      <c r="HX303" t="e">
        <f t="shared" si="371"/>
        <v>#N/A</v>
      </c>
      <c r="HY303" t="e">
        <f t="shared" si="372"/>
        <v>#N/A</v>
      </c>
      <c r="HZ303" s="55">
        <f>IF(OR(Исходн.данные.!AI303="Оз_Ч_П",Исходн.данные.!AI303="Оз_З_П",Исходн.данные.!AI303="Яр_зер"),12,30)</f>
        <v>30</v>
      </c>
      <c r="IA303" t="e">
        <f t="shared" si="422"/>
        <v>#N/A</v>
      </c>
      <c r="IB303" t="e">
        <f t="shared" si="423"/>
        <v>#N/A</v>
      </c>
      <c r="IC303" t="e">
        <f t="shared" si="424"/>
        <v>#N/A</v>
      </c>
      <c r="ID303" s="11" t="e">
        <f t="shared" si="425"/>
        <v>#N/A</v>
      </c>
      <c r="IE303" s="11" t="e">
        <f t="shared" si="426"/>
        <v>#N/A</v>
      </c>
      <c r="IF303" s="11" t="e">
        <f t="shared" si="427"/>
        <v>#N/A</v>
      </c>
    </row>
    <row r="304" spans="35:240" x14ac:dyDescent="0.2">
      <c r="AI304">
        <f>IF(Исходн.данные.!I304&gt;6,1,1.85-(0.148*Исходн.данные.!I304))</f>
        <v>1.85</v>
      </c>
      <c r="AJ304">
        <f>IF(Исходн.данные.!I304&gt;6,1,2.434-(0.246*Исходн.данные.!I304))</f>
        <v>2.4340000000000002</v>
      </c>
      <c r="AL304" s="148" t="b">
        <f>IF(Исходн.данные.!$P304="Ум",N_OrgUd_2g_um,IF(Исходн.данные.!$P304="Об",N_OrgUd_2g_ob))</f>
        <v>0</v>
      </c>
      <c r="AM304" s="148" t="b">
        <f>IF(Исходн.данные.!$P304="Ум",P_OrgUd_2g_um,IF(Исходн.данные.!$P304="Об",P_OrgUd_2g_ob))</f>
        <v>0</v>
      </c>
      <c r="AN304" s="148" t="b">
        <f>IF(Исходн.данные.!$P304="Ум",K_OrgUd_2g_um,IF(Исходн.данные.!$P304="Об",K_OrgUd_2g_ob))</f>
        <v>0</v>
      </c>
      <c r="AO304" s="148" t="b">
        <f>IF(Исходн.данные.!$P304="Ум",N_OrgUd_1g_um,IF(Исходн.данные.!$P304="Об",N_OrgUd_1g_ob))</f>
        <v>0</v>
      </c>
      <c r="AP304" s="148" t="b">
        <f>IF(Исходн.данные.!$P304="Ум",P_OrgUd_1g_um,IF(Исходн.данные.!$P304="Об",P_OrgUd_1g_ob))</f>
        <v>0</v>
      </c>
      <c r="AQ304" s="148" t="b">
        <f>IF(Исходн.данные.!$P304="Ум",K_OrgUd_1g_um,IF(Исходн.данные.!$P304="Об",K_OrgUd_1g_ob))</f>
        <v>0</v>
      </c>
      <c r="AR304" t="b">
        <f>IF(Исходн.данные.!$P304="Ум",N_MinUd_2g_um,IF(Исходн.данные.!$P304="Об",N_MinUd_2g_ob))</f>
        <v>0</v>
      </c>
      <c r="AS304" t="b">
        <f>IF(Исходн.данные.!$P304="Ум",P_MinUd_2g_um,IF(Исходн.данные.!$P304="Об",P_MinUd_2g_ob))</f>
        <v>0</v>
      </c>
      <c r="AT304" t="b">
        <f>IF(Исходн.данные.!$P304="Ум",K_MinUd_2g_um,IF(Исходн.данные.!$P304="Об",K_MinUd_2g_ob))</f>
        <v>0</v>
      </c>
      <c r="AU304" t="b">
        <f>IF(Исходн.данные.!$P304="Ум",N_MinUd_1g_um,IF(Исходн.данные.!$P304="Об",N_MinUd_1g_ob))</f>
        <v>0</v>
      </c>
      <c r="AV304" t="b">
        <f>IF(Исходн.данные.!P304="Ум",P_MinUd_1g_um,IF(Исходн.данные.!P304="Об",P_MinUd_1g_ob))</f>
        <v>0</v>
      </c>
      <c r="AW304" t="b">
        <f>IF(Исходн.данные.!P304="Ум",K_MinUd_1g_um,IF(Исходн.данные.!P304="Об",K_MinUd_1g_ob))</f>
        <v>0</v>
      </c>
      <c r="AY304" t="e">
        <f>VLOOKUP(Исходн.данные.!T304,Справ!$A$3:$N$57,12)</f>
        <v>#N/A</v>
      </c>
      <c r="AZ304" t="e">
        <f>VLOOKUP(Исходн.данные.!T304,Справ!$A$3:$N$57,13)</f>
        <v>#N/A</v>
      </c>
      <c r="BA304" t="e">
        <f>VLOOKUP(Исходн.данные.!T304,Справ!$A$3:$N$57,14)</f>
        <v>#N/A</v>
      </c>
      <c r="BB304">
        <f>IF(Исходн.данные.!AH304=0,0,25)</f>
        <v>0</v>
      </c>
      <c r="BC304" s="141">
        <f>IF(Исходн.данные.!AH304=0,0,IF(Исходн.данные.!T304=0,25,BD304))</f>
        <v>0</v>
      </c>
      <c r="BD304" s="168" t="e">
        <f>AY304+AZ304*Исходн.данные.!U304-POWER(BA304,2)*Исходн.данные.!U304</f>
        <v>#N/A</v>
      </c>
      <c r="BE30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4" s="25">
        <f>IF(Исходн.данные.!AH304=0,0,MIN(HN304:HP304))</f>
        <v>0</v>
      </c>
      <c r="BG304" s="9">
        <f>IF(Исходн.данные.!AH304=0,0,IF((HO304+10*0.25/HG304/HL304)&lt;17,17,HO304+10*0.25/HG304/HL304))</f>
        <v>0</v>
      </c>
      <c r="BH304" s="181">
        <f>IF(Исходн.данные.!AH304=0,0,HW304*HF304*HL304/AU304*AI304+Исходн.данные.!S304*10)</f>
        <v>0</v>
      </c>
      <c r="BI304" s="10"/>
      <c r="BJ304" s="182">
        <f>IF(Исходн.данные.!AH304=0,0,IF(HX304*HG304*HL304/AV304&lt;0,0,HX304*HG304*HL304/AV304*AJ304))</f>
        <v>0</v>
      </c>
      <c r="BK304" s="182">
        <f>IF(Исходн.данные.!AH304=0,0,HY304*HH304*HM304/AW304)</f>
        <v>0</v>
      </c>
      <c r="BL304" s="10">
        <f>IF(OR(Исходн.данные.!$AH304=$BP$1,Исходн.данные.!$AH304=$BP$2),0,IF(BH304&lt;0,0,IF(OR(Исходн.данные.!T304=Расчет!$BP$1,Исходн.данные.!T304=Расчет!$BP$2,Исходн.данные.!T304=Расчет!$BT$5,Исходн.данные.!T304=Расчет!$BT$6),BH304*0.5,IF(OR(Исходн.данные.!T304=Расчет!$BS$9,Исходн.данные.!T304=Расчет!$BS$10,Исходн.данные.!T304=Расчет!$BS$11,Исходн.данные.!T304=Расчет!$BS$12,Исходн.данные.!T304=Расчет!$BP$5),BH304*0.8,BH304))))</f>
        <v>0</v>
      </c>
      <c r="BM304" s="10">
        <f>IF(OR(Исходн.данные.!$AH304=$BP$1,Исходн.данные.!$AH304=$BP$2),0,IF(BJ304&lt;0,0,IF(Исходн.данные.!I304&lt;4.5,BJ304*1.2,IF(Исходн.данные.!I304&gt;5.1,BJ304,BJ304*((5.1-Исходн.данные.!I304)*0.333+1)))))</f>
        <v>0</v>
      </c>
      <c r="BN304" s="10">
        <f>IF(OR(Исходн.данные.!$AH304=$BP$1,Исходн.данные.!$AH304=$BP$2),60-Исходн.данные.!AF304,IF(BK304&lt;0,0,IF(Исходн.данные.!I304&lt;4.5,BK304*1.2,IF(Исходн.данные.!I304&gt;5.1,BK304,BK304*((5.1-Исходн.данные.!I304)*0.333+1)))))</f>
        <v>0</v>
      </c>
      <c r="BO304" s="9">
        <f>IF(BL304&lt;0,0,BL304*Исходн.данные.!$AJ304/1000)</f>
        <v>0</v>
      </c>
      <c r="BP304" s="9">
        <f>IF(BM304&lt;0,0,BM304*Исходн.данные.!$AJ304/1000)</f>
        <v>0</v>
      </c>
      <c r="BQ304" s="9">
        <f>IF(BN304&lt;0,0,BN304*Исходн.данные.!$AJ304/1000)</f>
        <v>0</v>
      </c>
      <c r="BR304" s="9">
        <f t="shared" si="377"/>
        <v>0</v>
      </c>
      <c r="BS304" s="10" t="str">
        <f t="shared" si="378"/>
        <v>Аммофос 12:52:00</v>
      </c>
      <c r="BT304" s="10" t="str">
        <f t="shared" si="379"/>
        <v>Аммофос 12:52:00</v>
      </c>
      <c r="BU304" s="10" t="str">
        <f t="shared" si="380"/>
        <v>Диаммофоска</v>
      </c>
      <c r="BV304" s="10">
        <f t="shared" si="381"/>
        <v>0</v>
      </c>
      <c r="BW304" s="10"/>
      <c r="BX304" s="10"/>
      <c r="BY304" s="9">
        <f>IF(BL304&lt;0,0,IF(OR(Исходн.данные.!AI304=Расчет!$BU$6,Исходн.данные.!AI304=Расчет!$BU$7),Расчет!BV304,IF(Исходн.данные.!$AG304=$BV$11,BL304,IF(OR(Исходн.данные.!$AH304=$BQ$7,Исходн.данные.!$AH304=$BQ$8),CB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0,IF(Исходн.данные.!$AI304=$BU$11,"Нет",IF(BL304&gt;30,30,BL304)))))))</f>
        <v>0</v>
      </c>
      <c r="BZ304" s="9">
        <f>IF(AND(Исходн.данные.!$AG304=$BV$11,BM304&lt;10),10,IF(Исходн.данные.!$AG304=$BV$11,BM304,IF(OR(Исходн.данные.!$AH304=$BQ$7,Исходн.данные.!$AH304=$BQ$8),CC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10,IF(Исходн.данные.!$AI304=$BU$11,"Нет",IF(BM304&gt;60,60,IF(BM304&lt;10,10,BM304)))))))</f>
        <v>10</v>
      </c>
      <c r="CA304" s="39">
        <f>IF(BN304&lt;0,0,IF(Исходн.данные.!$AG304=$BV$11,BN304,IF(OR(Исходн.данные.!$AH304=$BQ$7,Исходн.данные.!$AH304=$BQ$8),CD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0,IF(Исходн.данные.!$AI304=$BU$11,"Нет",IF(BN304&gt;30,30,BN304))))))</f>
        <v>0</v>
      </c>
      <c r="CB304" s="9">
        <f t="shared" si="382"/>
        <v>0</v>
      </c>
      <c r="CC304" s="9">
        <f t="shared" si="383"/>
        <v>0</v>
      </c>
      <c r="CD304" s="9">
        <f t="shared" si="384"/>
        <v>0</v>
      </c>
      <c r="CE304" s="12">
        <f t="shared" si="385"/>
        <v>10</v>
      </c>
      <c r="CF304" s="9">
        <f t="shared" si="386"/>
        <v>0</v>
      </c>
      <c r="CG304" s="9" t="s">
        <v>231</v>
      </c>
      <c r="CH304" s="132" t="str">
        <f>IF(Исходн.данные.!AP304=Расчет!$CI$16,"Нет",IF(Исходн.данные.!AL304&gt;0,Исходн.данные.!AL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BH$4,IF(OR(Исходн.данные.!AI304=Исходн.данные.!$AI$6,Исходн.данные.!AI304=Исходн.данные.!$AI$7),Расчет!BS304,IF(AND($CF304=0,$CE304&gt;0),EV304,ER304)))))</f>
        <v>Аммофос 12:52:00</v>
      </c>
      <c r="CI304" s="274">
        <f>IF(Расчет!$CH304="Нет","Нет",IF(Исходн.данные.!$AL304&gt;0,VLOOKUP(Расчет!$CH304,АшламаДВ_Irekle,2,FALSE),VLOOKUP(Расчет!$CH304,АшламаДВ_Gomumy,2,FALSE)))</f>
        <v>0.12</v>
      </c>
      <c r="CJ304" s="274">
        <f>IF(Расчет!$CH304="Нет","Нет",IF(Исходн.данные.!$AL304&gt;0,VLOOKUP(Расчет!$CH304,АшламаДВ_Irekle,3,FALSE),VLOOKUP(Расчет!$CH304,АшламаДВ_Gomumy,3,FALSE)))</f>
        <v>0.52</v>
      </c>
      <c r="CK304" s="274">
        <f>IF(Расчет!$CH304="Нет","Нет",IF(Исходн.данные.!$AL304&gt;0,VLOOKUP(Расчет!$CH304,АшламаДВ_Irekle,4,FALSE),VLOOKUP(Расчет!$CH304,АшламаДВ_Gomumy,4,FALSE)))</f>
        <v>0</v>
      </c>
      <c r="CL304" s="70"/>
      <c r="CM304" s="70"/>
      <c r="CN304" s="70"/>
      <c r="CO304" s="70"/>
      <c r="CP304" s="70"/>
      <c r="CQ304" s="70"/>
      <c r="CR304" s="10">
        <f t="shared" si="387"/>
        <v>0</v>
      </c>
      <c r="CS304" s="10">
        <f t="shared" si="388"/>
        <v>19.23076923076923</v>
      </c>
      <c r="CT304" s="10">
        <f t="shared" si="389"/>
        <v>0</v>
      </c>
      <c r="CU304" s="39">
        <f>IF($CH304="Нет",0,IF(CI304=0,30/MIN(CJ304:CK304),IF(Исходн.данные.!$AG304=$BV$11,CR304,IF(OR(Исходн.данные.!$AH304=$BQ$7,Исходн.данные.!$AH304=$BQ$8),90/CI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0,IF(Исходн.данные.!$AI304=$BU$11,"Нет",30/CI304))))))</f>
        <v>250</v>
      </c>
      <c r="CV304" s="39">
        <f>IF($CH304="Нет",0,IF(Исходн.данные.!AH304=0,0,IF(CJ304=0,60/MIN(CI304,CK304),IF(Исходн.данные.!$AG304=$BV$11,CS304,IF(OR(Исходн.данные.!$AH304=$BQ$7,Исходн.данные.!$AH304=$BQ$8),90/CJ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10/CJ304,IF(Исходн.данные.!$AI304=$BU$11,"Нет",60/CJ304)))))))</f>
        <v>0</v>
      </c>
      <c r="CW304" s="39">
        <f>IF($CH304="Нет",0,IF(Исходн.данные.!AH304=0,0,IF(CK304=0,30/MIN(CI304:CJ304),IF(Исходн.данные.!$AG304=$BV$11,CT304,IF(OR(Исходн.данные.!$AH304=$BQ$7,Исходн.данные.!$AH304=$BQ$8),90/CK304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0,IF(Исходн.данные.!$AI304=$BU$11,"Нет",30/CK304)))))))</f>
        <v>0</v>
      </c>
      <c r="CX304" s="133">
        <f>IF(Исходн.данные.!$AG304=$BV$11,MAX(CU304:CW304),IF(OR(Исходн.данные.!$AH304=$BS$8,Исходн.данные.!$AH304=$BQ$9,Исходн.данные.!$AH304=$BQ$10,Исходн.данные.!$AH304=$BQ$11,Исходн.данные.!$AH304=$BQ$12,Исходн.данные.!$AH304=$BP$3,Исходн.данные.!$AH304=$BT$8,$FM304="Да"),CV304,MIN(CU304:CW304)))</f>
        <v>0</v>
      </c>
      <c r="CY304" s="133">
        <f>IF(Исходн.данные.!AH304=0,0,IF(CR304&gt;$CX304,$CX304,CR304))</f>
        <v>0</v>
      </c>
      <c r="CZ304" s="133">
        <f>IF(Исходн.данные.!AH304=0,0,IF(CS304&gt;$CX304,$CX304,CS304))</f>
        <v>0</v>
      </c>
      <c r="DA304" s="133">
        <f>IF(Исходн.данные.!AH304=0,0,IF(CT304&gt;$CX304,$CX304,CT304))</f>
        <v>0</v>
      </c>
      <c r="DB304" s="10">
        <f t="shared" si="390"/>
        <v>0</v>
      </c>
      <c r="DC304" s="39">
        <f>DB304*Исходн.данные.!AJ304/1000</f>
        <v>0</v>
      </c>
      <c r="DD304" s="71">
        <f t="shared" si="391"/>
        <v>0</v>
      </c>
      <c r="DE304" s="9">
        <f t="shared" si="392"/>
        <v>0</v>
      </c>
      <c r="DF304" s="9">
        <f t="shared" si="393"/>
        <v>0</v>
      </c>
      <c r="DG304" s="39">
        <f>IF(BL304&lt;0,0,IF($CH304="Нет",BL304,IF(OR(Исходн.данные.!$AH304=$BP$1,Исходн.данные.!$AH304=$BP$2),0,IF(Исходн.данные.!AI304=$BU$11,BL304,IF(BL304-DD304&lt;0,0,BL304-DD304)))))</f>
        <v>0</v>
      </c>
      <c r="DH304" s="39">
        <f>IF(BM304&lt;0,0,IF($CH304="Нет",BM304,IF(OR(Исходн.данные.!$AH304=$BP$1,Исходн.данные.!$AH304=$BP$2),0,IF(Исходн.данные.!AJ304=$BU$11,BM304,IF(BM304-DE304&lt;0,0,BM304-DE304)))))</f>
        <v>0</v>
      </c>
      <c r="DI304" s="39">
        <f>IF(BN304&lt;0,0,IF($CH304="Нет",BN304,IF(OR(Исходн.данные.!$AH304=$BP$1,Исходн.данные.!$AH304=$BP$2),0,IF(Исходн.данные.!AK304=$BU$11,BN304,IF(BN304-DF304&lt;0,0,BN304-DF304)))))</f>
        <v>0</v>
      </c>
      <c r="DJ304" s="12">
        <f t="shared" si="394"/>
        <v>0</v>
      </c>
      <c r="DK304" s="9">
        <f t="shared" si="395"/>
        <v>0</v>
      </c>
      <c r="DL304" s="39">
        <f>IF(Исходн.данные.!AM304&gt;0,Исходн.данные.!AM304,IF(EG304&gt;0,$BH$10,0))</f>
        <v>0</v>
      </c>
      <c r="DM304" s="186">
        <f>IF($DL304=0,0,IF(Исходн.данные.!AM304&gt;0,VLOOKUP($DL304,АшламаДВ_Irekle,2,FALSE),VLOOKUP($DL304,АшламаДВ_Gomumy,2,FALSE)))</f>
        <v>0</v>
      </c>
      <c r="DN304" s="10">
        <f t="shared" si="373"/>
        <v>0</v>
      </c>
      <c r="DO304" s="9" t="str">
        <f>IF(Исходн.данные.!AN304&gt;0,Исходн.данные.!AN304,Удобрения!$B$37 )</f>
        <v>Хлор.калий</v>
      </c>
      <c r="DP304" s="9">
        <f>IF(Исходн.данные.!AN304&gt;0,VLOOKUP(Исходн.данные.!AN304,АшламаДВ_Irekle,4,FALSE),VLOOKUP(DO304,АшламаДВ_Gomumy,4,FALSE))</f>
        <v>0.6</v>
      </c>
      <c r="DQ304" s="10">
        <f t="shared" si="374"/>
        <v>0</v>
      </c>
      <c r="DR304" s="132" t="str">
        <f>IF(Исходн.данные.!AO304&gt;0,Исходн.данные.!AO304,IF(DH304=0,BS$17,IF(AND($DK304=0,$DJ304&gt;0),EJ304,EN304)))</f>
        <v>Нет</v>
      </c>
      <c r="DS304" s="70" t="str">
        <f>IF($DR304="Нет","Нет",IF(Исходн.данные.!$AO304&gt;0,VLOOKUP($DR304,АшламаДВ_Irekle,2,FALSE),VLOOKUP($DR304,АшламаДВ_Gomumy,2,FALSE)))</f>
        <v>Нет</v>
      </c>
      <c r="DT304" s="70" t="str">
        <f>IF($DR304="Нет","Нет",IF(Исходн.данные.!$AO304&gt;0,VLOOKUP($DR304,АшламаДВ_Irekle,3,FALSE),VLOOKUP($DR304,АшламаДВ_Gomumy,3,FALSE)))</f>
        <v>Нет</v>
      </c>
      <c r="DU304" s="70" t="str">
        <f>IF($DR304="Нет","Нет",IF(Исходн.данные.!$AO304&gt;0,VLOOKUP($DR304,АшламаДВ_Irekle,4,FALSE),VLOOKUP($DR304,АшламаДВ_Gomumy,4,FALSE)))</f>
        <v>Нет</v>
      </c>
      <c r="DV304" s="70"/>
      <c r="DW304" s="70"/>
      <c r="DX304" s="70"/>
      <c r="DY304" s="10">
        <f t="shared" si="396"/>
        <v>0</v>
      </c>
      <c r="DZ304" s="10">
        <f t="shared" si="397"/>
        <v>0</v>
      </c>
      <c r="EA304" s="10">
        <f t="shared" si="398"/>
        <v>0</v>
      </c>
      <c r="EB304" s="10">
        <f t="shared" si="399"/>
        <v>0</v>
      </c>
      <c r="EC304" s="10">
        <f t="shared" si="400"/>
        <v>0</v>
      </c>
      <c r="ED304" s="10">
        <f t="shared" si="401"/>
        <v>0</v>
      </c>
      <c r="EE304" s="10">
        <f t="shared" si="402"/>
        <v>0</v>
      </c>
      <c r="EF304" s="39">
        <f>EB304*Исходн.данные.!AJ304/1000</f>
        <v>0</v>
      </c>
      <c r="EG304" s="9">
        <f t="shared" si="403"/>
        <v>0</v>
      </c>
      <c r="EH304" s="9">
        <f t="shared" si="404"/>
        <v>0</v>
      </c>
      <c r="EI304" s="39" t="e">
        <f t="shared" si="354"/>
        <v>#DIV/0!</v>
      </c>
      <c r="EJ304" s="9" t="str">
        <f t="shared" si="375"/>
        <v>Азопреципитат</v>
      </c>
      <c r="EK304" s="12">
        <f t="shared" si="355"/>
        <v>0.26</v>
      </c>
      <c r="EL304" s="12">
        <f t="shared" si="356"/>
        <v>0.13</v>
      </c>
      <c r="EM304" s="12">
        <f t="shared" si="357"/>
        <v>0</v>
      </c>
      <c r="EN304" s="12" t="str">
        <f t="shared" si="376"/>
        <v>Нет</v>
      </c>
      <c r="EO304" s="12">
        <f t="shared" si="358"/>
        <v>0</v>
      </c>
      <c r="EP304" s="12">
        <f t="shared" si="359"/>
        <v>0</v>
      </c>
      <c r="EQ304" s="12">
        <f t="shared" si="360"/>
        <v>0</v>
      </c>
      <c r="ER304" s="12" t="str">
        <f t="shared" si="405"/>
        <v>Диаммофоска</v>
      </c>
      <c r="ES304" s="12">
        <f t="shared" si="361"/>
        <v>0.1</v>
      </c>
      <c r="ET304" s="12">
        <f t="shared" si="362"/>
        <v>0.26</v>
      </c>
      <c r="EU304" s="12">
        <f t="shared" si="363"/>
        <v>0.26</v>
      </c>
      <c r="EV304" s="12" t="str">
        <f t="shared" si="406"/>
        <v>Аммофос 12:52:00</v>
      </c>
      <c r="EW304" s="12" t="str">
        <f t="shared" si="407"/>
        <v>Кемира Свекловичное-6</v>
      </c>
      <c r="EX304" s="12">
        <f t="shared" si="364"/>
        <v>0.16</v>
      </c>
      <c r="EY304" s="12">
        <f t="shared" si="365"/>
        <v>0.12</v>
      </c>
      <c r="EZ304" s="12">
        <f t="shared" si="366"/>
        <v>0.17</v>
      </c>
      <c r="FA304" s="38" t="e">
        <f>IF(AND(OR(FJ304=$FD$1,FM304=$FD$1,FO304=$FD$1,FQ304=$FD$1,FS304=$FD$1),FD304=$FD$1,Исходн.данные.!J304&lt;2,FU304=$FD$1),"Бор,Кобальт",IF(AND(FO304=$FD$1,FH304=$FD$1,Исходн.данные.!J304&lt;2,FU304=$FD$1),"Бор,Кобальт",IF(AND(OR(FJ304=$FD$1,FM304=$FD$1,FQ304=$FD$1),FE304=$FD$1,Исходн.данные.!J304&lt;2,FT304=$FD$1,FU304=$FD$1),"Бор,Медь,Цинк",IF(AND(OR(FJ304=$FD$1,FR304="Да"),FI304="Да",Исходн.данные.!J304&lt;2,FT304="Да",FU304="Да"),"Бор,Цинк,Медь",IF(AND(OR(FM304="Да",FQ304="Да"),FI304="Да",Исходн.данные.!J304&lt;2,FT304="Да",FU304="Да"),"Бор,Цинк",IF(AND(FN304="Да",OR(FD304="Да",FE304="Да")),"Бор",FB304))))))</f>
        <v>#N/A</v>
      </c>
      <c r="FB304" s="134" t="e">
        <f>IF(AND(OR(FD304="Да",FE304="Да",FF304="Да",FG304="Да",FH304="Да"),FO304="Да"),"Бор",IF(AND(FP304="Да",OR(FD304="Да",FE304="Да",FI304="Да")),"Бор",IF(AND(FS304="Да",FE304="Да"),"Бор,Медь",IF(AND(OR(FJ304="Да",FK304="Да",FL304="Да"),FE304="Да",Исходн.данные.!I304&lt;5,FT304="Да",FU304="Да"),"Молибден,Цинк",IF(AND(FM304="Да",OR(FE304="Да",FF304="Да",FG304="Да",FH304="Да",FI304="Да")),"Молибден,Цинк",IF(AND(OR(FJ304="Да",FK304="Да",FL304="Да",FM304="Да",FQ304="Да"),OR(FE304="Да",FF304="Да"),FT304="Да",FU304="Да",Исходн.данные.!I304&gt;5.5),"Медь,Цинк",FC304))))))</f>
        <v>#N/A</v>
      </c>
      <c r="FC304" s="23" t="e">
        <f t="shared" si="408"/>
        <v>#N/A</v>
      </c>
      <c r="FD304" s="38" t="str">
        <f>IF(OR(Исходн.данные.!F304=$CC$1,Исходн.данные.!F304=$CC$2,Исходн.данные.!F304=$CC$3,Исходн.данные.!F304=$CC$4),"Да","Нет")</f>
        <v>Нет</v>
      </c>
      <c r="FE304" s="38" t="str">
        <f>IF(Исходн.данные.!F304=$CC$5,"Да","Нет")</f>
        <v>Нет</v>
      </c>
      <c r="FF304" s="38" t="str">
        <f>IF(OR(Исходн.данные.!F304=$CC$6,Исходн.данные.!F304=$CC$7),"Да","Нет")</f>
        <v>Нет</v>
      </c>
      <c r="FG304" s="38" t="str">
        <f>IF(OR(Исходн.данные.!F304=$CC$8,Исходн.данные.!F304=$CC$9),"Да","Нет")</f>
        <v>Нет</v>
      </c>
      <c r="FH304" s="38" t="str">
        <f>IF(Исходн.данные.!F304=$CC$10,"Да","Нет")</f>
        <v>Нет</v>
      </c>
      <c r="FI304" s="38" t="str">
        <f>IF(OR(Исходн.данные.!F304=$CC$11,Исходн.данные.!F304=$CC$12),"Да","Нет")</f>
        <v>Нет</v>
      </c>
      <c r="FJ304" s="38" t="str">
        <f>IF(OR(Исходн.данные.!AH304=$BS$1,Исходн.данные.!AH304=$BQ$11,Исходн.данные.!AH304=$BQ$12),"Да","Нет")</f>
        <v>Нет</v>
      </c>
      <c r="FK304" s="38" t="str">
        <f>IF(OR(Исходн.данные.!AH304=$BS$2,Исходн.данные.!AH304=$BS$4),"Да","Нет")</f>
        <v>Нет</v>
      </c>
      <c r="FL304" s="38" t="str">
        <f>IF(OR(Исходн.данные.!AH304=$BS$3,Исходн.данные.!AH304=$BS$5),"Да","Нет")</f>
        <v>Нет</v>
      </c>
      <c r="FM304" s="38" t="str">
        <f>IF(OR(Исходн.данные.!AH304=$BS$9,Исходн.данные.!AH304=$BS$10,Исходн.данные.!AH304=$BS$11,Исходн.данные.!AH304=$BS$12),"Да","Нет")</f>
        <v>Нет</v>
      </c>
      <c r="FN304" s="38" t="str">
        <f>IF(OR(Исходн.данные.!AH304=$BS$6,Исходн.данные.!AH304=$BP$3),"Да","Нет")</f>
        <v>Нет</v>
      </c>
      <c r="FO304" s="38" t="str">
        <f>IF(Исходн.данные.!AH304=$BQ$9,"Да","Нет")</f>
        <v>Нет</v>
      </c>
      <c r="FP304" s="38" t="str">
        <f>IF(OR(Исходн.данные.!AH304=$BS$8,Исходн.данные.!AH304=$BT$8),"Да","Нет")</f>
        <v>Нет</v>
      </c>
      <c r="FQ304" s="38" t="str">
        <f>IF(OR(Исходн.данные.!AH304=$BQ$7,Исходн.данные.!AH304=$BQ$8),"Да","Нет")</f>
        <v>Нет</v>
      </c>
      <c r="FR304" s="38" t="str">
        <f>IF(Исходн.данные.!AI304=$BU$9,"Да","Нет")</f>
        <v>Нет</v>
      </c>
      <c r="FS304" s="38" t="str">
        <f>IF(OR(Исходн.данные.!AH304=$BP$1,Исходн.данные.!AH304=$BP$2),"Да","Нет")</f>
        <v>Нет</v>
      </c>
      <c r="FT304" s="38" t="e">
        <f>IF((Исходн.данные.!K304*GO304*GS304*GW304+BL304*0.6+Исходн.данные.!Q304*4.5*0.275)&gt;90,"Да","Нет")</f>
        <v>#N/A</v>
      </c>
      <c r="FU304" s="38" t="e">
        <f>IF((Исходн.данные.!M304*GS304*GZ304+BM304*0.225)&gt;35,"Да","Нет")</f>
        <v>#N/A</v>
      </c>
      <c r="FV304" s="38" t="str">
        <f>IF(Исходн.данные.!O304&gt;175,"Да","Нет")</f>
        <v>Нет</v>
      </c>
      <c r="FW304" s="39" t="str">
        <f>IF(Исходн.данные.!I304&gt;5.5,"Да","Нет")</f>
        <v>Нет</v>
      </c>
      <c r="FX304" s="39" t="str">
        <f>IF(Исходн.данные.!J304&lt;2,"Да","Нет")</f>
        <v>Да</v>
      </c>
      <c r="FY304" s="39" t="e">
        <f>IF(HF304=$FY$16,0,Исходн.данные.!K304*GO304*GS304*GW304/HF304)</f>
        <v>#N/A</v>
      </c>
      <c r="FZ304" s="39" t="e">
        <f>Исходн.данные.!M304*GS304*GZ304/HG304</f>
        <v>#N/A</v>
      </c>
      <c r="GA304" s="39" t="e">
        <f>IF(K_Wyn=$FY$16,0,IF(Исходн.данные.!N304=Исходн.данные.!$L$10,Исходн.данные.!O304/1.1*GS304*HC304/HH304,IF(Исходн.данные.!N304=Исходн.данные.!$L$12,Исходн.данные.!O304/1.5*GS304*HC304/HH304,Исходн.данные.!O304*GS304*HC304/HH304)))</f>
        <v>#N/A</v>
      </c>
      <c r="GB304" s="39" t="e">
        <f>IF(HF304=$FY$16,0,((Исходн.данные.!Q304*N_Org+Исходн.данные.!R304*N_Sider+Исходн.данные.!S304*N_Soloma)*AO304+Расчет!BC304*VLOOKUP(Исходн.данные.!T304,Справ!$A$3:$O$57,15)*AO304+BB304*VLOOKUP(Исходн.данные.!T304,Справ!$A$3:$O$57,15)*AL304+(Исходн.данные.!V304*N_Rizotorf+Исходн.данные.!W304*N_Rizoagr))/HF304)</f>
        <v>#N/A</v>
      </c>
      <c r="GC304" s="39" t="e">
        <f>IF(HG304=$FY$16,0,((Исходн.данные.!Q304*Р_Org+Исходн.данные.!R304*P_Sider+Исходн.данные.!S304*P_Soloma)*AP304+Расчет!BC304*VLOOKUP(Исходн.данные.!T304,Справ!$A$3:$P$57,16)*AP304+BB304*VLOOKUP(Исходн.данные.!T304,Справ!$A$3:$P$57,16)*AM304)/HG304)</f>
        <v>#N/A</v>
      </c>
      <c r="GD304" s="39" t="e">
        <f>IF(HH304=$FY$16,0,((Исходн.данные.!Q304*К_Org+Исходн.данные.!R304*K_Sider+Исходн.данные.!S304*K_Soloma)*AQ304+Расчет!BC304*VLOOKUP(Исходн.данные.!T304,Справ!$A$3:$Q$57,17)*AQ304+BB304*VLOOKUP(Исходн.данные.!T304,Справ!$A$3:$Q$57,17)*AN304)/HH304)</f>
        <v>#N/A</v>
      </c>
      <c r="GE304" s="39" t="e">
        <f>IF(HF304=$FY$16,0,(Исходн.данные.!X304*AR304+Исходн.данные.!AA304*N_Org*AL304+Исходн.данные.!AB304*N_Sider*AL304+Исходн.данные.!AC304*N_Soloma*AL304)/HF304)</f>
        <v>#N/A</v>
      </c>
      <c r="GF304" s="39" t="e">
        <f>IF(HG304=$FY$16,0,(Исходн.данные.!Y304*AS304+Исходн.данные.!AA304*Р_Org*AM304+Исходн.данные.!AB304*P_Sider*AM304+Исходн.данные.!AC304*P_Soloma*AM304)/HG304)</f>
        <v>#N/A</v>
      </c>
      <c r="GG304" s="39" t="e">
        <f>IF(HH304=$FY$16,0,(Исходн.данные.!Z304*AT304+Исходн.данные.!AA304*К_Org*AN304+Исходн.данные.!AB304*K_Sider*AN304+Исходн.данные.!AC304*K_Soloma*AN304)/HH304)</f>
        <v>#N/A</v>
      </c>
      <c r="GH304" s="39" t="e">
        <f>Исходн.данные.!AD304*AU304/HF304</f>
        <v>#N/A</v>
      </c>
      <c r="GI304" s="39" t="e">
        <f>Исходн.данные.!AE304*AV304/HG304</f>
        <v>#N/A</v>
      </c>
      <c r="GJ304" s="39" t="e">
        <f>Исходн.данные.!AF304*AW304/HH304</f>
        <v>#N/A</v>
      </c>
      <c r="GK304" s="55">
        <f>Исходн.данные.!AK304</f>
        <v>0</v>
      </c>
      <c r="GL304" s="11" t="e">
        <f t="shared" si="409"/>
        <v>#N/A</v>
      </c>
      <c r="GM304" s="11" t="e">
        <f t="shared" si="410"/>
        <v>#N/A</v>
      </c>
      <c r="GN304" s="11" t="e">
        <f t="shared" si="411"/>
        <v>#N/A</v>
      </c>
      <c r="GO304" s="57">
        <f t="shared" si="412"/>
        <v>19</v>
      </c>
      <c r="GP304" s="55">
        <f>IF(OR(Исходн.данные.!F304=$CE$1,Исходн.данные.!F304=$CE$2,Исходн.данные.!F304=$CE$3,Исходн.данные.!F304=$CE$4,Исходн.данные.!F304=$CE$5),GQ304,GR304)</f>
        <v>19</v>
      </c>
      <c r="GQ304" s="55">
        <f>IF(Исходн.данные.!F304=$CE$1,28,IF(Исходн.данные.!F304=$CE$2,26,IF(Исходн.данные.!F304=$CE$3,24,IF(Исходн.данные.!F304=$CE$4,22,IF(Исходн.данные.!F304=$CE$5,20,GR304)))))</f>
        <v>19</v>
      </c>
      <c r="GR304" s="55">
        <f>IF(Исходн.данные.!F304=$CE$6,18,IF(Исходн.данные.!F304=$CE$7,16,IF(Исходн.данные.!F304=$CE$8,14,IF(Исходн.данные.!F304=$CE$9,13,IF(Исходн.данные.!F304=$CE$10,12,19)))))</f>
        <v>19</v>
      </c>
      <c r="GS304" s="55">
        <f>IF(Исходн.данные.!G304="Пес",0.035*(40+2*Исходн.данные.!H304),IF(Исходн.данные.!G304="Суп",0.0325*(40+2*Исходн.данные.!H304),0.03*(40+2*Исходн.данные.!H304)))</f>
        <v>1.2</v>
      </c>
      <c r="GT304" s="55">
        <f>IF(Исходн.данные.!H304&lt;23,2.6,IF(AND(Исходн.данные.!H304&gt;22,Исходн.данные.!H304&lt;26),3,IF(AND(Исходн.данные.!H304&gt;25,Исходн.данные.!H304&lt;29),3.4,3.6)))</f>
        <v>2.6</v>
      </c>
      <c r="GU304" s="55">
        <f>IF(Исходн.данные.!H304&lt;23,2.8,IF(AND(Исходн.данные.!H304&gt;22,Исходн.данные.!H304&lt;26),3.2,IF(AND(Исходн.данные.!H304&gt;25,Исходн.данные.!H304&lt;29),3.6,3.9)))</f>
        <v>2.8</v>
      </c>
      <c r="GV304" s="55">
        <f>IF(Исходн.данные.!H304&lt;23,3,IF(AND(Исходн.данные.!H304&gt;22,Исходн.данные.!H304&lt;26),3.5,IF(AND(Исходн.данные.!H304&gt;25,Исходн.данные.!H304&lt;29),3.9,4.2)))</f>
        <v>3</v>
      </c>
      <c r="GW304" s="55" t="e">
        <f>IF(Исходн.данные.!P304="Ум",GX304,GY304)</f>
        <v>#N/A</v>
      </c>
      <c r="GX304" s="55" t="e">
        <f>VLOOKUP(Исходн.данные.!AI304,Коэффициенты!$J$7:$L$13,2,FALSE)</f>
        <v>#N/A</v>
      </c>
      <c r="GY304" s="55" t="e">
        <f>VLOOKUP(Исходн.данные.!AI304,Коэффициенты!$J$7:$L$13,3,FALSE)</f>
        <v>#N/A</v>
      </c>
      <c r="GZ304" s="55" t="e">
        <f>(IF(Исходн.данные.!M304&lt;50,0.11*VLOOKUP(Исходн.данные.!AH304,Культуры.Информация,7,FALSE),IF(Исходн.данные.!M304&gt;250,0.05*VLOOKUP(Исходн.данные.!AH304,Культуры.Информация,7,FALSE),VLOOKUP(Исходн.данные.!AH304,Культуры.Информация,5,FALSE)/100*($GX$6+$GY$6*Исходн.данные.!M304))))*Расчет2!AI304</f>
        <v>#N/A</v>
      </c>
      <c r="HA304" s="211"/>
      <c r="HB304" s="211"/>
      <c r="HC304" s="55" t="e">
        <f>(IF(Исходн.данные.!O304&lt;80,0.2*VLOOKUP(Исходн.данные.!AH304,Культуры.Информация,8,FALSE),IF(Исходн.данные.!O304&gt;240,0.09*VLOOKUP(Исходн.данные.!AH304,Культуры.Информация,8,FALSE),VLOOKUP(Исходн.данные.!AH304,Культуры.Информация,6,FALSE)/100*($HB$6+$HC$6*Исходн.данные.!O304))))*Расчет2!AJ304</f>
        <v>#N/A</v>
      </c>
      <c r="HD304" s="55">
        <f>IF(Исходн.данные.!O304&gt;240,0.09,IF(Исходн.данные.!O304&lt;30,0.3,$HE$10+$HD$10*Исходн.данные.!O304))</f>
        <v>0.3</v>
      </c>
      <c r="HE304" s="55">
        <f>IF(Исходн.данные.!O304&gt;240,0.17,IF(Исходн.данные.!O304&lt;30,0.5,$HF$12+$HE$12*Исходн.данные.!O304))</f>
        <v>0.5</v>
      </c>
      <c r="HF304" s="55" t="e">
        <f>VLOOKUP(Исходн.данные.!AH304,Справ!$A$3:$D$58,2,FALSE)</f>
        <v>#N/A</v>
      </c>
      <c r="HG304" s="55" t="e">
        <f>VLOOKUP(Исходн.данные.!AH304,Справ!$A$3:$D$58,3,FALSE)</f>
        <v>#N/A</v>
      </c>
      <c r="HH304" s="55" t="e">
        <f>VLOOKUP(Исходн.данные.!AH304,Справ!$A$3:$D$58,4,FALSE)</f>
        <v>#N/A</v>
      </c>
      <c r="HI304" s="11" t="e">
        <f t="shared" si="413"/>
        <v>#N/A</v>
      </c>
      <c r="HJ304" s="11" t="e">
        <f t="shared" si="414"/>
        <v>#N/A</v>
      </c>
      <c r="HK304" s="11" t="e">
        <f t="shared" si="415"/>
        <v>#N/A</v>
      </c>
      <c r="HL304" s="55">
        <f>IF(OR(Исходн.данные.!G304="Глин",Исходн.данные.!G304="Т_суг"),1.1,IF(Исходн.данные.!G304="Ср_суг",1,1))</f>
        <v>1</v>
      </c>
      <c r="HM304" s="55">
        <f>IF(OR(Исходн.данные.!G304="Глин",Исходн.данные.!G304="Т_суг"),0.9,IF(Исходн.данные.!G304="Ср_суг",1,1.2))</f>
        <v>1.2</v>
      </c>
      <c r="HN304" s="11" t="e">
        <f t="shared" si="416"/>
        <v>#N/A</v>
      </c>
      <c r="HO304" s="11" t="e">
        <f t="shared" si="417"/>
        <v>#N/A</v>
      </c>
      <c r="HP304" s="11" t="e">
        <f t="shared" si="418"/>
        <v>#N/A</v>
      </c>
      <c r="HQ304" t="e">
        <f t="shared" si="419"/>
        <v>#N/A</v>
      </c>
      <c r="HR304" t="e">
        <f t="shared" si="420"/>
        <v>#N/A</v>
      </c>
      <c r="HS304" t="e">
        <f t="shared" si="421"/>
        <v>#N/A</v>
      </c>
      <c r="HT304" t="e">
        <f t="shared" si="367"/>
        <v>#N/A</v>
      </c>
      <c r="HU304" t="e">
        <f t="shared" si="368"/>
        <v>#N/A</v>
      </c>
      <c r="HV304" t="e">
        <f t="shared" si="369"/>
        <v>#N/A</v>
      </c>
      <c r="HW304" t="e">
        <f t="shared" si="370"/>
        <v>#N/A</v>
      </c>
      <c r="HX304" t="e">
        <f t="shared" si="371"/>
        <v>#N/A</v>
      </c>
      <c r="HY304" t="e">
        <f t="shared" si="372"/>
        <v>#N/A</v>
      </c>
      <c r="HZ304" s="55">
        <f>IF(OR(Исходн.данные.!AI304="Оз_Ч_П",Исходн.данные.!AI304="Оз_З_П",Исходн.данные.!AI304="Яр_зер"),12,30)</f>
        <v>30</v>
      </c>
      <c r="IA304" t="e">
        <f t="shared" si="422"/>
        <v>#N/A</v>
      </c>
      <c r="IB304" t="e">
        <f t="shared" si="423"/>
        <v>#N/A</v>
      </c>
      <c r="IC304" t="e">
        <f t="shared" si="424"/>
        <v>#N/A</v>
      </c>
      <c r="ID304" s="11" t="e">
        <f t="shared" si="425"/>
        <v>#N/A</v>
      </c>
      <c r="IE304" s="11" t="e">
        <f t="shared" si="426"/>
        <v>#N/A</v>
      </c>
      <c r="IF304" s="11" t="e">
        <f t="shared" si="427"/>
        <v>#N/A</v>
      </c>
    </row>
    <row r="305" spans="35:240" x14ac:dyDescent="0.2">
      <c r="AI305">
        <f>IF(Исходн.данные.!I305&gt;6,1,1.85-(0.148*Исходн.данные.!I305))</f>
        <v>1.85</v>
      </c>
      <c r="AJ305">
        <f>IF(Исходн.данные.!I305&gt;6,1,2.434-(0.246*Исходн.данные.!I305))</f>
        <v>2.4340000000000002</v>
      </c>
      <c r="AL305" s="148" t="b">
        <f>IF(Исходн.данные.!$P305="Ум",N_OrgUd_2g_um,IF(Исходн.данные.!$P305="Об",N_OrgUd_2g_ob))</f>
        <v>0</v>
      </c>
      <c r="AM305" s="148" t="b">
        <f>IF(Исходн.данные.!$P305="Ум",P_OrgUd_2g_um,IF(Исходн.данные.!$P305="Об",P_OrgUd_2g_ob))</f>
        <v>0</v>
      </c>
      <c r="AN305" s="148" t="b">
        <f>IF(Исходн.данные.!$P305="Ум",K_OrgUd_2g_um,IF(Исходн.данные.!$P305="Об",K_OrgUd_2g_ob))</f>
        <v>0</v>
      </c>
      <c r="AO305" s="148" t="b">
        <f>IF(Исходн.данные.!$P305="Ум",N_OrgUd_1g_um,IF(Исходн.данные.!$P305="Об",N_OrgUd_1g_ob))</f>
        <v>0</v>
      </c>
      <c r="AP305" s="148" t="b">
        <f>IF(Исходн.данные.!$P305="Ум",P_OrgUd_1g_um,IF(Исходн.данные.!$P305="Об",P_OrgUd_1g_ob))</f>
        <v>0</v>
      </c>
      <c r="AQ305" s="148" t="b">
        <f>IF(Исходн.данные.!$P305="Ум",K_OrgUd_1g_um,IF(Исходн.данные.!$P305="Об",K_OrgUd_1g_ob))</f>
        <v>0</v>
      </c>
      <c r="AR305" t="b">
        <f>IF(Исходн.данные.!$P305="Ум",N_MinUd_2g_um,IF(Исходн.данные.!$P305="Об",N_MinUd_2g_ob))</f>
        <v>0</v>
      </c>
      <c r="AS305" t="b">
        <f>IF(Исходн.данные.!$P305="Ум",P_MinUd_2g_um,IF(Исходн.данные.!$P305="Об",P_MinUd_2g_ob))</f>
        <v>0</v>
      </c>
      <c r="AT305" t="b">
        <f>IF(Исходн.данные.!$P305="Ум",K_MinUd_2g_um,IF(Исходн.данные.!$P305="Об",K_MinUd_2g_ob))</f>
        <v>0</v>
      </c>
      <c r="AU305" t="b">
        <f>IF(Исходн.данные.!$P305="Ум",N_MinUd_1g_um,IF(Исходн.данные.!$P305="Об",N_MinUd_1g_ob))</f>
        <v>0</v>
      </c>
      <c r="AV305" t="b">
        <f>IF(Исходн.данные.!P305="Ум",P_MinUd_1g_um,IF(Исходн.данные.!P305="Об",P_MinUd_1g_ob))</f>
        <v>0</v>
      </c>
      <c r="AW305" t="b">
        <f>IF(Исходн.данные.!P305="Ум",K_MinUd_1g_um,IF(Исходн.данные.!P305="Об",K_MinUd_1g_ob))</f>
        <v>0</v>
      </c>
      <c r="AY305" t="e">
        <f>VLOOKUP(Исходн.данные.!T305,Справ!$A$3:$N$57,12)</f>
        <v>#N/A</v>
      </c>
      <c r="AZ305" t="e">
        <f>VLOOKUP(Исходн.данные.!T305,Справ!$A$3:$N$57,13)</f>
        <v>#N/A</v>
      </c>
      <c r="BA305" t="e">
        <f>VLOOKUP(Исходн.данные.!T305,Справ!$A$3:$N$57,14)</f>
        <v>#N/A</v>
      </c>
      <c r="BB305">
        <f>IF(Исходн.данные.!AH305=0,0,25)</f>
        <v>0</v>
      </c>
      <c r="BC305" s="141">
        <f>IF(Исходн.данные.!AH305=0,0,IF(Исходн.данные.!T305=0,25,BD305))</f>
        <v>0</v>
      </c>
      <c r="BD305" s="168" t="e">
        <f>AY305+AZ305*Исходн.данные.!U305-POWER(BA305,2)*Исходн.данные.!U305</f>
        <v>#N/A</v>
      </c>
      <c r="BE30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5" s="25">
        <f>IF(Исходн.данные.!AH305=0,0,MIN(HN305:HP305))</f>
        <v>0</v>
      </c>
      <c r="BG305" s="9">
        <f>IF(Исходн.данные.!AH305=0,0,IF((HO305+10*0.25/HG305/HL305)&lt;17,17,HO305+10*0.25/HG305/HL305))</f>
        <v>0</v>
      </c>
      <c r="BH305" s="181">
        <f>IF(Исходн.данные.!AH305=0,0,HW305*HF305*HL305/AU305*AI305+Исходн.данные.!S305*10)</f>
        <v>0</v>
      </c>
      <c r="BI305" s="10"/>
      <c r="BJ305" s="182">
        <f>IF(Исходн.данные.!AH305=0,0,IF(HX305*HG305*HL305/AV305&lt;0,0,HX305*HG305*HL305/AV305*AJ305))</f>
        <v>0</v>
      </c>
      <c r="BK305" s="182">
        <f>IF(Исходн.данные.!AH305=0,0,HY305*HH305*HM305/AW305)</f>
        <v>0</v>
      </c>
      <c r="BL305" s="10">
        <f>IF(OR(Исходн.данные.!$AH305=$BP$1,Исходн.данные.!$AH305=$BP$2),0,IF(BH305&lt;0,0,IF(OR(Исходн.данные.!T305=Расчет!$BP$1,Исходн.данные.!T305=Расчет!$BP$2,Исходн.данные.!T305=Расчет!$BT$5,Исходн.данные.!T305=Расчет!$BT$6),BH305*0.5,IF(OR(Исходн.данные.!T305=Расчет!$BS$9,Исходн.данные.!T305=Расчет!$BS$10,Исходн.данные.!T305=Расчет!$BS$11,Исходн.данные.!T305=Расчет!$BS$12,Исходн.данные.!T305=Расчет!$BP$5),BH305*0.8,BH305))))</f>
        <v>0</v>
      </c>
      <c r="BM305" s="10">
        <f>IF(OR(Исходн.данные.!$AH305=$BP$1,Исходн.данные.!$AH305=$BP$2),0,IF(BJ305&lt;0,0,IF(Исходн.данные.!I305&lt;4.5,BJ305*1.2,IF(Исходн.данные.!I305&gt;5.1,BJ305,BJ305*((5.1-Исходн.данные.!I305)*0.333+1)))))</f>
        <v>0</v>
      </c>
      <c r="BN305" s="10">
        <f>IF(OR(Исходн.данные.!$AH305=$BP$1,Исходн.данные.!$AH305=$BP$2),60-Исходн.данные.!AF305,IF(BK305&lt;0,0,IF(Исходн.данные.!I305&lt;4.5,BK305*1.2,IF(Исходн.данные.!I305&gt;5.1,BK305,BK305*((5.1-Исходн.данные.!I305)*0.333+1)))))</f>
        <v>0</v>
      </c>
      <c r="BO305" s="9">
        <f>IF(BL305&lt;0,0,BL305*Исходн.данные.!$AJ305/1000)</f>
        <v>0</v>
      </c>
      <c r="BP305" s="9">
        <f>IF(BM305&lt;0,0,BM305*Исходн.данные.!$AJ305/1000)</f>
        <v>0</v>
      </c>
      <c r="BQ305" s="9">
        <f>IF(BN305&lt;0,0,BN305*Исходн.данные.!$AJ305/1000)</f>
        <v>0</v>
      </c>
      <c r="BR305" s="9">
        <f t="shared" si="377"/>
        <v>0</v>
      </c>
      <c r="BS305" s="10" t="str">
        <f t="shared" si="378"/>
        <v>Аммофос 12:52:00</v>
      </c>
      <c r="BT305" s="10" t="str">
        <f t="shared" si="379"/>
        <v>Аммофос 12:52:00</v>
      </c>
      <c r="BU305" s="10" t="str">
        <f t="shared" si="380"/>
        <v>Диаммофоска</v>
      </c>
      <c r="BV305" s="10">
        <f t="shared" si="381"/>
        <v>0</v>
      </c>
      <c r="BW305" s="10"/>
      <c r="BX305" s="10"/>
      <c r="BY305" s="9">
        <f>IF(BL305&lt;0,0,IF(OR(Исходн.данные.!AI305=Расчет!$BU$6,Исходн.данные.!AI305=Расчет!$BU$7),Расчет!BV305,IF(Исходн.данные.!$AG305=$BV$11,BL305,IF(OR(Исходн.данные.!$AH305=$BQ$7,Исходн.данные.!$AH305=$BQ$8),CB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0,IF(Исходн.данные.!$AI305=$BU$11,"Нет",IF(BL305&gt;30,30,BL305)))))))</f>
        <v>0</v>
      </c>
      <c r="BZ305" s="9">
        <f>IF(AND(Исходн.данные.!$AG305=$BV$11,BM305&lt;10),10,IF(Исходн.данные.!$AG305=$BV$11,BM305,IF(OR(Исходн.данные.!$AH305=$BQ$7,Исходн.данные.!$AH305=$BQ$8),CC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10,IF(Исходн.данные.!$AI305=$BU$11,"Нет",IF(BM305&gt;60,60,IF(BM305&lt;10,10,BM305)))))))</f>
        <v>10</v>
      </c>
      <c r="CA305" s="39">
        <f>IF(BN305&lt;0,0,IF(Исходн.данные.!$AG305=$BV$11,BN305,IF(OR(Исходн.данные.!$AH305=$BQ$7,Исходн.данные.!$AH305=$BQ$8),CD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0,IF(Исходн.данные.!$AI305=$BU$11,"Нет",IF(BN305&gt;30,30,BN305))))))</f>
        <v>0</v>
      </c>
      <c r="CB305" s="9">
        <f t="shared" si="382"/>
        <v>0</v>
      </c>
      <c r="CC305" s="9">
        <f t="shared" si="383"/>
        <v>0</v>
      </c>
      <c r="CD305" s="9">
        <f t="shared" si="384"/>
        <v>0</v>
      </c>
      <c r="CE305" s="12">
        <f t="shared" si="385"/>
        <v>10</v>
      </c>
      <c r="CF305" s="9">
        <f t="shared" si="386"/>
        <v>0</v>
      </c>
      <c r="CG305" s="9" t="s">
        <v>231</v>
      </c>
      <c r="CH305" s="132" t="str">
        <f>IF(Исходн.данные.!AP305=Расчет!$CI$16,"Нет",IF(Исходн.данные.!AL305&gt;0,Исходн.данные.!AL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BH$4,IF(OR(Исходн.данные.!AI305=Исходн.данные.!$AI$6,Исходн.данные.!AI305=Исходн.данные.!$AI$7),Расчет!BS305,IF(AND($CF305=0,$CE305&gt;0),EV305,ER305)))))</f>
        <v>Аммофос 12:52:00</v>
      </c>
      <c r="CI305" s="274">
        <f>IF(Расчет!$CH305="Нет","Нет",IF(Исходн.данные.!$AL305&gt;0,VLOOKUP(Расчет!$CH305,АшламаДВ_Irekle,2,FALSE),VLOOKUP(Расчет!$CH305,АшламаДВ_Gomumy,2,FALSE)))</f>
        <v>0.12</v>
      </c>
      <c r="CJ305" s="274">
        <f>IF(Расчет!$CH305="Нет","Нет",IF(Исходн.данные.!$AL305&gt;0,VLOOKUP(Расчет!$CH305,АшламаДВ_Irekle,3,FALSE),VLOOKUP(Расчет!$CH305,АшламаДВ_Gomumy,3,FALSE)))</f>
        <v>0.52</v>
      </c>
      <c r="CK305" s="274">
        <f>IF(Расчет!$CH305="Нет","Нет",IF(Исходн.данные.!$AL305&gt;0,VLOOKUP(Расчет!$CH305,АшламаДВ_Irekle,4,FALSE),VLOOKUP(Расчет!$CH305,АшламаДВ_Gomumy,4,FALSE)))</f>
        <v>0</v>
      </c>
      <c r="CL305" s="70"/>
      <c r="CM305" s="70"/>
      <c r="CN305" s="70"/>
      <c r="CO305" s="70"/>
      <c r="CP305" s="70"/>
      <c r="CQ305" s="70"/>
      <c r="CR305" s="10">
        <f t="shared" si="387"/>
        <v>0</v>
      </c>
      <c r="CS305" s="10">
        <f t="shared" si="388"/>
        <v>19.23076923076923</v>
      </c>
      <c r="CT305" s="10">
        <f t="shared" si="389"/>
        <v>0</v>
      </c>
      <c r="CU305" s="39">
        <f>IF($CH305="Нет",0,IF(CI305=0,30/MIN(CJ305:CK305),IF(Исходн.данные.!$AG305=$BV$11,CR305,IF(OR(Исходн.данные.!$AH305=$BQ$7,Исходн.данные.!$AH305=$BQ$8),90/CI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0,IF(Исходн.данные.!$AI305=$BU$11,"Нет",30/CI305))))))</f>
        <v>250</v>
      </c>
      <c r="CV305" s="39">
        <f>IF($CH305="Нет",0,IF(Исходн.данные.!AH305=0,0,IF(CJ305=0,60/MIN(CI305,CK305),IF(Исходн.данные.!$AG305=$BV$11,CS305,IF(OR(Исходн.данные.!$AH305=$BQ$7,Исходн.данные.!$AH305=$BQ$8),90/CJ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10/CJ305,IF(Исходн.данные.!$AI305=$BU$11,"Нет",60/CJ305)))))))</f>
        <v>0</v>
      </c>
      <c r="CW305" s="39">
        <f>IF($CH305="Нет",0,IF(Исходн.данные.!AH305=0,0,IF(CK305=0,30/MIN(CI305:CJ305),IF(Исходн.данные.!$AG305=$BV$11,CT305,IF(OR(Исходн.данные.!$AH305=$BQ$7,Исходн.данные.!$AH305=$BQ$8),90/CK305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0,IF(Исходн.данные.!$AI305=$BU$11,"Нет",30/CK305)))))))</f>
        <v>0</v>
      </c>
      <c r="CX305" s="133">
        <f>IF(Исходн.данные.!$AG305=$BV$11,MAX(CU305:CW305),IF(OR(Исходн.данные.!$AH305=$BS$8,Исходн.данные.!$AH305=$BQ$9,Исходн.данные.!$AH305=$BQ$10,Исходн.данные.!$AH305=$BQ$11,Исходн.данные.!$AH305=$BQ$12,Исходн.данные.!$AH305=$BP$3,Исходн.данные.!$AH305=$BT$8,$FM305="Да"),CV305,MIN(CU305:CW305)))</f>
        <v>0</v>
      </c>
      <c r="CY305" s="133">
        <f>IF(Исходн.данные.!AH305=0,0,IF(CR305&gt;$CX305,$CX305,CR305))</f>
        <v>0</v>
      </c>
      <c r="CZ305" s="133">
        <f>IF(Исходн.данные.!AH305=0,0,IF(CS305&gt;$CX305,$CX305,CS305))</f>
        <v>0</v>
      </c>
      <c r="DA305" s="133">
        <f>IF(Исходн.данные.!AH305=0,0,IF(CT305&gt;$CX305,$CX305,CT305))</f>
        <v>0</v>
      </c>
      <c r="DB305" s="10">
        <f t="shared" si="390"/>
        <v>0</v>
      </c>
      <c r="DC305" s="39">
        <f>DB305*Исходн.данные.!AJ305/1000</f>
        <v>0</v>
      </c>
      <c r="DD305" s="71">
        <f t="shared" si="391"/>
        <v>0</v>
      </c>
      <c r="DE305" s="9">
        <f t="shared" si="392"/>
        <v>0</v>
      </c>
      <c r="DF305" s="9">
        <f t="shared" si="393"/>
        <v>0</v>
      </c>
      <c r="DG305" s="39">
        <f>IF(BL305&lt;0,0,IF($CH305="Нет",BL305,IF(OR(Исходн.данные.!$AH305=$BP$1,Исходн.данные.!$AH305=$BP$2),0,IF(Исходн.данные.!AI305=$BU$11,BL305,IF(BL305-DD305&lt;0,0,BL305-DD305)))))</f>
        <v>0</v>
      </c>
      <c r="DH305" s="39">
        <f>IF(BM305&lt;0,0,IF($CH305="Нет",BM305,IF(OR(Исходн.данные.!$AH305=$BP$1,Исходн.данные.!$AH305=$BP$2),0,IF(Исходн.данные.!AJ305=$BU$11,BM305,IF(BM305-DE305&lt;0,0,BM305-DE305)))))</f>
        <v>0</v>
      </c>
      <c r="DI305" s="39">
        <f>IF(BN305&lt;0,0,IF($CH305="Нет",BN305,IF(OR(Исходн.данные.!$AH305=$BP$1,Исходн.данные.!$AH305=$BP$2),0,IF(Исходн.данные.!AK305=$BU$11,BN305,IF(BN305-DF305&lt;0,0,BN305-DF305)))))</f>
        <v>0</v>
      </c>
      <c r="DJ305" s="12">
        <f t="shared" si="394"/>
        <v>0</v>
      </c>
      <c r="DK305" s="9">
        <f t="shared" si="395"/>
        <v>0</v>
      </c>
      <c r="DL305" s="39">
        <f>IF(Исходн.данные.!AM305&gt;0,Исходн.данные.!AM305,IF(EG305&gt;0,$BH$10,0))</f>
        <v>0</v>
      </c>
      <c r="DM305" s="186">
        <f>IF($DL305=0,0,IF(Исходн.данные.!AM305&gt;0,VLOOKUP($DL305,АшламаДВ_Irekle,2,FALSE),VLOOKUP($DL305,АшламаДВ_Gomumy,2,FALSE)))</f>
        <v>0</v>
      </c>
      <c r="DN305" s="10">
        <f t="shared" si="373"/>
        <v>0</v>
      </c>
      <c r="DO305" s="9" t="str">
        <f>IF(Исходн.данные.!AN305&gt;0,Исходн.данные.!AN305,Удобрения!$B$37 )</f>
        <v>Хлор.калий</v>
      </c>
      <c r="DP305" s="9">
        <f>IF(Исходн.данные.!AN305&gt;0,VLOOKUP(Исходн.данные.!AN305,АшламаДВ_Irekle,4,FALSE),VLOOKUP(DO305,АшламаДВ_Gomumy,4,FALSE))</f>
        <v>0.6</v>
      </c>
      <c r="DQ305" s="10">
        <f t="shared" si="374"/>
        <v>0</v>
      </c>
      <c r="DR305" s="132" t="str">
        <f>IF(Исходн.данные.!AO305&gt;0,Исходн.данные.!AO305,IF(DH305=0,BS$17,IF(AND($DK305=0,$DJ305&gt;0),EJ305,EN305)))</f>
        <v>Нет</v>
      </c>
      <c r="DS305" s="70" t="str">
        <f>IF($DR305="Нет","Нет",IF(Исходн.данные.!$AO305&gt;0,VLOOKUP($DR305,АшламаДВ_Irekle,2,FALSE),VLOOKUP($DR305,АшламаДВ_Gomumy,2,FALSE)))</f>
        <v>Нет</v>
      </c>
      <c r="DT305" s="70" t="str">
        <f>IF($DR305="Нет","Нет",IF(Исходн.данные.!$AO305&gt;0,VLOOKUP($DR305,АшламаДВ_Irekle,3,FALSE),VLOOKUP($DR305,АшламаДВ_Gomumy,3,FALSE)))</f>
        <v>Нет</v>
      </c>
      <c r="DU305" s="70" t="str">
        <f>IF($DR305="Нет","Нет",IF(Исходн.данные.!$AO305&gt;0,VLOOKUP($DR305,АшламаДВ_Irekle,4,FALSE),VLOOKUP($DR305,АшламаДВ_Gomumy,4,FALSE)))</f>
        <v>Нет</v>
      </c>
      <c r="DV305" s="70"/>
      <c r="DW305" s="70"/>
      <c r="DX305" s="70"/>
      <c r="DY305" s="10">
        <f t="shared" si="396"/>
        <v>0</v>
      </c>
      <c r="DZ305" s="10">
        <f t="shared" si="397"/>
        <v>0</v>
      </c>
      <c r="EA305" s="10">
        <f t="shared" si="398"/>
        <v>0</v>
      </c>
      <c r="EB305" s="10">
        <f t="shared" si="399"/>
        <v>0</v>
      </c>
      <c r="EC305" s="10">
        <f t="shared" si="400"/>
        <v>0</v>
      </c>
      <c r="ED305" s="10">
        <f t="shared" si="401"/>
        <v>0</v>
      </c>
      <c r="EE305" s="10">
        <f t="shared" si="402"/>
        <v>0</v>
      </c>
      <c r="EF305" s="39">
        <f>EB305*Исходн.данные.!AJ305/1000</f>
        <v>0</v>
      </c>
      <c r="EG305" s="9">
        <f t="shared" si="403"/>
        <v>0</v>
      </c>
      <c r="EH305" s="9">
        <f t="shared" si="404"/>
        <v>0</v>
      </c>
      <c r="EI305" s="39" t="e">
        <f t="shared" si="354"/>
        <v>#DIV/0!</v>
      </c>
      <c r="EJ305" s="9" t="str">
        <f t="shared" si="375"/>
        <v>Азопреципитат</v>
      </c>
      <c r="EK305" s="12">
        <f t="shared" si="355"/>
        <v>0.26</v>
      </c>
      <c r="EL305" s="12">
        <f t="shared" si="356"/>
        <v>0.13</v>
      </c>
      <c r="EM305" s="12">
        <f t="shared" si="357"/>
        <v>0</v>
      </c>
      <c r="EN305" s="12" t="str">
        <f t="shared" si="376"/>
        <v>Нет</v>
      </c>
      <c r="EO305" s="12">
        <f t="shared" si="358"/>
        <v>0</v>
      </c>
      <c r="EP305" s="12">
        <f t="shared" si="359"/>
        <v>0</v>
      </c>
      <c r="EQ305" s="12">
        <f t="shared" si="360"/>
        <v>0</v>
      </c>
      <c r="ER305" s="12" t="str">
        <f t="shared" si="405"/>
        <v>Диаммофоска</v>
      </c>
      <c r="ES305" s="12">
        <f t="shared" si="361"/>
        <v>0.1</v>
      </c>
      <c r="ET305" s="12">
        <f t="shared" si="362"/>
        <v>0.26</v>
      </c>
      <c r="EU305" s="12">
        <f t="shared" si="363"/>
        <v>0.26</v>
      </c>
      <c r="EV305" s="12" t="str">
        <f t="shared" si="406"/>
        <v>Аммофос 12:52:00</v>
      </c>
      <c r="EW305" s="12" t="str">
        <f t="shared" si="407"/>
        <v>Кемира Свекловичное-6</v>
      </c>
      <c r="EX305" s="12">
        <f t="shared" si="364"/>
        <v>0.16</v>
      </c>
      <c r="EY305" s="12">
        <f t="shared" si="365"/>
        <v>0.12</v>
      </c>
      <c r="EZ305" s="12">
        <f t="shared" si="366"/>
        <v>0.17</v>
      </c>
      <c r="FA305" s="38" t="e">
        <f>IF(AND(OR(FJ305=$FD$1,FM305=$FD$1,FO305=$FD$1,FQ305=$FD$1,FS305=$FD$1),FD305=$FD$1,Исходн.данные.!J305&lt;2,FU305=$FD$1),"Бор,Кобальт",IF(AND(FO305=$FD$1,FH305=$FD$1,Исходн.данные.!J305&lt;2,FU305=$FD$1),"Бор,Кобальт",IF(AND(OR(FJ305=$FD$1,FM305=$FD$1,FQ305=$FD$1),FE305=$FD$1,Исходн.данные.!J305&lt;2,FT305=$FD$1,FU305=$FD$1),"Бор,Медь,Цинк",IF(AND(OR(FJ305=$FD$1,FR305="Да"),FI305="Да",Исходн.данные.!J305&lt;2,FT305="Да",FU305="Да"),"Бор,Цинк,Медь",IF(AND(OR(FM305="Да",FQ305="Да"),FI305="Да",Исходн.данные.!J305&lt;2,FT305="Да",FU305="Да"),"Бор,Цинк",IF(AND(FN305="Да",OR(FD305="Да",FE305="Да")),"Бор",FB305))))))</f>
        <v>#N/A</v>
      </c>
      <c r="FB305" s="134" t="e">
        <f>IF(AND(OR(FD305="Да",FE305="Да",FF305="Да",FG305="Да",FH305="Да"),FO305="Да"),"Бор",IF(AND(FP305="Да",OR(FD305="Да",FE305="Да",FI305="Да")),"Бор",IF(AND(FS305="Да",FE305="Да"),"Бор,Медь",IF(AND(OR(FJ305="Да",FK305="Да",FL305="Да"),FE305="Да",Исходн.данные.!I305&lt;5,FT305="Да",FU305="Да"),"Молибден,Цинк",IF(AND(FM305="Да",OR(FE305="Да",FF305="Да",FG305="Да",FH305="Да",FI305="Да")),"Молибден,Цинк",IF(AND(OR(FJ305="Да",FK305="Да",FL305="Да",FM305="Да",FQ305="Да"),OR(FE305="Да",FF305="Да"),FT305="Да",FU305="Да",Исходн.данные.!I305&gt;5.5),"Медь,Цинк",FC305))))))</f>
        <v>#N/A</v>
      </c>
      <c r="FC305" s="23" t="e">
        <f t="shared" si="408"/>
        <v>#N/A</v>
      </c>
      <c r="FD305" s="38" t="str">
        <f>IF(OR(Исходн.данные.!F305=$CC$1,Исходн.данные.!F305=$CC$2,Исходн.данные.!F305=$CC$3,Исходн.данные.!F305=$CC$4),"Да","Нет")</f>
        <v>Нет</v>
      </c>
      <c r="FE305" s="38" t="str">
        <f>IF(Исходн.данные.!F305=$CC$5,"Да","Нет")</f>
        <v>Нет</v>
      </c>
      <c r="FF305" s="38" t="str">
        <f>IF(OR(Исходн.данные.!F305=$CC$6,Исходн.данные.!F305=$CC$7),"Да","Нет")</f>
        <v>Нет</v>
      </c>
      <c r="FG305" s="38" t="str">
        <f>IF(OR(Исходн.данные.!F305=$CC$8,Исходн.данные.!F305=$CC$9),"Да","Нет")</f>
        <v>Нет</v>
      </c>
      <c r="FH305" s="38" t="str">
        <f>IF(Исходн.данные.!F305=$CC$10,"Да","Нет")</f>
        <v>Нет</v>
      </c>
      <c r="FI305" s="38" t="str">
        <f>IF(OR(Исходн.данные.!F305=$CC$11,Исходн.данные.!F305=$CC$12),"Да","Нет")</f>
        <v>Нет</v>
      </c>
      <c r="FJ305" s="38" t="str">
        <f>IF(OR(Исходн.данные.!AH305=$BS$1,Исходн.данные.!AH305=$BQ$11,Исходн.данные.!AH305=$BQ$12),"Да","Нет")</f>
        <v>Нет</v>
      </c>
      <c r="FK305" s="38" t="str">
        <f>IF(OR(Исходн.данные.!AH305=$BS$2,Исходн.данные.!AH305=$BS$4),"Да","Нет")</f>
        <v>Нет</v>
      </c>
      <c r="FL305" s="38" t="str">
        <f>IF(OR(Исходн.данные.!AH305=$BS$3,Исходн.данные.!AH305=$BS$5),"Да","Нет")</f>
        <v>Нет</v>
      </c>
      <c r="FM305" s="38" t="str">
        <f>IF(OR(Исходн.данные.!AH305=$BS$9,Исходн.данные.!AH305=$BS$10,Исходн.данные.!AH305=$BS$11,Исходн.данные.!AH305=$BS$12),"Да","Нет")</f>
        <v>Нет</v>
      </c>
      <c r="FN305" s="38" t="str">
        <f>IF(OR(Исходн.данные.!AH305=$BS$6,Исходн.данные.!AH305=$BP$3),"Да","Нет")</f>
        <v>Нет</v>
      </c>
      <c r="FO305" s="38" t="str">
        <f>IF(Исходн.данные.!AH305=$BQ$9,"Да","Нет")</f>
        <v>Нет</v>
      </c>
      <c r="FP305" s="38" t="str">
        <f>IF(OR(Исходн.данные.!AH305=$BS$8,Исходн.данные.!AH305=$BT$8),"Да","Нет")</f>
        <v>Нет</v>
      </c>
      <c r="FQ305" s="38" t="str">
        <f>IF(OR(Исходн.данные.!AH305=$BQ$7,Исходн.данные.!AH305=$BQ$8),"Да","Нет")</f>
        <v>Нет</v>
      </c>
      <c r="FR305" s="38" t="str">
        <f>IF(Исходн.данные.!AI305=$BU$9,"Да","Нет")</f>
        <v>Нет</v>
      </c>
      <c r="FS305" s="38" t="str">
        <f>IF(OR(Исходн.данные.!AH305=$BP$1,Исходн.данные.!AH305=$BP$2),"Да","Нет")</f>
        <v>Нет</v>
      </c>
      <c r="FT305" s="38" t="e">
        <f>IF((Исходн.данные.!K305*GO305*GS305*GW305+BL305*0.6+Исходн.данные.!Q305*4.5*0.275)&gt;90,"Да","Нет")</f>
        <v>#N/A</v>
      </c>
      <c r="FU305" s="38" t="e">
        <f>IF((Исходн.данные.!M305*GS305*GZ305+BM305*0.225)&gt;35,"Да","Нет")</f>
        <v>#N/A</v>
      </c>
      <c r="FV305" s="38" t="str">
        <f>IF(Исходн.данные.!O305&gt;175,"Да","Нет")</f>
        <v>Нет</v>
      </c>
      <c r="FW305" s="39" t="str">
        <f>IF(Исходн.данные.!I305&gt;5.5,"Да","Нет")</f>
        <v>Нет</v>
      </c>
      <c r="FX305" s="39" t="str">
        <f>IF(Исходн.данные.!J305&lt;2,"Да","Нет")</f>
        <v>Да</v>
      </c>
      <c r="FY305" s="39" t="e">
        <f>IF(HF305=$FY$16,0,Исходн.данные.!K305*GO305*GS305*GW305/HF305)</f>
        <v>#N/A</v>
      </c>
      <c r="FZ305" s="39" t="e">
        <f>Исходн.данные.!M305*GS305*GZ305/HG305</f>
        <v>#N/A</v>
      </c>
      <c r="GA305" s="39" t="e">
        <f>IF(K_Wyn=$FY$16,0,IF(Исходн.данные.!N305=Исходн.данные.!$L$10,Исходн.данные.!O305/1.1*GS305*HC305/HH305,IF(Исходн.данные.!N305=Исходн.данные.!$L$12,Исходн.данные.!O305/1.5*GS305*HC305/HH305,Исходн.данные.!O305*GS305*HC305/HH305)))</f>
        <v>#N/A</v>
      </c>
      <c r="GB305" s="39" t="e">
        <f>IF(HF305=$FY$16,0,((Исходн.данные.!Q305*N_Org+Исходн.данные.!R305*N_Sider+Исходн.данные.!S305*N_Soloma)*AO305+Расчет!BC305*VLOOKUP(Исходн.данные.!T305,Справ!$A$3:$O$57,15)*AO305+BB305*VLOOKUP(Исходн.данные.!T305,Справ!$A$3:$O$57,15)*AL305+(Исходн.данные.!V305*N_Rizotorf+Исходн.данные.!W305*N_Rizoagr))/HF305)</f>
        <v>#N/A</v>
      </c>
      <c r="GC305" s="39" t="e">
        <f>IF(HG305=$FY$16,0,((Исходн.данные.!Q305*Р_Org+Исходн.данные.!R305*P_Sider+Исходн.данные.!S305*P_Soloma)*AP305+Расчет!BC305*VLOOKUP(Исходн.данные.!T305,Справ!$A$3:$P$57,16)*AP305+BB305*VLOOKUP(Исходн.данные.!T305,Справ!$A$3:$P$57,16)*AM305)/HG305)</f>
        <v>#N/A</v>
      </c>
      <c r="GD305" s="39" t="e">
        <f>IF(HH305=$FY$16,0,((Исходн.данные.!Q305*К_Org+Исходн.данные.!R305*K_Sider+Исходн.данные.!S305*K_Soloma)*AQ305+Расчет!BC305*VLOOKUP(Исходн.данные.!T305,Справ!$A$3:$Q$57,17)*AQ305+BB305*VLOOKUP(Исходн.данные.!T305,Справ!$A$3:$Q$57,17)*AN305)/HH305)</f>
        <v>#N/A</v>
      </c>
      <c r="GE305" s="39" t="e">
        <f>IF(HF305=$FY$16,0,(Исходн.данные.!X305*AR305+Исходн.данные.!AA305*N_Org*AL305+Исходн.данные.!AB305*N_Sider*AL305+Исходн.данные.!AC305*N_Soloma*AL305)/HF305)</f>
        <v>#N/A</v>
      </c>
      <c r="GF305" s="39" t="e">
        <f>IF(HG305=$FY$16,0,(Исходн.данные.!Y305*AS305+Исходн.данные.!AA305*Р_Org*AM305+Исходн.данные.!AB305*P_Sider*AM305+Исходн.данные.!AC305*P_Soloma*AM305)/HG305)</f>
        <v>#N/A</v>
      </c>
      <c r="GG305" s="39" t="e">
        <f>IF(HH305=$FY$16,0,(Исходн.данные.!Z305*AT305+Исходн.данные.!AA305*К_Org*AN305+Исходн.данные.!AB305*K_Sider*AN305+Исходн.данные.!AC305*K_Soloma*AN305)/HH305)</f>
        <v>#N/A</v>
      </c>
      <c r="GH305" s="39" t="e">
        <f>Исходн.данные.!AD305*AU305/HF305</f>
        <v>#N/A</v>
      </c>
      <c r="GI305" s="39" t="e">
        <f>Исходн.данные.!AE305*AV305/HG305</f>
        <v>#N/A</v>
      </c>
      <c r="GJ305" s="39" t="e">
        <f>Исходн.данные.!AF305*AW305/HH305</f>
        <v>#N/A</v>
      </c>
      <c r="GK305" s="55">
        <f>Исходн.данные.!AK305</f>
        <v>0</v>
      </c>
      <c r="GL305" s="11" t="e">
        <f t="shared" si="409"/>
        <v>#N/A</v>
      </c>
      <c r="GM305" s="11" t="e">
        <f t="shared" si="410"/>
        <v>#N/A</v>
      </c>
      <c r="GN305" s="11" t="e">
        <f t="shared" si="411"/>
        <v>#N/A</v>
      </c>
      <c r="GO305" s="57">
        <f t="shared" si="412"/>
        <v>19</v>
      </c>
      <c r="GP305" s="55">
        <f>IF(OR(Исходн.данные.!F305=$CE$1,Исходн.данные.!F305=$CE$2,Исходн.данные.!F305=$CE$3,Исходн.данные.!F305=$CE$4,Исходн.данные.!F305=$CE$5),GQ305,GR305)</f>
        <v>19</v>
      </c>
      <c r="GQ305" s="55">
        <f>IF(Исходн.данные.!F305=$CE$1,28,IF(Исходн.данные.!F305=$CE$2,26,IF(Исходн.данные.!F305=$CE$3,24,IF(Исходн.данные.!F305=$CE$4,22,IF(Исходн.данные.!F305=$CE$5,20,GR305)))))</f>
        <v>19</v>
      </c>
      <c r="GR305" s="55">
        <f>IF(Исходн.данные.!F305=$CE$6,18,IF(Исходн.данные.!F305=$CE$7,16,IF(Исходн.данные.!F305=$CE$8,14,IF(Исходн.данные.!F305=$CE$9,13,IF(Исходн.данные.!F305=$CE$10,12,19)))))</f>
        <v>19</v>
      </c>
      <c r="GS305" s="55">
        <f>IF(Исходн.данные.!G305="Пес",0.035*(40+2*Исходн.данные.!H305),IF(Исходн.данные.!G305="Суп",0.0325*(40+2*Исходн.данные.!H305),0.03*(40+2*Исходн.данные.!H305)))</f>
        <v>1.2</v>
      </c>
      <c r="GT305" s="55">
        <f>IF(Исходн.данные.!H305&lt;23,2.6,IF(AND(Исходн.данные.!H305&gt;22,Исходн.данные.!H305&lt;26),3,IF(AND(Исходн.данные.!H305&gt;25,Исходн.данные.!H305&lt;29),3.4,3.6)))</f>
        <v>2.6</v>
      </c>
      <c r="GU305" s="55">
        <f>IF(Исходн.данные.!H305&lt;23,2.8,IF(AND(Исходн.данные.!H305&gt;22,Исходн.данные.!H305&lt;26),3.2,IF(AND(Исходн.данные.!H305&gt;25,Исходн.данные.!H305&lt;29),3.6,3.9)))</f>
        <v>2.8</v>
      </c>
      <c r="GV305" s="55">
        <f>IF(Исходн.данные.!H305&lt;23,3,IF(AND(Исходн.данные.!H305&gt;22,Исходн.данные.!H305&lt;26),3.5,IF(AND(Исходн.данные.!H305&gt;25,Исходн.данные.!H305&lt;29),3.9,4.2)))</f>
        <v>3</v>
      </c>
      <c r="GW305" s="55" t="e">
        <f>IF(Исходн.данные.!P305="Ум",GX305,GY305)</f>
        <v>#N/A</v>
      </c>
      <c r="GX305" s="55" t="e">
        <f>VLOOKUP(Исходн.данные.!AI305,Коэффициенты!$J$7:$L$13,2,FALSE)</f>
        <v>#N/A</v>
      </c>
      <c r="GY305" s="55" t="e">
        <f>VLOOKUP(Исходн.данные.!AI305,Коэффициенты!$J$7:$L$13,3,FALSE)</f>
        <v>#N/A</v>
      </c>
      <c r="GZ305" s="55" t="e">
        <f>(IF(Исходн.данные.!M305&lt;50,0.11*VLOOKUP(Исходн.данные.!AH305,Культуры.Информация,7,FALSE),IF(Исходн.данные.!M305&gt;250,0.05*VLOOKUP(Исходн.данные.!AH305,Культуры.Информация,7,FALSE),VLOOKUP(Исходн.данные.!AH305,Культуры.Информация,5,FALSE)/100*($GX$6+$GY$6*Исходн.данные.!M305))))*Расчет2!AI305</f>
        <v>#N/A</v>
      </c>
      <c r="HA305" s="211"/>
      <c r="HB305" s="211"/>
      <c r="HC305" s="55" t="e">
        <f>(IF(Исходн.данные.!O305&lt;80,0.2*VLOOKUP(Исходн.данные.!AH305,Культуры.Информация,8,FALSE),IF(Исходн.данные.!O305&gt;240,0.09*VLOOKUP(Исходн.данные.!AH305,Культуры.Информация,8,FALSE),VLOOKUP(Исходн.данные.!AH305,Культуры.Информация,6,FALSE)/100*($HB$6+$HC$6*Исходн.данные.!O305))))*Расчет2!AJ305</f>
        <v>#N/A</v>
      </c>
      <c r="HD305" s="55">
        <f>IF(Исходн.данные.!O305&gt;240,0.09,IF(Исходн.данные.!O305&lt;30,0.3,$HE$10+$HD$10*Исходн.данные.!O305))</f>
        <v>0.3</v>
      </c>
      <c r="HE305" s="55">
        <f>IF(Исходн.данные.!O305&gt;240,0.17,IF(Исходн.данные.!O305&lt;30,0.5,$HF$12+$HE$12*Исходн.данные.!O305))</f>
        <v>0.5</v>
      </c>
      <c r="HF305" s="55" t="e">
        <f>VLOOKUP(Исходн.данные.!AH305,Справ!$A$3:$D$58,2,FALSE)</f>
        <v>#N/A</v>
      </c>
      <c r="HG305" s="55" t="e">
        <f>VLOOKUP(Исходн.данные.!AH305,Справ!$A$3:$D$58,3,FALSE)</f>
        <v>#N/A</v>
      </c>
      <c r="HH305" s="55" t="e">
        <f>VLOOKUP(Исходн.данные.!AH305,Справ!$A$3:$D$58,4,FALSE)</f>
        <v>#N/A</v>
      </c>
      <c r="HI305" s="11" t="e">
        <f t="shared" si="413"/>
        <v>#N/A</v>
      </c>
      <c r="HJ305" s="11" t="e">
        <f t="shared" si="414"/>
        <v>#N/A</v>
      </c>
      <c r="HK305" s="11" t="e">
        <f t="shared" si="415"/>
        <v>#N/A</v>
      </c>
      <c r="HL305" s="55">
        <f>IF(OR(Исходн.данные.!G305="Глин",Исходн.данные.!G305="Т_суг"),1.1,IF(Исходн.данные.!G305="Ср_суг",1,1))</f>
        <v>1</v>
      </c>
      <c r="HM305" s="55">
        <f>IF(OR(Исходн.данные.!G305="Глин",Исходн.данные.!G305="Т_суг"),0.9,IF(Исходн.данные.!G305="Ср_суг",1,1.2))</f>
        <v>1.2</v>
      </c>
      <c r="HN305" s="11" t="e">
        <f t="shared" si="416"/>
        <v>#N/A</v>
      </c>
      <c r="HO305" s="11" t="e">
        <f t="shared" si="417"/>
        <v>#N/A</v>
      </c>
      <c r="HP305" s="11" t="e">
        <f t="shared" si="418"/>
        <v>#N/A</v>
      </c>
      <c r="HQ305" t="e">
        <f t="shared" si="419"/>
        <v>#N/A</v>
      </c>
      <c r="HR305" t="e">
        <f t="shared" si="420"/>
        <v>#N/A</v>
      </c>
      <c r="HS305" t="e">
        <f t="shared" si="421"/>
        <v>#N/A</v>
      </c>
      <c r="HT305" t="e">
        <f t="shared" si="367"/>
        <v>#N/A</v>
      </c>
      <c r="HU305" t="e">
        <f t="shared" si="368"/>
        <v>#N/A</v>
      </c>
      <c r="HV305" t="e">
        <f t="shared" si="369"/>
        <v>#N/A</v>
      </c>
      <c r="HW305" t="e">
        <f t="shared" si="370"/>
        <v>#N/A</v>
      </c>
      <c r="HX305" t="e">
        <f t="shared" si="371"/>
        <v>#N/A</v>
      </c>
      <c r="HY305" t="e">
        <f t="shared" si="372"/>
        <v>#N/A</v>
      </c>
      <c r="HZ305" s="55">
        <f>IF(OR(Исходн.данные.!AI305="Оз_Ч_П",Исходн.данные.!AI305="Оз_З_П",Исходн.данные.!AI305="Яр_зер"),12,30)</f>
        <v>30</v>
      </c>
      <c r="IA305" t="e">
        <f t="shared" si="422"/>
        <v>#N/A</v>
      </c>
      <c r="IB305" t="e">
        <f t="shared" si="423"/>
        <v>#N/A</v>
      </c>
      <c r="IC305" t="e">
        <f t="shared" si="424"/>
        <v>#N/A</v>
      </c>
      <c r="ID305" s="11" t="e">
        <f t="shared" si="425"/>
        <v>#N/A</v>
      </c>
      <c r="IE305" s="11" t="e">
        <f t="shared" si="426"/>
        <v>#N/A</v>
      </c>
      <c r="IF305" s="11" t="e">
        <f t="shared" si="427"/>
        <v>#N/A</v>
      </c>
    </row>
    <row r="306" spans="35:240" x14ac:dyDescent="0.2">
      <c r="AI306">
        <f>IF(Исходн.данные.!I306&gt;6,1,1.85-(0.148*Исходн.данные.!I306))</f>
        <v>1.85</v>
      </c>
      <c r="AJ306">
        <f>IF(Исходн.данные.!I306&gt;6,1,2.434-(0.246*Исходн.данные.!I306))</f>
        <v>2.4340000000000002</v>
      </c>
      <c r="AL306" s="148" t="b">
        <f>IF(Исходн.данные.!$P306="Ум",N_OrgUd_2g_um,IF(Исходн.данные.!$P306="Об",N_OrgUd_2g_ob))</f>
        <v>0</v>
      </c>
      <c r="AM306" s="148" t="b">
        <f>IF(Исходн.данные.!$P306="Ум",P_OrgUd_2g_um,IF(Исходн.данные.!$P306="Об",P_OrgUd_2g_ob))</f>
        <v>0</v>
      </c>
      <c r="AN306" s="148" t="b">
        <f>IF(Исходн.данные.!$P306="Ум",K_OrgUd_2g_um,IF(Исходн.данные.!$P306="Об",K_OrgUd_2g_ob))</f>
        <v>0</v>
      </c>
      <c r="AO306" s="148" t="b">
        <f>IF(Исходн.данные.!$P306="Ум",N_OrgUd_1g_um,IF(Исходн.данные.!$P306="Об",N_OrgUd_1g_ob))</f>
        <v>0</v>
      </c>
      <c r="AP306" s="148" t="b">
        <f>IF(Исходн.данные.!$P306="Ум",P_OrgUd_1g_um,IF(Исходн.данные.!$P306="Об",P_OrgUd_1g_ob))</f>
        <v>0</v>
      </c>
      <c r="AQ306" s="148" t="b">
        <f>IF(Исходн.данные.!$P306="Ум",K_OrgUd_1g_um,IF(Исходн.данные.!$P306="Об",K_OrgUd_1g_ob))</f>
        <v>0</v>
      </c>
      <c r="AR306" t="b">
        <f>IF(Исходн.данные.!$P306="Ум",N_MinUd_2g_um,IF(Исходн.данные.!$P306="Об",N_MinUd_2g_ob))</f>
        <v>0</v>
      </c>
      <c r="AS306" t="b">
        <f>IF(Исходн.данные.!$P306="Ум",P_MinUd_2g_um,IF(Исходн.данные.!$P306="Об",P_MinUd_2g_ob))</f>
        <v>0</v>
      </c>
      <c r="AT306" t="b">
        <f>IF(Исходн.данные.!$P306="Ум",K_MinUd_2g_um,IF(Исходн.данные.!$P306="Об",K_MinUd_2g_ob))</f>
        <v>0</v>
      </c>
      <c r="AU306" t="b">
        <f>IF(Исходн.данные.!$P306="Ум",N_MinUd_1g_um,IF(Исходн.данные.!$P306="Об",N_MinUd_1g_ob))</f>
        <v>0</v>
      </c>
      <c r="AV306" t="b">
        <f>IF(Исходн.данные.!P306="Ум",P_MinUd_1g_um,IF(Исходн.данные.!P306="Об",P_MinUd_1g_ob))</f>
        <v>0</v>
      </c>
      <c r="AW306" t="b">
        <f>IF(Исходн.данные.!P306="Ум",K_MinUd_1g_um,IF(Исходн.данные.!P306="Об",K_MinUd_1g_ob))</f>
        <v>0</v>
      </c>
      <c r="AY306" t="e">
        <f>VLOOKUP(Исходн.данные.!T306,Справ!$A$3:$N$57,12)</f>
        <v>#N/A</v>
      </c>
      <c r="AZ306" t="e">
        <f>VLOOKUP(Исходн.данные.!T306,Справ!$A$3:$N$57,13)</f>
        <v>#N/A</v>
      </c>
      <c r="BA306" t="e">
        <f>VLOOKUP(Исходн.данные.!T306,Справ!$A$3:$N$57,14)</f>
        <v>#N/A</v>
      </c>
      <c r="BB306">
        <f>IF(Исходн.данные.!AH306=0,0,25)</f>
        <v>0</v>
      </c>
      <c r="BC306" s="141">
        <f>IF(Исходн.данные.!AH306=0,0,IF(Исходн.данные.!T306=0,25,BD306))</f>
        <v>0</v>
      </c>
      <c r="BD306" s="168" t="e">
        <f>AY306+AZ306*Исходн.данные.!U306-POWER(BA306,2)*Исходн.данные.!U306</f>
        <v>#N/A</v>
      </c>
      <c r="BE30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6" s="25">
        <f>IF(Исходн.данные.!AH306=0,0,MIN(HN306:HP306))</f>
        <v>0</v>
      </c>
      <c r="BG306" s="9">
        <f>IF(Исходн.данные.!AH306=0,0,IF((HO306+10*0.25/HG306/HL306)&lt;17,17,HO306+10*0.25/HG306/HL306))</f>
        <v>0</v>
      </c>
      <c r="BH306" s="181">
        <f>IF(Исходн.данные.!AH306=0,0,HW306*HF306*HL306/AU306*AI306+Исходн.данные.!S306*10)</f>
        <v>0</v>
      </c>
      <c r="BI306" s="10"/>
      <c r="BJ306" s="182">
        <f>IF(Исходн.данные.!AH306=0,0,IF(HX306*HG306*HL306/AV306&lt;0,0,HX306*HG306*HL306/AV306*AJ306))</f>
        <v>0</v>
      </c>
      <c r="BK306" s="182">
        <f>IF(Исходн.данные.!AH306=0,0,HY306*HH306*HM306/AW306)</f>
        <v>0</v>
      </c>
      <c r="BL306" s="10">
        <f>IF(OR(Исходн.данные.!$AH306=$BP$1,Исходн.данные.!$AH306=$BP$2),0,IF(BH306&lt;0,0,IF(OR(Исходн.данные.!T306=Расчет!$BP$1,Исходн.данные.!T306=Расчет!$BP$2,Исходн.данные.!T306=Расчет!$BT$5,Исходн.данные.!T306=Расчет!$BT$6),BH306*0.5,IF(OR(Исходн.данные.!T306=Расчет!$BS$9,Исходн.данные.!T306=Расчет!$BS$10,Исходн.данные.!T306=Расчет!$BS$11,Исходн.данные.!T306=Расчет!$BS$12,Исходн.данные.!T306=Расчет!$BP$5),BH306*0.8,BH306))))</f>
        <v>0</v>
      </c>
      <c r="BM306" s="10">
        <f>IF(OR(Исходн.данные.!$AH306=$BP$1,Исходн.данные.!$AH306=$BP$2),0,IF(BJ306&lt;0,0,IF(Исходн.данные.!I306&lt;4.5,BJ306*1.2,IF(Исходн.данные.!I306&gt;5.1,BJ306,BJ306*((5.1-Исходн.данные.!I306)*0.333+1)))))</f>
        <v>0</v>
      </c>
      <c r="BN306" s="10">
        <f>IF(OR(Исходн.данные.!$AH306=$BP$1,Исходн.данные.!$AH306=$BP$2),60-Исходн.данные.!AF306,IF(BK306&lt;0,0,IF(Исходн.данные.!I306&lt;4.5,BK306*1.2,IF(Исходн.данные.!I306&gt;5.1,BK306,BK306*((5.1-Исходн.данные.!I306)*0.333+1)))))</f>
        <v>0</v>
      </c>
      <c r="BO306" s="9">
        <f>IF(BL306&lt;0,0,BL306*Исходн.данные.!$AJ306/1000)</f>
        <v>0</v>
      </c>
      <c r="BP306" s="9">
        <f>IF(BM306&lt;0,0,BM306*Исходн.данные.!$AJ306/1000)</f>
        <v>0</v>
      </c>
      <c r="BQ306" s="9">
        <f>IF(BN306&lt;0,0,BN306*Исходн.данные.!$AJ306/1000)</f>
        <v>0</v>
      </c>
      <c r="BR306" s="9">
        <f t="shared" si="377"/>
        <v>0</v>
      </c>
      <c r="BS306" s="10" t="str">
        <f t="shared" si="378"/>
        <v>Аммофос 12:52:00</v>
      </c>
      <c r="BT306" s="10" t="str">
        <f t="shared" si="379"/>
        <v>Аммофос 12:52:00</v>
      </c>
      <c r="BU306" s="10" t="str">
        <f t="shared" si="380"/>
        <v>Диаммофоска</v>
      </c>
      <c r="BV306" s="10">
        <f t="shared" si="381"/>
        <v>0</v>
      </c>
      <c r="BW306" s="10"/>
      <c r="BX306" s="10"/>
      <c r="BY306" s="9">
        <f>IF(BL306&lt;0,0,IF(OR(Исходн.данные.!AI306=Расчет!$BU$6,Исходн.данные.!AI306=Расчет!$BU$7),Расчет!BV306,IF(Исходн.данные.!$AG306=$BV$11,BL306,IF(OR(Исходн.данные.!$AH306=$BQ$7,Исходн.данные.!$AH306=$BQ$8),CB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0,IF(Исходн.данные.!$AI306=$BU$11,"Нет",IF(BL306&gt;30,30,BL306)))))))</f>
        <v>0</v>
      </c>
      <c r="BZ306" s="9">
        <f>IF(AND(Исходн.данные.!$AG306=$BV$11,BM306&lt;10),10,IF(Исходн.данные.!$AG306=$BV$11,BM306,IF(OR(Исходн.данные.!$AH306=$BQ$7,Исходн.данные.!$AH306=$BQ$8),CC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10,IF(Исходн.данные.!$AI306=$BU$11,"Нет",IF(BM306&gt;60,60,IF(BM306&lt;10,10,BM306)))))))</f>
        <v>10</v>
      </c>
      <c r="CA306" s="39">
        <f>IF(BN306&lt;0,0,IF(Исходн.данные.!$AG306=$BV$11,BN306,IF(OR(Исходн.данные.!$AH306=$BQ$7,Исходн.данные.!$AH306=$BQ$8),CD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0,IF(Исходн.данные.!$AI306=$BU$11,"Нет",IF(BN306&gt;30,30,BN306))))))</f>
        <v>0</v>
      </c>
      <c r="CB306" s="9">
        <f t="shared" si="382"/>
        <v>0</v>
      </c>
      <c r="CC306" s="9">
        <f t="shared" si="383"/>
        <v>0</v>
      </c>
      <c r="CD306" s="9">
        <f t="shared" si="384"/>
        <v>0</v>
      </c>
      <c r="CE306" s="12">
        <f t="shared" si="385"/>
        <v>10</v>
      </c>
      <c r="CF306" s="9">
        <f t="shared" si="386"/>
        <v>0</v>
      </c>
      <c r="CG306" s="9" t="s">
        <v>231</v>
      </c>
      <c r="CH306" s="132" t="str">
        <f>IF(Исходн.данные.!AP306=Расчет!$CI$16,"Нет",IF(Исходн.данные.!AL306&gt;0,Исходн.данные.!AL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BH$4,IF(OR(Исходн.данные.!AI306=Исходн.данные.!$AI$6,Исходн.данные.!AI306=Исходн.данные.!$AI$7),Расчет!BS306,IF(AND($CF306=0,$CE306&gt;0),EV306,ER306)))))</f>
        <v>Аммофос 12:52:00</v>
      </c>
      <c r="CI306" s="274">
        <f>IF(Расчет!$CH306="Нет","Нет",IF(Исходн.данные.!$AL306&gt;0,VLOOKUP(Расчет!$CH306,АшламаДВ_Irekle,2,FALSE),VLOOKUP(Расчет!$CH306,АшламаДВ_Gomumy,2,FALSE)))</f>
        <v>0.12</v>
      </c>
      <c r="CJ306" s="274">
        <f>IF(Расчет!$CH306="Нет","Нет",IF(Исходн.данные.!$AL306&gt;0,VLOOKUP(Расчет!$CH306,АшламаДВ_Irekle,3,FALSE),VLOOKUP(Расчет!$CH306,АшламаДВ_Gomumy,3,FALSE)))</f>
        <v>0.52</v>
      </c>
      <c r="CK306" s="274">
        <f>IF(Расчет!$CH306="Нет","Нет",IF(Исходн.данные.!$AL306&gt;0,VLOOKUP(Расчет!$CH306,АшламаДВ_Irekle,4,FALSE),VLOOKUP(Расчет!$CH306,АшламаДВ_Gomumy,4,FALSE)))</f>
        <v>0</v>
      </c>
      <c r="CL306" s="70"/>
      <c r="CM306" s="70"/>
      <c r="CN306" s="70"/>
      <c r="CO306" s="70"/>
      <c r="CP306" s="70"/>
      <c r="CQ306" s="70"/>
      <c r="CR306" s="10">
        <f t="shared" si="387"/>
        <v>0</v>
      </c>
      <c r="CS306" s="10">
        <f t="shared" si="388"/>
        <v>19.23076923076923</v>
      </c>
      <c r="CT306" s="10">
        <f t="shared" si="389"/>
        <v>0</v>
      </c>
      <c r="CU306" s="39">
        <f>IF($CH306="Нет",0,IF(CI306=0,30/MIN(CJ306:CK306),IF(Исходн.данные.!$AG306=$BV$11,CR306,IF(OR(Исходн.данные.!$AH306=$BQ$7,Исходн.данные.!$AH306=$BQ$8),90/CI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0,IF(Исходн.данные.!$AI306=$BU$11,"Нет",30/CI306))))))</f>
        <v>250</v>
      </c>
      <c r="CV306" s="39">
        <f>IF($CH306="Нет",0,IF(Исходн.данные.!AH306=0,0,IF(CJ306=0,60/MIN(CI306,CK306),IF(Исходн.данные.!$AG306=$BV$11,CS306,IF(OR(Исходн.данные.!$AH306=$BQ$7,Исходн.данные.!$AH306=$BQ$8),90/CJ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10/CJ306,IF(Исходн.данные.!$AI306=$BU$11,"Нет",60/CJ306)))))))</f>
        <v>0</v>
      </c>
      <c r="CW306" s="39">
        <f>IF($CH306="Нет",0,IF(Исходн.данные.!AH306=0,0,IF(CK306=0,30/MIN(CI306:CJ306),IF(Исходн.данные.!$AG306=$BV$11,CT306,IF(OR(Исходн.данные.!$AH306=$BQ$7,Исходн.данные.!$AH306=$BQ$8),90/CK306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0,IF(Исходн.данные.!$AI306=$BU$11,"Нет",30/CK306)))))))</f>
        <v>0</v>
      </c>
      <c r="CX306" s="133">
        <f>IF(Исходн.данные.!$AG306=$BV$11,MAX(CU306:CW306),IF(OR(Исходн.данные.!$AH306=$BS$8,Исходн.данные.!$AH306=$BQ$9,Исходн.данные.!$AH306=$BQ$10,Исходн.данные.!$AH306=$BQ$11,Исходн.данные.!$AH306=$BQ$12,Исходн.данные.!$AH306=$BP$3,Исходн.данные.!$AH306=$BT$8,$FM306="Да"),CV306,MIN(CU306:CW306)))</f>
        <v>0</v>
      </c>
      <c r="CY306" s="133">
        <f>IF(Исходн.данные.!AH306=0,0,IF(CR306&gt;$CX306,$CX306,CR306))</f>
        <v>0</v>
      </c>
      <c r="CZ306" s="133">
        <f>IF(Исходн.данные.!AH306=0,0,IF(CS306&gt;$CX306,$CX306,CS306))</f>
        <v>0</v>
      </c>
      <c r="DA306" s="133">
        <f>IF(Исходн.данные.!AH306=0,0,IF(CT306&gt;$CX306,$CX306,CT306))</f>
        <v>0</v>
      </c>
      <c r="DB306" s="10">
        <f t="shared" si="390"/>
        <v>0</v>
      </c>
      <c r="DC306" s="39">
        <f>DB306*Исходн.данные.!AJ306/1000</f>
        <v>0</v>
      </c>
      <c r="DD306" s="71">
        <f t="shared" si="391"/>
        <v>0</v>
      </c>
      <c r="DE306" s="9">
        <f t="shared" si="392"/>
        <v>0</v>
      </c>
      <c r="DF306" s="9">
        <f t="shared" si="393"/>
        <v>0</v>
      </c>
      <c r="DG306" s="39">
        <f>IF(BL306&lt;0,0,IF($CH306="Нет",BL306,IF(OR(Исходн.данные.!$AH306=$BP$1,Исходн.данные.!$AH306=$BP$2),0,IF(Исходн.данные.!AI306=$BU$11,BL306,IF(BL306-DD306&lt;0,0,BL306-DD306)))))</f>
        <v>0</v>
      </c>
      <c r="DH306" s="39">
        <f>IF(BM306&lt;0,0,IF($CH306="Нет",BM306,IF(OR(Исходн.данные.!$AH306=$BP$1,Исходн.данные.!$AH306=$BP$2),0,IF(Исходн.данные.!AJ306=$BU$11,BM306,IF(BM306-DE306&lt;0,0,BM306-DE306)))))</f>
        <v>0</v>
      </c>
      <c r="DI306" s="39">
        <f>IF(BN306&lt;0,0,IF($CH306="Нет",BN306,IF(OR(Исходн.данные.!$AH306=$BP$1,Исходн.данные.!$AH306=$BP$2),0,IF(Исходн.данные.!AK306=$BU$11,BN306,IF(BN306-DF306&lt;0,0,BN306-DF306)))))</f>
        <v>0</v>
      </c>
      <c r="DJ306" s="12">
        <f t="shared" si="394"/>
        <v>0</v>
      </c>
      <c r="DK306" s="9">
        <f t="shared" si="395"/>
        <v>0</v>
      </c>
      <c r="DL306" s="39">
        <f>IF(Исходн.данные.!AM306&gt;0,Исходн.данные.!AM306,IF(EG306&gt;0,$BH$10,0))</f>
        <v>0</v>
      </c>
      <c r="DM306" s="186">
        <f>IF($DL306=0,0,IF(Исходн.данные.!AM306&gt;0,VLOOKUP($DL306,АшламаДВ_Irekle,2,FALSE),VLOOKUP($DL306,АшламаДВ_Gomumy,2,FALSE)))</f>
        <v>0</v>
      </c>
      <c r="DN306" s="10">
        <f t="shared" si="373"/>
        <v>0</v>
      </c>
      <c r="DO306" s="9" t="str">
        <f>IF(Исходн.данные.!AN306&gt;0,Исходн.данные.!AN306,Удобрения!$B$37 )</f>
        <v>Хлор.калий</v>
      </c>
      <c r="DP306" s="9">
        <f>IF(Исходн.данные.!AN306&gt;0,VLOOKUP(Исходн.данные.!AN306,АшламаДВ_Irekle,4,FALSE),VLOOKUP(DO306,АшламаДВ_Gomumy,4,FALSE))</f>
        <v>0.6</v>
      </c>
      <c r="DQ306" s="10">
        <f t="shared" si="374"/>
        <v>0</v>
      </c>
      <c r="DR306" s="132" t="str">
        <f>IF(Исходн.данные.!AO306&gt;0,Исходн.данные.!AO306,IF(DH306=0,BS$17,IF(AND($DK306=0,$DJ306&gt;0),EJ306,EN306)))</f>
        <v>Нет</v>
      </c>
      <c r="DS306" s="70" t="str">
        <f>IF($DR306="Нет","Нет",IF(Исходн.данные.!$AO306&gt;0,VLOOKUP($DR306,АшламаДВ_Irekle,2,FALSE),VLOOKUP($DR306,АшламаДВ_Gomumy,2,FALSE)))</f>
        <v>Нет</v>
      </c>
      <c r="DT306" s="70" t="str">
        <f>IF($DR306="Нет","Нет",IF(Исходн.данные.!$AO306&gt;0,VLOOKUP($DR306,АшламаДВ_Irekle,3,FALSE),VLOOKUP($DR306,АшламаДВ_Gomumy,3,FALSE)))</f>
        <v>Нет</v>
      </c>
      <c r="DU306" s="70" t="str">
        <f>IF($DR306="Нет","Нет",IF(Исходн.данные.!$AO306&gt;0,VLOOKUP($DR306,АшламаДВ_Irekle,4,FALSE),VLOOKUP($DR306,АшламаДВ_Gomumy,4,FALSE)))</f>
        <v>Нет</v>
      </c>
      <c r="DV306" s="70"/>
      <c r="DW306" s="70"/>
      <c r="DX306" s="70"/>
      <c r="DY306" s="10">
        <f t="shared" si="396"/>
        <v>0</v>
      </c>
      <c r="DZ306" s="10">
        <f t="shared" si="397"/>
        <v>0</v>
      </c>
      <c r="EA306" s="10">
        <f t="shared" si="398"/>
        <v>0</v>
      </c>
      <c r="EB306" s="10">
        <f t="shared" si="399"/>
        <v>0</v>
      </c>
      <c r="EC306" s="10">
        <f t="shared" si="400"/>
        <v>0</v>
      </c>
      <c r="ED306" s="10">
        <f t="shared" si="401"/>
        <v>0</v>
      </c>
      <c r="EE306" s="10">
        <f t="shared" si="402"/>
        <v>0</v>
      </c>
      <c r="EF306" s="39">
        <f>EB306*Исходн.данные.!AJ306/1000</f>
        <v>0</v>
      </c>
      <c r="EG306" s="9">
        <f t="shared" si="403"/>
        <v>0</v>
      </c>
      <c r="EH306" s="9">
        <f t="shared" si="404"/>
        <v>0</v>
      </c>
      <c r="EI306" s="39" t="e">
        <f t="shared" si="354"/>
        <v>#DIV/0!</v>
      </c>
      <c r="EJ306" s="9" t="str">
        <f t="shared" si="375"/>
        <v>Азопреципитат</v>
      </c>
      <c r="EK306" s="12">
        <f t="shared" si="355"/>
        <v>0.26</v>
      </c>
      <c r="EL306" s="12">
        <f t="shared" si="356"/>
        <v>0.13</v>
      </c>
      <c r="EM306" s="12">
        <f t="shared" si="357"/>
        <v>0</v>
      </c>
      <c r="EN306" s="12" t="str">
        <f t="shared" si="376"/>
        <v>Нет</v>
      </c>
      <c r="EO306" s="12">
        <f t="shared" si="358"/>
        <v>0</v>
      </c>
      <c r="EP306" s="12">
        <f t="shared" si="359"/>
        <v>0</v>
      </c>
      <c r="EQ306" s="12">
        <f t="shared" si="360"/>
        <v>0</v>
      </c>
      <c r="ER306" s="12" t="str">
        <f t="shared" si="405"/>
        <v>Диаммофоска</v>
      </c>
      <c r="ES306" s="12">
        <f t="shared" si="361"/>
        <v>0.1</v>
      </c>
      <c r="ET306" s="12">
        <f t="shared" si="362"/>
        <v>0.26</v>
      </c>
      <c r="EU306" s="12">
        <f t="shared" si="363"/>
        <v>0.26</v>
      </c>
      <c r="EV306" s="12" t="str">
        <f t="shared" si="406"/>
        <v>Аммофос 12:52:00</v>
      </c>
      <c r="EW306" s="12" t="str">
        <f t="shared" si="407"/>
        <v>Кемира Свекловичное-6</v>
      </c>
      <c r="EX306" s="12">
        <f t="shared" si="364"/>
        <v>0.16</v>
      </c>
      <c r="EY306" s="12">
        <f t="shared" si="365"/>
        <v>0.12</v>
      </c>
      <c r="EZ306" s="12">
        <f t="shared" si="366"/>
        <v>0.17</v>
      </c>
      <c r="FA306" s="38" t="e">
        <f>IF(AND(OR(FJ306=$FD$1,FM306=$FD$1,FO306=$FD$1,FQ306=$FD$1,FS306=$FD$1),FD306=$FD$1,Исходн.данные.!J306&lt;2,FU306=$FD$1),"Бор,Кобальт",IF(AND(FO306=$FD$1,FH306=$FD$1,Исходн.данные.!J306&lt;2,FU306=$FD$1),"Бор,Кобальт",IF(AND(OR(FJ306=$FD$1,FM306=$FD$1,FQ306=$FD$1),FE306=$FD$1,Исходн.данные.!J306&lt;2,FT306=$FD$1,FU306=$FD$1),"Бор,Медь,Цинк",IF(AND(OR(FJ306=$FD$1,FR306="Да"),FI306="Да",Исходн.данные.!J306&lt;2,FT306="Да",FU306="Да"),"Бор,Цинк,Медь",IF(AND(OR(FM306="Да",FQ306="Да"),FI306="Да",Исходн.данные.!J306&lt;2,FT306="Да",FU306="Да"),"Бор,Цинк",IF(AND(FN306="Да",OR(FD306="Да",FE306="Да")),"Бор",FB306))))))</f>
        <v>#N/A</v>
      </c>
      <c r="FB306" s="134" t="e">
        <f>IF(AND(OR(FD306="Да",FE306="Да",FF306="Да",FG306="Да",FH306="Да"),FO306="Да"),"Бор",IF(AND(FP306="Да",OR(FD306="Да",FE306="Да",FI306="Да")),"Бор",IF(AND(FS306="Да",FE306="Да"),"Бор,Медь",IF(AND(OR(FJ306="Да",FK306="Да",FL306="Да"),FE306="Да",Исходн.данные.!I306&lt;5,FT306="Да",FU306="Да"),"Молибден,Цинк",IF(AND(FM306="Да",OR(FE306="Да",FF306="Да",FG306="Да",FH306="Да",FI306="Да")),"Молибден,Цинк",IF(AND(OR(FJ306="Да",FK306="Да",FL306="Да",FM306="Да",FQ306="Да"),OR(FE306="Да",FF306="Да"),FT306="Да",FU306="Да",Исходн.данные.!I306&gt;5.5),"Медь,Цинк",FC306))))))</f>
        <v>#N/A</v>
      </c>
      <c r="FC306" s="23" t="e">
        <f t="shared" si="408"/>
        <v>#N/A</v>
      </c>
      <c r="FD306" s="38" t="str">
        <f>IF(OR(Исходн.данные.!F306=$CC$1,Исходн.данные.!F306=$CC$2,Исходн.данные.!F306=$CC$3,Исходн.данные.!F306=$CC$4),"Да","Нет")</f>
        <v>Нет</v>
      </c>
      <c r="FE306" s="38" t="str">
        <f>IF(Исходн.данные.!F306=$CC$5,"Да","Нет")</f>
        <v>Нет</v>
      </c>
      <c r="FF306" s="38" t="str">
        <f>IF(OR(Исходн.данные.!F306=$CC$6,Исходн.данные.!F306=$CC$7),"Да","Нет")</f>
        <v>Нет</v>
      </c>
      <c r="FG306" s="38" t="str">
        <f>IF(OR(Исходн.данные.!F306=$CC$8,Исходн.данные.!F306=$CC$9),"Да","Нет")</f>
        <v>Нет</v>
      </c>
      <c r="FH306" s="38" t="str">
        <f>IF(Исходн.данные.!F306=$CC$10,"Да","Нет")</f>
        <v>Нет</v>
      </c>
      <c r="FI306" s="38" t="str">
        <f>IF(OR(Исходн.данные.!F306=$CC$11,Исходн.данные.!F306=$CC$12),"Да","Нет")</f>
        <v>Нет</v>
      </c>
      <c r="FJ306" s="38" t="str">
        <f>IF(OR(Исходн.данные.!AH306=$BS$1,Исходн.данные.!AH306=$BQ$11,Исходн.данные.!AH306=$BQ$12),"Да","Нет")</f>
        <v>Нет</v>
      </c>
      <c r="FK306" s="38" t="str">
        <f>IF(OR(Исходн.данные.!AH306=$BS$2,Исходн.данные.!AH306=$BS$4),"Да","Нет")</f>
        <v>Нет</v>
      </c>
      <c r="FL306" s="38" t="str">
        <f>IF(OR(Исходн.данные.!AH306=$BS$3,Исходн.данные.!AH306=$BS$5),"Да","Нет")</f>
        <v>Нет</v>
      </c>
      <c r="FM306" s="38" t="str">
        <f>IF(OR(Исходн.данные.!AH306=$BS$9,Исходн.данные.!AH306=$BS$10,Исходн.данные.!AH306=$BS$11,Исходн.данные.!AH306=$BS$12),"Да","Нет")</f>
        <v>Нет</v>
      </c>
      <c r="FN306" s="38" t="str">
        <f>IF(OR(Исходн.данные.!AH306=$BS$6,Исходн.данные.!AH306=$BP$3),"Да","Нет")</f>
        <v>Нет</v>
      </c>
      <c r="FO306" s="38" t="str">
        <f>IF(Исходн.данные.!AH306=$BQ$9,"Да","Нет")</f>
        <v>Нет</v>
      </c>
      <c r="FP306" s="38" t="str">
        <f>IF(OR(Исходн.данные.!AH306=$BS$8,Исходн.данные.!AH306=$BT$8),"Да","Нет")</f>
        <v>Нет</v>
      </c>
      <c r="FQ306" s="38" t="str">
        <f>IF(OR(Исходн.данные.!AH306=$BQ$7,Исходн.данные.!AH306=$BQ$8),"Да","Нет")</f>
        <v>Нет</v>
      </c>
      <c r="FR306" s="38" t="str">
        <f>IF(Исходн.данные.!AI306=$BU$9,"Да","Нет")</f>
        <v>Нет</v>
      </c>
      <c r="FS306" s="38" t="str">
        <f>IF(OR(Исходн.данные.!AH306=$BP$1,Исходн.данные.!AH306=$BP$2),"Да","Нет")</f>
        <v>Нет</v>
      </c>
      <c r="FT306" s="38" t="e">
        <f>IF((Исходн.данные.!K306*GO306*GS306*GW306+BL306*0.6+Исходн.данные.!Q306*4.5*0.275)&gt;90,"Да","Нет")</f>
        <v>#N/A</v>
      </c>
      <c r="FU306" s="38" t="e">
        <f>IF((Исходн.данные.!M306*GS306*GZ306+BM306*0.225)&gt;35,"Да","Нет")</f>
        <v>#N/A</v>
      </c>
      <c r="FV306" s="38" t="str">
        <f>IF(Исходн.данные.!O306&gt;175,"Да","Нет")</f>
        <v>Нет</v>
      </c>
      <c r="FW306" s="39" t="str">
        <f>IF(Исходн.данные.!I306&gt;5.5,"Да","Нет")</f>
        <v>Нет</v>
      </c>
      <c r="FX306" s="39" t="str">
        <f>IF(Исходн.данные.!J306&lt;2,"Да","Нет")</f>
        <v>Да</v>
      </c>
      <c r="FY306" s="39" t="e">
        <f>IF(HF306=$FY$16,0,Исходн.данные.!K306*GO306*GS306*GW306/HF306)</f>
        <v>#N/A</v>
      </c>
      <c r="FZ306" s="39" t="e">
        <f>Исходн.данные.!M306*GS306*GZ306/HG306</f>
        <v>#N/A</v>
      </c>
      <c r="GA306" s="39" t="e">
        <f>IF(K_Wyn=$FY$16,0,IF(Исходн.данные.!N306=Исходн.данные.!$L$10,Исходн.данные.!O306/1.1*GS306*HC306/HH306,IF(Исходн.данные.!N306=Исходн.данные.!$L$12,Исходн.данные.!O306/1.5*GS306*HC306/HH306,Исходн.данные.!O306*GS306*HC306/HH306)))</f>
        <v>#N/A</v>
      </c>
      <c r="GB306" s="39" t="e">
        <f>IF(HF306=$FY$16,0,((Исходн.данные.!Q306*N_Org+Исходн.данные.!R306*N_Sider+Исходн.данные.!S306*N_Soloma)*AO306+Расчет!BC306*VLOOKUP(Исходн.данные.!T306,Справ!$A$3:$O$57,15)*AO306+BB306*VLOOKUP(Исходн.данные.!T306,Справ!$A$3:$O$57,15)*AL306+(Исходн.данные.!V306*N_Rizotorf+Исходн.данные.!W306*N_Rizoagr))/HF306)</f>
        <v>#N/A</v>
      </c>
      <c r="GC306" s="39" t="e">
        <f>IF(HG306=$FY$16,0,((Исходн.данные.!Q306*Р_Org+Исходн.данные.!R306*P_Sider+Исходн.данные.!S306*P_Soloma)*AP306+Расчет!BC306*VLOOKUP(Исходн.данные.!T306,Справ!$A$3:$P$57,16)*AP306+BB306*VLOOKUP(Исходн.данные.!T306,Справ!$A$3:$P$57,16)*AM306)/HG306)</f>
        <v>#N/A</v>
      </c>
      <c r="GD306" s="39" t="e">
        <f>IF(HH306=$FY$16,0,((Исходн.данные.!Q306*К_Org+Исходн.данные.!R306*K_Sider+Исходн.данные.!S306*K_Soloma)*AQ306+Расчет!BC306*VLOOKUP(Исходн.данные.!T306,Справ!$A$3:$Q$57,17)*AQ306+BB306*VLOOKUP(Исходн.данные.!T306,Справ!$A$3:$Q$57,17)*AN306)/HH306)</f>
        <v>#N/A</v>
      </c>
      <c r="GE306" s="39" t="e">
        <f>IF(HF306=$FY$16,0,(Исходн.данные.!X306*AR306+Исходн.данные.!AA306*N_Org*AL306+Исходн.данные.!AB306*N_Sider*AL306+Исходн.данные.!AC306*N_Soloma*AL306)/HF306)</f>
        <v>#N/A</v>
      </c>
      <c r="GF306" s="39" t="e">
        <f>IF(HG306=$FY$16,0,(Исходн.данные.!Y306*AS306+Исходн.данные.!AA306*Р_Org*AM306+Исходн.данные.!AB306*P_Sider*AM306+Исходн.данные.!AC306*P_Soloma*AM306)/HG306)</f>
        <v>#N/A</v>
      </c>
      <c r="GG306" s="39" t="e">
        <f>IF(HH306=$FY$16,0,(Исходн.данные.!Z306*AT306+Исходн.данные.!AA306*К_Org*AN306+Исходн.данные.!AB306*K_Sider*AN306+Исходн.данные.!AC306*K_Soloma*AN306)/HH306)</f>
        <v>#N/A</v>
      </c>
      <c r="GH306" s="39" t="e">
        <f>Исходн.данные.!AD306*AU306/HF306</f>
        <v>#N/A</v>
      </c>
      <c r="GI306" s="39" t="e">
        <f>Исходн.данные.!AE306*AV306/HG306</f>
        <v>#N/A</v>
      </c>
      <c r="GJ306" s="39" t="e">
        <f>Исходн.данные.!AF306*AW306/HH306</f>
        <v>#N/A</v>
      </c>
      <c r="GK306" s="55">
        <f>Исходн.данные.!AK306</f>
        <v>0</v>
      </c>
      <c r="GL306" s="11" t="e">
        <f t="shared" si="409"/>
        <v>#N/A</v>
      </c>
      <c r="GM306" s="11" t="e">
        <f t="shared" si="410"/>
        <v>#N/A</v>
      </c>
      <c r="GN306" s="11" t="e">
        <f t="shared" si="411"/>
        <v>#N/A</v>
      </c>
      <c r="GO306" s="57">
        <f t="shared" si="412"/>
        <v>19</v>
      </c>
      <c r="GP306" s="55">
        <f>IF(OR(Исходн.данные.!F306=$CE$1,Исходн.данные.!F306=$CE$2,Исходн.данные.!F306=$CE$3,Исходн.данные.!F306=$CE$4,Исходн.данные.!F306=$CE$5),GQ306,GR306)</f>
        <v>19</v>
      </c>
      <c r="GQ306" s="55">
        <f>IF(Исходн.данные.!F306=$CE$1,28,IF(Исходн.данные.!F306=$CE$2,26,IF(Исходн.данные.!F306=$CE$3,24,IF(Исходн.данные.!F306=$CE$4,22,IF(Исходн.данные.!F306=$CE$5,20,GR306)))))</f>
        <v>19</v>
      </c>
      <c r="GR306" s="55">
        <f>IF(Исходн.данные.!F306=$CE$6,18,IF(Исходн.данные.!F306=$CE$7,16,IF(Исходн.данные.!F306=$CE$8,14,IF(Исходн.данные.!F306=$CE$9,13,IF(Исходн.данные.!F306=$CE$10,12,19)))))</f>
        <v>19</v>
      </c>
      <c r="GS306" s="55">
        <f>IF(Исходн.данные.!G306="Пес",0.035*(40+2*Исходн.данные.!H306),IF(Исходн.данные.!G306="Суп",0.0325*(40+2*Исходн.данные.!H306),0.03*(40+2*Исходн.данные.!H306)))</f>
        <v>1.2</v>
      </c>
      <c r="GT306" s="55">
        <f>IF(Исходн.данные.!H306&lt;23,2.6,IF(AND(Исходн.данные.!H306&gt;22,Исходн.данные.!H306&lt;26),3,IF(AND(Исходн.данные.!H306&gt;25,Исходн.данные.!H306&lt;29),3.4,3.6)))</f>
        <v>2.6</v>
      </c>
      <c r="GU306" s="55">
        <f>IF(Исходн.данные.!H306&lt;23,2.8,IF(AND(Исходн.данные.!H306&gt;22,Исходн.данные.!H306&lt;26),3.2,IF(AND(Исходн.данные.!H306&gt;25,Исходн.данные.!H306&lt;29),3.6,3.9)))</f>
        <v>2.8</v>
      </c>
      <c r="GV306" s="55">
        <f>IF(Исходн.данные.!H306&lt;23,3,IF(AND(Исходн.данные.!H306&gt;22,Исходн.данные.!H306&lt;26),3.5,IF(AND(Исходн.данные.!H306&gt;25,Исходн.данные.!H306&lt;29),3.9,4.2)))</f>
        <v>3</v>
      </c>
      <c r="GW306" s="55" t="e">
        <f>IF(Исходн.данные.!P306="Ум",GX306,GY306)</f>
        <v>#N/A</v>
      </c>
      <c r="GX306" s="55" t="e">
        <f>VLOOKUP(Исходн.данные.!AI306,Коэффициенты!$J$7:$L$13,2,FALSE)</f>
        <v>#N/A</v>
      </c>
      <c r="GY306" s="55" t="e">
        <f>VLOOKUP(Исходн.данные.!AI306,Коэффициенты!$J$7:$L$13,3,FALSE)</f>
        <v>#N/A</v>
      </c>
      <c r="GZ306" s="55" t="e">
        <f>(IF(Исходн.данные.!M306&lt;50,0.11*VLOOKUP(Исходн.данные.!AH306,Культуры.Информация,7,FALSE),IF(Исходн.данные.!M306&gt;250,0.05*VLOOKUP(Исходн.данные.!AH306,Культуры.Информация,7,FALSE),VLOOKUP(Исходн.данные.!AH306,Культуры.Информация,5,FALSE)/100*($GX$6+$GY$6*Исходн.данные.!M306))))*Расчет2!AI306</f>
        <v>#N/A</v>
      </c>
      <c r="HA306" s="211"/>
      <c r="HB306" s="211"/>
      <c r="HC306" s="55" t="e">
        <f>(IF(Исходн.данные.!O306&lt;80,0.2*VLOOKUP(Исходн.данные.!AH306,Культуры.Информация,8,FALSE),IF(Исходн.данные.!O306&gt;240,0.09*VLOOKUP(Исходн.данные.!AH306,Культуры.Информация,8,FALSE),VLOOKUP(Исходн.данные.!AH306,Культуры.Информация,6,FALSE)/100*($HB$6+$HC$6*Исходн.данные.!O306))))*Расчет2!AJ306</f>
        <v>#N/A</v>
      </c>
      <c r="HD306" s="55">
        <f>IF(Исходн.данные.!O306&gt;240,0.09,IF(Исходн.данные.!O306&lt;30,0.3,$HE$10+$HD$10*Исходн.данные.!O306))</f>
        <v>0.3</v>
      </c>
      <c r="HE306" s="55">
        <f>IF(Исходн.данные.!O306&gt;240,0.17,IF(Исходн.данные.!O306&lt;30,0.5,$HF$12+$HE$12*Исходн.данные.!O306))</f>
        <v>0.5</v>
      </c>
      <c r="HF306" s="55" t="e">
        <f>VLOOKUP(Исходн.данные.!AH306,Справ!$A$3:$D$58,2,FALSE)</f>
        <v>#N/A</v>
      </c>
      <c r="HG306" s="55" t="e">
        <f>VLOOKUP(Исходн.данные.!AH306,Справ!$A$3:$D$58,3,FALSE)</f>
        <v>#N/A</v>
      </c>
      <c r="HH306" s="55" t="e">
        <f>VLOOKUP(Исходн.данные.!AH306,Справ!$A$3:$D$58,4,FALSE)</f>
        <v>#N/A</v>
      </c>
      <c r="HI306" s="11" t="e">
        <f t="shared" si="413"/>
        <v>#N/A</v>
      </c>
      <c r="HJ306" s="11" t="e">
        <f t="shared" si="414"/>
        <v>#N/A</v>
      </c>
      <c r="HK306" s="11" t="e">
        <f t="shared" si="415"/>
        <v>#N/A</v>
      </c>
      <c r="HL306" s="55">
        <f>IF(OR(Исходн.данные.!G306="Глин",Исходн.данные.!G306="Т_суг"),1.1,IF(Исходн.данные.!G306="Ср_суг",1,1))</f>
        <v>1</v>
      </c>
      <c r="HM306" s="55">
        <f>IF(OR(Исходн.данные.!G306="Глин",Исходн.данные.!G306="Т_суг"),0.9,IF(Исходн.данные.!G306="Ср_суг",1,1.2))</f>
        <v>1.2</v>
      </c>
      <c r="HN306" s="11" t="e">
        <f t="shared" si="416"/>
        <v>#N/A</v>
      </c>
      <c r="HO306" s="11" t="e">
        <f t="shared" si="417"/>
        <v>#N/A</v>
      </c>
      <c r="HP306" s="11" t="e">
        <f t="shared" si="418"/>
        <v>#N/A</v>
      </c>
      <c r="HQ306" t="e">
        <f t="shared" si="419"/>
        <v>#N/A</v>
      </c>
      <c r="HR306" t="e">
        <f t="shared" si="420"/>
        <v>#N/A</v>
      </c>
      <c r="HS306" t="e">
        <f t="shared" si="421"/>
        <v>#N/A</v>
      </c>
      <c r="HT306" t="e">
        <f t="shared" si="367"/>
        <v>#N/A</v>
      </c>
      <c r="HU306" t="e">
        <f t="shared" si="368"/>
        <v>#N/A</v>
      </c>
      <c r="HV306" t="e">
        <f t="shared" si="369"/>
        <v>#N/A</v>
      </c>
      <c r="HW306" t="e">
        <f t="shared" si="370"/>
        <v>#N/A</v>
      </c>
      <c r="HX306" t="e">
        <f t="shared" si="371"/>
        <v>#N/A</v>
      </c>
      <c r="HY306" t="e">
        <f t="shared" si="372"/>
        <v>#N/A</v>
      </c>
      <c r="HZ306" s="55">
        <f>IF(OR(Исходн.данные.!AI306="Оз_Ч_П",Исходн.данные.!AI306="Оз_З_П",Исходн.данные.!AI306="Яр_зер"),12,30)</f>
        <v>30</v>
      </c>
      <c r="IA306" t="e">
        <f t="shared" si="422"/>
        <v>#N/A</v>
      </c>
      <c r="IB306" t="e">
        <f t="shared" si="423"/>
        <v>#N/A</v>
      </c>
      <c r="IC306" t="e">
        <f t="shared" si="424"/>
        <v>#N/A</v>
      </c>
      <c r="ID306" s="11" t="e">
        <f t="shared" si="425"/>
        <v>#N/A</v>
      </c>
      <c r="IE306" s="11" t="e">
        <f t="shared" si="426"/>
        <v>#N/A</v>
      </c>
      <c r="IF306" s="11" t="e">
        <f t="shared" si="427"/>
        <v>#N/A</v>
      </c>
    </row>
    <row r="307" spans="35:240" x14ac:dyDescent="0.2">
      <c r="AI307">
        <f>IF(Исходн.данные.!I307&gt;6,1,1.85-(0.148*Исходн.данные.!I307))</f>
        <v>1.85</v>
      </c>
      <c r="AJ307">
        <f>IF(Исходн.данные.!I307&gt;6,1,2.434-(0.246*Исходн.данные.!I307))</f>
        <v>2.4340000000000002</v>
      </c>
      <c r="AL307" s="148" t="b">
        <f>IF(Исходн.данные.!$P307="Ум",N_OrgUd_2g_um,IF(Исходн.данные.!$P307="Об",N_OrgUd_2g_ob))</f>
        <v>0</v>
      </c>
      <c r="AM307" s="148" t="b">
        <f>IF(Исходн.данные.!$P307="Ум",P_OrgUd_2g_um,IF(Исходн.данные.!$P307="Об",P_OrgUd_2g_ob))</f>
        <v>0</v>
      </c>
      <c r="AN307" s="148" t="b">
        <f>IF(Исходн.данные.!$P307="Ум",K_OrgUd_2g_um,IF(Исходн.данные.!$P307="Об",K_OrgUd_2g_ob))</f>
        <v>0</v>
      </c>
      <c r="AO307" s="148" t="b">
        <f>IF(Исходн.данные.!$P307="Ум",N_OrgUd_1g_um,IF(Исходн.данные.!$P307="Об",N_OrgUd_1g_ob))</f>
        <v>0</v>
      </c>
      <c r="AP307" s="148" t="b">
        <f>IF(Исходн.данные.!$P307="Ум",P_OrgUd_1g_um,IF(Исходн.данные.!$P307="Об",P_OrgUd_1g_ob))</f>
        <v>0</v>
      </c>
      <c r="AQ307" s="148" t="b">
        <f>IF(Исходн.данные.!$P307="Ум",K_OrgUd_1g_um,IF(Исходн.данные.!$P307="Об",K_OrgUd_1g_ob))</f>
        <v>0</v>
      </c>
      <c r="AR307" t="b">
        <f>IF(Исходн.данные.!$P307="Ум",N_MinUd_2g_um,IF(Исходн.данные.!$P307="Об",N_MinUd_2g_ob))</f>
        <v>0</v>
      </c>
      <c r="AS307" t="b">
        <f>IF(Исходн.данные.!$P307="Ум",P_MinUd_2g_um,IF(Исходн.данные.!$P307="Об",P_MinUd_2g_ob))</f>
        <v>0</v>
      </c>
      <c r="AT307" t="b">
        <f>IF(Исходн.данные.!$P307="Ум",K_MinUd_2g_um,IF(Исходн.данные.!$P307="Об",K_MinUd_2g_ob))</f>
        <v>0</v>
      </c>
      <c r="AU307" t="b">
        <f>IF(Исходн.данные.!$P307="Ум",N_MinUd_1g_um,IF(Исходн.данные.!$P307="Об",N_MinUd_1g_ob))</f>
        <v>0</v>
      </c>
      <c r="AV307" t="b">
        <f>IF(Исходн.данные.!P307="Ум",P_MinUd_1g_um,IF(Исходн.данные.!P307="Об",P_MinUd_1g_ob))</f>
        <v>0</v>
      </c>
      <c r="AW307" t="b">
        <f>IF(Исходн.данные.!P307="Ум",K_MinUd_1g_um,IF(Исходн.данные.!P307="Об",K_MinUd_1g_ob))</f>
        <v>0</v>
      </c>
      <c r="AY307" t="e">
        <f>VLOOKUP(Исходн.данные.!T307,Справ!$A$3:$N$57,12)</f>
        <v>#N/A</v>
      </c>
      <c r="AZ307" t="e">
        <f>VLOOKUP(Исходн.данные.!T307,Справ!$A$3:$N$57,13)</f>
        <v>#N/A</v>
      </c>
      <c r="BA307" t="e">
        <f>VLOOKUP(Исходн.данные.!T307,Справ!$A$3:$N$57,14)</f>
        <v>#N/A</v>
      </c>
      <c r="BB307">
        <f>IF(Исходн.данные.!AH307=0,0,25)</f>
        <v>0</v>
      </c>
      <c r="BC307" s="141">
        <f>IF(Исходн.данные.!AH307=0,0,IF(Исходн.данные.!T307=0,25,BD307))</f>
        <v>0</v>
      </c>
      <c r="BD307" s="168" t="e">
        <f>AY307+AZ307*Исходн.данные.!U307-POWER(BA307,2)*Исходн.данные.!U307</f>
        <v>#N/A</v>
      </c>
      <c r="BE30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7" s="25">
        <f>IF(Исходн.данные.!AH307=0,0,MIN(HN307:HP307))</f>
        <v>0</v>
      </c>
      <c r="BG307" s="9">
        <f>IF(Исходн.данные.!AH307=0,0,IF((HO307+10*0.25/HG307/HL307)&lt;17,17,HO307+10*0.25/HG307/HL307))</f>
        <v>0</v>
      </c>
      <c r="BH307" s="181">
        <f>IF(Исходн.данные.!AH307=0,0,HW307*HF307*HL307/AU307*AI307+Исходн.данные.!S307*10)</f>
        <v>0</v>
      </c>
      <c r="BI307" s="10"/>
      <c r="BJ307" s="182">
        <f>IF(Исходн.данные.!AH307=0,0,IF(HX307*HG307*HL307/AV307&lt;0,0,HX307*HG307*HL307/AV307*AJ307))</f>
        <v>0</v>
      </c>
      <c r="BK307" s="182">
        <f>IF(Исходн.данные.!AH307=0,0,HY307*HH307*HM307/AW307)</f>
        <v>0</v>
      </c>
      <c r="BL307" s="10">
        <f>IF(OR(Исходн.данные.!$AH307=$BP$1,Исходн.данные.!$AH307=$BP$2),0,IF(BH307&lt;0,0,IF(OR(Исходн.данные.!T307=Расчет!$BP$1,Исходн.данные.!T307=Расчет!$BP$2,Исходн.данные.!T307=Расчет!$BT$5,Исходн.данные.!T307=Расчет!$BT$6),BH307*0.5,IF(OR(Исходн.данные.!T307=Расчет!$BS$9,Исходн.данные.!T307=Расчет!$BS$10,Исходн.данные.!T307=Расчет!$BS$11,Исходн.данные.!T307=Расчет!$BS$12,Исходн.данные.!T307=Расчет!$BP$5),BH307*0.8,BH307))))</f>
        <v>0</v>
      </c>
      <c r="BM307" s="10">
        <f>IF(OR(Исходн.данные.!$AH307=$BP$1,Исходн.данные.!$AH307=$BP$2),0,IF(BJ307&lt;0,0,IF(Исходн.данные.!I307&lt;4.5,BJ307*1.2,IF(Исходн.данные.!I307&gt;5.1,BJ307,BJ307*((5.1-Исходн.данные.!I307)*0.333+1)))))</f>
        <v>0</v>
      </c>
      <c r="BN307" s="10">
        <f>IF(OR(Исходн.данные.!$AH307=$BP$1,Исходн.данные.!$AH307=$BP$2),60-Исходн.данные.!AF307,IF(BK307&lt;0,0,IF(Исходн.данные.!I307&lt;4.5,BK307*1.2,IF(Исходн.данные.!I307&gt;5.1,BK307,BK307*((5.1-Исходн.данные.!I307)*0.333+1)))))</f>
        <v>0</v>
      </c>
      <c r="BO307" s="9">
        <f>IF(BL307&lt;0,0,BL307*Исходн.данные.!$AJ307/1000)</f>
        <v>0</v>
      </c>
      <c r="BP307" s="9">
        <f>IF(BM307&lt;0,0,BM307*Исходн.данные.!$AJ307/1000)</f>
        <v>0</v>
      </c>
      <c r="BQ307" s="9">
        <f>IF(BN307&lt;0,0,BN307*Исходн.данные.!$AJ307/1000)</f>
        <v>0</v>
      </c>
      <c r="BR307" s="9">
        <f t="shared" si="377"/>
        <v>0</v>
      </c>
      <c r="BS307" s="10" t="str">
        <f t="shared" si="378"/>
        <v>Аммофос 12:52:00</v>
      </c>
      <c r="BT307" s="10" t="str">
        <f t="shared" si="379"/>
        <v>Аммофос 12:52:00</v>
      </c>
      <c r="BU307" s="10" t="str">
        <f t="shared" si="380"/>
        <v>Диаммофоска</v>
      </c>
      <c r="BV307" s="10">
        <f t="shared" si="381"/>
        <v>0</v>
      </c>
      <c r="BW307" s="10"/>
      <c r="BX307" s="10"/>
      <c r="BY307" s="9">
        <f>IF(BL307&lt;0,0,IF(OR(Исходн.данные.!AI307=Расчет!$BU$6,Исходн.данные.!AI307=Расчет!$BU$7),Расчет!BV307,IF(Исходн.данные.!$AG307=$BV$11,BL307,IF(OR(Исходн.данные.!$AH307=$BQ$7,Исходн.данные.!$AH307=$BQ$8),CB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0,IF(Исходн.данные.!$AI307=$BU$11,"Нет",IF(BL307&gt;30,30,BL307)))))))</f>
        <v>0</v>
      </c>
      <c r="BZ307" s="9">
        <f>IF(AND(Исходн.данные.!$AG307=$BV$11,BM307&lt;10),10,IF(Исходн.данные.!$AG307=$BV$11,BM307,IF(OR(Исходн.данные.!$AH307=$BQ$7,Исходн.данные.!$AH307=$BQ$8),CC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10,IF(Исходн.данные.!$AI307=$BU$11,"Нет",IF(BM307&gt;60,60,IF(BM307&lt;10,10,BM307)))))))</f>
        <v>10</v>
      </c>
      <c r="CA307" s="39">
        <f>IF(BN307&lt;0,0,IF(Исходн.данные.!$AG307=$BV$11,BN307,IF(OR(Исходн.данные.!$AH307=$BQ$7,Исходн.данные.!$AH307=$BQ$8),CD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0,IF(Исходн.данные.!$AI307=$BU$11,"Нет",IF(BN307&gt;30,30,BN307))))))</f>
        <v>0</v>
      </c>
      <c r="CB307" s="9">
        <f t="shared" si="382"/>
        <v>0</v>
      </c>
      <c r="CC307" s="9">
        <f t="shared" si="383"/>
        <v>0</v>
      </c>
      <c r="CD307" s="9">
        <f t="shared" si="384"/>
        <v>0</v>
      </c>
      <c r="CE307" s="12">
        <f t="shared" si="385"/>
        <v>10</v>
      </c>
      <c r="CF307" s="9">
        <f t="shared" si="386"/>
        <v>0</v>
      </c>
      <c r="CG307" s="9" t="s">
        <v>231</v>
      </c>
      <c r="CH307" s="132" t="str">
        <f>IF(Исходн.данные.!AP307=Расчет!$CI$16,"Нет",IF(Исходн.данные.!AL307&gt;0,Исходн.данные.!AL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BH$4,IF(OR(Исходн.данные.!AI307=Исходн.данные.!$AI$6,Исходн.данные.!AI307=Исходн.данные.!$AI$7),Расчет!BS307,IF(AND($CF307=0,$CE307&gt;0),EV307,ER307)))))</f>
        <v>Аммофос 12:52:00</v>
      </c>
      <c r="CI307" s="274">
        <f>IF(Расчет!$CH307="Нет","Нет",IF(Исходн.данные.!$AL307&gt;0,VLOOKUP(Расчет!$CH307,АшламаДВ_Irekle,2,FALSE),VLOOKUP(Расчет!$CH307,АшламаДВ_Gomumy,2,FALSE)))</f>
        <v>0.12</v>
      </c>
      <c r="CJ307" s="274">
        <f>IF(Расчет!$CH307="Нет","Нет",IF(Исходн.данные.!$AL307&gt;0,VLOOKUP(Расчет!$CH307,АшламаДВ_Irekle,3,FALSE),VLOOKUP(Расчет!$CH307,АшламаДВ_Gomumy,3,FALSE)))</f>
        <v>0.52</v>
      </c>
      <c r="CK307" s="274">
        <f>IF(Расчет!$CH307="Нет","Нет",IF(Исходн.данные.!$AL307&gt;0,VLOOKUP(Расчет!$CH307,АшламаДВ_Irekle,4,FALSE),VLOOKUP(Расчет!$CH307,АшламаДВ_Gomumy,4,FALSE)))</f>
        <v>0</v>
      </c>
      <c r="CL307" s="70"/>
      <c r="CM307" s="70"/>
      <c r="CN307" s="70"/>
      <c r="CO307" s="70"/>
      <c r="CP307" s="70"/>
      <c r="CQ307" s="70"/>
      <c r="CR307" s="10">
        <f t="shared" si="387"/>
        <v>0</v>
      </c>
      <c r="CS307" s="10">
        <f t="shared" si="388"/>
        <v>19.23076923076923</v>
      </c>
      <c r="CT307" s="10">
        <f t="shared" si="389"/>
        <v>0</v>
      </c>
      <c r="CU307" s="39">
        <f>IF($CH307="Нет",0,IF(CI307=0,30/MIN(CJ307:CK307),IF(Исходн.данные.!$AG307=$BV$11,CR307,IF(OR(Исходн.данные.!$AH307=$BQ$7,Исходн.данные.!$AH307=$BQ$8),90/CI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0,IF(Исходн.данные.!$AI307=$BU$11,"Нет",30/CI307))))))</f>
        <v>250</v>
      </c>
      <c r="CV307" s="39">
        <f>IF($CH307="Нет",0,IF(Исходн.данные.!AH307=0,0,IF(CJ307=0,60/MIN(CI307,CK307),IF(Исходн.данные.!$AG307=$BV$11,CS307,IF(OR(Исходн.данные.!$AH307=$BQ$7,Исходн.данные.!$AH307=$BQ$8),90/CJ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10/CJ307,IF(Исходн.данные.!$AI307=$BU$11,"Нет",60/CJ307)))))))</f>
        <v>0</v>
      </c>
      <c r="CW307" s="39">
        <f>IF($CH307="Нет",0,IF(Исходн.данные.!AH307=0,0,IF(CK307=0,30/MIN(CI307:CJ307),IF(Исходн.данные.!$AG307=$BV$11,CT307,IF(OR(Исходн.данные.!$AH307=$BQ$7,Исходн.данные.!$AH307=$BQ$8),90/CK307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0,IF(Исходн.данные.!$AI307=$BU$11,"Нет",30/CK307)))))))</f>
        <v>0</v>
      </c>
      <c r="CX307" s="133">
        <f>IF(Исходн.данные.!$AG307=$BV$11,MAX(CU307:CW307),IF(OR(Исходн.данные.!$AH307=$BS$8,Исходн.данные.!$AH307=$BQ$9,Исходн.данные.!$AH307=$BQ$10,Исходн.данные.!$AH307=$BQ$11,Исходн.данные.!$AH307=$BQ$12,Исходн.данные.!$AH307=$BP$3,Исходн.данные.!$AH307=$BT$8,$FM307="Да"),CV307,MIN(CU307:CW307)))</f>
        <v>0</v>
      </c>
      <c r="CY307" s="133">
        <f>IF(Исходн.данные.!AH307=0,0,IF(CR307&gt;$CX307,$CX307,CR307))</f>
        <v>0</v>
      </c>
      <c r="CZ307" s="133">
        <f>IF(Исходн.данные.!AH307=0,0,IF(CS307&gt;$CX307,$CX307,CS307))</f>
        <v>0</v>
      </c>
      <c r="DA307" s="133">
        <f>IF(Исходн.данные.!AH307=0,0,IF(CT307&gt;$CX307,$CX307,CT307))</f>
        <v>0</v>
      </c>
      <c r="DB307" s="10">
        <f t="shared" si="390"/>
        <v>0</v>
      </c>
      <c r="DC307" s="39">
        <f>DB307*Исходн.данные.!AJ307/1000</f>
        <v>0</v>
      </c>
      <c r="DD307" s="71">
        <f t="shared" si="391"/>
        <v>0</v>
      </c>
      <c r="DE307" s="9">
        <f t="shared" si="392"/>
        <v>0</v>
      </c>
      <c r="DF307" s="9">
        <f t="shared" si="393"/>
        <v>0</v>
      </c>
      <c r="DG307" s="39">
        <f>IF(BL307&lt;0,0,IF($CH307="Нет",BL307,IF(OR(Исходн.данные.!$AH307=$BP$1,Исходн.данные.!$AH307=$BP$2),0,IF(Исходн.данные.!AI307=$BU$11,BL307,IF(BL307-DD307&lt;0,0,BL307-DD307)))))</f>
        <v>0</v>
      </c>
      <c r="DH307" s="39">
        <f>IF(BM307&lt;0,0,IF($CH307="Нет",BM307,IF(OR(Исходн.данные.!$AH307=$BP$1,Исходн.данные.!$AH307=$BP$2),0,IF(Исходн.данные.!AJ307=$BU$11,BM307,IF(BM307-DE307&lt;0,0,BM307-DE307)))))</f>
        <v>0</v>
      </c>
      <c r="DI307" s="39">
        <f>IF(BN307&lt;0,0,IF($CH307="Нет",BN307,IF(OR(Исходн.данные.!$AH307=$BP$1,Исходн.данные.!$AH307=$BP$2),0,IF(Исходн.данные.!AK307=$BU$11,BN307,IF(BN307-DF307&lt;0,0,BN307-DF307)))))</f>
        <v>0</v>
      </c>
      <c r="DJ307" s="12">
        <f t="shared" si="394"/>
        <v>0</v>
      </c>
      <c r="DK307" s="9">
        <f t="shared" si="395"/>
        <v>0</v>
      </c>
      <c r="DL307" s="39">
        <f>IF(Исходн.данные.!AM307&gt;0,Исходн.данные.!AM307,IF(EG307&gt;0,$BH$10,0))</f>
        <v>0</v>
      </c>
      <c r="DM307" s="186">
        <f>IF($DL307=0,0,IF(Исходн.данные.!AM307&gt;0,VLOOKUP($DL307,АшламаДВ_Irekle,2,FALSE),VLOOKUP($DL307,АшламаДВ_Gomumy,2,FALSE)))</f>
        <v>0</v>
      </c>
      <c r="DN307" s="10">
        <f t="shared" si="373"/>
        <v>0</v>
      </c>
      <c r="DO307" s="9" t="str">
        <f>IF(Исходн.данные.!AN307&gt;0,Исходн.данные.!AN307,Удобрения!$B$37 )</f>
        <v>Хлор.калий</v>
      </c>
      <c r="DP307" s="9">
        <f>IF(Исходн.данные.!AN307&gt;0,VLOOKUP(Исходн.данные.!AN307,АшламаДВ_Irekle,4,FALSE),VLOOKUP(DO307,АшламаДВ_Gomumy,4,FALSE))</f>
        <v>0.6</v>
      </c>
      <c r="DQ307" s="10">
        <f t="shared" si="374"/>
        <v>0</v>
      </c>
      <c r="DR307" s="132" t="str">
        <f>IF(Исходн.данные.!AO307&gt;0,Исходн.данные.!AO307,IF(DH307=0,BS$17,IF(AND($DK307=0,$DJ307&gt;0),EJ307,EN307)))</f>
        <v>Нет</v>
      </c>
      <c r="DS307" s="70" t="str">
        <f>IF($DR307="Нет","Нет",IF(Исходн.данные.!$AO307&gt;0,VLOOKUP($DR307,АшламаДВ_Irekle,2,FALSE),VLOOKUP($DR307,АшламаДВ_Gomumy,2,FALSE)))</f>
        <v>Нет</v>
      </c>
      <c r="DT307" s="70" t="str">
        <f>IF($DR307="Нет","Нет",IF(Исходн.данные.!$AO307&gt;0,VLOOKUP($DR307,АшламаДВ_Irekle,3,FALSE),VLOOKUP($DR307,АшламаДВ_Gomumy,3,FALSE)))</f>
        <v>Нет</v>
      </c>
      <c r="DU307" s="70" t="str">
        <f>IF($DR307="Нет","Нет",IF(Исходн.данные.!$AO307&gt;0,VLOOKUP($DR307,АшламаДВ_Irekle,4,FALSE),VLOOKUP($DR307,АшламаДВ_Gomumy,4,FALSE)))</f>
        <v>Нет</v>
      </c>
      <c r="DV307" s="70"/>
      <c r="DW307" s="70"/>
      <c r="DX307" s="70"/>
      <c r="DY307" s="10">
        <f t="shared" si="396"/>
        <v>0</v>
      </c>
      <c r="DZ307" s="10">
        <f t="shared" si="397"/>
        <v>0</v>
      </c>
      <c r="EA307" s="10">
        <f t="shared" si="398"/>
        <v>0</v>
      </c>
      <c r="EB307" s="10">
        <f t="shared" si="399"/>
        <v>0</v>
      </c>
      <c r="EC307" s="10">
        <f t="shared" si="400"/>
        <v>0</v>
      </c>
      <c r="ED307" s="10">
        <f t="shared" si="401"/>
        <v>0</v>
      </c>
      <c r="EE307" s="10">
        <f t="shared" si="402"/>
        <v>0</v>
      </c>
      <c r="EF307" s="39">
        <f>EB307*Исходн.данные.!AJ307/1000</f>
        <v>0</v>
      </c>
      <c r="EG307" s="9">
        <f t="shared" si="403"/>
        <v>0</v>
      </c>
      <c r="EH307" s="9">
        <f t="shared" si="404"/>
        <v>0</v>
      </c>
      <c r="EI307" s="39" t="e">
        <f t="shared" si="354"/>
        <v>#DIV/0!</v>
      </c>
      <c r="EJ307" s="9" t="str">
        <f t="shared" si="375"/>
        <v>Азопреципитат</v>
      </c>
      <c r="EK307" s="12">
        <f t="shared" si="355"/>
        <v>0.26</v>
      </c>
      <c r="EL307" s="12">
        <f t="shared" si="356"/>
        <v>0.13</v>
      </c>
      <c r="EM307" s="12">
        <f t="shared" si="357"/>
        <v>0</v>
      </c>
      <c r="EN307" s="12" t="str">
        <f t="shared" si="376"/>
        <v>Нет</v>
      </c>
      <c r="EO307" s="12">
        <f t="shared" si="358"/>
        <v>0</v>
      </c>
      <c r="EP307" s="12">
        <f t="shared" si="359"/>
        <v>0</v>
      </c>
      <c r="EQ307" s="12">
        <f t="shared" si="360"/>
        <v>0</v>
      </c>
      <c r="ER307" s="12" t="str">
        <f t="shared" si="405"/>
        <v>Диаммофоска</v>
      </c>
      <c r="ES307" s="12">
        <f t="shared" si="361"/>
        <v>0.1</v>
      </c>
      <c r="ET307" s="12">
        <f t="shared" si="362"/>
        <v>0.26</v>
      </c>
      <c r="EU307" s="12">
        <f t="shared" si="363"/>
        <v>0.26</v>
      </c>
      <c r="EV307" s="12" t="str">
        <f t="shared" si="406"/>
        <v>Аммофос 12:52:00</v>
      </c>
      <c r="EW307" s="12" t="str">
        <f t="shared" si="407"/>
        <v>Кемира Свекловичное-6</v>
      </c>
      <c r="EX307" s="12">
        <f t="shared" si="364"/>
        <v>0.16</v>
      </c>
      <c r="EY307" s="12">
        <f t="shared" si="365"/>
        <v>0.12</v>
      </c>
      <c r="EZ307" s="12">
        <f t="shared" si="366"/>
        <v>0.17</v>
      </c>
      <c r="FA307" s="38" t="e">
        <f>IF(AND(OR(FJ307=$FD$1,FM307=$FD$1,FO307=$FD$1,FQ307=$FD$1,FS307=$FD$1),FD307=$FD$1,Исходн.данные.!J307&lt;2,FU307=$FD$1),"Бор,Кобальт",IF(AND(FO307=$FD$1,FH307=$FD$1,Исходн.данные.!J307&lt;2,FU307=$FD$1),"Бор,Кобальт",IF(AND(OR(FJ307=$FD$1,FM307=$FD$1,FQ307=$FD$1),FE307=$FD$1,Исходн.данные.!J307&lt;2,FT307=$FD$1,FU307=$FD$1),"Бор,Медь,Цинк",IF(AND(OR(FJ307=$FD$1,FR307="Да"),FI307="Да",Исходн.данные.!J307&lt;2,FT307="Да",FU307="Да"),"Бор,Цинк,Медь",IF(AND(OR(FM307="Да",FQ307="Да"),FI307="Да",Исходн.данные.!J307&lt;2,FT307="Да",FU307="Да"),"Бор,Цинк",IF(AND(FN307="Да",OR(FD307="Да",FE307="Да")),"Бор",FB307))))))</f>
        <v>#N/A</v>
      </c>
      <c r="FB307" s="134" t="e">
        <f>IF(AND(OR(FD307="Да",FE307="Да",FF307="Да",FG307="Да",FH307="Да"),FO307="Да"),"Бор",IF(AND(FP307="Да",OR(FD307="Да",FE307="Да",FI307="Да")),"Бор",IF(AND(FS307="Да",FE307="Да"),"Бор,Медь",IF(AND(OR(FJ307="Да",FK307="Да",FL307="Да"),FE307="Да",Исходн.данные.!I307&lt;5,FT307="Да",FU307="Да"),"Молибден,Цинк",IF(AND(FM307="Да",OR(FE307="Да",FF307="Да",FG307="Да",FH307="Да",FI307="Да")),"Молибден,Цинк",IF(AND(OR(FJ307="Да",FK307="Да",FL307="Да",FM307="Да",FQ307="Да"),OR(FE307="Да",FF307="Да"),FT307="Да",FU307="Да",Исходн.данные.!I307&gt;5.5),"Медь,Цинк",FC307))))))</f>
        <v>#N/A</v>
      </c>
      <c r="FC307" s="23" t="e">
        <f t="shared" si="408"/>
        <v>#N/A</v>
      </c>
      <c r="FD307" s="38" t="str">
        <f>IF(OR(Исходн.данные.!F307=$CC$1,Исходн.данные.!F307=$CC$2,Исходн.данные.!F307=$CC$3,Исходн.данные.!F307=$CC$4),"Да","Нет")</f>
        <v>Нет</v>
      </c>
      <c r="FE307" s="38" t="str">
        <f>IF(Исходн.данные.!F307=$CC$5,"Да","Нет")</f>
        <v>Нет</v>
      </c>
      <c r="FF307" s="38" t="str">
        <f>IF(OR(Исходн.данные.!F307=$CC$6,Исходн.данные.!F307=$CC$7),"Да","Нет")</f>
        <v>Нет</v>
      </c>
      <c r="FG307" s="38" t="str">
        <f>IF(OR(Исходн.данные.!F307=$CC$8,Исходн.данные.!F307=$CC$9),"Да","Нет")</f>
        <v>Нет</v>
      </c>
      <c r="FH307" s="38" t="str">
        <f>IF(Исходн.данные.!F307=$CC$10,"Да","Нет")</f>
        <v>Нет</v>
      </c>
      <c r="FI307" s="38" t="str">
        <f>IF(OR(Исходн.данные.!F307=$CC$11,Исходн.данные.!F307=$CC$12),"Да","Нет")</f>
        <v>Нет</v>
      </c>
      <c r="FJ307" s="38" t="str">
        <f>IF(OR(Исходн.данные.!AH307=$BS$1,Исходн.данные.!AH307=$BQ$11,Исходн.данные.!AH307=$BQ$12),"Да","Нет")</f>
        <v>Нет</v>
      </c>
      <c r="FK307" s="38" t="str">
        <f>IF(OR(Исходн.данные.!AH307=$BS$2,Исходн.данные.!AH307=$BS$4),"Да","Нет")</f>
        <v>Нет</v>
      </c>
      <c r="FL307" s="38" t="str">
        <f>IF(OR(Исходн.данные.!AH307=$BS$3,Исходн.данные.!AH307=$BS$5),"Да","Нет")</f>
        <v>Нет</v>
      </c>
      <c r="FM307" s="38" t="str">
        <f>IF(OR(Исходн.данные.!AH307=$BS$9,Исходн.данные.!AH307=$BS$10,Исходн.данные.!AH307=$BS$11,Исходн.данные.!AH307=$BS$12),"Да","Нет")</f>
        <v>Нет</v>
      </c>
      <c r="FN307" s="38" t="str">
        <f>IF(OR(Исходн.данные.!AH307=$BS$6,Исходн.данные.!AH307=$BP$3),"Да","Нет")</f>
        <v>Нет</v>
      </c>
      <c r="FO307" s="38" t="str">
        <f>IF(Исходн.данные.!AH307=$BQ$9,"Да","Нет")</f>
        <v>Нет</v>
      </c>
      <c r="FP307" s="38" t="str">
        <f>IF(OR(Исходн.данные.!AH307=$BS$8,Исходн.данные.!AH307=$BT$8),"Да","Нет")</f>
        <v>Нет</v>
      </c>
      <c r="FQ307" s="38" t="str">
        <f>IF(OR(Исходн.данные.!AH307=$BQ$7,Исходн.данные.!AH307=$BQ$8),"Да","Нет")</f>
        <v>Нет</v>
      </c>
      <c r="FR307" s="38" t="str">
        <f>IF(Исходн.данные.!AI307=$BU$9,"Да","Нет")</f>
        <v>Нет</v>
      </c>
      <c r="FS307" s="38" t="str">
        <f>IF(OR(Исходн.данные.!AH307=$BP$1,Исходн.данные.!AH307=$BP$2),"Да","Нет")</f>
        <v>Нет</v>
      </c>
      <c r="FT307" s="38" t="e">
        <f>IF((Исходн.данные.!K307*GO307*GS307*GW307+BL307*0.6+Исходн.данные.!Q307*4.5*0.275)&gt;90,"Да","Нет")</f>
        <v>#N/A</v>
      </c>
      <c r="FU307" s="38" t="e">
        <f>IF((Исходн.данные.!M307*GS307*GZ307+BM307*0.225)&gt;35,"Да","Нет")</f>
        <v>#N/A</v>
      </c>
      <c r="FV307" s="38" t="str">
        <f>IF(Исходн.данные.!O307&gt;175,"Да","Нет")</f>
        <v>Нет</v>
      </c>
      <c r="FW307" s="39" t="str">
        <f>IF(Исходн.данные.!I307&gt;5.5,"Да","Нет")</f>
        <v>Нет</v>
      </c>
      <c r="FX307" s="39" t="str">
        <f>IF(Исходн.данные.!J307&lt;2,"Да","Нет")</f>
        <v>Да</v>
      </c>
      <c r="FY307" s="39" t="e">
        <f>IF(HF307=$FY$16,0,Исходн.данные.!K307*GO307*GS307*GW307/HF307)</f>
        <v>#N/A</v>
      </c>
      <c r="FZ307" s="39" t="e">
        <f>Исходн.данные.!M307*GS307*GZ307/HG307</f>
        <v>#N/A</v>
      </c>
      <c r="GA307" s="39" t="e">
        <f>IF(K_Wyn=$FY$16,0,IF(Исходн.данные.!N307=Исходн.данные.!$L$10,Исходн.данные.!O307/1.1*GS307*HC307/HH307,IF(Исходн.данные.!N307=Исходн.данные.!$L$12,Исходн.данные.!O307/1.5*GS307*HC307/HH307,Исходн.данные.!O307*GS307*HC307/HH307)))</f>
        <v>#N/A</v>
      </c>
      <c r="GB307" s="39" t="e">
        <f>IF(HF307=$FY$16,0,((Исходн.данные.!Q307*N_Org+Исходн.данные.!R307*N_Sider+Исходн.данные.!S307*N_Soloma)*AO307+Расчет!BC307*VLOOKUP(Исходн.данные.!T307,Справ!$A$3:$O$57,15)*AO307+BB307*VLOOKUP(Исходн.данные.!T307,Справ!$A$3:$O$57,15)*AL307+(Исходн.данные.!V307*N_Rizotorf+Исходн.данные.!W307*N_Rizoagr))/HF307)</f>
        <v>#N/A</v>
      </c>
      <c r="GC307" s="39" t="e">
        <f>IF(HG307=$FY$16,0,((Исходн.данные.!Q307*Р_Org+Исходн.данные.!R307*P_Sider+Исходн.данные.!S307*P_Soloma)*AP307+Расчет!BC307*VLOOKUP(Исходн.данные.!T307,Справ!$A$3:$P$57,16)*AP307+BB307*VLOOKUP(Исходн.данные.!T307,Справ!$A$3:$P$57,16)*AM307)/HG307)</f>
        <v>#N/A</v>
      </c>
      <c r="GD307" s="39" t="e">
        <f>IF(HH307=$FY$16,0,((Исходн.данные.!Q307*К_Org+Исходн.данные.!R307*K_Sider+Исходн.данные.!S307*K_Soloma)*AQ307+Расчет!BC307*VLOOKUP(Исходн.данные.!T307,Справ!$A$3:$Q$57,17)*AQ307+BB307*VLOOKUP(Исходн.данные.!T307,Справ!$A$3:$Q$57,17)*AN307)/HH307)</f>
        <v>#N/A</v>
      </c>
      <c r="GE307" s="39" t="e">
        <f>IF(HF307=$FY$16,0,(Исходн.данные.!X307*AR307+Исходн.данные.!AA307*N_Org*AL307+Исходн.данные.!AB307*N_Sider*AL307+Исходн.данные.!AC307*N_Soloma*AL307)/HF307)</f>
        <v>#N/A</v>
      </c>
      <c r="GF307" s="39" t="e">
        <f>IF(HG307=$FY$16,0,(Исходн.данные.!Y307*AS307+Исходн.данные.!AA307*Р_Org*AM307+Исходн.данные.!AB307*P_Sider*AM307+Исходн.данные.!AC307*P_Soloma*AM307)/HG307)</f>
        <v>#N/A</v>
      </c>
      <c r="GG307" s="39" t="e">
        <f>IF(HH307=$FY$16,0,(Исходн.данные.!Z307*AT307+Исходн.данные.!AA307*К_Org*AN307+Исходн.данные.!AB307*K_Sider*AN307+Исходн.данные.!AC307*K_Soloma*AN307)/HH307)</f>
        <v>#N/A</v>
      </c>
      <c r="GH307" s="39" t="e">
        <f>Исходн.данные.!AD307*AU307/HF307</f>
        <v>#N/A</v>
      </c>
      <c r="GI307" s="39" t="e">
        <f>Исходн.данные.!AE307*AV307/HG307</f>
        <v>#N/A</v>
      </c>
      <c r="GJ307" s="39" t="e">
        <f>Исходн.данные.!AF307*AW307/HH307</f>
        <v>#N/A</v>
      </c>
      <c r="GK307" s="55">
        <f>Исходн.данные.!AK307</f>
        <v>0</v>
      </c>
      <c r="GL307" s="11" t="e">
        <f t="shared" si="409"/>
        <v>#N/A</v>
      </c>
      <c r="GM307" s="11" t="e">
        <f t="shared" si="410"/>
        <v>#N/A</v>
      </c>
      <c r="GN307" s="11" t="e">
        <f t="shared" si="411"/>
        <v>#N/A</v>
      </c>
      <c r="GO307" s="57">
        <f t="shared" si="412"/>
        <v>19</v>
      </c>
      <c r="GP307" s="55">
        <f>IF(OR(Исходн.данные.!F307=$CE$1,Исходн.данные.!F307=$CE$2,Исходн.данные.!F307=$CE$3,Исходн.данные.!F307=$CE$4,Исходн.данные.!F307=$CE$5),GQ307,GR307)</f>
        <v>19</v>
      </c>
      <c r="GQ307" s="55">
        <f>IF(Исходн.данные.!F307=$CE$1,28,IF(Исходн.данные.!F307=$CE$2,26,IF(Исходн.данные.!F307=$CE$3,24,IF(Исходн.данные.!F307=$CE$4,22,IF(Исходн.данные.!F307=$CE$5,20,GR307)))))</f>
        <v>19</v>
      </c>
      <c r="GR307" s="55">
        <f>IF(Исходн.данные.!F307=$CE$6,18,IF(Исходн.данные.!F307=$CE$7,16,IF(Исходн.данные.!F307=$CE$8,14,IF(Исходн.данные.!F307=$CE$9,13,IF(Исходн.данные.!F307=$CE$10,12,19)))))</f>
        <v>19</v>
      </c>
      <c r="GS307" s="55">
        <f>IF(Исходн.данные.!G307="Пес",0.035*(40+2*Исходн.данные.!H307),IF(Исходн.данные.!G307="Суп",0.0325*(40+2*Исходн.данные.!H307),0.03*(40+2*Исходн.данные.!H307)))</f>
        <v>1.2</v>
      </c>
      <c r="GT307" s="55">
        <f>IF(Исходн.данные.!H307&lt;23,2.6,IF(AND(Исходн.данные.!H307&gt;22,Исходн.данные.!H307&lt;26),3,IF(AND(Исходн.данные.!H307&gt;25,Исходн.данные.!H307&lt;29),3.4,3.6)))</f>
        <v>2.6</v>
      </c>
      <c r="GU307" s="55">
        <f>IF(Исходн.данные.!H307&lt;23,2.8,IF(AND(Исходн.данные.!H307&gt;22,Исходн.данные.!H307&lt;26),3.2,IF(AND(Исходн.данные.!H307&gt;25,Исходн.данные.!H307&lt;29),3.6,3.9)))</f>
        <v>2.8</v>
      </c>
      <c r="GV307" s="55">
        <f>IF(Исходн.данные.!H307&lt;23,3,IF(AND(Исходн.данные.!H307&gt;22,Исходн.данные.!H307&lt;26),3.5,IF(AND(Исходн.данные.!H307&gt;25,Исходн.данные.!H307&lt;29),3.9,4.2)))</f>
        <v>3</v>
      </c>
      <c r="GW307" s="55" t="e">
        <f>IF(Исходн.данные.!P307="Ум",GX307,GY307)</f>
        <v>#N/A</v>
      </c>
      <c r="GX307" s="55" t="e">
        <f>VLOOKUP(Исходн.данные.!AI307,Коэффициенты!$J$7:$L$13,2,FALSE)</f>
        <v>#N/A</v>
      </c>
      <c r="GY307" s="55" t="e">
        <f>VLOOKUP(Исходн.данные.!AI307,Коэффициенты!$J$7:$L$13,3,FALSE)</f>
        <v>#N/A</v>
      </c>
      <c r="GZ307" s="55" t="e">
        <f>(IF(Исходн.данные.!M307&lt;50,0.11*VLOOKUP(Исходн.данные.!AH307,Культуры.Информация,7,FALSE),IF(Исходн.данные.!M307&gt;250,0.05*VLOOKUP(Исходн.данные.!AH307,Культуры.Информация,7,FALSE),VLOOKUP(Исходн.данные.!AH307,Культуры.Информация,5,FALSE)/100*($GX$6+$GY$6*Исходн.данные.!M307))))*Расчет2!AI307</f>
        <v>#N/A</v>
      </c>
      <c r="HA307" s="211"/>
      <c r="HB307" s="211"/>
      <c r="HC307" s="55" t="e">
        <f>(IF(Исходн.данные.!O307&lt;80,0.2*VLOOKUP(Исходн.данные.!AH307,Культуры.Информация,8,FALSE),IF(Исходн.данные.!O307&gt;240,0.09*VLOOKUP(Исходн.данные.!AH307,Культуры.Информация,8,FALSE),VLOOKUP(Исходн.данные.!AH307,Культуры.Информация,6,FALSE)/100*($HB$6+$HC$6*Исходн.данные.!O307))))*Расчет2!AJ307</f>
        <v>#N/A</v>
      </c>
      <c r="HD307" s="55">
        <f>IF(Исходн.данные.!O307&gt;240,0.09,IF(Исходн.данные.!O307&lt;30,0.3,$HE$10+$HD$10*Исходн.данные.!O307))</f>
        <v>0.3</v>
      </c>
      <c r="HE307" s="55">
        <f>IF(Исходн.данные.!O307&gt;240,0.17,IF(Исходн.данные.!O307&lt;30,0.5,$HF$12+$HE$12*Исходн.данные.!O307))</f>
        <v>0.5</v>
      </c>
      <c r="HF307" s="55" t="e">
        <f>VLOOKUP(Исходн.данные.!AH307,Справ!$A$3:$D$58,2,FALSE)</f>
        <v>#N/A</v>
      </c>
      <c r="HG307" s="55" t="e">
        <f>VLOOKUP(Исходн.данные.!AH307,Справ!$A$3:$D$58,3,FALSE)</f>
        <v>#N/A</v>
      </c>
      <c r="HH307" s="55" t="e">
        <f>VLOOKUP(Исходн.данные.!AH307,Справ!$A$3:$D$58,4,FALSE)</f>
        <v>#N/A</v>
      </c>
      <c r="HI307" s="11" t="e">
        <f t="shared" si="413"/>
        <v>#N/A</v>
      </c>
      <c r="HJ307" s="11" t="e">
        <f t="shared" si="414"/>
        <v>#N/A</v>
      </c>
      <c r="HK307" s="11" t="e">
        <f t="shared" si="415"/>
        <v>#N/A</v>
      </c>
      <c r="HL307" s="55">
        <f>IF(OR(Исходн.данные.!G307="Глин",Исходн.данные.!G307="Т_суг"),1.1,IF(Исходн.данные.!G307="Ср_суг",1,1))</f>
        <v>1</v>
      </c>
      <c r="HM307" s="55">
        <f>IF(OR(Исходн.данные.!G307="Глин",Исходн.данные.!G307="Т_суг"),0.9,IF(Исходн.данные.!G307="Ср_суг",1,1.2))</f>
        <v>1.2</v>
      </c>
      <c r="HN307" s="11" t="e">
        <f t="shared" si="416"/>
        <v>#N/A</v>
      </c>
      <c r="HO307" s="11" t="e">
        <f t="shared" si="417"/>
        <v>#N/A</v>
      </c>
      <c r="HP307" s="11" t="e">
        <f t="shared" si="418"/>
        <v>#N/A</v>
      </c>
      <c r="HQ307" t="e">
        <f t="shared" si="419"/>
        <v>#N/A</v>
      </c>
      <c r="HR307" t="e">
        <f t="shared" si="420"/>
        <v>#N/A</v>
      </c>
      <c r="HS307" t="e">
        <f t="shared" si="421"/>
        <v>#N/A</v>
      </c>
      <c r="HT307" t="e">
        <f t="shared" si="367"/>
        <v>#N/A</v>
      </c>
      <c r="HU307" t="e">
        <f t="shared" si="368"/>
        <v>#N/A</v>
      </c>
      <c r="HV307" t="e">
        <f t="shared" si="369"/>
        <v>#N/A</v>
      </c>
      <c r="HW307" t="e">
        <f t="shared" si="370"/>
        <v>#N/A</v>
      </c>
      <c r="HX307" t="e">
        <f t="shared" si="371"/>
        <v>#N/A</v>
      </c>
      <c r="HY307" t="e">
        <f t="shared" si="372"/>
        <v>#N/A</v>
      </c>
      <c r="HZ307" s="55">
        <f>IF(OR(Исходн.данные.!AI307="Оз_Ч_П",Исходн.данные.!AI307="Оз_З_П",Исходн.данные.!AI307="Яр_зер"),12,30)</f>
        <v>30</v>
      </c>
      <c r="IA307" t="e">
        <f t="shared" si="422"/>
        <v>#N/A</v>
      </c>
      <c r="IB307" t="e">
        <f t="shared" si="423"/>
        <v>#N/A</v>
      </c>
      <c r="IC307" t="e">
        <f t="shared" si="424"/>
        <v>#N/A</v>
      </c>
      <c r="ID307" s="11" t="e">
        <f t="shared" si="425"/>
        <v>#N/A</v>
      </c>
      <c r="IE307" s="11" t="e">
        <f t="shared" si="426"/>
        <v>#N/A</v>
      </c>
      <c r="IF307" s="11" t="e">
        <f t="shared" si="427"/>
        <v>#N/A</v>
      </c>
    </row>
    <row r="308" spans="35:240" x14ac:dyDescent="0.2">
      <c r="AI308">
        <f>IF(Исходн.данные.!I308&gt;6,1,1.85-(0.148*Исходн.данные.!I308))</f>
        <v>1.85</v>
      </c>
      <c r="AJ308">
        <f>IF(Исходн.данные.!I308&gt;6,1,2.434-(0.246*Исходн.данные.!I308))</f>
        <v>2.4340000000000002</v>
      </c>
      <c r="AL308" s="148" t="b">
        <f>IF(Исходн.данные.!$P308="Ум",N_OrgUd_2g_um,IF(Исходн.данные.!$P308="Об",N_OrgUd_2g_ob))</f>
        <v>0</v>
      </c>
      <c r="AM308" s="148" t="b">
        <f>IF(Исходн.данные.!$P308="Ум",P_OrgUd_2g_um,IF(Исходн.данные.!$P308="Об",P_OrgUd_2g_ob))</f>
        <v>0</v>
      </c>
      <c r="AN308" s="148" t="b">
        <f>IF(Исходн.данные.!$P308="Ум",K_OrgUd_2g_um,IF(Исходн.данные.!$P308="Об",K_OrgUd_2g_ob))</f>
        <v>0</v>
      </c>
      <c r="AO308" s="148" t="b">
        <f>IF(Исходн.данные.!$P308="Ум",N_OrgUd_1g_um,IF(Исходн.данные.!$P308="Об",N_OrgUd_1g_ob))</f>
        <v>0</v>
      </c>
      <c r="AP308" s="148" t="b">
        <f>IF(Исходн.данные.!$P308="Ум",P_OrgUd_1g_um,IF(Исходн.данные.!$P308="Об",P_OrgUd_1g_ob))</f>
        <v>0</v>
      </c>
      <c r="AQ308" s="148" t="b">
        <f>IF(Исходн.данные.!$P308="Ум",K_OrgUd_1g_um,IF(Исходн.данные.!$P308="Об",K_OrgUd_1g_ob))</f>
        <v>0</v>
      </c>
      <c r="AR308" t="b">
        <f>IF(Исходн.данные.!$P308="Ум",N_MinUd_2g_um,IF(Исходн.данные.!$P308="Об",N_MinUd_2g_ob))</f>
        <v>0</v>
      </c>
      <c r="AS308" t="b">
        <f>IF(Исходн.данные.!$P308="Ум",P_MinUd_2g_um,IF(Исходн.данные.!$P308="Об",P_MinUd_2g_ob))</f>
        <v>0</v>
      </c>
      <c r="AT308" t="b">
        <f>IF(Исходн.данные.!$P308="Ум",K_MinUd_2g_um,IF(Исходн.данные.!$P308="Об",K_MinUd_2g_ob))</f>
        <v>0</v>
      </c>
      <c r="AU308" t="b">
        <f>IF(Исходн.данные.!$P308="Ум",N_MinUd_1g_um,IF(Исходн.данные.!$P308="Об",N_MinUd_1g_ob))</f>
        <v>0</v>
      </c>
      <c r="AV308" t="b">
        <f>IF(Исходн.данные.!P308="Ум",P_MinUd_1g_um,IF(Исходн.данные.!P308="Об",P_MinUd_1g_ob))</f>
        <v>0</v>
      </c>
      <c r="AW308" t="b">
        <f>IF(Исходн.данные.!P308="Ум",K_MinUd_1g_um,IF(Исходн.данные.!P308="Об",K_MinUd_1g_ob))</f>
        <v>0</v>
      </c>
      <c r="AY308" t="e">
        <f>VLOOKUP(Исходн.данные.!T308,Справ!$A$3:$N$57,12)</f>
        <v>#N/A</v>
      </c>
      <c r="AZ308" t="e">
        <f>VLOOKUP(Исходн.данные.!T308,Справ!$A$3:$N$57,13)</f>
        <v>#N/A</v>
      </c>
      <c r="BA308" t="e">
        <f>VLOOKUP(Исходн.данные.!T308,Справ!$A$3:$N$57,14)</f>
        <v>#N/A</v>
      </c>
      <c r="BB308">
        <f>IF(Исходн.данные.!AH308=0,0,25)</f>
        <v>0</v>
      </c>
      <c r="BC308" s="141">
        <f>IF(Исходн.данные.!AH308=0,0,IF(Исходн.данные.!T308=0,25,BD308))</f>
        <v>0</v>
      </c>
      <c r="BD308" s="168" t="e">
        <f>AY308+AZ308*Исходн.данные.!U308-POWER(BA308,2)*Исходн.данные.!U308</f>
        <v>#N/A</v>
      </c>
      <c r="BE30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8" s="25">
        <f>IF(Исходн.данные.!AH308=0,0,MIN(HN308:HP308))</f>
        <v>0</v>
      </c>
      <c r="BG308" s="9">
        <f>IF(Исходн.данные.!AH308=0,0,IF((HO308+10*0.25/HG308/HL308)&lt;17,17,HO308+10*0.25/HG308/HL308))</f>
        <v>0</v>
      </c>
      <c r="BH308" s="181">
        <f>IF(Исходн.данные.!AH308=0,0,HW308*HF308*HL308/AU308*AI308+Исходн.данные.!S308*10)</f>
        <v>0</v>
      </c>
      <c r="BI308" s="10"/>
      <c r="BJ308" s="182">
        <f>IF(Исходн.данные.!AH308=0,0,IF(HX308*HG308*HL308/AV308&lt;0,0,HX308*HG308*HL308/AV308*AJ308))</f>
        <v>0</v>
      </c>
      <c r="BK308" s="182">
        <f>IF(Исходн.данные.!AH308=0,0,HY308*HH308*HM308/AW308)</f>
        <v>0</v>
      </c>
      <c r="BL308" s="10">
        <f>IF(OR(Исходн.данные.!$AH308=$BP$1,Исходн.данные.!$AH308=$BP$2),0,IF(BH308&lt;0,0,IF(OR(Исходн.данные.!T308=Расчет!$BP$1,Исходн.данные.!T308=Расчет!$BP$2,Исходн.данные.!T308=Расчет!$BT$5,Исходн.данные.!T308=Расчет!$BT$6),BH308*0.5,IF(OR(Исходн.данные.!T308=Расчет!$BS$9,Исходн.данные.!T308=Расчет!$BS$10,Исходн.данные.!T308=Расчет!$BS$11,Исходн.данные.!T308=Расчет!$BS$12,Исходн.данные.!T308=Расчет!$BP$5),BH308*0.8,BH308))))</f>
        <v>0</v>
      </c>
      <c r="BM308" s="10">
        <f>IF(OR(Исходн.данные.!$AH308=$BP$1,Исходн.данные.!$AH308=$BP$2),0,IF(BJ308&lt;0,0,IF(Исходн.данные.!I308&lt;4.5,BJ308*1.2,IF(Исходн.данные.!I308&gt;5.1,BJ308,BJ308*((5.1-Исходн.данные.!I308)*0.333+1)))))</f>
        <v>0</v>
      </c>
      <c r="BN308" s="10">
        <f>IF(OR(Исходн.данные.!$AH308=$BP$1,Исходн.данные.!$AH308=$BP$2),60-Исходн.данные.!AF308,IF(BK308&lt;0,0,IF(Исходн.данные.!I308&lt;4.5,BK308*1.2,IF(Исходн.данные.!I308&gt;5.1,BK308,BK308*((5.1-Исходн.данные.!I308)*0.333+1)))))</f>
        <v>0</v>
      </c>
      <c r="BO308" s="9">
        <f>IF(BL308&lt;0,0,BL308*Исходн.данные.!$AJ308/1000)</f>
        <v>0</v>
      </c>
      <c r="BP308" s="9">
        <f>IF(BM308&lt;0,0,BM308*Исходн.данные.!$AJ308/1000)</f>
        <v>0</v>
      </c>
      <c r="BQ308" s="9">
        <f>IF(BN308&lt;0,0,BN308*Исходн.данные.!$AJ308/1000)</f>
        <v>0</v>
      </c>
      <c r="BR308" s="9">
        <f t="shared" si="377"/>
        <v>0</v>
      </c>
      <c r="BS308" s="10" t="str">
        <f t="shared" si="378"/>
        <v>Аммофос 12:52:00</v>
      </c>
      <c r="BT308" s="10" t="str">
        <f t="shared" si="379"/>
        <v>Аммофос 12:52:00</v>
      </c>
      <c r="BU308" s="10" t="str">
        <f t="shared" si="380"/>
        <v>Диаммофоска</v>
      </c>
      <c r="BV308" s="10">
        <f t="shared" si="381"/>
        <v>0</v>
      </c>
      <c r="BW308" s="10"/>
      <c r="BX308" s="10"/>
      <c r="BY308" s="9">
        <f>IF(BL308&lt;0,0,IF(OR(Исходн.данные.!AI308=Расчет!$BU$6,Исходн.данные.!AI308=Расчет!$BU$7),Расчет!BV308,IF(Исходн.данные.!$AG308=$BV$11,BL308,IF(OR(Исходн.данные.!$AH308=$BQ$7,Исходн.данные.!$AH308=$BQ$8),CB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0,IF(Исходн.данные.!$AI308=$BU$11,"Нет",IF(BL308&gt;30,30,BL308)))))))</f>
        <v>0</v>
      </c>
      <c r="BZ308" s="9">
        <f>IF(AND(Исходн.данные.!$AG308=$BV$11,BM308&lt;10),10,IF(Исходн.данные.!$AG308=$BV$11,BM308,IF(OR(Исходн.данные.!$AH308=$BQ$7,Исходн.данные.!$AH308=$BQ$8),CC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10,IF(Исходн.данные.!$AI308=$BU$11,"Нет",IF(BM308&gt;60,60,IF(BM308&lt;10,10,BM308)))))))</f>
        <v>10</v>
      </c>
      <c r="CA308" s="39">
        <f>IF(BN308&lt;0,0,IF(Исходн.данные.!$AG308=$BV$11,BN308,IF(OR(Исходн.данные.!$AH308=$BQ$7,Исходн.данные.!$AH308=$BQ$8),CD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0,IF(Исходн.данные.!$AI308=$BU$11,"Нет",IF(BN308&gt;30,30,BN308))))))</f>
        <v>0</v>
      </c>
      <c r="CB308" s="9">
        <f t="shared" si="382"/>
        <v>0</v>
      </c>
      <c r="CC308" s="9">
        <f t="shared" si="383"/>
        <v>0</v>
      </c>
      <c r="CD308" s="9">
        <f t="shared" si="384"/>
        <v>0</v>
      </c>
      <c r="CE308" s="12">
        <f t="shared" si="385"/>
        <v>10</v>
      </c>
      <c r="CF308" s="9">
        <f t="shared" si="386"/>
        <v>0</v>
      </c>
      <c r="CG308" s="9" t="s">
        <v>231</v>
      </c>
      <c r="CH308" s="132" t="str">
        <f>IF(Исходн.данные.!AP308=Расчет!$CI$16,"Нет",IF(Исходн.данные.!AL308&gt;0,Исходн.данные.!AL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BH$4,IF(OR(Исходн.данные.!AI308=Исходн.данные.!$AI$6,Исходн.данные.!AI308=Исходн.данные.!$AI$7),Расчет!BS308,IF(AND($CF308=0,$CE308&gt;0),EV308,ER308)))))</f>
        <v>Аммофос 12:52:00</v>
      </c>
      <c r="CI308" s="274">
        <f>IF(Расчет!$CH308="Нет","Нет",IF(Исходн.данные.!$AL308&gt;0,VLOOKUP(Расчет!$CH308,АшламаДВ_Irekle,2,FALSE),VLOOKUP(Расчет!$CH308,АшламаДВ_Gomumy,2,FALSE)))</f>
        <v>0.12</v>
      </c>
      <c r="CJ308" s="274">
        <f>IF(Расчет!$CH308="Нет","Нет",IF(Исходн.данные.!$AL308&gt;0,VLOOKUP(Расчет!$CH308,АшламаДВ_Irekle,3,FALSE),VLOOKUP(Расчет!$CH308,АшламаДВ_Gomumy,3,FALSE)))</f>
        <v>0.52</v>
      </c>
      <c r="CK308" s="274">
        <f>IF(Расчет!$CH308="Нет","Нет",IF(Исходн.данные.!$AL308&gt;0,VLOOKUP(Расчет!$CH308,АшламаДВ_Irekle,4,FALSE),VLOOKUP(Расчет!$CH308,АшламаДВ_Gomumy,4,FALSE)))</f>
        <v>0</v>
      </c>
      <c r="CL308" s="70"/>
      <c r="CM308" s="70"/>
      <c r="CN308" s="70"/>
      <c r="CO308" s="70"/>
      <c r="CP308" s="70"/>
      <c r="CQ308" s="70"/>
      <c r="CR308" s="10">
        <f t="shared" si="387"/>
        <v>0</v>
      </c>
      <c r="CS308" s="10">
        <f t="shared" si="388"/>
        <v>19.23076923076923</v>
      </c>
      <c r="CT308" s="10">
        <f t="shared" si="389"/>
        <v>0</v>
      </c>
      <c r="CU308" s="39">
        <f>IF($CH308="Нет",0,IF(CI308=0,30/MIN(CJ308:CK308),IF(Исходн.данные.!$AG308=$BV$11,CR308,IF(OR(Исходн.данные.!$AH308=$BQ$7,Исходн.данные.!$AH308=$BQ$8),90/CI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0,IF(Исходн.данные.!$AI308=$BU$11,"Нет",30/CI308))))))</f>
        <v>250</v>
      </c>
      <c r="CV308" s="39">
        <f>IF($CH308="Нет",0,IF(Исходн.данные.!AH308=0,0,IF(CJ308=0,60/MIN(CI308,CK308),IF(Исходн.данные.!$AG308=$BV$11,CS308,IF(OR(Исходн.данные.!$AH308=$BQ$7,Исходн.данные.!$AH308=$BQ$8),90/CJ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10/CJ308,IF(Исходн.данные.!$AI308=$BU$11,"Нет",60/CJ308)))))))</f>
        <v>0</v>
      </c>
      <c r="CW308" s="39">
        <f>IF($CH308="Нет",0,IF(Исходн.данные.!AH308=0,0,IF(CK308=0,30/MIN(CI308:CJ308),IF(Исходн.данные.!$AG308=$BV$11,CT308,IF(OR(Исходн.данные.!$AH308=$BQ$7,Исходн.данные.!$AH308=$BQ$8),90/CK308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0,IF(Исходн.данные.!$AI308=$BU$11,"Нет",30/CK308)))))))</f>
        <v>0</v>
      </c>
      <c r="CX308" s="133">
        <f>IF(Исходн.данные.!$AG308=$BV$11,MAX(CU308:CW308),IF(OR(Исходн.данные.!$AH308=$BS$8,Исходн.данные.!$AH308=$BQ$9,Исходн.данные.!$AH308=$BQ$10,Исходн.данные.!$AH308=$BQ$11,Исходн.данные.!$AH308=$BQ$12,Исходн.данные.!$AH308=$BP$3,Исходн.данные.!$AH308=$BT$8,$FM308="Да"),CV308,MIN(CU308:CW308)))</f>
        <v>0</v>
      </c>
      <c r="CY308" s="133">
        <f>IF(Исходн.данные.!AH308=0,0,IF(CR308&gt;$CX308,$CX308,CR308))</f>
        <v>0</v>
      </c>
      <c r="CZ308" s="133">
        <f>IF(Исходн.данные.!AH308=0,0,IF(CS308&gt;$CX308,$CX308,CS308))</f>
        <v>0</v>
      </c>
      <c r="DA308" s="133">
        <f>IF(Исходн.данные.!AH308=0,0,IF(CT308&gt;$CX308,$CX308,CT308))</f>
        <v>0</v>
      </c>
      <c r="DB308" s="10">
        <f t="shared" si="390"/>
        <v>0</v>
      </c>
      <c r="DC308" s="39">
        <f>DB308*Исходн.данные.!AJ308/1000</f>
        <v>0</v>
      </c>
      <c r="DD308" s="71">
        <f t="shared" si="391"/>
        <v>0</v>
      </c>
      <c r="DE308" s="9">
        <f t="shared" si="392"/>
        <v>0</v>
      </c>
      <c r="DF308" s="9">
        <f t="shared" si="393"/>
        <v>0</v>
      </c>
      <c r="DG308" s="39">
        <f>IF(BL308&lt;0,0,IF($CH308="Нет",BL308,IF(OR(Исходн.данные.!$AH308=$BP$1,Исходн.данные.!$AH308=$BP$2),0,IF(Исходн.данные.!AI308=$BU$11,BL308,IF(BL308-DD308&lt;0,0,BL308-DD308)))))</f>
        <v>0</v>
      </c>
      <c r="DH308" s="39">
        <f>IF(BM308&lt;0,0,IF($CH308="Нет",BM308,IF(OR(Исходн.данные.!$AH308=$BP$1,Исходн.данные.!$AH308=$BP$2),0,IF(Исходн.данные.!AJ308=$BU$11,BM308,IF(BM308-DE308&lt;0,0,BM308-DE308)))))</f>
        <v>0</v>
      </c>
      <c r="DI308" s="39">
        <f>IF(BN308&lt;0,0,IF($CH308="Нет",BN308,IF(OR(Исходн.данные.!$AH308=$BP$1,Исходн.данные.!$AH308=$BP$2),0,IF(Исходн.данные.!AK308=$BU$11,BN308,IF(BN308-DF308&lt;0,0,BN308-DF308)))))</f>
        <v>0</v>
      </c>
      <c r="DJ308" s="12">
        <f t="shared" si="394"/>
        <v>0</v>
      </c>
      <c r="DK308" s="9">
        <f t="shared" si="395"/>
        <v>0</v>
      </c>
      <c r="DL308" s="39">
        <f>IF(Исходн.данные.!AM308&gt;0,Исходн.данные.!AM308,IF(EG308&gt;0,$BH$10,0))</f>
        <v>0</v>
      </c>
      <c r="DM308" s="186">
        <f>IF($DL308=0,0,IF(Исходн.данные.!AM308&gt;0,VLOOKUP($DL308,АшламаДВ_Irekle,2,FALSE),VLOOKUP($DL308,АшламаДВ_Gomumy,2,FALSE)))</f>
        <v>0</v>
      </c>
      <c r="DN308" s="10">
        <f t="shared" si="373"/>
        <v>0</v>
      </c>
      <c r="DO308" s="9" t="str">
        <f>IF(Исходн.данные.!AN308&gt;0,Исходн.данные.!AN308,Удобрения!$B$37 )</f>
        <v>Хлор.калий</v>
      </c>
      <c r="DP308" s="9">
        <f>IF(Исходн.данные.!AN308&gt;0,VLOOKUP(Исходн.данные.!AN308,АшламаДВ_Irekle,4,FALSE),VLOOKUP(DO308,АшламаДВ_Gomumy,4,FALSE))</f>
        <v>0.6</v>
      </c>
      <c r="DQ308" s="10">
        <f t="shared" si="374"/>
        <v>0</v>
      </c>
      <c r="DR308" s="132" t="str">
        <f>IF(Исходн.данные.!AO308&gt;0,Исходн.данные.!AO308,IF(DH308=0,BS$17,IF(AND($DK308=0,$DJ308&gt;0),EJ308,EN308)))</f>
        <v>Нет</v>
      </c>
      <c r="DS308" s="70" t="str">
        <f>IF($DR308="Нет","Нет",IF(Исходн.данные.!$AO308&gt;0,VLOOKUP($DR308,АшламаДВ_Irekle,2,FALSE),VLOOKUP($DR308,АшламаДВ_Gomumy,2,FALSE)))</f>
        <v>Нет</v>
      </c>
      <c r="DT308" s="70" t="str">
        <f>IF($DR308="Нет","Нет",IF(Исходн.данные.!$AO308&gt;0,VLOOKUP($DR308,АшламаДВ_Irekle,3,FALSE),VLOOKUP($DR308,АшламаДВ_Gomumy,3,FALSE)))</f>
        <v>Нет</v>
      </c>
      <c r="DU308" s="70" t="str">
        <f>IF($DR308="Нет","Нет",IF(Исходн.данные.!$AO308&gt;0,VLOOKUP($DR308,АшламаДВ_Irekle,4,FALSE),VLOOKUP($DR308,АшламаДВ_Gomumy,4,FALSE)))</f>
        <v>Нет</v>
      </c>
      <c r="DV308" s="70"/>
      <c r="DW308" s="70"/>
      <c r="DX308" s="70"/>
      <c r="DY308" s="10">
        <f t="shared" si="396"/>
        <v>0</v>
      </c>
      <c r="DZ308" s="10">
        <f t="shared" si="397"/>
        <v>0</v>
      </c>
      <c r="EA308" s="10">
        <f t="shared" si="398"/>
        <v>0</v>
      </c>
      <c r="EB308" s="10">
        <f t="shared" si="399"/>
        <v>0</v>
      </c>
      <c r="EC308" s="10">
        <f t="shared" si="400"/>
        <v>0</v>
      </c>
      <c r="ED308" s="10">
        <f t="shared" si="401"/>
        <v>0</v>
      </c>
      <c r="EE308" s="10">
        <f t="shared" si="402"/>
        <v>0</v>
      </c>
      <c r="EF308" s="39">
        <f>EB308*Исходн.данные.!AJ308/1000</f>
        <v>0</v>
      </c>
      <c r="EG308" s="9">
        <f t="shared" si="403"/>
        <v>0</v>
      </c>
      <c r="EH308" s="9">
        <f t="shared" si="404"/>
        <v>0</v>
      </c>
      <c r="EI308" s="39" t="e">
        <f t="shared" si="354"/>
        <v>#DIV/0!</v>
      </c>
      <c r="EJ308" s="9" t="str">
        <f t="shared" si="375"/>
        <v>Азопреципитат</v>
      </c>
      <c r="EK308" s="12">
        <f t="shared" si="355"/>
        <v>0.26</v>
      </c>
      <c r="EL308" s="12">
        <f t="shared" si="356"/>
        <v>0.13</v>
      </c>
      <c r="EM308" s="12">
        <f t="shared" si="357"/>
        <v>0</v>
      </c>
      <c r="EN308" s="12" t="str">
        <f t="shared" si="376"/>
        <v>Нет</v>
      </c>
      <c r="EO308" s="12">
        <f t="shared" si="358"/>
        <v>0</v>
      </c>
      <c r="EP308" s="12">
        <f t="shared" si="359"/>
        <v>0</v>
      </c>
      <c r="EQ308" s="12">
        <f t="shared" si="360"/>
        <v>0</v>
      </c>
      <c r="ER308" s="12" t="str">
        <f t="shared" si="405"/>
        <v>Диаммофоска</v>
      </c>
      <c r="ES308" s="12">
        <f t="shared" si="361"/>
        <v>0.1</v>
      </c>
      <c r="ET308" s="12">
        <f t="shared" si="362"/>
        <v>0.26</v>
      </c>
      <c r="EU308" s="12">
        <f t="shared" si="363"/>
        <v>0.26</v>
      </c>
      <c r="EV308" s="12" t="str">
        <f t="shared" si="406"/>
        <v>Аммофос 12:52:00</v>
      </c>
      <c r="EW308" s="12" t="str">
        <f t="shared" si="407"/>
        <v>Кемира Свекловичное-6</v>
      </c>
      <c r="EX308" s="12">
        <f t="shared" si="364"/>
        <v>0.16</v>
      </c>
      <c r="EY308" s="12">
        <f t="shared" si="365"/>
        <v>0.12</v>
      </c>
      <c r="EZ308" s="12">
        <f t="shared" si="366"/>
        <v>0.17</v>
      </c>
      <c r="FA308" s="38" t="e">
        <f>IF(AND(OR(FJ308=$FD$1,FM308=$FD$1,FO308=$FD$1,FQ308=$FD$1,FS308=$FD$1),FD308=$FD$1,Исходн.данные.!J308&lt;2,FU308=$FD$1),"Бор,Кобальт",IF(AND(FO308=$FD$1,FH308=$FD$1,Исходн.данные.!J308&lt;2,FU308=$FD$1),"Бор,Кобальт",IF(AND(OR(FJ308=$FD$1,FM308=$FD$1,FQ308=$FD$1),FE308=$FD$1,Исходн.данные.!J308&lt;2,FT308=$FD$1,FU308=$FD$1),"Бор,Медь,Цинк",IF(AND(OR(FJ308=$FD$1,FR308="Да"),FI308="Да",Исходн.данные.!J308&lt;2,FT308="Да",FU308="Да"),"Бор,Цинк,Медь",IF(AND(OR(FM308="Да",FQ308="Да"),FI308="Да",Исходн.данные.!J308&lt;2,FT308="Да",FU308="Да"),"Бор,Цинк",IF(AND(FN308="Да",OR(FD308="Да",FE308="Да")),"Бор",FB308))))))</f>
        <v>#N/A</v>
      </c>
      <c r="FB308" s="134" t="e">
        <f>IF(AND(OR(FD308="Да",FE308="Да",FF308="Да",FG308="Да",FH308="Да"),FO308="Да"),"Бор",IF(AND(FP308="Да",OR(FD308="Да",FE308="Да",FI308="Да")),"Бор",IF(AND(FS308="Да",FE308="Да"),"Бор,Медь",IF(AND(OR(FJ308="Да",FK308="Да",FL308="Да"),FE308="Да",Исходн.данные.!I308&lt;5,FT308="Да",FU308="Да"),"Молибден,Цинк",IF(AND(FM308="Да",OR(FE308="Да",FF308="Да",FG308="Да",FH308="Да",FI308="Да")),"Молибден,Цинк",IF(AND(OR(FJ308="Да",FK308="Да",FL308="Да",FM308="Да",FQ308="Да"),OR(FE308="Да",FF308="Да"),FT308="Да",FU308="Да",Исходн.данные.!I308&gt;5.5),"Медь,Цинк",FC308))))))</f>
        <v>#N/A</v>
      </c>
      <c r="FC308" s="23" t="e">
        <f t="shared" si="408"/>
        <v>#N/A</v>
      </c>
      <c r="FD308" s="38" t="str">
        <f>IF(OR(Исходн.данные.!F308=$CC$1,Исходн.данные.!F308=$CC$2,Исходн.данные.!F308=$CC$3,Исходн.данные.!F308=$CC$4),"Да","Нет")</f>
        <v>Нет</v>
      </c>
      <c r="FE308" s="38" t="str">
        <f>IF(Исходн.данные.!F308=$CC$5,"Да","Нет")</f>
        <v>Нет</v>
      </c>
      <c r="FF308" s="38" t="str">
        <f>IF(OR(Исходн.данные.!F308=$CC$6,Исходн.данные.!F308=$CC$7),"Да","Нет")</f>
        <v>Нет</v>
      </c>
      <c r="FG308" s="38" t="str">
        <f>IF(OR(Исходн.данные.!F308=$CC$8,Исходн.данные.!F308=$CC$9),"Да","Нет")</f>
        <v>Нет</v>
      </c>
      <c r="FH308" s="38" t="str">
        <f>IF(Исходн.данные.!F308=$CC$10,"Да","Нет")</f>
        <v>Нет</v>
      </c>
      <c r="FI308" s="38" t="str">
        <f>IF(OR(Исходн.данные.!F308=$CC$11,Исходн.данные.!F308=$CC$12),"Да","Нет")</f>
        <v>Нет</v>
      </c>
      <c r="FJ308" s="38" t="str">
        <f>IF(OR(Исходн.данные.!AH308=$BS$1,Исходн.данные.!AH308=$BQ$11,Исходн.данные.!AH308=$BQ$12),"Да","Нет")</f>
        <v>Нет</v>
      </c>
      <c r="FK308" s="38" t="str">
        <f>IF(OR(Исходн.данные.!AH308=$BS$2,Исходн.данные.!AH308=$BS$4),"Да","Нет")</f>
        <v>Нет</v>
      </c>
      <c r="FL308" s="38" t="str">
        <f>IF(OR(Исходн.данные.!AH308=$BS$3,Исходн.данные.!AH308=$BS$5),"Да","Нет")</f>
        <v>Нет</v>
      </c>
      <c r="FM308" s="38" t="str">
        <f>IF(OR(Исходн.данные.!AH308=$BS$9,Исходн.данные.!AH308=$BS$10,Исходн.данные.!AH308=$BS$11,Исходн.данные.!AH308=$BS$12),"Да","Нет")</f>
        <v>Нет</v>
      </c>
      <c r="FN308" s="38" t="str">
        <f>IF(OR(Исходн.данные.!AH308=$BS$6,Исходн.данные.!AH308=$BP$3),"Да","Нет")</f>
        <v>Нет</v>
      </c>
      <c r="FO308" s="38" t="str">
        <f>IF(Исходн.данные.!AH308=$BQ$9,"Да","Нет")</f>
        <v>Нет</v>
      </c>
      <c r="FP308" s="38" t="str">
        <f>IF(OR(Исходн.данные.!AH308=$BS$8,Исходн.данные.!AH308=$BT$8),"Да","Нет")</f>
        <v>Нет</v>
      </c>
      <c r="FQ308" s="38" t="str">
        <f>IF(OR(Исходн.данные.!AH308=$BQ$7,Исходн.данные.!AH308=$BQ$8),"Да","Нет")</f>
        <v>Нет</v>
      </c>
      <c r="FR308" s="38" t="str">
        <f>IF(Исходн.данные.!AI308=$BU$9,"Да","Нет")</f>
        <v>Нет</v>
      </c>
      <c r="FS308" s="38" t="str">
        <f>IF(OR(Исходн.данные.!AH308=$BP$1,Исходн.данные.!AH308=$BP$2),"Да","Нет")</f>
        <v>Нет</v>
      </c>
      <c r="FT308" s="38" t="e">
        <f>IF((Исходн.данные.!K308*GO308*GS308*GW308+BL308*0.6+Исходн.данные.!Q308*4.5*0.275)&gt;90,"Да","Нет")</f>
        <v>#N/A</v>
      </c>
      <c r="FU308" s="38" t="e">
        <f>IF((Исходн.данные.!M308*GS308*GZ308+BM308*0.225)&gt;35,"Да","Нет")</f>
        <v>#N/A</v>
      </c>
      <c r="FV308" s="38" t="str">
        <f>IF(Исходн.данные.!O308&gt;175,"Да","Нет")</f>
        <v>Нет</v>
      </c>
      <c r="FW308" s="39" t="str">
        <f>IF(Исходн.данные.!I308&gt;5.5,"Да","Нет")</f>
        <v>Нет</v>
      </c>
      <c r="FX308" s="39" t="str">
        <f>IF(Исходн.данные.!J308&lt;2,"Да","Нет")</f>
        <v>Да</v>
      </c>
      <c r="FY308" s="39" t="e">
        <f>IF(HF308=$FY$16,0,Исходн.данные.!K308*GO308*GS308*GW308/HF308)</f>
        <v>#N/A</v>
      </c>
      <c r="FZ308" s="39" t="e">
        <f>Исходн.данные.!M308*GS308*GZ308/HG308</f>
        <v>#N/A</v>
      </c>
      <c r="GA308" s="39" t="e">
        <f>IF(K_Wyn=$FY$16,0,IF(Исходн.данные.!N308=Исходн.данные.!$L$10,Исходн.данные.!O308/1.1*GS308*HC308/HH308,IF(Исходн.данные.!N308=Исходн.данные.!$L$12,Исходн.данные.!O308/1.5*GS308*HC308/HH308,Исходн.данные.!O308*GS308*HC308/HH308)))</f>
        <v>#N/A</v>
      </c>
      <c r="GB308" s="39" t="e">
        <f>IF(HF308=$FY$16,0,((Исходн.данные.!Q308*N_Org+Исходн.данные.!R308*N_Sider+Исходн.данные.!S308*N_Soloma)*AO308+Расчет!BC308*VLOOKUP(Исходн.данные.!T308,Справ!$A$3:$O$57,15)*AO308+BB308*VLOOKUP(Исходн.данные.!T308,Справ!$A$3:$O$57,15)*AL308+(Исходн.данные.!V308*N_Rizotorf+Исходн.данные.!W308*N_Rizoagr))/HF308)</f>
        <v>#N/A</v>
      </c>
      <c r="GC308" s="39" t="e">
        <f>IF(HG308=$FY$16,0,((Исходн.данные.!Q308*Р_Org+Исходн.данные.!R308*P_Sider+Исходн.данные.!S308*P_Soloma)*AP308+Расчет!BC308*VLOOKUP(Исходн.данные.!T308,Справ!$A$3:$P$57,16)*AP308+BB308*VLOOKUP(Исходн.данные.!T308,Справ!$A$3:$P$57,16)*AM308)/HG308)</f>
        <v>#N/A</v>
      </c>
      <c r="GD308" s="39" t="e">
        <f>IF(HH308=$FY$16,0,((Исходн.данные.!Q308*К_Org+Исходн.данные.!R308*K_Sider+Исходн.данные.!S308*K_Soloma)*AQ308+Расчет!BC308*VLOOKUP(Исходн.данные.!T308,Справ!$A$3:$Q$57,17)*AQ308+BB308*VLOOKUP(Исходн.данные.!T308,Справ!$A$3:$Q$57,17)*AN308)/HH308)</f>
        <v>#N/A</v>
      </c>
      <c r="GE308" s="39" t="e">
        <f>IF(HF308=$FY$16,0,(Исходн.данные.!X308*AR308+Исходн.данные.!AA308*N_Org*AL308+Исходн.данные.!AB308*N_Sider*AL308+Исходн.данные.!AC308*N_Soloma*AL308)/HF308)</f>
        <v>#N/A</v>
      </c>
      <c r="GF308" s="39" t="e">
        <f>IF(HG308=$FY$16,0,(Исходн.данные.!Y308*AS308+Исходн.данные.!AA308*Р_Org*AM308+Исходн.данные.!AB308*P_Sider*AM308+Исходн.данные.!AC308*P_Soloma*AM308)/HG308)</f>
        <v>#N/A</v>
      </c>
      <c r="GG308" s="39" t="e">
        <f>IF(HH308=$FY$16,0,(Исходн.данные.!Z308*AT308+Исходн.данные.!AA308*К_Org*AN308+Исходн.данные.!AB308*K_Sider*AN308+Исходн.данные.!AC308*K_Soloma*AN308)/HH308)</f>
        <v>#N/A</v>
      </c>
      <c r="GH308" s="39" t="e">
        <f>Исходн.данные.!AD308*AU308/HF308</f>
        <v>#N/A</v>
      </c>
      <c r="GI308" s="39" t="e">
        <f>Исходн.данные.!AE308*AV308/HG308</f>
        <v>#N/A</v>
      </c>
      <c r="GJ308" s="39" t="e">
        <f>Исходн.данные.!AF308*AW308/HH308</f>
        <v>#N/A</v>
      </c>
      <c r="GK308" s="55">
        <f>Исходн.данные.!AK308</f>
        <v>0</v>
      </c>
      <c r="GL308" s="11" t="e">
        <f t="shared" si="409"/>
        <v>#N/A</v>
      </c>
      <c r="GM308" s="11" t="e">
        <f t="shared" si="410"/>
        <v>#N/A</v>
      </c>
      <c r="GN308" s="11" t="e">
        <f t="shared" si="411"/>
        <v>#N/A</v>
      </c>
      <c r="GO308" s="57">
        <f t="shared" si="412"/>
        <v>19</v>
      </c>
      <c r="GP308" s="55">
        <f>IF(OR(Исходн.данные.!F308=$CE$1,Исходн.данные.!F308=$CE$2,Исходн.данные.!F308=$CE$3,Исходн.данные.!F308=$CE$4,Исходн.данные.!F308=$CE$5),GQ308,GR308)</f>
        <v>19</v>
      </c>
      <c r="GQ308" s="55">
        <f>IF(Исходн.данные.!F308=$CE$1,28,IF(Исходн.данные.!F308=$CE$2,26,IF(Исходн.данные.!F308=$CE$3,24,IF(Исходн.данные.!F308=$CE$4,22,IF(Исходн.данные.!F308=$CE$5,20,GR308)))))</f>
        <v>19</v>
      </c>
      <c r="GR308" s="55">
        <f>IF(Исходн.данные.!F308=$CE$6,18,IF(Исходн.данные.!F308=$CE$7,16,IF(Исходн.данные.!F308=$CE$8,14,IF(Исходн.данные.!F308=$CE$9,13,IF(Исходн.данные.!F308=$CE$10,12,19)))))</f>
        <v>19</v>
      </c>
      <c r="GS308" s="55">
        <f>IF(Исходн.данные.!G308="Пес",0.035*(40+2*Исходн.данные.!H308),IF(Исходн.данные.!G308="Суп",0.0325*(40+2*Исходн.данные.!H308),0.03*(40+2*Исходн.данные.!H308)))</f>
        <v>1.2</v>
      </c>
      <c r="GT308" s="55">
        <f>IF(Исходн.данные.!H308&lt;23,2.6,IF(AND(Исходн.данные.!H308&gt;22,Исходн.данные.!H308&lt;26),3,IF(AND(Исходн.данные.!H308&gt;25,Исходн.данные.!H308&lt;29),3.4,3.6)))</f>
        <v>2.6</v>
      </c>
      <c r="GU308" s="55">
        <f>IF(Исходн.данные.!H308&lt;23,2.8,IF(AND(Исходн.данные.!H308&gt;22,Исходн.данные.!H308&lt;26),3.2,IF(AND(Исходн.данные.!H308&gt;25,Исходн.данные.!H308&lt;29),3.6,3.9)))</f>
        <v>2.8</v>
      </c>
      <c r="GV308" s="55">
        <f>IF(Исходн.данные.!H308&lt;23,3,IF(AND(Исходн.данные.!H308&gt;22,Исходн.данные.!H308&lt;26),3.5,IF(AND(Исходн.данные.!H308&gt;25,Исходн.данные.!H308&lt;29),3.9,4.2)))</f>
        <v>3</v>
      </c>
      <c r="GW308" s="55" t="e">
        <f>IF(Исходн.данные.!P308="Ум",GX308,GY308)</f>
        <v>#N/A</v>
      </c>
      <c r="GX308" s="55" t="e">
        <f>VLOOKUP(Исходн.данные.!AI308,Коэффициенты!$J$7:$L$13,2,FALSE)</f>
        <v>#N/A</v>
      </c>
      <c r="GY308" s="55" t="e">
        <f>VLOOKUP(Исходн.данные.!AI308,Коэффициенты!$J$7:$L$13,3,FALSE)</f>
        <v>#N/A</v>
      </c>
      <c r="GZ308" s="55" t="e">
        <f>(IF(Исходн.данные.!M308&lt;50,0.11*VLOOKUP(Исходн.данные.!AH308,Культуры.Информация,7,FALSE),IF(Исходн.данные.!M308&gt;250,0.05*VLOOKUP(Исходн.данные.!AH308,Культуры.Информация,7,FALSE),VLOOKUP(Исходн.данные.!AH308,Культуры.Информация,5,FALSE)/100*($GX$6+$GY$6*Исходн.данные.!M308))))*Расчет2!AI308</f>
        <v>#N/A</v>
      </c>
      <c r="HA308" s="211"/>
      <c r="HB308" s="211"/>
      <c r="HC308" s="55" t="e">
        <f>(IF(Исходн.данные.!O308&lt;80,0.2*VLOOKUP(Исходн.данные.!AH308,Культуры.Информация,8,FALSE),IF(Исходн.данные.!O308&gt;240,0.09*VLOOKUP(Исходн.данные.!AH308,Культуры.Информация,8,FALSE),VLOOKUP(Исходн.данные.!AH308,Культуры.Информация,6,FALSE)/100*($HB$6+$HC$6*Исходн.данные.!O308))))*Расчет2!AJ308</f>
        <v>#N/A</v>
      </c>
      <c r="HD308" s="55">
        <f>IF(Исходн.данные.!O308&gt;240,0.09,IF(Исходн.данные.!O308&lt;30,0.3,$HE$10+$HD$10*Исходн.данные.!O308))</f>
        <v>0.3</v>
      </c>
      <c r="HE308" s="55">
        <f>IF(Исходн.данные.!O308&gt;240,0.17,IF(Исходн.данные.!O308&lt;30,0.5,$HF$12+$HE$12*Исходн.данные.!O308))</f>
        <v>0.5</v>
      </c>
      <c r="HF308" s="55" t="e">
        <f>VLOOKUP(Исходн.данные.!AH308,Справ!$A$3:$D$58,2,FALSE)</f>
        <v>#N/A</v>
      </c>
      <c r="HG308" s="55" t="e">
        <f>VLOOKUP(Исходн.данные.!AH308,Справ!$A$3:$D$58,3,FALSE)</f>
        <v>#N/A</v>
      </c>
      <c r="HH308" s="55" t="e">
        <f>VLOOKUP(Исходн.данные.!AH308,Справ!$A$3:$D$58,4,FALSE)</f>
        <v>#N/A</v>
      </c>
      <c r="HI308" s="11" t="e">
        <f t="shared" si="413"/>
        <v>#N/A</v>
      </c>
      <c r="HJ308" s="11" t="e">
        <f t="shared" si="414"/>
        <v>#N/A</v>
      </c>
      <c r="HK308" s="11" t="e">
        <f t="shared" si="415"/>
        <v>#N/A</v>
      </c>
      <c r="HL308" s="55">
        <f>IF(OR(Исходн.данные.!G308="Глин",Исходн.данные.!G308="Т_суг"),1.1,IF(Исходн.данные.!G308="Ср_суг",1,1))</f>
        <v>1</v>
      </c>
      <c r="HM308" s="55">
        <f>IF(OR(Исходн.данные.!G308="Глин",Исходн.данные.!G308="Т_суг"),0.9,IF(Исходн.данные.!G308="Ср_суг",1,1.2))</f>
        <v>1.2</v>
      </c>
      <c r="HN308" s="11" t="e">
        <f t="shared" si="416"/>
        <v>#N/A</v>
      </c>
      <c r="HO308" s="11" t="e">
        <f t="shared" si="417"/>
        <v>#N/A</v>
      </c>
      <c r="HP308" s="11" t="e">
        <f t="shared" si="418"/>
        <v>#N/A</v>
      </c>
      <c r="HQ308" t="e">
        <f t="shared" si="419"/>
        <v>#N/A</v>
      </c>
      <c r="HR308" t="e">
        <f t="shared" si="420"/>
        <v>#N/A</v>
      </c>
      <c r="HS308" t="e">
        <f t="shared" si="421"/>
        <v>#N/A</v>
      </c>
      <c r="HT308" t="e">
        <f t="shared" si="367"/>
        <v>#N/A</v>
      </c>
      <c r="HU308" t="e">
        <f t="shared" si="368"/>
        <v>#N/A</v>
      </c>
      <c r="HV308" t="e">
        <f t="shared" si="369"/>
        <v>#N/A</v>
      </c>
      <c r="HW308" t="e">
        <f t="shared" si="370"/>
        <v>#N/A</v>
      </c>
      <c r="HX308" t="e">
        <f t="shared" si="371"/>
        <v>#N/A</v>
      </c>
      <c r="HY308" t="e">
        <f t="shared" si="372"/>
        <v>#N/A</v>
      </c>
      <c r="HZ308" s="55">
        <f>IF(OR(Исходн.данные.!AI308="Оз_Ч_П",Исходн.данные.!AI308="Оз_З_П",Исходн.данные.!AI308="Яр_зер"),12,30)</f>
        <v>30</v>
      </c>
      <c r="IA308" t="e">
        <f t="shared" si="422"/>
        <v>#N/A</v>
      </c>
      <c r="IB308" t="e">
        <f t="shared" si="423"/>
        <v>#N/A</v>
      </c>
      <c r="IC308" t="e">
        <f t="shared" si="424"/>
        <v>#N/A</v>
      </c>
      <c r="ID308" s="11" t="e">
        <f t="shared" si="425"/>
        <v>#N/A</v>
      </c>
      <c r="IE308" s="11" t="e">
        <f t="shared" si="426"/>
        <v>#N/A</v>
      </c>
      <c r="IF308" s="11" t="e">
        <f t="shared" si="427"/>
        <v>#N/A</v>
      </c>
    </row>
    <row r="309" spans="35:240" x14ac:dyDescent="0.2">
      <c r="AI309">
        <f>IF(Исходн.данные.!I309&gt;6,1,1.85-(0.148*Исходн.данные.!I309))</f>
        <v>1.85</v>
      </c>
      <c r="AJ309">
        <f>IF(Исходн.данные.!I309&gt;6,1,2.434-(0.246*Исходн.данные.!I309))</f>
        <v>2.4340000000000002</v>
      </c>
      <c r="AL309" s="148" t="b">
        <f>IF(Исходн.данные.!$P309="Ум",N_OrgUd_2g_um,IF(Исходн.данные.!$P309="Об",N_OrgUd_2g_ob))</f>
        <v>0</v>
      </c>
      <c r="AM309" s="148" t="b">
        <f>IF(Исходн.данные.!$P309="Ум",P_OrgUd_2g_um,IF(Исходн.данные.!$P309="Об",P_OrgUd_2g_ob))</f>
        <v>0</v>
      </c>
      <c r="AN309" s="148" t="b">
        <f>IF(Исходн.данные.!$P309="Ум",K_OrgUd_2g_um,IF(Исходн.данные.!$P309="Об",K_OrgUd_2g_ob))</f>
        <v>0</v>
      </c>
      <c r="AO309" s="148" t="b">
        <f>IF(Исходн.данные.!$P309="Ум",N_OrgUd_1g_um,IF(Исходн.данные.!$P309="Об",N_OrgUd_1g_ob))</f>
        <v>0</v>
      </c>
      <c r="AP309" s="148" t="b">
        <f>IF(Исходн.данные.!$P309="Ум",P_OrgUd_1g_um,IF(Исходн.данные.!$P309="Об",P_OrgUd_1g_ob))</f>
        <v>0</v>
      </c>
      <c r="AQ309" s="148" t="b">
        <f>IF(Исходн.данные.!$P309="Ум",K_OrgUd_1g_um,IF(Исходн.данные.!$P309="Об",K_OrgUd_1g_ob))</f>
        <v>0</v>
      </c>
      <c r="AR309" t="b">
        <f>IF(Исходн.данные.!$P309="Ум",N_MinUd_2g_um,IF(Исходн.данные.!$P309="Об",N_MinUd_2g_ob))</f>
        <v>0</v>
      </c>
      <c r="AS309" t="b">
        <f>IF(Исходн.данные.!$P309="Ум",P_MinUd_2g_um,IF(Исходн.данные.!$P309="Об",P_MinUd_2g_ob))</f>
        <v>0</v>
      </c>
      <c r="AT309" t="b">
        <f>IF(Исходн.данные.!$P309="Ум",K_MinUd_2g_um,IF(Исходн.данные.!$P309="Об",K_MinUd_2g_ob))</f>
        <v>0</v>
      </c>
      <c r="AU309" t="b">
        <f>IF(Исходн.данные.!$P309="Ум",N_MinUd_1g_um,IF(Исходн.данные.!$P309="Об",N_MinUd_1g_ob))</f>
        <v>0</v>
      </c>
      <c r="AV309" t="b">
        <f>IF(Исходн.данные.!P309="Ум",P_MinUd_1g_um,IF(Исходн.данные.!P309="Об",P_MinUd_1g_ob))</f>
        <v>0</v>
      </c>
      <c r="AW309" t="b">
        <f>IF(Исходн.данные.!P309="Ум",K_MinUd_1g_um,IF(Исходн.данные.!P309="Об",K_MinUd_1g_ob))</f>
        <v>0</v>
      </c>
      <c r="AY309" t="e">
        <f>VLOOKUP(Исходн.данные.!T309,Справ!$A$3:$N$57,12)</f>
        <v>#N/A</v>
      </c>
      <c r="AZ309" t="e">
        <f>VLOOKUP(Исходн.данные.!T309,Справ!$A$3:$N$57,13)</f>
        <v>#N/A</v>
      </c>
      <c r="BA309" t="e">
        <f>VLOOKUP(Исходн.данные.!T309,Справ!$A$3:$N$57,14)</f>
        <v>#N/A</v>
      </c>
      <c r="BB309">
        <f>IF(Исходн.данные.!AH309=0,0,25)</f>
        <v>0</v>
      </c>
      <c r="BC309" s="141">
        <f>IF(Исходн.данные.!AH309=0,0,IF(Исходн.данные.!T309=0,25,BD309))</f>
        <v>0</v>
      </c>
      <c r="BD309" s="168" t="e">
        <f>AY309+AZ309*Исходн.данные.!U309-POWER(BA309,2)*Исходн.данные.!U309</f>
        <v>#N/A</v>
      </c>
      <c r="BE30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09" s="25">
        <f>IF(Исходн.данные.!AH309=0,0,MIN(HN309:HP309))</f>
        <v>0</v>
      </c>
      <c r="BG309" s="9">
        <f>IF(Исходн.данные.!AH309=0,0,IF((HO309+10*0.25/HG309/HL309)&lt;17,17,HO309+10*0.25/HG309/HL309))</f>
        <v>0</v>
      </c>
      <c r="BH309" s="181">
        <f>IF(Исходн.данные.!AH309=0,0,HW309*HF309*HL309/AU309*AI309+Исходн.данные.!S309*10)</f>
        <v>0</v>
      </c>
      <c r="BI309" s="10"/>
      <c r="BJ309" s="182">
        <f>IF(Исходн.данные.!AH309=0,0,IF(HX309*HG309*HL309/AV309&lt;0,0,HX309*HG309*HL309/AV309*AJ309))</f>
        <v>0</v>
      </c>
      <c r="BK309" s="182">
        <f>IF(Исходн.данные.!AH309=0,0,HY309*HH309*HM309/AW309)</f>
        <v>0</v>
      </c>
      <c r="BL309" s="10">
        <f>IF(OR(Исходн.данные.!$AH309=$BP$1,Исходн.данные.!$AH309=$BP$2),0,IF(BH309&lt;0,0,IF(OR(Исходн.данные.!T309=Расчет!$BP$1,Исходн.данные.!T309=Расчет!$BP$2,Исходн.данные.!T309=Расчет!$BT$5,Исходн.данные.!T309=Расчет!$BT$6),BH309*0.5,IF(OR(Исходн.данные.!T309=Расчет!$BS$9,Исходн.данные.!T309=Расчет!$BS$10,Исходн.данные.!T309=Расчет!$BS$11,Исходн.данные.!T309=Расчет!$BS$12,Исходн.данные.!T309=Расчет!$BP$5),BH309*0.8,BH309))))</f>
        <v>0</v>
      </c>
      <c r="BM309" s="10">
        <f>IF(OR(Исходн.данные.!$AH309=$BP$1,Исходн.данные.!$AH309=$BP$2),0,IF(BJ309&lt;0,0,IF(Исходн.данные.!I309&lt;4.5,BJ309*1.2,IF(Исходн.данные.!I309&gt;5.1,BJ309,BJ309*((5.1-Исходн.данные.!I309)*0.333+1)))))</f>
        <v>0</v>
      </c>
      <c r="BN309" s="10">
        <f>IF(OR(Исходн.данные.!$AH309=$BP$1,Исходн.данные.!$AH309=$BP$2),60-Исходн.данные.!AF309,IF(BK309&lt;0,0,IF(Исходн.данные.!I309&lt;4.5,BK309*1.2,IF(Исходн.данные.!I309&gt;5.1,BK309,BK309*((5.1-Исходн.данные.!I309)*0.333+1)))))</f>
        <v>0</v>
      </c>
      <c r="BO309" s="9">
        <f>IF(BL309&lt;0,0,BL309*Исходн.данные.!$AJ309/1000)</f>
        <v>0</v>
      </c>
      <c r="BP309" s="9">
        <f>IF(BM309&lt;0,0,BM309*Исходн.данные.!$AJ309/1000)</f>
        <v>0</v>
      </c>
      <c r="BQ309" s="9">
        <f>IF(BN309&lt;0,0,BN309*Исходн.данные.!$AJ309/1000)</f>
        <v>0</v>
      </c>
      <c r="BR309" s="9">
        <f t="shared" si="377"/>
        <v>0</v>
      </c>
      <c r="BS309" s="10" t="str">
        <f t="shared" si="378"/>
        <v>Аммофос 12:52:00</v>
      </c>
      <c r="BT309" s="10" t="str">
        <f t="shared" si="379"/>
        <v>Аммофос 12:52:00</v>
      </c>
      <c r="BU309" s="10" t="str">
        <f t="shared" si="380"/>
        <v>Диаммофоска</v>
      </c>
      <c r="BV309" s="10">
        <f t="shared" si="381"/>
        <v>0</v>
      </c>
      <c r="BW309" s="10"/>
      <c r="BX309" s="10"/>
      <c r="BY309" s="9">
        <f>IF(BL309&lt;0,0,IF(OR(Исходн.данные.!AI309=Расчет!$BU$6,Исходн.данные.!AI309=Расчет!$BU$7),Расчет!BV309,IF(Исходн.данные.!$AG309=$BV$11,BL309,IF(OR(Исходн.данные.!$AH309=$BQ$7,Исходн.данные.!$AH309=$BQ$8),CB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0,IF(Исходн.данные.!$AI309=$BU$11,"Нет",IF(BL309&gt;30,30,BL309)))))))</f>
        <v>0</v>
      </c>
      <c r="BZ309" s="9">
        <f>IF(AND(Исходн.данные.!$AG309=$BV$11,BM309&lt;10),10,IF(Исходн.данные.!$AG309=$BV$11,BM309,IF(OR(Исходн.данные.!$AH309=$BQ$7,Исходн.данные.!$AH309=$BQ$8),CC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10,IF(Исходн.данные.!$AI309=$BU$11,"Нет",IF(BM309&gt;60,60,IF(BM309&lt;10,10,BM309)))))))</f>
        <v>10</v>
      </c>
      <c r="CA309" s="39">
        <f>IF(BN309&lt;0,0,IF(Исходн.данные.!$AG309=$BV$11,BN309,IF(OR(Исходн.данные.!$AH309=$BQ$7,Исходн.данные.!$AH309=$BQ$8),CD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0,IF(Исходн.данные.!$AI309=$BU$11,"Нет",IF(BN309&gt;30,30,BN309))))))</f>
        <v>0</v>
      </c>
      <c r="CB309" s="9">
        <f t="shared" si="382"/>
        <v>0</v>
      </c>
      <c r="CC309" s="9">
        <f t="shared" si="383"/>
        <v>0</v>
      </c>
      <c r="CD309" s="9">
        <f t="shared" si="384"/>
        <v>0</v>
      </c>
      <c r="CE309" s="12">
        <f t="shared" si="385"/>
        <v>10</v>
      </c>
      <c r="CF309" s="9">
        <f t="shared" si="386"/>
        <v>0</v>
      </c>
      <c r="CG309" s="9" t="s">
        <v>231</v>
      </c>
      <c r="CH309" s="132" t="str">
        <f>IF(Исходн.данные.!AP309=Расчет!$CI$16,"Нет",IF(Исходн.данные.!AL309&gt;0,Исходн.данные.!AL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BH$4,IF(OR(Исходн.данные.!AI309=Исходн.данные.!$AI$6,Исходн.данные.!AI309=Исходн.данные.!$AI$7),Расчет!BS309,IF(AND($CF309=0,$CE309&gt;0),EV309,ER309)))))</f>
        <v>Аммофос 12:52:00</v>
      </c>
      <c r="CI309" s="274">
        <f>IF(Расчет!$CH309="Нет","Нет",IF(Исходн.данные.!$AL309&gt;0,VLOOKUP(Расчет!$CH309,АшламаДВ_Irekle,2,FALSE),VLOOKUP(Расчет!$CH309,АшламаДВ_Gomumy,2,FALSE)))</f>
        <v>0.12</v>
      </c>
      <c r="CJ309" s="274">
        <f>IF(Расчет!$CH309="Нет","Нет",IF(Исходн.данные.!$AL309&gt;0,VLOOKUP(Расчет!$CH309,АшламаДВ_Irekle,3,FALSE),VLOOKUP(Расчет!$CH309,АшламаДВ_Gomumy,3,FALSE)))</f>
        <v>0.52</v>
      </c>
      <c r="CK309" s="274">
        <f>IF(Расчет!$CH309="Нет","Нет",IF(Исходн.данные.!$AL309&gt;0,VLOOKUP(Расчет!$CH309,АшламаДВ_Irekle,4,FALSE),VLOOKUP(Расчет!$CH309,АшламаДВ_Gomumy,4,FALSE)))</f>
        <v>0</v>
      </c>
      <c r="CL309" s="70"/>
      <c r="CM309" s="70"/>
      <c r="CN309" s="70"/>
      <c r="CO309" s="70"/>
      <c r="CP309" s="70"/>
      <c r="CQ309" s="70"/>
      <c r="CR309" s="10">
        <f t="shared" si="387"/>
        <v>0</v>
      </c>
      <c r="CS309" s="10">
        <f t="shared" si="388"/>
        <v>19.23076923076923</v>
      </c>
      <c r="CT309" s="10">
        <f t="shared" si="389"/>
        <v>0</v>
      </c>
      <c r="CU309" s="39">
        <f>IF($CH309="Нет",0,IF(CI309=0,30/MIN(CJ309:CK309),IF(Исходн.данные.!$AG309=$BV$11,CR309,IF(OR(Исходн.данные.!$AH309=$BQ$7,Исходн.данные.!$AH309=$BQ$8),90/CI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0,IF(Исходн.данные.!$AI309=$BU$11,"Нет",30/CI309))))))</f>
        <v>250</v>
      </c>
      <c r="CV309" s="39">
        <f>IF($CH309="Нет",0,IF(Исходн.данные.!AH309=0,0,IF(CJ309=0,60/MIN(CI309,CK309),IF(Исходн.данные.!$AG309=$BV$11,CS309,IF(OR(Исходн.данные.!$AH309=$BQ$7,Исходн.данные.!$AH309=$BQ$8),90/CJ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10/CJ309,IF(Исходн.данные.!$AI309=$BU$11,"Нет",60/CJ309)))))))</f>
        <v>0</v>
      </c>
      <c r="CW309" s="39">
        <f>IF($CH309="Нет",0,IF(Исходн.данные.!AH309=0,0,IF(CK309=0,30/MIN(CI309:CJ309),IF(Исходн.данные.!$AG309=$BV$11,CT309,IF(OR(Исходн.данные.!$AH309=$BQ$7,Исходн.данные.!$AH309=$BQ$8),90/CK309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0,IF(Исходн.данные.!$AI309=$BU$11,"Нет",30/CK309)))))))</f>
        <v>0</v>
      </c>
      <c r="CX309" s="133">
        <f>IF(Исходн.данные.!$AG309=$BV$11,MAX(CU309:CW309),IF(OR(Исходн.данные.!$AH309=$BS$8,Исходн.данные.!$AH309=$BQ$9,Исходн.данные.!$AH309=$BQ$10,Исходн.данные.!$AH309=$BQ$11,Исходн.данные.!$AH309=$BQ$12,Исходн.данные.!$AH309=$BP$3,Исходн.данные.!$AH309=$BT$8,$FM309="Да"),CV309,MIN(CU309:CW309)))</f>
        <v>0</v>
      </c>
      <c r="CY309" s="133">
        <f>IF(Исходн.данные.!AH309=0,0,IF(CR309&gt;$CX309,$CX309,CR309))</f>
        <v>0</v>
      </c>
      <c r="CZ309" s="133">
        <f>IF(Исходн.данные.!AH309=0,0,IF(CS309&gt;$CX309,$CX309,CS309))</f>
        <v>0</v>
      </c>
      <c r="DA309" s="133">
        <f>IF(Исходн.данные.!AH309=0,0,IF(CT309&gt;$CX309,$CX309,CT309))</f>
        <v>0</v>
      </c>
      <c r="DB309" s="10">
        <f t="shared" si="390"/>
        <v>0</v>
      </c>
      <c r="DC309" s="39">
        <f>DB309*Исходн.данные.!AJ309/1000</f>
        <v>0</v>
      </c>
      <c r="DD309" s="71">
        <f t="shared" si="391"/>
        <v>0</v>
      </c>
      <c r="DE309" s="9">
        <f t="shared" si="392"/>
        <v>0</v>
      </c>
      <c r="DF309" s="9">
        <f t="shared" si="393"/>
        <v>0</v>
      </c>
      <c r="DG309" s="39">
        <f>IF(BL309&lt;0,0,IF($CH309="Нет",BL309,IF(OR(Исходн.данные.!$AH309=$BP$1,Исходн.данные.!$AH309=$BP$2),0,IF(Исходн.данные.!AI309=$BU$11,BL309,IF(BL309-DD309&lt;0,0,BL309-DD309)))))</f>
        <v>0</v>
      </c>
      <c r="DH309" s="39">
        <f>IF(BM309&lt;0,0,IF($CH309="Нет",BM309,IF(OR(Исходн.данные.!$AH309=$BP$1,Исходн.данные.!$AH309=$BP$2),0,IF(Исходн.данные.!AJ309=$BU$11,BM309,IF(BM309-DE309&lt;0,0,BM309-DE309)))))</f>
        <v>0</v>
      </c>
      <c r="DI309" s="39">
        <f>IF(BN309&lt;0,0,IF($CH309="Нет",BN309,IF(OR(Исходн.данные.!$AH309=$BP$1,Исходн.данные.!$AH309=$BP$2),0,IF(Исходн.данные.!AK309=$BU$11,BN309,IF(BN309-DF309&lt;0,0,BN309-DF309)))))</f>
        <v>0</v>
      </c>
      <c r="DJ309" s="12">
        <f t="shared" si="394"/>
        <v>0</v>
      </c>
      <c r="DK309" s="9">
        <f t="shared" si="395"/>
        <v>0</v>
      </c>
      <c r="DL309" s="39">
        <f>IF(Исходн.данные.!AM309&gt;0,Исходн.данные.!AM309,IF(EG309&gt;0,$BH$10,0))</f>
        <v>0</v>
      </c>
      <c r="DM309" s="186">
        <f>IF($DL309=0,0,IF(Исходн.данные.!AM309&gt;0,VLOOKUP($DL309,АшламаДВ_Irekle,2,FALSE),VLOOKUP($DL309,АшламаДВ_Gomumy,2,FALSE)))</f>
        <v>0</v>
      </c>
      <c r="DN309" s="10">
        <f t="shared" si="373"/>
        <v>0</v>
      </c>
      <c r="DO309" s="9" t="str">
        <f>IF(Исходн.данные.!AN309&gt;0,Исходн.данные.!AN309,Удобрения!$B$37 )</f>
        <v>Хлор.калий</v>
      </c>
      <c r="DP309" s="9">
        <f>IF(Исходн.данные.!AN309&gt;0,VLOOKUP(Исходн.данные.!AN309,АшламаДВ_Irekle,4,FALSE),VLOOKUP(DO309,АшламаДВ_Gomumy,4,FALSE))</f>
        <v>0.6</v>
      </c>
      <c r="DQ309" s="10">
        <f t="shared" si="374"/>
        <v>0</v>
      </c>
      <c r="DR309" s="132" t="str">
        <f>IF(Исходн.данные.!AO309&gt;0,Исходн.данные.!AO309,IF(DH309=0,BS$17,IF(AND($DK309=0,$DJ309&gt;0),EJ309,EN309)))</f>
        <v>Нет</v>
      </c>
      <c r="DS309" s="70" t="str">
        <f>IF($DR309="Нет","Нет",IF(Исходн.данные.!$AO309&gt;0,VLOOKUP($DR309,АшламаДВ_Irekle,2,FALSE),VLOOKUP($DR309,АшламаДВ_Gomumy,2,FALSE)))</f>
        <v>Нет</v>
      </c>
      <c r="DT309" s="70" t="str">
        <f>IF($DR309="Нет","Нет",IF(Исходн.данные.!$AO309&gt;0,VLOOKUP($DR309,АшламаДВ_Irekle,3,FALSE),VLOOKUP($DR309,АшламаДВ_Gomumy,3,FALSE)))</f>
        <v>Нет</v>
      </c>
      <c r="DU309" s="70" t="str">
        <f>IF($DR309="Нет","Нет",IF(Исходн.данные.!$AO309&gt;0,VLOOKUP($DR309,АшламаДВ_Irekle,4,FALSE),VLOOKUP($DR309,АшламаДВ_Gomumy,4,FALSE)))</f>
        <v>Нет</v>
      </c>
      <c r="DV309" s="70"/>
      <c r="DW309" s="70"/>
      <c r="DX309" s="70"/>
      <c r="DY309" s="10">
        <f t="shared" si="396"/>
        <v>0</v>
      </c>
      <c r="DZ309" s="10">
        <f t="shared" si="397"/>
        <v>0</v>
      </c>
      <c r="EA309" s="10">
        <f t="shared" si="398"/>
        <v>0</v>
      </c>
      <c r="EB309" s="10">
        <f t="shared" si="399"/>
        <v>0</v>
      </c>
      <c r="EC309" s="10">
        <f t="shared" si="400"/>
        <v>0</v>
      </c>
      <c r="ED309" s="10">
        <f t="shared" si="401"/>
        <v>0</v>
      </c>
      <c r="EE309" s="10">
        <f t="shared" si="402"/>
        <v>0</v>
      </c>
      <c r="EF309" s="39">
        <f>EB309*Исходн.данные.!AJ309/1000</f>
        <v>0</v>
      </c>
      <c r="EG309" s="9">
        <f t="shared" si="403"/>
        <v>0</v>
      </c>
      <c r="EH309" s="9">
        <f t="shared" si="404"/>
        <v>0</v>
      </c>
      <c r="EI309" s="39" t="e">
        <f t="shared" si="354"/>
        <v>#DIV/0!</v>
      </c>
      <c r="EJ309" s="9" t="str">
        <f t="shared" si="375"/>
        <v>Азопреципитат</v>
      </c>
      <c r="EK309" s="12">
        <f t="shared" si="355"/>
        <v>0.26</v>
      </c>
      <c r="EL309" s="12">
        <f t="shared" si="356"/>
        <v>0.13</v>
      </c>
      <c r="EM309" s="12">
        <f t="shared" si="357"/>
        <v>0</v>
      </c>
      <c r="EN309" s="12" t="str">
        <f t="shared" si="376"/>
        <v>Нет</v>
      </c>
      <c r="EO309" s="12">
        <f t="shared" si="358"/>
        <v>0</v>
      </c>
      <c r="EP309" s="12">
        <f t="shared" si="359"/>
        <v>0</v>
      </c>
      <c r="EQ309" s="12">
        <f t="shared" si="360"/>
        <v>0</v>
      </c>
      <c r="ER309" s="12" t="str">
        <f t="shared" si="405"/>
        <v>Диаммофоска</v>
      </c>
      <c r="ES309" s="12">
        <f t="shared" si="361"/>
        <v>0.1</v>
      </c>
      <c r="ET309" s="12">
        <f t="shared" si="362"/>
        <v>0.26</v>
      </c>
      <c r="EU309" s="12">
        <f t="shared" si="363"/>
        <v>0.26</v>
      </c>
      <c r="EV309" s="12" t="str">
        <f t="shared" si="406"/>
        <v>Аммофос 12:52:00</v>
      </c>
      <c r="EW309" s="12" t="str">
        <f t="shared" si="407"/>
        <v>Кемира Свекловичное-6</v>
      </c>
      <c r="EX309" s="12">
        <f t="shared" si="364"/>
        <v>0.16</v>
      </c>
      <c r="EY309" s="12">
        <f t="shared" si="365"/>
        <v>0.12</v>
      </c>
      <c r="EZ309" s="12">
        <f t="shared" si="366"/>
        <v>0.17</v>
      </c>
      <c r="FA309" s="38" t="e">
        <f>IF(AND(OR(FJ309=$FD$1,FM309=$FD$1,FO309=$FD$1,FQ309=$FD$1,FS309=$FD$1),FD309=$FD$1,Исходн.данные.!J309&lt;2,FU309=$FD$1),"Бор,Кобальт",IF(AND(FO309=$FD$1,FH309=$FD$1,Исходн.данные.!J309&lt;2,FU309=$FD$1),"Бор,Кобальт",IF(AND(OR(FJ309=$FD$1,FM309=$FD$1,FQ309=$FD$1),FE309=$FD$1,Исходн.данные.!J309&lt;2,FT309=$FD$1,FU309=$FD$1),"Бор,Медь,Цинк",IF(AND(OR(FJ309=$FD$1,FR309="Да"),FI309="Да",Исходн.данные.!J309&lt;2,FT309="Да",FU309="Да"),"Бор,Цинк,Медь",IF(AND(OR(FM309="Да",FQ309="Да"),FI309="Да",Исходн.данные.!J309&lt;2,FT309="Да",FU309="Да"),"Бор,Цинк",IF(AND(FN309="Да",OR(FD309="Да",FE309="Да")),"Бор",FB309))))))</f>
        <v>#N/A</v>
      </c>
      <c r="FB309" s="134" t="e">
        <f>IF(AND(OR(FD309="Да",FE309="Да",FF309="Да",FG309="Да",FH309="Да"),FO309="Да"),"Бор",IF(AND(FP309="Да",OR(FD309="Да",FE309="Да",FI309="Да")),"Бор",IF(AND(FS309="Да",FE309="Да"),"Бор,Медь",IF(AND(OR(FJ309="Да",FK309="Да",FL309="Да"),FE309="Да",Исходн.данные.!I309&lt;5,FT309="Да",FU309="Да"),"Молибден,Цинк",IF(AND(FM309="Да",OR(FE309="Да",FF309="Да",FG309="Да",FH309="Да",FI309="Да")),"Молибден,Цинк",IF(AND(OR(FJ309="Да",FK309="Да",FL309="Да",FM309="Да",FQ309="Да"),OR(FE309="Да",FF309="Да"),FT309="Да",FU309="Да",Исходн.данные.!I309&gt;5.5),"Медь,Цинк",FC309))))))</f>
        <v>#N/A</v>
      </c>
      <c r="FC309" s="23" t="e">
        <f t="shared" si="408"/>
        <v>#N/A</v>
      </c>
      <c r="FD309" s="38" t="str">
        <f>IF(OR(Исходн.данные.!F309=$CC$1,Исходн.данные.!F309=$CC$2,Исходн.данные.!F309=$CC$3,Исходн.данные.!F309=$CC$4),"Да","Нет")</f>
        <v>Нет</v>
      </c>
      <c r="FE309" s="38" t="str">
        <f>IF(Исходн.данные.!F309=$CC$5,"Да","Нет")</f>
        <v>Нет</v>
      </c>
      <c r="FF309" s="38" t="str">
        <f>IF(OR(Исходн.данные.!F309=$CC$6,Исходн.данные.!F309=$CC$7),"Да","Нет")</f>
        <v>Нет</v>
      </c>
      <c r="FG309" s="38" t="str">
        <f>IF(OR(Исходн.данные.!F309=$CC$8,Исходн.данные.!F309=$CC$9),"Да","Нет")</f>
        <v>Нет</v>
      </c>
      <c r="FH309" s="38" t="str">
        <f>IF(Исходн.данные.!F309=$CC$10,"Да","Нет")</f>
        <v>Нет</v>
      </c>
      <c r="FI309" s="38" t="str">
        <f>IF(OR(Исходн.данные.!F309=$CC$11,Исходн.данные.!F309=$CC$12),"Да","Нет")</f>
        <v>Нет</v>
      </c>
      <c r="FJ309" s="38" t="str">
        <f>IF(OR(Исходн.данные.!AH309=$BS$1,Исходн.данные.!AH309=$BQ$11,Исходн.данные.!AH309=$BQ$12),"Да","Нет")</f>
        <v>Нет</v>
      </c>
      <c r="FK309" s="38" t="str">
        <f>IF(OR(Исходн.данные.!AH309=$BS$2,Исходн.данные.!AH309=$BS$4),"Да","Нет")</f>
        <v>Нет</v>
      </c>
      <c r="FL309" s="38" t="str">
        <f>IF(OR(Исходн.данные.!AH309=$BS$3,Исходн.данные.!AH309=$BS$5),"Да","Нет")</f>
        <v>Нет</v>
      </c>
      <c r="FM309" s="38" t="str">
        <f>IF(OR(Исходн.данные.!AH309=$BS$9,Исходн.данные.!AH309=$BS$10,Исходн.данные.!AH309=$BS$11,Исходн.данные.!AH309=$BS$12),"Да","Нет")</f>
        <v>Нет</v>
      </c>
      <c r="FN309" s="38" t="str">
        <f>IF(OR(Исходн.данные.!AH309=$BS$6,Исходн.данные.!AH309=$BP$3),"Да","Нет")</f>
        <v>Нет</v>
      </c>
      <c r="FO309" s="38" t="str">
        <f>IF(Исходн.данные.!AH309=$BQ$9,"Да","Нет")</f>
        <v>Нет</v>
      </c>
      <c r="FP309" s="38" t="str">
        <f>IF(OR(Исходн.данные.!AH309=$BS$8,Исходн.данные.!AH309=$BT$8),"Да","Нет")</f>
        <v>Нет</v>
      </c>
      <c r="FQ309" s="38" t="str">
        <f>IF(OR(Исходн.данные.!AH309=$BQ$7,Исходн.данные.!AH309=$BQ$8),"Да","Нет")</f>
        <v>Нет</v>
      </c>
      <c r="FR309" s="38" t="str">
        <f>IF(Исходн.данные.!AI309=$BU$9,"Да","Нет")</f>
        <v>Нет</v>
      </c>
      <c r="FS309" s="38" t="str">
        <f>IF(OR(Исходн.данные.!AH309=$BP$1,Исходн.данные.!AH309=$BP$2),"Да","Нет")</f>
        <v>Нет</v>
      </c>
      <c r="FT309" s="38" t="e">
        <f>IF((Исходн.данные.!K309*GO309*GS309*GW309+BL309*0.6+Исходн.данные.!Q309*4.5*0.275)&gt;90,"Да","Нет")</f>
        <v>#N/A</v>
      </c>
      <c r="FU309" s="38" t="e">
        <f>IF((Исходн.данные.!M309*GS309*GZ309+BM309*0.225)&gt;35,"Да","Нет")</f>
        <v>#N/A</v>
      </c>
      <c r="FV309" s="38" t="str">
        <f>IF(Исходн.данные.!O309&gt;175,"Да","Нет")</f>
        <v>Нет</v>
      </c>
      <c r="FW309" s="39" t="str">
        <f>IF(Исходн.данные.!I309&gt;5.5,"Да","Нет")</f>
        <v>Нет</v>
      </c>
      <c r="FX309" s="39" t="str">
        <f>IF(Исходн.данные.!J309&lt;2,"Да","Нет")</f>
        <v>Да</v>
      </c>
      <c r="FY309" s="39" t="e">
        <f>IF(HF309=$FY$16,0,Исходн.данные.!K309*GO309*GS309*GW309/HF309)</f>
        <v>#N/A</v>
      </c>
      <c r="FZ309" s="39" t="e">
        <f>Исходн.данные.!M309*GS309*GZ309/HG309</f>
        <v>#N/A</v>
      </c>
      <c r="GA309" s="39" t="e">
        <f>IF(K_Wyn=$FY$16,0,IF(Исходн.данные.!N309=Исходн.данные.!$L$10,Исходн.данные.!O309/1.1*GS309*HC309/HH309,IF(Исходн.данные.!N309=Исходн.данные.!$L$12,Исходн.данные.!O309/1.5*GS309*HC309/HH309,Исходн.данные.!O309*GS309*HC309/HH309)))</f>
        <v>#N/A</v>
      </c>
      <c r="GB309" s="39" t="e">
        <f>IF(HF309=$FY$16,0,((Исходн.данные.!Q309*N_Org+Исходн.данные.!R309*N_Sider+Исходн.данные.!S309*N_Soloma)*AO309+Расчет!BC309*VLOOKUP(Исходн.данные.!T309,Справ!$A$3:$O$57,15)*AO309+BB309*VLOOKUP(Исходн.данные.!T309,Справ!$A$3:$O$57,15)*AL309+(Исходн.данные.!V309*N_Rizotorf+Исходн.данные.!W309*N_Rizoagr))/HF309)</f>
        <v>#N/A</v>
      </c>
      <c r="GC309" s="39" t="e">
        <f>IF(HG309=$FY$16,0,((Исходн.данные.!Q309*Р_Org+Исходн.данные.!R309*P_Sider+Исходн.данные.!S309*P_Soloma)*AP309+Расчет!BC309*VLOOKUP(Исходн.данные.!T309,Справ!$A$3:$P$57,16)*AP309+BB309*VLOOKUP(Исходн.данные.!T309,Справ!$A$3:$P$57,16)*AM309)/HG309)</f>
        <v>#N/A</v>
      </c>
      <c r="GD309" s="39" t="e">
        <f>IF(HH309=$FY$16,0,((Исходн.данные.!Q309*К_Org+Исходн.данные.!R309*K_Sider+Исходн.данные.!S309*K_Soloma)*AQ309+Расчет!BC309*VLOOKUP(Исходн.данные.!T309,Справ!$A$3:$Q$57,17)*AQ309+BB309*VLOOKUP(Исходн.данные.!T309,Справ!$A$3:$Q$57,17)*AN309)/HH309)</f>
        <v>#N/A</v>
      </c>
      <c r="GE309" s="39" t="e">
        <f>IF(HF309=$FY$16,0,(Исходн.данные.!X309*AR309+Исходн.данные.!AA309*N_Org*AL309+Исходн.данные.!AB309*N_Sider*AL309+Исходн.данные.!AC309*N_Soloma*AL309)/HF309)</f>
        <v>#N/A</v>
      </c>
      <c r="GF309" s="39" t="e">
        <f>IF(HG309=$FY$16,0,(Исходн.данные.!Y309*AS309+Исходн.данные.!AA309*Р_Org*AM309+Исходн.данные.!AB309*P_Sider*AM309+Исходн.данные.!AC309*P_Soloma*AM309)/HG309)</f>
        <v>#N/A</v>
      </c>
      <c r="GG309" s="39" t="e">
        <f>IF(HH309=$FY$16,0,(Исходн.данные.!Z309*AT309+Исходн.данные.!AA309*К_Org*AN309+Исходн.данные.!AB309*K_Sider*AN309+Исходн.данные.!AC309*K_Soloma*AN309)/HH309)</f>
        <v>#N/A</v>
      </c>
      <c r="GH309" s="39" t="e">
        <f>Исходн.данные.!AD309*AU309/HF309</f>
        <v>#N/A</v>
      </c>
      <c r="GI309" s="39" t="e">
        <f>Исходн.данные.!AE309*AV309/HG309</f>
        <v>#N/A</v>
      </c>
      <c r="GJ309" s="39" t="e">
        <f>Исходн.данные.!AF309*AW309/HH309</f>
        <v>#N/A</v>
      </c>
      <c r="GK309" s="55">
        <f>Исходн.данные.!AK309</f>
        <v>0</v>
      </c>
      <c r="GL309" s="11" t="e">
        <f t="shared" si="409"/>
        <v>#N/A</v>
      </c>
      <c r="GM309" s="11" t="e">
        <f t="shared" si="410"/>
        <v>#N/A</v>
      </c>
      <c r="GN309" s="11" t="e">
        <f t="shared" si="411"/>
        <v>#N/A</v>
      </c>
      <c r="GO309" s="57">
        <f t="shared" si="412"/>
        <v>19</v>
      </c>
      <c r="GP309" s="55">
        <f>IF(OR(Исходн.данные.!F309=$CE$1,Исходн.данные.!F309=$CE$2,Исходн.данные.!F309=$CE$3,Исходн.данные.!F309=$CE$4,Исходн.данные.!F309=$CE$5),GQ309,GR309)</f>
        <v>19</v>
      </c>
      <c r="GQ309" s="55">
        <f>IF(Исходн.данные.!F309=$CE$1,28,IF(Исходн.данные.!F309=$CE$2,26,IF(Исходн.данные.!F309=$CE$3,24,IF(Исходн.данные.!F309=$CE$4,22,IF(Исходн.данные.!F309=$CE$5,20,GR309)))))</f>
        <v>19</v>
      </c>
      <c r="GR309" s="55">
        <f>IF(Исходн.данные.!F309=$CE$6,18,IF(Исходн.данные.!F309=$CE$7,16,IF(Исходн.данные.!F309=$CE$8,14,IF(Исходн.данные.!F309=$CE$9,13,IF(Исходн.данные.!F309=$CE$10,12,19)))))</f>
        <v>19</v>
      </c>
      <c r="GS309" s="55">
        <f>IF(Исходн.данные.!G309="Пес",0.035*(40+2*Исходн.данные.!H309),IF(Исходн.данные.!G309="Суп",0.0325*(40+2*Исходн.данные.!H309),0.03*(40+2*Исходн.данные.!H309)))</f>
        <v>1.2</v>
      </c>
      <c r="GT309" s="55">
        <f>IF(Исходн.данные.!H309&lt;23,2.6,IF(AND(Исходн.данные.!H309&gt;22,Исходн.данные.!H309&lt;26),3,IF(AND(Исходн.данные.!H309&gt;25,Исходн.данные.!H309&lt;29),3.4,3.6)))</f>
        <v>2.6</v>
      </c>
      <c r="GU309" s="55">
        <f>IF(Исходн.данные.!H309&lt;23,2.8,IF(AND(Исходн.данные.!H309&gt;22,Исходн.данные.!H309&lt;26),3.2,IF(AND(Исходн.данные.!H309&gt;25,Исходн.данные.!H309&lt;29),3.6,3.9)))</f>
        <v>2.8</v>
      </c>
      <c r="GV309" s="55">
        <f>IF(Исходн.данные.!H309&lt;23,3,IF(AND(Исходн.данные.!H309&gt;22,Исходн.данные.!H309&lt;26),3.5,IF(AND(Исходн.данные.!H309&gt;25,Исходн.данные.!H309&lt;29),3.9,4.2)))</f>
        <v>3</v>
      </c>
      <c r="GW309" s="55" t="e">
        <f>IF(Исходн.данные.!P309="Ум",GX309,GY309)</f>
        <v>#N/A</v>
      </c>
      <c r="GX309" s="55" t="e">
        <f>VLOOKUP(Исходн.данные.!AI309,Коэффициенты!$J$7:$L$13,2,FALSE)</f>
        <v>#N/A</v>
      </c>
      <c r="GY309" s="55" t="e">
        <f>VLOOKUP(Исходн.данные.!AI309,Коэффициенты!$J$7:$L$13,3,FALSE)</f>
        <v>#N/A</v>
      </c>
      <c r="GZ309" s="55" t="e">
        <f>(IF(Исходн.данные.!M309&lt;50,0.11*VLOOKUP(Исходн.данные.!AH309,Культуры.Информация,7,FALSE),IF(Исходн.данные.!M309&gt;250,0.05*VLOOKUP(Исходн.данные.!AH309,Культуры.Информация,7,FALSE),VLOOKUP(Исходн.данные.!AH309,Культуры.Информация,5,FALSE)/100*($GX$6+$GY$6*Исходн.данные.!M309))))*Расчет2!AI309</f>
        <v>#N/A</v>
      </c>
      <c r="HA309" s="211"/>
      <c r="HB309" s="211"/>
      <c r="HC309" s="55" t="e">
        <f>(IF(Исходн.данные.!O309&lt;80,0.2*VLOOKUP(Исходн.данные.!AH309,Культуры.Информация,8,FALSE),IF(Исходн.данные.!O309&gt;240,0.09*VLOOKUP(Исходн.данные.!AH309,Культуры.Информация,8,FALSE),VLOOKUP(Исходн.данные.!AH309,Культуры.Информация,6,FALSE)/100*($HB$6+$HC$6*Исходн.данные.!O309))))*Расчет2!AJ309</f>
        <v>#N/A</v>
      </c>
      <c r="HD309" s="55">
        <f>IF(Исходн.данные.!O309&gt;240,0.09,IF(Исходн.данные.!O309&lt;30,0.3,$HE$10+$HD$10*Исходн.данные.!O309))</f>
        <v>0.3</v>
      </c>
      <c r="HE309" s="55">
        <f>IF(Исходн.данные.!O309&gt;240,0.17,IF(Исходн.данные.!O309&lt;30,0.5,$HF$12+$HE$12*Исходн.данные.!O309))</f>
        <v>0.5</v>
      </c>
      <c r="HF309" s="55" t="e">
        <f>VLOOKUP(Исходн.данные.!AH309,Справ!$A$3:$D$58,2,FALSE)</f>
        <v>#N/A</v>
      </c>
      <c r="HG309" s="55" t="e">
        <f>VLOOKUP(Исходн.данные.!AH309,Справ!$A$3:$D$58,3,FALSE)</f>
        <v>#N/A</v>
      </c>
      <c r="HH309" s="55" t="e">
        <f>VLOOKUP(Исходн.данные.!AH309,Справ!$A$3:$D$58,4,FALSE)</f>
        <v>#N/A</v>
      </c>
      <c r="HI309" s="11" t="e">
        <f t="shared" si="413"/>
        <v>#N/A</v>
      </c>
      <c r="HJ309" s="11" t="e">
        <f t="shared" si="414"/>
        <v>#N/A</v>
      </c>
      <c r="HK309" s="11" t="e">
        <f t="shared" si="415"/>
        <v>#N/A</v>
      </c>
      <c r="HL309" s="55">
        <f>IF(OR(Исходн.данные.!G309="Глин",Исходн.данные.!G309="Т_суг"),1.1,IF(Исходн.данные.!G309="Ср_суг",1,1))</f>
        <v>1</v>
      </c>
      <c r="HM309" s="55">
        <f>IF(OR(Исходн.данные.!G309="Глин",Исходн.данные.!G309="Т_суг"),0.9,IF(Исходн.данные.!G309="Ср_суг",1,1.2))</f>
        <v>1.2</v>
      </c>
      <c r="HN309" s="11" t="e">
        <f t="shared" si="416"/>
        <v>#N/A</v>
      </c>
      <c r="HO309" s="11" t="e">
        <f t="shared" si="417"/>
        <v>#N/A</v>
      </c>
      <c r="HP309" s="11" t="e">
        <f t="shared" si="418"/>
        <v>#N/A</v>
      </c>
      <c r="HQ309" t="e">
        <f t="shared" si="419"/>
        <v>#N/A</v>
      </c>
      <c r="HR309" t="e">
        <f t="shared" si="420"/>
        <v>#N/A</v>
      </c>
      <c r="HS309" t="e">
        <f t="shared" si="421"/>
        <v>#N/A</v>
      </c>
      <c r="HT309" t="e">
        <f t="shared" si="367"/>
        <v>#N/A</v>
      </c>
      <c r="HU309" t="e">
        <f t="shared" si="368"/>
        <v>#N/A</v>
      </c>
      <c r="HV309" t="e">
        <f t="shared" si="369"/>
        <v>#N/A</v>
      </c>
      <c r="HW309" t="e">
        <f t="shared" si="370"/>
        <v>#N/A</v>
      </c>
      <c r="HX309" t="e">
        <f t="shared" si="371"/>
        <v>#N/A</v>
      </c>
      <c r="HY309" t="e">
        <f t="shared" si="372"/>
        <v>#N/A</v>
      </c>
      <c r="HZ309" s="55">
        <f>IF(OR(Исходн.данные.!AI309="Оз_Ч_П",Исходн.данные.!AI309="Оз_З_П",Исходн.данные.!AI309="Яр_зер"),12,30)</f>
        <v>30</v>
      </c>
      <c r="IA309" t="e">
        <f t="shared" si="422"/>
        <v>#N/A</v>
      </c>
      <c r="IB309" t="e">
        <f t="shared" si="423"/>
        <v>#N/A</v>
      </c>
      <c r="IC309" t="e">
        <f t="shared" si="424"/>
        <v>#N/A</v>
      </c>
      <c r="ID309" s="11" t="e">
        <f t="shared" si="425"/>
        <v>#N/A</v>
      </c>
      <c r="IE309" s="11" t="e">
        <f t="shared" si="426"/>
        <v>#N/A</v>
      </c>
      <c r="IF309" s="11" t="e">
        <f t="shared" si="427"/>
        <v>#N/A</v>
      </c>
    </row>
    <row r="310" spans="35:240" x14ac:dyDescent="0.2">
      <c r="AI310">
        <f>IF(Исходн.данные.!I310&gt;6,1,1.85-(0.148*Исходн.данные.!I310))</f>
        <v>1.85</v>
      </c>
      <c r="AJ310">
        <f>IF(Исходн.данные.!I310&gt;6,1,2.434-(0.246*Исходн.данные.!I310))</f>
        <v>2.4340000000000002</v>
      </c>
      <c r="AL310" s="148" t="b">
        <f>IF(Исходн.данные.!$P310="Ум",N_OrgUd_2g_um,IF(Исходн.данные.!$P310="Об",N_OrgUd_2g_ob))</f>
        <v>0</v>
      </c>
      <c r="AM310" s="148" t="b">
        <f>IF(Исходн.данные.!$P310="Ум",P_OrgUd_2g_um,IF(Исходн.данные.!$P310="Об",P_OrgUd_2g_ob))</f>
        <v>0</v>
      </c>
      <c r="AN310" s="148" t="b">
        <f>IF(Исходн.данные.!$P310="Ум",K_OrgUd_2g_um,IF(Исходн.данные.!$P310="Об",K_OrgUd_2g_ob))</f>
        <v>0</v>
      </c>
      <c r="AO310" s="148" t="b">
        <f>IF(Исходн.данные.!$P310="Ум",N_OrgUd_1g_um,IF(Исходн.данные.!$P310="Об",N_OrgUd_1g_ob))</f>
        <v>0</v>
      </c>
      <c r="AP310" s="148" t="b">
        <f>IF(Исходн.данные.!$P310="Ум",P_OrgUd_1g_um,IF(Исходн.данные.!$P310="Об",P_OrgUd_1g_ob))</f>
        <v>0</v>
      </c>
      <c r="AQ310" s="148" t="b">
        <f>IF(Исходн.данные.!$P310="Ум",K_OrgUd_1g_um,IF(Исходн.данные.!$P310="Об",K_OrgUd_1g_ob))</f>
        <v>0</v>
      </c>
      <c r="AR310" t="b">
        <f>IF(Исходн.данные.!$P310="Ум",N_MinUd_2g_um,IF(Исходн.данные.!$P310="Об",N_MinUd_2g_ob))</f>
        <v>0</v>
      </c>
      <c r="AS310" t="b">
        <f>IF(Исходн.данные.!$P310="Ум",P_MinUd_2g_um,IF(Исходн.данные.!$P310="Об",P_MinUd_2g_ob))</f>
        <v>0</v>
      </c>
      <c r="AT310" t="b">
        <f>IF(Исходн.данные.!$P310="Ум",K_MinUd_2g_um,IF(Исходн.данные.!$P310="Об",K_MinUd_2g_ob))</f>
        <v>0</v>
      </c>
      <c r="AU310" t="b">
        <f>IF(Исходн.данные.!$P310="Ум",N_MinUd_1g_um,IF(Исходн.данные.!$P310="Об",N_MinUd_1g_ob))</f>
        <v>0</v>
      </c>
      <c r="AV310" t="b">
        <f>IF(Исходн.данные.!P310="Ум",P_MinUd_1g_um,IF(Исходн.данные.!P310="Об",P_MinUd_1g_ob))</f>
        <v>0</v>
      </c>
      <c r="AW310" t="b">
        <f>IF(Исходн.данные.!P310="Ум",K_MinUd_1g_um,IF(Исходн.данные.!P310="Об",K_MinUd_1g_ob))</f>
        <v>0</v>
      </c>
      <c r="AY310" t="e">
        <f>VLOOKUP(Исходн.данные.!T310,Справ!$A$3:$N$57,12)</f>
        <v>#N/A</v>
      </c>
      <c r="AZ310" t="e">
        <f>VLOOKUP(Исходн.данные.!T310,Справ!$A$3:$N$57,13)</f>
        <v>#N/A</v>
      </c>
      <c r="BA310" t="e">
        <f>VLOOKUP(Исходн.данные.!T310,Справ!$A$3:$N$57,14)</f>
        <v>#N/A</v>
      </c>
      <c r="BB310">
        <f>IF(Исходн.данные.!AH310=0,0,25)</f>
        <v>0</v>
      </c>
      <c r="BC310" s="141">
        <f>IF(Исходн.данные.!AH310=0,0,IF(Исходн.данные.!T310=0,25,BD310))</f>
        <v>0</v>
      </c>
      <c r="BD310" s="168" t="e">
        <f>AY310+AZ310*Исходн.данные.!U310-POWER(BA310,2)*Исходн.данные.!U310</f>
        <v>#N/A</v>
      </c>
      <c r="BE31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0" s="25">
        <f>IF(Исходн.данные.!AH310=0,0,MIN(HN310:HP310))</f>
        <v>0</v>
      </c>
      <c r="BG310" s="9">
        <f>IF(Исходн.данные.!AH310=0,0,IF((HO310+10*0.25/HG310/HL310)&lt;17,17,HO310+10*0.25/HG310/HL310))</f>
        <v>0</v>
      </c>
      <c r="BH310" s="181">
        <f>IF(Исходн.данные.!AH310=0,0,HW310*HF310*HL310/AU310*AI310+Исходн.данные.!S310*10)</f>
        <v>0</v>
      </c>
      <c r="BI310" s="10"/>
      <c r="BJ310" s="182">
        <f>IF(Исходн.данные.!AH310=0,0,IF(HX310*HG310*HL310/AV310&lt;0,0,HX310*HG310*HL310/AV310*AJ310))</f>
        <v>0</v>
      </c>
      <c r="BK310" s="182">
        <f>IF(Исходн.данные.!AH310=0,0,HY310*HH310*HM310/AW310)</f>
        <v>0</v>
      </c>
      <c r="BL310" s="10">
        <f>IF(OR(Исходн.данные.!$AH310=$BP$1,Исходн.данные.!$AH310=$BP$2),0,IF(BH310&lt;0,0,IF(OR(Исходн.данные.!T310=Расчет!$BP$1,Исходн.данные.!T310=Расчет!$BP$2,Исходн.данные.!T310=Расчет!$BT$5,Исходн.данные.!T310=Расчет!$BT$6),BH310*0.5,IF(OR(Исходн.данные.!T310=Расчет!$BS$9,Исходн.данные.!T310=Расчет!$BS$10,Исходн.данные.!T310=Расчет!$BS$11,Исходн.данные.!T310=Расчет!$BS$12,Исходн.данные.!T310=Расчет!$BP$5),BH310*0.8,BH310))))</f>
        <v>0</v>
      </c>
      <c r="BM310" s="10">
        <f>IF(OR(Исходн.данные.!$AH310=$BP$1,Исходн.данные.!$AH310=$BP$2),0,IF(BJ310&lt;0,0,IF(Исходн.данные.!I310&lt;4.5,BJ310*1.2,IF(Исходн.данные.!I310&gt;5.1,BJ310,BJ310*((5.1-Исходн.данные.!I310)*0.333+1)))))</f>
        <v>0</v>
      </c>
      <c r="BN310" s="10">
        <f>IF(OR(Исходн.данные.!$AH310=$BP$1,Исходн.данные.!$AH310=$BP$2),60-Исходн.данные.!AF310,IF(BK310&lt;0,0,IF(Исходн.данные.!I310&lt;4.5,BK310*1.2,IF(Исходн.данные.!I310&gt;5.1,BK310,BK310*((5.1-Исходн.данные.!I310)*0.333+1)))))</f>
        <v>0</v>
      </c>
      <c r="BO310" s="9">
        <f>IF(BL310&lt;0,0,BL310*Исходн.данные.!$AJ310/1000)</f>
        <v>0</v>
      </c>
      <c r="BP310" s="9">
        <f>IF(BM310&lt;0,0,BM310*Исходн.данные.!$AJ310/1000)</f>
        <v>0</v>
      </c>
      <c r="BQ310" s="9">
        <f>IF(BN310&lt;0,0,BN310*Исходн.данные.!$AJ310/1000)</f>
        <v>0</v>
      </c>
      <c r="BR310" s="9">
        <f t="shared" si="377"/>
        <v>0</v>
      </c>
      <c r="BS310" s="10" t="str">
        <f t="shared" si="378"/>
        <v>Аммофос 12:52:00</v>
      </c>
      <c r="BT310" s="10" t="str">
        <f t="shared" si="379"/>
        <v>Аммофос 12:52:00</v>
      </c>
      <c r="BU310" s="10" t="str">
        <f t="shared" si="380"/>
        <v>Диаммофоска</v>
      </c>
      <c r="BV310" s="10">
        <f t="shared" si="381"/>
        <v>0</v>
      </c>
      <c r="BW310" s="10"/>
      <c r="BX310" s="10"/>
      <c r="BY310" s="9">
        <f>IF(BL310&lt;0,0,IF(OR(Исходн.данные.!AI310=Расчет!$BU$6,Исходн.данные.!AI310=Расчет!$BU$7),Расчет!BV310,IF(Исходн.данные.!$AG310=$BV$11,BL310,IF(OR(Исходн.данные.!$AH310=$BQ$7,Исходн.данные.!$AH310=$BQ$8),CB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0,IF(Исходн.данные.!$AI310=$BU$11,"Нет",IF(BL310&gt;30,30,BL310)))))))</f>
        <v>0</v>
      </c>
      <c r="BZ310" s="9">
        <f>IF(AND(Исходн.данные.!$AG310=$BV$11,BM310&lt;10),10,IF(Исходн.данные.!$AG310=$BV$11,BM310,IF(OR(Исходн.данные.!$AH310=$BQ$7,Исходн.данные.!$AH310=$BQ$8),CC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10,IF(Исходн.данные.!$AI310=$BU$11,"Нет",IF(BM310&gt;60,60,IF(BM310&lt;10,10,BM310)))))))</f>
        <v>10</v>
      </c>
      <c r="CA310" s="39">
        <f>IF(BN310&lt;0,0,IF(Исходн.данные.!$AG310=$BV$11,BN310,IF(OR(Исходн.данные.!$AH310=$BQ$7,Исходн.данные.!$AH310=$BQ$8),CD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0,IF(Исходн.данные.!$AI310=$BU$11,"Нет",IF(BN310&gt;30,30,BN310))))))</f>
        <v>0</v>
      </c>
      <c r="CB310" s="9">
        <f t="shared" si="382"/>
        <v>0</v>
      </c>
      <c r="CC310" s="9">
        <f t="shared" si="383"/>
        <v>0</v>
      </c>
      <c r="CD310" s="9">
        <f t="shared" si="384"/>
        <v>0</v>
      </c>
      <c r="CE310" s="12">
        <f t="shared" si="385"/>
        <v>10</v>
      </c>
      <c r="CF310" s="9">
        <f t="shared" si="386"/>
        <v>0</v>
      </c>
      <c r="CG310" s="9" t="s">
        <v>231</v>
      </c>
      <c r="CH310" s="132" t="str">
        <f>IF(Исходн.данные.!AP310=Расчет!$CI$16,"Нет",IF(Исходн.данные.!AL310&gt;0,Исходн.данные.!AL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BH$4,IF(OR(Исходн.данные.!AI310=Исходн.данные.!$AI$6,Исходн.данные.!AI310=Исходн.данные.!$AI$7),Расчет!BS310,IF(AND($CF310=0,$CE310&gt;0),EV310,ER310)))))</f>
        <v>Аммофос 12:52:00</v>
      </c>
      <c r="CI310" s="274">
        <f>IF(Расчет!$CH310="Нет","Нет",IF(Исходн.данные.!$AL310&gt;0,VLOOKUP(Расчет!$CH310,АшламаДВ_Irekle,2,FALSE),VLOOKUP(Расчет!$CH310,АшламаДВ_Gomumy,2,FALSE)))</f>
        <v>0.12</v>
      </c>
      <c r="CJ310" s="274">
        <f>IF(Расчет!$CH310="Нет","Нет",IF(Исходн.данные.!$AL310&gt;0,VLOOKUP(Расчет!$CH310,АшламаДВ_Irekle,3,FALSE),VLOOKUP(Расчет!$CH310,АшламаДВ_Gomumy,3,FALSE)))</f>
        <v>0.52</v>
      </c>
      <c r="CK310" s="274">
        <f>IF(Расчет!$CH310="Нет","Нет",IF(Исходн.данные.!$AL310&gt;0,VLOOKUP(Расчет!$CH310,АшламаДВ_Irekle,4,FALSE),VLOOKUP(Расчет!$CH310,АшламаДВ_Gomumy,4,FALSE)))</f>
        <v>0</v>
      </c>
      <c r="CL310" s="70"/>
      <c r="CM310" s="70"/>
      <c r="CN310" s="70"/>
      <c r="CO310" s="70"/>
      <c r="CP310" s="70"/>
      <c r="CQ310" s="70"/>
      <c r="CR310" s="10">
        <f t="shared" si="387"/>
        <v>0</v>
      </c>
      <c r="CS310" s="10">
        <f t="shared" si="388"/>
        <v>19.23076923076923</v>
      </c>
      <c r="CT310" s="10">
        <f t="shared" si="389"/>
        <v>0</v>
      </c>
      <c r="CU310" s="39">
        <f>IF($CH310="Нет",0,IF(CI310=0,30/MIN(CJ310:CK310),IF(Исходн.данные.!$AG310=$BV$11,CR310,IF(OR(Исходн.данные.!$AH310=$BQ$7,Исходн.данные.!$AH310=$BQ$8),90/CI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0,IF(Исходн.данные.!$AI310=$BU$11,"Нет",30/CI310))))))</f>
        <v>250</v>
      </c>
      <c r="CV310" s="39">
        <f>IF($CH310="Нет",0,IF(Исходн.данные.!AH310=0,0,IF(CJ310=0,60/MIN(CI310,CK310),IF(Исходн.данные.!$AG310=$BV$11,CS310,IF(OR(Исходн.данные.!$AH310=$BQ$7,Исходн.данные.!$AH310=$BQ$8),90/CJ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10/CJ310,IF(Исходн.данные.!$AI310=$BU$11,"Нет",60/CJ310)))))))</f>
        <v>0</v>
      </c>
      <c r="CW310" s="39">
        <f>IF($CH310="Нет",0,IF(Исходн.данные.!AH310=0,0,IF(CK310=0,30/MIN(CI310:CJ310),IF(Исходн.данные.!$AG310=$BV$11,CT310,IF(OR(Исходн.данные.!$AH310=$BQ$7,Исходн.данные.!$AH310=$BQ$8),90/CK310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0,IF(Исходн.данные.!$AI310=$BU$11,"Нет",30/CK310)))))))</f>
        <v>0</v>
      </c>
      <c r="CX310" s="133">
        <f>IF(Исходн.данные.!$AG310=$BV$11,MAX(CU310:CW310),IF(OR(Исходн.данные.!$AH310=$BS$8,Исходн.данные.!$AH310=$BQ$9,Исходн.данные.!$AH310=$BQ$10,Исходн.данные.!$AH310=$BQ$11,Исходн.данные.!$AH310=$BQ$12,Исходн.данные.!$AH310=$BP$3,Исходн.данные.!$AH310=$BT$8,$FM310="Да"),CV310,MIN(CU310:CW310)))</f>
        <v>0</v>
      </c>
      <c r="CY310" s="133">
        <f>IF(Исходн.данные.!AH310=0,0,IF(CR310&gt;$CX310,$CX310,CR310))</f>
        <v>0</v>
      </c>
      <c r="CZ310" s="133">
        <f>IF(Исходн.данные.!AH310=0,0,IF(CS310&gt;$CX310,$CX310,CS310))</f>
        <v>0</v>
      </c>
      <c r="DA310" s="133">
        <f>IF(Исходн.данные.!AH310=0,0,IF(CT310&gt;$CX310,$CX310,CT310))</f>
        <v>0</v>
      </c>
      <c r="DB310" s="10">
        <f t="shared" si="390"/>
        <v>0</v>
      </c>
      <c r="DC310" s="39">
        <f>DB310*Исходн.данные.!AJ310/1000</f>
        <v>0</v>
      </c>
      <c r="DD310" s="71">
        <f t="shared" si="391"/>
        <v>0</v>
      </c>
      <c r="DE310" s="9">
        <f t="shared" si="392"/>
        <v>0</v>
      </c>
      <c r="DF310" s="9">
        <f t="shared" si="393"/>
        <v>0</v>
      </c>
      <c r="DG310" s="39">
        <f>IF(BL310&lt;0,0,IF($CH310="Нет",BL310,IF(OR(Исходн.данные.!$AH310=$BP$1,Исходн.данные.!$AH310=$BP$2),0,IF(Исходн.данные.!AI310=$BU$11,BL310,IF(BL310-DD310&lt;0,0,BL310-DD310)))))</f>
        <v>0</v>
      </c>
      <c r="DH310" s="39">
        <f>IF(BM310&lt;0,0,IF($CH310="Нет",BM310,IF(OR(Исходн.данные.!$AH310=$BP$1,Исходн.данные.!$AH310=$BP$2),0,IF(Исходн.данные.!AJ310=$BU$11,BM310,IF(BM310-DE310&lt;0,0,BM310-DE310)))))</f>
        <v>0</v>
      </c>
      <c r="DI310" s="39">
        <f>IF(BN310&lt;0,0,IF($CH310="Нет",BN310,IF(OR(Исходн.данные.!$AH310=$BP$1,Исходн.данные.!$AH310=$BP$2),0,IF(Исходн.данные.!AK310=$BU$11,BN310,IF(BN310-DF310&lt;0,0,BN310-DF310)))))</f>
        <v>0</v>
      </c>
      <c r="DJ310" s="12">
        <f t="shared" si="394"/>
        <v>0</v>
      </c>
      <c r="DK310" s="9">
        <f t="shared" si="395"/>
        <v>0</v>
      </c>
      <c r="DL310" s="39">
        <f>IF(Исходн.данные.!AM310&gt;0,Исходн.данные.!AM310,IF(EG310&gt;0,$BH$10,0))</f>
        <v>0</v>
      </c>
      <c r="DM310" s="186">
        <f>IF($DL310=0,0,IF(Исходн.данные.!AM310&gt;0,VLOOKUP($DL310,АшламаДВ_Irekle,2,FALSE),VLOOKUP($DL310,АшламаДВ_Gomumy,2,FALSE)))</f>
        <v>0</v>
      </c>
      <c r="DN310" s="10">
        <f t="shared" si="373"/>
        <v>0</v>
      </c>
      <c r="DO310" s="9" t="str">
        <f>IF(Исходн.данные.!AN310&gt;0,Исходн.данные.!AN310,Удобрения!$B$37 )</f>
        <v>Хлор.калий</v>
      </c>
      <c r="DP310" s="9">
        <f>IF(Исходн.данные.!AN310&gt;0,VLOOKUP(Исходн.данные.!AN310,АшламаДВ_Irekle,4,FALSE),VLOOKUP(DO310,АшламаДВ_Gomumy,4,FALSE))</f>
        <v>0.6</v>
      </c>
      <c r="DQ310" s="10">
        <f t="shared" si="374"/>
        <v>0</v>
      </c>
      <c r="DR310" s="132" t="str">
        <f>IF(Исходн.данные.!AO310&gt;0,Исходн.данные.!AO310,IF(DH310=0,BS$17,IF(AND($DK310=0,$DJ310&gt;0),EJ310,EN310)))</f>
        <v>Нет</v>
      </c>
      <c r="DS310" s="70" t="str">
        <f>IF($DR310="Нет","Нет",IF(Исходн.данные.!$AO310&gt;0,VLOOKUP($DR310,АшламаДВ_Irekle,2,FALSE),VLOOKUP($DR310,АшламаДВ_Gomumy,2,FALSE)))</f>
        <v>Нет</v>
      </c>
      <c r="DT310" s="70" t="str">
        <f>IF($DR310="Нет","Нет",IF(Исходн.данные.!$AO310&gt;0,VLOOKUP($DR310,АшламаДВ_Irekle,3,FALSE),VLOOKUP($DR310,АшламаДВ_Gomumy,3,FALSE)))</f>
        <v>Нет</v>
      </c>
      <c r="DU310" s="70" t="str">
        <f>IF($DR310="Нет","Нет",IF(Исходн.данные.!$AO310&gt;0,VLOOKUP($DR310,АшламаДВ_Irekle,4,FALSE),VLOOKUP($DR310,АшламаДВ_Gomumy,4,FALSE)))</f>
        <v>Нет</v>
      </c>
      <c r="DV310" s="70"/>
      <c r="DW310" s="70"/>
      <c r="DX310" s="70"/>
      <c r="DY310" s="10">
        <f t="shared" si="396"/>
        <v>0</v>
      </c>
      <c r="DZ310" s="10">
        <f t="shared" si="397"/>
        <v>0</v>
      </c>
      <c r="EA310" s="10">
        <f t="shared" si="398"/>
        <v>0</v>
      </c>
      <c r="EB310" s="10">
        <f t="shared" si="399"/>
        <v>0</v>
      </c>
      <c r="EC310" s="10">
        <f t="shared" si="400"/>
        <v>0</v>
      </c>
      <c r="ED310" s="10">
        <f t="shared" si="401"/>
        <v>0</v>
      </c>
      <c r="EE310" s="10">
        <f t="shared" si="402"/>
        <v>0</v>
      </c>
      <c r="EF310" s="39">
        <f>EB310*Исходн.данные.!AJ310/1000</f>
        <v>0</v>
      </c>
      <c r="EG310" s="9">
        <f t="shared" si="403"/>
        <v>0</v>
      </c>
      <c r="EH310" s="9">
        <f t="shared" si="404"/>
        <v>0</v>
      </c>
      <c r="EI310" s="39" t="e">
        <f t="shared" si="354"/>
        <v>#DIV/0!</v>
      </c>
      <c r="EJ310" s="9" t="str">
        <f t="shared" si="375"/>
        <v>Азопреципитат</v>
      </c>
      <c r="EK310" s="12">
        <f t="shared" si="355"/>
        <v>0.26</v>
      </c>
      <c r="EL310" s="12">
        <f t="shared" si="356"/>
        <v>0.13</v>
      </c>
      <c r="EM310" s="12">
        <f t="shared" si="357"/>
        <v>0</v>
      </c>
      <c r="EN310" s="12" t="str">
        <f t="shared" si="376"/>
        <v>Нет</v>
      </c>
      <c r="EO310" s="12">
        <f t="shared" si="358"/>
        <v>0</v>
      </c>
      <c r="EP310" s="12">
        <f t="shared" si="359"/>
        <v>0</v>
      </c>
      <c r="EQ310" s="12">
        <f t="shared" si="360"/>
        <v>0</v>
      </c>
      <c r="ER310" s="12" t="str">
        <f t="shared" si="405"/>
        <v>Диаммофоска</v>
      </c>
      <c r="ES310" s="12">
        <f t="shared" si="361"/>
        <v>0.1</v>
      </c>
      <c r="ET310" s="12">
        <f t="shared" si="362"/>
        <v>0.26</v>
      </c>
      <c r="EU310" s="12">
        <f t="shared" si="363"/>
        <v>0.26</v>
      </c>
      <c r="EV310" s="12" t="str">
        <f t="shared" si="406"/>
        <v>Аммофос 12:52:00</v>
      </c>
      <c r="EW310" s="12" t="str">
        <f t="shared" si="407"/>
        <v>Кемира Свекловичное-6</v>
      </c>
      <c r="EX310" s="12">
        <f t="shared" si="364"/>
        <v>0.16</v>
      </c>
      <c r="EY310" s="12">
        <f t="shared" si="365"/>
        <v>0.12</v>
      </c>
      <c r="EZ310" s="12">
        <f t="shared" si="366"/>
        <v>0.17</v>
      </c>
      <c r="FA310" s="38" t="e">
        <f>IF(AND(OR(FJ310=$FD$1,FM310=$FD$1,FO310=$FD$1,FQ310=$FD$1,FS310=$FD$1),FD310=$FD$1,Исходн.данные.!J310&lt;2,FU310=$FD$1),"Бор,Кобальт",IF(AND(FO310=$FD$1,FH310=$FD$1,Исходн.данные.!J310&lt;2,FU310=$FD$1),"Бор,Кобальт",IF(AND(OR(FJ310=$FD$1,FM310=$FD$1,FQ310=$FD$1),FE310=$FD$1,Исходн.данные.!J310&lt;2,FT310=$FD$1,FU310=$FD$1),"Бор,Медь,Цинк",IF(AND(OR(FJ310=$FD$1,FR310="Да"),FI310="Да",Исходн.данные.!J310&lt;2,FT310="Да",FU310="Да"),"Бор,Цинк,Медь",IF(AND(OR(FM310="Да",FQ310="Да"),FI310="Да",Исходн.данные.!J310&lt;2,FT310="Да",FU310="Да"),"Бор,Цинк",IF(AND(FN310="Да",OR(FD310="Да",FE310="Да")),"Бор",FB310))))))</f>
        <v>#N/A</v>
      </c>
      <c r="FB310" s="134" t="e">
        <f>IF(AND(OR(FD310="Да",FE310="Да",FF310="Да",FG310="Да",FH310="Да"),FO310="Да"),"Бор",IF(AND(FP310="Да",OR(FD310="Да",FE310="Да",FI310="Да")),"Бор",IF(AND(FS310="Да",FE310="Да"),"Бор,Медь",IF(AND(OR(FJ310="Да",FK310="Да",FL310="Да"),FE310="Да",Исходн.данные.!I310&lt;5,FT310="Да",FU310="Да"),"Молибден,Цинк",IF(AND(FM310="Да",OR(FE310="Да",FF310="Да",FG310="Да",FH310="Да",FI310="Да")),"Молибден,Цинк",IF(AND(OR(FJ310="Да",FK310="Да",FL310="Да",FM310="Да",FQ310="Да"),OR(FE310="Да",FF310="Да"),FT310="Да",FU310="Да",Исходн.данные.!I310&gt;5.5),"Медь,Цинк",FC310))))))</f>
        <v>#N/A</v>
      </c>
      <c r="FC310" s="23" t="e">
        <f t="shared" si="408"/>
        <v>#N/A</v>
      </c>
      <c r="FD310" s="38" t="str">
        <f>IF(OR(Исходн.данные.!F310=$CC$1,Исходн.данные.!F310=$CC$2,Исходн.данные.!F310=$CC$3,Исходн.данные.!F310=$CC$4),"Да","Нет")</f>
        <v>Нет</v>
      </c>
      <c r="FE310" s="38" t="str">
        <f>IF(Исходн.данные.!F310=$CC$5,"Да","Нет")</f>
        <v>Нет</v>
      </c>
      <c r="FF310" s="38" t="str">
        <f>IF(OR(Исходн.данные.!F310=$CC$6,Исходн.данные.!F310=$CC$7),"Да","Нет")</f>
        <v>Нет</v>
      </c>
      <c r="FG310" s="38" t="str">
        <f>IF(OR(Исходн.данные.!F310=$CC$8,Исходн.данные.!F310=$CC$9),"Да","Нет")</f>
        <v>Нет</v>
      </c>
      <c r="FH310" s="38" t="str">
        <f>IF(Исходн.данные.!F310=$CC$10,"Да","Нет")</f>
        <v>Нет</v>
      </c>
      <c r="FI310" s="38" t="str">
        <f>IF(OR(Исходн.данные.!F310=$CC$11,Исходн.данные.!F310=$CC$12),"Да","Нет")</f>
        <v>Нет</v>
      </c>
      <c r="FJ310" s="38" t="str">
        <f>IF(OR(Исходн.данные.!AH310=$BS$1,Исходн.данные.!AH310=$BQ$11,Исходн.данные.!AH310=$BQ$12),"Да","Нет")</f>
        <v>Нет</v>
      </c>
      <c r="FK310" s="38" t="str">
        <f>IF(OR(Исходн.данные.!AH310=$BS$2,Исходн.данные.!AH310=$BS$4),"Да","Нет")</f>
        <v>Нет</v>
      </c>
      <c r="FL310" s="38" t="str">
        <f>IF(OR(Исходн.данные.!AH310=$BS$3,Исходн.данные.!AH310=$BS$5),"Да","Нет")</f>
        <v>Нет</v>
      </c>
      <c r="FM310" s="38" t="str">
        <f>IF(OR(Исходн.данные.!AH310=$BS$9,Исходн.данные.!AH310=$BS$10,Исходн.данные.!AH310=$BS$11,Исходн.данные.!AH310=$BS$12),"Да","Нет")</f>
        <v>Нет</v>
      </c>
      <c r="FN310" s="38" t="str">
        <f>IF(OR(Исходн.данные.!AH310=$BS$6,Исходн.данные.!AH310=$BP$3),"Да","Нет")</f>
        <v>Нет</v>
      </c>
      <c r="FO310" s="38" t="str">
        <f>IF(Исходн.данные.!AH310=$BQ$9,"Да","Нет")</f>
        <v>Нет</v>
      </c>
      <c r="FP310" s="38" t="str">
        <f>IF(OR(Исходн.данные.!AH310=$BS$8,Исходн.данные.!AH310=$BT$8),"Да","Нет")</f>
        <v>Нет</v>
      </c>
      <c r="FQ310" s="38" t="str">
        <f>IF(OR(Исходн.данные.!AH310=$BQ$7,Исходн.данные.!AH310=$BQ$8),"Да","Нет")</f>
        <v>Нет</v>
      </c>
      <c r="FR310" s="38" t="str">
        <f>IF(Исходн.данные.!AI310=$BU$9,"Да","Нет")</f>
        <v>Нет</v>
      </c>
      <c r="FS310" s="38" t="str">
        <f>IF(OR(Исходн.данные.!AH310=$BP$1,Исходн.данные.!AH310=$BP$2),"Да","Нет")</f>
        <v>Нет</v>
      </c>
      <c r="FT310" s="38" t="e">
        <f>IF((Исходн.данные.!K310*GO310*GS310*GW310+BL310*0.6+Исходн.данные.!Q310*4.5*0.275)&gt;90,"Да","Нет")</f>
        <v>#N/A</v>
      </c>
      <c r="FU310" s="38" t="e">
        <f>IF((Исходн.данные.!M310*GS310*GZ310+BM310*0.225)&gt;35,"Да","Нет")</f>
        <v>#N/A</v>
      </c>
      <c r="FV310" s="38" t="str">
        <f>IF(Исходн.данные.!O310&gt;175,"Да","Нет")</f>
        <v>Нет</v>
      </c>
      <c r="FW310" s="39" t="str">
        <f>IF(Исходн.данные.!I310&gt;5.5,"Да","Нет")</f>
        <v>Нет</v>
      </c>
      <c r="FX310" s="39" t="str">
        <f>IF(Исходн.данные.!J310&lt;2,"Да","Нет")</f>
        <v>Да</v>
      </c>
      <c r="FY310" s="39" t="e">
        <f>IF(HF310=$FY$16,0,Исходн.данные.!K310*GO310*GS310*GW310/HF310)</f>
        <v>#N/A</v>
      </c>
      <c r="FZ310" s="39" t="e">
        <f>Исходн.данные.!M310*GS310*GZ310/HG310</f>
        <v>#N/A</v>
      </c>
      <c r="GA310" s="39" t="e">
        <f>IF(K_Wyn=$FY$16,0,IF(Исходн.данные.!N310=Исходн.данные.!$L$10,Исходн.данные.!O310/1.1*GS310*HC310/HH310,IF(Исходн.данные.!N310=Исходн.данные.!$L$12,Исходн.данные.!O310/1.5*GS310*HC310/HH310,Исходн.данные.!O310*GS310*HC310/HH310)))</f>
        <v>#N/A</v>
      </c>
      <c r="GB310" s="39" t="e">
        <f>IF(HF310=$FY$16,0,((Исходн.данные.!Q310*N_Org+Исходн.данные.!R310*N_Sider+Исходн.данные.!S310*N_Soloma)*AO310+Расчет!BC310*VLOOKUP(Исходн.данные.!T310,Справ!$A$3:$O$57,15)*AO310+BB310*VLOOKUP(Исходн.данные.!T310,Справ!$A$3:$O$57,15)*AL310+(Исходн.данные.!V310*N_Rizotorf+Исходн.данные.!W310*N_Rizoagr))/HF310)</f>
        <v>#N/A</v>
      </c>
      <c r="GC310" s="39" t="e">
        <f>IF(HG310=$FY$16,0,((Исходн.данные.!Q310*Р_Org+Исходн.данные.!R310*P_Sider+Исходн.данные.!S310*P_Soloma)*AP310+Расчет!BC310*VLOOKUP(Исходн.данные.!T310,Справ!$A$3:$P$57,16)*AP310+BB310*VLOOKUP(Исходн.данные.!T310,Справ!$A$3:$P$57,16)*AM310)/HG310)</f>
        <v>#N/A</v>
      </c>
      <c r="GD310" s="39" t="e">
        <f>IF(HH310=$FY$16,0,((Исходн.данные.!Q310*К_Org+Исходн.данные.!R310*K_Sider+Исходн.данные.!S310*K_Soloma)*AQ310+Расчет!BC310*VLOOKUP(Исходн.данные.!T310,Справ!$A$3:$Q$57,17)*AQ310+BB310*VLOOKUP(Исходн.данные.!T310,Справ!$A$3:$Q$57,17)*AN310)/HH310)</f>
        <v>#N/A</v>
      </c>
      <c r="GE310" s="39" t="e">
        <f>IF(HF310=$FY$16,0,(Исходн.данные.!X310*AR310+Исходн.данные.!AA310*N_Org*AL310+Исходн.данные.!AB310*N_Sider*AL310+Исходн.данные.!AC310*N_Soloma*AL310)/HF310)</f>
        <v>#N/A</v>
      </c>
      <c r="GF310" s="39" t="e">
        <f>IF(HG310=$FY$16,0,(Исходн.данные.!Y310*AS310+Исходн.данные.!AA310*Р_Org*AM310+Исходн.данные.!AB310*P_Sider*AM310+Исходн.данные.!AC310*P_Soloma*AM310)/HG310)</f>
        <v>#N/A</v>
      </c>
      <c r="GG310" s="39" t="e">
        <f>IF(HH310=$FY$16,0,(Исходн.данные.!Z310*AT310+Исходн.данные.!AA310*К_Org*AN310+Исходн.данные.!AB310*K_Sider*AN310+Исходн.данные.!AC310*K_Soloma*AN310)/HH310)</f>
        <v>#N/A</v>
      </c>
      <c r="GH310" s="39" t="e">
        <f>Исходн.данные.!AD310*AU310/HF310</f>
        <v>#N/A</v>
      </c>
      <c r="GI310" s="39" t="e">
        <f>Исходн.данные.!AE310*AV310/HG310</f>
        <v>#N/A</v>
      </c>
      <c r="GJ310" s="39" t="e">
        <f>Исходн.данные.!AF310*AW310/HH310</f>
        <v>#N/A</v>
      </c>
      <c r="GK310" s="55">
        <f>Исходн.данные.!AK310</f>
        <v>0</v>
      </c>
      <c r="GL310" s="11" t="e">
        <f t="shared" si="409"/>
        <v>#N/A</v>
      </c>
      <c r="GM310" s="11" t="e">
        <f t="shared" si="410"/>
        <v>#N/A</v>
      </c>
      <c r="GN310" s="11" t="e">
        <f t="shared" si="411"/>
        <v>#N/A</v>
      </c>
      <c r="GO310" s="57">
        <f t="shared" si="412"/>
        <v>19</v>
      </c>
      <c r="GP310" s="55">
        <f>IF(OR(Исходн.данные.!F310=$CE$1,Исходн.данные.!F310=$CE$2,Исходн.данные.!F310=$CE$3,Исходн.данные.!F310=$CE$4,Исходн.данные.!F310=$CE$5),GQ310,GR310)</f>
        <v>19</v>
      </c>
      <c r="GQ310" s="55">
        <f>IF(Исходн.данные.!F310=$CE$1,28,IF(Исходн.данные.!F310=$CE$2,26,IF(Исходн.данные.!F310=$CE$3,24,IF(Исходн.данные.!F310=$CE$4,22,IF(Исходн.данные.!F310=$CE$5,20,GR310)))))</f>
        <v>19</v>
      </c>
      <c r="GR310" s="55">
        <f>IF(Исходн.данные.!F310=$CE$6,18,IF(Исходн.данные.!F310=$CE$7,16,IF(Исходн.данные.!F310=$CE$8,14,IF(Исходн.данные.!F310=$CE$9,13,IF(Исходн.данные.!F310=$CE$10,12,19)))))</f>
        <v>19</v>
      </c>
      <c r="GS310" s="55">
        <f>IF(Исходн.данные.!G310="Пес",0.035*(40+2*Исходн.данные.!H310),IF(Исходн.данные.!G310="Суп",0.0325*(40+2*Исходн.данные.!H310),0.03*(40+2*Исходн.данные.!H310)))</f>
        <v>1.2</v>
      </c>
      <c r="GT310" s="55">
        <f>IF(Исходн.данные.!H310&lt;23,2.6,IF(AND(Исходн.данные.!H310&gt;22,Исходн.данные.!H310&lt;26),3,IF(AND(Исходн.данные.!H310&gt;25,Исходн.данные.!H310&lt;29),3.4,3.6)))</f>
        <v>2.6</v>
      </c>
      <c r="GU310" s="55">
        <f>IF(Исходн.данные.!H310&lt;23,2.8,IF(AND(Исходн.данные.!H310&gt;22,Исходн.данные.!H310&lt;26),3.2,IF(AND(Исходн.данные.!H310&gt;25,Исходн.данные.!H310&lt;29),3.6,3.9)))</f>
        <v>2.8</v>
      </c>
      <c r="GV310" s="55">
        <f>IF(Исходн.данные.!H310&lt;23,3,IF(AND(Исходн.данные.!H310&gt;22,Исходн.данные.!H310&lt;26),3.5,IF(AND(Исходн.данные.!H310&gt;25,Исходн.данные.!H310&lt;29),3.9,4.2)))</f>
        <v>3</v>
      </c>
      <c r="GW310" s="55" t="e">
        <f>IF(Исходн.данные.!P310="Ум",GX310,GY310)</f>
        <v>#N/A</v>
      </c>
      <c r="GX310" s="55" t="e">
        <f>VLOOKUP(Исходн.данные.!AI310,Коэффициенты!$J$7:$L$13,2,FALSE)</f>
        <v>#N/A</v>
      </c>
      <c r="GY310" s="55" t="e">
        <f>VLOOKUP(Исходн.данные.!AI310,Коэффициенты!$J$7:$L$13,3,FALSE)</f>
        <v>#N/A</v>
      </c>
      <c r="GZ310" s="55" t="e">
        <f>(IF(Исходн.данные.!M310&lt;50,0.11*VLOOKUP(Исходн.данные.!AH310,Культуры.Информация,7,FALSE),IF(Исходн.данные.!M310&gt;250,0.05*VLOOKUP(Исходн.данные.!AH310,Культуры.Информация,7,FALSE),VLOOKUP(Исходн.данные.!AH310,Культуры.Информация,5,FALSE)/100*($GX$6+$GY$6*Исходн.данные.!M310))))*Расчет2!AI310</f>
        <v>#N/A</v>
      </c>
      <c r="HA310" s="211"/>
      <c r="HB310" s="211"/>
      <c r="HC310" s="55" t="e">
        <f>(IF(Исходн.данные.!O310&lt;80,0.2*VLOOKUP(Исходн.данные.!AH310,Культуры.Информация,8,FALSE),IF(Исходн.данные.!O310&gt;240,0.09*VLOOKUP(Исходн.данные.!AH310,Культуры.Информация,8,FALSE),VLOOKUP(Исходн.данные.!AH310,Культуры.Информация,6,FALSE)/100*($HB$6+$HC$6*Исходн.данные.!O310))))*Расчет2!AJ310</f>
        <v>#N/A</v>
      </c>
      <c r="HD310" s="55">
        <f>IF(Исходн.данные.!O310&gt;240,0.09,IF(Исходн.данные.!O310&lt;30,0.3,$HE$10+$HD$10*Исходн.данные.!O310))</f>
        <v>0.3</v>
      </c>
      <c r="HE310" s="55">
        <f>IF(Исходн.данные.!O310&gt;240,0.17,IF(Исходн.данные.!O310&lt;30,0.5,$HF$12+$HE$12*Исходн.данные.!O310))</f>
        <v>0.5</v>
      </c>
      <c r="HF310" s="55" t="e">
        <f>VLOOKUP(Исходн.данные.!AH310,Справ!$A$3:$D$58,2,FALSE)</f>
        <v>#N/A</v>
      </c>
      <c r="HG310" s="55" t="e">
        <f>VLOOKUP(Исходн.данные.!AH310,Справ!$A$3:$D$58,3,FALSE)</f>
        <v>#N/A</v>
      </c>
      <c r="HH310" s="55" t="e">
        <f>VLOOKUP(Исходн.данные.!AH310,Справ!$A$3:$D$58,4,FALSE)</f>
        <v>#N/A</v>
      </c>
      <c r="HI310" s="11" t="e">
        <f t="shared" si="413"/>
        <v>#N/A</v>
      </c>
      <c r="HJ310" s="11" t="e">
        <f t="shared" si="414"/>
        <v>#N/A</v>
      </c>
      <c r="HK310" s="11" t="e">
        <f t="shared" si="415"/>
        <v>#N/A</v>
      </c>
      <c r="HL310" s="55">
        <f>IF(OR(Исходн.данные.!G310="Глин",Исходн.данные.!G310="Т_суг"),1.1,IF(Исходн.данные.!G310="Ср_суг",1,1))</f>
        <v>1</v>
      </c>
      <c r="HM310" s="55">
        <f>IF(OR(Исходн.данные.!G310="Глин",Исходн.данные.!G310="Т_суг"),0.9,IF(Исходн.данные.!G310="Ср_суг",1,1.2))</f>
        <v>1.2</v>
      </c>
      <c r="HN310" s="11" t="e">
        <f t="shared" si="416"/>
        <v>#N/A</v>
      </c>
      <c r="HO310" s="11" t="e">
        <f t="shared" si="417"/>
        <v>#N/A</v>
      </c>
      <c r="HP310" s="11" t="e">
        <f t="shared" si="418"/>
        <v>#N/A</v>
      </c>
      <c r="HQ310" t="e">
        <f t="shared" si="419"/>
        <v>#N/A</v>
      </c>
      <c r="HR310" t="e">
        <f t="shared" si="420"/>
        <v>#N/A</v>
      </c>
      <c r="HS310" t="e">
        <f t="shared" si="421"/>
        <v>#N/A</v>
      </c>
      <c r="HT310" t="e">
        <f t="shared" si="367"/>
        <v>#N/A</v>
      </c>
      <c r="HU310" t="e">
        <f t="shared" si="368"/>
        <v>#N/A</v>
      </c>
      <c r="HV310" t="e">
        <f t="shared" si="369"/>
        <v>#N/A</v>
      </c>
      <c r="HW310" t="e">
        <f t="shared" si="370"/>
        <v>#N/A</v>
      </c>
      <c r="HX310" t="e">
        <f t="shared" si="371"/>
        <v>#N/A</v>
      </c>
      <c r="HY310" t="e">
        <f t="shared" si="372"/>
        <v>#N/A</v>
      </c>
      <c r="HZ310" s="55">
        <f>IF(OR(Исходн.данные.!AI310="Оз_Ч_П",Исходн.данные.!AI310="Оз_З_П",Исходн.данные.!AI310="Яр_зер"),12,30)</f>
        <v>30</v>
      </c>
      <c r="IA310" t="e">
        <f t="shared" si="422"/>
        <v>#N/A</v>
      </c>
      <c r="IB310" t="e">
        <f t="shared" si="423"/>
        <v>#N/A</v>
      </c>
      <c r="IC310" t="e">
        <f t="shared" si="424"/>
        <v>#N/A</v>
      </c>
      <c r="ID310" s="11" t="e">
        <f t="shared" si="425"/>
        <v>#N/A</v>
      </c>
      <c r="IE310" s="11" t="e">
        <f t="shared" si="426"/>
        <v>#N/A</v>
      </c>
      <c r="IF310" s="11" t="e">
        <f t="shared" si="427"/>
        <v>#N/A</v>
      </c>
    </row>
    <row r="311" spans="35:240" x14ac:dyDescent="0.2">
      <c r="AI311">
        <f>IF(Исходн.данные.!I311&gt;6,1,1.85-(0.148*Исходн.данные.!I311))</f>
        <v>1.85</v>
      </c>
      <c r="AJ311">
        <f>IF(Исходн.данные.!I311&gt;6,1,2.434-(0.246*Исходн.данные.!I311))</f>
        <v>2.4340000000000002</v>
      </c>
      <c r="AL311" s="148" t="b">
        <f>IF(Исходн.данные.!$P311="Ум",N_OrgUd_2g_um,IF(Исходн.данные.!$P311="Об",N_OrgUd_2g_ob))</f>
        <v>0</v>
      </c>
      <c r="AM311" s="148" t="b">
        <f>IF(Исходн.данные.!$P311="Ум",P_OrgUd_2g_um,IF(Исходн.данные.!$P311="Об",P_OrgUd_2g_ob))</f>
        <v>0</v>
      </c>
      <c r="AN311" s="148" t="b">
        <f>IF(Исходн.данные.!$P311="Ум",K_OrgUd_2g_um,IF(Исходн.данные.!$P311="Об",K_OrgUd_2g_ob))</f>
        <v>0</v>
      </c>
      <c r="AO311" s="148" t="b">
        <f>IF(Исходн.данные.!$P311="Ум",N_OrgUd_1g_um,IF(Исходн.данные.!$P311="Об",N_OrgUd_1g_ob))</f>
        <v>0</v>
      </c>
      <c r="AP311" s="148" t="b">
        <f>IF(Исходн.данные.!$P311="Ум",P_OrgUd_1g_um,IF(Исходн.данные.!$P311="Об",P_OrgUd_1g_ob))</f>
        <v>0</v>
      </c>
      <c r="AQ311" s="148" t="b">
        <f>IF(Исходн.данные.!$P311="Ум",K_OrgUd_1g_um,IF(Исходн.данные.!$P311="Об",K_OrgUd_1g_ob))</f>
        <v>0</v>
      </c>
      <c r="AR311" t="b">
        <f>IF(Исходн.данные.!$P311="Ум",N_MinUd_2g_um,IF(Исходн.данные.!$P311="Об",N_MinUd_2g_ob))</f>
        <v>0</v>
      </c>
      <c r="AS311" t="b">
        <f>IF(Исходн.данные.!$P311="Ум",P_MinUd_2g_um,IF(Исходн.данные.!$P311="Об",P_MinUd_2g_ob))</f>
        <v>0</v>
      </c>
      <c r="AT311" t="b">
        <f>IF(Исходн.данные.!$P311="Ум",K_MinUd_2g_um,IF(Исходн.данные.!$P311="Об",K_MinUd_2g_ob))</f>
        <v>0</v>
      </c>
      <c r="AU311" t="b">
        <f>IF(Исходн.данные.!$P311="Ум",N_MinUd_1g_um,IF(Исходн.данные.!$P311="Об",N_MinUd_1g_ob))</f>
        <v>0</v>
      </c>
      <c r="AV311" t="b">
        <f>IF(Исходн.данные.!P311="Ум",P_MinUd_1g_um,IF(Исходн.данные.!P311="Об",P_MinUd_1g_ob))</f>
        <v>0</v>
      </c>
      <c r="AW311" t="b">
        <f>IF(Исходн.данные.!P311="Ум",K_MinUd_1g_um,IF(Исходн.данные.!P311="Об",K_MinUd_1g_ob))</f>
        <v>0</v>
      </c>
      <c r="AY311" t="e">
        <f>VLOOKUP(Исходн.данные.!T311,Справ!$A$3:$N$57,12)</f>
        <v>#N/A</v>
      </c>
      <c r="AZ311" t="e">
        <f>VLOOKUP(Исходн.данные.!T311,Справ!$A$3:$N$57,13)</f>
        <v>#N/A</v>
      </c>
      <c r="BA311" t="e">
        <f>VLOOKUP(Исходн.данные.!T311,Справ!$A$3:$N$57,14)</f>
        <v>#N/A</v>
      </c>
      <c r="BB311">
        <f>IF(Исходн.данные.!AH311=0,0,25)</f>
        <v>0</v>
      </c>
      <c r="BC311" s="141">
        <f>IF(Исходн.данные.!AH311=0,0,IF(Исходн.данные.!T311=0,25,BD311))</f>
        <v>0</v>
      </c>
      <c r="BD311" s="168" t="e">
        <f>AY311+AZ311*Исходн.данные.!U311-POWER(BA311,2)*Исходн.данные.!U311</f>
        <v>#N/A</v>
      </c>
      <c r="BE31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1" s="25">
        <f>IF(Исходн.данные.!AH311=0,0,MIN(HN311:HP311))</f>
        <v>0</v>
      </c>
      <c r="BG311" s="9">
        <f>IF(Исходн.данные.!AH311=0,0,IF((HO311+10*0.25/HG311/HL311)&lt;17,17,HO311+10*0.25/HG311/HL311))</f>
        <v>0</v>
      </c>
      <c r="BH311" s="181">
        <f>IF(Исходн.данные.!AH311=0,0,HW311*HF311*HL311/AU311*AI311+Исходн.данные.!S311*10)</f>
        <v>0</v>
      </c>
      <c r="BI311" s="10"/>
      <c r="BJ311" s="182">
        <f>IF(Исходн.данные.!AH311=0,0,IF(HX311*HG311*HL311/AV311&lt;0,0,HX311*HG311*HL311/AV311*AJ311))</f>
        <v>0</v>
      </c>
      <c r="BK311" s="182">
        <f>IF(Исходн.данные.!AH311=0,0,HY311*HH311*HM311/AW311)</f>
        <v>0</v>
      </c>
      <c r="BL311" s="10">
        <f>IF(OR(Исходн.данные.!$AH311=$BP$1,Исходн.данные.!$AH311=$BP$2),0,IF(BH311&lt;0,0,IF(OR(Исходн.данные.!T311=Расчет!$BP$1,Исходн.данные.!T311=Расчет!$BP$2,Исходн.данные.!T311=Расчет!$BT$5,Исходн.данные.!T311=Расчет!$BT$6),BH311*0.5,IF(OR(Исходн.данные.!T311=Расчет!$BS$9,Исходн.данные.!T311=Расчет!$BS$10,Исходн.данные.!T311=Расчет!$BS$11,Исходн.данные.!T311=Расчет!$BS$12,Исходн.данные.!T311=Расчет!$BP$5),BH311*0.8,BH311))))</f>
        <v>0</v>
      </c>
      <c r="BM311" s="10">
        <f>IF(OR(Исходн.данные.!$AH311=$BP$1,Исходн.данные.!$AH311=$BP$2),0,IF(BJ311&lt;0,0,IF(Исходн.данные.!I311&lt;4.5,BJ311*1.2,IF(Исходн.данные.!I311&gt;5.1,BJ311,BJ311*((5.1-Исходн.данные.!I311)*0.333+1)))))</f>
        <v>0</v>
      </c>
      <c r="BN311" s="10">
        <f>IF(OR(Исходн.данные.!$AH311=$BP$1,Исходн.данные.!$AH311=$BP$2),60-Исходн.данные.!AF311,IF(BK311&lt;0,0,IF(Исходн.данные.!I311&lt;4.5,BK311*1.2,IF(Исходн.данные.!I311&gt;5.1,BK311,BK311*((5.1-Исходн.данные.!I311)*0.333+1)))))</f>
        <v>0</v>
      </c>
      <c r="BO311" s="9">
        <f>IF(BL311&lt;0,0,BL311*Исходн.данные.!$AJ311/1000)</f>
        <v>0</v>
      </c>
      <c r="BP311" s="9">
        <f>IF(BM311&lt;0,0,BM311*Исходн.данные.!$AJ311/1000)</f>
        <v>0</v>
      </c>
      <c r="BQ311" s="9">
        <f>IF(BN311&lt;0,0,BN311*Исходн.данные.!$AJ311/1000)</f>
        <v>0</v>
      </c>
      <c r="BR311" s="9">
        <f t="shared" si="377"/>
        <v>0</v>
      </c>
      <c r="BS311" s="10" t="str">
        <f t="shared" si="378"/>
        <v>Аммофос 12:52:00</v>
      </c>
      <c r="BT311" s="10" t="str">
        <f t="shared" si="379"/>
        <v>Аммофос 12:52:00</v>
      </c>
      <c r="BU311" s="10" t="str">
        <f t="shared" si="380"/>
        <v>Диаммофоска</v>
      </c>
      <c r="BV311" s="10">
        <f t="shared" si="381"/>
        <v>0</v>
      </c>
      <c r="BW311" s="10"/>
      <c r="BX311" s="10"/>
      <c r="BY311" s="9">
        <f>IF(BL311&lt;0,0,IF(OR(Исходн.данные.!AI311=Расчет!$BU$6,Исходн.данные.!AI311=Расчет!$BU$7),Расчет!BV311,IF(Исходн.данные.!$AG311=$BV$11,BL311,IF(OR(Исходн.данные.!$AH311=$BQ$7,Исходн.данные.!$AH311=$BQ$8),CB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0,IF(Исходн.данные.!$AI311=$BU$11,"Нет",IF(BL311&gt;30,30,BL311)))))))</f>
        <v>0</v>
      </c>
      <c r="BZ311" s="9">
        <f>IF(AND(Исходн.данные.!$AG311=$BV$11,BM311&lt;10),10,IF(Исходн.данные.!$AG311=$BV$11,BM311,IF(OR(Исходн.данные.!$AH311=$BQ$7,Исходн.данные.!$AH311=$BQ$8),CC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10,IF(Исходн.данные.!$AI311=$BU$11,"Нет",IF(BM311&gt;60,60,IF(BM311&lt;10,10,BM311)))))))</f>
        <v>10</v>
      </c>
      <c r="CA311" s="39">
        <f>IF(BN311&lt;0,0,IF(Исходн.данные.!$AG311=$BV$11,BN311,IF(OR(Исходн.данные.!$AH311=$BQ$7,Исходн.данные.!$AH311=$BQ$8),CD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0,IF(Исходн.данные.!$AI311=$BU$11,"Нет",IF(BN311&gt;30,30,BN311))))))</f>
        <v>0</v>
      </c>
      <c r="CB311" s="9">
        <f t="shared" si="382"/>
        <v>0</v>
      </c>
      <c r="CC311" s="9">
        <f t="shared" si="383"/>
        <v>0</v>
      </c>
      <c r="CD311" s="9">
        <f t="shared" si="384"/>
        <v>0</v>
      </c>
      <c r="CE311" s="12">
        <f t="shared" si="385"/>
        <v>10</v>
      </c>
      <c r="CF311" s="9">
        <f t="shared" si="386"/>
        <v>0</v>
      </c>
      <c r="CG311" s="9" t="s">
        <v>231</v>
      </c>
      <c r="CH311" s="132" t="str">
        <f>IF(Исходн.данные.!AP311=Расчет!$CI$16,"Нет",IF(Исходн.данные.!AL311&gt;0,Исходн.данные.!AL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BH$4,IF(OR(Исходн.данные.!AI311=Исходн.данные.!$AI$6,Исходн.данные.!AI311=Исходн.данные.!$AI$7),Расчет!BS311,IF(AND($CF311=0,$CE311&gt;0),EV311,ER311)))))</f>
        <v>Аммофос 12:52:00</v>
      </c>
      <c r="CI311" s="274">
        <f>IF(Расчет!$CH311="Нет","Нет",IF(Исходн.данные.!$AL311&gt;0,VLOOKUP(Расчет!$CH311,АшламаДВ_Irekle,2,FALSE),VLOOKUP(Расчет!$CH311,АшламаДВ_Gomumy,2,FALSE)))</f>
        <v>0.12</v>
      </c>
      <c r="CJ311" s="274">
        <f>IF(Расчет!$CH311="Нет","Нет",IF(Исходн.данные.!$AL311&gt;0,VLOOKUP(Расчет!$CH311,АшламаДВ_Irekle,3,FALSE),VLOOKUP(Расчет!$CH311,АшламаДВ_Gomumy,3,FALSE)))</f>
        <v>0.52</v>
      </c>
      <c r="CK311" s="274">
        <f>IF(Расчет!$CH311="Нет","Нет",IF(Исходн.данные.!$AL311&gt;0,VLOOKUP(Расчет!$CH311,АшламаДВ_Irekle,4,FALSE),VLOOKUP(Расчет!$CH311,АшламаДВ_Gomumy,4,FALSE)))</f>
        <v>0</v>
      </c>
      <c r="CL311" s="70"/>
      <c r="CM311" s="70"/>
      <c r="CN311" s="70"/>
      <c r="CO311" s="70"/>
      <c r="CP311" s="70"/>
      <c r="CQ311" s="70"/>
      <c r="CR311" s="10">
        <f t="shared" si="387"/>
        <v>0</v>
      </c>
      <c r="CS311" s="10">
        <f t="shared" si="388"/>
        <v>19.23076923076923</v>
      </c>
      <c r="CT311" s="10">
        <f t="shared" si="389"/>
        <v>0</v>
      </c>
      <c r="CU311" s="39">
        <f>IF($CH311="Нет",0,IF(CI311=0,30/MIN(CJ311:CK311),IF(Исходн.данные.!$AG311=$BV$11,CR311,IF(OR(Исходн.данные.!$AH311=$BQ$7,Исходн.данные.!$AH311=$BQ$8),90/CI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0,IF(Исходн.данные.!$AI311=$BU$11,"Нет",30/CI311))))))</f>
        <v>250</v>
      </c>
      <c r="CV311" s="39">
        <f>IF($CH311="Нет",0,IF(Исходн.данные.!AH311=0,0,IF(CJ311=0,60/MIN(CI311,CK311),IF(Исходн.данные.!$AG311=$BV$11,CS311,IF(OR(Исходн.данные.!$AH311=$BQ$7,Исходн.данные.!$AH311=$BQ$8),90/CJ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10/CJ311,IF(Исходн.данные.!$AI311=$BU$11,"Нет",60/CJ311)))))))</f>
        <v>0</v>
      </c>
      <c r="CW311" s="39">
        <f>IF($CH311="Нет",0,IF(Исходн.данные.!AH311=0,0,IF(CK311=0,30/MIN(CI311:CJ311),IF(Исходн.данные.!$AG311=$BV$11,CT311,IF(OR(Исходн.данные.!$AH311=$BQ$7,Исходн.данные.!$AH311=$BQ$8),90/CK311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0,IF(Исходн.данные.!$AI311=$BU$11,"Нет",30/CK311)))))))</f>
        <v>0</v>
      </c>
      <c r="CX311" s="133">
        <f>IF(Исходн.данные.!$AG311=$BV$11,MAX(CU311:CW311),IF(OR(Исходн.данные.!$AH311=$BS$8,Исходн.данные.!$AH311=$BQ$9,Исходн.данные.!$AH311=$BQ$10,Исходн.данные.!$AH311=$BQ$11,Исходн.данные.!$AH311=$BQ$12,Исходн.данные.!$AH311=$BP$3,Исходн.данные.!$AH311=$BT$8,$FM311="Да"),CV311,MIN(CU311:CW311)))</f>
        <v>0</v>
      </c>
      <c r="CY311" s="133">
        <f>IF(Исходн.данные.!AH311=0,0,IF(CR311&gt;$CX311,$CX311,CR311))</f>
        <v>0</v>
      </c>
      <c r="CZ311" s="133">
        <f>IF(Исходн.данные.!AH311=0,0,IF(CS311&gt;$CX311,$CX311,CS311))</f>
        <v>0</v>
      </c>
      <c r="DA311" s="133">
        <f>IF(Исходн.данные.!AH311=0,0,IF(CT311&gt;$CX311,$CX311,CT311))</f>
        <v>0</v>
      </c>
      <c r="DB311" s="10">
        <f t="shared" si="390"/>
        <v>0</v>
      </c>
      <c r="DC311" s="39">
        <f>DB311*Исходн.данные.!AJ311/1000</f>
        <v>0</v>
      </c>
      <c r="DD311" s="71">
        <f t="shared" si="391"/>
        <v>0</v>
      </c>
      <c r="DE311" s="9">
        <f t="shared" si="392"/>
        <v>0</v>
      </c>
      <c r="DF311" s="9">
        <f t="shared" si="393"/>
        <v>0</v>
      </c>
      <c r="DG311" s="39">
        <f>IF(BL311&lt;0,0,IF($CH311="Нет",BL311,IF(OR(Исходн.данные.!$AH311=$BP$1,Исходн.данные.!$AH311=$BP$2),0,IF(Исходн.данные.!AI311=$BU$11,BL311,IF(BL311-DD311&lt;0,0,BL311-DD311)))))</f>
        <v>0</v>
      </c>
      <c r="DH311" s="39">
        <f>IF(BM311&lt;0,0,IF($CH311="Нет",BM311,IF(OR(Исходн.данные.!$AH311=$BP$1,Исходн.данные.!$AH311=$BP$2),0,IF(Исходн.данные.!AJ311=$BU$11,BM311,IF(BM311-DE311&lt;0,0,BM311-DE311)))))</f>
        <v>0</v>
      </c>
      <c r="DI311" s="39">
        <f>IF(BN311&lt;0,0,IF($CH311="Нет",BN311,IF(OR(Исходн.данные.!$AH311=$BP$1,Исходн.данные.!$AH311=$BP$2),0,IF(Исходн.данные.!AK311=$BU$11,BN311,IF(BN311-DF311&lt;0,0,BN311-DF311)))))</f>
        <v>0</v>
      </c>
      <c r="DJ311" s="12">
        <f t="shared" si="394"/>
        <v>0</v>
      </c>
      <c r="DK311" s="9">
        <f t="shared" si="395"/>
        <v>0</v>
      </c>
      <c r="DL311" s="39">
        <f>IF(Исходн.данные.!AM311&gt;0,Исходн.данные.!AM311,IF(EG311&gt;0,$BH$10,0))</f>
        <v>0</v>
      </c>
      <c r="DM311" s="186">
        <f>IF($DL311=0,0,IF(Исходн.данные.!AM311&gt;0,VLOOKUP($DL311,АшламаДВ_Irekle,2,FALSE),VLOOKUP($DL311,АшламаДВ_Gomumy,2,FALSE)))</f>
        <v>0</v>
      </c>
      <c r="DN311" s="10">
        <f t="shared" si="373"/>
        <v>0</v>
      </c>
      <c r="DO311" s="9" t="str">
        <f>IF(Исходн.данные.!AN311&gt;0,Исходн.данные.!AN311,Удобрения!$B$37 )</f>
        <v>Хлор.калий</v>
      </c>
      <c r="DP311" s="9">
        <f>IF(Исходн.данные.!AN311&gt;0,VLOOKUP(Исходн.данные.!AN311,АшламаДВ_Irekle,4,FALSE),VLOOKUP(DO311,АшламаДВ_Gomumy,4,FALSE))</f>
        <v>0.6</v>
      </c>
      <c r="DQ311" s="10">
        <f t="shared" si="374"/>
        <v>0</v>
      </c>
      <c r="DR311" s="132" t="str">
        <f>IF(Исходн.данные.!AO311&gt;0,Исходн.данные.!AO311,IF(DH311=0,BS$17,IF(AND($DK311=0,$DJ311&gt;0),EJ311,EN311)))</f>
        <v>Нет</v>
      </c>
      <c r="DS311" s="70" t="str">
        <f>IF($DR311="Нет","Нет",IF(Исходн.данные.!$AO311&gt;0,VLOOKUP($DR311,АшламаДВ_Irekle,2,FALSE),VLOOKUP($DR311,АшламаДВ_Gomumy,2,FALSE)))</f>
        <v>Нет</v>
      </c>
      <c r="DT311" s="70" t="str">
        <f>IF($DR311="Нет","Нет",IF(Исходн.данные.!$AO311&gt;0,VLOOKUP($DR311,АшламаДВ_Irekle,3,FALSE),VLOOKUP($DR311,АшламаДВ_Gomumy,3,FALSE)))</f>
        <v>Нет</v>
      </c>
      <c r="DU311" s="70" t="str">
        <f>IF($DR311="Нет","Нет",IF(Исходн.данные.!$AO311&gt;0,VLOOKUP($DR311,АшламаДВ_Irekle,4,FALSE),VLOOKUP($DR311,АшламаДВ_Gomumy,4,FALSE)))</f>
        <v>Нет</v>
      </c>
      <c r="DV311" s="70"/>
      <c r="DW311" s="70"/>
      <c r="DX311" s="70"/>
      <c r="DY311" s="10">
        <f t="shared" si="396"/>
        <v>0</v>
      </c>
      <c r="DZ311" s="10">
        <f t="shared" si="397"/>
        <v>0</v>
      </c>
      <c r="EA311" s="10">
        <f t="shared" si="398"/>
        <v>0</v>
      </c>
      <c r="EB311" s="10">
        <f t="shared" si="399"/>
        <v>0</v>
      </c>
      <c r="EC311" s="10">
        <f t="shared" si="400"/>
        <v>0</v>
      </c>
      <c r="ED311" s="10">
        <f t="shared" si="401"/>
        <v>0</v>
      </c>
      <c r="EE311" s="10">
        <f t="shared" si="402"/>
        <v>0</v>
      </c>
      <c r="EF311" s="39">
        <f>EB311*Исходн.данные.!AJ311/1000</f>
        <v>0</v>
      </c>
      <c r="EG311" s="9">
        <f t="shared" si="403"/>
        <v>0</v>
      </c>
      <c r="EH311" s="9">
        <f t="shared" si="404"/>
        <v>0</v>
      </c>
      <c r="EI311" s="39" t="e">
        <f t="shared" si="354"/>
        <v>#DIV/0!</v>
      </c>
      <c r="EJ311" s="9" t="str">
        <f t="shared" si="375"/>
        <v>Азопреципитат</v>
      </c>
      <c r="EK311" s="12">
        <f t="shared" si="355"/>
        <v>0.26</v>
      </c>
      <c r="EL311" s="12">
        <f t="shared" si="356"/>
        <v>0.13</v>
      </c>
      <c r="EM311" s="12">
        <f t="shared" si="357"/>
        <v>0</v>
      </c>
      <c r="EN311" s="12" t="str">
        <f t="shared" si="376"/>
        <v>Нет</v>
      </c>
      <c r="EO311" s="12">
        <f t="shared" si="358"/>
        <v>0</v>
      </c>
      <c r="EP311" s="12">
        <f t="shared" si="359"/>
        <v>0</v>
      </c>
      <c r="EQ311" s="12">
        <f t="shared" si="360"/>
        <v>0</v>
      </c>
      <c r="ER311" s="12" t="str">
        <f t="shared" si="405"/>
        <v>Диаммофоска</v>
      </c>
      <c r="ES311" s="12">
        <f t="shared" si="361"/>
        <v>0.1</v>
      </c>
      <c r="ET311" s="12">
        <f t="shared" si="362"/>
        <v>0.26</v>
      </c>
      <c r="EU311" s="12">
        <f t="shared" si="363"/>
        <v>0.26</v>
      </c>
      <c r="EV311" s="12" t="str">
        <f t="shared" si="406"/>
        <v>Аммофос 12:52:00</v>
      </c>
      <c r="EW311" s="12" t="str">
        <f t="shared" si="407"/>
        <v>Кемира Свекловичное-6</v>
      </c>
      <c r="EX311" s="12">
        <f t="shared" si="364"/>
        <v>0.16</v>
      </c>
      <c r="EY311" s="12">
        <f t="shared" si="365"/>
        <v>0.12</v>
      </c>
      <c r="EZ311" s="12">
        <f t="shared" si="366"/>
        <v>0.17</v>
      </c>
      <c r="FA311" s="38" t="e">
        <f>IF(AND(OR(FJ311=$FD$1,FM311=$FD$1,FO311=$FD$1,FQ311=$FD$1,FS311=$FD$1),FD311=$FD$1,Исходн.данные.!J311&lt;2,FU311=$FD$1),"Бор,Кобальт",IF(AND(FO311=$FD$1,FH311=$FD$1,Исходн.данные.!J311&lt;2,FU311=$FD$1),"Бор,Кобальт",IF(AND(OR(FJ311=$FD$1,FM311=$FD$1,FQ311=$FD$1),FE311=$FD$1,Исходн.данные.!J311&lt;2,FT311=$FD$1,FU311=$FD$1),"Бор,Медь,Цинк",IF(AND(OR(FJ311=$FD$1,FR311="Да"),FI311="Да",Исходн.данные.!J311&lt;2,FT311="Да",FU311="Да"),"Бор,Цинк,Медь",IF(AND(OR(FM311="Да",FQ311="Да"),FI311="Да",Исходн.данные.!J311&lt;2,FT311="Да",FU311="Да"),"Бор,Цинк",IF(AND(FN311="Да",OR(FD311="Да",FE311="Да")),"Бор",FB311))))))</f>
        <v>#N/A</v>
      </c>
      <c r="FB311" s="134" t="e">
        <f>IF(AND(OR(FD311="Да",FE311="Да",FF311="Да",FG311="Да",FH311="Да"),FO311="Да"),"Бор",IF(AND(FP311="Да",OR(FD311="Да",FE311="Да",FI311="Да")),"Бор",IF(AND(FS311="Да",FE311="Да"),"Бор,Медь",IF(AND(OR(FJ311="Да",FK311="Да",FL311="Да"),FE311="Да",Исходн.данные.!I311&lt;5,FT311="Да",FU311="Да"),"Молибден,Цинк",IF(AND(FM311="Да",OR(FE311="Да",FF311="Да",FG311="Да",FH311="Да",FI311="Да")),"Молибден,Цинк",IF(AND(OR(FJ311="Да",FK311="Да",FL311="Да",FM311="Да",FQ311="Да"),OR(FE311="Да",FF311="Да"),FT311="Да",FU311="Да",Исходн.данные.!I311&gt;5.5),"Медь,Цинк",FC311))))))</f>
        <v>#N/A</v>
      </c>
      <c r="FC311" s="23" t="e">
        <f t="shared" si="408"/>
        <v>#N/A</v>
      </c>
      <c r="FD311" s="38" t="str">
        <f>IF(OR(Исходн.данные.!F311=$CC$1,Исходн.данные.!F311=$CC$2,Исходн.данные.!F311=$CC$3,Исходн.данные.!F311=$CC$4),"Да","Нет")</f>
        <v>Нет</v>
      </c>
      <c r="FE311" s="38" t="str">
        <f>IF(Исходн.данные.!F311=$CC$5,"Да","Нет")</f>
        <v>Нет</v>
      </c>
      <c r="FF311" s="38" t="str">
        <f>IF(OR(Исходн.данные.!F311=$CC$6,Исходн.данные.!F311=$CC$7),"Да","Нет")</f>
        <v>Нет</v>
      </c>
      <c r="FG311" s="38" t="str">
        <f>IF(OR(Исходн.данные.!F311=$CC$8,Исходн.данные.!F311=$CC$9),"Да","Нет")</f>
        <v>Нет</v>
      </c>
      <c r="FH311" s="38" t="str">
        <f>IF(Исходн.данные.!F311=$CC$10,"Да","Нет")</f>
        <v>Нет</v>
      </c>
      <c r="FI311" s="38" t="str">
        <f>IF(OR(Исходн.данные.!F311=$CC$11,Исходн.данные.!F311=$CC$12),"Да","Нет")</f>
        <v>Нет</v>
      </c>
      <c r="FJ311" s="38" t="str">
        <f>IF(OR(Исходн.данные.!AH311=$BS$1,Исходн.данные.!AH311=$BQ$11,Исходн.данные.!AH311=$BQ$12),"Да","Нет")</f>
        <v>Нет</v>
      </c>
      <c r="FK311" s="38" t="str">
        <f>IF(OR(Исходн.данные.!AH311=$BS$2,Исходн.данные.!AH311=$BS$4),"Да","Нет")</f>
        <v>Нет</v>
      </c>
      <c r="FL311" s="38" t="str">
        <f>IF(OR(Исходн.данные.!AH311=$BS$3,Исходн.данные.!AH311=$BS$5),"Да","Нет")</f>
        <v>Нет</v>
      </c>
      <c r="FM311" s="38" t="str">
        <f>IF(OR(Исходн.данные.!AH311=$BS$9,Исходн.данные.!AH311=$BS$10,Исходн.данные.!AH311=$BS$11,Исходн.данные.!AH311=$BS$12),"Да","Нет")</f>
        <v>Нет</v>
      </c>
      <c r="FN311" s="38" t="str">
        <f>IF(OR(Исходн.данные.!AH311=$BS$6,Исходн.данные.!AH311=$BP$3),"Да","Нет")</f>
        <v>Нет</v>
      </c>
      <c r="FO311" s="38" t="str">
        <f>IF(Исходн.данные.!AH311=$BQ$9,"Да","Нет")</f>
        <v>Нет</v>
      </c>
      <c r="FP311" s="38" t="str">
        <f>IF(OR(Исходн.данные.!AH311=$BS$8,Исходн.данные.!AH311=$BT$8),"Да","Нет")</f>
        <v>Нет</v>
      </c>
      <c r="FQ311" s="38" t="str">
        <f>IF(OR(Исходн.данные.!AH311=$BQ$7,Исходн.данные.!AH311=$BQ$8),"Да","Нет")</f>
        <v>Нет</v>
      </c>
      <c r="FR311" s="38" t="str">
        <f>IF(Исходн.данные.!AI311=$BU$9,"Да","Нет")</f>
        <v>Нет</v>
      </c>
      <c r="FS311" s="38" t="str">
        <f>IF(OR(Исходн.данные.!AH311=$BP$1,Исходн.данные.!AH311=$BP$2),"Да","Нет")</f>
        <v>Нет</v>
      </c>
      <c r="FT311" s="38" t="e">
        <f>IF((Исходн.данные.!K311*GO311*GS311*GW311+BL311*0.6+Исходн.данные.!Q311*4.5*0.275)&gt;90,"Да","Нет")</f>
        <v>#N/A</v>
      </c>
      <c r="FU311" s="38" t="e">
        <f>IF((Исходн.данные.!M311*GS311*GZ311+BM311*0.225)&gt;35,"Да","Нет")</f>
        <v>#N/A</v>
      </c>
      <c r="FV311" s="38" t="str">
        <f>IF(Исходн.данные.!O311&gt;175,"Да","Нет")</f>
        <v>Нет</v>
      </c>
      <c r="FW311" s="39" t="str">
        <f>IF(Исходн.данные.!I311&gt;5.5,"Да","Нет")</f>
        <v>Нет</v>
      </c>
      <c r="FX311" s="39" t="str">
        <f>IF(Исходн.данные.!J311&lt;2,"Да","Нет")</f>
        <v>Да</v>
      </c>
      <c r="FY311" s="39" t="e">
        <f>IF(HF311=$FY$16,0,Исходн.данные.!K311*GO311*GS311*GW311/HF311)</f>
        <v>#N/A</v>
      </c>
      <c r="FZ311" s="39" t="e">
        <f>Исходн.данные.!M311*GS311*GZ311/HG311</f>
        <v>#N/A</v>
      </c>
      <c r="GA311" s="39" t="e">
        <f>IF(K_Wyn=$FY$16,0,IF(Исходн.данные.!N311=Исходн.данные.!$L$10,Исходн.данные.!O311/1.1*GS311*HC311/HH311,IF(Исходн.данные.!N311=Исходн.данные.!$L$12,Исходн.данные.!O311/1.5*GS311*HC311/HH311,Исходн.данные.!O311*GS311*HC311/HH311)))</f>
        <v>#N/A</v>
      </c>
      <c r="GB311" s="39" t="e">
        <f>IF(HF311=$FY$16,0,((Исходн.данные.!Q311*N_Org+Исходн.данные.!R311*N_Sider+Исходн.данные.!S311*N_Soloma)*AO311+Расчет!BC311*VLOOKUP(Исходн.данные.!T311,Справ!$A$3:$O$57,15)*AO311+BB311*VLOOKUP(Исходн.данные.!T311,Справ!$A$3:$O$57,15)*AL311+(Исходн.данные.!V311*N_Rizotorf+Исходн.данные.!W311*N_Rizoagr))/HF311)</f>
        <v>#N/A</v>
      </c>
      <c r="GC311" s="39" t="e">
        <f>IF(HG311=$FY$16,0,((Исходн.данные.!Q311*Р_Org+Исходн.данные.!R311*P_Sider+Исходн.данные.!S311*P_Soloma)*AP311+Расчет!BC311*VLOOKUP(Исходн.данные.!T311,Справ!$A$3:$P$57,16)*AP311+BB311*VLOOKUP(Исходн.данные.!T311,Справ!$A$3:$P$57,16)*AM311)/HG311)</f>
        <v>#N/A</v>
      </c>
      <c r="GD311" s="39" t="e">
        <f>IF(HH311=$FY$16,0,((Исходн.данные.!Q311*К_Org+Исходн.данные.!R311*K_Sider+Исходн.данные.!S311*K_Soloma)*AQ311+Расчет!BC311*VLOOKUP(Исходн.данные.!T311,Справ!$A$3:$Q$57,17)*AQ311+BB311*VLOOKUP(Исходн.данные.!T311,Справ!$A$3:$Q$57,17)*AN311)/HH311)</f>
        <v>#N/A</v>
      </c>
      <c r="GE311" s="39" t="e">
        <f>IF(HF311=$FY$16,0,(Исходн.данные.!X311*AR311+Исходн.данные.!AA311*N_Org*AL311+Исходн.данные.!AB311*N_Sider*AL311+Исходн.данные.!AC311*N_Soloma*AL311)/HF311)</f>
        <v>#N/A</v>
      </c>
      <c r="GF311" s="39" t="e">
        <f>IF(HG311=$FY$16,0,(Исходн.данные.!Y311*AS311+Исходн.данные.!AA311*Р_Org*AM311+Исходн.данные.!AB311*P_Sider*AM311+Исходн.данные.!AC311*P_Soloma*AM311)/HG311)</f>
        <v>#N/A</v>
      </c>
      <c r="GG311" s="39" t="e">
        <f>IF(HH311=$FY$16,0,(Исходн.данные.!Z311*AT311+Исходн.данные.!AA311*К_Org*AN311+Исходн.данные.!AB311*K_Sider*AN311+Исходн.данные.!AC311*K_Soloma*AN311)/HH311)</f>
        <v>#N/A</v>
      </c>
      <c r="GH311" s="39" t="e">
        <f>Исходн.данные.!AD311*AU311/HF311</f>
        <v>#N/A</v>
      </c>
      <c r="GI311" s="39" t="e">
        <f>Исходн.данные.!AE311*AV311/HG311</f>
        <v>#N/A</v>
      </c>
      <c r="GJ311" s="39" t="e">
        <f>Исходн.данные.!AF311*AW311/HH311</f>
        <v>#N/A</v>
      </c>
      <c r="GK311" s="55">
        <f>Исходн.данные.!AK311</f>
        <v>0</v>
      </c>
      <c r="GL311" s="11" t="e">
        <f t="shared" si="409"/>
        <v>#N/A</v>
      </c>
      <c r="GM311" s="11" t="e">
        <f t="shared" si="410"/>
        <v>#N/A</v>
      </c>
      <c r="GN311" s="11" t="e">
        <f t="shared" si="411"/>
        <v>#N/A</v>
      </c>
      <c r="GO311" s="57">
        <f t="shared" si="412"/>
        <v>19</v>
      </c>
      <c r="GP311" s="55">
        <f>IF(OR(Исходн.данные.!F311=$CE$1,Исходн.данные.!F311=$CE$2,Исходн.данные.!F311=$CE$3,Исходн.данные.!F311=$CE$4,Исходн.данные.!F311=$CE$5),GQ311,GR311)</f>
        <v>19</v>
      </c>
      <c r="GQ311" s="55">
        <f>IF(Исходн.данные.!F311=$CE$1,28,IF(Исходн.данные.!F311=$CE$2,26,IF(Исходн.данные.!F311=$CE$3,24,IF(Исходн.данные.!F311=$CE$4,22,IF(Исходн.данные.!F311=$CE$5,20,GR311)))))</f>
        <v>19</v>
      </c>
      <c r="GR311" s="55">
        <f>IF(Исходн.данные.!F311=$CE$6,18,IF(Исходн.данные.!F311=$CE$7,16,IF(Исходн.данные.!F311=$CE$8,14,IF(Исходн.данные.!F311=$CE$9,13,IF(Исходн.данные.!F311=$CE$10,12,19)))))</f>
        <v>19</v>
      </c>
      <c r="GS311" s="55">
        <f>IF(Исходн.данные.!G311="Пес",0.035*(40+2*Исходн.данные.!H311),IF(Исходн.данные.!G311="Суп",0.0325*(40+2*Исходн.данные.!H311),0.03*(40+2*Исходн.данные.!H311)))</f>
        <v>1.2</v>
      </c>
      <c r="GT311" s="55">
        <f>IF(Исходн.данные.!H311&lt;23,2.6,IF(AND(Исходн.данные.!H311&gt;22,Исходн.данные.!H311&lt;26),3,IF(AND(Исходн.данные.!H311&gt;25,Исходн.данные.!H311&lt;29),3.4,3.6)))</f>
        <v>2.6</v>
      </c>
      <c r="GU311" s="55">
        <f>IF(Исходн.данные.!H311&lt;23,2.8,IF(AND(Исходн.данные.!H311&gt;22,Исходн.данные.!H311&lt;26),3.2,IF(AND(Исходн.данные.!H311&gt;25,Исходн.данные.!H311&lt;29),3.6,3.9)))</f>
        <v>2.8</v>
      </c>
      <c r="GV311" s="55">
        <f>IF(Исходн.данные.!H311&lt;23,3,IF(AND(Исходн.данные.!H311&gt;22,Исходн.данные.!H311&lt;26),3.5,IF(AND(Исходн.данные.!H311&gt;25,Исходн.данные.!H311&lt;29),3.9,4.2)))</f>
        <v>3</v>
      </c>
      <c r="GW311" s="55" t="e">
        <f>IF(Исходн.данные.!P311="Ум",GX311,GY311)</f>
        <v>#N/A</v>
      </c>
      <c r="GX311" s="55" t="e">
        <f>VLOOKUP(Исходн.данные.!AI311,Коэффициенты!$J$7:$L$13,2,FALSE)</f>
        <v>#N/A</v>
      </c>
      <c r="GY311" s="55" t="e">
        <f>VLOOKUP(Исходн.данные.!AI311,Коэффициенты!$J$7:$L$13,3,FALSE)</f>
        <v>#N/A</v>
      </c>
      <c r="GZ311" s="55" t="e">
        <f>(IF(Исходн.данные.!M311&lt;50,0.11*VLOOKUP(Исходн.данные.!AH311,Культуры.Информация,7,FALSE),IF(Исходн.данные.!M311&gt;250,0.05*VLOOKUP(Исходн.данные.!AH311,Культуры.Информация,7,FALSE),VLOOKUP(Исходн.данные.!AH311,Культуры.Информация,5,FALSE)/100*($GX$6+$GY$6*Исходн.данные.!M311))))*Расчет2!AI311</f>
        <v>#N/A</v>
      </c>
      <c r="HA311" s="211"/>
      <c r="HB311" s="211"/>
      <c r="HC311" s="55" t="e">
        <f>(IF(Исходн.данные.!O311&lt;80,0.2*VLOOKUP(Исходн.данные.!AH311,Культуры.Информация,8,FALSE),IF(Исходн.данные.!O311&gt;240,0.09*VLOOKUP(Исходн.данные.!AH311,Культуры.Информация,8,FALSE),VLOOKUP(Исходн.данные.!AH311,Культуры.Информация,6,FALSE)/100*($HB$6+$HC$6*Исходн.данные.!O311))))*Расчет2!AJ311</f>
        <v>#N/A</v>
      </c>
      <c r="HD311" s="55">
        <f>IF(Исходн.данные.!O311&gt;240,0.09,IF(Исходн.данные.!O311&lt;30,0.3,$HE$10+$HD$10*Исходн.данные.!O311))</f>
        <v>0.3</v>
      </c>
      <c r="HE311" s="55">
        <f>IF(Исходн.данные.!O311&gt;240,0.17,IF(Исходн.данные.!O311&lt;30,0.5,$HF$12+$HE$12*Исходн.данные.!O311))</f>
        <v>0.5</v>
      </c>
      <c r="HF311" s="55" t="e">
        <f>VLOOKUP(Исходн.данные.!AH311,Справ!$A$3:$D$58,2,FALSE)</f>
        <v>#N/A</v>
      </c>
      <c r="HG311" s="55" t="e">
        <f>VLOOKUP(Исходн.данные.!AH311,Справ!$A$3:$D$58,3,FALSE)</f>
        <v>#N/A</v>
      </c>
      <c r="HH311" s="55" t="e">
        <f>VLOOKUP(Исходн.данные.!AH311,Справ!$A$3:$D$58,4,FALSE)</f>
        <v>#N/A</v>
      </c>
      <c r="HI311" s="11" t="e">
        <f t="shared" si="413"/>
        <v>#N/A</v>
      </c>
      <c r="HJ311" s="11" t="e">
        <f t="shared" si="414"/>
        <v>#N/A</v>
      </c>
      <c r="HK311" s="11" t="e">
        <f t="shared" si="415"/>
        <v>#N/A</v>
      </c>
      <c r="HL311" s="55">
        <f>IF(OR(Исходн.данные.!G311="Глин",Исходн.данные.!G311="Т_суг"),1.1,IF(Исходн.данные.!G311="Ср_суг",1,1))</f>
        <v>1</v>
      </c>
      <c r="HM311" s="55">
        <f>IF(OR(Исходн.данные.!G311="Глин",Исходн.данные.!G311="Т_суг"),0.9,IF(Исходн.данные.!G311="Ср_суг",1,1.2))</f>
        <v>1.2</v>
      </c>
      <c r="HN311" s="11" t="e">
        <f t="shared" si="416"/>
        <v>#N/A</v>
      </c>
      <c r="HO311" s="11" t="e">
        <f t="shared" si="417"/>
        <v>#N/A</v>
      </c>
      <c r="HP311" s="11" t="e">
        <f t="shared" si="418"/>
        <v>#N/A</v>
      </c>
      <c r="HQ311" t="e">
        <f t="shared" si="419"/>
        <v>#N/A</v>
      </c>
      <c r="HR311" t="e">
        <f t="shared" si="420"/>
        <v>#N/A</v>
      </c>
      <c r="HS311" t="e">
        <f t="shared" si="421"/>
        <v>#N/A</v>
      </c>
      <c r="HT311" t="e">
        <f t="shared" si="367"/>
        <v>#N/A</v>
      </c>
      <c r="HU311" t="e">
        <f t="shared" si="368"/>
        <v>#N/A</v>
      </c>
      <c r="HV311" t="e">
        <f t="shared" si="369"/>
        <v>#N/A</v>
      </c>
      <c r="HW311" t="e">
        <f t="shared" si="370"/>
        <v>#N/A</v>
      </c>
      <c r="HX311" t="e">
        <f t="shared" si="371"/>
        <v>#N/A</v>
      </c>
      <c r="HY311" t="e">
        <f t="shared" si="372"/>
        <v>#N/A</v>
      </c>
      <c r="HZ311" s="55">
        <f>IF(OR(Исходн.данные.!AI311="Оз_Ч_П",Исходн.данные.!AI311="Оз_З_П",Исходн.данные.!AI311="Яр_зер"),12,30)</f>
        <v>30</v>
      </c>
      <c r="IA311" t="e">
        <f t="shared" si="422"/>
        <v>#N/A</v>
      </c>
      <c r="IB311" t="e">
        <f t="shared" si="423"/>
        <v>#N/A</v>
      </c>
      <c r="IC311" t="e">
        <f t="shared" si="424"/>
        <v>#N/A</v>
      </c>
      <c r="ID311" s="11" t="e">
        <f t="shared" si="425"/>
        <v>#N/A</v>
      </c>
      <c r="IE311" s="11" t="e">
        <f t="shared" si="426"/>
        <v>#N/A</v>
      </c>
      <c r="IF311" s="11" t="e">
        <f t="shared" si="427"/>
        <v>#N/A</v>
      </c>
    </row>
    <row r="312" spans="35:240" x14ac:dyDescent="0.2">
      <c r="AI312">
        <f>IF(Исходн.данные.!I312&gt;6,1,1.85-(0.148*Исходн.данные.!I312))</f>
        <v>1.85</v>
      </c>
      <c r="AJ312">
        <f>IF(Исходн.данные.!I312&gt;6,1,2.434-(0.246*Исходн.данные.!I312))</f>
        <v>2.4340000000000002</v>
      </c>
      <c r="AL312" s="148" t="b">
        <f>IF(Исходн.данные.!$P312="Ум",N_OrgUd_2g_um,IF(Исходн.данные.!$P312="Об",N_OrgUd_2g_ob))</f>
        <v>0</v>
      </c>
      <c r="AM312" s="148" t="b">
        <f>IF(Исходн.данные.!$P312="Ум",P_OrgUd_2g_um,IF(Исходн.данные.!$P312="Об",P_OrgUd_2g_ob))</f>
        <v>0</v>
      </c>
      <c r="AN312" s="148" t="b">
        <f>IF(Исходн.данные.!$P312="Ум",K_OrgUd_2g_um,IF(Исходн.данные.!$P312="Об",K_OrgUd_2g_ob))</f>
        <v>0</v>
      </c>
      <c r="AO312" s="148" t="b">
        <f>IF(Исходн.данные.!$P312="Ум",N_OrgUd_1g_um,IF(Исходн.данные.!$P312="Об",N_OrgUd_1g_ob))</f>
        <v>0</v>
      </c>
      <c r="AP312" s="148" t="b">
        <f>IF(Исходн.данные.!$P312="Ум",P_OrgUd_1g_um,IF(Исходн.данные.!$P312="Об",P_OrgUd_1g_ob))</f>
        <v>0</v>
      </c>
      <c r="AQ312" s="148" t="b">
        <f>IF(Исходн.данные.!$P312="Ум",K_OrgUd_1g_um,IF(Исходн.данные.!$P312="Об",K_OrgUd_1g_ob))</f>
        <v>0</v>
      </c>
      <c r="AR312" t="b">
        <f>IF(Исходн.данные.!$P312="Ум",N_MinUd_2g_um,IF(Исходн.данные.!$P312="Об",N_MinUd_2g_ob))</f>
        <v>0</v>
      </c>
      <c r="AS312" t="b">
        <f>IF(Исходн.данные.!$P312="Ум",P_MinUd_2g_um,IF(Исходн.данные.!$P312="Об",P_MinUd_2g_ob))</f>
        <v>0</v>
      </c>
      <c r="AT312" t="b">
        <f>IF(Исходн.данные.!$P312="Ум",K_MinUd_2g_um,IF(Исходн.данные.!$P312="Об",K_MinUd_2g_ob))</f>
        <v>0</v>
      </c>
      <c r="AU312" t="b">
        <f>IF(Исходн.данные.!$P312="Ум",N_MinUd_1g_um,IF(Исходн.данные.!$P312="Об",N_MinUd_1g_ob))</f>
        <v>0</v>
      </c>
      <c r="AV312" t="b">
        <f>IF(Исходн.данные.!P312="Ум",P_MinUd_1g_um,IF(Исходн.данные.!P312="Об",P_MinUd_1g_ob))</f>
        <v>0</v>
      </c>
      <c r="AW312" t="b">
        <f>IF(Исходн.данные.!P312="Ум",K_MinUd_1g_um,IF(Исходн.данные.!P312="Об",K_MinUd_1g_ob))</f>
        <v>0</v>
      </c>
      <c r="AY312" t="e">
        <f>VLOOKUP(Исходн.данные.!T312,Справ!$A$3:$N$57,12)</f>
        <v>#N/A</v>
      </c>
      <c r="AZ312" t="e">
        <f>VLOOKUP(Исходн.данные.!T312,Справ!$A$3:$N$57,13)</f>
        <v>#N/A</v>
      </c>
      <c r="BA312" t="e">
        <f>VLOOKUP(Исходн.данные.!T312,Справ!$A$3:$N$57,14)</f>
        <v>#N/A</v>
      </c>
      <c r="BB312">
        <f>IF(Исходн.данные.!AH312=0,0,25)</f>
        <v>0</v>
      </c>
      <c r="BC312" s="141">
        <f>IF(Исходн.данные.!AH312=0,0,IF(Исходн.данные.!T312=0,25,BD312))</f>
        <v>0</v>
      </c>
      <c r="BD312" s="168" t="e">
        <f>AY312+AZ312*Исходн.данные.!U312-POWER(BA312,2)*Исходн.данные.!U312</f>
        <v>#N/A</v>
      </c>
      <c r="BE31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2" s="25">
        <f>IF(Исходн.данные.!AH312=0,0,MIN(HN312:HP312))</f>
        <v>0</v>
      </c>
      <c r="BG312" s="9">
        <f>IF(Исходн.данные.!AH312=0,0,IF((HO312+10*0.25/HG312/HL312)&lt;17,17,HO312+10*0.25/HG312/HL312))</f>
        <v>0</v>
      </c>
      <c r="BH312" s="181">
        <f>IF(Исходн.данные.!AH312=0,0,HW312*HF312*HL312/AU312*AI312+Исходн.данные.!S312*10)</f>
        <v>0</v>
      </c>
      <c r="BI312" s="10"/>
      <c r="BJ312" s="182">
        <f>IF(Исходн.данные.!AH312=0,0,IF(HX312*HG312*HL312/AV312&lt;0,0,HX312*HG312*HL312/AV312*AJ312))</f>
        <v>0</v>
      </c>
      <c r="BK312" s="182">
        <f>IF(Исходн.данные.!AH312=0,0,HY312*HH312*HM312/AW312)</f>
        <v>0</v>
      </c>
      <c r="BL312" s="10">
        <f>IF(OR(Исходн.данные.!$AH312=$BP$1,Исходн.данные.!$AH312=$BP$2),0,IF(BH312&lt;0,0,IF(OR(Исходн.данные.!T312=Расчет!$BP$1,Исходн.данные.!T312=Расчет!$BP$2,Исходн.данные.!T312=Расчет!$BT$5,Исходн.данные.!T312=Расчет!$BT$6),BH312*0.5,IF(OR(Исходн.данные.!T312=Расчет!$BS$9,Исходн.данные.!T312=Расчет!$BS$10,Исходн.данные.!T312=Расчет!$BS$11,Исходн.данные.!T312=Расчет!$BS$12,Исходн.данные.!T312=Расчет!$BP$5),BH312*0.8,BH312))))</f>
        <v>0</v>
      </c>
      <c r="BM312" s="10">
        <f>IF(OR(Исходн.данные.!$AH312=$BP$1,Исходн.данные.!$AH312=$BP$2),0,IF(BJ312&lt;0,0,IF(Исходн.данные.!I312&lt;4.5,BJ312*1.2,IF(Исходн.данные.!I312&gt;5.1,BJ312,BJ312*((5.1-Исходн.данные.!I312)*0.333+1)))))</f>
        <v>0</v>
      </c>
      <c r="BN312" s="10">
        <f>IF(OR(Исходн.данные.!$AH312=$BP$1,Исходн.данные.!$AH312=$BP$2),60-Исходн.данные.!AF312,IF(BK312&lt;0,0,IF(Исходн.данные.!I312&lt;4.5,BK312*1.2,IF(Исходн.данные.!I312&gt;5.1,BK312,BK312*((5.1-Исходн.данные.!I312)*0.333+1)))))</f>
        <v>0</v>
      </c>
      <c r="BO312" s="9">
        <f>IF(BL312&lt;0,0,BL312*Исходн.данные.!$AJ312/1000)</f>
        <v>0</v>
      </c>
      <c r="BP312" s="9">
        <f>IF(BM312&lt;0,0,BM312*Исходн.данные.!$AJ312/1000)</f>
        <v>0</v>
      </c>
      <c r="BQ312" s="9">
        <f>IF(BN312&lt;0,0,BN312*Исходн.данные.!$AJ312/1000)</f>
        <v>0</v>
      </c>
      <c r="BR312" s="9">
        <f t="shared" si="377"/>
        <v>0</v>
      </c>
      <c r="BS312" s="10" t="str">
        <f t="shared" si="378"/>
        <v>Аммофос 12:52:00</v>
      </c>
      <c r="BT312" s="10" t="str">
        <f t="shared" si="379"/>
        <v>Аммофос 12:52:00</v>
      </c>
      <c r="BU312" s="10" t="str">
        <f t="shared" si="380"/>
        <v>Диаммофоска</v>
      </c>
      <c r="BV312" s="10">
        <f t="shared" si="381"/>
        <v>0</v>
      </c>
      <c r="BW312" s="10"/>
      <c r="BX312" s="10"/>
      <c r="BY312" s="9">
        <f>IF(BL312&lt;0,0,IF(OR(Исходн.данные.!AI312=Расчет!$BU$6,Исходн.данные.!AI312=Расчет!$BU$7),Расчет!BV312,IF(Исходн.данные.!$AG312=$BV$11,BL312,IF(OR(Исходн.данные.!$AH312=$BQ$7,Исходн.данные.!$AH312=$BQ$8),CB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0,IF(Исходн.данные.!$AI312=$BU$11,"Нет",IF(BL312&gt;30,30,BL312)))))))</f>
        <v>0</v>
      </c>
      <c r="BZ312" s="9">
        <f>IF(AND(Исходн.данные.!$AG312=$BV$11,BM312&lt;10),10,IF(Исходн.данные.!$AG312=$BV$11,BM312,IF(OR(Исходн.данные.!$AH312=$BQ$7,Исходн.данные.!$AH312=$BQ$8),CC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10,IF(Исходн.данные.!$AI312=$BU$11,"Нет",IF(BM312&gt;60,60,IF(BM312&lt;10,10,BM312)))))))</f>
        <v>10</v>
      </c>
      <c r="CA312" s="39">
        <f>IF(BN312&lt;0,0,IF(Исходн.данные.!$AG312=$BV$11,BN312,IF(OR(Исходн.данные.!$AH312=$BQ$7,Исходн.данные.!$AH312=$BQ$8),CD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0,IF(Исходн.данные.!$AI312=$BU$11,"Нет",IF(BN312&gt;30,30,BN312))))))</f>
        <v>0</v>
      </c>
      <c r="CB312" s="9">
        <f t="shared" si="382"/>
        <v>0</v>
      </c>
      <c r="CC312" s="9">
        <f t="shared" si="383"/>
        <v>0</v>
      </c>
      <c r="CD312" s="9">
        <f t="shared" si="384"/>
        <v>0</v>
      </c>
      <c r="CE312" s="12">
        <f t="shared" si="385"/>
        <v>10</v>
      </c>
      <c r="CF312" s="9">
        <f t="shared" si="386"/>
        <v>0</v>
      </c>
      <c r="CG312" s="9" t="s">
        <v>231</v>
      </c>
      <c r="CH312" s="132" t="str">
        <f>IF(Исходн.данные.!AP312=Расчет!$CI$16,"Нет",IF(Исходн.данные.!AL312&gt;0,Исходн.данные.!AL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BH$4,IF(OR(Исходн.данные.!AI312=Исходн.данные.!$AI$6,Исходн.данные.!AI312=Исходн.данные.!$AI$7),Расчет!BS312,IF(AND($CF312=0,$CE312&gt;0),EV312,ER312)))))</f>
        <v>Аммофос 12:52:00</v>
      </c>
      <c r="CI312" s="274">
        <f>IF(Расчет!$CH312="Нет","Нет",IF(Исходн.данные.!$AL312&gt;0,VLOOKUP(Расчет!$CH312,АшламаДВ_Irekle,2,FALSE),VLOOKUP(Расчет!$CH312,АшламаДВ_Gomumy,2,FALSE)))</f>
        <v>0.12</v>
      </c>
      <c r="CJ312" s="274">
        <f>IF(Расчет!$CH312="Нет","Нет",IF(Исходн.данные.!$AL312&gt;0,VLOOKUP(Расчет!$CH312,АшламаДВ_Irekle,3,FALSE),VLOOKUP(Расчет!$CH312,АшламаДВ_Gomumy,3,FALSE)))</f>
        <v>0.52</v>
      </c>
      <c r="CK312" s="274">
        <f>IF(Расчет!$CH312="Нет","Нет",IF(Исходн.данные.!$AL312&gt;0,VLOOKUP(Расчет!$CH312,АшламаДВ_Irekle,4,FALSE),VLOOKUP(Расчет!$CH312,АшламаДВ_Gomumy,4,FALSE)))</f>
        <v>0</v>
      </c>
      <c r="CL312" s="70"/>
      <c r="CM312" s="70"/>
      <c r="CN312" s="70"/>
      <c r="CO312" s="70"/>
      <c r="CP312" s="70"/>
      <c r="CQ312" s="70"/>
      <c r="CR312" s="10">
        <f t="shared" si="387"/>
        <v>0</v>
      </c>
      <c r="CS312" s="10">
        <f t="shared" si="388"/>
        <v>19.23076923076923</v>
      </c>
      <c r="CT312" s="10">
        <f t="shared" si="389"/>
        <v>0</v>
      </c>
      <c r="CU312" s="39">
        <f>IF($CH312="Нет",0,IF(CI312=0,30/MIN(CJ312:CK312),IF(Исходн.данные.!$AG312=$BV$11,CR312,IF(OR(Исходн.данные.!$AH312=$BQ$7,Исходн.данные.!$AH312=$BQ$8),90/CI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0,IF(Исходн.данные.!$AI312=$BU$11,"Нет",30/CI312))))))</f>
        <v>250</v>
      </c>
      <c r="CV312" s="39">
        <f>IF($CH312="Нет",0,IF(Исходн.данные.!AH312=0,0,IF(CJ312=0,60/MIN(CI312,CK312),IF(Исходн.данные.!$AG312=$BV$11,CS312,IF(OR(Исходн.данные.!$AH312=$BQ$7,Исходн.данные.!$AH312=$BQ$8),90/CJ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10/CJ312,IF(Исходн.данные.!$AI312=$BU$11,"Нет",60/CJ312)))))))</f>
        <v>0</v>
      </c>
      <c r="CW312" s="39">
        <f>IF($CH312="Нет",0,IF(Исходн.данные.!AH312=0,0,IF(CK312=0,30/MIN(CI312:CJ312),IF(Исходн.данные.!$AG312=$BV$11,CT312,IF(OR(Исходн.данные.!$AH312=$BQ$7,Исходн.данные.!$AH312=$BQ$8),90/CK312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0,IF(Исходн.данные.!$AI312=$BU$11,"Нет",30/CK312)))))))</f>
        <v>0</v>
      </c>
      <c r="CX312" s="133">
        <f>IF(Исходн.данные.!$AG312=$BV$11,MAX(CU312:CW312),IF(OR(Исходн.данные.!$AH312=$BS$8,Исходн.данные.!$AH312=$BQ$9,Исходн.данные.!$AH312=$BQ$10,Исходн.данные.!$AH312=$BQ$11,Исходн.данные.!$AH312=$BQ$12,Исходн.данные.!$AH312=$BP$3,Исходн.данные.!$AH312=$BT$8,$FM312="Да"),CV312,MIN(CU312:CW312)))</f>
        <v>0</v>
      </c>
      <c r="CY312" s="133">
        <f>IF(Исходн.данные.!AH312=0,0,IF(CR312&gt;$CX312,$CX312,CR312))</f>
        <v>0</v>
      </c>
      <c r="CZ312" s="133">
        <f>IF(Исходн.данные.!AH312=0,0,IF(CS312&gt;$CX312,$CX312,CS312))</f>
        <v>0</v>
      </c>
      <c r="DA312" s="133">
        <f>IF(Исходн.данные.!AH312=0,0,IF(CT312&gt;$CX312,$CX312,CT312))</f>
        <v>0</v>
      </c>
      <c r="DB312" s="10">
        <f t="shared" si="390"/>
        <v>0</v>
      </c>
      <c r="DC312" s="39">
        <f>DB312*Исходн.данные.!AJ312/1000</f>
        <v>0</v>
      </c>
      <c r="DD312" s="71">
        <f t="shared" si="391"/>
        <v>0</v>
      </c>
      <c r="DE312" s="9">
        <f t="shared" si="392"/>
        <v>0</v>
      </c>
      <c r="DF312" s="9">
        <f t="shared" si="393"/>
        <v>0</v>
      </c>
      <c r="DG312" s="39">
        <f>IF(BL312&lt;0,0,IF($CH312="Нет",BL312,IF(OR(Исходн.данные.!$AH312=$BP$1,Исходн.данные.!$AH312=$BP$2),0,IF(Исходн.данные.!AI312=$BU$11,BL312,IF(BL312-DD312&lt;0,0,BL312-DD312)))))</f>
        <v>0</v>
      </c>
      <c r="DH312" s="39">
        <f>IF(BM312&lt;0,0,IF($CH312="Нет",BM312,IF(OR(Исходн.данные.!$AH312=$BP$1,Исходн.данные.!$AH312=$BP$2),0,IF(Исходн.данные.!AJ312=$BU$11,BM312,IF(BM312-DE312&lt;0,0,BM312-DE312)))))</f>
        <v>0</v>
      </c>
      <c r="DI312" s="39">
        <f>IF(BN312&lt;0,0,IF($CH312="Нет",BN312,IF(OR(Исходн.данные.!$AH312=$BP$1,Исходн.данные.!$AH312=$BP$2),0,IF(Исходн.данные.!AK312=$BU$11,BN312,IF(BN312-DF312&lt;0,0,BN312-DF312)))))</f>
        <v>0</v>
      </c>
      <c r="DJ312" s="12">
        <f t="shared" si="394"/>
        <v>0</v>
      </c>
      <c r="DK312" s="9">
        <f t="shared" si="395"/>
        <v>0</v>
      </c>
      <c r="DL312" s="39">
        <f>IF(Исходн.данные.!AM312&gt;0,Исходн.данные.!AM312,IF(EG312&gt;0,$BH$10,0))</f>
        <v>0</v>
      </c>
      <c r="DM312" s="186">
        <f>IF($DL312=0,0,IF(Исходн.данные.!AM312&gt;0,VLOOKUP($DL312,АшламаДВ_Irekle,2,FALSE),VLOOKUP($DL312,АшламаДВ_Gomumy,2,FALSE)))</f>
        <v>0</v>
      </c>
      <c r="DN312" s="10">
        <f t="shared" si="373"/>
        <v>0</v>
      </c>
      <c r="DO312" s="9" t="str">
        <f>IF(Исходн.данные.!AN312&gt;0,Исходн.данные.!AN312,Удобрения!$B$37 )</f>
        <v>Хлор.калий</v>
      </c>
      <c r="DP312" s="9">
        <f>IF(Исходн.данные.!AN312&gt;0,VLOOKUP(Исходн.данные.!AN312,АшламаДВ_Irekle,4,FALSE),VLOOKUP(DO312,АшламаДВ_Gomumy,4,FALSE))</f>
        <v>0.6</v>
      </c>
      <c r="DQ312" s="10">
        <f t="shared" si="374"/>
        <v>0</v>
      </c>
      <c r="DR312" s="132" t="str">
        <f>IF(Исходн.данные.!AO312&gt;0,Исходн.данные.!AO312,IF(DH312=0,BS$17,IF(AND($DK312=0,$DJ312&gt;0),EJ312,EN312)))</f>
        <v>Нет</v>
      </c>
      <c r="DS312" s="70" t="str">
        <f>IF($DR312="Нет","Нет",IF(Исходн.данные.!$AO312&gt;0,VLOOKUP($DR312,АшламаДВ_Irekle,2,FALSE),VLOOKUP($DR312,АшламаДВ_Gomumy,2,FALSE)))</f>
        <v>Нет</v>
      </c>
      <c r="DT312" s="70" t="str">
        <f>IF($DR312="Нет","Нет",IF(Исходн.данные.!$AO312&gt;0,VLOOKUP($DR312,АшламаДВ_Irekle,3,FALSE),VLOOKUP($DR312,АшламаДВ_Gomumy,3,FALSE)))</f>
        <v>Нет</v>
      </c>
      <c r="DU312" s="70" t="str">
        <f>IF($DR312="Нет","Нет",IF(Исходн.данные.!$AO312&gt;0,VLOOKUP($DR312,АшламаДВ_Irekle,4,FALSE),VLOOKUP($DR312,АшламаДВ_Gomumy,4,FALSE)))</f>
        <v>Нет</v>
      </c>
      <c r="DV312" s="70"/>
      <c r="DW312" s="70"/>
      <c r="DX312" s="70"/>
      <c r="DY312" s="10">
        <f t="shared" si="396"/>
        <v>0</v>
      </c>
      <c r="DZ312" s="10">
        <f t="shared" si="397"/>
        <v>0</v>
      </c>
      <c r="EA312" s="10">
        <f t="shared" si="398"/>
        <v>0</v>
      </c>
      <c r="EB312" s="10">
        <f t="shared" si="399"/>
        <v>0</v>
      </c>
      <c r="EC312" s="10">
        <f t="shared" si="400"/>
        <v>0</v>
      </c>
      <c r="ED312" s="10">
        <f t="shared" si="401"/>
        <v>0</v>
      </c>
      <c r="EE312" s="10">
        <f t="shared" si="402"/>
        <v>0</v>
      </c>
      <c r="EF312" s="39">
        <f>EB312*Исходн.данные.!AJ312/1000</f>
        <v>0</v>
      </c>
      <c r="EG312" s="9">
        <f t="shared" si="403"/>
        <v>0</v>
      </c>
      <c r="EH312" s="9">
        <f t="shared" si="404"/>
        <v>0</v>
      </c>
      <c r="EI312" s="39" t="e">
        <f t="shared" si="354"/>
        <v>#DIV/0!</v>
      </c>
      <c r="EJ312" s="9" t="str">
        <f t="shared" si="375"/>
        <v>Азопреципитат</v>
      </c>
      <c r="EK312" s="12">
        <f t="shared" si="355"/>
        <v>0.26</v>
      </c>
      <c r="EL312" s="12">
        <f t="shared" si="356"/>
        <v>0.13</v>
      </c>
      <c r="EM312" s="12">
        <f t="shared" si="357"/>
        <v>0</v>
      </c>
      <c r="EN312" s="12" t="str">
        <f t="shared" si="376"/>
        <v>Нет</v>
      </c>
      <c r="EO312" s="12">
        <f t="shared" si="358"/>
        <v>0</v>
      </c>
      <c r="EP312" s="12">
        <f t="shared" si="359"/>
        <v>0</v>
      </c>
      <c r="EQ312" s="12">
        <f t="shared" si="360"/>
        <v>0</v>
      </c>
      <c r="ER312" s="12" t="str">
        <f t="shared" si="405"/>
        <v>Диаммофоска</v>
      </c>
      <c r="ES312" s="12">
        <f t="shared" si="361"/>
        <v>0.1</v>
      </c>
      <c r="ET312" s="12">
        <f t="shared" si="362"/>
        <v>0.26</v>
      </c>
      <c r="EU312" s="12">
        <f t="shared" si="363"/>
        <v>0.26</v>
      </c>
      <c r="EV312" s="12" t="str">
        <f t="shared" si="406"/>
        <v>Аммофос 12:52:00</v>
      </c>
      <c r="EW312" s="12" t="str">
        <f t="shared" si="407"/>
        <v>Кемира Свекловичное-6</v>
      </c>
      <c r="EX312" s="12">
        <f t="shared" si="364"/>
        <v>0.16</v>
      </c>
      <c r="EY312" s="12">
        <f t="shared" si="365"/>
        <v>0.12</v>
      </c>
      <c r="EZ312" s="12">
        <f t="shared" si="366"/>
        <v>0.17</v>
      </c>
      <c r="FA312" s="38" t="e">
        <f>IF(AND(OR(FJ312=$FD$1,FM312=$FD$1,FO312=$FD$1,FQ312=$FD$1,FS312=$FD$1),FD312=$FD$1,Исходн.данные.!J312&lt;2,FU312=$FD$1),"Бор,Кобальт",IF(AND(FO312=$FD$1,FH312=$FD$1,Исходн.данные.!J312&lt;2,FU312=$FD$1),"Бор,Кобальт",IF(AND(OR(FJ312=$FD$1,FM312=$FD$1,FQ312=$FD$1),FE312=$FD$1,Исходн.данные.!J312&lt;2,FT312=$FD$1,FU312=$FD$1),"Бор,Медь,Цинк",IF(AND(OR(FJ312=$FD$1,FR312="Да"),FI312="Да",Исходн.данные.!J312&lt;2,FT312="Да",FU312="Да"),"Бор,Цинк,Медь",IF(AND(OR(FM312="Да",FQ312="Да"),FI312="Да",Исходн.данные.!J312&lt;2,FT312="Да",FU312="Да"),"Бор,Цинк",IF(AND(FN312="Да",OR(FD312="Да",FE312="Да")),"Бор",FB312))))))</f>
        <v>#N/A</v>
      </c>
      <c r="FB312" s="134" t="e">
        <f>IF(AND(OR(FD312="Да",FE312="Да",FF312="Да",FG312="Да",FH312="Да"),FO312="Да"),"Бор",IF(AND(FP312="Да",OR(FD312="Да",FE312="Да",FI312="Да")),"Бор",IF(AND(FS312="Да",FE312="Да"),"Бор,Медь",IF(AND(OR(FJ312="Да",FK312="Да",FL312="Да"),FE312="Да",Исходн.данные.!I312&lt;5,FT312="Да",FU312="Да"),"Молибден,Цинк",IF(AND(FM312="Да",OR(FE312="Да",FF312="Да",FG312="Да",FH312="Да",FI312="Да")),"Молибден,Цинк",IF(AND(OR(FJ312="Да",FK312="Да",FL312="Да",FM312="Да",FQ312="Да"),OR(FE312="Да",FF312="Да"),FT312="Да",FU312="Да",Исходн.данные.!I312&gt;5.5),"Медь,Цинк",FC312))))))</f>
        <v>#N/A</v>
      </c>
      <c r="FC312" s="23" t="e">
        <f t="shared" si="408"/>
        <v>#N/A</v>
      </c>
      <c r="FD312" s="38" t="str">
        <f>IF(OR(Исходн.данные.!F312=$CC$1,Исходн.данные.!F312=$CC$2,Исходн.данные.!F312=$CC$3,Исходн.данные.!F312=$CC$4),"Да","Нет")</f>
        <v>Нет</v>
      </c>
      <c r="FE312" s="38" t="str">
        <f>IF(Исходн.данные.!F312=$CC$5,"Да","Нет")</f>
        <v>Нет</v>
      </c>
      <c r="FF312" s="38" t="str">
        <f>IF(OR(Исходн.данные.!F312=$CC$6,Исходн.данные.!F312=$CC$7),"Да","Нет")</f>
        <v>Нет</v>
      </c>
      <c r="FG312" s="38" t="str">
        <f>IF(OR(Исходн.данные.!F312=$CC$8,Исходн.данные.!F312=$CC$9),"Да","Нет")</f>
        <v>Нет</v>
      </c>
      <c r="FH312" s="38" t="str">
        <f>IF(Исходн.данные.!F312=$CC$10,"Да","Нет")</f>
        <v>Нет</v>
      </c>
      <c r="FI312" s="38" t="str">
        <f>IF(OR(Исходн.данные.!F312=$CC$11,Исходн.данные.!F312=$CC$12),"Да","Нет")</f>
        <v>Нет</v>
      </c>
      <c r="FJ312" s="38" t="str">
        <f>IF(OR(Исходн.данные.!AH312=$BS$1,Исходн.данные.!AH312=$BQ$11,Исходн.данные.!AH312=$BQ$12),"Да","Нет")</f>
        <v>Нет</v>
      </c>
      <c r="FK312" s="38" t="str">
        <f>IF(OR(Исходн.данные.!AH312=$BS$2,Исходн.данные.!AH312=$BS$4),"Да","Нет")</f>
        <v>Нет</v>
      </c>
      <c r="FL312" s="38" t="str">
        <f>IF(OR(Исходн.данные.!AH312=$BS$3,Исходн.данные.!AH312=$BS$5),"Да","Нет")</f>
        <v>Нет</v>
      </c>
      <c r="FM312" s="38" t="str">
        <f>IF(OR(Исходн.данные.!AH312=$BS$9,Исходн.данные.!AH312=$BS$10,Исходн.данные.!AH312=$BS$11,Исходн.данные.!AH312=$BS$12),"Да","Нет")</f>
        <v>Нет</v>
      </c>
      <c r="FN312" s="38" t="str">
        <f>IF(OR(Исходн.данные.!AH312=$BS$6,Исходн.данные.!AH312=$BP$3),"Да","Нет")</f>
        <v>Нет</v>
      </c>
      <c r="FO312" s="38" t="str">
        <f>IF(Исходн.данные.!AH312=$BQ$9,"Да","Нет")</f>
        <v>Нет</v>
      </c>
      <c r="FP312" s="38" t="str">
        <f>IF(OR(Исходн.данные.!AH312=$BS$8,Исходн.данные.!AH312=$BT$8),"Да","Нет")</f>
        <v>Нет</v>
      </c>
      <c r="FQ312" s="38" t="str">
        <f>IF(OR(Исходн.данные.!AH312=$BQ$7,Исходн.данные.!AH312=$BQ$8),"Да","Нет")</f>
        <v>Нет</v>
      </c>
      <c r="FR312" s="38" t="str">
        <f>IF(Исходн.данные.!AI312=$BU$9,"Да","Нет")</f>
        <v>Нет</v>
      </c>
      <c r="FS312" s="38" t="str">
        <f>IF(OR(Исходн.данные.!AH312=$BP$1,Исходн.данные.!AH312=$BP$2),"Да","Нет")</f>
        <v>Нет</v>
      </c>
      <c r="FT312" s="38" t="e">
        <f>IF((Исходн.данные.!K312*GO312*GS312*GW312+BL312*0.6+Исходн.данные.!Q312*4.5*0.275)&gt;90,"Да","Нет")</f>
        <v>#N/A</v>
      </c>
      <c r="FU312" s="38" t="e">
        <f>IF((Исходн.данные.!M312*GS312*GZ312+BM312*0.225)&gt;35,"Да","Нет")</f>
        <v>#N/A</v>
      </c>
      <c r="FV312" s="38" t="str">
        <f>IF(Исходн.данные.!O312&gt;175,"Да","Нет")</f>
        <v>Нет</v>
      </c>
      <c r="FW312" s="39" t="str">
        <f>IF(Исходн.данные.!I312&gt;5.5,"Да","Нет")</f>
        <v>Нет</v>
      </c>
      <c r="FX312" s="39" t="str">
        <f>IF(Исходн.данные.!J312&lt;2,"Да","Нет")</f>
        <v>Да</v>
      </c>
      <c r="FY312" s="39" t="e">
        <f>IF(HF312=$FY$16,0,Исходн.данные.!K312*GO312*GS312*GW312/HF312)</f>
        <v>#N/A</v>
      </c>
      <c r="FZ312" s="39" t="e">
        <f>Исходн.данные.!M312*GS312*GZ312/HG312</f>
        <v>#N/A</v>
      </c>
      <c r="GA312" s="39" t="e">
        <f>IF(K_Wyn=$FY$16,0,IF(Исходн.данные.!N312=Исходн.данные.!$L$10,Исходн.данные.!O312/1.1*GS312*HC312/HH312,IF(Исходн.данные.!N312=Исходн.данные.!$L$12,Исходн.данные.!O312/1.5*GS312*HC312/HH312,Исходн.данные.!O312*GS312*HC312/HH312)))</f>
        <v>#N/A</v>
      </c>
      <c r="GB312" s="39" t="e">
        <f>IF(HF312=$FY$16,0,((Исходн.данные.!Q312*N_Org+Исходн.данные.!R312*N_Sider+Исходн.данные.!S312*N_Soloma)*AO312+Расчет!BC312*VLOOKUP(Исходн.данные.!T312,Справ!$A$3:$O$57,15)*AO312+BB312*VLOOKUP(Исходн.данные.!T312,Справ!$A$3:$O$57,15)*AL312+(Исходн.данные.!V312*N_Rizotorf+Исходн.данные.!W312*N_Rizoagr))/HF312)</f>
        <v>#N/A</v>
      </c>
      <c r="GC312" s="39" t="e">
        <f>IF(HG312=$FY$16,0,((Исходн.данные.!Q312*Р_Org+Исходн.данные.!R312*P_Sider+Исходн.данные.!S312*P_Soloma)*AP312+Расчет!BC312*VLOOKUP(Исходн.данные.!T312,Справ!$A$3:$P$57,16)*AP312+BB312*VLOOKUP(Исходн.данные.!T312,Справ!$A$3:$P$57,16)*AM312)/HG312)</f>
        <v>#N/A</v>
      </c>
      <c r="GD312" s="39" t="e">
        <f>IF(HH312=$FY$16,0,((Исходн.данные.!Q312*К_Org+Исходн.данные.!R312*K_Sider+Исходн.данные.!S312*K_Soloma)*AQ312+Расчет!BC312*VLOOKUP(Исходн.данные.!T312,Справ!$A$3:$Q$57,17)*AQ312+BB312*VLOOKUP(Исходн.данные.!T312,Справ!$A$3:$Q$57,17)*AN312)/HH312)</f>
        <v>#N/A</v>
      </c>
      <c r="GE312" s="39" t="e">
        <f>IF(HF312=$FY$16,0,(Исходн.данные.!X312*AR312+Исходн.данные.!AA312*N_Org*AL312+Исходн.данные.!AB312*N_Sider*AL312+Исходн.данные.!AC312*N_Soloma*AL312)/HF312)</f>
        <v>#N/A</v>
      </c>
      <c r="GF312" s="39" t="e">
        <f>IF(HG312=$FY$16,0,(Исходн.данные.!Y312*AS312+Исходн.данные.!AA312*Р_Org*AM312+Исходн.данные.!AB312*P_Sider*AM312+Исходн.данные.!AC312*P_Soloma*AM312)/HG312)</f>
        <v>#N/A</v>
      </c>
      <c r="GG312" s="39" t="e">
        <f>IF(HH312=$FY$16,0,(Исходн.данные.!Z312*AT312+Исходн.данные.!AA312*К_Org*AN312+Исходн.данные.!AB312*K_Sider*AN312+Исходн.данные.!AC312*K_Soloma*AN312)/HH312)</f>
        <v>#N/A</v>
      </c>
      <c r="GH312" s="39" t="e">
        <f>Исходн.данные.!AD312*AU312/HF312</f>
        <v>#N/A</v>
      </c>
      <c r="GI312" s="39" t="e">
        <f>Исходн.данные.!AE312*AV312/HG312</f>
        <v>#N/A</v>
      </c>
      <c r="GJ312" s="39" t="e">
        <f>Исходн.данные.!AF312*AW312/HH312</f>
        <v>#N/A</v>
      </c>
      <c r="GK312" s="55">
        <f>Исходн.данные.!AK312</f>
        <v>0</v>
      </c>
      <c r="GL312" s="11" t="e">
        <f t="shared" si="409"/>
        <v>#N/A</v>
      </c>
      <c r="GM312" s="11" t="e">
        <f t="shared" si="410"/>
        <v>#N/A</v>
      </c>
      <c r="GN312" s="11" t="e">
        <f t="shared" si="411"/>
        <v>#N/A</v>
      </c>
      <c r="GO312" s="57">
        <f t="shared" si="412"/>
        <v>19</v>
      </c>
      <c r="GP312" s="55">
        <f>IF(OR(Исходн.данные.!F312=$CE$1,Исходн.данные.!F312=$CE$2,Исходн.данные.!F312=$CE$3,Исходн.данные.!F312=$CE$4,Исходн.данные.!F312=$CE$5),GQ312,GR312)</f>
        <v>19</v>
      </c>
      <c r="GQ312" s="55">
        <f>IF(Исходн.данные.!F312=$CE$1,28,IF(Исходн.данные.!F312=$CE$2,26,IF(Исходн.данные.!F312=$CE$3,24,IF(Исходн.данные.!F312=$CE$4,22,IF(Исходн.данные.!F312=$CE$5,20,GR312)))))</f>
        <v>19</v>
      </c>
      <c r="GR312" s="55">
        <f>IF(Исходн.данные.!F312=$CE$6,18,IF(Исходн.данные.!F312=$CE$7,16,IF(Исходн.данные.!F312=$CE$8,14,IF(Исходн.данные.!F312=$CE$9,13,IF(Исходн.данные.!F312=$CE$10,12,19)))))</f>
        <v>19</v>
      </c>
      <c r="GS312" s="55">
        <f>IF(Исходн.данные.!G312="Пес",0.035*(40+2*Исходн.данные.!H312),IF(Исходн.данные.!G312="Суп",0.0325*(40+2*Исходн.данные.!H312),0.03*(40+2*Исходн.данные.!H312)))</f>
        <v>1.2</v>
      </c>
      <c r="GT312" s="55">
        <f>IF(Исходн.данные.!H312&lt;23,2.6,IF(AND(Исходн.данные.!H312&gt;22,Исходн.данные.!H312&lt;26),3,IF(AND(Исходн.данные.!H312&gt;25,Исходн.данные.!H312&lt;29),3.4,3.6)))</f>
        <v>2.6</v>
      </c>
      <c r="GU312" s="55">
        <f>IF(Исходн.данные.!H312&lt;23,2.8,IF(AND(Исходн.данные.!H312&gt;22,Исходн.данные.!H312&lt;26),3.2,IF(AND(Исходн.данные.!H312&gt;25,Исходн.данные.!H312&lt;29),3.6,3.9)))</f>
        <v>2.8</v>
      </c>
      <c r="GV312" s="55">
        <f>IF(Исходн.данные.!H312&lt;23,3,IF(AND(Исходн.данные.!H312&gt;22,Исходн.данные.!H312&lt;26),3.5,IF(AND(Исходн.данные.!H312&gt;25,Исходн.данные.!H312&lt;29),3.9,4.2)))</f>
        <v>3</v>
      </c>
      <c r="GW312" s="55" t="e">
        <f>IF(Исходн.данные.!P312="Ум",GX312,GY312)</f>
        <v>#N/A</v>
      </c>
      <c r="GX312" s="55" t="e">
        <f>VLOOKUP(Исходн.данные.!AI312,Коэффициенты!$J$7:$L$13,2,FALSE)</f>
        <v>#N/A</v>
      </c>
      <c r="GY312" s="55" t="e">
        <f>VLOOKUP(Исходн.данные.!AI312,Коэффициенты!$J$7:$L$13,3,FALSE)</f>
        <v>#N/A</v>
      </c>
      <c r="GZ312" s="55" t="e">
        <f>(IF(Исходн.данные.!M312&lt;50,0.11*VLOOKUP(Исходн.данные.!AH312,Культуры.Информация,7,FALSE),IF(Исходн.данные.!M312&gt;250,0.05*VLOOKUP(Исходн.данные.!AH312,Культуры.Информация,7,FALSE),VLOOKUP(Исходн.данные.!AH312,Культуры.Информация,5,FALSE)/100*($GX$6+$GY$6*Исходн.данные.!M312))))*Расчет2!AI312</f>
        <v>#N/A</v>
      </c>
      <c r="HA312" s="211"/>
      <c r="HB312" s="211"/>
      <c r="HC312" s="55" t="e">
        <f>(IF(Исходн.данные.!O312&lt;80,0.2*VLOOKUP(Исходн.данные.!AH312,Культуры.Информация,8,FALSE),IF(Исходн.данные.!O312&gt;240,0.09*VLOOKUP(Исходн.данные.!AH312,Культуры.Информация,8,FALSE),VLOOKUP(Исходн.данные.!AH312,Культуры.Информация,6,FALSE)/100*($HB$6+$HC$6*Исходн.данные.!O312))))*Расчет2!AJ312</f>
        <v>#N/A</v>
      </c>
      <c r="HD312" s="55">
        <f>IF(Исходн.данные.!O312&gt;240,0.09,IF(Исходн.данные.!O312&lt;30,0.3,$HE$10+$HD$10*Исходн.данные.!O312))</f>
        <v>0.3</v>
      </c>
      <c r="HE312" s="55">
        <f>IF(Исходн.данные.!O312&gt;240,0.17,IF(Исходн.данные.!O312&lt;30,0.5,$HF$12+$HE$12*Исходн.данные.!O312))</f>
        <v>0.5</v>
      </c>
      <c r="HF312" s="55" t="e">
        <f>VLOOKUP(Исходн.данные.!AH312,Справ!$A$3:$D$58,2,FALSE)</f>
        <v>#N/A</v>
      </c>
      <c r="HG312" s="55" t="e">
        <f>VLOOKUP(Исходн.данные.!AH312,Справ!$A$3:$D$58,3,FALSE)</f>
        <v>#N/A</v>
      </c>
      <c r="HH312" s="55" t="e">
        <f>VLOOKUP(Исходн.данные.!AH312,Справ!$A$3:$D$58,4,FALSE)</f>
        <v>#N/A</v>
      </c>
      <c r="HI312" s="11" t="e">
        <f t="shared" si="413"/>
        <v>#N/A</v>
      </c>
      <c r="HJ312" s="11" t="e">
        <f t="shared" si="414"/>
        <v>#N/A</v>
      </c>
      <c r="HK312" s="11" t="e">
        <f t="shared" si="415"/>
        <v>#N/A</v>
      </c>
      <c r="HL312" s="55">
        <f>IF(OR(Исходн.данные.!G312="Глин",Исходн.данные.!G312="Т_суг"),1.1,IF(Исходн.данные.!G312="Ср_суг",1,1))</f>
        <v>1</v>
      </c>
      <c r="HM312" s="55">
        <f>IF(OR(Исходн.данные.!G312="Глин",Исходн.данные.!G312="Т_суг"),0.9,IF(Исходн.данные.!G312="Ср_суг",1,1.2))</f>
        <v>1.2</v>
      </c>
      <c r="HN312" s="11" t="e">
        <f t="shared" si="416"/>
        <v>#N/A</v>
      </c>
      <c r="HO312" s="11" t="e">
        <f t="shared" si="417"/>
        <v>#N/A</v>
      </c>
      <c r="HP312" s="11" t="e">
        <f t="shared" si="418"/>
        <v>#N/A</v>
      </c>
      <c r="HQ312" t="e">
        <f t="shared" si="419"/>
        <v>#N/A</v>
      </c>
      <c r="HR312" t="e">
        <f t="shared" si="420"/>
        <v>#N/A</v>
      </c>
      <c r="HS312" t="e">
        <f t="shared" si="421"/>
        <v>#N/A</v>
      </c>
      <c r="HT312" t="e">
        <f t="shared" si="367"/>
        <v>#N/A</v>
      </c>
      <c r="HU312" t="e">
        <f t="shared" si="368"/>
        <v>#N/A</v>
      </c>
      <c r="HV312" t="e">
        <f t="shared" si="369"/>
        <v>#N/A</v>
      </c>
      <c r="HW312" t="e">
        <f t="shared" si="370"/>
        <v>#N/A</v>
      </c>
      <c r="HX312" t="e">
        <f t="shared" si="371"/>
        <v>#N/A</v>
      </c>
      <c r="HY312" t="e">
        <f t="shared" si="372"/>
        <v>#N/A</v>
      </c>
      <c r="HZ312" s="55">
        <f>IF(OR(Исходн.данные.!AI312="Оз_Ч_П",Исходн.данные.!AI312="Оз_З_П",Исходн.данные.!AI312="Яр_зер"),12,30)</f>
        <v>30</v>
      </c>
      <c r="IA312" t="e">
        <f t="shared" si="422"/>
        <v>#N/A</v>
      </c>
      <c r="IB312" t="e">
        <f t="shared" si="423"/>
        <v>#N/A</v>
      </c>
      <c r="IC312" t="e">
        <f t="shared" si="424"/>
        <v>#N/A</v>
      </c>
      <c r="ID312" s="11" t="e">
        <f t="shared" si="425"/>
        <v>#N/A</v>
      </c>
      <c r="IE312" s="11" t="e">
        <f t="shared" si="426"/>
        <v>#N/A</v>
      </c>
      <c r="IF312" s="11" t="e">
        <f t="shared" si="427"/>
        <v>#N/A</v>
      </c>
    </row>
    <row r="313" spans="35:240" x14ac:dyDescent="0.2">
      <c r="AI313">
        <f>IF(Исходн.данные.!I313&gt;6,1,1.85-(0.148*Исходн.данные.!I313))</f>
        <v>1.85</v>
      </c>
      <c r="AJ313">
        <f>IF(Исходн.данные.!I313&gt;6,1,2.434-(0.246*Исходн.данные.!I313))</f>
        <v>2.4340000000000002</v>
      </c>
      <c r="AL313" s="148" t="b">
        <f>IF(Исходн.данные.!$P313="Ум",N_OrgUd_2g_um,IF(Исходн.данные.!$P313="Об",N_OrgUd_2g_ob))</f>
        <v>0</v>
      </c>
      <c r="AM313" s="148" t="b">
        <f>IF(Исходн.данные.!$P313="Ум",P_OrgUd_2g_um,IF(Исходн.данные.!$P313="Об",P_OrgUd_2g_ob))</f>
        <v>0</v>
      </c>
      <c r="AN313" s="148" t="b">
        <f>IF(Исходн.данные.!$P313="Ум",K_OrgUd_2g_um,IF(Исходн.данные.!$P313="Об",K_OrgUd_2g_ob))</f>
        <v>0</v>
      </c>
      <c r="AO313" s="148" t="b">
        <f>IF(Исходн.данные.!$P313="Ум",N_OrgUd_1g_um,IF(Исходн.данные.!$P313="Об",N_OrgUd_1g_ob))</f>
        <v>0</v>
      </c>
      <c r="AP313" s="148" t="b">
        <f>IF(Исходн.данные.!$P313="Ум",P_OrgUd_1g_um,IF(Исходн.данные.!$P313="Об",P_OrgUd_1g_ob))</f>
        <v>0</v>
      </c>
      <c r="AQ313" s="148" t="b">
        <f>IF(Исходн.данные.!$P313="Ум",K_OrgUd_1g_um,IF(Исходн.данные.!$P313="Об",K_OrgUd_1g_ob))</f>
        <v>0</v>
      </c>
      <c r="AR313" t="b">
        <f>IF(Исходн.данные.!$P313="Ум",N_MinUd_2g_um,IF(Исходн.данные.!$P313="Об",N_MinUd_2g_ob))</f>
        <v>0</v>
      </c>
      <c r="AS313" t="b">
        <f>IF(Исходн.данные.!$P313="Ум",P_MinUd_2g_um,IF(Исходн.данные.!$P313="Об",P_MinUd_2g_ob))</f>
        <v>0</v>
      </c>
      <c r="AT313" t="b">
        <f>IF(Исходн.данные.!$P313="Ум",K_MinUd_2g_um,IF(Исходн.данные.!$P313="Об",K_MinUd_2g_ob))</f>
        <v>0</v>
      </c>
      <c r="AU313" t="b">
        <f>IF(Исходн.данные.!$P313="Ум",N_MinUd_1g_um,IF(Исходн.данные.!$P313="Об",N_MinUd_1g_ob))</f>
        <v>0</v>
      </c>
      <c r="AV313" t="b">
        <f>IF(Исходн.данные.!P313="Ум",P_MinUd_1g_um,IF(Исходн.данные.!P313="Об",P_MinUd_1g_ob))</f>
        <v>0</v>
      </c>
      <c r="AW313" t="b">
        <f>IF(Исходн.данные.!P313="Ум",K_MinUd_1g_um,IF(Исходн.данные.!P313="Об",K_MinUd_1g_ob))</f>
        <v>0</v>
      </c>
      <c r="AY313" t="e">
        <f>VLOOKUP(Исходн.данные.!T313,Справ!$A$3:$N$57,12)</f>
        <v>#N/A</v>
      </c>
      <c r="AZ313" t="e">
        <f>VLOOKUP(Исходн.данные.!T313,Справ!$A$3:$N$57,13)</f>
        <v>#N/A</v>
      </c>
      <c r="BA313" t="e">
        <f>VLOOKUP(Исходн.данные.!T313,Справ!$A$3:$N$57,14)</f>
        <v>#N/A</v>
      </c>
      <c r="BB313">
        <f>IF(Исходн.данные.!AH313=0,0,25)</f>
        <v>0</v>
      </c>
      <c r="BC313" s="141">
        <f>IF(Исходн.данные.!AH313=0,0,IF(Исходн.данные.!T313=0,25,BD313))</f>
        <v>0</v>
      </c>
      <c r="BD313" s="168" t="e">
        <f>AY313+AZ313*Исходн.данные.!U313-POWER(BA313,2)*Исходн.данные.!U313</f>
        <v>#N/A</v>
      </c>
      <c r="BE31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3" s="25">
        <f>IF(Исходн.данные.!AH313=0,0,MIN(HN313:HP313))</f>
        <v>0</v>
      </c>
      <c r="BG313" s="9">
        <f>IF(Исходн.данные.!AH313=0,0,IF((HO313+10*0.25/HG313/HL313)&lt;17,17,HO313+10*0.25/HG313/HL313))</f>
        <v>0</v>
      </c>
      <c r="BH313" s="181">
        <f>IF(Исходн.данные.!AH313=0,0,HW313*HF313*HL313/AU313*AI313+Исходн.данные.!S313*10)</f>
        <v>0</v>
      </c>
      <c r="BI313" s="10"/>
      <c r="BJ313" s="182">
        <f>IF(Исходн.данные.!AH313=0,0,IF(HX313*HG313*HL313/AV313&lt;0,0,HX313*HG313*HL313/AV313*AJ313))</f>
        <v>0</v>
      </c>
      <c r="BK313" s="182">
        <f>IF(Исходн.данные.!AH313=0,0,HY313*HH313*HM313/AW313)</f>
        <v>0</v>
      </c>
      <c r="BL313" s="10">
        <f>IF(OR(Исходн.данные.!$AH313=$BP$1,Исходн.данные.!$AH313=$BP$2),0,IF(BH313&lt;0,0,IF(OR(Исходн.данные.!T313=Расчет!$BP$1,Исходн.данные.!T313=Расчет!$BP$2,Исходн.данные.!T313=Расчет!$BT$5,Исходн.данные.!T313=Расчет!$BT$6),BH313*0.5,IF(OR(Исходн.данные.!T313=Расчет!$BS$9,Исходн.данные.!T313=Расчет!$BS$10,Исходн.данные.!T313=Расчет!$BS$11,Исходн.данные.!T313=Расчет!$BS$12,Исходн.данные.!T313=Расчет!$BP$5),BH313*0.8,BH313))))</f>
        <v>0</v>
      </c>
      <c r="BM313" s="10">
        <f>IF(OR(Исходн.данные.!$AH313=$BP$1,Исходн.данные.!$AH313=$BP$2),0,IF(BJ313&lt;0,0,IF(Исходн.данные.!I313&lt;4.5,BJ313*1.2,IF(Исходн.данные.!I313&gt;5.1,BJ313,BJ313*((5.1-Исходн.данные.!I313)*0.333+1)))))</f>
        <v>0</v>
      </c>
      <c r="BN313" s="10">
        <f>IF(OR(Исходн.данные.!$AH313=$BP$1,Исходн.данные.!$AH313=$BP$2),60-Исходн.данные.!AF313,IF(BK313&lt;0,0,IF(Исходн.данные.!I313&lt;4.5,BK313*1.2,IF(Исходн.данные.!I313&gt;5.1,BK313,BK313*((5.1-Исходн.данные.!I313)*0.333+1)))))</f>
        <v>0</v>
      </c>
      <c r="BO313" s="9">
        <f>IF(BL313&lt;0,0,BL313*Исходн.данные.!$AJ313/1000)</f>
        <v>0</v>
      </c>
      <c r="BP313" s="9">
        <f>IF(BM313&lt;0,0,BM313*Исходн.данные.!$AJ313/1000)</f>
        <v>0</v>
      </c>
      <c r="BQ313" s="9">
        <f>IF(BN313&lt;0,0,BN313*Исходн.данные.!$AJ313/1000)</f>
        <v>0</v>
      </c>
      <c r="BR313" s="9">
        <f t="shared" si="377"/>
        <v>0</v>
      </c>
      <c r="BS313" s="10" t="str">
        <f t="shared" si="378"/>
        <v>Аммофос 12:52:00</v>
      </c>
      <c r="BT313" s="10" t="str">
        <f t="shared" si="379"/>
        <v>Аммофос 12:52:00</v>
      </c>
      <c r="BU313" s="10" t="str">
        <f t="shared" si="380"/>
        <v>Диаммофоска</v>
      </c>
      <c r="BV313" s="10">
        <f t="shared" si="381"/>
        <v>0</v>
      </c>
      <c r="BW313" s="10"/>
      <c r="BX313" s="10"/>
      <c r="BY313" s="9">
        <f>IF(BL313&lt;0,0,IF(OR(Исходн.данные.!AI313=Расчет!$BU$6,Исходн.данные.!AI313=Расчет!$BU$7),Расчет!BV313,IF(Исходн.данные.!$AG313=$BV$11,BL313,IF(OR(Исходн.данные.!$AH313=$BQ$7,Исходн.данные.!$AH313=$BQ$8),CB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0,IF(Исходн.данные.!$AI313=$BU$11,"Нет",IF(BL313&gt;30,30,BL313)))))))</f>
        <v>0</v>
      </c>
      <c r="BZ313" s="9">
        <f>IF(AND(Исходн.данные.!$AG313=$BV$11,BM313&lt;10),10,IF(Исходн.данные.!$AG313=$BV$11,BM313,IF(OR(Исходн.данные.!$AH313=$BQ$7,Исходн.данные.!$AH313=$BQ$8),CC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10,IF(Исходн.данные.!$AI313=$BU$11,"Нет",IF(BM313&gt;60,60,IF(BM313&lt;10,10,BM313)))))))</f>
        <v>10</v>
      </c>
      <c r="CA313" s="39">
        <f>IF(BN313&lt;0,0,IF(Исходн.данные.!$AG313=$BV$11,BN313,IF(OR(Исходн.данные.!$AH313=$BQ$7,Исходн.данные.!$AH313=$BQ$8),CD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0,IF(Исходн.данные.!$AI313=$BU$11,"Нет",IF(BN313&gt;30,30,BN313))))))</f>
        <v>0</v>
      </c>
      <c r="CB313" s="9">
        <f t="shared" si="382"/>
        <v>0</v>
      </c>
      <c r="CC313" s="9">
        <f t="shared" si="383"/>
        <v>0</v>
      </c>
      <c r="CD313" s="9">
        <f t="shared" si="384"/>
        <v>0</v>
      </c>
      <c r="CE313" s="12">
        <f t="shared" si="385"/>
        <v>10</v>
      </c>
      <c r="CF313" s="9">
        <f t="shared" si="386"/>
        <v>0</v>
      </c>
      <c r="CG313" s="9" t="s">
        <v>231</v>
      </c>
      <c r="CH313" s="132" t="str">
        <f>IF(Исходн.данные.!AP313=Расчет!$CI$16,"Нет",IF(Исходн.данные.!AL313&gt;0,Исходн.данные.!AL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BH$4,IF(OR(Исходн.данные.!AI313=Исходн.данные.!$AI$6,Исходн.данные.!AI313=Исходн.данные.!$AI$7),Расчет!BS313,IF(AND($CF313=0,$CE313&gt;0),EV313,ER313)))))</f>
        <v>Аммофос 12:52:00</v>
      </c>
      <c r="CI313" s="274">
        <f>IF(Расчет!$CH313="Нет","Нет",IF(Исходн.данные.!$AL313&gt;0,VLOOKUP(Расчет!$CH313,АшламаДВ_Irekle,2,FALSE),VLOOKUP(Расчет!$CH313,АшламаДВ_Gomumy,2,FALSE)))</f>
        <v>0.12</v>
      </c>
      <c r="CJ313" s="274">
        <f>IF(Расчет!$CH313="Нет","Нет",IF(Исходн.данные.!$AL313&gt;0,VLOOKUP(Расчет!$CH313,АшламаДВ_Irekle,3,FALSE),VLOOKUP(Расчет!$CH313,АшламаДВ_Gomumy,3,FALSE)))</f>
        <v>0.52</v>
      </c>
      <c r="CK313" s="274">
        <f>IF(Расчет!$CH313="Нет","Нет",IF(Исходн.данные.!$AL313&gt;0,VLOOKUP(Расчет!$CH313,АшламаДВ_Irekle,4,FALSE),VLOOKUP(Расчет!$CH313,АшламаДВ_Gomumy,4,FALSE)))</f>
        <v>0</v>
      </c>
      <c r="CL313" s="70"/>
      <c r="CM313" s="70"/>
      <c r="CN313" s="70"/>
      <c r="CO313" s="70"/>
      <c r="CP313" s="70"/>
      <c r="CQ313" s="70"/>
      <c r="CR313" s="10">
        <f t="shared" si="387"/>
        <v>0</v>
      </c>
      <c r="CS313" s="10">
        <f t="shared" si="388"/>
        <v>19.23076923076923</v>
      </c>
      <c r="CT313" s="10">
        <f t="shared" si="389"/>
        <v>0</v>
      </c>
      <c r="CU313" s="39">
        <f>IF($CH313="Нет",0,IF(CI313=0,30/MIN(CJ313:CK313),IF(Исходн.данные.!$AG313=$BV$11,CR313,IF(OR(Исходн.данные.!$AH313=$BQ$7,Исходн.данные.!$AH313=$BQ$8),90/CI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0,IF(Исходн.данные.!$AI313=$BU$11,"Нет",30/CI313))))))</f>
        <v>250</v>
      </c>
      <c r="CV313" s="39">
        <f>IF($CH313="Нет",0,IF(Исходн.данные.!AH313=0,0,IF(CJ313=0,60/MIN(CI313,CK313),IF(Исходн.данные.!$AG313=$BV$11,CS313,IF(OR(Исходн.данные.!$AH313=$BQ$7,Исходн.данные.!$AH313=$BQ$8),90/CJ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10/CJ313,IF(Исходн.данные.!$AI313=$BU$11,"Нет",60/CJ313)))))))</f>
        <v>0</v>
      </c>
      <c r="CW313" s="39">
        <f>IF($CH313="Нет",0,IF(Исходн.данные.!AH313=0,0,IF(CK313=0,30/MIN(CI313:CJ313),IF(Исходн.данные.!$AG313=$BV$11,CT313,IF(OR(Исходн.данные.!$AH313=$BQ$7,Исходн.данные.!$AH313=$BQ$8),90/CK313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0,IF(Исходн.данные.!$AI313=$BU$11,"Нет",30/CK313)))))))</f>
        <v>0</v>
      </c>
      <c r="CX313" s="133">
        <f>IF(Исходн.данные.!$AG313=$BV$11,MAX(CU313:CW313),IF(OR(Исходн.данные.!$AH313=$BS$8,Исходн.данные.!$AH313=$BQ$9,Исходн.данные.!$AH313=$BQ$10,Исходн.данные.!$AH313=$BQ$11,Исходн.данные.!$AH313=$BQ$12,Исходн.данные.!$AH313=$BP$3,Исходн.данные.!$AH313=$BT$8,$FM313="Да"),CV313,MIN(CU313:CW313)))</f>
        <v>0</v>
      </c>
      <c r="CY313" s="133">
        <f>IF(Исходн.данные.!AH313=0,0,IF(CR313&gt;$CX313,$CX313,CR313))</f>
        <v>0</v>
      </c>
      <c r="CZ313" s="133">
        <f>IF(Исходн.данные.!AH313=0,0,IF(CS313&gt;$CX313,$CX313,CS313))</f>
        <v>0</v>
      </c>
      <c r="DA313" s="133">
        <f>IF(Исходн.данные.!AH313=0,0,IF(CT313&gt;$CX313,$CX313,CT313))</f>
        <v>0</v>
      </c>
      <c r="DB313" s="10">
        <f t="shared" si="390"/>
        <v>0</v>
      </c>
      <c r="DC313" s="39">
        <f>DB313*Исходн.данные.!AJ313/1000</f>
        <v>0</v>
      </c>
      <c r="DD313" s="71">
        <f t="shared" si="391"/>
        <v>0</v>
      </c>
      <c r="DE313" s="9">
        <f t="shared" si="392"/>
        <v>0</v>
      </c>
      <c r="DF313" s="9">
        <f t="shared" si="393"/>
        <v>0</v>
      </c>
      <c r="DG313" s="39">
        <f>IF(BL313&lt;0,0,IF($CH313="Нет",BL313,IF(OR(Исходн.данные.!$AH313=$BP$1,Исходн.данные.!$AH313=$BP$2),0,IF(Исходн.данные.!AI313=$BU$11,BL313,IF(BL313-DD313&lt;0,0,BL313-DD313)))))</f>
        <v>0</v>
      </c>
      <c r="DH313" s="39">
        <f>IF(BM313&lt;0,0,IF($CH313="Нет",BM313,IF(OR(Исходн.данные.!$AH313=$BP$1,Исходн.данные.!$AH313=$BP$2),0,IF(Исходн.данные.!AJ313=$BU$11,BM313,IF(BM313-DE313&lt;0,0,BM313-DE313)))))</f>
        <v>0</v>
      </c>
      <c r="DI313" s="39">
        <f>IF(BN313&lt;0,0,IF($CH313="Нет",BN313,IF(OR(Исходн.данные.!$AH313=$BP$1,Исходн.данные.!$AH313=$BP$2),0,IF(Исходн.данные.!AK313=$BU$11,BN313,IF(BN313-DF313&lt;0,0,BN313-DF313)))))</f>
        <v>0</v>
      </c>
      <c r="DJ313" s="12">
        <f t="shared" si="394"/>
        <v>0</v>
      </c>
      <c r="DK313" s="9">
        <f t="shared" si="395"/>
        <v>0</v>
      </c>
      <c r="DL313" s="39">
        <f>IF(Исходн.данные.!AM313&gt;0,Исходн.данные.!AM313,IF(EG313&gt;0,$BH$10,0))</f>
        <v>0</v>
      </c>
      <c r="DM313" s="186">
        <f>IF($DL313=0,0,IF(Исходн.данные.!AM313&gt;0,VLOOKUP($DL313,АшламаДВ_Irekle,2,FALSE),VLOOKUP($DL313,АшламаДВ_Gomumy,2,FALSE)))</f>
        <v>0</v>
      </c>
      <c r="DN313" s="10">
        <f t="shared" si="373"/>
        <v>0</v>
      </c>
      <c r="DO313" s="9" t="str">
        <f>IF(Исходн.данные.!AN313&gt;0,Исходн.данные.!AN313,Удобрения!$B$37 )</f>
        <v>Хлор.калий</v>
      </c>
      <c r="DP313" s="9">
        <f>IF(Исходн.данные.!AN313&gt;0,VLOOKUP(Исходн.данные.!AN313,АшламаДВ_Irekle,4,FALSE),VLOOKUP(DO313,АшламаДВ_Gomumy,4,FALSE))</f>
        <v>0.6</v>
      </c>
      <c r="DQ313" s="10">
        <f t="shared" si="374"/>
        <v>0</v>
      </c>
      <c r="DR313" s="132" t="str">
        <f>IF(Исходн.данные.!AO313&gt;0,Исходн.данные.!AO313,IF(DH313=0,BS$17,IF(AND($DK313=0,$DJ313&gt;0),EJ313,EN313)))</f>
        <v>Нет</v>
      </c>
      <c r="DS313" s="70" t="str">
        <f>IF($DR313="Нет","Нет",IF(Исходн.данные.!$AO313&gt;0,VLOOKUP($DR313,АшламаДВ_Irekle,2,FALSE),VLOOKUP($DR313,АшламаДВ_Gomumy,2,FALSE)))</f>
        <v>Нет</v>
      </c>
      <c r="DT313" s="70" t="str">
        <f>IF($DR313="Нет","Нет",IF(Исходн.данные.!$AO313&gt;0,VLOOKUP($DR313,АшламаДВ_Irekle,3,FALSE),VLOOKUP($DR313,АшламаДВ_Gomumy,3,FALSE)))</f>
        <v>Нет</v>
      </c>
      <c r="DU313" s="70" t="str">
        <f>IF($DR313="Нет","Нет",IF(Исходн.данные.!$AO313&gt;0,VLOOKUP($DR313,АшламаДВ_Irekle,4,FALSE),VLOOKUP($DR313,АшламаДВ_Gomumy,4,FALSE)))</f>
        <v>Нет</v>
      </c>
      <c r="DV313" s="70"/>
      <c r="DW313" s="70"/>
      <c r="DX313" s="70"/>
      <c r="DY313" s="10">
        <f t="shared" si="396"/>
        <v>0</v>
      </c>
      <c r="DZ313" s="10">
        <f t="shared" si="397"/>
        <v>0</v>
      </c>
      <c r="EA313" s="10">
        <f t="shared" si="398"/>
        <v>0</v>
      </c>
      <c r="EB313" s="10">
        <f t="shared" si="399"/>
        <v>0</v>
      </c>
      <c r="EC313" s="10">
        <f t="shared" si="400"/>
        <v>0</v>
      </c>
      <c r="ED313" s="10">
        <f t="shared" si="401"/>
        <v>0</v>
      </c>
      <c r="EE313" s="10">
        <f t="shared" si="402"/>
        <v>0</v>
      </c>
      <c r="EF313" s="39">
        <f>EB313*Исходн.данные.!AJ313/1000</f>
        <v>0</v>
      </c>
      <c r="EG313" s="9">
        <f t="shared" si="403"/>
        <v>0</v>
      </c>
      <c r="EH313" s="9">
        <f t="shared" si="404"/>
        <v>0</v>
      </c>
      <c r="EI313" s="39" t="e">
        <f t="shared" si="354"/>
        <v>#DIV/0!</v>
      </c>
      <c r="EJ313" s="9" t="str">
        <f t="shared" si="375"/>
        <v>Азопреципитат</v>
      </c>
      <c r="EK313" s="12">
        <f t="shared" si="355"/>
        <v>0.26</v>
      </c>
      <c r="EL313" s="12">
        <f t="shared" si="356"/>
        <v>0.13</v>
      </c>
      <c r="EM313" s="12">
        <f t="shared" si="357"/>
        <v>0</v>
      </c>
      <c r="EN313" s="12" t="str">
        <f t="shared" si="376"/>
        <v>Нет</v>
      </c>
      <c r="EO313" s="12">
        <f t="shared" si="358"/>
        <v>0</v>
      </c>
      <c r="EP313" s="12">
        <f t="shared" si="359"/>
        <v>0</v>
      </c>
      <c r="EQ313" s="12">
        <f t="shared" si="360"/>
        <v>0</v>
      </c>
      <c r="ER313" s="12" t="str">
        <f t="shared" si="405"/>
        <v>Диаммофоска</v>
      </c>
      <c r="ES313" s="12">
        <f t="shared" si="361"/>
        <v>0.1</v>
      </c>
      <c r="ET313" s="12">
        <f t="shared" si="362"/>
        <v>0.26</v>
      </c>
      <c r="EU313" s="12">
        <f t="shared" si="363"/>
        <v>0.26</v>
      </c>
      <c r="EV313" s="12" t="str">
        <f t="shared" si="406"/>
        <v>Аммофос 12:52:00</v>
      </c>
      <c r="EW313" s="12" t="str">
        <f t="shared" si="407"/>
        <v>Кемира Свекловичное-6</v>
      </c>
      <c r="EX313" s="12">
        <f t="shared" si="364"/>
        <v>0.16</v>
      </c>
      <c r="EY313" s="12">
        <f t="shared" si="365"/>
        <v>0.12</v>
      </c>
      <c r="EZ313" s="12">
        <f t="shared" si="366"/>
        <v>0.17</v>
      </c>
      <c r="FA313" s="38" t="e">
        <f>IF(AND(OR(FJ313=$FD$1,FM313=$FD$1,FO313=$FD$1,FQ313=$FD$1,FS313=$FD$1),FD313=$FD$1,Исходн.данные.!J313&lt;2,FU313=$FD$1),"Бор,Кобальт",IF(AND(FO313=$FD$1,FH313=$FD$1,Исходн.данные.!J313&lt;2,FU313=$FD$1),"Бор,Кобальт",IF(AND(OR(FJ313=$FD$1,FM313=$FD$1,FQ313=$FD$1),FE313=$FD$1,Исходн.данные.!J313&lt;2,FT313=$FD$1,FU313=$FD$1),"Бор,Медь,Цинк",IF(AND(OR(FJ313=$FD$1,FR313="Да"),FI313="Да",Исходн.данные.!J313&lt;2,FT313="Да",FU313="Да"),"Бор,Цинк,Медь",IF(AND(OR(FM313="Да",FQ313="Да"),FI313="Да",Исходн.данные.!J313&lt;2,FT313="Да",FU313="Да"),"Бор,Цинк",IF(AND(FN313="Да",OR(FD313="Да",FE313="Да")),"Бор",FB313))))))</f>
        <v>#N/A</v>
      </c>
      <c r="FB313" s="134" t="e">
        <f>IF(AND(OR(FD313="Да",FE313="Да",FF313="Да",FG313="Да",FH313="Да"),FO313="Да"),"Бор",IF(AND(FP313="Да",OR(FD313="Да",FE313="Да",FI313="Да")),"Бор",IF(AND(FS313="Да",FE313="Да"),"Бор,Медь",IF(AND(OR(FJ313="Да",FK313="Да",FL313="Да"),FE313="Да",Исходн.данные.!I313&lt;5,FT313="Да",FU313="Да"),"Молибден,Цинк",IF(AND(FM313="Да",OR(FE313="Да",FF313="Да",FG313="Да",FH313="Да",FI313="Да")),"Молибден,Цинк",IF(AND(OR(FJ313="Да",FK313="Да",FL313="Да",FM313="Да",FQ313="Да"),OR(FE313="Да",FF313="Да"),FT313="Да",FU313="Да",Исходн.данные.!I313&gt;5.5),"Медь,Цинк",FC313))))))</f>
        <v>#N/A</v>
      </c>
      <c r="FC313" s="23" t="e">
        <f t="shared" si="408"/>
        <v>#N/A</v>
      </c>
      <c r="FD313" s="38" t="str">
        <f>IF(OR(Исходн.данные.!F313=$CC$1,Исходн.данные.!F313=$CC$2,Исходн.данные.!F313=$CC$3,Исходн.данные.!F313=$CC$4),"Да","Нет")</f>
        <v>Нет</v>
      </c>
      <c r="FE313" s="38" t="str">
        <f>IF(Исходн.данные.!F313=$CC$5,"Да","Нет")</f>
        <v>Нет</v>
      </c>
      <c r="FF313" s="38" t="str">
        <f>IF(OR(Исходн.данные.!F313=$CC$6,Исходн.данные.!F313=$CC$7),"Да","Нет")</f>
        <v>Нет</v>
      </c>
      <c r="FG313" s="38" t="str">
        <f>IF(OR(Исходн.данные.!F313=$CC$8,Исходн.данные.!F313=$CC$9),"Да","Нет")</f>
        <v>Нет</v>
      </c>
      <c r="FH313" s="38" t="str">
        <f>IF(Исходн.данные.!F313=$CC$10,"Да","Нет")</f>
        <v>Нет</v>
      </c>
      <c r="FI313" s="38" t="str">
        <f>IF(OR(Исходн.данные.!F313=$CC$11,Исходн.данные.!F313=$CC$12),"Да","Нет")</f>
        <v>Нет</v>
      </c>
      <c r="FJ313" s="38" t="str">
        <f>IF(OR(Исходн.данные.!AH313=$BS$1,Исходн.данные.!AH313=$BQ$11,Исходн.данные.!AH313=$BQ$12),"Да","Нет")</f>
        <v>Нет</v>
      </c>
      <c r="FK313" s="38" t="str">
        <f>IF(OR(Исходн.данные.!AH313=$BS$2,Исходн.данные.!AH313=$BS$4),"Да","Нет")</f>
        <v>Нет</v>
      </c>
      <c r="FL313" s="38" t="str">
        <f>IF(OR(Исходн.данные.!AH313=$BS$3,Исходн.данные.!AH313=$BS$5),"Да","Нет")</f>
        <v>Нет</v>
      </c>
      <c r="FM313" s="38" t="str">
        <f>IF(OR(Исходн.данные.!AH313=$BS$9,Исходн.данные.!AH313=$BS$10,Исходн.данные.!AH313=$BS$11,Исходн.данные.!AH313=$BS$12),"Да","Нет")</f>
        <v>Нет</v>
      </c>
      <c r="FN313" s="38" t="str">
        <f>IF(OR(Исходн.данные.!AH313=$BS$6,Исходн.данные.!AH313=$BP$3),"Да","Нет")</f>
        <v>Нет</v>
      </c>
      <c r="FO313" s="38" t="str">
        <f>IF(Исходн.данные.!AH313=$BQ$9,"Да","Нет")</f>
        <v>Нет</v>
      </c>
      <c r="FP313" s="38" t="str">
        <f>IF(OR(Исходн.данные.!AH313=$BS$8,Исходн.данные.!AH313=$BT$8),"Да","Нет")</f>
        <v>Нет</v>
      </c>
      <c r="FQ313" s="38" t="str">
        <f>IF(OR(Исходн.данные.!AH313=$BQ$7,Исходн.данные.!AH313=$BQ$8),"Да","Нет")</f>
        <v>Нет</v>
      </c>
      <c r="FR313" s="38" t="str">
        <f>IF(Исходн.данные.!AI313=$BU$9,"Да","Нет")</f>
        <v>Нет</v>
      </c>
      <c r="FS313" s="38" t="str">
        <f>IF(OR(Исходн.данные.!AH313=$BP$1,Исходн.данные.!AH313=$BP$2),"Да","Нет")</f>
        <v>Нет</v>
      </c>
      <c r="FT313" s="38" t="e">
        <f>IF((Исходн.данные.!K313*GO313*GS313*GW313+BL313*0.6+Исходн.данные.!Q313*4.5*0.275)&gt;90,"Да","Нет")</f>
        <v>#N/A</v>
      </c>
      <c r="FU313" s="38" t="e">
        <f>IF((Исходн.данные.!M313*GS313*GZ313+BM313*0.225)&gt;35,"Да","Нет")</f>
        <v>#N/A</v>
      </c>
      <c r="FV313" s="38" t="str">
        <f>IF(Исходн.данные.!O313&gt;175,"Да","Нет")</f>
        <v>Нет</v>
      </c>
      <c r="FW313" s="39" t="str">
        <f>IF(Исходн.данные.!I313&gt;5.5,"Да","Нет")</f>
        <v>Нет</v>
      </c>
      <c r="FX313" s="39" t="str">
        <f>IF(Исходн.данные.!J313&lt;2,"Да","Нет")</f>
        <v>Да</v>
      </c>
      <c r="FY313" s="39" t="e">
        <f>IF(HF313=$FY$16,0,Исходн.данные.!K313*GO313*GS313*GW313/HF313)</f>
        <v>#N/A</v>
      </c>
      <c r="FZ313" s="39" t="e">
        <f>Исходн.данные.!M313*GS313*GZ313/HG313</f>
        <v>#N/A</v>
      </c>
      <c r="GA313" s="39" t="e">
        <f>IF(K_Wyn=$FY$16,0,IF(Исходн.данные.!N313=Исходн.данные.!$L$10,Исходн.данные.!O313/1.1*GS313*HC313/HH313,IF(Исходн.данные.!N313=Исходн.данные.!$L$12,Исходн.данные.!O313/1.5*GS313*HC313/HH313,Исходн.данные.!O313*GS313*HC313/HH313)))</f>
        <v>#N/A</v>
      </c>
      <c r="GB313" s="39" t="e">
        <f>IF(HF313=$FY$16,0,((Исходн.данные.!Q313*N_Org+Исходн.данные.!R313*N_Sider+Исходн.данные.!S313*N_Soloma)*AO313+Расчет!BC313*VLOOKUP(Исходн.данные.!T313,Справ!$A$3:$O$57,15)*AO313+BB313*VLOOKUP(Исходн.данные.!T313,Справ!$A$3:$O$57,15)*AL313+(Исходн.данные.!V313*N_Rizotorf+Исходн.данные.!W313*N_Rizoagr))/HF313)</f>
        <v>#N/A</v>
      </c>
      <c r="GC313" s="39" t="e">
        <f>IF(HG313=$FY$16,0,((Исходн.данные.!Q313*Р_Org+Исходн.данные.!R313*P_Sider+Исходн.данные.!S313*P_Soloma)*AP313+Расчет!BC313*VLOOKUP(Исходн.данные.!T313,Справ!$A$3:$P$57,16)*AP313+BB313*VLOOKUP(Исходн.данные.!T313,Справ!$A$3:$P$57,16)*AM313)/HG313)</f>
        <v>#N/A</v>
      </c>
      <c r="GD313" s="39" t="e">
        <f>IF(HH313=$FY$16,0,((Исходн.данные.!Q313*К_Org+Исходн.данные.!R313*K_Sider+Исходн.данные.!S313*K_Soloma)*AQ313+Расчет!BC313*VLOOKUP(Исходн.данные.!T313,Справ!$A$3:$Q$57,17)*AQ313+BB313*VLOOKUP(Исходн.данные.!T313,Справ!$A$3:$Q$57,17)*AN313)/HH313)</f>
        <v>#N/A</v>
      </c>
      <c r="GE313" s="39" t="e">
        <f>IF(HF313=$FY$16,0,(Исходн.данные.!X313*AR313+Исходн.данные.!AA313*N_Org*AL313+Исходн.данные.!AB313*N_Sider*AL313+Исходн.данные.!AC313*N_Soloma*AL313)/HF313)</f>
        <v>#N/A</v>
      </c>
      <c r="GF313" s="39" t="e">
        <f>IF(HG313=$FY$16,0,(Исходн.данные.!Y313*AS313+Исходн.данные.!AA313*Р_Org*AM313+Исходн.данные.!AB313*P_Sider*AM313+Исходн.данные.!AC313*P_Soloma*AM313)/HG313)</f>
        <v>#N/A</v>
      </c>
      <c r="GG313" s="39" t="e">
        <f>IF(HH313=$FY$16,0,(Исходн.данные.!Z313*AT313+Исходн.данные.!AA313*К_Org*AN313+Исходн.данные.!AB313*K_Sider*AN313+Исходн.данные.!AC313*K_Soloma*AN313)/HH313)</f>
        <v>#N/A</v>
      </c>
      <c r="GH313" s="39" t="e">
        <f>Исходн.данные.!AD313*AU313/HF313</f>
        <v>#N/A</v>
      </c>
      <c r="GI313" s="39" t="e">
        <f>Исходн.данные.!AE313*AV313/HG313</f>
        <v>#N/A</v>
      </c>
      <c r="GJ313" s="39" t="e">
        <f>Исходн.данные.!AF313*AW313/HH313</f>
        <v>#N/A</v>
      </c>
      <c r="GK313" s="55">
        <f>Исходн.данные.!AK313</f>
        <v>0</v>
      </c>
      <c r="GL313" s="11" t="e">
        <f t="shared" si="409"/>
        <v>#N/A</v>
      </c>
      <c r="GM313" s="11" t="e">
        <f t="shared" si="410"/>
        <v>#N/A</v>
      </c>
      <c r="GN313" s="11" t="e">
        <f t="shared" si="411"/>
        <v>#N/A</v>
      </c>
      <c r="GO313" s="57">
        <f t="shared" si="412"/>
        <v>19</v>
      </c>
      <c r="GP313" s="55">
        <f>IF(OR(Исходн.данные.!F313=$CE$1,Исходн.данные.!F313=$CE$2,Исходн.данные.!F313=$CE$3,Исходн.данные.!F313=$CE$4,Исходн.данные.!F313=$CE$5),GQ313,GR313)</f>
        <v>19</v>
      </c>
      <c r="GQ313" s="55">
        <f>IF(Исходн.данные.!F313=$CE$1,28,IF(Исходн.данные.!F313=$CE$2,26,IF(Исходн.данные.!F313=$CE$3,24,IF(Исходн.данные.!F313=$CE$4,22,IF(Исходн.данные.!F313=$CE$5,20,GR313)))))</f>
        <v>19</v>
      </c>
      <c r="GR313" s="55">
        <f>IF(Исходн.данные.!F313=$CE$6,18,IF(Исходн.данные.!F313=$CE$7,16,IF(Исходн.данные.!F313=$CE$8,14,IF(Исходн.данные.!F313=$CE$9,13,IF(Исходн.данные.!F313=$CE$10,12,19)))))</f>
        <v>19</v>
      </c>
      <c r="GS313" s="55">
        <f>IF(Исходн.данные.!G313="Пес",0.035*(40+2*Исходн.данные.!H313),IF(Исходн.данные.!G313="Суп",0.0325*(40+2*Исходн.данные.!H313),0.03*(40+2*Исходн.данные.!H313)))</f>
        <v>1.2</v>
      </c>
      <c r="GT313" s="55">
        <f>IF(Исходн.данные.!H313&lt;23,2.6,IF(AND(Исходн.данные.!H313&gt;22,Исходн.данные.!H313&lt;26),3,IF(AND(Исходн.данные.!H313&gt;25,Исходн.данные.!H313&lt;29),3.4,3.6)))</f>
        <v>2.6</v>
      </c>
      <c r="GU313" s="55">
        <f>IF(Исходн.данные.!H313&lt;23,2.8,IF(AND(Исходн.данные.!H313&gt;22,Исходн.данные.!H313&lt;26),3.2,IF(AND(Исходн.данные.!H313&gt;25,Исходн.данные.!H313&lt;29),3.6,3.9)))</f>
        <v>2.8</v>
      </c>
      <c r="GV313" s="55">
        <f>IF(Исходн.данные.!H313&lt;23,3,IF(AND(Исходн.данные.!H313&gt;22,Исходн.данные.!H313&lt;26),3.5,IF(AND(Исходн.данные.!H313&gt;25,Исходн.данные.!H313&lt;29),3.9,4.2)))</f>
        <v>3</v>
      </c>
      <c r="GW313" s="55" t="e">
        <f>IF(Исходн.данные.!P313="Ум",GX313,GY313)</f>
        <v>#N/A</v>
      </c>
      <c r="GX313" s="55" t="e">
        <f>VLOOKUP(Исходн.данные.!AI313,Коэффициенты!$J$7:$L$13,2,FALSE)</f>
        <v>#N/A</v>
      </c>
      <c r="GY313" s="55" t="e">
        <f>VLOOKUP(Исходн.данные.!AI313,Коэффициенты!$J$7:$L$13,3,FALSE)</f>
        <v>#N/A</v>
      </c>
      <c r="GZ313" s="55" t="e">
        <f>(IF(Исходн.данные.!M313&lt;50,0.11*VLOOKUP(Исходн.данные.!AH313,Культуры.Информация,7,FALSE),IF(Исходн.данные.!M313&gt;250,0.05*VLOOKUP(Исходн.данные.!AH313,Культуры.Информация,7,FALSE),VLOOKUP(Исходн.данные.!AH313,Культуры.Информация,5,FALSE)/100*($GX$6+$GY$6*Исходн.данные.!M313))))*Расчет2!AI313</f>
        <v>#N/A</v>
      </c>
      <c r="HA313" s="211"/>
      <c r="HB313" s="211"/>
      <c r="HC313" s="55" t="e">
        <f>(IF(Исходн.данные.!O313&lt;80,0.2*VLOOKUP(Исходн.данные.!AH313,Культуры.Информация,8,FALSE),IF(Исходн.данные.!O313&gt;240,0.09*VLOOKUP(Исходн.данные.!AH313,Культуры.Информация,8,FALSE),VLOOKUP(Исходн.данные.!AH313,Культуры.Информация,6,FALSE)/100*($HB$6+$HC$6*Исходн.данные.!O313))))*Расчет2!AJ313</f>
        <v>#N/A</v>
      </c>
      <c r="HD313" s="55">
        <f>IF(Исходн.данные.!O313&gt;240,0.09,IF(Исходн.данные.!O313&lt;30,0.3,$HE$10+$HD$10*Исходн.данные.!O313))</f>
        <v>0.3</v>
      </c>
      <c r="HE313" s="55">
        <f>IF(Исходн.данные.!O313&gt;240,0.17,IF(Исходн.данные.!O313&lt;30,0.5,$HF$12+$HE$12*Исходн.данные.!O313))</f>
        <v>0.5</v>
      </c>
      <c r="HF313" s="55" t="e">
        <f>VLOOKUP(Исходн.данные.!AH313,Справ!$A$3:$D$58,2,FALSE)</f>
        <v>#N/A</v>
      </c>
      <c r="HG313" s="55" t="e">
        <f>VLOOKUP(Исходн.данные.!AH313,Справ!$A$3:$D$58,3,FALSE)</f>
        <v>#N/A</v>
      </c>
      <c r="HH313" s="55" t="e">
        <f>VLOOKUP(Исходн.данные.!AH313,Справ!$A$3:$D$58,4,FALSE)</f>
        <v>#N/A</v>
      </c>
      <c r="HI313" s="11" t="e">
        <f t="shared" si="413"/>
        <v>#N/A</v>
      </c>
      <c r="HJ313" s="11" t="e">
        <f t="shared" si="414"/>
        <v>#N/A</v>
      </c>
      <c r="HK313" s="11" t="e">
        <f t="shared" si="415"/>
        <v>#N/A</v>
      </c>
      <c r="HL313" s="55">
        <f>IF(OR(Исходн.данные.!G313="Глин",Исходн.данные.!G313="Т_суг"),1.1,IF(Исходн.данные.!G313="Ср_суг",1,1))</f>
        <v>1</v>
      </c>
      <c r="HM313" s="55">
        <f>IF(OR(Исходн.данные.!G313="Глин",Исходн.данные.!G313="Т_суг"),0.9,IF(Исходн.данные.!G313="Ср_суг",1,1.2))</f>
        <v>1.2</v>
      </c>
      <c r="HN313" s="11" t="e">
        <f t="shared" si="416"/>
        <v>#N/A</v>
      </c>
      <c r="HO313" s="11" t="e">
        <f t="shared" si="417"/>
        <v>#N/A</v>
      </c>
      <c r="HP313" s="11" t="e">
        <f t="shared" si="418"/>
        <v>#N/A</v>
      </c>
      <c r="HQ313" t="e">
        <f t="shared" si="419"/>
        <v>#N/A</v>
      </c>
      <c r="HR313" t="e">
        <f t="shared" si="420"/>
        <v>#N/A</v>
      </c>
      <c r="HS313" t="e">
        <f t="shared" si="421"/>
        <v>#N/A</v>
      </c>
      <c r="HT313" t="e">
        <f t="shared" si="367"/>
        <v>#N/A</v>
      </c>
      <c r="HU313" t="e">
        <f t="shared" si="368"/>
        <v>#N/A</v>
      </c>
      <c r="HV313" t="e">
        <f t="shared" si="369"/>
        <v>#N/A</v>
      </c>
      <c r="HW313" t="e">
        <f t="shared" si="370"/>
        <v>#N/A</v>
      </c>
      <c r="HX313" t="e">
        <f t="shared" si="371"/>
        <v>#N/A</v>
      </c>
      <c r="HY313" t="e">
        <f t="shared" si="372"/>
        <v>#N/A</v>
      </c>
      <c r="HZ313" s="55">
        <f>IF(OR(Исходн.данные.!AI313="Оз_Ч_П",Исходн.данные.!AI313="Оз_З_П",Исходн.данные.!AI313="Яр_зер"),12,30)</f>
        <v>30</v>
      </c>
      <c r="IA313" t="e">
        <f t="shared" si="422"/>
        <v>#N/A</v>
      </c>
      <c r="IB313" t="e">
        <f t="shared" si="423"/>
        <v>#N/A</v>
      </c>
      <c r="IC313" t="e">
        <f t="shared" si="424"/>
        <v>#N/A</v>
      </c>
      <c r="ID313" s="11" t="e">
        <f t="shared" si="425"/>
        <v>#N/A</v>
      </c>
      <c r="IE313" s="11" t="e">
        <f t="shared" si="426"/>
        <v>#N/A</v>
      </c>
      <c r="IF313" s="11" t="e">
        <f t="shared" si="427"/>
        <v>#N/A</v>
      </c>
    </row>
    <row r="314" spans="35:240" x14ac:dyDescent="0.2">
      <c r="AI314">
        <f>IF(Исходн.данные.!I314&gt;6,1,1.85-(0.148*Исходн.данные.!I314))</f>
        <v>1.85</v>
      </c>
      <c r="AJ314">
        <f>IF(Исходн.данные.!I314&gt;6,1,2.434-(0.246*Исходн.данные.!I314))</f>
        <v>2.4340000000000002</v>
      </c>
      <c r="AL314" s="148" t="b">
        <f>IF(Исходн.данные.!$P314="Ум",N_OrgUd_2g_um,IF(Исходн.данные.!$P314="Об",N_OrgUd_2g_ob))</f>
        <v>0</v>
      </c>
      <c r="AM314" s="148" t="b">
        <f>IF(Исходн.данные.!$P314="Ум",P_OrgUd_2g_um,IF(Исходн.данные.!$P314="Об",P_OrgUd_2g_ob))</f>
        <v>0</v>
      </c>
      <c r="AN314" s="148" t="b">
        <f>IF(Исходн.данные.!$P314="Ум",K_OrgUd_2g_um,IF(Исходн.данные.!$P314="Об",K_OrgUd_2g_ob))</f>
        <v>0</v>
      </c>
      <c r="AO314" s="148" t="b">
        <f>IF(Исходн.данные.!$P314="Ум",N_OrgUd_1g_um,IF(Исходн.данные.!$P314="Об",N_OrgUd_1g_ob))</f>
        <v>0</v>
      </c>
      <c r="AP314" s="148" t="b">
        <f>IF(Исходн.данные.!$P314="Ум",P_OrgUd_1g_um,IF(Исходн.данные.!$P314="Об",P_OrgUd_1g_ob))</f>
        <v>0</v>
      </c>
      <c r="AQ314" s="148" t="b">
        <f>IF(Исходн.данные.!$P314="Ум",K_OrgUd_1g_um,IF(Исходн.данные.!$P314="Об",K_OrgUd_1g_ob))</f>
        <v>0</v>
      </c>
      <c r="AR314" t="b">
        <f>IF(Исходн.данные.!$P314="Ум",N_MinUd_2g_um,IF(Исходн.данные.!$P314="Об",N_MinUd_2g_ob))</f>
        <v>0</v>
      </c>
      <c r="AS314" t="b">
        <f>IF(Исходн.данные.!$P314="Ум",P_MinUd_2g_um,IF(Исходн.данные.!$P314="Об",P_MinUd_2g_ob))</f>
        <v>0</v>
      </c>
      <c r="AT314" t="b">
        <f>IF(Исходн.данные.!$P314="Ум",K_MinUd_2g_um,IF(Исходн.данные.!$P314="Об",K_MinUd_2g_ob))</f>
        <v>0</v>
      </c>
      <c r="AU314" t="b">
        <f>IF(Исходн.данные.!$P314="Ум",N_MinUd_1g_um,IF(Исходн.данные.!$P314="Об",N_MinUd_1g_ob))</f>
        <v>0</v>
      </c>
      <c r="AV314" t="b">
        <f>IF(Исходн.данные.!P314="Ум",P_MinUd_1g_um,IF(Исходн.данные.!P314="Об",P_MinUd_1g_ob))</f>
        <v>0</v>
      </c>
      <c r="AW314" t="b">
        <f>IF(Исходн.данные.!P314="Ум",K_MinUd_1g_um,IF(Исходн.данные.!P314="Об",K_MinUd_1g_ob))</f>
        <v>0</v>
      </c>
      <c r="AY314" t="e">
        <f>VLOOKUP(Исходн.данные.!T314,Справ!$A$3:$N$57,12)</f>
        <v>#N/A</v>
      </c>
      <c r="AZ314" t="e">
        <f>VLOOKUP(Исходн.данные.!T314,Справ!$A$3:$N$57,13)</f>
        <v>#N/A</v>
      </c>
      <c r="BA314" t="e">
        <f>VLOOKUP(Исходн.данные.!T314,Справ!$A$3:$N$57,14)</f>
        <v>#N/A</v>
      </c>
      <c r="BB314">
        <f>IF(Исходн.данные.!AH314=0,0,25)</f>
        <v>0</v>
      </c>
      <c r="BC314" s="141">
        <f>IF(Исходн.данные.!AH314=0,0,IF(Исходн.данные.!T314=0,25,BD314))</f>
        <v>0</v>
      </c>
      <c r="BD314" s="168" t="e">
        <f>AY314+AZ314*Исходн.данные.!U314-POWER(BA314,2)*Исходн.данные.!U314</f>
        <v>#N/A</v>
      </c>
      <c r="BE31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4" s="25">
        <f>IF(Исходн.данные.!AH314=0,0,MIN(HN314:HP314))</f>
        <v>0</v>
      </c>
      <c r="BG314" s="9">
        <f>IF(Исходн.данные.!AH314=0,0,IF((HO314+10*0.25/HG314/HL314)&lt;17,17,HO314+10*0.25/HG314/HL314))</f>
        <v>0</v>
      </c>
      <c r="BH314" s="181">
        <f>IF(Исходн.данные.!AH314=0,0,HW314*HF314*HL314/AU314*AI314+Исходн.данные.!S314*10)</f>
        <v>0</v>
      </c>
      <c r="BI314" s="10"/>
      <c r="BJ314" s="182">
        <f>IF(Исходн.данные.!AH314=0,0,IF(HX314*HG314*HL314/AV314&lt;0,0,HX314*HG314*HL314/AV314*AJ314))</f>
        <v>0</v>
      </c>
      <c r="BK314" s="182">
        <f>IF(Исходн.данные.!AH314=0,0,HY314*HH314*HM314/AW314)</f>
        <v>0</v>
      </c>
      <c r="BL314" s="10">
        <f>IF(OR(Исходн.данные.!$AH314=$BP$1,Исходн.данные.!$AH314=$BP$2),0,IF(BH314&lt;0,0,IF(OR(Исходн.данные.!T314=Расчет!$BP$1,Исходн.данные.!T314=Расчет!$BP$2,Исходн.данные.!T314=Расчет!$BT$5,Исходн.данные.!T314=Расчет!$BT$6),BH314*0.5,IF(OR(Исходн.данные.!T314=Расчет!$BS$9,Исходн.данные.!T314=Расчет!$BS$10,Исходн.данные.!T314=Расчет!$BS$11,Исходн.данные.!T314=Расчет!$BS$12,Исходн.данные.!T314=Расчет!$BP$5),BH314*0.8,BH314))))</f>
        <v>0</v>
      </c>
      <c r="BM314" s="10">
        <f>IF(OR(Исходн.данные.!$AH314=$BP$1,Исходн.данные.!$AH314=$BP$2),0,IF(BJ314&lt;0,0,IF(Исходн.данные.!I314&lt;4.5,BJ314*1.2,IF(Исходн.данные.!I314&gt;5.1,BJ314,BJ314*((5.1-Исходн.данные.!I314)*0.333+1)))))</f>
        <v>0</v>
      </c>
      <c r="BN314" s="10">
        <f>IF(OR(Исходн.данные.!$AH314=$BP$1,Исходн.данные.!$AH314=$BP$2),60-Исходн.данные.!AF314,IF(BK314&lt;0,0,IF(Исходн.данные.!I314&lt;4.5,BK314*1.2,IF(Исходн.данные.!I314&gt;5.1,BK314,BK314*((5.1-Исходн.данные.!I314)*0.333+1)))))</f>
        <v>0</v>
      </c>
      <c r="BO314" s="9">
        <f>IF(BL314&lt;0,0,BL314*Исходн.данные.!$AJ314/1000)</f>
        <v>0</v>
      </c>
      <c r="BP314" s="9">
        <f>IF(BM314&lt;0,0,BM314*Исходн.данные.!$AJ314/1000)</f>
        <v>0</v>
      </c>
      <c r="BQ314" s="9">
        <f>IF(BN314&lt;0,0,BN314*Исходн.данные.!$AJ314/1000)</f>
        <v>0</v>
      </c>
      <c r="BR314" s="9">
        <f t="shared" si="377"/>
        <v>0</v>
      </c>
      <c r="BS314" s="10" t="str">
        <f t="shared" si="378"/>
        <v>Аммофос 12:52:00</v>
      </c>
      <c r="BT314" s="10" t="str">
        <f t="shared" si="379"/>
        <v>Аммофос 12:52:00</v>
      </c>
      <c r="BU314" s="10" t="str">
        <f t="shared" si="380"/>
        <v>Диаммофоска</v>
      </c>
      <c r="BV314" s="10">
        <f t="shared" si="381"/>
        <v>0</v>
      </c>
      <c r="BW314" s="10"/>
      <c r="BX314" s="10"/>
      <c r="BY314" s="9">
        <f>IF(BL314&lt;0,0,IF(OR(Исходн.данные.!AI314=Расчет!$BU$6,Исходн.данные.!AI314=Расчет!$BU$7),Расчет!BV314,IF(Исходн.данные.!$AG314=$BV$11,BL314,IF(OR(Исходн.данные.!$AH314=$BQ$7,Исходн.данные.!$AH314=$BQ$8),CB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0,IF(Исходн.данные.!$AI314=$BU$11,"Нет",IF(BL314&gt;30,30,BL314)))))))</f>
        <v>0</v>
      </c>
      <c r="BZ314" s="9">
        <f>IF(AND(Исходн.данные.!$AG314=$BV$11,BM314&lt;10),10,IF(Исходн.данные.!$AG314=$BV$11,BM314,IF(OR(Исходн.данные.!$AH314=$BQ$7,Исходн.данные.!$AH314=$BQ$8),CC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10,IF(Исходн.данные.!$AI314=$BU$11,"Нет",IF(BM314&gt;60,60,IF(BM314&lt;10,10,BM314)))))))</f>
        <v>10</v>
      </c>
      <c r="CA314" s="39">
        <f>IF(BN314&lt;0,0,IF(Исходн.данные.!$AG314=$BV$11,BN314,IF(OR(Исходн.данные.!$AH314=$BQ$7,Исходн.данные.!$AH314=$BQ$8),CD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0,IF(Исходн.данные.!$AI314=$BU$11,"Нет",IF(BN314&gt;30,30,BN314))))))</f>
        <v>0</v>
      </c>
      <c r="CB314" s="9">
        <f t="shared" si="382"/>
        <v>0</v>
      </c>
      <c r="CC314" s="9">
        <f t="shared" si="383"/>
        <v>0</v>
      </c>
      <c r="CD314" s="9">
        <f t="shared" si="384"/>
        <v>0</v>
      </c>
      <c r="CE314" s="12">
        <f t="shared" si="385"/>
        <v>10</v>
      </c>
      <c r="CF314" s="9">
        <f t="shared" si="386"/>
        <v>0</v>
      </c>
      <c r="CG314" s="9" t="s">
        <v>231</v>
      </c>
      <c r="CH314" s="132" t="str">
        <f>IF(Исходн.данные.!AP314=Расчет!$CI$16,"Нет",IF(Исходн.данные.!AL314&gt;0,Исходн.данные.!AL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BH$4,IF(OR(Исходн.данные.!AI314=Исходн.данные.!$AI$6,Исходн.данные.!AI314=Исходн.данные.!$AI$7),Расчет!BS314,IF(AND($CF314=0,$CE314&gt;0),EV314,ER314)))))</f>
        <v>Аммофос 12:52:00</v>
      </c>
      <c r="CI314" s="274">
        <f>IF(Расчет!$CH314="Нет","Нет",IF(Исходн.данные.!$AL314&gt;0,VLOOKUP(Расчет!$CH314,АшламаДВ_Irekle,2,FALSE),VLOOKUP(Расчет!$CH314,АшламаДВ_Gomumy,2,FALSE)))</f>
        <v>0.12</v>
      </c>
      <c r="CJ314" s="274">
        <f>IF(Расчет!$CH314="Нет","Нет",IF(Исходн.данные.!$AL314&gt;0,VLOOKUP(Расчет!$CH314,АшламаДВ_Irekle,3,FALSE),VLOOKUP(Расчет!$CH314,АшламаДВ_Gomumy,3,FALSE)))</f>
        <v>0.52</v>
      </c>
      <c r="CK314" s="274">
        <f>IF(Расчет!$CH314="Нет","Нет",IF(Исходн.данные.!$AL314&gt;0,VLOOKUP(Расчет!$CH314,АшламаДВ_Irekle,4,FALSE),VLOOKUP(Расчет!$CH314,АшламаДВ_Gomumy,4,FALSE)))</f>
        <v>0</v>
      </c>
      <c r="CL314" s="70"/>
      <c r="CM314" s="70"/>
      <c r="CN314" s="70"/>
      <c r="CO314" s="70"/>
      <c r="CP314" s="70"/>
      <c r="CQ314" s="70"/>
      <c r="CR314" s="10">
        <f t="shared" si="387"/>
        <v>0</v>
      </c>
      <c r="CS314" s="10">
        <f t="shared" si="388"/>
        <v>19.23076923076923</v>
      </c>
      <c r="CT314" s="10">
        <f t="shared" si="389"/>
        <v>0</v>
      </c>
      <c r="CU314" s="39">
        <f>IF($CH314="Нет",0,IF(CI314=0,30/MIN(CJ314:CK314),IF(Исходн.данные.!$AG314=$BV$11,CR314,IF(OR(Исходн.данные.!$AH314=$BQ$7,Исходн.данные.!$AH314=$BQ$8),90/CI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0,IF(Исходн.данные.!$AI314=$BU$11,"Нет",30/CI314))))))</f>
        <v>250</v>
      </c>
      <c r="CV314" s="39">
        <f>IF($CH314="Нет",0,IF(Исходн.данные.!AH314=0,0,IF(CJ314=0,60/MIN(CI314,CK314),IF(Исходн.данные.!$AG314=$BV$11,CS314,IF(OR(Исходн.данные.!$AH314=$BQ$7,Исходн.данные.!$AH314=$BQ$8),90/CJ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10/CJ314,IF(Исходн.данные.!$AI314=$BU$11,"Нет",60/CJ314)))))))</f>
        <v>0</v>
      </c>
      <c r="CW314" s="39">
        <f>IF($CH314="Нет",0,IF(Исходн.данные.!AH314=0,0,IF(CK314=0,30/MIN(CI314:CJ314),IF(Исходн.данные.!$AG314=$BV$11,CT314,IF(OR(Исходн.данные.!$AH314=$BQ$7,Исходн.данные.!$AH314=$BQ$8),90/CK314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0,IF(Исходн.данные.!$AI314=$BU$11,"Нет",30/CK314)))))))</f>
        <v>0</v>
      </c>
      <c r="CX314" s="133">
        <f>IF(Исходн.данные.!$AG314=$BV$11,MAX(CU314:CW314),IF(OR(Исходн.данные.!$AH314=$BS$8,Исходн.данные.!$AH314=$BQ$9,Исходн.данные.!$AH314=$BQ$10,Исходн.данные.!$AH314=$BQ$11,Исходн.данные.!$AH314=$BQ$12,Исходн.данные.!$AH314=$BP$3,Исходн.данные.!$AH314=$BT$8,$FM314="Да"),CV314,MIN(CU314:CW314)))</f>
        <v>0</v>
      </c>
      <c r="CY314" s="133">
        <f>IF(Исходн.данные.!AH314=0,0,IF(CR314&gt;$CX314,$CX314,CR314))</f>
        <v>0</v>
      </c>
      <c r="CZ314" s="133">
        <f>IF(Исходн.данные.!AH314=0,0,IF(CS314&gt;$CX314,$CX314,CS314))</f>
        <v>0</v>
      </c>
      <c r="DA314" s="133">
        <f>IF(Исходн.данные.!AH314=0,0,IF(CT314&gt;$CX314,$CX314,CT314))</f>
        <v>0</v>
      </c>
      <c r="DB314" s="10">
        <f t="shared" si="390"/>
        <v>0</v>
      </c>
      <c r="DC314" s="39">
        <f>DB314*Исходн.данные.!AJ314/1000</f>
        <v>0</v>
      </c>
      <c r="DD314" s="71">
        <f t="shared" si="391"/>
        <v>0</v>
      </c>
      <c r="DE314" s="9">
        <f t="shared" si="392"/>
        <v>0</v>
      </c>
      <c r="DF314" s="9">
        <f t="shared" si="393"/>
        <v>0</v>
      </c>
      <c r="DG314" s="39">
        <f>IF(BL314&lt;0,0,IF($CH314="Нет",BL314,IF(OR(Исходн.данные.!$AH314=$BP$1,Исходн.данные.!$AH314=$BP$2),0,IF(Исходн.данные.!AI314=$BU$11,BL314,IF(BL314-DD314&lt;0,0,BL314-DD314)))))</f>
        <v>0</v>
      </c>
      <c r="DH314" s="39">
        <f>IF(BM314&lt;0,0,IF($CH314="Нет",BM314,IF(OR(Исходн.данные.!$AH314=$BP$1,Исходн.данные.!$AH314=$BP$2),0,IF(Исходн.данные.!AJ314=$BU$11,BM314,IF(BM314-DE314&lt;0,0,BM314-DE314)))))</f>
        <v>0</v>
      </c>
      <c r="DI314" s="39">
        <f>IF(BN314&lt;0,0,IF($CH314="Нет",BN314,IF(OR(Исходн.данные.!$AH314=$BP$1,Исходн.данные.!$AH314=$BP$2),0,IF(Исходн.данные.!AK314=$BU$11,BN314,IF(BN314-DF314&lt;0,0,BN314-DF314)))))</f>
        <v>0</v>
      </c>
      <c r="DJ314" s="12">
        <f t="shared" si="394"/>
        <v>0</v>
      </c>
      <c r="DK314" s="9">
        <f t="shared" si="395"/>
        <v>0</v>
      </c>
      <c r="DL314" s="39">
        <f>IF(Исходн.данные.!AM314&gt;0,Исходн.данные.!AM314,IF(EG314&gt;0,$BH$10,0))</f>
        <v>0</v>
      </c>
      <c r="DM314" s="186">
        <f>IF($DL314=0,0,IF(Исходн.данные.!AM314&gt;0,VLOOKUP($DL314,АшламаДВ_Irekle,2,FALSE),VLOOKUP($DL314,АшламаДВ_Gomumy,2,FALSE)))</f>
        <v>0</v>
      </c>
      <c r="DN314" s="10">
        <f t="shared" si="373"/>
        <v>0</v>
      </c>
      <c r="DO314" s="9" t="str">
        <f>IF(Исходн.данные.!AN314&gt;0,Исходн.данные.!AN314,Удобрения!$B$37 )</f>
        <v>Хлор.калий</v>
      </c>
      <c r="DP314" s="9">
        <f>IF(Исходн.данные.!AN314&gt;0,VLOOKUP(Исходн.данные.!AN314,АшламаДВ_Irekle,4,FALSE),VLOOKUP(DO314,АшламаДВ_Gomumy,4,FALSE))</f>
        <v>0.6</v>
      </c>
      <c r="DQ314" s="10">
        <f t="shared" si="374"/>
        <v>0</v>
      </c>
      <c r="DR314" s="132" t="str">
        <f>IF(Исходн.данные.!AO314&gt;0,Исходн.данные.!AO314,IF(DH314=0,BS$17,IF(AND($DK314=0,$DJ314&gt;0),EJ314,EN314)))</f>
        <v>Нет</v>
      </c>
      <c r="DS314" s="70" t="str">
        <f>IF($DR314="Нет","Нет",IF(Исходн.данные.!$AO314&gt;0,VLOOKUP($DR314,АшламаДВ_Irekle,2,FALSE),VLOOKUP($DR314,АшламаДВ_Gomumy,2,FALSE)))</f>
        <v>Нет</v>
      </c>
      <c r="DT314" s="70" t="str">
        <f>IF($DR314="Нет","Нет",IF(Исходн.данные.!$AO314&gt;0,VLOOKUP($DR314,АшламаДВ_Irekle,3,FALSE),VLOOKUP($DR314,АшламаДВ_Gomumy,3,FALSE)))</f>
        <v>Нет</v>
      </c>
      <c r="DU314" s="70" t="str">
        <f>IF($DR314="Нет","Нет",IF(Исходн.данные.!$AO314&gt;0,VLOOKUP($DR314,АшламаДВ_Irekle,4,FALSE),VLOOKUP($DR314,АшламаДВ_Gomumy,4,FALSE)))</f>
        <v>Нет</v>
      </c>
      <c r="DV314" s="70"/>
      <c r="DW314" s="70"/>
      <c r="DX314" s="70"/>
      <c r="DY314" s="10">
        <f t="shared" si="396"/>
        <v>0</v>
      </c>
      <c r="DZ314" s="10">
        <f t="shared" si="397"/>
        <v>0</v>
      </c>
      <c r="EA314" s="10">
        <f t="shared" si="398"/>
        <v>0</v>
      </c>
      <c r="EB314" s="10">
        <f t="shared" si="399"/>
        <v>0</v>
      </c>
      <c r="EC314" s="10">
        <f t="shared" si="400"/>
        <v>0</v>
      </c>
      <c r="ED314" s="10">
        <f t="shared" si="401"/>
        <v>0</v>
      </c>
      <c r="EE314" s="10">
        <f t="shared" si="402"/>
        <v>0</v>
      </c>
      <c r="EF314" s="39">
        <f>EB314*Исходн.данные.!AJ314/1000</f>
        <v>0</v>
      </c>
      <c r="EG314" s="9">
        <f t="shared" si="403"/>
        <v>0</v>
      </c>
      <c r="EH314" s="9">
        <f t="shared" si="404"/>
        <v>0</v>
      </c>
      <c r="EI314" s="39" t="e">
        <f t="shared" si="354"/>
        <v>#DIV/0!</v>
      </c>
      <c r="EJ314" s="9" t="str">
        <f t="shared" si="375"/>
        <v>Азопреципитат</v>
      </c>
      <c r="EK314" s="12">
        <f t="shared" si="355"/>
        <v>0.26</v>
      </c>
      <c r="EL314" s="12">
        <f t="shared" si="356"/>
        <v>0.13</v>
      </c>
      <c r="EM314" s="12">
        <f t="shared" si="357"/>
        <v>0</v>
      </c>
      <c r="EN314" s="12" t="str">
        <f t="shared" si="376"/>
        <v>Нет</v>
      </c>
      <c r="EO314" s="12">
        <f t="shared" si="358"/>
        <v>0</v>
      </c>
      <c r="EP314" s="12">
        <f t="shared" si="359"/>
        <v>0</v>
      </c>
      <c r="EQ314" s="12">
        <f t="shared" si="360"/>
        <v>0</v>
      </c>
      <c r="ER314" s="12" t="str">
        <f t="shared" si="405"/>
        <v>Диаммофоска</v>
      </c>
      <c r="ES314" s="12">
        <f t="shared" si="361"/>
        <v>0.1</v>
      </c>
      <c r="ET314" s="12">
        <f t="shared" si="362"/>
        <v>0.26</v>
      </c>
      <c r="EU314" s="12">
        <f t="shared" si="363"/>
        <v>0.26</v>
      </c>
      <c r="EV314" s="12" t="str">
        <f t="shared" si="406"/>
        <v>Аммофос 12:52:00</v>
      </c>
      <c r="EW314" s="12" t="str">
        <f t="shared" si="407"/>
        <v>Кемира Свекловичное-6</v>
      </c>
      <c r="EX314" s="12">
        <f t="shared" si="364"/>
        <v>0.16</v>
      </c>
      <c r="EY314" s="12">
        <f t="shared" si="365"/>
        <v>0.12</v>
      </c>
      <c r="EZ314" s="12">
        <f t="shared" si="366"/>
        <v>0.17</v>
      </c>
      <c r="FA314" s="38" t="e">
        <f>IF(AND(OR(FJ314=$FD$1,FM314=$FD$1,FO314=$FD$1,FQ314=$FD$1,FS314=$FD$1),FD314=$FD$1,Исходн.данные.!J314&lt;2,FU314=$FD$1),"Бор,Кобальт",IF(AND(FO314=$FD$1,FH314=$FD$1,Исходн.данные.!J314&lt;2,FU314=$FD$1),"Бор,Кобальт",IF(AND(OR(FJ314=$FD$1,FM314=$FD$1,FQ314=$FD$1),FE314=$FD$1,Исходн.данные.!J314&lt;2,FT314=$FD$1,FU314=$FD$1),"Бор,Медь,Цинк",IF(AND(OR(FJ314=$FD$1,FR314="Да"),FI314="Да",Исходн.данные.!J314&lt;2,FT314="Да",FU314="Да"),"Бор,Цинк,Медь",IF(AND(OR(FM314="Да",FQ314="Да"),FI314="Да",Исходн.данные.!J314&lt;2,FT314="Да",FU314="Да"),"Бор,Цинк",IF(AND(FN314="Да",OR(FD314="Да",FE314="Да")),"Бор",FB314))))))</f>
        <v>#N/A</v>
      </c>
      <c r="FB314" s="134" t="e">
        <f>IF(AND(OR(FD314="Да",FE314="Да",FF314="Да",FG314="Да",FH314="Да"),FO314="Да"),"Бор",IF(AND(FP314="Да",OR(FD314="Да",FE314="Да",FI314="Да")),"Бор",IF(AND(FS314="Да",FE314="Да"),"Бор,Медь",IF(AND(OR(FJ314="Да",FK314="Да",FL314="Да"),FE314="Да",Исходн.данные.!I314&lt;5,FT314="Да",FU314="Да"),"Молибден,Цинк",IF(AND(FM314="Да",OR(FE314="Да",FF314="Да",FG314="Да",FH314="Да",FI314="Да")),"Молибден,Цинк",IF(AND(OR(FJ314="Да",FK314="Да",FL314="Да",FM314="Да",FQ314="Да"),OR(FE314="Да",FF314="Да"),FT314="Да",FU314="Да",Исходн.данные.!I314&gt;5.5),"Медь,Цинк",FC314))))))</f>
        <v>#N/A</v>
      </c>
      <c r="FC314" s="23" t="e">
        <f t="shared" si="408"/>
        <v>#N/A</v>
      </c>
      <c r="FD314" s="38" t="str">
        <f>IF(OR(Исходн.данные.!F314=$CC$1,Исходн.данные.!F314=$CC$2,Исходн.данные.!F314=$CC$3,Исходн.данные.!F314=$CC$4),"Да","Нет")</f>
        <v>Нет</v>
      </c>
      <c r="FE314" s="38" t="str">
        <f>IF(Исходн.данные.!F314=$CC$5,"Да","Нет")</f>
        <v>Нет</v>
      </c>
      <c r="FF314" s="38" t="str">
        <f>IF(OR(Исходн.данные.!F314=$CC$6,Исходн.данные.!F314=$CC$7),"Да","Нет")</f>
        <v>Нет</v>
      </c>
      <c r="FG314" s="38" t="str">
        <f>IF(OR(Исходн.данные.!F314=$CC$8,Исходн.данные.!F314=$CC$9),"Да","Нет")</f>
        <v>Нет</v>
      </c>
      <c r="FH314" s="38" t="str">
        <f>IF(Исходн.данные.!F314=$CC$10,"Да","Нет")</f>
        <v>Нет</v>
      </c>
      <c r="FI314" s="38" t="str">
        <f>IF(OR(Исходн.данные.!F314=$CC$11,Исходн.данные.!F314=$CC$12),"Да","Нет")</f>
        <v>Нет</v>
      </c>
      <c r="FJ314" s="38" t="str">
        <f>IF(OR(Исходн.данные.!AH314=$BS$1,Исходн.данные.!AH314=$BQ$11,Исходн.данные.!AH314=$BQ$12),"Да","Нет")</f>
        <v>Нет</v>
      </c>
      <c r="FK314" s="38" t="str">
        <f>IF(OR(Исходн.данные.!AH314=$BS$2,Исходн.данные.!AH314=$BS$4),"Да","Нет")</f>
        <v>Нет</v>
      </c>
      <c r="FL314" s="38" t="str">
        <f>IF(OR(Исходн.данные.!AH314=$BS$3,Исходн.данные.!AH314=$BS$5),"Да","Нет")</f>
        <v>Нет</v>
      </c>
      <c r="FM314" s="38" t="str">
        <f>IF(OR(Исходн.данные.!AH314=$BS$9,Исходн.данные.!AH314=$BS$10,Исходн.данные.!AH314=$BS$11,Исходн.данные.!AH314=$BS$12),"Да","Нет")</f>
        <v>Нет</v>
      </c>
      <c r="FN314" s="38" t="str">
        <f>IF(OR(Исходн.данные.!AH314=$BS$6,Исходн.данные.!AH314=$BP$3),"Да","Нет")</f>
        <v>Нет</v>
      </c>
      <c r="FO314" s="38" t="str">
        <f>IF(Исходн.данные.!AH314=$BQ$9,"Да","Нет")</f>
        <v>Нет</v>
      </c>
      <c r="FP314" s="38" t="str">
        <f>IF(OR(Исходн.данные.!AH314=$BS$8,Исходн.данные.!AH314=$BT$8),"Да","Нет")</f>
        <v>Нет</v>
      </c>
      <c r="FQ314" s="38" t="str">
        <f>IF(OR(Исходн.данные.!AH314=$BQ$7,Исходн.данные.!AH314=$BQ$8),"Да","Нет")</f>
        <v>Нет</v>
      </c>
      <c r="FR314" s="38" t="str">
        <f>IF(Исходн.данные.!AI314=$BU$9,"Да","Нет")</f>
        <v>Нет</v>
      </c>
      <c r="FS314" s="38" t="str">
        <f>IF(OR(Исходн.данные.!AH314=$BP$1,Исходн.данные.!AH314=$BP$2),"Да","Нет")</f>
        <v>Нет</v>
      </c>
      <c r="FT314" s="38" t="e">
        <f>IF((Исходн.данные.!K314*GO314*GS314*GW314+BL314*0.6+Исходн.данные.!Q314*4.5*0.275)&gt;90,"Да","Нет")</f>
        <v>#N/A</v>
      </c>
      <c r="FU314" s="38" t="e">
        <f>IF((Исходн.данные.!M314*GS314*GZ314+BM314*0.225)&gt;35,"Да","Нет")</f>
        <v>#N/A</v>
      </c>
      <c r="FV314" s="38" t="str">
        <f>IF(Исходн.данные.!O314&gt;175,"Да","Нет")</f>
        <v>Нет</v>
      </c>
      <c r="FW314" s="39" t="str">
        <f>IF(Исходн.данные.!I314&gt;5.5,"Да","Нет")</f>
        <v>Нет</v>
      </c>
      <c r="FX314" s="39" t="str">
        <f>IF(Исходн.данные.!J314&lt;2,"Да","Нет")</f>
        <v>Да</v>
      </c>
      <c r="FY314" s="39" t="e">
        <f>IF(HF314=$FY$16,0,Исходн.данные.!K314*GO314*GS314*GW314/HF314)</f>
        <v>#N/A</v>
      </c>
      <c r="FZ314" s="39" t="e">
        <f>Исходн.данные.!M314*GS314*GZ314/HG314</f>
        <v>#N/A</v>
      </c>
      <c r="GA314" s="39" t="e">
        <f>IF(K_Wyn=$FY$16,0,IF(Исходн.данные.!N314=Исходн.данные.!$L$10,Исходн.данные.!O314/1.1*GS314*HC314/HH314,IF(Исходн.данные.!N314=Исходн.данные.!$L$12,Исходн.данные.!O314/1.5*GS314*HC314/HH314,Исходн.данные.!O314*GS314*HC314/HH314)))</f>
        <v>#N/A</v>
      </c>
      <c r="GB314" s="39" t="e">
        <f>IF(HF314=$FY$16,0,((Исходн.данные.!Q314*N_Org+Исходн.данные.!R314*N_Sider+Исходн.данные.!S314*N_Soloma)*AO314+Расчет!BC314*VLOOKUP(Исходн.данные.!T314,Справ!$A$3:$O$57,15)*AO314+BB314*VLOOKUP(Исходн.данные.!T314,Справ!$A$3:$O$57,15)*AL314+(Исходн.данные.!V314*N_Rizotorf+Исходн.данные.!W314*N_Rizoagr))/HF314)</f>
        <v>#N/A</v>
      </c>
      <c r="GC314" s="39" t="e">
        <f>IF(HG314=$FY$16,0,((Исходн.данные.!Q314*Р_Org+Исходн.данные.!R314*P_Sider+Исходн.данные.!S314*P_Soloma)*AP314+Расчет!BC314*VLOOKUP(Исходн.данные.!T314,Справ!$A$3:$P$57,16)*AP314+BB314*VLOOKUP(Исходн.данные.!T314,Справ!$A$3:$P$57,16)*AM314)/HG314)</f>
        <v>#N/A</v>
      </c>
      <c r="GD314" s="39" t="e">
        <f>IF(HH314=$FY$16,0,((Исходн.данные.!Q314*К_Org+Исходн.данные.!R314*K_Sider+Исходн.данные.!S314*K_Soloma)*AQ314+Расчет!BC314*VLOOKUP(Исходн.данные.!T314,Справ!$A$3:$Q$57,17)*AQ314+BB314*VLOOKUP(Исходн.данные.!T314,Справ!$A$3:$Q$57,17)*AN314)/HH314)</f>
        <v>#N/A</v>
      </c>
      <c r="GE314" s="39" t="e">
        <f>IF(HF314=$FY$16,0,(Исходн.данные.!X314*AR314+Исходн.данные.!AA314*N_Org*AL314+Исходн.данные.!AB314*N_Sider*AL314+Исходн.данные.!AC314*N_Soloma*AL314)/HF314)</f>
        <v>#N/A</v>
      </c>
      <c r="GF314" s="39" t="e">
        <f>IF(HG314=$FY$16,0,(Исходн.данные.!Y314*AS314+Исходн.данные.!AA314*Р_Org*AM314+Исходн.данные.!AB314*P_Sider*AM314+Исходн.данные.!AC314*P_Soloma*AM314)/HG314)</f>
        <v>#N/A</v>
      </c>
      <c r="GG314" s="39" t="e">
        <f>IF(HH314=$FY$16,0,(Исходн.данные.!Z314*AT314+Исходн.данные.!AA314*К_Org*AN314+Исходн.данные.!AB314*K_Sider*AN314+Исходн.данные.!AC314*K_Soloma*AN314)/HH314)</f>
        <v>#N/A</v>
      </c>
      <c r="GH314" s="39" t="e">
        <f>Исходн.данные.!AD314*AU314/HF314</f>
        <v>#N/A</v>
      </c>
      <c r="GI314" s="39" t="e">
        <f>Исходн.данные.!AE314*AV314/HG314</f>
        <v>#N/A</v>
      </c>
      <c r="GJ314" s="39" t="e">
        <f>Исходн.данные.!AF314*AW314/HH314</f>
        <v>#N/A</v>
      </c>
      <c r="GK314" s="55">
        <f>Исходн.данные.!AK314</f>
        <v>0</v>
      </c>
      <c r="GL314" s="11" t="e">
        <f t="shared" si="409"/>
        <v>#N/A</v>
      </c>
      <c r="GM314" s="11" t="e">
        <f t="shared" si="410"/>
        <v>#N/A</v>
      </c>
      <c r="GN314" s="11" t="e">
        <f t="shared" si="411"/>
        <v>#N/A</v>
      </c>
      <c r="GO314" s="57">
        <f t="shared" si="412"/>
        <v>19</v>
      </c>
      <c r="GP314" s="55">
        <f>IF(OR(Исходн.данные.!F314=$CE$1,Исходн.данные.!F314=$CE$2,Исходн.данные.!F314=$CE$3,Исходн.данные.!F314=$CE$4,Исходн.данные.!F314=$CE$5),GQ314,GR314)</f>
        <v>19</v>
      </c>
      <c r="GQ314" s="55">
        <f>IF(Исходн.данные.!F314=$CE$1,28,IF(Исходн.данные.!F314=$CE$2,26,IF(Исходн.данные.!F314=$CE$3,24,IF(Исходн.данные.!F314=$CE$4,22,IF(Исходн.данные.!F314=$CE$5,20,GR314)))))</f>
        <v>19</v>
      </c>
      <c r="GR314" s="55">
        <f>IF(Исходн.данные.!F314=$CE$6,18,IF(Исходн.данные.!F314=$CE$7,16,IF(Исходн.данные.!F314=$CE$8,14,IF(Исходн.данные.!F314=$CE$9,13,IF(Исходн.данные.!F314=$CE$10,12,19)))))</f>
        <v>19</v>
      </c>
      <c r="GS314" s="55">
        <f>IF(Исходн.данные.!G314="Пес",0.035*(40+2*Исходн.данные.!H314),IF(Исходн.данные.!G314="Суп",0.0325*(40+2*Исходн.данные.!H314),0.03*(40+2*Исходн.данные.!H314)))</f>
        <v>1.2</v>
      </c>
      <c r="GT314" s="55">
        <f>IF(Исходн.данные.!H314&lt;23,2.6,IF(AND(Исходн.данные.!H314&gt;22,Исходн.данные.!H314&lt;26),3,IF(AND(Исходн.данные.!H314&gt;25,Исходн.данные.!H314&lt;29),3.4,3.6)))</f>
        <v>2.6</v>
      </c>
      <c r="GU314" s="55">
        <f>IF(Исходн.данные.!H314&lt;23,2.8,IF(AND(Исходн.данные.!H314&gt;22,Исходн.данные.!H314&lt;26),3.2,IF(AND(Исходн.данные.!H314&gt;25,Исходн.данные.!H314&lt;29),3.6,3.9)))</f>
        <v>2.8</v>
      </c>
      <c r="GV314" s="55">
        <f>IF(Исходн.данные.!H314&lt;23,3,IF(AND(Исходн.данные.!H314&gt;22,Исходн.данные.!H314&lt;26),3.5,IF(AND(Исходн.данные.!H314&gt;25,Исходн.данные.!H314&lt;29),3.9,4.2)))</f>
        <v>3</v>
      </c>
      <c r="GW314" s="55" t="e">
        <f>IF(Исходн.данные.!P314="Ум",GX314,GY314)</f>
        <v>#N/A</v>
      </c>
      <c r="GX314" s="55" t="e">
        <f>VLOOKUP(Исходн.данные.!AI314,Коэффициенты!$J$7:$L$13,2,FALSE)</f>
        <v>#N/A</v>
      </c>
      <c r="GY314" s="55" t="e">
        <f>VLOOKUP(Исходн.данные.!AI314,Коэффициенты!$J$7:$L$13,3,FALSE)</f>
        <v>#N/A</v>
      </c>
      <c r="GZ314" s="55" t="e">
        <f>(IF(Исходн.данные.!M314&lt;50,0.11*VLOOKUP(Исходн.данные.!AH314,Культуры.Информация,7,FALSE),IF(Исходн.данные.!M314&gt;250,0.05*VLOOKUP(Исходн.данные.!AH314,Культуры.Информация,7,FALSE),VLOOKUP(Исходн.данные.!AH314,Культуры.Информация,5,FALSE)/100*($GX$6+$GY$6*Исходн.данные.!M314))))*Расчет2!AI314</f>
        <v>#N/A</v>
      </c>
      <c r="HA314" s="211"/>
      <c r="HB314" s="211"/>
      <c r="HC314" s="55" t="e">
        <f>(IF(Исходн.данные.!O314&lt;80,0.2*VLOOKUP(Исходн.данные.!AH314,Культуры.Информация,8,FALSE),IF(Исходн.данные.!O314&gt;240,0.09*VLOOKUP(Исходн.данные.!AH314,Культуры.Информация,8,FALSE),VLOOKUP(Исходн.данные.!AH314,Культуры.Информация,6,FALSE)/100*($HB$6+$HC$6*Исходн.данные.!O314))))*Расчет2!AJ314</f>
        <v>#N/A</v>
      </c>
      <c r="HD314" s="55">
        <f>IF(Исходн.данные.!O314&gt;240,0.09,IF(Исходн.данные.!O314&lt;30,0.3,$HE$10+$HD$10*Исходн.данные.!O314))</f>
        <v>0.3</v>
      </c>
      <c r="HE314" s="55">
        <f>IF(Исходн.данные.!O314&gt;240,0.17,IF(Исходн.данные.!O314&lt;30,0.5,$HF$12+$HE$12*Исходн.данные.!O314))</f>
        <v>0.5</v>
      </c>
      <c r="HF314" s="55" t="e">
        <f>VLOOKUP(Исходн.данные.!AH314,Справ!$A$3:$D$58,2,FALSE)</f>
        <v>#N/A</v>
      </c>
      <c r="HG314" s="55" t="e">
        <f>VLOOKUP(Исходн.данные.!AH314,Справ!$A$3:$D$58,3,FALSE)</f>
        <v>#N/A</v>
      </c>
      <c r="HH314" s="55" t="e">
        <f>VLOOKUP(Исходн.данные.!AH314,Справ!$A$3:$D$58,4,FALSE)</f>
        <v>#N/A</v>
      </c>
      <c r="HI314" s="11" t="e">
        <f t="shared" si="413"/>
        <v>#N/A</v>
      </c>
      <c r="HJ314" s="11" t="e">
        <f t="shared" si="414"/>
        <v>#N/A</v>
      </c>
      <c r="HK314" s="11" t="e">
        <f t="shared" si="415"/>
        <v>#N/A</v>
      </c>
      <c r="HL314" s="55">
        <f>IF(OR(Исходн.данные.!G314="Глин",Исходн.данные.!G314="Т_суг"),1.1,IF(Исходн.данные.!G314="Ср_суг",1,1))</f>
        <v>1</v>
      </c>
      <c r="HM314" s="55">
        <f>IF(OR(Исходн.данные.!G314="Глин",Исходн.данные.!G314="Т_суг"),0.9,IF(Исходн.данные.!G314="Ср_суг",1,1.2))</f>
        <v>1.2</v>
      </c>
      <c r="HN314" s="11" t="e">
        <f t="shared" si="416"/>
        <v>#N/A</v>
      </c>
      <c r="HO314" s="11" t="e">
        <f t="shared" si="417"/>
        <v>#N/A</v>
      </c>
      <c r="HP314" s="11" t="e">
        <f t="shared" si="418"/>
        <v>#N/A</v>
      </c>
      <c r="HQ314" t="e">
        <f t="shared" si="419"/>
        <v>#N/A</v>
      </c>
      <c r="HR314" t="e">
        <f t="shared" si="420"/>
        <v>#N/A</v>
      </c>
      <c r="HS314" t="e">
        <f t="shared" si="421"/>
        <v>#N/A</v>
      </c>
      <c r="HT314" t="e">
        <f t="shared" si="367"/>
        <v>#N/A</v>
      </c>
      <c r="HU314" t="e">
        <f t="shared" si="368"/>
        <v>#N/A</v>
      </c>
      <c r="HV314" t="e">
        <f t="shared" si="369"/>
        <v>#N/A</v>
      </c>
      <c r="HW314" t="e">
        <f t="shared" si="370"/>
        <v>#N/A</v>
      </c>
      <c r="HX314" t="e">
        <f t="shared" si="371"/>
        <v>#N/A</v>
      </c>
      <c r="HY314" t="e">
        <f t="shared" si="372"/>
        <v>#N/A</v>
      </c>
      <c r="HZ314" s="55">
        <f>IF(OR(Исходн.данные.!AI314="Оз_Ч_П",Исходн.данные.!AI314="Оз_З_П",Исходн.данные.!AI314="Яр_зер"),12,30)</f>
        <v>30</v>
      </c>
      <c r="IA314" t="e">
        <f t="shared" si="422"/>
        <v>#N/A</v>
      </c>
      <c r="IB314" t="e">
        <f t="shared" si="423"/>
        <v>#N/A</v>
      </c>
      <c r="IC314" t="e">
        <f t="shared" si="424"/>
        <v>#N/A</v>
      </c>
      <c r="ID314" s="11" t="e">
        <f t="shared" si="425"/>
        <v>#N/A</v>
      </c>
      <c r="IE314" s="11" t="e">
        <f t="shared" si="426"/>
        <v>#N/A</v>
      </c>
      <c r="IF314" s="11" t="e">
        <f t="shared" si="427"/>
        <v>#N/A</v>
      </c>
    </row>
    <row r="315" spans="35:240" x14ac:dyDescent="0.2">
      <c r="AI315">
        <f>IF(Исходн.данные.!I315&gt;6,1,1.85-(0.148*Исходн.данные.!I315))</f>
        <v>1.85</v>
      </c>
      <c r="AJ315">
        <f>IF(Исходн.данные.!I315&gt;6,1,2.434-(0.246*Исходн.данные.!I315))</f>
        <v>2.4340000000000002</v>
      </c>
      <c r="AL315" s="148" t="b">
        <f>IF(Исходн.данные.!$P315="Ум",N_OrgUd_2g_um,IF(Исходн.данные.!$P315="Об",N_OrgUd_2g_ob))</f>
        <v>0</v>
      </c>
      <c r="AM315" s="148" t="b">
        <f>IF(Исходн.данные.!$P315="Ум",P_OrgUd_2g_um,IF(Исходн.данные.!$P315="Об",P_OrgUd_2g_ob))</f>
        <v>0</v>
      </c>
      <c r="AN315" s="148" t="b">
        <f>IF(Исходн.данные.!$P315="Ум",K_OrgUd_2g_um,IF(Исходн.данные.!$P315="Об",K_OrgUd_2g_ob))</f>
        <v>0</v>
      </c>
      <c r="AO315" s="148" t="b">
        <f>IF(Исходн.данные.!$P315="Ум",N_OrgUd_1g_um,IF(Исходн.данные.!$P315="Об",N_OrgUd_1g_ob))</f>
        <v>0</v>
      </c>
      <c r="AP315" s="148" t="b">
        <f>IF(Исходн.данные.!$P315="Ум",P_OrgUd_1g_um,IF(Исходн.данные.!$P315="Об",P_OrgUd_1g_ob))</f>
        <v>0</v>
      </c>
      <c r="AQ315" s="148" t="b">
        <f>IF(Исходн.данные.!$P315="Ум",K_OrgUd_1g_um,IF(Исходн.данные.!$P315="Об",K_OrgUd_1g_ob))</f>
        <v>0</v>
      </c>
      <c r="AR315" t="b">
        <f>IF(Исходн.данные.!$P315="Ум",N_MinUd_2g_um,IF(Исходн.данные.!$P315="Об",N_MinUd_2g_ob))</f>
        <v>0</v>
      </c>
      <c r="AS315" t="b">
        <f>IF(Исходн.данные.!$P315="Ум",P_MinUd_2g_um,IF(Исходн.данные.!$P315="Об",P_MinUd_2g_ob))</f>
        <v>0</v>
      </c>
      <c r="AT315" t="b">
        <f>IF(Исходн.данные.!$P315="Ум",K_MinUd_2g_um,IF(Исходн.данные.!$P315="Об",K_MinUd_2g_ob))</f>
        <v>0</v>
      </c>
      <c r="AU315" t="b">
        <f>IF(Исходн.данные.!$P315="Ум",N_MinUd_1g_um,IF(Исходн.данные.!$P315="Об",N_MinUd_1g_ob))</f>
        <v>0</v>
      </c>
      <c r="AV315" t="b">
        <f>IF(Исходн.данные.!P315="Ум",P_MinUd_1g_um,IF(Исходн.данные.!P315="Об",P_MinUd_1g_ob))</f>
        <v>0</v>
      </c>
      <c r="AW315" t="b">
        <f>IF(Исходн.данные.!P315="Ум",K_MinUd_1g_um,IF(Исходн.данные.!P315="Об",K_MinUd_1g_ob))</f>
        <v>0</v>
      </c>
      <c r="AY315" t="e">
        <f>VLOOKUP(Исходн.данные.!T315,Справ!$A$3:$N$57,12)</f>
        <v>#N/A</v>
      </c>
      <c r="AZ315" t="e">
        <f>VLOOKUP(Исходн.данные.!T315,Справ!$A$3:$N$57,13)</f>
        <v>#N/A</v>
      </c>
      <c r="BA315" t="e">
        <f>VLOOKUP(Исходн.данные.!T315,Справ!$A$3:$N$57,14)</f>
        <v>#N/A</v>
      </c>
      <c r="BB315">
        <f>IF(Исходн.данные.!AH315=0,0,25)</f>
        <v>0</v>
      </c>
      <c r="BC315" s="141">
        <f>IF(Исходн.данные.!AH315=0,0,IF(Исходн.данные.!T315=0,25,BD315))</f>
        <v>0</v>
      </c>
      <c r="BD315" s="168" t="e">
        <f>AY315+AZ315*Исходн.данные.!U315-POWER(BA315,2)*Исходн.данные.!U315</f>
        <v>#N/A</v>
      </c>
      <c r="BE31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5" s="25">
        <f>IF(Исходн.данные.!AH315=0,0,MIN(HN315:HP315))</f>
        <v>0</v>
      </c>
      <c r="BG315" s="9">
        <f>IF(Исходн.данные.!AH315=0,0,IF((HO315+10*0.25/HG315/HL315)&lt;17,17,HO315+10*0.25/HG315/HL315))</f>
        <v>0</v>
      </c>
      <c r="BH315" s="181">
        <f>IF(Исходн.данные.!AH315=0,0,HW315*HF315*HL315/AU315*AI315+Исходн.данные.!S315*10)</f>
        <v>0</v>
      </c>
      <c r="BI315" s="10"/>
      <c r="BJ315" s="182">
        <f>IF(Исходн.данные.!AH315=0,0,IF(HX315*HG315*HL315/AV315&lt;0,0,HX315*HG315*HL315/AV315*AJ315))</f>
        <v>0</v>
      </c>
      <c r="BK315" s="182">
        <f>IF(Исходн.данные.!AH315=0,0,HY315*HH315*HM315/AW315)</f>
        <v>0</v>
      </c>
      <c r="BL315" s="10">
        <f>IF(OR(Исходн.данные.!$AH315=$BP$1,Исходн.данные.!$AH315=$BP$2),0,IF(BH315&lt;0,0,IF(OR(Исходн.данные.!T315=Расчет!$BP$1,Исходн.данные.!T315=Расчет!$BP$2,Исходн.данные.!T315=Расчет!$BT$5,Исходн.данные.!T315=Расчет!$BT$6),BH315*0.5,IF(OR(Исходн.данные.!T315=Расчет!$BS$9,Исходн.данные.!T315=Расчет!$BS$10,Исходн.данные.!T315=Расчет!$BS$11,Исходн.данные.!T315=Расчет!$BS$12,Исходн.данные.!T315=Расчет!$BP$5),BH315*0.8,BH315))))</f>
        <v>0</v>
      </c>
      <c r="BM315" s="10">
        <f>IF(OR(Исходн.данные.!$AH315=$BP$1,Исходн.данные.!$AH315=$BP$2),0,IF(BJ315&lt;0,0,IF(Исходн.данные.!I315&lt;4.5,BJ315*1.2,IF(Исходн.данные.!I315&gt;5.1,BJ315,BJ315*((5.1-Исходн.данные.!I315)*0.333+1)))))</f>
        <v>0</v>
      </c>
      <c r="BN315" s="10">
        <f>IF(OR(Исходн.данные.!$AH315=$BP$1,Исходн.данные.!$AH315=$BP$2),60-Исходн.данные.!AF315,IF(BK315&lt;0,0,IF(Исходн.данные.!I315&lt;4.5,BK315*1.2,IF(Исходн.данные.!I315&gt;5.1,BK315,BK315*((5.1-Исходн.данные.!I315)*0.333+1)))))</f>
        <v>0</v>
      </c>
      <c r="BO315" s="9">
        <f>IF(BL315&lt;0,0,BL315*Исходн.данные.!$AJ315/1000)</f>
        <v>0</v>
      </c>
      <c r="BP315" s="9">
        <f>IF(BM315&lt;0,0,BM315*Исходн.данные.!$AJ315/1000)</f>
        <v>0</v>
      </c>
      <c r="BQ315" s="9">
        <f>IF(BN315&lt;0,0,BN315*Исходн.данные.!$AJ315/1000)</f>
        <v>0</v>
      </c>
      <c r="BR315" s="9">
        <f t="shared" si="377"/>
        <v>0</v>
      </c>
      <c r="BS315" s="10" t="str">
        <f t="shared" si="378"/>
        <v>Аммофос 12:52:00</v>
      </c>
      <c r="BT315" s="10" t="str">
        <f t="shared" si="379"/>
        <v>Аммофос 12:52:00</v>
      </c>
      <c r="BU315" s="10" t="str">
        <f t="shared" si="380"/>
        <v>Диаммофоска</v>
      </c>
      <c r="BV315" s="10">
        <f t="shared" si="381"/>
        <v>0</v>
      </c>
      <c r="BW315" s="10"/>
      <c r="BX315" s="10"/>
      <c r="BY315" s="9">
        <f>IF(BL315&lt;0,0,IF(OR(Исходн.данные.!AI315=Расчет!$BU$6,Исходн.данные.!AI315=Расчет!$BU$7),Расчет!BV315,IF(Исходн.данные.!$AG315=$BV$11,BL315,IF(OR(Исходн.данные.!$AH315=$BQ$7,Исходн.данные.!$AH315=$BQ$8),CB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0,IF(Исходн.данные.!$AI315=$BU$11,"Нет",IF(BL315&gt;30,30,BL315)))))))</f>
        <v>0</v>
      </c>
      <c r="BZ315" s="9">
        <f>IF(AND(Исходн.данные.!$AG315=$BV$11,BM315&lt;10),10,IF(Исходн.данные.!$AG315=$BV$11,BM315,IF(OR(Исходн.данные.!$AH315=$BQ$7,Исходн.данные.!$AH315=$BQ$8),CC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10,IF(Исходн.данные.!$AI315=$BU$11,"Нет",IF(BM315&gt;60,60,IF(BM315&lt;10,10,BM315)))))))</f>
        <v>10</v>
      </c>
      <c r="CA315" s="39">
        <f>IF(BN315&lt;0,0,IF(Исходн.данные.!$AG315=$BV$11,BN315,IF(OR(Исходн.данные.!$AH315=$BQ$7,Исходн.данные.!$AH315=$BQ$8),CD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0,IF(Исходн.данные.!$AI315=$BU$11,"Нет",IF(BN315&gt;30,30,BN315))))))</f>
        <v>0</v>
      </c>
      <c r="CB315" s="9">
        <f t="shared" si="382"/>
        <v>0</v>
      </c>
      <c r="CC315" s="9">
        <f t="shared" si="383"/>
        <v>0</v>
      </c>
      <c r="CD315" s="9">
        <f t="shared" si="384"/>
        <v>0</v>
      </c>
      <c r="CE315" s="12">
        <f t="shared" si="385"/>
        <v>10</v>
      </c>
      <c r="CF315" s="9">
        <f t="shared" si="386"/>
        <v>0</v>
      </c>
      <c r="CG315" s="9" t="s">
        <v>231</v>
      </c>
      <c r="CH315" s="132" t="str">
        <f>IF(Исходн.данные.!AP315=Расчет!$CI$16,"Нет",IF(Исходн.данные.!AL315&gt;0,Исходн.данные.!AL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BH$4,IF(OR(Исходн.данные.!AI315=Исходн.данные.!$AI$6,Исходн.данные.!AI315=Исходн.данные.!$AI$7),Расчет!BS315,IF(AND($CF315=0,$CE315&gt;0),EV315,ER315)))))</f>
        <v>Аммофос 12:52:00</v>
      </c>
      <c r="CI315" s="274">
        <f>IF(Расчет!$CH315="Нет","Нет",IF(Исходн.данные.!$AL315&gt;0,VLOOKUP(Расчет!$CH315,АшламаДВ_Irekle,2,FALSE),VLOOKUP(Расчет!$CH315,АшламаДВ_Gomumy,2,FALSE)))</f>
        <v>0.12</v>
      </c>
      <c r="CJ315" s="274">
        <f>IF(Расчет!$CH315="Нет","Нет",IF(Исходн.данные.!$AL315&gt;0,VLOOKUP(Расчет!$CH315,АшламаДВ_Irekle,3,FALSE),VLOOKUP(Расчет!$CH315,АшламаДВ_Gomumy,3,FALSE)))</f>
        <v>0.52</v>
      </c>
      <c r="CK315" s="274">
        <f>IF(Расчет!$CH315="Нет","Нет",IF(Исходн.данные.!$AL315&gt;0,VLOOKUP(Расчет!$CH315,АшламаДВ_Irekle,4,FALSE),VLOOKUP(Расчет!$CH315,АшламаДВ_Gomumy,4,FALSE)))</f>
        <v>0</v>
      </c>
      <c r="CL315" s="70"/>
      <c r="CM315" s="70"/>
      <c r="CN315" s="70"/>
      <c r="CO315" s="70"/>
      <c r="CP315" s="70"/>
      <c r="CQ315" s="70"/>
      <c r="CR315" s="10">
        <f t="shared" si="387"/>
        <v>0</v>
      </c>
      <c r="CS315" s="10">
        <f t="shared" si="388"/>
        <v>19.23076923076923</v>
      </c>
      <c r="CT315" s="10">
        <f t="shared" si="389"/>
        <v>0</v>
      </c>
      <c r="CU315" s="39">
        <f>IF($CH315="Нет",0,IF(CI315=0,30/MIN(CJ315:CK315),IF(Исходн.данные.!$AG315=$BV$11,CR315,IF(OR(Исходн.данные.!$AH315=$BQ$7,Исходн.данные.!$AH315=$BQ$8),90/CI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0,IF(Исходн.данные.!$AI315=$BU$11,"Нет",30/CI315))))))</f>
        <v>250</v>
      </c>
      <c r="CV315" s="39">
        <f>IF($CH315="Нет",0,IF(Исходн.данные.!AH315=0,0,IF(CJ315=0,60/MIN(CI315,CK315),IF(Исходн.данные.!$AG315=$BV$11,CS315,IF(OR(Исходн.данные.!$AH315=$BQ$7,Исходн.данные.!$AH315=$BQ$8),90/CJ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10/CJ315,IF(Исходн.данные.!$AI315=$BU$11,"Нет",60/CJ315)))))))</f>
        <v>0</v>
      </c>
      <c r="CW315" s="39">
        <f>IF($CH315="Нет",0,IF(Исходн.данные.!AH315=0,0,IF(CK315=0,30/MIN(CI315:CJ315),IF(Исходн.данные.!$AG315=$BV$11,CT315,IF(OR(Исходн.данные.!$AH315=$BQ$7,Исходн.данные.!$AH315=$BQ$8),90/CK315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0,IF(Исходн.данные.!$AI315=$BU$11,"Нет",30/CK315)))))))</f>
        <v>0</v>
      </c>
      <c r="CX315" s="133">
        <f>IF(Исходн.данные.!$AG315=$BV$11,MAX(CU315:CW315),IF(OR(Исходн.данные.!$AH315=$BS$8,Исходн.данные.!$AH315=$BQ$9,Исходн.данные.!$AH315=$BQ$10,Исходн.данные.!$AH315=$BQ$11,Исходн.данные.!$AH315=$BQ$12,Исходн.данные.!$AH315=$BP$3,Исходн.данные.!$AH315=$BT$8,$FM315="Да"),CV315,MIN(CU315:CW315)))</f>
        <v>0</v>
      </c>
      <c r="CY315" s="133">
        <f>IF(Исходн.данные.!AH315=0,0,IF(CR315&gt;$CX315,$CX315,CR315))</f>
        <v>0</v>
      </c>
      <c r="CZ315" s="133">
        <f>IF(Исходн.данные.!AH315=0,0,IF(CS315&gt;$CX315,$CX315,CS315))</f>
        <v>0</v>
      </c>
      <c r="DA315" s="133">
        <f>IF(Исходн.данные.!AH315=0,0,IF(CT315&gt;$CX315,$CX315,CT315))</f>
        <v>0</v>
      </c>
      <c r="DB315" s="10">
        <f t="shared" si="390"/>
        <v>0</v>
      </c>
      <c r="DC315" s="39">
        <f>DB315*Исходн.данные.!AJ315/1000</f>
        <v>0</v>
      </c>
      <c r="DD315" s="71">
        <f t="shared" si="391"/>
        <v>0</v>
      </c>
      <c r="DE315" s="9">
        <f t="shared" si="392"/>
        <v>0</v>
      </c>
      <c r="DF315" s="9">
        <f t="shared" si="393"/>
        <v>0</v>
      </c>
      <c r="DG315" s="39">
        <f>IF(BL315&lt;0,0,IF($CH315="Нет",BL315,IF(OR(Исходн.данные.!$AH315=$BP$1,Исходн.данные.!$AH315=$BP$2),0,IF(Исходн.данные.!AI315=$BU$11,BL315,IF(BL315-DD315&lt;0,0,BL315-DD315)))))</f>
        <v>0</v>
      </c>
      <c r="DH315" s="39">
        <f>IF(BM315&lt;0,0,IF($CH315="Нет",BM315,IF(OR(Исходн.данные.!$AH315=$BP$1,Исходн.данные.!$AH315=$BP$2),0,IF(Исходн.данные.!AJ315=$BU$11,BM315,IF(BM315-DE315&lt;0,0,BM315-DE315)))))</f>
        <v>0</v>
      </c>
      <c r="DI315" s="39">
        <f>IF(BN315&lt;0,0,IF($CH315="Нет",BN315,IF(OR(Исходн.данные.!$AH315=$BP$1,Исходн.данные.!$AH315=$BP$2),0,IF(Исходн.данные.!AK315=$BU$11,BN315,IF(BN315-DF315&lt;0,0,BN315-DF315)))))</f>
        <v>0</v>
      </c>
      <c r="DJ315" s="12">
        <f t="shared" si="394"/>
        <v>0</v>
      </c>
      <c r="DK315" s="9">
        <f t="shared" si="395"/>
        <v>0</v>
      </c>
      <c r="DL315" s="39">
        <f>IF(Исходн.данные.!AM315&gt;0,Исходн.данные.!AM315,IF(EG315&gt;0,$BH$10,0))</f>
        <v>0</v>
      </c>
      <c r="DM315" s="186">
        <f>IF($DL315=0,0,IF(Исходн.данные.!AM315&gt;0,VLOOKUP($DL315,АшламаДВ_Irekle,2,FALSE),VLOOKUP($DL315,АшламаДВ_Gomumy,2,FALSE)))</f>
        <v>0</v>
      </c>
      <c r="DN315" s="10">
        <f t="shared" si="373"/>
        <v>0</v>
      </c>
      <c r="DO315" s="9" t="str">
        <f>IF(Исходн.данные.!AN315&gt;0,Исходн.данные.!AN315,Удобрения!$B$37 )</f>
        <v>Хлор.калий</v>
      </c>
      <c r="DP315" s="9">
        <f>IF(Исходн.данные.!AN315&gt;0,VLOOKUP(Исходн.данные.!AN315,АшламаДВ_Irekle,4,FALSE),VLOOKUP(DO315,АшламаДВ_Gomumy,4,FALSE))</f>
        <v>0.6</v>
      </c>
      <c r="DQ315" s="10">
        <f t="shared" si="374"/>
        <v>0</v>
      </c>
      <c r="DR315" s="132" t="str">
        <f>IF(Исходн.данные.!AO315&gt;0,Исходн.данные.!AO315,IF(DH315=0,BS$17,IF(AND($DK315=0,$DJ315&gt;0),EJ315,EN315)))</f>
        <v>Нет</v>
      </c>
      <c r="DS315" s="70" t="str">
        <f>IF($DR315="Нет","Нет",IF(Исходн.данные.!$AO315&gt;0,VLOOKUP($DR315,АшламаДВ_Irekle,2,FALSE),VLOOKUP($DR315,АшламаДВ_Gomumy,2,FALSE)))</f>
        <v>Нет</v>
      </c>
      <c r="DT315" s="70" t="str">
        <f>IF($DR315="Нет","Нет",IF(Исходн.данные.!$AO315&gt;0,VLOOKUP($DR315,АшламаДВ_Irekle,3,FALSE),VLOOKUP($DR315,АшламаДВ_Gomumy,3,FALSE)))</f>
        <v>Нет</v>
      </c>
      <c r="DU315" s="70" t="str">
        <f>IF($DR315="Нет","Нет",IF(Исходн.данные.!$AO315&gt;0,VLOOKUP($DR315,АшламаДВ_Irekle,4,FALSE),VLOOKUP($DR315,АшламаДВ_Gomumy,4,FALSE)))</f>
        <v>Нет</v>
      </c>
      <c r="DV315" s="70"/>
      <c r="DW315" s="70"/>
      <c r="DX315" s="70"/>
      <c r="DY315" s="10">
        <f t="shared" si="396"/>
        <v>0</v>
      </c>
      <c r="DZ315" s="10">
        <f t="shared" si="397"/>
        <v>0</v>
      </c>
      <c r="EA315" s="10">
        <f t="shared" si="398"/>
        <v>0</v>
      </c>
      <c r="EB315" s="10">
        <f t="shared" si="399"/>
        <v>0</v>
      </c>
      <c r="EC315" s="10">
        <f t="shared" si="400"/>
        <v>0</v>
      </c>
      <c r="ED315" s="10">
        <f t="shared" si="401"/>
        <v>0</v>
      </c>
      <c r="EE315" s="10">
        <f t="shared" si="402"/>
        <v>0</v>
      </c>
      <c r="EF315" s="39">
        <f>EB315*Исходн.данные.!AJ315/1000</f>
        <v>0</v>
      </c>
      <c r="EG315" s="9">
        <f t="shared" si="403"/>
        <v>0</v>
      </c>
      <c r="EH315" s="9">
        <f t="shared" si="404"/>
        <v>0</v>
      </c>
      <c r="EI315" s="39" t="e">
        <f t="shared" si="354"/>
        <v>#DIV/0!</v>
      </c>
      <c r="EJ315" s="9" t="str">
        <f t="shared" si="375"/>
        <v>Азопреципитат</v>
      </c>
      <c r="EK315" s="12">
        <f t="shared" si="355"/>
        <v>0.26</v>
      </c>
      <c r="EL315" s="12">
        <f t="shared" si="356"/>
        <v>0.13</v>
      </c>
      <c r="EM315" s="12">
        <f t="shared" si="357"/>
        <v>0</v>
      </c>
      <c r="EN315" s="12" t="str">
        <f t="shared" si="376"/>
        <v>Нет</v>
      </c>
      <c r="EO315" s="12">
        <f t="shared" si="358"/>
        <v>0</v>
      </c>
      <c r="EP315" s="12">
        <f t="shared" si="359"/>
        <v>0</v>
      </c>
      <c r="EQ315" s="12">
        <f t="shared" si="360"/>
        <v>0</v>
      </c>
      <c r="ER315" s="12" t="str">
        <f t="shared" si="405"/>
        <v>Диаммофоска</v>
      </c>
      <c r="ES315" s="12">
        <f t="shared" si="361"/>
        <v>0.1</v>
      </c>
      <c r="ET315" s="12">
        <f t="shared" si="362"/>
        <v>0.26</v>
      </c>
      <c r="EU315" s="12">
        <f t="shared" si="363"/>
        <v>0.26</v>
      </c>
      <c r="EV315" s="12" t="str">
        <f t="shared" si="406"/>
        <v>Аммофос 12:52:00</v>
      </c>
      <c r="EW315" s="12" t="str">
        <f t="shared" si="407"/>
        <v>Кемира Свекловичное-6</v>
      </c>
      <c r="EX315" s="12">
        <f t="shared" si="364"/>
        <v>0.16</v>
      </c>
      <c r="EY315" s="12">
        <f t="shared" si="365"/>
        <v>0.12</v>
      </c>
      <c r="EZ315" s="12">
        <f t="shared" si="366"/>
        <v>0.17</v>
      </c>
      <c r="FA315" s="38" t="e">
        <f>IF(AND(OR(FJ315=$FD$1,FM315=$FD$1,FO315=$FD$1,FQ315=$FD$1,FS315=$FD$1),FD315=$FD$1,Исходн.данные.!J315&lt;2,FU315=$FD$1),"Бор,Кобальт",IF(AND(FO315=$FD$1,FH315=$FD$1,Исходн.данные.!J315&lt;2,FU315=$FD$1),"Бор,Кобальт",IF(AND(OR(FJ315=$FD$1,FM315=$FD$1,FQ315=$FD$1),FE315=$FD$1,Исходн.данные.!J315&lt;2,FT315=$FD$1,FU315=$FD$1),"Бор,Медь,Цинк",IF(AND(OR(FJ315=$FD$1,FR315="Да"),FI315="Да",Исходн.данные.!J315&lt;2,FT315="Да",FU315="Да"),"Бор,Цинк,Медь",IF(AND(OR(FM315="Да",FQ315="Да"),FI315="Да",Исходн.данные.!J315&lt;2,FT315="Да",FU315="Да"),"Бор,Цинк",IF(AND(FN315="Да",OR(FD315="Да",FE315="Да")),"Бор",FB315))))))</f>
        <v>#N/A</v>
      </c>
      <c r="FB315" s="134" t="e">
        <f>IF(AND(OR(FD315="Да",FE315="Да",FF315="Да",FG315="Да",FH315="Да"),FO315="Да"),"Бор",IF(AND(FP315="Да",OR(FD315="Да",FE315="Да",FI315="Да")),"Бор",IF(AND(FS315="Да",FE315="Да"),"Бор,Медь",IF(AND(OR(FJ315="Да",FK315="Да",FL315="Да"),FE315="Да",Исходн.данные.!I315&lt;5,FT315="Да",FU315="Да"),"Молибден,Цинк",IF(AND(FM315="Да",OR(FE315="Да",FF315="Да",FG315="Да",FH315="Да",FI315="Да")),"Молибден,Цинк",IF(AND(OR(FJ315="Да",FK315="Да",FL315="Да",FM315="Да",FQ315="Да"),OR(FE315="Да",FF315="Да"),FT315="Да",FU315="Да",Исходн.данные.!I315&gt;5.5),"Медь,Цинк",FC315))))))</f>
        <v>#N/A</v>
      </c>
      <c r="FC315" s="23" t="e">
        <f t="shared" si="408"/>
        <v>#N/A</v>
      </c>
      <c r="FD315" s="38" t="str">
        <f>IF(OR(Исходн.данные.!F315=$CC$1,Исходн.данные.!F315=$CC$2,Исходн.данные.!F315=$CC$3,Исходн.данные.!F315=$CC$4),"Да","Нет")</f>
        <v>Нет</v>
      </c>
      <c r="FE315" s="38" t="str">
        <f>IF(Исходн.данные.!F315=$CC$5,"Да","Нет")</f>
        <v>Нет</v>
      </c>
      <c r="FF315" s="38" t="str">
        <f>IF(OR(Исходн.данные.!F315=$CC$6,Исходн.данные.!F315=$CC$7),"Да","Нет")</f>
        <v>Нет</v>
      </c>
      <c r="FG315" s="38" t="str">
        <f>IF(OR(Исходн.данные.!F315=$CC$8,Исходн.данные.!F315=$CC$9),"Да","Нет")</f>
        <v>Нет</v>
      </c>
      <c r="FH315" s="38" t="str">
        <f>IF(Исходн.данные.!F315=$CC$10,"Да","Нет")</f>
        <v>Нет</v>
      </c>
      <c r="FI315" s="38" t="str">
        <f>IF(OR(Исходн.данные.!F315=$CC$11,Исходн.данные.!F315=$CC$12),"Да","Нет")</f>
        <v>Нет</v>
      </c>
      <c r="FJ315" s="38" t="str">
        <f>IF(OR(Исходн.данные.!AH315=$BS$1,Исходн.данные.!AH315=$BQ$11,Исходн.данные.!AH315=$BQ$12),"Да","Нет")</f>
        <v>Нет</v>
      </c>
      <c r="FK315" s="38" t="str">
        <f>IF(OR(Исходн.данные.!AH315=$BS$2,Исходн.данные.!AH315=$BS$4),"Да","Нет")</f>
        <v>Нет</v>
      </c>
      <c r="FL315" s="38" t="str">
        <f>IF(OR(Исходн.данные.!AH315=$BS$3,Исходн.данные.!AH315=$BS$5),"Да","Нет")</f>
        <v>Нет</v>
      </c>
      <c r="FM315" s="38" t="str">
        <f>IF(OR(Исходн.данные.!AH315=$BS$9,Исходн.данные.!AH315=$BS$10,Исходн.данные.!AH315=$BS$11,Исходн.данные.!AH315=$BS$12),"Да","Нет")</f>
        <v>Нет</v>
      </c>
      <c r="FN315" s="38" t="str">
        <f>IF(OR(Исходн.данные.!AH315=$BS$6,Исходн.данные.!AH315=$BP$3),"Да","Нет")</f>
        <v>Нет</v>
      </c>
      <c r="FO315" s="38" t="str">
        <f>IF(Исходн.данные.!AH315=$BQ$9,"Да","Нет")</f>
        <v>Нет</v>
      </c>
      <c r="FP315" s="38" t="str">
        <f>IF(OR(Исходн.данные.!AH315=$BS$8,Исходн.данные.!AH315=$BT$8),"Да","Нет")</f>
        <v>Нет</v>
      </c>
      <c r="FQ315" s="38" t="str">
        <f>IF(OR(Исходн.данные.!AH315=$BQ$7,Исходн.данные.!AH315=$BQ$8),"Да","Нет")</f>
        <v>Нет</v>
      </c>
      <c r="FR315" s="38" t="str">
        <f>IF(Исходн.данные.!AI315=$BU$9,"Да","Нет")</f>
        <v>Нет</v>
      </c>
      <c r="FS315" s="38" t="str">
        <f>IF(OR(Исходн.данные.!AH315=$BP$1,Исходн.данные.!AH315=$BP$2),"Да","Нет")</f>
        <v>Нет</v>
      </c>
      <c r="FT315" s="38" t="e">
        <f>IF((Исходн.данные.!K315*GO315*GS315*GW315+BL315*0.6+Исходн.данные.!Q315*4.5*0.275)&gt;90,"Да","Нет")</f>
        <v>#N/A</v>
      </c>
      <c r="FU315" s="38" t="e">
        <f>IF((Исходн.данные.!M315*GS315*GZ315+BM315*0.225)&gt;35,"Да","Нет")</f>
        <v>#N/A</v>
      </c>
      <c r="FV315" s="38" t="str">
        <f>IF(Исходн.данные.!O315&gt;175,"Да","Нет")</f>
        <v>Нет</v>
      </c>
      <c r="FW315" s="39" t="str">
        <f>IF(Исходн.данные.!I315&gt;5.5,"Да","Нет")</f>
        <v>Нет</v>
      </c>
      <c r="FX315" s="39" t="str">
        <f>IF(Исходн.данные.!J315&lt;2,"Да","Нет")</f>
        <v>Да</v>
      </c>
      <c r="FY315" s="39" t="e">
        <f>IF(HF315=$FY$16,0,Исходн.данные.!K315*GO315*GS315*GW315/HF315)</f>
        <v>#N/A</v>
      </c>
      <c r="FZ315" s="39" t="e">
        <f>Исходн.данные.!M315*GS315*GZ315/HG315</f>
        <v>#N/A</v>
      </c>
      <c r="GA315" s="39" t="e">
        <f>IF(K_Wyn=$FY$16,0,IF(Исходн.данные.!N315=Исходн.данные.!$L$10,Исходн.данные.!O315/1.1*GS315*HC315/HH315,IF(Исходн.данные.!N315=Исходн.данные.!$L$12,Исходн.данные.!O315/1.5*GS315*HC315/HH315,Исходн.данные.!O315*GS315*HC315/HH315)))</f>
        <v>#N/A</v>
      </c>
      <c r="GB315" s="39" t="e">
        <f>IF(HF315=$FY$16,0,((Исходн.данные.!Q315*N_Org+Исходн.данные.!R315*N_Sider+Исходн.данные.!S315*N_Soloma)*AO315+Расчет!BC315*VLOOKUP(Исходн.данные.!T315,Справ!$A$3:$O$57,15)*AO315+BB315*VLOOKUP(Исходн.данные.!T315,Справ!$A$3:$O$57,15)*AL315+(Исходн.данные.!V315*N_Rizotorf+Исходн.данные.!W315*N_Rizoagr))/HF315)</f>
        <v>#N/A</v>
      </c>
      <c r="GC315" s="39" t="e">
        <f>IF(HG315=$FY$16,0,((Исходн.данные.!Q315*Р_Org+Исходн.данные.!R315*P_Sider+Исходн.данные.!S315*P_Soloma)*AP315+Расчет!BC315*VLOOKUP(Исходн.данные.!T315,Справ!$A$3:$P$57,16)*AP315+BB315*VLOOKUP(Исходн.данные.!T315,Справ!$A$3:$P$57,16)*AM315)/HG315)</f>
        <v>#N/A</v>
      </c>
      <c r="GD315" s="39" t="e">
        <f>IF(HH315=$FY$16,0,((Исходн.данные.!Q315*К_Org+Исходн.данные.!R315*K_Sider+Исходн.данные.!S315*K_Soloma)*AQ315+Расчет!BC315*VLOOKUP(Исходн.данные.!T315,Справ!$A$3:$Q$57,17)*AQ315+BB315*VLOOKUP(Исходн.данные.!T315,Справ!$A$3:$Q$57,17)*AN315)/HH315)</f>
        <v>#N/A</v>
      </c>
      <c r="GE315" s="39" t="e">
        <f>IF(HF315=$FY$16,0,(Исходн.данные.!X315*AR315+Исходн.данные.!AA315*N_Org*AL315+Исходн.данные.!AB315*N_Sider*AL315+Исходн.данные.!AC315*N_Soloma*AL315)/HF315)</f>
        <v>#N/A</v>
      </c>
      <c r="GF315" s="39" t="e">
        <f>IF(HG315=$FY$16,0,(Исходн.данные.!Y315*AS315+Исходн.данные.!AA315*Р_Org*AM315+Исходн.данные.!AB315*P_Sider*AM315+Исходн.данные.!AC315*P_Soloma*AM315)/HG315)</f>
        <v>#N/A</v>
      </c>
      <c r="GG315" s="39" t="e">
        <f>IF(HH315=$FY$16,0,(Исходн.данные.!Z315*AT315+Исходн.данные.!AA315*К_Org*AN315+Исходн.данные.!AB315*K_Sider*AN315+Исходн.данные.!AC315*K_Soloma*AN315)/HH315)</f>
        <v>#N/A</v>
      </c>
      <c r="GH315" s="39" t="e">
        <f>Исходн.данные.!AD315*AU315/HF315</f>
        <v>#N/A</v>
      </c>
      <c r="GI315" s="39" t="e">
        <f>Исходн.данные.!AE315*AV315/HG315</f>
        <v>#N/A</v>
      </c>
      <c r="GJ315" s="39" t="e">
        <f>Исходн.данные.!AF315*AW315/HH315</f>
        <v>#N/A</v>
      </c>
      <c r="GK315" s="55">
        <f>Исходн.данные.!AK315</f>
        <v>0</v>
      </c>
      <c r="GL315" s="11" t="e">
        <f t="shared" si="409"/>
        <v>#N/A</v>
      </c>
      <c r="GM315" s="11" t="e">
        <f t="shared" si="410"/>
        <v>#N/A</v>
      </c>
      <c r="GN315" s="11" t="e">
        <f t="shared" si="411"/>
        <v>#N/A</v>
      </c>
      <c r="GO315" s="57">
        <f t="shared" si="412"/>
        <v>19</v>
      </c>
      <c r="GP315" s="55">
        <f>IF(OR(Исходн.данные.!F315=$CE$1,Исходн.данные.!F315=$CE$2,Исходн.данные.!F315=$CE$3,Исходн.данные.!F315=$CE$4,Исходн.данные.!F315=$CE$5),GQ315,GR315)</f>
        <v>19</v>
      </c>
      <c r="GQ315" s="55">
        <f>IF(Исходн.данные.!F315=$CE$1,28,IF(Исходн.данные.!F315=$CE$2,26,IF(Исходн.данные.!F315=$CE$3,24,IF(Исходн.данные.!F315=$CE$4,22,IF(Исходн.данные.!F315=$CE$5,20,GR315)))))</f>
        <v>19</v>
      </c>
      <c r="GR315" s="55">
        <f>IF(Исходн.данные.!F315=$CE$6,18,IF(Исходн.данные.!F315=$CE$7,16,IF(Исходн.данные.!F315=$CE$8,14,IF(Исходн.данные.!F315=$CE$9,13,IF(Исходн.данные.!F315=$CE$10,12,19)))))</f>
        <v>19</v>
      </c>
      <c r="GS315" s="55">
        <f>IF(Исходн.данные.!G315="Пес",0.035*(40+2*Исходн.данные.!H315),IF(Исходн.данные.!G315="Суп",0.0325*(40+2*Исходн.данные.!H315),0.03*(40+2*Исходн.данные.!H315)))</f>
        <v>1.2</v>
      </c>
      <c r="GT315" s="55">
        <f>IF(Исходн.данные.!H315&lt;23,2.6,IF(AND(Исходн.данные.!H315&gt;22,Исходн.данные.!H315&lt;26),3,IF(AND(Исходн.данные.!H315&gt;25,Исходн.данные.!H315&lt;29),3.4,3.6)))</f>
        <v>2.6</v>
      </c>
      <c r="GU315" s="55">
        <f>IF(Исходн.данные.!H315&lt;23,2.8,IF(AND(Исходн.данные.!H315&gt;22,Исходн.данные.!H315&lt;26),3.2,IF(AND(Исходн.данные.!H315&gt;25,Исходн.данные.!H315&lt;29),3.6,3.9)))</f>
        <v>2.8</v>
      </c>
      <c r="GV315" s="55">
        <f>IF(Исходн.данные.!H315&lt;23,3,IF(AND(Исходн.данные.!H315&gt;22,Исходн.данные.!H315&lt;26),3.5,IF(AND(Исходн.данные.!H315&gt;25,Исходн.данные.!H315&lt;29),3.9,4.2)))</f>
        <v>3</v>
      </c>
      <c r="GW315" s="55" t="e">
        <f>IF(Исходн.данные.!P315="Ум",GX315,GY315)</f>
        <v>#N/A</v>
      </c>
      <c r="GX315" s="55" t="e">
        <f>VLOOKUP(Исходн.данные.!AI315,Коэффициенты!$J$7:$L$13,2,FALSE)</f>
        <v>#N/A</v>
      </c>
      <c r="GY315" s="55" t="e">
        <f>VLOOKUP(Исходн.данные.!AI315,Коэффициенты!$J$7:$L$13,3,FALSE)</f>
        <v>#N/A</v>
      </c>
      <c r="GZ315" s="55" t="e">
        <f>(IF(Исходн.данные.!M315&lt;50,0.11*VLOOKUP(Исходн.данные.!AH315,Культуры.Информация,7,FALSE),IF(Исходн.данные.!M315&gt;250,0.05*VLOOKUP(Исходн.данные.!AH315,Культуры.Информация,7,FALSE),VLOOKUP(Исходн.данные.!AH315,Культуры.Информация,5,FALSE)/100*($GX$6+$GY$6*Исходн.данные.!M315))))*Расчет2!AI315</f>
        <v>#N/A</v>
      </c>
      <c r="HA315" s="211"/>
      <c r="HB315" s="211"/>
      <c r="HC315" s="55" t="e">
        <f>(IF(Исходн.данные.!O315&lt;80,0.2*VLOOKUP(Исходн.данные.!AH315,Культуры.Информация,8,FALSE),IF(Исходн.данные.!O315&gt;240,0.09*VLOOKUP(Исходн.данные.!AH315,Культуры.Информация,8,FALSE),VLOOKUP(Исходн.данные.!AH315,Культуры.Информация,6,FALSE)/100*($HB$6+$HC$6*Исходн.данные.!O315))))*Расчет2!AJ315</f>
        <v>#N/A</v>
      </c>
      <c r="HD315" s="55">
        <f>IF(Исходн.данные.!O315&gt;240,0.09,IF(Исходн.данные.!O315&lt;30,0.3,$HE$10+$HD$10*Исходн.данные.!O315))</f>
        <v>0.3</v>
      </c>
      <c r="HE315" s="55">
        <f>IF(Исходн.данные.!O315&gt;240,0.17,IF(Исходн.данные.!O315&lt;30,0.5,$HF$12+$HE$12*Исходн.данные.!O315))</f>
        <v>0.5</v>
      </c>
      <c r="HF315" s="55" t="e">
        <f>VLOOKUP(Исходн.данные.!AH315,Справ!$A$3:$D$58,2,FALSE)</f>
        <v>#N/A</v>
      </c>
      <c r="HG315" s="55" t="e">
        <f>VLOOKUP(Исходн.данные.!AH315,Справ!$A$3:$D$58,3,FALSE)</f>
        <v>#N/A</v>
      </c>
      <c r="HH315" s="55" t="e">
        <f>VLOOKUP(Исходн.данные.!AH315,Справ!$A$3:$D$58,4,FALSE)</f>
        <v>#N/A</v>
      </c>
      <c r="HI315" s="11" t="e">
        <f t="shared" si="413"/>
        <v>#N/A</v>
      </c>
      <c r="HJ315" s="11" t="e">
        <f t="shared" si="414"/>
        <v>#N/A</v>
      </c>
      <c r="HK315" s="11" t="e">
        <f t="shared" si="415"/>
        <v>#N/A</v>
      </c>
      <c r="HL315" s="55">
        <f>IF(OR(Исходн.данные.!G315="Глин",Исходн.данные.!G315="Т_суг"),1.1,IF(Исходн.данные.!G315="Ср_суг",1,1))</f>
        <v>1</v>
      </c>
      <c r="HM315" s="55">
        <f>IF(OR(Исходн.данные.!G315="Глин",Исходн.данные.!G315="Т_суг"),0.9,IF(Исходн.данные.!G315="Ср_суг",1,1.2))</f>
        <v>1.2</v>
      </c>
      <c r="HN315" s="11" t="e">
        <f t="shared" si="416"/>
        <v>#N/A</v>
      </c>
      <c r="HO315" s="11" t="e">
        <f t="shared" si="417"/>
        <v>#N/A</v>
      </c>
      <c r="HP315" s="11" t="e">
        <f t="shared" si="418"/>
        <v>#N/A</v>
      </c>
      <c r="HQ315" t="e">
        <f t="shared" si="419"/>
        <v>#N/A</v>
      </c>
      <c r="HR315" t="e">
        <f t="shared" si="420"/>
        <v>#N/A</v>
      </c>
      <c r="HS315" t="e">
        <f t="shared" si="421"/>
        <v>#N/A</v>
      </c>
      <c r="HT315" t="e">
        <f t="shared" si="367"/>
        <v>#N/A</v>
      </c>
      <c r="HU315" t="e">
        <f t="shared" si="368"/>
        <v>#N/A</v>
      </c>
      <c r="HV315" t="e">
        <f t="shared" si="369"/>
        <v>#N/A</v>
      </c>
      <c r="HW315" t="e">
        <f t="shared" si="370"/>
        <v>#N/A</v>
      </c>
      <c r="HX315" t="e">
        <f t="shared" si="371"/>
        <v>#N/A</v>
      </c>
      <c r="HY315" t="e">
        <f t="shared" si="372"/>
        <v>#N/A</v>
      </c>
      <c r="HZ315" s="55">
        <f>IF(OR(Исходн.данные.!AI315="Оз_Ч_П",Исходн.данные.!AI315="Оз_З_П",Исходн.данные.!AI315="Яр_зер"),12,30)</f>
        <v>30</v>
      </c>
      <c r="IA315" t="e">
        <f t="shared" si="422"/>
        <v>#N/A</v>
      </c>
      <c r="IB315" t="e">
        <f t="shared" si="423"/>
        <v>#N/A</v>
      </c>
      <c r="IC315" t="e">
        <f t="shared" si="424"/>
        <v>#N/A</v>
      </c>
      <c r="ID315" s="11" t="e">
        <f t="shared" si="425"/>
        <v>#N/A</v>
      </c>
      <c r="IE315" s="11" t="e">
        <f t="shared" si="426"/>
        <v>#N/A</v>
      </c>
      <c r="IF315" s="11" t="e">
        <f t="shared" si="427"/>
        <v>#N/A</v>
      </c>
    </row>
    <row r="316" spans="35:240" x14ac:dyDescent="0.2">
      <c r="AI316">
        <f>IF(Исходн.данные.!I316&gt;6,1,1.85-(0.148*Исходн.данные.!I316))</f>
        <v>1.85</v>
      </c>
      <c r="AJ316">
        <f>IF(Исходн.данные.!I316&gt;6,1,2.434-(0.246*Исходн.данные.!I316))</f>
        <v>2.4340000000000002</v>
      </c>
      <c r="AL316" s="148" t="b">
        <f>IF(Исходн.данные.!$P316="Ум",N_OrgUd_2g_um,IF(Исходн.данные.!$P316="Об",N_OrgUd_2g_ob))</f>
        <v>0</v>
      </c>
      <c r="AM316" s="148" t="b">
        <f>IF(Исходн.данные.!$P316="Ум",P_OrgUd_2g_um,IF(Исходн.данные.!$P316="Об",P_OrgUd_2g_ob))</f>
        <v>0</v>
      </c>
      <c r="AN316" s="148" t="b">
        <f>IF(Исходн.данные.!$P316="Ум",K_OrgUd_2g_um,IF(Исходн.данные.!$P316="Об",K_OrgUd_2g_ob))</f>
        <v>0</v>
      </c>
      <c r="AO316" s="148" t="b">
        <f>IF(Исходн.данные.!$P316="Ум",N_OrgUd_1g_um,IF(Исходн.данные.!$P316="Об",N_OrgUd_1g_ob))</f>
        <v>0</v>
      </c>
      <c r="AP316" s="148" t="b">
        <f>IF(Исходн.данные.!$P316="Ум",P_OrgUd_1g_um,IF(Исходн.данные.!$P316="Об",P_OrgUd_1g_ob))</f>
        <v>0</v>
      </c>
      <c r="AQ316" s="148" t="b">
        <f>IF(Исходн.данные.!$P316="Ум",K_OrgUd_1g_um,IF(Исходн.данные.!$P316="Об",K_OrgUd_1g_ob))</f>
        <v>0</v>
      </c>
      <c r="AR316" t="b">
        <f>IF(Исходн.данные.!$P316="Ум",N_MinUd_2g_um,IF(Исходн.данные.!$P316="Об",N_MinUd_2g_ob))</f>
        <v>0</v>
      </c>
      <c r="AS316" t="b">
        <f>IF(Исходн.данные.!$P316="Ум",P_MinUd_2g_um,IF(Исходн.данные.!$P316="Об",P_MinUd_2g_ob))</f>
        <v>0</v>
      </c>
      <c r="AT316" t="b">
        <f>IF(Исходн.данные.!$P316="Ум",K_MinUd_2g_um,IF(Исходн.данные.!$P316="Об",K_MinUd_2g_ob))</f>
        <v>0</v>
      </c>
      <c r="AU316" t="b">
        <f>IF(Исходн.данные.!$P316="Ум",N_MinUd_1g_um,IF(Исходн.данные.!$P316="Об",N_MinUd_1g_ob))</f>
        <v>0</v>
      </c>
      <c r="AV316" t="b">
        <f>IF(Исходн.данные.!P316="Ум",P_MinUd_1g_um,IF(Исходн.данные.!P316="Об",P_MinUd_1g_ob))</f>
        <v>0</v>
      </c>
      <c r="AW316" t="b">
        <f>IF(Исходн.данные.!P316="Ум",K_MinUd_1g_um,IF(Исходн.данные.!P316="Об",K_MinUd_1g_ob))</f>
        <v>0</v>
      </c>
      <c r="AY316" t="e">
        <f>VLOOKUP(Исходн.данные.!T316,Справ!$A$3:$N$57,12)</f>
        <v>#N/A</v>
      </c>
      <c r="AZ316" t="e">
        <f>VLOOKUP(Исходн.данные.!T316,Справ!$A$3:$N$57,13)</f>
        <v>#N/A</v>
      </c>
      <c r="BA316" t="e">
        <f>VLOOKUP(Исходн.данные.!T316,Справ!$A$3:$N$57,14)</f>
        <v>#N/A</v>
      </c>
      <c r="BB316">
        <f>IF(Исходн.данные.!AH316=0,0,25)</f>
        <v>0</v>
      </c>
      <c r="BC316" s="141">
        <f>IF(Исходн.данные.!AH316=0,0,IF(Исходн.данные.!T316=0,25,BD316))</f>
        <v>0</v>
      </c>
      <c r="BD316" s="168" t="e">
        <f>AY316+AZ316*Исходн.данные.!U316-POWER(BA316,2)*Исходн.данные.!U316</f>
        <v>#N/A</v>
      </c>
      <c r="BE31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6" s="25">
        <f>IF(Исходн.данные.!AH316=0,0,MIN(HN316:HP316))</f>
        <v>0</v>
      </c>
      <c r="BG316" s="9">
        <f>IF(Исходн.данные.!AH316=0,0,IF((HO316+10*0.25/HG316/HL316)&lt;17,17,HO316+10*0.25/HG316/HL316))</f>
        <v>0</v>
      </c>
      <c r="BH316" s="181">
        <f>IF(Исходн.данные.!AH316=0,0,HW316*HF316*HL316/AU316*AI316+Исходн.данные.!S316*10)</f>
        <v>0</v>
      </c>
      <c r="BI316" s="10"/>
      <c r="BJ316" s="182">
        <f>IF(Исходн.данные.!AH316=0,0,IF(HX316*HG316*HL316/AV316&lt;0,0,HX316*HG316*HL316/AV316*AJ316))</f>
        <v>0</v>
      </c>
      <c r="BK316" s="182">
        <f>IF(Исходн.данные.!AH316=0,0,HY316*HH316*HM316/AW316)</f>
        <v>0</v>
      </c>
      <c r="BL316" s="10">
        <f>IF(OR(Исходн.данные.!$AH316=$BP$1,Исходн.данные.!$AH316=$BP$2),0,IF(BH316&lt;0,0,IF(OR(Исходн.данные.!T316=Расчет!$BP$1,Исходн.данные.!T316=Расчет!$BP$2,Исходн.данные.!T316=Расчет!$BT$5,Исходн.данные.!T316=Расчет!$BT$6),BH316*0.5,IF(OR(Исходн.данные.!T316=Расчет!$BS$9,Исходн.данные.!T316=Расчет!$BS$10,Исходн.данные.!T316=Расчет!$BS$11,Исходн.данные.!T316=Расчет!$BS$12,Исходн.данные.!T316=Расчет!$BP$5),BH316*0.8,BH316))))</f>
        <v>0</v>
      </c>
      <c r="BM316" s="10">
        <f>IF(OR(Исходн.данные.!$AH316=$BP$1,Исходн.данные.!$AH316=$BP$2),0,IF(BJ316&lt;0,0,IF(Исходн.данные.!I316&lt;4.5,BJ316*1.2,IF(Исходн.данные.!I316&gt;5.1,BJ316,BJ316*((5.1-Исходн.данные.!I316)*0.333+1)))))</f>
        <v>0</v>
      </c>
      <c r="BN316" s="10">
        <f>IF(OR(Исходн.данные.!$AH316=$BP$1,Исходн.данные.!$AH316=$BP$2),60-Исходн.данные.!AF316,IF(BK316&lt;0,0,IF(Исходн.данные.!I316&lt;4.5,BK316*1.2,IF(Исходн.данные.!I316&gt;5.1,BK316,BK316*((5.1-Исходн.данные.!I316)*0.333+1)))))</f>
        <v>0</v>
      </c>
      <c r="BO316" s="9">
        <f>IF(BL316&lt;0,0,BL316*Исходн.данные.!$AJ316/1000)</f>
        <v>0</v>
      </c>
      <c r="BP316" s="9">
        <f>IF(BM316&lt;0,0,BM316*Исходн.данные.!$AJ316/1000)</f>
        <v>0</v>
      </c>
      <c r="BQ316" s="9">
        <f>IF(BN316&lt;0,0,BN316*Исходн.данные.!$AJ316/1000)</f>
        <v>0</v>
      </c>
      <c r="BR316" s="9">
        <f t="shared" si="377"/>
        <v>0</v>
      </c>
      <c r="BS316" s="10" t="str">
        <f t="shared" si="378"/>
        <v>Аммофос 12:52:00</v>
      </c>
      <c r="BT316" s="10" t="str">
        <f t="shared" si="379"/>
        <v>Аммофос 12:52:00</v>
      </c>
      <c r="BU316" s="10" t="str">
        <f t="shared" si="380"/>
        <v>Диаммофоска</v>
      </c>
      <c r="BV316" s="10">
        <f t="shared" si="381"/>
        <v>0</v>
      </c>
      <c r="BW316" s="10"/>
      <c r="BX316" s="10"/>
      <c r="BY316" s="9">
        <f>IF(BL316&lt;0,0,IF(OR(Исходн.данные.!AI316=Расчет!$BU$6,Исходн.данные.!AI316=Расчет!$BU$7),Расчет!BV316,IF(Исходн.данные.!$AG316=$BV$11,BL316,IF(OR(Исходн.данные.!$AH316=$BQ$7,Исходн.данные.!$AH316=$BQ$8),CB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0,IF(Исходн.данные.!$AI316=$BU$11,"Нет",IF(BL316&gt;30,30,BL316)))))))</f>
        <v>0</v>
      </c>
      <c r="BZ316" s="9">
        <f>IF(AND(Исходн.данные.!$AG316=$BV$11,BM316&lt;10),10,IF(Исходн.данные.!$AG316=$BV$11,BM316,IF(OR(Исходн.данные.!$AH316=$BQ$7,Исходн.данные.!$AH316=$BQ$8),CC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10,IF(Исходн.данные.!$AI316=$BU$11,"Нет",IF(BM316&gt;60,60,IF(BM316&lt;10,10,BM316)))))))</f>
        <v>10</v>
      </c>
      <c r="CA316" s="39">
        <f>IF(BN316&lt;0,0,IF(Исходн.данные.!$AG316=$BV$11,BN316,IF(OR(Исходн.данные.!$AH316=$BQ$7,Исходн.данные.!$AH316=$BQ$8),CD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0,IF(Исходн.данные.!$AI316=$BU$11,"Нет",IF(BN316&gt;30,30,BN316))))))</f>
        <v>0</v>
      </c>
      <c r="CB316" s="9">
        <f t="shared" si="382"/>
        <v>0</v>
      </c>
      <c r="CC316" s="9">
        <f t="shared" si="383"/>
        <v>0</v>
      </c>
      <c r="CD316" s="9">
        <f t="shared" si="384"/>
        <v>0</v>
      </c>
      <c r="CE316" s="12">
        <f t="shared" si="385"/>
        <v>10</v>
      </c>
      <c r="CF316" s="9">
        <f t="shared" si="386"/>
        <v>0</v>
      </c>
      <c r="CG316" s="9" t="s">
        <v>231</v>
      </c>
      <c r="CH316" s="132" t="str">
        <f>IF(Исходн.данные.!AP316=Расчет!$CI$16,"Нет",IF(Исходн.данные.!AL316&gt;0,Исходн.данные.!AL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BH$4,IF(OR(Исходн.данные.!AI316=Исходн.данные.!$AI$6,Исходн.данные.!AI316=Исходн.данные.!$AI$7),Расчет!BS316,IF(AND($CF316=0,$CE316&gt;0),EV316,ER316)))))</f>
        <v>Аммофос 12:52:00</v>
      </c>
      <c r="CI316" s="274">
        <f>IF(Расчет!$CH316="Нет","Нет",IF(Исходн.данные.!$AL316&gt;0,VLOOKUP(Расчет!$CH316,АшламаДВ_Irekle,2,FALSE),VLOOKUP(Расчет!$CH316,АшламаДВ_Gomumy,2,FALSE)))</f>
        <v>0.12</v>
      </c>
      <c r="CJ316" s="274">
        <f>IF(Расчет!$CH316="Нет","Нет",IF(Исходн.данные.!$AL316&gt;0,VLOOKUP(Расчет!$CH316,АшламаДВ_Irekle,3,FALSE),VLOOKUP(Расчет!$CH316,АшламаДВ_Gomumy,3,FALSE)))</f>
        <v>0.52</v>
      </c>
      <c r="CK316" s="274">
        <f>IF(Расчет!$CH316="Нет","Нет",IF(Исходн.данные.!$AL316&gt;0,VLOOKUP(Расчет!$CH316,АшламаДВ_Irekle,4,FALSE),VLOOKUP(Расчет!$CH316,АшламаДВ_Gomumy,4,FALSE)))</f>
        <v>0</v>
      </c>
      <c r="CL316" s="70"/>
      <c r="CM316" s="70"/>
      <c r="CN316" s="70"/>
      <c r="CO316" s="70"/>
      <c r="CP316" s="70"/>
      <c r="CQ316" s="70"/>
      <c r="CR316" s="10">
        <f t="shared" si="387"/>
        <v>0</v>
      </c>
      <c r="CS316" s="10">
        <f t="shared" si="388"/>
        <v>19.23076923076923</v>
      </c>
      <c r="CT316" s="10">
        <f t="shared" si="389"/>
        <v>0</v>
      </c>
      <c r="CU316" s="39">
        <f>IF($CH316="Нет",0,IF(CI316=0,30/MIN(CJ316:CK316),IF(Исходн.данные.!$AG316=$BV$11,CR316,IF(OR(Исходн.данные.!$AH316=$BQ$7,Исходн.данные.!$AH316=$BQ$8),90/CI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0,IF(Исходн.данные.!$AI316=$BU$11,"Нет",30/CI316))))))</f>
        <v>250</v>
      </c>
      <c r="CV316" s="39">
        <f>IF($CH316="Нет",0,IF(Исходн.данные.!AH316=0,0,IF(CJ316=0,60/MIN(CI316,CK316),IF(Исходн.данные.!$AG316=$BV$11,CS316,IF(OR(Исходн.данные.!$AH316=$BQ$7,Исходн.данные.!$AH316=$BQ$8),90/CJ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10/CJ316,IF(Исходн.данные.!$AI316=$BU$11,"Нет",60/CJ316)))))))</f>
        <v>0</v>
      </c>
      <c r="CW316" s="39">
        <f>IF($CH316="Нет",0,IF(Исходн.данные.!AH316=0,0,IF(CK316=0,30/MIN(CI316:CJ316),IF(Исходн.данные.!$AG316=$BV$11,CT316,IF(OR(Исходн.данные.!$AH316=$BQ$7,Исходн.данные.!$AH316=$BQ$8),90/CK316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0,IF(Исходн.данные.!$AI316=$BU$11,"Нет",30/CK316)))))))</f>
        <v>0</v>
      </c>
      <c r="CX316" s="133">
        <f>IF(Исходн.данные.!$AG316=$BV$11,MAX(CU316:CW316),IF(OR(Исходн.данные.!$AH316=$BS$8,Исходн.данные.!$AH316=$BQ$9,Исходн.данные.!$AH316=$BQ$10,Исходн.данные.!$AH316=$BQ$11,Исходн.данные.!$AH316=$BQ$12,Исходн.данные.!$AH316=$BP$3,Исходн.данные.!$AH316=$BT$8,$FM316="Да"),CV316,MIN(CU316:CW316)))</f>
        <v>0</v>
      </c>
      <c r="CY316" s="133">
        <f>IF(Исходн.данные.!AH316=0,0,IF(CR316&gt;$CX316,$CX316,CR316))</f>
        <v>0</v>
      </c>
      <c r="CZ316" s="133">
        <f>IF(Исходн.данные.!AH316=0,0,IF(CS316&gt;$CX316,$CX316,CS316))</f>
        <v>0</v>
      </c>
      <c r="DA316" s="133">
        <f>IF(Исходн.данные.!AH316=0,0,IF(CT316&gt;$CX316,$CX316,CT316))</f>
        <v>0</v>
      </c>
      <c r="DB316" s="10">
        <f t="shared" si="390"/>
        <v>0</v>
      </c>
      <c r="DC316" s="39">
        <f>DB316*Исходн.данные.!AJ316/1000</f>
        <v>0</v>
      </c>
      <c r="DD316" s="71">
        <f t="shared" si="391"/>
        <v>0</v>
      </c>
      <c r="DE316" s="9">
        <f t="shared" si="392"/>
        <v>0</v>
      </c>
      <c r="DF316" s="9">
        <f t="shared" si="393"/>
        <v>0</v>
      </c>
      <c r="DG316" s="39">
        <f>IF(BL316&lt;0,0,IF($CH316="Нет",BL316,IF(OR(Исходн.данные.!$AH316=$BP$1,Исходн.данные.!$AH316=$BP$2),0,IF(Исходн.данные.!AI316=$BU$11,BL316,IF(BL316-DD316&lt;0,0,BL316-DD316)))))</f>
        <v>0</v>
      </c>
      <c r="DH316" s="39">
        <f>IF(BM316&lt;0,0,IF($CH316="Нет",BM316,IF(OR(Исходн.данные.!$AH316=$BP$1,Исходн.данные.!$AH316=$BP$2),0,IF(Исходн.данные.!AJ316=$BU$11,BM316,IF(BM316-DE316&lt;0,0,BM316-DE316)))))</f>
        <v>0</v>
      </c>
      <c r="DI316" s="39">
        <f>IF(BN316&lt;0,0,IF($CH316="Нет",BN316,IF(OR(Исходн.данные.!$AH316=$BP$1,Исходн.данные.!$AH316=$BP$2),0,IF(Исходн.данные.!AK316=$BU$11,BN316,IF(BN316-DF316&lt;0,0,BN316-DF316)))))</f>
        <v>0</v>
      </c>
      <c r="DJ316" s="12">
        <f t="shared" si="394"/>
        <v>0</v>
      </c>
      <c r="DK316" s="9">
        <f t="shared" si="395"/>
        <v>0</v>
      </c>
      <c r="DL316" s="39">
        <f>IF(Исходн.данные.!AM316&gt;0,Исходн.данные.!AM316,IF(EG316&gt;0,$BH$10,0))</f>
        <v>0</v>
      </c>
      <c r="DM316" s="186">
        <f>IF($DL316=0,0,IF(Исходн.данные.!AM316&gt;0,VLOOKUP($DL316,АшламаДВ_Irekle,2,FALSE),VLOOKUP($DL316,АшламаДВ_Gomumy,2,FALSE)))</f>
        <v>0</v>
      </c>
      <c r="DN316" s="10">
        <f t="shared" si="373"/>
        <v>0</v>
      </c>
      <c r="DO316" s="9" t="str">
        <f>IF(Исходн.данные.!AN316&gt;0,Исходн.данные.!AN316,Удобрения!$B$37 )</f>
        <v>Хлор.калий</v>
      </c>
      <c r="DP316" s="9">
        <f>IF(Исходн.данные.!AN316&gt;0,VLOOKUP(Исходн.данные.!AN316,АшламаДВ_Irekle,4,FALSE),VLOOKUP(DO316,АшламаДВ_Gomumy,4,FALSE))</f>
        <v>0.6</v>
      </c>
      <c r="DQ316" s="10">
        <f t="shared" si="374"/>
        <v>0</v>
      </c>
      <c r="DR316" s="132" t="str">
        <f>IF(Исходн.данные.!AO316&gt;0,Исходн.данные.!AO316,IF(DH316=0,BS$17,IF(AND($DK316=0,$DJ316&gt;0),EJ316,EN316)))</f>
        <v>Нет</v>
      </c>
      <c r="DS316" s="70" t="str">
        <f>IF($DR316="Нет","Нет",IF(Исходн.данные.!$AO316&gt;0,VLOOKUP($DR316,АшламаДВ_Irekle,2,FALSE),VLOOKUP($DR316,АшламаДВ_Gomumy,2,FALSE)))</f>
        <v>Нет</v>
      </c>
      <c r="DT316" s="70" t="str">
        <f>IF($DR316="Нет","Нет",IF(Исходн.данные.!$AO316&gt;0,VLOOKUP($DR316,АшламаДВ_Irekle,3,FALSE),VLOOKUP($DR316,АшламаДВ_Gomumy,3,FALSE)))</f>
        <v>Нет</v>
      </c>
      <c r="DU316" s="70" t="str">
        <f>IF($DR316="Нет","Нет",IF(Исходн.данные.!$AO316&gt;0,VLOOKUP($DR316,АшламаДВ_Irekle,4,FALSE),VLOOKUP($DR316,АшламаДВ_Gomumy,4,FALSE)))</f>
        <v>Нет</v>
      </c>
      <c r="DV316" s="70"/>
      <c r="DW316" s="70"/>
      <c r="DX316" s="70"/>
      <c r="DY316" s="10">
        <f t="shared" si="396"/>
        <v>0</v>
      </c>
      <c r="DZ316" s="10">
        <f t="shared" si="397"/>
        <v>0</v>
      </c>
      <c r="EA316" s="10">
        <f t="shared" si="398"/>
        <v>0</v>
      </c>
      <c r="EB316" s="10">
        <f t="shared" si="399"/>
        <v>0</v>
      </c>
      <c r="EC316" s="10">
        <f t="shared" si="400"/>
        <v>0</v>
      </c>
      <c r="ED316" s="10">
        <f t="shared" si="401"/>
        <v>0</v>
      </c>
      <c r="EE316" s="10">
        <f t="shared" si="402"/>
        <v>0</v>
      </c>
      <c r="EF316" s="39">
        <f>EB316*Исходн.данные.!AJ316/1000</f>
        <v>0</v>
      </c>
      <c r="EG316" s="9">
        <f t="shared" si="403"/>
        <v>0</v>
      </c>
      <c r="EH316" s="9">
        <f t="shared" si="404"/>
        <v>0</v>
      </c>
      <c r="EI316" s="39" t="e">
        <f t="shared" si="354"/>
        <v>#DIV/0!</v>
      </c>
      <c r="EJ316" s="9" t="str">
        <f t="shared" si="375"/>
        <v>Азопреципитат</v>
      </c>
      <c r="EK316" s="12">
        <f t="shared" si="355"/>
        <v>0.26</v>
      </c>
      <c r="EL316" s="12">
        <f t="shared" si="356"/>
        <v>0.13</v>
      </c>
      <c r="EM316" s="12">
        <f t="shared" si="357"/>
        <v>0</v>
      </c>
      <c r="EN316" s="12" t="str">
        <f t="shared" si="376"/>
        <v>Нет</v>
      </c>
      <c r="EO316" s="12">
        <f t="shared" si="358"/>
        <v>0</v>
      </c>
      <c r="EP316" s="12">
        <f t="shared" si="359"/>
        <v>0</v>
      </c>
      <c r="EQ316" s="12">
        <f t="shared" si="360"/>
        <v>0</v>
      </c>
      <c r="ER316" s="12" t="str">
        <f t="shared" si="405"/>
        <v>Диаммофоска</v>
      </c>
      <c r="ES316" s="12">
        <f t="shared" si="361"/>
        <v>0.1</v>
      </c>
      <c r="ET316" s="12">
        <f t="shared" si="362"/>
        <v>0.26</v>
      </c>
      <c r="EU316" s="12">
        <f t="shared" si="363"/>
        <v>0.26</v>
      </c>
      <c r="EV316" s="12" t="str">
        <f t="shared" si="406"/>
        <v>Аммофос 12:52:00</v>
      </c>
      <c r="EW316" s="12" t="str">
        <f t="shared" si="407"/>
        <v>Кемира Свекловичное-6</v>
      </c>
      <c r="EX316" s="12">
        <f t="shared" si="364"/>
        <v>0.16</v>
      </c>
      <c r="EY316" s="12">
        <f t="shared" si="365"/>
        <v>0.12</v>
      </c>
      <c r="EZ316" s="12">
        <f t="shared" si="366"/>
        <v>0.17</v>
      </c>
      <c r="FA316" s="38" t="e">
        <f>IF(AND(OR(FJ316=$FD$1,FM316=$FD$1,FO316=$FD$1,FQ316=$FD$1,FS316=$FD$1),FD316=$FD$1,Исходн.данные.!J316&lt;2,FU316=$FD$1),"Бор,Кобальт",IF(AND(FO316=$FD$1,FH316=$FD$1,Исходн.данные.!J316&lt;2,FU316=$FD$1),"Бор,Кобальт",IF(AND(OR(FJ316=$FD$1,FM316=$FD$1,FQ316=$FD$1),FE316=$FD$1,Исходн.данные.!J316&lt;2,FT316=$FD$1,FU316=$FD$1),"Бор,Медь,Цинк",IF(AND(OR(FJ316=$FD$1,FR316="Да"),FI316="Да",Исходн.данные.!J316&lt;2,FT316="Да",FU316="Да"),"Бор,Цинк,Медь",IF(AND(OR(FM316="Да",FQ316="Да"),FI316="Да",Исходн.данные.!J316&lt;2,FT316="Да",FU316="Да"),"Бор,Цинк",IF(AND(FN316="Да",OR(FD316="Да",FE316="Да")),"Бор",FB316))))))</f>
        <v>#N/A</v>
      </c>
      <c r="FB316" s="134" t="e">
        <f>IF(AND(OR(FD316="Да",FE316="Да",FF316="Да",FG316="Да",FH316="Да"),FO316="Да"),"Бор",IF(AND(FP316="Да",OR(FD316="Да",FE316="Да",FI316="Да")),"Бор",IF(AND(FS316="Да",FE316="Да"),"Бор,Медь",IF(AND(OR(FJ316="Да",FK316="Да",FL316="Да"),FE316="Да",Исходн.данные.!I316&lt;5,FT316="Да",FU316="Да"),"Молибден,Цинк",IF(AND(FM316="Да",OR(FE316="Да",FF316="Да",FG316="Да",FH316="Да",FI316="Да")),"Молибден,Цинк",IF(AND(OR(FJ316="Да",FK316="Да",FL316="Да",FM316="Да",FQ316="Да"),OR(FE316="Да",FF316="Да"),FT316="Да",FU316="Да",Исходн.данные.!I316&gt;5.5),"Медь,Цинк",FC316))))))</f>
        <v>#N/A</v>
      </c>
      <c r="FC316" s="23" t="e">
        <f t="shared" si="408"/>
        <v>#N/A</v>
      </c>
      <c r="FD316" s="38" t="str">
        <f>IF(OR(Исходн.данные.!F316=$CC$1,Исходн.данные.!F316=$CC$2,Исходн.данные.!F316=$CC$3,Исходн.данные.!F316=$CC$4),"Да","Нет")</f>
        <v>Нет</v>
      </c>
      <c r="FE316" s="38" t="str">
        <f>IF(Исходн.данные.!F316=$CC$5,"Да","Нет")</f>
        <v>Нет</v>
      </c>
      <c r="FF316" s="38" t="str">
        <f>IF(OR(Исходн.данные.!F316=$CC$6,Исходн.данные.!F316=$CC$7),"Да","Нет")</f>
        <v>Нет</v>
      </c>
      <c r="FG316" s="38" t="str">
        <f>IF(OR(Исходн.данные.!F316=$CC$8,Исходн.данные.!F316=$CC$9),"Да","Нет")</f>
        <v>Нет</v>
      </c>
      <c r="FH316" s="38" t="str">
        <f>IF(Исходн.данные.!F316=$CC$10,"Да","Нет")</f>
        <v>Нет</v>
      </c>
      <c r="FI316" s="38" t="str">
        <f>IF(OR(Исходн.данные.!F316=$CC$11,Исходн.данные.!F316=$CC$12),"Да","Нет")</f>
        <v>Нет</v>
      </c>
      <c r="FJ316" s="38" t="str">
        <f>IF(OR(Исходн.данные.!AH316=$BS$1,Исходн.данные.!AH316=$BQ$11,Исходн.данные.!AH316=$BQ$12),"Да","Нет")</f>
        <v>Нет</v>
      </c>
      <c r="FK316" s="38" t="str">
        <f>IF(OR(Исходн.данные.!AH316=$BS$2,Исходн.данные.!AH316=$BS$4),"Да","Нет")</f>
        <v>Нет</v>
      </c>
      <c r="FL316" s="38" t="str">
        <f>IF(OR(Исходн.данные.!AH316=$BS$3,Исходн.данные.!AH316=$BS$5),"Да","Нет")</f>
        <v>Нет</v>
      </c>
      <c r="FM316" s="38" t="str">
        <f>IF(OR(Исходн.данные.!AH316=$BS$9,Исходн.данные.!AH316=$BS$10,Исходн.данные.!AH316=$BS$11,Исходн.данные.!AH316=$BS$12),"Да","Нет")</f>
        <v>Нет</v>
      </c>
      <c r="FN316" s="38" t="str">
        <f>IF(OR(Исходн.данные.!AH316=$BS$6,Исходн.данные.!AH316=$BP$3),"Да","Нет")</f>
        <v>Нет</v>
      </c>
      <c r="FO316" s="38" t="str">
        <f>IF(Исходн.данные.!AH316=$BQ$9,"Да","Нет")</f>
        <v>Нет</v>
      </c>
      <c r="FP316" s="38" t="str">
        <f>IF(OR(Исходн.данные.!AH316=$BS$8,Исходн.данные.!AH316=$BT$8),"Да","Нет")</f>
        <v>Нет</v>
      </c>
      <c r="FQ316" s="38" t="str">
        <f>IF(OR(Исходн.данные.!AH316=$BQ$7,Исходн.данные.!AH316=$BQ$8),"Да","Нет")</f>
        <v>Нет</v>
      </c>
      <c r="FR316" s="38" t="str">
        <f>IF(Исходн.данные.!AI316=$BU$9,"Да","Нет")</f>
        <v>Нет</v>
      </c>
      <c r="FS316" s="38" t="str">
        <f>IF(OR(Исходн.данные.!AH316=$BP$1,Исходн.данные.!AH316=$BP$2),"Да","Нет")</f>
        <v>Нет</v>
      </c>
      <c r="FT316" s="38" t="e">
        <f>IF((Исходн.данные.!K316*GO316*GS316*GW316+BL316*0.6+Исходн.данные.!Q316*4.5*0.275)&gt;90,"Да","Нет")</f>
        <v>#N/A</v>
      </c>
      <c r="FU316" s="38" t="e">
        <f>IF((Исходн.данные.!M316*GS316*GZ316+BM316*0.225)&gt;35,"Да","Нет")</f>
        <v>#N/A</v>
      </c>
      <c r="FV316" s="38" t="str">
        <f>IF(Исходн.данные.!O316&gt;175,"Да","Нет")</f>
        <v>Нет</v>
      </c>
      <c r="FW316" s="39" t="str">
        <f>IF(Исходн.данные.!I316&gt;5.5,"Да","Нет")</f>
        <v>Нет</v>
      </c>
      <c r="FX316" s="39" t="str">
        <f>IF(Исходн.данные.!J316&lt;2,"Да","Нет")</f>
        <v>Да</v>
      </c>
      <c r="FY316" s="39" t="e">
        <f>IF(HF316=$FY$16,0,Исходн.данные.!K316*GO316*GS316*GW316/HF316)</f>
        <v>#N/A</v>
      </c>
      <c r="FZ316" s="39" t="e">
        <f>Исходн.данные.!M316*GS316*GZ316/HG316</f>
        <v>#N/A</v>
      </c>
      <c r="GA316" s="39" t="e">
        <f>IF(K_Wyn=$FY$16,0,IF(Исходн.данные.!N316=Исходн.данные.!$L$10,Исходн.данные.!O316/1.1*GS316*HC316/HH316,IF(Исходн.данные.!N316=Исходн.данные.!$L$12,Исходн.данные.!O316/1.5*GS316*HC316/HH316,Исходн.данные.!O316*GS316*HC316/HH316)))</f>
        <v>#N/A</v>
      </c>
      <c r="GB316" s="39" t="e">
        <f>IF(HF316=$FY$16,0,((Исходн.данные.!Q316*N_Org+Исходн.данные.!R316*N_Sider+Исходн.данные.!S316*N_Soloma)*AO316+Расчет!BC316*VLOOKUP(Исходн.данные.!T316,Справ!$A$3:$O$57,15)*AO316+BB316*VLOOKUP(Исходн.данные.!T316,Справ!$A$3:$O$57,15)*AL316+(Исходн.данные.!V316*N_Rizotorf+Исходн.данные.!W316*N_Rizoagr))/HF316)</f>
        <v>#N/A</v>
      </c>
      <c r="GC316" s="39" t="e">
        <f>IF(HG316=$FY$16,0,((Исходн.данные.!Q316*Р_Org+Исходн.данные.!R316*P_Sider+Исходн.данные.!S316*P_Soloma)*AP316+Расчет!BC316*VLOOKUP(Исходн.данные.!T316,Справ!$A$3:$P$57,16)*AP316+BB316*VLOOKUP(Исходн.данные.!T316,Справ!$A$3:$P$57,16)*AM316)/HG316)</f>
        <v>#N/A</v>
      </c>
      <c r="GD316" s="39" t="e">
        <f>IF(HH316=$FY$16,0,((Исходн.данные.!Q316*К_Org+Исходн.данные.!R316*K_Sider+Исходн.данные.!S316*K_Soloma)*AQ316+Расчет!BC316*VLOOKUP(Исходн.данные.!T316,Справ!$A$3:$Q$57,17)*AQ316+BB316*VLOOKUP(Исходн.данные.!T316,Справ!$A$3:$Q$57,17)*AN316)/HH316)</f>
        <v>#N/A</v>
      </c>
      <c r="GE316" s="39" t="e">
        <f>IF(HF316=$FY$16,0,(Исходн.данные.!X316*AR316+Исходн.данные.!AA316*N_Org*AL316+Исходн.данные.!AB316*N_Sider*AL316+Исходн.данные.!AC316*N_Soloma*AL316)/HF316)</f>
        <v>#N/A</v>
      </c>
      <c r="GF316" s="39" t="e">
        <f>IF(HG316=$FY$16,0,(Исходн.данные.!Y316*AS316+Исходн.данные.!AA316*Р_Org*AM316+Исходн.данные.!AB316*P_Sider*AM316+Исходн.данные.!AC316*P_Soloma*AM316)/HG316)</f>
        <v>#N/A</v>
      </c>
      <c r="GG316" s="39" t="e">
        <f>IF(HH316=$FY$16,0,(Исходн.данные.!Z316*AT316+Исходн.данные.!AA316*К_Org*AN316+Исходн.данные.!AB316*K_Sider*AN316+Исходн.данные.!AC316*K_Soloma*AN316)/HH316)</f>
        <v>#N/A</v>
      </c>
      <c r="GH316" s="39" t="e">
        <f>Исходн.данные.!AD316*AU316/HF316</f>
        <v>#N/A</v>
      </c>
      <c r="GI316" s="39" t="e">
        <f>Исходн.данные.!AE316*AV316/HG316</f>
        <v>#N/A</v>
      </c>
      <c r="GJ316" s="39" t="e">
        <f>Исходн.данные.!AF316*AW316/HH316</f>
        <v>#N/A</v>
      </c>
      <c r="GK316" s="55">
        <f>Исходн.данные.!AK316</f>
        <v>0</v>
      </c>
      <c r="GL316" s="11" t="e">
        <f t="shared" si="409"/>
        <v>#N/A</v>
      </c>
      <c r="GM316" s="11" t="e">
        <f t="shared" si="410"/>
        <v>#N/A</v>
      </c>
      <c r="GN316" s="11" t="e">
        <f t="shared" si="411"/>
        <v>#N/A</v>
      </c>
      <c r="GO316" s="57">
        <f t="shared" si="412"/>
        <v>19</v>
      </c>
      <c r="GP316" s="55">
        <f>IF(OR(Исходн.данные.!F316=$CE$1,Исходн.данные.!F316=$CE$2,Исходн.данные.!F316=$CE$3,Исходн.данные.!F316=$CE$4,Исходн.данные.!F316=$CE$5),GQ316,GR316)</f>
        <v>19</v>
      </c>
      <c r="GQ316" s="55">
        <f>IF(Исходн.данные.!F316=$CE$1,28,IF(Исходн.данные.!F316=$CE$2,26,IF(Исходн.данные.!F316=$CE$3,24,IF(Исходн.данные.!F316=$CE$4,22,IF(Исходн.данные.!F316=$CE$5,20,GR316)))))</f>
        <v>19</v>
      </c>
      <c r="GR316" s="55">
        <f>IF(Исходн.данные.!F316=$CE$6,18,IF(Исходн.данные.!F316=$CE$7,16,IF(Исходн.данные.!F316=$CE$8,14,IF(Исходн.данные.!F316=$CE$9,13,IF(Исходн.данные.!F316=$CE$10,12,19)))))</f>
        <v>19</v>
      </c>
      <c r="GS316" s="55">
        <f>IF(Исходн.данные.!G316="Пес",0.035*(40+2*Исходн.данные.!H316),IF(Исходн.данные.!G316="Суп",0.0325*(40+2*Исходн.данные.!H316),0.03*(40+2*Исходн.данные.!H316)))</f>
        <v>1.2</v>
      </c>
      <c r="GT316" s="55">
        <f>IF(Исходн.данные.!H316&lt;23,2.6,IF(AND(Исходн.данные.!H316&gt;22,Исходн.данные.!H316&lt;26),3,IF(AND(Исходн.данные.!H316&gt;25,Исходн.данные.!H316&lt;29),3.4,3.6)))</f>
        <v>2.6</v>
      </c>
      <c r="GU316" s="55">
        <f>IF(Исходн.данные.!H316&lt;23,2.8,IF(AND(Исходн.данные.!H316&gt;22,Исходн.данные.!H316&lt;26),3.2,IF(AND(Исходн.данные.!H316&gt;25,Исходн.данные.!H316&lt;29),3.6,3.9)))</f>
        <v>2.8</v>
      </c>
      <c r="GV316" s="55">
        <f>IF(Исходн.данные.!H316&lt;23,3,IF(AND(Исходн.данные.!H316&gt;22,Исходн.данные.!H316&lt;26),3.5,IF(AND(Исходн.данные.!H316&gt;25,Исходн.данные.!H316&lt;29),3.9,4.2)))</f>
        <v>3</v>
      </c>
      <c r="GW316" s="55" t="e">
        <f>IF(Исходн.данные.!P316="Ум",GX316,GY316)</f>
        <v>#N/A</v>
      </c>
      <c r="GX316" s="55" t="e">
        <f>VLOOKUP(Исходн.данные.!AI316,Коэффициенты!$J$7:$L$13,2,FALSE)</f>
        <v>#N/A</v>
      </c>
      <c r="GY316" s="55" t="e">
        <f>VLOOKUP(Исходн.данные.!AI316,Коэффициенты!$J$7:$L$13,3,FALSE)</f>
        <v>#N/A</v>
      </c>
      <c r="GZ316" s="55" t="e">
        <f>(IF(Исходн.данные.!M316&lt;50,0.11*VLOOKUP(Исходн.данные.!AH316,Культуры.Информация,7,FALSE),IF(Исходн.данные.!M316&gt;250,0.05*VLOOKUP(Исходн.данные.!AH316,Культуры.Информация,7,FALSE),VLOOKUP(Исходн.данные.!AH316,Культуры.Информация,5,FALSE)/100*($GX$6+$GY$6*Исходн.данные.!M316))))*Расчет2!AI316</f>
        <v>#N/A</v>
      </c>
      <c r="HA316" s="211"/>
      <c r="HB316" s="211"/>
      <c r="HC316" s="55" t="e">
        <f>(IF(Исходн.данные.!O316&lt;80,0.2*VLOOKUP(Исходн.данные.!AH316,Культуры.Информация,8,FALSE),IF(Исходн.данные.!O316&gt;240,0.09*VLOOKUP(Исходн.данные.!AH316,Культуры.Информация,8,FALSE),VLOOKUP(Исходн.данные.!AH316,Культуры.Информация,6,FALSE)/100*($HB$6+$HC$6*Исходн.данные.!O316))))*Расчет2!AJ316</f>
        <v>#N/A</v>
      </c>
      <c r="HD316" s="55">
        <f>IF(Исходн.данные.!O316&gt;240,0.09,IF(Исходн.данные.!O316&lt;30,0.3,$HE$10+$HD$10*Исходн.данные.!O316))</f>
        <v>0.3</v>
      </c>
      <c r="HE316" s="55">
        <f>IF(Исходн.данные.!O316&gt;240,0.17,IF(Исходн.данные.!O316&lt;30,0.5,$HF$12+$HE$12*Исходн.данные.!O316))</f>
        <v>0.5</v>
      </c>
      <c r="HF316" s="55" t="e">
        <f>VLOOKUP(Исходн.данные.!AH316,Справ!$A$3:$D$58,2,FALSE)</f>
        <v>#N/A</v>
      </c>
      <c r="HG316" s="55" t="e">
        <f>VLOOKUP(Исходн.данные.!AH316,Справ!$A$3:$D$58,3,FALSE)</f>
        <v>#N/A</v>
      </c>
      <c r="HH316" s="55" t="e">
        <f>VLOOKUP(Исходн.данные.!AH316,Справ!$A$3:$D$58,4,FALSE)</f>
        <v>#N/A</v>
      </c>
      <c r="HI316" s="11" t="e">
        <f t="shared" si="413"/>
        <v>#N/A</v>
      </c>
      <c r="HJ316" s="11" t="e">
        <f t="shared" si="414"/>
        <v>#N/A</v>
      </c>
      <c r="HK316" s="11" t="e">
        <f t="shared" si="415"/>
        <v>#N/A</v>
      </c>
      <c r="HL316" s="55">
        <f>IF(OR(Исходн.данные.!G316="Глин",Исходн.данные.!G316="Т_суг"),1.1,IF(Исходн.данные.!G316="Ср_суг",1,1))</f>
        <v>1</v>
      </c>
      <c r="HM316" s="55">
        <f>IF(OR(Исходн.данные.!G316="Глин",Исходн.данные.!G316="Т_суг"),0.9,IF(Исходн.данные.!G316="Ср_суг",1,1.2))</f>
        <v>1.2</v>
      </c>
      <c r="HN316" s="11" t="e">
        <f t="shared" si="416"/>
        <v>#N/A</v>
      </c>
      <c r="HO316" s="11" t="e">
        <f t="shared" si="417"/>
        <v>#N/A</v>
      </c>
      <c r="HP316" s="11" t="e">
        <f t="shared" si="418"/>
        <v>#N/A</v>
      </c>
      <c r="HQ316" t="e">
        <f t="shared" si="419"/>
        <v>#N/A</v>
      </c>
      <c r="HR316" t="e">
        <f t="shared" si="420"/>
        <v>#N/A</v>
      </c>
      <c r="HS316" t="e">
        <f t="shared" si="421"/>
        <v>#N/A</v>
      </c>
      <c r="HT316" t="e">
        <f t="shared" si="367"/>
        <v>#N/A</v>
      </c>
      <c r="HU316" t="e">
        <f t="shared" si="368"/>
        <v>#N/A</v>
      </c>
      <c r="HV316" t="e">
        <f t="shared" si="369"/>
        <v>#N/A</v>
      </c>
      <c r="HW316" t="e">
        <f t="shared" si="370"/>
        <v>#N/A</v>
      </c>
      <c r="HX316" t="e">
        <f t="shared" si="371"/>
        <v>#N/A</v>
      </c>
      <c r="HY316" t="e">
        <f t="shared" si="372"/>
        <v>#N/A</v>
      </c>
      <c r="HZ316" s="55">
        <f>IF(OR(Исходн.данные.!AI316="Оз_Ч_П",Исходн.данные.!AI316="Оз_З_П",Исходн.данные.!AI316="Яр_зер"),12,30)</f>
        <v>30</v>
      </c>
      <c r="IA316" t="e">
        <f t="shared" si="422"/>
        <v>#N/A</v>
      </c>
      <c r="IB316" t="e">
        <f t="shared" si="423"/>
        <v>#N/A</v>
      </c>
      <c r="IC316" t="e">
        <f t="shared" si="424"/>
        <v>#N/A</v>
      </c>
      <c r="ID316" s="11" t="e">
        <f t="shared" si="425"/>
        <v>#N/A</v>
      </c>
      <c r="IE316" s="11" t="e">
        <f t="shared" si="426"/>
        <v>#N/A</v>
      </c>
      <c r="IF316" s="11" t="e">
        <f t="shared" si="427"/>
        <v>#N/A</v>
      </c>
    </row>
    <row r="317" spans="35:240" x14ac:dyDescent="0.2">
      <c r="AI317">
        <f>IF(Исходн.данные.!I317&gt;6,1,1.85-(0.148*Исходн.данные.!I317))</f>
        <v>1.85</v>
      </c>
      <c r="AJ317">
        <f>IF(Исходн.данные.!I317&gt;6,1,2.434-(0.246*Исходн.данные.!I317))</f>
        <v>2.4340000000000002</v>
      </c>
      <c r="AL317" s="148" t="b">
        <f>IF(Исходн.данные.!$P317="Ум",N_OrgUd_2g_um,IF(Исходн.данные.!$P317="Об",N_OrgUd_2g_ob))</f>
        <v>0</v>
      </c>
      <c r="AM317" s="148" t="b">
        <f>IF(Исходн.данные.!$P317="Ум",P_OrgUd_2g_um,IF(Исходн.данные.!$P317="Об",P_OrgUd_2g_ob))</f>
        <v>0</v>
      </c>
      <c r="AN317" s="148" t="b">
        <f>IF(Исходн.данные.!$P317="Ум",K_OrgUd_2g_um,IF(Исходн.данные.!$P317="Об",K_OrgUd_2g_ob))</f>
        <v>0</v>
      </c>
      <c r="AO317" s="148" t="b">
        <f>IF(Исходн.данные.!$P317="Ум",N_OrgUd_1g_um,IF(Исходн.данные.!$P317="Об",N_OrgUd_1g_ob))</f>
        <v>0</v>
      </c>
      <c r="AP317" s="148" t="b">
        <f>IF(Исходн.данные.!$P317="Ум",P_OrgUd_1g_um,IF(Исходн.данные.!$P317="Об",P_OrgUd_1g_ob))</f>
        <v>0</v>
      </c>
      <c r="AQ317" s="148" t="b">
        <f>IF(Исходн.данные.!$P317="Ум",K_OrgUd_1g_um,IF(Исходн.данные.!$P317="Об",K_OrgUd_1g_ob))</f>
        <v>0</v>
      </c>
      <c r="AR317" t="b">
        <f>IF(Исходн.данные.!$P317="Ум",N_MinUd_2g_um,IF(Исходн.данные.!$P317="Об",N_MinUd_2g_ob))</f>
        <v>0</v>
      </c>
      <c r="AS317" t="b">
        <f>IF(Исходн.данные.!$P317="Ум",P_MinUd_2g_um,IF(Исходн.данные.!$P317="Об",P_MinUd_2g_ob))</f>
        <v>0</v>
      </c>
      <c r="AT317" t="b">
        <f>IF(Исходн.данные.!$P317="Ум",K_MinUd_2g_um,IF(Исходн.данные.!$P317="Об",K_MinUd_2g_ob))</f>
        <v>0</v>
      </c>
      <c r="AU317" t="b">
        <f>IF(Исходн.данные.!$P317="Ум",N_MinUd_1g_um,IF(Исходн.данные.!$P317="Об",N_MinUd_1g_ob))</f>
        <v>0</v>
      </c>
      <c r="AV317" t="b">
        <f>IF(Исходн.данные.!P317="Ум",P_MinUd_1g_um,IF(Исходн.данные.!P317="Об",P_MinUd_1g_ob))</f>
        <v>0</v>
      </c>
      <c r="AW317" t="b">
        <f>IF(Исходн.данные.!P317="Ум",K_MinUd_1g_um,IF(Исходн.данные.!P317="Об",K_MinUd_1g_ob))</f>
        <v>0</v>
      </c>
      <c r="AY317" t="e">
        <f>VLOOKUP(Исходн.данные.!T317,Справ!$A$3:$N$57,12)</f>
        <v>#N/A</v>
      </c>
      <c r="AZ317" t="e">
        <f>VLOOKUP(Исходн.данные.!T317,Справ!$A$3:$N$57,13)</f>
        <v>#N/A</v>
      </c>
      <c r="BA317" t="e">
        <f>VLOOKUP(Исходн.данные.!T317,Справ!$A$3:$N$57,14)</f>
        <v>#N/A</v>
      </c>
      <c r="BB317">
        <f>IF(Исходн.данные.!AH317=0,0,25)</f>
        <v>0</v>
      </c>
      <c r="BC317" s="141">
        <f>IF(Исходн.данные.!AH317=0,0,IF(Исходн.данные.!T317=0,25,BD317))</f>
        <v>0</v>
      </c>
      <c r="BD317" s="168" t="e">
        <f>AY317+AZ317*Исходн.данные.!U317-POWER(BA317,2)*Исходн.данные.!U317</f>
        <v>#N/A</v>
      </c>
      <c r="BE31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7" s="25">
        <f>IF(Исходн.данные.!AH317=0,0,MIN(HN317:HP317))</f>
        <v>0</v>
      </c>
      <c r="BG317" s="9">
        <f>IF(Исходн.данные.!AH317=0,0,IF((HO317+10*0.25/HG317/HL317)&lt;17,17,HO317+10*0.25/HG317/HL317))</f>
        <v>0</v>
      </c>
      <c r="BH317" s="181">
        <f>IF(Исходн.данные.!AH317=0,0,HW317*HF317*HL317/AU317*AI317+Исходн.данные.!S317*10)</f>
        <v>0</v>
      </c>
      <c r="BI317" s="10"/>
      <c r="BJ317" s="182">
        <f>IF(Исходн.данные.!AH317=0,0,IF(HX317*HG317*HL317/AV317&lt;0,0,HX317*HG317*HL317/AV317*AJ317))</f>
        <v>0</v>
      </c>
      <c r="BK317" s="182">
        <f>IF(Исходн.данные.!AH317=0,0,HY317*HH317*HM317/AW317)</f>
        <v>0</v>
      </c>
      <c r="BL317" s="10">
        <f>IF(OR(Исходн.данные.!$AH317=$BP$1,Исходн.данные.!$AH317=$BP$2),0,IF(BH317&lt;0,0,IF(OR(Исходн.данные.!T317=Расчет!$BP$1,Исходн.данные.!T317=Расчет!$BP$2,Исходн.данные.!T317=Расчет!$BT$5,Исходн.данные.!T317=Расчет!$BT$6),BH317*0.5,IF(OR(Исходн.данные.!T317=Расчет!$BS$9,Исходн.данные.!T317=Расчет!$BS$10,Исходн.данные.!T317=Расчет!$BS$11,Исходн.данные.!T317=Расчет!$BS$12,Исходн.данные.!T317=Расчет!$BP$5),BH317*0.8,BH317))))</f>
        <v>0</v>
      </c>
      <c r="BM317" s="10">
        <f>IF(OR(Исходн.данные.!$AH317=$BP$1,Исходн.данные.!$AH317=$BP$2),0,IF(BJ317&lt;0,0,IF(Исходн.данные.!I317&lt;4.5,BJ317*1.2,IF(Исходн.данные.!I317&gt;5.1,BJ317,BJ317*((5.1-Исходн.данные.!I317)*0.333+1)))))</f>
        <v>0</v>
      </c>
      <c r="BN317" s="10">
        <f>IF(OR(Исходн.данные.!$AH317=$BP$1,Исходн.данные.!$AH317=$BP$2),60-Исходн.данные.!AF317,IF(BK317&lt;0,0,IF(Исходн.данные.!I317&lt;4.5,BK317*1.2,IF(Исходн.данные.!I317&gt;5.1,BK317,BK317*((5.1-Исходн.данные.!I317)*0.333+1)))))</f>
        <v>0</v>
      </c>
      <c r="BO317" s="9">
        <f>IF(BL317&lt;0,0,BL317*Исходн.данные.!$AJ317/1000)</f>
        <v>0</v>
      </c>
      <c r="BP317" s="9">
        <f>IF(BM317&lt;0,0,BM317*Исходн.данные.!$AJ317/1000)</f>
        <v>0</v>
      </c>
      <c r="BQ317" s="9">
        <f>IF(BN317&lt;0,0,BN317*Исходн.данные.!$AJ317/1000)</f>
        <v>0</v>
      </c>
      <c r="BR317" s="9">
        <f t="shared" si="377"/>
        <v>0</v>
      </c>
      <c r="BS317" s="10" t="str">
        <f t="shared" si="378"/>
        <v>Аммофос 12:52:00</v>
      </c>
      <c r="BT317" s="10" t="str">
        <f t="shared" si="379"/>
        <v>Аммофос 12:52:00</v>
      </c>
      <c r="BU317" s="10" t="str">
        <f t="shared" si="380"/>
        <v>Диаммофоска</v>
      </c>
      <c r="BV317" s="10">
        <f t="shared" si="381"/>
        <v>0</v>
      </c>
      <c r="BW317" s="10"/>
      <c r="BX317" s="10"/>
      <c r="BY317" s="9">
        <f>IF(BL317&lt;0,0,IF(OR(Исходн.данные.!AI317=Расчет!$BU$6,Исходн.данные.!AI317=Расчет!$BU$7),Расчет!BV317,IF(Исходн.данные.!$AG317=$BV$11,BL317,IF(OR(Исходн.данные.!$AH317=$BQ$7,Исходн.данные.!$AH317=$BQ$8),CB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0,IF(Исходн.данные.!$AI317=$BU$11,"Нет",IF(BL317&gt;30,30,BL317)))))))</f>
        <v>0</v>
      </c>
      <c r="BZ317" s="9">
        <f>IF(AND(Исходн.данные.!$AG317=$BV$11,BM317&lt;10),10,IF(Исходн.данные.!$AG317=$BV$11,BM317,IF(OR(Исходн.данные.!$AH317=$BQ$7,Исходн.данные.!$AH317=$BQ$8),CC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10,IF(Исходн.данные.!$AI317=$BU$11,"Нет",IF(BM317&gt;60,60,IF(BM317&lt;10,10,BM317)))))))</f>
        <v>10</v>
      </c>
      <c r="CA317" s="39">
        <f>IF(BN317&lt;0,0,IF(Исходн.данные.!$AG317=$BV$11,BN317,IF(OR(Исходн.данные.!$AH317=$BQ$7,Исходн.данные.!$AH317=$BQ$8),CD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0,IF(Исходн.данные.!$AI317=$BU$11,"Нет",IF(BN317&gt;30,30,BN317))))))</f>
        <v>0</v>
      </c>
      <c r="CB317" s="9">
        <f t="shared" si="382"/>
        <v>0</v>
      </c>
      <c r="CC317" s="9">
        <f t="shared" si="383"/>
        <v>0</v>
      </c>
      <c r="CD317" s="9">
        <f t="shared" si="384"/>
        <v>0</v>
      </c>
      <c r="CE317" s="12">
        <f t="shared" si="385"/>
        <v>10</v>
      </c>
      <c r="CF317" s="9">
        <f t="shared" si="386"/>
        <v>0</v>
      </c>
      <c r="CG317" s="9" t="s">
        <v>231</v>
      </c>
      <c r="CH317" s="132" t="str">
        <f>IF(Исходн.данные.!AP317=Расчет!$CI$16,"Нет",IF(Исходн.данные.!AL317&gt;0,Исходн.данные.!AL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BH$4,IF(OR(Исходн.данные.!AI317=Исходн.данные.!$AI$6,Исходн.данные.!AI317=Исходн.данные.!$AI$7),Расчет!BS317,IF(AND($CF317=0,$CE317&gt;0),EV317,ER317)))))</f>
        <v>Аммофос 12:52:00</v>
      </c>
      <c r="CI317" s="274">
        <f>IF(Расчет!$CH317="Нет","Нет",IF(Исходн.данные.!$AL317&gt;0,VLOOKUP(Расчет!$CH317,АшламаДВ_Irekle,2,FALSE),VLOOKUP(Расчет!$CH317,АшламаДВ_Gomumy,2,FALSE)))</f>
        <v>0.12</v>
      </c>
      <c r="CJ317" s="274">
        <f>IF(Расчет!$CH317="Нет","Нет",IF(Исходн.данные.!$AL317&gt;0,VLOOKUP(Расчет!$CH317,АшламаДВ_Irekle,3,FALSE),VLOOKUP(Расчет!$CH317,АшламаДВ_Gomumy,3,FALSE)))</f>
        <v>0.52</v>
      </c>
      <c r="CK317" s="274">
        <f>IF(Расчет!$CH317="Нет","Нет",IF(Исходн.данные.!$AL317&gt;0,VLOOKUP(Расчет!$CH317,АшламаДВ_Irekle,4,FALSE),VLOOKUP(Расчет!$CH317,АшламаДВ_Gomumy,4,FALSE)))</f>
        <v>0</v>
      </c>
      <c r="CL317" s="70"/>
      <c r="CM317" s="70"/>
      <c r="CN317" s="70"/>
      <c r="CO317" s="70"/>
      <c r="CP317" s="70"/>
      <c r="CQ317" s="70"/>
      <c r="CR317" s="10">
        <f t="shared" si="387"/>
        <v>0</v>
      </c>
      <c r="CS317" s="10">
        <f t="shared" si="388"/>
        <v>19.23076923076923</v>
      </c>
      <c r="CT317" s="10">
        <f t="shared" si="389"/>
        <v>0</v>
      </c>
      <c r="CU317" s="39">
        <f>IF($CH317="Нет",0,IF(CI317=0,30/MIN(CJ317:CK317),IF(Исходн.данные.!$AG317=$BV$11,CR317,IF(OR(Исходн.данные.!$AH317=$BQ$7,Исходн.данные.!$AH317=$BQ$8),90/CI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0,IF(Исходн.данные.!$AI317=$BU$11,"Нет",30/CI317))))))</f>
        <v>250</v>
      </c>
      <c r="CV317" s="39">
        <f>IF($CH317="Нет",0,IF(Исходн.данные.!AH317=0,0,IF(CJ317=0,60/MIN(CI317,CK317),IF(Исходн.данные.!$AG317=$BV$11,CS317,IF(OR(Исходн.данные.!$AH317=$BQ$7,Исходн.данные.!$AH317=$BQ$8),90/CJ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10/CJ317,IF(Исходн.данные.!$AI317=$BU$11,"Нет",60/CJ317)))))))</f>
        <v>0</v>
      </c>
      <c r="CW317" s="39">
        <f>IF($CH317="Нет",0,IF(Исходн.данные.!AH317=0,0,IF(CK317=0,30/MIN(CI317:CJ317),IF(Исходн.данные.!$AG317=$BV$11,CT317,IF(OR(Исходн.данные.!$AH317=$BQ$7,Исходн.данные.!$AH317=$BQ$8),90/CK317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0,IF(Исходн.данные.!$AI317=$BU$11,"Нет",30/CK317)))))))</f>
        <v>0</v>
      </c>
      <c r="CX317" s="133">
        <f>IF(Исходн.данные.!$AG317=$BV$11,MAX(CU317:CW317),IF(OR(Исходн.данные.!$AH317=$BS$8,Исходн.данные.!$AH317=$BQ$9,Исходн.данные.!$AH317=$BQ$10,Исходн.данные.!$AH317=$BQ$11,Исходн.данные.!$AH317=$BQ$12,Исходн.данные.!$AH317=$BP$3,Исходн.данные.!$AH317=$BT$8,$FM317="Да"),CV317,MIN(CU317:CW317)))</f>
        <v>0</v>
      </c>
      <c r="CY317" s="133">
        <f>IF(Исходн.данные.!AH317=0,0,IF(CR317&gt;$CX317,$CX317,CR317))</f>
        <v>0</v>
      </c>
      <c r="CZ317" s="133">
        <f>IF(Исходн.данные.!AH317=0,0,IF(CS317&gt;$CX317,$CX317,CS317))</f>
        <v>0</v>
      </c>
      <c r="DA317" s="133">
        <f>IF(Исходн.данные.!AH317=0,0,IF(CT317&gt;$CX317,$CX317,CT317))</f>
        <v>0</v>
      </c>
      <c r="DB317" s="10">
        <f t="shared" si="390"/>
        <v>0</v>
      </c>
      <c r="DC317" s="39">
        <f>DB317*Исходн.данные.!AJ317/1000</f>
        <v>0</v>
      </c>
      <c r="DD317" s="71">
        <f t="shared" si="391"/>
        <v>0</v>
      </c>
      <c r="DE317" s="9">
        <f t="shared" si="392"/>
        <v>0</v>
      </c>
      <c r="DF317" s="9">
        <f t="shared" si="393"/>
        <v>0</v>
      </c>
      <c r="DG317" s="39">
        <f>IF(BL317&lt;0,0,IF($CH317="Нет",BL317,IF(OR(Исходн.данные.!$AH317=$BP$1,Исходн.данные.!$AH317=$BP$2),0,IF(Исходн.данные.!AI317=$BU$11,BL317,IF(BL317-DD317&lt;0,0,BL317-DD317)))))</f>
        <v>0</v>
      </c>
      <c r="DH317" s="39">
        <f>IF(BM317&lt;0,0,IF($CH317="Нет",BM317,IF(OR(Исходн.данные.!$AH317=$BP$1,Исходн.данные.!$AH317=$BP$2),0,IF(Исходн.данные.!AJ317=$BU$11,BM317,IF(BM317-DE317&lt;0,0,BM317-DE317)))))</f>
        <v>0</v>
      </c>
      <c r="DI317" s="39">
        <f>IF(BN317&lt;0,0,IF($CH317="Нет",BN317,IF(OR(Исходн.данные.!$AH317=$BP$1,Исходн.данные.!$AH317=$BP$2),0,IF(Исходн.данные.!AK317=$BU$11,BN317,IF(BN317-DF317&lt;0,0,BN317-DF317)))))</f>
        <v>0</v>
      </c>
      <c r="DJ317" s="12">
        <f t="shared" si="394"/>
        <v>0</v>
      </c>
      <c r="DK317" s="9">
        <f t="shared" si="395"/>
        <v>0</v>
      </c>
      <c r="DL317" s="39">
        <f>IF(Исходн.данные.!AM317&gt;0,Исходн.данные.!AM317,IF(EG317&gt;0,$BH$10,0))</f>
        <v>0</v>
      </c>
      <c r="DM317" s="186">
        <f>IF($DL317=0,0,IF(Исходн.данные.!AM317&gt;0,VLOOKUP($DL317,АшламаДВ_Irekle,2,FALSE),VLOOKUP($DL317,АшламаДВ_Gomumy,2,FALSE)))</f>
        <v>0</v>
      </c>
      <c r="DN317" s="10">
        <f t="shared" si="373"/>
        <v>0</v>
      </c>
      <c r="DO317" s="9" t="str">
        <f>IF(Исходн.данные.!AN317&gt;0,Исходн.данные.!AN317,Удобрения!$B$37 )</f>
        <v>Хлор.калий</v>
      </c>
      <c r="DP317" s="9">
        <f>IF(Исходн.данные.!AN317&gt;0,VLOOKUP(Исходн.данные.!AN317,АшламаДВ_Irekle,4,FALSE),VLOOKUP(DO317,АшламаДВ_Gomumy,4,FALSE))</f>
        <v>0.6</v>
      </c>
      <c r="DQ317" s="10">
        <f t="shared" si="374"/>
        <v>0</v>
      </c>
      <c r="DR317" s="132" t="str">
        <f>IF(Исходн.данные.!AO317&gt;0,Исходн.данные.!AO317,IF(DH317=0,BS$17,IF(AND($DK317=0,$DJ317&gt;0),EJ317,EN317)))</f>
        <v>Нет</v>
      </c>
      <c r="DS317" s="70" t="str">
        <f>IF($DR317="Нет","Нет",IF(Исходн.данные.!$AO317&gt;0,VLOOKUP($DR317,АшламаДВ_Irekle,2,FALSE),VLOOKUP($DR317,АшламаДВ_Gomumy,2,FALSE)))</f>
        <v>Нет</v>
      </c>
      <c r="DT317" s="70" t="str">
        <f>IF($DR317="Нет","Нет",IF(Исходн.данные.!$AO317&gt;0,VLOOKUP($DR317,АшламаДВ_Irekle,3,FALSE),VLOOKUP($DR317,АшламаДВ_Gomumy,3,FALSE)))</f>
        <v>Нет</v>
      </c>
      <c r="DU317" s="70" t="str">
        <f>IF($DR317="Нет","Нет",IF(Исходн.данные.!$AO317&gt;0,VLOOKUP($DR317,АшламаДВ_Irekle,4,FALSE),VLOOKUP($DR317,АшламаДВ_Gomumy,4,FALSE)))</f>
        <v>Нет</v>
      </c>
      <c r="DV317" s="70"/>
      <c r="DW317" s="70"/>
      <c r="DX317" s="70"/>
      <c r="DY317" s="10">
        <f t="shared" si="396"/>
        <v>0</v>
      </c>
      <c r="DZ317" s="10">
        <f t="shared" si="397"/>
        <v>0</v>
      </c>
      <c r="EA317" s="10">
        <f t="shared" si="398"/>
        <v>0</v>
      </c>
      <c r="EB317" s="10">
        <f t="shared" si="399"/>
        <v>0</v>
      </c>
      <c r="EC317" s="10">
        <f t="shared" si="400"/>
        <v>0</v>
      </c>
      <c r="ED317" s="10">
        <f t="shared" si="401"/>
        <v>0</v>
      </c>
      <c r="EE317" s="10">
        <f t="shared" si="402"/>
        <v>0</v>
      </c>
      <c r="EF317" s="39">
        <f>EB317*Исходн.данные.!AJ317/1000</f>
        <v>0</v>
      </c>
      <c r="EG317" s="9">
        <f t="shared" si="403"/>
        <v>0</v>
      </c>
      <c r="EH317" s="9">
        <f t="shared" si="404"/>
        <v>0</v>
      </c>
      <c r="EI317" s="39" t="e">
        <f t="shared" si="354"/>
        <v>#DIV/0!</v>
      </c>
      <c r="EJ317" s="9" t="str">
        <f t="shared" si="375"/>
        <v>Азопреципитат</v>
      </c>
      <c r="EK317" s="12">
        <f t="shared" si="355"/>
        <v>0.26</v>
      </c>
      <c r="EL317" s="12">
        <f t="shared" si="356"/>
        <v>0.13</v>
      </c>
      <c r="EM317" s="12">
        <f t="shared" si="357"/>
        <v>0</v>
      </c>
      <c r="EN317" s="12" t="str">
        <f t="shared" si="376"/>
        <v>Нет</v>
      </c>
      <c r="EO317" s="12">
        <f t="shared" si="358"/>
        <v>0</v>
      </c>
      <c r="EP317" s="12">
        <f t="shared" si="359"/>
        <v>0</v>
      </c>
      <c r="EQ317" s="12">
        <f t="shared" si="360"/>
        <v>0</v>
      </c>
      <c r="ER317" s="12" t="str">
        <f t="shared" si="405"/>
        <v>Диаммофоска</v>
      </c>
      <c r="ES317" s="12">
        <f t="shared" si="361"/>
        <v>0.1</v>
      </c>
      <c r="ET317" s="12">
        <f t="shared" si="362"/>
        <v>0.26</v>
      </c>
      <c r="EU317" s="12">
        <f t="shared" si="363"/>
        <v>0.26</v>
      </c>
      <c r="EV317" s="12" t="str">
        <f t="shared" si="406"/>
        <v>Аммофос 12:52:00</v>
      </c>
      <c r="EW317" s="12" t="str">
        <f t="shared" si="407"/>
        <v>Кемира Свекловичное-6</v>
      </c>
      <c r="EX317" s="12">
        <f t="shared" si="364"/>
        <v>0.16</v>
      </c>
      <c r="EY317" s="12">
        <f t="shared" si="365"/>
        <v>0.12</v>
      </c>
      <c r="EZ317" s="12">
        <f t="shared" si="366"/>
        <v>0.17</v>
      </c>
      <c r="FA317" s="38" t="e">
        <f>IF(AND(OR(FJ317=$FD$1,FM317=$FD$1,FO317=$FD$1,FQ317=$FD$1,FS317=$FD$1),FD317=$FD$1,Исходн.данные.!J317&lt;2,FU317=$FD$1),"Бор,Кобальт",IF(AND(FO317=$FD$1,FH317=$FD$1,Исходн.данные.!J317&lt;2,FU317=$FD$1),"Бор,Кобальт",IF(AND(OR(FJ317=$FD$1,FM317=$FD$1,FQ317=$FD$1),FE317=$FD$1,Исходн.данные.!J317&lt;2,FT317=$FD$1,FU317=$FD$1),"Бор,Медь,Цинк",IF(AND(OR(FJ317=$FD$1,FR317="Да"),FI317="Да",Исходн.данные.!J317&lt;2,FT317="Да",FU317="Да"),"Бор,Цинк,Медь",IF(AND(OR(FM317="Да",FQ317="Да"),FI317="Да",Исходн.данные.!J317&lt;2,FT317="Да",FU317="Да"),"Бор,Цинк",IF(AND(FN317="Да",OR(FD317="Да",FE317="Да")),"Бор",FB317))))))</f>
        <v>#N/A</v>
      </c>
      <c r="FB317" s="134" t="e">
        <f>IF(AND(OR(FD317="Да",FE317="Да",FF317="Да",FG317="Да",FH317="Да"),FO317="Да"),"Бор",IF(AND(FP317="Да",OR(FD317="Да",FE317="Да",FI317="Да")),"Бор",IF(AND(FS317="Да",FE317="Да"),"Бор,Медь",IF(AND(OR(FJ317="Да",FK317="Да",FL317="Да"),FE317="Да",Исходн.данные.!I317&lt;5,FT317="Да",FU317="Да"),"Молибден,Цинк",IF(AND(FM317="Да",OR(FE317="Да",FF317="Да",FG317="Да",FH317="Да",FI317="Да")),"Молибден,Цинк",IF(AND(OR(FJ317="Да",FK317="Да",FL317="Да",FM317="Да",FQ317="Да"),OR(FE317="Да",FF317="Да"),FT317="Да",FU317="Да",Исходн.данные.!I317&gt;5.5),"Медь,Цинк",FC317))))))</f>
        <v>#N/A</v>
      </c>
      <c r="FC317" s="23" t="e">
        <f t="shared" si="408"/>
        <v>#N/A</v>
      </c>
      <c r="FD317" s="38" t="str">
        <f>IF(OR(Исходн.данные.!F317=$CC$1,Исходн.данные.!F317=$CC$2,Исходн.данные.!F317=$CC$3,Исходн.данные.!F317=$CC$4),"Да","Нет")</f>
        <v>Нет</v>
      </c>
      <c r="FE317" s="38" t="str">
        <f>IF(Исходн.данные.!F317=$CC$5,"Да","Нет")</f>
        <v>Нет</v>
      </c>
      <c r="FF317" s="38" t="str">
        <f>IF(OR(Исходн.данные.!F317=$CC$6,Исходн.данные.!F317=$CC$7),"Да","Нет")</f>
        <v>Нет</v>
      </c>
      <c r="FG317" s="38" t="str">
        <f>IF(OR(Исходн.данные.!F317=$CC$8,Исходн.данные.!F317=$CC$9),"Да","Нет")</f>
        <v>Нет</v>
      </c>
      <c r="FH317" s="38" t="str">
        <f>IF(Исходн.данные.!F317=$CC$10,"Да","Нет")</f>
        <v>Нет</v>
      </c>
      <c r="FI317" s="38" t="str">
        <f>IF(OR(Исходн.данные.!F317=$CC$11,Исходн.данные.!F317=$CC$12),"Да","Нет")</f>
        <v>Нет</v>
      </c>
      <c r="FJ317" s="38" t="str">
        <f>IF(OR(Исходн.данные.!AH317=$BS$1,Исходн.данные.!AH317=$BQ$11,Исходн.данные.!AH317=$BQ$12),"Да","Нет")</f>
        <v>Нет</v>
      </c>
      <c r="FK317" s="38" t="str">
        <f>IF(OR(Исходн.данные.!AH317=$BS$2,Исходн.данные.!AH317=$BS$4),"Да","Нет")</f>
        <v>Нет</v>
      </c>
      <c r="FL317" s="38" t="str">
        <f>IF(OR(Исходн.данные.!AH317=$BS$3,Исходн.данные.!AH317=$BS$5),"Да","Нет")</f>
        <v>Нет</v>
      </c>
      <c r="FM317" s="38" t="str">
        <f>IF(OR(Исходн.данные.!AH317=$BS$9,Исходн.данные.!AH317=$BS$10,Исходн.данные.!AH317=$BS$11,Исходн.данные.!AH317=$BS$12),"Да","Нет")</f>
        <v>Нет</v>
      </c>
      <c r="FN317" s="38" t="str">
        <f>IF(OR(Исходн.данные.!AH317=$BS$6,Исходн.данные.!AH317=$BP$3),"Да","Нет")</f>
        <v>Нет</v>
      </c>
      <c r="FO317" s="38" t="str">
        <f>IF(Исходн.данные.!AH317=$BQ$9,"Да","Нет")</f>
        <v>Нет</v>
      </c>
      <c r="FP317" s="38" t="str">
        <f>IF(OR(Исходн.данные.!AH317=$BS$8,Исходн.данные.!AH317=$BT$8),"Да","Нет")</f>
        <v>Нет</v>
      </c>
      <c r="FQ317" s="38" t="str">
        <f>IF(OR(Исходн.данные.!AH317=$BQ$7,Исходн.данные.!AH317=$BQ$8),"Да","Нет")</f>
        <v>Нет</v>
      </c>
      <c r="FR317" s="38" t="str">
        <f>IF(Исходн.данные.!AI317=$BU$9,"Да","Нет")</f>
        <v>Нет</v>
      </c>
      <c r="FS317" s="38" t="str">
        <f>IF(OR(Исходн.данные.!AH317=$BP$1,Исходн.данные.!AH317=$BP$2),"Да","Нет")</f>
        <v>Нет</v>
      </c>
      <c r="FT317" s="38" t="e">
        <f>IF((Исходн.данные.!K317*GO317*GS317*GW317+BL317*0.6+Исходн.данные.!Q317*4.5*0.275)&gt;90,"Да","Нет")</f>
        <v>#N/A</v>
      </c>
      <c r="FU317" s="38" t="e">
        <f>IF((Исходн.данные.!M317*GS317*GZ317+BM317*0.225)&gt;35,"Да","Нет")</f>
        <v>#N/A</v>
      </c>
      <c r="FV317" s="38" t="str">
        <f>IF(Исходн.данные.!O317&gt;175,"Да","Нет")</f>
        <v>Нет</v>
      </c>
      <c r="FW317" s="39" t="str">
        <f>IF(Исходн.данные.!I317&gt;5.5,"Да","Нет")</f>
        <v>Нет</v>
      </c>
      <c r="FX317" s="39" t="str">
        <f>IF(Исходн.данные.!J317&lt;2,"Да","Нет")</f>
        <v>Да</v>
      </c>
      <c r="FY317" s="39" t="e">
        <f>IF(HF317=$FY$16,0,Исходн.данные.!K317*GO317*GS317*GW317/HF317)</f>
        <v>#N/A</v>
      </c>
      <c r="FZ317" s="39" t="e">
        <f>Исходн.данные.!M317*GS317*GZ317/HG317</f>
        <v>#N/A</v>
      </c>
      <c r="GA317" s="39" t="e">
        <f>IF(K_Wyn=$FY$16,0,IF(Исходн.данные.!N317=Исходн.данные.!$L$10,Исходн.данные.!O317/1.1*GS317*HC317/HH317,IF(Исходн.данные.!N317=Исходн.данные.!$L$12,Исходн.данные.!O317/1.5*GS317*HC317/HH317,Исходн.данные.!O317*GS317*HC317/HH317)))</f>
        <v>#N/A</v>
      </c>
      <c r="GB317" s="39" t="e">
        <f>IF(HF317=$FY$16,0,((Исходн.данные.!Q317*N_Org+Исходн.данные.!R317*N_Sider+Исходн.данные.!S317*N_Soloma)*AO317+Расчет!BC317*VLOOKUP(Исходн.данные.!T317,Справ!$A$3:$O$57,15)*AO317+BB317*VLOOKUP(Исходн.данные.!T317,Справ!$A$3:$O$57,15)*AL317+(Исходн.данные.!V317*N_Rizotorf+Исходн.данные.!W317*N_Rizoagr))/HF317)</f>
        <v>#N/A</v>
      </c>
      <c r="GC317" s="39" t="e">
        <f>IF(HG317=$FY$16,0,((Исходн.данные.!Q317*Р_Org+Исходн.данные.!R317*P_Sider+Исходн.данные.!S317*P_Soloma)*AP317+Расчет!BC317*VLOOKUP(Исходн.данные.!T317,Справ!$A$3:$P$57,16)*AP317+BB317*VLOOKUP(Исходн.данные.!T317,Справ!$A$3:$P$57,16)*AM317)/HG317)</f>
        <v>#N/A</v>
      </c>
      <c r="GD317" s="39" t="e">
        <f>IF(HH317=$FY$16,0,((Исходн.данные.!Q317*К_Org+Исходн.данные.!R317*K_Sider+Исходн.данные.!S317*K_Soloma)*AQ317+Расчет!BC317*VLOOKUP(Исходн.данные.!T317,Справ!$A$3:$Q$57,17)*AQ317+BB317*VLOOKUP(Исходн.данные.!T317,Справ!$A$3:$Q$57,17)*AN317)/HH317)</f>
        <v>#N/A</v>
      </c>
      <c r="GE317" s="39" t="e">
        <f>IF(HF317=$FY$16,0,(Исходн.данные.!X317*AR317+Исходн.данные.!AA317*N_Org*AL317+Исходн.данные.!AB317*N_Sider*AL317+Исходн.данные.!AC317*N_Soloma*AL317)/HF317)</f>
        <v>#N/A</v>
      </c>
      <c r="GF317" s="39" t="e">
        <f>IF(HG317=$FY$16,0,(Исходн.данные.!Y317*AS317+Исходн.данные.!AA317*Р_Org*AM317+Исходн.данные.!AB317*P_Sider*AM317+Исходн.данные.!AC317*P_Soloma*AM317)/HG317)</f>
        <v>#N/A</v>
      </c>
      <c r="GG317" s="39" t="e">
        <f>IF(HH317=$FY$16,0,(Исходн.данные.!Z317*AT317+Исходн.данные.!AA317*К_Org*AN317+Исходн.данные.!AB317*K_Sider*AN317+Исходн.данные.!AC317*K_Soloma*AN317)/HH317)</f>
        <v>#N/A</v>
      </c>
      <c r="GH317" s="39" t="e">
        <f>Исходн.данные.!AD317*AU317/HF317</f>
        <v>#N/A</v>
      </c>
      <c r="GI317" s="39" t="e">
        <f>Исходн.данные.!AE317*AV317/HG317</f>
        <v>#N/A</v>
      </c>
      <c r="GJ317" s="39" t="e">
        <f>Исходн.данные.!AF317*AW317/HH317</f>
        <v>#N/A</v>
      </c>
      <c r="GK317" s="55">
        <f>Исходн.данные.!AK317</f>
        <v>0</v>
      </c>
      <c r="GL317" s="11" t="e">
        <f t="shared" si="409"/>
        <v>#N/A</v>
      </c>
      <c r="GM317" s="11" t="e">
        <f t="shared" si="410"/>
        <v>#N/A</v>
      </c>
      <c r="GN317" s="11" t="e">
        <f t="shared" si="411"/>
        <v>#N/A</v>
      </c>
      <c r="GO317" s="57">
        <f t="shared" si="412"/>
        <v>19</v>
      </c>
      <c r="GP317" s="55">
        <f>IF(OR(Исходн.данные.!F317=$CE$1,Исходн.данные.!F317=$CE$2,Исходн.данные.!F317=$CE$3,Исходн.данные.!F317=$CE$4,Исходн.данные.!F317=$CE$5),GQ317,GR317)</f>
        <v>19</v>
      </c>
      <c r="GQ317" s="55">
        <f>IF(Исходн.данные.!F317=$CE$1,28,IF(Исходн.данные.!F317=$CE$2,26,IF(Исходн.данные.!F317=$CE$3,24,IF(Исходн.данные.!F317=$CE$4,22,IF(Исходн.данные.!F317=$CE$5,20,GR317)))))</f>
        <v>19</v>
      </c>
      <c r="GR317" s="55">
        <f>IF(Исходн.данные.!F317=$CE$6,18,IF(Исходн.данные.!F317=$CE$7,16,IF(Исходн.данные.!F317=$CE$8,14,IF(Исходн.данные.!F317=$CE$9,13,IF(Исходн.данные.!F317=$CE$10,12,19)))))</f>
        <v>19</v>
      </c>
      <c r="GS317" s="55">
        <f>IF(Исходн.данные.!G317="Пес",0.035*(40+2*Исходн.данные.!H317),IF(Исходн.данные.!G317="Суп",0.0325*(40+2*Исходн.данные.!H317),0.03*(40+2*Исходн.данные.!H317)))</f>
        <v>1.2</v>
      </c>
      <c r="GT317" s="55">
        <f>IF(Исходн.данные.!H317&lt;23,2.6,IF(AND(Исходн.данные.!H317&gt;22,Исходн.данные.!H317&lt;26),3,IF(AND(Исходн.данные.!H317&gt;25,Исходн.данные.!H317&lt;29),3.4,3.6)))</f>
        <v>2.6</v>
      </c>
      <c r="GU317" s="55">
        <f>IF(Исходн.данные.!H317&lt;23,2.8,IF(AND(Исходн.данные.!H317&gt;22,Исходн.данные.!H317&lt;26),3.2,IF(AND(Исходн.данные.!H317&gt;25,Исходн.данные.!H317&lt;29),3.6,3.9)))</f>
        <v>2.8</v>
      </c>
      <c r="GV317" s="55">
        <f>IF(Исходн.данные.!H317&lt;23,3,IF(AND(Исходн.данные.!H317&gt;22,Исходн.данные.!H317&lt;26),3.5,IF(AND(Исходн.данные.!H317&gt;25,Исходн.данные.!H317&lt;29),3.9,4.2)))</f>
        <v>3</v>
      </c>
      <c r="GW317" s="55" t="e">
        <f>IF(Исходн.данные.!P317="Ум",GX317,GY317)</f>
        <v>#N/A</v>
      </c>
      <c r="GX317" s="55" t="e">
        <f>VLOOKUP(Исходн.данные.!AI317,Коэффициенты!$J$7:$L$13,2,FALSE)</f>
        <v>#N/A</v>
      </c>
      <c r="GY317" s="55" t="e">
        <f>VLOOKUP(Исходн.данные.!AI317,Коэффициенты!$J$7:$L$13,3,FALSE)</f>
        <v>#N/A</v>
      </c>
      <c r="GZ317" s="55" t="e">
        <f>(IF(Исходн.данные.!M317&lt;50,0.11*VLOOKUP(Исходн.данные.!AH317,Культуры.Информация,7,FALSE),IF(Исходн.данные.!M317&gt;250,0.05*VLOOKUP(Исходн.данные.!AH317,Культуры.Информация,7,FALSE),VLOOKUP(Исходн.данные.!AH317,Культуры.Информация,5,FALSE)/100*($GX$6+$GY$6*Исходн.данные.!M317))))*Расчет2!AI317</f>
        <v>#N/A</v>
      </c>
      <c r="HA317" s="211"/>
      <c r="HB317" s="211"/>
      <c r="HC317" s="55" t="e">
        <f>(IF(Исходн.данные.!O317&lt;80,0.2*VLOOKUP(Исходн.данные.!AH317,Культуры.Информация,8,FALSE),IF(Исходн.данные.!O317&gt;240,0.09*VLOOKUP(Исходн.данные.!AH317,Культуры.Информация,8,FALSE),VLOOKUP(Исходн.данные.!AH317,Культуры.Информация,6,FALSE)/100*($HB$6+$HC$6*Исходн.данные.!O317))))*Расчет2!AJ317</f>
        <v>#N/A</v>
      </c>
      <c r="HD317" s="55">
        <f>IF(Исходн.данные.!O317&gt;240,0.09,IF(Исходн.данные.!O317&lt;30,0.3,$HE$10+$HD$10*Исходн.данные.!O317))</f>
        <v>0.3</v>
      </c>
      <c r="HE317" s="55">
        <f>IF(Исходн.данные.!O317&gt;240,0.17,IF(Исходн.данные.!O317&lt;30,0.5,$HF$12+$HE$12*Исходн.данные.!O317))</f>
        <v>0.5</v>
      </c>
      <c r="HF317" s="55" t="e">
        <f>VLOOKUP(Исходн.данные.!AH317,Справ!$A$3:$D$58,2,FALSE)</f>
        <v>#N/A</v>
      </c>
      <c r="HG317" s="55" t="e">
        <f>VLOOKUP(Исходн.данные.!AH317,Справ!$A$3:$D$58,3,FALSE)</f>
        <v>#N/A</v>
      </c>
      <c r="HH317" s="55" t="e">
        <f>VLOOKUP(Исходн.данные.!AH317,Справ!$A$3:$D$58,4,FALSE)</f>
        <v>#N/A</v>
      </c>
      <c r="HI317" s="11" t="e">
        <f t="shared" si="413"/>
        <v>#N/A</v>
      </c>
      <c r="HJ317" s="11" t="e">
        <f t="shared" si="414"/>
        <v>#N/A</v>
      </c>
      <c r="HK317" s="11" t="e">
        <f t="shared" si="415"/>
        <v>#N/A</v>
      </c>
      <c r="HL317" s="55">
        <f>IF(OR(Исходн.данные.!G317="Глин",Исходн.данные.!G317="Т_суг"),1.1,IF(Исходн.данные.!G317="Ср_суг",1,1))</f>
        <v>1</v>
      </c>
      <c r="HM317" s="55">
        <f>IF(OR(Исходн.данные.!G317="Глин",Исходн.данные.!G317="Т_суг"),0.9,IF(Исходн.данные.!G317="Ср_суг",1,1.2))</f>
        <v>1.2</v>
      </c>
      <c r="HN317" s="11" t="e">
        <f t="shared" si="416"/>
        <v>#N/A</v>
      </c>
      <c r="HO317" s="11" t="e">
        <f t="shared" si="417"/>
        <v>#N/A</v>
      </c>
      <c r="HP317" s="11" t="e">
        <f t="shared" si="418"/>
        <v>#N/A</v>
      </c>
      <c r="HQ317" t="e">
        <f t="shared" si="419"/>
        <v>#N/A</v>
      </c>
      <c r="HR317" t="e">
        <f t="shared" si="420"/>
        <v>#N/A</v>
      </c>
      <c r="HS317" t="e">
        <f t="shared" si="421"/>
        <v>#N/A</v>
      </c>
      <c r="HT317" t="e">
        <f t="shared" si="367"/>
        <v>#N/A</v>
      </c>
      <c r="HU317" t="e">
        <f t="shared" si="368"/>
        <v>#N/A</v>
      </c>
      <c r="HV317" t="e">
        <f t="shared" si="369"/>
        <v>#N/A</v>
      </c>
      <c r="HW317" t="e">
        <f t="shared" si="370"/>
        <v>#N/A</v>
      </c>
      <c r="HX317" t="e">
        <f t="shared" si="371"/>
        <v>#N/A</v>
      </c>
      <c r="HY317" t="e">
        <f t="shared" si="372"/>
        <v>#N/A</v>
      </c>
      <c r="HZ317" s="55">
        <f>IF(OR(Исходн.данные.!AI317="Оз_Ч_П",Исходн.данные.!AI317="Оз_З_П",Исходн.данные.!AI317="Яр_зер"),12,30)</f>
        <v>30</v>
      </c>
      <c r="IA317" t="e">
        <f t="shared" si="422"/>
        <v>#N/A</v>
      </c>
      <c r="IB317" t="e">
        <f t="shared" si="423"/>
        <v>#N/A</v>
      </c>
      <c r="IC317" t="e">
        <f t="shared" si="424"/>
        <v>#N/A</v>
      </c>
      <c r="ID317" s="11" t="e">
        <f t="shared" si="425"/>
        <v>#N/A</v>
      </c>
      <c r="IE317" s="11" t="e">
        <f t="shared" si="426"/>
        <v>#N/A</v>
      </c>
      <c r="IF317" s="11" t="e">
        <f t="shared" si="427"/>
        <v>#N/A</v>
      </c>
    </row>
    <row r="318" spans="35:240" x14ac:dyDescent="0.2">
      <c r="AI318">
        <f>IF(Исходн.данные.!I318&gt;6,1,1.85-(0.148*Исходн.данные.!I318))</f>
        <v>1.85</v>
      </c>
      <c r="AJ318">
        <f>IF(Исходн.данные.!I318&gt;6,1,2.434-(0.246*Исходн.данные.!I318))</f>
        <v>2.4340000000000002</v>
      </c>
      <c r="AL318" s="148" t="b">
        <f>IF(Исходн.данные.!$P318="Ум",N_OrgUd_2g_um,IF(Исходн.данные.!$P318="Об",N_OrgUd_2g_ob))</f>
        <v>0</v>
      </c>
      <c r="AM318" s="148" t="b">
        <f>IF(Исходн.данные.!$P318="Ум",P_OrgUd_2g_um,IF(Исходн.данные.!$P318="Об",P_OrgUd_2g_ob))</f>
        <v>0</v>
      </c>
      <c r="AN318" s="148" t="b">
        <f>IF(Исходн.данные.!$P318="Ум",K_OrgUd_2g_um,IF(Исходн.данные.!$P318="Об",K_OrgUd_2g_ob))</f>
        <v>0</v>
      </c>
      <c r="AO318" s="148" t="b">
        <f>IF(Исходн.данные.!$P318="Ум",N_OrgUd_1g_um,IF(Исходн.данные.!$P318="Об",N_OrgUd_1g_ob))</f>
        <v>0</v>
      </c>
      <c r="AP318" s="148" t="b">
        <f>IF(Исходн.данные.!$P318="Ум",P_OrgUd_1g_um,IF(Исходн.данные.!$P318="Об",P_OrgUd_1g_ob))</f>
        <v>0</v>
      </c>
      <c r="AQ318" s="148" t="b">
        <f>IF(Исходн.данные.!$P318="Ум",K_OrgUd_1g_um,IF(Исходн.данные.!$P318="Об",K_OrgUd_1g_ob))</f>
        <v>0</v>
      </c>
      <c r="AR318" t="b">
        <f>IF(Исходн.данные.!$P318="Ум",N_MinUd_2g_um,IF(Исходн.данные.!$P318="Об",N_MinUd_2g_ob))</f>
        <v>0</v>
      </c>
      <c r="AS318" t="b">
        <f>IF(Исходн.данные.!$P318="Ум",P_MinUd_2g_um,IF(Исходн.данные.!$P318="Об",P_MinUd_2g_ob))</f>
        <v>0</v>
      </c>
      <c r="AT318" t="b">
        <f>IF(Исходн.данные.!$P318="Ум",K_MinUd_2g_um,IF(Исходн.данные.!$P318="Об",K_MinUd_2g_ob))</f>
        <v>0</v>
      </c>
      <c r="AU318" t="b">
        <f>IF(Исходн.данные.!$P318="Ум",N_MinUd_1g_um,IF(Исходн.данные.!$P318="Об",N_MinUd_1g_ob))</f>
        <v>0</v>
      </c>
      <c r="AV318" t="b">
        <f>IF(Исходн.данные.!P318="Ум",P_MinUd_1g_um,IF(Исходн.данные.!P318="Об",P_MinUd_1g_ob))</f>
        <v>0</v>
      </c>
      <c r="AW318" t="b">
        <f>IF(Исходн.данные.!P318="Ум",K_MinUd_1g_um,IF(Исходн.данные.!P318="Об",K_MinUd_1g_ob))</f>
        <v>0</v>
      </c>
      <c r="AY318" t="e">
        <f>VLOOKUP(Исходн.данные.!T318,Справ!$A$3:$N$57,12)</f>
        <v>#N/A</v>
      </c>
      <c r="AZ318" t="e">
        <f>VLOOKUP(Исходн.данные.!T318,Справ!$A$3:$N$57,13)</f>
        <v>#N/A</v>
      </c>
      <c r="BA318" t="e">
        <f>VLOOKUP(Исходн.данные.!T318,Справ!$A$3:$N$57,14)</f>
        <v>#N/A</v>
      </c>
      <c r="BB318">
        <f>IF(Исходн.данные.!AH318=0,0,25)</f>
        <v>0</v>
      </c>
      <c r="BC318" s="141">
        <f>IF(Исходн.данные.!AH318=0,0,IF(Исходн.данные.!T318=0,25,BD318))</f>
        <v>0</v>
      </c>
      <c r="BD318" s="168" t="e">
        <f>AY318+AZ318*Исходн.данные.!U318-POWER(BA318,2)*Исходн.данные.!U318</f>
        <v>#N/A</v>
      </c>
      <c r="BE31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8" s="25">
        <f>IF(Исходн.данные.!AH318=0,0,MIN(HN318:HP318))</f>
        <v>0</v>
      </c>
      <c r="BG318" s="9">
        <f>IF(Исходн.данные.!AH318=0,0,IF((HO318+10*0.25/HG318/HL318)&lt;17,17,HO318+10*0.25/HG318/HL318))</f>
        <v>0</v>
      </c>
      <c r="BH318" s="181">
        <f>IF(Исходн.данные.!AH318=0,0,HW318*HF318*HL318/AU318*AI318+Исходн.данные.!S318*10)</f>
        <v>0</v>
      </c>
      <c r="BI318" s="10"/>
      <c r="BJ318" s="182">
        <f>IF(Исходн.данные.!AH318=0,0,IF(HX318*HG318*HL318/AV318&lt;0,0,HX318*HG318*HL318/AV318*AJ318))</f>
        <v>0</v>
      </c>
      <c r="BK318" s="182">
        <f>IF(Исходн.данные.!AH318=0,0,HY318*HH318*HM318/AW318)</f>
        <v>0</v>
      </c>
      <c r="BL318" s="10">
        <f>IF(OR(Исходн.данные.!$AH318=$BP$1,Исходн.данные.!$AH318=$BP$2),0,IF(BH318&lt;0,0,IF(OR(Исходн.данные.!T318=Расчет!$BP$1,Исходн.данные.!T318=Расчет!$BP$2,Исходн.данные.!T318=Расчет!$BT$5,Исходн.данные.!T318=Расчет!$BT$6),BH318*0.5,IF(OR(Исходн.данные.!T318=Расчет!$BS$9,Исходн.данные.!T318=Расчет!$BS$10,Исходн.данные.!T318=Расчет!$BS$11,Исходн.данные.!T318=Расчет!$BS$12,Исходн.данные.!T318=Расчет!$BP$5),BH318*0.8,BH318))))</f>
        <v>0</v>
      </c>
      <c r="BM318" s="10">
        <f>IF(OR(Исходн.данные.!$AH318=$BP$1,Исходн.данные.!$AH318=$BP$2),0,IF(BJ318&lt;0,0,IF(Исходн.данные.!I318&lt;4.5,BJ318*1.2,IF(Исходн.данные.!I318&gt;5.1,BJ318,BJ318*((5.1-Исходн.данные.!I318)*0.333+1)))))</f>
        <v>0</v>
      </c>
      <c r="BN318" s="10">
        <f>IF(OR(Исходн.данные.!$AH318=$BP$1,Исходн.данные.!$AH318=$BP$2),60-Исходн.данные.!AF318,IF(BK318&lt;0,0,IF(Исходн.данные.!I318&lt;4.5,BK318*1.2,IF(Исходн.данные.!I318&gt;5.1,BK318,BK318*((5.1-Исходн.данные.!I318)*0.333+1)))))</f>
        <v>0</v>
      </c>
      <c r="BO318" s="9">
        <f>IF(BL318&lt;0,0,BL318*Исходн.данные.!$AJ318/1000)</f>
        <v>0</v>
      </c>
      <c r="BP318" s="9">
        <f>IF(BM318&lt;0,0,BM318*Исходн.данные.!$AJ318/1000)</f>
        <v>0</v>
      </c>
      <c r="BQ318" s="9">
        <f>IF(BN318&lt;0,0,BN318*Исходн.данные.!$AJ318/1000)</f>
        <v>0</v>
      </c>
      <c r="BR318" s="9">
        <f t="shared" si="377"/>
        <v>0</v>
      </c>
      <c r="BS318" s="10" t="str">
        <f t="shared" si="378"/>
        <v>Аммофос 12:52:00</v>
      </c>
      <c r="BT318" s="10" t="str">
        <f t="shared" si="379"/>
        <v>Аммофос 12:52:00</v>
      </c>
      <c r="BU318" s="10" t="str">
        <f t="shared" si="380"/>
        <v>Диаммофоска</v>
      </c>
      <c r="BV318" s="10">
        <f t="shared" si="381"/>
        <v>0</v>
      </c>
      <c r="BW318" s="10"/>
      <c r="BX318" s="10"/>
      <c r="BY318" s="9">
        <f>IF(BL318&lt;0,0,IF(OR(Исходн.данные.!AI318=Расчет!$BU$6,Исходн.данные.!AI318=Расчет!$BU$7),Расчет!BV318,IF(Исходн.данные.!$AG318=$BV$11,BL318,IF(OR(Исходн.данные.!$AH318=$BQ$7,Исходн.данные.!$AH318=$BQ$8),CB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0,IF(Исходн.данные.!$AI318=$BU$11,"Нет",IF(BL318&gt;30,30,BL318)))))))</f>
        <v>0</v>
      </c>
      <c r="BZ318" s="9">
        <f>IF(AND(Исходн.данные.!$AG318=$BV$11,BM318&lt;10),10,IF(Исходн.данные.!$AG318=$BV$11,BM318,IF(OR(Исходн.данные.!$AH318=$BQ$7,Исходн.данные.!$AH318=$BQ$8),CC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10,IF(Исходн.данные.!$AI318=$BU$11,"Нет",IF(BM318&gt;60,60,IF(BM318&lt;10,10,BM318)))))))</f>
        <v>10</v>
      </c>
      <c r="CA318" s="39">
        <f>IF(BN318&lt;0,0,IF(Исходн.данные.!$AG318=$BV$11,BN318,IF(OR(Исходн.данные.!$AH318=$BQ$7,Исходн.данные.!$AH318=$BQ$8),CD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0,IF(Исходн.данные.!$AI318=$BU$11,"Нет",IF(BN318&gt;30,30,BN318))))))</f>
        <v>0</v>
      </c>
      <c r="CB318" s="9">
        <f t="shared" si="382"/>
        <v>0</v>
      </c>
      <c r="CC318" s="9">
        <f t="shared" si="383"/>
        <v>0</v>
      </c>
      <c r="CD318" s="9">
        <f t="shared" si="384"/>
        <v>0</v>
      </c>
      <c r="CE318" s="12">
        <f t="shared" si="385"/>
        <v>10</v>
      </c>
      <c r="CF318" s="9">
        <f t="shared" si="386"/>
        <v>0</v>
      </c>
      <c r="CG318" s="9" t="s">
        <v>231</v>
      </c>
      <c r="CH318" s="132" t="str">
        <f>IF(Исходн.данные.!AP318=Расчет!$CI$16,"Нет",IF(Исходн.данные.!AL318&gt;0,Исходн.данные.!AL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BH$4,IF(OR(Исходн.данные.!AI318=Исходн.данные.!$AI$6,Исходн.данные.!AI318=Исходн.данные.!$AI$7),Расчет!BS318,IF(AND($CF318=0,$CE318&gt;0),EV318,ER318)))))</f>
        <v>Аммофос 12:52:00</v>
      </c>
      <c r="CI318" s="274">
        <f>IF(Расчет!$CH318="Нет","Нет",IF(Исходн.данные.!$AL318&gt;0,VLOOKUP(Расчет!$CH318,АшламаДВ_Irekle,2,FALSE),VLOOKUP(Расчет!$CH318,АшламаДВ_Gomumy,2,FALSE)))</f>
        <v>0.12</v>
      </c>
      <c r="CJ318" s="274">
        <f>IF(Расчет!$CH318="Нет","Нет",IF(Исходн.данные.!$AL318&gt;0,VLOOKUP(Расчет!$CH318,АшламаДВ_Irekle,3,FALSE),VLOOKUP(Расчет!$CH318,АшламаДВ_Gomumy,3,FALSE)))</f>
        <v>0.52</v>
      </c>
      <c r="CK318" s="274">
        <f>IF(Расчет!$CH318="Нет","Нет",IF(Исходн.данные.!$AL318&gt;0,VLOOKUP(Расчет!$CH318,АшламаДВ_Irekle,4,FALSE),VLOOKUP(Расчет!$CH318,АшламаДВ_Gomumy,4,FALSE)))</f>
        <v>0</v>
      </c>
      <c r="CL318" s="70"/>
      <c r="CM318" s="70"/>
      <c r="CN318" s="70"/>
      <c r="CO318" s="70"/>
      <c r="CP318" s="70"/>
      <c r="CQ318" s="70"/>
      <c r="CR318" s="10">
        <f t="shared" si="387"/>
        <v>0</v>
      </c>
      <c r="CS318" s="10">
        <f t="shared" si="388"/>
        <v>19.23076923076923</v>
      </c>
      <c r="CT318" s="10">
        <f t="shared" si="389"/>
        <v>0</v>
      </c>
      <c r="CU318" s="39">
        <f>IF($CH318="Нет",0,IF(CI318=0,30/MIN(CJ318:CK318),IF(Исходн.данные.!$AG318=$BV$11,CR318,IF(OR(Исходн.данные.!$AH318=$BQ$7,Исходн.данные.!$AH318=$BQ$8),90/CI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0,IF(Исходн.данные.!$AI318=$BU$11,"Нет",30/CI318))))))</f>
        <v>250</v>
      </c>
      <c r="CV318" s="39">
        <f>IF($CH318="Нет",0,IF(Исходн.данные.!AH318=0,0,IF(CJ318=0,60/MIN(CI318,CK318),IF(Исходн.данные.!$AG318=$BV$11,CS318,IF(OR(Исходн.данные.!$AH318=$BQ$7,Исходн.данные.!$AH318=$BQ$8),90/CJ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10/CJ318,IF(Исходн.данные.!$AI318=$BU$11,"Нет",60/CJ318)))))))</f>
        <v>0</v>
      </c>
      <c r="CW318" s="39">
        <f>IF($CH318="Нет",0,IF(Исходн.данные.!AH318=0,0,IF(CK318=0,30/MIN(CI318:CJ318),IF(Исходн.данные.!$AG318=$BV$11,CT318,IF(OR(Исходн.данные.!$AH318=$BQ$7,Исходн.данные.!$AH318=$BQ$8),90/CK318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0,IF(Исходн.данные.!$AI318=$BU$11,"Нет",30/CK318)))))))</f>
        <v>0</v>
      </c>
      <c r="CX318" s="133">
        <f>IF(Исходн.данные.!$AG318=$BV$11,MAX(CU318:CW318),IF(OR(Исходн.данные.!$AH318=$BS$8,Исходн.данные.!$AH318=$BQ$9,Исходн.данные.!$AH318=$BQ$10,Исходн.данные.!$AH318=$BQ$11,Исходн.данные.!$AH318=$BQ$12,Исходн.данные.!$AH318=$BP$3,Исходн.данные.!$AH318=$BT$8,$FM318="Да"),CV318,MIN(CU318:CW318)))</f>
        <v>0</v>
      </c>
      <c r="CY318" s="133">
        <f>IF(Исходн.данные.!AH318=0,0,IF(CR318&gt;$CX318,$CX318,CR318))</f>
        <v>0</v>
      </c>
      <c r="CZ318" s="133">
        <f>IF(Исходн.данные.!AH318=0,0,IF(CS318&gt;$CX318,$CX318,CS318))</f>
        <v>0</v>
      </c>
      <c r="DA318" s="133">
        <f>IF(Исходн.данные.!AH318=0,0,IF(CT318&gt;$CX318,$CX318,CT318))</f>
        <v>0</v>
      </c>
      <c r="DB318" s="10">
        <f t="shared" si="390"/>
        <v>0</v>
      </c>
      <c r="DC318" s="39">
        <f>DB318*Исходн.данные.!AJ318/1000</f>
        <v>0</v>
      </c>
      <c r="DD318" s="71">
        <f t="shared" si="391"/>
        <v>0</v>
      </c>
      <c r="DE318" s="9">
        <f t="shared" si="392"/>
        <v>0</v>
      </c>
      <c r="DF318" s="9">
        <f t="shared" si="393"/>
        <v>0</v>
      </c>
      <c r="DG318" s="39">
        <f>IF(BL318&lt;0,0,IF($CH318="Нет",BL318,IF(OR(Исходн.данные.!$AH318=$BP$1,Исходн.данные.!$AH318=$BP$2),0,IF(Исходн.данные.!AI318=$BU$11,BL318,IF(BL318-DD318&lt;0,0,BL318-DD318)))))</f>
        <v>0</v>
      </c>
      <c r="DH318" s="39">
        <f>IF(BM318&lt;0,0,IF($CH318="Нет",BM318,IF(OR(Исходн.данные.!$AH318=$BP$1,Исходн.данные.!$AH318=$BP$2),0,IF(Исходн.данные.!AJ318=$BU$11,BM318,IF(BM318-DE318&lt;0,0,BM318-DE318)))))</f>
        <v>0</v>
      </c>
      <c r="DI318" s="39">
        <f>IF(BN318&lt;0,0,IF($CH318="Нет",BN318,IF(OR(Исходн.данные.!$AH318=$BP$1,Исходн.данные.!$AH318=$BP$2),0,IF(Исходн.данные.!AK318=$BU$11,BN318,IF(BN318-DF318&lt;0,0,BN318-DF318)))))</f>
        <v>0</v>
      </c>
      <c r="DJ318" s="12">
        <f t="shared" si="394"/>
        <v>0</v>
      </c>
      <c r="DK318" s="9">
        <f t="shared" si="395"/>
        <v>0</v>
      </c>
      <c r="DL318" s="39">
        <f>IF(Исходн.данные.!AM318&gt;0,Исходн.данные.!AM318,IF(EG318&gt;0,$BH$10,0))</f>
        <v>0</v>
      </c>
      <c r="DM318" s="186">
        <f>IF($DL318=0,0,IF(Исходн.данные.!AM318&gt;0,VLOOKUP($DL318,АшламаДВ_Irekle,2,FALSE),VLOOKUP($DL318,АшламаДВ_Gomumy,2,FALSE)))</f>
        <v>0</v>
      </c>
      <c r="DN318" s="10">
        <f t="shared" si="373"/>
        <v>0</v>
      </c>
      <c r="DO318" s="9" t="str">
        <f>IF(Исходн.данные.!AN318&gt;0,Исходн.данные.!AN318,Удобрения!$B$37 )</f>
        <v>Хлор.калий</v>
      </c>
      <c r="DP318" s="9">
        <f>IF(Исходн.данные.!AN318&gt;0,VLOOKUP(Исходн.данные.!AN318,АшламаДВ_Irekle,4,FALSE),VLOOKUP(DO318,АшламаДВ_Gomumy,4,FALSE))</f>
        <v>0.6</v>
      </c>
      <c r="DQ318" s="10">
        <f t="shared" si="374"/>
        <v>0</v>
      </c>
      <c r="DR318" s="132" t="str">
        <f>IF(Исходн.данные.!AO318&gt;0,Исходн.данные.!AO318,IF(DH318=0,BS$17,IF(AND($DK318=0,$DJ318&gt;0),EJ318,EN318)))</f>
        <v>Нет</v>
      </c>
      <c r="DS318" s="70" t="str">
        <f>IF($DR318="Нет","Нет",IF(Исходн.данные.!$AO318&gt;0,VLOOKUP($DR318,АшламаДВ_Irekle,2,FALSE),VLOOKUP($DR318,АшламаДВ_Gomumy,2,FALSE)))</f>
        <v>Нет</v>
      </c>
      <c r="DT318" s="70" t="str">
        <f>IF($DR318="Нет","Нет",IF(Исходн.данные.!$AO318&gt;0,VLOOKUP($DR318,АшламаДВ_Irekle,3,FALSE),VLOOKUP($DR318,АшламаДВ_Gomumy,3,FALSE)))</f>
        <v>Нет</v>
      </c>
      <c r="DU318" s="70" t="str">
        <f>IF($DR318="Нет","Нет",IF(Исходн.данные.!$AO318&gt;0,VLOOKUP($DR318,АшламаДВ_Irekle,4,FALSE),VLOOKUP($DR318,АшламаДВ_Gomumy,4,FALSE)))</f>
        <v>Нет</v>
      </c>
      <c r="DV318" s="70"/>
      <c r="DW318" s="70"/>
      <c r="DX318" s="70"/>
      <c r="DY318" s="10">
        <f t="shared" si="396"/>
        <v>0</v>
      </c>
      <c r="DZ318" s="10">
        <f t="shared" si="397"/>
        <v>0</v>
      </c>
      <c r="EA318" s="10">
        <f t="shared" si="398"/>
        <v>0</v>
      </c>
      <c r="EB318" s="10">
        <f t="shared" si="399"/>
        <v>0</v>
      </c>
      <c r="EC318" s="10">
        <f t="shared" si="400"/>
        <v>0</v>
      </c>
      <c r="ED318" s="10">
        <f t="shared" si="401"/>
        <v>0</v>
      </c>
      <c r="EE318" s="10">
        <f t="shared" si="402"/>
        <v>0</v>
      </c>
      <c r="EF318" s="39">
        <f>EB318*Исходн.данные.!AJ318/1000</f>
        <v>0</v>
      </c>
      <c r="EG318" s="9">
        <f t="shared" si="403"/>
        <v>0</v>
      </c>
      <c r="EH318" s="9">
        <f t="shared" si="404"/>
        <v>0</v>
      </c>
      <c r="EI318" s="39" t="e">
        <f t="shared" si="354"/>
        <v>#DIV/0!</v>
      </c>
      <c r="EJ318" s="9" t="str">
        <f t="shared" si="375"/>
        <v>Азопреципитат</v>
      </c>
      <c r="EK318" s="12">
        <f t="shared" si="355"/>
        <v>0.26</v>
      </c>
      <c r="EL318" s="12">
        <f t="shared" si="356"/>
        <v>0.13</v>
      </c>
      <c r="EM318" s="12">
        <f t="shared" si="357"/>
        <v>0</v>
      </c>
      <c r="EN318" s="12" t="str">
        <f t="shared" si="376"/>
        <v>Нет</v>
      </c>
      <c r="EO318" s="12">
        <f t="shared" si="358"/>
        <v>0</v>
      </c>
      <c r="EP318" s="12">
        <f t="shared" si="359"/>
        <v>0</v>
      </c>
      <c r="EQ318" s="12">
        <f t="shared" si="360"/>
        <v>0</v>
      </c>
      <c r="ER318" s="12" t="str">
        <f t="shared" si="405"/>
        <v>Диаммофоска</v>
      </c>
      <c r="ES318" s="12">
        <f t="shared" si="361"/>
        <v>0.1</v>
      </c>
      <c r="ET318" s="12">
        <f t="shared" si="362"/>
        <v>0.26</v>
      </c>
      <c r="EU318" s="12">
        <f t="shared" si="363"/>
        <v>0.26</v>
      </c>
      <c r="EV318" s="12" t="str">
        <f t="shared" si="406"/>
        <v>Аммофос 12:52:00</v>
      </c>
      <c r="EW318" s="12" t="str">
        <f t="shared" si="407"/>
        <v>Кемира Свекловичное-6</v>
      </c>
      <c r="EX318" s="12">
        <f t="shared" si="364"/>
        <v>0.16</v>
      </c>
      <c r="EY318" s="12">
        <f t="shared" si="365"/>
        <v>0.12</v>
      </c>
      <c r="EZ318" s="12">
        <f t="shared" si="366"/>
        <v>0.17</v>
      </c>
      <c r="FA318" s="38" t="e">
        <f>IF(AND(OR(FJ318=$FD$1,FM318=$FD$1,FO318=$FD$1,FQ318=$FD$1,FS318=$FD$1),FD318=$FD$1,Исходн.данные.!J318&lt;2,FU318=$FD$1),"Бор,Кобальт",IF(AND(FO318=$FD$1,FH318=$FD$1,Исходн.данные.!J318&lt;2,FU318=$FD$1),"Бор,Кобальт",IF(AND(OR(FJ318=$FD$1,FM318=$FD$1,FQ318=$FD$1),FE318=$FD$1,Исходн.данные.!J318&lt;2,FT318=$FD$1,FU318=$FD$1),"Бор,Медь,Цинк",IF(AND(OR(FJ318=$FD$1,FR318="Да"),FI318="Да",Исходн.данные.!J318&lt;2,FT318="Да",FU318="Да"),"Бор,Цинк,Медь",IF(AND(OR(FM318="Да",FQ318="Да"),FI318="Да",Исходн.данные.!J318&lt;2,FT318="Да",FU318="Да"),"Бор,Цинк",IF(AND(FN318="Да",OR(FD318="Да",FE318="Да")),"Бор",FB318))))))</f>
        <v>#N/A</v>
      </c>
      <c r="FB318" s="134" t="e">
        <f>IF(AND(OR(FD318="Да",FE318="Да",FF318="Да",FG318="Да",FH318="Да"),FO318="Да"),"Бор",IF(AND(FP318="Да",OR(FD318="Да",FE318="Да",FI318="Да")),"Бор",IF(AND(FS318="Да",FE318="Да"),"Бор,Медь",IF(AND(OR(FJ318="Да",FK318="Да",FL318="Да"),FE318="Да",Исходн.данные.!I318&lt;5,FT318="Да",FU318="Да"),"Молибден,Цинк",IF(AND(FM318="Да",OR(FE318="Да",FF318="Да",FG318="Да",FH318="Да",FI318="Да")),"Молибден,Цинк",IF(AND(OR(FJ318="Да",FK318="Да",FL318="Да",FM318="Да",FQ318="Да"),OR(FE318="Да",FF318="Да"),FT318="Да",FU318="Да",Исходн.данные.!I318&gt;5.5),"Медь,Цинк",FC318))))))</f>
        <v>#N/A</v>
      </c>
      <c r="FC318" s="23" t="e">
        <f t="shared" si="408"/>
        <v>#N/A</v>
      </c>
      <c r="FD318" s="38" t="str">
        <f>IF(OR(Исходн.данные.!F318=$CC$1,Исходн.данные.!F318=$CC$2,Исходн.данные.!F318=$CC$3,Исходн.данные.!F318=$CC$4),"Да","Нет")</f>
        <v>Нет</v>
      </c>
      <c r="FE318" s="38" t="str">
        <f>IF(Исходн.данные.!F318=$CC$5,"Да","Нет")</f>
        <v>Нет</v>
      </c>
      <c r="FF318" s="38" t="str">
        <f>IF(OR(Исходн.данные.!F318=$CC$6,Исходн.данные.!F318=$CC$7),"Да","Нет")</f>
        <v>Нет</v>
      </c>
      <c r="FG318" s="38" t="str">
        <f>IF(OR(Исходн.данные.!F318=$CC$8,Исходн.данные.!F318=$CC$9),"Да","Нет")</f>
        <v>Нет</v>
      </c>
      <c r="FH318" s="38" t="str">
        <f>IF(Исходн.данные.!F318=$CC$10,"Да","Нет")</f>
        <v>Нет</v>
      </c>
      <c r="FI318" s="38" t="str">
        <f>IF(OR(Исходн.данные.!F318=$CC$11,Исходн.данные.!F318=$CC$12),"Да","Нет")</f>
        <v>Нет</v>
      </c>
      <c r="FJ318" s="38" t="str">
        <f>IF(OR(Исходн.данные.!AH318=$BS$1,Исходн.данные.!AH318=$BQ$11,Исходн.данные.!AH318=$BQ$12),"Да","Нет")</f>
        <v>Нет</v>
      </c>
      <c r="FK318" s="38" t="str">
        <f>IF(OR(Исходн.данные.!AH318=$BS$2,Исходн.данные.!AH318=$BS$4),"Да","Нет")</f>
        <v>Нет</v>
      </c>
      <c r="FL318" s="38" t="str">
        <f>IF(OR(Исходн.данные.!AH318=$BS$3,Исходн.данные.!AH318=$BS$5),"Да","Нет")</f>
        <v>Нет</v>
      </c>
      <c r="FM318" s="38" t="str">
        <f>IF(OR(Исходн.данные.!AH318=$BS$9,Исходн.данные.!AH318=$BS$10,Исходн.данные.!AH318=$BS$11,Исходн.данные.!AH318=$BS$12),"Да","Нет")</f>
        <v>Нет</v>
      </c>
      <c r="FN318" s="38" t="str">
        <f>IF(OR(Исходн.данные.!AH318=$BS$6,Исходн.данные.!AH318=$BP$3),"Да","Нет")</f>
        <v>Нет</v>
      </c>
      <c r="FO318" s="38" t="str">
        <f>IF(Исходн.данные.!AH318=$BQ$9,"Да","Нет")</f>
        <v>Нет</v>
      </c>
      <c r="FP318" s="38" t="str">
        <f>IF(OR(Исходн.данные.!AH318=$BS$8,Исходн.данные.!AH318=$BT$8),"Да","Нет")</f>
        <v>Нет</v>
      </c>
      <c r="FQ318" s="38" t="str">
        <f>IF(OR(Исходн.данные.!AH318=$BQ$7,Исходн.данные.!AH318=$BQ$8),"Да","Нет")</f>
        <v>Нет</v>
      </c>
      <c r="FR318" s="38" t="str">
        <f>IF(Исходн.данные.!AI318=$BU$9,"Да","Нет")</f>
        <v>Нет</v>
      </c>
      <c r="FS318" s="38" t="str">
        <f>IF(OR(Исходн.данные.!AH318=$BP$1,Исходн.данные.!AH318=$BP$2),"Да","Нет")</f>
        <v>Нет</v>
      </c>
      <c r="FT318" s="38" t="e">
        <f>IF((Исходн.данные.!K318*GO318*GS318*GW318+BL318*0.6+Исходн.данные.!Q318*4.5*0.275)&gt;90,"Да","Нет")</f>
        <v>#N/A</v>
      </c>
      <c r="FU318" s="38" t="e">
        <f>IF((Исходн.данные.!M318*GS318*GZ318+BM318*0.225)&gt;35,"Да","Нет")</f>
        <v>#N/A</v>
      </c>
      <c r="FV318" s="38" t="str">
        <f>IF(Исходн.данные.!O318&gt;175,"Да","Нет")</f>
        <v>Нет</v>
      </c>
      <c r="FW318" s="39" t="str">
        <f>IF(Исходн.данные.!I318&gt;5.5,"Да","Нет")</f>
        <v>Нет</v>
      </c>
      <c r="FX318" s="39" t="str">
        <f>IF(Исходн.данные.!J318&lt;2,"Да","Нет")</f>
        <v>Да</v>
      </c>
      <c r="FY318" s="39" t="e">
        <f>IF(HF318=$FY$16,0,Исходн.данные.!K318*GO318*GS318*GW318/HF318)</f>
        <v>#N/A</v>
      </c>
      <c r="FZ318" s="39" t="e">
        <f>Исходн.данные.!M318*GS318*GZ318/HG318</f>
        <v>#N/A</v>
      </c>
      <c r="GA318" s="39" t="e">
        <f>IF(K_Wyn=$FY$16,0,IF(Исходн.данные.!N318=Исходн.данные.!$L$10,Исходн.данные.!O318/1.1*GS318*HC318/HH318,IF(Исходн.данные.!N318=Исходн.данные.!$L$12,Исходн.данные.!O318/1.5*GS318*HC318/HH318,Исходн.данные.!O318*GS318*HC318/HH318)))</f>
        <v>#N/A</v>
      </c>
      <c r="GB318" s="39" t="e">
        <f>IF(HF318=$FY$16,0,((Исходн.данные.!Q318*N_Org+Исходн.данные.!R318*N_Sider+Исходн.данные.!S318*N_Soloma)*AO318+Расчет!BC318*VLOOKUP(Исходн.данные.!T318,Справ!$A$3:$O$57,15)*AO318+BB318*VLOOKUP(Исходн.данные.!T318,Справ!$A$3:$O$57,15)*AL318+(Исходн.данные.!V318*N_Rizotorf+Исходн.данные.!W318*N_Rizoagr))/HF318)</f>
        <v>#N/A</v>
      </c>
      <c r="GC318" s="39" t="e">
        <f>IF(HG318=$FY$16,0,((Исходн.данные.!Q318*Р_Org+Исходн.данные.!R318*P_Sider+Исходн.данные.!S318*P_Soloma)*AP318+Расчет!BC318*VLOOKUP(Исходн.данные.!T318,Справ!$A$3:$P$57,16)*AP318+BB318*VLOOKUP(Исходн.данные.!T318,Справ!$A$3:$P$57,16)*AM318)/HG318)</f>
        <v>#N/A</v>
      </c>
      <c r="GD318" s="39" t="e">
        <f>IF(HH318=$FY$16,0,((Исходн.данные.!Q318*К_Org+Исходн.данные.!R318*K_Sider+Исходн.данные.!S318*K_Soloma)*AQ318+Расчет!BC318*VLOOKUP(Исходн.данные.!T318,Справ!$A$3:$Q$57,17)*AQ318+BB318*VLOOKUP(Исходн.данные.!T318,Справ!$A$3:$Q$57,17)*AN318)/HH318)</f>
        <v>#N/A</v>
      </c>
      <c r="GE318" s="39" t="e">
        <f>IF(HF318=$FY$16,0,(Исходн.данные.!X318*AR318+Исходн.данные.!AA318*N_Org*AL318+Исходн.данные.!AB318*N_Sider*AL318+Исходн.данные.!AC318*N_Soloma*AL318)/HF318)</f>
        <v>#N/A</v>
      </c>
      <c r="GF318" s="39" t="e">
        <f>IF(HG318=$FY$16,0,(Исходн.данные.!Y318*AS318+Исходн.данные.!AA318*Р_Org*AM318+Исходн.данные.!AB318*P_Sider*AM318+Исходн.данные.!AC318*P_Soloma*AM318)/HG318)</f>
        <v>#N/A</v>
      </c>
      <c r="GG318" s="39" t="e">
        <f>IF(HH318=$FY$16,0,(Исходн.данные.!Z318*AT318+Исходн.данные.!AA318*К_Org*AN318+Исходн.данные.!AB318*K_Sider*AN318+Исходн.данные.!AC318*K_Soloma*AN318)/HH318)</f>
        <v>#N/A</v>
      </c>
      <c r="GH318" s="39" t="e">
        <f>Исходн.данные.!AD318*AU318/HF318</f>
        <v>#N/A</v>
      </c>
      <c r="GI318" s="39" t="e">
        <f>Исходн.данные.!AE318*AV318/HG318</f>
        <v>#N/A</v>
      </c>
      <c r="GJ318" s="39" t="e">
        <f>Исходн.данные.!AF318*AW318/HH318</f>
        <v>#N/A</v>
      </c>
      <c r="GK318" s="55">
        <f>Исходн.данные.!AK318</f>
        <v>0</v>
      </c>
      <c r="GL318" s="11" t="e">
        <f t="shared" si="409"/>
        <v>#N/A</v>
      </c>
      <c r="GM318" s="11" t="e">
        <f t="shared" si="410"/>
        <v>#N/A</v>
      </c>
      <c r="GN318" s="11" t="e">
        <f t="shared" si="411"/>
        <v>#N/A</v>
      </c>
      <c r="GO318" s="57">
        <f t="shared" si="412"/>
        <v>19</v>
      </c>
      <c r="GP318" s="55">
        <f>IF(OR(Исходн.данные.!F318=$CE$1,Исходн.данные.!F318=$CE$2,Исходн.данные.!F318=$CE$3,Исходн.данные.!F318=$CE$4,Исходн.данные.!F318=$CE$5),GQ318,GR318)</f>
        <v>19</v>
      </c>
      <c r="GQ318" s="55">
        <f>IF(Исходн.данные.!F318=$CE$1,28,IF(Исходн.данные.!F318=$CE$2,26,IF(Исходн.данные.!F318=$CE$3,24,IF(Исходн.данные.!F318=$CE$4,22,IF(Исходн.данные.!F318=$CE$5,20,GR318)))))</f>
        <v>19</v>
      </c>
      <c r="GR318" s="55">
        <f>IF(Исходн.данные.!F318=$CE$6,18,IF(Исходн.данные.!F318=$CE$7,16,IF(Исходн.данные.!F318=$CE$8,14,IF(Исходн.данные.!F318=$CE$9,13,IF(Исходн.данные.!F318=$CE$10,12,19)))))</f>
        <v>19</v>
      </c>
      <c r="GS318" s="55">
        <f>IF(Исходн.данные.!G318="Пес",0.035*(40+2*Исходн.данные.!H318),IF(Исходн.данные.!G318="Суп",0.0325*(40+2*Исходн.данные.!H318),0.03*(40+2*Исходн.данные.!H318)))</f>
        <v>1.2</v>
      </c>
      <c r="GT318" s="55">
        <f>IF(Исходн.данные.!H318&lt;23,2.6,IF(AND(Исходн.данные.!H318&gt;22,Исходн.данные.!H318&lt;26),3,IF(AND(Исходн.данные.!H318&gt;25,Исходн.данные.!H318&lt;29),3.4,3.6)))</f>
        <v>2.6</v>
      </c>
      <c r="GU318" s="55">
        <f>IF(Исходн.данные.!H318&lt;23,2.8,IF(AND(Исходн.данные.!H318&gt;22,Исходн.данные.!H318&lt;26),3.2,IF(AND(Исходн.данные.!H318&gt;25,Исходн.данные.!H318&lt;29),3.6,3.9)))</f>
        <v>2.8</v>
      </c>
      <c r="GV318" s="55">
        <f>IF(Исходн.данные.!H318&lt;23,3,IF(AND(Исходн.данные.!H318&gt;22,Исходн.данные.!H318&lt;26),3.5,IF(AND(Исходн.данные.!H318&gt;25,Исходн.данные.!H318&lt;29),3.9,4.2)))</f>
        <v>3</v>
      </c>
      <c r="GW318" s="55" t="e">
        <f>IF(Исходн.данные.!P318="Ум",GX318,GY318)</f>
        <v>#N/A</v>
      </c>
      <c r="GX318" s="55" t="e">
        <f>VLOOKUP(Исходн.данные.!AI318,Коэффициенты!$J$7:$L$13,2,FALSE)</f>
        <v>#N/A</v>
      </c>
      <c r="GY318" s="55" t="e">
        <f>VLOOKUP(Исходн.данные.!AI318,Коэффициенты!$J$7:$L$13,3,FALSE)</f>
        <v>#N/A</v>
      </c>
      <c r="GZ318" s="55" t="e">
        <f>(IF(Исходн.данные.!M318&lt;50,0.11*VLOOKUP(Исходн.данные.!AH318,Культуры.Информация,7,FALSE),IF(Исходн.данные.!M318&gt;250,0.05*VLOOKUP(Исходн.данные.!AH318,Культуры.Информация,7,FALSE),VLOOKUP(Исходн.данные.!AH318,Культуры.Информация,5,FALSE)/100*($GX$6+$GY$6*Исходн.данные.!M318))))*Расчет2!AI318</f>
        <v>#N/A</v>
      </c>
      <c r="HA318" s="211"/>
      <c r="HB318" s="211"/>
      <c r="HC318" s="55" t="e">
        <f>(IF(Исходн.данные.!O318&lt;80,0.2*VLOOKUP(Исходн.данные.!AH318,Культуры.Информация,8,FALSE),IF(Исходн.данные.!O318&gt;240,0.09*VLOOKUP(Исходн.данные.!AH318,Культуры.Информация,8,FALSE),VLOOKUP(Исходн.данные.!AH318,Культуры.Информация,6,FALSE)/100*($HB$6+$HC$6*Исходн.данные.!O318))))*Расчет2!AJ318</f>
        <v>#N/A</v>
      </c>
      <c r="HD318" s="55">
        <f>IF(Исходн.данные.!O318&gt;240,0.09,IF(Исходн.данные.!O318&lt;30,0.3,$HE$10+$HD$10*Исходн.данные.!O318))</f>
        <v>0.3</v>
      </c>
      <c r="HE318" s="55">
        <f>IF(Исходн.данные.!O318&gt;240,0.17,IF(Исходн.данные.!O318&lt;30,0.5,$HF$12+$HE$12*Исходн.данные.!O318))</f>
        <v>0.5</v>
      </c>
      <c r="HF318" s="55" t="e">
        <f>VLOOKUP(Исходн.данные.!AH318,Справ!$A$3:$D$58,2,FALSE)</f>
        <v>#N/A</v>
      </c>
      <c r="HG318" s="55" t="e">
        <f>VLOOKUP(Исходн.данные.!AH318,Справ!$A$3:$D$58,3,FALSE)</f>
        <v>#N/A</v>
      </c>
      <c r="HH318" s="55" t="e">
        <f>VLOOKUP(Исходн.данные.!AH318,Справ!$A$3:$D$58,4,FALSE)</f>
        <v>#N/A</v>
      </c>
      <c r="HI318" s="11" t="e">
        <f t="shared" si="413"/>
        <v>#N/A</v>
      </c>
      <c r="HJ318" s="11" t="e">
        <f t="shared" si="414"/>
        <v>#N/A</v>
      </c>
      <c r="HK318" s="11" t="e">
        <f t="shared" si="415"/>
        <v>#N/A</v>
      </c>
      <c r="HL318" s="55">
        <f>IF(OR(Исходн.данные.!G318="Глин",Исходн.данные.!G318="Т_суг"),1.1,IF(Исходн.данные.!G318="Ср_суг",1,1))</f>
        <v>1</v>
      </c>
      <c r="HM318" s="55">
        <f>IF(OR(Исходн.данные.!G318="Глин",Исходн.данные.!G318="Т_суг"),0.9,IF(Исходн.данные.!G318="Ср_суг",1,1.2))</f>
        <v>1.2</v>
      </c>
      <c r="HN318" s="11" t="e">
        <f t="shared" si="416"/>
        <v>#N/A</v>
      </c>
      <c r="HO318" s="11" t="e">
        <f t="shared" si="417"/>
        <v>#N/A</v>
      </c>
      <c r="HP318" s="11" t="e">
        <f t="shared" si="418"/>
        <v>#N/A</v>
      </c>
      <c r="HQ318" t="e">
        <f t="shared" si="419"/>
        <v>#N/A</v>
      </c>
      <c r="HR318" t="e">
        <f t="shared" si="420"/>
        <v>#N/A</v>
      </c>
      <c r="HS318" t="e">
        <f t="shared" si="421"/>
        <v>#N/A</v>
      </c>
      <c r="HT318" t="e">
        <f t="shared" si="367"/>
        <v>#N/A</v>
      </c>
      <c r="HU318" t="e">
        <f t="shared" si="368"/>
        <v>#N/A</v>
      </c>
      <c r="HV318" t="e">
        <f t="shared" si="369"/>
        <v>#N/A</v>
      </c>
      <c r="HW318" t="e">
        <f t="shared" si="370"/>
        <v>#N/A</v>
      </c>
      <c r="HX318" t="e">
        <f t="shared" si="371"/>
        <v>#N/A</v>
      </c>
      <c r="HY318" t="e">
        <f t="shared" si="372"/>
        <v>#N/A</v>
      </c>
      <c r="HZ318" s="55">
        <f>IF(OR(Исходн.данные.!AI318="Оз_Ч_П",Исходн.данные.!AI318="Оз_З_П",Исходн.данные.!AI318="Яр_зер"),12,30)</f>
        <v>30</v>
      </c>
      <c r="IA318" t="e">
        <f t="shared" si="422"/>
        <v>#N/A</v>
      </c>
      <c r="IB318" t="e">
        <f t="shared" si="423"/>
        <v>#N/A</v>
      </c>
      <c r="IC318" t="e">
        <f t="shared" si="424"/>
        <v>#N/A</v>
      </c>
      <c r="ID318" s="11" t="e">
        <f t="shared" si="425"/>
        <v>#N/A</v>
      </c>
      <c r="IE318" s="11" t="e">
        <f t="shared" si="426"/>
        <v>#N/A</v>
      </c>
      <c r="IF318" s="11" t="e">
        <f t="shared" si="427"/>
        <v>#N/A</v>
      </c>
    </row>
    <row r="319" spans="35:240" x14ac:dyDescent="0.2">
      <c r="AI319">
        <f>IF(Исходн.данные.!I319&gt;6,1,1.85-(0.148*Исходн.данные.!I319))</f>
        <v>1.85</v>
      </c>
      <c r="AJ319">
        <f>IF(Исходн.данные.!I319&gt;6,1,2.434-(0.246*Исходн.данные.!I319))</f>
        <v>2.4340000000000002</v>
      </c>
      <c r="AL319" s="148" t="b">
        <f>IF(Исходн.данные.!$P319="Ум",N_OrgUd_2g_um,IF(Исходн.данные.!$P319="Об",N_OrgUd_2g_ob))</f>
        <v>0</v>
      </c>
      <c r="AM319" s="148" t="b">
        <f>IF(Исходн.данные.!$P319="Ум",P_OrgUd_2g_um,IF(Исходн.данные.!$P319="Об",P_OrgUd_2g_ob))</f>
        <v>0</v>
      </c>
      <c r="AN319" s="148" t="b">
        <f>IF(Исходн.данные.!$P319="Ум",K_OrgUd_2g_um,IF(Исходн.данные.!$P319="Об",K_OrgUd_2g_ob))</f>
        <v>0</v>
      </c>
      <c r="AO319" s="148" t="b">
        <f>IF(Исходн.данные.!$P319="Ум",N_OrgUd_1g_um,IF(Исходн.данные.!$P319="Об",N_OrgUd_1g_ob))</f>
        <v>0</v>
      </c>
      <c r="AP319" s="148" t="b">
        <f>IF(Исходн.данные.!$P319="Ум",P_OrgUd_1g_um,IF(Исходн.данные.!$P319="Об",P_OrgUd_1g_ob))</f>
        <v>0</v>
      </c>
      <c r="AQ319" s="148" t="b">
        <f>IF(Исходн.данные.!$P319="Ум",K_OrgUd_1g_um,IF(Исходн.данные.!$P319="Об",K_OrgUd_1g_ob))</f>
        <v>0</v>
      </c>
      <c r="AR319" t="b">
        <f>IF(Исходн.данные.!$P319="Ум",N_MinUd_2g_um,IF(Исходн.данные.!$P319="Об",N_MinUd_2g_ob))</f>
        <v>0</v>
      </c>
      <c r="AS319" t="b">
        <f>IF(Исходн.данные.!$P319="Ум",P_MinUd_2g_um,IF(Исходн.данные.!$P319="Об",P_MinUd_2g_ob))</f>
        <v>0</v>
      </c>
      <c r="AT319" t="b">
        <f>IF(Исходн.данные.!$P319="Ум",K_MinUd_2g_um,IF(Исходн.данные.!$P319="Об",K_MinUd_2g_ob))</f>
        <v>0</v>
      </c>
      <c r="AU319" t="b">
        <f>IF(Исходн.данные.!$P319="Ум",N_MinUd_1g_um,IF(Исходн.данные.!$P319="Об",N_MinUd_1g_ob))</f>
        <v>0</v>
      </c>
      <c r="AV319" t="b">
        <f>IF(Исходн.данные.!P319="Ум",P_MinUd_1g_um,IF(Исходн.данные.!P319="Об",P_MinUd_1g_ob))</f>
        <v>0</v>
      </c>
      <c r="AW319" t="b">
        <f>IF(Исходн.данные.!P319="Ум",K_MinUd_1g_um,IF(Исходн.данные.!P319="Об",K_MinUd_1g_ob))</f>
        <v>0</v>
      </c>
      <c r="AY319" t="e">
        <f>VLOOKUP(Исходн.данные.!T319,Справ!$A$3:$N$57,12)</f>
        <v>#N/A</v>
      </c>
      <c r="AZ319" t="e">
        <f>VLOOKUP(Исходн.данные.!T319,Справ!$A$3:$N$57,13)</f>
        <v>#N/A</v>
      </c>
      <c r="BA319" t="e">
        <f>VLOOKUP(Исходн.данные.!T319,Справ!$A$3:$N$57,14)</f>
        <v>#N/A</v>
      </c>
      <c r="BB319">
        <f>IF(Исходн.данные.!AH319=0,0,25)</f>
        <v>0</v>
      </c>
      <c r="BC319" s="141">
        <f>IF(Исходн.данные.!AH319=0,0,IF(Исходн.данные.!T319=0,25,BD319))</f>
        <v>0</v>
      </c>
      <c r="BD319" s="168" t="e">
        <f>AY319+AZ319*Исходн.данные.!U319-POWER(BA319,2)*Исходн.данные.!U319</f>
        <v>#N/A</v>
      </c>
      <c r="BE31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19" s="25">
        <f>IF(Исходн.данные.!AH319=0,0,MIN(HN319:HP319))</f>
        <v>0</v>
      </c>
      <c r="BG319" s="9">
        <f>IF(Исходн.данные.!AH319=0,0,IF((HO319+10*0.25/HG319/HL319)&lt;17,17,HO319+10*0.25/HG319/HL319))</f>
        <v>0</v>
      </c>
      <c r="BH319" s="181">
        <f>IF(Исходн.данные.!AH319=0,0,HW319*HF319*HL319/AU319*AI319+Исходн.данные.!S319*10)</f>
        <v>0</v>
      </c>
      <c r="BI319" s="10"/>
      <c r="BJ319" s="182">
        <f>IF(Исходн.данные.!AH319=0,0,IF(HX319*HG319*HL319/AV319&lt;0,0,HX319*HG319*HL319/AV319*AJ319))</f>
        <v>0</v>
      </c>
      <c r="BK319" s="182">
        <f>IF(Исходн.данные.!AH319=0,0,HY319*HH319*HM319/AW319)</f>
        <v>0</v>
      </c>
      <c r="BL319" s="10">
        <f>IF(OR(Исходн.данные.!$AH319=$BP$1,Исходн.данные.!$AH319=$BP$2),0,IF(BH319&lt;0,0,IF(OR(Исходн.данные.!T319=Расчет!$BP$1,Исходн.данные.!T319=Расчет!$BP$2,Исходн.данные.!T319=Расчет!$BT$5,Исходн.данные.!T319=Расчет!$BT$6),BH319*0.5,IF(OR(Исходн.данные.!T319=Расчет!$BS$9,Исходн.данные.!T319=Расчет!$BS$10,Исходн.данные.!T319=Расчет!$BS$11,Исходн.данные.!T319=Расчет!$BS$12,Исходн.данные.!T319=Расчет!$BP$5),BH319*0.8,BH319))))</f>
        <v>0</v>
      </c>
      <c r="BM319" s="10">
        <f>IF(OR(Исходн.данные.!$AH319=$BP$1,Исходн.данные.!$AH319=$BP$2),0,IF(BJ319&lt;0,0,IF(Исходн.данные.!I319&lt;4.5,BJ319*1.2,IF(Исходн.данные.!I319&gt;5.1,BJ319,BJ319*((5.1-Исходн.данные.!I319)*0.333+1)))))</f>
        <v>0</v>
      </c>
      <c r="BN319" s="10">
        <f>IF(OR(Исходн.данные.!$AH319=$BP$1,Исходн.данные.!$AH319=$BP$2),60-Исходн.данные.!AF319,IF(BK319&lt;0,0,IF(Исходн.данные.!I319&lt;4.5,BK319*1.2,IF(Исходн.данные.!I319&gt;5.1,BK319,BK319*((5.1-Исходн.данные.!I319)*0.333+1)))))</f>
        <v>0</v>
      </c>
      <c r="BO319" s="9">
        <f>IF(BL319&lt;0,0,BL319*Исходн.данные.!$AJ319/1000)</f>
        <v>0</v>
      </c>
      <c r="BP319" s="9">
        <f>IF(BM319&lt;0,0,BM319*Исходн.данные.!$AJ319/1000)</f>
        <v>0</v>
      </c>
      <c r="BQ319" s="9">
        <f>IF(BN319&lt;0,0,BN319*Исходн.данные.!$AJ319/1000)</f>
        <v>0</v>
      </c>
      <c r="BR319" s="9">
        <f t="shared" si="377"/>
        <v>0</v>
      </c>
      <c r="BS319" s="10" t="str">
        <f t="shared" si="378"/>
        <v>Аммофос 12:52:00</v>
      </c>
      <c r="BT319" s="10" t="str">
        <f t="shared" si="379"/>
        <v>Аммофос 12:52:00</v>
      </c>
      <c r="BU319" s="10" t="str">
        <f t="shared" si="380"/>
        <v>Диаммофоска</v>
      </c>
      <c r="BV319" s="10">
        <f t="shared" si="381"/>
        <v>0</v>
      </c>
      <c r="BW319" s="10"/>
      <c r="BX319" s="10"/>
      <c r="BY319" s="9">
        <f>IF(BL319&lt;0,0,IF(OR(Исходн.данные.!AI319=Расчет!$BU$6,Исходн.данные.!AI319=Расчет!$BU$7),Расчет!BV319,IF(Исходн.данные.!$AG319=$BV$11,BL319,IF(OR(Исходн.данные.!$AH319=$BQ$7,Исходн.данные.!$AH319=$BQ$8),CB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0,IF(Исходн.данные.!$AI319=$BU$11,"Нет",IF(BL319&gt;30,30,BL319)))))))</f>
        <v>0</v>
      </c>
      <c r="BZ319" s="9">
        <f>IF(AND(Исходн.данные.!$AG319=$BV$11,BM319&lt;10),10,IF(Исходн.данные.!$AG319=$BV$11,BM319,IF(OR(Исходн.данные.!$AH319=$BQ$7,Исходн.данные.!$AH319=$BQ$8),CC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10,IF(Исходн.данные.!$AI319=$BU$11,"Нет",IF(BM319&gt;60,60,IF(BM319&lt;10,10,BM319)))))))</f>
        <v>10</v>
      </c>
      <c r="CA319" s="39">
        <f>IF(BN319&lt;0,0,IF(Исходн.данные.!$AG319=$BV$11,BN319,IF(OR(Исходн.данные.!$AH319=$BQ$7,Исходн.данные.!$AH319=$BQ$8),CD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0,IF(Исходн.данные.!$AI319=$BU$11,"Нет",IF(BN319&gt;30,30,BN319))))))</f>
        <v>0</v>
      </c>
      <c r="CB319" s="9">
        <f t="shared" si="382"/>
        <v>0</v>
      </c>
      <c r="CC319" s="9">
        <f t="shared" si="383"/>
        <v>0</v>
      </c>
      <c r="CD319" s="9">
        <f t="shared" si="384"/>
        <v>0</v>
      </c>
      <c r="CE319" s="12">
        <f t="shared" si="385"/>
        <v>10</v>
      </c>
      <c r="CF319" s="9">
        <f t="shared" si="386"/>
        <v>0</v>
      </c>
      <c r="CG319" s="9" t="s">
        <v>231</v>
      </c>
      <c r="CH319" s="132" t="str">
        <f>IF(Исходн.данные.!AP319=Расчет!$CI$16,"Нет",IF(Исходн.данные.!AL319&gt;0,Исходн.данные.!AL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BH$4,IF(OR(Исходн.данные.!AI319=Исходн.данные.!$AI$6,Исходн.данные.!AI319=Исходн.данные.!$AI$7),Расчет!BS319,IF(AND($CF319=0,$CE319&gt;0),EV319,ER319)))))</f>
        <v>Аммофос 12:52:00</v>
      </c>
      <c r="CI319" s="274">
        <f>IF(Расчет!$CH319="Нет","Нет",IF(Исходн.данные.!$AL319&gt;0,VLOOKUP(Расчет!$CH319,АшламаДВ_Irekle,2,FALSE),VLOOKUP(Расчет!$CH319,АшламаДВ_Gomumy,2,FALSE)))</f>
        <v>0.12</v>
      </c>
      <c r="CJ319" s="274">
        <f>IF(Расчет!$CH319="Нет","Нет",IF(Исходн.данные.!$AL319&gt;0,VLOOKUP(Расчет!$CH319,АшламаДВ_Irekle,3,FALSE),VLOOKUP(Расчет!$CH319,АшламаДВ_Gomumy,3,FALSE)))</f>
        <v>0.52</v>
      </c>
      <c r="CK319" s="274">
        <f>IF(Расчет!$CH319="Нет","Нет",IF(Исходн.данные.!$AL319&gt;0,VLOOKUP(Расчет!$CH319,АшламаДВ_Irekle,4,FALSE),VLOOKUP(Расчет!$CH319,АшламаДВ_Gomumy,4,FALSE)))</f>
        <v>0</v>
      </c>
      <c r="CL319" s="70"/>
      <c r="CM319" s="70"/>
      <c r="CN319" s="70"/>
      <c r="CO319" s="70"/>
      <c r="CP319" s="70"/>
      <c r="CQ319" s="70"/>
      <c r="CR319" s="10">
        <f t="shared" si="387"/>
        <v>0</v>
      </c>
      <c r="CS319" s="10">
        <f t="shared" si="388"/>
        <v>19.23076923076923</v>
      </c>
      <c r="CT319" s="10">
        <f t="shared" si="389"/>
        <v>0</v>
      </c>
      <c r="CU319" s="39">
        <f>IF($CH319="Нет",0,IF(CI319=0,30/MIN(CJ319:CK319),IF(Исходн.данные.!$AG319=$BV$11,CR319,IF(OR(Исходн.данные.!$AH319=$BQ$7,Исходн.данные.!$AH319=$BQ$8),90/CI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0,IF(Исходн.данные.!$AI319=$BU$11,"Нет",30/CI319))))))</f>
        <v>250</v>
      </c>
      <c r="CV319" s="39">
        <f>IF($CH319="Нет",0,IF(Исходн.данные.!AH319=0,0,IF(CJ319=0,60/MIN(CI319,CK319),IF(Исходн.данные.!$AG319=$BV$11,CS319,IF(OR(Исходн.данные.!$AH319=$BQ$7,Исходн.данные.!$AH319=$BQ$8),90/CJ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10/CJ319,IF(Исходн.данные.!$AI319=$BU$11,"Нет",60/CJ319)))))))</f>
        <v>0</v>
      </c>
      <c r="CW319" s="39">
        <f>IF($CH319="Нет",0,IF(Исходн.данные.!AH319=0,0,IF(CK319=0,30/MIN(CI319:CJ319),IF(Исходн.данные.!$AG319=$BV$11,CT319,IF(OR(Исходн.данные.!$AH319=$BQ$7,Исходн.данные.!$AH319=$BQ$8),90/CK319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0,IF(Исходн.данные.!$AI319=$BU$11,"Нет",30/CK319)))))))</f>
        <v>0</v>
      </c>
      <c r="CX319" s="133">
        <f>IF(Исходн.данные.!$AG319=$BV$11,MAX(CU319:CW319),IF(OR(Исходн.данные.!$AH319=$BS$8,Исходн.данные.!$AH319=$BQ$9,Исходн.данные.!$AH319=$BQ$10,Исходн.данные.!$AH319=$BQ$11,Исходн.данные.!$AH319=$BQ$12,Исходн.данные.!$AH319=$BP$3,Исходн.данные.!$AH319=$BT$8,$FM319="Да"),CV319,MIN(CU319:CW319)))</f>
        <v>0</v>
      </c>
      <c r="CY319" s="133">
        <f>IF(Исходн.данные.!AH319=0,0,IF(CR319&gt;$CX319,$CX319,CR319))</f>
        <v>0</v>
      </c>
      <c r="CZ319" s="133">
        <f>IF(Исходн.данные.!AH319=0,0,IF(CS319&gt;$CX319,$CX319,CS319))</f>
        <v>0</v>
      </c>
      <c r="DA319" s="133">
        <f>IF(Исходн.данные.!AH319=0,0,IF(CT319&gt;$CX319,$CX319,CT319))</f>
        <v>0</v>
      </c>
      <c r="DB319" s="10">
        <f t="shared" si="390"/>
        <v>0</v>
      </c>
      <c r="DC319" s="39">
        <f>DB319*Исходн.данные.!AJ319/1000</f>
        <v>0</v>
      </c>
      <c r="DD319" s="71">
        <f t="shared" si="391"/>
        <v>0</v>
      </c>
      <c r="DE319" s="9">
        <f t="shared" si="392"/>
        <v>0</v>
      </c>
      <c r="DF319" s="9">
        <f t="shared" si="393"/>
        <v>0</v>
      </c>
      <c r="DG319" s="39">
        <f>IF(BL319&lt;0,0,IF($CH319="Нет",BL319,IF(OR(Исходн.данные.!$AH319=$BP$1,Исходн.данные.!$AH319=$BP$2),0,IF(Исходн.данные.!AI319=$BU$11,BL319,IF(BL319-DD319&lt;0,0,BL319-DD319)))))</f>
        <v>0</v>
      </c>
      <c r="DH319" s="39">
        <f>IF(BM319&lt;0,0,IF($CH319="Нет",BM319,IF(OR(Исходн.данные.!$AH319=$BP$1,Исходн.данные.!$AH319=$BP$2),0,IF(Исходн.данные.!AJ319=$BU$11,BM319,IF(BM319-DE319&lt;0,0,BM319-DE319)))))</f>
        <v>0</v>
      </c>
      <c r="DI319" s="39">
        <f>IF(BN319&lt;0,0,IF($CH319="Нет",BN319,IF(OR(Исходн.данные.!$AH319=$BP$1,Исходн.данные.!$AH319=$BP$2),0,IF(Исходн.данные.!AK319=$BU$11,BN319,IF(BN319-DF319&lt;0,0,BN319-DF319)))))</f>
        <v>0</v>
      </c>
      <c r="DJ319" s="12">
        <f t="shared" si="394"/>
        <v>0</v>
      </c>
      <c r="DK319" s="9">
        <f t="shared" si="395"/>
        <v>0</v>
      </c>
      <c r="DL319" s="39">
        <f>IF(Исходн.данные.!AM319&gt;0,Исходн.данные.!AM319,IF(EG319&gt;0,$BH$10,0))</f>
        <v>0</v>
      </c>
      <c r="DM319" s="186">
        <f>IF($DL319=0,0,IF(Исходн.данные.!AM319&gt;0,VLOOKUP($DL319,АшламаДВ_Irekle,2,FALSE),VLOOKUP($DL319,АшламаДВ_Gomumy,2,FALSE)))</f>
        <v>0</v>
      </c>
      <c r="DN319" s="10">
        <f t="shared" si="373"/>
        <v>0</v>
      </c>
      <c r="DO319" s="9" t="str">
        <f>IF(Исходн.данные.!AN319&gt;0,Исходн.данные.!AN319,Удобрения!$B$37 )</f>
        <v>Хлор.калий</v>
      </c>
      <c r="DP319" s="9">
        <f>IF(Исходн.данные.!AN319&gt;0,VLOOKUP(Исходн.данные.!AN319,АшламаДВ_Irekle,4,FALSE),VLOOKUP(DO319,АшламаДВ_Gomumy,4,FALSE))</f>
        <v>0.6</v>
      </c>
      <c r="DQ319" s="10">
        <f t="shared" si="374"/>
        <v>0</v>
      </c>
      <c r="DR319" s="132" t="str">
        <f>IF(Исходн.данные.!AO319&gt;0,Исходн.данные.!AO319,IF(DH319=0,BS$17,IF(AND($DK319=0,$DJ319&gt;0),EJ319,EN319)))</f>
        <v>Нет</v>
      </c>
      <c r="DS319" s="70" t="str">
        <f>IF($DR319="Нет","Нет",IF(Исходн.данные.!$AO319&gt;0,VLOOKUP($DR319,АшламаДВ_Irekle,2,FALSE),VLOOKUP($DR319,АшламаДВ_Gomumy,2,FALSE)))</f>
        <v>Нет</v>
      </c>
      <c r="DT319" s="70" t="str">
        <f>IF($DR319="Нет","Нет",IF(Исходн.данные.!$AO319&gt;0,VLOOKUP($DR319,АшламаДВ_Irekle,3,FALSE),VLOOKUP($DR319,АшламаДВ_Gomumy,3,FALSE)))</f>
        <v>Нет</v>
      </c>
      <c r="DU319" s="70" t="str">
        <f>IF($DR319="Нет","Нет",IF(Исходн.данные.!$AO319&gt;0,VLOOKUP($DR319,АшламаДВ_Irekle,4,FALSE),VLOOKUP($DR319,АшламаДВ_Gomumy,4,FALSE)))</f>
        <v>Нет</v>
      </c>
      <c r="DV319" s="70"/>
      <c r="DW319" s="70"/>
      <c r="DX319" s="70"/>
      <c r="DY319" s="10">
        <f t="shared" si="396"/>
        <v>0</v>
      </c>
      <c r="DZ319" s="10">
        <f t="shared" si="397"/>
        <v>0</v>
      </c>
      <c r="EA319" s="10">
        <f t="shared" si="398"/>
        <v>0</v>
      </c>
      <c r="EB319" s="10">
        <f t="shared" si="399"/>
        <v>0</v>
      </c>
      <c r="EC319" s="10">
        <f t="shared" si="400"/>
        <v>0</v>
      </c>
      <c r="ED319" s="10">
        <f t="shared" si="401"/>
        <v>0</v>
      </c>
      <c r="EE319" s="10">
        <f t="shared" si="402"/>
        <v>0</v>
      </c>
      <c r="EF319" s="39">
        <f>EB319*Исходн.данные.!AJ319/1000</f>
        <v>0</v>
      </c>
      <c r="EG319" s="9">
        <f t="shared" si="403"/>
        <v>0</v>
      </c>
      <c r="EH319" s="9">
        <f t="shared" si="404"/>
        <v>0</v>
      </c>
      <c r="EI319" s="39" t="e">
        <f t="shared" si="354"/>
        <v>#DIV/0!</v>
      </c>
      <c r="EJ319" s="9" t="str">
        <f t="shared" si="375"/>
        <v>Азопреципитат</v>
      </c>
      <c r="EK319" s="12">
        <f t="shared" si="355"/>
        <v>0.26</v>
      </c>
      <c r="EL319" s="12">
        <f t="shared" si="356"/>
        <v>0.13</v>
      </c>
      <c r="EM319" s="12">
        <f t="shared" si="357"/>
        <v>0</v>
      </c>
      <c r="EN319" s="12" t="str">
        <f t="shared" si="376"/>
        <v>Нет</v>
      </c>
      <c r="EO319" s="12">
        <f t="shared" si="358"/>
        <v>0</v>
      </c>
      <c r="EP319" s="12">
        <f t="shared" si="359"/>
        <v>0</v>
      </c>
      <c r="EQ319" s="12">
        <f t="shared" si="360"/>
        <v>0</v>
      </c>
      <c r="ER319" s="12" t="str">
        <f t="shared" si="405"/>
        <v>Диаммофоска</v>
      </c>
      <c r="ES319" s="12">
        <f t="shared" si="361"/>
        <v>0.1</v>
      </c>
      <c r="ET319" s="12">
        <f t="shared" si="362"/>
        <v>0.26</v>
      </c>
      <c r="EU319" s="12">
        <f t="shared" si="363"/>
        <v>0.26</v>
      </c>
      <c r="EV319" s="12" t="str">
        <f t="shared" si="406"/>
        <v>Аммофос 12:52:00</v>
      </c>
      <c r="EW319" s="12" t="str">
        <f t="shared" si="407"/>
        <v>Кемира Свекловичное-6</v>
      </c>
      <c r="EX319" s="12">
        <f t="shared" si="364"/>
        <v>0.16</v>
      </c>
      <c r="EY319" s="12">
        <f t="shared" si="365"/>
        <v>0.12</v>
      </c>
      <c r="EZ319" s="12">
        <f t="shared" si="366"/>
        <v>0.17</v>
      </c>
      <c r="FA319" s="38" t="e">
        <f>IF(AND(OR(FJ319=$FD$1,FM319=$FD$1,FO319=$FD$1,FQ319=$FD$1,FS319=$FD$1),FD319=$FD$1,Исходн.данные.!J319&lt;2,FU319=$FD$1),"Бор,Кобальт",IF(AND(FO319=$FD$1,FH319=$FD$1,Исходн.данные.!J319&lt;2,FU319=$FD$1),"Бор,Кобальт",IF(AND(OR(FJ319=$FD$1,FM319=$FD$1,FQ319=$FD$1),FE319=$FD$1,Исходн.данные.!J319&lt;2,FT319=$FD$1,FU319=$FD$1),"Бор,Медь,Цинк",IF(AND(OR(FJ319=$FD$1,FR319="Да"),FI319="Да",Исходн.данные.!J319&lt;2,FT319="Да",FU319="Да"),"Бор,Цинк,Медь",IF(AND(OR(FM319="Да",FQ319="Да"),FI319="Да",Исходн.данные.!J319&lt;2,FT319="Да",FU319="Да"),"Бор,Цинк",IF(AND(FN319="Да",OR(FD319="Да",FE319="Да")),"Бор",FB319))))))</f>
        <v>#N/A</v>
      </c>
      <c r="FB319" s="134" t="e">
        <f>IF(AND(OR(FD319="Да",FE319="Да",FF319="Да",FG319="Да",FH319="Да"),FO319="Да"),"Бор",IF(AND(FP319="Да",OR(FD319="Да",FE319="Да",FI319="Да")),"Бор",IF(AND(FS319="Да",FE319="Да"),"Бор,Медь",IF(AND(OR(FJ319="Да",FK319="Да",FL319="Да"),FE319="Да",Исходн.данные.!I319&lt;5,FT319="Да",FU319="Да"),"Молибден,Цинк",IF(AND(FM319="Да",OR(FE319="Да",FF319="Да",FG319="Да",FH319="Да",FI319="Да")),"Молибден,Цинк",IF(AND(OR(FJ319="Да",FK319="Да",FL319="Да",FM319="Да",FQ319="Да"),OR(FE319="Да",FF319="Да"),FT319="Да",FU319="Да",Исходн.данные.!I319&gt;5.5),"Медь,Цинк",FC319))))))</f>
        <v>#N/A</v>
      </c>
      <c r="FC319" s="23" t="e">
        <f t="shared" si="408"/>
        <v>#N/A</v>
      </c>
      <c r="FD319" s="38" t="str">
        <f>IF(OR(Исходн.данные.!F319=$CC$1,Исходн.данные.!F319=$CC$2,Исходн.данные.!F319=$CC$3,Исходн.данные.!F319=$CC$4),"Да","Нет")</f>
        <v>Нет</v>
      </c>
      <c r="FE319" s="38" t="str">
        <f>IF(Исходн.данные.!F319=$CC$5,"Да","Нет")</f>
        <v>Нет</v>
      </c>
      <c r="FF319" s="38" t="str">
        <f>IF(OR(Исходн.данные.!F319=$CC$6,Исходн.данные.!F319=$CC$7),"Да","Нет")</f>
        <v>Нет</v>
      </c>
      <c r="FG319" s="38" t="str">
        <f>IF(OR(Исходн.данные.!F319=$CC$8,Исходн.данные.!F319=$CC$9),"Да","Нет")</f>
        <v>Нет</v>
      </c>
      <c r="FH319" s="38" t="str">
        <f>IF(Исходн.данные.!F319=$CC$10,"Да","Нет")</f>
        <v>Нет</v>
      </c>
      <c r="FI319" s="38" t="str">
        <f>IF(OR(Исходн.данные.!F319=$CC$11,Исходн.данные.!F319=$CC$12),"Да","Нет")</f>
        <v>Нет</v>
      </c>
      <c r="FJ319" s="38" t="str">
        <f>IF(OR(Исходн.данные.!AH319=$BS$1,Исходн.данные.!AH319=$BQ$11,Исходн.данные.!AH319=$BQ$12),"Да","Нет")</f>
        <v>Нет</v>
      </c>
      <c r="FK319" s="38" t="str">
        <f>IF(OR(Исходн.данные.!AH319=$BS$2,Исходн.данные.!AH319=$BS$4),"Да","Нет")</f>
        <v>Нет</v>
      </c>
      <c r="FL319" s="38" t="str">
        <f>IF(OR(Исходн.данные.!AH319=$BS$3,Исходн.данные.!AH319=$BS$5),"Да","Нет")</f>
        <v>Нет</v>
      </c>
      <c r="FM319" s="38" t="str">
        <f>IF(OR(Исходн.данные.!AH319=$BS$9,Исходн.данные.!AH319=$BS$10,Исходн.данные.!AH319=$BS$11,Исходн.данные.!AH319=$BS$12),"Да","Нет")</f>
        <v>Нет</v>
      </c>
      <c r="FN319" s="38" t="str">
        <f>IF(OR(Исходн.данные.!AH319=$BS$6,Исходн.данные.!AH319=$BP$3),"Да","Нет")</f>
        <v>Нет</v>
      </c>
      <c r="FO319" s="38" t="str">
        <f>IF(Исходн.данные.!AH319=$BQ$9,"Да","Нет")</f>
        <v>Нет</v>
      </c>
      <c r="FP319" s="38" t="str">
        <f>IF(OR(Исходн.данные.!AH319=$BS$8,Исходн.данные.!AH319=$BT$8),"Да","Нет")</f>
        <v>Нет</v>
      </c>
      <c r="FQ319" s="38" t="str">
        <f>IF(OR(Исходн.данные.!AH319=$BQ$7,Исходн.данные.!AH319=$BQ$8),"Да","Нет")</f>
        <v>Нет</v>
      </c>
      <c r="FR319" s="38" t="str">
        <f>IF(Исходн.данные.!AI319=$BU$9,"Да","Нет")</f>
        <v>Нет</v>
      </c>
      <c r="FS319" s="38" t="str">
        <f>IF(OR(Исходн.данные.!AH319=$BP$1,Исходн.данные.!AH319=$BP$2),"Да","Нет")</f>
        <v>Нет</v>
      </c>
      <c r="FT319" s="38" t="e">
        <f>IF((Исходн.данные.!K319*GO319*GS319*GW319+BL319*0.6+Исходн.данные.!Q319*4.5*0.275)&gt;90,"Да","Нет")</f>
        <v>#N/A</v>
      </c>
      <c r="FU319" s="38" t="e">
        <f>IF((Исходн.данные.!M319*GS319*GZ319+BM319*0.225)&gt;35,"Да","Нет")</f>
        <v>#N/A</v>
      </c>
      <c r="FV319" s="38" t="str">
        <f>IF(Исходн.данные.!O319&gt;175,"Да","Нет")</f>
        <v>Нет</v>
      </c>
      <c r="FW319" s="39" t="str">
        <f>IF(Исходн.данные.!I319&gt;5.5,"Да","Нет")</f>
        <v>Нет</v>
      </c>
      <c r="FX319" s="39" t="str">
        <f>IF(Исходн.данные.!J319&lt;2,"Да","Нет")</f>
        <v>Да</v>
      </c>
      <c r="FY319" s="39" t="e">
        <f>IF(HF319=$FY$16,0,Исходн.данные.!K319*GO319*GS319*GW319/HF319)</f>
        <v>#N/A</v>
      </c>
      <c r="FZ319" s="39" t="e">
        <f>Исходн.данные.!M319*GS319*GZ319/HG319</f>
        <v>#N/A</v>
      </c>
      <c r="GA319" s="39" t="e">
        <f>IF(K_Wyn=$FY$16,0,IF(Исходн.данные.!N319=Исходн.данные.!$L$10,Исходн.данные.!O319/1.1*GS319*HC319/HH319,IF(Исходн.данные.!N319=Исходн.данные.!$L$12,Исходн.данные.!O319/1.5*GS319*HC319/HH319,Исходн.данные.!O319*GS319*HC319/HH319)))</f>
        <v>#N/A</v>
      </c>
      <c r="GB319" s="39" t="e">
        <f>IF(HF319=$FY$16,0,((Исходн.данные.!Q319*N_Org+Исходн.данные.!R319*N_Sider+Исходн.данные.!S319*N_Soloma)*AO319+Расчет!BC319*VLOOKUP(Исходн.данные.!T319,Справ!$A$3:$O$57,15)*AO319+BB319*VLOOKUP(Исходн.данные.!T319,Справ!$A$3:$O$57,15)*AL319+(Исходн.данные.!V319*N_Rizotorf+Исходн.данные.!W319*N_Rizoagr))/HF319)</f>
        <v>#N/A</v>
      </c>
      <c r="GC319" s="39" t="e">
        <f>IF(HG319=$FY$16,0,((Исходн.данные.!Q319*Р_Org+Исходн.данные.!R319*P_Sider+Исходн.данные.!S319*P_Soloma)*AP319+Расчет!BC319*VLOOKUP(Исходн.данные.!T319,Справ!$A$3:$P$57,16)*AP319+BB319*VLOOKUP(Исходн.данные.!T319,Справ!$A$3:$P$57,16)*AM319)/HG319)</f>
        <v>#N/A</v>
      </c>
      <c r="GD319" s="39" t="e">
        <f>IF(HH319=$FY$16,0,((Исходн.данные.!Q319*К_Org+Исходн.данные.!R319*K_Sider+Исходн.данные.!S319*K_Soloma)*AQ319+Расчет!BC319*VLOOKUP(Исходн.данные.!T319,Справ!$A$3:$Q$57,17)*AQ319+BB319*VLOOKUP(Исходн.данные.!T319,Справ!$A$3:$Q$57,17)*AN319)/HH319)</f>
        <v>#N/A</v>
      </c>
      <c r="GE319" s="39" t="e">
        <f>IF(HF319=$FY$16,0,(Исходн.данные.!X319*AR319+Исходн.данные.!AA319*N_Org*AL319+Исходн.данные.!AB319*N_Sider*AL319+Исходн.данные.!AC319*N_Soloma*AL319)/HF319)</f>
        <v>#N/A</v>
      </c>
      <c r="GF319" s="39" t="e">
        <f>IF(HG319=$FY$16,0,(Исходн.данные.!Y319*AS319+Исходн.данные.!AA319*Р_Org*AM319+Исходн.данные.!AB319*P_Sider*AM319+Исходн.данные.!AC319*P_Soloma*AM319)/HG319)</f>
        <v>#N/A</v>
      </c>
      <c r="GG319" s="39" t="e">
        <f>IF(HH319=$FY$16,0,(Исходн.данные.!Z319*AT319+Исходн.данные.!AA319*К_Org*AN319+Исходн.данные.!AB319*K_Sider*AN319+Исходн.данные.!AC319*K_Soloma*AN319)/HH319)</f>
        <v>#N/A</v>
      </c>
      <c r="GH319" s="39" t="e">
        <f>Исходн.данные.!AD319*AU319/HF319</f>
        <v>#N/A</v>
      </c>
      <c r="GI319" s="39" t="e">
        <f>Исходн.данные.!AE319*AV319/HG319</f>
        <v>#N/A</v>
      </c>
      <c r="GJ319" s="39" t="e">
        <f>Исходн.данные.!AF319*AW319/HH319</f>
        <v>#N/A</v>
      </c>
      <c r="GK319" s="55">
        <f>Исходн.данные.!AK319</f>
        <v>0</v>
      </c>
      <c r="GL319" s="11" t="e">
        <f t="shared" si="409"/>
        <v>#N/A</v>
      </c>
      <c r="GM319" s="11" t="e">
        <f t="shared" si="410"/>
        <v>#N/A</v>
      </c>
      <c r="GN319" s="11" t="e">
        <f t="shared" si="411"/>
        <v>#N/A</v>
      </c>
      <c r="GO319" s="57">
        <f t="shared" si="412"/>
        <v>19</v>
      </c>
      <c r="GP319" s="55">
        <f>IF(OR(Исходн.данные.!F319=$CE$1,Исходн.данные.!F319=$CE$2,Исходн.данные.!F319=$CE$3,Исходн.данные.!F319=$CE$4,Исходн.данные.!F319=$CE$5),GQ319,GR319)</f>
        <v>19</v>
      </c>
      <c r="GQ319" s="55">
        <f>IF(Исходн.данные.!F319=$CE$1,28,IF(Исходн.данные.!F319=$CE$2,26,IF(Исходн.данные.!F319=$CE$3,24,IF(Исходн.данные.!F319=$CE$4,22,IF(Исходн.данные.!F319=$CE$5,20,GR319)))))</f>
        <v>19</v>
      </c>
      <c r="GR319" s="55">
        <f>IF(Исходн.данные.!F319=$CE$6,18,IF(Исходн.данные.!F319=$CE$7,16,IF(Исходн.данные.!F319=$CE$8,14,IF(Исходн.данные.!F319=$CE$9,13,IF(Исходн.данные.!F319=$CE$10,12,19)))))</f>
        <v>19</v>
      </c>
      <c r="GS319" s="55">
        <f>IF(Исходн.данные.!G319="Пес",0.035*(40+2*Исходн.данные.!H319),IF(Исходн.данные.!G319="Суп",0.0325*(40+2*Исходн.данные.!H319),0.03*(40+2*Исходн.данные.!H319)))</f>
        <v>1.2</v>
      </c>
      <c r="GT319" s="55">
        <f>IF(Исходн.данные.!H319&lt;23,2.6,IF(AND(Исходн.данные.!H319&gt;22,Исходн.данные.!H319&lt;26),3,IF(AND(Исходн.данные.!H319&gt;25,Исходн.данные.!H319&lt;29),3.4,3.6)))</f>
        <v>2.6</v>
      </c>
      <c r="GU319" s="55">
        <f>IF(Исходн.данные.!H319&lt;23,2.8,IF(AND(Исходн.данные.!H319&gt;22,Исходн.данные.!H319&lt;26),3.2,IF(AND(Исходн.данные.!H319&gt;25,Исходн.данные.!H319&lt;29),3.6,3.9)))</f>
        <v>2.8</v>
      </c>
      <c r="GV319" s="55">
        <f>IF(Исходн.данные.!H319&lt;23,3,IF(AND(Исходн.данные.!H319&gt;22,Исходн.данные.!H319&lt;26),3.5,IF(AND(Исходн.данные.!H319&gt;25,Исходн.данные.!H319&lt;29),3.9,4.2)))</f>
        <v>3</v>
      </c>
      <c r="GW319" s="55" t="e">
        <f>IF(Исходн.данные.!P319="Ум",GX319,GY319)</f>
        <v>#N/A</v>
      </c>
      <c r="GX319" s="55" t="e">
        <f>VLOOKUP(Исходн.данные.!AI319,Коэффициенты!$J$7:$L$13,2,FALSE)</f>
        <v>#N/A</v>
      </c>
      <c r="GY319" s="55" t="e">
        <f>VLOOKUP(Исходн.данные.!AI319,Коэффициенты!$J$7:$L$13,3,FALSE)</f>
        <v>#N/A</v>
      </c>
      <c r="GZ319" s="55" t="e">
        <f>(IF(Исходн.данные.!M319&lt;50,0.11*VLOOKUP(Исходн.данные.!AH319,Культуры.Информация,7,FALSE),IF(Исходн.данные.!M319&gt;250,0.05*VLOOKUP(Исходн.данные.!AH319,Культуры.Информация,7,FALSE),VLOOKUP(Исходн.данные.!AH319,Культуры.Информация,5,FALSE)/100*($GX$6+$GY$6*Исходн.данные.!M319))))*Расчет2!AI319</f>
        <v>#N/A</v>
      </c>
      <c r="HA319" s="211"/>
      <c r="HB319" s="211"/>
      <c r="HC319" s="55" t="e">
        <f>(IF(Исходн.данные.!O319&lt;80,0.2*VLOOKUP(Исходн.данные.!AH319,Культуры.Информация,8,FALSE),IF(Исходн.данные.!O319&gt;240,0.09*VLOOKUP(Исходн.данные.!AH319,Культуры.Информация,8,FALSE),VLOOKUP(Исходн.данные.!AH319,Культуры.Информация,6,FALSE)/100*($HB$6+$HC$6*Исходн.данные.!O319))))*Расчет2!AJ319</f>
        <v>#N/A</v>
      </c>
      <c r="HD319" s="55">
        <f>IF(Исходн.данные.!O319&gt;240,0.09,IF(Исходн.данные.!O319&lt;30,0.3,$HE$10+$HD$10*Исходн.данные.!O319))</f>
        <v>0.3</v>
      </c>
      <c r="HE319" s="55">
        <f>IF(Исходн.данные.!O319&gt;240,0.17,IF(Исходн.данные.!O319&lt;30,0.5,$HF$12+$HE$12*Исходн.данные.!O319))</f>
        <v>0.5</v>
      </c>
      <c r="HF319" s="55" t="e">
        <f>VLOOKUP(Исходн.данные.!AH319,Справ!$A$3:$D$58,2,FALSE)</f>
        <v>#N/A</v>
      </c>
      <c r="HG319" s="55" t="e">
        <f>VLOOKUP(Исходн.данные.!AH319,Справ!$A$3:$D$58,3,FALSE)</f>
        <v>#N/A</v>
      </c>
      <c r="HH319" s="55" t="e">
        <f>VLOOKUP(Исходн.данные.!AH319,Справ!$A$3:$D$58,4,FALSE)</f>
        <v>#N/A</v>
      </c>
      <c r="HI319" s="11" t="e">
        <f t="shared" si="413"/>
        <v>#N/A</v>
      </c>
      <c r="HJ319" s="11" t="e">
        <f t="shared" si="414"/>
        <v>#N/A</v>
      </c>
      <c r="HK319" s="11" t="e">
        <f t="shared" si="415"/>
        <v>#N/A</v>
      </c>
      <c r="HL319" s="55">
        <f>IF(OR(Исходн.данные.!G319="Глин",Исходн.данные.!G319="Т_суг"),1.1,IF(Исходн.данные.!G319="Ср_суг",1,1))</f>
        <v>1</v>
      </c>
      <c r="HM319" s="55">
        <f>IF(OR(Исходн.данные.!G319="Глин",Исходн.данные.!G319="Т_суг"),0.9,IF(Исходн.данные.!G319="Ср_суг",1,1.2))</f>
        <v>1.2</v>
      </c>
      <c r="HN319" s="11" t="e">
        <f t="shared" si="416"/>
        <v>#N/A</v>
      </c>
      <c r="HO319" s="11" t="e">
        <f t="shared" si="417"/>
        <v>#N/A</v>
      </c>
      <c r="HP319" s="11" t="e">
        <f t="shared" si="418"/>
        <v>#N/A</v>
      </c>
      <c r="HQ319" t="e">
        <f t="shared" si="419"/>
        <v>#N/A</v>
      </c>
      <c r="HR319" t="e">
        <f t="shared" si="420"/>
        <v>#N/A</v>
      </c>
      <c r="HS319" t="e">
        <f t="shared" si="421"/>
        <v>#N/A</v>
      </c>
      <c r="HT319" t="e">
        <f t="shared" si="367"/>
        <v>#N/A</v>
      </c>
      <c r="HU319" t="e">
        <f t="shared" si="368"/>
        <v>#N/A</v>
      </c>
      <c r="HV319" t="e">
        <f t="shared" si="369"/>
        <v>#N/A</v>
      </c>
      <c r="HW319" t="e">
        <f t="shared" si="370"/>
        <v>#N/A</v>
      </c>
      <c r="HX319" t="e">
        <f t="shared" si="371"/>
        <v>#N/A</v>
      </c>
      <c r="HY319" t="e">
        <f t="shared" si="372"/>
        <v>#N/A</v>
      </c>
      <c r="HZ319" s="55">
        <f>IF(OR(Исходн.данные.!AI319="Оз_Ч_П",Исходн.данные.!AI319="Оз_З_П",Исходн.данные.!AI319="Яр_зер"),12,30)</f>
        <v>30</v>
      </c>
      <c r="IA319" t="e">
        <f t="shared" si="422"/>
        <v>#N/A</v>
      </c>
      <c r="IB319" t="e">
        <f t="shared" si="423"/>
        <v>#N/A</v>
      </c>
      <c r="IC319" t="e">
        <f t="shared" si="424"/>
        <v>#N/A</v>
      </c>
      <c r="ID319" s="11" t="e">
        <f t="shared" si="425"/>
        <v>#N/A</v>
      </c>
      <c r="IE319" s="11" t="e">
        <f t="shared" si="426"/>
        <v>#N/A</v>
      </c>
      <c r="IF319" s="11" t="e">
        <f t="shared" si="427"/>
        <v>#N/A</v>
      </c>
    </row>
    <row r="320" spans="35:240" x14ac:dyDescent="0.2">
      <c r="AI320">
        <f>IF(Исходн.данные.!I320&gt;6,1,1.85-(0.148*Исходн.данные.!I320))</f>
        <v>1.85</v>
      </c>
      <c r="AJ320">
        <f>IF(Исходн.данные.!I320&gt;6,1,2.434-(0.246*Исходн.данные.!I320))</f>
        <v>2.4340000000000002</v>
      </c>
      <c r="AL320" s="148" t="b">
        <f>IF(Исходн.данные.!$P320="Ум",N_OrgUd_2g_um,IF(Исходн.данные.!$P320="Об",N_OrgUd_2g_ob))</f>
        <v>0</v>
      </c>
      <c r="AM320" s="148" t="b">
        <f>IF(Исходн.данные.!$P320="Ум",P_OrgUd_2g_um,IF(Исходн.данные.!$P320="Об",P_OrgUd_2g_ob))</f>
        <v>0</v>
      </c>
      <c r="AN320" s="148" t="b">
        <f>IF(Исходн.данные.!$P320="Ум",K_OrgUd_2g_um,IF(Исходн.данные.!$P320="Об",K_OrgUd_2g_ob))</f>
        <v>0</v>
      </c>
      <c r="AO320" s="148" t="b">
        <f>IF(Исходн.данные.!$P320="Ум",N_OrgUd_1g_um,IF(Исходн.данные.!$P320="Об",N_OrgUd_1g_ob))</f>
        <v>0</v>
      </c>
      <c r="AP320" s="148" t="b">
        <f>IF(Исходн.данные.!$P320="Ум",P_OrgUd_1g_um,IF(Исходн.данные.!$P320="Об",P_OrgUd_1g_ob))</f>
        <v>0</v>
      </c>
      <c r="AQ320" s="148" t="b">
        <f>IF(Исходн.данные.!$P320="Ум",K_OrgUd_1g_um,IF(Исходн.данные.!$P320="Об",K_OrgUd_1g_ob))</f>
        <v>0</v>
      </c>
      <c r="AR320" t="b">
        <f>IF(Исходн.данные.!$P320="Ум",N_MinUd_2g_um,IF(Исходн.данные.!$P320="Об",N_MinUd_2g_ob))</f>
        <v>0</v>
      </c>
      <c r="AS320" t="b">
        <f>IF(Исходн.данные.!$P320="Ум",P_MinUd_2g_um,IF(Исходн.данные.!$P320="Об",P_MinUd_2g_ob))</f>
        <v>0</v>
      </c>
      <c r="AT320" t="b">
        <f>IF(Исходн.данные.!$P320="Ум",K_MinUd_2g_um,IF(Исходн.данные.!$P320="Об",K_MinUd_2g_ob))</f>
        <v>0</v>
      </c>
      <c r="AU320" t="b">
        <f>IF(Исходн.данные.!$P320="Ум",N_MinUd_1g_um,IF(Исходн.данные.!$P320="Об",N_MinUd_1g_ob))</f>
        <v>0</v>
      </c>
      <c r="AV320" t="b">
        <f>IF(Исходн.данные.!P320="Ум",P_MinUd_1g_um,IF(Исходн.данные.!P320="Об",P_MinUd_1g_ob))</f>
        <v>0</v>
      </c>
      <c r="AW320" t="b">
        <f>IF(Исходн.данные.!P320="Ум",K_MinUd_1g_um,IF(Исходн.данные.!P320="Об",K_MinUd_1g_ob))</f>
        <v>0</v>
      </c>
      <c r="AY320" t="e">
        <f>VLOOKUP(Исходн.данные.!T320,Справ!$A$3:$N$57,12)</f>
        <v>#N/A</v>
      </c>
      <c r="AZ320" t="e">
        <f>VLOOKUP(Исходн.данные.!T320,Справ!$A$3:$N$57,13)</f>
        <v>#N/A</v>
      </c>
      <c r="BA320" t="e">
        <f>VLOOKUP(Исходн.данные.!T320,Справ!$A$3:$N$57,14)</f>
        <v>#N/A</v>
      </c>
      <c r="BB320">
        <f>IF(Исходн.данные.!AH320=0,0,25)</f>
        <v>0</v>
      </c>
      <c r="BC320" s="141">
        <f>IF(Исходн.данные.!AH320=0,0,IF(Исходн.данные.!T320=0,25,BD320))</f>
        <v>0</v>
      </c>
      <c r="BD320" s="168" t="e">
        <f>AY320+AZ320*Исходн.данные.!U320-POWER(BA320,2)*Исходн.данные.!U320</f>
        <v>#N/A</v>
      </c>
      <c r="BE32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0" s="25">
        <f>IF(Исходн.данные.!AH320=0,0,MIN(HN320:HP320))</f>
        <v>0</v>
      </c>
      <c r="BG320" s="9">
        <f>IF(Исходн.данные.!AH320=0,0,IF((HO320+10*0.25/HG320/HL320)&lt;17,17,HO320+10*0.25/HG320/HL320))</f>
        <v>0</v>
      </c>
      <c r="BH320" s="181">
        <f>IF(Исходн.данные.!AH320=0,0,HW320*HF320*HL320/AU320*AI320+Исходн.данные.!S320*10)</f>
        <v>0</v>
      </c>
      <c r="BI320" s="10"/>
      <c r="BJ320" s="182">
        <f>IF(Исходн.данные.!AH320=0,0,IF(HX320*HG320*HL320/AV320&lt;0,0,HX320*HG320*HL320/AV320*AJ320))</f>
        <v>0</v>
      </c>
      <c r="BK320" s="182">
        <f>IF(Исходн.данные.!AH320=0,0,HY320*HH320*HM320/AW320)</f>
        <v>0</v>
      </c>
      <c r="BL320" s="10">
        <f>IF(OR(Исходн.данные.!$AH320=$BP$1,Исходн.данные.!$AH320=$BP$2),0,IF(BH320&lt;0,0,IF(OR(Исходн.данные.!T320=Расчет!$BP$1,Исходн.данные.!T320=Расчет!$BP$2,Исходн.данные.!T320=Расчет!$BT$5,Исходн.данные.!T320=Расчет!$BT$6),BH320*0.5,IF(OR(Исходн.данные.!T320=Расчет!$BS$9,Исходн.данные.!T320=Расчет!$BS$10,Исходн.данные.!T320=Расчет!$BS$11,Исходн.данные.!T320=Расчет!$BS$12,Исходн.данные.!T320=Расчет!$BP$5),BH320*0.8,BH320))))</f>
        <v>0</v>
      </c>
      <c r="BM320" s="10">
        <f>IF(OR(Исходн.данные.!$AH320=$BP$1,Исходн.данные.!$AH320=$BP$2),0,IF(BJ320&lt;0,0,IF(Исходн.данные.!I320&lt;4.5,BJ320*1.2,IF(Исходн.данные.!I320&gt;5.1,BJ320,BJ320*((5.1-Исходн.данные.!I320)*0.333+1)))))</f>
        <v>0</v>
      </c>
      <c r="BN320" s="10">
        <f>IF(OR(Исходн.данные.!$AH320=$BP$1,Исходн.данные.!$AH320=$BP$2),60-Исходн.данные.!AF320,IF(BK320&lt;0,0,IF(Исходн.данные.!I320&lt;4.5,BK320*1.2,IF(Исходн.данные.!I320&gt;5.1,BK320,BK320*((5.1-Исходн.данные.!I320)*0.333+1)))))</f>
        <v>0</v>
      </c>
      <c r="BO320" s="9">
        <f>IF(BL320&lt;0,0,BL320*Исходн.данные.!$AJ320/1000)</f>
        <v>0</v>
      </c>
      <c r="BP320" s="9">
        <f>IF(BM320&lt;0,0,BM320*Исходн.данные.!$AJ320/1000)</f>
        <v>0</v>
      </c>
      <c r="BQ320" s="9">
        <f>IF(BN320&lt;0,0,BN320*Исходн.данные.!$AJ320/1000)</f>
        <v>0</v>
      </c>
      <c r="BR320" s="9">
        <f t="shared" si="377"/>
        <v>0</v>
      </c>
      <c r="BS320" s="10" t="str">
        <f t="shared" si="378"/>
        <v>Аммофос 12:52:00</v>
      </c>
      <c r="BT320" s="10" t="str">
        <f t="shared" si="379"/>
        <v>Аммофос 12:52:00</v>
      </c>
      <c r="BU320" s="10" t="str">
        <f t="shared" si="380"/>
        <v>Диаммофоска</v>
      </c>
      <c r="BV320" s="10">
        <f t="shared" si="381"/>
        <v>0</v>
      </c>
      <c r="BW320" s="10"/>
      <c r="BX320" s="10"/>
      <c r="BY320" s="9">
        <f>IF(BL320&lt;0,0,IF(OR(Исходн.данные.!AI320=Расчет!$BU$6,Исходн.данные.!AI320=Расчет!$BU$7),Расчет!BV320,IF(Исходн.данные.!$AG320=$BV$11,BL320,IF(OR(Исходн.данные.!$AH320=$BQ$7,Исходн.данные.!$AH320=$BQ$8),CB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0,IF(Исходн.данные.!$AI320=$BU$11,"Нет",IF(BL320&gt;30,30,BL320)))))))</f>
        <v>0</v>
      </c>
      <c r="BZ320" s="9">
        <f>IF(AND(Исходн.данные.!$AG320=$BV$11,BM320&lt;10),10,IF(Исходн.данные.!$AG320=$BV$11,BM320,IF(OR(Исходн.данные.!$AH320=$BQ$7,Исходн.данные.!$AH320=$BQ$8),CC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10,IF(Исходн.данные.!$AI320=$BU$11,"Нет",IF(BM320&gt;60,60,IF(BM320&lt;10,10,BM320)))))))</f>
        <v>10</v>
      </c>
      <c r="CA320" s="39">
        <f>IF(BN320&lt;0,0,IF(Исходн.данные.!$AG320=$BV$11,BN320,IF(OR(Исходн.данные.!$AH320=$BQ$7,Исходн.данные.!$AH320=$BQ$8),CD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0,IF(Исходн.данные.!$AI320=$BU$11,"Нет",IF(BN320&gt;30,30,BN320))))))</f>
        <v>0</v>
      </c>
      <c r="CB320" s="9">
        <f t="shared" si="382"/>
        <v>0</v>
      </c>
      <c r="CC320" s="9">
        <f t="shared" si="383"/>
        <v>0</v>
      </c>
      <c r="CD320" s="9">
        <f t="shared" si="384"/>
        <v>0</v>
      </c>
      <c r="CE320" s="12">
        <f t="shared" si="385"/>
        <v>10</v>
      </c>
      <c r="CF320" s="9">
        <f t="shared" si="386"/>
        <v>0</v>
      </c>
      <c r="CG320" s="9" t="s">
        <v>231</v>
      </c>
      <c r="CH320" s="132" t="str">
        <f>IF(Исходн.данные.!AP320=Расчет!$CI$16,"Нет",IF(Исходн.данные.!AL320&gt;0,Исходн.данные.!AL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BH$4,IF(OR(Исходн.данные.!AI320=Исходн.данные.!$AI$6,Исходн.данные.!AI320=Исходн.данные.!$AI$7),Расчет!BS320,IF(AND($CF320=0,$CE320&gt;0),EV320,ER320)))))</f>
        <v>Аммофос 12:52:00</v>
      </c>
      <c r="CI320" s="274">
        <f>IF(Расчет!$CH320="Нет","Нет",IF(Исходн.данные.!$AL320&gt;0,VLOOKUP(Расчет!$CH320,АшламаДВ_Irekle,2,FALSE),VLOOKUP(Расчет!$CH320,АшламаДВ_Gomumy,2,FALSE)))</f>
        <v>0.12</v>
      </c>
      <c r="CJ320" s="274">
        <f>IF(Расчет!$CH320="Нет","Нет",IF(Исходн.данные.!$AL320&gt;0,VLOOKUP(Расчет!$CH320,АшламаДВ_Irekle,3,FALSE),VLOOKUP(Расчет!$CH320,АшламаДВ_Gomumy,3,FALSE)))</f>
        <v>0.52</v>
      </c>
      <c r="CK320" s="274">
        <f>IF(Расчет!$CH320="Нет","Нет",IF(Исходн.данные.!$AL320&gt;0,VLOOKUP(Расчет!$CH320,АшламаДВ_Irekle,4,FALSE),VLOOKUP(Расчет!$CH320,АшламаДВ_Gomumy,4,FALSE)))</f>
        <v>0</v>
      </c>
      <c r="CL320" s="70"/>
      <c r="CM320" s="70"/>
      <c r="CN320" s="70"/>
      <c r="CO320" s="70"/>
      <c r="CP320" s="70"/>
      <c r="CQ320" s="70"/>
      <c r="CR320" s="10">
        <f t="shared" si="387"/>
        <v>0</v>
      </c>
      <c r="CS320" s="10">
        <f t="shared" si="388"/>
        <v>19.23076923076923</v>
      </c>
      <c r="CT320" s="10">
        <f t="shared" si="389"/>
        <v>0</v>
      </c>
      <c r="CU320" s="39">
        <f>IF($CH320="Нет",0,IF(CI320=0,30/MIN(CJ320:CK320),IF(Исходн.данные.!$AG320=$BV$11,CR320,IF(OR(Исходн.данные.!$AH320=$BQ$7,Исходн.данные.!$AH320=$BQ$8),90/CI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0,IF(Исходн.данные.!$AI320=$BU$11,"Нет",30/CI320))))))</f>
        <v>250</v>
      </c>
      <c r="CV320" s="39">
        <f>IF($CH320="Нет",0,IF(Исходн.данные.!AH320=0,0,IF(CJ320=0,60/MIN(CI320,CK320),IF(Исходн.данные.!$AG320=$BV$11,CS320,IF(OR(Исходн.данные.!$AH320=$BQ$7,Исходн.данные.!$AH320=$BQ$8),90/CJ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10/CJ320,IF(Исходн.данные.!$AI320=$BU$11,"Нет",60/CJ320)))))))</f>
        <v>0</v>
      </c>
      <c r="CW320" s="39">
        <f>IF($CH320="Нет",0,IF(Исходн.данные.!AH320=0,0,IF(CK320=0,30/MIN(CI320:CJ320),IF(Исходн.данные.!$AG320=$BV$11,CT320,IF(OR(Исходн.данные.!$AH320=$BQ$7,Исходн.данные.!$AH320=$BQ$8),90/CK320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0,IF(Исходн.данные.!$AI320=$BU$11,"Нет",30/CK320)))))))</f>
        <v>0</v>
      </c>
      <c r="CX320" s="133">
        <f>IF(Исходн.данные.!$AG320=$BV$11,MAX(CU320:CW320),IF(OR(Исходн.данные.!$AH320=$BS$8,Исходн.данные.!$AH320=$BQ$9,Исходн.данные.!$AH320=$BQ$10,Исходн.данные.!$AH320=$BQ$11,Исходн.данные.!$AH320=$BQ$12,Исходн.данные.!$AH320=$BP$3,Исходн.данные.!$AH320=$BT$8,$FM320="Да"),CV320,MIN(CU320:CW320)))</f>
        <v>0</v>
      </c>
      <c r="CY320" s="133">
        <f>IF(Исходн.данные.!AH320=0,0,IF(CR320&gt;$CX320,$CX320,CR320))</f>
        <v>0</v>
      </c>
      <c r="CZ320" s="133">
        <f>IF(Исходн.данные.!AH320=0,0,IF(CS320&gt;$CX320,$CX320,CS320))</f>
        <v>0</v>
      </c>
      <c r="DA320" s="133">
        <f>IF(Исходн.данные.!AH320=0,0,IF(CT320&gt;$CX320,$CX320,CT320))</f>
        <v>0</v>
      </c>
      <c r="DB320" s="10">
        <f t="shared" si="390"/>
        <v>0</v>
      </c>
      <c r="DC320" s="39">
        <f>DB320*Исходн.данные.!AJ320/1000</f>
        <v>0</v>
      </c>
      <c r="DD320" s="71">
        <f t="shared" si="391"/>
        <v>0</v>
      </c>
      <c r="DE320" s="9">
        <f t="shared" si="392"/>
        <v>0</v>
      </c>
      <c r="DF320" s="9">
        <f t="shared" si="393"/>
        <v>0</v>
      </c>
      <c r="DG320" s="39">
        <f>IF(BL320&lt;0,0,IF($CH320="Нет",BL320,IF(OR(Исходн.данные.!$AH320=$BP$1,Исходн.данные.!$AH320=$BP$2),0,IF(Исходн.данные.!AI320=$BU$11,BL320,IF(BL320-DD320&lt;0,0,BL320-DD320)))))</f>
        <v>0</v>
      </c>
      <c r="DH320" s="39">
        <f>IF(BM320&lt;0,0,IF($CH320="Нет",BM320,IF(OR(Исходн.данные.!$AH320=$BP$1,Исходн.данные.!$AH320=$BP$2),0,IF(Исходн.данные.!AJ320=$BU$11,BM320,IF(BM320-DE320&lt;0,0,BM320-DE320)))))</f>
        <v>0</v>
      </c>
      <c r="DI320" s="39">
        <f>IF(BN320&lt;0,0,IF($CH320="Нет",BN320,IF(OR(Исходн.данные.!$AH320=$BP$1,Исходн.данные.!$AH320=$BP$2),0,IF(Исходн.данные.!AK320=$BU$11,BN320,IF(BN320-DF320&lt;0,0,BN320-DF320)))))</f>
        <v>0</v>
      </c>
      <c r="DJ320" s="12">
        <f t="shared" si="394"/>
        <v>0</v>
      </c>
      <c r="DK320" s="9">
        <f t="shared" si="395"/>
        <v>0</v>
      </c>
      <c r="DL320" s="39">
        <f>IF(Исходн.данные.!AM320&gt;0,Исходн.данные.!AM320,IF(EG320&gt;0,$BH$10,0))</f>
        <v>0</v>
      </c>
      <c r="DM320" s="186">
        <f>IF($DL320=0,0,IF(Исходн.данные.!AM320&gt;0,VLOOKUP($DL320,АшламаДВ_Irekle,2,FALSE),VLOOKUP($DL320,АшламаДВ_Gomumy,2,FALSE)))</f>
        <v>0</v>
      </c>
      <c r="DN320" s="10">
        <f t="shared" si="373"/>
        <v>0</v>
      </c>
      <c r="DO320" s="9" t="str">
        <f>IF(Исходн.данные.!AN320&gt;0,Исходн.данные.!AN320,Удобрения!$B$37 )</f>
        <v>Хлор.калий</v>
      </c>
      <c r="DP320" s="9">
        <f>IF(Исходн.данные.!AN320&gt;0,VLOOKUP(Исходн.данные.!AN320,АшламаДВ_Irekle,4,FALSE),VLOOKUP(DO320,АшламаДВ_Gomumy,4,FALSE))</f>
        <v>0.6</v>
      </c>
      <c r="DQ320" s="10">
        <f t="shared" si="374"/>
        <v>0</v>
      </c>
      <c r="DR320" s="132" t="str">
        <f>IF(Исходн.данные.!AO320&gt;0,Исходн.данные.!AO320,IF(DH320=0,BS$17,IF(AND($DK320=0,$DJ320&gt;0),EJ320,EN320)))</f>
        <v>Нет</v>
      </c>
      <c r="DS320" s="70" t="str">
        <f>IF($DR320="Нет","Нет",IF(Исходн.данные.!$AO320&gt;0,VLOOKUP($DR320,АшламаДВ_Irekle,2,FALSE),VLOOKUP($DR320,АшламаДВ_Gomumy,2,FALSE)))</f>
        <v>Нет</v>
      </c>
      <c r="DT320" s="70" t="str">
        <f>IF($DR320="Нет","Нет",IF(Исходн.данные.!$AO320&gt;0,VLOOKUP($DR320,АшламаДВ_Irekle,3,FALSE),VLOOKUP($DR320,АшламаДВ_Gomumy,3,FALSE)))</f>
        <v>Нет</v>
      </c>
      <c r="DU320" s="70" t="str">
        <f>IF($DR320="Нет","Нет",IF(Исходн.данные.!$AO320&gt;0,VLOOKUP($DR320,АшламаДВ_Irekle,4,FALSE),VLOOKUP($DR320,АшламаДВ_Gomumy,4,FALSE)))</f>
        <v>Нет</v>
      </c>
      <c r="DV320" s="70"/>
      <c r="DW320" s="70"/>
      <c r="DX320" s="70"/>
      <c r="DY320" s="10">
        <f t="shared" si="396"/>
        <v>0</v>
      </c>
      <c r="DZ320" s="10">
        <f t="shared" si="397"/>
        <v>0</v>
      </c>
      <c r="EA320" s="10">
        <f t="shared" si="398"/>
        <v>0</v>
      </c>
      <c r="EB320" s="10">
        <f t="shared" si="399"/>
        <v>0</v>
      </c>
      <c r="EC320" s="10">
        <f t="shared" si="400"/>
        <v>0</v>
      </c>
      <c r="ED320" s="10">
        <f t="shared" si="401"/>
        <v>0</v>
      </c>
      <c r="EE320" s="10">
        <f t="shared" si="402"/>
        <v>0</v>
      </c>
      <c r="EF320" s="39">
        <f>EB320*Исходн.данные.!AJ320/1000</f>
        <v>0</v>
      </c>
      <c r="EG320" s="9">
        <f t="shared" si="403"/>
        <v>0</v>
      </c>
      <c r="EH320" s="9">
        <f t="shared" si="404"/>
        <v>0</v>
      </c>
      <c r="EI320" s="39" t="e">
        <f t="shared" si="354"/>
        <v>#DIV/0!</v>
      </c>
      <c r="EJ320" s="9" t="str">
        <f t="shared" si="375"/>
        <v>Азопреципитат</v>
      </c>
      <c r="EK320" s="12">
        <f t="shared" si="355"/>
        <v>0.26</v>
      </c>
      <c r="EL320" s="12">
        <f t="shared" si="356"/>
        <v>0.13</v>
      </c>
      <c r="EM320" s="12">
        <f t="shared" si="357"/>
        <v>0</v>
      </c>
      <c r="EN320" s="12" t="str">
        <f t="shared" si="376"/>
        <v>Нет</v>
      </c>
      <c r="EO320" s="12">
        <f t="shared" si="358"/>
        <v>0</v>
      </c>
      <c r="EP320" s="12">
        <f t="shared" si="359"/>
        <v>0</v>
      </c>
      <c r="EQ320" s="12">
        <f t="shared" si="360"/>
        <v>0</v>
      </c>
      <c r="ER320" s="12" t="str">
        <f t="shared" si="405"/>
        <v>Диаммофоска</v>
      </c>
      <c r="ES320" s="12">
        <f t="shared" si="361"/>
        <v>0.1</v>
      </c>
      <c r="ET320" s="12">
        <f t="shared" si="362"/>
        <v>0.26</v>
      </c>
      <c r="EU320" s="12">
        <f t="shared" si="363"/>
        <v>0.26</v>
      </c>
      <c r="EV320" s="12" t="str">
        <f t="shared" si="406"/>
        <v>Аммофос 12:52:00</v>
      </c>
      <c r="EW320" s="12" t="str">
        <f t="shared" si="407"/>
        <v>Кемира Свекловичное-6</v>
      </c>
      <c r="EX320" s="12">
        <f t="shared" si="364"/>
        <v>0.16</v>
      </c>
      <c r="EY320" s="12">
        <f t="shared" si="365"/>
        <v>0.12</v>
      </c>
      <c r="EZ320" s="12">
        <f t="shared" si="366"/>
        <v>0.17</v>
      </c>
      <c r="FA320" s="38" t="e">
        <f>IF(AND(OR(FJ320=$FD$1,FM320=$FD$1,FO320=$FD$1,FQ320=$FD$1,FS320=$FD$1),FD320=$FD$1,Исходн.данные.!J320&lt;2,FU320=$FD$1),"Бор,Кобальт",IF(AND(FO320=$FD$1,FH320=$FD$1,Исходн.данные.!J320&lt;2,FU320=$FD$1),"Бор,Кобальт",IF(AND(OR(FJ320=$FD$1,FM320=$FD$1,FQ320=$FD$1),FE320=$FD$1,Исходн.данные.!J320&lt;2,FT320=$FD$1,FU320=$FD$1),"Бор,Медь,Цинк",IF(AND(OR(FJ320=$FD$1,FR320="Да"),FI320="Да",Исходн.данные.!J320&lt;2,FT320="Да",FU320="Да"),"Бор,Цинк,Медь",IF(AND(OR(FM320="Да",FQ320="Да"),FI320="Да",Исходн.данные.!J320&lt;2,FT320="Да",FU320="Да"),"Бор,Цинк",IF(AND(FN320="Да",OR(FD320="Да",FE320="Да")),"Бор",FB320))))))</f>
        <v>#N/A</v>
      </c>
      <c r="FB320" s="134" t="e">
        <f>IF(AND(OR(FD320="Да",FE320="Да",FF320="Да",FG320="Да",FH320="Да"),FO320="Да"),"Бор",IF(AND(FP320="Да",OR(FD320="Да",FE320="Да",FI320="Да")),"Бор",IF(AND(FS320="Да",FE320="Да"),"Бор,Медь",IF(AND(OR(FJ320="Да",FK320="Да",FL320="Да"),FE320="Да",Исходн.данные.!I320&lt;5,FT320="Да",FU320="Да"),"Молибден,Цинк",IF(AND(FM320="Да",OR(FE320="Да",FF320="Да",FG320="Да",FH320="Да",FI320="Да")),"Молибден,Цинк",IF(AND(OR(FJ320="Да",FK320="Да",FL320="Да",FM320="Да",FQ320="Да"),OR(FE320="Да",FF320="Да"),FT320="Да",FU320="Да",Исходн.данные.!I320&gt;5.5),"Медь,Цинк",FC320))))))</f>
        <v>#N/A</v>
      </c>
      <c r="FC320" s="23" t="e">
        <f t="shared" si="408"/>
        <v>#N/A</v>
      </c>
      <c r="FD320" s="38" t="str">
        <f>IF(OR(Исходн.данные.!F320=$CC$1,Исходн.данные.!F320=$CC$2,Исходн.данные.!F320=$CC$3,Исходн.данные.!F320=$CC$4),"Да","Нет")</f>
        <v>Нет</v>
      </c>
      <c r="FE320" s="38" t="str">
        <f>IF(Исходн.данные.!F320=$CC$5,"Да","Нет")</f>
        <v>Нет</v>
      </c>
      <c r="FF320" s="38" t="str">
        <f>IF(OR(Исходн.данные.!F320=$CC$6,Исходн.данные.!F320=$CC$7),"Да","Нет")</f>
        <v>Нет</v>
      </c>
      <c r="FG320" s="38" t="str">
        <f>IF(OR(Исходн.данные.!F320=$CC$8,Исходн.данные.!F320=$CC$9),"Да","Нет")</f>
        <v>Нет</v>
      </c>
      <c r="FH320" s="38" t="str">
        <f>IF(Исходн.данные.!F320=$CC$10,"Да","Нет")</f>
        <v>Нет</v>
      </c>
      <c r="FI320" s="38" t="str">
        <f>IF(OR(Исходн.данные.!F320=$CC$11,Исходн.данные.!F320=$CC$12),"Да","Нет")</f>
        <v>Нет</v>
      </c>
      <c r="FJ320" s="38" t="str">
        <f>IF(OR(Исходн.данные.!AH320=$BS$1,Исходн.данные.!AH320=$BQ$11,Исходн.данные.!AH320=$BQ$12),"Да","Нет")</f>
        <v>Нет</v>
      </c>
      <c r="FK320" s="38" t="str">
        <f>IF(OR(Исходн.данные.!AH320=$BS$2,Исходн.данные.!AH320=$BS$4),"Да","Нет")</f>
        <v>Нет</v>
      </c>
      <c r="FL320" s="38" t="str">
        <f>IF(OR(Исходн.данные.!AH320=$BS$3,Исходн.данные.!AH320=$BS$5),"Да","Нет")</f>
        <v>Нет</v>
      </c>
      <c r="FM320" s="38" t="str">
        <f>IF(OR(Исходн.данные.!AH320=$BS$9,Исходн.данные.!AH320=$BS$10,Исходн.данные.!AH320=$BS$11,Исходн.данные.!AH320=$BS$12),"Да","Нет")</f>
        <v>Нет</v>
      </c>
      <c r="FN320" s="38" t="str">
        <f>IF(OR(Исходн.данные.!AH320=$BS$6,Исходн.данные.!AH320=$BP$3),"Да","Нет")</f>
        <v>Нет</v>
      </c>
      <c r="FO320" s="38" t="str">
        <f>IF(Исходн.данные.!AH320=$BQ$9,"Да","Нет")</f>
        <v>Нет</v>
      </c>
      <c r="FP320" s="38" t="str">
        <f>IF(OR(Исходн.данные.!AH320=$BS$8,Исходн.данные.!AH320=$BT$8),"Да","Нет")</f>
        <v>Нет</v>
      </c>
      <c r="FQ320" s="38" t="str">
        <f>IF(OR(Исходн.данные.!AH320=$BQ$7,Исходн.данные.!AH320=$BQ$8),"Да","Нет")</f>
        <v>Нет</v>
      </c>
      <c r="FR320" s="38" t="str">
        <f>IF(Исходн.данные.!AI320=$BU$9,"Да","Нет")</f>
        <v>Нет</v>
      </c>
      <c r="FS320" s="38" t="str">
        <f>IF(OR(Исходн.данные.!AH320=$BP$1,Исходн.данные.!AH320=$BP$2),"Да","Нет")</f>
        <v>Нет</v>
      </c>
      <c r="FT320" s="38" t="e">
        <f>IF((Исходн.данные.!K320*GO320*GS320*GW320+BL320*0.6+Исходн.данные.!Q320*4.5*0.275)&gt;90,"Да","Нет")</f>
        <v>#N/A</v>
      </c>
      <c r="FU320" s="38" t="e">
        <f>IF((Исходн.данные.!M320*GS320*GZ320+BM320*0.225)&gt;35,"Да","Нет")</f>
        <v>#N/A</v>
      </c>
      <c r="FV320" s="38" t="str">
        <f>IF(Исходн.данные.!O320&gt;175,"Да","Нет")</f>
        <v>Нет</v>
      </c>
      <c r="FW320" s="39" t="str">
        <f>IF(Исходн.данные.!I320&gt;5.5,"Да","Нет")</f>
        <v>Нет</v>
      </c>
      <c r="FX320" s="39" t="str">
        <f>IF(Исходн.данные.!J320&lt;2,"Да","Нет")</f>
        <v>Да</v>
      </c>
      <c r="FY320" s="39" t="e">
        <f>IF(HF320=$FY$16,0,Исходн.данные.!K320*GO320*GS320*GW320/HF320)</f>
        <v>#N/A</v>
      </c>
      <c r="FZ320" s="39" t="e">
        <f>Исходн.данные.!M320*GS320*GZ320/HG320</f>
        <v>#N/A</v>
      </c>
      <c r="GA320" s="39" t="e">
        <f>IF(K_Wyn=$FY$16,0,IF(Исходн.данные.!N320=Исходн.данные.!$L$10,Исходн.данные.!O320/1.1*GS320*HC320/HH320,IF(Исходн.данные.!N320=Исходн.данные.!$L$12,Исходн.данные.!O320/1.5*GS320*HC320/HH320,Исходн.данные.!O320*GS320*HC320/HH320)))</f>
        <v>#N/A</v>
      </c>
      <c r="GB320" s="39" t="e">
        <f>IF(HF320=$FY$16,0,((Исходн.данные.!Q320*N_Org+Исходн.данные.!R320*N_Sider+Исходн.данные.!S320*N_Soloma)*AO320+Расчет!BC320*VLOOKUP(Исходн.данные.!T320,Справ!$A$3:$O$57,15)*AO320+BB320*VLOOKUP(Исходн.данные.!T320,Справ!$A$3:$O$57,15)*AL320+(Исходн.данные.!V320*N_Rizotorf+Исходн.данные.!W320*N_Rizoagr))/HF320)</f>
        <v>#N/A</v>
      </c>
      <c r="GC320" s="39" t="e">
        <f>IF(HG320=$FY$16,0,((Исходн.данные.!Q320*Р_Org+Исходн.данные.!R320*P_Sider+Исходн.данные.!S320*P_Soloma)*AP320+Расчет!BC320*VLOOKUP(Исходн.данные.!T320,Справ!$A$3:$P$57,16)*AP320+BB320*VLOOKUP(Исходн.данные.!T320,Справ!$A$3:$P$57,16)*AM320)/HG320)</f>
        <v>#N/A</v>
      </c>
      <c r="GD320" s="39" t="e">
        <f>IF(HH320=$FY$16,0,((Исходн.данные.!Q320*К_Org+Исходн.данные.!R320*K_Sider+Исходн.данные.!S320*K_Soloma)*AQ320+Расчет!BC320*VLOOKUP(Исходн.данные.!T320,Справ!$A$3:$Q$57,17)*AQ320+BB320*VLOOKUP(Исходн.данные.!T320,Справ!$A$3:$Q$57,17)*AN320)/HH320)</f>
        <v>#N/A</v>
      </c>
      <c r="GE320" s="39" t="e">
        <f>IF(HF320=$FY$16,0,(Исходн.данные.!X320*AR320+Исходн.данные.!AA320*N_Org*AL320+Исходн.данные.!AB320*N_Sider*AL320+Исходн.данные.!AC320*N_Soloma*AL320)/HF320)</f>
        <v>#N/A</v>
      </c>
      <c r="GF320" s="39" t="e">
        <f>IF(HG320=$FY$16,0,(Исходн.данные.!Y320*AS320+Исходн.данные.!AA320*Р_Org*AM320+Исходн.данные.!AB320*P_Sider*AM320+Исходн.данные.!AC320*P_Soloma*AM320)/HG320)</f>
        <v>#N/A</v>
      </c>
      <c r="GG320" s="39" t="e">
        <f>IF(HH320=$FY$16,0,(Исходн.данные.!Z320*AT320+Исходн.данные.!AA320*К_Org*AN320+Исходн.данные.!AB320*K_Sider*AN320+Исходн.данные.!AC320*K_Soloma*AN320)/HH320)</f>
        <v>#N/A</v>
      </c>
      <c r="GH320" s="39" t="e">
        <f>Исходн.данные.!AD320*AU320/HF320</f>
        <v>#N/A</v>
      </c>
      <c r="GI320" s="39" t="e">
        <f>Исходн.данные.!AE320*AV320/HG320</f>
        <v>#N/A</v>
      </c>
      <c r="GJ320" s="39" t="e">
        <f>Исходн.данные.!AF320*AW320/HH320</f>
        <v>#N/A</v>
      </c>
      <c r="GK320" s="55">
        <f>Исходн.данные.!AK320</f>
        <v>0</v>
      </c>
      <c r="GL320" s="11" t="e">
        <f t="shared" si="409"/>
        <v>#N/A</v>
      </c>
      <c r="GM320" s="11" t="e">
        <f t="shared" si="410"/>
        <v>#N/A</v>
      </c>
      <c r="GN320" s="11" t="e">
        <f t="shared" si="411"/>
        <v>#N/A</v>
      </c>
      <c r="GO320" s="57">
        <f t="shared" si="412"/>
        <v>19</v>
      </c>
      <c r="GP320" s="55">
        <f>IF(OR(Исходн.данные.!F320=$CE$1,Исходн.данные.!F320=$CE$2,Исходн.данные.!F320=$CE$3,Исходн.данные.!F320=$CE$4,Исходн.данные.!F320=$CE$5),GQ320,GR320)</f>
        <v>19</v>
      </c>
      <c r="GQ320" s="55">
        <f>IF(Исходн.данные.!F320=$CE$1,28,IF(Исходн.данные.!F320=$CE$2,26,IF(Исходн.данные.!F320=$CE$3,24,IF(Исходн.данные.!F320=$CE$4,22,IF(Исходн.данные.!F320=$CE$5,20,GR320)))))</f>
        <v>19</v>
      </c>
      <c r="GR320" s="55">
        <f>IF(Исходн.данные.!F320=$CE$6,18,IF(Исходн.данные.!F320=$CE$7,16,IF(Исходн.данные.!F320=$CE$8,14,IF(Исходн.данные.!F320=$CE$9,13,IF(Исходн.данные.!F320=$CE$10,12,19)))))</f>
        <v>19</v>
      </c>
      <c r="GS320" s="55">
        <f>IF(Исходн.данные.!G320="Пес",0.035*(40+2*Исходн.данные.!H320),IF(Исходн.данные.!G320="Суп",0.0325*(40+2*Исходн.данные.!H320),0.03*(40+2*Исходн.данные.!H320)))</f>
        <v>1.2</v>
      </c>
      <c r="GT320" s="55">
        <f>IF(Исходн.данные.!H320&lt;23,2.6,IF(AND(Исходн.данные.!H320&gt;22,Исходн.данные.!H320&lt;26),3,IF(AND(Исходн.данные.!H320&gt;25,Исходн.данные.!H320&lt;29),3.4,3.6)))</f>
        <v>2.6</v>
      </c>
      <c r="GU320" s="55">
        <f>IF(Исходн.данные.!H320&lt;23,2.8,IF(AND(Исходн.данные.!H320&gt;22,Исходн.данные.!H320&lt;26),3.2,IF(AND(Исходн.данные.!H320&gt;25,Исходн.данные.!H320&lt;29),3.6,3.9)))</f>
        <v>2.8</v>
      </c>
      <c r="GV320" s="55">
        <f>IF(Исходн.данные.!H320&lt;23,3,IF(AND(Исходн.данные.!H320&gt;22,Исходн.данные.!H320&lt;26),3.5,IF(AND(Исходн.данные.!H320&gt;25,Исходн.данные.!H320&lt;29),3.9,4.2)))</f>
        <v>3</v>
      </c>
      <c r="GW320" s="55" t="e">
        <f>IF(Исходн.данные.!P320="Ум",GX320,GY320)</f>
        <v>#N/A</v>
      </c>
      <c r="GX320" s="55" t="e">
        <f>VLOOKUP(Исходн.данные.!AI320,Коэффициенты!$J$7:$L$13,2,FALSE)</f>
        <v>#N/A</v>
      </c>
      <c r="GY320" s="55" t="e">
        <f>VLOOKUP(Исходн.данные.!AI320,Коэффициенты!$J$7:$L$13,3,FALSE)</f>
        <v>#N/A</v>
      </c>
      <c r="GZ320" s="55" t="e">
        <f>(IF(Исходн.данные.!M320&lt;50,0.11*VLOOKUP(Исходн.данные.!AH320,Культуры.Информация,7,FALSE),IF(Исходн.данные.!M320&gt;250,0.05*VLOOKUP(Исходн.данные.!AH320,Культуры.Информация,7,FALSE),VLOOKUP(Исходн.данные.!AH320,Культуры.Информация,5,FALSE)/100*($GX$6+$GY$6*Исходн.данные.!M320))))*Расчет2!AI320</f>
        <v>#N/A</v>
      </c>
      <c r="HA320" s="211"/>
      <c r="HB320" s="211"/>
      <c r="HC320" s="55" t="e">
        <f>(IF(Исходн.данные.!O320&lt;80,0.2*VLOOKUP(Исходн.данные.!AH320,Культуры.Информация,8,FALSE),IF(Исходн.данные.!O320&gt;240,0.09*VLOOKUP(Исходн.данные.!AH320,Культуры.Информация,8,FALSE),VLOOKUP(Исходн.данные.!AH320,Культуры.Информация,6,FALSE)/100*($HB$6+$HC$6*Исходн.данные.!O320))))*Расчет2!AJ320</f>
        <v>#N/A</v>
      </c>
      <c r="HD320" s="55">
        <f>IF(Исходн.данные.!O320&gt;240,0.09,IF(Исходн.данные.!O320&lt;30,0.3,$HE$10+$HD$10*Исходн.данные.!O320))</f>
        <v>0.3</v>
      </c>
      <c r="HE320" s="55">
        <f>IF(Исходн.данные.!O320&gt;240,0.17,IF(Исходн.данные.!O320&lt;30,0.5,$HF$12+$HE$12*Исходн.данные.!O320))</f>
        <v>0.5</v>
      </c>
      <c r="HF320" s="55" t="e">
        <f>VLOOKUP(Исходн.данные.!AH320,Справ!$A$3:$D$58,2,FALSE)</f>
        <v>#N/A</v>
      </c>
      <c r="HG320" s="55" t="e">
        <f>VLOOKUP(Исходн.данные.!AH320,Справ!$A$3:$D$58,3,FALSE)</f>
        <v>#N/A</v>
      </c>
      <c r="HH320" s="55" t="e">
        <f>VLOOKUP(Исходн.данные.!AH320,Справ!$A$3:$D$58,4,FALSE)</f>
        <v>#N/A</v>
      </c>
      <c r="HI320" s="11" t="e">
        <f t="shared" si="413"/>
        <v>#N/A</v>
      </c>
      <c r="HJ320" s="11" t="e">
        <f t="shared" si="414"/>
        <v>#N/A</v>
      </c>
      <c r="HK320" s="11" t="e">
        <f t="shared" si="415"/>
        <v>#N/A</v>
      </c>
      <c r="HL320" s="55">
        <f>IF(OR(Исходн.данные.!G320="Глин",Исходн.данные.!G320="Т_суг"),1.1,IF(Исходн.данные.!G320="Ср_суг",1,1))</f>
        <v>1</v>
      </c>
      <c r="HM320" s="55">
        <f>IF(OR(Исходн.данные.!G320="Глин",Исходн.данные.!G320="Т_суг"),0.9,IF(Исходн.данные.!G320="Ср_суг",1,1.2))</f>
        <v>1.2</v>
      </c>
      <c r="HN320" s="11" t="e">
        <f t="shared" si="416"/>
        <v>#N/A</v>
      </c>
      <c r="HO320" s="11" t="e">
        <f t="shared" si="417"/>
        <v>#N/A</v>
      </c>
      <c r="HP320" s="11" t="e">
        <f t="shared" si="418"/>
        <v>#N/A</v>
      </c>
      <c r="HQ320" t="e">
        <f t="shared" si="419"/>
        <v>#N/A</v>
      </c>
      <c r="HR320" t="e">
        <f t="shared" si="420"/>
        <v>#N/A</v>
      </c>
      <c r="HS320" t="e">
        <f t="shared" si="421"/>
        <v>#N/A</v>
      </c>
      <c r="HT320" t="e">
        <f t="shared" si="367"/>
        <v>#N/A</v>
      </c>
      <c r="HU320" t="e">
        <f t="shared" si="368"/>
        <v>#N/A</v>
      </c>
      <c r="HV320" t="e">
        <f t="shared" si="369"/>
        <v>#N/A</v>
      </c>
      <c r="HW320" t="e">
        <f t="shared" si="370"/>
        <v>#N/A</v>
      </c>
      <c r="HX320" t="e">
        <f t="shared" si="371"/>
        <v>#N/A</v>
      </c>
      <c r="HY320" t="e">
        <f t="shared" si="372"/>
        <v>#N/A</v>
      </c>
      <c r="HZ320" s="55">
        <f>IF(OR(Исходн.данные.!AI320="Оз_Ч_П",Исходн.данные.!AI320="Оз_З_П",Исходн.данные.!AI320="Яр_зер"),12,30)</f>
        <v>30</v>
      </c>
      <c r="IA320" t="e">
        <f t="shared" si="422"/>
        <v>#N/A</v>
      </c>
      <c r="IB320" t="e">
        <f t="shared" si="423"/>
        <v>#N/A</v>
      </c>
      <c r="IC320" t="e">
        <f t="shared" si="424"/>
        <v>#N/A</v>
      </c>
      <c r="ID320" s="11" t="e">
        <f t="shared" si="425"/>
        <v>#N/A</v>
      </c>
      <c r="IE320" s="11" t="e">
        <f t="shared" si="426"/>
        <v>#N/A</v>
      </c>
      <c r="IF320" s="11" t="e">
        <f t="shared" si="427"/>
        <v>#N/A</v>
      </c>
    </row>
    <row r="321" spans="35:240" x14ac:dyDescent="0.2">
      <c r="AI321">
        <f>IF(Исходн.данные.!I321&gt;6,1,1.85-(0.148*Исходн.данные.!I321))</f>
        <v>1.85</v>
      </c>
      <c r="AJ321">
        <f>IF(Исходн.данные.!I321&gt;6,1,2.434-(0.246*Исходн.данные.!I321))</f>
        <v>2.4340000000000002</v>
      </c>
      <c r="AL321" s="148" t="b">
        <f>IF(Исходн.данные.!$P321="Ум",N_OrgUd_2g_um,IF(Исходн.данные.!$P321="Об",N_OrgUd_2g_ob))</f>
        <v>0</v>
      </c>
      <c r="AM321" s="148" t="b">
        <f>IF(Исходн.данные.!$P321="Ум",P_OrgUd_2g_um,IF(Исходн.данные.!$P321="Об",P_OrgUd_2g_ob))</f>
        <v>0</v>
      </c>
      <c r="AN321" s="148" t="b">
        <f>IF(Исходн.данные.!$P321="Ум",K_OrgUd_2g_um,IF(Исходн.данные.!$P321="Об",K_OrgUd_2g_ob))</f>
        <v>0</v>
      </c>
      <c r="AO321" s="148" t="b">
        <f>IF(Исходн.данные.!$P321="Ум",N_OrgUd_1g_um,IF(Исходн.данные.!$P321="Об",N_OrgUd_1g_ob))</f>
        <v>0</v>
      </c>
      <c r="AP321" s="148" t="b">
        <f>IF(Исходн.данные.!$P321="Ум",P_OrgUd_1g_um,IF(Исходн.данные.!$P321="Об",P_OrgUd_1g_ob))</f>
        <v>0</v>
      </c>
      <c r="AQ321" s="148" t="b">
        <f>IF(Исходн.данные.!$P321="Ум",K_OrgUd_1g_um,IF(Исходн.данные.!$P321="Об",K_OrgUd_1g_ob))</f>
        <v>0</v>
      </c>
      <c r="AR321" t="b">
        <f>IF(Исходн.данные.!$P321="Ум",N_MinUd_2g_um,IF(Исходн.данные.!$P321="Об",N_MinUd_2g_ob))</f>
        <v>0</v>
      </c>
      <c r="AS321" t="b">
        <f>IF(Исходн.данные.!$P321="Ум",P_MinUd_2g_um,IF(Исходн.данные.!$P321="Об",P_MinUd_2g_ob))</f>
        <v>0</v>
      </c>
      <c r="AT321" t="b">
        <f>IF(Исходн.данные.!$P321="Ум",K_MinUd_2g_um,IF(Исходн.данные.!$P321="Об",K_MinUd_2g_ob))</f>
        <v>0</v>
      </c>
      <c r="AU321" t="b">
        <f>IF(Исходн.данные.!$P321="Ум",N_MinUd_1g_um,IF(Исходн.данные.!$P321="Об",N_MinUd_1g_ob))</f>
        <v>0</v>
      </c>
      <c r="AV321" t="b">
        <f>IF(Исходн.данные.!P321="Ум",P_MinUd_1g_um,IF(Исходн.данные.!P321="Об",P_MinUd_1g_ob))</f>
        <v>0</v>
      </c>
      <c r="AW321" t="b">
        <f>IF(Исходн.данные.!P321="Ум",K_MinUd_1g_um,IF(Исходн.данные.!P321="Об",K_MinUd_1g_ob))</f>
        <v>0</v>
      </c>
      <c r="AY321" t="e">
        <f>VLOOKUP(Исходн.данные.!T321,Справ!$A$3:$N$57,12)</f>
        <v>#N/A</v>
      </c>
      <c r="AZ321" t="e">
        <f>VLOOKUP(Исходн.данные.!T321,Справ!$A$3:$N$57,13)</f>
        <v>#N/A</v>
      </c>
      <c r="BA321" t="e">
        <f>VLOOKUP(Исходн.данные.!T321,Справ!$A$3:$N$57,14)</f>
        <v>#N/A</v>
      </c>
      <c r="BB321">
        <f>IF(Исходн.данные.!AH321=0,0,25)</f>
        <v>0</v>
      </c>
      <c r="BC321" s="141">
        <f>IF(Исходн.данные.!AH321=0,0,IF(Исходн.данные.!T321=0,25,BD321))</f>
        <v>0</v>
      </c>
      <c r="BD321" s="168" t="e">
        <f>AY321+AZ321*Исходн.данные.!U321-POWER(BA321,2)*Исходн.данные.!U321</f>
        <v>#N/A</v>
      </c>
      <c r="BE32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1" s="25">
        <f>IF(Исходн.данные.!AH321=0,0,MIN(HN321:HP321))</f>
        <v>0</v>
      </c>
      <c r="BG321" s="9">
        <f>IF(Исходн.данные.!AH321=0,0,IF((HO321+10*0.25/HG321/HL321)&lt;17,17,HO321+10*0.25/HG321/HL321))</f>
        <v>0</v>
      </c>
      <c r="BH321" s="181">
        <f>IF(Исходн.данные.!AH321=0,0,HW321*HF321*HL321/AU321*AI321+Исходн.данные.!S321*10)</f>
        <v>0</v>
      </c>
      <c r="BI321" s="10"/>
      <c r="BJ321" s="182">
        <f>IF(Исходн.данные.!AH321=0,0,IF(HX321*HG321*HL321/AV321&lt;0,0,HX321*HG321*HL321/AV321*AJ321))</f>
        <v>0</v>
      </c>
      <c r="BK321" s="182">
        <f>IF(Исходн.данные.!AH321=0,0,HY321*HH321*HM321/AW321)</f>
        <v>0</v>
      </c>
      <c r="BL321" s="10">
        <f>IF(OR(Исходн.данные.!$AH321=$BP$1,Исходн.данные.!$AH321=$BP$2),0,IF(BH321&lt;0,0,IF(OR(Исходн.данные.!T321=Расчет!$BP$1,Исходн.данные.!T321=Расчет!$BP$2,Исходн.данные.!T321=Расчет!$BT$5,Исходн.данные.!T321=Расчет!$BT$6),BH321*0.5,IF(OR(Исходн.данные.!T321=Расчет!$BS$9,Исходн.данные.!T321=Расчет!$BS$10,Исходн.данные.!T321=Расчет!$BS$11,Исходн.данные.!T321=Расчет!$BS$12,Исходн.данные.!T321=Расчет!$BP$5),BH321*0.8,BH321))))</f>
        <v>0</v>
      </c>
      <c r="BM321" s="10">
        <f>IF(OR(Исходн.данные.!$AH321=$BP$1,Исходн.данные.!$AH321=$BP$2),0,IF(BJ321&lt;0,0,IF(Исходн.данные.!I321&lt;4.5,BJ321*1.2,IF(Исходн.данные.!I321&gt;5.1,BJ321,BJ321*((5.1-Исходн.данные.!I321)*0.333+1)))))</f>
        <v>0</v>
      </c>
      <c r="BN321" s="10">
        <f>IF(OR(Исходн.данные.!$AH321=$BP$1,Исходн.данные.!$AH321=$BP$2),60-Исходн.данные.!AF321,IF(BK321&lt;0,0,IF(Исходн.данные.!I321&lt;4.5,BK321*1.2,IF(Исходн.данные.!I321&gt;5.1,BK321,BK321*((5.1-Исходн.данные.!I321)*0.333+1)))))</f>
        <v>0</v>
      </c>
      <c r="BO321" s="9">
        <f>IF(BL321&lt;0,0,BL321*Исходн.данные.!$AJ321/1000)</f>
        <v>0</v>
      </c>
      <c r="BP321" s="9">
        <f>IF(BM321&lt;0,0,BM321*Исходн.данные.!$AJ321/1000)</f>
        <v>0</v>
      </c>
      <c r="BQ321" s="9">
        <f>IF(BN321&lt;0,0,BN321*Исходн.данные.!$AJ321/1000)</f>
        <v>0</v>
      </c>
      <c r="BR321" s="9">
        <f t="shared" si="377"/>
        <v>0</v>
      </c>
      <c r="BS321" s="10" t="str">
        <f t="shared" si="378"/>
        <v>Аммофос 12:52:00</v>
      </c>
      <c r="BT321" s="10" t="str">
        <f t="shared" si="379"/>
        <v>Аммофос 12:52:00</v>
      </c>
      <c r="BU321" s="10" t="str">
        <f t="shared" si="380"/>
        <v>Диаммофоска</v>
      </c>
      <c r="BV321" s="10">
        <f t="shared" si="381"/>
        <v>0</v>
      </c>
      <c r="BW321" s="10"/>
      <c r="BX321" s="10"/>
      <c r="BY321" s="9">
        <f>IF(BL321&lt;0,0,IF(OR(Исходн.данные.!AI321=Расчет!$BU$6,Исходн.данные.!AI321=Расчет!$BU$7),Расчет!BV321,IF(Исходн.данные.!$AG321=$BV$11,BL321,IF(OR(Исходн.данные.!$AH321=$BQ$7,Исходн.данные.!$AH321=$BQ$8),CB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0,IF(Исходн.данные.!$AI321=$BU$11,"Нет",IF(BL321&gt;30,30,BL321)))))))</f>
        <v>0</v>
      </c>
      <c r="BZ321" s="9">
        <f>IF(AND(Исходн.данные.!$AG321=$BV$11,BM321&lt;10),10,IF(Исходн.данные.!$AG321=$BV$11,BM321,IF(OR(Исходн.данные.!$AH321=$BQ$7,Исходн.данные.!$AH321=$BQ$8),CC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10,IF(Исходн.данные.!$AI321=$BU$11,"Нет",IF(BM321&gt;60,60,IF(BM321&lt;10,10,BM321)))))))</f>
        <v>10</v>
      </c>
      <c r="CA321" s="39">
        <f>IF(BN321&lt;0,0,IF(Исходн.данные.!$AG321=$BV$11,BN321,IF(OR(Исходн.данные.!$AH321=$BQ$7,Исходн.данные.!$AH321=$BQ$8),CD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0,IF(Исходн.данные.!$AI321=$BU$11,"Нет",IF(BN321&gt;30,30,BN321))))))</f>
        <v>0</v>
      </c>
      <c r="CB321" s="9">
        <f t="shared" si="382"/>
        <v>0</v>
      </c>
      <c r="CC321" s="9">
        <f t="shared" si="383"/>
        <v>0</v>
      </c>
      <c r="CD321" s="9">
        <f t="shared" si="384"/>
        <v>0</v>
      </c>
      <c r="CE321" s="12">
        <f t="shared" si="385"/>
        <v>10</v>
      </c>
      <c r="CF321" s="9">
        <f t="shared" si="386"/>
        <v>0</v>
      </c>
      <c r="CG321" s="9" t="s">
        <v>231</v>
      </c>
      <c r="CH321" s="132" t="str">
        <f>IF(Исходн.данные.!AP321=Расчет!$CI$16,"Нет",IF(Исходн.данные.!AL321&gt;0,Исходн.данные.!AL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BH$4,IF(OR(Исходн.данные.!AI321=Исходн.данные.!$AI$6,Исходн.данные.!AI321=Исходн.данные.!$AI$7),Расчет!BS321,IF(AND($CF321=0,$CE321&gt;0),EV321,ER321)))))</f>
        <v>Аммофос 12:52:00</v>
      </c>
      <c r="CI321" s="274">
        <f>IF(Расчет!$CH321="Нет","Нет",IF(Исходн.данные.!$AL321&gt;0,VLOOKUP(Расчет!$CH321,АшламаДВ_Irekle,2,FALSE),VLOOKUP(Расчет!$CH321,АшламаДВ_Gomumy,2,FALSE)))</f>
        <v>0.12</v>
      </c>
      <c r="CJ321" s="274">
        <f>IF(Расчет!$CH321="Нет","Нет",IF(Исходн.данные.!$AL321&gt;0,VLOOKUP(Расчет!$CH321,АшламаДВ_Irekle,3,FALSE),VLOOKUP(Расчет!$CH321,АшламаДВ_Gomumy,3,FALSE)))</f>
        <v>0.52</v>
      </c>
      <c r="CK321" s="274">
        <f>IF(Расчет!$CH321="Нет","Нет",IF(Исходн.данные.!$AL321&gt;0,VLOOKUP(Расчет!$CH321,АшламаДВ_Irekle,4,FALSE),VLOOKUP(Расчет!$CH321,АшламаДВ_Gomumy,4,FALSE)))</f>
        <v>0</v>
      </c>
      <c r="CL321" s="70"/>
      <c r="CM321" s="70"/>
      <c r="CN321" s="70"/>
      <c r="CO321" s="70"/>
      <c r="CP321" s="70"/>
      <c r="CQ321" s="70"/>
      <c r="CR321" s="10">
        <f t="shared" si="387"/>
        <v>0</v>
      </c>
      <c r="CS321" s="10">
        <f t="shared" si="388"/>
        <v>19.23076923076923</v>
      </c>
      <c r="CT321" s="10">
        <f t="shared" si="389"/>
        <v>0</v>
      </c>
      <c r="CU321" s="39">
        <f>IF($CH321="Нет",0,IF(CI321=0,30/MIN(CJ321:CK321),IF(Исходн.данные.!$AG321=$BV$11,CR321,IF(OR(Исходн.данные.!$AH321=$BQ$7,Исходн.данные.!$AH321=$BQ$8),90/CI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0,IF(Исходн.данные.!$AI321=$BU$11,"Нет",30/CI321))))))</f>
        <v>250</v>
      </c>
      <c r="CV321" s="39">
        <f>IF($CH321="Нет",0,IF(Исходн.данные.!AH321=0,0,IF(CJ321=0,60/MIN(CI321,CK321),IF(Исходн.данные.!$AG321=$BV$11,CS321,IF(OR(Исходн.данные.!$AH321=$BQ$7,Исходн.данные.!$AH321=$BQ$8),90/CJ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10/CJ321,IF(Исходн.данные.!$AI321=$BU$11,"Нет",60/CJ321)))))))</f>
        <v>0</v>
      </c>
      <c r="CW321" s="39">
        <f>IF($CH321="Нет",0,IF(Исходн.данные.!AH321=0,0,IF(CK321=0,30/MIN(CI321:CJ321),IF(Исходн.данные.!$AG321=$BV$11,CT321,IF(OR(Исходн.данные.!$AH321=$BQ$7,Исходн.данные.!$AH321=$BQ$8),90/CK321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0,IF(Исходн.данные.!$AI321=$BU$11,"Нет",30/CK321)))))))</f>
        <v>0</v>
      </c>
      <c r="CX321" s="133">
        <f>IF(Исходн.данные.!$AG321=$BV$11,MAX(CU321:CW321),IF(OR(Исходн.данные.!$AH321=$BS$8,Исходн.данные.!$AH321=$BQ$9,Исходн.данные.!$AH321=$BQ$10,Исходн.данные.!$AH321=$BQ$11,Исходн.данные.!$AH321=$BQ$12,Исходн.данные.!$AH321=$BP$3,Исходн.данные.!$AH321=$BT$8,$FM321="Да"),CV321,MIN(CU321:CW321)))</f>
        <v>0</v>
      </c>
      <c r="CY321" s="133">
        <f>IF(Исходн.данные.!AH321=0,0,IF(CR321&gt;$CX321,$CX321,CR321))</f>
        <v>0</v>
      </c>
      <c r="CZ321" s="133">
        <f>IF(Исходн.данные.!AH321=0,0,IF(CS321&gt;$CX321,$CX321,CS321))</f>
        <v>0</v>
      </c>
      <c r="DA321" s="133">
        <f>IF(Исходн.данные.!AH321=0,0,IF(CT321&gt;$CX321,$CX321,CT321))</f>
        <v>0</v>
      </c>
      <c r="DB321" s="10">
        <f t="shared" si="390"/>
        <v>0</v>
      </c>
      <c r="DC321" s="39">
        <f>DB321*Исходн.данные.!AJ321/1000</f>
        <v>0</v>
      </c>
      <c r="DD321" s="71">
        <f t="shared" si="391"/>
        <v>0</v>
      </c>
      <c r="DE321" s="9">
        <f t="shared" si="392"/>
        <v>0</v>
      </c>
      <c r="DF321" s="9">
        <f t="shared" si="393"/>
        <v>0</v>
      </c>
      <c r="DG321" s="39">
        <f>IF(BL321&lt;0,0,IF($CH321="Нет",BL321,IF(OR(Исходн.данные.!$AH321=$BP$1,Исходн.данные.!$AH321=$BP$2),0,IF(Исходн.данные.!AI321=$BU$11,BL321,IF(BL321-DD321&lt;0,0,BL321-DD321)))))</f>
        <v>0</v>
      </c>
      <c r="DH321" s="39">
        <f>IF(BM321&lt;0,0,IF($CH321="Нет",BM321,IF(OR(Исходн.данные.!$AH321=$BP$1,Исходн.данные.!$AH321=$BP$2),0,IF(Исходн.данные.!AJ321=$BU$11,BM321,IF(BM321-DE321&lt;0,0,BM321-DE321)))))</f>
        <v>0</v>
      </c>
      <c r="DI321" s="39">
        <f>IF(BN321&lt;0,0,IF($CH321="Нет",BN321,IF(OR(Исходн.данные.!$AH321=$BP$1,Исходн.данные.!$AH321=$BP$2),0,IF(Исходн.данные.!AK321=$BU$11,BN321,IF(BN321-DF321&lt;0,0,BN321-DF321)))))</f>
        <v>0</v>
      </c>
      <c r="DJ321" s="12">
        <f t="shared" si="394"/>
        <v>0</v>
      </c>
      <c r="DK321" s="9">
        <f t="shared" si="395"/>
        <v>0</v>
      </c>
      <c r="DL321" s="39">
        <f>IF(Исходн.данные.!AM321&gt;0,Исходн.данные.!AM321,IF(EG321&gt;0,$BH$10,0))</f>
        <v>0</v>
      </c>
      <c r="DM321" s="186">
        <f>IF($DL321=0,0,IF(Исходн.данные.!AM321&gt;0,VLOOKUP($DL321,АшламаДВ_Irekle,2,FALSE),VLOOKUP($DL321,АшламаДВ_Gomumy,2,FALSE)))</f>
        <v>0</v>
      </c>
      <c r="DN321" s="10">
        <f t="shared" si="373"/>
        <v>0</v>
      </c>
      <c r="DO321" s="9" t="str">
        <f>IF(Исходн.данные.!AN321&gt;0,Исходн.данные.!AN321,Удобрения!$B$37 )</f>
        <v>Хлор.калий</v>
      </c>
      <c r="DP321" s="9">
        <f>IF(Исходн.данные.!AN321&gt;0,VLOOKUP(Исходн.данные.!AN321,АшламаДВ_Irekle,4,FALSE),VLOOKUP(DO321,АшламаДВ_Gomumy,4,FALSE))</f>
        <v>0.6</v>
      </c>
      <c r="DQ321" s="10">
        <f t="shared" si="374"/>
        <v>0</v>
      </c>
      <c r="DR321" s="132" t="str">
        <f>IF(Исходн.данные.!AO321&gt;0,Исходн.данные.!AO321,IF(DH321=0,BS$17,IF(AND($DK321=0,$DJ321&gt;0),EJ321,EN321)))</f>
        <v>Нет</v>
      </c>
      <c r="DS321" s="70" t="str">
        <f>IF($DR321="Нет","Нет",IF(Исходн.данные.!$AO321&gt;0,VLOOKUP($DR321,АшламаДВ_Irekle,2,FALSE),VLOOKUP($DR321,АшламаДВ_Gomumy,2,FALSE)))</f>
        <v>Нет</v>
      </c>
      <c r="DT321" s="70" t="str">
        <f>IF($DR321="Нет","Нет",IF(Исходн.данные.!$AO321&gt;0,VLOOKUP($DR321,АшламаДВ_Irekle,3,FALSE),VLOOKUP($DR321,АшламаДВ_Gomumy,3,FALSE)))</f>
        <v>Нет</v>
      </c>
      <c r="DU321" s="70" t="str">
        <f>IF($DR321="Нет","Нет",IF(Исходн.данные.!$AO321&gt;0,VLOOKUP($DR321,АшламаДВ_Irekle,4,FALSE),VLOOKUP($DR321,АшламаДВ_Gomumy,4,FALSE)))</f>
        <v>Нет</v>
      </c>
      <c r="DV321" s="70"/>
      <c r="DW321" s="70"/>
      <c r="DX321" s="70"/>
      <c r="DY321" s="10">
        <f t="shared" si="396"/>
        <v>0</v>
      </c>
      <c r="DZ321" s="10">
        <f t="shared" si="397"/>
        <v>0</v>
      </c>
      <c r="EA321" s="10">
        <f t="shared" si="398"/>
        <v>0</v>
      </c>
      <c r="EB321" s="10">
        <f t="shared" si="399"/>
        <v>0</v>
      </c>
      <c r="EC321" s="10">
        <f t="shared" si="400"/>
        <v>0</v>
      </c>
      <c r="ED321" s="10">
        <f t="shared" si="401"/>
        <v>0</v>
      </c>
      <c r="EE321" s="10">
        <f t="shared" si="402"/>
        <v>0</v>
      </c>
      <c r="EF321" s="39">
        <f>EB321*Исходн.данные.!AJ321/1000</f>
        <v>0</v>
      </c>
      <c r="EG321" s="9">
        <f t="shared" si="403"/>
        <v>0</v>
      </c>
      <c r="EH321" s="9">
        <f t="shared" si="404"/>
        <v>0</v>
      </c>
      <c r="EI321" s="39" t="e">
        <f t="shared" si="354"/>
        <v>#DIV/0!</v>
      </c>
      <c r="EJ321" s="9" t="str">
        <f t="shared" si="375"/>
        <v>Азопреципитат</v>
      </c>
      <c r="EK321" s="12">
        <f t="shared" si="355"/>
        <v>0.26</v>
      </c>
      <c r="EL321" s="12">
        <f t="shared" si="356"/>
        <v>0.13</v>
      </c>
      <c r="EM321" s="12">
        <f t="shared" si="357"/>
        <v>0</v>
      </c>
      <c r="EN321" s="12" t="str">
        <f t="shared" si="376"/>
        <v>Нет</v>
      </c>
      <c r="EO321" s="12">
        <f t="shared" si="358"/>
        <v>0</v>
      </c>
      <c r="EP321" s="12">
        <f t="shared" si="359"/>
        <v>0</v>
      </c>
      <c r="EQ321" s="12">
        <f t="shared" si="360"/>
        <v>0</v>
      </c>
      <c r="ER321" s="12" t="str">
        <f t="shared" si="405"/>
        <v>Диаммофоска</v>
      </c>
      <c r="ES321" s="12">
        <f t="shared" si="361"/>
        <v>0.1</v>
      </c>
      <c r="ET321" s="12">
        <f t="shared" si="362"/>
        <v>0.26</v>
      </c>
      <c r="EU321" s="12">
        <f t="shared" si="363"/>
        <v>0.26</v>
      </c>
      <c r="EV321" s="12" t="str">
        <f t="shared" si="406"/>
        <v>Аммофос 12:52:00</v>
      </c>
      <c r="EW321" s="12" t="str">
        <f t="shared" si="407"/>
        <v>Кемира Свекловичное-6</v>
      </c>
      <c r="EX321" s="12">
        <f t="shared" si="364"/>
        <v>0.16</v>
      </c>
      <c r="EY321" s="12">
        <f t="shared" si="365"/>
        <v>0.12</v>
      </c>
      <c r="EZ321" s="12">
        <f t="shared" si="366"/>
        <v>0.17</v>
      </c>
      <c r="FA321" s="38" t="e">
        <f>IF(AND(OR(FJ321=$FD$1,FM321=$FD$1,FO321=$FD$1,FQ321=$FD$1,FS321=$FD$1),FD321=$FD$1,Исходн.данные.!J321&lt;2,FU321=$FD$1),"Бор,Кобальт",IF(AND(FO321=$FD$1,FH321=$FD$1,Исходн.данные.!J321&lt;2,FU321=$FD$1),"Бор,Кобальт",IF(AND(OR(FJ321=$FD$1,FM321=$FD$1,FQ321=$FD$1),FE321=$FD$1,Исходн.данные.!J321&lt;2,FT321=$FD$1,FU321=$FD$1),"Бор,Медь,Цинк",IF(AND(OR(FJ321=$FD$1,FR321="Да"),FI321="Да",Исходн.данные.!J321&lt;2,FT321="Да",FU321="Да"),"Бор,Цинк,Медь",IF(AND(OR(FM321="Да",FQ321="Да"),FI321="Да",Исходн.данные.!J321&lt;2,FT321="Да",FU321="Да"),"Бор,Цинк",IF(AND(FN321="Да",OR(FD321="Да",FE321="Да")),"Бор",FB321))))))</f>
        <v>#N/A</v>
      </c>
      <c r="FB321" s="134" t="e">
        <f>IF(AND(OR(FD321="Да",FE321="Да",FF321="Да",FG321="Да",FH321="Да"),FO321="Да"),"Бор",IF(AND(FP321="Да",OR(FD321="Да",FE321="Да",FI321="Да")),"Бор",IF(AND(FS321="Да",FE321="Да"),"Бор,Медь",IF(AND(OR(FJ321="Да",FK321="Да",FL321="Да"),FE321="Да",Исходн.данные.!I321&lt;5,FT321="Да",FU321="Да"),"Молибден,Цинк",IF(AND(FM321="Да",OR(FE321="Да",FF321="Да",FG321="Да",FH321="Да",FI321="Да")),"Молибден,Цинк",IF(AND(OR(FJ321="Да",FK321="Да",FL321="Да",FM321="Да",FQ321="Да"),OR(FE321="Да",FF321="Да"),FT321="Да",FU321="Да",Исходн.данные.!I321&gt;5.5),"Медь,Цинк",FC321))))))</f>
        <v>#N/A</v>
      </c>
      <c r="FC321" s="23" t="e">
        <f t="shared" si="408"/>
        <v>#N/A</v>
      </c>
      <c r="FD321" s="38" t="str">
        <f>IF(OR(Исходн.данные.!F321=$CC$1,Исходн.данные.!F321=$CC$2,Исходн.данные.!F321=$CC$3,Исходн.данные.!F321=$CC$4),"Да","Нет")</f>
        <v>Нет</v>
      </c>
      <c r="FE321" s="38" t="str">
        <f>IF(Исходн.данные.!F321=$CC$5,"Да","Нет")</f>
        <v>Нет</v>
      </c>
      <c r="FF321" s="38" t="str">
        <f>IF(OR(Исходн.данные.!F321=$CC$6,Исходн.данные.!F321=$CC$7),"Да","Нет")</f>
        <v>Нет</v>
      </c>
      <c r="FG321" s="38" t="str">
        <f>IF(OR(Исходн.данные.!F321=$CC$8,Исходн.данные.!F321=$CC$9),"Да","Нет")</f>
        <v>Нет</v>
      </c>
      <c r="FH321" s="38" t="str">
        <f>IF(Исходн.данные.!F321=$CC$10,"Да","Нет")</f>
        <v>Нет</v>
      </c>
      <c r="FI321" s="38" t="str">
        <f>IF(OR(Исходн.данные.!F321=$CC$11,Исходн.данные.!F321=$CC$12),"Да","Нет")</f>
        <v>Нет</v>
      </c>
      <c r="FJ321" s="38" t="str">
        <f>IF(OR(Исходн.данные.!AH321=$BS$1,Исходн.данные.!AH321=$BQ$11,Исходн.данные.!AH321=$BQ$12),"Да","Нет")</f>
        <v>Нет</v>
      </c>
      <c r="FK321" s="38" t="str">
        <f>IF(OR(Исходн.данные.!AH321=$BS$2,Исходн.данные.!AH321=$BS$4),"Да","Нет")</f>
        <v>Нет</v>
      </c>
      <c r="FL321" s="38" t="str">
        <f>IF(OR(Исходн.данные.!AH321=$BS$3,Исходн.данные.!AH321=$BS$5),"Да","Нет")</f>
        <v>Нет</v>
      </c>
      <c r="FM321" s="38" t="str">
        <f>IF(OR(Исходн.данные.!AH321=$BS$9,Исходн.данные.!AH321=$BS$10,Исходн.данные.!AH321=$BS$11,Исходн.данные.!AH321=$BS$12),"Да","Нет")</f>
        <v>Нет</v>
      </c>
      <c r="FN321" s="38" t="str">
        <f>IF(OR(Исходн.данные.!AH321=$BS$6,Исходн.данные.!AH321=$BP$3),"Да","Нет")</f>
        <v>Нет</v>
      </c>
      <c r="FO321" s="38" t="str">
        <f>IF(Исходн.данные.!AH321=$BQ$9,"Да","Нет")</f>
        <v>Нет</v>
      </c>
      <c r="FP321" s="38" t="str">
        <f>IF(OR(Исходн.данные.!AH321=$BS$8,Исходн.данные.!AH321=$BT$8),"Да","Нет")</f>
        <v>Нет</v>
      </c>
      <c r="FQ321" s="38" t="str">
        <f>IF(OR(Исходн.данные.!AH321=$BQ$7,Исходн.данные.!AH321=$BQ$8),"Да","Нет")</f>
        <v>Нет</v>
      </c>
      <c r="FR321" s="38" t="str">
        <f>IF(Исходн.данные.!AI321=$BU$9,"Да","Нет")</f>
        <v>Нет</v>
      </c>
      <c r="FS321" s="38" t="str">
        <f>IF(OR(Исходн.данные.!AH321=$BP$1,Исходн.данные.!AH321=$BP$2),"Да","Нет")</f>
        <v>Нет</v>
      </c>
      <c r="FT321" s="38" t="e">
        <f>IF((Исходн.данные.!K321*GO321*GS321*GW321+BL321*0.6+Исходн.данные.!Q321*4.5*0.275)&gt;90,"Да","Нет")</f>
        <v>#N/A</v>
      </c>
      <c r="FU321" s="38" t="e">
        <f>IF((Исходн.данные.!M321*GS321*GZ321+BM321*0.225)&gt;35,"Да","Нет")</f>
        <v>#N/A</v>
      </c>
      <c r="FV321" s="38" t="str">
        <f>IF(Исходн.данные.!O321&gt;175,"Да","Нет")</f>
        <v>Нет</v>
      </c>
      <c r="FW321" s="39" t="str">
        <f>IF(Исходн.данные.!I321&gt;5.5,"Да","Нет")</f>
        <v>Нет</v>
      </c>
      <c r="FX321" s="39" t="str">
        <f>IF(Исходн.данные.!J321&lt;2,"Да","Нет")</f>
        <v>Да</v>
      </c>
      <c r="FY321" s="39" t="e">
        <f>IF(HF321=$FY$16,0,Исходн.данные.!K321*GO321*GS321*GW321/HF321)</f>
        <v>#N/A</v>
      </c>
      <c r="FZ321" s="39" t="e">
        <f>Исходн.данные.!M321*GS321*GZ321/HG321</f>
        <v>#N/A</v>
      </c>
      <c r="GA321" s="39" t="e">
        <f>IF(K_Wyn=$FY$16,0,IF(Исходн.данные.!N321=Исходн.данные.!$L$10,Исходн.данные.!O321/1.1*GS321*HC321/HH321,IF(Исходн.данные.!N321=Исходн.данные.!$L$12,Исходн.данные.!O321/1.5*GS321*HC321/HH321,Исходн.данные.!O321*GS321*HC321/HH321)))</f>
        <v>#N/A</v>
      </c>
      <c r="GB321" s="39" t="e">
        <f>IF(HF321=$FY$16,0,((Исходн.данные.!Q321*N_Org+Исходн.данные.!R321*N_Sider+Исходн.данные.!S321*N_Soloma)*AO321+Расчет!BC321*VLOOKUP(Исходн.данные.!T321,Справ!$A$3:$O$57,15)*AO321+BB321*VLOOKUP(Исходн.данные.!T321,Справ!$A$3:$O$57,15)*AL321+(Исходн.данные.!V321*N_Rizotorf+Исходн.данные.!W321*N_Rizoagr))/HF321)</f>
        <v>#N/A</v>
      </c>
      <c r="GC321" s="39" t="e">
        <f>IF(HG321=$FY$16,0,((Исходн.данные.!Q321*Р_Org+Исходн.данные.!R321*P_Sider+Исходн.данные.!S321*P_Soloma)*AP321+Расчет!BC321*VLOOKUP(Исходн.данные.!T321,Справ!$A$3:$P$57,16)*AP321+BB321*VLOOKUP(Исходн.данные.!T321,Справ!$A$3:$P$57,16)*AM321)/HG321)</f>
        <v>#N/A</v>
      </c>
      <c r="GD321" s="39" t="e">
        <f>IF(HH321=$FY$16,0,((Исходн.данные.!Q321*К_Org+Исходн.данные.!R321*K_Sider+Исходн.данные.!S321*K_Soloma)*AQ321+Расчет!BC321*VLOOKUP(Исходн.данные.!T321,Справ!$A$3:$Q$57,17)*AQ321+BB321*VLOOKUP(Исходн.данные.!T321,Справ!$A$3:$Q$57,17)*AN321)/HH321)</f>
        <v>#N/A</v>
      </c>
      <c r="GE321" s="39" t="e">
        <f>IF(HF321=$FY$16,0,(Исходн.данные.!X321*AR321+Исходн.данные.!AA321*N_Org*AL321+Исходн.данные.!AB321*N_Sider*AL321+Исходн.данные.!AC321*N_Soloma*AL321)/HF321)</f>
        <v>#N/A</v>
      </c>
      <c r="GF321" s="39" t="e">
        <f>IF(HG321=$FY$16,0,(Исходн.данные.!Y321*AS321+Исходн.данные.!AA321*Р_Org*AM321+Исходн.данные.!AB321*P_Sider*AM321+Исходн.данные.!AC321*P_Soloma*AM321)/HG321)</f>
        <v>#N/A</v>
      </c>
      <c r="GG321" s="39" t="e">
        <f>IF(HH321=$FY$16,0,(Исходн.данные.!Z321*AT321+Исходн.данные.!AA321*К_Org*AN321+Исходн.данные.!AB321*K_Sider*AN321+Исходн.данные.!AC321*K_Soloma*AN321)/HH321)</f>
        <v>#N/A</v>
      </c>
      <c r="GH321" s="39" t="e">
        <f>Исходн.данные.!AD321*AU321/HF321</f>
        <v>#N/A</v>
      </c>
      <c r="GI321" s="39" t="e">
        <f>Исходн.данные.!AE321*AV321/HG321</f>
        <v>#N/A</v>
      </c>
      <c r="GJ321" s="39" t="e">
        <f>Исходн.данные.!AF321*AW321/HH321</f>
        <v>#N/A</v>
      </c>
      <c r="GK321" s="55">
        <f>Исходн.данные.!AK321</f>
        <v>0</v>
      </c>
      <c r="GL321" s="11" t="e">
        <f t="shared" si="409"/>
        <v>#N/A</v>
      </c>
      <c r="GM321" s="11" t="e">
        <f t="shared" si="410"/>
        <v>#N/A</v>
      </c>
      <c r="GN321" s="11" t="e">
        <f t="shared" si="411"/>
        <v>#N/A</v>
      </c>
      <c r="GO321" s="57">
        <f t="shared" si="412"/>
        <v>19</v>
      </c>
      <c r="GP321" s="55">
        <f>IF(OR(Исходн.данные.!F321=$CE$1,Исходн.данные.!F321=$CE$2,Исходн.данные.!F321=$CE$3,Исходн.данные.!F321=$CE$4,Исходн.данные.!F321=$CE$5),GQ321,GR321)</f>
        <v>19</v>
      </c>
      <c r="GQ321" s="55">
        <f>IF(Исходн.данные.!F321=$CE$1,28,IF(Исходн.данные.!F321=$CE$2,26,IF(Исходн.данные.!F321=$CE$3,24,IF(Исходн.данные.!F321=$CE$4,22,IF(Исходн.данные.!F321=$CE$5,20,GR321)))))</f>
        <v>19</v>
      </c>
      <c r="GR321" s="55">
        <f>IF(Исходн.данные.!F321=$CE$6,18,IF(Исходн.данные.!F321=$CE$7,16,IF(Исходн.данные.!F321=$CE$8,14,IF(Исходн.данные.!F321=$CE$9,13,IF(Исходн.данные.!F321=$CE$10,12,19)))))</f>
        <v>19</v>
      </c>
      <c r="GS321" s="55">
        <f>IF(Исходн.данные.!G321="Пес",0.035*(40+2*Исходн.данные.!H321),IF(Исходн.данные.!G321="Суп",0.0325*(40+2*Исходн.данные.!H321),0.03*(40+2*Исходн.данные.!H321)))</f>
        <v>1.2</v>
      </c>
      <c r="GT321" s="55">
        <f>IF(Исходн.данные.!H321&lt;23,2.6,IF(AND(Исходн.данные.!H321&gt;22,Исходн.данные.!H321&lt;26),3,IF(AND(Исходн.данные.!H321&gt;25,Исходн.данные.!H321&lt;29),3.4,3.6)))</f>
        <v>2.6</v>
      </c>
      <c r="GU321" s="55">
        <f>IF(Исходн.данные.!H321&lt;23,2.8,IF(AND(Исходн.данные.!H321&gt;22,Исходн.данные.!H321&lt;26),3.2,IF(AND(Исходн.данные.!H321&gt;25,Исходн.данные.!H321&lt;29),3.6,3.9)))</f>
        <v>2.8</v>
      </c>
      <c r="GV321" s="55">
        <f>IF(Исходн.данные.!H321&lt;23,3,IF(AND(Исходн.данные.!H321&gt;22,Исходн.данные.!H321&lt;26),3.5,IF(AND(Исходн.данные.!H321&gt;25,Исходн.данные.!H321&lt;29),3.9,4.2)))</f>
        <v>3</v>
      </c>
      <c r="GW321" s="55" t="e">
        <f>IF(Исходн.данные.!P321="Ум",GX321,GY321)</f>
        <v>#N/A</v>
      </c>
      <c r="GX321" s="55" t="e">
        <f>VLOOKUP(Исходн.данные.!AI321,Коэффициенты!$J$7:$L$13,2,FALSE)</f>
        <v>#N/A</v>
      </c>
      <c r="GY321" s="55" t="e">
        <f>VLOOKUP(Исходн.данные.!AI321,Коэффициенты!$J$7:$L$13,3,FALSE)</f>
        <v>#N/A</v>
      </c>
      <c r="GZ321" s="55" t="e">
        <f>(IF(Исходн.данные.!M321&lt;50,0.11*VLOOKUP(Исходн.данные.!AH321,Культуры.Информация,7,FALSE),IF(Исходн.данные.!M321&gt;250,0.05*VLOOKUP(Исходн.данные.!AH321,Культуры.Информация,7,FALSE),VLOOKUP(Исходн.данные.!AH321,Культуры.Информация,5,FALSE)/100*($GX$6+$GY$6*Исходн.данные.!M321))))*Расчет2!AI321</f>
        <v>#N/A</v>
      </c>
      <c r="HA321" s="211"/>
      <c r="HB321" s="211"/>
      <c r="HC321" s="55" t="e">
        <f>(IF(Исходн.данные.!O321&lt;80,0.2*VLOOKUP(Исходн.данные.!AH321,Культуры.Информация,8,FALSE),IF(Исходн.данные.!O321&gt;240,0.09*VLOOKUP(Исходн.данные.!AH321,Культуры.Информация,8,FALSE),VLOOKUP(Исходн.данные.!AH321,Культуры.Информация,6,FALSE)/100*($HB$6+$HC$6*Исходн.данные.!O321))))*Расчет2!AJ321</f>
        <v>#N/A</v>
      </c>
      <c r="HD321" s="55">
        <f>IF(Исходн.данные.!O321&gt;240,0.09,IF(Исходн.данные.!O321&lt;30,0.3,$HE$10+$HD$10*Исходн.данные.!O321))</f>
        <v>0.3</v>
      </c>
      <c r="HE321" s="55">
        <f>IF(Исходн.данные.!O321&gt;240,0.17,IF(Исходн.данные.!O321&lt;30,0.5,$HF$12+$HE$12*Исходн.данные.!O321))</f>
        <v>0.5</v>
      </c>
      <c r="HF321" s="55" t="e">
        <f>VLOOKUP(Исходн.данные.!AH321,Справ!$A$3:$D$58,2,FALSE)</f>
        <v>#N/A</v>
      </c>
      <c r="HG321" s="55" t="e">
        <f>VLOOKUP(Исходн.данные.!AH321,Справ!$A$3:$D$58,3,FALSE)</f>
        <v>#N/A</v>
      </c>
      <c r="HH321" s="55" t="e">
        <f>VLOOKUP(Исходн.данные.!AH321,Справ!$A$3:$D$58,4,FALSE)</f>
        <v>#N/A</v>
      </c>
      <c r="HI321" s="11" t="e">
        <f t="shared" si="413"/>
        <v>#N/A</v>
      </c>
      <c r="HJ321" s="11" t="e">
        <f t="shared" si="414"/>
        <v>#N/A</v>
      </c>
      <c r="HK321" s="11" t="e">
        <f t="shared" si="415"/>
        <v>#N/A</v>
      </c>
      <c r="HL321" s="55">
        <f>IF(OR(Исходн.данные.!G321="Глин",Исходн.данные.!G321="Т_суг"),1.1,IF(Исходн.данные.!G321="Ср_суг",1,1))</f>
        <v>1</v>
      </c>
      <c r="HM321" s="55">
        <f>IF(OR(Исходн.данные.!G321="Глин",Исходн.данные.!G321="Т_суг"),0.9,IF(Исходн.данные.!G321="Ср_суг",1,1.2))</f>
        <v>1.2</v>
      </c>
      <c r="HN321" s="11" t="e">
        <f t="shared" si="416"/>
        <v>#N/A</v>
      </c>
      <c r="HO321" s="11" t="e">
        <f t="shared" si="417"/>
        <v>#N/A</v>
      </c>
      <c r="HP321" s="11" t="e">
        <f t="shared" si="418"/>
        <v>#N/A</v>
      </c>
      <c r="HQ321" t="e">
        <f t="shared" si="419"/>
        <v>#N/A</v>
      </c>
      <c r="HR321" t="e">
        <f t="shared" si="420"/>
        <v>#N/A</v>
      </c>
      <c r="HS321" t="e">
        <f t="shared" si="421"/>
        <v>#N/A</v>
      </c>
      <c r="HT321" t="e">
        <f t="shared" si="367"/>
        <v>#N/A</v>
      </c>
      <c r="HU321" t="e">
        <f t="shared" si="368"/>
        <v>#N/A</v>
      </c>
      <c r="HV321" t="e">
        <f t="shared" si="369"/>
        <v>#N/A</v>
      </c>
      <c r="HW321" t="e">
        <f t="shared" si="370"/>
        <v>#N/A</v>
      </c>
      <c r="HX321" t="e">
        <f t="shared" si="371"/>
        <v>#N/A</v>
      </c>
      <c r="HY321" t="e">
        <f t="shared" si="372"/>
        <v>#N/A</v>
      </c>
      <c r="HZ321" s="55">
        <f>IF(OR(Исходн.данные.!AI321="Оз_Ч_П",Исходн.данные.!AI321="Оз_З_П",Исходн.данные.!AI321="Яр_зер"),12,30)</f>
        <v>30</v>
      </c>
      <c r="IA321" t="e">
        <f t="shared" si="422"/>
        <v>#N/A</v>
      </c>
      <c r="IB321" t="e">
        <f t="shared" si="423"/>
        <v>#N/A</v>
      </c>
      <c r="IC321" t="e">
        <f t="shared" si="424"/>
        <v>#N/A</v>
      </c>
      <c r="ID321" s="11" t="e">
        <f t="shared" si="425"/>
        <v>#N/A</v>
      </c>
      <c r="IE321" s="11" t="e">
        <f t="shared" si="426"/>
        <v>#N/A</v>
      </c>
      <c r="IF321" s="11" t="e">
        <f t="shared" si="427"/>
        <v>#N/A</v>
      </c>
    </row>
    <row r="322" spans="35:240" x14ac:dyDescent="0.2">
      <c r="AI322">
        <f>IF(Исходн.данные.!I322&gt;6,1,1.85-(0.148*Исходн.данные.!I322))</f>
        <v>1.85</v>
      </c>
      <c r="AJ322">
        <f>IF(Исходн.данные.!I322&gt;6,1,2.434-(0.246*Исходн.данные.!I322))</f>
        <v>2.4340000000000002</v>
      </c>
      <c r="AL322" s="148" t="b">
        <f>IF(Исходн.данные.!$P322="Ум",N_OrgUd_2g_um,IF(Исходн.данные.!$P322="Об",N_OrgUd_2g_ob))</f>
        <v>0</v>
      </c>
      <c r="AM322" s="148" t="b">
        <f>IF(Исходн.данные.!$P322="Ум",P_OrgUd_2g_um,IF(Исходн.данные.!$P322="Об",P_OrgUd_2g_ob))</f>
        <v>0</v>
      </c>
      <c r="AN322" s="148" t="b">
        <f>IF(Исходн.данные.!$P322="Ум",K_OrgUd_2g_um,IF(Исходн.данные.!$P322="Об",K_OrgUd_2g_ob))</f>
        <v>0</v>
      </c>
      <c r="AO322" s="148" t="b">
        <f>IF(Исходн.данные.!$P322="Ум",N_OrgUd_1g_um,IF(Исходн.данные.!$P322="Об",N_OrgUd_1g_ob))</f>
        <v>0</v>
      </c>
      <c r="AP322" s="148" t="b">
        <f>IF(Исходн.данные.!$P322="Ум",P_OrgUd_1g_um,IF(Исходн.данные.!$P322="Об",P_OrgUd_1g_ob))</f>
        <v>0</v>
      </c>
      <c r="AQ322" s="148" t="b">
        <f>IF(Исходн.данные.!$P322="Ум",K_OrgUd_1g_um,IF(Исходн.данные.!$P322="Об",K_OrgUd_1g_ob))</f>
        <v>0</v>
      </c>
      <c r="AR322" t="b">
        <f>IF(Исходн.данные.!$P322="Ум",N_MinUd_2g_um,IF(Исходн.данные.!$P322="Об",N_MinUd_2g_ob))</f>
        <v>0</v>
      </c>
      <c r="AS322" t="b">
        <f>IF(Исходн.данные.!$P322="Ум",P_MinUd_2g_um,IF(Исходн.данные.!$P322="Об",P_MinUd_2g_ob))</f>
        <v>0</v>
      </c>
      <c r="AT322" t="b">
        <f>IF(Исходн.данные.!$P322="Ум",K_MinUd_2g_um,IF(Исходн.данные.!$P322="Об",K_MinUd_2g_ob))</f>
        <v>0</v>
      </c>
      <c r="AU322" t="b">
        <f>IF(Исходн.данные.!$P322="Ум",N_MinUd_1g_um,IF(Исходн.данные.!$P322="Об",N_MinUd_1g_ob))</f>
        <v>0</v>
      </c>
      <c r="AV322" t="b">
        <f>IF(Исходн.данные.!P322="Ум",P_MinUd_1g_um,IF(Исходн.данные.!P322="Об",P_MinUd_1g_ob))</f>
        <v>0</v>
      </c>
      <c r="AW322" t="b">
        <f>IF(Исходн.данные.!P322="Ум",K_MinUd_1g_um,IF(Исходн.данные.!P322="Об",K_MinUd_1g_ob))</f>
        <v>0</v>
      </c>
      <c r="AY322" t="e">
        <f>VLOOKUP(Исходн.данные.!T322,Справ!$A$3:$N$57,12)</f>
        <v>#N/A</v>
      </c>
      <c r="AZ322" t="e">
        <f>VLOOKUP(Исходн.данные.!T322,Справ!$A$3:$N$57,13)</f>
        <v>#N/A</v>
      </c>
      <c r="BA322" t="e">
        <f>VLOOKUP(Исходн.данные.!T322,Справ!$A$3:$N$57,14)</f>
        <v>#N/A</v>
      </c>
      <c r="BB322">
        <f>IF(Исходн.данные.!AH322=0,0,25)</f>
        <v>0</v>
      </c>
      <c r="BC322" s="141">
        <f>IF(Исходн.данные.!AH322=0,0,IF(Исходн.данные.!T322=0,25,BD322))</f>
        <v>0</v>
      </c>
      <c r="BD322" s="168" t="e">
        <f>AY322+AZ322*Исходн.данные.!U322-POWER(BA322,2)*Исходн.данные.!U322</f>
        <v>#N/A</v>
      </c>
      <c r="BE32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2" s="25">
        <f>IF(Исходн.данные.!AH322=0,0,MIN(HN322:HP322))</f>
        <v>0</v>
      </c>
      <c r="BG322" s="9">
        <f>IF(Исходн.данные.!AH322=0,0,IF((HO322+10*0.25/HG322/HL322)&lt;17,17,HO322+10*0.25/HG322/HL322))</f>
        <v>0</v>
      </c>
      <c r="BH322" s="181">
        <f>IF(Исходн.данные.!AH322=0,0,HW322*HF322*HL322/AU322*AI322+Исходн.данные.!S322*10)</f>
        <v>0</v>
      </c>
      <c r="BI322" s="10"/>
      <c r="BJ322" s="182">
        <f>IF(Исходн.данные.!AH322=0,0,IF(HX322*HG322*HL322/AV322&lt;0,0,HX322*HG322*HL322/AV322*AJ322))</f>
        <v>0</v>
      </c>
      <c r="BK322" s="182">
        <f>IF(Исходн.данные.!AH322=0,0,HY322*HH322*HM322/AW322)</f>
        <v>0</v>
      </c>
      <c r="BL322" s="10">
        <f>IF(OR(Исходн.данные.!$AH322=$BP$1,Исходн.данные.!$AH322=$BP$2),0,IF(BH322&lt;0,0,IF(OR(Исходн.данные.!T322=Расчет!$BP$1,Исходн.данные.!T322=Расчет!$BP$2,Исходн.данные.!T322=Расчет!$BT$5,Исходн.данные.!T322=Расчет!$BT$6),BH322*0.5,IF(OR(Исходн.данные.!T322=Расчет!$BS$9,Исходн.данные.!T322=Расчет!$BS$10,Исходн.данные.!T322=Расчет!$BS$11,Исходн.данные.!T322=Расчет!$BS$12,Исходн.данные.!T322=Расчет!$BP$5),BH322*0.8,BH322))))</f>
        <v>0</v>
      </c>
      <c r="BM322" s="10">
        <f>IF(OR(Исходн.данные.!$AH322=$BP$1,Исходн.данные.!$AH322=$BP$2),0,IF(BJ322&lt;0,0,IF(Исходн.данные.!I322&lt;4.5,BJ322*1.2,IF(Исходн.данные.!I322&gt;5.1,BJ322,BJ322*((5.1-Исходн.данные.!I322)*0.333+1)))))</f>
        <v>0</v>
      </c>
      <c r="BN322" s="10">
        <f>IF(OR(Исходн.данные.!$AH322=$BP$1,Исходн.данные.!$AH322=$BP$2),60-Исходн.данные.!AF322,IF(BK322&lt;0,0,IF(Исходн.данные.!I322&lt;4.5,BK322*1.2,IF(Исходн.данные.!I322&gt;5.1,BK322,BK322*((5.1-Исходн.данные.!I322)*0.333+1)))))</f>
        <v>0</v>
      </c>
      <c r="BO322" s="9">
        <f>IF(BL322&lt;0,0,BL322*Исходн.данные.!$AJ322/1000)</f>
        <v>0</v>
      </c>
      <c r="BP322" s="9">
        <f>IF(BM322&lt;0,0,BM322*Исходн.данные.!$AJ322/1000)</f>
        <v>0</v>
      </c>
      <c r="BQ322" s="9">
        <f>IF(BN322&lt;0,0,BN322*Исходн.данные.!$AJ322/1000)</f>
        <v>0</v>
      </c>
      <c r="BR322" s="9">
        <f t="shared" si="377"/>
        <v>0</v>
      </c>
      <c r="BS322" s="10" t="str">
        <f t="shared" si="378"/>
        <v>Аммофос 12:52:00</v>
      </c>
      <c r="BT322" s="10" t="str">
        <f t="shared" si="379"/>
        <v>Аммофос 12:52:00</v>
      </c>
      <c r="BU322" s="10" t="str">
        <f t="shared" si="380"/>
        <v>Диаммофоска</v>
      </c>
      <c r="BV322" s="10">
        <f t="shared" si="381"/>
        <v>0</v>
      </c>
      <c r="BW322" s="10"/>
      <c r="BX322" s="10"/>
      <c r="BY322" s="9">
        <f>IF(BL322&lt;0,0,IF(OR(Исходн.данные.!AI322=Расчет!$BU$6,Исходн.данные.!AI322=Расчет!$BU$7),Расчет!BV322,IF(Исходн.данные.!$AG322=$BV$11,BL322,IF(OR(Исходн.данные.!$AH322=$BQ$7,Исходн.данные.!$AH322=$BQ$8),CB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0,IF(Исходн.данные.!$AI322=$BU$11,"Нет",IF(BL322&gt;30,30,BL322)))))))</f>
        <v>0</v>
      </c>
      <c r="BZ322" s="9">
        <f>IF(AND(Исходн.данные.!$AG322=$BV$11,BM322&lt;10),10,IF(Исходн.данные.!$AG322=$BV$11,BM322,IF(OR(Исходн.данные.!$AH322=$BQ$7,Исходн.данные.!$AH322=$BQ$8),CC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10,IF(Исходн.данные.!$AI322=$BU$11,"Нет",IF(BM322&gt;60,60,IF(BM322&lt;10,10,BM322)))))))</f>
        <v>10</v>
      </c>
      <c r="CA322" s="39">
        <f>IF(BN322&lt;0,0,IF(Исходн.данные.!$AG322=$BV$11,BN322,IF(OR(Исходн.данные.!$AH322=$BQ$7,Исходн.данные.!$AH322=$BQ$8),CD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0,IF(Исходн.данные.!$AI322=$BU$11,"Нет",IF(BN322&gt;30,30,BN322))))))</f>
        <v>0</v>
      </c>
      <c r="CB322" s="9">
        <f t="shared" si="382"/>
        <v>0</v>
      </c>
      <c r="CC322" s="9">
        <f t="shared" si="383"/>
        <v>0</v>
      </c>
      <c r="CD322" s="9">
        <f t="shared" si="384"/>
        <v>0</v>
      </c>
      <c r="CE322" s="12">
        <f t="shared" si="385"/>
        <v>10</v>
      </c>
      <c r="CF322" s="9">
        <f t="shared" si="386"/>
        <v>0</v>
      </c>
      <c r="CG322" s="9" t="s">
        <v>231</v>
      </c>
      <c r="CH322" s="132" t="str">
        <f>IF(Исходн.данные.!AP322=Расчет!$CI$16,"Нет",IF(Исходн.данные.!AL322&gt;0,Исходн.данные.!AL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BH$4,IF(OR(Исходн.данные.!AI322=Исходн.данные.!$AI$6,Исходн.данные.!AI322=Исходн.данные.!$AI$7),Расчет!BS322,IF(AND($CF322=0,$CE322&gt;0),EV322,ER322)))))</f>
        <v>Аммофос 12:52:00</v>
      </c>
      <c r="CI322" s="274">
        <f>IF(Расчет!$CH322="Нет","Нет",IF(Исходн.данные.!$AL322&gt;0,VLOOKUP(Расчет!$CH322,АшламаДВ_Irekle,2,FALSE),VLOOKUP(Расчет!$CH322,АшламаДВ_Gomumy,2,FALSE)))</f>
        <v>0.12</v>
      </c>
      <c r="CJ322" s="274">
        <f>IF(Расчет!$CH322="Нет","Нет",IF(Исходн.данные.!$AL322&gt;0,VLOOKUP(Расчет!$CH322,АшламаДВ_Irekle,3,FALSE),VLOOKUP(Расчет!$CH322,АшламаДВ_Gomumy,3,FALSE)))</f>
        <v>0.52</v>
      </c>
      <c r="CK322" s="274">
        <f>IF(Расчет!$CH322="Нет","Нет",IF(Исходн.данные.!$AL322&gt;0,VLOOKUP(Расчет!$CH322,АшламаДВ_Irekle,4,FALSE),VLOOKUP(Расчет!$CH322,АшламаДВ_Gomumy,4,FALSE)))</f>
        <v>0</v>
      </c>
      <c r="CL322" s="70"/>
      <c r="CM322" s="70"/>
      <c r="CN322" s="70"/>
      <c r="CO322" s="70"/>
      <c r="CP322" s="70"/>
      <c r="CQ322" s="70"/>
      <c r="CR322" s="10">
        <f t="shared" si="387"/>
        <v>0</v>
      </c>
      <c r="CS322" s="10">
        <f t="shared" si="388"/>
        <v>19.23076923076923</v>
      </c>
      <c r="CT322" s="10">
        <f t="shared" si="389"/>
        <v>0</v>
      </c>
      <c r="CU322" s="39">
        <f>IF($CH322="Нет",0,IF(CI322=0,30/MIN(CJ322:CK322),IF(Исходн.данные.!$AG322=$BV$11,CR322,IF(OR(Исходн.данные.!$AH322=$BQ$7,Исходн.данные.!$AH322=$BQ$8),90/CI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0,IF(Исходн.данные.!$AI322=$BU$11,"Нет",30/CI322))))))</f>
        <v>250</v>
      </c>
      <c r="CV322" s="39">
        <f>IF($CH322="Нет",0,IF(Исходн.данные.!AH322=0,0,IF(CJ322=0,60/MIN(CI322,CK322),IF(Исходн.данные.!$AG322=$BV$11,CS322,IF(OR(Исходн.данные.!$AH322=$BQ$7,Исходн.данные.!$AH322=$BQ$8),90/CJ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10/CJ322,IF(Исходн.данные.!$AI322=$BU$11,"Нет",60/CJ322)))))))</f>
        <v>0</v>
      </c>
      <c r="CW322" s="39">
        <f>IF($CH322="Нет",0,IF(Исходн.данные.!AH322=0,0,IF(CK322=0,30/MIN(CI322:CJ322),IF(Исходн.данные.!$AG322=$BV$11,CT322,IF(OR(Исходн.данные.!$AH322=$BQ$7,Исходн.данные.!$AH322=$BQ$8),90/CK322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0,IF(Исходн.данные.!$AI322=$BU$11,"Нет",30/CK322)))))))</f>
        <v>0</v>
      </c>
      <c r="CX322" s="133">
        <f>IF(Исходн.данные.!$AG322=$BV$11,MAX(CU322:CW322),IF(OR(Исходн.данные.!$AH322=$BS$8,Исходн.данные.!$AH322=$BQ$9,Исходн.данные.!$AH322=$BQ$10,Исходн.данные.!$AH322=$BQ$11,Исходн.данные.!$AH322=$BQ$12,Исходн.данные.!$AH322=$BP$3,Исходн.данные.!$AH322=$BT$8,$FM322="Да"),CV322,MIN(CU322:CW322)))</f>
        <v>0</v>
      </c>
      <c r="CY322" s="133">
        <f>IF(Исходн.данные.!AH322=0,0,IF(CR322&gt;$CX322,$CX322,CR322))</f>
        <v>0</v>
      </c>
      <c r="CZ322" s="133">
        <f>IF(Исходн.данные.!AH322=0,0,IF(CS322&gt;$CX322,$CX322,CS322))</f>
        <v>0</v>
      </c>
      <c r="DA322" s="133">
        <f>IF(Исходн.данные.!AH322=0,0,IF(CT322&gt;$CX322,$CX322,CT322))</f>
        <v>0</v>
      </c>
      <c r="DB322" s="10">
        <f t="shared" si="390"/>
        <v>0</v>
      </c>
      <c r="DC322" s="39">
        <f>DB322*Исходн.данные.!AJ322/1000</f>
        <v>0</v>
      </c>
      <c r="DD322" s="71">
        <f t="shared" si="391"/>
        <v>0</v>
      </c>
      <c r="DE322" s="9">
        <f t="shared" si="392"/>
        <v>0</v>
      </c>
      <c r="DF322" s="9">
        <f t="shared" si="393"/>
        <v>0</v>
      </c>
      <c r="DG322" s="39">
        <f>IF(BL322&lt;0,0,IF($CH322="Нет",BL322,IF(OR(Исходн.данные.!$AH322=$BP$1,Исходн.данные.!$AH322=$BP$2),0,IF(Исходн.данные.!AI322=$BU$11,BL322,IF(BL322-DD322&lt;0,0,BL322-DD322)))))</f>
        <v>0</v>
      </c>
      <c r="DH322" s="39">
        <f>IF(BM322&lt;0,0,IF($CH322="Нет",BM322,IF(OR(Исходн.данные.!$AH322=$BP$1,Исходн.данные.!$AH322=$BP$2),0,IF(Исходн.данные.!AJ322=$BU$11,BM322,IF(BM322-DE322&lt;0,0,BM322-DE322)))))</f>
        <v>0</v>
      </c>
      <c r="DI322" s="39">
        <f>IF(BN322&lt;0,0,IF($CH322="Нет",BN322,IF(OR(Исходн.данные.!$AH322=$BP$1,Исходн.данные.!$AH322=$BP$2),0,IF(Исходн.данные.!AK322=$BU$11,BN322,IF(BN322-DF322&lt;0,0,BN322-DF322)))))</f>
        <v>0</v>
      </c>
      <c r="DJ322" s="12">
        <f t="shared" si="394"/>
        <v>0</v>
      </c>
      <c r="DK322" s="9">
        <f t="shared" si="395"/>
        <v>0</v>
      </c>
      <c r="DL322" s="39">
        <f>IF(Исходн.данные.!AM322&gt;0,Исходн.данные.!AM322,IF(EG322&gt;0,$BH$10,0))</f>
        <v>0</v>
      </c>
      <c r="DM322" s="186">
        <f>IF($DL322=0,0,IF(Исходн.данные.!AM322&gt;0,VLOOKUP($DL322,АшламаДВ_Irekle,2,FALSE),VLOOKUP($DL322,АшламаДВ_Gomumy,2,FALSE)))</f>
        <v>0</v>
      </c>
      <c r="DN322" s="10">
        <f t="shared" si="373"/>
        <v>0</v>
      </c>
      <c r="DO322" s="9" t="str">
        <f>IF(Исходн.данные.!AN322&gt;0,Исходн.данные.!AN322,Удобрения!$B$37 )</f>
        <v>Хлор.калий</v>
      </c>
      <c r="DP322" s="9">
        <f>IF(Исходн.данные.!AN322&gt;0,VLOOKUP(Исходн.данные.!AN322,АшламаДВ_Irekle,4,FALSE),VLOOKUP(DO322,АшламаДВ_Gomumy,4,FALSE))</f>
        <v>0.6</v>
      </c>
      <c r="DQ322" s="10">
        <f t="shared" si="374"/>
        <v>0</v>
      </c>
      <c r="DR322" s="132" t="str">
        <f>IF(Исходн.данные.!AO322&gt;0,Исходн.данные.!AO322,IF(DH322=0,BS$17,IF(AND($DK322=0,$DJ322&gt;0),EJ322,EN322)))</f>
        <v>Нет</v>
      </c>
      <c r="DS322" s="70" t="str">
        <f>IF($DR322="Нет","Нет",IF(Исходн.данные.!$AO322&gt;0,VLOOKUP($DR322,АшламаДВ_Irekle,2,FALSE),VLOOKUP($DR322,АшламаДВ_Gomumy,2,FALSE)))</f>
        <v>Нет</v>
      </c>
      <c r="DT322" s="70" t="str">
        <f>IF($DR322="Нет","Нет",IF(Исходн.данные.!$AO322&gt;0,VLOOKUP($DR322,АшламаДВ_Irekle,3,FALSE),VLOOKUP($DR322,АшламаДВ_Gomumy,3,FALSE)))</f>
        <v>Нет</v>
      </c>
      <c r="DU322" s="70" t="str">
        <f>IF($DR322="Нет","Нет",IF(Исходн.данные.!$AO322&gt;0,VLOOKUP($DR322,АшламаДВ_Irekle,4,FALSE),VLOOKUP($DR322,АшламаДВ_Gomumy,4,FALSE)))</f>
        <v>Нет</v>
      </c>
      <c r="DV322" s="70"/>
      <c r="DW322" s="70"/>
      <c r="DX322" s="70"/>
      <c r="DY322" s="10">
        <f t="shared" si="396"/>
        <v>0</v>
      </c>
      <c r="DZ322" s="10">
        <f t="shared" si="397"/>
        <v>0</v>
      </c>
      <c r="EA322" s="10">
        <f t="shared" si="398"/>
        <v>0</v>
      </c>
      <c r="EB322" s="10">
        <f t="shared" si="399"/>
        <v>0</v>
      </c>
      <c r="EC322" s="10">
        <f t="shared" si="400"/>
        <v>0</v>
      </c>
      <c r="ED322" s="10">
        <f t="shared" si="401"/>
        <v>0</v>
      </c>
      <c r="EE322" s="10">
        <f t="shared" si="402"/>
        <v>0</v>
      </c>
      <c r="EF322" s="39">
        <f>EB322*Исходн.данные.!AJ322/1000</f>
        <v>0</v>
      </c>
      <c r="EG322" s="9">
        <f t="shared" si="403"/>
        <v>0</v>
      </c>
      <c r="EH322" s="9">
        <f t="shared" si="404"/>
        <v>0</v>
      </c>
      <c r="EI322" s="39" t="e">
        <f t="shared" si="354"/>
        <v>#DIV/0!</v>
      </c>
      <c r="EJ322" s="9" t="str">
        <f t="shared" si="375"/>
        <v>Азопреципитат</v>
      </c>
      <c r="EK322" s="12">
        <f t="shared" si="355"/>
        <v>0.26</v>
      </c>
      <c r="EL322" s="12">
        <f t="shared" si="356"/>
        <v>0.13</v>
      </c>
      <c r="EM322" s="12">
        <f t="shared" si="357"/>
        <v>0</v>
      </c>
      <c r="EN322" s="12" t="str">
        <f t="shared" si="376"/>
        <v>Нет</v>
      </c>
      <c r="EO322" s="12">
        <f t="shared" si="358"/>
        <v>0</v>
      </c>
      <c r="EP322" s="12">
        <f t="shared" si="359"/>
        <v>0</v>
      </c>
      <c r="EQ322" s="12">
        <f t="shared" si="360"/>
        <v>0</v>
      </c>
      <c r="ER322" s="12" t="str">
        <f t="shared" si="405"/>
        <v>Диаммофоска</v>
      </c>
      <c r="ES322" s="12">
        <f t="shared" si="361"/>
        <v>0.1</v>
      </c>
      <c r="ET322" s="12">
        <f t="shared" si="362"/>
        <v>0.26</v>
      </c>
      <c r="EU322" s="12">
        <f t="shared" si="363"/>
        <v>0.26</v>
      </c>
      <c r="EV322" s="12" t="str">
        <f t="shared" si="406"/>
        <v>Аммофос 12:52:00</v>
      </c>
      <c r="EW322" s="12" t="str">
        <f t="shared" si="407"/>
        <v>Кемира Свекловичное-6</v>
      </c>
      <c r="EX322" s="12">
        <f t="shared" si="364"/>
        <v>0.16</v>
      </c>
      <c r="EY322" s="12">
        <f t="shared" si="365"/>
        <v>0.12</v>
      </c>
      <c r="EZ322" s="12">
        <f t="shared" si="366"/>
        <v>0.17</v>
      </c>
      <c r="FA322" s="38" t="e">
        <f>IF(AND(OR(FJ322=$FD$1,FM322=$FD$1,FO322=$FD$1,FQ322=$FD$1,FS322=$FD$1),FD322=$FD$1,Исходн.данные.!J322&lt;2,FU322=$FD$1),"Бор,Кобальт",IF(AND(FO322=$FD$1,FH322=$FD$1,Исходн.данные.!J322&lt;2,FU322=$FD$1),"Бор,Кобальт",IF(AND(OR(FJ322=$FD$1,FM322=$FD$1,FQ322=$FD$1),FE322=$FD$1,Исходн.данные.!J322&lt;2,FT322=$FD$1,FU322=$FD$1),"Бор,Медь,Цинк",IF(AND(OR(FJ322=$FD$1,FR322="Да"),FI322="Да",Исходн.данные.!J322&lt;2,FT322="Да",FU322="Да"),"Бор,Цинк,Медь",IF(AND(OR(FM322="Да",FQ322="Да"),FI322="Да",Исходн.данные.!J322&lt;2,FT322="Да",FU322="Да"),"Бор,Цинк",IF(AND(FN322="Да",OR(FD322="Да",FE322="Да")),"Бор",FB322))))))</f>
        <v>#N/A</v>
      </c>
      <c r="FB322" s="134" t="e">
        <f>IF(AND(OR(FD322="Да",FE322="Да",FF322="Да",FG322="Да",FH322="Да"),FO322="Да"),"Бор",IF(AND(FP322="Да",OR(FD322="Да",FE322="Да",FI322="Да")),"Бор",IF(AND(FS322="Да",FE322="Да"),"Бор,Медь",IF(AND(OR(FJ322="Да",FK322="Да",FL322="Да"),FE322="Да",Исходн.данные.!I322&lt;5,FT322="Да",FU322="Да"),"Молибден,Цинк",IF(AND(FM322="Да",OR(FE322="Да",FF322="Да",FG322="Да",FH322="Да",FI322="Да")),"Молибден,Цинк",IF(AND(OR(FJ322="Да",FK322="Да",FL322="Да",FM322="Да",FQ322="Да"),OR(FE322="Да",FF322="Да"),FT322="Да",FU322="Да",Исходн.данные.!I322&gt;5.5),"Медь,Цинк",FC322))))))</f>
        <v>#N/A</v>
      </c>
      <c r="FC322" s="23" t="e">
        <f t="shared" si="408"/>
        <v>#N/A</v>
      </c>
      <c r="FD322" s="38" t="str">
        <f>IF(OR(Исходн.данные.!F322=$CC$1,Исходн.данные.!F322=$CC$2,Исходн.данные.!F322=$CC$3,Исходн.данные.!F322=$CC$4),"Да","Нет")</f>
        <v>Нет</v>
      </c>
      <c r="FE322" s="38" t="str">
        <f>IF(Исходн.данные.!F322=$CC$5,"Да","Нет")</f>
        <v>Нет</v>
      </c>
      <c r="FF322" s="38" t="str">
        <f>IF(OR(Исходн.данные.!F322=$CC$6,Исходн.данные.!F322=$CC$7),"Да","Нет")</f>
        <v>Нет</v>
      </c>
      <c r="FG322" s="38" t="str">
        <f>IF(OR(Исходн.данные.!F322=$CC$8,Исходн.данные.!F322=$CC$9),"Да","Нет")</f>
        <v>Нет</v>
      </c>
      <c r="FH322" s="38" t="str">
        <f>IF(Исходн.данные.!F322=$CC$10,"Да","Нет")</f>
        <v>Нет</v>
      </c>
      <c r="FI322" s="38" t="str">
        <f>IF(OR(Исходн.данные.!F322=$CC$11,Исходн.данные.!F322=$CC$12),"Да","Нет")</f>
        <v>Нет</v>
      </c>
      <c r="FJ322" s="38" t="str">
        <f>IF(OR(Исходн.данные.!AH322=$BS$1,Исходн.данные.!AH322=$BQ$11,Исходн.данные.!AH322=$BQ$12),"Да","Нет")</f>
        <v>Нет</v>
      </c>
      <c r="FK322" s="38" t="str">
        <f>IF(OR(Исходн.данные.!AH322=$BS$2,Исходн.данные.!AH322=$BS$4),"Да","Нет")</f>
        <v>Нет</v>
      </c>
      <c r="FL322" s="38" t="str">
        <f>IF(OR(Исходн.данные.!AH322=$BS$3,Исходн.данные.!AH322=$BS$5),"Да","Нет")</f>
        <v>Нет</v>
      </c>
      <c r="FM322" s="38" t="str">
        <f>IF(OR(Исходн.данные.!AH322=$BS$9,Исходн.данные.!AH322=$BS$10,Исходн.данные.!AH322=$BS$11,Исходн.данные.!AH322=$BS$12),"Да","Нет")</f>
        <v>Нет</v>
      </c>
      <c r="FN322" s="38" t="str">
        <f>IF(OR(Исходн.данные.!AH322=$BS$6,Исходн.данные.!AH322=$BP$3),"Да","Нет")</f>
        <v>Нет</v>
      </c>
      <c r="FO322" s="38" t="str">
        <f>IF(Исходн.данные.!AH322=$BQ$9,"Да","Нет")</f>
        <v>Нет</v>
      </c>
      <c r="FP322" s="38" t="str">
        <f>IF(OR(Исходн.данные.!AH322=$BS$8,Исходн.данные.!AH322=$BT$8),"Да","Нет")</f>
        <v>Нет</v>
      </c>
      <c r="FQ322" s="38" t="str">
        <f>IF(OR(Исходн.данные.!AH322=$BQ$7,Исходн.данные.!AH322=$BQ$8),"Да","Нет")</f>
        <v>Нет</v>
      </c>
      <c r="FR322" s="38" t="str">
        <f>IF(Исходн.данные.!AI322=$BU$9,"Да","Нет")</f>
        <v>Нет</v>
      </c>
      <c r="FS322" s="38" t="str">
        <f>IF(OR(Исходн.данные.!AH322=$BP$1,Исходн.данные.!AH322=$BP$2),"Да","Нет")</f>
        <v>Нет</v>
      </c>
      <c r="FT322" s="38" t="e">
        <f>IF((Исходн.данные.!K322*GO322*GS322*GW322+BL322*0.6+Исходн.данные.!Q322*4.5*0.275)&gt;90,"Да","Нет")</f>
        <v>#N/A</v>
      </c>
      <c r="FU322" s="38" t="e">
        <f>IF((Исходн.данные.!M322*GS322*GZ322+BM322*0.225)&gt;35,"Да","Нет")</f>
        <v>#N/A</v>
      </c>
      <c r="FV322" s="38" t="str">
        <f>IF(Исходн.данные.!O322&gt;175,"Да","Нет")</f>
        <v>Нет</v>
      </c>
      <c r="FW322" s="39" t="str">
        <f>IF(Исходн.данные.!I322&gt;5.5,"Да","Нет")</f>
        <v>Нет</v>
      </c>
      <c r="FX322" s="39" t="str">
        <f>IF(Исходн.данные.!J322&lt;2,"Да","Нет")</f>
        <v>Да</v>
      </c>
      <c r="FY322" s="39" t="e">
        <f>IF(HF322=$FY$16,0,Исходн.данные.!K322*GO322*GS322*GW322/HF322)</f>
        <v>#N/A</v>
      </c>
      <c r="FZ322" s="39" t="e">
        <f>Исходн.данные.!M322*GS322*GZ322/HG322</f>
        <v>#N/A</v>
      </c>
      <c r="GA322" s="39" t="e">
        <f>IF(K_Wyn=$FY$16,0,IF(Исходн.данные.!N322=Исходн.данные.!$L$10,Исходн.данные.!O322/1.1*GS322*HC322/HH322,IF(Исходн.данные.!N322=Исходн.данные.!$L$12,Исходн.данные.!O322/1.5*GS322*HC322/HH322,Исходн.данные.!O322*GS322*HC322/HH322)))</f>
        <v>#N/A</v>
      </c>
      <c r="GB322" s="39" t="e">
        <f>IF(HF322=$FY$16,0,((Исходн.данные.!Q322*N_Org+Исходн.данные.!R322*N_Sider+Исходн.данные.!S322*N_Soloma)*AO322+Расчет!BC322*VLOOKUP(Исходн.данные.!T322,Справ!$A$3:$O$57,15)*AO322+BB322*VLOOKUP(Исходн.данные.!T322,Справ!$A$3:$O$57,15)*AL322+(Исходн.данные.!V322*N_Rizotorf+Исходн.данные.!W322*N_Rizoagr))/HF322)</f>
        <v>#N/A</v>
      </c>
      <c r="GC322" s="39" t="e">
        <f>IF(HG322=$FY$16,0,((Исходн.данные.!Q322*Р_Org+Исходн.данные.!R322*P_Sider+Исходн.данные.!S322*P_Soloma)*AP322+Расчет!BC322*VLOOKUP(Исходн.данные.!T322,Справ!$A$3:$P$57,16)*AP322+BB322*VLOOKUP(Исходн.данные.!T322,Справ!$A$3:$P$57,16)*AM322)/HG322)</f>
        <v>#N/A</v>
      </c>
      <c r="GD322" s="39" t="e">
        <f>IF(HH322=$FY$16,0,((Исходн.данные.!Q322*К_Org+Исходн.данные.!R322*K_Sider+Исходн.данные.!S322*K_Soloma)*AQ322+Расчет!BC322*VLOOKUP(Исходн.данные.!T322,Справ!$A$3:$Q$57,17)*AQ322+BB322*VLOOKUP(Исходн.данные.!T322,Справ!$A$3:$Q$57,17)*AN322)/HH322)</f>
        <v>#N/A</v>
      </c>
      <c r="GE322" s="39" t="e">
        <f>IF(HF322=$FY$16,0,(Исходн.данные.!X322*AR322+Исходн.данные.!AA322*N_Org*AL322+Исходн.данные.!AB322*N_Sider*AL322+Исходн.данные.!AC322*N_Soloma*AL322)/HF322)</f>
        <v>#N/A</v>
      </c>
      <c r="GF322" s="39" t="e">
        <f>IF(HG322=$FY$16,0,(Исходн.данные.!Y322*AS322+Исходн.данные.!AA322*Р_Org*AM322+Исходн.данные.!AB322*P_Sider*AM322+Исходн.данные.!AC322*P_Soloma*AM322)/HG322)</f>
        <v>#N/A</v>
      </c>
      <c r="GG322" s="39" t="e">
        <f>IF(HH322=$FY$16,0,(Исходн.данные.!Z322*AT322+Исходн.данные.!AA322*К_Org*AN322+Исходн.данные.!AB322*K_Sider*AN322+Исходн.данные.!AC322*K_Soloma*AN322)/HH322)</f>
        <v>#N/A</v>
      </c>
      <c r="GH322" s="39" t="e">
        <f>Исходн.данные.!AD322*AU322/HF322</f>
        <v>#N/A</v>
      </c>
      <c r="GI322" s="39" t="e">
        <f>Исходн.данные.!AE322*AV322/HG322</f>
        <v>#N/A</v>
      </c>
      <c r="GJ322" s="39" t="e">
        <f>Исходн.данные.!AF322*AW322/HH322</f>
        <v>#N/A</v>
      </c>
      <c r="GK322" s="55">
        <f>Исходн.данные.!AK322</f>
        <v>0</v>
      </c>
      <c r="GL322" s="11" t="e">
        <f t="shared" si="409"/>
        <v>#N/A</v>
      </c>
      <c r="GM322" s="11" t="e">
        <f t="shared" si="410"/>
        <v>#N/A</v>
      </c>
      <c r="GN322" s="11" t="e">
        <f t="shared" si="411"/>
        <v>#N/A</v>
      </c>
      <c r="GO322" s="57">
        <f t="shared" si="412"/>
        <v>19</v>
      </c>
      <c r="GP322" s="55">
        <f>IF(OR(Исходн.данные.!F322=$CE$1,Исходн.данные.!F322=$CE$2,Исходн.данные.!F322=$CE$3,Исходн.данные.!F322=$CE$4,Исходн.данные.!F322=$CE$5),GQ322,GR322)</f>
        <v>19</v>
      </c>
      <c r="GQ322" s="55">
        <f>IF(Исходн.данные.!F322=$CE$1,28,IF(Исходн.данные.!F322=$CE$2,26,IF(Исходн.данные.!F322=$CE$3,24,IF(Исходн.данные.!F322=$CE$4,22,IF(Исходн.данные.!F322=$CE$5,20,GR322)))))</f>
        <v>19</v>
      </c>
      <c r="GR322" s="55">
        <f>IF(Исходн.данные.!F322=$CE$6,18,IF(Исходн.данные.!F322=$CE$7,16,IF(Исходн.данные.!F322=$CE$8,14,IF(Исходн.данные.!F322=$CE$9,13,IF(Исходн.данные.!F322=$CE$10,12,19)))))</f>
        <v>19</v>
      </c>
      <c r="GS322" s="55">
        <f>IF(Исходн.данные.!G322="Пес",0.035*(40+2*Исходн.данные.!H322),IF(Исходн.данные.!G322="Суп",0.0325*(40+2*Исходн.данные.!H322),0.03*(40+2*Исходн.данные.!H322)))</f>
        <v>1.2</v>
      </c>
      <c r="GT322" s="55">
        <f>IF(Исходн.данные.!H322&lt;23,2.6,IF(AND(Исходн.данные.!H322&gt;22,Исходн.данные.!H322&lt;26),3,IF(AND(Исходн.данные.!H322&gt;25,Исходн.данные.!H322&lt;29),3.4,3.6)))</f>
        <v>2.6</v>
      </c>
      <c r="GU322" s="55">
        <f>IF(Исходн.данные.!H322&lt;23,2.8,IF(AND(Исходн.данные.!H322&gt;22,Исходн.данные.!H322&lt;26),3.2,IF(AND(Исходн.данные.!H322&gt;25,Исходн.данные.!H322&lt;29),3.6,3.9)))</f>
        <v>2.8</v>
      </c>
      <c r="GV322" s="55">
        <f>IF(Исходн.данные.!H322&lt;23,3,IF(AND(Исходн.данные.!H322&gt;22,Исходн.данные.!H322&lt;26),3.5,IF(AND(Исходн.данные.!H322&gt;25,Исходн.данные.!H322&lt;29),3.9,4.2)))</f>
        <v>3</v>
      </c>
      <c r="GW322" s="55" t="e">
        <f>IF(Исходн.данные.!P322="Ум",GX322,GY322)</f>
        <v>#N/A</v>
      </c>
      <c r="GX322" s="55" t="e">
        <f>VLOOKUP(Исходн.данные.!AI322,Коэффициенты!$J$7:$L$13,2,FALSE)</f>
        <v>#N/A</v>
      </c>
      <c r="GY322" s="55" t="e">
        <f>VLOOKUP(Исходн.данные.!AI322,Коэффициенты!$J$7:$L$13,3,FALSE)</f>
        <v>#N/A</v>
      </c>
      <c r="GZ322" s="55" t="e">
        <f>(IF(Исходн.данные.!M322&lt;50,0.11*VLOOKUP(Исходн.данные.!AH322,Культуры.Информация,7,FALSE),IF(Исходн.данные.!M322&gt;250,0.05*VLOOKUP(Исходн.данные.!AH322,Культуры.Информация,7,FALSE),VLOOKUP(Исходн.данные.!AH322,Культуры.Информация,5,FALSE)/100*($GX$6+$GY$6*Исходн.данные.!M322))))*Расчет2!AI322</f>
        <v>#N/A</v>
      </c>
      <c r="HA322" s="211"/>
      <c r="HB322" s="211"/>
      <c r="HC322" s="55" t="e">
        <f>(IF(Исходн.данные.!O322&lt;80,0.2*VLOOKUP(Исходн.данные.!AH322,Культуры.Информация,8,FALSE),IF(Исходн.данные.!O322&gt;240,0.09*VLOOKUP(Исходн.данные.!AH322,Культуры.Информация,8,FALSE),VLOOKUP(Исходн.данные.!AH322,Культуры.Информация,6,FALSE)/100*($HB$6+$HC$6*Исходн.данные.!O322))))*Расчет2!AJ322</f>
        <v>#N/A</v>
      </c>
      <c r="HD322" s="55">
        <f>IF(Исходн.данные.!O322&gt;240,0.09,IF(Исходн.данные.!O322&lt;30,0.3,$HE$10+$HD$10*Исходн.данные.!O322))</f>
        <v>0.3</v>
      </c>
      <c r="HE322" s="55">
        <f>IF(Исходн.данные.!O322&gt;240,0.17,IF(Исходн.данные.!O322&lt;30,0.5,$HF$12+$HE$12*Исходн.данные.!O322))</f>
        <v>0.5</v>
      </c>
      <c r="HF322" s="55" t="e">
        <f>VLOOKUP(Исходн.данные.!AH322,Справ!$A$3:$D$58,2,FALSE)</f>
        <v>#N/A</v>
      </c>
      <c r="HG322" s="55" t="e">
        <f>VLOOKUP(Исходн.данные.!AH322,Справ!$A$3:$D$58,3,FALSE)</f>
        <v>#N/A</v>
      </c>
      <c r="HH322" s="55" t="e">
        <f>VLOOKUP(Исходн.данные.!AH322,Справ!$A$3:$D$58,4,FALSE)</f>
        <v>#N/A</v>
      </c>
      <c r="HI322" s="11" t="e">
        <f t="shared" si="413"/>
        <v>#N/A</v>
      </c>
      <c r="HJ322" s="11" t="e">
        <f t="shared" si="414"/>
        <v>#N/A</v>
      </c>
      <c r="HK322" s="11" t="e">
        <f t="shared" si="415"/>
        <v>#N/A</v>
      </c>
      <c r="HL322" s="55">
        <f>IF(OR(Исходн.данные.!G322="Глин",Исходн.данные.!G322="Т_суг"),1.1,IF(Исходн.данные.!G322="Ср_суг",1,1))</f>
        <v>1</v>
      </c>
      <c r="HM322" s="55">
        <f>IF(OR(Исходн.данные.!G322="Глин",Исходн.данные.!G322="Т_суг"),0.9,IF(Исходн.данные.!G322="Ср_суг",1,1.2))</f>
        <v>1.2</v>
      </c>
      <c r="HN322" s="11" t="e">
        <f t="shared" si="416"/>
        <v>#N/A</v>
      </c>
      <c r="HO322" s="11" t="e">
        <f t="shared" si="417"/>
        <v>#N/A</v>
      </c>
      <c r="HP322" s="11" t="e">
        <f t="shared" si="418"/>
        <v>#N/A</v>
      </c>
      <c r="HQ322" t="e">
        <f t="shared" si="419"/>
        <v>#N/A</v>
      </c>
      <c r="HR322" t="e">
        <f t="shared" si="420"/>
        <v>#N/A</v>
      </c>
      <c r="HS322" t="e">
        <f t="shared" si="421"/>
        <v>#N/A</v>
      </c>
      <c r="HT322" t="e">
        <f t="shared" si="367"/>
        <v>#N/A</v>
      </c>
      <c r="HU322" t="e">
        <f t="shared" si="368"/>
        <v>#N/A</v>
      </c>
      <c r="HV322" t="e">
        <f t="shared" si="369"/>
        <v>#N/A</v>
      </c>
      <c r="HW322" t="e">
        <f t="shared" si="370"/>
        <v>#N/A</v>
      </c>
      <c r="HX322" t="e">
        <f t="shared" si="371"/>
        <v>#N/A</v>
      </c>
      <c r="HY322" t="e">
        <f t="shared" si="372"/>
        <v>#N/A</v>
      </c>
      <c r="HZ322" s="55">
        <f>IF(OR(Исходн.данные.!AI322="Оз_Ч_П",Исходн.данные.!AI322="Оз_З_П",Исходн.данные.!AI322="Яр_зер"),12,30)</f>
        <v>30</v>
      </c>
      <c r="IA322" t="e">
        <f t="shared" si="422"/>
        <v>#N/A</v>
      </c>
      <c r="IB322" t="e">
        <f t="shared" si="423"/>
        <v>#N/A</v>
      </c>
      <c r="IC322" t="e">
        <f t="shared" si="424"/>
        <v>#N/A</v>
      </c>
      <c r="ID322" s="11" t="e">
        <f t="shared" si="425"/>
        <v>#N/A</v>
      </c>
      <c r="IE322" s="11" t="e">
        <f t="shared" si="426"/>
        <v>#N/A</v>
      </c>
      <c r="IF322" s="11" t="e">
        <f t="shared" si="427"/>
        <v>#N/A</v>
      </c>
    </row>
    <row r="323" spans="35:240" x14ac:dyDescent="0.2">
      <c r="AI323">
        <f>IF(Исходн.данные.!I323&gt;6,1,1.85-(0.148*Исходн.данные.!I323))</f>
        <v>1.85</v>
      </c>
      <c r="AJ323">
        <f>IF(Исходн.данные.!I323&gt;6,1,2.434-(0.246*Исходн.данные.!I323))</f>
        <v>2.4340000000000002</v>
      </c>
      <c r="AL323" s="148" t="b">
        <f>IF(Исходн.данные.!$P323="Ум",N_OrgUd_2g_um,IF(Исходн.данные.!$P323="Об",N_OrgUd_2g_ob))</f>
        <v>0</v>
      </c>
      <c r="AM323" s="148" t="b">
        <f>IF(Исходн.данные.!$P323="Ум",P_OrgUd_2g_um,IF(Исходн.данные.!$P323="Об",P_OrgUd_2g_ob))</f>
        <v>0</v>
      </c>
      <c r="AN323" s="148" t="b">
        <f>IF(Исходн.данные.!$P323="Ум",K_OrgUd_2g_um,IF(Исходн.данные.!$P323="Об",K_OrgUd_2g_ob))</f>
        <v>0</v>
      </c>
      <c r="AO323" s="148" t="b">
        <f>IF(Исходн.данные.!$P323="Ум",N_OrgUd_1g_um,IF(Исходн.данные.!$P323="Об",N_OrgUd_1g_ob))</f>
        <v>0</v>
      </c>
      <c r="AP323" s="148" t="b">
        <f>IF(Исходн.данные.!$P323="Ум",P_OrgUd_1g_um,IF(Исходн.данные.!$P323="Об",P_OrgUd_1g_ob))</f>
        <v>0</v>
      </c>
      <c r="AQ323" s="148" t="b">
        <f>IF(Исходн.данные.!$P323="Ум",K_OrgUd_1g_um,IF(Исходн.данные.!$P323="Об",K_OrgUd_1g_ob))</f>
        <v>0</v>
      </c>
      <c r="AR323" t="b">
        <f>IF(Исходн.данные.!$P323="Ум",N_MinUd_2g_um,IF(Исходн.данные.!$P323="Об",N_MinUd_2g_ob))</f>
        <v>0</v>
      </c>
      <c r="AS323" t="b">
        <f>IF(Исходн.данные.!$P323="Ум",P_MinUd_2g_um,IF(Исходн.данные.!$P323="Об",P_MinUd_2g_ob))</f>
        <v>0</v>
      </c>
      <c r="AT323" t="b">
        <f>IF(Исходн.данные.!$P323="Ум",K_MinUd_2g_um,IF(Исходн.данные.!$P323="Об",K_MinUd_2g_ob))</f>
        <v>0</v>
      </c>
      <c r="AU323" t="b">
        <f>IF(Исходн.данные.!$P323="Ум",N_MinUd_1g_um,IF(Исходн.данные.!$P323="Об",N_MinUd_1g_ob))</f>
        <v>0</v>
      </c>
      <c r="AV323" t="b">
        <f>IF(Исходн.данные.!P323="Ум",P_MinUd_1g_um,IF(Исходн.данные.!P323="Об",P_MinUd_1g_ob))</f>
        <v>0</v>
      </c>
      <c r="AW323" t="b">
        <f>IF(Исходн.данные.!P323="Ум",K_MinUd_1g_um,IF(Исходн.данные.!P323="Об",K_MinUd_1g_ob))</f>
        <v>0</v>
      </c>
      <c r="AY323" t="e">
        <f>VLOOKUP(Исходн.данные.!T323,Справ!$A$3:$N$57,12)</f>
        <v>#N/A</v>
      </c>
      <c r="AZ323" t="e">
        <f>VLOOKUP(Исходн.данные.!T323,Справ!$A$3:$N$57,13)</f>
        <v>#N/A</v>
      </c>
      <c r="BA323" t="e">
        <f>VLOOKUP(Исходн.данные.!T323,Справ!$A$3:$N$57,14)</f>
        <v>#N/A</v>
      </c>
      <c r="BB323">
        <f>IF(Исходн.данные.!AH323=0,0,25)</f>
        <v>0</v>
      </c>
      <c r="BC323" s="141">
        <f>IF(Исходн.данные.!AH323=0,0,IF(Исходн.данные.!T323=0,25,BD323))</f>
        <v>0</v>
      </c>
      <c r="BD323" s="168" t="e">
        <f>AY323+AZ323*Исходн.данные.!U323-POWER(BA323,2)*Исходн.данные.!U323</f>
        <v>#N/A</v>
      </c>
      <c r="BE32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3" s="25">
        <f>IF(Исходн.данные.!AH323=0,0,MIN(HN323:HP323))</f>
        <v>0</v>
      </c>
      <c r="BG323" s="9">
        <f>IF(Исходн.данные.!AH323=0,0,IF((HO323+10*0.25/HG323/HL323)&lt;17,17,HO323+10*0.25/HG323/HL323))</f>
        <v>0</v>
      </c>
      <c r="BH323" s="181">
        <f>IF(Исходн.данные.!AH323=0,0,HW323*HF323*HL323/AU323*AI323+Исходн.данные.!S323*10)</f>
        <v>0</v>
      </c>
      <c r="BI323" s="10"/>
      <c r="BJ323" s="182">
        <f>IF(Исходн.данные.!AH323=0,0,IF(HX323*HG323*HL323/AV323&lt;0,0,HX323*HG323*HL323/AV323*AJ323))</f>
        <v>0</v>
      </c>
      <c r="BK323" s="182">
        <f>IF(Исходн.данные.!AH323=0,0,HY323*HH323*HM323/AW323)</f>
        <v>0</v>
      </c>
      <c r="BL323" s="10">
        <f>IF(OR(Исходн.данные.!$AH323=$BP$1,Исходн.данные.!$AH323=$BP$2),0,IF(BH323&lt;0,0,IF(OR(Исходн.данные.!T323=Расчет!$BP$1,Исходн.данные.!T323=Расчет!$BP$2,Исходн.данные.!T323=Расчет!$BT$5,Исходн.данные.!T323=Расчет!$BT$6),BH323*0.5,IF(OR(Исходн.данные.!T323=Расчет!$BS$9,Исходн.данные.!T323=Расчет!$BS$10,Исходн.данные.!T323=Расчет!$BS$11,Исходн.данные.!T323=Расчет!$BS$12,Исходн.данные.!T323=Расчет!$BP$5),BH323*0.8,BH323))))</f>
        <v>0</v>
      </c>
      <c r="BM323" s="10">
        <f>IF(OR(Исходн.данные.!$AH323=$BP$1,Исходн.данные.!$AH323=$BP$2),0,IF(BJ323&lt;0,0,IF(Исходн.данные.!I323&lt;4.5,BJ323*1.2,IF(Исходн.данные.!I323&gt;5.1,BJ323,BJ323*((5.1-Исходн.данные.!I323)*0.333+1)))))</f>
        <v>0</v>
      </c>
      <c r="BN323" s="10">
        <f>IF(OR(Исходн.данные.!$AH323=$BP$1,Исходн.данные.!$AH323=$BP$2),60-Исходн.данные.!AF323,IF(BK323&lt;0,0,IF(Исходн.данные.!I323&lt;4.5,BK323*1.2,IF(Исходн.данные.!I323&gt;5.1,BK323,BK323*((5.1-Исходн.данные.!I323)*0.333+1)))))</f>
        <v>0</v>
      </c>
      <c r="BO323" s="9">
        <f>IF(BL323&lt;0,0,BL323*Исходн.данные.!$AJ323/1000)</f>
        <v>0</v>
      </c>
      <c r="BP323" s="9">
        <f>IF(BM323&lt;0,0,BM323*Исходн.данные.!$AJ323/1000)</f>
        <v>0</v>
      </c>
      <c r="BQ323" s="9">
        <f>IF(BN323&lt;0,0,BN323*Исходн.данные.!$AJ323/1000)</f>
        <v>0</v>
      </c>
      <c r="BR323" s="9">
        <f t="shared" si="377"/>
        <v>0</v>
      </c>
      <c r="BS323" s="10" t="str">
        <f t="shared" si="378"/>
        <v>Аммофос 12:52:00</v>
      </c>
      <c r="BT323" s="10" t="str">
        <f t="shared" si="379"/>
        <v>Аммофос 12:52:00</v>
      </c>
      <c r="BU323" s="10" t="str">
        <f t="shared" si="380"/>
        <v>Диаммофоска</v>
      </c>
      <c r="BV323" s="10">
        <f t="shared" si="381"/>
        <v>0</v>
      </c>
      <c r="BW323" s="10"/>
      <c r="BX323" s="10"/>
      <c r="BY323" s="9">
        <f>IF(BL323&lt;0,0,IF(OR(Исходн.данные.!AI323=Расчет!$BU$6,Исходн.данные.!AI323=Расчет!$BU$7),Расчет!BV323,IF(Исходн.данные.!$AG323=$BV$11,BL323,IF(OR(Исходн.данные.!$AH323=$BQ$7,Исходн.данные.!$AH323=$BQ$8),CB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0,IF(Исходн.данные.!$AI323=$BU$11,"Нет",IF(BL323&gt;30,30,BL323)))))))</f>
        <v>0</v>
      </c>
      <c r="BZ323" s="9">
        <f>IF(AND(Исходн.данные.!$AG323=$BV$11,BM323&lt;10),10,IF(Исходн.данные.!$AG323=$BV$11,BM323,IF(OR(Исходн.данные.!$AH323=$BQ$7,Исходн.данные.!$AH323=$BQ$8),CC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10,IF(Исходн.данные.!$AI323=$BU$11,"Нет",IF(BM323&gt;60,60,IF(BM323&lt;10,10,BM323)))))))</f>
        <v>10</v>
      </c>
      <c r="CA323" s="39">
        <f>IF(BN323&lt;0,0,IF(Исходн.данные.!$AG323=$BV$11,BN323,IF(OR(Исходн.данные.!$AH323=$BQ$7,Исходн.данные.!$AH323=$BQ$8),CD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0,IF(Исходн.данные.!$AI323=$BU$11,"Нет",IF(BN323&gt;30,30,BN323))))))</f>
        <v>0</v>
      </c>
      <c r="CB323" s="9">
        <f t="shared" si="382"/>
        <v>0</v>
      </c>
      <c r="CC323" s="9">
        <f t="shared" si="383"/>
        <v>0</v>
      </c>
      <c r="CD323" s="9">
        <f t="shared" si="384"/>
        <v>0</v>
      </c>
      <c r="CE323" s="12">
        <f t="shared" si="385"/>
        <v>10</v>
      </c>
      <c r="CF323" s="9">
        <f t="shared" si="386"/>
        <v>0</v>
      </c>
      <c r="CG323" s="9" t="s">
        <v>231</v>
      </c>
      <c r="CH323" s="132" t="str">
        <f>IF(Исходн.данные.!AP323=Расчет!$CI$16,"Нет",IF(Исходн.данные.!AL323&gt;0,Исходн.данные.!AL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BH$4,IF(OR(Исходн.данные.!AI323=Исходн.данные.!$AI$6,Исходн.данные.!AI323=Исходн.данные.!$AI$7),Расчет!BS323,IF(AND($CF323=0,$CE323&gt;0),EV323,ER323)))))</f>
        <v>Аммофос 12:52:00</v>
      </c>
      <c r="CI323" s="274">
        <f>IF(Расчет!$CH323="Нет","Нет",IF(Исходн.данные.!$AL323&gt;0,VLOOKUP(Расчет!$CH323,АшламаДВ_Irekle,2,FALSE),VLOOKUP(Расчет!$CH323,АшламаДВ_Gomumy,2,FALSE)))</f>
        <v>0.12</v>
      </c>
      <c r="CJ323" s="274">
        <f>IF(Расчет!$CH323="Нет","Нет",IF(Исходн.данные.!$AL323&gt;0,VLOOKUP(Расчет!$CH323,АшламаДВ_Irekle,3,FALSE),VLOOKUP(Расчет!$CH323,АшламаДВ_Gomumy,3,FALSE)))</f>
        <v>0.52</v>
      </c>
      <c r="CK323" s="274">
        <f>IF(Расчет!$CH323="Нет","Нет",IF(Исходн.данные.!$AL323&gt;0,VLOOKUP(Расчет!$CH323,АшламаДВ_Irekle,4,FALSE),VLOOKUP(Расчет!$CH323,АшламаДВ_Gomumy,4,FALSE)))</f>
        <v>0</v>
      </c>
      <c r="CL323" s="70"/>
      <c r="CM323" s="70"/>
      <c r="CN323" s="70"/>
      <c r="CO323" s="70"/>
      <c r="CP323" s="70"/>
      <c r="CQ323" s="70"/>
      <c r="CR323" s="10">
        <f t="shared" si="387"/>
        <v>0</v>
      </c>
      <c r="CS323" s="10">
        <f t="shared" si="388"/>
        <v>19.23076923076923</v>
      </c>
      <c r="CT323" s="10">
        <f t="shared" si="389"/>
        <v>0</v>
      </c>
      <c r="CU323" s="39">
        <f>IF($CH323="Нет",0,IF(CI323=0,30/MIN(CJ323:CK323),IF(Исходн.данные.!$AG323=$BV$11,CR323,IF(OR(Исходн.данные.!$AH323=$BQ$7,Исходн.данные.!$AH323=$BQ$8),90/CI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0,IF(Исходн.данные.!$AI323=$BU$11,"Нет",30/CI323))))))</f>
        <v>250</v>
      </c>
      <c r="CV323" s="39">
        <f>IF($CH323="Нет",0,IF(Исходн.данные.!AH323=0,0,IF(CJ323=0,60/MIN(CI323,CK323),IF(Исходн.данные.!$AG323=$BV$11,CS323,IF(OR(Исходн.данные.!$AH323=$BQ$7,Исходн.данные.!$AH323=$BQ$8),90/CJ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10/CJ323,IF(Исходн.данные.!$AI323=$BU$11,"Нет",60/CJ323)))))))</f>
        <v>0</v>
      </c>
      <c r="CW323" s="39">
        <f>IF($CH323="Нет",0,IF(Исходн.данные.!AH323=0,0,IF(CK323=0,30/MIN(CI323:CJ323),IF(Исходн.данные.!$AG323=$BV$11,CT323,IF(OR(Исходн.данные.!$AH323=$BQ$7,Исходн.данные.!$AH323=$BQ$8),90/CK323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0,IF(Исходн.данные.!$AI323=$BU$11,"Нет",30/CK323)))))))</f>
        <v>0</v>
      </c>
      <c r="CX323" s="133">
        <f>IF(Исходн.данные.!$AG323=$BV$11,MAX(CU323:CW323),IF(OR(Исходн.данные.!$AH323=$BS$8,Исходн.данные.!$AH323=$BQ$9,Исходн.данные.!$AH323=$BQ$10,Исходн.данные.!$AH323=$BQ$11,Исходн.данные.!$AH323=$BQ$12,Исходн.данные.!$AH323=$BP$3,Исходн.данные.!$AH323=$BT$8,$FM323="Да"),CV323,MIN(CU323:CW323)))</f>
        <v>0</v>
      </c>
      <c r="CY323" s="133">
        <f>IF(Исходн.данные.!AH323=0,0,IF(CR323&gt;$CX323,$CX323,CR323))</f>
        <v>0</v>
      </c>
      <c r="CZ323" s="133">
        <f>IF(Исходн.данные.!AH323=0,0,IF(CS323&gt;$CX323,$CX323,CS323))</f>
        <v>0</v>
      </c>
      <c r="DA323" s="133">
        <f>IF(Исходн.данные.!AH323=0,0,IF(CT323&gt;$CX323,$CX323,CT323))</f>
        <v>0</v>
      </c>
      <c r="DB323" s="10">
        <f t="shared" si="390"/>
        <v>0</v>
      </c>
      <c r="DC323" s="39">
        <f>DB323*Исходн.данные.!AJ323/1000</f>
        <v>0</v>
      </c>
      <c r="DD323" s="71">
        <f t="shared" si="391"/>
        <v>0</v>
      </c>
      <c r="DE323" s="9">
        <f t="shared" si="392"/>
        <v>0</v>
      </c>
      <c r="DF323" s="9">
        <f t="shared" si="393"/>
        <v>0</v>
      </c>
      <c r="DG323" s="39">
        <f>IF(BL323&lt;0,0,IF($CH323="Нет",BL323,IF(OR(Исходн.данные.!$AH323=$BP$1,Исходн.данные.!$AH323=$BP$2),0,IF(Исходн.данные.!AI323=$BU$11,BL323,IF(BL323-DD323&lt;0,0,BL323-DD323)))))</f>
        <v>0</v>
      </c>
      <c r="DH323" s="39">
        <f>IF(BM323&lt;0,0,IF($CH323="Нет",BM323,IF(OR(Исходн.данные.!$AH323=$BP$1,Исходн.данные.!$AH323=$BP$2),0,IF(Исходн.данные.!AJ323=$BU$11,BM323,IF(BM323-DE323&lt;0,0,BM323-DE323)))))</f>
        <v>0</v>
      </c>
      <c r="DI323" s="39">
        <f>IF(BN323&lt;0,0,IF($CH323="Нет",BN323,IF(OR(Исходн.данные.!$AH323=$BP$1,Исходн.данные.!$AH323=$BP$2),0,IF(Исходн.данные.!AK323=$BU$11,BN323,IF(BN323-DF323&lt;0,0,BN323-DF323)))))</f>
        <v>0</v>
      </c>
      <c r="DJ323" s="12">
        <f t="shared" si="394"/>
        <v>0</v>
      </c>
      <c r="DK323" s="9">
        <f t="shared" si="395"/>
        <v>0</v>
      </c>
      <c r="DL323" s="39">
        <f>IF(Исходн.данные.!AM323&gt;0,Исходн.данные.!AM323,IF(EG323&gt;0,$BH$10,0))</f>
        <v>0</v>
      </c>
      <c r="DM323" s="186">
        <f>IF($DL323=0,0,IF(Исходн.данные.!AM323&gt;0,VLOOKUP($DL323,АшламаДВ_Irekle,2,FALSE),VLOOKUP($DL323,АшламаДВ_Gomumy,2,FALSE)))</f>
        <v>0</v>
      </c>
      <c r="DN323" s="10">
        <f t="shared" si="373"/>
        <v>0</v>
      </c>
      <c r="DO323" s="9" t="str">
        <f>IF(Исходн.данные.!AN323&gt;0,Исходн.данные.!AN323,Удобрения!$B$37 )</f>
        <v>Хлор.калий</v>
      </c>
      <c r="DP323" s="9">
        <f>IF(Исходн.данные.!AN323&gt;0,VLOOKUP(Исходн.данные.!AN323,АшламаДВ_Irekle,4,FALSE),VLOOKUP(DO323,АшламаДВ_Gomumy,4,FALSE))</f>
        <v>0.6</v>
      </c>
      <c r="DQ323" s="10">
        <f t="shared" si="374"/>
        <v>0</v>
      </c>
      <c r="DR323" s="132" t="str">
        <f>IF(Исходн.данные.!AO323&gt;0,Исходн.данные.!AO323,IF(DH323=0,BS$17,IF(AND($DK323=0,$DJ323&gt;0),EJ323,EN323)))</f>
        <v>Нет</v>
      </c>
      <c r="DS323" s="70" t="str">
        <f>IF($DR323="Нет","Нет",IF(Исходн.данные.!$AO323&gt;0,VLOOKUP($DR323,АшламаДВ_Irekle,2,FALSE),VLOOKUP($DR323,АшламаДВ_Gomumy,2,FALSE)))</f>
        <v>Нет</v>
      </c>
      <c r="DT323" s="70" t="str">
        <f>IF($DR323="Нет","Нет",IF(Исходн.данные.!$AO323&gt;0,VLOOKUP($DR323,АшламаДВ_Irekle,3,FALSE),VLOOKUP($DR323,АшламаДВ_Gomumy,3,FALSE)))</f>
        <v>Нет</v>
      </c>
      <c r="DU323" s="70" t="str">
        <f>IF($DR323="Нет","Нет",IF(Исходн.данные.!$AO323&gt;0,VLOOKUP($DR323,АшламаДВ_Irekle,4,FALSE),VLOOKUP($DR323,АшламаДВ_Gomumy,4,FALSE)))</f>
        <v>Нет</v>
      </c>
      <c r="DV323" s="70"/>
      <c r="DW323" s="70"/>
      <c r="DX323" s="70"/>
      <c r="DY323" s="10">
        <f t="shared" si="396"/>
        <v>0</v>
      </c>
      <c r="DZ323" s="10">
        <f t="shared" si="397"/>
        <v>0</v>
      </c>
      <c r="EA323" s="10">
        <f t="shared" si="398"/>
        <v>0</v>
      </c>
      <c r="EB323" s="10">
        <f t="shared" si="399"/>
        <v>0</v>
      </c>
      <c r="EC323" s="10">
        <f t="shared" si="400"/>
        <v>0</v>
      </c>
      <c r="ED323" s="10">
        <f t="shared" si="401"/>
        <v>0</v>
      </c>
      <c r="EE323" s="10">
        <f t="shared" si="402"/>
        <v>0</v>
      </c>
      <c r="EF323" s="39">
        <f>EB323*Исходн.данные.!AJ323/1000</f>
        <v>0</v>
      </c>
      <c r="EG323" s="9">
        <f t="shared" si="403"/>
        <v>0</v>
      </c>
      <c r="EH323" s="9">
        <f t="shared" si="404"/>
        <v>0</v>
      </c>
      <c r="EI323" s="39" t="e">
        <f t="shared" si="354"/>
        <v>#DIV/0!</v>
      </c>
      <c r="EJ323" s="9" t="str">
        <f t="shared" si="375"/>
        <v>Азопреципитат</v>
      </c>
      <c r="EK323" s="12">
        <f t="shared" si="355"/>
        <v>0.26</v>
      </c>
      <c r="EL323" s="12">
        <f t="shared" si="356"/>
        <v>0.13</v>
      </c>
      <c r="EM323" s="12">
        <f t="shared" si="357"/>
        <v>0</v>
      </c>
      <c r="EN323" s="12" t="str">
        <f t="shared" si="376"/>
        <v>Нет</v>
      </c>
      <c r="EO323" s="12">
        <f t="shared" si="358"/>
        <v>0</v>
      </c>
      <c r="EP323" s="12">
        <f t="shared" si="359"/>
        <v>0</v>
      </c>
      <c r="EQ323" s="12">
        <f t="shared" si="360"/>
        <v>0</v>
      </c>
      <c r="ER323" s="12" t="str">
        <f t="shared" si="405"/>
        <v>Диаммофоска</v>
      </c>
      <c r="ES323" s="12">
        <f t="shared" si="361"/>
        <v>0.1</v>
      </c>
      <c r="ET323" s="12">
        <f t="shared" si="362"/>
        <v>0.26</v>
      </c>
      <c r="EU323" s="12">
        <f t="shared" si="363"/>
        <v>0.26</v>
      </c>
      <c r="EV323" s="12" t="str">
        <f t="shared" si="406"/>
        <v>Аммофос 12:52:00</v>
      </c>
      <c r="EW323" s="12" t="str">
        <f t="shared" si="407"/>
        <v>Кемира Свекловичное-6</v>
      </c>
      <c r="EX323" s="12">
        <f t="shared" si="364"/>
        <v>0.16</v>
      </c>
      <c r="EY323" s="12">
        <f t="shared" si="365"/>
        <v>0.12</v>
      </c>
      <c r="EZ323" s="12">
        <f t="shared" si="366"/>
        <v>0.17</v>
      </c>
      <c r="FA323" s="38" t="e">
        <f>IF(AND(OR(FJ323=$FD$1,FM323=$FD$1,FO323=$FD$1,FQ323=$FD$1,FS323=$FD$1),FD323=$FD$1,Исходн.данные.!J323&lt;2,FU323=$FD$1),"Бор,Кобальт",IF(AND(FO323=$FD$1,FH323=$FD$1,Исходн.данные.!J323&lt;2,FU323=$FD$1),"Бор,Кобальт",IF(AND(OR(FJ323=$FD$1,FM323=$FD$1,FQ323=$FD$1),FE323=$FD$1,Исходн.данные.!J323&lt;2,FT323=$FD$1,FU323=$FD$1),"Бор,Медь,Цинк",IF(AND(OR(FJ323=$FD$1,FR323="Да"),FI323="Да",Исходн.данные.!J323&lt;2,FT323="Да",FU323="Да"),"Бор,Цинк,Медь",IF(AND(OR(FM323="Да",FQ323="Да"),FI323="Да",Исходн.данные.!J323&lt;2,FT323="Да",FU323="Да"),"Бор,Цинк",IF(AND(FN323="Да",OR(FD323="Да",FE323="Да")),"Бор",FB323))))))</f>
        <v>#N/A</v>
      </c>
      <c r="FB323" s="134" t="e">
        <f>IF(AND(OR(FD323="Да",FE323="Да",FF323="Да",FG323="Да",FH323="Да"),FO323="Да"),"Бор",IF(AND(FP323="Да",OR(FD323="Да",FE323="Да",FI323="Да")),"Бор",IF(AND(FS323="Да",FE323="Да"),"Бор,Медь",IF(AND(OR(FJ323="Да",FK323="Да",FL323="Да"),FE323="Да",Исходн.данные.!I323&lt;5,FT323="Да",FU323="Да"),"Молибден,Цинк",IF(AND(FM323="Да",OR(FE323="Да",FF323="Да",FG323="Да",FH323="Да",FI323="Да")),"Молибден,Цинк",IF(AND(OR(FJ323="Да",FK323="Да",FL323="Да",FM323="Да",FQ323="Да"),OR(FE323="Да",FF323="Да"),FT323="Да",FU323="Да",Исходн.данные.!I323&gt;5.5),"Медь,Цинк",FC323))))))</f>
        <v>#N/A</v>
      </c>
      <c r="FC323" s="23" t="e">
        <f t="shared" si="408"/>
        <v>#N/A</v>
      </c>
      <c r="FD323" s="38" t="str">
        <f>IF(OR(Исходн.данные.!F323=$CC$1,Исходн.данные.!F323=$CC$2,Исходн.данные.!F323=$CC$3,Исходн.данные.!F323=$CC$4),"Да","Нет")</f>
        <v>Нет</v>
      </c>
      <c r="FE323" s="38" t="str">
        <f>IF(Исходн.данные.!F323=$CC$5,"Да","Нет")</f>
        <v>Нет</v>
      </c>
      <c r="FF323" s="38" t="str">
        <f>IF(OR(Исходн.данные.!F323=$CC$6,Исходн.данные.!F323=$CC$7),"Да","Нет")</f>
        <v>Нет</v>
      </c>
      <c r="FG323" s="38" t="str">
        <f>IF(OR(Исходн.данные.!F323=$CC$8,Исходн.данные.!F323=$CC$9),"Да","Нет")</f>
        <v>Нет</v>
      </c>
      <c r="FH323" s="38" t="str">
        <f>IF(Исходн.данные.!F323=$CC$10,"Да","Нет")</f>
        <v>Нет</v>
      </c>
      <c r="FI323" s="38" t="str">
        <f>IF(OR(Исходн.данные.!F323=$CC$11,Исходн.данные.!F323=$CC$12),"Да","Нет")</f>
        <v>Нет</v>
      </c>
      <c r="FJ323" s="38" t="str">
        <f>IF(OR(Исходн.данные.!AH323=$BS$1,Исходн.данные.!AH323=$BQ$11,Исходн.данные.!AH323=$BQ$12),"Да","Нет")</f>
        <v>Нет</v>
      </c>
      <c r="FK323" s="38" t="str">
        <f>IF(OR(Исходн.данные.!AH323=$BS$2,Исходн.данные.!AH323=$BS$4),"Да","Нет")</f>
        <v>Нет</v>
      </c>
      <c r="FL323" s="38" t="str">
        <f>IF(OR(Исходн.данные.!AH323=$BS$3,Исходн.данные.!AH323=$BS$5),"Да","Нет")</f>
        <v>Нет</v>
      </c>
      <c r="FM323" s="38" t="str">
        <f>IF(OR(Исходн.данные.!AH323=$BS$9,Исходн.данные.!AH323=$BS$10,Исходн.данные.!AH323=$BS$11,Исходн.данные.!AH323=$BS$12),"Да","Нет")</f>
        <v>Нет</v>
      </c>
      <c r="FN323" s="38" t="str">
        <f>IF(OR(Исходн.данные.!AH323=$BS$6,Исходн.данные.!AH323=$BP$3),"Да","Нет")</f>
        <v>Нет</v>
      </c>
      <c r="FO323" s="38" t="str">
        <f>IF(Исходн.данные.!AH323=$BQ$9,"Да","Нет")</f>
        <v>Нет</v>
      </c>
      <c r="FP323" s="38" t="str">
        <f>IF(OR(Исходн.данные.!AH323=$BS$8,Исходн.данные.!AH323=$BT$8),"Да","Нет")</f>
        <v>Нет</v>
      </c>
      <c r="FQ323" s="38" t="str">
        <f>IF(OR(Исходн.данные.!AH323=$BQ$7,Исходн.данные.!AH323=$BQ$8),"Да","Нет")</f>
        <v>Нет</v>
      </c>
      <c r="FR323" s="38" t="str">
        <f>IF(Исходн.данные.!AI323=$BU$9,"Да","Нет")</f>
        <v>Нет</v>
      </c>
      <c r="FS323" s="38" t="str">
        <f>IF(OR(Исходн.данные.!AH323=$BP$1,Исходн.данные.!AH323=$BP$2),"Да","Нет")</f>
        <v>Нет</v>
      </c>
      <c r="FT323" s="38" t="e">
        <f>IF((Исходн.данные.!K323*GO323*GS323*GW323+BL323*0.6+Исходн.данные.!Q323*4.5*0.275)&gt;90,"Да","Нет")</f>
        <v>#N/A</v>
      </c>
      <c r="FU323" s="38" t="e">
        <f>IF((Исходн.данные.!M323*GS323*GZ323+BM323*0.225)&gt;35,"Да","Нет")</f>
        <v>#N/A</v>
      </c>
      <c r="FV323" s="38" t="str">
        <f>IF(Исходн.данные.!O323&gt;175,"Да","Нет")</f>
        <v>Нет</v>
      </c>
      <c r="FW323" s="39" t="str">
        <f>IF(Исходн.данные.!I323&gt;5.5,"Да","Нет")</f>
        <v>Нет</v>
      </c>
      <c r="FX323" s="39" t="str">
        <f>IF(Исходн.данные.!J323&lt;2,"Да","Нет")</f>
        <v>Да</v>
      </c>
      <c r="FY323" s="39" t="e">
        <f>IF(HF323=$FY$16,0,Исходн.данные.!K323*GO323*GS323*GW323/HF323)</f>
        <v>#N/A</v>
      </c>
      <c r="FZ323" s="39" t="e">
        <f>Исходн.данные.!M323*GS323*GZ323/HG323</f>
        <v>#N/A</v>
      </c>
      <c r="GA323" s="39" t="e">
        <f>IF(K_Wyn=$FY$16,0,IF(Исходн.данные.!N323=Исходн.данные.!$L$10,Исходн.данные.!O323/1.1*GS323*HC323/HH323,IF(Исходн.данные.!N323=Исходн.данные.!$L$12,Исходн.данные.!O323/1.5*GS323*HC323/HH323,Исходн.данные.!O323*GS323*HC323/HH323)))</f>
        <v>#N/A</v>
      </c>
      <c r="GB323" s="39" t="e">
        <f>IF(HF323=$FY$16,0,((Исходн.данные.!Q323*N_Org+Исходн.данные.!R323*N_Sider+Исходн.данные.!S323*N_Soloma)*AO323+Расчет!BC323*VLOOKUP(Исходн.данные.!T323,Справ!$A$3:$O$57,15)*AO323+BB323*VLOOKUP(Исходн.данные.!T323,Справ!$A$3:$O$57,15)*AL323+(Исходн.данные.!V323*N_Rizotorf+Исходн.данные.!W323*N_Rizoagr))/HF323)</f>
        <v>#N/A</v>
      </c>
      <c r="GC323" s="39" t="e">
        <f>IF(HG323=$FY$16,0,((Исходн.данные.!Q323*Р_Org+Исходн.данные.!R323*P_Sider+Исходн.данные.!S323*P_Soloma)*AP323+Расчет!BC323*VLOOKUP(Исходн.данные.!T323,Справ!$A$3:$P$57,16)*AP323+BB323*VLOOKUP(Исходн.данные.!T323,Справ!$A$3:$P$57,16)*AM323)/HG323)</f>
        <v>#N/A</v>
      </c>
      <c r="GD323" s="39" t="e">
        <f>IF(HH323=$FY$16,0,((Исходн.данные.!Q323*К_Org+Исходн.данные.!R323*K_Sider+Исходн.данные.!S323*K_Soloma)*AQ323+Расчет!BC323*VLOOKUP(Исходн.данные.!T323,Справ!$A$3:$Q$57,17)*AQ323+BB323*VLOOKUP(Исходн.данные.!T323,Справ!$A$3:$Q$57,17)*AN323)/HH323)</f>
        <v>#N/A</v>
      </c>
      <c r="GE323" s="39" t="e">
        <f>IF(HF323=$FY$16,0,(Исходн.данные.!X323*AR323+Исходн.данные.!AA323*N_Org*AL323+Исходн.данные.!AB323*N_Sider*AL323+Исходн.данные.!AC323*N_Soloma*AL323)/HF323)</f>
        <v>#N/A</v>
      </c>
      <c r="GF323" s="39" t="e">
        <f>IF(HG323=$FY$16,0,(Исходн.данные.!Y323*AS323+Исходн.данные.!AA323*Р_Org*AM323+Исходн.данные.!AB323*P_Sider*AM323+Исходн.данные.!AC323*P_Soloma*AM323)/HG323)</f>
        <v>#N/A</v>
      </c>
      <c r="GG323" s="39" t="e">
        <f>IF(HH323=$FY$16,0,(Исходн.данные.!Z323*AT323+Исходн.данные.!AA323*К_Org*AN323+Исходн.данные.!AB323*K_Sider*AN323+Исходн.данные.!AC323*K_Soloma*AN323)/HH323)</f>
        <v>#N/A</v>
      </c>
      <c r="GH323" s="39" t="e">
        <f>Исходн.данные.!AD323*AU323/HF323</f>
        <v>#N/A</v>
      </c>
      <c r="GI323" s="39" t="e">
        <f>Исходн.данные.!AE323*AV323/HG323</f>
        <v>#N/A</v>
      </c>
      <c r="GJ323" s="39" t="e">
        <f>Исходн.данные.!AF323*AW323/HH323</f>
        <v>#N/A</v>
      </c>
      <c r="GK323" s="55">
        <f>Исходн.данные.!AK323</f>
        <v>0</v>
      </c>
      <c r="GL323" s="11" t="e">
        <f t="shared" si="409"/>
        <v>#N/A</v>
      </c>
      <c r="GM323" s="11" t="e">
        <f t="shared" si="410"/>
        <v>#N/A</v>
      </c>
      <c r="GN323" s="11" t="e">
        <f t="shared" si="411"/>
        <v>#N/A</v>
      </c>
      <c r="GO323" s="57">
        <f t="shared" si="412"/>
        <v>19</v>
      </c>
      <c r="GP323" s="55">
        <f>IF(OR(Исходн.данные.!F323=$CE$1,Исходн.данные.!F323=$CE$2,Исходн.данные.!F323=$CE$3,Исходн.данные.!F323=$CE$4,Исходн.данные.!F323=$CE$5),GQ323,GR323)</f>
        <v>19</v>
      </c>
      <c r="GQ323" s="55">
        <f>IF(Исходн.данные.!F323=$CE$1,28,IF(Исходн.данные.!F323=$CE$2,26,IF(Исходн.данные.!F323=$CE$3,24,IF(Исходн.данные.!F323=$CE$4,22,IF(Исходн.данные.!F323=$CE$5,20,GR323)))))</f>
        <v>19</v>
      </c>
      <c r="GR323" s="55">
        <f>IF(Исходн.данные.!F323=$CE$6,18,IF(Исходн.данные.!F323=$CE$7,16,IF(Исходн.данные.!F323=$CE$8,14,IF(Исходн.данные.!F323=$CE$9,13,IF(Исходн.данные.!F323=$CE$10,12,19)))))</f>
        <v>19</v>
      </c>
      <c r="GS323" s="55">
        <f>IF(Исходн.данные.!G323="Пес",0.035*(40+2*Исходн.данные.!H323),IF(Исходн.данные.!G323="Суп",0.0325*(40+2*Исходн.данные.!H323),0.03*(40+2*Исходн.данные.!H323)))</f>
        <v>1.2</v>
      </c>
      <c r="GT323" s="55">
        <f>IF(Исходн.данные.!H323&lt;23,2.6,IF(AND(Исходн.данные.!H323&gt;22,Исходн.данные.!H323&lt;26),3,IF(AND(Исходн.данные.!H323&gt;25,Исходн.данные.!H323&lt;29),3.4,3.6)))</f>
        <v>2.6</v>
      </c>
      <c r="GU323" s="55">
        <f>IF(Исходн.данные.!H323&lt;23,2.8,IF(AND(Исходн.данные.!H323&gt;22,Исходн.данные.!H323&lt;26),3.2,IF(AND(Исходн.данные.!H323&gt;25,Исходн.данные.!H323&lt;29),3.6,3.9)))</f>
        <v>2.8</v>
      </c>
      <c r="GV323" s="55">
        <f>IF(Исходн.данные.!H323&lt;23,3,IF(AND(Исходн.данные.!H323&gt;22,Исходн.данные.!H323&lt;26),3.5,IF(AND(Исходн.данные.!H323&gt;25,Исходн.данные.!H323&lt;29),3.9,4.2)))</f>
        <v>3</v>
      </c>
      <c r="GW323" s="55" t="e">
        <f>IF(Исходн.данные.!P323="Ум",GX323,GY323)</f>
        <v>#N/A</v>
      </c>
      <c r="GX323" s="55" t="e">
        <f>VLOOKUP(Исходн.данные.!AI323,Коэффициенты!$J$7:$L$13,2,FALSE)</f>
        <v>#N/A</v>
      </c>
      <c r="GY323" s="55" t="e">
        <f>VLOOKUP(Исходн.данные.!AI323,Коэффициенты!$J$7:$L$13,3,FALSE)</f>
        <v>#N/A</v>
      </c>
      <c r="GZ323" s="55" t="e">
        <f>(IF(Исходн.данные.!M323&lt;50,0.11*VLOOKUP(Исходн.данные.!AH323,Культуры.Информация,7,FALSE),IF(Исходн.данные.!M323&gt;250,0.05*VLOOKUP(Исходн.данные.!AH323,Культуры.Информация,7,FALSE),VLOOKUP(Исходн.данные.!AH323,Культуры.Информация,5,FALSE)/100*($GX$6+$GY$6*Исходн.данные.!M323))))*Расчет2!AI323</f>
        <v>#N/A</v>
      </c>
      <c r="HA323" s="211"/>
      <c r="HB323" s="211"/>
      <c r="HC323" s="55" t="e">
        <f>(IF(Исходн.данные.!O323&lt;80,0.2*VLOOKUP(Исходн.данные.!AH323,Культуры.Информация,8,FALSE),IF(Исходн.данные.!O323&gt;240,0.09*VLOOKUP(Исходн.данные.!AH323,Культуры.Информация,8,FALSE),VLOOKUP(Исходн.данные.!AH323,Культуры.Информация,6,FALSE)/100*($HB$6+$HC$6*Исходн.данные.!O323))))*Расчет2!AJ323</f>
        <v>#N/A</v>
      </c>
      <c r="HD323" s="55">
        <f>IF(Исходн.данные.!O323&gt;240,0.09,IF(Исходн.данные.!O323&lt;30,0.3,$HE$10+$HD$10*Исходн.данные.!O323))</f>
        <v>0.3</v>
      </c>
      <c r="HE323" s="55">
        <f>IF(Исходн.данные.!O323&gt;240,0.17,IF(Исходн.данные.!O323&lt;30,0.5,$HF$12+$HE$12*Исходн.данные.!O323))</f>
        <v>0.5</v>
      </c>
      <c r="HF323" s="55" t="e">
        <f>VLOOKUP(Исходн.данные.!AH323,Справ!$A$3:$D$58,2,FALSE)</f>
        <v>#N/A</v>
      </c>
      <c r="HG323" s="55" t="e">
        <f>VLOOKUP(Исходн.данные.!AH323,Справ!$A$3:$D$58,3,FALSE)</f>
        <v>#N/A</v>
      </c>
      <c r="HH323" s="55" t="e">
        <f>VLOOKUP(Исходн.данные.!AH323,Справ!$A$3:$D$58,4,FALSE)</f>
        <v>#N/A</v>
      </c>
      <c r="HI323" s="11" t="e">
        <f t="shared" si="413"/>
        <v>#N/A</v>
      </c>
      <c r="HJ323" s="11" t="e">
        <f t="shared" si="414"/>
        <v>#N/A</v>
      </c>
      <c r="HK323" s="11" t="e">
        <f t="shared" si="415"/>
        <v>#N/A</v>
      </c>
      <c r="HL323" s="55">
        <f>IF(OR(Исходн.данные.!G323="Глин",Исходн.данные.!G323="Т_суг"),1.1,IF(Исходн.данные.!G323="Ср_суг",1,1))</f>
        <v>1</v>
      </c>
      <c r="HM323" s="55">
        <f>IF(OR(Исходн.данные.!G323="Глин",Исходн.данные.!G323="Т_суг"),0.9,IF(Исходн.данные.!G323="Ср_суг",1,1.2))</f>
        <v>1.2</v>
      </c>
      <c r="HN323" s="11" t="e">
        <f t="shared" si="416"/>
        <v>#N/A</v>
      </c>
      <c r="HO323" s="11" t="e">
        <f t="shared" si="417"/>
        <v>#N/A</v>
      </c>
      <c r="HP323" s="11" t="e">
        <f t="shared" si="418"/>
        <v>#N/A</v>
      </c>
      <c r="HQ323" t="e">
        <f t="shared" si="419"/>
        <v>#N/A</v>
      </c>
      <c r="HR323" t="e">
        <f t="shared" si="420"/>
        <v>#N/A</v>
      </c>
      <c r="HS323" t="e">
        <f t="shared" si="421"/>
        <v>#N/A</v>
      </c>
      <c r="HT323" t="e">
        <f t="shared" si="367"/>
        <v>#N/A</v>
      </c>
      <c r="HU323" t="e">
        <f t="shared" si="368"/>
        <v>#N/A</v>
      </c>
      <c r="HV323" t="e">
        <f t="shared" si="369"/>
        <v>#N/A</v>
      </c>
      <c r="HW323" t="e">
        <f t="shared" si="370"/>
        <v>#N/A</v>
      </c>
      <c r="HX323" t="e">
        <f t="shared" si="371"/>
        <v>#N/A</v>
      </c>
      <c r="HY323" t="e">
        <f t="shared" si="372"/>
        <v>#N/A</v>
      </c>
      <c r="HZ323" s="55">
        <f>IF(OR(Исходн.данные.!AI323="Оз_Ч_П",Исходн.данные.!AI323="Оз_З_П",Исходн.данные.!AI323="Яр_зер"),12,30)</f>
        <v>30</v>
      </c>
      <c r="IA323" t="e">
        <f t="shared" si="422"/>
        <v>#N/A</v>
      </c>
      <c r="IB323" t="e">
        <f t="shared" si="423"/>
        <v>#N/A</v>
      </c>
      <c r="IC323" t="e">
        <f t="shared" si="424"/>
        <v>#N/A</v>
      </c>
      <c r="ID323" s="11" t="e">
        <f t="shared" si="425"/>
        <v>#N/A</v>
      </c>
      <c r="IE323" s="11" t="e">
        <f t="shared" si="426"/>
        <v>#N/A</v>
      </c>
      <c r="IF323" s="11" t="e">
        <f t="shared" si="427"/>
        <v>#N/A</v>
      </c>
    </row>
    <row r="324" spans="35:240" x14ac:dyDescent="0.2">
      <c r="AI324">
        <f>IF(Исходн.данные.!I324&gt;6,1,1.85-(0.148*Исходн.данные.!I324))</f>
        <v>1.85</v>
      </c>
      <c r="AJ324">
        <f>IF(Исходн.данные.!I324&gt;6,1,2.434-(0.246*Исходн.данные.!I324))</f>
        <v>2.4340000000000002</v>
      </c>
      <c r="AL324" s="148" t="b">
        <f>IF(Исходн.данные.!$P324="Ум",N_OrgUd_2g_um,IF(Исходн.данные.!$P324="Об",N_OrgUd_2g_ob))</f>
        <v>0</v>
      </c>
      <c r="AM324" s="148" t="b">
        <f>IF(Исходн.данные.!$P324="Ум",P_OrgUd_2g_um,IF(Исходн.данные.!$P324="Об",P_OrgUd_2g_ob))</f>
        <v>0</v>
      </c>
      <c r="AN324" s="148" t="b">
        <f>IF(Исходн.данные.!$P324="Ум",K_OrgUd_2g_um,IF(Исходн.данные.!$P324="Об",K_OrgUd_2g_ob))</f>
        <v>0</v>
      </c>
      <c r="AO324" s="148" t="b">
        <f>IF(Исходн.данные.!$P324="Ум",N_OrgUd_1g_um,IF(Исходн.данные.!$P324="Об",N_OrgUd_1g_ob))</f>
        <v>0</v>
      </c>
      <c r="AP324" s="148" t="b">
        <f>IF(Исходн.данные.!$P324="Ум",P_OrgUd_1g_um,IF(Исходн.данные.!$P324="Об",P_OrgUd_1g_ob))</f>
        <v>0</v>
      </c>
      <c r="AQ324" s="148" t="b">
        <f>IF(Исходн.данные.!$P324="Ум",K_OrgUd_1g_um,IF(Исходн.данные.!$P324="Об",K_OrgUd_1g_ob))</f>
        <v>0</v>
      </c>
      <c r="AR324" t="b">
        <f>IF(Исходн.данные.!$P324="Ум",N_MinUd_2g_um,IF(Исходн.данные.!$P324="Об",N_MinUd_2g_ob))</f>
        <v>0</v>
      </c>
      <c r="AS324" t="b">
        <f>IF(Исходн.данные.!$P324="Ум",P_MinUd_2g_um,IF(Исходн.данные.!$P324="Об",P_MinUd_2g_ob))</f>
        <v>0</v>
      </c>
      <c r="AT324" t="b">
        <f>IF(Исходн.данные.!$P324="Ум",K_MinUd_2g_um,IF(Исходн.данные.!$P324="Об",K_MinUd_2g_ob))</f>
        <v>0</v>
      </c>
      <c r="AU324" t="b">
        <f>IF(Исходн.данные.!$P324="Ум",N_MinUd_1g_um,IF(Исходн.данные.!$P324="Об",N_MinUd_1g_ob))</f>
        <v>0</v>
      </c>
      <c r="AV324" t="b">
        <f>IF(Исходн.данные.!P324="Ум",P_MinUd_1g_um,IF(Исходн.данные.!P324="Об",P_MinUd_1g_ob))</f>
        <v>0</v>
      </c>
      <c r="AW324" t="b">
        <f>IF(Исходн.данные.!P324="Ум",K_MinUd_1g_um,IF(Исходн.данные.!P324="Об",K_MinUd_1g_ob))</f>
        <v>0</v>
      </c>
      <c r="AY324" t="e">
        <f>VLOOKUP(Исходн.данные.!T324,Справ!$A$3:$N$57,12)</f>
        <v>#N/A</v>
      </c>
      <c r="AZ324" t="e">
        <f>VLOOKUP(Исходн.данные.!T324,Справ!$A$3:$N$57,13)</f>
        <v>#N/A</v>
      </c>
      <c r="BA324" t="e">
        <f>VLOOKUP(Исходн.данные.!T324,Справ!$A$3:$N$57,14)</f>
        <v>#N/A</v>
      </c>
      <c r="BB324">
        <f>IF(Исходн.данные.!AH324=0,0,25)</f>
        <v>0</v>
      </c>
      <c r="BC324" s="141">
        <f>IF(Исходн.данные.!AH324=0,0,IF(Исходн.данные.!T324=0,25,BD324))</f>
        <v>0</v>
      </c>
      <c r="BD324" s="168" t="e">
        <f>AY324+AZ324*Исходн.данные.!U324-POWER(BA324,2)*Исходн.данные.!U324</f>
        <v>#N/A</v>
      </c>
      <c r="BE32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4" s="25">
        <f>IF(Исходн.данные.!AH324=0,0,MIN(HN324:HP324))</f>
        <v>0</v>
      </c>
      <c r="BG324" s="9">
        <f>IF(Исходн.данные.!AH324=0,0,IF((HO324+10*0.25/HG324/HL324)&lt;17,17,HO324+10*0.25/HG324/HL324))</f>
        <v>0</v>
      </c>
      <c r="BH324" s="181">
        <f>IF(Исходн.данные.!AH324=0,0,HW324*HF324*HL324/AU324*AI324+Исходн.данные.!S324*10)</f>
        <v>0</v>
      </c>
      <c r="BI324" s="10"/>
      <c r="BJ324" s="182">
        <f>IF(Исходн.данные.!AH324=0,0,IF(HX324*HG324*HL324/AV324&lt;0,0,HX324*HG324*HL324/AV324*AJ324))</f>
        <v>0</v>
      </c>
      <c r="BK324" s="182">
        <f>IF(Исходн.данные.!AH324=0,0,HY324*HH324*HM324/AW324)</f>
        <v>0</v>
      </c>
      <c r="BL324" s="10">
        <f>IF(OR(Исходн.данные.!$AH324=$BP$1,Исходн.данные.!$AH324=$BP$2),0,IF(BH324&lt;0,0,IF(OR(Исходн.данные.!T324=Расчет!$BP$1,Исходн.данные.!T324=Расчет!$BP$2,Исходн.данные.!T324=Расчет!$BT$5,Исходн.данные.!T324=Расчет!$BT$6),BH324*0.5,IF(OR(Исходн.данные.!T324=Расчет!$BS$9,Исходн.данные.!T324=Расчет!$BS$10,Исходн.данные.!T324=Расчет!$BS$11,Исходн.данные.!T324=Расчет!$BS$12,Исходн.данные.!T324=Расчет!$BP$5),BH324*0.8,BH324))))</f>
        <v>0</v>
      </c>
      <c r="BM324" s="10">
        <f>IF(OR(Исходн.данные.!$AH324=$BP$1,Исходн.данные.!$AH324=$BP$2),0,IF(BJ324&lt;0,0,IF(Исходн.данные.!I324&lt;4.5,BJ324*1.2,IF(Исходн.данные.!I324&gt;5.1,BJ324,BJ324*((5.1-Исходн.данные.!I324)*0.333+1)))))</f>
        <v>0</v>
      </c>
      <c r="BN324" s="10">
        <f>IF(OR(Исходн.данные.!$AH324=$BP$1,Исходн.данные.!$AH324=$BP$2),60-Исходн.данные.!AF324,IF(BK324&lt;0,0,IF(Исходн.данные.!I324&lt;4.5,BK324*1.2,IF(Исходн.данные.!I324&gt;5.1,BK324,BK324*((5.1-Исходн.данные.!I324)*0.333+1)))))</f>
        <v>0</v>
      </c>
      <c r="BO324" s="9">
        <f>IF(BL324&lt;0,0,BL324*Исходн.данные.!$AJ324/1000)</f>
        <v>0</v>
      </c>
      <c r="BP324" s="9">
        <f>IF(BM324&lt;0,0,BM324*Исходн.данные.!$AJ324/1000)</f>
        <v>0</v>
      </c>
      <c r="BQ324" s="9">
        <f>IF(BN324&lt;0,0,BN324*Исходн.данные.!$AJ324/1000)</f>
        <v>0</v>
      </c>
      <c r="BR324" s="9">
        <f t="shared" si="377"/>
        <v>0</v>
      </c>
      <c r="BS324" s="10" t="str">
        <f t="shared" si="378"/>
        <v>Аммофос 12:52:00</v>
      </c>
      <c r="BT324" s="10" t="str">
        <f t="shared" si="379"/>
        <v>Аммофос 12:52:00</v>
      </c>
      <c r="BU324" s="10" t="str">
        <f t="shared" si="380"/>
        <v>Диаммофоска</v>
      </c>
      <c r="BV324" s="10">
        <f t="shared" si="381"/>
        <v>0</v>
      </c>
      <c r="BW324" s="10"/>
      <c r="BX324" s="10"/>
      <c r="BY324" s="9">
        <f>IF(BL324&lt;0,0,IF(OR(Исходн.данные.!AI324=Расчет!$BU$6,Исходн.данные.!AI324=Расчет!$BU$7),Расчет!BV324,IF(Исходн.данные.!$AG324=$BV$11,BL324,IF(OR(Исходн.данные.!$AH324=$BQ$7,Исходн.данные.!$AH324=$BQ$8),CB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0,IF(Исходн.данные.!$AI324=$BU$11,"Нет",IF(BL324&gt;30,30,BL324)))))))</f>
        <v>0</v>
      </c>
      <c r="BZ324" s="9">
        <f>IF(AND(Исходн.данные.!$AG324=$BV$11,BM324&lt;10),10,IF(Исходн.данные.!$AG324=$BV$11,BM324,IF(OR(Исходн.данные.!$AH324=$BQ$7,Исходн.данные.!$AH324=$BQ$8),CC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10,IF(Исходн.данные.!$AI324=$BU$11,"Нет",IF(BM324&gt;60,60,IF(BM324&lt;10,10,BM324)))))))</f>
        <v>10</v>
      </c>
      <c r="CA324" s="39">
        <f>IF(BN324&lt;0,0,IF(Исходн.данные.!$AG324=$BV$11,BN324,IF(OR(Исходн.данные.!$AH324=$BQ$7,Исходн.данные.!$AH324=$BQ$8),CD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0,IF(Исходн.данные.!$AI324=$BU$11,"Нет",IF(BN324&gt;30,30,BN324))))))</f>
        <v>0</v>
      </c>
      <c r="CB324" s="9">
        <f t="shared" si="382"/>
        <v>0</v>
      </c>
      <c r="CC324" s="9">
        <f t="shared" si="383"/>
        <v>0</v>
      </c>
      <c r="CD324" s="9">
        <f t="shared" si="384"/>
        <v>0</v>
      </c>
      <c r="CE324" s="12">
        <f t="shared" si="385"/>
        <v>10</v>
      </c>
      <c r="CF324" s="9">
        <f t="shared" si="386"/>
        <v>0</v>
      </c>
      <c r="CG324" s="9" t="s">
        <v>231</v>
      </c>
      <c r="CH324" s="132" t="str">
        <f>IF(Исходн.данные.!AP324=Расчет!$CI$16,"Нет",IF(Исходн.данные.!AL324&gt;0,Исходн.данные.!AL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BH$4,IF(OR(Исходн.данные.!AI324=Исходн.данные.!$AI$6,Исходн.данные.!AI324=Исходн.данные.!$AI$7),Расчет!BS324,IF(AND($CF324=0,$CE324&gt;0),EV324,ER324)))))</f>
        <v>Аммофос 12:52:00</v>
      </c>
      <c r="CI324" s="274">
        <f>IF(Расчет!$CH324="Нет","Нет",IF(Исходн.данные.!$AL324&gt;0,VLOOKUP(Расчет!$CH324,АшламаДВ_Irekle,2,FALSE),VLOOKUP(Расчет!$CH324,АшламаДВ_Gomumy,2,FALSE)))</f>
        <v>0.12</v>
      </c>
      <c r="CJ324" s="274">
        <f>IF(Расчет!$CH324="Нет","Нет",IF(Исходн.данные.!$AL324&gt;0,VLOOKUP(Расчет!$CH324,АшламаДВ_Irekle,3,FALSE),VLOOKUP(Расчет!$CH324,АшламаДВ_Gomumy,3,FALSE)))</f>
        <v>0.52</v>
      </c>
      <c r="CK324" s="274">
        <f>IF(Расчет!$CH324="Нет","Нет",IF(Исходн.данные.!$AL324&gt;0,VLOOKUP(Расчет!$CH324,АшламаДВ_Irekle,4,FALSE),VLOOKUP(Расчет!$CH324,АшламаДВ_Gomumy,4,FALSE)))</f>
        <v>0</v>
      </c>
      <c r="CL324" s="70"/>
      <c r="CM324" s="70"/>
      <c r="CN324" s="70"/>
      <c r="CO324" s="70"/>
      <c r="CP324" s="70"/>
      <c r="CQ324" s="70"/>
      <c r="CR324" s="10">
        <f t="shared" si="387"/>
        <v>0</v>
      </c>
      <c r="CS324" s="10">
        <f t="shared" si="388"/>
        <v>19.23076923076923</v>
      </c>
      <c r="CT324" s="10">
        <f t="shared" si="389"/>
        <v>0</v>
      </c>
      <c r="CU324" s="39">
        <f>IF($CH324="Нет",0,IF(CI324=0,30/MIN(CJ324:CK324),IF(Исходн.данные.!$AG324=$BV$11,CR324,IF(OR(Исходн.данные.!$AH324=$BQ$7,Исходн.данные.!$AH324=$BQ$8),90/CI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0,IF(Исходн.данные.!$AI324=$BU$11,"Нет",30/CI324))))))</f>
        <v>250</v>
      </c>
      <c r="CV324" s="39">
        <f>IF($CH324="Нет",0,IF(Исходн.данные.!AH324=0,0,IF(CJ324=0,60/MIN(CI324,CK324),IF(Исходн.данные.!$AG324=$BV$11,CS324,IF(OR(Исходн.данные.!$AH324=$BQ$7,Исходн.данные.!$AH324=$BQ$8),90/CJ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10/CJ324,IF(Исходн.данные.!$AI324=$BU$11,"Нет",60/CJ324)))))))</f>
        <v>0</v>
      </c>
      <c r="CW324" s="39">
        <f>IF($CH324="Нет",0,IF(Исходн.данные.!AH324=0,0,IF(CK324=0,30/MIN(CI324:CJ324),IF(Исходн.данные.!$AG324=$BV$11,CT324,IF(OR(Исходн.данные.!$AH324=$BQ$7,Исходн.данные.!$AH324=$BQ$8),90/CK324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0,IF(Исходн.данные.!$AI324=$BU$11,"Нет",30/CK324)))))))</f>
        <v>0</v>
      </c>
      <c r="CX324" s="133">
        <f>IF(Исходн.данные.!$AG324=$BV$11,MAX(CU324:CW324),IF(OR(Исходн.данные.!$AH324=$BS$8,Исходн.данные.!$AH324=$BQ$9,Исходн.данные.!$AH324=$BQ$10,Исходн.данные.!$AH324=$BQ$11,Исходн.данные.!$AH324=$BQ$12,Исходн.данные.!$AH324=$BP$3,Исходн.данные.!$AH324=$BT$8,$FM324="Да"),CV324,MIN(CU324:CW324)))</f>
        <v>0</v>
      </c>
      <c r="CY324" s="133">
        <f>IF(Исходн.данные.!AH324=0,0,IF(CR324&gt;$CX324,$CX324,CR324))</f>
        <v>0</v>
      </c>
      <c r="CZ324" s="133">
        <f>IF(Исходн.данные.!AH324=0,0,IF(CS324&gt;$CX324,$CX324,CS324))</f>
        <v>0</v>
      </c>
      <c r="DA324" s="133">
        <f>IF(Исходн.данные.!AH324=0,0,IF(CT324&gt;$CX324,$CX324,CT324))</f>
        <v>0</v>
      </c>
      <c r="DB324" s="10">
        <f t="shared" si="390"/>
        <v>0</v>
      </c>
      <c r="DC324" s="39">
        <f>DB324*Исходн.данные.!AJ324/1000</f>
        <v>0</v>
      </c>
      <c r="DD324" s="71">
        <f t="shared" si="391"/>
        <v>0</v>
      </c>
      <c r="DE324" s="9">
        <f t="shared" si="392"/>
        <v>0</v>
      </c>
      <c r="DF324" s="9">
        <f t="shared" si="393"/>
        <v>0</v>
      </c>
      <c r="DG324" s="39">
        <f>IF(BL324&lt;0,0,IF($CH324="Нет",BL324,IF(OR(Исходн.данные.!$AH324=$BP$1,Исходн.данные.!$AH324=$BP$2),0,IF(Исходн.данные.!AI324=$BU$11,BL324,IF(BL324-DD324&lt;0,0,BL324-DD324)))))</f>
        <v>0</v>
      </c>
      <c r="DH324" s="39">
        <f>IF(BM324&lt;0,0,IF($CH324="Нет",BM324,IF(OR(Исходн.данные.!$AH324=$BP$1,Исходн.данные.!$AH324=$BP$2),0,IF(Исходн.данные.!AJ324=$BU$11,BM324,IF(BM324-DE324&lt;0,0,BM324-DE324)))))</f>
        <v>0</v>
      </c>
      <c r="DI324" s="39">
        <f>IF(BN324&lt;0,0,IF($CH324="Нет",BN324,IF(OR(Исходн.данные.!$AH324=$BP$1,Исходн.данные.!$AH324=$BP$2),0,IF(Исходн.данные.!AK324=$BU$11,BN324,IF(BN324-DF324&lt;0,0,BN324-DF324)))))</f>
        <v>0</v>
      </c>
      <c r="DJ324" s="12">
        <f t="shared" si="394"/>
        <v>0</v>
      </c>
      <c r="DK324" s="9">
        <f t="shared" si="395"/>
        <v>0</v>
      </c>
      <c r="DL324" s="39">
        <f>IF(Исходн.данные.!AM324&gt;0,Исходн.данные.!AM324,IF(EG324&gt;0,$BH$10,0))</f>
        <v>0</v>
      </c>
      <c r="DM324" s="186">
        <f>IF($DL324=0,0,IF(Исходн.данные.!AM324&gt;0,VLOOKUP($DL324,АшламаДВ_Irekle,2,FALSE),VLOOKUP($DL324,АшламаДВ_Gomumy,2,FALSE)))</f>
        <v>0</v>
      </c>
      <c r="DN324" s="10">
        <f t="shared" si="373"/>
        <v>0</v>
      </c>
      <c r="DO324" s="9" t="str">
        <f>IF(Исходн.данные.!AN324&gt;0,Исходн.данные.!AN324,Удобрения!$B$37 )</f>
        <v>Хлор.калий</v>
      </c>
      <c r="DP324" s="9">
        <f>IF(Исходн.данные.!AN324&gt;0,VLOOKUP(Исходн.данные.!AN324,АшламаДВ_Irekle,4,FALSE),VLOOKUP(DO324,АшламаДВ_Gomumy,4,FALSE))</f>
        <v>0.6</v>
      </c>
      <c r="DQ324" s="10">
        <f t="shared" si="374"/>
        <v>0</v>
      </c>
      <c r="DR324" s="132" t="str">
        <f>IF(Исходн.данные.!AO324&gt;0,Исходн.данные.!AO324,IF(DH324=0,BS$17,IF(AND($DK324=0,$DJ324&gt;0),EJ324,EN324)))</f>
        <v>Нет</v>
      </c>
      <c r="DS324" s="70" t="str">
        <f>IF($DR324="Нет","Нет",IF(Исходн.данные.!$AO324&gt;0,VLOOKUP($DR324,АшламаДВ_Irekle,2,FALSE),VLOOKUP($DR324,АшламаДВ_Gomumy,2,FALSE)))</f>
        <v>Нет</v>
      </c>
      <c r="DT324" s="70" t="str">
        <f>IF($DR324="Нет","Нет",IF(Исходн.данные.!$AO324&gt;0,VLOOKUP($DR324,АшламаДВ_Irekle,3,FALSE),VLOOKUP($DR324,АшламаДВ_Gomumy,3,FALSE)))</f>
        <v>Нет</v>
      </c>
      <c r="DU324" s="70" t="str">
        <f>IF($DR324="Нет","Нет",IF(Исходн.данные.!$AO324&gt;0,VLOOKUP($DR324,АшламаДВ_Irekle,4,FALSE),VLOOKUP($DR324,АшламаДВ_Gomumy,4,FALSE)))</f>
        <v>Нет</v>
      </c>
      <c r="DV324" s="70"/>
      <c r="DW324" s="70"/>
      <c r="DX324" s="70"/>
      <c r="DY324" s="10">
        <f t="shared" si="396"/>
        <v>0</v>
      </c>
      <c r="DZ324" s="10">
        <f t="shared" si="397"/>
        <v>0</v>
      </c>
      <c r="EA324" s="10">
        <f t="shared" si="398"/>
        <v>0</v>
      </c>
      <c r="EB324" s="10">
        <f t="shared" si="399"/>
        <v>0</v>
      </c>
      <c r="EC324" s="10">
        <f t="shared" si="400"/>
        <v>0</v>
      </c>
      <c r="ED324" s="10">
        <f t="shared" si="401"/>
        <v>0</v>
      </c>
      <c r="EE324" s="10">
        <f t="shared" si="402"/>
        <v>0</v>
      </c>
      <c r="EF324" s="39">
        <f>EB324*Исходн.данные.!AJ324/1000</f>
        <v>0</v>
      </c>
      <c r="EG324" s="9">
        <f t="shared" si="403"/>
        <v>0</v>
      </c>
      <c r="EH324" s="9">
        <f t="shared" si="404"/>
        <v>0</v>
      </c>
      <c r="EI324" s="39" t="e">
        <f t="shared" si="354"/>
        <v>#DIV/0!</v>
      </c>
      <c r="EJ324" s="9" t="str">
        <f t="shared" si="375"/>
        <v>Азопреципитат</v>
      </c>
      <c r="EK324" s="12">
        <f t="shared" si="355"/>
        <v>0.26</v>
      </c>
      <c r="EL324" s="12">
        <f t="shared" si="356"/>
        <v>0.13</v>
      </c>
      <c r="EM324" s="12">
        <f t="shared" si="357"/>
        <v>0</v>
      </c>
      <c r="EN324" s="12" t="str">
        <f t="shared" si="376"/>
        <v>Нет</v>
      </c>
      <c r="EO324" s="12">
        <f t="shared" si="358"/>
        <v>0</v>
      </c>
      <c r="EP324" s="12">
        <f t="shared" si="359"/>
        <v>0</v>
      </c>
      <c r="EQ324" s="12">
        <f t="shared" si="360"/>
        <v>0</v>
      </c>
      <c r="ER324" s="12" t="str">
        <f t="shared" si="405"/>
        <v>Диаммофоска</v>
      </c>
      <c r="ES324" s="12">
        <f t="shared" si="361"/>
        <v>0.1</v>
      </c>
      <c r="ET324" s="12">
        <f t="shared" si="362"/>
        <v>0.26</v>
      </c>
      <c r="EU324" s="12">
        <f t="shared" si="363"/>
        <v>0.26</v>
      </c>
      <c r="EV324" s="12" t="str">
        <f t="shared" si="406"/>
        <v>Аммофос 12:52:00</v>
      </c>
      <c r="EW324" s="12" t="str">
        <f t="shared" si="407"/>
        <v>Кемира Свекловичное-6</v>
      </c>
      <c r="EX324" s="12">
        <f t="shared" si="364"/>
        <v>0.16</v>
      </c>
      <c r="EY324" s="12">
        <f t="shared" si="365"/>
        <v>0.12</v>
      </c>
      <c r="EZ324" s="12">
        <f t="shared" si="366"/>
        <v>0.17</v>
      </c>
      <c r="FA324" s="38" t="e">
        <f>IF(AND(OR(FJ324=$FD$1,FM324=$FD$1,FO324=$FD$1,FQ324=$FD$1,FS324=$FD$1),FD324=$FD$1,Исходн.данные.!J324&lt;2,FU324=$FD$1),"Бор,Кобальт",IF(AND(FO324=$FD$1,FH324=$FD$1,Исходн.данные.!J324&lt;2,FU324=$FD$1),"Бор,Кобальт",IF(AND(OR(FJ324=$FD$1,FM324=$FD$1,FQ324=$FD$1),FE324=$FD$1,Исходн.данные.!J324&lt;2,FT324=$FD$1,FU324=$FD$1),"Бор,Медь,Цинк",IF(AND(OR(FJ324=$FD$1,FR324="Да"),FI324="Да",Исходн.данные.!J324&lt;2,FT324="Да",FU324="Да"),"Бор,Цинк,Медь",IF(AND(OR(FM324="Да",FQ324="Да"),FI324="Да",Исходн.данные.!J324&lt;2,FT324="Да",FU324="Да"),"Бор,Цинк",IF(AND(FN324="Да",OR(FD324="Да",FE324="Да")),"Бор",FB324))))))</f>
        <v>#N/A</v>
      </c>
      <c r="FB324" s="134" t="e">
        <f>IF(AND(OR(FD324="Да",FE324="Да",FF324="Да",FG324="Да",FH324="Да"),FO324="Да"),"Бор",IF(AND(FP324="Да",OR(FD324="Да",FE324="Да",FI324="Да")),"Бор",IF(AND(FS324="Да",FE324="Да"),"Бор,Медь",IF(AND(OR(FJ324="Да",FK324="Да",FL324="Да"),FE324="Да",Исходн.данные.!I324&lt;5,FT324="Да",FU324="Да"),"Молибден,Цинк",IF(AND(FM324="Да",OR(FE324="Да",FF324="Да",FG324="Да",FH324="Да",FI324="Да")),"Молибден,Цинк",IF(AND(OR(FJ324="Да",FK324="Да",FL324="Да",FM324="Да",FQ324="Да"),OR(FE324="Да",FF324="Да"),FT324="Да",FU324="Да",Исходн.данные.!I324&gt;5.5),"Медь,Цинк",FC324))))))</f>
        <v>#N/A</v>
      </c>
      <c r="FC324" s="23" t="e">
        <f t="shared" si="408"/>
        <v>#N/A</v>
      </c>
      <c r="FD324" s="38" t="str">
        <f>IF(OR(Исходн.данные.!F324=$CC$1,Исходн.данные.!F324=$CC$2,Исходн.данные.!F324=$CC$3,Исходн.данные.!F324=$CC$4),"Да","Нет")</f>
        <v>Нет</v>
      </c>
      <c r="FE324" s="38" t="str">
        <f>IF(Исходн.данные.!F324=$CC$5,"Да","Нет")</f>
        <v>Нет</v>
      </c>
      <c r="FF324" s="38" t="str">
        <f>IF(OR(Исходн.данные.!F324=$CC$6,Исходн.данные.!F324=$CC$7),"Да","Нет")</f>
        <v>Нет</v>
      </c>
      <c r="FG324" s="38" t="str">
        <f>IF(OR(Исходн.данные.!F324=$CC$8,Исходн.данные.!F324=$CC$9),"Да","Нет")</f>
        <v>Нет</v>
      </c>
      <c r="FH324" s="38" t="str">
        <f>IF(Исходн.данные.!F324=$CC$10,"Да","Нет")</f>
        <v>Нет</v>
      </c>
      <c r="FI324" s="38" t="str">
        <f>IF(OR(Исходн.данные.!F324=$CC$11,Исходн.данные.!F324=$CC$12),"Да","Нет")</f>
        <v>Нет</v>
      </c>
      <c r="FJ324" s="38" t="str">
        <f>IF(OR(Исходн.данные.!AH324=$BS$1,Исходн.данные.!AH324=$BQ$11,Исходн.данные.!AH324=$BQ$12),"Да","Нет")</f>
        <v>Нет</v>
      </c>
      <c r="FK324" s="38" t="str">
        <f>IF(OR(Исходн.данные.!AH324=$BS$2,Исходн.данные.!AH324=$BS$4),"Да","Нет")</f>
        <v>Нет</v>
      </c>
      <c r="FL324" s="38" t="str">
        <f>IF(OR(Исходн.данные.!AH324=$BS$3,Исходн.данные.!AH324=$BS$5),"Да","Нет")</f>
        <v>Нет</v>
      </c>
      <c r="FM324" s="38" t="str">
        <f>IF(OR(Исходн.данные.!AH324=$BS$9,Исходн.данные.!AH324=$BS$10,Исходн.данные.!AH324=$BS$11,Исходн.данные.!AH324=$BS$12),"Да","Нет")</f>
        <v>Нет</v>
      </c>
      <c r="FN324" s="38" t="str">
        <f>IF(OR(Исходн.данные.!AH324=$BS$6,Исходн.данные.!AH324=$BP$3),"Да","Нет")</f>
        <v>Нет</v>
      </c>
      <c r="FO324" s="38" t="str">
        <f>IF(Исходн.данные.!AH324=$BQ$9,"Да","Нет")</f>
        <v>Нет</v>
      </c>
      <c r="FP324" s="38" t="str">
        <f>IF(OR(Исходн.данные.!AH324=$BS$8,Исходн.данные.!AH324=$BT$8),"Да","Нет")</f>
        <v>Нет</v>
      </c>
      <c r="FQ324" s="38" t="str">
        <f>IF(OR(Исходн.данные.!AH324=$BQ$7,Исходн.данные.!AH324=$BQ$8),"Да","Нет")</f>
        <v>Нет</v>
      </c>
      <c r="FR324" s="38" t="str">
        <f>IF(Исходн.данные.!AI324=$BU$9,"Да","Нет")</f>
        <v>Нет</v>
      </c>
      <c r="FS324" s="38" t="str">
        <f>IF(OR(Исходн.данные.!AH324=$BP$1,Исходн.данные.!AH324=$BP$2),"Да","Нет")</f>
        <v>Нет</v>
      </c>
      <c r="FT324" s="38" t="e">
        <f>IF((Исходн.данные.!K324*GO324*GS324*GW324+BL324*0.6+Исходн.данные.!Q324*4.5*0.275)&gt;90,"Да","Нет")</f>
        <v>#N/A</v>
      </c>
      <c r="FU324" s="38" t="e">
        <f>IF((Исходн.данные.!M324*GS324*GZ324+BM324*0.225)&gt;35,"Да","Нет")</f>
        <v>#N/A</v>
      </c>
      <c r="FV324" s="38" t="str">
        <f>IF(Исходн.данные.!O324&gt;175,"Да","Нет")</f>
        <v>Нет</v>
      </c>
      <c r="FW324" s="39" t="str">
        <f>IF(Исходн.данные.!I324&gt;5.5,"Да","Нет")</f>
        <v>Нет</v>
      </c>
      <c r="FX324" s="39" t="str">
        <f>IF(Исходн.данные.!J324&lt;2,"Да","Нет")</f>
        <v>Да</v>
      </c>
      <c r="FY324" s="39" t="e">
        <f>IF(HF324=$FY$16,0,Исходн.данные.!K324*GO324*GS324*GW324/HF324)</f>
        <v>#N/A</v>
      </c>
      <c r="FZ324" s="39" t="e">
        <f>Исходн.данные.!M324*GS324*GZ324/HG324</f>
        <v>#N/A</v>
      </c>
      <c r="GA324" s="39" t="e">
        <f>IF(K_Wyn=$FY$16,0,IF(Исходн.данные.!N324=Исходн.данные.!$L$10,Исходн.данные.!O324/1.1*GS324*HC324/HH324,IF(Исходн.данные.!N324=Исходн.данные.!$L$12,Исходн.данные.!O324/1.5*GS324*HC324/HH324,Исходн.данные.!O324*GS324*HC324/HH324)))</f>
        <v>#N/A</v>
      </c>
      <c r="GB324" s="39" t="e">
        <f>IF(HF324=$FY$16,0,((Исходн.данные.!Q324*N_Org+Исходн.данные.!R324*N_Sider+Исходн.данные.!S324*N_Soloma)*AO324+Расчет!BC324*VLOOKUP(Исходн.данные.!T324,Справ!$A$3:$O$57,15)*AO324+BB324*VLOOKUP(Исходн.данные.!T324,Справ!$A$3:$O$57,15)*AL324+(Исходн.данные.!V324*N_Rizotorf+Исходн.данные.!W324*N_Rizoagr))/HF324)</f>
        <v>#N/A</v>
      </c>
      <c r="GC324" s="39" t="e">
        <f>IF(HG324=$FY$16,0,((Исходн.данные.!Q324*Р_Org+Исходн.данные.!R324*P_Sider+Исходн.данные.!S324*P_Soloma)*AP324+Расчет!BC324*VLOOKUP(Исходн.данные.!T324,Справ!$A$3:$P$57,16)*AP324+BB324*VLOOKUP(Исходн.данные.!T324,Справ!$A$3:$P$57,16)*AM324)/HG324)</f>
        <v>#N/A</v>
      </c>
      <c r="GD324" s="39" t="e">
        <f>IF(HH324=$FY$16,0,((Исходн.данные.!Q324*К_Org+Исходн.данные.!R324*K_Sider+Исходн.данные.!S324*K_Soloma)*AQ324+Расчет!BC324*VLOOKUP(Исходн.данные.!T324,Справ!$A$3:$Q$57,17)*AQ324+BB324*VLOOKUP(Исходн.данные.!T324,Справ!$A$3:$Q$57,17)*AN324)/HH324)</f>
        <v>#N/A</v>
      </c>
      <c r="GE324" s="39" t="e">
        <f>IF(HF324=$FY$16,0,(Исходн.данные.!X324*AR324+Исходн.данные.!AA324*N_Org*AL324+Исходн.данные.!AB324*N_Sider*AL324+Исходн.данные.!AC324*N_Soloma*AL324)/HF324)</f>
        <v>#N/A</v>
      </c>
      <c r="GF324" s="39" t="e">
        <f>IF(HG324=$FY$16,0,(Исходн.данные.!Y324*AS324+Исходн.данные.!AA324*Р_Org*AM324+Исходн.данные.!AB324*P_Sider*AM324+Исходн.данные.!AC324*P_Soloma*AM324)/HG324)</f>
        <v>#N/A</v>
      </c>
      <c r="GG324" s="39" t="e">
        <f>IF(HH324=$FY$16,0,(Исходн.данные.!Z324*AT324+Исходн.данные.!AA324*К_Org*AN324+Исходн.данные.!AB324*K_Sider*AN324+Исходн.данные.!AC324*K_Soloma*AN324)/HH324)</f>
        <v>#N/A</v>
      </c>
      <c r="GH324" s="39" t="e">
        <f>Исходн.данные.!AD324*AU324/HF324</f>
        <v>#N/A</v>
      </c>
      <c r="GI324" s="39" t="e">
        <f>Исходн.данные.!AE324*AV324/HG324</f>
        <v>#N/A</v>
      </c>
      <c r="GJ324" s="39" t="e">
        <f>Исходн.данные.!AF324*AW324/HH324</f>
        <v>#N/A</v>
      </c>
      <c r="GK324" s="55">
        <f>Исходн.данные.!AK324</f>
        <v>0</v>
      </c>
      <c r="GL324" s="11" t="e">
        <f t="shared" si="409"/>
        <v>#N/A</v>
      </c>
      <c r="GM324" s="11" t="e">
        <f t="shared" si="410"/>
        <v>#N/A</v>
      </c>
      <c r="GN324" s="11" t="e">
        <f t="shared" si="411"/>
        <v>#N/A</v>
      </c>
      <c r="GO324" s="57">
        <f t="shared" si="412"/>
        <v>19</v>
      </c>
      <c r="GP324" s="55">
        <f>IF(OR(Исходн.данные.!F324=$CE$1,Исходн.данные.!F324=$CE$2,Исходн.данные.!F324=$CE$3,Исходн.данные.!F324=$CE$4,Исходн.данные.!F324=$CE$5),GQ324,GR324)</f>
        <v>19</v>
      </c>
      <c r="GQ324" s="55">
        <f>IF(Исходн.данные.!F324=$CE$1,28,IF(Исходн.данные.!F324=$CE$2,26,IF(Исходн.данные.!F324=$CE$3,24,IF(Исходн.данные.!F324=$CE$4,22,IF(Исходн.данные.!F324=$CE$5,20,GR324)))))</f>
        <v>19</v>
      </c>
      <c r="GR324" s="55">
        <f>IF(Исходн.данные.!F324=$CE$6,18,IF(Исходн.данные.!F324=$CE$7,16,IF(Исходн.данные.!F324=$CE$8,14,IF(Исходн.данные.!F324=$CE$9,13,IF(Исходн.данные.!F324=$CE$10,12,19)))))</f>
        <v>19</v>
      </c>
      <c r="GS324" s="55">
        <f>IF(Исходн.данные.!G324="Пес",0.035*(40+2*Исходн.данные.!H324),IF(Исходн.данные.!G324="Суп",0.0325*(40+2*Исходн.данные.!H324),0.03*(40+2*Исходн.данные.!H324)))</f>
        <v>1.2</v>
      </c>
      <c r="GT324" s="55">
        <f>IF(Исходн.данные.!H324&lt;23,2.6,IF(AND(Исходн.данные.!H324&gt;22,Исходн.данные.!H324&lt;26),3,IF(AND(Исходн.данные.!H324&gt;25,Исходн.данные.!H324&lt;29),3.4,3.6)))</f>
        <v>2.6</v>
      </c>
      <c r="GU324" s="55">
        <f>IF(Исходн.данные.!H324&lt;23,2.8,IF(AND(Исходн.данные.!H324&gt;22,Исходн.данные.!H324&lt;26),3.2,IF(AND(Исходн.данные.!H324&gt;25,Исходн.данные.!H324&lt;29),3.6,3.9)))</f>
        <v>2.8</v>
      </c>
      <c r="GV324" s="55">
        <f>IF(Исходн.данные.!H324&lt;23,3,IF(AND(Исходн.данные.!H324&gt;22,Исходн.данные.!H324&lt;26),3.5,IF(AND(Исходн.данные.!H324&gt;25,Исходн.данные.!H324&lt;29),3.9,4.2)))</f>
        <v>3</v>
      </c>
      <c r="GW324" s="55" t="e">
        <f>IF(Исходн.данные.!P324="Ум",GX324,GY324)</f>
        <v>#N/A</v>
      </c>
      <c r="GX324" s="55" t="e">
        <f>VLOOKUP(Исходн.данные.!AI324,Коэффициенты!$J$7:$L$13,2,FALSE)</f>
        <v>#N/A</v>
      </c>
      <c r="GY324" s="55" t="e">
        <f>VLOOKUP(Исходн.данные.!AI324,Коэффициенты!$J$7:$L$13,3,FALSE)</f>
        <v>#N/A</v>
      </c>
      <c r="GZ324" s="55" t="e">
        <f>(IF(Исходн.данные.!M324&lt;50,0.11*VLOOKUP(Исходн.данные.!AH324,Культуры.Информация,7,FALSE),IF(Исходн.данные.!M324&gt;250,0.05*VLOOKUP(Исходн.данные.!AH324,Культуры.Информация,7,FALSE),VLOOKUP(Исходн.данные.!AH324,Культуры.Информация,5,FALSE)/100*($GX$6+$GY$6*Исходн.данные.!M324))))*Расчет2!AI324</f>
        <v>#N/A</v>
      </c>
      <c r="HA324" s="211"/>
      <c r="HB324" s="211"/>
      <c r="HC324" s="55" t="e">
        <f>(IF(Исходн.данные.!O324&lt;80,0.2*VLOOKUP(Исходн.данные.!AH324,Культуры.Информация,8,FALSE),IF(Исходн.данные.!O324&gt;240,0.09*VLOOKUP(Исходн.данные.!AH324,Культуры.Информация,8,FALSE),VLOOKUP(Исходн.данные.!AH324,Культуры.Информация,6,FALSE)/100*($HB$6+$HC$6*Исходн.данные.!O324))))*Расчет2!AJ324</f>
        <v>#N/A</v>
      </c>
      <c r="HD324" s="55">
        <f>IF(Исходн.данные.!O324&gt;240,0.09,IF(Исходн.данные.!O324&lt;30,0.3,$HE$10+$HD$10*Исходн.данные.!O324))</f>
        <v>0.3</v>
      </c>
      <c r="HE324" s="55">
        <f>IF(Исходн.данные.!O324&gt;240,0.17,IF(Исходн.данные.!O324&lt;30,0.5,$HF$12+$HE$12*Исходн.данные.!O324))</f>
        <v>0.5</v>
      </c>
      <c r="HF324" s="55" t="e">
        <f>VLOOKUP(Исходн.данные.!AH324,Справ!$A$3:$D$58,2,FALSE)</f>
        <v>#N/A</v>
      </c>
      <c r="HG324" s="55" t="e">
        <f>VLOOKUP(Исходн.данные.!AH324,Справ!$A$3:$D$58,3,FALSE)</f>
        <v>#N/A</v>
      </c>
      <c r="HH324" s="55" t="e">
        <f>VLOOKUP(Исходн.данные.!AH324,Справ!$A$3:$D$58,4,FALSE)</f>
        <v>#N/A</v>
      </c>
      <c r="HI324" s="11" t="e">
        <f t="shared" si="413"/>
        <v>#N/A</v>
      </c>
      <c r="HJ324" s="11" t="e">
        <f t="shared" si="414"/>
        <v>#N/A</v>
      </c>
      <c r="HK324" s="11" t="e">
        <f t="shared" si="415"/>
        <v>#N/A</v>
      </c>
      <c r="HL324" s="55">
        <f>IF(OR(Исходн.данные.!G324="Глин",Исходн.данные.!G324="Т_суг"),1.1,IF(Исходн.данные.!G324="Ср_суг",1,1))</f>
        <v>1</v>
      </c>
      <c r="HM324" s="55">
        <f>IF(OR(Исходн.данные.!G324="Глин",Исходн.данные.!G324="Т_суг"),0.9,IF(Исходн.данные.!G324="Ср_суг",1,1.2))</f>
        <v>1.2</v>
      </c>
      <c r="HN324" s="11" t="e">
        <f t="shared" si="416"/>
        <v>#N/A</v>
      </c>
      <c r="HO324" s="11" t="e">
        <f t="shared" si="417"/>
        <v>#N/A</v>
      </c>
      <c r="HP324" s="11" t="e">
        <f t="shared" si="418"/>
        <v>#N/A</v>
      </c>
      <c r="HQ324" t="e">
        <f t="shared" si="419"/>
        <v>#N/A</v>
      </c>
      <c r="HR324" t="e">
        <f t="shared" si="420"/>
        <v>#N/A</v>
      </c>
      <c r="HS324" t="e">
        <f t="shared" si="421"/>
        <v>#N/A</v>
      </c>
      <c r="HT324" t="e">
        <f t="shared" si="367"/>
        <v>#N/A</v>
      </c>
      <c r="HU324" t="e">
        <f t="shared" si="368"/>
        <v>#N/A</v>
      </c>
      <c r="HV324" t="e">
        <f t="shared" si="369"/>
        <v>#N/A</v>
      </c>
      <c r="HW324" t="e">
        <f t="shared" si="370"/>
        <v>#N/A</v>
      </c>
      <c r="HX324" t="e">
        <f t="shared" si="371"/>
        <v>#N/A</v>
      </c>
      <c r="HY324" t="e">
        <f t="shared" si="372"/>
        <v>#N/A</v>
      </c>
      <c r="HZ324" s="55">
        <f>IF(OR(Исходн.данные.!AI324="Оз_Ч_П",Исходн.данные.!AI324="Оз_З_П",Исходн.данные.!AI324="Яр_зер"),12,30)</f>
        <v>30</v>
      </c>
      <c r="IA324" t="e">
        <f t="shared" si="422"/>
        <v>#N/A</v>
      </c>
      <c r="IB324" t="e">
        <f t="shared" si="423"/>
        <v>#N/A</v>
      </c>
      <c r="IC324" t="e">
        <f t="shared" si="424"/>
        <v>#N/A</v>
      </c>
      <c r="ID324" s="11" t="e">
        <f t="shared" si="425"/>
        <v>#N/A</v>
      </c>
      <c r="IE324" s="11" t="e">
        <f t="shared" si="426"/>
        <v>#N/A</v>
      </c>
      <c r="IF324" s="11" t="e">
        <f t="shared" si="427"/>
        <v>#N/A</v>
      </c>
    </row>
    <row r="325" spans="35:240" x14ac:dyDescent="0.2">
      <c r="AI325">
        <f>IF(Исходн.данные.!I325&gt;6,1,1.85-(0.148*Исходн.данные.!I325))</f>
        <v>1.85</v>
      </c>
      <c r="AJ325">
        <f>IF(Исходн.данные.!I325&gt;6,1,2.434-(0.246*Исходн.данные.!I325))</f>
        <v>2.4340000000000002</v>
      </c>
      <c r="AL325" s="148" t="b">
        <f>IF(Исходн.данные.!$P325="Ум",N_OrgUd_2g_um,IF(Исходн.данные.!$P325="Об",N_OrgUd_2g_ob))</f>
        <v>0</v>
      </c>
      <c r="AM325" s="148" t="b">
        <f>IF(Исходн.данные.!$P325="Ум",P_OrgUd_2g_um,IF(Исходн.данные.!$P325="Об",P_OrgUd_2g_ob))</f>
        <v>0</v>
      </c>
      <c r="AN325" s="148" t="b">
        <f>IF(Исходн.данные.!$P325="Ум",K_OrgUd_2g_um,IF(Исходн.данные.!$P325="Об",K_OrgUd_2g_ob))</f>
        <v>0</v>
      </c>
      <c r="AO325" s="148" t="b">
        <f>IF(Исходн.данные.!$P325="Ум",N_OrgUd_1g_um,IF(Исходн.данные.!$P325="Об",N_OrgUd_1g_ob))</f>
        <v>0</v>
      </c>
      <c r="AP325" s="148" t="b">
        <f>IF(Исходн.данные.!$P325="Ум",P_OrgUd_1g_um,IF(Исходн.данные.!$P325="Об",P_OrgUd_1g_ob))</f>
        <v>0</v>
      </c>
      <c r="AQ325" s="148" t="b">
        <f>IF(Исходн.данные.!$P325="Ум",K_OrgUd_1g_um,IF(Исходн.данные.!$P325="Об",K_OrgUd_1g_ob))</f>
        <v>0</v>
      </c>
      <c r="AR325" t="b">
        <f>IF(Исходн.данные.!$P325="Ум",N_MinUd_2g_um,IF(Исходн.данные.!$P325="Об",N_MinUd_2g_ob))</f>
        <v>0</v>
      </c>
      <c r="AS325" t="b">
        <f>IF(Исходн.данные.!$P325="Ум",P_MinUd_2g_um,IF(Исходн.данные.!$P325="Об",P_MinUd_2g_ob))</f>
        <v>0</v>
      </c>
      <c r="AT325" t="b">
        <f>IF(Исходн.данные.!$P325="Ум",K_MinUd_2g_um,IF(Исходн.данные.!$P325="Об",K_MinUd_2g_ob))</f>
        <v>0</v>
      </c>
      <c r="AU325" t="b">
        <f>IF(Исходн.данные.!$P325="Ум",N_MinUd_1g_um,IF(Исходн.данные.!$P325="Об",N_MinUd_1g_ob))</f>
        <v>0</v>
      </c>
      <c r="AV325" t="b">
        <f>IF(Исходн.данные.!P325="Ум",P_MinUd_1g_um,IF(Исходн.данные.!P325="Об",P_MinUd_1g_ob))</f>
        <v>0</v>
      </c>
      <c r="AW325" t="b">
        <f>IF(Исходн.данные.!P325="Ум",K_MinUd_1g_um,IF(Исходн.данные.!P325="Об",K_MinUd_1g_ob))</f>
        <v>0</v>
      </c>
      <c r="AY325" t="e">
        <f>VLOOKUP(Исходн.данные.!T325,Справ!$A$3:$N$57,12)</f>
        <v>#N/A</v>
      </c>
      <c r="AZ325" t="e">
        <f>VLOOKUP(Исходн.данные.!T325,Справ!$A$3:$N$57,13)</f>
        <v>#N/A</v>
      </c>
      <c r="BA325" t="e">
        <f>VLOOKUP(Исходн.данные.!T325,Справ!$A$3:$N$57,14)</f>
        <v>#N/A</v>
      </c>
      <c r="BB325">
        <f>IF(Исходн.данные.!AH325=0,0,25)</f>
        <v>0</v>
      </c>
      <c r="BC325" s="141">
        <f>IF(Исходн.данные.!AH325=0,0,IF(Исходн.данные.!T325=0,25,BD325))</f>
        <v>0</v>
      </c>
      <c r="BD325" s="168" t="e">
        <f>AY325+AZ325*Исходн.данные.!U325-POWER(BA325,2)*Исходн.данные.!U325</f>
        <v>#N/A</v>
      </c>
      <c r="BE32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5" s="25">
        <f>IF(Исходн.данные.!AH325=0,0,MIN(HN325:HP325))</f>
        <v>0</v>
      </c>
      <c r="BG325" s="9">
        <f>IF(Исходн.данные.!AH325=0,0,IF((HO325+10*0.25/HG325/HL325)&lt;17,17,HO325+10*0.25/HG325/HL325))</f>
        <v>0</v>
      </c>
      <c r="BH325" s="181">
        <f>IF(Исходн.данные.!AH325=0,0,HW325*HF325*HL325/AU325*AI325+Исходн.данные.!S325*10)</f>
        <v>0</v>
      </c>
      <c r="BI325" s="10"/>
      <c r="BJ325" s="182">
        <f>IF(Исходн.данные.!AH325=0,0,IF(HX325*HG325*HL325/AV325&lt;0,0,HX325*HG325*HL325/AV325*AJ325))</f>
        <v>0</v>
      </c>
      <c r="BK325" s="182">
        <f>IF(Исходн.данные.!AH325=0,0,HY325*HH325*HM325/AW325)</f>
        <v>0</v>
      </c>
      <c r="BL325" s="10">
        <f>IF(OR(Исходн.данные.!$AH325=$BP$1,Исходн.данные.!$AH325=$BP$2),0,IF(BH325&lt;0,0,IF(OR(Исходн.данные.!T325=Расчет!$BP$1,Исходн.данные.!T325=Расчет!$BP$2,Исходн.данные.!T325=Расчет!$BT$5,Исходн.данные.!T325=Расчет!$BT$6),BH325*0.5,IF(OR(Исходн.данные.!T325=Расчет!$BS$9,Исходн.данные.!T325=Расчет!$BS$10,Исходн.данные.!T325=Расчет!$BS$11,Исходн.данные.!T325=Расчет!$BS$12,Исходн.данные.!T325=Расчет!$BP$5),BH325*0.8,BH325))))</f>
        <v>0</v>
      </c>
      <c r="BM325" s="10">
        <f>IF(OR(Исходн.данные.!$AH325=$BP$1,Исходн.данные.!$AH325=$BP$2),0,IF(BJ325&lt;0,0,IF(Исходн.данные.!I325&lt;4.5,BJ325*1.2,IF(Исходн.данные.!I325&gt;5.1,BJ325,BJ325*((5.1-Исходн.данные.!I325)*0.333+1)))))</f>
        <v>0</v>
      </c>
      <c r="BN325" s="10">
        <f>IF(OR(Исходн.данные.!$AH325=$BP$1,Исходн.данные.!$AH325=$BP$2),60-Исходн.данные.!AF325,IF(BK325&lt;0,0,IF(Исходн.данные.!I325&lt;4.5,BK325*1.2,IF(Исходн.данные.!I325&gt;5.1,BK325,BK325*((5.1-Исходн.данные.!I325)*0.333+1)))))</f>
        <v>0</v>
      </c>
      <c r="BO325" s="9">
        <f>IF(BL325&lt;0,0,BL325*Исходн.данные.!$AJ325/1000)</f>
        <v>0</v>
      </c>
      <c r="BP325" s="9">
        <f>IF(BM325&lt;0,0,BM325*Исходн.данные.!$AJ325/1000)</f>
        <v>0</v>
      </c>
      <c r="BQ325" s="9">
        <f>IF(BN325&lt;0,0,BN325*Исходн.данные.!$AJ325/1000)</f>
        <v>0</v>
      </c>
      <c r="BR325" s="9">
        <f t="shared" si="377"/>
        <v>0</v>
      </c>
      <c r="BS325" s="10" t="str">
        <f t="shared" si="378"/>
        <v>Аммофос 12:52:00</v>
      </c>
      <c r="BT325" s="10" t="str">
        <f t="shared" si="379"/>
        <v>Аммофос 12:52:00</v>
      </c>
      <c r="BU325" s="10" t="str">
        <f t="shared" si="380"/>
        <v>Диаммофоска</v>
      </c>
      <c r="BV325" s="10">
        <f t="shared" si="381"/>
        <v>0</v>
      </c>
      <c r="BW325" s="10"/>
      <c r="BX325" s="10"/>
      <c r="BY325" s="9">
        <f>IF(BL325&lt;0,0,IF(OR(Исходн.данные.!AI325=Расчет!$BU$6,Исходн.данные.!AI325=Расчет!$BU$7),Расчет!BV325,IF(Исходн.данные.!$AG325=$BV$11,BL325,IF(OR(Исходн.данные.!$AH325=$BQ$7,Исходн.данные.!$AH325=$BQ$8),CB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0,IF(Исходн.данные.!$AI325=$BU$11,"Нет",IF(BL325&gt;30,30,BL325)))))))</f>
        <v>0</v>
      </c>
      <c r="BZ325" s="9">
        <f>IF(AND(Исходн.данные.!$AG325=$BV$11,BM325&lt;10),10,IF(Исходн.данные.!$AG325=$BV$11,BM325,IF(OR(Исходн.данные.!$AH325=$BQ$7,Исходн.данные.!$AH325=$BQ$8),CC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10,IF(Исходн.данные.!$AI325=$BU$11,"Нет",IF(BM325&gt;60,60,IF(BM325&lt;10,10,BM325)))))))</f>
        <v>10</v>
      </c>
      <c r="CA325" s="39">
        <f>IF(BN325&lt;0,0,IF(Исходн.данные.!$AG325=$BV$11,BN325,IF(OR(Исходн.данные.!$AH325=$BQ$7,Исходн.данные.!$AH325=$BQ$8),CD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0,IF(Исходн.данные.!$AI325=$BU$11,"Нет",IF(BN325&gt;30,30,BN325))))))</f>
        <v>0</v>
      </c>
      <c r="CB325" s="9">
        <f t="shared" si="382"/>
        <v>0</v>
      </c>
      <c r="CC325" s="9">
        <f t="shared" si="383"/>
        <v>0</v>
      </c>
      <c r="CD325" s="9">
        <f t="shared" si="384"/>
        <v>0</v>
      </c>
      <c r="CE325" s="12">
        <f t="shared" si="385"/>
        <v>10</v>
      </c>
      <c r="CF325" s="9">
        <f t="shared" si="386"/>
        <v>0</v>
      </c>
      <c r="CG325" s="9" t="s">
        <v>231</v>
      </c>
      <c r="CH325" s="132" t="str">
        <f>IF(Исходн.данные.!AP325=Расчет!$CI$16,"Нет",IF(Исходн.данные.!AL325&gt;0,Исходн.данные.!AL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BH$4,IF(OR(Исходн.данные.!AI325=Исходн.данные.!$AI$6,Исходн.данные.!AI325=Исходн.данные.!$AI$7),Расчет!BS325,IF(AND($CF325=0,$CE325&gt;0),EV325,ER325)))))</f>
        <v>Аммофос 12:52:00</v>
      </c>
      <c r="CI325" s="274">
        <f>IF(Расчет!$CH325="Нет","Нет",IF(Исходн.данные.!$AL325&gt;0,VLOOKUP(Расчет!$CH325,АшламаДВ_Irekle,2,FALSE),VLOOKUP(Расчет!$CH325,АшламаДВ_Gomumy,2,FALSE)))</f>
        <v>0.12</v>
      </c>
      <c r="CJ325" s="274">
        <f>IF(Расчет!$CH325="Нет","Нет",IF(Исходн.данные.!$AL325&gt;0,VLOOKUP(Расчет!$CH325,АшламаДВ_Irekle,3,FALSE),VLOOKUP(Расчет!$CH325,АшламаДВ_Gomumy,3,FALSE)))</f>
        <v>0.52</v>
      </c>
      <c r="CK325" s="274">
        <f>IF(Расчет!$CH325="Нет","Нет",IF(Исходн.данные.!$AL325&gt;0,VLOOKUP(Расчет!$CH325,АшламаДВ_Irekle,4,FALSE),VLOOKUP(Расчет!$CH325,АшламаДВ_Gomumy,4,FALSE)))</f>
        <v>0</v>
      </c>
      <c r="CL325" s="70"/>
      <c r="CM325" s="70"/>
      <c r="CN325" s="70"/>
      <c r="CO325" s="70"/>
      <c r="CP325" s="70"/>
      <c r="CQ325" s="70"/>
      <c r="CR325" s="10">
        <f t="shared" si="387"/>
        <v>0</v>
      </c>
      <c r="CS325" s="10">
        <f t="shared" si="388"/>
        <v>19.23076923076923</v>
      </c>
      <c r="CT325" s="10">
        <f t="shared" si="389"/>
        <v>0</v>
      </c>
      <c r="CU325" s="39">
        <f>IF($CH325="Нет",0,IF(CI325=0,30/MIN(CJ325:CK325),IF(Исходн.данные.!$AG325=$BV$11,CR325,IF(OR(Исходн.данные.!$AH325=$BQ$7,Исходн.данные.!$AH325=$BQ$8),90/CI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0,IF(Исходн.данные.!$AI325=$BU$11,"Нет",30/CI325))))))</f>
        <v>250</v>
      </c>
      <c r="CV325" s="39">
        <f>IF($CH325="Нет",0,IF(Исходн.данные.!AH325=0,0,IF(CJ325=0,60/MIN(CI325,CK325),IF(Исходн.данные.!$AG325=$BV$11,CS325,IF(OR(Исходн.данные.!$AH325=$BQ$7,Исходн.данные.!$AH325=$BQ$8),90/CJ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10/CJ325,IF(Исходн.данные.!$AI325=$BU$11,"Нет",60/CJ325)))))))</f>
        <v>0</v>
      </c>
      <c r="CW325" s="39">
        <f>IF($CH325="Нет",0,IF(Исходн.данные.!AH325=0,0,IF(CK325=0,30/MIN(CI325:CJ325),IF(Исходн.данные.!$AG325=$BV$11,CT325,IF(OR(Исходн.данные.!$AH325=$BQ$7,Исходн.данные.!$AH325=$BQ$8),90/CK325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0,IF(Исходн.данные.!$AI325=$BU$11,"Нет",30/CK325)))))))</f>
        <v>0</v>
      </c>
      <c r="CX325" s="133">
        <f>IF(Исходн.данные.!$AG325=$BV$11,MAX(CU325:CW325),IF(OR(Исходн.данные.!$AH325=$BS$8,Исходн.данные.!$AH325=$BQ$9,Исходн.данные.!$AH325=$BQ$10,Исходн.данные.!$AH325=$BQ$11,Исходн.данные.!$AH325=$BQ$12,Исходн.данные.!$AH325=$BP$3,Исходн.данные.!$AH325=$BT$8,$FM325="Да"),CV325,MIN(CU325:CW325)))</f>
        <v>0</v>
      </c>
      <c r="CY325" s="133">
        <f>IF(Исходн.данные.!AH325=0,0,IF(CR325&gt;$CX325,$CX325,CR325))</f>
        <v>0</v>
      </c>
      <c r="CZ325" s="133">
        <f>IF(Исходн.данные.!AH325=0,0,IF(CS325&gt;$CX325,$CX325,CS325))</f>
        <v>0</v>
      </c>
      <c r="DA325" s="133">
        <f>IF(Исходн.данные.!AH325=0,0,IF(CT325&gt;$CX325,$CX325,CT325))</f>
        <v>0</v>
      </c>
      <c r="DB325" s="10">
        <f t="shared" si="390"/>
        <v>0</v>
      </c>
      <c r="DC325" s="39">
        <f>DB325*Исходн.данные.!AJ325/1000</f>
        <v>0</v>
      </c>
      <c r="DD325" s="71">
        <f t="shared" si="391"/>
        <v>0</v>
      </c>
      <c r="DE325" s="9">
        <f t="shared" si="392"/>
        <v>0</v>
      </c>
      <c r="DF325" s="9">
        <f t="shared" si="393"/>
        <v>0</v>
      </c>
      <c r="DG325" s="39">
        <f>IF(BL325&lt;0,0,IF($CH325="Нет",BL325,IF(OR(Исходн.данные.!$AH325=$BP$1,Исходн.данные.!$AH325=$BP$2),0,IF(Исходн.данные.!AI325=$BU$11,BL325,IF(BL325-DD325&lt;0,0,BL325-DD325)))))</f>
        <v>0</v>
      </c>
      <c r="DH325" s="39">
        <f>IF(BM325&lt;0,0,IF($CH325="Нет",BM325,IF(OR(Исходн.данные.!$AH325=$BP$1,Исходн.данные.!$AH325=$BP$2),0,IF(Исходн.данные.!AJ325=$BU$11,BM325,IF(BM325-DE325&lt;0,0,BM325-DE325)))))</f>
        <v>0</v>
      </c>
      <c r="DI325" s="39">
        <f>IF(BN325&lt;0,0,IF($CH325="Нет",BN325,IF(OR(Исходн.данные.!$AH325=$BP$1,Исходн.данные.!$AH325=$BP$2),0,IF(Исходн.данные.!AK325=$BU$11,BN325,IF(BN325-DF325&lt;0,0,BN325-DF325)))))</f>
        <v>0</v>
      </c>
      <c r="DJ325" s="12">
        <f t="shared" si="394"/>
        <v>0</v>
      </c>
      <c r="DK325" s="9">
        <f t="shared" si="395"/>
        <v>0</v>
      </c>
      <c r="DL325" s="39">
        <f>IF(Исходн.данные.!AM325&gt;0,Исходн.данные.!AM325,IF(EG325&gt;0,$BH$10,0))</f>
        <v>0</v>
      </c>
      <c r="DM325" s="186">
        <f>IF($DL325=0,0,IF(Исходн.данные.!AM325&gt;0,VLOOKUP($DL325,АшламаДВ_Irekle,2,FALSE),VLOOKUP($DL325,АшламаДВ_Gomumy,2,FALSE)))</f>
        <v>0</v>
      </c>
      <c r="DN325" s="10">
        <f t="shared" si="373"/>
        <v>0</v>
      </c>
      <c r="DO325" s="9" t="str">
        <f>IF(Исходн.данные.!AN325&gt;0,Исходн.данные.!AN325,Удобрения!$B$37 )</f>
        <v>Хлор.калий</v>
      </c>
      <c r="DP325" s="9">
        <f>IF(Исходн.данные.!AN325&gt;0,VLOOKUP(Исходн.данные.!AN325,АшламаДВ_Irekle,4,FALSE),VLOOKUP(DO325,АшламаДВ_Gomumy,4,FALSE))</f>
        <v>0.6</v>
      </c>
      <c r="DQ325" s="10">
        <f t="shared" si="374"/>
        <v>0</v>
      </c>
      <c r="DR325" s="132" t="str">
        <f>IF(Исходн.данные.!AO325&gt;0,Исходн.данные.!AO325,IF(DH325=0,BS$17,IF(AND($DK325=0,$DJ325&gt;0),EJ325,EN325)))</f>
        <v>Нет</v>
      </c>
      <c r="DS325" s="70" t="str">
        <f>IF($DR325="Нет","Нет",IF(Исходн.данные.!$AO325&gt;0,VLOOKUP($DR325,АшламаДВ_Irekle,2,FALSE),VLOOKUP($DR325,АшламаДВ_Gomumy,2,FALSE)))</f>
        <v>Нет</v>
      </c>
      <c r="DT325" s="70" t="str">
        <f>IF($DR325="Нет","Нет",IF(Исходн.данные.!$AO325&gt;0,VLOOKUP($DR325,АшламаДВ_Irekle,3,FALSE),VLOOKUP($DR325,АшламаДВ_Gomumy,3,FALSE)))</f>
        <v>Нет</v>
      </c>
      <c r="DU325" s="70" t="str">
        <f>IF($DR325="Нет","Нет",IF(Исходн.данные.!$AO325&gt;0,VLOOKUP($DR325,АшламаДВ_Irekle,4,FALSE),VLOOKUP($DR325,АшламаДВ_Gomumy,4,FALSE)))</f>
        <v>Нет</v>
      </c>
      <c r="DV325" s="70"/>
      <c r="DW325" s="70"/>
      <c r="DX325" s="70"/>
      <c r="DY325" s="10">
        <f t="shared" si="396"/>
        <v>0</v>
      </c>
      <c r="DZ325" s="10">
        <f t="shared" si="397"/>
        <v>0</v>
      </c>
      <c r="EA325" s="10">
        <f t="shared" si="398"/>
        <v>0</v>
      </c>
      <c r="EB325" s="10">
        <f t="shared" si="399"/>
        <v>0</v>
      </c>
      <c r="EC325" s="10">
        <f t="shared" si="400"/>
        <v>0</v>
      </c>
      <c r="ED325" s="10">
        <f t="shared" si="401"/>
        <v>0</v>
      </c>
      <c r="EE325" s="10">
        <f t="shared" si="402"/>
        <v>0</v>
      </c>
      <c r="EF325" s="39">
        <f>EB325*Исходн.данные.!AJ325/1000</f>
        <v>0</v>
      </c>
      <c r="EG325" s="9">
        <f t="shared" si="403"/>
        <v>0</v>
      </c>
      <c r="EH325" s="9">
        <f t="shared" si="404"/>
        <v>0</v>
      </c>
      <c r="EI325" s="39" t="e">
        <f t="shared" si="354"/>
        <v>#DIV/0!</v>
      </c>
      <c r="EJ325" s="9" t="str">
        <f t="shared" si="375"/>
        <v>Азопреципитат</v>
      </c>
      <c r="EK325" s="12">
        <f t="shared" si="355"/>
        <v>0.26</v>
      </c>
      <c r="EL325" s="12">
        <f t="shared" si="356"/>
        <v>0.13</v>
      </c>
      <c r="EM325" s="12">
        <f t="shared" si="357"/>
        <v>0</v>
      </c>
      <c r="EN325" s="12" t="str">
        <f t="shared" si="376"/>
        <v>Нет</v>
      </c>
      <c r="EO325" s="12">
        <f t="shared" si="358"/>
        <v>0</v>
      </c>
      <c r="EP325" s="12">
        <f t="shared" si="359"/>
        <v>0</v>
      </c>
      <c r="EQ325" s="12">
        <f t="shared" si="360"/>
        <v>0</v>
      </c>
      <c r="ER325" s="12" t="str">
        <f t="shared" si="405"/>
        <v>Диаммофоска</v>
      </c>
      <c r="ES325" s="12">
        <f t="shared" si="361"/>
        <v>0.1</v>
      </c>
      <c r="ET325" s="12">
        <f t="shared" si="362"/>
        <v>0.26</v>
      </c>
      <c r="EU325" s="12">
        <f t="shared" si="363"/>
        <v>0.26</v>
      </c>
      <c r="EV325" s="12" t="str">
        <f t="shared" si="406"/>
        <v>Аммофос 12:52:00</v>
      </c>
      <c r="EW325" s="12" t="str">
        <f t="shared" si="407"/>
        <v>Кемира Свекловичное-6</v>
      </c>
      <c r="EX325" s="12">
        <f t="shared" si="364"/>
        <v>0.16</v>
      </c>
      <c r="EY325" s="12">
        <f t="shared" si="365"/>
        <v>0.12</v>
      </c>
      <c r="EZ325" s="12">
        <f t="shared" si="366"/>
        <v>0.17</v>
      </c>
      <c r="FA325" s="38" t="e">
        <f>IF(AND(OR(FJ325=$FD$1,FM325=$FD$1,FO325=$FD$1,FQ325=$FD$1,FS325=$FD$1),FD325=$FD$1,Исходн.данные.!J325&lt;2,FU325=$FD$1),"Бор,Кобальт",IF(AND(FO325=$FD$1,FH325=$FD$1,Исходн.данные.!J325&lt;2,FU325=$FD$1),"Бор,Кобальт",IF(AND(OR(FJ325=$FD$1,FM325=$FD$1,FQ325=$FD$1),FE325=$FD$1,Исходн.данные.!J325&lt;2,FT325=$FD$1,FU325=$FD$1),"Бор,Медь,Цинк",IF(AND(OR(FJ325=$FD$1,FR325="Да"),FI325="Да",Исходн.данные.!J325&lt;2,FT325="Да",FU325="Да"),"Бор,Цинк,Медь",IF(AND(OR(FM325="Да",FQ325="Да"),FI325="Да",Исходн.данные.!J325&lt;2,FT325="Да",FU325="Да"),"Бор,Цинк",IF(AND(FN325="Да",OR(FD325="Да",FE325="Да")),"Бор",FB325))))))</f>
        <v>#N/A</v>
      </c>
      <c r="FB325" s="134" t="e">
        <f>IF(AND(OR(FD325="Да",FE325="Да",FF325="Да",FG325="Да",FH325="Да"),FO325="Да"),"Бор",IF(AND(FP325="Да",OR(FD325="Да",FE325="Да",FI325="Да")),"Бор",IF(AND(FS325="Да",FE325="Да"),"Бор,Медь",IF(AND(OR(FJ325="Да",FK325="Да",FL325="Да"),FE325="Да",Исходн.данные.!I325&lt;5,FT325="Да",FU325="Да"),"Молибден,Цинк",IF(AND(FM325="Да",OR(FE325="Да",FF325="Да",FG325="Да",FH325="Да",FI325="Да")),"Молибден,Цинк",IF(AND(OR(FJ325="Да",FK325="Да",FL325="Да",FM325="Да",FQ325="Да"),OR(FE325="Да",FF325="Да"),FT325="Да",FU325="Да",Исходн.данные.!I325&gt;5.5),"Медь,Цинк",FC325))))))</f>
        <v>#N/A</v>
      </c>
      <c r="FC325" s="23" t="e">
        <f t="shared" si="408"/>
        <v>#N/A</v>
      </c>
      <c r="FD325" s="38" t="str">
        <f>IF(OR(Исходн.данные.!F325=$CC$1,Исходн.данные.!F325=$CC$2,Исходн.данные.!F325=$CC$3,Исходн.данные.!F325=$CC$4),"Да","Нет")</f>
        <v>Нет</v>
      </c>
      <c r="FE325" s="38" t="str">
        <f>IF(Исходн.данные.!F325=$CC$5,"Да","Нет")</f>
        <v>Нет</v>
      </c>
      <c r="FF325" s="38" t="str">
        <f>IF(OR(Исходн.данные.!F325=$CC$6,Исходн.данные.!F325=$CC$7),"Да","Нет")</f>
        <v>Нет</v>
      </c>
      <c r="FG325" s="38" t="str">
        <f>IF(OR(Исходн.данные.!F325=$CC$8,Исходн.данные.!F325=$CC$9),"Да","Нет")</f>
        <v>Нет</v>
      </c>
      <c r="FH325" s="38" t="str">
        <f>IF(Исходн.данные.!F325=$CC$10,"Да","Нет")</f>
        <v>Нет</v>
      </c>
      <c r="FI325" s="38" t="str">
        <f>IF(OR(Исходн.данные.!F325=$CC$11,Исходн.данные.!F325=$CC$12),"Да","Нет")</f>
        <v>Нет</v>
      </c>
      <c r="FJ325" s="38" t="str">
        <f>IF(OR(Исходн.данные.!AH325=$BS$1,Исходн.данные.!AH325=$BQ$11,Исходн.данные.!AH325=$BQ$12),"Да","Нет")</f>
        <v>Нет</v>
      </c>
      <c r="FK325" s="38" t="str">
        <f>IF(OR(Исходн.данные.!AH325=$BS$2,Исходн.данные.!AH325=$BS$4),"Да","Нет")</f>
        <v>Нет</v>
      </c>
      <c r="FL325" s="38" t="str">
        <f>IF(OR(Исходн.данные.!AH325=$BS$3,Исходн.данные.!AH325=$BS$5),"Да","Нет")</f>
        <v>Нет</v>
      </c>
      <c r="FM325" s="38" t="str">
        <f>IF(OR(Исходн.данные.!AH325=$BS$9,Исходн.данные.!AH325=$BS$10,Исходн.данные.!AH325=$BS$11,Исходн.данные.!AH325=$BS$12),"Да","Нет")</f>
        <v>Нет</v>
      </c>
      <c r="FN325" s="38" t="str">
        <f>IF(OR(Исходн.данные.!AH325=$BS$6,Исходн.данные.!AH325=$BP$3),"Да","Нет")</f>
        <v>Нет</v>
      </c>
      <c r="FO325" s="38" t="str">
        <f>IF(Исходн.данные.!AH325=$BQ$9,"Да","Нет")</f>
        <v>Нет</v>
      </c>
      <c r="FP325" s="38" t="str">
        <f>IF(OR(Исходн.данные.!AH325=$BS$8,Исходн.данные.!AH325=$BT$8),"Да","Нет")</f>
        <v>Нет</v>
      </c>
      <c r="FQ325" s="38" t="str">
        <f>IF(OR(Исходн.данные.!AH325=$BQ$7,Исходн.данные.!AH325=$BQ$8),"Да","Нет")</f>
        <v>Нет</v>
      </c>
      <c r="FR325" s="38" t="str">
        <f>IF(Исходн.данные.!AI325=$BU$9,"Да","Нет")</f>
        <v>Нет</v>
      </c>
      <c r="FS325" s="38" t="str">
        <f>IF(OR(Исходн.данные.!AH325=$BP$1,Исходн.данные.!AH325=$BP$2),"Да","Нет")</f>
        <v>Нет</v>
      </c>
      <c r="FT325" s="38" t="e">
        <f>IF((Исходн.данные.!K325*GO325*GS325*GW325+BL325*0.6+Исходн.данные.!Q325*4.5*0.275)&gt;90,"Да","Нет")</f>
        <v>#N/A</v>
      </c>
      <c r="FU325" s="38" t="e">
        <f>IF((Исходн.данные.!M325*GS325*GZ325+BM325*0.225)&gt;35,"Да","Нет")</f>
        <v>#N/A</v>
      </c>
      <c r="FV325" s="38" t="str">
        <f>IF(Исходн.данные.!O325&gt;175,"Да","Нет")</f>
        <v>Нет</v>
      </c>
      <c r="FW325" s="39" t="str">
        <f>IF(Исходн.данные.!I325&gt;5.5,"Да","Нет")</f>
        <v>Нет</v>
      </c>
      <c r="FX325" s="39" t="str">
        <f>IF(Исходн.данные.!J325&lt;2,"Да","Нет")</f>
        <v>Да</v>
      </c>
      <c r="FY325" s="39" t="e">
        <f>IF(HF325=$FY$16,0,Исходн.данные.!K325*GO325*GS325*GW325/HF325)</f>
        <v>#N/A</v>
      </c>
      <c r="FZ325" s="39" t="e">
        <f>Исходн.данные.!M325*GS325*GZ325/HG325</f>
        <v>#N/A</v>
      </c>
      <c r="GA325" s="39" t="e">
        <f>IF(K_Wyn=$FY$16,0,IF(Исходн.данные.!N325=Исходн.данные.!$L$10,Исходн.данные.!O325/1.1*GS325*HC325/HH325,IF(Исходн.данные.!N325=Исходн.данные.!$L$12,Исходн.данные.!O325/1.5*GS325*HC325/HH325,Исходн.данные.!O325*GS325*HC325/HH325)))</f>
        <v>#N/A</v>
      </c>
      <c r="GB325" s="39" t="e">
        <f>IF(HF325=$FY$16,0,((Исходн.данные.!Q325*N_Org+Исходн.данные.!R325*N_Sider+Исходн.данные.!S325*N_Soloma)*AO325+Расчет!BC325*VLOOKUP(Исходн.данные.!T325,Справ!$A$3:$O$57,15)*AO325+BB325*VLOOKUP(Исходн.данные.!T325,Справ!$A$3:$O$57,15)*AL325+(Исходн.данные.!V325*N_Rizotorf+Исходн.данные.!W325*N_Rizoagr))/HF325)</f>
        <v>#N/A</v>
      </c>
      <c r="GC325" s="39" t="e">
        <f>IF(HG325=$FY$16,0,((Исходн.данные.!Q325*Р_Org+Исходн.данные.!R325*P_Sider+Исходн.данные.!S325*P_Soloma)*AP325+Расчет!BC325*VLOOKUP(Исходн.данные.!T325,Справ!$A$3:$P$57,16)*AP325+BB325*VLOOKUP(Исходн.данные.!T325,Справ!$A$3:$P$57,16)*AM325)/HG325)</f>
        <v>#N/A</v>
      </c>
      <c r="GD325" s="39" t="e">
        <f>IF(HH325=$FY$16,0,((Исходн.данные.!Q325*К_Org+Исходн.данные.!R325*K_Sider+Исходн.данные.!S325*K_Soloma)*AQ325+Расчет!BC325*VLOOKUP(Исходн.данные.!T325,Справ!$A$3:$Q$57,17)*AQ325+BB325*VLOOKUP(Исходн.данные.!T325,Справ!$A$3:$Q$57,17)*AN325)/HH325)</f>
        <v>#N/A</v>
      </c>
      <c r="GE325" s="39" t="e">
        <f>IF(HF325=$FY$16,0,(Исходн.данные.!X325*AR325+Исходн.данные.!AA325*N_Org*AL325+Исходн.данные.!AB325*N_Sider*AL325+Исходн.данные.!AC325*N_Soloma*AL325)/HF325)</f>
        <v>#N/A</v>
      </c>
      <c r="GF325" s="39" t="e">
        <f>IF(HG325=$FY$16,0,(Исходн.данные.!Y325*AS325+Исходн.данные.!AA325*Р_Org*AM325+Исходн.данные.!AB325*P_Sider*AM325+Исходн.данные.!AC325*P_Soloma*AM325)/HG325)</f>
        <v>#N/A</v>
      </c>
      <c r="GG325" s="39" t="e">
        <f>IF(HH325=$FY$16,0,(Исходн.данные.!Z325*AT325+Исходн.данные.!AA325*К_Org*AN325+Исходн.данные.!AB325*K_Sider*AN325+Исходн.данные.!AC325*K_Soloma*AN325)/HH325)</f>
        <v>#N/A</v>
      </c>
      <c r="GH325" s="39" t="e">
        <f>Исходн.данные.!AD325*AU325/HF325</f>
        <v>#N/A</v>
      </c>
      <c r="GI325" s="39" t="e">
        <f>Исходн.данные.!AE325*AV325/HG325</f>
        <v>#N/A</v>
      </c>
      <c r="GJ325" s="39" t="e">
        <f>Исходн.данные.!AF325*AW325/HH325</f>
        <v>#N/A</v>
      </c>
      <c r="GK325" s="55">
        <f>Исходн.данные.!AK325</f>
        <v>0</v>
      </c>
      <c r="GL325" s="11" t="e">
        <f t="shared" si="409"/>
        <v>#N/A</v>
      </c>
      <c r="GM325" s="11" t="e">
        <f t="shared" si="410"/>
        <v>#N/A</v>
      </c>
      <c r="GN325" s="11" t="e">
        <f t="shared" si="411"/>
        <v>#N/A</v>
      </c>
      <c r="GO325" s="57">
        <f t="shared" si="412"/>
        <v>19</v>
      </c>
      <c r="GP325" s="55">
        <f>IF(OR(Исходн.данные.!F325=$CE$1,Исходн.данные.!F325=$CE$2,Исходн.данные.!F325=$CE$3,Исходн.данные.!F325=$CE$4,Исходн.данные.!F325=$CE$5),GQ325,GR325)</f>
        <v>19</v>
      </c>
      <c r="GQ325" s="55">
        <f>IF(Исходн.данные.!F325=$CE$1,28,IF(Исходн.данные.!F325=$CE$2,26,IF(Исходн.данные.!F325=$CE$3,24,IF(Исходн.данные.!F325=$CE$4,22,IF(Исходн.данные.!F325=$CE$5,20,GR325)))))</f>
        <v>19</v>
      </c>
      <c r="GR325" s="55">
        <f>IF(Исходн.данные.!F325=$CE$6,18,IF(Исходн.данные.!F325=$CE$7,16,IF(Исходн.данные.!F325=$CE$8,14,IF(Исходн.данные.!F325=$CE$9,13,IF(Исходн.данные.!F325=$CE$10,12,19)))))</f>
        <v>19</v>
      </c>
      <c r="GS325" s="55">
        <f>IF(Исходн.данные.!G325="Пес",0.035*(40+2*Исходн.данные.!H325),IF(Исходн.данные.!G325="Суп",0.0325*(40+2*Исходн.данные.!H325),0.03*(40+2*Исходн.данные.!H325)))</f>
        <v>1.2</v>
      </c>
      <c r="GT325" s="55">
        <f>IF(Исходн.данные.!H325&lt;23,2.6,IF(AND(Исходн.данные.!H325&gt;22,Исходн.данные.!H325&lt;26),3,IF(AND(Исходн.данные.!H325&gt;25,Исходн.данные.!H325&lt;29),3.4,3.6)))</f>
        <v>2.6</v>
      </c>
      <c r="GU325" s="55">
        <f>IF(Исходн.данные.!H325&lt;23,2.8,IF(AND(Исходн.данные.!H325&gt;22,Исходн.данные.!H325&lt;26),3.2,IF(AND(Исходн.данные.!H325&gt;25,Исходн.данные.!H325&lt;29),3.6,3.9)))</f>
        <v>2.8</v>
      </c>
      <c r="GV325" s="55">
        <f>IF(Исходн.данные.!H325&lt;23,3,IF(AND(Исходн.данные.!H325&gt;22,Исходн.данные.!H325&lt;26),3.5,IF(AND(Исходн.данные.!H325&gt;25,Исходн.данные.!H325&lt;29),3.9,4.2)))</f>
        <v>3</v>
      </c>
      <c r="GW325" s="55" t="e">
        <f>IF(Исходн.данные.!P325="Ум",GX325,GY325)</f>
        <v>#N/A</v>
      </c>
      <c r="GX325" s="55" t="e">
        <f>VLOOKUP(Исходн.данные.!AI325,Коэффициенты!$J$7:$L$13,2,FALSE)</f>
        <v>#N/A</v>
      </c>
      <c r="GY325" s="55" t="e">
        <f>VLOOKUP(Исходн.данные.!AI325,Коэффициенты!$J$7:$L$13,3,FALSE)</f>
        <v>#N/A</v>
      </c>
      <c r="GZ325" s="55" t="e">
        <f>(IF(Исходн.данные.!M325&lt;50,0.11*VLOOKUP(Исходн.данные.!AH325,Культуры.Информация,7,FALSE),IF(Исходн.данные.!M325&gt;250,0.05*VLOOKUP(Исходн.данные.!AH325,Культуры.Информация,7,FALSE),VLOOKUP(Исходн.данные.!AH325,Культуры.Информация,5,FALSE)/100*($GX$6+$GY$6*Исходн.данные.!M325))))*Расчет2!AI325</f>
        <v>#N/A</v>
      </c>
      <c r="HA325" s="211"/>
      <c r="HB325" s="211"/>
      <c r="HC325" s="55" t="e">
        <f>(IF(Исходн.данные.!O325&lt;80,0.2*VLOOKUP(Исходн.данные.!AH325,Культуры.Информация,8,FALSE),IF(Исходн.данные.!O325&gt;240,0.09*VLOOKUP(Исходн.данные.!AH325,Культуры.Информация,8,FALSE),VLOOKUP(Исходн.данные.!AH325,Культуры.Информация,6,FALSE)/100*($HB$6+$HC$6*Исходн.данные.!O325))))*Расчет2!AJ325</f>
        <v>#N/A</v>
      </c>
      <c r="HD325" s="55">
        <f>IF(Исходн.данные.!O325&gt;240,0.09,IF(Исходн.данные.!O325&lt;30,0.3,$HE$10+$HD$10*Исходн.данные.!O325))</f>
        <v>0.3</v>
      </c>
      <c r="HE325" s="55">
        <f>IF(Исходн.данные.!O325&gt;240,0.17,IF(Исходн.данные.!O325&lt;30,0.5,$HF$12+$HE$12*Исходн.данные.!O325))</f>
        <v>0.5</v>
      </c>
      <c r="HF325" s="55" t="e">
        <f>VLOOKUP(Исходн.данные.!AH325,Справ!$A$3:$D$58,2,FALSE)</f>
        <v>#N/A</v>
      </c>
      <c r="HG325" s="55" t="e">
        <f>VLOOKUP(Исходн.данные.!AH325,Справ!$A$3:$D$58,3,FALSE)</f>
        <v>#N/A</v>
      </c>
      <c r="HH325" s="55" t="e">
        <f>VLOOKUP(Исходн.данные.!AH325,Справ!$A$3:$D$58,4,FALSE)</f>
        <v>#N/A</v>
      </c>
      <c r="HI325" s="11" t="e">
        <f t="shared" si="413"/>
        <v>#N/A</v>
      </c>
      <c r="HJ325" s="11" t="e">
        <f t="shared" si="414"/>
        <v>#N/A</v>
      </c>
      <c r="HK325" s="11" t="e">
        <f t="shared" si="415"/>
        <v>#N/A</v>
      </c>
      <c r="HL325" s="55">
        <f>IF(OR(Исходн.данные.!G325="Глин",Исходн.данные.!G325="Т_суг"),1.1,IF(Исходн.данные.!G325="Ср_суг",1,1))</f>
        <v>1</v>
      </c>
      <c r="HM325" s="55">
        <f>IF(OR(Исходн.данные.!G325="Глин",Исходн.данные.!G325="Т_суг"),0.9,IF(Исходн.данные.!G325="Ср_суг",1,1.2))</f>
        <v>1.2</v>
      </c>
      <c r="HN325" s="11" t="e">
        <f t="shared" si="416"/>
        <v>#N/A</v>
      </c>
      <c r="HO325" s="11" t="e">
        <f t="shared" si="417"/>
        <v>#N/A</v>
      </c>
      <c r="HP325" s="11" t="e">
        <f t="shared" si="418"/>
        <v>#N/A</v>
      </c>
      <c r="HQ325" t="e">
        <f t="shared" si="419"/>
        <v>#N/A</v>
      </c>
      <c r="HR325" t="e">
        <f t="shared" si="420"/>
        <v>#N/A</v>
      </c>
      <c r="HS325" t="e">
        <f t="shared" si="421"/>
        <v>#N/A</v>
      </c>
      <c r="HT325" t="e">
        <f t="shared" si="367"/>
        <v>#N/A</v>
      </c>
      <c r="HU325" t="e">
        <f t="shared" si="368"/>
        <v>#N/A</v>
      </c>
      <c r="HV325" t="e">
        <f t="shared" si="369"/>
        <v>#N/A</v>
      </c>
      <c r="HW325" t="e">
        <f t="shared" si="370"/>
        <v>#N/A</v>
      </c>
      <c r="HX325" t="e">
        <f t="shared" si="371"/>
        <v>#N/A</v>
      </c>
      <c r="HY325" t="e">
        <f t="shared" si="372"/>
        <v>#N/A</v>
      </c>
      <c r="HZ325" s="55">
        <f>IF(OR(Исходн.данные.!AI325="Оз_Ч_П",Исходн.данные.!AI325="Оз_З_П",Исходн.данные.!AI325="Яр_зер"),12,30)</f>
        <v>30</v>
      </c>
      <c r="IA325" t="e">
        <f t="shared" si="422"/>
        <v>#N/A</v>
      </c>
      <c r="IB325" t="e">
        <f t="shared" si="423"/>
        <v>#N/A</v>
      </c>
      <c r="IC325" t="e">
        <f t="shared" si="424"/>
        <v>#N/A</v>
      </c>
      <c r="ID325" s="11" t="e">
        <f t="shared" si="425"/>
        <v>#N/A</v>
      </c>
      <c r="IE325" s="11" t="e">
        <f t="shared" si="426"/>
        <v>#N/A</v>
      </c>
      <c r="IF325" s="11" t="e">
        <f t="shared" si="427"/>
        <v>#N/A</v>
      </c>
    </row>
    <row r="326" spans="35:240" x14ac:dyDescent="0.2">
      <c r="AI326">
        <f>IF(Исходн.данные.!I326&gt;6,1,1.85-(0.148*Исходн.данные.!I326))</f>
        <v>1.85</v>
      </c>
      <c r="AJ326">
        <f>IF(Исходн.данные.!I326&gt;6,1,2.434-(0.246*Исходн.данные.!I326))</f>
        <v>2.4340000000000002</v>
      </c>
      <c r="AL326" s="148" t="b">
        <f>IF(Исходн.данные.!$P326="Ум",N_OrgUd_2g_um,IF(Исходн.данные.!$P326="Об",N_OrgUd_2g_ob))</f>
        <v>0</v>
      </c>
      <c r="AM326" s="148" t="b">
        <f>IF(Исходн.данные.!$P326="Ум",P_OrgUd_2g_um,IF(Исходн.данные.!$P326="Об",P_OrgUd_2g_ob))</f>
        <v>0</v>
      </c>
      <c r="AN326" s="148" t="b">
        <f>IF(Исходн.данные.!$P326="Ум",K_OrgUd_2g_um,IF(Исходн.данные.!$P326="Об",K_OrgUd_2g_ob))</f>
        <v>0</v>
      </c>
      <c r="AO326" s="148" t="b">
        <f>IF(Исходн.данные.!$P326="Ум",N_OrgUd_1g_um,IF(Исходн.данные.!$P326="Об",N_OrgUd_1g_ob))</f>
        <v>0</v>
      </c>
      <c r="AP326" s="148" t="b">
        <f>IF(Исходн.данные.!$P326="Ум",P_OrgUd_1g_um,IF(Исходн.данные.!$P326="Об",P_OrgUd_1g_ob))</f>
        <v>0</v>
      </c>
      <c r="AQ326" s="148" t="b">
        <f>IF(Исходн.данные.!$P326="Ум",K_OrgUd_1g_um,IF(Исходн.данные.!$P326="Об",K_OrgUd_1g_ob))</f>
        <v>0</v>
      </c>
      <c r="AR326" t="b">
        <f>IF(Исходн.данные.!$P326="Ум",N_MinUd_2g_um,IF(Исходн.данные.!$P326="Об",N_MinUd_2g_ob))</f>
        <v>0</v>
      </c>
      <c r="AS326" t="b">
        <f>IF(Исходн.данные.!$P326="Ум",P_MinUd_2g_um,IF(Исходн.данные.!$P326="Об",P_MinUd_2g_ob))</f>
        <v>0</v>
      </c>
      <c r="AT326" t="b">
        <f>IF(Исходн.данные.!$P326="Ум",K_MinUd_2g_um,IF(Исходн.данные.!$P326="Об",K_MinUd_2g_ob))</f>
        <v>0</v>
      </c>
      <c r="AU326" t="b">
        <f>IF(Исходн.данные.!$P326="Ум",N_MinUd_1g_um,IF(Исходн.данные.!$P326="Об",N_MinUd_1g_ob))</f>
        <v>0</v>
      </c>
      <c r="AV326" t="b">
        <f>IF(Исходн.данные.!P326="Ум",P_MinUd_1g_um,IF(Исходн.данные.!P326="Об",P_MinUd_1g_ob))</f>
        <v>0</v>
      </c>
      <c r="AW326" t="b">
        <f>IF(Исходн.данные.!P326="Ум",K_MinUd_1g_um,IF(Исходн.данные.!P326="Об",K_MinUd_1g_ob))</f>
        <v>0</v>
      </c>
      <c r="AY326" t="e">
        <f>VLOOKUP(Исходн.данные.!T326,Справ!$A$3:$N$57,12)</f>
        <v>#N/A</v>
      </c>
      <c r="AZ326" t="e">
        <f>VLOOKUP(Исходн.данные.!T326,Справ!$A$3:$N$57,13)</f>
        <v>#N/A</v>
      </c>
      <c r="BA326" t="e">
        <f>VLOOKUP(Исходн.данные.!T326,Справ!$A$3:$N$57,14)</f>
        <v>#N/A</v>
      </c>
      <c r="BB326">
        <f>IF(Исходн.данные.!AH326=0,0,25)</f>
        <v>0</v>
      </c>
      <c r="BC326" s="141">
        <f>IF(Исходн.данные.!AH326=0,0,IF(Исходн.данные.!T326=0,25,BD326))</f>
        <v>0</v>
      </c>
      <c r="BD326" s="168" t="e">
        <f>AY326+AZ326*Исходн.данные.!U326-POWER(BA326,2)*Исходн.данные.!U326</f>
        <v>#N/A</v>
      </c>
      <c r="BE32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6" s="25">
        <f>IF(Исходн.данные.!AH326=0,0,MIN(HN326:HP326))</f>
        <v>0</v>
      </c>
      <c r="BG326" s="9">
        <f>IF(Исходн.данные.!AH326=0,0,IF((HO326+10*0.25/HG326/HL326)&lt;17,17,HO326+10*0.25/HG326/HL326))</f>
        <v>0</v>
      </c>
      <c r="BH326" s="181">
        <f>IF(Исходн.данные.!AH326=0,0,HW326*HF326*HL326/AU326*AI326+Исходн.данные.!S326*10)</f>
        <v>0</v>
      </c>
      <c r="BI326" s="10"/>
      <c r="BJ326" s="182">
        <f>IF(Исходн.данные.!AH326=0,0,IF(HX326*HG326*HL326/AV326&lt;0,0,HX326*HG326*HL326/AV326*AJ326))</f>
        <v>0</v>
      </c>
      <c r="BK326" s="182">
        <f>IF(Исходн.данные.!AH326=0,0,HY326*HH326*HM326/AW326)</f>
        <v>0</v>
      </c>
      <c r="BL326" s="10">
        <f>IF(OR(Исходн.данные.!$AH326=$BP$1,Исходн.данные.!$AH326=$BP$2),0,IF(BH326&lt;0,0,IF(OR(Исходн.данные.!T326=Расчет!$BP$1,Исходн.данные.!T326=Расчет!$BP$2,Исходн.данные.!T326=Расчет!$BT$5,Исходн.данные.!T326=Расчет!$BT$6),BH326*0.5,IF(OR(Исходн.данные.!T326=Расчет!$BS$9,Исходн.данные.!T326=Расчет!$BS$10,Исходн.данные.!T326=Расчет!$BS$11,Исходн.данные.!T326=Расчет!$BS$12,Исходн.данные.!T326=Расчет!$BP$5),BH326*0.8,BH326))))</f>
        <v>0</v>
      </c>
      <c r="BM326" s="10">
        <f>IF(OR(Исходн.данные.!$AH326=$BP$1,Исходн.данные.!$AH326=$BP$2),0,IF(BJ326&lt;0,0,IF(Исходн.данные.!I326&lt;4.5,BJ326*1.2,IF(Исходн.данные.!I326&gt;5.1,BJ326,BJ326*((5.1-Исходн.данные.!I326)*0.333+1)))))</f>
        <v>0</v>
      </c>
      <c r="BN326" s="10">
        <f>IF(OR(Исходн.данные.!$AH326=$BP$1,Исходн.данные.!$AH326=$BP$2),60-Исходн.данные.!AF326,IF(BK326&lt;0,0,IF(Исходн.данные.!I326&lt;4.5,BK326*1.2,IF(Исходн.данные.!I326&gt;5.1,BK326,BK326*((5.1-Исходн.данные.!I326)*0.333+1)))))</f>
        <v>0</v>
      </c>
      <c r="BO326" s="9">
        <f>IF(BL326&lt;0,0,BL326*Исходн.данные.!$AJ326/1000)</f>
        <v>0</v>
      </c>
      <c r="BP326" s="9">
        <f>IF(BM326&lt;0,0,BM326*Исходн.данные.!$AJ326/1000)</f>
        <v>0</v>
      </c>
      <c r="BQ326" s="9">
        <f>IF(BN326&lt;0,0,BN326*Исходн.данные.!$AJ326/1000)</f>
        <v>0</v>
      </c>
      <c r="BR326" s="9">
        <f t="shared" si="377"/>
        <v>0</v>
      </c>
      <c r="BS326" s="10" t="str">
        <f t="shared" si="378"/>
        <v>Аммофос 12:52:00</v>
      </c>
      <c r="BT326" s="10" t="str">
        <f t="shared" si="379"/>
        <v>Аммофос 12:52:00</v>
      </c>
      <c r="BU326" s="10" t="str">
        <f t="shared" si="380"/>
        <v>Диаммофоска</v>
      </c>
      <c r="BV326" s="10">
        <f t="shared" si="381"/>
        <v>0</v>
      </c>
      <c r="BW326" s="10"/>
      <c r="BX326" s="10"/>
      <c r="BY326" s="9">
        <f>IF(BL326&lt;0,0,IF(OR(Исходн.данные.!AI326=Расчет!$BU$6,Исходн.данные.!AI326=Расчет!$BU$7),Расчет!BV326,IF(Исходн.данные.!$AG326=$BV$11,BL326,IF(OR(Исходн.данные.!$AH326=$BQ$7,Исходн.данные.!$AH326=$BQ$8),CB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0,IF(Исходн.данные.!$AI326=$BU$11,"Нет",IF(BL326&gt;30,30,BL326)))))))</f>
        <v>0</v>
      </c>
      <c r="BZ326" s="9">
        <f>IF(AND(Исходн.данные.!$AG326=$BV$11,BM326&lt;10),10,IF(Исходн.данные.!$AG326=$BV$11,BM326,IF(OR(Исходн.данные.!$AH326=$BQ$7,Исходн.данные.!$AH326=$BQ$8),CC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10,IF(Исходн.данные.!$AI326=$BU$11,"Нет",IF(BM326&gt;60,60,IF(BM326&lt;10,10,BM326)))))))</f>
        <v>10</v>
      </c>
      <c r="CA326" s="39">
        <f>IF(BN326&lt;0,0,IF(Исходн.данные.!$AG326=$BV$11,BN326,IF(OR(Исходн.данные.!$AH326=$BQ$7,Исходн.данные.!$AH326=$BQ$8),CD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0,IF(Исходн.данные.!$AI326=$BU$11,"Нет",IF(BN326&gt;30,30,BN326))))))</f>
        <v>0</v>
      </c>
      <c r="CB326" s="9">
        <f t="shared" si="382"/>
        <v>0</v>
      </c>
      <c r="CC326" s="9">
        <f t="shared" si="383"/>
        <v>0</v>
      </c>
      <c r="CD326" s="9">
        <f t="shared" si="384"/>
        <v>0</v>
      </c>
      <c r="CE326" s="12">
        <f t="shared" si="385"/>
        <v>10</v>
      </c>
      <c r="CF326" s="9">
        <f t="shared" si="386"/>
        <v>0</v>
      </c>
      <c r="CG326" s="9" t="s">
        <v>231</v>
      </c>
      <c r="CH326" s="132" t="str">
        <f>IF(Исходн.данные.!AP326=Расчет!$CI$16,"Нет",IF(Исходн.данные.!AL326&gt;0,Исходн.данные.!AL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BH$4,IF(OR(Исходн.данные.!AI326=Исходн.данные.!$AI$6,Исходн.данные.!AI326=Исходн.данные.!$AI$7),Расчет!BS326,IF(AND($CF326=0,$CE326&gt;0),EV326,ER326)))))</f>
        <v>Аммофос 12:52:00</v>
      </c>
      <c r="CI326" s="274">
        <f>IF(Расчет!$CH326="Нет","Нет",IF(Исходн.данные.!$AL326&gt;0,VLOOKUP(Расчет!$CH326,АшламаДВ_Irekle,2,FALSE),VLOOKUP(Расчет!$CH326,АшламаДВ_Gomumy,2,FALSE)))</f>
        <v>0.12</v>
      </c>
      <c r="CJ326" s="274">
        <f>IF(Расчет!$CH326="Нет","Нет",IF(Исходн.данные.!$AL326&gt;0,VLOOKUP(Расчет!$CH326,АшламаДВ_Irekle,3,FALSE),VLOOKUP(Расчет!$CH326,АшламаДВ_Gomumy,3,FALSE)))</f>
        <v>0.52</v>
      </c>
      <c r="CK326" s="274">
        <f>IF(Расчет!$CH326="Нет","Нет",IF(Исходн.данные.!$AL326&gt;0,VLOOKUP(Расчет!$CH326,АшламаДВ_Irekle,4,FALSE),VLOOKUP(Расчет!$CH326,АшламаДВ_Gomumy,4,FALSE)))</f>
        <v>0</v>
      </c>
      <c r="CL326" s="70"/>
      <c r="CM326" s="70"/>
      <c r="CN326" s="70"/>
      <c r="CO326" s="70"/>
      <c r="CP326" s="70"/>
      <c r="CQ326" s="70"/>
      <c r="CR326" s="10">
        <f t="shared" si="387"/>
        <v>0</v>
      </c>
      <c r="CS326" s="10">
        <f t="shared" si="388"/>
        <v>19.23076923076923</v>
      </c>
      <c r="CT326" s="10">
        <f t="shared" si="389"/>
        <v>0</v>
      </c>
      <c r="CU326" s="39">
        <f>IF($CH326="Нет",0,IF(CI326=0,30/MIN(CJ326:CK326),IF(Исходн.данные.!$AG326=$BV$11,CR326,IF(OR(Исходн.данные.!$AH326=$BQ$7,Исходн.данные.!$AH326=$BQ$8),90/CI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0,IF(Исходн.данные.!$AI326=$BU$11,"Нет",30/CI326))))))</f>
        <v>250</v>
      </c>
      <c r="CV326" s="39">
        <f>IF($CH326="Нет",0,IF(Исходн.данные.!AH326=0,0,IF(CJ326=0,60/MIN(CI326,CK326),IF(Исходн.данные.!$AG326=$BV$11,CS326,IF(OR(Исходн.данные.!$AH326=$BQ$7,Исходн.данные.!$AH326=$BQ$8),90/CJ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10/CJ326,IF(Исходн.данные.!$AI326=$BU$11,"Нет",60/CJ326)))))))</f>
        <v>0</v>
      </c>
      <c r="CW326" s="39">
        <f>IF($CH326="Нет",0,IF(Исходн.данные.!AH326=0,0,IF(CK326=0,30/MIN(CI326:CJ326),IF(Исходн.данные.!$AG326=$BV$11,CT326,IF(OR(Исходн.данные.!$AH326=$BQ$7,Исходн.данные.!$AH326=$BQ$8),90/CK326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0,IF(Исходн.данные.!$AI326=$BU$11,"Нет",30/CK326)))))))</f>
        <v>0</v>
      </c>
      <c r="CX326" s="133">
        <f>IF(Исходн.данные.!$AG326=$BV$11,MAX(CU326:CW326),IF(OR(Исходн.данные.!$AH326=$BS$8,Исходн.данные.!$AH326=$BQ$9,Исходн.данные.!$AH326=$BQ$10,Исходн.данные.!$AH326=$BQ$11,Исходн.данные.!$AH326=$BQ$12,Исходн.данные.!$AH326=$BP$3,Исходн.данные.!$AH326=$BT$8,$FM326="Да"),CV326,MIN(CU326:CW326)))</f>
        <v>0</v>
      </c>
      <c r="CY326" s="133">
        <f>IF(Исходн.данные.!AH326=0,0,IF(CR326&gt;$CX326,$CX326,CR326))</f>
        <v>0</v>
      </c>
      <c r="CZ326" s="133">
        <f>IF(Исходн.данные.!AH326=0,0,IF(CS326&gt;$CX326,$CX326,CS326))</f>
        <v>0</v>
      </c>
      <c r="DA326" s="133">
        <f>IF(Исходн.данные.!AH326=0,0,IF(CT326&gt;$CX326,$CX326,CT326))</f>
        <v>0</v>
      </c>
      <c r="DB326" s="10">
        <f t="shared" si="390"/>
        <v>0</v>
      </c>
      <c r="DC326" s="39">
        <f>DB326*Исходн.данные.!AJ326/1000</f>
        <v>0</v>
      </c>
      <c r="DD326" s="71">
        <f t="shared" si="391"/>
        <v>0</v>
      </c>
      <c r="DE326" s="9">
        <f t="shared" si="392"/>
        <v>0</v>
      </c>
      <c r="DF326" s="9">
        <f t="shared" si="393"/>
        <v>0</v>
      </c>
      <c r="DG326" s="39">
        <f>IF(BL326&lt;0,0,IF($CH326="Нет",BL326,IF(OR(Исходн.данные.!$AH326=$BP$1,Исходн.данные.!$AH326=$BP$2),0,IF(Исходн.данные.!AI326=$BU$11,BL326,IF(BL326-DD326&lt;0,0,BL326-DD326)))))</f>
        <v>0</v>
      </c>
      <c r="DH326" s="39">
        <f>IF(BM326&lt;0,0,IF($CH326="Нет",BM326,IF(OR(Исходн.данные.!$AH326=$BP$1,Исходн.данные.!$AH326=$BP$2),0,IF(Исходн.данные.!AJ326=$BU$11,BM326,IF(BM326-DE326&lt;0,0,BM326-DE326)))))</f>
        <v>0</v>
      </c>
      <c r="DI326" s="39">
        <f>IF(BN326&lt;0,0,IF($CH326="Нет",BN326,IF(OR(Исходн.данные.!$AH326=$BP$1,Исходн.данные.!$AH326=$BP$2),0,IF(Исходн.данные.!AK326=$BU$11,BN326,IF(BN326-DF326&lt;0,0,BN326-DF326)))))</f>
        <v>0</v>
      </c>
      <c r="DJ326" s="12">
        <f t="shared" si="394"/>
        <v>0</v>
      </c>
      <c r="DK326" s="9">
        <f t="shared" si="395"/>
        <v>0</v>
      </c>
      <c r="DL326" s="39">
        <f>IF(Исходн.данные.!AM326&gt;0,Исходн.данные.!AM326,IF(EG326&gt;0,$BH$10,0))</f>
        <v>0</v>
      </c>
      <c r="DM326" s="186">
        <f>IF($DL326=0,0,IF(Исходн.данные.!AM326&gt;0,VLOOKUP($DL326,АшламаДВ_Irekle,2,FALSE),VLOOKUP($DL326,АшламаДВ_Gomumy,2,FALSE)))</f>
        <v>0</v>
      </c>
      <c r="DN326" s="10">
        <f t="shared" si="373"/>
        <v>0</v>
      </c>
      <c r="DO326" s="9" t="str">
        <f>IF(Исходн.данные.!AN326&gt;0,Исходн.данные.!AN326,Удобрения!$B$37 )</f>
        <v>Хлор.калий</v>
      </c>
      <c r="DP326" s="9">
        <f>IF(Исходн.данные.!AN326&gt;0,VLOOKUP(Исходн.данные.!AN326,АшламаДВ_Irekle,4,FALSE),VLOOKUP(DO326,АшламаДВ_Gomumy,4,FALSE))</f>
        <v>0.6</v>
      </c>
      <c r="DQ326" s="10">
        <f t="shared" si="374"/>
        <v>0</v>
      </c>
      <c r="DR326" s="132" t="str">
        <f>IF(Исходн.данные.!AO326&gt;0,Исходн.данные.!AO326,IF(DH326=0,BS$17,IF(AND($DK326=0,$DJ326&gt;0),EJ326,EN326)))</f>
        <v>Нет</v>
      </c>
      <c r="DS326" s="70" t="str">
        <f>IF($DR326="Нет","Нет",IF(Исходн.данные.!$AO326&gt;0,VLOOKUP($DR326,АшламаДВ_Irekle,2,FALSE),VLOOKUP($DR326,АшламаДВ_Gomumy,2,FALSE)))</f>
        <v>Нет</v>
      </c>
      <c r="DT326" s="70" t="str">
        <f>IF($DR326="Нет","Нет",IF(Исходн.данные.!$AO326&gt;0,VLOOKUP($DR326,АшламаДВ_Irekle,3,FALSE),VLOOKUP($DR326,АшламаДВ_Gomumy,3,FALSE)))</f>
        <v>Нет</v>
      </c>
      <c r="DU326" s="70" t="str">
        <f>IF($DR326="Нет","Нет",IF(Исходн.данные.!$AO326&gt;0,VLOOKUP($DR326,АшламаДВ_Irekle,4,FALSE),VLOOKUP($DR326,АшламаДВ_Gomumy,4,FALSE)))</f>
        <v>Нет</v>
      </c>
      <c r="DV326" s="70"/>
      <c r="DW326" s="70"/>
      <c r="DX326" s="70"/>
      <c r="DY326" s="10">
        <f t="shared" si="396"/>
        <v>0</v>
      </c>
      <c r="DZ326" s="10">
        <f t="shared" si="397"/>
        <v>0</v>
      </c>
      <c r="EA326" s="10">
        <f t="shared" si="398"/>
        <v>0</v>
      </c>
      <c r="EB326" s="10">
        <f t="shared" si="399"/>
        <v>0</v>
      </c>
      <c r="EC326" s="10">
        <f t="shared" si="400"/>
        <v>0</v>
      </c>
      <c r="ED326" s="10">
        <f t="shared" si="401"/>
        <v>0</v>
      </c>
      <c r="EE326" s="10">
        <f t="shared" si="402"/>
        <v>0</v>
      </c>
      <c r="EF326" s="39">
        <f>EB326*Исходн.данные.!AJ326/1000</f>
        <v>0</v>
      </c>
      <c r="EG326" s="9">
        <f t="shared" si="403"/>
        <v>0</v>
      </c>
      <c r="EH326" s="9">
        <f t="shared" si="404"/>
        <v>0</v>
      </c>
      <c r="EI326" s="39" t="e">
        <f t="shared" si="354"/>
        <v>#DIV/0!</v>
      </c>
      <c r="EJ326" s="9" t="str">
        <f t="shared" si="375"/>
        <v>Азопреципитат</v>
      </c>
      <c r="EK326" s="12">
        <f t="shared" si="355"/>
        <v>0.26</v>
      </c>
      <c r="EL326" s="12">
        <f t="shared" si="356"/>
        <v>0.13</v>
      </c>
      <c r="EM326" s="12">
        <f t="shared" si="357"/>
        <v>0</v>
      </c>
      <c r="EN326" s="12" t="str">
        <f t="shared" si="376"/>
        <v>Нет</v>
      </c>
      <c r="EO326" s="12">
        <f t="shared" si="358"/>
        <v>0</v>
      </c>
      <c r="EP326" s="12">
        <f t="shared" si="359"/>
        <v>0</v>
      </c>
      <c r="EQ326" s="12">
        <f t="shared" si="360"/>
        <v>0</v>
      </c>
      <c r="ER326" s="12" t="str">
        <f t="shared" si="405"/>
        <v>Диаммофоска</v>
      </c>
      <c r="ES326" s="12">
        <f t="shared" si="361"/>
        <v>0.1</v>
      </c>
      <c r="ET326" s="12">
        <f t="shared" si="362"/>
        <v>0.26</v>
      </c>
      <c r="EU326" s="12">
        <f t="shared" si="363"/>
        <v>0.26</v>
      </c>
      <c r="EV326" s="12" t="str">
        <f t="shared" si="406"/>
        <v>Аммофос 12:52:00</v>
      </c>
      <c r="EW326" s="12" t="str">
        <f t="shared" si="407"/>
        <v>Кемира Свекловичное-6</v>
      </c>
      <c r="EX326" s="12">
        <f t="shared" si="364"/>
        <v>0.16</v>
      </c>
      <c r="EY326" s="12">
        <f t="shared" si="365"/>
        <v>0.12</v>
      </c>
      <c r="EZ326" s="12">
        <f t="shared" si="366"/>
        <v>0.17</v>
      </c>
      <c r="FA326" s="38" t="e">
        <f>IF(AND(OR(FJ326=$FD$1,FM326=$FD$1,FO326=$FD$1,FQ326=$FD$1,FS326=$FD$1),FD326=$FD$1,Исходн.данные.!J326&lt;2,FU326=$FD$1),"Бор,Кобальт",IF(AND(FO326=$FD$1,FH326=$FD$1,Исходн.данные.!J326&lt;2,FU326=$FD$1),"Бор,Кобальт",IF(AND(OR(FJ326=$FD$1,FM326=$FD$1,FQ326=$FD$1),FE326=$FD$1,Исходн.данные.!J326&lt;2,FT326=$FD$1,FU326=$FD$1),"Бор,Медь,Цинк",IF(AND(OR(FJ326=$FD$1,FR326="Да"),FI326="Да",Исходн.данные.!J326&lt;2,FT326="Да",FU326="Да"),"Бор,Цинк,Медь",IF(AND(OR(FM326="Да",FQ326="Да"),FI326="Да",Исходн.данные.!J326&lt;2,FT326="Да",FU326="Да"),"Бор,Цинк",IF(AND(FN326="Да",OR(FD326="Да",FE326="Да")),"Бор",FB326))))))</f>
        <v>#N/A</v>
      </c>
      <c r="FB326" s="134" t="e">
        <f>IF(AND(OR(FD326="Да",FE326="Да",FF326="Да",FG326="Да",FH326="Да"),FO326="Да"),"Бор",IF(AND(FP326="Да",OR(FD326="Да",FE326="Да",FI326="Да")),"Бор",IF(AND(FS326="Да",FE326="Да"),"Бор,Медь",IF(AND(OR(FJ326="Да",FK326="Да",FL326="Да"),FE326="Да",Исходн.данные.!I326&lt;5,FT326="Да",FU326="Да"),"Молибден,Цинк",IF(AND(FM326="Да",OR(FE326="Да",FF326="Да",FG326="Да",FH326="Да",FI326="Да")),"Молибден,Цинк",IF(AND(OR(FJ326="Да",FK326="Да",FL326="Да",FM326="Да",FQ326="Да"),OR(FE326="Да",FF326="Да"),FT326="Да",FU326="Да",Исходн.данные.!I326&gt;5.5),"Медь,Цинк",FC326))))))</f>
        <v>#N/A</v>
      </c>
      <c r="FC326" s="23" t="e">
        <f t="shared" si="408"/>
        <v>#N/A</v>
      </c>
      <c r="FD326" s="38" t="str">
        <f>IF(OR(Исходн.данные.!F326=$CC$1,Исходн.данные.!F326=$CC$2,Исходн.данные.!F326=$CC$3,Исходн.данные.!F326=$CC$4),"Да","Нет")</f>
        <v>Нет</v>
      </c>
      <c r="FE326" s="38" t="str">
        <f>IF(Исходн.данные.!F326=$CC$5,"Да","Нет")</f>
        <v>Нет</v>
      </c>
      <c r="FF326" s="38" t="str">
        <f>IF(OR(Исходн.данные.!F326=$CC$6,Исходн.данные.!F326=$CC$7),"Да","Нет")</f>
        <v>Нет</v>
      </c>
      <c r="FG326" s="38" t="str">
        <f>IF(OR(Исходн.данные.!F326=$CC$8,Исходн.данные.!F326=$CC$9),"Да","Нет")</f>
        <v>Нет</v>
      </c>
      <c r="FH326" s="38" t="str">
        <f>IF(Исходн.данные.!F326=$CC$10,"Да","Нет")</f>
        <v>Нет</v>
      </c>
      <c r="FI326" s="38" t="str">
        <f>IF(OR(Исходн.данные.!F326=$CC$11,Исходн.данные.!F326=$CC$12),"Да","Нет")</f>
        <v>Нет</v>
      </c>
      <c r="FJ326" s="38" t="str">
        <f>IF(OR(Исходн.данные.!AH326=$BS$1,Исходн.данные.!AH326=$BQ$11,Исходн.данные.!AH326=$BQ$12),"Да","Нет")</f>
        <v>Нет</v>
      </c>
      <c r="FK326" s="38" t="str">
        <f>IF(OR(Исходн.данные.!AH326=$BS$2,Исходн.данные.!AH326=$BS$4),"Да","Нет")</f>
        <v>Нет</v>
      </c>
      <c r="FL326" s="38" t="str">
        <f>IF(OR(Исходн.данные.!AH326=$BS$3,Исходн.данные.!AH326=$BS$5),"Да","Нет")</f>
        <v>Нет</v>
      </c>
      <c r="FM326" s="38" t="str">
        <f>IF(OR(Исходн.данные.!AH326=$BS$9,Исходн.данные.!AH326=$BS$10,Исходн.данные.!AH326=$BS$11,Исходн.данные.!AH326=$BS$12),"Да","Нет")</f>
        <v>Нет</v>
      </c>
      <c r="FN326" s="38" t="str">
        <f>IF(OR(Исходн.данные.!AH326=$BS$6,Исходн.данные.!AH326=$BP$3),"Да","Нет")</f>
        <v>Нет</v>
      </c>
      <c r="FO326" s="38" t="str">
        <f>IF(Исходн.данные.!AH326=$BQ$9,"Да","Нет")</f>
        <v>Нет</v>
      </c>
      <c r="FP326" s="38" t="str">
        <f>IF(OR(Исходн.данные.!AH326=$BS$8,Исходн.данные.!AH326=$BT$8),"Да","Нет")</f>
        <v>Нет</v>
      </c>
      <c r="FQ326" s="38" t="str">
        <f>IF(OR(Исходн.данные.!AH326=$BQ$7,Исходн.данные.!AH326=$BQ$8),"Да","Нет")</f>
        <v>Нет</v>
      </c>
      <c r="FR326" s="38" t="str">
        <f>IF(Исходн.данные.!AI326=$BU$9,"Да","Нет")</f>
        <v>Нет</v>
      </c>
      <c r="FS326" s="38" t="str">
        <f>IF(OR(Исходн.данные.!AH326=$BP$1,Исходн.данные.!AH326=$BP$2),"Да","Нет")</f>
        <v>Нет</v>
      </c>
      <c r="FT326" s="38" t="e">
        <f>IF((Исходн.данные.!K326*GO326*GS326*GW326+BL326*0.6+Исходн.данные.!Q326*4.5*0.275)&gt;90,"Да","Нет")</f>
        <v>#N/A</v>
      </c>
      <c r="FU326" s="38" t="e">
        <f>IF((Исходн.данные.!M326*GS326*GZ326+BM326*0.225)&gt;35,"Да","Нет")</f>
        <v>#N/A</v>
      </c>
      <c r="FV326" s="38" t="str">
        <f>IF(Исходн.данные.!O326&gt;175,"Да","Нет")</f>
        <v>Нет</v>
      </c>
      <c r="FW326" s="39" t="str">
        <f>IF(Исходн.данные.!I326&gt;5.5,"Да","Нет")</f>
        <v>Нет</v>
      </c>
      <c r="FX326" s="39" t="str">
        <f>IF(Исходн.данные.!J326&lt;2,"Да","Нет")</f>
        <v>Да</v>
      </c>
      <c r="FY326" s="39" t="e">
        <f>IF(HF326=$FY$16,0,Исходн.данные.!K326*GO326*GS326*GW326/HF326)</f>
        <v>#N/A</v>
      </c>
      <c r="FZ326" s="39" t="e">
        <f>Исходн.данные.!M326*GS326*GZ326/HG326</f>
        <v>#N/A</v>
      </c>
      <c r="GA326" s="39" t="e">
        <f>IF(K_Wyn=$FY$16,0,IF(Исходн.данные.!N326=Исходн.данные.!$L$10,Исходн.данные.!O326/1.1*GS326*HC326/HH326,IF(Исходн.данные.!N326=Исходн.данные.!$L$12,Исходн.данные.!O326/1.5*GS326*HC326/HH326,Исходн.данные.!O326*GS326*HC326/HH326)))</f>
        <v>#N/A</v>
      </c>
      <c r="GB326" s="39" t="e">
        <f>IF(HF326=$FY$16,0,((Исходн.данные.!Q326*N_Org+Исходн.данные.!R326*N_Sider+Исходн.данные.!S326*N_Soloma)*AO326+Расчет!BC326*VLOOKUP(Исходн.данные.!T326,Справ!$A$3:$O$57,15)*AO326+BB326*VLOOKUP(Исходн.данные.!T326,Справ!$A$3:$O$57,15)*AL326+(Исходн.данные.!V326*N_Rizotorf+Исходн.данные.!W326*N_Rizoagr))/HF326)</f>
        <v>#N/A</v>
      </c>
      <c r="GC326" s="39" t="e">
        <f>IF(HG326=$FY$16,0,((Исходн.данные.!Q326*Р_Org+Исходн.данные.!R326*P_Sider+Исходн.данные.!S326*P_Soloma)*AP326+Расчет!BC326*VLOOKUP(Исходн.данные.!T326,Справ!$A$3:$P$57,16)*AP326+BB326*VLOOKUP(Исходн.данные.!T326,Справ!$A$3:$P$57,16)*AM326)/HG326)</f>
        <v>#N/A</v>
      </c>
      <c r="GD326" s="39" t="e">
        <f>IF(HH326=$FY$16,0,((Исходн.данные.!Q326*К_Org+Исходн.данные.!R326*K_Sider+Исходн.данные.!S326*K_Soloma)*AQ326+Расчет!BC326*VLOOKUP(Исходн.данные.!T326,Справ!$A$3:$Q$57,17)*AQ326+BB326*VLOOKUP(Исходн.данные.!T326,Справ!$A$3:$Q$57,17)*AN326)/HH326)</f>
        <v>#N/A</v>
      </c>
      <c r="GE326" s="39" t="e">
        <f>IF(HF326=$FY$16,0,(Исходн.данные.!X326*AR326+Исходн.данные.!AA326*N_Org*AL326+Исходн.данные.!AB326*N_Sider*AL326+Исходн.данные.!AC326*N_Soloma*AL326)/HF326)</f>
        <v>#N/A</v>
      </c>
      <c r="GF326" s="39" t="e">
        <f>IF(HG326=$FY$16,0,(Исходн.данные.!Y326*AS326+Исходн.данные.!AA326*Р_Org*AM326+Исходн.данные.!AB326*P_Sider*AM326+Исходн.данные.!AC326*P_Soloma*AM326)/HG326)</f>
        <v>#N/A</v>
      </c>
      <c r="GG326" s="39" t="e">
        <f>IF(HH326=$FY$16,0,(Исходн.данные.!Z326*AT326+Исходн.данные.!AA326*К_Org*AN326+Исходн.данные.!AB326*K_Sider*AN326+Исходн.данные.!AC326*K_Soloma*AN326)/HH326)</f>
        <v>#N/A</v>
      </c>
      <c r="GH326" s="39" t="e">
        <f>Исходн.данные.!AD326*AU326/HF326</f>
        <v>#N/A</v>
      </c>
      <c r="GI326" s="39" t="e">
        <f>Исходн.данные.!AE326*AV326/HG326</f>
        <v>#N/A</v>
      </c>
      <c r="GJ326" s="39" t="e">
        <f>Исходн.данные.!AF326*AW326/HH326</f>
        <v>#N/A</v>
      </c>
      <c r="GK326" s="55">
        <f>Исходн.данные.!AK326</f>
        <v>0</v>
      </c>
      <c r="GL326" s="11" t="e">
        <f t="shared" si="409"/>
        <v>#N/A</v>
      </c>
      <c r="GM326" s="11" t="e">
        <f t="shared" si="410"/>
        <v>#N/A</v>
      </c>
      <c r="GN326" s="11" t="e">
        <f t="shared" si="411"/>
        <v>#N/A</v>
      </c>
      <c r="GO326" s="57">
        <f t="shared" si="412"/>
        <v>19</v>
      </c>
      <c r="GP326" s="55">
        <f>IF(OR(Исходн.данные.!F326=$CE$1,Исходн.данные.!F326=$CE$2,Исходн.данные.!F326=$CE$3,Исходн.данные.!F326=$CE$4,Исходн.данные.!F326=$CE$5),GQ326,GR326)</f>
        <v>19</v>
      </c>
      <c r="GQ326" s="55">
        <f>IF(Исходн.данные.!F326=$CE$1,28,IF(Исходн.данные.!F326=$CE$2,26,IF(Исходн.данные.!F326=$CE$3,24,IF(Исходн.данные.!F326=$CE$4,22,IF(Исходн.данные.!F326=$CE$5,20,GR326)))))</f>
        <v>19</v>
      </c>
      <c r="GR326" s="55">
        <f>IF(Исходн.данные.!F326=$CE$6,18,IF(Исходн.данные.!F326=$CE$7,16,IF(Исходн.данные.!F326=$CE$8,14,IF(Исходн.данные.!F326=$CE$9,13,IF(Исходн.данные.!F326=$CE$10,12,19)))))</f>
        <v>19</v>
      </c>
      <c r="GS326" s="55">
        <f>IF(Исходн.данные.!G326="Пес",0.035*(40+2*Исходн.данные.!H326),IF(Исходн.данные.!G326="Суп",0.0325*(40+2*Исходн.данные.!H326),0.03*(40+2*Исходн.данные.!H326)))</f>
        <v>1.2</v>
      </c>
      <c r="GT326" s="55">
        <f>IF(Исходн.данные.!H326&lt;23,2.6,IF(AND(Исходн.данные.!H326&gt;22,Исходн.данные.!H326&lt;26),3,IF(AND(Исходн.данные.!H326&gt;25,Исходн.данные.!H326&lt;29),3.4,3.6)))</f>
        <v>2.6</v>
      </c>
      <c r="GU326" s="55">
        <f>IF(Исходн.данные.!H326&lt;23,2.8,IF(AND(Исходн.данные.!H326&gt;22,Исходн.данные.!H326&lt;26),3.2,IF(AND(Исходн.данные.!H326&gt;25,Исходн.данные.!H326&lt;29),3.6,3.9)))</f>
        <v>2.8</v>
      </c>
      <c r="GV326" s="55">
        <f>IF(Исходн.данные.!H326&lt;23,3,IF(AND(Исходн.данные.!H326&gt;22,Исходн.данные.!H326&lt;26),3.5,IF(AND(Исходн.данные.!H326&gt;25,Исходн.данные.!H326&lt;29),3.9,4.2)))</f>
        <v>3</v>
      </c>
      <c r="GW326" s="55" t="e">
        <f>IF(Исходн.данные.!P326="Ум",GX326,GY326)</f>
        <v>#N/A</v>
      </c>
      <c r="GX326" s="55" t="e">
        <f>VLOOKUP(Исходн.данные.!AI326,Коэффициенты!$J$7:$L$13,2,FALSE)</f>
        <v>#N/A</v>
      </c>
      <c r="GY326" s="55" t="e">
        <f>VLOOKUP(Исходн.данные.!AI326,Коэффициенты!$J$7:$L$13,3,FALSE)</f>
        <v>#N/A</v>
      </c>
      <c r="GZ326" s="55" t="e">
        <f>(IF(Исходн.данные.!M326&lt;50,0.11*VLOOKUP(Исходн.данные.!AH326,Культуры.Информация,7,FALSE),IF(Исходн.данные.!M326&gt;250,0.05*VLOOKUP(Исходн.данные.!AH326,Культуры.Информация,7,FALSE),VLOOKUP(Исходн.данные.!AH326,Культуры.Информация,5,FALSE)/100*($GX$6+$GY$6*Исходн.данные.!M326))))*Расчет2!AI326</f>
        <v>#N/A</v>
      </c>
      <c r="HA326" s="211"/>
      <c r="HB326" s="211"/>
      <c r="HC326" s="55" t="e">
        <f>(IF(Исходн.данные.!O326&lt;80,0.2*VLOOKUP(Исходн.данные.!AH326,Культуры.Информация,8,FALSE),IF(Исходн.данные.!O326&gt;240,0.09*VLOOKUP(Исходн.данные.!AH326,Культуры.Информация,8,FALSE),VLOOKUP(Исходн.данные.!AH326,Культуры.Информация,6,FALSE)/100*($HB$6+$HC$6*Исходн.данные.!O326))))*Расчет2!AJ326</f>
        <v>#N/A</v>
      </c>
      <c r="HD326" s="55">
        <f>IF(Исходн.данные.!O326&gt;240,0.09,IF(Исходн.данные.!O326&lt;30,0.3,$HE$10+$HD$10*Исходн.данные.!O326))</f>
        <v>0.3</v>
      </c>
      <c r="HE326" s="55">
        <f>IF(Исходн.данные.!O326&gt;240,0.17,IF(Исходн.данные.!O326&lt;30,0.5,$HF$12+$HE$12*Исходн.данные.!O326))</f>
        <v>0.5</v>
      </c>
      <c r="HF326" s="55" t="e">
        <f>VLOOKUP(Исходн.данные.!AH326,Справ!$A$3:$D$58,2,FALSE)</f>
        <v>#N/A</v>
      </c>
      <c r="HG326" s="55" t="e">
        <f>VLOOKUP(Исходн.данные.!AH326,Справ!$A$3:$D$58,3,FALSE)</f>
        <v>#N/A</v>
      </c>
      <c r="HH326" s="55" t="e">
        <f>VLOOKUP(Исходн.данные.!AH326,Справ!$A$3:$D$58,4,FALSE)</f>
        <v>#N/A</v>
      </c>
      <c r="HI326" s="11" t="e">
        <f t="shared" si="413"/>
        <v>#N/A</v>
      </c>
      <c r="HJ326" s="11" t="e">
        <f t="shared" si="414"/>
        <v>#N/A</v>
      </c>
      <c r="HK326" s="11" t="e">
        <f t="shared" si="415"/>
        <v>#N/A</v>
      </c>
      <c r="HL326" s="55">
        <f>IF(OR(Исходн.данные.!G326="Глин",Исходн.данные.!G326="Т_суг"),1.1,IF(Исходн.данные.!G326="Ср_суг",1,1))</f>
        <v>1</v>
      </c>
      <c r="HM326" s="55">
        <f>IF(OR(Исходн.данные.!G326="Глин",Исходн.данные.!G326="Т_суг"),0.9,IF(Исходн.данные.!G326="Ср_суг",1,1.2))</f>
        <v>1.2</v>
      </c>
      <c r="HN326" s="11" t="e">
        <f t="shared" si="416"/>
        <v>#N/A</v>
      </c>
      <c r="HO326" s="11" t="e">
        <f t="shared" si="417"/>
        <v>#N/A</v>
      </c>
      <c r="HP326" s="11" t="e">
        <f t="shared" si="418"/>
        <v>#N/A</v>
      </c>
      <c r="HQ326" t="e">
        <f t="shared" si="419"/>
        <v>#N/A</v>
      </c>
      <c r="HR326" t="e">
        <f t="shared" si="420"/>
        <v>#N/A</v>
      </c>
      <c r="HS326" t="e">
        <f t="shared" si="421"/>
        <v>#N/A</v>
      </c>
      <c r="HT326" t="e">
        <f t="shared" si="367"/>
        <v>#N/A</v>
      </c>
      <c r="HU326" t="e">
        <f t="shared" si="368"/>
        <v>#N/A</v>
      </c>
      <c r="HV326" t="e">
        <f t="shared" si="369"/>
        <v>#N/A</v>
      </c>
      <c r="HW326" t="e">
        <f t="shared" si="370"/>
        <v>#N/A</v>
      </c>
      <c r="HX326" t="e">
        <f t="shared" si="371"/>
        <v>#N/A</v>
      </c>
      <c r="HY326" t="e">
        <f t="shared" si="372"/>
        <v>#N/A</v>
      </c>
      <c r="HZ326" s="55">
        <f>IF(OR(Исходн.данные.!AI326="Оз_Ч_П",Исходн.данные.!AI326="Оз_З_П",Исходн.данные.!AI326="Яр_зер"),12,30)</f>
        <v>30</v>
      </c>
      <c r="IA326" t="e">
        <f t="shared" si="422"/>
        <v>#N/A</v>
      </c>
      <c r="IB326" t="e">
        <f t="shared" si="423"/>
        <v>#N/A</v>
      </c>
      <c r="IC326" t="e">
        <f t="shared" si="424"/>
        <v>#N/A</v>
      </c>
      <c r="ID326" s="11" t="e">
        <f t="shared" si="425"/>
        <v>#N/A</v>
      </c>
      <c r="IE326" s="11" t="e">
        <f t="shared" si="426"/>
        <v>#N/A</v>
      </c>
      <c r="IF326" s="11" t="e">
        <f t="shared" si="427"/>
        <v>#N/A</v>
      </c>
    </row>
    <row r="327" spans="35:240" x14ac:dyDescent="0.2">
      <c r="AI327">
        <f>IF(Исходн.данные.!I327&gt;6,1,1.85-(0.148*Исходн.данные.!I327))</f>
        <v>1.85</v>
      </c>
      <c r="AJ327">
        <f>IF(Исходн.данные.!I327&gt;6,1,2.434-(0.246*Исходн.данные.!I327))</f>
        <v>2.4340000000000002</v>
      </c>
      <c r="AL327" s="148" t="b">
        <f>IF(Исходн.данные.!$P327="Ум",N_OrgUd_2g_um,IF(Исходн.данные.!$P327="Об",N_OrgUd_2g_ob))</f>
        <v>0</v>
      </c>
      <c r="AM327" s="148" t="b">
        <f>IF(Исходн.данные.!$P327="Ум",P_OrgUd_2g_um,IF(Исходн.данные.!$P327="Об",P_OrgUd_2g_ob))</f>
        <v>0</v>
      </c>
      <c r="AN327" s="148" t="b">
        <f>IF(Исходн.данные.!$P327="Ум",K_OrgUd_2g_um,IF(Исходн.данные.!$P327="Об",K_OrgUd_2g_ob))</f>
        <v>0</v>
      </c>
      <c r="AO327" s="148" t="b">
        <f>IF(Исходн.данные.!$P327="Ум",N_OrgUd_1g_um,IF(Исходн.данные.!$P327="Об",N_OrgUd_1g_ob))</f>
        <v>0</v>
      </c>
      <c r="AP327" s="148" t="b">
        <f>IF(Исходн.данные.!$P327="Ум",P_OrgUd_1g_um,IF(Исходн.данные.!$P327="Об",P_OrgUd_1g_ob))</f>
        <v>0</v>
      </c>
      <c r="AQ327" s="148" t="b">
        <f>IF(Исходн.данные.!$P327="Ум",K_OrgUd_1g_um,IF(Исходн.данные.!$P327="Об",K_OrgUd_1g_ob))</f>
        <v>0</v>
      </c>
      <c r="AR327" t="b">
        <f>IF(Исходн.данные.!$P327="Ум",N_MinUd_2g_um,IF(Исходн.данные.!$P327="Об",N_MinUd_2g_ob))</f>
        <v>0</v>
      </c>
      <c r="AS327" t="b">
        <f>IF(Исходн.данные.!$P327="Ум",P_MinUd_2g_um,IF(Исходн.данные.!$P327="Об",P_MinUd_2g_ob))</f>
        <v>0</v>
      </c>
      <c r="AT327" t="b">
        <f>IF(Исходн.данные.!$P327="Ум",K_MinUd_2g_um,IF(Исходн.данные.!$P327="Об",K_MinUd_2g_ob))</f>
        <v>0</v>
      </c>
      <c r="AU327" t="b">
        <f>IF(Исходн.данные.!$P327="Ум",N_MinUd_1g_um,IF(Исходн.данные.!$P327="Об",N_MinUd_1g_ob))</f>
        <v>0</v>
      </c>
      <c r="AV327" t="b">
        <f>IF(Исходн.данные.!P327="Ум",P_MinUd_1g_um,IF(Исходн.данные.!P327="Об",P_MinUd_1g_ob))</f>
        <v>0</v>
      </c>
      <c r="AW327" t="b">
        <f>IF(Исходн.данные.!P327="Ум",K_MinUd_1g_um,IF(Исходн.данные.!P327="Об",K_MinUd_1g_ob))</f>
        <v>0</v>
      </c>
      <c r="AY327" t="e">
        <f>VLOOKUP(Исходн.данные.!T327,Справ!$A$3:$N$57,12)</f>
        <v>#N/A</v>
      </c>
      <c r="AZ327" t="e">
        <f>VLOOKUP(Исходн.данные.!T327,Справ!$A$3:$N$57,13)</f>
        <v>#N/A</v>
      </c>
      <c r="BA327" t="e">
        <f>VLOOKUP(Исходн.данные.!T327,Справ!$A$3:$N$57,14)</f>
        <v>#N/A</v>
      </c>
      <c r="BB327">
        <f>IF(Исходн.данные.!AH327=0,0,25)</f>
        <v>0</v>
      </c>
      <c r="BC327" s="141">
        <f>IF(Исходн.данные.!AH327=0,0,IF(Исходн.данные.!T327=0,25,BD327))</f>
        <v>0</v>
      </c>
      <c r="BD327" s="168" t="e">
        <f>AY327+AZ327*Исходн.данные.!U327-POWER(BA327,2)*Исходн.данные.!U327</f>
        <v>#N/A</v>
      </c>
      <c r="BE32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7" s="25">
        <f>IF(Исходн.данные.!AH327=0,0,MIN(HN327:HP327))</f>
        <v>0</v>
      </c>
      <c r="BG327" s="9">
        <f>IF(Исходн.данные.!AH327=0,0,IF((HO327+10*0.25/HG327/HL327)&lt;17,17,HO327+10*0.25/HG327/HL327))</f>
        <v>0</v>
      </c>
      <c r="BH327" s="181">
        <f>IF(Исходн.данные.!AH327=0,0,HW327*HF327*HL327/AU327*AI327+Исходн.данные.!S327*10)</f>
        <v>0</v>
      </c>
      <c r="BI327" s="10"/>
      <c r="BJ327" s="182">
        <f>IF(Исходн.данные.!AH327=0,0,IF(HX327*HG327*HL327/AV327&lt;0,0,HX327*HG327*HL327/AV327*AJ327))</f>
        <v>0</v>
      </c>
      <c r="BK327" s="182">
        <f>IF(Исходн.данные.!AH327=0,0,HY327*HH327*HM327/AW327)</f>
        <v>0</v>
      </c>
      <c r="BL327" s="10">
        <f>IF(OR(Исходн.данные.!$AH327=$BP$1,Исходн.данные.!$AH327=$BP$2),0,IF(BH327&lt;0,0,IF(OR(Исходн.данные.!T327=Расчет!$BP$1,Исходн.данные.!T327=Расчет!$BP$2,Исходн.данные.!T327=Расчет!$BT$5,Исходн.данные.!T327=Расчет!$BT$6),BH327*0.5,IF(OR(Исходн.данные.!T327=Расчет!$BS$9,Исходн.данные.!T327=Расчет!$BS$10,Исходн.данные.!T327=Расчет!$BS$11,Исходн.данные.!T327=Расчет!$BS$12,Исходн.данные.!T327=Расчет!$BP$5),BH327*0.8,BH327))))</f>
        <v>0</v>
      </c>
      <c r="BM327" s="10">
        <f>IF(OR(Исходн.данные.!$AH327=$BP$1,Исходн.данные.!$AH327=$BP$2),0,IF(BJ327&lt;0,0,IF(Исходн.данные.!I327&lt;4.5,BJ327*1.2,IF(Исходн.данные.!I327&gt;5.1,BJ327,BJ327*((5.1-Исходн.данные.!I327)*0.333+1)))))</f>
        <v>0</v>
      </c>
      <c r="BN327" s="10">
        <f>IF(OR(Исходн.данные.!$AH327=$BP$1,Исходн.данные.!$AH327=$BP$2),60-Исходн.данные.!AF327,IF(BK327&lt;0,0,IF(Исходн.данные.!I327&lt;4.5,BK327*1.2,IF(Исходн.данные.!I327&gt;5.1,BK327,BK327*((5.1-Исходн.данные.!I327)*0.333+1)))))</f>
        <v>0</v>
      </c>
      <c r="BO327" s="9">
        <f>IF(BL327&lt;0,0,BL327*Исходн.данные.!$AJ327/1000)</f>
        <v>0</v>
      </c>
      <c r="BP327" s="9">
        <f>IF(BM327&lt;0,0,BM327*Исходн.данные.!$AJ327/1000)</f>
        <v>0</v>
      </c>
      <c r="BQ327" s="9">
        <f>IF(BN327&lt;0,0,BN327*Исходн.данные.!$AJ327/1000)</f>
        <v>0</v>
      </c>
      <c r="BR327" s="9">
        <f t="shared" si="377"/>
        <v>0</v>
      </c>
      <c r="BS327" s="10" t="str">
        <f t="shared" si="378"/>
        <v>Аммофос 12:52:00</v>
      </c>
      <c r="BT327" s="10" t="str">
        <f t="shared" si="379"/>
        <v>Аммофос 12:52:00</v>
      </c>
      <c r="BU327" s="10" t="str">
        <f t="shared" si="380"/>
        <v>Диаммофоска</v>
      </c>
      <c r="BV327" s="10">
        <f t="shared" si="381"/>
        <v>0</v>
      </c>
      <c r="BW327" s="10"/>
      <c r="BX327" s="10"/>
      <c r="BY327" s="9">
        <f>IF(BL327&lt;0,0,IF(OR(Исходн.данные.!AI327=Расчет!$BU$6,Исходн.данные.!AI327=Расчет!$BU$7),Расчет!BV327,IF(Исходн.данные.!$AG327=$BV$11,BL327,IF(OR(Исходн.данные.!$AH327=$BQ$7,Исходн.данные.!$AH327=$BQ$8),CB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0,IF(Исходн.данные.!$AI327=$BU$11,"Нет",IF(BL327&gt;30,30,BL327)))))))</f>
        <v>0</v>
      </c>
      <c r="BZ327" s="9">
        <f>IF(AND(Исходн.данные.!$AG327=$BV$11,BM327&lt;10),10,IF(Исходн.данные.!$AG327=$BV$11,BM327,IF(OR(Исходн.данные.!$AH327=$BQ$7,Исходн.данные.!$AH327=$BQ$8),CC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10,IF(Исходн.данные.!$AI327=$BU$11,"Нет",IF(BM327&gt;60,60,IF(BM327&lt;10,10,BM327)))))))</f>
        <v>10</v>
      </c>
      <c r="CA327" s="39">
        <f>IF(BN327&lt;0,0,IF(Исходн.данные.!$AG327=$BV$11,BN327,IF(OR(Исходн.данные.!$AH327=$BQ$7,Исходн.данные.!$AH327=$BQ$8),CD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0,IF(Исходн.данные.!$AI327=$BU$11,"Нет",IF(BN327&gt;30,30,BN327))))))</f>
        <v>0</v>
      </c>
      <c r="CB327" s="9">
        <f t="shared" si="382"/>
        <v>0</v>
      </c>
      <c r="CC327" s="9">
        <f t="shared" si="383"/>
        <v>0</v>
      </c>
      <c r="CD327" s="9">
        <f t="shared" si="384"/>
        <v>0</v>
      </c>
      <c r="CE327" s="12">
        <f t="shared" si="385"/>
        <v>10</v>
      </c>
      <c r="CF327" s="9">
        <f t="shared" si="386"/>
        <v>0</v>
      </c>
      <c r="CG327" s="9" t="s">
        <v>231</v>
      </c>
      <c r="CH327" s="132" t="str">
        <f>IF(Исходн.данные.!AP327=Расчет!$CI$16,"Нет",IF(Исходн.данные.!AL327&gt;0,Исходн.данные.!AL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BH$4,IF(OR(Исходн.данные.!AI327=Исходн.данные.!$AI$6,Исходн.данные.!AI327=Исходн.данные.!$AI$7),Расчет!BS327,IF(AND($CF327=0,$CE327&gt;0),EV327,ER327)))))</f>
        <v>Аммофос 12:52:00</v>
      </c>
      <c r="CI327" s="274">
        <f>IF(Расчет!$CH327="Нет","Нет",IF(Исходн.данные.!$AL327&gt;0,VLOOKUP(Расчет!$CH327,АшламаДВ_Irekle,2,FALSE),VLOOKUP(Расчет!$CH327,АшламаДВ_Gomumy,2,FALSE)))</f>
        <v>0.12</v>
      </c>
      <c r="CJ327" s="274">
        <f>IF(Расчет!$CH327="Нет","Нет",IF(Исходн.данные.!$AL327&gt;0,VLOOKUP(Расчет!$CH327,АшламаДВ_Irekle,3,FALSE),VLOOKUP(Расчет!$CH327,АшламаДВ_Gomumy,3,FALSE)))</f>
        <v>0.52</v>
      </c>
      <c r="CK327" s="274">
        <f>IF(Расчет!$CH327="Нет","Нет",IF(Исходн.данные.!$AL327&gt;0,VLOOKUP(Расчет!$CH327,АшламаДВ_Irekle,4,FALSE),VLOOKUP(Расчет!$CH327,АшламаДВ_Gomumy,4,FALSE)))</f>
        <v>0</v>
      </c>
      <c r="CL327" s="70"/>
      <c r="CM327" s="70"/>
      <c r="CN327" s="70"/>
      <c r="CO327" s="70"/>
      <c r="CP327" s="70"/>
      <c r="CQ327" s="70"/>
      <c r="CR327" s="10">
        <f t="shared" si="387"/>
        <v>0</v>
      </c>
      <c r="CS327" s="10">
        <f t="shared" si="388"/>
        <v>19.23076923076923</v>
      </c>
      <c r="CT327" s="10">
        <f t="shared" si="389"/>
        <v>0</v>
      </c>
      <c r="CU327" s="39">
        <f>IF($CH327="Нет",0,IF(CI327=0,30/MIN(CJ327:CK327),IF(Исходн.данные.!$AG327=$BV$11,CR327,IF(OR(Исходн.данные.!$AH327=$BQ$7,Исходн.данные.!$AH327=$BQ$8),90/CI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0,IF(Исходн.данные.!$AI327=$BU$11,"Нет",30/CI327))))))</f>
        <v>250</v>
      </c>
      <c r="CV327" s="39">
        <f>IF($CH327="Нет",0,IF(Исходн.данные.!AH327=0,0,IF(CJ327=0,60/MIN(CI327,CK327),IF(Исходн.данные.!$AG327=$BV$11,CS327,IF(OR(Исходн.данные.!$AH327=$BQ$7,Исходн.данные.!$AH327=$BQ$8),90/CJ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10/CJ327,IF(Исходн.данные.!$AI327=$BU$11,"Нет",60/CJ327)))))))</f>
        <v>0</v>
      </c>
      <c r="CW327" s="39">
        <f>IF($CH327="Нет",0,IF(Исходн.данные.!AH327=0,0,IF(CK327=0,30/MIN(CI327:CJ327),IF(Исходн.данные.!$AG327=$BV$11,CT327,IF(OR(Исходн.данные.!$AH327=$BQ$7,Исходн.данные.!$AH327=$BQ$8),90/CK327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0,IF(Исходн.данные.!$AI327=$BU$11,"Нет",30/CK327)))))))</f>
        <v>0</v>
      </c>
      <c r="CX327" s="133">
        <f>IF(Исходн.данные.!$AG327=$BV$11,MAX(CU327:CW327),IF(OR(Исходн.данные.!$AH327=$BS$8,Исходн.данные.!$AH327=$BQ$9,Исходн.данные.!$AH327=$BQ$10,Исходн.данные.!$AH327=$BQ$11,Исходн.данные.!$AH327=$BQ$12,Исходн.данные.!$AH327=$BP$3,Исходн.данные.!$AH327=$BT$8,$FM327="Да"),CV327,MIN(CU327:CW327)))</f>
        <v>0</v>
      </c>
      <c r="CY327" s="133">
        <f>IF(Исходн.данные.!AH327=0,0,IF(CR327&gt;$CX327,$CX327,CR327))</f>
        <v>0</v>
      </c>
      <c r="CZ327" s="133">
        <f>IF(Исходн.данные.!AH327=0,0,IF(CS327&gt;$CX327,$CX327,CS327))</f>
        <v>0</v>
      </c>
      <c r="DA327" s="133">
        <f>IF(Исходн.данные.!AH327=0,0,IF(CT327&gt;$CX327,$CX327,CT327))</f>
        <v>0</v>
      </c>
      <c r="DB327" s="10">
        <f t="shared" si="390"/>
        <v>0</v>
      </c>
      <c r="DC327" s="39">
        <f>DB327*Исходн.данные.!AJ327/1000</f>
        <v>0</v>
      </c>
      <c r="DD327" s="71">
        <f t="shared" si="391"/>
        <v>0</v>
      </c>
      <c r="DE327" s="9">
        <f t="shared" si="392"/>
        <v>0</v>
      </c>
      <c r="DF327" s="9">
        <f t="shared" si="393"/>
        <v>0</v>
      </c>
      <c r="DG327" s="39">
        <f>IF(BL327&lt;0,0,IF($CH327="Нет",BL327,IF(OR(Исходн.данные.!$AH327=$BP$1,Исходн.данные.!$AH327=$BP$2),0,IF(Исходн.данные.!AI327=$BU$11,BL327,IF(BL327-DD327&lt;0,0,BL327-DD327)))))</f>
        <v>0</v>
      </c>
      <c r="DH327" s="39">
        <f>IF(BM327&lt;0,0,IF($CH327="Нет",BM327,IF(OR(Исходн.данные.!$AH327=$BP$1,Исходн.данные.!$AH327=$BP$2),0,IF(Исходн.данные.!AJ327=$BU$11,BM327,IF(BM327-DE327&lt;0,0,BM327-DE327)))))</f>
        <v>0</v>
      </c>
      <c r="DI327" s="39">
        <f>IF(BN327&lt;0,0,IF($CH327="Нет",BN327,IF(OR(Исходн.данные.!$AH327=$BP$1,Исходн.данные.!$AH327=$BP$2),0,IF(Исходн.данные.!AK327=$BU$11,BN327,IF(BN327-DF327&lt;0,0,BN327-DF327)))))</f>
        <v>0</v>
      </c>
      <c r="DJ327" s="12">
        <f t="shared" si="394"/>
        <v>0</v>
      </c>
      <c r="DK327" s="9">
        <f t="shared" si="395"/>
        <v>0</v>
      </c>
      <c r="DL327" s="39">
        <f>IF(Исходн.данные.!AM327&gt;0,Исходн.данные.!AM327,IF(EG327&gt;0,$BH$10,0))</f>
        <v>0</v>
      </c>
      <c r="DM327" s="186">
        <f>IF($DL327=0,0,IF(Исходн.данные.!AM327&gt;0,VLOOKUP($DL327,АшламаДВ_Irekle,2,FALSE),VLOOKUP($DL327,АшламаДВ_Gomumy,2,FALSE)))</f>
        <v>0</v>
      </c>
      <c r="DN327" s="10">
        <f t="shared" si="373"/>
        <v>0</v>
      </c>
      <c r="DO327" s="9" t="str">
        <f>IF(Исходн.данные.!AN327&gt;0,Исходн.данные.!AN327,Удобрения!$B$37 )</f>
        <v>Хлор.калий</v>
      </c>
      <c r="DP327" s="9">
        <f>IF(Исходн.данные.!AN327&gt;0,VLOOKUP(Исходн.данные.!AN327,АшламаДВ_Irekle,4,FALSE),VLOOKUP(DO327,АшламаДВ_Gomumy,4,FALSE))</f>
        <v>0.6</v>
      </c>
      <c r="DQ327" s="10">
        <f t="shared" si="374"/>
        <v>0</v>
      </c>
      <c r="DR327" s="132" t="str">
        <f>IF(Исходн.данные.!AO327&gt;0,Исходн.данные.!AO327,IF(DH327=0,BS$17,IF(AND($DK327=0,$DJ327&gt;0),EJ327,EN327)))</f>
        <v>Нет</v>
      </c>
      <c r="DS327" s="70" t="str">
        <f>IF($DR327="Нет","Нет",IF(Исходн.данные.!$AO327&gt;0,VLOOKUP($DR327,АшламаДВ_Irekle,2,FALSE),VLOOKUP($DR327,АшламаДВ_Gomumy,2,FALSE)))</f>
        <v>Нет</v>
      </c>
      <c r="DT327" s="70" t="str">
        <f>IF($DR327="Нет","Нет",IF(Исходн.данные.!$AO327&gt;0,VLOOKUP($DR327,АшламаДВ_Irekle,3,FALSE),VLOOKUP($DR327,АшламаДВ_Gomumy,3,FALSE)))</f>
        <v>Нет</v>
      </c>
      <c r="DU327" s="70" t="str">
        <f>IF($DR327="Нет","Нет",IF(Исходн.данные.!$AO327&gt;0,VLOOKUP($DR327,АшламаДВ_Irekle,4,FALSE),VLOOKUP($DR327,АшламаДВ_Gomumy,4,FALSE)))</f>
        <v>Нет</v>
      </c>
      <c r="DV327" s="70"/>
      <c r="DW327" s="70"/>
      <c r="DX327" s="70"/>
      <c r="DY327" s="10">
        <f t="shared" si="396"/>
        <v>0</v>
      </c>
      <c r="DZ327" s="10">
        <f t="shared" si="397"/>
        <v>0</v>
      </c>
      <c r="EA327" s="10">
        <f t="shared" si="398"/>
        <v>0</v>
      </c>
      <c r="EB327" s="10">
        <f t="shared" si="399"/>
        <v>0</v>
      </c>
      <c r="EC327" s="10">
        <f t="shared" si="400"/>
        <v>0</v>
      </c>
      <c r="ED327" s="10">
        <f t="shared" si="401"/>
        <v>0</v>
      </c>
      <c r="EE327" s="10">
        <f t="shared" si="402"/>
        <v>0</v>
      </c>
      <c r="EF327" s="39">
        <f>EB327*Исходн.данные.!AJ327/1000</f>
        <v>0</v>
      </c>
      <c r="EG327" s="9">
        <f t="shared" si="403"/>
        <v>0</v>
      </c>
      <c r="EH327" s="9">
        <f t="shared" si="404"/>
        <v>0</v>
      </c>
      <c r="EI327" s="39" t="e">
        <f t="shared" si="354"/>
        <v>#DIV/0!</v>
      </c>
      <c r="EJ327" s="9" t="str">
        <f t="shared" si="375"/>
        <v>Азопреципитат</v>
      </c>
      <c r="EK327" s="12">
        <f t="shared" si="355"/>
        <v>0.26</v>
      </c>
      <c r="EL327" s="12">
        <f t="shared" si="356"/>
        <v>0.13</v>
      </c>
      <c r="EM327" s="12">
        <f t="shared" si="357"/>
        <v>0</v>
      </c>
      <c r="EN327" s="12" t="str">
        <f t="shared" si="376"/>
        <v>Нет</v>
      </c>
      <c r="EO327" s="12">
        <f t="shared" si="358"/>
        <v>0</v>
      </c>
      <c r="EP327" s="12">
        <f t="shared" si="359"/>
        <v>0</v>
      </c>
      <c r="EQ327" s="12">
        <f t="shared" si="360"/>
        <v>0</v>
      </c>
      <c r="ER327" s="12" t="str">
        <f t="shared" si="405"/>
        <v>Диаммофоска</v>
      </c>
      <c r="ES327" s="12">
        <f t="shared" si="361"/>
        <v>0.1</v>
      </c>
      <c r="ET327" s="12">
        <f t="shared" si="362"/>
        <v>0.26</v>
      </c>
      <c r="EU327" s="12">
        <f t="shared" si="363"/>
        <v>0.26</v>
      </c>
      <c r="EV327" s="12" t="str">
        <f t="shared" si="406"/>
        <v>Аммофос 12:52:00</v>
      </c>
      <c r="EW327" s="12" t="str">
        <f t="shared" si="407"/>
        <v>Кемира Свекловичное-6</v>
      </c>
      <c r="EX327" s="12">
        <f t="shared" si="364"/>
        <v>0.16</v>
      </c>
      <c r="EY327" s="12">
        <f t="shared" si="365"/>
        <v>0.12</v>
      </c>
      <c r="EZ327" s="12">
        <f t="shared" si="366"/>
        <v>0.17</v>
      </c>
      <c r="FA327" s="38" t="e">
        <f>IF(AND(OR(FJ327=$FD$1,FM327=$FD$1,FO327=$FD$1,FQ327=$FD$1,FS327=$FD$1),FD327=$FD$1,Исходн.данные.!J327&lt;2,FU327=$FD$1),"Бор,Кобальт",IF(AND(FO327=$FD$1,FH327=$FD$1,Исходн.данные.!J327&lt;2,FU327=$FD$1),"Бор,Кобальт",IF(AND(OR(FJ327=$FD$1,FM327=$FD$1,FQ327=$FD$1),FE327=$FD$1,Исходн.данные.!J327&lt;2,FT327=$FD$1,FU327=$FD$1),"Бор,Медь,Цинк",IF(AND(OR(FJ327=$FD$1,FR327="Да"),FI327="Да",Исходн.данные.!J327&lt;2,FT327="Да",FU327="Да"),"Бор,Цинк,Медь",IF(AND(OR(FM327="Да",FQ327="Да"),FI327="Да",Исходн.данные.!J327&lt;2,FT327="Да",FU327="Да"),"Бор,Цинк",IF(AND(FN327="Да",OR(FD327="Да",FE327="Да")),"Бор",FB327))))))</f>
        <v>#N/A</v>
      </c>
      <c r="FB327" s="134" t="e">
        <f>IF(AND(OR(FD327="Да",FE327="Да",FF327="Да",FG327="Да",FH327="Да"),FO327="Да"),"Бор",IF(AND(FP327="Да",OR(FD327="Да",FE327="Да",FI327="Да")),"Бор",IF(AND(FS327="Да",FE327="Да"),"Бор,Медь",IF(AND(OR(FJ327="Да",FK327="Да",FL327="Да"),FE327="Да",Исходн.данные.!I327&lt;5,FT327="Да",FU327="Да"),"Молибден,Цинк",IF(AND(FM327="Да",OR(FE327="Да",FF327="Да",FG327="Да",FH327="Да",FI327="Да")),"Молибден,Цинк",IF(AND(OR(FJ327="Да",FK327="Да",FL327="Да",FM327="Да",FQ327="Да"),OR(FE327="Да",FF327="Да"),FT327="Да",FU327="Да",Исходн.данные.!I327&gt;5.5),"Медь,Цинк",FC327))))))</f>
        <v>#N/A</v>
      </c>
      <c r="FC327" s="23" t="e">
        <f t="shared" si="408"/>
        <v>#N/A</v>
      </c>
      <c r="FD327" s="38" t="str">
        <f>IF(OR(Исходн.данные.!F327=$CC$1,Исходн.данные.!F327=$CC$2,Исходн.данные.!F327=$CC$3,Исходн.данные.!F327=$CC$4),"Да","Нет")</f>
        <v>Нет</v>
      </c>
      <c r="FE327" s="38" t="str">
        <f>IF(Исходн.данные.!F327=$CC$5,"Да","Нет")</f>
        <v>Нет</v>
      </c>
      <c r="FF327" s="38" t="str">
        <f>IF(OR(Исходн.данные.!F327=$CC$6,Исходн.данные.!F327=$CC$7),"Да","Нет")</f>
        <v>Нет</v>
      </c>
      <c r="FG327" s="38" t="str">
        <f>IF(OR(Исходн.данные.!F327=$CC$8,Исходн.данные.!F327=$CC$9),"Да","Нет")</f>
        <v>Нет</v>
      </c>
      <c r="FH327" s="38" t="str">
        <f>IF(Исходн.данные.!F327=$CC$10,"Да","Нет")</f>
        <v>Нет</v>
      </c>
      <c r="FI327" s="38" t="str">
        <f>IF(OR(Исходн.данные.!F327=$CC$11,Исходн.данные.!F327=$CC$12),"Да","Нет")</f>
        <v>Нет</v>
      </c>
      <c r="FJ327" s="38" t="str">
        <f>IF(OR(Исходн.данные.!AH327=$BS$1,Исходн.данные.!AH327=$BQ$11,Исходн.данные.!AH327=$BQ$12),"Да","Нет")</f>
        <v>Нет</v>
      </c>
      <c r="FK327" s="38" t="str">
        <f>IF(OR(Исходн.данные.!AH327=$BS$2,Исходн.данные.!AH327=$BS$4),"Да","Нет")</f>
        <v>Нет</v>
      </c>
      <c r="FL327" s="38" t="str">
        <f>IF(OR(Исходн.данные.!AH327=$BS$3,Исходн.данные.!AH327=$BS$5),"Да","Нет")</f>
        <v>Нет</v>
      </c>
      <c r="FM327" s="38" t="str">
        <f>IF(OR(Исходн.данные.!AH327=$BS$9,Исходн.данные.!AH327=$BS$10,Исходн.данные.!AH327=$BS$11,Исходн.данные.!AH327=$BS$12),"Да","Нет")</f>
        <v>Нет</v>
      </c>
      <c r="FN327" s="38" t="str">
        <f>IF(OR(Исходн.данные.!AH327=$BS$6,Исходн.данные.!AH327=$BP$3),"Да","Нет")</f>
        <v>Нет</v>
      </c>
      <c r="FO327" s="38" t="str">
        <f>IF(Исходн.данные.!AH327=$BQ$9,"Да","Нет")</f>
        <v>Нет</v>
      </c>
      <c r="FP327" s="38" t="str">
        <f>IF(OR(Исходн.данные.!AH327=$BS$8,Исходн.данные.!AH327=$BT$8),"Да","Нет")</f>
        <v>Нет</v>
      </c>
      <c r="FQ327" s="38" t="str">
        <f>IF(OR(Исходн.данные.!AH327=$BQ$7,Исходн.данные.!AH327=$BQ$8),"Да","Нет")</f>
        <v>Нет</v>
      </c>
      <c r="FR327" s="38" t="str">
        <f>IF(Исходн.данные.!AI327=$BU$9,"Да","Нет")</f>
        <v>Нет</v>
      </c>
      <c r="FS327" s="38" t="str">
        <f>IF(OR(Исходн.данные.!AH327=$BP$1,Исходн.данные.!AH327=$BP$2),"Да","Нет")</f>
        <v>Нет</v>
      </c>
      <c r="FT327" s="38" t="e">
        <f>IF((Исходн.данные.!K327*GO327*GS327*GW327+BL327*0.6+Исходн.данные.!Q327*4.5*0.275)&gt;90,"Да","Нет")</f>
        <v>#N/A</v>
      </c>
      <c r="FU327" s="38" t="e">
        <f>IF((Исходн.данные.!M327*GS327*GZ327+BM327*0.225)&gt;35,"Да","Нет")</f>
        <v>#N/A</v>
      </c>
      <c r="FV327" s="38" t="str">
        <f>IF(Исходн.данные.!O327&gt;175,"Да","Нет")</f>
        <v>Нет</v>
      </c>
      <c r="FW327" s="39" t="str">
        <f>IF(Исходн.данные.!I327&gt;5.5,"Да","Нет")</f>
        <v>Нет</v>
      </c>
      <c r="FX327" s="39" t="str">
        <f>IF(Исходн.данные.!J327&lt;2,"Да","Нет")</f>
        <v>Да</v>
      </c>
      <c r="FY327" s="39" t="e">
        <f>IF(HF327=$FY$16,0,Исходн.данные.!K327*GO327*GS327*GW327/HF327)</f>
        <v>#N/A</v>
      </c>
      <c r="FZ327" s="39" t="e">
        <f>Исходн.данные.!M327*GS327*GZ327/HG327</f>
        <v>#N/A</v>
      </c>
      <c r="GA327" s="39" t="e">
        <f>IF(K_Wyn=$FY$16,0,IF(Исходн.данные.!N327=Исходн.данные.!$L$10,Исходн.данные.!O327/1.1*GS327*HC327/HH327,IF(Исходн.данные.!N327=Исходн.данные.!$L$12,Исходн.данные.!O327/1.5*GS327*HC327/HH327,Исходн.данные.!O327*GS327*HC327/HH327)))</f>
        <v>#N/A</v>
      </c>
      <c r="GB327" s="39" t="e">
        <f>IF(HF327=$FY$16,0,((Исходн.данные.!Q327*N_Org+Исходн.данные.!R327*N_Sider+Исходн.данные.!S327*N_Soloma)*AO327+Расчет!BC327*VLOOKUP(Исходн.данные.!T327,Справ!$A$3:$O$57,15)*AO327+BB327*VLOOKUP(Исходн.данные.!T327,Справ!$A$3:$O$57,15)*AL327+(Исходн.данные.!V327*N_Rizotorf+Исходн.данные.!W327*N_Rizoagr))/HF327)</f>
        <v>#N/A</v>
      </c>
      <c r="GC327" s="39" t="e">
        <f>IF(HG327=$FY$16,0,((Исходн.данные.!Q327*Р_Org+Исходн.данные.!R327*P_Sider+Исходн.данные.!S327*P_Soloma)*AP327+Расчет!BC327*VLOOKUP(Исходн.данные.!T327,Справ!$A$3:$P$57,16)*AP327+BB327*VLOOKUP(Исходн.данные.!T327,Справ!$A$3:$P$57,16)*AM327)/HG327)</f>
        <v>#N/A</v>
      </c>
      <c r="GD327" s="39" t="e">
        <f>IF(HH327=$FY$16,0,((Исходн.данные.!Q327*К_Org+Исходн.данные.!R327*K_Sider+Исходн.данные.!S327*K_Soloma)*AQ327+Расчет!BC327*VLOOKUP(Исходн.данные.!T327,Справ!$A$3:$Q$57,17)*AQ327+BB327*VLOOKUP(Исходн.данные.!T327,Справ!$A$3:$Q$57,17)*AN327)/HH327)</f>
        <v>#N/A</v>
      </c>
      <c r="GE327" s="39" t="e">
        <f>IF(HF327=$FY$16,0,(Исходн.данные.!X327*AR327+Исходн.данные.!AA327*N_Org*AL327+Исходн.данные.!AB327*N_Sider*AL327+Исходн.данные.!AC327*N_Soloma*AL327)/HF327)</f>
        <v>#N/A</v>
      </c>
      <c r="GF327" s="39" t="e">
        <f>IF(HG327=$FY$16,0,(Исходн.данные.!Y327*AS327+Исходн.данные.!AA327*Р_Org*AM327+Исходн.данные.!AB327*P_Sider*AM327+Исходн.данные.!AC327*P_Soloma*AM327)/HG327)</f>
        <v>#N/A</v>
      </c>
      <c r="GG327" s="39" t="e">
        <f>IF(HH327=$FY$16,0,(Исходн.данные.!Z327*AT327+Исходн.данные.!AA327*К_Org*AN327+Исходн.данные.!AB327*K_Sider*AN327+Исходн.данные.!AC327*K_Soloma*AN327)/HH327)</f>
        <v>#N/A</v>
      </c>
      <c r="GH327" s="39" t="e">
        <f>Исходн.данные.!AD327*AU327/HF327</f>
        <v>#N/A</v>
      </c>
      <c r="GI327" s="39" t="e">
        <f>Исходн.данные.!AE327*AV327/HG327</f>
        <v>#N/A</v>
      </c>
      <c r="GJ327" s="39" t="e">
        <f>Исходн.данные.!AF327*AW327/HH327</f>
        <v>#N/A</v>
      </c>
      <c r="GK327" s="55">
        <f>Исходн.данные.!AK327</f>
        <v>0</v>
      </c>
      <c r="GL327" s="11" t="e">
        <f t="shared" si="409"/>
        <v>#N/A</v>
      </c>
      <c r="GM327" s="11" t="e">
        <f t="shared" si="410"/>
        <v>#N/A</v>
      </c>
      <c r="GN327" s="11" t="e">
        <f t="shared" si="411"/>
        <v>#N/A</v>
      </c>
      <c r="GO327" s="57">
        <f t="shared" si="412"/>
        <v>19</v>
      </c>
      <c r="GP327" s="55">
        <f>IF(OR(Исходн.данные.!F327=$CE$1,Исходн.данные.!F327=$CE$2,Исходн.данные.!F327=$CE$3,Исходн.данные.!F327=$CE$4,Исходн.данные.!F327=$CE$5),GQ327,GR327)</f>
        <v>19</v>
      </c>
      <c r="GQ327" s="55">
        <f>IF(Исходн.данные.!F327=$CE$1,28,IF(Исходн.данные.!F327=$CE$2,26,IF(Исходн.данные.!F327=$CE$3,24,IF(Исходн.данные.!F327=$CE$4,22,IF(Исходн.данные.!F327=$CE$5,20,GR327)))))</f>
        <v>19</v>
      </c>
      <c r="GR327" s="55">
        <f>IF(Исходн.данные.!F327=$CE$6,18,IF(Исходн.данные.!F327=$CE$7,16,IF(Исходн.данные.!F327=$CE$8,14,IF(Исходн.данные.!F327=$CE$9,13,IF(Исходн.данные.!F327=$CE$10,12,19)))))</f>
        <v>19</v>
      </c>
      <c r="GS327" s="55">
        <f>IF(Исходн.данные.!G327="Пес",0.035*(40+2*Исходн.данные.!H327),IF(Исходн.данные.!G327="Суп",0.0325*(40+2*Исходн.данные.!H327),0.03*(40+2*Исходн.данные.!H327)))</f>
        <v>1.2</v>
      </c>
      <c r="GT327" s="55">
        <f>IF(Исходн.данные.!H327&lt;23,2.6,IF(AND(Исходн.данные.!H327&gt;22,Исходн.данные.!H327&lt;26),3,IF(AND(Исходн.данные.!H327&gt;25,Исходн.данные.!H327&lt;29),3.4,3.6)))</f>
        <v>2.6</v>
      </c>
      <c r="GU327" s="55">
        <f>IF(Исходн.данные.!H327&lt;23,2.8,IF(AND(Исходн.данные.!H327&gt;22,Исходн.данные.!H327&lt;26),3.2,IF(AND(Исходн.данные.!H327&gt;25,Исходн.данные.!H327&lt;29),3.6,3.9)))</f>
        <v>2.8</v>
      </c>
      <c r="GV327" s="55">
        <f>IF(Исходн.данные.!H327&lt;23,3,IF(AND(Исходн.данные.!H327&gt;22,Исходн.данные.!H327&lt;26),3.5,IF(AND(Исходн.данные.!H327&gt;25,Исходн.данные.!H327&lt;29),3.9,4.2)))</f>
        <v>3</v>
      </c>
      <c r="GW327" s="55" t="e">
        <f>IF(Исходн.данные.!P327="Ум",GX327,GY327)</f>
        <v>#N/A</v>
      </c>
      <c r="GX327" s="55" t="e">
        <f>VLOOKUP(Исходн.данные.!AI327,Коэффициенты!$J$7:$L$13,2,FALSE)</f>
        <v>#N/A</v>
      </c>
      <c r="GY327" s="55" t="e">
        <f>VLOOKUP(Исходн.данные.!AI327,Коэффициенты!$J$7:$L$13,3,FALSE)</f>
        <v>#N/A</v>
      </c>
      <c r="GZ327" s="55" t="e">
        <f>(IF(Исходн.данные.!M327&lt;50,0.11*VLOOKUP(Исходн.данные.!AH327,Культуры.Информация,7,FALSE),IF(Исходн.данные.!M327&gt;250,0.05*VLOOKUP(Исходн.данные.!AH327,Культуры.Информация,7,FALSE),VLOOKUP(Исходн.данные.!AH327,Культуры.Информация,5,FALSE)/100*($GX$6+$GY$6*Исходн.данные.!M327))))*Расчет2!AI327</f>
        <v>#N/A</v>
      </c>
      <c r="HA327" s="211"/>
      <c r="HB327" s="211"/>
      <c r="HC327" s="55" t="e">
        <f>(IF(Исходн.данные.!O327&lt;80,0.2*VLOOKUP(Исходн.данные.!AH327,Культуры.Информация,8,FALSE),IF(Исходн.данные.!O327&gt;240,0.09*VLOOKUP(Исходн.данные.!AH327,Культуры.Информация,8,FALSE),VLOOKUP(Исходн.данные.!AH327,Культуры.Информация,6,FALSE)/100*($HB$6+$HC$6*Исходн.данные.!O327))))*Расчет2!AJ327</f>
        <v>#N/A</v>
      </c>
      <c r="HD327" s="55">
        <f>IF(Исходн.данные.!O327&gt;240,0.09,IF(Исходн.данные.!O327&lt;30,0.3,$HE$10+$HD$10*Исходн.данные.!O327))</f>
        <v>0.3</v>
      </c>
      <c r="HE327" s="55">
        <f>IF(Исходн.данные.!O327&gt;240,0.17,IF(Исходн.данные.!O327&lt;30,0.5,$HF$12+$HE$12*Исходн.данные.!O327))</f>
        <v>0.5</v>
      </c>
      <c r="HF327" s="55" t="e">
        <f>VLOOKUP(Исходн.данные.!AH327,Справ!$A$3:$D$58,2,FALSE)</f>
        <v>#N/A</v>
      </c>
      <c r="HG327" s="55" t="e">
        <f>VLOOKUP(Исходн.данные.!AH327,Справ!$A$3:$D$58,3,FALSE)</f>
        <v>#N/A</v>
      </c>
      <c r="HH327" s="55" t="e">
        <f>VLOOKUP(Исходн.данные.!AH327,Справ!$A$3:$D$58,4,FALSE)</f>
        <v>#N/A</v>
      </c>
      <c r="HI327" s="11" t="e">
        <f t="shared" si="413"/>
        <v>#N/A</v>
      </c>
      <c r="HJ327" s="11" t="e">
        <f t="shared" si="414"/>
        <v>#N/A</v>
      </c>
      <c r="HK327" s="11" t="e">
        <f t="shared" si="415"/>
        <v>#N/A</v>
      </c>
      <c r="HL327" s="55">
        <f>IF(OR(Исходн.данные.!G327="Глин",Исходн.данные.!G327="Т_суг"),1.1,IF(Исходн.данные.!G327="Ср_суг",1,1))</f>
        <v>1</v>
      </c>
      <c r="HM327" s="55">
        <f>IF(OR(Исходн.данные.!G327="Глин",Исходн.данные.!G327="Т_суг"),0.9,IF(Исходн.данные.!G327="Ср_суг",1,1.2))</f>
        <v>1.2</v>
      </c>
      <c r="HN327" s="11" t="e">
        <f t="shared" si="416"/>
        <v>#N/A</v>
      </c>
      <c r="HO327" s="11" t="e">
        <f t="shared" si="417"/>
        <v>#N/A</v>
      </c>
      <c r="HP327" s="11" t="e">
        <f t="shared" si="418"/>
        <v>#N/A</v>
      </c>
      <c r="HQ327" t="e">
        <f t="shared" si="419"/>
        <v>#N/A</v>
      </c>
      <c r="HR327" t="e">
        <f t="shared" si="420"/>
        <v>#N/A</v>
      </c>
      <c r="HS327" t="e">
        <f t="shared" si="421"/>
        <v>#N/A</v>
      </c>
      <c r="HT327" t="e">
        <f t="shared" si="367"/>
        <v>#N/A</v>
      </c>
      <c r="HU327" t="e">
        <f t="shared" si="368"/>
        <v>#N/A</v>
      </c>
      <c r="HV327" t="e">
        <f t="shared" si="369"/>
        <v>#N/A</v>
      </c>
      <c r="HW327" t="e">
        <f t="shared" si="370"/>
        <v>#N/A</v>
      </c>
      <c r="HX327" t="e">
        <f t="shared" si="371"/>
        <v>#N/A</v>
      </c>
      <c r="HY327" t="e">
        <f t="shared" si="372"/>
        <v>#N/A</v>
      </c>
      <c r="HZ327" s="55">
        <f>IF(OR(Исходн.данные.!AI327="Оз_Ч_П",Исходн.данные.!AI327="Оз_З_П",Исходн.данные.!AI327="Яр_зер"),12,30)</f>
        <v>30</v>
      </c>
      <c r="IA327" t="e">
        <f t="shared" si="422"/>
        <v>#N/A</v>
      </c>
      <c r="IB327" t="e">
        <f t="shared" si="423"/>
        <v>#N/A</v>
      </c>
      <c r="IC327" t="e">
        <f t="shared" si="424"/>
        <v>#N/A</v>
      </c>
      <c r="ID327" s="11" t="e">
        <f t="shared" si="425"/>
        <v>#N/A</v>
      </c>
      <c r="IE327" s="11" t="e">
        <f t="shared" si="426"/>
        <v>#N/A</v>
      </c>
      <c r="IF327" s="11" t="e">
        <f t="shared" si="427"/>
        <v>#N/A</v>
      </c>
    </row>
    <row r="328" spans="35:240" x14ac:dyDescent="0.2">
      <c r="AI328">
        <f>IF(Исходн.данные.!I328&gt;6,1,1.85-(0.148*Исходн.данные.!I328))</f>
        <v>1.85</v>
      </c>
      <c r="AJ328">
        <f>IF(Исходн.данные.!I328&gt;6,1,2.434-(0.246*Исходн.данные.!I328))</f>
        <v>2.4340000000000002</v>
      </c>
      <c r="AL328" s="148" t="b">
        <f>IF(Исходн.данные.!$P328="Ум",N_OrgUd_2g_um,IF(Исходн.данные.!$P328="Об",N_OrgUd_2g_ob))</f>
        <v>0</v>
      </c>
      <c r="AM328" s="148" t="b">
        <f>IF(Исходн.данные.!$P328="Ум",P_OrgUd_2g_um,IF(Исходн.данные.!$P328="Об",P_OrgUd_2g_ob))</f>
        <v>0</v>
      </c>
      <c r="AN328" s="148" t="b">
        <f>IF(Исходн.данные.!$P328="Ум",K_OrgUd_2g_um,IF(Исходн.данные.!$P328="Об",K_OrgUd_2g_ob))</f>
        <v>0</v>
      </c>
      <c r="AO328" s="148" t="b">
        <f>IF(Исходн.данные.!$P328="Ум",N_OrgUd_1g_um,IF(Исходн.данные.!$P328="Об",N_OrgUd_1g_ob))</f>
        <v>0</v>
      </c>
      <c r="AP328" s="148" t="b">
        <f>IF(Исходн.данные.!$P328="Ум",P_OrgUd_1g_um,IF(Исходн.данные.!$P328="Об",P_OrgUd_1g_ob))</f>
        <v>0</v>
      </c>
      <c r="AQ328" s="148" t="b">
        <f>IF(Исходн.данные.!$P328="Ум",K_OrgUd_1g_um,IF(Исходн.данные.!$P328="Об",K_OrgUd_1g_ob))</f>
        <v>0</v>
      </c>
      <c r="AR328" t="b">
        <f>IF(Исходн.данные.!$P328="Ум",N_MinUd_2g_um,IF(Исходн.данные.!$P328="Об",N_MinUd_2g_ob))</f>
        <v>0</v>
      </c>
      <c r="AS328" t="b">
        <f>IF(Исходн.данные.!$P328="Ум",P_MinUd_2g_um,IF(Исходн.данные.!$P328="Об",P_MinUd_2g_ob))</f>
        <v>0</v>
      </c>
      <c r="AT328" t="b">
        <f>IF(Исходн.данные.!$P328="Ум",K_MinUd_2g_um,IF(Исходн.данные.!$P328="Об",K_MinUd_2g_ob))</f>
        <v>0</v>
      </c>
      <c r="AU328" t="b">
        <f>IF(Исходн.данные.!$P328="Ум",N_MinUd_1g_um,IF(Исходн.данные.!$P328="Об",N_MinUd_1g_ob))</f>
        <v>0</v>
      </c>
      <c r="AV328" t="b">
        <f>IF(Исходн.данные.!P328="Ум",P_MinUd_1g_um,IF(Исходн.данные.!P328="Об",P_MinUd_1g_ob))</f>
        <v>0</v>
      </c>
      <c r="AW328" t="b">
        <f>IF(Исходн.данные.!P328="Ум",K_MinUd_1g_um,IF(Исходн.данные.!P328="Об",K_MinUd_1g_ob))</f>
        <v>0</v>
      </c>
      <c r="AY328" t="e">
        <f>VLOOKUP(Исходн.данные.!T328,Справ!$A$3:$N$57,12)</f>
        <v>#N/A</v>
      </c>
      <c r="AZ328" t="e">
        <f>VLOOKUP(Исходн.данные.!T328,Справ!$A$3:$N$57,13)</f>
        <v>#N/A</v>
      </c>
      <c r="BA328" t="e">
        <f>VLOOKUP(Исходн.данные.!T328,Справ!$A$3:$N$57,14)</f>
        <v>#N/A</v>
      </c>
      <c r="BB328">
        <f>IF(Исходн.данные.!AH328=0,0,25)</f>
        <v>0</v>
      </c>
      <c r="BC328" s="141">
        <f>IF(Исходн.данные.!AH328=0,0,IF(Исходн.данные.!T328=0,25,BD328))</f>
        <v>0</v>
      </c>
      <c r="BD328" s="168" t="e">
        <f>AY328+AZ328*Исходн.данные.!U328-POWER(BA328,2)*Исходн.данные.!U328</f>
        <v>#N/A</v>
      </c>
      <c r="BE32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8" s="25">
        <f>IF(Исходн.данные.!AH328=0,0,MIN(HN328:HP328))</f>
        <v>0</v>
      </c>
      <c r="BG328" s="9">
        <f>IF(Исходн.данные.!AH328=0,0,IF((HO328+10*0.25/HG328/HL328)&lt;17,17,HO328+10*0.25/HG328/HL328))</f>
        <v>0</v>
      </c>
      <c r="BH328" s="181">
        <f>IF(Исходн.данные.!AH328=0,0,HW328*HF328*HL328/AU328*AI328+Исходн.данные.!S328*10)</f>
        <v>0</v>
      </c>
      <c r="BI328" s="10"/>
      <c r="BJ328" s="182">
        <f>IF(Исходн.данные.!AH328=0,0,IF(HX328*HG328*HL328/AV328&lt;0,0,HX328*HG328*HL328/AV328*AJ328))</f>
        <v>0</v>
      </c>
      <c r="BK328" s="182">
        <f>IF(Исходн.данные.!AH328=0,0,HY328*HH328*HM328/AW328)</f>
        <v>0</v>
      </c>
      <c r="BL328" s="10">
        <f>IF(OR(Исходн.данные.!$AH328=$BP$1,Исходн.данные.!$AH328=$BP$2),0,IF(BH328&lt;0,0,IF(OR(Исходн.данные.!T328=Расчет!$BP$1,Исходн.данные.!T328=Расчет!$BP$2,Исходн.данные.!T328=Расчет!$BT$5,Исходн.данные.!T328=Расчет!$BT$6),BH328*0.5,IF(OR(Исходн.данные.!T328=Расчет!$BS$9,Исходн.данные.!T328=Расчет!$BS$10,Исходн.данные.!T328=Расчет!$BS$11,Исходн.данные.!T328=Расчет!$BS$12,Исходн.данные.!T328=Расчет!$BP$5),BH328*0.8,BH328))))</f>
        <v>0</v>
      </c>
      <c r="BM328" s="10">
        <f>IF(OR(Исходн.данные.!$AH328=$BP$1,Исходн.данные.!$AH328=$BP$2),0,IF(BJ328&lt;0,0,IF(Исходн.данные.!I328&lt;4.5,BJ328*1.2,IF(Исходн.данные.!I328&gt;5.1,BJ328,BJ328*((5.1-Исходн.данные.!I328)*0.333+1)))))</f>
        <v>0</v>
      </c>
      <c r="BN328" s="10">
        <f>IF(OR(Исходн.данные.!$AH328=$BP$1,Исходн.данные.!$AH328=$BP$2),60-Исходн.данные.!AF328,IF(BK328&lt;0,0,IF(Исходн.данные.!I328&lt;4.5,BK328*1.2,IF(Исходн.данные.!I328&gt;5.1,BK328,BK328*((5.1-Исходн.данные.!I328)*0.333+1)))))</f>
        <v>0</v>
      </c>
      <c r="BO328" s="9">
        <f>IF(BL328&lt;0,0,BL328*Исходн.данные.!$AJ328/1000)</f>
        <v>0</v>
      </c>
      <c r="BP328" s="9">
        <f>IF(BM328&lt;0,0,BM328*Исходн.данные.!$AJ328/1000)</f>
        <v>0</v>
      </c>
      <c r="BQ328" s="9">
        <f>IF(BN328&lt;0,0,BN328*Исходн.данные.!$AJ328/1000)</f>
        <v>0</v>
      </c>
      <c r="BR328" s="9">
        <f t="shared" si="377"/>
        <v>0</v>
      </c>
      <c r="BS328" s="10" t="str">
        <f t="shared" si="378"/>
        <v>Аммофос 12:52:00</v>
      </c>
      <c r="BT328" s="10" t="str">
        <f t="shared" si="379"/>
        <v>Аммофос 12:52:00</v>
      </c>
      <c r="BU328" s="10" t="str">
        <f t="shared" si="380"/>
        <v>Диаммофоска</v>
      </c>
      <c r="BV328" s="10">
        <f t="shared" si="381"/>
        <v>0</v>
      </c>
      <c r="BW328" s="10"/>
      <c r="BX328" s="10"/>
      <c r="BY328" s="9">
        <f>IF(BL328&lt;0,0,IF(OR(Исходн.данные.!AI328=Расчет!$BU$6,Исходн.данные.!AI328=Расчет!$BU$7),Расчет!BV328,IF(Исходн.данные.!$AG328=$BV$11,BL328,IF(OR(Исходн.данные.!$AH328=$BQ$7,Исходн.данные.!$AH328=$BQ$8),CB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0,IF(Исходн.данные.!$AI328=$BU$11,"Нет",IF(BL328&gt;30,30,BL328)))))))</f>
        <v>0</v>
      </c>
      <c r="BZ328" s="9">
        <f>IF(AND(Исходн.данные.!$AG328=$BV$11,BM328&lt;10),10,IF(Исходн.данные.!$AG328=$BV$11,BM328,IF(OR(Исходн.данные.!$AH328=$BQ$7,Исходн.данные.!$AH328=$BQ$8),CC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10,IF(Исходн.данные.!$AI328=$BU$11,"Нет",IF(BM328&gt;60,60,IF(BM328&lt;10,10,BM328)))))))</f>
        <v>10</v>
      </c>
      <c r="CA328" s="39">
        <f>IF(BN328&lt;0,0,IF(Исходн.данные.!$AG328=$BV$11,BN328,IF(OR(Исходн.данные.!$AH328=$BQ$7,Исходн.данные.!$AH328=$BQ$8),CD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0,IF(Исходн.данные.!$AI328=$BU$11,"Нет",IF(BN328&gt;30,30,BN328))))))</f>
        <v>0</v>
      </c>
      <c r="CB328" s="9">
        <f t="shared" si="382"/>
        <v>0</v>
      </c>
      <c r="CC328" s="9">
        <f t="shared" si="383"/>
        <v>0</v>
      </c>
      <c r="CD328" s="9">
        <f t="shared" si="384"/>
        <v>0</v>
      </c>
      <c r="CE328" s="12">
        <f t="shared" si="385"/>
        <v>10</v>
      </c>
      <c r="CF328" s="9">
        <f t="shared" si="386"/>
        <v>0</v>
      </c>
      <c r="CG328" s="9" t="s">
        <v>231</v>
      </c>
      <c r="CH328" s="132" t="str">
        <f>IF(Исходн.данные.!AP328=Расчет!$CI$16,"Нет",IF(Исходн.данные.!AL328&gt;0,Исходн.данные.!AL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BH$4,IF(OR(Исходн.данные.!AI328=Исходн.данные.!$AI$6,Исходн.данные.!AI328=Исходн.данные.!$AI$7),Расчет!BS328,IF(AND($CF328=0,$CE328&gt;0),EV328,ER328)))))</f>
        <v>Аммофос 12:52:00</v>
      </c>
      <c r="CI328" s="274">
        <f>IF(Расчет!$CH328="Нет","Нет",IF(Исходн.данные.!$AL328&gt;0,VLOOKUP(Расчет!$CH328,АшламаДВ_Irekle,2,FALSE),VLOOKUP(Расчет!$CH328,АшламаДВ_Gomumy,2,FALSE)))</f>
        <v>0.12</v>
      </c>
      <c r="CJ328" s="274">
        <f>IF(Расчет!$CH328="Нет","Нет",IF(Исходн.данные.!$AL328&gt;0,VLOOKUP(Расчет!$CH328,АшламаДВ_Irekle,3,FALSE),VLOOKUP(Расчет!$CH328,АшламаДВ_Gomumy,3,FALSE)))</f>
        <v>0.52</v>
      </c>
      <c r="CK328" s="274">
        <f>IF(Расчет!$CH328="Нет","Нет",IF(Исходн.данные.!$AL328&gt;0,VLOOKUP(Расчет!$CH328,АшламаДВ_Irekle,4,FALSE),VLOOKUP(Расчет!$CH328,АшламаДВ_Gomumy,4,FALSE)))</f>
        <v>0</v>
      </c>
      <c r="CL328" s="70"/>
      <c r="CM328" s="70"/>
      <c r="CN328" s="70"/>
      <c r="CO328" s="70"/>
      <c r="CP328" s="70"/>
      <c r="CQ328" s="70"/>
      <c r="CR328" s="10">
        <f t="shared" si="387"/>
        <v>0</v>
      </c>
      <c r="CS328" s="10">
        <f t="shared" si="388"/>
        <v>19.23076923076923</v>
      </c>
      <c r="CT328" s="10">
        <f t="shared" si="389"/>
        <v>0</v>
      </c>
      <c r="CU328" s="39">
        <f>IF($CH328="Нет",0,IF(CI328=0,30/MIN(CJ328:CK328),IF(Исходн.данные.!$AG328=$BV$11,CR328,IF(OR(Исходн.данные.!$AH328=$BQ$7,Исходн.данные.!$AH328=$BQ$8),90/CI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0,IF(Исходн.данные.!$AI328=$BU$11,"Нет",30/CI328))))))</f>
        <v>250</v>
      </c>
      <c r="CV328" s="39">
        <f>IF($CH328="Нет",0,IF(Исходн.данные.!AH328=0,0,IF(CJ328=0,60/MIN(CI328,CK328),IF(Исходн.данные.!$AG328=$BV$11,CS328,IF(OR(Исходн.данные.!$AH328=$BQ$7,Исходн.данные.!$AH328=$BQ$8),90/CJ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10/CJ328,IF(Исходн.данные.!$AI328=$BU$11,"Нет",60/CJ328)))))))</f>
        <v>0</v>
      </c>
      <c r="CW328" s="39">
        <f>IF($CH328="Нет",0,IF(Исходн.данные.!AH328=0,0,IF(CK328=0,30/MIN(CI328:CJ328),IF(Исходн.данные.!$AG328=$BV$11,CT328,IF(OR(Исходн.данные.!$AH328=$BQ$7,Исходн.данные.!$AH328=$BQ$8),90/CK328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0,IF(Исходн.данные.!$AI328=$BU$11,"Нет",30/CK328)))))))</f>
        <v>0</v>
      </c>
      <c r="CX328" s="133">
        <f>IF(Исходн.данные.!$AG328=$BV$11,MAX(CU328:CW328),IF(OR(Исходн.данные.!$AH328=$BS$8,Исходн.данные.!$AH328=$BQ$9,Исходн.данные.!$AH328=$BQ$10,Исходн.данные.!$AH328=$BQ$11,Исходн.данные.!$AH328=$BQ$12,Исходн.данные.!$AH328=$BP$3,Исходн.данные.!$AH328=$BT$8,$FM328="Да"),CV328,MIN(CU328:CW328)))</f>
        <v>0</v>
      </c>
      <c r="CY328" s="133">
        <f>IF(Исходн.данные.!AH328=0,0,IF(CR328&gt;$CX328,$CX328,CR328))</f>
        <v>0</v>
      </c>
      <c r="CZ328" s="133">
        <f>IF(Исходн.данные.!AH328=0,0,IF(CS328&gt;$CX328,$CX328,CS328))</f>
        <v>0</v>
      </c>
      <c r="DA328" s="133">
        <f>IF(Исходн.данные.!AH328=0,0,IF(CT328&gt;$CX328,$CX328,CT328))</f>
        <v>0</v>
      </c>
      <c r="DB328" s="10">
        <f t="shared" si="390"/>
        <v>0</v>
      </c>
      <c r="DC328" s="39">
        <f>DB328*Исходн.данные.!AJ328/1000</f>
        <v>0</v>
      </c>
      <c r="DD328" s="71">
        <f t="shared" si="391"/>
        <v>0</v>
      </c>
      <c r="DE328" s="9">
        <f t="shared" si="392"/>
        <v>0</v>
      </c>
      <c r="DF328" s="9">
        <f t="shared" si="393"/>
        <v>0</v>
      </c>
      <c r="DG328" s="39">
        <f>IF(BL328&lt;0,0,IF($CH328="Нет",BL328,IF(OR(Исходн.данные.!$AH328=$BP$1,Исходн.данные.!$AH328=$BP$2),0,IF(Исходн.данные.!AI328=$BU$11,BL328,IF(BL328-DD328&lt;0,0,BL328-DD328)))))</f>
        <v>0</v>
      </c>
      <c r="DH328" s="39">
        <f>IF(BM328&lt;0,0,IF($CH328="Нет",BM328,IF(OR(Исходн.данные.!$AH328=$BP$1,Исходн.данные.!$AH328=$BP$2),0,IF(Исходн.данные.!AJ328=$BU$11,BM328,IF(BM328-DE328&lt;0,0,BM328-DE328)))))</f>
        <v>0</v>
      </c>
      <c r="DI328" s="39">
        <f>IF(BN328&lt;0,0,IF($CH328="Нет",BN328,IF(OR(Исходн.данные.!$AH328=$BP$1,Исходн.данные.!$AH328=$BP$2),0,IF(Исходн.данные.!AK328=$BU$11,BN328,IF(BN328-DF328&lt;0,0,BN328-DF328)))))</f>
        <v>0</v>
      </c>
      <c r="DJ328" s="12">
        <f t="shared" si="394"/>
        <v>0</v>
      </c>
      <c r="DK328" s="9">
        <f t="shared" si="395"/>
        <v>0</v>
      </c>
      <c r="DL328" s="39">
        <f>IF(Исходн.данные.!AM328&gt;0,Исходн.данные.!AM328,IF(EG328&gt;0,$BH$10,0))</f>
        <v>0</v>
      </c>
      <c r="DM328" s="186">
        <f>IF($DL328=0,0,IF(Исходн.данные.!AM328&gt;0,VLOOKUP($DL328,АшламаДВ_Irekle,2,FALSE),VLOOKUP($DL328,АшламаДВ_Gomumy,2,FALSE)))</f>
        <v>0</v>
      </c>
      <c r="DN328" s="10">
        <f t="shared" si="373"/>
        <v>0</v>
      </c>
      <c r="DO328" s="9" t="str">
        <f>IF(Исходн.данные.!AN328&gt;0,Исходн.данные.!AN328,Удобрения!$B$37 )</f>
        <v>Хлор.калий</v>
      </c>
      <c r="DP328" s="9">
        <f>IF(Исходн.данные.!AN328&gt;0,VLOOKUP(Исходн.данные.!AN328,АшламаДВ_Irekle,4,FALSE),VLOOKUP(DO328,АшламаДВ_Gomumy,4,FALSE))</f>
        <v>0.6</v>
      </c>
      <c r="DQ328" s="10">
        <f t="shared" si="374"/>
        <v>0</v>
      </c>
      <c r="DR328" s="132" t="str">
        <f>IF(Исходн.данные.!AO328&gt;0,Исходн.данные.!AO328,IF(DH328=0,BS$17,IF(AND($DK328=0,$DJ328&gt;0),EJ328,EN328)))</f>
        <v>Нет</v>
      </c>
      <c r="DS328" s="70" t="str">
        <f>IF($DR328="Нет","Нет",IF(Исходн.данные.!$AO328&gt;0,VLOOKUP($DR328,АшламаДВ_Irekle,2,FALSE),VLOOKUP($DR328,АшламаДВ_Gomumy,2,FALSE)))</f>
        <v>Нет</v>
      </c>
      <c r="DT328" s="70" t="str">
        <f>IF($DR328="Нет","Нет",IF(Исходн.данные.!$AO328&gt;0,VLOOKUP($DR328,АшламаДВ_Irekle,3,FALSE),VLOOKUP($DR328,АшламаДВ_Gomumy,3,FALSE)))</f>
        <v>Нет</v>
      </c>
      <c r="DU328" s="70" t="str">
        <f>IF($DR328="Нет","Нет",IF(Исходн.данные.!$AO328&gt;0,VLOOKUP($DR328,АшламаДВ_Irekle,4,FALSE),VLOOKUP($DR328,АшламаДВ_Gomumy,4,FALSE)))</f>
        <v>Нет</v>
      </c>
      <c r="DV328" s="70"/>
      <c r="DW328" s="70"/>
      <c r="DX328" s="70"/>
      <c r="DY328" s="10">
        <f t="shared" si="396"/>
        <v>0</v>
      </c>
      <c r="DZ328" s="10">
        <f t="shared" si="397"/>
        <v>0</v>
      </c>
      <c r="EA328" s="10">
        <f t="shared" si="398"/>
        <v>0</v>
      </c>
      <c r="EB328" s="10">
        <f t="shared" si="399"/>
        <v>0</v>
      </c>
      <c r="EC328" s="10">
        <f t="shared" si="400"/>
        <v>0</v>
      </c>
      <c r="ED328" s="10">
        <f t="shared" si="401"/>
        <v>0</v>
      </c>
      <c r="EE328" s="10">
        <f t="shared" si="402"/>
        <v>0</v>
      </c>
      <c r="EF328" s="39">
        <f>EB328*Исходн.данные.!AJ328/1000</f>
        <v>0</v>
      </c>
      <c r="EG328" s="9">
        <f t="shared" si="403"/>
        <v>0</v>
      </c>
      <c r="EH328" s="9">
        <f t="shared" si="404"/>
        <v>0</v>
      </c>
      <c r="EI328" s="39" t="e">
        <f t="shared" si="354"/>
        <v>#DIV/0!</v>
      </c>
      <c r="EJ328" s="9" t="str">
        <f t="shared" si="375"/>
        <v>Азопреципитат</v>
      </c>
      <c r="EK328" s="12">
        <f t="shared" si="355"/>
        <v>0.26</v>
      </c>
      <c r="EL328" s="12">
        <f t="shared" si="356"/>
        <v>0.13</v>
      </c>
      <c r="EM328" s="12">
        <f t="shared" si="357"/>
        <v>0</v>
      </c>
      <c r="EN328" s="12" t="str">
        <f t="shared" si="376"/>
        <v>Нет</v>
      </c>
      <c r="EO328" s="12">
        <f t="shared" si="358"/>
        <v>0</v>
      </c>
      <c r="EP328" s="12">
        <f t="shared" si="359"/>
        <v>0</v>
      </c>
      <c r="EQ328" s="12">
        <f t="shared" si="360"/>
        <v>0</v>
      </c>
      <c r="ER328" s="12" t="str">
        <f t="shared" si="405"/>
        <v>Диаммофоска</v>
      </c>
      <c r="ES328" s="12">
        <f t="shared" si="361"/>
        <v>0.1</v>
      </c>
      <c r="ET328" s="12">
        <f t="shared" si="362"/>
        <v>0.26</v>
      </c>
      <c r="EU328" s="12">
        <f t="shared" si="363"/>
        <v>0.26</v>
      </c>
      <c r="EV328" s="12" t="str">
        <f t="shared" si="406"/>
        <v>Аммофос 12:52:00</v>
      </c>
      <c r="EW328" s="12" t="str">
        <f t="shared" si="407"/>
        <v>Кемира Свекловичное-6</v>
      </c>
      <c r="EX328" s="12">
        <f t="shared" si="364"/>
        <v>0.16</v>
      </c>
      <c r="EY328" s="12">
        <f t="shared" si="365"/>
        <v>0.12</v>
      </c>
      <c r="EZ328" s="12">
        <f t="shared" si="366"/>
        <v>0.17</v>
      </c>
      <c r="FA328" s="38" t="e">
        <f>IF(AND(OR(FJ328=$FD$1,FM328=$FD$1,FO328=$FD$1,FQ328=$FD$1,FS328=$FD$1),FD328=$FD$1,Исходн.данные.!J328&lt;2,FU328=$FD$1),"Бор,Кобальт",IF(AND(FO328=$FD$1,FH328=$FD$1,Исходн.данные.!J328&lt;2,FU328=$FD$1),"Бор,Кобальт",IF(AND(OR(FJ328=$FD$1,FM328=$FD$1,FQ328=$FD$1),FE328=$FD$1,Исходн.данные.!J328&lt;2,FT328=$FD$1,FU328=$FD$1),"Бор,Медь,Цинк",IF(AND(OR(FJ328=$FD$1,FR328="Да"),FI328="Да",Исходн.данные.!J328&lt;2,FT328="Да",FU328="Да"),"Бор,Цинк,Медь",IF(AND(OR(FM328="Да",FQ328="Да"),FI328="Да",Исходн.данные.!J328&lt;2,FT328="Да",FU328="Да"),"Бор,Цинк",IF(AND(FN328="Да",OR(FD328="Да",FE328="Да")),"Бор",FB328))))))</f>
        <v>#N/A</v>
      </c>
      <c r="FB328" s="134" t="e">
        <f>IF(AND(OR(FD328="Да",FE328="Да",FF328="Да",FG328="Да",FH328="Да"),FO328="Да"),"Бор",IF(AND(FP328="Да",OR(FD328="Да",FE328="Да",FI328="Да")),"Бор",IF(AND(FS328="Да",FE328="Да"),"Бор,Медь",IF(AND(OR(FJ328="Да",FK328="Да",FL328="Да"),FE328="Да",Исходн.данные.!I328&lt;5,FT328="Да",FU328="Да"),"Молибден,Цинк",IF(AND(FM328="Да",OR(FE328="Да",FF328="Да",FG328="Да",FH328="Да",FI328="Да")),"Молибден,Цинк",IF(AND(OR(FJ328="Да",FK328="Да",FL328="Да",FM328="Да",FQ328="Да"),OR(FE328="Да",FF328="Да"),FT328="Да",FU328="Да",Исходн.данные.!I328&gt;5.5),"Медь,Цинк",FC328))))))</f>
        <v>#N/A</v>
      </c>
      <c r="FC328" s="23" t="e">
        <f t="shared" si="408"/>
        <v>#N/A</v>
      </c>
      <c r="FD328" s="38" t="str">
        <f>IF(OR(Исходн.данные.!F328=$CC$1,Исходн.данные.!F328=$CC$2,Исходн.данные.!F328=$CC$3,Исходн.данные.!F328=$CC$4),"Да","Нет")</f>
        <v>Нет</v>
      </c>
      <c r="FE328" s="38" t="str">
        <f>IF(Исходн.данные.!F328=$CC$5,"Да","Нет")</f>
        <v>Нет</v>
      </c>
      <c r="FF328" s="38" t="str">
        <f>IF(OR(Исходн.данные.!F328=$CC$6,Исходн.данные.!F328=$CC$7),"Да","Нет")</f>
        <v>Нет</v>
      </c>
      <c r="FG328" s="38" t="str">
        <f>IF(OR(Исходн.данные.!F328=$CC$8,Исходн.данные.!F328=$CC$9),"Да","Нет")</f>
        <v>Нет</v>
      </c>
      <c r="FH328" s="38" t="str">
        <f>IF(Исходн.данные.!F328=$CC$10,"Да","Нет")</f>
        <v>Нет</v>
      </c>
      <c r="FI328" s="38" t="str">
        <f>IF(OR(Исходн.данные.!F328=$CC$11,Исходн.данные.!F328=$CC$12),"Да","Нет")</f>
        <v>Нет</v>
      </c>
      <c r="FJ328" s="38" t="str">
        <f>IF(OR(Исходн.данные.!AH328=$BS$1,Исходн.данные.!AH328=$BQ$11,Исходн.данные.!AH328=$BQ$12),"Да","Нет")</f>
        <v>Нет</v>
      </c>
      <c r="FK328" s="38" t="str">
        <f>IF(OR(Исходн.данные.!AH328=$BS$2,Исходн.данные.!AH328=$BS$4),"Да","Нет")</f>
        <v>Нет</v>
      </c>
      <c r="FL328" s="38" t="str">
        <f>IF(OR(Исходн.данные.!AH328=$BS$3,Исходн.данные.!AH328=$BS$5),"Да","Нет")</f>
        <v>Нет</v>
      </c>
      <c r="FM328" s="38" t="str">
        <f>IF(OR(Исходн.данные.!AH328=$BS$9,Исходн.данные.!AH328=$BS$10,Исходн.данные.!AH328=$BS$11,Исходн.данные.!AH328=$BS$12),"Да","Нет")</f>
        <v>Нет</v>
      </c>
      <c r="FN328" s="38" t="str">
        <f>IF(OR(Исходн.данные.!AH328=$BS$6,Исходн.данные.!AH328=$BP$3),"Да","Нет")</f>
        <v>Нет</v>
      </c>
      <c r="FO328" s="38" t="str">
        <f>IF(Исходн.данные.!AH328=$BQ$9,"Да","Нет")</f>
        <v>Нет</v>
      </c>
      <c r="FP328" s="38" t="str">
        <f>IF(OR(Исходн.данные.!AH328=$BS$8,Исходн.данные.!AH328=$BT$8),"Да","Нет")</f>
        <v>Нет</v>
      </c>
      <c r="FQ328" s="38" t="str">
        <f>IF(OR(Исходн.данные.!AH328=$BQ$7,Исходн.данные.!AH328=$BQ$8),"Да","Нет")</f>
        <v>Нет</v>
      </c>
      <c r="FR328" s="38" t="str">
        <f>IF(Исходн.данные.!AI328=$BU$9,"Да","Нет")</f>
        <v>Нет</v>
      </c>
      <c r="FS328" s="38" t="str">
        <f>IF(OR(Исходн.данные.!AH328=$BP$1,Исходн.данные.!AH328=$BP$2),"Да","Нет")</f>
        <v>Нет</v>
      </c>
      <c r="FT328" s="38" t="e">
        <f>IF((Исходн.данные.!K328*GO328*GS328*GW328+BL328*0.6+Исходн.данные.!Q328*4.5*0.275)&gt;90,"Да","Нет")</f>
        <v>#N/A</v>
      </c>
      <c r="FU328" s="38" t="e">
        <f>IF((Исходн.данные.!M328*GS328*GZ328+BM328*0.225)&gt;35,"Да","Нет")</f>
        <v>#N/A</v>
      </c>
      <c r="FV328" s="38" t="str">
        <f>IF(Исходн.данные.!O328&gt;175,"Да","Нет")</f>
        <v>Нет</v>
      </c>
      <c r="FW328" s="39" t="str">
        <f>IF(Исходн.данные.!I328&gt;5.5,"Да","Нет")</f>
        <v>Нет</v>
      </c>
      <c r="FX328" s="39" t="str">
        <f>IF(Исходн.данные.!J328&lt;2,"Да","Нет")</f>
        <v>Да</v>
      </c>
      <c r="FY328" s="39" t="e">
        <f>IF(HF328=$FY$16,0,Исходн.данные.!K328*GO328*GS328*GW328/HF328)</f>
        <v>#N/A</v>
      </c>
      <c r="FZ328" s="39" t="e">
        <f>Исходн.данные.!M328*GS328*GZ328/HG328</f>
        <v>#N/A</v>
      </c>
      <c r="GA328" s="39" t="e">
        <f>IF(K_Wyn=$FY$16,0,IF(Исходн.данные.!N328=Исходн.данные.!$L$10,Исходн.данные.!O328/1.1*GS328*HC328/HH328,IF(Исходн.данные.!N328=Исходн.данные.!$L$12,Исходн.данные.!O328/1.5*GS328*HC328/HH328,Исходн.данные.!O328*GS328*HC328/HH328)))</f>
        <v>#N/A</v>
      </c>
      <c r="GB328" s="39" t="e">
        <f>IF(HF328=$FY$16,0,((Исходн.данные.!Q328*N_Org+Исходн.данные.!R328*N_Sider+Исходн.данные.!S328*N_Soloma)*AO328+Расчет!BC328*VLOOKUP(Исходн.данные.!T328,Справ!$A$3:$O$57,15)*AO328+BB328*VLOOKUP(Исходн.данные.!T328,Справ!$A$3:$O$57,15)*AL328+(Исходн.данные.!V328*N_Rizotorf+Исходн.данные.!W328*N_Rizoagr))/HF328)</f>
        <v>#N/A</v>
      </c>
      <c r="GC328" s="39" t="e">
        <f>IF(HG328=$FY$16,0,((Исходн.данные.!Q328*Р_Org+Исходн.данные.!R328*P_Sider+Исходн.данные.!S328*P_Soloma)*AP328+Расчет!BC328*VLOOKUP(Исходн.данные.!T328,Справ!$A$3:$P$57,16)*AP328+BB328*VLOOKUP(Исходн.данные.!T328,Справ!$A$3:$P$57,16)*AM328)/HG328)</f>
        <v>#N/A</v>
      </c>
      <c r="GD328" s="39" t="e">
        <f>IF(HH328=$FY$16,0,((Исходн.данные.!Q328*К_Org+Исходн.данные.!R328*K_Sider+Исходн.данные.!S328*K_Soloma)*AQ328+Расчет!BC328*VLOOKUP(Исходн.данные.!T328,Справ!$A$3:$Q$57,17)*AQ328+BB328*VLOOKUP(Исходн.данные.!T328,Справ!$A$3:$Q$57,17)*AN328)/HH328)</f>
        <v>#N/A</v>
      </c>
      <c r="GE328" s="39" t="e">
        <f>IF(HF328=$FY$16,0,(Исходн.данные.!X328*AR328+Исходн.данные.!AA328*N_Org*AL328+Исходн.данные.!AB328*N_Sider*AL328+Исходн.данные.!AC328*N_Soloma*AL328)/HF328)</f>
        <v>#N/A</v>
      </c>
      <c r="GF328" s="39" t="e">
        <f>IF(HG328=$FY$16,0,(Исходн.данные.!Y328*AS328+Исходн.данные.!AA328*Р_Org*AM328+Исходн.данные.!AB328*P_Sider*AM328+Исходн.данные.!AC328*P_Soloma*AM328)/HG328)</f>
        <v>#N/A</v>
      </c>
      <c r="GG328" s="39" t="e">
        <f>IF(HH328=$FY$16,0,(Исходн.данные.!Z328*AT328+Исходн.данные.!AA328*К_Org*AN328+Исходн.данные.!AB328*K_Sider*AN328+Исходн.данные.!AC328*K_Soloma*AN328)/HH328)</f>
        <v>#N/A</v>
      </c>
      <c r="GH328" s="39" t="e">
        <f>Исходн.данные.!AD328*AU328/HF328</f>
        <v>#N/A</v>
      </c>
      <c r="GI328" s="39" t="e">
        <f>Исходн.данные.!AE328*AV328/HG328</f>
        <v>#N/A</v>
      </c>
      <c r="GJ328" s="39" t="e">
        <f>Исходн.данные.!AF328*AW328/HH328</f>
        <v>#N/A</v>
      </c>
      <c r="GK328" s="55">
        <f>Исходн.данные.!AK328</f>
        <v>0</v>
      </c>
      <c r="GL328" s="11" t="e">
        <f t="shared" si="409"/>
        <v>#N/A</v>
      </c>
      <c r="GM328" s="11" t="e">
        <f t="shared" si="410"/>
        <v>#N/A</v>
      </c>
      <c r="GN328" s="11" t="e">
        <f t="shared" si="411"/>
        <v>#N/A</v>
      </c>
      <c r="GO328" s="57">
        <f t="shared" si="412"/>
        <v>19</v>
      </c>
      <c r="GP328" s="55">
        <f>IF(OR(Исходн.данные.!F328=$CE$1,Исходн.данные.!F328=$CE$2,Исходн.данные.!F328=$CE$3,Исходн.данные.!F328=$CE$4,Исходн.данные.!F328=$CE$5),GQ328,GR328)</f>
        <v>19</v>
      </c>
      <c r="GQ328" s="55">
        <f>IF(Исходн.данные.!F328=$CE$1,28,IF(Исходн.данные.!F328=$CE$2,26,IF(Исходн.данные.!F328=$CE$3,24,IF(Исходн.данные.!F328=$CE$4,22,IF(Исходн.данные.!F328=$CE$5,20,GR328)))))</f>
        <v>19</v>
      </c>
      <c r="GR328" s="55">
        <f>IF(Исходн.данные.!F328=$CE$6,18,IF(Исходн.данные.!F328=$CE$7,16,IF(Исходн.данные.!F328=$CE$8,14,IF(Исходн.данные.!F328=$CE$9,13,IF(Исходн.данные.!F328=$CE$10,12,19)))))</f>
        <v>19</v>
      </c>
      <c r="GS328" s="55">
        <f>IF(Исходн.данные.!G328="Пес",0.035*(40+2*Исходн.данные.!H328),IF(Исходн.данные.!G328="Суп",0.0325*(40+2*Исходн.данные.!H328),0.03*(40+2*Исходн.данные.!H328)))</f>
        <v>1.2</v>
      </c>
      <c r="GT328" s="55">
        <f>IF(Исходн.данные.!H328&lt;23,2.6,IF(AND(Исходн.данные.!H328&gt;22,Исходн.данные.!H328&lt;26),3,IF(AND(Исходн.данные.!H328&gt;25,Исходн.данные.!H328&lt;29),3.4,3.6)))</f>
        <v>2.6</v>
      </c>
      <c r="GU328" s="55">
        <f>IF(Исходн.данные.!H328&lt;23,2.8,IF(AND(Исходн.данные.!H328&gt;22,Исходн.данные.!H328&lt;26),3.2,IF(AND(Исходн.данные.!H328&gt;25,Исходн.данные.!H328&lt;29),3.6,3.9)))</f>
        <v>2.8</v>
      </c>
      <c r="GV328" s="55">
        <f>IF(Исходн.данные.!H328&lt;23,3,IF(AND(Исходн.данные.!H328&gt;22,Исходн.данные.!H328&lt;26),3.5,IF(AND(Исходн.данные.!H328&gt;25,Исходн.данные.!H328&lt;29),3.9,4.2)))</f>
        <v>3</v>
      </c>
      <c r="GW328" s="55" t="e">
        <f>IF(Исходн.данные.!P328="Ум",GX328,GY328)</f>
        <v>#N/A</v>
      </c>
      <c r="GX328" s="55" t="e">
        <f>VLOOKUP(Исходн.данные.!AI328,Коэффициенты!$J$7:$L$13,2,FALSE)</f>
        <v>#N/A</v>
      </c>
      <c r="GY328" s="55" t="e">
        <f>VLOOKUP(Исходн.данные.!AI328,Коэффициенты!$J$7:$L$13,3,FALSE)</f>
        <v>#N/A</v>
      </c>
      <c r="GZ328" s="55" t="e">
        <f>(IF(Исходн.данные.!M328&lt;50,0.11*VLOOKUP(Исходн.данные.!AH328,Культуры.Информация,7,FALSE),IF(Исходн.данные.!M328&gt;250,0.05*VLOOKUP(Исходн.данные.!AH328,Культуры.Информация,7,FALSE),VLOOKUP(Исходн.данные.!AH328,Культуры.Информация,5,FALSE)/100*($GX$6+$GY$6*Исходн.данные.!M328))))*Расчет2!AI328</f>
        <v>#N/A</v>
      </c>
      <c r="HA328" s="211"/>
      <c r="HB328" s="211"/>
      <c r="HC328" s="55" t="e">
        <f>(IF(Исходн.данные.!O328&lt;80,0.2*VLOOKUP(Исходн.данные.!AH328,Культуры.Информация,8,FALSE),IF(Исходн.данные.!O328&gt;240,0.09*VLOOKUP(Исходн.данные.!AH328,Культуры.Информация,8,FALSE),VLOOKUP(Исходн.данные.!AH328,Культуры.Информация,6,FALSE)/100*($HB$6+$HC$6*Исходн.данные.!O328))))*Расчет2!AJ328</f>
        <v>#N/A</v>
      </c>
      <c r="HD328" s="55">
        <f>IF(Исходн.данные.!O328&gt;240,0.09,IF(Исходн.данные.!O328&lt;30,0.3,$HE$10+$HD$10*Исходн.данные.!O328))</f>
        <v>0.3</v>
      </c>
      <c r="HE328" s="55">
        <f>IF(Исходн.данные.!O328&gt;240,0.17,IF(Исходн.данные.!O328&lt;30,0.5,$HF$12+$HE$12*Исходн.данные.!O328))</f>
        <v>0.5</v>
      </c>
      <c r="HF328" s="55" t="e">
        <f>VLOOKUP(Исходн.данные.!AH328,Справ!$A$3:$D$58,2,FALSE)</f>
        <v>#N/A</v>
      </c>
      <c r="HG328" s="55" t="e">
        <f>VLOOKUP(Исходн.данные.!AH328,Справ!$A$3:$D$58,3,FALSE)</f>
        <v>#N/A</v>
      </c>
      <c r="HH328" s="55" t="e">
        <f>VLOOKUP(Исходн.данные.!AH328,Справ!$A$3:$D$58,4,FALSE)</f>
        <v>#N/A</v>
      </c>
      <c r="HI328" s="11" t="e">
        <f t="shared" si="413"/>
        <v>#N/A</v>
      </c>
      <c r="HJ328" s="11" t="e">
        <f t="shared" si="414"/>
        <v>#N/A</v>
      </c>
      <c r="HK328" s="11" t="e">
        <f t="shared" si="415"/>
        <v>#N/A</v>
      </c>
      <c r="HL328" s="55">
        <f>IF(OR(Исходн.данные.!G328="Глин",Исходн.данные.!G328="Т_суг"),1.1,IF(Исходн.данные.!G328="Ср_суг",1,1))</f>
        <v>1</v>
      </c>
      <c r="HM328" s="55">
        <f>IF(OR(Исходн.данные.!G328="Глин",Исходн.данные.!G328="Т_суг"),0.9,IF(Исходн.данные.!G328="Ср_суг",1,1.2))</f>
        <v>1.2</v>
      </c>
      <c r="HN328" s="11" t="e">
        <f t="shared" si="416"/>
        <v>#N/A</v>
      </c>
      <c r="HO328" s="11" t="e">
        <f t="shared" si="417"/>
        <v>#N/A</v>
      </c>
      <c r="HP328" s="11" t="e">
        <f t="shared" si="418"/>
        <v>#N/A</v>
      </c>
      <c r="HQ328" t="e">
        <f t="shared" si="419"/>
        <v>#N/A</v>
      </c>
      <c r="HR328" t="e">
        <f t="shared" si="420"/>
        <v>#N/A</v>
      </c>
      <c r="HS328" t="e">
        <f t="shared" si="421"/>
        <v>#N/A</v>
      </c>
      <c r="HT328" t="e">
        <f t="shared" si="367"/>
        <v>#N/A</v>
      </c>
      <c r="HU328" t="e">
        <f t="shared" si="368"/>
        <v>#N/A</v>
      </c>
      <c r="HV328" t="e">
        <f t="shared" si="369"/>
        <v>#N/A</v>
      </c>
      <c r="HW328" t="e">
        <f t="shared" si="370"/>
        <v>#N/A</v>
      </c>
      <c r="HX328" t="e">
        <f t="shared" si="371"/>
        <v>#N/A</v>
      </c>
      <c r="HY328" t="e">
        <f t="shared" si="372"/>
        <v>#N/A</v>
      </c>
      <c r="HZ328" s="55">
        <f>IF(OR(Исходн.данные.!AI328="Оз_Ч_П",Исходн.данные.!AI328="Оз_З_П",Исходн.данные.!AI328="Яр_зер"),12,30)</f>
        <v>30</v>
      </c>
      <c r="IA328" t="e">
        <f t="shared" si="422"/>
        <v>#N/A</v>
      </c>
      <c r="IB328" t="e">
        <f t="shared" si="423"/>
        <v>#N/A</v>
      </c>
      <c r="IC328" t="e">
        <f t="shared" si="424"/>
        <v>#N/A</v>
      </c>
      <c r="ID328" s="11" t="e">
        <f t="shared" si="425"/>
        <v>#N/A</v>
      </c>
      <c r="IE328" s="11" t="e">
        <f t="shared" si="426"/>
        <v>#N/A</v>
      </c>
      <c r="IF328" s="11" t="e">
        <f t="shared" si="427"/>
        <v>#N/A</v>
      </c>
    </row>
    <row r="329" spans="35:240" x14ac:dyDescent="0.2">
      <c r="AI329">
        <f>IF(Исходн.данные.!I329&gt;6,1,1.85-(0.148*Исходн.данные.!I329))</f>
        <v>1.85</v>
      </c>
      <c r="AJ329">
        <f>IF(Исходн.данные.!I329&gt;6,1,2.434-(0.246*Исходн.данные.!I329))</f>
        <v>2.4340000000000002</v>
      </c>
      <c r="AL329" s="148" t="b">
        <f>IF(Исходн.данные.!$P329="Ум",N_OrgUd_2g_um,IF(Исходн.данные.!$P329="Об",N_OrgUd_2g_ob))</f>
        <v>0</v>
      </c>
      <c r="AM329" s="148" t="b">
        <f>IF(Исходн.данные.!$P329="Ум",P_OrgUd_2g_um,IF(Исходн.данные.!$P329="Об",P_OrgUd_2g_ob))</f>
        <v>0</v>
      </c>
      <c r="AN329" s="148" t="b">
        <f>IF(Исходн.данные.!$P329="Ум",K_OrgUd_2g_um,IF(Исходн.данные.!$P329="Об",K_OrgUd_2g_ob))</f>
        <v>0</v>
      </c>
      <c r="AO329" s="148" t="b">
        <f>IF(Исходн.данные.!$P329="Ум",N_OrgUd_1g_um,IF(Исходн.данные.!$P329="Об",N_OrgUd_1g_ob))</f>
        <v>0</v>
      </c>
      <c r="AP329" s="148" t="b">
        <f>IF(Исходн.данные.!$P329="Ум",P_OrgUd_1g_um,IF(Исходн.данные.!$P329="Об",P_OrgUd_1g_ob))</f>
        <v>0</v>
      </c>
      <c r="AQ329" s="148" t="b">
        <f>IF(Исходн.данные.!$P329="Ум",K_OrgUd_1g_um,IF(Исходн.данные.!$P329="Об",K_OrgUd_1g_ob))</f>
        <v>0</v>
      </c>
      <c r="AR329" t="b">
        <f>IF(Исходн.данные.!$P329="Ум",N_MinUd_2g_um,IF(Исходн.данные.!$P329="Об",N_MinUd_2g_ob))</f>
        <v>0</v>
      </c>
      <c r="AS329" t="b">
        <f>IF(Исходн.данные.!$P329="Ум",P_MinUd_2g_um,IF(Исходн.данные.!$P329="Об",P_MinUd_2g_ob))</f>
        <v>0</v>
      </c>
      <c r="AT329" t="b">
        <f>IF(Исходн.данные.!$P329="Ум",K_MinUd_2g_um,IF(Исходн.данные.!$P329="Об",K_MinUd_2g_ob))</f>
        <v>0</v>
      </c>
      <c r="AU329" t="b">
        <f>IF(Исходн.данные.!$P329="Ум",N_MinUd_1g_um,IF(Исходн.данные.!$P329="Об",N_MinUd_1g_ob))</f>
        <v>0</v>
      </c>
      <c r="AV329" t="b">
        <f>IF(Исходн.данные.!P329="Ум",P_MinUd_1g_um,IF(Исходн.данные.!P329="Об",P_MinUd_1g_ob))</f>
        <v>0</v>
      </c>
      <c r="AW329" t="b">
        <f>IF(Исходн.данные.!P329="Ум",K_MinUd_1g_um,IF(Исходн.данные.!P329="Об",K_MinUd_1g_ob))</f>
        <v>0</v>
      </c>
      <c r="AY329" t="e">
        <f>VLOOKUP(Исходн.данные.!T329,Справ!$A$3:$N$57,12)</f>
        <v>#N/A</v>
      </c>
      <c r="AZ329" t="e">
        <f>VLOOKUP(Исходн.данные.!T329,Справ!$A$3:$N$57,13)</f>
        <v>#N/A</v>
      </c>
      <c r="BA329" t="e">
        <f>VLOOKUP(Исходн.данные.!T329,Справ!$A$3:$N$57,14)</f>
        <v>#N/A</v>
      </c>
      <c r="BB329">
        <f>IF(Исходн.данные.!AH329=0,0,25)</f>
        <v>0</v>
      </c>
      <c r="BC329" s="141">
        <f>IF(Исходн.данные.!AH329=0,0,IF(Исходн.данные.!T329=0,25,BD329))</f>
        <v>0</v>
      </c>
      <c r="BD329" s="168" t="e">
        <f>AY329+AZ329*Исходн.данные.!U329-POWER(BA329,2)*Исходн.данные.!U329</f>
        <v>#N/A</v>
      </c>
      <c r="BE32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29" s="25">
        <f>IF(Исходн.данные.!AH329=0,0,MIN(HN329:HP329))</f>
        <v>0</v>
      </c>
      <c r="BG329" s="9">
        <f>IF(Исходн.данные.!AH329=0,0,IF((HO329+10*0.25/HG329/HL329)&lt;17,17,HO329+10*0.25/HG329/HL329))</f>
        <v>0</v>
      </c>
      <c r="BH329" s="181">
        <f>IF(Исходн.данные.!AH329=0,0,HW329*HF329*HL329/AU329*AI329+Исходн.данные.!S329*10)</f>
        <v>0</v>
      </c>
      <c r="BI329" s="10"/>
      <c r="BJ329" s="182">
        <f>IF(Исходн.данные.!AH329=0,0,IF(HX329*HG329*HL329/AV329&lt;0,0,HX329*HG329*HL329/AV329*AJ329))</f>
        <v>0</v>
      </c>
      <c r="BK329" s="182">
        <f>IF(Исходн.данные.!AH329=0,0,HY329*HH329*HM329/AW329)</f>
        <v>0</v>
      </c>
      <c r="BL329" s="10">
        <f>IF(OR(Исходн.данные.!$AH329=$BP$1,Исходн.данные.!$AH329=$BP$2),0,IF(BH329&lt;0,0,IF(OR(Исходн.данные.!T329=Расчет!$BP$1,Исходн.данные.!T329=Расчет!$BP$2,Исходн.данные.!T329=Расчет!$BT$5,Исходн.данные.!T329=Расчет!$BT$6),BH329*0.5,IF(OR(Исходн.данные.!T329=Расчет!$BS$9,Исходн.данные.!T329=Расчет!$BS$10,Исходн.данные.!T329=Расчет!$BS$11,Исходн.данные.!T329=Расчет!$BS$12,Исходн.данные.!T329=Расчет!$BP$5),BH329*0.8,BH329))))</f>
        <v>0</v>
      </c>
      <c r="BM329" s="10">
        <f>IF(OR(Исходн.данные.!$AH329=$BP$1,Исходн.данные.!$AH329=$BP$2),0,IF(BJ329&lt;0,0,IF(Исходн.данные.!I329&lt;4.5,BJ329*1.2,IF(Исходн.данные.!I329&gt;5.1,BJ329,BJ329*((5.1-Исходн.данные.!I329)*0.333+1)))))</f>
        <v>0</v>
      </c>
      <c r="BN329" s="10">
        <f>IF(OR(Исходн.данные.!$AH329=$BP$1,Исходн.данные.!$AH329=$BP$2),60-Исходн.данные.!AF329,IF(BK329&lt;0,0,IF(Исходн.данные.!I329&lt;4.5,BK329*1.2,IF(Исходн.данные.!I329&gt;5.1,BK329,BK329*((5.1-Исходн.данные.!I329)*0.333+1)))))</f>
        <v>0</v>
      </c>
      <c r="BO329" s="9">
        <f>IF(BL329&lt;0,0,BL329*Исходн.данные.!$AJ329/1000)</f>
        <v>0</v>
      </c>
      <c r="BP329" s="9">
        <f>IF(BM329&lt;0,0,BM329*Исходн.данные.!$AJ329/1000)</f>
        <v>0</v>
      </c>
      <c r="BQ329" s="9">
        <f>IF(BN329&lt;0,0,BN329*Исходн.данные.!$AJ329/1000)</f>
        <v>0</v>
      </c>
      <c r="BR329" s="9">
        <f t="shared" si="377"/>
        <v>0</v>
      </c>
      <c r="BS329" s="10" t="str">
        <f t="shared" si="378"/>
        <v>Аммофос 12:52:00</v>
      </c>
      <c r="BT329" s="10" t="str">
        <f t="shared" si="379"/>
        <v>Аммофос 12:52:00</v>
      </c>
      <c r="BU329" s="10" t="str">
        <f t="shared" si="380"/>
        <v>Диаммофоска</v>
      </c>
      <c r="BV329" s="10">
        <f t="shared" si="381"/>
        <v>0</v>
      </c>
      <c r="BW329" s="10"/>
      <c r="BX329" s="10"/>
      <c r="BY329" s="9">
        <f>IF(BL329&lt;0,0,IF(OR(Исходн.данные.!AI329=Расчет!$BU$6,Исходн.данные.!AI329=Расчет!$BU$7),Расчет!BV329,IF(Исходн.данные.!$AG329=$BV$11,BL329,IF(OR(Исходн.данные.!$AH329=$BQ$7,Исходн.данные.!$AH329=$BQ$8),CB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0,IF(Исходн.данные.!$AI329=$BU$11,"Нет",IF(BL329&gt;30,30,BL329)))))))</f>
        <v>0</v>
      </c>
      <c r="BZ329" s="9">
        <f>IF(AND(Исходн.данные.!$AG329=$BV$11,BM329&lt;10),10,IF(Исходн.данные.!$AG329=$BV$11,BM329,IF(OR(Исходн.данные.!$AH329=$BQ$7,Исходн.данные.!$AH329=$BQ$8),CC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10,IF(Исходн.данные.!$AI329=$BU$11,"Нет",IF(BM329&gt;60,60,IF(BM329&lt;10,10,BM329)))))))</f>
        <v>10</v>
      </c>
      <c r="CA329" s="39">
        <f>IF(BN329&lt;0,0,IF(Исходн.данные.!$AG329=$BV$11,BN329,IF(OR(Исходн.данные.!$AH329=$BQ$7,Исходн.данные.!$AH329=$BQ$8),CD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0,IF(Исходн.данные.!$AI329=$BU$11,"Нет",IF(BN329&gt;30,30,BN329))))))</f>
        <v>0</v>
      </c>
      <c r="CB329" s="9">
        <f t="shared" si="382"/>
        <v>0</v>
      </c>
      <c r="CC329" s="9">
        <f t="shared" si="383"/>
        <v>0</v>
      </c>
      <c r="CD329" s="9">
        <f t="shared" si="384"/>
        <v>0</v>
      </c>
      <c r="CE329" s="12">
        <f t="shared" si="385"/>
        <v>10</v>
      </c>
      <c r="CF329" s="9">
        <f t="shared" si="386"/>
        <v>0</v>
      </c>
      <c r="CG329" s="9" t="s">
        <v>231</v>
      </c>
      <c r="CH329" s="132" t="str">
        <f>IF(Исходн.данные.!AP329=Расчет!$CI$16,"Нет",IF(Исходн.данные.!AL329&gt;0,Исходн.данные.!AL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BH$4,IF(OR(Исходн.данные.!AI329=Исходн.данные.!$AI$6,Исходн.данные.!AI329=Исходн.данные.!$AI$7),Расчет!BS329,IF(AND($CF329=0,$CE329&gt;0),EV329,ER329)))))</f>
        <v>Аммофос 12:52:00</v>
      </c>
      <c r="CI329" s="274">
        <f>IF(Расчет!$CH329="Нет","Нет",IF(Исходн.данные.!$AL329&gt;0,VLOOKUP(Расчет!$CH329,АшламаДВ_Irekle,2,FALSE),VLOOKUP(Расчет!$CH329,АшламаДВ_Gomumy,2,FALSE)))</f>
        <v>0.12</v>
      </c>
      <c r="CJ329" s="274">
        <f>IF(Расчет!$CH329="Нет","Нет",IF(Исходн.данные.!$AL329&gt;0,VLOOKUP(Расчет!$CH329,АшламаДВ_Irekle,3,FALSE),VLOOKUP(Расчет!$CH329,АшламаДВ_Gomumy,3,FALSE)))</f>
        <v>0.52</v>
      </c>
      <c r="CK329" s="274">
        <f>IF(Расчет!$CH329="Нет","Нет",IF(Исходн.данные.!$AL329&gt;0,VLOOKUP(Расчет!$CH329,АшламаДВ_Irekle,4,FALSE),VLOOKUP(Расчет!$CH329,АшламаДВ_Gomumy,4,FALSE)))</f>
        <v>0</v>
      </c>
      <c r="CL329" s="70"/>
      <c r="CM329" s="70"/>
      <c r="CN329" s="70"/>
      <c r="CO329" s="70"/>
      <c r="CP329" s="70"/>
      <c r="CQ329" s="70"/>
      <c r="CR329" s="10">
        <f t="shared" si="387"/>
        <v>0</v>
      </c>
      <c r="CS329" s="10">
        <f t="shared" si="388"/>
        <v>19.23076923076923</v>
      </c>
      <c r="CT329" s="10">
        <f t="shared" si="389"/>
        <v>0</v>
      </c>
      <c r="CU329" s="39">
        <f>IF($CH329="Нет",0,IF(CI329=0,30/MIN(CJ329:CK329),IF(Исходн.данные.!$AG329=$BV$11,CR329,IF(OR(Исходн.данные.!$AH329=$BQ$7,Исходн.данные.!$AH329=$BQ$8),90/CI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0,IF(Исходн.данные.!$AI329=$BU$11,"Нет",30/CI329))))))</f>
        <v>250</v>
      </c>
      <c r="CV329" s="39">
        <f>IF($CH329="Нет",0,IF(Исходн.данные.!AH329=0,0,IF(CJ329=0,60/MIN(CI329,CK329),IF(Исходн.данные.!$AG329=$BV$11,CS329,IF(OR(Исходн.данные.!$AH329=$BQ$7,Исходн.данные.!$AH329=$BQ$8),90/CJ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10/CJ329,IF(Исходн.данные.!$AI329=$BU$11,"Нет",60/CJ329)))))))</f>
        <v>0</v>
      </c>
      <c r="CW329" s="39">
        <f>IF($CH329="Нет",0,IF(Исходн.данные.!AH329=0,0,IF(CK329=0,30/MIN(CI329:CJ329),IF(Исходн.данные.!$AG329=$BV$11,CT329,IF(OR(Исходн.данные.!$AH329=$BQ$7,Исходн.данные.!$AH329=$BQ$8),90/CK329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0,IF(Исходн.данные.!$AI329=$BU$11,"Нет",30/CK329)))))))</f>
        <v>0</v>
      </c>
      <c r="CX329" s="133">
        <f>IF(Исходн.данные.!$AG329=$BV$11,MAX(CU329:CW329),IF(OR(Исходн.данные.!$AH329=$BS$8,Исходн.данные.!$AH329=$BQ$9,Исходн.данные.!$AH329=$BQ$10,Исходн.данные.!$AH329=$BQ$11,Исходн.данные.!$AH329=$BQ$12,Исходн.данные.!$AH329=$BP$3,Исходн.данные.!$AH329=$BT$8,$FM329="Да"),CV329,MIN(CU329:CW329)))</f>
        <v>0</v>
      </c>
      <c r="CY329" s="133">
        <f>IF(Исходн.данные.!AH329=0,0,IF(CR329&gt;$CX329,$CX329,CR329))</f>
        <v>0</v>
      </c>
      <c r="CZ329" s="133">
        <f>IF(Исходн.данные.!AH329=0,0,IF(CS329&gt;$CX329,$CX329,CS329))</f>
        <v>0</v>
      </c>
      <c r="DA329" s="133">
        <f>IF(Исходн.данные.!AH329=0,0,IF(CT329&gt;$CX329,$CX329,CT329))</f>
        <v>0</v>
      </c>
      <c r="DB329" s="10">
        <f t="shared" si="390"/>
        <v>0</v>
      </c>
      <c r="DC329" s="39">
        <f>DB329*Исходн.данные.!AJ329/1000</f>
        <v>0</v>
      </c>
      <c r="DD329" s="71">
        <f t="shared" si="391"/>
        <v>0</v>
      </c>
      <c r="DE329" s="9">
        <f t="shared" si="392"/>
        <v>0</v>
      </c>
      <c r="DF329" s="9">
        <f t="shared" si="393"/>
        <v>0</v>
      </c>
      <c r="DG329" s="39">
        <f>IF(BL329&lt;0,0,IF($CH329="Нет",BL329,IF(OR(Исходн.данные.!$AH329=$BP$1,Исходн.данные.!$AH329=$BP$2),0,IF(Исходн.данные.!AI329=$BU$11,BL329,IF(BL329-DD329&lt;0,0,BL329-DD329)))))</f>
        <v>0</v>
      </c>
      <c r="DH329" s="39">
        <f>IF(BM329&lt;0,0,IF($CH329="Нет",BM329,IF(OR(Исходн.данные.!$AH329=$BP$1,Исходн.данные.!$AH329=$BP$2),0,IF(Исходн.данные.!AJ329=$BU$11,BM329,IF(BM329-DE329&lt;0,0,BM329-DE329)))))</f>
        <v>0</v>
      </c>
      <c r="DI329" s="39">
        <f>IF(BN329&lt;0,0,IF($CH329="Нет",BN329,IF(OR(Исходн.данные.!$AH329=$BP$1,Исходн.данные.!$AH329=$BP$2),0,IF(Исходн.данные.!AK329=$BU$11,BN329,IF(BN329-DF329&lt;0,0,BN329-DF329)))))</f>
        <v>0</v>
      </c>
      <c r="DJ329" s="12">
        <f t="shared" si="394"/>
        <v>0</v>
      </c>
      <c r="DK329" s="9">
        <f t="shared" si="395"/>
        <v>0</v>
      </c>
      <c r="DL329" s="39">
        <f>IF(Исходн.данные.!AM329&gt;0,Исходн.данные.!AM329,IF(EG329&gt;0,$BH$10,0))</f>
        <v>0</v>
      </c>
      <c r="DM329" s="186">
        <f>IF($DL329=0,0,IF(Исходн.данные.!AM329&gt;0,VLOOKUP($DL329,АшламаДВ_Irekle,2,FALSE),VLOOKUP($DL329,АшламаДВ_Gomumy,2,FALSE)))</f>
        <v>0</v>
      </c>
      <c r="DN329" s="10">
        <f t="shared" si="373"/>
        <v>0</v>
      </c>
      <c r="DO329" s="9" t="str">
        <f>IF(Исходн.данные.!AN329&gt;0,Исходн.данные.!AN329,Удобрения!$B$37 )</f>
        <v>Хлор.калий</v>
      </c>
      <c r="DP329" s="9">
        <f>IF(Исходн.данные.!AN329&gt;0,VLOOKUP(Исходн.данные.!AN329,АшламаДВ_Irekle,4,FALSE),VLOOKUP(DO329,АшламаДВ_Gomumy,4,FALSE))</f>
        <v>0.6</v>
      </c>
      <c r="DQ329" s="10">
        <f t="shared" si="374"/>
        <v>0</v>
      </c>
      <c r="DR329" s="132" t="str">
        <f>IF(Исходн.данные.!AO329&gt;0,Исходн.данные.!AO329,IF(DH329=0,BS$17,IF(AND($DK329=0,$DJ329&gt;0),EJ329,EN329)))</f>
        <v>Нет</v>
      </c>
      <c r="DS329" s="70" t="str">
        <f>IF($DR329="Нет","Нет",IF(Исходн.данные.!$AO329&gt;0,VLOOKUP($DR329,АшламаДВ_Irekle,2,FALSE),VLOOKUP($DR329,АшламаДВ_Gomumy,2,FALSE)))</f>
        <v>Нет</v>
      </c>
      <c r="DT329" s="70" t="str">
        <f>IF($DR329="Нет","Нет",IF(Исходн.данные.!$AO329&gt;0,VLOOKUP($DR329,АшламаДВ_Irekle,3,FALSE),VLOOKUP($DR329,АшламаДВ_Gomumy,3,FALSE)))</f>
        <v>Нет</v>
      </c>
      <c r="DU329" s="70" t="str">
        <f>IF($DR329="Нет","Нет",IF(Исходн.данные.!$AO329&gt;0,VLOOKUP($DR329,АшламаДВ_Irekle,4,FALSE),VLOOKUP($DR329,АшламаДВ_Gomumy,4,FALSE)))</f>
        <v>Нет</v>
      </c>
      <c r="DV329" s="70"/>
      <c r="DW329" s="70"/>
      <c r="DX329" s="70"/>
      <c r="DY329" s="10">
        <f t="shared" si="396"/>
        <v>0</v>
      </c>
      <c r="DZ329" s="10">
        <f t="shared" si="397"/>
        <v>0</v>
      </c>
      <c r="EA329" s="10">
        <f t="shared" si="398"/>
        <v>0</v>
      </c>
      <c r="EB329" s="10">
        <f t="shared" si="399"/>
        <v>0</v>
      </c>
      <c r="EC329" s="10">
        <f t="shared" si="400"/>
        <v>0</v>
      </c>
      <c r="ED329" s="10">
        <f t="shared" si="401"/>
        <v>0</v>
      </c>
      <c r="EE329" s="10">
        <f t="shared" si="402"/>
        <v>0</v>
      </c>
      <c r="EF329" s="39">
        <f>EB329*Исходн.данные.!AJ329/1000</f>
        <v>0</v>
      </c>
      <c r="EG329" s="9">
        <f t="shared" si="403"/>
        <v>0</v>
      </c>
      <c r="EH329" s="9">
        <f t="shared" si="404"/>
        <v>0</v>
      </c>
      <c r="EI329" s="39" t="e">
        <f t="shared" si="354"/>
        <v>#DIV/0!</v>
      </c>
      <c r="EJ329" s="9" t="str">
        <f t="shared" si="375"/>
        <v>Азопреципитат</v>
      </c>
      <c r="EK329" s="12">
        <f t="shared" si="355"/>
        <v>0.26</v>
      </c>
      <c r="EL329" s="12">
        <f t="shared" si="356"/>
        <v>0.13</v>
      </c>
      <c r="EM329" s="12">
        <f t="shared" si="357"/>
        <v>0</v>
      </c>
      <c r="EN329" s="12" t="str">
        <f t="shared" si="376"/>
        <v>Нет</v>
      </c>
      <c r="EO329" s="12">
        <f t="shared" si="358"/>
        <v>0</v>
      </c>
      <c r="EP329" s="12">
        <f t="shared" si="359"/>
        <v>0</v>
      </c>
      <c r="EQ329" s="12">
        <f t="shared" si="360"/>
        <v>0</v>
      </c>
      <c r="ER329" s="12" t="str">
        <f t="shared" si="405"/>
        <v>Диаммофоска</v>
      </c>
      <c r="ES329" s="12">
        <f t="shared" si="361"/>
        <v>0.1</v>
      </c>
      <c r="ET329" s="12">
        <f t="shared" si="362"/>
        <v>0.26</v>
      </c>
      <c r="EU329" s="12">
        <f t="shared" si="363"/>
        <v>0.26</v>
      </c>
      <c r="EV329" s="12" t="str">
        <f t="shared" si="406"/>
        <v>Аммофос 12:52:00</v>
      </c>
      <c r="EW329" s="12" t="str">
        <f t="shared" si="407"/>
        <v>Кемира Свекловичное-6</v>
      </c>
      <c r="EX329" s="12">
        <f t="shared" si="364"/>
        <v>0.16</v>
      </c>
      <c r="EY329" s="12">
        <f t="shared" si="365"/>
        <v>0.12</v>
      </c>
      <c r="EZ329" s="12">
        <f t="shared" si="366"/>
        <v>0.17</v>
      </c>
      <c r="FA329" s="38" t="e">
        <f>IF(AND(OR(FJ329=$FD$1,FM329=$FD$1,FO329=$FD$1,FQ329=$FD$1,FS329=$FD$1),FD329=$FD$1,Исходн.данные.!J329&lt;2,FU329=$FD$1),"Бор,Кобальт",IF(AND(FO329=$FD$1,FH329=$FD$1,Исходн.данные.!J329&lt;2,FU329=$FD$1),"Бор,Кобальт",IF(AND(OR(FJ329=$FD$1,FM329=$FD$1,FQ329=$FD$1),FE329=$FD$1,Исходн.данные.!J329&lt;2,FT329=$FD$1,FU329=$FD$1),"Бор,Медь,Цинк",IF(AND(OR(FJ329=$FD$1,FR329="Да"),FI329="Да",Исходн.данные.!J329&lt;2,FT329="Да",FU329="Да"),"Бор,Цинк,Медь",IF(AND(OR(FM329="Да",FQ329="Да"),FI329="Да",Исходн.данные.!J329&lt;2,FT329="Да",FU329="Да"),"Бор,Цинк",IF(AND(FN329="Да",OR(FD329="Да",FE329="Да")),"Бор",FB329))))))</f>
        <v>#N/A</v>
      </c>
      <c r="FB329" s="134" t="e">
        <f>IF(AND(OR(FD329="Да",FE329="Да",FF329="Да",FG329="Да",FH329="Да"),FO329="Да"),"Бор",IF(AND(FP329="Да",OR(FD329="Да",FE329="Да",FI329="Да")),"Бор",IF(AND(FS329="Да",FE329="Да"),"Бор,Медь",IF(AND(OR(FJ329="Да",FK329="Да",FL329="Да"),FE329="Да",Исходн.данные.!I329&lt;5,FT329="Да",FU329="Да"),"Молибден,Цинк",IF(AND(FM329="Да",OR(FE329="Да",FF329="Да",FG329="Да",FH329="Да",FI329="Да")),"Молибден,Цинк",IF(AND(OR(FJ329="Да",FK329="Да",FL329="Да",FM329="Да",FQ329="Да"),OR(FE329="Да",FF329="Да"),FT329="Да",FU329="Да",Исходн.данные.!I329&gt;5.5),"Медь,Цинк",FC329))))))</f>
        <v>#N/A</v>
      </c>
      <c r="FC329" s="23" t="e">
        <f t="shared" si="408"/>
        <v>#N/A</v>
      </c>
      <c r="FD329" s="38" t="str">
        <f>IF(OR(Исходн.данные.!F329=$CC$1,Исходн.данные.!F329=$CC$2,Исходн.данные.!F329=$CC$3,Исходн.данные.!F329=$CC$4),"Да","Нет")</f>
        <v>Нет</v>
      </c>
      <c r="FE329" s="38" t="str">
        <f>IF(Исходн.данные.!F329=$CC$5,"Да","Нет")</f>
        <v>Нет</v>
      </c>
      <c r="FF329" s="38" t="str">
        <f>IF(OR(Исходн.данные.!F329=$CC$6,Исходн.данные.!F329=$CC$7),"Да","Нет")</f>
        <v>Нет</v>
      </c>
      <c r="FG329" s="38" t="str">
        <f>IF(OR(Исходн.данные.!F329=$CC$8,Исходн.данные.!F329=$CC$9),"Да","Нет")</f>
        <v>Нет</v>
      </c>
      <c r="FH329" s="38" t="str">
        <f>IF(Исходн.данные.!F329=$CC$10,"Да","Нет")</f>
        <v>Нет</v>
      </c>
      <c r="FI329" s="38" t="str">
        <f>IF(OR(Исходн.данные.!F329=$CC$11,Исходн.данные.!F329=$CC$12),"Да","Нет")</f>
        <v>Нет</v>
      </c>
      <c r="FJ329" s="38" t="str">
        <f>IF(OR(Исходн.данные.!AH329=$BS$1,Исходн.данные.!AH329=$BQ$11,Исходн.данные.!AH329=$BQ$12),"Да","Нет")</f>
        <v>Нет</v>
      </c>
      <c r="FK329" s="38" t="str">
        <f>IF(OR(Исходн.данные.!AH329=$BS$2,Исходн.данные.!AH329=$BS$4),"Да","Нет")</f>
        <v>Нет</v>
      </c>
      <c r="FL329" s="38" t="str">
        <f>IF(OR(Исходн.данные.!AH329=$BS$3,Исходн.данные.!AH329=$BS$5),"Да","Нет")</f>
        <v>Нет</v>
      </c>
      <c r="FM329" s="38" t="str">
        <f>IF(OR(Исходн.данные.!AH329=$BS$9,Исходн.данные.!AH329=$BS$10,Исходн.данные.!AH329=$BS$11,Исходн.данные.!AH329=$BS$12),"Да","Нет")</f>
        <v>Нет</v>
      </c>
      <c r="FN329" s="38" t="str">
        <f>IF(OR(Исходн.данные.!AH329=$BS$6,Исходн.данные.!AH329=$BP$3),"Да","Нет")</f>
        <v>Нет</v>
      </c>
      <c r="FO329" s="38" t="str">
        <f>IF(Исходн.данные.!AH329=$BQ$9,"Да","Нет")</f>
        <v>Нет</v>
      </c>
      <c r="FP329" s="38" t="str">
        <f>IF(OR(Исходн.данные.!AH329=$BS$8,Исходн.данные.!AH329=$BT$8),"Да","Нет")</f>
        <v>Нет</v>
      </c>
      <c r="FQ329" s="38" t="str">
        <f>IF(OR(Исходн.данные.!AH329=$BQ$7,Исходн.данные.!AH329=$BQ$8),"Да","Нет")</f>
        <v>Нет</v>
      </c>
      <c r="FR329" s="38" t="str">
        <f>IF(Исходн.данные.!AI329=$BU$9,"Да","Нет")</f>
        <v>Нет</v>
      </c>
      <c r="FS329" s="38" t="str">
        <f>IF(OR(Исходн.данные.!AH329=$BP$1,Исходн.данные.!AH329=$BP$2),"Да","Нет")</f>
        <v>Нет</v>
      </c>
      <c r="FT329" s="38" t="e">
        <f>IF((Исходн.данные.!K329*GO329*GS329*GW329+BL329*0.6+Исходн.данные.!Q329*4.5*0.275)&gt;90,"Да","Нет")</f>
        <v>#N/A</v>
      </c>
      <c r="FU329" s="38" t="e">
        <f>IF((Исходн.данные.!M329*GS329*GZ329+BM329*0.225)&gt;35,"Да","Нет")</f>
        <v>#N/A</v>
      </c>
      <c r="FV329" s="38" t="str">
        <f>IF(Исходн.данные.!O329&gt;175,"Да","Нет")</f>
        <v>Нет</v>
      </c>
      <c r="FW329" s="39" t="str">
        <f>IF(Исходн.данные.!I329&gt;5.5,"Да","Нет")</f>
        <v>Нет</v>
      </c>
      <c r="FX329" s="39" t="str">
        <f>IF(Исходн.данные.!J329&lt;2,"Да","Нет")</f>
        <v>Да</v>
      </c>
      <c r="FY329" s="39" t="e">
        <f>IF(HF329=$FY$16,0,Исходн.данные.!K329*GO329*GS329*GW329/HF329)</f>
        <v>#N/A</v>
      </c>
      <c r="FZ329" s="39" t="e">
        <f>Исходн.данные.!M329*GS329*GZ329/HG329</f>
        <v>#N/A</v>
      </c>
      <c r="GA329" s="39" t="e">
        <f>IF(K_Wyn=$FY$16,0,IF(Исходн.данные.!N329=Исходн.данные.!$L$10,Исходн.данные.!O329/1.1*GS329*HC329/HH329,IF(Исходн.данные.!N329=Исходн.данные.!$L$12,Исходн.данные.!O329/1.5*GS329*HC329/HH329,Исходн.данные.!O329*GS329*HC329/HH329)))</f>
        <v>#N/A</v>
      </c>
      <c r="GB329" s="39" t="e">
        <f>IF(HF329=$FY$16,0,((Исходн.данные.!Q329*N_Org+Исходн.данные.!R329*N_Sider+Исходн.данные.!S329*N_Soloma)*AO329+Расчет!BC329*VLOOKUP(Исходн.данные.!T329,Справ!$A$3:$O$57,15)*AO329+BB329*VLOOKUP(Исходн.данные.!T329,Справ!$A$3:$O$57,15)*AL329+(Исходн.данные.!V329*N_Rizotorf+Исходн.данные.!W329*N_Rizoagr))/HF329)</f>
        <v>#N/A</v>
      </c>
      <c r="GC329" s="39" t="e">
        <f>IF(HG329=$FY$16,0,((Исходн.данные.!Q329*Р_Org+Исходн.данные.!R329*P_Sider+Исходн.данные.!S329*P_Soloma)*AP329+Расчет!BC329*VLOOKUP(Исходн.данные.!T329,Справ!$A$3:$P$57,16)*AP329+BB329*VLOOKUP(Исходн.данные.!T329,Справ!$A$3:$P$57,16)*AM329)/HG329)</f>
        <v>#N/A</v>
      </c>
      <c r="GD329" s="39" t="e">
        <f>IF(HH329=$FY$16,0,((Исходн.данные.!Q329*К_Org+Исходн.данные.!R329*K_Sider+Исходн.данные.!S329*K_Soloma)*AQ329+Расчет!BC329*VLOOKUP(Исходн.данные.!T329,Справ!$A$3:$Q$57,17)*AQ329+BB329*VLOOKUP(Исходн.данные.!T329,Справ!$A$3:$Q$57,17)*AN329)/HH329)</f>
        <v>#N/A</v>
      </c>
      <c r="GE329" s="39" t="e">
        <f>IF(HF329=$FY$16,0,(Исходн.данные.!X329*AR329+Исходн.данные.!AA329*N_Org*AL329+Исходн.данные.!AB329*N_Sider*AL329+Исходн.данные.!AC329*N_Soloma*AL329)/HF329)</f>
        <v>#N/A</v>
      </c>
      <c r="GF329" s="39" t="e">
        <f>IF(HG329=$FY$16,0,(Исходн.данные.!Y329*AS329+Исходн.данные.!AA329*Р_Org*AM329+Исходн.данные.!AB329*P_Sider*AM329+Исходн.данные.!AC329*P_Soloma*AM329)/HG329)</f>
        <v>#N/A</v>
      </c>
      <c r="GG329" s="39" t="e">
        <f>IF(HH329=$FY$16,0,(Исходн.данные.!Z329*AT329+Исходн.данные.!AA329*К_Org*AN329+Исходн.данные.!AB329*K_Sider*AN329+Исходн.данные.!AC329*K_Soloma*AN329)/HH329)</f>
        <v>#N/A</v>
      </c>
      <c r="GH329" s="39" t="e">
        <f>Исходн.данные.!AD329*AU329/HF329</f>
        <v>#N/A</v>
      </c>
      <c r="GI329" s="39" t="e">
        <f>Исходн.данные.!AE329*AV329/HG329</f>
        <v>#N/A</v>
      </c>
      <c r="GJ329" s="39" t="e">
        <f>Исходн.данные.!AF329*AW329/HH329</f>
        <v>#N/A</v>
      </c>
      <c r="GK329" s="55">
        <f>Исходн.данные.!AK329</f>
        <v>0</v>
      </c>
      <c r="GL329" s="11" t="e">
        <f t="shared" si="409"/>
        <v>#N/A</v>
      </c>
      <c r="GM329" s="11" t="e">
        <f t="shared" si="410"/>
        <v>#N/A</v>
      </c>
      <c r="GN329" s="11" t="e">
        <f t="shared" si="411"/>
        <v>#N/A</v>
      </c>
      <c r="GO329" s="57">
        <f t="shared" si="412"/>
        <v>19</v>
      </c>
      <c r="GP329" s="55">
        <f>IF(OR(Исходн.данные.!F329=$CE$1,Исходн.данные.!F329=$CE$2,Исходн.данные.!F329=$CE$3,Исходн.данные.!F329=$CE$4,Исходн.данные.!F329=$CE$5),GQ329,GR329)</f>
        <v>19</v>
      </c>
      <c r="GQ329" s="55">
        <f>IF(Исходн.данные.!F329=$CE$1,28,IF(Исходн.данные.!F329=$CE$2,26,IF(Исходн.данные.!F329=$CE$3,24,IF(Исходн.данные.!F329=$CE$4,22,IF(Исходн.данные.!F329=$CE$5,20,GR329)))))</f>
        <v>19</v>
      </c>
      <c r="GR329" s="55">
        <f>IF(Исходн.данные.!F329=$CE$6,18,IF(Исходн.данные.!F329=$CE$7,16,IF(Исходн.данные.!F329=$CE$8,14,IF(Исходн.данные.!F329=$CE$9,13,IF(Исходн.данные.!F329=$CE$10,12,19)))))</f>
        <v>19</v>
      </c>
      <c r="GS329" s="55">
        <f>IF(Исходн.данные.!G329="Пес",0.035*(40+2*Исходн.данные.!H329),IF(Исходн.данные.!G329="Суп",0.0325*(40+2*Исходн.данные.!H329),0.03*(40+2*Исходн.данные.!H329)))</f>
        <v>1.2</v>
      </c>
      <c r="GT329" s="55">
        <f>IF(Исходн.данные.!H329&lt;23,2.6,IF(AND(Исходн.данные.!H329&gt;22,Исходн.данные.!H329&lt;26),3,IF(AND(Исходн.данные.!H329&gt;25,Исходн.данные.!H329&lt;29),3.4,3.6)))</f>
        <v>2.6</v>
      </c>
      <c r="GU329" s="55">
        <f>IF(Исходн.данные.!H329&lt;23,2.8,IF(AND(Исходн.данные.!H329&gt;22,Исходн.данные.!H329&lt;26),3.2,IF(AND(Исходн.данные.!H329&gt;25,Исходн.данные.!H329&lt;29),3.6,3.9)))</f>
        <v>2.8</v>
      </c>
      <c r="GV329" s="55">
        <f>IF(Исходн.данные.!H329&lt;23,3,IF(AND(Исходн.данные.!H329&gt;22,Исходн.данные.!H329&lt;26),3.5,IF(AND(Исходн.данные.!H329&gt;25,Исходн.данные.!H329&lt;29),3.9,4.2)))</f>
        <v>3</v>
      </c>
      <c r="GW329" s="55" t="e">
        <f>IF(Исходн.данные.!P329="Ум",GX329,GY329)</f>
        <v>#N/A</v>
      </c>
      <c r="GX329" s="55" t="e">
        <f>VLOOKUP(Исходн.данные.!AI329,Коэффициенты!$J$7:$L$13,2,FALSE)</f>
        <v>#N/A</v>
      </c>
      <c r="GY329" s="55" t="e">
        <f>VLOOKUP(Исходн.данные.!AI329,Коэффициенты!$J$7:$L$13,3,FALSE)</f>
        <v>#N/A</v>
      </c>
      <c r="GZ329" s="55" t="e">
        <f>(IF(Исходн.данные.!M329&lt;50,0.11*VLOOKUP(Исходн.данные.!AH329,Культуры.Информация,7,FALSE),IF(Исходн.данные.!M329&gt;250,0.05*VLOOKUP(Исходн.данные.!AH329,Культуры.Информация,7,FALSE),VLOOKUP(Исходн.данные.!AH329,Культуры.Информация,5,FALSE)/100*($GX$6+$GY$6*Исходн.данные.!M329))))*Расчет2!AI329</f>
        <v>#N/A</v>
      </c>
      <c r="HA329" s="211"/>
      <c r="HB329" s="211"/>
      <c r="HC329" s="55" t="e">
        <f>(IF(Исходн.данные.!O329&lt;80,0.2*VLOOKUP(Исходн.данные.!AH329,Культуры.Информация,8,FALSE),IF(Исходн.данные.!O329&gt;240,0.09*VLOOKUP(Исходн.данные.!AH329,Культуры.Информация,8,FALSE),VLOOKUP(Исходн.данные.!AH329,Культуры.Информация,6,FALSE)/100*($HB$6+$HC$6*Исходн.данные.!O329))))*Расчет2!AJ329</f>
        <v>#N/A</v>
      </c>
      <c r="HD329" s="55">
        <f>IF(Исходн.данные.!O329&gt;240,0.09,IF(Исходн.данные.!O329&lt;30,0.3,$HE$10+$HD$10*Исходн.данные.!O329))</f>
        <v>0.3</v>
      </c>
      <c r="HE329" s="55">
        <f>IF(Исходн.данные.!O329&gt;240,0.17,IF(Исходн.данные.!O329&lt;30,0.5,$HF$12+$HE$12*Исходн.данные.!O329))</f>
        <v>0.5</v>
      </c>
      <c r="HF329" s="55" t="e">
        <f>VLOOKUP(Исходн.данные.!AH329,Справ!$A$3:$D$58,2,FALSE)</f>
        <v>#N/A</v>
      </c>
      <c r="HG329" s="55" t="e">
        <f>VLOOKUP(Исходн.данные.!AH329,Справ!$A$3:$D$58,3,FALSE)</f>
        <v>#N/A</v>
      </c>
      <c r="HH329" s="55" t="e">
        <f>VLOOKUP(Исходн.данные.!AH329,Справ!$A$3:$D$58,4,FALSE)</f>
        <v>#N/A</v>
      </c>
      <c r="HI329" s="11" t="e">
        <f t="shared" si="413"/>
        <v>#N/A</v>
      </c>
      <c r="HJ329" s="11" t="e">
        <f t="shared" si="414"/>
        <v>#N/A</v>
      </c>
      <c r="HK329" s="11" t="e">
        <f t="shared" si="415"/>
        <v>#N/A</v>
      </c>
      <c r="HL329" s="55">
        <f>IF(OR(Исходн.данные.!G329="Глин",Исходн.данные.!G329="Т_суг"),1.1,IF(Исходн.данные.!G329="Ср_суг",1,1))</f>
        <v>1</v>
      </c>
      <c r="HM329" s="55">
        <f>IF(OR(Исходн.данные.!G329="Глин",Исходн.данные.!G329="Т_суг"),0.9,IF(Исходн.данные.!G329="Ср_суг",1,1.2))</f>
        <v>1.2</v>
      </c>
      <c r="HN329" s="11" t="e">
        <f t="shared" si="416"/>
        <v>#N/A</v>
      </c>
      <c r="HO329" s="11" t="e">
        <f t="shared" si="417"/>
        <v>#N/A</v>
      </c>
      <c r="HP329" s="11" t="e">
        <f t="shared" si="418"/>
        <v>#N/A</v>
      </c>
      <c r="HQ329" t="e">
        <f t="shared" si="419"/>
        <v>#N/A</v>
      </c>
      <c r="HR329" t="e">
        <f t="shared" si="420"/>
        <v>#N/A</v>
      </c>
      <c r="HS329" t="e">
        <f t="shared" si="421"/>
        <v>#N/A</v>
      </c>
      <c r="HT329" t="e">
        <f t="shared" si="367"/>
        <v>#N/A</v>
      </c>
      <c r="HU329" t="e">
        <f t="shared" si="368"/>
        <v>#N/A</v>
      </c>
      <c r="HV329" t="e">
        <f t="shared" si="369"/>
        <v>#N/A</v>
      </c>
      <c r="HW329" t="e">
        <f t="shared" si="370"/>
        <v>#N/A</v>
      </c>
      <c r="HX329" t="e">
        <f t="shared" si="371"/>
        <v>#N/A</v>
      </c>
      <c r="HY329" t="e">
        <f t="shared" si="372"/>
        <v>#N/A</v>
      </c>
      <c r="HZ329" s="55">
        <f>IF(OR(Исходн.данные.!AI329="Оз_Ч_П",Исходн.данные.!AI329="Оз_З_П",Исходн.данные.!AI329="Яр_зер"),12,30)</f>
        <v>30</v>
      </c>
      <c r="IA329" t="e">
        <f t="shared" si="422"/>
        <v>#N/A</v>
      </c>
      <c r="IB329" t="e">
        <f t="shared" si="423"/>
        <v>#N/A</v>
      </c>
      <c r="IC329" t="e">
        <f t="shared" si="424"/>
        <v>#N/A</v>
      </c>
      <c r="ID329" s="11" t="e">
        <f t="shared" si="425"/>
        <v>#N/A</v>
      </c>
      <c r="IE329" s="11" t="e">
        <f t="shared" si="426"/>
        <v>#N/A</v>
      </c>
      <c r="IF329" s="11" t="e">
        <f t="shared" si="427"/>
        <v>#N/A</v>
      </c>
    </row>
    <row r="330" spans="35:240" x14ac:dyDescent="0.2">
      <c r="AI330">
        <f>IF(Исходн.данные.!I330&gt;6,1,1.85-(0.148*Исходн.данные.!I330))</f>
        <v>1.85</v>
      </c>
      <c r="AJ330">
        <f>IF(Исходн.данные.!I330&gt;6,1,2.434-(0.246*Исходн.данные.!I330))</f>
        <v>2.4340000000000002</v>
      </c>
      <c r="AL330" s="148" t="b">
        <f>IF(Исходн.данные.!$P330="Ум",N_OrgUd_2g_um,IF(Исходн.данные.!$P330="Об",N_OrgUd_2g_ob))</f>
        <v>0</v>
      </c>
      <c r="AM330" s="148" t="b">
        <f>IF(Исходн.данные.!$P330="Ум",P_OrgUd_2g_um,IF(Исходн.данные.!$P330="Об",P_OrgUd_2g_ob))</f>
        <v>0</v>
      </c>
      <c r="AN330" s="148" t="b">
        <f>IF(Исходн.данные.!$P330="Ум",K_OrgUd_2g_um,IF(Исходн.данные.!$P330="Об",K_OrgUd_2g_ob))</f>
        <v>0</v>
      </c>
      <c r="AO330" s="148" t="b">
        <f>IF(Исходн.данные.!$P330="Ум",N_OrgUd_1g_um,IF(Исходн.данные.!$P330="Об",N_OrgUd_1g_ob))</f>
        <v>0</v>
      </c>
      <c r="AP330" s="148" t="b">
        <f>IF(Исходн.данные.!$P330="Ум",P_OrgUd_1g_um,IF(Исходн.данные.!$P330="Об",P_OrgUd_1g_ob))</f>
        <v>0</v>
      </c>
      <c r="AQ330" s="148" t="b">
        <f>IF(Исходн.данные.!$P330="Ум",K_OrgUd_1g_um,IF(Исходн.данные.!$P330="Об",K_OrgUd_1g_ob))</f>
        <v>0</v>
      </c>
      <c r="AR330" t="b">
        <f>IF(Исходн.данные.!$P330="Ум",N_MinUd_2g_um,IF(Исходн.данные.!$P330="Об",N_MinUd_2g_ob))</f>
        <v>0</v>
      </c>
      <c r="AS330" t="b">
        <f>IF(Исходн.данные.!$P330="Ум",P_MinUd_2g_um,IF(Исходн.данные.!$P330="Об",P_MinUd_2g_ob))</f>
        <v>0</v>
      </c>
      <c r="AT330" t="b">
        <f>IF(Исходн.данные.!$P330="Ум",K_MinUd_2g_um,IF(Исходн.данные.!$P330="Об",K_MinUd_2g_ob))</f>
        <v>0</v>
      </c>
      <c r="AU330" t="b">
        <f>IF(Исходн.данные.!$P330="Ум",N_MinUd_1g_um,IF(Исходн.данные.!$P330="Об",N_MinUd_1g_ob))</f>
        <v>0</v>
      </c>
      <c r="AV330" t="b">
        <f>IF(Исходн.данные.!P330="Ум",P_MinUd_1g_um,IF(Исходн.данные.!P330="Об",P_MinUd_1g_ob))</f>
        <v>0</v>
      </c>
      <c r="AW330" t="b">
        <f>IF(Исходн.данные.!P330="Ум",K_MinUd_1g_um,IF(Исходн.данные.!P330="Об",K_MinUd_1g_ob))</f>
        <v>0</v>
      </c>
      <c r="AY330" t="e">
        <f>VLOOKUP(Исходн.данные.!T330,Справ!$A$3:$N$57,12)</f>
        <v>#N/A</v>
      </c>
      <c r="AZ330" t="e">
        <f>VLOOKUP(Исходн.данные.!T330,Справ!$A$3:$N$57,13)</f>
        <v>#N/A</v>
      </c>
      <c r="BA330" t="e">
        <f>VLOOKUP(Исходн.данные.!T330,Справ!$A$3:$N$57,14)</f>
        <v>#N/A</v>
      </c>
      <c r="BB330">
        <f>IF(Исходн.данные.!AH330=0,0,25)</f>
        <v>0</v>
      </c>
      <c r="BC330" s="141">
        <f>IF(Исходн.данные.!AH330=0,0,IF(Исходн.данные.!T330=0,25,BD330))</f>
        <v>0</v>
      </c>
      <c r="BD330" s="168" t="e">
        <f>AY330+AZ330*Исходн.данные.!U330-POWER(BA330,2)*Исходн.данные.!U330</f>
        <v>#N/A</v>
      </c>
      <c r="BE33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0" s="25">
        <f>IF(Исходн.данные.!AH330=0,0,MIN(HN330:HP330))</f>
        <v>0</v>
      </c>
      <c r="BG330" s="9">
        <f>IF(Исходн.данные.!AH330=0,0,IF((HO330+10*0.25/HG330/HL330)&lt;17,17,HO330+10*0.25/HG330/HL330))</f>
        <v>0</v>
      </c>
      <c r="BH330" s="181">
        <f>IF(Исходн.данные.!AH330=0,0,HW330*HF330*HL330/AU330*AI330+Исходн.данные.!S330*10)</f>
        <v>0</v>
      </c>
      <c r="BI330" s="10"/>
      <c r="BJ330" s="182">
        <f>IF(Исходн.данные.!AH330=0,0,IF(HX330*HG330*HL330/AV330&lt;0,0,HX330*HG330*HL330/AV330*AJ330))</f>
        <v>0</v>
      </c>
      <c r="BK330" s="182">
        <f>IF(Исходн.данные.!AH330=0,0,HY330*HH330*HM330/AW330)</f>
        <v>0</v>
      </c>
      <c r="BL330" s="10">
        <f>IF(OR(Исходн.данные.!$AH330=$BP$1,Исходн.данные.!$AH330=$BP$2),0,IF(BH330&lt;0,0,IF(OR(Исходн.данные.!T330=Расчет!$BP$1,Исходн.данные.!T330=Расчет!$BP$2,Исходн.данные.!T330=Расчет!$BT$5,Исходн.данные.!T330=Расчет!$BT$6),BH330*0.5,IF(OR(Исходн.данные.!T330=Расчет!$BS$9,Исходн.данные.!T330=Расчет!$BS$10,Исходн.данные.!T330=Расчет!$BS$11,Исходн.данные.!T330=Расчет!$BS$12,Исходн.данные.!T330=Расчет!$BP$5),BH330*0.8,BH330))))</f>
        <v>0</v>
      </c>
      <c r="BM330" s="10">
        <f>IF(OR(Исходн.данные.!$AH330=$BP$1,Исходн.данные.!$AH330=$BP$2),0,IF(BJ330&lt;0,0,IF(Исходн.данные.!I330&lt;4.5,BJ330*1.2,IF(Исходн.данные.!I330&gt;5.1,BJ330,BJ330*((5.1-Исходн.данные.!I330)*0.333+1)))))</f>
        <v>0</v>
      </c>
      <c r="BN330" s="10">
        <f>IF(OR(Исходн.данные.!$AH330=$BP$1,Исходн.данные.!$AH330=$BP$2),60-Исходн.данные.!AF330,IF(BK330&lt;0,0,IF(Исходн.данные.!I330&lt;4.5,BK330*1.2,IF(Исходн.данные.!I330&gt;5.1,BK330,BK330*((5.1-Исходн.данные.!I330)*0.333+1)))))</f>
        <v>0</v>
      </c>
      <c r="BO330" s="9">
        <f>IF(BL330&lt;0,0,BL330*Исходн.данные.!$AJ330/1000)</f>
        <v>0</v>
      </c>
      <c r="BP330" s="9">
        <f>IF(BM330&lt;0,0,BM330*Исходн.данные.!$AJ330/1000)</f>
        <v>0</v>
      </c>
      <c r="BQ330" s="9">
        <f>IF(BN330&lt;0,0,BN330*Исходн.данные.!$AJ330/1000)</f>
        <v>0</v>
      </c>
      <c r="BR330" s="9">
        <f t="shared" si="377"/>
        <v>0</v>
      </c>
      <c r="BS330" s="10" t="str">
        <f t="shared" si="378"/>
        <v>Аммофос 12:52:00</v>
      </c>
      <c r="BT330" s="10" t="str">
        <f t="shared" si="379"/>
        <v>Аммофос 12:52:00</v>
      </c>
      <c r="BU330" s="10" t="str">
        <f t="shared" si="380"/>
        <v>Диаммофоска</v>
      </c>
      <c r="BV330" s="10">
        <f t="shared" si="381"/>
        <v>0</v>
      </c>
      <c r="BW330" s="10"/>
      <c r="BX330" s="10"/>
      <c r="BY330" s="9">
        <f>IF(BL330&lt;0,0,IF(OR(Исходн.данные.!AI330=Расчет!$BU$6,Исходн.данные.!AI330=Расчет!$BU$7),Расчет!BV330,IF(Исходн.данные.!$AG330=$BV$11,BL330,IF(OR(Исходн.данные.!$AH330=$BQ$7,Исходн.данные.!$AH330=$BQ$8),CB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0,IF(Исходн.данные.!$AI330=$BU$11,"Нет",IF(BL330&gt;30,30,BL330)))))))</f>
        <v>0</v>
      </c>
      <c r="BZ330" s="9">
        <f>IF(AND(Исходн.данные.!$AG330=$BV$11,BM330&lt;10),10,IF(Исходн.данные.!$AG330=$BV$11,BM330,IF(OR(Исходн.данные.!$AH330=$BQ$7,Исходн.данные.!$AH330=$BQ$8),CC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10,IF(Исходн.данные.!$AI330=$BU$11,"Нет",IF(BM330&gt;60,60,IF(BM330&lt;10,10,BM330)))))))</f>
        <v>10</v>
      </c>
      <c r="CA330" s="39">
        <f>IF(BN330&lt;0,0,IF(Исходн.данные.!$AG330=$BV$11,BN330,IF(OR(Исходн.данные.!$AH330=$BQ$7,Исходн.данные.!$AH330=$BQ$8),CD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0,IF(Исходн.данные.!$AI330=$BU$11,"Нет",IF(BN330&gt;30,30,BN330))))))</f>
        <v>0</v>
      </c>
      <c r="CB330" s="9">
        <f t="shared" si="382"/>
        <v>0</v>
      </c>
      <c r="CC330" s="9">
        <f t="shared" si="383"/>
        <v>0</v>
      </c>
      <c r="CD330" s="9">
        <f t="shared" si="384"/>
        <v>0</v>
      </c>
      <c r="CE330" s="12">
        <f t="shared" si="385"/>
        <v>10</v>
      </c>
      <c r="CF330" s="9">
        <f t="shared" si="386"/>
        <v>0</v>
      </c>
      <c r="CG330" s="9" t="s">
        <v>231</v>
      </c>
      <c r="CH330" s="132" t="str">
        <f>IF(Исходн.данные.!AP330=Расчет!$CI$16,"Нет",IF(Исходн.данные.!AL330&gt;0,Исходн.данные.!AL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BH$4,IF(OR(Исходн.данные.!AI330=Исходн.данные.!$AI$6,Исходн.данные.!AI330=Исходн.данные.!$AI$7),Расчет!BS330,IF(AND($CF330=0,$CE330&gt;0),EV330,ER330)))))</f>
        <v>Аммофос 12:52:00</v>
      </c>
      <c r="CI330" s="274">
        <f>IF(Расчет!$CH330="Нет","Нет",IF(Исходн.данные.!$AL330&gt;0,VLOOKUP(Расчет!$CH330,АшламаДВ_Irekle,2,FALSE),VLOOKUP(Расчет!$CH330,АшламаДВ_Gomumy,2,FALSE)))</f>
        <v>0.12</v>
      </c>
      <c r="CJ330" s="274">
        <f>IF(Расчет!$CH330="Нет","Нет",IF(Исходн.данные.!$AL330&gt;0,VLOOKUP(Расчет!$CH330,АшламаДВ_Irekle,3,FALSE),VLOOKUP(Расчет!$CH330,АшламаДВ_Gomumy,3,FALSE)))</f>
        <v>0.52</v>
      </c>
      <c r="CK330" s="274">
        <f>IF(Расчет!$CH330="Нет","Нет",IF(Исходн.данные.!$AL330&gt;0,VLOOKUP(Расчет!$CH330,АшламаДВ_Irekle,4,FALSE),VLOOKUP(Расчет!$CH330,АшламаДВ_Gomumy,4,FALSE)))</f>
        <v>0</v>
      </c>
      <c r="CL330" s="70"/>
      <c r="CM330" s="70"/>
      <c r="CN330" s="70"/>
      <c r="CO330" s="70"/>
      <c r="CP330" s="70"/>
      <c r="CQ330" s="70"/>
      <c r="CR330" s="10">
        <f t="shared" si="387"/>
        <v>0</v>
      </c>
      <c r="CS330" s="10">
        <f t="shared" si="388"/>
        <v>19.23076923076923</v>
      </c>
      <c r="CT330" s="10">
        <f t="shared" si="389"/>
        <v>0</v>
      </c>
      <c r="CU330" s="39">
        <f>IF($CH330="Нет",0,IF(CI330=0,30/MIN(CJ330:CK330),IF(Исходн.данные.!$AG330=$BV$11,CR330,IF(OR(Исходн.данные.!$AH330=$BQ$7,Исходн.данные.!$AH330=$BQ$8),90/CI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0,IF(Исходн.данные.!$AI330=$BU$11,"Нет",30/CI330))))))</f>
        <v>250</v>
      </c>
      <c r="CV330" s="39">
        <f>IF($CH330="Нет",0,IF(Исходн.данные.!AH330=0,0,IF(CJ330=0,60/MIN(CI330,CK330),IF(Исходн.данные.!$AG330=$BV$11,CS330,IF(OR(Исходн.данные.!$AH330=$BQ$7,Исходн.данные.!$AH330=$BQ$8),90/CJ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10/CJ330,IF(Исходн.данные.!$AI330=$BU$11,"Нет",60/CJ330)))))))</f>
        <v>0</v>
      </c>
      <c r="CW330" s="39">
        <f>IF($CH330="Нет",0,IF(Исходн.данные.!AH330=0,0,IF(CK330=0,30/MIN(CI330:CJ330),IF(Исходн.данные.!$AG330=$BV$11,CT330,IF(OR(Исходн.данные.!$AH330=$BQ$7,Исходн.данные.!$AH330=$BQ$8),90/CK330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0,IF(Исходн.данные.!$AI330=$BU$11,"Нет",30/CK330)))))))</f>
        <v>0</v>
      </c>
      <c r="CX330" s="133">
        <f>IF(Исходн.данные.!$AG330=$BV$11,MAX(CU330:CW330),IF(OR(Исходн.данные.!$AH330=$BS$8,Исходн.данные.!$AH330=$BQ$9,Исходн.данные.!$AH330=$BQ$10,Исходн.данные.!$AH330=$BQ$11,Исходн.данные.!$AH330=$BQ$12,Исходн.данные.!$AH330=$BP$3,Исходн.данные.!$AH330=$BT$8,$FM330="Да"),CV330,MIN(CU330:CW330)))</f>
        <v>0</v>
      </c>
      <c r="CY330" s="133">
        <f>IF(Исходн.данные.!AH330=0,0,IF(CR330&gt;$CX330,$CX330,CR330))</f>
        <v>0</v>
      </c>
      <c r="CZ330" s="133">
        <f>IF(Исходн.данные.!AH330=0,0,IF(CS330&gt;$CX330,$CX330,CS330))</f>
        <v>0</v>
      </c>
      <c r="DA330" s="133">
        <f>IF(Исходн.данные.!AH330=0,0,IF(CT330&gt;$CX330,$CX330,CT330))</f>
        <v>0</v>
      </c>
      <c r="DB330" s="10">
        <f t="shared" si="390"/>
        <v>0</v>
      </c>
      <c r="DC330" s="39">
        <f>DB330*Исходн.данные.!AJ330/1000</f>
        <v>0</v>
      </c>
      <c r="DD330" s="71">
        <f t="shared" si="391"/>
        <v>0</v>
      </c>
      <c r="DE330" s="9">
        <f t="shared" si="392"/>
        <v>0</v>
      </c>
      <c r="DF330" s="9">
        <f t="shared" si="393"/>
        <v>0</v>
      </c>
      <c r="DG330" s="39">
        <f>IF(BL330&lt;0,0,IF($CH330="Нет",BL330,IF(OR(Исходн.данные.!$AH330=$BP$1,Исходн.данные.!$AH330=$BP$2),0,IF(Исходн.данные.!AI330=$BU$11,BL330,IF(BL330-DD330&lt;0,0,BL330-DD330)))))</f>
        <v>0</v>
      </c>
      <c r="DH330" s="39">
        <f>IF(BM330&lt;0,0,IF($CH330="Нет",BM330,IF(OR(Исходн.данные.!$AH330=$BP$1,Исходн.данные.!$AH330=$BP$2),0,IF(Исходн.данные.!AJ330=$BU$11,BM330,IF(BM330-DE330&lt;0,0,BM330-DE330)))))</f>
        <v>0</v>
      </c>
      <c r="DI330" s="39">
        <f>IF(BN330&lt;0,0,IF($CH330="Нет",BN330,IF(OR(Исходн.данные.!$AH330=$BP$1,Исходн.данные.!$AH330=$BP$2),0,IF(Исходн.данные.!AK330=$BU$11,BN330,IF(BN330-DF330&lt;0,0,BN330-DF330)))))</f>
        <v>0</v>
      </c>
      <c r="DJ330" s="12">
        <f t="shared" si="394"/>
        <v>0</v>
      </c>
      <c r="DK330" s="9">
        <f t="shared" si="395"/>
        <v>0</v>
      </c>
      <c r="DL330" s="39">
        <f>IF(Исходн.данные.!AM330&gt;0,Исходн.данные.!AM330,IF(EG330&gt;0,$BH$10,0))</f>
        <v>0</v>
      </c>
      <c r="DM330" s="186">
        <f>IF($DL330=0,0,IF(Исходн.данные.!AM330&gt;0,VLOOKUP($DL330,АшламаДВ_Irekle,2,FALSE),VLOOKUP($DL330,АшламаДВ_Gomumy,2,FALSE)))</f>
        <v>0</v>
      </c>
      <c r="DN330" s="10">
        <f t="shared" si="373"/>
        <v>0</v>
      </c>
      <c r="DO330" s="9" t="str">
        <f>IF(Исходн.данные.!AN330&gt;0,Исходн.данные.!AN330,Удобрения!$B$37 )</f>
        <v>Хлор.калий</v>
      </c>
      <c r="DP330" s="9">
        <f>IF(Исходн.данные.!AN330&gt;0,VLOOKUP(Исходн.данные.!AN330,АшламаДВ_Irekle,4,FALSE),VLOOKUP(DO330,АшламаДВ_Gomumy,4,FALSE))</f>
        <v>0.6</v>
      </c>
      <c r="DQ330" s="10">
        <f t="shared" si="374"/>
        <v>0</v>
      </c>
      <c r="DR330" s="132" t="str">
        <f>IF(Исходн.данные.!AO330&gt;0,Исходн.данные.!AO330,IF(DH330=0,BS$17,IF(AND($DK330=0,$DJ330&gt;0),EJ330,EN330)))</f>
        <v>Нет</v>
      </c>
      <c r="DS330" s="70" t="str">
        <f>IF($DR330="Нет","Нет",IF(Исходн.данные.!$AO330&gt;0,VLOOKUP($DR330,АшламаДВ_Irekle,2,FALSE),VLOOKUP($DR330,АшламаДВ_Gomumy,2,FALSE)))</f>
        <v>Нет</v>
      </c>
      <c r="DT330" s="70" t="str">
        <f>IF($DR330="Нет","Нет",IF(Исходн.данные.!$AO330&gt;0,VLOOKUP($DR330,АшламаДВ_Irekle,3,FALSE),VLOOKUP($DR330,АшламаДВ_Gomumy,3,FALSE)))</f>
        <v>Нет</v>
      </c>
      <c r="DU330" s="70" t="str">
        <f>IF($DR330="Нет","Нет",IF(Исходн.данные.!$AO330&gt;0,VLOOKUP($DR330,АшламаДВ_Irekle,4,FALSE),VLOOKUP($DR330,АшламаДВ_Gomumy,4,FALSE)))</f>
        <v>Нет</v>
      </c>
      <c r="DV330" s="70"/>
      <c r="DW330" s="70"/>
      <c r="DX330" s="70"/>
      <c r="DY330" s="10">
        <f t="shared" si="396"/>
        <v>0</v>
      </c>
      <c r="DZ330" s="10">
        <f t="shared" si="397"/>
        <v>0</v>
      </c>
      <c r="EA330" s="10">
        <f t="shared" si="398"/>
        <v>0</v>
      </c>
      <c r="EB330" s="10">
        <f t="shared" si="399"/>
        <v>0</v>
      </c>
      <c r="EC330" s="10">
        <f t="shared" si="400"/>
        <v>0</v>
      </c>
      <c r="ED330" s="10">
        <f t="shared" si="401"/>
        <v>0</v>
      </c>
      <c r="EE330" s="10">
        <f t="shared" si="402"/>
        <v>0</v>
      </c>
      <c r="EF330" s="39">
        <f>EB330*Исходн.данные.!AJ330/1000</f>
        <v>0</v>
      </c>
      <c r="EG330" s="9">
        <f t="shared" si="403"/>
        <v>0</v>
      </c>
      <c r="EH330" s="9">
        <f t="shared" si="404"/>
        <v>0</v>
      </c>
      <c r="EI330" s="39" t="e">
        <f t="shared" si="354"/>
        <v>#DIV/0!</v>
      </c>
      <c r="EJ330" s="9" t="str">
        <f t="shared" si="375"/>
        <v>Азопреципитат</v>
      </c>
      <c r="EK330" s="12">
        <f t="shared" si="355"/>
        <v>0.26</v>
      </c>
      <c r="EL330" s="12">
        <f t="shared" si="356"/>
        <v>0.13</v>
      </c>
      <c r="EM330" s="12">
        <f t="shared" si="357"/>
        <v>0</v>
      </c>
      <c r="EN330" s="12" t="str">
        <f t="shared" si="376"/>
        <v>Нет</v>
      </c>
      <c r="EO330" s="12">
        <f t="shared" si="358"/>
        <v>0</v>
      </c>
      <c r="EP330" s="12">
        <f t="shared" si="359"/>
        <v>0</v>
      </c>
      <c r="EQ330" s="12">
        <f t="shared" si="360"/>
        <v>0</v>
      </c>
      <c r="ER330" s="12" t="str">
        <f t="shared" si="405"/>
        <v>Диаммофоска</v>
      </c>
      <c r="ES330" s="12">
        <f t="shared" si="361"/>
        <v>0.1</v>
      </c>
      <c r="ET330" s="12">
        <f t="shared" si="362"/>
        <v>0.26</v>
      </c>
      <c r="EU330" s="12">
        <f t="shared" si="363"/>
        <v>0.26</v>
      </c>
      <c r="EV330" s="12" t="str">
        <f t="shared" si="406"/>
        <v>Аммофос 12:52:00</v>
      </c>
      <c r="EW330" s="12" t="str">
        <f t="shared" si="407"/>
        <v>Кемира Свекловичное-6</v>
      </c>
      <c r="EX330" s="12">
        <f t="shared" si="364"/>
        <v>0.16</v>
      </c>
      <c r="EY330" s="12">
        <f t="shared" si="365"/>
        <v>0.12</v>
      </c>
      <c r="EZ330" s="12">
        <f t="shared" si="366"/>
        <v>0.17</v>
      </c>
      <c r="FA330" s="38" t="e">
        <f>IF(AND(OR(FJ330=$FD$1,FM330=$FD$1,FO330=$FD$1,FQ330=$FD$1,FS330=$FD$1),FD330=$FD$1,Исходн.данные.!J330&lt;2,FU330=$FD$1),"Бор,Кобальт",IF(AND(FO330=$FD$1,FH330=$FD$1,Исходн.данные.!J330&lt;2,FU330=$FD$1),"Бор,Кобальт",IF(AND(OR(FJ330=$FD$1,FM330=$FD$1,FQ330=$FD$1),FE330=$FD$1,Исходн.данные.!J330&lt;2,FT330=$FD$1,FU330=$FD$1),"Бор,Медь,Цинк",IF(AND(OR(FJ330=$FD$1,FR330="Да"),FI330="Да",Исходн.данные.!J330&lt;2,FT330="Да",FU330="Да"),"Бор,Цинк,Медь",IF(AND(OR(FM330="Да",FQ330="Да"),FI330="Да",Исходн.данные.!J330&lt;2,FT330="Да",FU330="Да"),"Бор,Цинк",IF(AND(FN330="Да",OR(FD330="Да",FE330="Да")),"Бор",FB330))))))</f>
        <v>#N/A</v>
      </c>
      <c r="FB330" s="134" t="e">
        <f>IF(AND(OR(FD330="Да",FE330="Да",FF330="Да",FG330="Да",FH330="Да"),FO330="Да"),"Бор",IF(AND(FP330="Да",OR(FD330="Да",FE330="Да",FI330="Да")),"Бор",IF(AND(FS330="Да",FE330="Да"),"Бор,Медь",IF(AND(OR(FJ330="Да",FK330="Да",FL330="Да"),FE330="Да",Исходн.данные.!I330&lt;5,FT330="Да",FU330="Да"),"Молибден,Цинк",IF(AND(FM330="Да",OR(FE330="Да",FF330="Да",FG330="Да",FH330="Да",FI330="Да")),"Молибден,Цинк",IF(AND(OR(FJ330="Да",FK330="Да",FL330="Да",FM330="Да",FQ330="Да"),OR(FE330="Да",FF330="Да"),FT330="Да",FU330="Да",Исходн.данные.!I330&gt;5.5),"Медь,Цинк",FC330))))))</f>
        <v>#N/A</v>
      </c>
      <c r="FC330" s="23" t="e">
        <f t="shared" si="408"/>
        <v>#N/A</v>
      </c>
      <c r="FD330" s="38" t="str">
        <f>IF(OR(Исходн.данные.!F330=$CC$1,Исходн.данные.!F330=$CC$2,Исходн.данные.!F330=$CC$3,Исходн.данные.!F330=$CC$4),"Да","Нет")</f>
        <v>Нет</v>
      </c>
      <c r="FE330" s="38" t="str">
        <f>IF(Исходн.данные.!F330=$CC$5,"Да","Нет")</f>
        <v>Нет</v>
      </c>
      <c r="FF330" s="38" t="str">
        <f>IF(OR(Исходн.данные.!F330=$CC$6,Исходн.данные.!F330=$CC$7),"Да","Нет")</f>
        <v>Нет</v>
      </c>
      <c r="FG330" s="38" t="str">
        <f>IF(OR(Исходн.данные.!F330=$CC$8,Исходн.данные.!F330=$CC$9),"Да","Нет")</f>
        <v>Нет</v>
      </c>
      <c r="FH330" s="38" t="str">
        <f>IF(Исходн.данные.!F330=$CC$10,"Да","Нет")</f>
        <v>Нет</v>
      </c>
      <c r="FI330" s="38" t="str">
        <f>IF(OR(Исходн.данные.!F330=$CC$11,Исходн.данные.!F330=$CC$12),"Да","Нет")</f>
        <v>Нет</v>
      </c>
      <c r="FJ330" s="38" t="str">
        <f>IF(OR(Исходн.данные.!AH330=$BS$1,Исходн.данные.!AH330=$BQ$11,Исходн.данные.!AH330=$BQ$12),"Да","Нет")</f>
        <v>Нет</v>
      </c>
      <c r="FK330" s="38" t="str">
        <f>IF(OR(Исходн.данные.!AH330=$BS$2,Исходн.данные.!AH330=$BS$4),"Да","Нет")</f>
        <v>Нет</v>
      </c>
      <c r="FL330" s="38" t="str">
        <f>IF(OR(Исходн.данные.!AH330=$BS$3,Исходн.данные.!AH330=$BS$5),"Да","Нет")</f>
        <v>Нет</v>
      </c>
      <c r="FM330" s="38" t="str">
        <f>IF(OR(Исходн.данные.!AH330=$BS$9,Исходн.данные.!AH330=$BS$10,Исходн.данные.!AH330=$BS$11,Исходн.данные.!AH330=$BS$12),"Да","Нет")</f>
        <v>Нет</v>
      </c>
      <c r="FN330" s="38" t="str">
        <f>IF(OR(Исходн.данные.!AH330=$BS$6,Исходн.данные.!AH330=$BP$3),"Да","Нет")</f>
        <v>Нет</v>
      </c>
      <c r="FO330" s="38" t="str">
        <f>IF(Исходн.данные.!AH330=$BQ$9,"Да","Нет")</f>
        <v>Нет</v>
      </c>
      <c r="FP330" s="38" t="str">
        <f>IF(OR(Исходн.данные.!AH330=$BS$8,Исходн.данные.!AH330=$BT$8),"Да","Нет")</f>
        <v>Нет</v>
      </c>
      <c r="FQ330" s="38" t="str">
        <f>IF(OR(Исходн.данные.!AH330=$BQ$7,Исходн.данные.!AH330=$BQ$8),"Да","Нет")</f>
        <v>Нет</v>
      </c>
      <c r="FR330" s="38" t="str">
        <f>IF(Исходн.данные.!AI330=$BU$9,"Да","Нет")</f>
        <v>Нет</v>
      </c>
      <c r="FS330" s="38" t="str">
        <f>IF(OR(Исходн.данные.!AH330=$BP$1,Исходн.данные.!AH330=$BP$2),"Да","Нет")</f>
        <v>Нет</v>
      </c>
      <c r="FT330" s="38" t="e">
        <f>IF((Исходн.данные.!K330*GO330*GS330*GW330+BL330*0.6+Исходн.данные.!Q330*4.5*0.275)&gt;90,"Да","Нет")</f>
        <v>#N/A</v>
      </c>
      <c r="FU330" s="38" t="e">
        <f>IF((Исходн.данные.!M330*GS330*GZ330+BM330*0.225)&gt;35,"Да","Нет")</f>
        <v>#N/A</v>
      </c>
      <c r="FV330" s="38" t="str">
        <f>IF(Исходн.данные.!O330&gt;175,"Да","Нет")</f>
        <v>Нет</v>
      </c>
      <c r="FW330" s="39" t="str">
        <f>IF(Исходн.данные.!I330&gt;5.5,"Да","Нет")</f>
        <v>Нет</v>
      </c>
      <c r="FX330" s="39" t="str">
        <f>IF(Исходн.данные.!J330&lt;2,"Да","Нет")</f>
        <v>Да</v>
      </c>
      <c r="FY330" s="39" t="e">
        <f>IF(HF330=$FY$16,0,Исходн.данные.!K330*GO330*GS330*GW330/HF330)</f>
        <v>#N/A</v>
      </c>
      <c r="FZ330" s="39" t="e">
        <f>Исходн.данные.!M330*GS330*GZ330/HG330</f>
        <v>#N/A</v>
      </c>
      <c r="GA330" s="39" t="e">
        <f>IF(K_Wyn=$FY$16,0,IF(Исходн.данные.!N330=Исходн.данные.!$L$10,Исходн.данные.!O330/1.1*GS330*HC330/HH330,IF(Исходн.данные.!N330=Исходн.данные.!$L$12,Исходн.данные.!O330/1.5*GS330*HC330/HH330,Исходн.данные.!O330*GS330*HC330/HH330)))</f>
        <v>#N/A</v>
      </c>
      <c r="GB330" s="39" t="e">
        <f>IF(HF330=$FY$16,0,((Исходн.данные.!Q330*N_Org+Исходн.данные.!R330*N_Sider+Исходн.данные.!S330*N_Soloma)*AO330+Расчет!BC330*VLOOKUP(Исходн.данные.!T330,Справ!$A$3:$O$57,15)*AO330+BB330*VLOOKUP(Исходн.данные.!T330,Справ!$A$3:$O$57,15)*AL330+(Исходн.данные.!V330*N_Rizotorf+Исходн.данные.!W330*N_Rizoagr))/HF330)</f>
        <v>#N/A</v>
      </c>
      <c r="GC330" s="39" t="e">
        <f>IF(HG330=$FY$16,0,((Исходн.данные.!Q330*Р_Org+Исходн.данные.!R330*P_Sider+Исходн.данные.!S330*P_Soloma)*AP330+Расчет!BC330*VLOOKUP(Исходн.данные.!T330,Справ!$A$3:$P$57,16)*AP330+BB330*VLOOKUP(Исходн.данные.!T330,Справ!$A$3:$P$57,16)*AM330)/HG330)</f>
        <v>#N/A</v>
      </c>
      <c r="GD330" s="39" t="e">
        <f>IF(HH330=$FY$16,0,((Исходн.данные.!Q330*К_Org+Исходн.данные.!R330*K_Sider+Исходн.данные.!S330*K_Soloma)*AQ330+Расчет!BC330*VLOOKUP(Исходн.данные.!T330,Справ!$A$3:$Q$57,17)*AQ330+BB330*VLOOKUP(Исходн.данные.!T330,Справ!$A$3:$Q$57,17)*AN330)/HH330)</f>
        <v>#N/A</v>
      </c>
      <c r="GE330" s="39" t="e">
        <f>IF(HF330=$FY$16,0,(Исходн.данные.!X330*AR330+Исходн.данные.!AA330*N_Org*AL330+Исходн.данные.!AB330*N_Sider*AL330+Исходн.данные.!AC330*N_Soloma*AL330)/HF330)</f>
        <v>#N/A</v>
      </c>
      <c r="GF330" s="39" t="e">
        <f>IF(HG330=$FY$16,0,(Исходн.данные.!Y330*AS330+Исходн.данные.!AA330*Р_Org*AM330+Исходн.данные.!AB330*P_Sider*AM330+Исходн.данные.!AC330*P_Soloma*AM330)/HG330)</f>
        <v>#N/A</v>
      </c>
      <c r="GG330" s="39" t="e">
        <f>IF(HH330=$FY$16,0,(Исходн.данные.!Z330*AT330+Исходн.данные.!AA330*К_Org*AN330+Исходн.данные.!AB330*K_Sider*AN330+Исходн.данные.!AC330*K_Soloma*AN330)/HH330)</f>
        <v>#N/A</v>
      </c>
      <c r="GH330" s="39" t="e">
        <f>Исходн.данные.!AD330*AU330/HF330</f>
        <v>#N/A</v>
      </c>
      <c r="GI330" s="39" t="e">
        <f>Исходн.данные.!AE330*AV330/HG330</f>
        <v>#N/A</v>
      </c>
      <c r="GJ330" s="39" t="e">
        <f>Исходн.данные.!AF330*AW330/HH330</f>
        <v>#N/A</v>
      </c>
      <c r="GK330" s="55">
        <f>Исходн.данные.!AK330</f>
        <v>0</v>
      </c>
      <c r="GL330" s="11" t="e">
        <f t="shared" si="409"/>
        <v>#N/A</v>
      </c>
      <c r="GM330" s="11" t="e">
        <f t="shared" si="410"/>
        <v>#N/A</v>
      </c>
      <c r="GN330" s="11" t="e">
        <f t="shared" si="411"/>
        <v>#N/A</v>
      </c>
      <c r="GO330" s="57">
        <f t="shared" si="412"/>
        <v>19</v>
      </c>
      <c r="GP330" s="55">
        <f>IF(OR(Исходн.данные.!F330=$CE$1,Исходн.данные.!F330=$CE$2,Исходн.данные.!F330=$CE$3,Исходн.данные.!F330=$CE$4,Исходн.данные.!F330=$CE$5),GQ330,GR330)</f>
        <v>19</v>
      </c>
      <c r="GQ330" s="55">
        <f>IF(Исходн.данные.!F330=$CE$1,28,IF(Исходн.данные.!F330=$CE$2,26,IF(Исходн.данные.!F330=$CE$3,24,IF(Исходн.данные.!F330=$CE$4,22,IF(Исходн.данные.!F330=$CE$5,20,GR330)))))</f>
        <v>19</v>
      </c>
      <c r="GR330" s="55">
        <f>IF(Исходн.данные.!F330=$CE$6,18,IF(Исходн.данные.!F330=$CE$7,16,IF(Исходн.данные.!F330=$CE$8,14,IF(Исходн.данные.!F330=$CE$9,13,IF(Исходн.данные.!F330=$CE$10,12,19)))))</f>
        <v>19</v>
      </c>
      <c r="GS330" s="55">
        <f>IF(Исходн.данные.!G330="Пес",0.035*(40+2*Исходн.данные.!H330),IF(Исходн.данные.!G330="Суп",0.0325*(40+2*Исходн.данные.!H330),0.03*(40+2*Исходн.данные.!H330)))</f>
        <v>1.2</v>
      </c>
      <c r="GT330" s="55">
        <f>IF(Исходн.данные.!H330&lt;23,2.6,IF(AND(Исходн.данные.!H330&gt;22,Исходн.данные.!H330&lt;26),3,IF(AND(Исходн.данные.!H330&gt;25,Исходн.данные.!H330&lt;29),3.4,3.6)))</f>
        <v>2.6</v>
      </c>
      <c r="GU330" s="55">
        <f>IF(Исходн.данные.!H330&lt;23,2.8,IF(AND(Исходн.данные.!H330&gt;22,Исходн.данные.!H330&lt;26),3.2,IF(AND(Исходн.данные.!H330&gt;25,Исходн.данные.!H330&lt;29),3.6,3.9)))</f>
        <v>2.8</v>
      </c>
      <c r="GV330" s="55">
        <f>IF(Исходн.данные.!H330&lt;23,3,IF(AND(Исходн.данные.!H330&gt;22,Исходн.данные.!H330&lt;26),3.5,IF(AND(Исходн.данные.!H330&gt;25,Исходн.данные.!H330&lt;29),3.9,4.2)))</f>
        <v>3</v>
      </c>
      <c r="GW330" s="55" t="e">
        <f>IF(Исходн.данные.!P330="Ум",GX330,GY330)</f>
        <v>#N/A</v>
      </c>
      <c r="GX330" s="55" t="e">
        <f>VLOOKUP(Исходн.данные.!AI330,Коэффициенты!$J$7:$L$13,2,FALSE)</f>
        <v>#N/A</v>
      </c>
      <c r="GY330" s="55" t="e">
        <f>VLOOKUP(Исходн.данные.!AI330,Коэффициенты!$J$7:$L$13,3,FALSE)</f>
        <v>#N/A</v>
      </c>
      <c r="GZ330" s="55" t="e">
        <f>(IF(Исходн.данные.!M330&lt;50,0.11*VLOOKUP(Исходн.данные.!AH330,Культуры.Информация,7,FALSE),IF(Исходн.данные.!M330&gt;250,0.05*VLOOKUP(Исходн.данные.!AH330,Культуры.Информация,7,FALSE),VLOOKUP(Исходн.данные.!AH330,Культуры.Информация,5,FALSE)/100*($GX$6+$GY$6*Исходн.данные.!M330))))*Расчет2!AI330</f>
        <v>#N/A</v>
      </c>
      <c r="HA330" s="211"/>
      <c r="HB330" s="211"/>
      <c r="HC330" s="55" t="e">
        <f>(IF(Исходн.данные.!O330&lt;80,0.2*VLOOKUP(Исходн.данные.!AH330,Культуры.Информация,8,FALSE),IF(Исходн.данные.!O330&gt;240,0.09*VLOOKUP(Исходн.данные.!AH330,Культуры.Информация,8,FALSE),VLOOKUP(Исходн.данные.!AH330,Культуры.Информация,6,FALSE)/100*($HB$6+$HC$6*Исходн.данные.!O330))))*Расчет2!AJ330</f>
        <v>#N/A</v>
      </c>
      <c r="HD330" s="55">
        <f>IF(Исходн.данные.!O330&gt;240,0.09,IF(Исходн.данные.!O330&lt;30,0.3,$HE$10+$HD$10*Исходн.данные.!O330))</f>
        <v>0.3</v>
      </c>
      <c r="HE330" s="55">
        <f>IF(Исходн.данные.!O330&gt;240,0.17,IF(Исходн.данные.!O330&lt;30,0.5,$HF$12+$HE$12*Исходн.данные.!O330))</f>
        <v>0.5</v>
      </c>
      <c r="HF330" s="55" t="e">
        <f>VLOOKUP(Исходн.данные.!AH330,Справ!$A$3:$D$58,2,FALSE)</f>
        <v>#N/A</v>
      </c>
      <c r="HG330" s="55" t="e">
        <f>VLOOKUP(Исходн.данные.!AH330,Справ!$A$3:$D$58,3,FALSE)</f>
        <v>#N/A</v>
      </c>
      <c r="HH330" s="55" t="e">
        <f>VLOOKUP(Исходн.данные.!AH330,Справ!$A$3:$D$58,4,FALSE)</f>
        <v>#N/A</v>
      </c>
      <c r="HI330" s="11" t="e">
        <f t="shared" si="413"/>
        <v>#N/A</v>
      </c>
      <c r="HJ330" s="11" t="e">
        <f t="shared" si="414"/>
        <v>#N/A</v>
      </c>
      <c r="HK330" s="11" t="e">
        <f t="shared" si="415"/>
        <v>#N/A</v>
      </c>
      <c r="HL330" s="55">
        <f>IF(OR(Исходн.данные.!G330="Глин",Исходн.данные.!G330="Т_суг"),1.1,IF(Исходн.данные.!G330="Ср_суг",1,1))</f>
        <v>1</v>
      </c>
      <c r="HM330" s="55">
        <f>IF(OR(Исходн.данные.!G330="Глин",Исходн.данные.!G330="Т_суг"),0.9,IF(Исходн.данные.!G330="Ср_суг",1,1.2))</f>
        <v>1.2</v>
      </c>
      <c r="HN330" s="11" t="e">
        <f t="shared" si="416"/>
        <v>#N/A</v>
      </c>
      <c r="HO330" s="11" t="e">
        <f t="shared" si="417"/>
        <v>#N/A</v>
      </c>
      <c r="HP330" s="11" t="e">
        <f t="shared" si="418"/>
        <v>#N/A</v>
      </c>
      <c r="HQ330" t="e">
        <f t="shared" si="419"/>
        <v>#N/A</v>
      </c>
      <c r="HR330" t="e">
        <f t="shared" si="420"/>
        <v>#N/A</v>
      </c>
      <c r="HS330" t="e">
        <f t="shared" si="421"/>
        <v>#N/A</v>
      </c>
      <c r="HT330" t="e">
        <f t="shared" si="367"/>
        <v>#N/A</v>
      </c>
      <c r="HU330" t="e">
        <f t="shared" si="368"/>
        <v>#N/A</v>
      </c>
      <c r="HV330" t="e">
        <f t="shared" si="369"/>
        <v>#N/A</v>
      </c>
      <c r="HW330" t="e">
        <f t="shared" si="370"/>
        <v>#N/A</v>
      </c>
      <c r="HX330" t="e">
        <f t="shared" si="371"/>
        <v>#N/A</v>
      </c>
      <c r="HY330" t="e">
        <f t="shared" si="372"/>
        <v>#N/A</v>
      </c>
      <c r="HZ330" s="55">
        <f>IF(OR(Исходн.данные.!AI330="Оз_Ч_П",Исходн.данные.!AI330="Оз_З_П",Исходн.данные.!AI330="Яр_зер"),12,30)</f>
        <v>30</v>
      </c>
      <c r="IA330" t="e">
        <f t="shared" si="422"/>
        <v>#N/A</v>
      </c>
      <c r="IB330" t="e">
        <f t="shared" si="423"/>
        <v>#N/A</v>
      </c>
      <c r="IC330" t="e">
        <f t="shared" si="424"/>
        <v>#N/A</v>
      </c>
      <c r="ID330" s="11" t="e">
        <f t="shared" si="425"/>
        <v>#N/A</v>
      </c>
      <c r="IE330" s="11" t="e">
        <f t="shared" si="426"/>
        <v>#N/A</v>
      </c>
      <c r="IF330" s="11" t="e">
        <f t="shared" si="427"/>
        <v>#N/A</v>
      </c>
    </row>
    <row r="331" spans="35:240" x14ac:dyDescent="0.2">
      <c r="AI331">
        <f>IF(Исходн.данные.!I331&gt;6,1,1.85-(0.148*Исходн.данные.!I331))</f>
        <v>1.85</v>
      </c>
      <c r="AJ331">
        <f>IF(Исходн.данные.!I331&gt;6,1,2.434-(0.246*Исходн.данные.!I331))</f>
        <v>2.4340000000000002</v>
      </c>
      <c r="AL331" s="148" t="b">
        <f>IF(Исходн.данные.!$P331="Ум",N_OrgUd_2g_um,IF(Исходн.данные.!$P331="Об",N_OrgUd_2g_ob))</f>
        <v>0</v>
      </c>
      <c r="AM331" s="148" t="b">
        <f>IF(Исходн.данные.!$P331="Ум",P_OrgUd_2g_um,IF(Исходн.данные.!$P331="Об",P_OrgUd_2g_ob))</f>
        <v>0</v>
      </c>
      <c r="AN331" s="148" t="b">
        <f>IF(Исходн.данные.!$P331="Ум",K_OrgUd_2g_um,IF(Исходн.данные.!$P331="Об",K_OrgUd_2g_ob))</f>
        <v>0</v>
      </c>
      <c r="AO331" s="148" t="b">
        <f>IF(Исходн.данные.!$P331="Ум",N_OrgUd_1g_um,IF(Исходн.данные.!$P331="Об",N_OrgUd_1g_ob))</f>
        <v>0</v>
      </c>
      <c r="AP331" s="148" t="b">
        <f>IF(Исходн.данные.!$P331="Ум",P_OrgUd_1g_um,IF(Исходн.данные.!$P331="Об",P_OrgUd_1g_ob))</f>
        <v>0</v>
      </c>
      <c r="AQ331" s="148" t="b">
        <f>IF(Исходн.данные.!$P331="Ум",K_OrgUd_1g_um,IF(Исходн.данные.!$P331="Об",K_OrgUd_1g_ob))</f>
        <v>0</v>
      </c>
      <c r="AR331" t="b">
        <f>IF(Исходн.данные.!$P331="Ум",N_MinUd_2g_um,IF(Исходн.данные.!$P331="Об",N_MinUd_2g_ob))</f>
        <v>0</v>
      </c>
      <c r="AS331" t="b">
        <f>IF(Исходн.данные.!$P331="Ум",P_MinUd_2g_um,IF(Исходн.данные.!$P331="Об",P_MinUd_2g_ob))</f>
        <v>0</v>
      </c>
      <c r="AT331" t="b">
        <f>IF(Исходн.данные.!$P331="Ум",K_MinUd_2g_um,IF(Исходн.данные.!$P331="Об",K_MinUd_2g_ob))</f>
        <v>0</v>
      </c>
      <c r="AU331" t="b">
        <f>IF(Исходн.данные.!$P331="Ум",N_MinUd_1g_um,IF(Исходн.данные.!$P331="Об",N_MinUd_1g_ob))</f>
        <v>0</v>
      </c>
      <c r="AV331" t="b">
        <f>IF(Исходн.данные.!P331="Ум",P_MinUd_1g_um,IF(Исходн.данные.!P331="Об",P_MinUd_1g_ob))</f>
        <v>0</v>
      </c>
      <c r="AW331" t="b">
        <f>IF(Исходн.данные.!P331="Ум",K_MinUd_1g_um,IF(Исходн.данные.!P331="Об",K_MinUd_1g_ob))</f>
        <v>0</v>
      </c>
      <c r="AY331" t="e">
        <f>VLOOKUP(Исходн.данные.!T331,Справ!$A$3:$N$57,12)</f>
        <v>#N/A</v>
      </c>
      <c r="AZ331" t="e">
        <f>VLOOKUP(Исходн.данные.!T331,Справ!$A$3:$N$57,13)</f>
        <v>#N/A</v>
      </c>
      <c r="BA331" t="e">
        <f>VLOOKUP(Исходн.данные.!T331,Справ!$A$3:$N$57,14)</f>
        <v>#N/A</v>
      </c>
      <c r="BB331">
        <f>IF(Исходн.данные.!AH331=0,0,25)</f>
        <v>0</v>
      </c>
      <c r="BC331" s="141">
        <f>IF(Исходн.данные.!AH331=0,0,IF(Исходн.данные.!T331=0,25,BD331))</f>
        <v>0</v>
      </c>
      <c r="BD331" s="168" t="e">
        <f>AY331+AZ331*Исходн.данные.!U331-POWER(BA331,2)*Исходн.данные.!U331</f>
        <v>#N/A</v>
      </c>
      <c r="BE33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1" s="25">
        <f>IF(Исходн.данные.!AH331=0,0,MIN(HN331:HP331))</f>
        <v>0</v>
      </c>
      <c r="BG331" s="9">
        <f>IF(Исходн.данные.!AH331=0,0,IF((HO331+10*0.25/HG331/HL331)&lt;17,17,HO331+10*0.25/HG331/HL331))</f>
        <v>0</v>
      </c>
      <c r="BH331" s="181">
        <f>IF(Исходн.данные.!AH331=0,0,HW331*HF331*HL331/AU331*AI331+Исходн.данные.!S331*10)</f>
        <v>0</v>
      </c>
      <c r="BI331" s="10"/>
      <c r="BJ331" s="182">
        <f>IF(Исходн.данные.!AH331=0,0,IF(HX331*HG331*HL331/AV331&lt;0,0,HX331*HG331*HL331/AV331*AJ331))</f>
        <v>0</v>
      </c>
      <c r="BK331" s="182">
        <f>IF(Исходн.данные.!AH331=0,0,HY331*HH331*HM331/AW331)</f>
        <v>0</v>
      </c>
      <c r="BL331" s="10">
        <f>IF(OR(Исходн.данные.!$AH331=$BP$1,Исходн.данные.!$AH331=$BP$2),0,IF(BH331&lt;0,0,IF(OR(Исходн.данные.!T331=Расчет!$BP$1,Исходн.данные.!T331=Расчет!$BP$2,Исходн.данные.!T331=Расчет!$BT$5,Исходн.данные.!T331=Расчет!$BT$6),BH331*0.5,IF(OR(Исходн.данные.!T331=Расчет!$BS$9,Исходн.данные.!T331=Расчет!$BS$10,Исходн.данные.!T331=Расчет!$BS$11,Исходн.данные.!T331=Расчет!$BS$12,Исходн.данные.!T331=Расчет!$BP$5),BH331*0.8,BH331))))</f>
        <v>0</v>
      </c>
      <c r="BM331" s="10">
        <f>IF(OR(Исходн.данные.!$AH331=$BP$1,Исходн.данные.!$AH331=$BP$2),0,IF(BJ331&lt;0,0,IF(Исходн.данные.!I331&lt;4.5,BJ331*1.2,IF(Исходн.данные.!I331&gt;5.1,BJ331,BJ331*((5.1-Исходн.данные.!I331)*0.333+1)))))</f>
        <v>0</v>
      </c>
      <c r="BN331" s="10">
        <f>IF(OR(Исходн.данные.!$AH331=$BP$1,Исходн.данные.!$AH331=$BP$2),60-Исходн.данные.!AF331,IF(BK331&lt;0,0,IF(Исходн.данные.!I331&lt;4.5,BK331*1.2,IF(Исходн.данные.!I331&gt;5.1,BK331,BK331*((5.1-Исходн.данные.!I331)*0.333+1)))))</f>
        <v>0</v>
      </c>
      <c r="BO331" s="9">
        <f>IF(BL331&lt;0,0,BL331*Исходн.данные.!$AJ331/1000)</f>
        <v>0</v>
      </c>
      <c r="BP331" s="9">
        <f>IF(BM331&lt;0,0,BM331*Исходн.данные.!$AJ331/1000)</f>
        <v>0</v>
      </c>
      <c r="BQ331" s="9">
        <f>IF(BN331&lt;0,0,BN331*Исходн.данные.!$AJ331/1000)</f>
        <v>0</v>
      </c>
      <c r="BR331" s="9">
        <f t="shared" si="377"/>
        <v>0</v>
      </c>
      <c r="BS331" s="10" t="str">
        <f t="shared" si="378"/>
        <v>Аммофос 12:52:00</v>
      </c>
      <c r="BT331" s="10" t="str">
        <f t="shared" si="379"/>
        <v>Аммофос 12:52:00</v>
      </c>
      <c r="BU331" s="10" t="str">
        <f t="shared" si="380"/>
        <v>Диаммофоска</v>
      </c>
      <c r="BV331" s="10">
        <f t="shared" si="381"/>
        <v>0</v>
      </c>
      <c r="BW331" s="10"/>
      <c r="BX331" s="10"/>
      <c r="BY331" s="9">
        <f>IF(BL331&lt;0,0,IF(OR(Исходн.данные.!AI331=Расчет!$BU$6,Исходн.данные.!AI331=Расчет!$BU$7),Расчет!BV331,IF(Исходн.данные.!$AG331=$BV$11,BL331,IF(OR(Исходн.данные.!$AH331=$BQ$7,Исходн.данные.!$AH331=$BQ$8),CB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0,IF(Исходн.данные.!$AI331=$BU$11,"Нет",IF(BL331&gt;30,30,BL331)))))))</f>
        <v>0</v>
      </c>
      <c r="BZ331" s="9">
        <f>IF(AND(Исходн.данные.!$AG331=$BV$11,BM331&lt;10),10,IF(Исходн.данные.!$AG331=$BV$11,BM331,IF(OR(Исходн.данные.!$AH331=$BQ$7,Исходн.данные.!$AH331=$BQ$8),CC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10,IF(Исходн.данные.!$AI331=$BU$11,"Нет",IF(BM331&gt;60,60,IF(BM331&lt;10,10,BM331)))))))</f>
        <v>10</v>
      </c>
      <c r="CA331" s="39">
        <f>IF(BN331&lt;0,0,IF(Исходн.данные.!$AG331=$BV$11,BN331,IF(OR(Исходн.данные.!$AH331=$BQ$7,Исходн.данные.!$AH331=$BQ$8),CD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0,IF(Исходн.данные.!$AI331=$BU$11,"Нет",IF(BN331&gt;30,30,BN331))))))</f>
        <v>0</v>
      </c>
      <c r="CB331" s="9">
        <f t="shared" si="382"/>
        <v>0</v>
      </c>
      <c r="CC331" s="9">
        <f t="shared" si="383"/>
        <v>0</v>
      </c>
      <c r="CD331" s="9">
        <f t="shared" si="384"/>
        <v>0</v>
      </c>
      <c r="CE331" s="12">
        <f t="shared" si="385"/>
        <v>10</v>
      </c>
      <c r="CF331" s="9">
        <f t="shared" si="386"/>
        <v>0</v>
      </c>
      <c r="CG331" s="9" t="s">
        <v>231</v>
      </c>
      <c r="CH331" s="132" t="str">
        <f>IF(Исходн.данные.!AP331=Расчет!$CI$16,"Нет",IF(Исходн.данные.!AL331&gt;0,Исходн.данные.!AL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BH$4,IF(OR(Исходн.данные.!AI331=Исходн.данные.!$AI$6,Исходн.данные.!AI331=Исходн.данные.!$AI$7),Расчет!BS331,IF(AND($CF331=0,$CE331&gt;0),EV331,ER331)))))</f>
        <v>Аммофос 12:52:00</v>
      </c>
      <c r="CI331" s="274">
        <f>IF(Расчет!$CH331="Нет","Нет",IF(Исходн.данные.!$AL331&gt;0,VLOOKUP(Расчет!$CH331,АшламаДВ_Irekle,2,FALSE),VLOOKUP(Расчет!$CH331,АшламаДВ_Gomumy,2,FALSE)))</f>
        <v>0.12</v>
      </c>
      <c r="CJ331" s="274">
        <f>IF(Расчет!$CH331="Нет","Нет",IF(Исходн.данные.!$AL331&gt;0,VLOOKUP(Расчет!$CH331,АшламаДВ_Irekle,3,FALSE),VLOOKUP(Расчет!$CH331,АшламаДВ_Gomumy,3,FALSE)))</f>
        <v>0.52</v>
      </c>
      <c r="CK331" s="274">
        <f>IF(Расчет!$CH331="Нет","Нет",IF(Исходн.данные.!$AL331&gt;0,VLOOKUP(Расчет!$CH331,АшламаДВ_Irekle,4,FALSE),VLOOKUP(Расчет!$CH331,АшламаДВ_Gomumy,4,FALSE)))</f>
        <v>0</v>
      </c>
      <c r="CL331" s="70"/>
      <c r="CM331" s="70"/>
      <c r="CN331" s="70"/>
      <c r="CO331" s="70"/>
      <c r="CP331" s="70"/>
      <c r="CQ331" s="70"/>
      <c r="CR331" s="10">
        <f t="shared" si="387"/>
        <v>0</v>
      </c>
      <c r="CS331" s="10">
        <f t="shared" si="388"/>
        <v>19.23076923076923</v>
      </c>
      <c r="CT331" s="10">
        <f t="shared" si="389"/>
        <v>0</v>
      </c>
      <c r="CU331" s="39">
        <f>IF($CH331="Нет",0,IF(CI331=0,30/MIN(CJ331:CK331),IF(Исходн.данные.!$AG331=$BV$11,CR331,IF(OR(Исходн.данные.!$AH331=$BQ$7,Исходн.данные.!$AH331=$BQ$8),90/CI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0,IF(Исходн.данные.!$AI331=$BU$11,"Нет",30/CI331))))))</f>
        <v>250</v>
      </c>
      <c r="CV331" s="39">
        <f>IF($CH331="Нет",0,IF(Исходн.данные.!AH331=0,0,IF(CJ331=0,60/MIN(CI331,CK331),IF(Исходн.данные.!$AG331=$BV$11,CS331,IF(OR(Исходн.данные.!$AH331=$BQ$7,Исходн.данные.!$AH331=$BQ$8),90/CJ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10/CJ331,IF(Исходн.данные.!$AI331=$BU$11,"Нет",60/CJ331)))))))</f>
        <v>0</v>
      </c>
      <c r="CW331" s="39">
        <f>IF($CH331="Нет",0,IF(Исходн.данные.!AH331=0,0,IF(CK331=0,30/MIN(CI331:CJ331),IF(Исходн.данные.!$AG331=$BV$11,CT331,IF(OR(Исходн.данные.!$AH331=$BQ$7,Исходн.данные.!$AH331=$BQ$8),90/CK331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0,IF(Исходн.данные.!$AI331=$BU$11,"Нет",30/CK331)))))))</f>
        <v>0</v>
      </c>
      <c r="CX331" s="133">
        <f>IF(Исходн.данные.!$AG331=$BV$11,MAX(CU331:CW331),IF(OR(Исходн.данные.!$AH331=$BS$8,Исходн.данные.!$AH331=$BQ$9,Исходн.данные.!$AH331=$BQ$10,Исходн.данные.!$AH331=$BQ$11,Исходн.данные.!$AH331=$BQ$12,Исходн.данные.!$AH331=$BP$3,Исходн.данные.!$AH331=$BT$8,$FM331="Да"),CV331,MIN(CU331:CW331)))</f>
        <v>0</v>
      </c>
      <c r="CY331" s="133">
        <f>IF(Исходн.данные.!AH331=0,0,IF(CR331&gt;$CX331,$CX331,CR331))</f>
        <v>0</v>
      </c>
      <c r="CZ331" s="133">
        <f>IF(Исходн.данные.!AH331=0,0,IF(CS331&gt;$CX331,$CX331,CS331))</f>
        <v>0</v>
      </c>
      <c r="DA331" s="133">
        <f>IF(Исходн.данные.!AH331=0,0,IF(CT331&gt;$CX331,$CX331,CT331))</f>
        <v>0</v>
      </c>
      <c r="DB331" s="10">
        <f t="shared" si="390"/>
        <v>0</v>
      </c>
      <c r="DC331" s="39">
        <f>DB331*Исходн.данные.!AJ331/1000</f>
        <v>0</v>
      </c>
      <c r="DD331" s="71">
        <f t="shared" si="391"/>
        <v>0</v>
      </c>
      <c r="DE331" s="9">
        <f t="shared" si="392"/>
        <v>0</v>
      </c>
      <c r="DF331" s="9">
        <f t="shared" si="393"/>
        <v>0</v>
      </c>
      <c r="DG331" s="39">
        <f>IF(BL331&lt;0,0,IF($CH331="Нет",BL331,IF(OR(Исходн.данные.!$AH331=$BP$1,Исходн.данные.!$AH331=$BP$2),0,IF(Исходн.данные.!AI331=$BU$11,BL331,IF(BL331-DD331&lt;0,0,BL331-DD331)))))</f>
        <v>0</v>
      </c>
      <c r="DH331" s="39">
        <f>IF(BM331&lt;0,0,IF($CH331="Нет",BM331,IF(OR(Исходн.данные.!$AH331=$BP$1,Исходн.данные.!$AH331=$BP$2),0,IF(Исходн.данные.!AJ331=$BU$11,BM331,IF(BM331-DE331&lt;0,0,BM331-DE331)))))</f>
        <v>0</v>
      </c>
      <c r="DI331" s="39">
        <f>IF(BN331&lt;0,0,IF($CH331="Нет",BN331,IF(OR(Исходн.данные.!$AH331=$BP$1,Исходн.данные.!$AH331=$BP$2),0,IF(Исходн.данные.!AK331=$BU$11,BN331,IF(BN331-DF331&lt;0,0,BN331-DF331)))))</f>
        <v>0</v>
      </c>
      <c r="DJ331" s="12">
        <f t="shared" si="394"/>
        <v>0</v>
      </c>
      <c r="DK331" s="9">
        <f t="shared" si="395"/>
        <v>0</v>
      </c>
      <c r="DL331" s="39">
        <f>IF(Исходн.данные.!AM331&gt;0,Исходн.данные.!AM331,IF(EG331&gt;0,$BH$10,0))</f>
        <v>0</v>
      </c>
      <c r="DM331" s="186">
        <f>IF($DL331=0,0,IF(Исходн.данные.!AM331&gt;0,VLOOKUP($DL331,АшламаДВ_Irekle,2,FALSE),VLOOKUP($DL331,АшламаДВ_Gomumy,2,FALSE)))</f>
        <v>0</v>
      </c>
      <c r="DN331" s="10">
        <f t="shared" si="373"/>
        <v>0</v>
      </c>
      <c r="DO331" s="9" t="str">
        <f>IF(Исходн.данные.!AN331&gt;0,Исходн.данные.!AN331,Удобрения!$B$37 )</f>
        <v>Хлор.калий</v>
      </c>
      <c r="DP331" s="9">
        <f>IF(Исходн.данные.!AN331&gt;0,VLOOKUP(Исходн.данные.!AN331,АшламаДВ_Irekle,4,FALSE),VLOOKUP(DO331,АшламаДВ_Gomumy,4,FALSE))</f>
        <v>0.6</v>
      </c>
      <c r="DQ331" s="10">
        <f t="shared" si="374"/>
        <v>0</v>
      </c>
      <c r="DR331" s="132" t="str">
        <f>IF(Исходн.данные.!AO331&gt;0,Исходн.данные.!AO331,IF(DH331=0,BS$17,IF(AND($DK331=0,$DJ331&gt;0),EJ331,EN331)))</f>
        <v>Нет</v>
      </c>
      <c r="DS331" s="70" t="str">
        <f>IF($DR331="Нет","Нет",IF(Исходн.данные.!$AO331&gt;0,VLOOKUP($DR331,АшламаДВ_Irekle,2,FALSE),VLOOKUP($DR331,АшламаДВ_Gomumy,2,FALSE)))</f>
        <v>Нет</v>
      </c>
      <c r="DT331" s="70" t="str">
        <f>IF($DR331="Нет","Нет",IF(Исходн.данные.!$AO331&gt;0,VLOOKUP($DR331,АшламаДВ_Irekle,3,FALSE),VLOOKUP($DR331,АшламаДВ_Gomumy,3,FALSE)))</f>
        <v>Нет</v>
      </c>
      <c r="DU331" s="70" t="str">
        <f>IF($DR331="Нет","Нет",IF(Исходн.данные.!$AO331&gt;0,VLOOKUP($DR331,АшламаДВ_Irekle,4,FALSE),VLOOKUP($DR331,АшламаДВ_Gomumy,4,FALSE)))</f>
        <v>Нет</v>
      </c>
      <c r="DV331" s="70"/>
      <c r="DW331" s="70"/>
      <c r="DX331" s="70"/>
      <c r="DY331" s="10">
        <f t="shared" si="396"/>
        <v>0</v>
      </c>
      <c r="DZ331" s="10">
        <f t="shared" si="397"/>
        <v>0</v>
      </c>
      <c r="EA331" s="10">
        <f t="shared" si="398"/>
        <v>0</v>
      </c>
      <c r="EB331" s="10">
        <f t="shared" si="399"/>
        <v>0</v>
      </c>
      <c r="EC331" s="10">
        <f t="shared" si="400"/>
        <v>0</v>
      </c>
      <c r="ED331" s="10">
        <f t="shared" si="401"/>
        <v>0</v>
      </c>
      <c r="EE331" s="10">
        <f t="shared" si="402"/>
        <v>0</v>
      </c>
      <c r="EF331" s="39">
        <f>EB331*Исходн.данные.!AJ331/1000</f>
        <v>0</v>
      </c>
      <c r="EG331" s="9">
        <f t="shared" si="403"/>
        <v>0</v>
      </c>
      <c r="EH331" s="9">
        <f t="shared" si="404"/>
        <v>0</v>
      </c>
      <c r="EI331" s="39" t="e">
        <f t="shared" si="354"/>
        <v>#DIV/0!</v>
      </c>
      <c r="EJ331" s="9" t="str">
        <f t="shared" si="375"/>
        <v>Азопреципитат</v>
      </c>
      <c r="EK331" s="12">
        <f t="shared" si="355"/>
        <v>0.26</v>
      </c>
      <c r="EL331" s="12">
        <f t="shared" si="356"/>
        <v>0.13</v>
      </c>
      <c r="EM331" s="12">
        <f t="shared" si="357"/>
        <v>0</v>
      </c>
      <c r="EN331" s="12" t="str">
        <f t="shared" si="376"/>
        <v>Нет</v>
      </c>
      <c r="EO331" s="12">
        <f t="shared" si="358"/>
        <v>0</v>
      </c>
      <c r="EP331" s="12">
        <f t="shared" si="359"/>
        <v>0</v>
      </c>
      <c r="EQ331" s="12">
        <f t="shared" si="360"/>
        <v>0</v>
      </c>
      <c r="ER331" s="12" t="str">
        <f t="shared" si="405"/>
        <v>Диаммофоска</v>
      </c>
      <c r="ES331" s="12">
        <f t="shared" si="361"/>
        <v>0.1</v>
      </c>
      <c r="ET331" s="12">
        <f t="shared" si="362"/>
        <v>0.26</v>
      </c>
      <c r="EU331" s="12">
        <f t="shared" si="363"/>
        <v>0.26</v>
      </c>
      <c r="EV331" s="12" t="str">
        <f t="shared" si="406"/>
        <v>Аммофос 12:52:00</v>
      </c>
      <c r="EW331" s="12" t="str">
        <f t="shared" si="407"/>
        <v>Кемира Свекловичное-6</v>
      </c>
      <c r="EX331" s="12">
        <f t="shared" si="364"/>
        <v>0.16</v>
      </c>
      <c r="EY331" s="12">
        <f t="shared" si="365"/>
        <v>0.12</v>
      </c>
      <c r="EZ331" s="12">
        <f t="shared" si="366"/>
        <v>0.17</v>
      </c>
      <c r="FA331" s="38" t="e">
        <f>IF(AND(OR(FJ331=$FD$1,FM331=$FD$1,FO331=$FD$1,FQ331=$FD$1,FS331=$FD$1),FD331=$FD$1,Исходн.данные.!J331&lt;2,FU331=$FD$1),"Бор,Кобальт",IF(AND(FO331=$FD$1,FH331=$FD$1,Исходн.данные.!J331&lt;2,FU331=$FD$1),"Бор,Кобальт",IF(AND(OR(FJ331=$FD$1,FM331=$FD$1,FQ331=$FD$1),FE331=$FD$1,Исходн.данные.!J331&lt;2,FT331=$FD$1,FU331=$FD$1),"Бор,Медь,Цинк",IF(AND(OR(FJ331=$FD$1,FR331="Да"),FI331="Да",Исходн.данные.!J331&lt;2,FT331="Да",FU331="Да"),"Бор,Цинк,Медь",IF(AND(OR(FM331="Да",FQ331="Да"),FI331="Да",Исходн.данные.!J331&lt;2,FT331="Да",FU331="Да"),"Бор,Цинк",IF(AND(FN331="Да",OR(FD331="Да",FE331="Да")),"Бор",FB331))))))</f>
        <v>#N/A</v>
      </c>
      <c r="FB331" s="134" t="e">
        <f>IF(AND(OR(FD331="Да",FE331="Да",FF331="Да",FG331="Да",FH331="Да"),FO331="Да"),"Бор",IF(AND(FP331="Да",OR(FD331="Да",FE331="Да",FI331="Да")),"Бор",IF(AND(FS331="Да",FE331="Да"),"Бор,Медь",IF(AND(OR(FJ331="Да",FK331="Да",FL331="Да"),FE331="Да",Исходн.данные.!I331&lt;5,FT331="Да",FU331="Да"),"Молибден,Цинк",IF(AND(FM331="Да",OR(FE331="Да",FF331="Да",FG331="Да",FH331="Да",FI331="Да")),"Молибден,Цинк",IF(AND(OR(FJ331="Да",FK331="Да",FL331="Да",FM331="Да",FQ331="Да"),OR(FE331="Да",FF331="Да"),FT331="Да",FU331="Да",Исходн.данные.!I331&gt;5.5),"Медь,Цинк",FC331))))))</f>
        <v>#N/A</v>
      </c>
      <c r="FC331" s="23" t="e">
        <f t="shared" si="408"/>
        <v>#N/A</v>
      </c>
      <c r="FD331" s="38" t="str">
        <f>IF(OR(Исходн.данные.!F331=$CC$1,Исходн.данные.!F331=$CC$2,Исходн.данные.!F331=$CC$3,Исходн.данные.!F331=$CC$4),"Да","Нет")</f>
        <v>Нет</v>
      </c>
      <c r="FE331" s="38" t="str">
        <f>IF(Исходн.данные.!F331=$CC$5,"Да","Нет")</f>
        <v>Нет</v>
      </c>
      <c r="FF331" s="38" t="str">
        <f>IF(OR(Исходн.данные.!F331=$CC$6,Исходн.данные.!F331=$CC$7),"Да","Нет")</f>
        <v>Нет</v>
      </c>
      <c r="FG331" s="38" t="str">
        <f>IF(OR(Исходн.данные.!F331=$CC$8,Исходн.данные.!F331=$CC$9),"Да","Нет")</f>
        <v>Нет</v>
      </c>
      <c r="FH331" s="38" t="str">
        <f>IF(Исходн.данные.!F331=$CC$10,"Да","Нет")</f>
        <v>Нет</v>
      </c>
      <c r="FI331" s="38" t="str">
        <f>IF(OR(Исходн.данные.!F331=$CC$11,Исходн.данные.!F331=$CC$12),"Да","Нет")</f>
        <v>Нет</v>
      </c>
      <c r="FJ331" s="38" t="str">
        <f>IF(OR(Исходн.данные.!AH331=$BS$1,Исходн.данные.!AH331=$BQ$11,Исходн.данные.!AH331=$BQ$12),"Да","Нет")</f>
        <v>Нет</v>
      </c>
      <c r="FK331" s="38" t="str">
        <f>IF(OR(Исходн.данные.!AH331=$BS$2,Исходн.данные.!AH331=$BS$4),"Да","Нет")</f>
        <v>Нет</v>
      </c>
      <c r="FL331" s="38" t="str">
        <f>IF(OR(Исходн.данные.!AH331=$BS$3,Исходн.данные.!AH331=$BS$5),"Да","Нет")</f>
        <v>Нет</v>
      </c>
      <c r="FM331" s="38" t="str">
        <f>IF(OR(Исходн.данные.!AH331=$BS$9,Исходн.данные.!AH331=$BS$10,Исходн.данные.!AH331=$BS$11,Исходн.данные.!AH331=$BS$12),"Да","Нет")</f>
        <v>Нет</v>
      </c>
      <c r="FN331" s="38" t="str">
        <f>IF(OR(Исходн.данные.!AH331=$BS$6,Исходн.данные.!AH331=$BP$3),"Да","Нет")</f>
        <v>Нет</v>
      </c>
      <c r="FO331" s="38" t="str">
        <f>IF(Исходн.данные.!AH331=$BQ$9,"Да","Нет")</f>
        <v>Нет</v>
      </c>
      <c r="FP331" s="38" t="str">
        <f>IF(OR(Исходн.данные.!AH331=$BS$8,Исходн.данные.!AH331=$BT$8),"Да","Нет")</f>
        <v>Нет</v>
      </c>
      <c r="FQ331" s="38" t="str">
        <f>IF(OR(Исходн.данные.!AH331=$BQ$7,Исходн.данные.!AH331=$BQ$8),"Да","Нет")</f>
        <v>Нет</v>
      </c>
      <c r="FR331" s="38" t="str">
        <f>IF(Исходн.данные.!AI331=$BU$9,"Да","Нет")</f>
        <v>Нет</v>
      </c>
      <c r="FS331" s="38" t="str">
        <f>IF(OR(Исходн.данные.!AH331=$BP$1,Исходн.данные.!AH331=$BP$2),"Да","Нет")</f>
        <v>Нет</v>
      </c>
      <c r="FT331" s="38" t="e">
        <f>IF((Исходн.данные.!K331*GO331*GS331*GW331+BL331*0.6+Исходн.данные.!Q331*4.5*0.275)&gt;90,"Да","Нет")</f>
        <v>#N/A</v>
      </c>
      <c r="FU331" s="38" t="e">
        <f>IF((Исходн.данные.!M331*GS331*GZ331+BM331*0.225)&gt;35,"Да","Нет")</f>
        <v>#N/A</v>
      </c>
      <c r="FV331" s="38" t="str">
        <f>IF(Исходн.данные.!O331&gt;175,"Да","Нет")</f>
        <v>Нет</v>
      </c>
      <c r="FW331" s="39" t="str">
        <f>IF(Исходн.данные.!I331&gt;5.5,"Да","Нет")</f>
        <v>Нет</v>
      </c>
      <c r="FX331" s="39" t="str">
        <f>IF(Исходн.данные.!J331&lt;2,"Да","Нет")</f>
        <v>Да</v>
      </c>
      <c r="FY331" s="39" t="e">
        <f>IF(HF331=$FY$16,0,Исходн.данные.!K331*GO331*GS331*GW331/HF331)</f>
        <v>#N/A</v>
      </c>
      <c r="FZ331" s="39" t="e">
        <f>Исходн.данные.!M331*GS331*GZ331/HG331</f>
        <v>#N/A</v>
      </c>
      <c r="GA331" s="39" t="e">
        <f>IF(K_Wyn=$FY$16,0,IF(Исходн.данные.!N331=Исходн.данные.!$L$10,Исходн.данные.!O331/1.1*GS331*HC331/HH331,IF(Исходн.данные.!N331=Исходн.данные.!$L$12,Исходн.данные.!O331/1.5*GS331*HC331/HH331,Исходн.данные.!O331*GS331*HC331/HH331)))</f>
        <v>#N/A</v>
      </c>
      <c r="GB331" s="39" t="e">
        <f>IF(HF331=$FY$16,0,((Исходн.данные.!Q331*N_Org+Исходн.данные.!R331*N_Sider+Исходн.данные.!S331*N_Soloma)*AO331+Расчет!BC331*VLOOKUP(Исходн.данные.!T331,Справ!$A$3:$O$57,15)*AO331+BB331*VLOOKUP(Исходн.данные.!T331,Справ!$A$3:$O$57,15)*AL331+(Исходн.данные.!V331*N_Rizotorf+Исходн.данные.!W331*N_Rizoagr))/HF331)</f>
        <v>#N/A</v>
      </c>
      <c r="GC331" s="39" t="e">
        <f>IF(HG331=$FY$16,0,((Исходн.данные.!Q331*Р_Org+Исходн.данные.!R331*P_Sider+Исходн.данные.!S331*P_Soloma)*AP331+Расчет!BC331*VLOOKUP(Исходн.данные.!T331,Справ!$A$3:$P$57,16)*AP331+BB331*VLOOKUP(Исходн.данные.!T331,Справ!$A$3:$P$57,16)*AM331)/HG331)</f>
        <v>#N/A</v>
      </c>
      <c r="GD331" s="39" t="e">
        <f>IF(HH331=$FY$16,0,((Исходн.данные.!Q331*К_Org+Исходн.данные.!R331*K_Sider+Исходн.данные.!S331*K_Soloma)*AQ331+Расчет!BC331*VLOOKUP(Исходн.данные.!T331,Справ!$A$3:$Q$57,17)*AQ331+BB331*VLOOKUP(Исходн.данные.!T331,Справ!$A$3:$Q$57,17)*AN331)/HH331)</f>
        <v>#N/A</v>
      </c>
      <c r="GE331" s="39" t="e">
        <f>IF(HF331=$FY$16,0,(Исходн.данные.!X331*AR331+Исходн.данные.!AA331*N_Org*AL331+Исходн.данные.!AB331*N_Sider*AL331+Исходн.данные.!AC331*N_Soloma*AL331)/HF331)</f>
        <v>#N/A</v>
      </c>
      <c r="GF331" s="39" t="e">
        <f>IF(HG331=$FY$16,0,(Исходн.данные.!Y331*AS331+Исходн.данные.!AA331*Р_Org*AM331+Исходн.данные.!AB331*P_Sider*AM331+Исходн.данные.!AC331*P_Soloma*AM331)/HG331)</f>
        <v>#N/A</v>
      </c>
      <c r="GG331" s="39" t="e">
        <f>IF(HH331=$FY$16,0,(Исходн.данные.!Z331*AT331+Исходн.данные.!AA331*К_Org*AN331+Исходн.данные.!AB331*K_Sider*AN331+Исходн.данные.!AC331*K_Soloma*AN331)/HH331)</f>
        <v>#N/A</v>
      </c>
      <c r="GH331" s="39" t="e">
        <f>Исходн.данные.!AD331*AU331/HF331</f>
        <v>#N/A</v>
      </c>
      <c r="GI331" s="39" t="e">
        <f>Исходн.данные.!AE331*AV331/HG331</f>
        <v>#N/A</v>
      </c>
      <c r="GJ331" s="39" t="e">
        <f>Исходн.данные.!AF331*AW331/HH331</f>
        <v>#N/A</v>
      </c>
      <c r="GK331" s="55">
        <f>Исходн.данные.!AK331</f>
        <v>0</v>
      </c>
      <c r="GL331" s="11" t="e">
        <f t="shared" si="409"/>
        <v>#N/A</v>
      </c>
      <c r="GM331" s="11" t="e">
        <f t="shared" si="410"/>
        <v>#N/A</v>
      </c>
      <c r="GN331" s="11" t="e">
        <f t="shared" si="411"/>
        <v>#N/A</v>
      </c>
      <c r="GO331" s="57">
        <f t="shared" si="412"/>
        <v>19</v>
      </c>
      <c r="GP331" s="55">
        <f>IF(OR(Исходн.данные.!F331=$CE$1,Исходн.данные.!F331=$CE$2,Исходн.данные.!F331=$CE$3,Исходн.данные.!F331=$CE$4,Исходн.данные.!F331=$CE$5),GQ331,GR331)</f>
        <v>19</v>
      </c>
      <c r="GQ331" s="55">
        <f>IF(Исходн.данные.!F331=$CE$1,28,IF(Исходн.данные.!F331=$CE$2,26,IF(Исходн.данные.!F331=$CE$3,24,IF(Исходн.данные.!F331=$CE$4,22,IF(Исходн.данные.!F331=$CE$5,20,GR331)))))</f>
        <v>19</v>
      </c>
      <c r="GR331" s="55">
        <f>IF(Исходн.данные.!F331=$CE$6,18,IF(Исходн.данные.!F331=$CE$7,16,IF(Исходн.данные.!F331=$CE$8,14,IF(Исходн.данные.!F331=$CE$9,13,IF(Исходн.данные.!F331=$CE$10,12,19)))))</f>
        <v>19</v>
      </c>
      <c r="GS331" s="55">
        <f>IF(Исходн.данные.!G331="Пес",0.035*(40+2*Исходн.данные.!H331),IF(Исходн.данные.!G331="Суп",0.0325*(40+2*Исходн.данные.!H331),0.03*(40+2*Исходн.данные.!H331)))</f>
        <v>1.2</v>
      </c>
      <c r="GT331" s="55">
        <f>IF(Исходн.данные.!H331&lt;23,2.6,IF(AND(Исходн.данные.!H331&gt;22,Исходн.данные.!H331&lt;26),3,IF(AND(Исходн.данные.!H331&gt;25,Исходн.данные.!H331&lt;29),3.4,3.6)))</f>
        <v>2.6</v>
      </c>
      <c r="GU331" s="55">
        <f>IF(Исходн.данные.!H331&lt;23,2.8,IF(AND(Исходн.данные.!H331&gt;22,Исходн.данные.!H331&lt;26),3.2,IF(AND(Исходн.данные.!H331&gt;25,Исходн.данные.!H331&lt;29),3.6,3.9)))</f>
        <v>2.8</v>
      </c>
      <c r="GV331" s="55">
        <f>IF(Исходн.данные.!H331&lt;23,3,IF(AND(Исходн.данные.!H331&gt;22,Исходн.данные.!H331&lt;26),3.5,IF(AND(Исходн.данные.!H331&gt;25,Исходн.данные.!H331&lt;29),3.9,4.2)))</f>
        <v>3</v>
      </c>
      <c r="GW331" s="55" t="e">
        <f>IF(Исходн.данные.!P331="Ум",GX331,GY331)</f>
        <v>#N/A</v>
      </c>
      <c r="GX331" s="55" t="e">
        <f>VLOOKUP(Исходн.данные.!AI331,Коэффициенты!$J$7:$L$13,2,FALSE)</f>
        <v>#N/A</v>
      </c>
      <c r="GY331" s="55" t="e">
        <f>VLOOKUP(Исходн.данные.!AI331,Коэффициенты!$J$7:$L$13,3,FALSE)</f>
        <v>#N/A</v>
      </c>
      <c r="GZ331" s="55" t="e">
        <f>(IF(Исходн.данные.!M331&lt;50,0.11*VLOOKUP(Исходн.данные.!AH331,Культуры.Информация,7,FALSE),IF(Исходн.данные.!M331&gt;250,0.05*VLOOKUP(Исходн.данные.!AH331,Культуры.Информация,7,FALSE),VLOOKUP(Исходн.данные.!AH331,Культуры.Информация,5,FALSE)/100*($GX$6+$GY$6*Исходн.данные.!M331))))*Расчет2!AI331</f>
        <v>#N/A</v>
      </c>
      <c r="HA331" s="211"/>
      <c r="HB331" s="211"/>
      <c r="HC331" s="55" t="e">
        <f>(IF(Исходн.данные.!O331&lt;80,0.2*VLOOKUP(Исходн.данные.!AH331,Культуры.Информация,8,FALSE),IF(Исходн.данные.!O331&gt;240,0.09*VLOOKUP(Исходн.данные.!AH331,Культуры.Информация,8,FALSE),VLOOKUP(Исходн.данные.!AH331,Культуры.Информация,6,FALSE)/100*($HB$6+$HC$6*Исходн.данные.!O331))))*Расчет2!AJ331</f>
        <v>#N/A</v>
      </c>
      <c r="HD331" s="55">
        <f>IF(Исходн.данные.!O331&gt;240,0.09,IF(Исходн.данные.!O331&lt;30,0.3,$HE$10+$HD$10*Исходн.данные.!O331))</f>
        <v>0.3</v>
      </c>
      <c r="HE331" s="55">
        <f>IF(Исходн.данные.!O331&gt;240,0.17,IF(Исходн.данные.!O331&lt;30,0.5,$HF$12+$HE$12*Исходн.данные.!O331))</f>
        <v>0.5</v>
      </c>
      <c r="HF331" s="55" t="e">
        <f>VLOOKUP(Исходн.данные.!AH331,Справ!$A$3:$D$58,2,FALSE)</f>
        <v>#N/A</v>
      </c>
      <c r="HG331" s="55" t="e">
        <f>VLOOKUP(Исходн.данные.!AH331,Справ!$A$3:$D$58,3,FALSE)</f>
        <v>#N/A</v>
      </c>
      <c r="HH331" s="55" t="e">
        <f>VLOOKUP(Исходн.данные.!AH331,Справ!$A$3:$D$58,4,FALSE)</f>
        <v>#N/A</v>
      </c>
      <c r="HI331" s="11" t="e">
        <f t="shared" si="413"/>
        <v>#N/A</v>
      </c>
      <c r="HJ331" s="11" t="e">
        <f t="shared" si="414"/>
        <v>#N/A</v>
      </c>
      <c r="HK331" s="11" t="e">
        <f t="shared" si="415"/>
        <v>#N/A</v>
      </c>
      <c r="HL331" s="55">
        <f>IF(OR(Исходн.данные.!G331="Глин",Исходн.данные.!G331="Т_суг"),1.1,IF(Исходн.данные.!G331="Ср_суг",1,1))</f>
        <v>1</v>
      </c>
      <c r="HM331" s="55">
        <f>IF(OR(Исходн.данные.!G331="Глин",Исходн.данные.!G331="Т_суг"),0.9,IF(Исходн.данные.!G331="Ср_суг",1,1.2))</f>
        <v>1.2</v>
      </c>
      <c r="HN331" s="11" t="e">
        <f t="shared" si="416"/>
        <v>#N/A</v>
      </c>
      <c r="HO331" s="11" t="e">
        <f t="shared" si="417"/>
        <v>#N/A</v>
      </c>
      <c r="HP331" s="11" t="e">
        <f t="shared" si="418"/>
        <v>#N/A</v>
      </c>
      <c r="HQ331" t="e">
        <f t="shared" si="419"/>
        <v>#N/A</v>
      </c>
      <c r="HR331" t="e">
        <f t="shared" si="420"/>
        <v>#N/A</v>
      </c>
      <c r="HS331" t="e">
        <f t="shared" si="421"/>
        <v>#N/A</v>
      </c>
      <c r="HT331" t="e">
        <f t="shared" si="367"/>
        <v>#N/A</v>
      </c>
      <c r="HU331" t="e">
        <f t="shared" si="368"/>
        <v>#N/A</v>
      </c>
      <c r="HV331" t="e">
        <f t="shared" si="369"/>
        <v>#N/A</v>
      </c>
      <c r="HW331" t="e">
        <f t="shared" si="370"/>
        <v>#N/A</v>
      </c>
      <c r="HX331" t="e">
        <f t="shared" si="371"/>
        <v>#N/A</v>
      </c>
      <c r="HY331" t="e">
        <f t="shared" si="372"/>
        <v>#N/A</v>
      </c>
      <c r="HZ331" s="55">
        <f>IF(OR(Исходн.данные.!AI331="Оз_Ч_П",Исходн.данные.!AI331="Оз_З_П",Исходн.данные.!AI331="Яр_зер"),12,30)</f>
        <v>30</v>
      </c>
      <c r="IA331" t="e">
        <f t="shared" si="422"/>
        <v>#N/A</v>
      </c>
      <c r="IB331" t="e">
        <f t="shared" si="423"/>
        <v>#N/A</v>
      </c>
      <c r="IC331" t="e">
        <f t="shared" si="424"/>
        <v>#N/A</v>
      </c>
      <c r="ID331" s="11" t="e">
        <f t="shared" si="425"/>
        <v>#N/A</v>
      </c>
      <c r="IE331" s="11" t="e">
        <f t="shared" si="426"/>
        <v>#N/A</v>
      </c>
      <c r="IF331" s="11" t="e">
        <f t="shared" si="427"/>
        <v>#N/A</v>
      </c>
    </row>
    <row r="332" spans="35:240" x14ac:dyDescent="0.2">
      <c r="AI332">
        <f>IF(Исходн.данные.!I332&gt;6,1,1.85-(0.148*Исходн.данные.!I332))</f>
        <v>1.85</v>
      </c>
      <c r="AJ332">
        <f>IF(Исходн.данные.!I332&gt;6,1,2.434-(0.246*Исходн.данные.!I332))</f>
        <v>2.4340000000000002</v>
      </c>
      <c r="AL332" s="148" t="b">
        <f>IF(Исходн.данные.!$P332="Ум",N_OrgUd_2g_um,IF(Исходн.данные.!$P332="Об",N_OrgUd_2g_ob))</f>
        <v>0</v>
      </c>
      <c r="AM332" s="148" t="b">
        <f>IF(Исходн.данные.!$P332="Ум",P_OrgUd_2g_um,IF(Исходн.данные.!$P332="Об",P_OrgUd_2g_ob))</f>
        <v>0</v>
      </c>
      <c r="AN332" s="148" t="b">
        <f>IF(Исходн.данные.!$P332="Ум",K_OrgUd_2g_um,IF(Исходн.данные.!$P332="Об",K_OrgUd_2g_ob))</f>
        <v>0</v>
      </c>
      <c r="AO332" s="148" t="b">
        <f>IF(Исходн.данные.!$P332="Ум",N_OrgUd_1g_um,IF(Исходн.данные.!$P332="Об",N_OrgUd_1g_ob))</f>
        <v>0</v>
      </c>
      <c r="AP332" s="148" t="b">
        <f>IF(Исходн.данные.!$P332="Ум",P_OrgUd_1g_um,IF(Исходн.данные.!$P332="Об",P_OrgUd_1g_ob))</f>
        <v>0</v>
      </c>
      <c r="AQ332" s="148" t="b">
        <f>IF(Исходн.данные.!$P332="Ум",K_OrgUd_1g_um,IF(Исходн.данные.!$P332="Об",K_OrgUd_1g_ob))</f>
        <v>0</v>
      </c>
      <c r="AR332" t="b">
        <f>IF(Исходн.данные.!$P332="Ум",N_MinUd_2g_um,IF(Исходн.данные.!$P332="Об",N_MinUd_2g_ob))</f>
        <v>0</v>
      </c>
      <c r="AS332" t="b">
        <f>IF(Исходн.данные.!$P332="Ум",P_MinUd_2g_um,IF(Исходн.данные.!$P332="Об",P_MinUd_2g_ob))</f>
        <v>0</v>
      </c>
      <c r="AT332" t="b">
        <f>IF(Исходн.данные.!$P332="Ум",K_MinUd_2g_um,IF(Исходн.данные.!$P332="Об",K_MinUd_2g_ob))</f>
        <v>0</v>
      </c>
      <c r="AU332" t="b">
        <f>IF(Исходн.данные.!$P332="Ум",N_MinUd_1g_um,IF(Исходн.данные.!$P332="Об",N_MinUd_1g_ob))</f>
        <v>0</v>
      </c>
      <c r="AV332" t="b">
        <f>IF(Исходн.данные.!P332="Ум",P_MinUd_1g_um,IF(Исходн.данные.!P332="Об",P_MinUd_1g_ob))</f>
        <v>0</v>
      </c>
      <c r="AW332" t="b">
        <f>IF(Исходн.данные.!P332="Ум",K_MinUd_1g_um,IF(Исходн.данные.!P332="Об",K_MinUd_1g_ob))</f>
        <v>0</v>
      </c>
      <c r="AY332" t="e">
        <f>VLOOKUP(Исходн.данные.!T332,Справ!$A$3:$N$57,12)</f>
        <v>#N/A</v>
      </c>
      <c r="AZ332" t="e">
        <f>VLOOKUP(Исходн.данные.!T332,Справ!$A$3:$N$57,13)</f>
        <v>#N/A</v>
      </c>
      <c r="BA332" t="e">
        <f>VLOOKUP(Исходн.данные.!T332,Справ!$A$3:$N$57,14)</f>
        <v>#N/A</v>
      </c>
      <c r="BB332">
        <f>IF(Исходн.данные.!AH332=0,0,25)</f>
        <v>0</v>
      </c>
      <c r="BC332" s="141">
        <f>IF(Исходн.данные.!AH332=0,0,IF(Исходн.данные.!T332=0,25,BD332))</f>
        <v>0</v>
      </c>
      <c r="BD332" s="168" t="e">
        <f>AY332+AZ332*Исходн.данные.!U332-POWER(BA332,2)*Исходн.данные.!U332</f>
        <v>#N/A</v>
      </c>
      <c r="BE33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2" s="25">
        <f>IF(Исходн.данные.!AH332=0,0,MIN(HN332:HP332))</f>
        <v>0</v>
      </c>
      <c r="BG332" s="9">
        <f>IF(Исходн.данные.!AH332=0,0,IF((HO332+10*0.25/HG332/HL332)&lt;17,17,HO332+10*0.25/HG332/HL332))</f>
        <v>0</v>
      </c>
      <c r="BH332" s="181">
        <f>IF(Исходн.данные.!AH332=0,0,HW332*HF332*HL332/AU332*AI332+Исходн.данные.!S332*10)</f>
        <v>0</v>
      </c>
      <c r="BI332" s="10"/>
      <c r="BJ332" s="182">
        <f>IF(Исходн.данные.!AH332=0,0,IF(HX332*HG332*HL332/AV332&lt;0,0,HX332*HG332*HL332/AV332*AJ332))</f>
        <v>0</v>
      </c>
      <c r="BK332" s="182">
        <f>IF(Исходн.данные.!AH332=0,0,HY332*HH332*HM332/AW332)</f>
        <v>0</v>
      </c>
      <c r="BL332" s="10">
        <f>IF(OR(Исходн.данные.!$AH332=$BP$1,Исходн.данные.!$AH332=$BP$2),0,IF(BH332&lt;0,0,IF(OR(Исходн.данные.!T332=Расчет!$BP$1,Исходн.данные.!T332=Расчет!$BP$2,Исходн.данные.!T332=Расчет!$BT$5,Исходн.данные.!T332=Расчет!$BT$6),BH332*0.5,IF(OR(Исходн.данные.!T332=Расчет!$BS$9,Исходн.данные.!T332=Расчет!$BS$10,Исходн.данные.!T332=Расчет!$BS$11,Исходн.данные.!T332=Расчет!$BS$12,Исходн.данные.!T332=Расчет!$BP$5),BH332*0.8,BH332))))</f>
        <v>0</v>
      </c>
      <c r="BM332" s="10">
        <f>IF(OR(Исходн.данные.!$AH332=$BP$1,Исходн.данные.!$AH332=$BP$2),0,IF(BJ332&lt;0,0,IF(Исходн.данные.!I332&lt;4.5,BJ332*1.2,IF(Исходн.данные.!I332&gt;5.1,BJ332,BJ332*((5.1-Исходн.данные.!I332)*0.333+1)))))</f>
        <v>0</v>
      </c>
      <c r="BN332" s="10">
        <f>IF(OR(Исходн.данные.!$AH332=$BP$1,Исходн.данные.!$AH332=$BP$2),60-Исходн.данные.!AF332,IF(BK332&lt;0,0,IF(Исходн.данные.!I332&lt;4.5,BK332*1.2,IF(Исходн.данные.!I332&gt;5.1,BK332,BK332*((5.1-Исходн.данные.!I332)*0.333+1)))))</f>
        <v>0</v>
      </c>
      <c r="BO332" s="9">
        <f>IF(BL332&lt;0,0,BL332*Исходн.данные.!$AJ332/1000)</f>
        <v>0</v>
      </c>
      <c r="BP332" s="9">
        <f>IF(BM332&lt;0,0,BM332*Исходн.данные.!$AJ332/1000)</f>
        <v>0</v>
      </c>
      <c r="BQ332" s="9">
        <f>IF(BN332&lt;0,0,BN332*Исходн.данные.!$AJ332/1000)</f>
        <v>0</v>
      </c>
      <c r="BR332" s="9">
        <f t="shared" si="377"/>
        <v>0</v>
      </c>
      <c r="BS332" s="10" t="str">
        <f t="shared" si="378"/>
        <v>Аммофос 12:52:00</v>
      </c>
      <c r="BT332" s="10" t="str">
        <f t="shared" si="379"/>
        <v>Аммофос 12:52:00</v>
      </c>
      <c r="BU332" s="10" t="str">
        <f t="shared" si="380"/>
        <v>Диаммофоска</v>
      </c>
      <c r="BV332" s="10">
        <f t="shared" si="381"/>
        <v>0</v>
      </c>
      <c r="BW332" s="10"/>
      <c r="BX332" s="10"/>
      <c r="BY332" s="9">
        <f>IF(BL332&lt;0,0,IF(OR(Исходн.данные.!AI332=Расчет!$BU$6,Исходн.данные.!AI332=Расчет!$BU$7),Расчет!BV332,IF(Исходн.данные.!$AG332=$BV$11,BL332,IF(OR(Исходн.данные.!$AH332=$BQ$7,Исходн.данные.!$AH332=$BQ$8),CB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0,IF(Исходн.данные.!$AI332=$BU$11,"Нет",IF(BL332&gt;30,30,BL332)))))))</f>
        <v>0</v>
      </c>
      <c r="BZ332" s="9">
        <f>IF(AND(Исходн.данные.!$AG332=$BV$11,BM332&lt;10),10,IF(Исходн.данные.!$AG332=$BV$11,BM332,IF(OR(Исходн.данные.!$AH332=$BQ$7,Исходн.данные.!$AH332=$BQ$8),CC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10,IF(Исходн.данные.!$AI332=$BU$11,"Нет",IF(BM332&gt;60,60,IF(BM332&lt;10,10,BM332)))))))</f>
        <v>10</v>
      </c>
      <c r="CA332" s="39">
        <f>IF(BN332&lt;0,0,IF(Исходн.данные.!$AG332=$BV$11,BN332,IF(OR(Исходн.данные.!$AH332=$BQ$7,Исходн.данные.!$AH332=$BQ$8),CD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0,IF(Исходн.данные.!$AI332=$BU$11,"Нет",IF(BN332&gt;30,30,BN332))))))</f>
        <v>0</v>
      </c>
      <c r="CB332" s="9">
        <f t="shared" si="382"/>
        <v>0</v>
      </c>
      <c r="CC332" s="9">
        <f t="shared" si="383"/>
        <v>0</v>
      </c>
      <c r="CD332" s="9">
        <f t="shared" si="384"/>
        <v>0</v>
      </c>
      <c r="CE332" s="12">
        <f t="shared" si="385"/>
        <v>10</v>
      </c>
      <c r="CF332" s="9">
        <f t="shared" si="386"/>
        <v>0</v>
      </c>
      <c r="CG332" s="9" t="s">
        <v>231</v>
      </c>
      <c r="CH332" s="132" t="str">
        <f>IF(Исходн.данные.!AP332=Расчет!$CI$16,"Нет",IF(Исходн.данные.!AL332&gt;0,Исходн.данные.!AL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BH$4,IF(OR(Исходн.данные.!AI332=Исходн.данные.!$AI$6,Исходн.данные.!AI332=Исходн.данные.!$AI$7),Расчет!BS332,IF(AND($CF332=0,$CE332&gt;0),EV332,ER332)))))</f>
        <v>Аммофос 12:52:00</v>
      </c>
      <c r="CI332" s="274">
        <f>IF(Расчет!$CH332="Нет","Нет",IF(Исходн.данные.!$AL332&gt;0,VLOOKUP(Расчет!$CH332,АшламаДВ_Irekle,2,FALSE),VLOOKUP(Расчет!$CH332,АшламаДВ_Gomumy,2,FALSE)))</f>
        <v>0.12</v>
      </c>
      <c r="CJ332" s="274">
        <f>IF(Расчет!$CH332="Нет","Нет",IF(Исходн.данные.!$AL332&gt;0,VLOOKUP(Расчет!$CH332,АшламаДВ_Irekle,3,FALSE),VLOOKUP(Расчет!$CH332,АшламаДВ_Gomumy,3,FALSE)))</f>
        <v>0.52</v>
      </c>
      <c r="CK332" s="274">
        <f>IF(Расчет!$CH332="Нет","Нет",IF(Исходн.данные.!$AL332&gt;0,VLOOKUP(Расчет!$CH332,АшламаДВ_Irekle,4,FALSE),VLOOKUP(Расчет!$CH332,АшламаДВ_Gomumy,4,FALSE)))</f>
        <v>0</v>
      </c>
      <c r="CL332" s="70"/>
      <c r="CM332" s="70"/>
      <c r="CN332" s="70"/>
      <c r="CO332" s="70"/>
      <c r="CP332" s="70"/>
      <c r="CQ332" s="70"/>
      <c r="CR332" s="10">
        <f t="shared" si="387"/>
        <v>0</v>
      </c>
      <c r="CS332" s="10">
        <f t="shared" si="388"/>
        <v>19.23076923076923</v>
      </c>
      <c r="CT332" s="10">
        <f t="shared" si="389"/>
        <v>0</v>
      </c>
      <c r="CU332" s="39">
        <f>IF($CH332="Нет",0,IF(CI332=0,30/MIN(CJ332:CK332),IF(Исходн.данные.!$AG332=$BV$11,CR332,IF(OR(Исходн.данные.!$AH332=$BQ$7,Исходн.данные.!$AH332=$BQ$8),90/CI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0,IF(Исходн.данные.!$AI332=$BU$11,"Нет",30/CI332))))))</f>
        <v>250</v>
      </c>
      <c r="CV332" s="39">
        <f>IF($CH332="Нет",0,IF(Исходн.данные.!AH332=0,0,IF(CJ332=0,60/MIN(CI332,CK332),IF(Исходн.данные.!$AG332=$BV$11,CS332,IF(OR(Исходн.данные.!$AH332=$BQ$7,Исходн.данные.!$AH332=$BQ$8),90/CJ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10/CJ332,IF(Исходн.данные.!$AI332=$BU$11,"Нет",60/CJ332)))))))</f>
        <v>0</v>
      </c>
      <c r="CW332" s="39">
        <f>IF($CH332="Нет",0,IF(Исходн.данные.!AH332=0,0,IF(CK332=0,30/MIN(CI332:CJ332),IF(Исходн.данные.!$AG332=$BV$11,CT332,IF(OR(Исходн.данные.!$AH332=$BQ$7,Исходн.данные.!$AH332=$BQ$8),90/CK332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0,IF(Исходн.данные.!$AI332=$BU$11,"Нет",30/CK332)))))))</f>
        <v>0</v>
      </c>
      <c r="CX332" s="133">
        <f>IF(Исходн.данные.!$AG332=$BV$11,MAX(CU332:CW332),IF(OR(Исходн.данные.!$AH332=$BS$8,Исходн.данные.!$AH332=$BQ$9,Исходн.данные.!$AH332=$BQ$10,Исходн.данные.!$AH332=$BQ$11,Исходн.данные.!$AH332=$BQ$12,Исходн.данные.!$AH332=$BP$3,Исходн.данные.!$AH332=$BT$8,$FM332="Да"),CV332,MIN(CU332:CW332)))</f>
        <v>0</v>
      </c>
      <c r="CY332" s="133">
        <f>IF(Исходн.данные.!AH332=0,0,IF(CR332&gt;$CX332,$CX332,CR332))</f>
        <v>0</v>
      </c>
      <c r="CZ332" s="133">
        <f>IF(Исходн.данные.!AH332=0,0,IF(CS332&gt;$CX332,$CX332,CS332))</f>
        <v>0</v>
      </c>
      <c r="DA332" s="133">
        <f>IF(Исходн.данные.!AH332=0,0,IF(CT332&gt;$CX332,$CX332,CT332))</f>
        <v>0</v>
      </c>
      <c r="DB332" s="10">
        <f t="shared" si="390"/>
        <v>0</v>
      </c>
      <c r="DC332" s="39">
        <f>DB332*Исходн.данные.!AJ332/1000</f>
        <v>0</v>
      </c>
      <c r="DD332" s="71">
        <f t="shared" si="391"/>
        <v>0</v>
      </c>
      <c r="DE332" s="9">
        <f t="shared" si="392"/>
        <v>0</v>
      </c>
      <c r="DF332" s="9">
        <f t="shared" si="393"/>
        <v>0</v>
      </c>
      <c r="DG332" s="39">
        <f>IF(BL332&lt;0,0,IF($CH332="Нет",BL332,IF(OR(Исходн.данные.!$AH332=$BP$1,Исходн.данные.!$AH332=$BP$2),0,IF(Исходн.данные.!AI332=$BU$11,BL332,IF(BL332-DD332&lt;0,0,BL332-DD332)))))</f>
        <v>0</v>
      </c>
      <c r="DH332" s="39">
        <f>IF(BM332&lt;0,0,IF($CH332="Нет",BM332,IF(OR(Исходн.данные.!$AH332=$BP$1,Исходн.данные.!$AH332=$BP$2),0,IF(Исходн.данные.!AJ332=$BU$11,BM332,IF(BM332-DE332&lt;0,0,BM332-DE332)))))</f>
        <v>0</v>
      </c>
      <c r="DI332" s="39">
        <f>IF(BN332&lt;0,0,IF($CH332="Нет",BN332,IF(OR(Исходн.данные.!$AH332=$BP$1,Исходн.данные.!$AH332=$BP$2),0,IF(Исходн.данные.!AK332=$BU$11,BN332,IF(BN332-DF332&lt;0,0,BN332-DF332)))))</f>
        <v>0</v>
      </c>
      <c r="DJ332" s="12">
        <f t="shared" si="394"/>
        <v>0</v>
      </c>
      <c r="DK332" s="9">
        <f t="shared" si="395"/>
        <v>0</v>
      </c>
      <c r="DL332" s="39">
        <f>IF(Исходн.данные.!AM332&gt;0,Исходн.данные.!AM332,IF(EG332&gt;0,$BH$10,0))</f>
        <v>0</v>
      </c>
      <c r="DM332" s="186">
        <f>IF($DL332=0,0,IF(Исходн.данные.!AM332&gt;0,VLOOKUP($DL332,АшламаДВ_Irekle,2,FALSE),VLOOKUP($DL332,АшламаДВ_Gomumy,2,FALSE)))</f>
        <v>0</v>
      </c>
      <c r="DN332" s="10">
        <f t="shared" si="373"/>
        <v>0</v>
      </c>
      <c r="DO332" s="9" t="str">
        <f>IF(Исходн.данные.!AN332&gt;0,Исходн.данные.!AN332,Удобрения!$B$37 )</f>
        <v>Хлор.калий</v>
      </c>
      <c r="DP332" s="9">
        <f>IF(Исходн.данные.!AN332&gt;0,VLOOKUP(Исходн.данные.!AN332,АшламаДВ_Irekle,4,FALSE),VLOOKUP(DO332,АшламаДВ_Gomumy,4,FALSE))</f>
        <v>0.6</v>
      </c>
      <c r="DQ332" s="10">
        <f t="shared" si="374"/>
        <v>0</v>
      </c>
      <c r="DR332" s="132" t="str">
        <f>IF(Исходн.данные.!AO332&gt;0,Исходн.данные.!AO332,IF(DH332=0,BS$17,IF(AND($DK332=0,$DJ332&gt;0),EJ332,EN332)))</f>
        <v>Нет</v>
      </c>
      <c r="DS332" s="70" t="str">
        <f>IF($DR332="Нет","Нет",IF(Исходн.данные.!$AO332&gt;0,VLOOKUP($DR332,АшламаДВ_Irekle,2,FALSE),VLOOKUP($DR332,АшламаДВ_Gomumy,2,FALSE)))</f>
        <v>Нет</v>
      </c>
      <c r="DT332" s="70" t="str">
        <f>IF($DR332="Нет","Нет",IF(Исходн.данные.!$AO332&gt;0,VLOOKUP($DR332,АшламаДВ_Irekle,3,FALSE),VLOOKUP($DR332,АшламаДВ_Gomumy,3,FALSE)))</f>
        <v>Нет</v>
      </c>
      <c r="DU332" s="70" t="str">
        <f>IF($DR332="Нет","Нет",IF(Исходн.данные.!$AO332&gt;0,VLOOKUP($DR332,АшламаДВ_Irekle,4,FALSE),VLOOKUP($DR332,АшламаДВ_Gomumy,4,FALSE)))</f>
        <v>Нет</v>
      </c>
      <c r="DV332" s="70"/>
      <c r="DW332" s="70"/>
      <c r="DX332" s="70"/>
      <c r="DY332" s="10">
        <f t="shared" si="396"/>
        <v>0</v>
      </c>
      <c r="DZ332" s="10">
        <f t="shared" si="397"/>
        <v>0</v>
      </c>
      <c r="EA332" s="10">
        <f t="shared" si="398"/>
        <v>0</v>
      </c>
      <c r="EB332" s="10">
        <f t="shared" si="399"/>
        <v>0</v>
      </c>
      <c r="EC332" s="10">
        <f t="shared" si="400"/>
        <v>0</v>
      </c>
      <c r="ED332" s="10">
        <f t="shared" si="401"/>
        <v>0</v>
      </c>
      <c r="EE332" s="10">
        <f t="shared" si="402"/>
        <v>0</v>
      </c>
      <c r="EF332" s="39">
        <f>EB332*Исходн.данные.!AJ332/1000</f>
        <v>0</v>
      </c>
      <c r="EG332" s="9">
        <f t="shared" si="403"/>
        <v>0</v>
      </c>
      <c r="EH332" s="9">
        <f t="shared" si="404"/>
        <v>0</v>
      </c>
      <c r="EI332" s="39" t="e">
        <f t="shared" si="354"/>
        <v>#DIV/0!</v>
      </c>
      <c r="EJ332" s="9" t="str">
        <f t="shared" si="375"/>
        <v>Азопреципитат</v>
      </c>
      <c r="EK332" s="12">
        <f t="shared" si="355"/>
        <v>0.26</v>
      </c>
      <c r="EL332" s="12">
        <f t="shared" si="356"/>
        <v>0.13</v>
      </c>
      <c r="EM332" s="12">
        <f t="shared" si="357"/>
        <v>0</v>
      </c>
      <c r="EN332" s="12" t="str">
        <f t="shared" si="376"/>
        <v>Нет</v>
      </c>
      <c r="EO332" s="12">
        <f t="shared" si="358"/>
        <v>0</v>
      </c>
      <c r="EP332" s="12">
        <f t="shared" si="359"/>
        <v>0</v>
      </c>
      <c r="EQ332" s="12">
        <f t="shared" si="360"/>
        <v>0</v>
      </c>
      <c r="ER332" s="12" t="str">
        <f t="shared" si="405"/>
        <v>Диаммофоска</v>
      </c>
      <c r="ES332" s="12">
        <f t="shared" si="361"/>
        <v>0.1</v>
      </c>
      <c r="ET332" s="12">
        <f t="shared" si="362"/>
        <v>0.26</v>
      </c>
      <c r="EU332" s="12">
        <f t="shared" si="363"/>
        <v>0.26</v>
      </c>
      <c r="EV332" s="12" t="str">
        <f t="shared" si="406"/>
        <v>Аммофос 12:52:00</v>
      </c>
      <c r="EW332" s="12" t="str">
        <f t="shared" si="407"/>
        <v>Кемира Свекловичное-6</v>
      </c>
      <c r="EX332" s="12">
        <f t="shared" si="364"/>
        <v>0.16</v>
      </c>
      <c r="EY332" s="12">
        <f t="shared" si="365"/>
        <v>0.12</v>
      </c>
      <c r="EZ332" s="12">
        <f t="shared" si="366"/>
        <v>0.17</v>
      </c>
      <c r="FA332" s="38" t="e">
        <f>IF(AND(OR(FJ332=$FD$1,FM332=$FD$1,FO332=$FD$1,FQ332=$FD$1,FS332=$FD$1),FD332=$FD$1,Исходн.данные.!J332&lt;2,FU332=$FD$1),"Бор,Кобальт",IF(AND(FO332=$FD$1,FH332=$FD$1,Исходн.данные.!J332&lt;2,FU332=$FD$1),"Бор,Кобальт",IF(AND(OR(FJ332=$FD$1,FM332=$FD$1,FQ332=$FD$1),FE332=$FD$1,Исходн.данные.!J332&lt;2,FT332=$FD$1,FU332=$FD$1),"Бор,Медь,Цинк",IF(AND(OR(FJ332=$FD$1,FR332="Да"),FI332="Да",Исходн.данные.!J332&lt;2,FT332="Да",FU332="Да"),"Бор,Цинк,Медь",IF(AND(OR(FM332="Да",FQ332="Да"),FI332="Да",Исходн.данные.!J332&lt;2,FT332="Да",FU332="Да"),"Бор,Цинк",IF(AND(FN332="Да",OR(FD332="Да",FE332="Да")),"Бор",FB332))))))</f>
        <v>#N/A</v>
      </c>
      <c r="FB332" s="134" t="e">
        <f>IF(AND(OR(FD332="Да",FE332="Да",FF332="Да",FG332="Да",FH332="Да"),FO332="Да"),"Бор",IF(AND(FP332="Да",OR(FD332="Да",FE332="Да",FI332="Да")),"Бор",IF(AND(FS332="Да",FE332="Да"),"Бор,Медь",IF(AND(OR(FJ332="Да",FK332="Да",FL332="Да"),FE332="Да",Исходн.данные.!I332&lt;5,FT332="Да",FU332="Да"),"Молибден,Цинк",IF(AND(FM332="Да",OR(FE332="Да",FF332="Да",FG332="Да",FH332="Да",FI332="Да")),"Молибден,Цинк",IF(AND(OR(FJ332="Да",FK332="Да",FL332="Да",FM332="Да",FQ332="Да"),OR(FE332="Да",FF332="Да"),FT332="Да",FU332="Да",Исходн.данные.!I332&gt;5.5),"Медь,Цинк",FC332))))))</f>
        <v>#N/A</v>
      </c>
      <c r="FC332" s="23" t="e">
        <f t="shared" si="408"/>
        <v>#N/A</v>
      </c>
      <c r="FD332" s="38" t="str">
        <f>IF(OR(Исходн.данные.!F332=$CC$1,Исходн.данные.!F332=$CC$2,Исходн.данные.!F332=$CC$3,Исходн.данные.!F332=$CC$4),"Да","Нет")</f>
        <v>Нет</v>
      </c>
      <c r="FE332" s="38" t="str">
        <f>IF(Исходн.данные.!F332=$CC$5,"Да","Нет")</f>
        <v>Нет</v>
      </c>
      <c r="FF332" s="38" t="str">
        <f>IF(OR(Исходн.данные.!F332=$CC$6,Исходн.данные.!F332=$CC$7),"Да","Нет")</f>
        <v>Нет</v>
      </c>
      <c r="FG332" s="38" t="str">
        <f>IF(OR(Исходн.данные.!F332=$CC$8,Исходн.данные.!F332=$CC$9),"Да","Нет")</f>
        <v>Нет</v>
      </c>
      <c r="FH332" s="38" t="str">
        <f>IF(Исходн.данные.!F332=$CC$10,"Да","Нет")</f>
        <v>Нет</v>
      </c>
      <c r="FI332" s="38" t="str">
        <f>IF(OR(Исходн.данные.!F332=$CC$11,Исходн.данные.!F332=$CC$12),"Да","Нет")</f>
        <v>Нет</v>
      </c>
      <c r="FJ332" s="38" t="str">
        <f>IF(OR(Исходн.данные.!AH332=$BS$1,Исходн.данные.!AH332=$BQ$11,Исходн.данные.!AH332=$BQ$12),"Да","Нет")</f>
        <v>Нет</v>
      </c>
      <c r="FK332" s="38" t="str">
        <f>IF(OR(Исходн.данные.!AH332=$BS$2,Исходн.данные.!AH332=$BS$4),"Да","Нет")</f>
        <v>Нет</v>
      </c>
      <c r="FL332" s="38" t="str">
        <f>IF(OR(Исходн.данные.!AH332=$BS$3,Исходн.данные.!AH332=$BS$5),"Да","Нет")</f>
        <v>Нет</v>
      </c>
      <c r="FM332" s="38" t="str">
        <f>IF(OR(Исходн.данные.!AH332=$BS$9,Исходн.данные.!AH332=$BS$10,Исходн.данные.!AH332=$BS$11,Исходн.данные.!AH332=$BS$12),"Да","Нет")</f>
        <v>Нет</v>
      </c>
      <c r="FN332" s="38" t="str">
        <f>IF(OR(Исходн.данные.!AH332=$BS$6,Исходн.данные.!AH332=$BP$3),"Да","Нет")</f>
        <v>Нет</v>
      </c>
      <c r="FO332" s="38" t="str">
        <f>IF(Исходн.данные.!AH332=$BQ$9,"Да","Нет")</f>
        <v>Нет</v>
      </c>
      <c r="FP332" s="38" t="str">
        <f>IF(OR(Исходн.данные.!AH332=$BS$8,Исходн.данные.!AH332=$BT$8),"Да","Нет")</f>
        <v>Нет</v>
      </c>
      <c r="FQ332" s="38" t="str">
        <f>IF(OR(Исходн.данные.!AH332=$BQ$7,Исходн.данные.!AH332=$BQ$8),"Да","Нет")</f>
        <v>Нет</v>
      </c>
      <c r="FR332" s="38" t="str">
        <f>IF(Исходн.данные.!AI332=$BU$9,"Да","Нет")</f>
        <v>Нет</v>
      </c>
      <c r="FS332" s="38" t="str">
        <f>IF(OR(Исходн.данные.!AH332=$BP$1,Исходн.данные.!AH332=$BP$2),"Да","Нет")</f>
        <v>Нет</v>
      </c>
      <c r="FT332" s="38" t="e">
        <f>IF((Исходн.данные.!K332*GO332*GS332*GW332+BL332*0.6+Исходн.данные.!Q332*4.5*0.275)&gt;90,"Да","Нет")</f>
        <v>#N/A</v>
      </c>
      <c r="FU332" s="38" t="e">
        <f>IF((Исходн.данные.!M332*GS332*GZ332+BM332*0.225)&gt;35,"Да","Нет")</f>
        <v>#N/A</v>
      </c>
      <c r="FV332" s="38" t="str">
        <f>IF(Исходн.данные.!O332&gt;175,"Да","Нет")</f>
        <v>Нет</v>
      </c>
      <c r="FW332" s="39" t="str">
        <f>IF(Исходн.данные.!I332&gt;5.5,"Да","Нет")</f>
        <v>Нет</v>
      </c>
      <c r="FX332" s="39" t="str">
        <f>IF(Исходн.данные.!J332&lt;2,"Да","Нет")</f>
        <v>Да</v>
      </c>
      <c r="FY332" s="39" t="e">
        <f>IF(HF332=$FY$16,0,Исходн.данные.!K332*GO332*GS332*GW332/HF332)</f>
        <v>#N/A</v>
      </c>
      <c r="FZ332" s="39" t="e">
        <f>Исходн.данные.!M332*GS332*GZ332/HG332</f>
        <v>#N/A</v>
      </c>
      <c r="GA332" s="39" t="e">
        <f>IF(K_Wyn=$FY$16,0,IF(Исходн.данные.!N332=Исходн.данные.!$L$10,Исходн.данные.!O332/1.1*GS332*HC332/HH332,IF(Исходн.данные.!N332=Исходн.данные.!$L$12,Исходн.данные.!O332/1.5*GS332*HC332/HH332,Исходн.данные.!O332*GS332*HC332/HH332)))</f>
        <v>#N/A</v>
      </c>
      <c r="GB332" s="39" t="e">
        <f>IF(HF332=$FY$16,0,((Исходн.данные.!Q332*N_Org+Исходн.данные.!R332*N_Sider+Исходн.данные.!S332*N_Soloma)*AO332+Расчет!BC332*VLOOKUP(Исходн.данные.!T332,Справ!$A$3:$O$57,15)*AO332+BB332*VLOOKUP(Исходн.данные.!T332,Справ!$A$3:$O$57,15)*AL332+(Исходн.данные.!V332*N_Rizotorf+Исходн.данные.!W332*N_Rizoagr))/HF332)</f>
        <v>#N/A</v>
      </c>
      <c r="GC332" s="39" t="e">
        <f>IF(HG332=$FY$16,0,((Исходн.данные.!Q332*Р_Org+Исходн.данные.!R332*P_Sider+Исходн.данные.!S332*P_Soloma)*AP332+Расчет!BC332*VLOOKUP(Исходн.данные.!T332,Справ!$A$3:$P$57,16)*AP332+BB332*VLOOKUP(Исходн.данные.!T332,Справ!$A$3:$P$57,16)*AM332)/HG332)</f>
        <v>#N/A</v>
      </c>
      <c r="GD332" s="39" t="e">
        <f>IF(HH332=$FY$16,0,((Исходн.данные.!Q332*К_Org+Исходн.данные.!R332*K_Sider+Исходн.данные.!S332*K_Soloma)*AQ332+Расчет!BC332*VLOOKUP(Исходн.данные.!T332,Справ!$A$3:$Q$57,17)*AQ332+BB332*VLOOKUP(Исходн.данные.!T332,Справ!$A$3:$Q$57,17)*AN332)/HH332)</f>
        <v>#N/A</v>
      </c>
      <c r="GE332" s="39" t="e">
        <f>IF(HF332=$FY$16,0,(Исходн.данные.!X332*AR332+Исходн.данные.!AA332*N_Org*AL332+Исходн.данные.!AB332*N_Sider*AL332+Исходн.данные.!AC332*N_Soloma*AL332)/HF332)</f>
        <v>#N/A</v>
      </c>
      <c r="GF332" s="39" t="e">
        <f>IF(HG332=$FY$16,0,(Исходн.данные.!Y332*AS332+Исходн.данные.!AA332*Р_Org*AM332+Исходн.данные.!AB332*P_Sider*AM332+Исходн.данные.!AC332*P_Soloma*AM332)/HG332)</f>
        <v>#N/A</v>
      </c>
      <c r="GG332" s="39" t="e">
        <f>IF(HH332=$FY$16,0,(Исходн.данные.!Z332*AT332+Исходн.данные.!AA332*К_Org*AN332+Исходн.данные.!AB332*K_Sider*AN332+Исходн.данные.!AC332*K_Soloma*AN332)/HH332)</f>
        <v>#N/A</v>
      </c>
      <c r="GH332" s="39" t="e">
        <f>Исходн.данные.!AD332*AU332/HF332</f>
        <v>#N/A</v>
      </c>
      <c r="GI332" s="39" t="e">
        <f>Исходн.данные.!AE332*AV332/HG332</f>
        <v>#N/A</v>
      </c>
      <c r="GJ332" s="39" t="e">
        <f>Исходн.данные.!AF332*AW332/HH332</f>
        <v>#N/A</v>
      </c>
      <c r="GK332" s="55">
        <f>Исходн.данные.!AK332</f>
        <v>0</v>
      </c>
      <c r="GL332" s="11" t="e">
        <f t="shared" si="409"/>
        <v>#N/A</v>
      </c>
      <c r="GM332" s="11" t="e">
        <f t="shared" si="410"/>
        <v>#N/A</v>
      </c>
      <c r="GN332" s="11" t="e">
        <f t="shared" si="411"/>
        <v>#N/A</v>
      </c>
      <c r="GO332" s="57">
        <f t="shared" si="412"/>
        <v>19</v>
      </c>
      <c r="GP332" s="55">
        <f>IF(OR(Исходн.данные.!F332=$CE$1,Исходн.данные.!F332=$CE$2,Исходн.данные.!F332=$CE$3,Исходн.данные.!F332=$CE$4,Исходн.данные.!F332=$CE$5),GQ332,GR332)</f>
        <v>19</v>
      </c>
      <c r="GQ332" s="55">
        <f>IF(Исходн.данные.!F332=$CE$1,28,IF(Исходн.данные.!F332=$CE$2,26,IF(Исходн.данные.!F332=$CE$3,24,IF(Исходн.данные.!F332=$CE$4,22,IF(Исходн.данные.!F332=$CE$5,20,GR332)))))</f>
        <v>19</v>
      </c>
      <c r="GR332" s="55">
        <f>IF(Исходн.данные.!F332=$CE$6,18,IF(Исходн.данные.!F332=$CE$7,16,IF(Исходн.данные.!F332=$CE$8,14,IF(Исходн.данные.!F332=$CE$9,13,IF(Исходн.данные.!F332=$CE$10,12,19)))))</f>
        <v>19</v>
      </c>
      <c r="GS332" s="55">
        <f>IF(Исходн.данные.!G332="Пес",0.035*(40+2*Исходн.данные.!H332),IF(Исходн.данные.!G332="Суп",0.0325*(40+2*Исходн.данные.!H332),0.03*(40+2*Исходн.данные.!H332)))</f>
        <v>1.2</v>
      </c>
      <c r="GT332" s="55">
        <f>IF(Исходн.данные.!H332&lt;23,2.6,IF(AND(Исходн.данные.!H332&gt;22,Исходн.данные.!H332&lt;26),3,IF(AND(Исходн.данные.!H332&gt;25,Исходн.данные.!H332&lt;29),3.4,3.6)))</f>
        <v>2.6</v>
      </c>
      <c r="GU332" s="55">
        <f>IF(Исходн.данные.!H332&lt;23,2.8,IF(AND(Исходн.данные.!H332&gt;22,Исходн.данные.!H332&lt;26),3.2,IF(AND(Исходн.данные.!H332&gt;25,Исходн.данные.!H332&lt;29),3.6,3.9)))</f>
        <v>2.8</v>
      </c>
      <c r="GV332" s="55">
        <f>IF(Исходн.данные.!H332&lt;23,3,IF(AND(Исходн.данные.!H332&gt;22,Исходн.данные.!H332&lt;26),3.5,IF(AND(Исходн.данные.!H332&gt;25,Исходн.данные.!H332&lt;29),3.9,4.2)))</f>
        <v>3</v>
      </c>
      <c r="GW332" s="55" t="e">
        <f>IF(Исходн.данные.!P332="Ум",GX332,GY332)</f>
        <v>#N/A</v>
      </c>
      <c r="GX332" s="55" t="e">
        <f>VLOOKUP(Исходн.данные.!AI332,Коэффициенты!$J$7:$L$13,2,FALSE)</f>
        <v>#N/A</v>
      </c>
      <c r="GY332" s="55" t="e">
        <f>VLOOKUP(Исходн.данные.!AI332,Коэффициенты!$J$7:$L$13,3,FALSE)</f>
        <v>#N/A</v>
      </c>
      <c r="GZ332" s="55" t="e">
        <f>(IF(Исходн.данные.!M332&lt;50,0.11*VLOOKUP(Исходн.данные.!AH332,Культуры.Информация,7,FALSE),IF(Исходн.данные.!M332&gt;250,0.05*VLOOKUP(Исходн.данные.!AH332,Культуры.Информация,7,FALSE),VLOOKUP(Исходн.данные.!AH332,Культуры.Информация,5,FALSE)/100*($GX$6+$GY$6*Исходн.данные.!M332))))*Расчет2!AI332</f>
        <v>#N/A</v>
      </c>
      <c r="HA332" s="211"/>
      <c r="HB332" s="211"/>
      <c r="HC332" s="55" t="e">
        <f>(IF(Исходн.данные.!O332&lt;80,0.2*VLOOKUP(Исходн.данные.!AH332,Культуры.Информация,8,FALSE),IF(Исходн.данные.!O332&gt;240,0.09*VLOOKUP(Исходн.данные.!AH332,Культуры.Информация,8,FALSE),VLOOKUP(Исходн.данные.!AH332,Культуры.Информация,6,FALSE)/100*($HB$6+$HC$6*Исходн.данные.!O332))))*Расчет2!AJ332</f>
        <v>#N/A</v>
      </c>
      <c r="HD332" s="55">
        <f>IF(Исходн.данные.!O332&gt;240,0.09,IF(Исходн.данные.!O332&lt;30,0.3,$HE$10+$HD$10*Исходн.данные.!O332))</f>
        <v>0.3</v>
      </c>
      <c r="HE332" s="55">
        <f>IF(Исходн.данные.!O332&gt;240,0.17,IF(Исходн.данные.!O332&lt;30,0.5,$HF$12+$HE$12*Исходн.данные.!O332))</f>
        <v>0.5</v>
      </c>
      <c r="HF332" s="55" t="e">
        <f>VLOOKUP(Исходн.данные.!AH332,Справ!$A$3:$D$58,2,FALSE)</f>
        <v>#N/A</v>
      </c>
      <c r="HG332" s="55" t="e">
        <f>VLOOKUP(Исходн.данные.!AH332,Справ!$A$3:$D$58,3,FALSE)</f>
        <v>#N/A</v>
      </c>
      <c r="HH332" s="55" t="e">
        <f>VLOOKUP(Исходн.данные.!AH332,Справ!$A$3:$D$58,4,FALSE)</f>
        <v>#N/A</v>
      </c>
      <c r="HI332" s="11" t="e">
        <f t="shared" si="413"/>
        <v>#N/A</v>
      </c>
      <c r="HJ332" s="11" t="e">
        <f t="shared" si="414"/>
        <v>#N/A</v>
      </c>
      <c r="HK332" s="11" t="e">
        <f t="shared" si="415"/>
        <v>#N/A</v>
      </c>
      <c r="HL332" s="55">
        <f>IF(OR(Исходн.данные.!G332="Глин",Исходн.данные.!G332="Т_суг"),1.1,IF(Исходн.данные.!G332="Ср_суг",1,1))</f>
        <v>1</v>
      </c>
      <c r="HM332" s="55">
        <f>IF(OR(Исходн.данные.!G332="Глин",Исходн.данные.!G332="Т_суг"),0.9,IF(Исходн.данные.!G332="Ср_суг",1,1.2))</f>
        <v>1.2</v>
      </c>
      <c r="HN332" s="11" t="e">
        <f t="shared" si="416"/>
        <v>#N/A</v>
      </c>
      <c r="HO332" s="11" t="e">
        <f t="shared" si="417"/>
        <v>#N/A</v>
      </c>
      <c r="HP332" s="11" t="e">
        <f t="shared" si="418"/>
        <v>#N/A</v>
      </c>
      <c r="HQ332" t="e">
        <f t="shared" si="419"/>
        <v>#N/A</v>
      </c>
      <c r="HR332" t="e">
        <f t="shared" si="420"/>
        <v>#N/A</v>
      </c>
      <c r="HS332" t="e">
        <f t="shared" si="421"/>
        <v>#N/A</v>
      </c>
      <c r="HT332" t="e">
        <f t="shared" si="367"/>
        <v>#N/A</v>
      </c>
      <c r="HU332" t="e">
        <f t="shared" si="368"/>
        <v>#N/A</v>
      </c>
      <c r="HV332" t="e">
        <f t="shared" si="369"/>
        <v>#N/A</v>
      </c>
      <c r="HW332" t="e">
        <f t="shared" si="370"/>
        <v>#N/A</v>
      </c>
      <c r="HX332" t="e">
        <f t="shared" si="371"/>
        <v>#N/A</v>
      </c>
      <c r="HY332" t="e">
        <f t="shared" si="372"/>
        <v>#N/A</v>
      </c>
      <c r="HZ332" s="55">
        <f>IF(OR(Исходн.данные.!AI332="Оз_Ч_П",Исходн.данные.!AI332="Оз_З_П",Исходн.данные.!AI332="Яр_зер"),12,30)</f>
        <v>30</v>
      </c>
      <c r="IA332" t="e">
        <f t="shared" si="422"/>
        <v>#N/A</v>
      </c>
      <c r="IB332" t="e">
        <f t="shared" si="423"/>
        <v>#N/A</v>
      </c>
      <c r="IC332" t="e">
        <f t="shared" si="424"/>
        <v>#N/A</v>
      </c>
      <c r="ID332" s="11" t="e">
        <f t="shared" si="425"/>
        <v>#N/A</v>
      </c>
      <c r="IE332" s="11" t="e">
        <f t="shared" si="426"/>
        <v>#N/A</v>
      </c>
      <c r="IF332" s="11" t="e">
        <f t="shared" si="427"/>
        <v>#N/A</v>
      </c>
    </row>
    <row r="333" spans="35:240" x14ac:dyDescent="0.2">
      <c r="AI333">
        <f>IF(Исходн.данные.!I333&gt;6,1,1.85-(0.148*Исходн.данные.!I333))</f>
        <v>1.85</v>
      </c>
      <c r="AJ333">
        <f>IF(Исходн.данные.!I333&gt;6,1,2.434-(0.246*Исходн.данные.!I333))</f>
        <v>2.4340000000000002</v>
      </c>
      <c r="AL333" s="148" t="b">
        <f>IF(Исходн.данные.!$P333="Ум",N_OrgUd_2g_um,IF(Исходн.данные.!$P333="Об",N_OrgUd_2g_ob))</f>
        <v>0</v>
      </c>
      <c r="AM333" s="148" t="b">
        <f>IF(Исходн.данные.!$P333="Ум",P_OrgUd_2g_um,IF(Исходн.данные.!$P333="Об",P_OrgUd_2g_ob))</f>
        <v>0</v>
      </c>
      <c r="AN333" s="148" t="b">
        <f>IF(Исходн.данные.!$P333="Ум",K_OrgUd_2g_um,IF(Исходн.данные.!$P333="Об",K_OrgUd_2g_ob))</f>
        <v>0</v>
      </c>
      <c r="AO333" s="148" t="b">
        <f>IF(Исходн.данные.!$P333="Ум",N_OrgUd_1g_um,IF(Исходн.данные.!$P333="Об",N_OrgUd_1g_ob))</f>
        <v>0</v>
      </c>
      <c r="AP333" s="148" t="b">
        <f>IF(Исходн.данные.!$P333="Ум",P_OrgUd_1g_um,IF(Исходн.данные.!$P333="Об",P_OrgUd_1g_ob))</f>
        <v>0</v>
      </c>
      <c r="AQ333" s="148" t="b">
        <f>IF(Исходн.данные.!$P333="Ум",K_OrgUd_1g_um,IF(Исходн.данные.!$P333="Об",K_OrgUd_1g_ob))</f>
        <v>0</v>
      </c>
      <c r="AR333" t="b">
        <f>IF(Исходн.данные.!$P333="Ум",N_MinUd_2g_um,IF(Исходн.данные.!$P333="Об",N_MinUd_2g_ob))</f>
        <v>0</v>
      </c>
      <c r="AS333" t="b">
        <f>IF(Исходн.данные.!$P333="Ум",P_MinUd_2g_um,IF(Исходн.данные.!$P333="Об",P_MinUd_2g_ob))</f>
        <v>0</v>
      </c>
      <c r="AT333" t="b">
        <f>IF(Исходн.данные.!$P333="Ум",K_MinUd_2g_um,IF(Исходн.данные.!$P333="Об",K_MinUd_2g_ob))</f>
        <v>0</v>
      </c>
      <c r="AU333" t="b">
        <f>IF(Исходн.данные.!$P333="Ум",N_MinUd_1g_um,IF(Исходн.данные.!$P333="Об",N_MinUd_1g_ob))</f>
        <v>0</v>
      </c>
      <c r="AV333" t="b">
        <f>IF(Исходн.данные.!P333="Ум",P_MinUd_1g_um,IF(Исходн.данные.!P333="Об",P_MinUd_1g_ob))</f>
        <v>0</v>
      </c>
      <c r="AW333" t="b">
        <f>IF(Исходн.данные.!P333="Ум",K_MinUd_1g_um,IF(Исходн.данные.!P333="Об",K_MinUd_1g_ob))</f>
        <v>0</v>
      </c>
      <c r="AY333" t="e">
        <f>VLOOKUP(Исходн.данные.!T333,Справ!$A$3:$N$57,12)</f>
        <v>#N/A</v>
      </c>
      <c r="AZ333" t="e">
        <f>VLOOKUP(Исходн.данные.!T333,Справ!$A$3:$N$57,13)</f>
        <v>#N/A</v>
      </c>
      <c r="BA333" t="e">
        <f>VLOOKUP(Исходн.данные.!T333,Справ!$A$3:$N$57,14)</f>
        <v>#N/A</v>
      </c>
      <c r="BB333">
        <f>IF(Исходн.данные.!AH333=0,0,25)</f>
        <v>0</v>
      </c>
      <c r="BC333" s="141">
        <f>IF(Исходн.данные.!AH333=0,0,IF(Исходн.данные.!T333=0,25,BD333))</f>
        <v>0</v>
      </c>
      <c r="BD333" s="168" t="e">
        <f>AY333+AZ333*Исходн.данные.!U333-POWER(BA333,2)*Исходн.данные.!U333</f>
        <v>#N/A</v>
      </c>
      <c r="BE33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3" s="25">
        <f>IF(Исходн.данные.!AH333=0,0,MIN(HN333:HP333))</f>
        <v>0</v>
      </c>
      <c r="BG333" s="9">
        <f>IF(Исходн.данные.!AH333=0,0,IF((HO333+10*0.25/HG333/HL333)&lt;17,17,HO333+10*0.25/HG333/HL333))</f>
        <v>0</v>
      </c>
      <c r="BH333" s="181">
        <f>IF(Исходн.данные.!AH333=0,0,HW333*HF333*HL333/AU333*AI333+Исходн.данные.!S333*10)</f>
        <v>0</v>
      </c>
      <c r="BI333" s="10"/>
      <c r="BJ333" s="182">
        <f>IF(Исходн.данные.!AH333=0,0,IF(HX333*HG333*HL333/AV333&lt;0,0,HX333*HG333*HL333/AV333*AJ333))</f>
        <v>0</v>
      </c>
      <c r="BK333" s="182">
        <f>IF(Исходн.данные.!AH333=0,0,HY333*HH333*HM333/AW333)</f>
        <v>0</v>
      </c>
      <c r="BL333" s="10">
        <f>IF(OR(Исходн.данные.!$AH333=$BP$1,Исходн.данные.!$AH333=$BP$2),0,IF(BH333&lt;0,0,IF(OR(Исходн.данные.!T333=Расчет!$BP$1,Исходн.данные.!T333=Расчет!$BP$2,Исходн.данные.!T333=Расчет!$BT$5,Исходн.данные.!T333=Расчет!$BT$6),BH333*0.5,IF(OR(Исходн.данные.!T333=Расчет!$BS$9,Исходн.данные.!T333=Расчет!$BS$10,Исходн.данные.!T333=Расчет!$BS$11,Исходн.данные.!T333=Расчет!$BS$12,Исходн.данные.!T333=Расчет!$BP$5),BH333*0.8,BH333))))</f>
        <v>0</v>
      </c>
      <c r="BM333" s="10">
        <f>IF(OR(Исходн.данные.!$AH333=$BP$1,Исходн.данные.!$AH333=$BP$2),0,IF(BJ333&lt;0,0,IF(Исходн.данные.!I333&lt;4.5,BJ333*1.2,IF(Исходн.данные.!I333&gt;5.1,BJ333,BJ333*((5.1-Исходн.данные.!I333)*0.333+1)))))</f>
        <v>0</v>
      </c>
      <c r="BN333" s="10">
        <f>IF(OR(Исходн.данные.!$AH333=$BP$1,Исходн.данные.!$AH333=$BP$2),60-Исходн.данные.!AF333,IF(BK333&lt;0,0,IF(Исходн.данные.!I333&lt;4.5,BK333*1.2,IF(Исходн.данные.!I333&gt;5.1,BK333,BK333*((5.1-Исходн.данные.!I333)*0.333+1)))))</f>
        <v>0</v>
      </c>
      <c r="BO333" s="9">
        <f>IF(BL333&lt;0,0,BL333*Исходн.данные.!$AJ333/1000)</f>
        <v>0</v>
      </c>
      <c r="BP333" s="9">
        <f>IF(BM333&lt;0,0,BM333*Исходн.данные.!$AJ333/1000)</f>
        <v>0</v>
      </c>
      <c r="BQ333" s="9">
        <f>IF(BN333&lt;0,0,BN333*Исходн.данные.!$AJ333/1000)</f>
        <v>0</v>
      </c>
      <c r="BR333" s="9">
        <f t="shared" si="377"/>
        <v>0</v>
      </c>
      <c r="BS333" s="10" t="str">
        <f t="shared" si="378"/>
        <v>Аммофос 12:52:00</v>
      </c>
      <c r="BT333" s="10" t="str">
        <f t="shared" si="379"/>
        <v>Аммофос 12:52:00</v>
      </c>
      <c r="BU333" s="10" t="str">
        <f t="shared" si="380"/>
        <v>Диаммофоска</v>
      </c>
      <c r="BV333" s="10">
        <f t="shared" si="381"/>
        <v>0</v>
      </c>
      <c r="BW333" s="10"/>
      <c r="BX333" s="10"/>
      <c r="BY333" s="9">
        <f>IF(BL333&lt;0,0,IF(OR(Исходн.данные.!AI333=Расчет!$BU$6,Исходн.данные.!AI333=Расчет!$BU$7),Расчет!BV333,IF(Исходн.данные.!$AG333=$BV$11,BL333,IF(OR(Исходн.данные.!$AH333=$BQ$7,Исходн.данные.!$AH333=$BQ$8),CB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0,IF(Исходн.данные.!$AI333=$BU$11,"Нет",IF(BL333&gt;30,30,BL333)))))))</f>
        <v>0</v>
      </c>
      <c r="BZ333" s="9">
        <f>IF(AND(Исходн.данные.!$AG333=$BV$11,BM333&lt;10),10,IF(Исходн.данные.!$AG333=$BV$11,BM333,IF(OR(Исходн.данные.!$AH333=$BQ$7,Исходн.данные.!$AH333=$BQ$8),CC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10,IF(Исходн.данные.!$AI333=$BU$11,"Нет",IF(BM333&gt;60,60,IF(BM333&lt;10,10,BM333)))))))</f>
        <v>10</v>
      </c>
      <c r="CA333" s="39">
        <f>IF(BN333&lt;0,0,IF(Исходн.данные.!$AG333=$BV$11,BN333,IF(OR(Исходн.данные.!$AH333=$BQ$7,Исходн.данные.!$AH333=$BQ$8),CD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0,IF(Исходн.данные.!$AI333=$BU$11,"Нет",IF(BN333&gt;30,30,BN333))))))</f>
        <v>0</v>
      </c>
      <c r="CB333" s="9">
        <f t="shared" si="382"/>
        <v>0</v>
      </c>
      <c r="CC333" s="9">
        <f t="shared" si="383"/>
        <v>0</v>
      </c>
      <c r="CD333" s="9">
        <f t="shared" si="384"/>
        <v>0</v>
      </c>
      <c r="CE333" s="12">
        <f t="shared" si="385"/>
        <v>10</v>
      </c>
      <c r="CF333" s="9">
        <f t="shared" si="386"/>
        <v>0</v>
      </c>
      <c r="CG333" s="9" t="s">
        <v>231</v>
      </c>
      <c r="CH333" s="132" t="str">
        <f>IF(Исходн.данные.!AP333=Расчет!$CI$16,"Нет",IF(Исходн.данные.!AL333&gt;0,Исходн.данные.!AL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BH$4,IF(OR(Исходн.данные.!AI333=Исходн.данные.!$AI$6,Исходн.данные.!AI333=Исходн.данные.!$AI$7),Расчет!BS333,IF(AND($CF333=0,$CE333&gt;0),EV333,ER333)))))</f>
        <v>Аммофос 12:52:00</v>
      </c>
      <c r="CI333" s="274">
        <f>IF(Расчет!$CH333="Нет","Нет",IF(Исходн.данные.!$AL333&gt;0,VLOOKUP(Расчет!$CH333,АшламаДВ_Irekle,2,FALSE),VLOOKUP(Расчет!$CH333,АшламаДВ_Gomumy,2,FALSE)))</f>
        <v>0.12</v>
      </c>
      <c r="CJ333" s="274">
        <f>IF(Расчет!$CH333="Нет","Нет",IF(Исходн.данные.!$AL333&gt;0,VLOOKUP(Расчет!$CH333,АшламаДВ_Irekle,3,FALSE),VLOOKUP(Расчет!$CH333,АшламаДВ_Gomumy,3,FALSE)))</f>
        <v>0.52</v>
      </c>
      <c r="CK333" s="274">
        <f>IF(Расчет!$CH333="Нет","Нет",IF(Исходн.данные.!$AL333&gt;0,VLOOKUP(Расчет!$CH333,АшламаДВ_Irekle,4,FALSE),VLOOKUP(Расчет!$CH333,АшламаДВ_Gomumy,4,FALSE)))</f>
        <v>0</v>
      </c>
      <c r="CL333" s="70"/>
      <c r="CM333" s="70"/>
      <c r="CN333" s="70"/>
      <c r="CO333" s="70"/>
      <c r="CP333" s="70"/>
      <c r="CQ333" s="70"/>
      <c r="CR333" s="10">
        <f t="shared" si="387"/>
        <v>0</v>
      </c>
      <c r="CS333" s="10">
        <f t="shared" si="388"/>
        <v>19.23076923076923</v>
      </c>
      <c r="CT333" s="10">
        <f t="shared" si="389"/>
        <v>0</v>
      </c>
      <c r="CU333" s="39">
        <f>IF($CH333="Нет",0,IF(CI333=0,30/MIN(CJ333:CK333),IF(Исходн.данные.!$AG333=$BV$11,CR333,IF(OR(Исходн.данные.!$AH333=$BQ$7,Исходн.данные.!$AH333=$BQ$8),90/CI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0,IF(Исходн.данные.!$AI333=$BU$11,"Нет",30/CI333))))))</f>
        <v>250</v>
      </c>
      <c r="CV333" s="39">
        <f>IF($CH333="Нет",0,IF(Исходн.данные.!AH333=0,0,IF(CJ333=0,60/MIN(CI333,CK333),IF(Исходн.данные.!$AG333=$BV$11,CS333,IF(OR(Исходн.данные.!$AH333=$BQ$7,Исходн.данные.!$AH333=$BQ$8),90/CJ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10/CJ333,IF(Исходн.данные.!$AI333=$BU$11,"Нет",60/CJ333)))))))</f>
        <v>0</v>
      </c>
      <c r="CW333" s="39">
        <f>IF($CH333="Нет",0,IF(Исходн.данные.!AH333=0,0,IF(CK333=0,30/MIN(CI333:CJ333),IF(Исходн.данные.!$AG333=$BV$11,CT333,IF(OR(Исходн.данные.!$AH333=$BQ$7,Исходн.данные.!$AH333=$BQ$8),90/CK333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0,IF(Исходн.данные.!$AI333=$BU$11,"Нет",30/CK333)))))))</f>
        <v>0</v>
      </c>
      <c r="CX333" s="133">
        <f>IF(Исходн.данные.!$AG333=$BV$11,MAX(CU333:CW333),IF(OR(Исходн.данные.!$AH333=$BS$8,Исходн.данные.!$AH333=$BQ$9,Исходн.данные.!$AH333=$BQ$10,Исходн.данные.!$AH333=$BQ$11,Исходн.данные.!$AH333=$BQ$12,Исходн.данные.!$AH333=$BP$3,Исходн.данные.!$AH333=$BT$8,$FM333="Да"),CV333,MIN(CU333:CW333)))</f>
        <v>0</v>
      </c>
      <c r="CY333" s="133">
        <f>IF(Исходн.данные.!AH333=0,0,IF(CR333&gt;$CX333,$CX333,CR333))</f>
        <v>0</v>
      </c>
      <c r="CZ333" s="133">
        <f>IF(Исходн.данные.!AH333=0,0,IF(CS333&gt;$CX333,$CX333,CS333))</f>
        <v>0</v>
      </c>
      <c r="DA333" s="133">
        <f>IF(Исходн.данные.!AH333=0,0,IF(CT333&gt;$CX333,$CX333,CT333))</f>
        <v>0</v>
      </c>
      <c r="DB333" s="10">
        <f t="shared" si="390"/>
        <v>0</v>
      </c>
      <c r="DC333" s="39">
        <f>DB333*Исходн.данные.!AJ333/1000</f>
        <v>0</v>
      </c>
      <c r="DD333" s="71">
        <f t="shared" si="391"/>
        <v>0</v>
      </c>
      <c r="DE333" s="9">
        <f t="shared" si="392"/>
        <v>0</v>
      </c>
      <c r="DF333" s="9">
        <f t="shared" si="393"/>
        <v>0</v>
      </c>
      <c r="DG333" s="39">
        <f>IF(BL333&lt;0,0,IF($CH333="Нет",BL333,IF(OR(Исходн.данные.!$AH333=$BP$1,Исходн.данные.!$AH333=$BP$2),0,IF(Исходн.данные.!AI333=$BU$11,BL333,IF(BL333-DD333&lt;0,0,BL333-DD333)))))</f>
        <v>0</v>
      </c>
      <c r="DH333" s="39">
        <f>IF(BM333&lt;0,0,IF($CH333="Нет",BM333,IF(OR(Исходн.данные.!$AH333=$BP$1,Исходн.данные.!$AH333=$BP$2),0,IF(Исходн.данные.!AJ333=$BU$11,BM333,IF(BM333-DE333&lt;0,0,BM333-DE333)))))</f>
        <v>0</v>
      </c>
      <c r="DI333" s="39">
        <f>IF(BN333&lt;0,0,IF($CH333="Нет",BN333,IF(OR(Исходн.данные.!$AH333=$BP$1,Исходн.данные.!$AH333=$BP$2),0,IF(Исходн.данные.!AK333=$BU$11,BN333,IF(BN333-DF333&lt;0,0,BN333-DF333)))))</f>
        <v>0</v>
      </c>
      <c r="DJ333" s="12">
        <f t="shared" si="394"/>
        <v>0</v>
      </c>
      <c r="DK333" s="9">
        <f t="shared" si="395"/>
        <v>0</v>
      </c>
      <c r="DL333" s="39">
        <f>IF(Исходн.данные.!AM333&gt;0,Исходн.данные.!AM333,IF(EG333&gt;0,$BH$10,0))</f>
        <v>0</v>
      </c>
      <c r="DM333" s="186">
        <f>IF($DL333=0,0,IF(Исходн.данные.!AM333&gt;0,VLOOKUP($DL333,АшламаДВ_Irekle,2,FALSE),VLOOKUP($DL333,АшламаДВ_Gomumy,2,FALSE)))</f>
        <v>0</v>
      </c>
      <c r="DN333" s="10">
        <f t="shared" si="373"/>
        <v>0</v>
      </c>
      <c r="DO333" s="9" t="str">
        <f>IF(Исходн.данные.!AN333&gt;0,Исходн.данные.!AN333,Удобрения!$B$37 )</f>
        <v>Хлор.калий</v>
      </c>
      <c r="DP333" s="9">
        <f>IF(Исходн.данные.!AN333&gt;0,VLOOKUP(Исходн.данные.!AN333,АшламаДВ_Irekle,4,FALSE),VLOOKUP(DO333,АшламаДВ_Gomumy,4,FALSE))</f>
        <v>0.6</v>
      </c>
      <c r="DQ333" s="10">
        <f t="shared" si="374"/>
        <v>0</v>
      </c>
      <c r="DR333" s="132" t="str">
        <f>IF(Исходн.данные.!AO333&gt;0,Исходн.данные.!AO333,IF(DH333=0,BS$17,IF(AND($DK333=0,$DJ333&gt;0),EJ333,EN333)))</f>
        <v>Нет</v>
      </c>
      <c r="DS333" s="70" t="str">
        <f>IF($DR333="Нет","Нет",IF(Исходн.данные.!$AO333&gt;0,VLOOKUP($DR333,АшламаДВ_Irekle,2,FALSE),VLOOKUP($DR333,АшламаДВ_Gomumy,2,FALSE)))</f>
        <v>Нет</v>
      </c>
      <c r="DT333" s="70" t="str">
        <f>IF($DR333="Нет","Нет",IF(Исходн.данные.!$AO333&gt;0,VLOOKUP($DR333,АшламаДВ_Irekle,3,FALSE),VLOOKUP($DR333,АшламаДВ_Gomumy,3,FALSE)))</f>
        <v>Нет</v>
      </c>
      <c r="DU333" s="70" t="str">
        <f>IF($DR333="Нет","Нет",IF(Исходн.данные.!$AO333&gt;0,VLOOKUP($DR333,АшламаДВ_Irekle,4,FALSE),VLOOKUP($DR333,АшламаДВ_Gomumy,4,FALSE)))</f>
        <v>Нет</v>
      </c>
      <c r="DV333" s="70"/>
      <c r="DW333" s="70"/>
      <c r="DX333" s="70"/>
      <c r="DY333" s="10">
        <f t="shared" si="396"/>
        <v>0</v>
      </c>
      <c r="DZ333" s="10">
        <f t="shared" si="397"/>
        <v>0</v>
      </c>
      <c r="EA333" s="10">
        <f t="shared" si="398"/>
        <v>0</v>
      </c>
      <c r="EB333" s="10">
        <f t="shared" si="399"/>
        <v>0</v>
      </c>
      <c r="EC333" s="10">
        <f t="shared" si="400"/>
        <v>0</v>
      </c>
      <c r="ED333" s="10">
        <f t="shared" si="401"/>
        <v>0</v>
      </c>
      <c r="EE333" s="10">
        <f t="shared" si="402"/>
        <v>0</v>
      </c>
      <c r="EF333" s="39">
        <f>EB333*Исходн.данные.!AJ333/1000</f>
        <v>0</v>
      </c>
      <c r="EG333" s="9">
        <f t="shared" si="403"/>
        <v>0</v>
      </c>
      <c r="EH333" s="9">
        <f t="shared" si="404"/>
        <v>0</v>
      </c>
      <c r="EI333" s="39" t="e">
        <f t="shared" si="354"/>
        <v>#DIV/0!</v>
      </c>
      <c r="EJ333" s="9" t="str">
        <f t="shared" si="375"/>
        <v>Азопреципитат</v>
      </c>
      <c r="EK333" s="12">
        <f t="shared" si="355"/>
        <v>0.26</v>
      </c>
      <c r="EL333" s="12">
        <f t="shared" si="356"/>
        <v>0.13</v>
      </c>
      <c r="EM333" s="12">
        <f t="shared" si="357"/>
        <v>0</v>
      </c>
      <c r="EN333" s="12" t="str">
        <f t="shared" si="376"/>
        <v>Нет</v>
      </c>
      <c r="EO333" s="12">
        <f t="shared" si="358"/>
        <v>0</v>
      </c>
      <c r="EP333" s="12">
        <f t="shared" si="359"/>
        <v>0</v>
      </c>
      <c r="EQ333" s="12">
        <f t="shared" si="360"/>
        <v>0</v>
      </c>
      <c r="ER333" s="12" t="str">
        <f t="shared" si="405"/>
        <v>Диаммофоска</v>
      </c>
      <c r="ES333" s="12">
        <f t="shared" si="361"/>
        <v>0.1</v>
      </c>
      <c r="ET333" s="12">
        <f t="shared" si="362"/>
        <v>0.26</v>
      </c>
      <c r="EU333" s="12">
        <f t="shared" si="363"/>
        <v>0.26</v>
      </c>
      <c r="EV333" s="12" t="str">
        <f t="shared" si="406"/>
        <v>Аммофос 12:52:00</v>
      </c>
      <c r="EW333" s="12" t="str">
        <f t="shared" si="407"/>
        <v>Кемира Свекловичное-6</v>
      </c>
      <c r="EX333" s="12">
        <f t="shared" si="364"/>
        <v>0.16</v>
      </c>
      <c r="EY333" s="12">
        <f t="shared" si="365"/>
        <v>0.12</v>
      </c>
      <c r="EZ333" s="12">
        <f t="shared" si="366"/>
        <v>0.17</v>
      </c>
      <c r="FA333" s="38" t="e">
        <f>IF(AND(OR(FJ333=$FD$1,FM333=$FD$1,FO333=$FD$1,FQ333=$FD$1,FS333=$FD$1),FD333=$FD$1,Исходн.данные.!J333&lt;2,FU333=$FD$1),"Бор,Кобальт",IF(AND(FO333=$FD$1,FH333=$FD$1,Исходн.данные.!J333&lt;2,FU333=$FD$1),"Бор,Кобальт",IF(AND(OR(FJ333=$FD$1,FM333=$FD$1,FQ333=$FD$1),FE333=$FD$1,Исходн.данные.!J333&lt;2,FT333=$FD$1,FU333=$FD$1),"Бор,Медь,Цинк",IF(AND(OR(FJ333=$FD$1,FR333="Да"),FI333="Да",Исходн.данные.!J333&lt;2,FT333="Да",FU333="Да"),"Бор,Цинк,Медь",IF(AND(OR(FM333="Да",FQ333="Да"),FI333="Да",Исходн.данные.!J333&lt;2,FT333="Да",FU333="Да"),"Бор,Цинк",IF(AND(FN333="Да",OR(FD333="Да",FE333="Да")),"Бор",FB333))))))</f>
        <v>#N/A</v>
      </c>
      <c r="FB333" s="134" t="e">
        <f>IF(AND(OR(FD333="Да",FE333="Да",FF333="Да",FG333="Да",FH333="Да"),FO333="Да"),"Бор",IF(AND(FP333="Да",OR(FD333="Да",FE333="Да",FI333="Да")),"Бор",IF(AND(FS333="Да",FE333="Да"),"Бор,Медь",IF(AND(OR(FJ333="Да",FK333="Да",FL333="Да"),FE333="Да",Исходн.данные.!I333&lt;5,FT333="Да",FU333="Да"),"Молибден,Цинк",IF(AND(FM333="Да",OR(FE333="Да",FF333="Да",FG333="Да",FH333="Да",FI333="Да")),"Молибден,Цинк",IF(AND(OR(FJ333="Да",FK333="Да",FL333="Да",FM333="Да",FQ333="Да"),OR(FE333="Да",FF333="Да"),FT333="Да",FU333="Да",Исходн.данные.!I333&gt;5.5),"Медь,Цинк",FC333))))))</f>
        <v>#N/A</v>
      </c>
      <c r="FC333" s="23" t="e">
        <f t="shared" si="408"/>
        <v>#N/A</v>
      </c>
      <c r="FD333" s="38" t="str">
        <f>IF(OR(Исходн.данные.!F333=$CC$1,Исходн.данные.!F333=$CC$2,Исходн.данные.!F333=$CC$3,Исходн.данные.!F333=$CC$4),"Да","Нет")</f>
        <v>Нет</v>
      </c>
      <c r="FE333" s="38" t="str">
        <f>IF(Исходн.данные.!F333=$CC$5,"Да","Нет")</f>
        <v>Нет</v>
      </c>
      <c r="FF333" s="38" t="str">
        <f>IF(OR(Исходн.данные.!F333=$CC$6,Исходн.данные.!F333=$CC$7),"Да","Нет")</f>
        <v>Нет</v>
      </c>
      <c r="FG333" s="38" t="str">
        <f>IF(OR(Исходн.данные.!F333=$CC$8,Исходн.данные.!F333=$CC$9),"Да","Нет")</f>
        <v>Нет</v>
      </c>
      <c r="FH333" s="38" t="str">
        <f>IF(Исходн.данные.!F333=$CC$10,"Да","Нет")</f>
        <v>Нет</v>
      </c>
      <c r="FI333" s="38" t="str">
        <f>IF(OR(Исходн.данные.!F333=$CC$11,Исходн.данные.!F333=$CC$12),"Да","Нет")</f>
        <v>Нет</v>
      </c>
      <c r="FJ333" s="38" t="str">
        <f>IF(OR(Исходн.данные.!AH333=$BS$1,Исходн.данные.!AH333=$BQ$11,Исходн.данные.!AH333=$BQ$12),"Да","Нет")</f>
        <v>Нет</v>
      </c>
      <c r="FK333" s="38" t="str">
        <f>IF(OR(Исходн.данные.!AH333=$BS$2,Исходн.данные.!AH333=$BS$4),"Да","Нет")</f>
        <v>Нет</v>
      </c>
      <c r="FL333" s="38" t="str">
        <f>IF(OR(Исходн.данные.!AH333=$BS$3,Исходн.данные.!AH333=$BS$5),"Да","Нет")</f>
        <v>Нет</v>
      </c>
      <c r="FM333" s="38" t="str">
        <f>IF(OR(Исходн.данные.!AH333=$BS$9,Исходн.данные.!AH333=$BS$10,Исходн.данные.!AH333=$BS$11,Исходн.данные.!AH333=$BS$12),"Да","Нет")</f>
        <v>Нет</v>
      </c>
      <c r="FN333" s="38" t="str">
        <f>IF(OR(Исходн.данные.!AH333=$BS$6,Исходн.данные.!AH333=$BP$3),"Да","Нет")</f>
        <v>Нет</v>
      </c>
      <c r="FO333" s="38" t="str">
        <f>IF(Исходн.данные.!AH333=$BQ$9,"Да","Нет")</f>
        <v>Нет</v>
      </c>
      <c r="FP333" s="38" t="str">
        <f>IF(OR(Исходн.данные.!AH333=$BS$8,Исходн.данные.!AH333=$BT$8),"Да","Нет")</f>
        <v>Нет</v>
      </c>
      <c r="FQ333" s="38" t="str">
        <f>IF(OR(Исходн.данные.!AH333=$BQ$7,Исходн.данные.!AH333=$BQ$8),"Да","Нет")</f>
        <v>Нет</v>
      </c>
      <c r="FR333" s="38" t="str">
        <f>IF(Исходн.данные.!AI333=$BU$9,"Да","Нет")</f>
        <v>Нет</v>
      </c>
      <c r="FS333" s="38" t="str">
        <f>IF(OR(Исходн.данные.!AH333=$BP$1,Исходн.данные.!AH333=$BP$2),"Да","Нет")</f>
        <v>Нет</v>
      </c>
      <c r="FT333" s="38" t="e">
        <f>IF((Исходн.данные.!K333*GO333*GS333*GW333+BL333*0.6+Исходн.данные.!Q333*4.5*0.275)&gt;90,"Да","Нет")</f>
        <v>#N/A</v>
      </c>
      <c r="FU333" s="38" t="e">
        <f>IF((Исходн.данные.!M333*GS333*GZ333+BM333*0.225)&gt;35,"Да","Нет")</f>
        <v>#N/A</v>
      </c>
      <c r="FV333" s="38" t="str">
        <f>IF(Исходн.данные.!O333&gt;175,"Да","Нет")</f>
        <v>Нет</v>
      </c>
      <c r="FW333" s="39" t="str">
        <f>IF(Исходн.данные.!I333&gt;5.5,"Да","Нет")</f>
        <v>Нет</v>
      </c>
      <c r="FX333" s="39" t="str">
        <f>IF(Исходн.данные.!J333&lt;2,"Да","Нет")</f>
        <v>Да</v>
      </c>
      <c r="FY333" s="39" t="e">
        <f>IF(HF333=$FY$16,0,Исходн.данные.!K333*GO333*GS333*GW333/HF333)</f>
        <v>#N/A</v>
      </c>
      <c r="FZ333" s="39" t="e">
        <f>Исходн.данные.!M333*GS333*GZ333/HG333</f>
        <v>#N/A</v>
      </c>
      <c r="GA333" s="39" t="e">
        <f>IF(K_Wyn=$FY$16,0,IF(Исходн.данные.!N333=Исходн.данные.!$L$10,Исходн.данные.!O333/1.1*GS333*HC333/HH333,IF(Исходн.данные.!N333=Исходн.данные.!$L$12,Исходн.данные.!O333/1.5*GS333*HC333/HH333,Исходн.данные.!O333*GS333*HC333/HH333)))</f>
        <v>#N/A</v>
      </c>
      <c r="GB333" s="39" t="e">
        <f>IF(HF333=$FY$16,0,((Исходн.данные.!Q333*N_Org+Исходн.данные.!R333*N_Sider+Исходн.данные.!S333*N_Soloma)*AO333+Расчет!BC333*VLOOKUP(Исходн.данные.!T333,Справ!$A$3:$O$57,15)*AO333+BB333*VLOOKUP(Исходн.данные.!T333,Справ!$A$3:$O$57,15)*AL333+(Исходн.данные.!V333*N_Rizotorf+Исходн.данные.!W333*N_Rizoagr))/HF333)</f>
        <v>#N/A</v>
      </c>
      <c r="GC333" s="39" t="e">
        <f>IF(HG333=$FY$16,0,((Исходн.данные.!Q333*Р_Org+Исходн.данные.!R333*P_Sider+Исходн.данные.!S333*P_Soloma)*AP333+Расчет!BC333*VLOOKUP(Исходн.данные.!T333,Справ!$A$3:$P$57,16)*AP333+BB333*VLOOKUP(Исходн.данные.!T333,Справ!$A$3:$P$57,16)*AM333)/HG333)</f>
        <v>#N/A</v>
      </c>
      <c r="GD333" s="39" t="e">
        <f>IF(HH333=$FY$16,0,((Исходн.данные.!Q333*К_Org+Исходн.данные.!R333*K_Sider+Исходн.данные.!S333*K_Soloma)*AQ333+Расчет!BC333*VLOOKUP(Исходн.данные.!T333,Справ!$A$3:$Q$57,17)*AQ333+BB333*VLOOKUP(Исходн.данные.!T333,Справ!$A$3:$Q$57,17)*AN333)/HH333)</f>
        <v>#N/A</v>
      </c>
      <c r="GE333" s="39" t="e">
        <f>IF(HF333=$FY$16,0,(Исходн.данные.!X333*AR333+Исходн.данные.!AA333*N_Org*AL333+Исходн.данные.!AB333*N_Sider*AL333+Исходн.данные.!AC333*N_Soloma*AL333)/HF333)</f>
        <v>#N/A</v>
      </c>
      <c r="GF333" s="39" t="e">
        <f>IF(HG333=$FY$16,0,(Исходн.данные.!Y333*AS333+Исходн.данные.!AA333*Р_Org*AM333+Исходн.данные.!AB333*P_Sider*AM333+Исходн.данные.!AC333*P_Soloma*AM333)/HG333)</f>
        <v>#N/A</v>
      </c>
      <c r="GG333" s="39" t="e">
        <f>IF(HH333=$FY$16,0,(Исходн.данные.!Z333*AT333+Исходн.данные.!AA333*К_Org*AN333+Исходн.данные.!AB333*K_Sider*AN333+Исходн.данные.!AC333*K_Soloma*AN333)/HH333)</f>
        <v>#N/A</v>
      </c>
      <c r="GH333" s="39" t="e">
        <f>Исходн.данные.!AD333*AU333/HF333</f>
        <v>#N/A</v>
      </c>
      <c r="GI333" s="39" t="e">
        <f>Исходн.данные.!AE333*AV333/HG333</f>
        <v>#N/A</v>
      </c>
      <c r="GJ333" s="39" t="e">
        <f>Исходн.данные.!AF333*AW333/HH333</f>
        <v>#N/A</v>
      </c>
      <c r="GK333" s="55">
        <f>Исходн.данные.!AK333</f>
        <v>0</v>
      </c>
      <c r="GL333" s="11" t="e">
        <f t="shared" si="409"/>
        <v>#N/A</v>
      </c>
      <c r="GM333" s="11" t="e">
        <f t="shared" si="410"/>
        <v>#N/A</v>
      </c>
      <c r="GN333" s="11" t="e">
        <f t="shared" si="411"/>
        <v>#N/A</v>
      </c>
      <c r="GO333" s="57">
        <f t="shared" si="412"/>
        <v>19</v>
      </c>
      <c r="GP333" s="55">
        <f>IF(OR(Исходн.данные.!F333=$CE$1,Исходн.данные.!F333=$CE$2,Исходн.данные.!F333=$CE$3,Исходн.данные.!F333=$CE$4,Исходн.данные.!F333=$CE$5),GQ333,GR333)</f>
        <v>19</v>
      </c>
      <c r="GQ333" s="55">
        <f>IF(Исходн.данные.!F333=$CE$1,28,IF(Исходн.данные.!F333=$CE$2,26,IF(Исходн.данные.!F333=$CE$3,24,IF(Исходн.данные.!F333=$CE$4,22,IF(Исходн.данные.!F333=$CE$5,20,GR333)))))</f>
        <v>19</v>
      </c>
      <c r="GR333" s="55">
        <f>IF(Исходн.данные.!F333=$CE$6,18,IF(Исходн.данные.!F333=$CE$7,16,IF(Исходн.данные.!F333=$CE$8,14,IF(Исходн.данные.!F333=$CE$9,13,IF(Исходн.данные.!F333=$CE$10,12,19)))))</f>
        <v>19</v>
      </c>
      <c r="GS333" s="55">
        <f>IF(Исходн.данные.!G333="Пес",0.035*(40+2*Исходн.данные.!H333),IF(Исходн.данные.!G333="Суп",0.0325*(40+2*Исходн.данные.!H333),0.03*(40+2*Исходн.данные.!H333)))</f>
        <v>1.2</v>
      </c>
      <c r="GT333" s="55">
        <f>IF(Исходн.данные.!H333&lt;23,2.6,IF(AND(Исходн.данные.!H333&gt;22,Исходн.данные.!H333&lt;26),3,IF(AND(Исходн.данные.!H333&gt;25,Исходн.данные.!H333&lt;29),3.4,3.6)))</f>
        <v>2.6</v>
      </c>
      <c r="GU333" s="55">
        <f>IF(Исходн.данные.!H333&lt;23,2.8,IF(AND(Исходн.данные.!H333&gt;22,Исходн.данные.!H333&lt;26),3.2,IF(AND(Исходн.данные.!H333&gt;25,Исходн.данные.!H333&lt;29),3.6,3.9)))</f>
        <v>2.8</v>
      </c>
      <c r="GV333" s="55">
        <f>IF(Исходн.данные.!H333&lt;23,3,IF(AND(Исходн.данные.!H333&gt;22,Исходн.данные.!H333&lt;26),3.5,IF(AND(Исходн.данные.!H333&gt;25,Исходн.данные.!H333&lt;29),3.9,4.2)))</f>
        <v>3</v>
      </c>
      <c r="GW333" s="55" t="e">
        <f>IF(Исходн.данные.!P333="Ум",GX333,GY333)</f>
        <v>#N/A</v>
      </c>
      <c r="GX333" s="55" t="e">
        <f>VLOOKUP(Исходн.данные.!AI333,Коэффициенты!$J$7:$L$13,2,FALSE)</f>
        <v>#N/A</v>
      </c>
      <c r="GY333" s="55" t="e">
        <f>VLOOKUP(Исходн.данные.!AI333,Коэффициенты!$J$7:$L$13,3,FALSE)</f>
        <v>#N/A</v>
      </c>
      <c r="GZ333" s="55" t="e">
        <f>(IF(Исходн.данные.!M333&lt;50,0.11*VLOOKUP(Исходн.данные.!AH333,Культуры.Информация,7,FALSE),IF(Исходн.данные.!M333&gt;250,0.05*VLOOKUP(Исходн.данные.!AH333,Культуры.Информация,7,FALSE),VLOOKUP(Исходн.данные.!AH333,Культуры.Информация,5,FALSE)/100*($GX$6+$GY$6*Исходн.данные.!M333))))*Расчет2!AI333</f>
        <v>#N/A</v>
      </c>
      <c r="HA333" s="211"/>
      <c r="HB333" s="211"/>
      <c r="HC333" s="55" t="e">
        <f>(IF(Исходн.данные.!O333&lt;80,0.2*VLOOKUP(Исходн.данные.!AH333,Культуры.Информация,8,FALSE),IF(Исходн.данные.!O333&gt;240,0.09*VLOOKUP(Исходн.данные.!AH333,Культуры.Информация,8,FALSE),VLOOKUP(Исходн.данные.!AH333,Культуры.Информация,6,FALSE)/100*($HB$6+$HC$6*Исходн.данные.!O333))))*Расчет2!AJ333</f>
        <v>#N/A</v>
      </c>
      <c r="HD333" s="55">
        <f>IF(Исходн.данные.!O333&gt;240,0.09,IF(Исходн.данные.!O333&lt;30,0.3,$HE$10+$HD$10*Исходн.данные.!O333))</f>
        <v>0.3</v>
      </c>
      <c r="HE333" s="55">
        <f>IF(Исходн.данные.!O333&gt;240,0.17,IF(Исходн.данные.!O333&lt;30,0.5,$HF$12+$HE$12*Исходн.данные.!O333))</f>
        <v>0.5</v>
      </c>
      <c r="HF333" s="55" t="e">
        <f>VLOOKUP(Исходн.данные.!AH333,Справ!$A$3:$D$58,2,FALSE)</f>
        <v>#N/A</v>
      </c>
      <c r="HG333" s="55" t="e">
        <f>VLOOKUP(Исходн.данные.!AH333,Справ!$A$3:$D$58,3,FALSE)</f>
        <v>#N/A</v>
      </c>
      <c r="HH333" s="55" t="e">
        <f>VLOOKUP(Исходн.данные.!AH333,Справ!$A$3:$D$58,4,FALSE)</f>
        <v>#N/A</v>
      </c>
      <c r="HI333" s="11" t="e">
        <f t="shared" si="413"/>
        <v>#N/A</v>
      </c>
      <c r="HJ333" s="11" t="e">
        <f t="shared" si="414"/>
        <v>#N/A</v>
      </c>
      <c r="HK333" s="11" t="e">
        <f t="shared" si="415"/>
        <v>#N/A</v>
      </c>
      <c r="HL333" s="55">
        <f>IF(OR(Исходн.данные.!G333="Глин",Исходн.данные.!G333="Т_суг"),1.1,IF(Исходн.данные.!G333="Ср_суг",1,1))</f>
        <v>1</v>
      </c>
      <c r="HM333" s="55">
        <f>IF(OR(Исходн.данные.!G333="Глин",Исходн.данные.!G333="Т_суг"),0.9,IF(Исходн.данные.!G333="Ср_суг",1,1.2))</f>
        <v>1.2</v>
      </c>
      <c r="HN333" s="11" t="e">
        <f t="shared" si="416"/>
        <v>#N/A</v>
      </c>
      <c r="HO333" s="11" t="e">
        <f t="shared" si="417"/>
        <v>#N/A</v>
      </c>
      <c r="HP333" s="11" t="e">
        <f t="shared" si="418"/>
        <v>#N/A</v>
      </c>
      <c r="HQ333" t="e">
        <f t="shared" si="419"/>
        <v>#N/A</v>
      </c>
      <c r="HR333" t="e">
        <f t="shared" si="420"/>
        <v>#N/A</v>
      </c>
      <c r="HS333" t="e">
        <f t="shared" si="421"/>
        <v>#N/A</v>
      </c>
      <c r="HT333" t="e">
        <f t="shared" si="367"/>
        <v>#N/A</v>
      </c>
      <c r="HU333" t="e">
        <f t="shared" si="368"/>
        <v>#N/A</v>
      </c>
      <c r="HV333" t="e">
        <f t="shared" si="369"/>
        <v>#N/A</v>
      </c>
      <c r="HW333" t="e">
        <f t="shared" si="370"/>
        <v>#N/A</v>
      </c>
      <c r="HX333" t="e">
        <f t="shared" si="371"/>
        <v>#N/A</v>
      </c>
      <c r="HY333" t="e">
        <f t="shared" si="372"/>
        <v>#N/A</v>
      </c>
      <c r="HZ333" s="55">
        <f>IF(OR(Исходн.данные.!AI333="Оз_Ч_П",Исходн.данные.!AI333="Оз_З_П",Исходн.данные.!AI333="Яр_зер"),12,30)</f>
        <v>30</v>
      </c>
      <c r="IA333" t="e">
        <f t="shared" si="422"/>
        <v>#N/A</v>
      </c>
      <c r="IB333" t="e">
        <f t="shared" si="423"/>
        <v>#N/A</v>
      </c>
      <c r="IC333" t="e">
        <f t="shared" si="424"/>
        <v>#N/A</v>
      </c>
      <c r="ID333" s="11" t="e">
        <f t="shared" si="425"/>
        <v>#N/A</v>
      </c>
      <c r="IE333" s="11" t="e">
        <f t="shared" si="426"/>
        <v>#N/A</v>
      </c>
      <c r="IF333" s="11" t="e">
        <f t="shared" si="427"/>
        <v>#N/A</v>
      </c>
    </row>
    <row r="334" spans="35:240" x14ac:dyDescent="0.2">
      <c r="AI334">
        <f>IF(Исходн.данные.!I334&gt;6,1,1.85-(0.148*Исходн.данные.!I334))</f>
        <v>1.85</v>
      </c>
      <c r="AJ334">
        <f>IF(Исходн.данные.!I334&gt;6,1,2.434-(0.246*Исходн.данные.!I334))</f>
        <v>2.4340000000000002</v>
      </c>
      <c r="AL334" s="148" t="b">
        <f>IF(Исходн.данные.!$P334="Ум",N_OrgUd_2g_um,IF(Исходн.данные.!$P334="Об",N_OrgUd_2g_ob))</f>
        <v>0</v>
      </c>
      <c r="AM334" s="148" t="b">
        <f>IF(Исходн.данные.!$P334="Ум",P_OrgUd_2g_um,IF(Исходн.данные.!$P334="Об",P_OrgUd_2g_ob))</f>
        <v>0</v>
      </c>
      <c r="AN334" s="148" t="b">
        <f>IF(Исходн.данные.!$P334="Ум",K_OrgUd_2g_um,IF(Исходн.данные.!$P334="Об",K_OrgUd_2g_ob))</f>
        <v>0</v>
      </c>
      <c r="AO334" s="148" t="b">
        <f>IF(Исходн.данные.!$P334="Ум",N_OrgUd_1g_um,IF(Исходн.данные.!$P334="Об",N_OrgUd_1g_ob))</f>
        <v>0</v>
      </c>
      <c r="AP334" s="148" t="b">
        <f>IF(Исходн.данные.!$P334="Ум",P_OrgUd_1g_um,IF(Исходн.данные.!$P334="Об",P_OrgUd_1g_ob))</f>
        <v>0</v>
      </c>
      <c r="AQ334" s="148" t="b">
        <f>IF(Исходн.данные.!$P334="Ум",K_OrgUd_1g_um,IF(Исходн.данные.!$P334="Об",K_OrgUd_1g_ob))</f>
        <v>0</v>
      </c>
      <c r="AR334" t="b">
        <f>IF(Исходн.данные.!$P334="Ум",N_MinUd_2g_um,IF(Исходн.данные.!$P334="Об",N_MinUd_2g_ob))</f>
        <v>0</v>
      </c>
      <c r="AS334" t="b">
        <f>IF(Исходн.данные.!$P334="Ум",P_MinUd_2g_um,IF(Исходн.данные.!$P334="Об",P_MinUd_2g_ob))</f>
        <v>0</v>
      </c>
      <c r="AT334" t="b">
        <f>IF(Исходн.данные.!$P334="Ум",K_MinUd_2g_um,IF(Исходн.данные.!$P334="Об",K_MinUd_2g_ob))</f>
        <v>0</v>
      </c>
      <c r="AU334" t="b">
        <f>IF(Исходн.данные.!$P334="Ум",N_MinUd_1g_um,IF(Исходн.данные.!$P334="Об",N_MinUd_1g_ob))</f>
        <v>0</v>
      </c>
      <c r="AV334" t="b">
        <f>IF(Исходн.данные.!P334="Ум",P_MinUd_1g_um,IF(Исходн.данные.!P334="Об",P_MinUd_1g_ob))</f>
        <v>0</v>
      </c>
      <c r="AW334" t="b">
        <f>IF(Исходн.данные.!P334="Ум",K_MinUd_1g_um,IF(Исходн.данные.!P334="Об",K_MinUd_1g_ob))</f>
        <v>0</v>
      </c>
      <c r="AY334" t="e">
        <f>VLOOKUP(Исходн.данные.!T334,Справ!$A$3:$N$57,12)</f>
        <v>#N/A</v>
      </c>
      <c r="AZ334" t="e">
        <f>VLOOKUP(Исходн.данные.!T334,Справ!$A$3:$N$57,13)</f>
        <v>#N/A</v>
      </c>
      <c r="BA334" t="e">
        <f>VLOOKUP(Исходн.данные.!T334,Справ!$A$3:$N$57,14)</f>
        <v>#N/A</v>
      </c>
      <c r="BB334">
        <f>IF(Исходн.данные.!AH334=0,0,25)</f>
        <v>0</v>
      </c>
      <c r="BC334" s="141">
        <f>IF(Исходн.данные.!AH334=0,0,IF(Исходн.данные.!T334=0,25,BD334))</f>
        <v>0</v>
      </c>
      <c r="BD334" s="168" t="e">
        <f>AY334+AZ334*Исходн.данные.!U334-POWER(BA334,2)*Исходн.данные.!U334</f>
        <v>#N/A</v>
      </c>
      <c r="BE33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4" s="25">
        <f>IF(Исходн.данные.!AH334=0,0,MIN(HN334:HP334))</f>
        <v>0</v>
      </c>
      <c r="BG334" s="9">
        <f>IF(Исходн.данные.!AH334=0,0,IF((HO334+10*0.25/HG334/HL334)&lt;17,17,HO334+10*0.25/HG334/HL334))</f>
        <v>0</v>
      </c>
      <c r="BH334" s="181">
        <f>IF(Исходн.данные.!AH334=0,0,HW334*HF334*HL334/AU334*AI334+Исходн.данные.!S334*10)</f>
        <v>0</v>
      </c>
      <c r="BI334" s="10"/>
      <c r="BJ334" s="182">
        <f>IF(Исходн.данные.!AH334=0,0,IF(HX334*HG334*HL334/AV334&lt;0,0,HX334*HG334*HL334/AV334*AJ334))</f>
        <v>0</v>
      </c>
      <c r="BK334" s="182">
        <f>IF(Исходн.данные.!AH334=0,0,HY334*HH334*HM334/AW334)</f>
        <v>0</v>
      </c>
      <c r="BL334" s="10">
        <f>IF(OR(Исходн.данные.!$AH334=$BP$1,Исходн.данные.!$AH334=$BP$2),0,IF(BH334&lt;0,0,IF(OR(Исходн.данные.!T334=Расчет!$BP$1,Исходн.данные.!T334=Расчет!$BP$2,Исходн.данные.!T334=Расчет!$BT$5,Исходн.данные.!T334=Расчет!$BT$6),BH334*0.5,IF(OR(Исходн.данные.!T334=Расчет!$BS$9,Исходн.данные.!T334=Расчет!$BS$10,Исходн.данные.!T334=Расчет!$BS$11,Исходн.данные.!T334=Расчет!$BS$12,Исходн.данные.!T334=Расчет!$BP$5),BH334*0.8,BH334))))</f>
        <v>0</v>
      </c>
      <c r="BM334" s="10">
        <f>IF(OR(Исходн.данные.!$AH334=$BP$1,Исходн.данные.!$AH334=$BP$2),0,IF(BJ334&lt;0,0,IF(Исходн.данные.!I334&lt;4.5,BJ334*1.2,IF(Исходн.данные.!I334&gt;5.1,BJ334,BJ334*((5.1-Исходн.данные.!I334)*0.333+1)))))</f>
        <v>0</v>
      </c>
      <c r="BN334" s="10">
        <f>IF(OR(Исходн.данные.!$AH334=$BP$1,Исходн.данные.!$AH334=$BP$2),60-Исходн.данные.!AF334,IF(BK334&lt;0,0,IF(Исходн.данные.!I334&lt;4.5,BK334*1.2,IF(Исходн.данные.!I334&gt;5.1,BK334,BK334*((5.1-Исходн.данные.!I334)*0.333+1)))))</f>
        <v>0</v>
      </c>
      <c r="BO334" s="9">
        <f>IF(BL334&lt;0,0,BL334*Исходн.данные.!$AJ334/1000)</f>
        <v>0</v>
      </c>
      <c r="BP334" s="9">
        <f>IF(BM334&lt;0,0,BM334*Исходн.данные.!$AJ334/1000)</f>
        <v>0</v>
      </c>
      <c r="BQ334" s="9">
        <f>IF(BN334&lt;0,0,BN334*Исходн.данные.!$AJ334/1000)</f>
        <v>0</v>
      </c>
      <c r="BR334" s="9">
        <f t="shared" si="377"/>
        <v>0</v>
      </c>
      <c r="BS334" s="10" t="str">
        <f t="shared" si="378"/>
        <v>Аммофос 12:52:00</v>
      </c>
      <c r="BT334" s="10" t="str">
        <f t="shared" si="379"/>
        <v>Аммофос 12:52:00</v>
      </c>
      <c r="BU334" s="10" t="str">
        <f t="shared" si="380"/>
        <v>Диаммофоска</v>
      </c>
      <c r="BV334" s="10">
        <f t="shared" si="381"/>
        <v>0</v>
      </c>
      <c r="BW334" s="10"/>
      <c r="BX334" s="10"/>
      <c r="BY334" s="9">
        <f>IF(BL334&lt;0,0,IF(OR(Исходн.данные.!AI334=Расчет!$BU$6,Исходн.данные.!AI334=Расчет!$BU$7),Расчет!BV334,IF(Исходн.данные.!$AG334=$BV$11,BL334,IF(OR(Исходн.данные.!$AH334=$BQ$7,Исходн.данные.!$AH334=$BQ$8),CB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0,IF(Исходн.данные.!$AI334=$BU$11,"Нет",IF(BL334&gt;30,30,BL334)))))))</f>
        <v>0</v>
      </c>
      <c r="BZ334" s="9">
        <f>IF(AND(Исходн.данные.!$AG334=$BV$11,BM334&lt;10),10,IF(Исходн.данные.!$AG334=$BV$11,BM334,IF(OR(Исходн.данные.!$AH334=$BQ$7,Исходн.данные.!$AH334=$BQ$8),CC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10,IF(Исходн.данные.!$AI334=$BU$11,"Нет",IF(BM334&gt;60,60,IF(BM334&lt;10,10,BM334)))))))</f>
        <v>10</v>
      </c>
      <c r="CA334" s="39">
        <f>IF(BN334&lt;0,0,IF(Исходн.данные.!$AG334=$BV$11,BN334,IF(OR(Исходн.данные.!$AH334=$BQ$7,Исходн.данные.!$AH334=$BQ$8),CD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0,IF(Исходн.данные.!$AI334=$BU$11,"Нет",IF(BN334&gt;30,30,BN334))))))</f>
        <v>0</v>
      </c>
      <c r="CB334" s="9">
        <f t="shared" si="382"/>
        <v>0</v>
      </c>
      <c r="CC334" s="9">
        <f t="shared" si="383"/>
        <v>0</v>
      </c>
      <c r="CD334" s="9">
        <f t="shared" si="384"/>
        <v>0</v>
      </c>
      <c r="CE334" s="12">
        <f t="shared" si="385"/>
        <v>10</v>
      </c>
      <c r="CF334" s="9">
        <f t="shared" si="386"/>
        <v>0</v>
      </c>
      <c r="CG334" s="9" t="s">
        <v>231</v>
      </c>
      <c r="CH334" s="132" t="str">
        <f>IF(Исходн.данные.!AP334=Расчет!$CI$16,"Нет",IF(Исходн.данные.!AL334&gt;0,Исходн.данные.!AL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BH$4,IF(OR(Исходн.данные.!AI334=Исходн.данные.!$AI$6,Исходн.данные.!AI334=Исходн.данные.!$AI$7),Расчет!BS334,IF(AND($CF334=0,$CE334&gt;0),EV334,ER334)))))</f>
        <v>Аммофос 12:52:00</v>
      </c>
      <c r="CI334" s="274">
        <f>IF(Расчет!$CH334="Нет","Нет",IF(Исходн.данные.!$AL334&gt;0,VLOOKUP(Расчет!$CH334,АшламаДВ_Irekle,2,FALSE),VLOOKUP(Расчет!$CH334,АшламаДВ_Gomumy,2,FALSE)))</f>
        <v>0.12</v>
      </c>
      <c r="CJ334" s="274">
        <f>IF(Расчет!$CH334="Нет","Нет",IF(Исходн.данные.!$AL334&gt;0,VLOOKUP(Расчет!$CH334,АшламаДВ_Irekle,3,FALSE),VLOOKUP(Расчет!$CH334,АшламаДВ_Gomumy,3,FALSE)))</f>
        <v>0.52</v>
      </c>
      <c r="CK334" s="274">
        <f>IF(Расчет!$CH334="Нет","Нет",IF(Исходн.данные.!$AL334&gt;0,VLOOKUP(Расчет!$CH334,АшламаДВ_Irekle,4,FALSE),VLOOKUP(Расчет!$CH334,АшламаДВ_Gomumy,4,FALSE)))</f>
        <v>0</v>
      </c>
      <c r="CL334" s="70"/>
      <c r="CM334" s="70"/>
      <c r="CN334" s="70"/>
      <c r="CO334" s="70"/>
      <c r="CP334" s="70"/>
      <c r="CQ334" s="70"/>
      <c r="CR334" s="10">
        <f t="shared" si="387"/>
        <v>0</v>
      </c>
      <c r="CS334" s="10">
        <f t="shared" si="388"/>
        <v>19.23076923076923</v>
      </c>
      <c r="CT334" s="10">
        <f t="shared" si="389"/>
        <v>0</v>
      </c>
      <c r="CU334" s="39">
        <f>IF($CH334="Нет",0,IF(CI334=0,30/MIN(CJ334:CK334),IF(Исходн.данные.!$AG334=$BV$11,CR334,IF(OR(Исходн.данные.!$AH334=$BQ$7,Исходн.данные.!$AH334=$BQ$8),90/CI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0,IF(Исходн.данные.!$AI334=$BU$11,"Нет",30/CI334))))))</f>
        <v>250</v>
      </c>
      <c r="CV334" s="39">
        <f>IF($CH334="Нет",0,IF(Исходн.данные.!AH334=0,0,IF(CJ334=0,60/MIN(CI334,CK334),IF(Исходн.данные.!$AG334=$BV$11,CS334,IF(OR(Исходн.данные.!$AH334=$BQ$7,Исходн.данные.!$AH334=$BQ$8),90/CJ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10/CJ334,IF(Исходн.данные.!$AI334=$BU$11,"Нет",60/CJ334)))))))</f>
        <v>0</v>
      </c>
      <c r="CW334" s="39">
        <f>IF($CH334="Нет",0,IF(Исходн.данные.!AH334=0,0,IF(CK334=0,30/MIN(CI334:CJ334),IF(Исходн.данные.!$AG334=$BV$11,CT334,IF(OR(Исходн.данные.!$AH334=$BQ$7,Исходн.данные.!$AH334=$BQ$8),90/CK334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0,IF(Исходн.данные.!$AI334=$BU$11,"Нет",30/CK334)))))))</f>
        <v>0</v>
      </c>
      <c r="CX334" s="133">
        <f>IF(Исходн.данные.!$AG334=$BV$11,MAX(CU334:CW334),IF(OR(Исходн.данные.!$AH334=$BS$8,Исходн.данные.!$AH334=$BQ$9,Исходн.данные.!$AH334=$BQ$10,Исходн.данные.!$AH334=$BQ$11,Исходн.данные.!$AH334=$BQ$12,Исходн.данные.!$AH334=$BP$3,Исходн.данные.!$AH334=$BT$8,$FM334="Да"),CV334,MIN(CU334:CW334)))</f>
        <v>0</v>
      </c>
      <c r="CY334" s="133">
        <f>IF(Исходн.данные.!AH334=0,0,IF(CR334&gt;$CX334,$CX334,CR334))</f>
        <v>0</v>
      </c>
      <c r="CZ334" s="133">
        <f>IF(Исходн.данные.!AH334=0,0,IF(CS334&gt;$CX334,$CX334,CS334))</f>
        <v>0</v>
      </c>
      <c r="DA334" s="133">
        <f>IF(Исходн.данные.!AH334=0,0,IF(CT334&gt;$CX334,$CX334,CT334))</f>
        <v>0</v>
      </c>
      <c r="DB334" s="10">
        <f t="shared" si="390"/>
        <v>0</v>
      </c>
      <c r="DC334" s="39">
        <f>DB334*Исходн.данные.!AJ334/1000</f>
        <v>0</v>
      </c>
      <c r="DD334" s="71">
        <f t="shared" si="391"/>
        <v>0</v>
      </c>
      <c r="DE334" s="9">
        <f t="shared" si="392"/>
        <v>0</v>
      </c>
      <c r="DF334" s="9">
        <f t="shared" si="393"/>
        <v>0</v>
      </c>
      <c r="DG334" s="39">
        <f>IF(BL334&lt;0,0,IF($CH334="Нет",BL334,IF(OR(Исходн.данные.!$AH334=$BP$1,Исходн.данные.!$AH334=$BP$2),0,IF(Исходн.данные.!AI334=$BU$11,BL334,IF(BL334-DD334&lt;0,0,BL334-DD334)))))</f>
        <v>0</v>
      </c>
      <c r="DH334" s="39">
        <f>IF(BM334&lt;0,0,IF($CH334="Нет",BM334,IF(OR(Исходн.данные.!$AH334=$BP$1,Исходн.данные.!$AH334=$BP$2),0,IF(Исходн.данные.!AJ334=$BU$11,BM334,IF(BM334-DE334&lt;0,0,BM334-DE334)))))</f>
        <v>0</v>
      </c>
      <c r="DI334" s="39">
        <f>IF(BN334&lt;0,0,IF($CH334="Нет",BN334,IF(OR(Исходн.данные.!$AH334=$BP$1,Исходн.данные.!$AH334=$BP$2),0,IF(Исходн.данные.!AK334=$BU$11,BN334,IF(BN334-DF334&lt;0,0,BN334-DF334)))))</f>
        <v>0</v>
      </c>
      <c r="DJ334" s="12">
        <f t="shared" si="394"/>
        <v>0</v>
      </c>
      <c r="DK334" s="9">
        <f t="shared" si="395"/>
        <v>0</v>
      </c>
      <c r="DL334" s="39">
        <f>IF(Исходн.данные.!AM334&gt;0,Исходн.данные.!AM334,IF(EG334&gt;0,$BH$10,0))</f>
        <v>0</v>
      </c>
      <c r="DM334" s="186">
        <f>IF($DL334=0,0,IF(Исходн.данные.!AM334&gt;0,VLOOKUP($DL334,АшламаДВ_Irekle,2,FALSE),VLOOKUP($DL334,АшламаДВ_Gomumy,2,FALSE)))</f>
        <v>0</v>
      </c>
      <c r="DN334" s="10">
        <f t="shared" si="373"/>
        <v>0</v>
      </c>
      <c r="DO334" s="9" t="str">
        <f>IF(Исходн.данные.!AN334&gt;0,Исходн.данные.!AN334,Удобрения!$B$37 )</f>
        <v>Хлор.калий</v>
      </c>
      <c r="DP334" s="9">
        <f>IF(Исходн.данные.!AN334&gt;0,VLOOKUP(Исходн.данные.!AN334,АшламаДВ_Irekle,4,FALSE),VLOOKUP(DO334,АшламаДВ_Gomumy,4,FALSE))</f>
        <v>0.6</v>
      </c>
      <c r="DQ334" s="10">
        <f t="shared" si="374"/>
        <v>0</v>
      </c>
      <c r="DR334" s="132" t="str">
        <f>IF(Исходн.данные.!AO334&gt;0,Исходн.данные.!AO334,IF(DH334=0,BS$17,IF(AND($DK334=0,$DJ334&gt;0),EJ334,EN334)))</f>
        <v>Нет</v>
      </c>
      <c r="DS334" s="70" t="str">
        <f>IF($DR334="Нет","Нет",IF(Исходн.данные.!$AO334&gt;0,VLOOKUP($DR334,АшламаДВ_Irekle,2,FALSE),VLOOKUP($DR334,АшламаДВ_Gomumy,2,FALSE)))</f>
        <v>Нет</v>
      </c>
      <c r="DT334" s="70" t="str">
        <f>IF($DR334="Нет","Нет",IF(Исходн.данные.!$AO334&gt;0,VLOOKUP($DR334,АшламаДВ_Irekle,3,FALSE),VLOOKUP($DR334,АшламаДВ_Gomumy,3,FALSE)))</f>
        <v>Нет</v>
      </c>
      <c r="DU334" s="70" t="str">
        <f>IF($DR334="Нет","Нет",IF(Исходн.данные.!$AO334&gt;0,VLOOKUP($DR334,АшламаДВ_Irekle,4,FALSE),VLOOKUP($DR334,АшламаДВ_Gomumy,4,FALSE)))</f>
        <v>Нет</v>
      </c>
      <c r="DV334" s="70"/>
      <c r="DW334" s="70"/>
      <c r="DX334" s="70"/>
      <c r="DY334" s="10">
        <f t="shared" si="396"/>
        <v>0</v>
      </c>
      <c r="DZ334" s="10">
        <f t="shared" si="397"/>
        <v>0</v>
      </c>
      <c r="EA334" s="10">
        <f t="shared" si="398"/>
        <v>0</v>
      </c>
      <c r="EB334" s="10">
        <f t="shared" si="399"/>
        <v>0</v>
      </c>
      <c r="EC334" s="10">
        <f t="shared" si="400"/>
        <v>0</v>
      </c>
      <c r="ED334" s="10">
        <f t="shared" si="401"/>
        <v>0</v>
      </c>
      <c r="EE334" s="10">
        <f t="shared" si="402"/>
        <v>0</v>
      </c>
      <c r="EF334" s="39">
        <f>EB334*Исходн.данные.!AJ334/1000</f>
        <v>0</v>
      </c>
      <c r="EG334" s="9">
        <f t="shared" si="403"/>
        <v>0</v>
      </c>
      <c r="EH334" s="9">
        <f t="shared" si="404"/>
        <v>0</v>
      </c>
      <c r="EI334" s="39" t="e">
        <f t="shared" si="354"/>
        <v>#DIV/0!</v>
      </c>
      <c r="EJ334" s="9" t="str">
        <f t="shared" si="375"/>
        <v>Азопреципитат</v>
      </c>
      <c r="EK334" s="12">
        <f t="shared" si="355"/>
        <v>0.26</v>
      </c>
      <c r="EL334" s="12">
        <f t="shared" si="356"/>
        <v>0.13</v>
      </c>
      <c r="EM334" s="12">
        <f t="shared" si="357"/>
        <v>0</v>
      </c>
      <c r="EN334" s="12" t="str">
        <f t="shared" si="376"/>
        <v>Нет</v>
      </c>
      <c r="EO334" s="12">
        <f t="shared" si="358"/>
        <v>0</v>
      </c>
      <c r="EP334" s="12">
        <f t="shared" si="359"/>
        <v>0</v>
      </c>
      <c r="EQ334" s="12">
        <f t="shared" si="360"/>
        <v>0</v>
      </c>
      <c r="ER334" s="12" t="str">
        <f t="shared" si="405"/>
        <v>Диаммофоска</v>
      </c>
      <c r="ES334" s="12">
        <f t="shared" si="361"/>
        <v>0.1</v>
      </c>
      <c r="ET334" s="12">
        <f t="shared" si="362"/>
        <v>0.26</v>
      </c>
      <c r="EU334" s="12">
        <f t="shared" si="363"/>
        <v>0.26</v>
      </c>
      <c r="EV334" s="12" t="str">
        <f t="shared" si="406"/>
        <v>Аммофос 12:52:00</v>
      </c>
      <c r="EW334" s="12" t="str">
        <f t="shared" si="407"/>
        <v>Кемира Свекловичное-6</v>
      </c>
      <c r="EX334" s="12">
        <f t="shared" si="364"/>
        <v>0.16</v>
      </c>
      <c r="EY334" s="12">
        <f t="shared" si="365"/>
        <v>0.12</v>
      </c>
      <c r="EZ334" s="12">
        <f t="shared" si="366"/>
        <v>0.17</v>
      </c>
      <c r="FA334" s="38" t="e">
        <f>IF(AND(OR(FJ334=$FD$1,FM334=$FD$1,FO334=$FD$1,FQ334=$FD$1,FS334=$FD$1),FD334=$FD$1,Исходн.данные.!J334&lt;2,FU334=$FD$1),"Бор,Кобальт",IF(AND(FO334=$FD$1,FH334=$FD$1,Исходн.данные.!J334&lt;2,FU334=$FD$1),"Бор,Кобальт",IF(AND(OR(FJ334=$FD$1,FM334=$FD$1,FQ334=$FD$1),FE334=$FD$1,Исходн.данные.!J334&lt;2,FT334=$FD$1,FU334=$FD$1),"Бор,Медь,Цинк",IF(AND(OR(FJ334=$FD$1,FR334="Да"),FI334="Да",Исходн.данные.!J334&lt;2,FT334="Да",FU334="Да"),"Бор,Цинк,Медь",IF(AND(OR(FM334="Да",FQ334="Да"),FI334="Да",Исходн.данные.!J334&lt;2,FT334="Да",FU334="Да"),"Бор,Цинк",IF(AND(FN334="Да",OR(FD334="Да",FE334="Да")),"Бор",FB334))))))</f>
        <v>#N/A</v>
      </c>
      <c r="FB334" s="134" t="e">
        <f>IF(AND(OR(FD334="Да",FE334="Да",FF334="Да",FG334="Да",FH334="Да"),FO334="Да"),"Бор",IF(AND(FP334="Да",OR(FD334="Да",FE334="Да",FI334="Да")),"Бор",IF(AND(FS334="Да",FE334="Да"),"Бор,Медь",IF(AND(OR(FJ334="Да",FK334="Да",FL334="Да"),FE334="Да",Исходн.данные.!I334&lt;5,FT334="Да",FU334="Да"),"Молибден,Цинк",IF(AND(FM334="Да",OR(FE334="Да",FF334="Да",FG334="Да",FH334="Да",FI334="Да")),"Молибден,Цинк",IF(AND(OR(FJ334="Да",FK334="Да",FL334="Да",FM334="Да",FQ334="Да"),OR(FE334="Да",FF334="Да"),FT334="Да",FU334="Да",Исходн.данные.!I334&gt;5.5),"Медь,Цинк",FC334))))))</f>
        <v>#N/A</v>
      </c>
      <c r="FC334" s="23" t="e">
        <f t="shared" si="408"/>
        <v>#N/A</v>
      </c>
      <c r="FD334" s="38" t="str">
        <f>IF(OR(Исходн.данные.!F334=$CC$1,Исходн.данные.!F334=$CC$2,Исходн.данные.!F334=$CC$3,Исходн.данные.!F334=$CC$4),"Да","Нет")</f>
        <v>Нет</v>
      </c>
      <c r="FE334" s="38" t="str">
        <f>IF(Исходн.данные.!F334=$CC$5,"Да","Нет")</f>
        <v>Нет</v>
      </c>
      <c r="FF334" s="38" t="str">
        <f>IF(OR(Исходн.данные.!F334=$CC$6,Исходн.данные.!F334=$CC$7),"Да","Нет")</f>
        <v>Нет</v>
      </c>
      <c r="FG334" s="38" t="str">
        <f>IF(OR(Исходн.данные.!F334=$CC$8,Исходн.данные.!F334=$CC$9),"Да","Нет")</f>
        <v>Нет</v>
      </c>
      <c r="FH334" s="38" t="str">
        <f>IF(Исходн.данные.!F334=$CC$10,"Да","Нет")</f>
        <v>Нет</v>
      </c>
      <c r="FI334" s="38" t="str">
        <f>IF(OR(Исходн.данные.!F334=$CC$11,Исходн.данные.!F334=$CC$12),"Да","Нет")</f>
        <v>Нет</v>
      </c>
      <c r="FJ334" s="38" t="str">
        <f>IF(OR(Исходн.данные.!AH334=$BS$1,Исходн.данные.!AH334=$BQ$11,Исходн.данные.!AH334=$BQ$12),"Да","Нет")</f>
        <v>Нет</v>
      </c>
      <c r="FK334" s="38" t="str">
        <f>IF(OR(Исходн.данные.!AH334=$BS$2,Исходн.данные.!AH334=$BS$4),"Да","Нет")</f>
        <v>Нет</v>
      </c>
      <c r="FL334" s="38" t="str">
        <f>IF(OR(Исходн.данные.!AH334=$BS$3,Исходн.данные.!AH334=$BS$5),"Да","Нет")</f>
        <v>Нет</v>
      </c>
      <c r="FM334" s="38" t="str">
        <f>IF(OR(Исходн.данные.!AH334=$BS$9,Исходн.данные.!AH334=$BS$10,Исходн.данные.!AH334=$BS$11,Исходн.данные.!AH334=$BS$12),"Да","Нет")</f>
        <v>Нет</v>
      </c>
      <c r="FN334" s="38" t="str">
        <f>IF(OR(Исходн.данные.!AH334=$BS$6,Исходн.данные.!AH334=$BP$3),"Да","Нет")</f>
        <v>Нет</v>
      </c>
      <c r="FO334" s="38" t="str">
        <f>IF(Исходн.данные.!AH334=$BQ$9,"Да","Нет")</f>
        <v>Нет</v>
      </c>
      <c r="FP334" s="38" t="str">
        <f>IF(OR(Исходн.данные.!AH334=$BS$8,Исходн.данные.!AH334=$BT$8),"Да","Нет")</f>
        <v>Нет</v>
      </c>
      <c r="FQ334" s="38" t="str">
        <f>IF(OR(Исходн.данные.!AH334=$BQ$7,Исходн.данные.!AH334=$BQ$8),"Да","Нет")</f>
        <v>Нет</v>
      </c>
      <c r="FR334" s="38" t="str">
        <f>IF(Исходн.данные.!AI334=$BU$9,"Да","Нет")</f>
        <v>Нет</v>
      </c>
      <c r="FS334" s="38" t="str">
        <f>IF(OR(Исходн.данные.!AH334=$BP$1,Исходн.данные.!AH334=$BP$2),"Да","Нет")</f>
        <v>Нет</v>
      </c>
      <c r="FT334" s="38" t="e">
        <f>IF((Исходн.данные.!K334*GO334*GS334*GW334+BL334*0.6+Исходн.данные.!Q334*4.5*0.275)&gt;90,"Да","Нет")</f>
        <v>#N/A</v>
      </c>
      <c r="FU334" s="38" t="e">
        <f>IF((Исходн.данные.!M334*GS334*GZ334+BM334*0.225)&gt;35,"Да","Нет")</f>
        <v>#N/A</v>
      </c>
      <c r="FV334" s="38" t="str">
        <f>IF(Исходн.данные.!O334&gt;175,"Да","Нет")</f>
        <v>Нет</v>
      </c>
      <c r="FW334" s="39" t="str">
        <f>IF(Исходн.данные.!I334&gt;5.5,"Да","Нет")</f>
        <v>Нет</v>
      </c>
      <c r="FX334" s="39" t="str">
        <f>IF(Исходн.данные.!J334&lt;2,"Да","Нет")</f>
        <v>Да</v>
      </c>
      <c r="FY334" s="39" t="e">
        <f>IF(HF334=$FY$16,0,Исходн.данные.!K334*GO334*GS334*GW334/HF334)</f>
        <v>#N/A</v>
      </c>
      <c r="FZ334" s="39" t="e">
        <f>Исходн.данные.!M334*GS334*GZ334/HG334</f>
        <v>#N/A</v>
      </c>
      <c r="GA334" s="39" t="e">
        <f>IF(K_Wyn=$FY$16,0,IF(Исходн.данные.!N334=Исходн.данные.!$L$10,Исходн.данные.!O334/1.1*GS334*HC334/HH334,IF(Исходн.данные.!N334=Исходн.данные.!$L$12,Исходн.данные.!O334/1.5*GS334*HC334/HH334,Исходн.данные.!O334*GS334*HC334/HH334)))</f>
        <v>#N/A</v>
      </c>
      <c r="GB334" s="39" t="e">
        <f>IF(HF334=$FY$16,0,((Исходн.данные.!Q334*N_Org+Исходн.данные.!R334*N_Sider+Исходн.данные.!S334*N_Soloma)*AO334+Расчет!BC334*VLOOKUP(Исходн.данные.!T334,Справ!$A$3:$O$57,15)*AO334+BB334*VLOOKUP(Исходн.данные.!T334,Справ!$A$3:$O$57,15)*AL334+(Исходн.данные.!V334*N_Rizotorf+Исходн.данные.!W334*N_Rizoagr))/HF334)</f>
        <v>#N/A</v>
      </c>
      <c r="GC334" s="39" t="e">
        <f>IF(HG334=$FY$16,0,((Исходн.данные.!Q334*Р_Org+Исходн.данные.!R334*P_Sider+Исходн.данные.!S334*P_Soloma)*AP334+Расчет!BC334*VLOOKUP(Исходн.данные.!T334,Справ!$A$3:$P$57,16)*AP334+BB334*VLOOKUP(Исходн.данные.!T334,Справ!$A$3:$P$57,16)*AM334)/HG334)</f>
        <v>#N/A</v>
      </c>
      <c r="GD334" s="39" t="e">
        <f>IF(HH334=$FY$16,0,((Исходн.данные.!Q334*К_Org+Исходн.данные.!R334*K_Sider+Исходн.данные.!S334*K_Soloma)*AQ334+Расчет!BC334*VLOOKUP(Исходн.данные.!T334,Справ!$A$3:$Q$57,17)*AQ334+BB334*VLOOKUP(Исходн.данные.!T334,Справ!$A$3:$Q$57,17)*AN334)/HH334)</f>
        <v>#N/A</v>
      </c>
      <c r="GE334" s="39" t="e">
        <f>IF(HF334=$FY$16,0,(Исходн.данные.!X334*AR334+Исходн.данные.!AA334*N_Org*AL334+Исходн.данные.!AB334*N_Sider*AL334+Исходн.данные.!AC334*N_Soloma*AL334)/HF334)</f>
        <v>#N/A</v>
      </c>
      <c r="GF334" s="39" t="e">
        <f>IF(HG334=$FY$16,0,(Исходн.данные.!Y334*AS334+Исходн.данные.!AA334*Р_Org*AM334+Исходн.данные.!AB334*P_Sider*AM334+Исходн.данные.!AC334*P_Soloma*AM334)/HG334)</f>
        <v>#N/A</v>
      </c>
      <c r="GG334" s="39" t="e">
        <f>IF(HH334=$FY$16,0,(Исходн.данные.!Z334*AT334+Исходн.данные.!AA334*К_Org*AN334+Исходн.данные.!AB334*K_Sider*AN334+Исходн.данные.!AC334*K_Soloma*AN334)/HH334)</f>
        <v>#N/A</v>
      </c>
      <c r="GH334" s="39" t="e">
        <f>Исходн.данные.!AD334*AU334/HF334</f>
        <v>#N/A</v>
      </c>
      <c r="GI334" s="39" t="e">
        <f>Исходн.данные.!AE334*AV334/HG334</f>
        <v>#N/A</v>
      </c>
      <c r="GJ334" s="39" t="e">
        <f>Исходн.данные.!AF334*AW334/HH334</f>
        <v>#N/A</v>
      </c>
      <c r="GK334" s="55">
        <f>Исходн.данные.!AK334</f>
        <v>0</v>
      </c>
      <c r="GL334" s="11" t="e">
        <f t="shared" si="409"/>
        <v>#N/A</v>
      </c>
      <c r="GM334" s="11" t="e">
        <f t="shared" si="410"/>
        <v>#N/A</v>
      </c>
      <c r="GN334" s="11" t="e">
        <f t="shared" si="411"/>
        <v>#N/A</v>
      </c>
      <c r="GO334" s="57">
        <f t="shared" si="412"/>
        <v>19</v>
      </c>
      <c r="GP334" s="55">
        <f>IF(OR(Исходн.данные.!F334=$CE$1,Исходн.данные.!F334=$CE$2,Исходн.данные.!F334=$CE$3,Исходн.данные.!F334=$CE$4,Исходн.данные.!F334=$CE$5),GQ334,GR334)</f>
        <v>19</v>
      </c>
      <c r="GQ334" s="55">
        <f>IF(Исходн.данные.!F334=$CE$1,28,IF(Исходн.данные.!F334=$CE$2,26,IF(Исходн.данные.!F334=$CE$3,24,IF(Исходн.данные.!F334=$CE$4,22,IF(Исходн.данные.!F334=$CE$5,20,GR334)))))</f>
        <v>19</v>
      </c>
      <c r="GR334" s="55">
        <f>IF(Исходн.данные.!F334=$CE$6,18,IF(Исходн.данные.!F334=$CE$7,16,IF(Исходн.данные.!F334=$CE$8,14,IF(Исходн.данные.!F334=$CE$9,13,IF(Исходн.данные.!F334=$CE$10,12,19)))))</f>
        <v>19</v>
      </c>
      <c r="GS334" s="55">
        <f>IF(Исходн.данные.!G334="Пес",0.035*(40+2*Исходн.данные.!H334),IF(Исходн.данные.!G334="Суп",0.0325*(40+2*Исходн.данные.!H334),0.03*(40+2*Исходн.данные.!H334)))</f>
        <v>1.2</v>
      </c>
      <c r="GT334" s="55">
        <f>IF(Исходн.данные.!H334&lt;23,2.6,IF(AND(Исходн.данные.!H334&gt;22,Исходн.данные.!H334&lt;26),3,IF(AND(Исходн.данные.!H334&gt;25,Исходн.данные.!H334&lt;29),3.4,3.6)))</f>
        <v>2.6</v>
      </c>
      <c r="GU334" s="55">
        <f>IF(Исходн.данные.!H334&lt;23,2.8,IF(AND(Исходн.данные.!H334&gt;22,Исходн.данные.!H334&lt;26),3.2,IF(AND(Исходн.данные.!H334&gt;25,Исходн.данные.!H334&lt;29),3.6,3.9)))</f>
        <v>2.8</v>
      </c>
      <c r="GV334" s="55">
        <f>IF(Исходн.данные.!H334&lt;23,3,IF(AND(Исходн.данные.!H334&gt;22,Исходн.данные.!H334&lt;26),3.5,IF(AND(Исходн.данные.!H334&gt;25,Исходн.данные.!H334&lt;29),3.9,4.2)))</f>
        <v>3</v>
      </c>
      <c r="GW334" s="55" t="e">
        <f>IF(Исходн.данные.!P334="Ум",GX334,GY334)</f>
        <v>#N/A</v>
      </c>
      <c r="GX334" s="55" t="e">
        <f>VLOOKUP(Исходн.данные.!AI334,Коэффициенты!$J$7:$L$13,2,FALSE)</f>
        <v>#N/A</v>
      </c>
      <c r="GY334" s="55" t="e">
        <f>VLOOKUP(Исходн.данные.!AI334,Коэффициенты!$J$7:$L$13,3,FALSE)</f>
        <v>#N/A</v>
      </c>
      <c r="GZ334" s="55" t="e">
        <f>(IF(Исходн.данные.!M334&lt;50,0.11*VLOOKUP(Исходн.данные.!AH334,Культуры.Информация,7,FALSE),IF(Исходн.данные.!M334&gt;250,0.05*VLOOKUP(Исходн.данные.!AH334,Культуры.Информация,7,FALSE),VLOOKUP(Исходн.данные.!AH334,Культуры.Информация,5,FALSE)/100*($GX$6+$GY$6*Исходн.данные.!M334))))*Расчет2!AI334</f>
        <v>#N/A</v>
      </c>
      <c r="HA334" s="211"/>
      <c r="HB334" s="211"/>
      <c r="HC334" s="55" t="e">
        <f>(IF(Исходн.данные.!O334&lt;80,0.2*VLOOKUP(Исходн.данные.!AH334,Культуры.Информация,8,FALSE),IF(Исходн.данные.!O334&gt;240,0.09*VLOOKUP(Исходн.данные.!AH334,Культуры.Информация,8,FALSE),VLOOKUP(Исходн.данные.!AH334,Культуры.Информация,6,FALSE)/100*($HB$6+$HC$6*Исходн.данные.!O334))))*Расчет2!AJ334</f>
        <v>#N/A</v>
      </c>
      <c r="HD334" s="55">
        <f>IF(Исходн.данные.!O334&gt;240,0.09,IF(Исходн.данные.!O334&lt;30,0.3,$HE$10+$HD$10*Исходн.данные.!O334))</f>
        <v>0.3</v>
      </c>
      <c r="HE334" s="55">
        <f>IF(Исходн.данные.!O334&gt;240,0.17,IF(Исходн.данные.!O334&lt;30,0.5,$HF$12+$HE$12*Исходн.данные.!O334))</f>
        <v>0.5</v>
      </c>
      <c r="HF334" s="55" t="e">
        <f>VLOOKUP(Исходн.данные.!AH334,Справ!$A$3:$D$58,2,FALSE)</f>
        <v>#N/A</v>
      </c>
      <c r="HG334" s="55" t="e">
        <f>VLOOKUP(Исходн.данные.!AH334,Справ!$A$3:$D$58,3,FALSE)</f>
        <v>#N/A</v>
      </c>
      <c r="HH334" s="55" t="e">
        <f>VLOOKUP(Исходн.данные.!AH334,Справ!$A$3:$D$58,4,FALSE)</f>
        <v>#N/A</v>
      </c>
      <c r="HI334" s="11" t="e">
        <f t="shared" si="413"/>
        <v>#N/A</v>
      </c>
      <c r="HJ334" s="11" t="e">
        <f t="shared" si="414"/>
        <v>#N/A</v>
      </c>
      <c r="HK334" s="11" t="e">
        <f t="shared" si="415"/>
        <v>#N/A</v>
      </c>
      <c r="HL334" s="55">
        <f>IF(OR(Исходн.данные.!G334="Глин",Исходн.данные.!G334="Т_суг"),1.1,IF(Исходн.данные.!G334="Ср_суг",1,1))</f>
        <v>1</v>
      </c>
      <c r="HM334" s="55">
        <f>IF(OR(Исходн.данные.!G334="Глин",Исходн.данные.!G334="Т_суг"),0.9,IF(Исходн.данные.!G334="Ср_суг",1,1.2))</f>
        <v>1.2</v>
      </c>
      <c r="HN334" s="11" t="e">
        <f t="shared" si="416"/>
        <v>#N/A</v>
      </c>
      <c r="HO334" s="11" t="e">
        <f t="shared" si="417"/>
        <v>#N/A</v>
      </c>
      <c r="HP334" s="11" t="e">
        <f t="shared" si="418"/>
        <v>#N/A</v>
      </c>
      <c r="HQ334" t="e">
        <f t="shared" si="419"/>
        <v>#N/A</v>
      </c>
      <c r="HR334" t="e">
        <f t="shared" si="420"/>
        <v>#N/A</v>
      </c>
      <c r="HS334" t="e">
        <f t="shared" si="421"/>
        <v>#N/A</v>
      </c>
      <c r="HT334" t="e">
        <f t="shared" si="367"/>
        <v>#N/A</v>
      </c>
      <c r="HU334" t="e">
        <f t="shared" si="368"/>
        <v>#N/A</v>
      </c>
      <c r="HV334" t="e">
        <f t="shared" si="369"/>
        <v>#N/A</v>
      </c>
      <c r="HW334" t="e">
        <f t="shared" si="370"/>
        <v>#N/A</v>
      </c>
      <c r="HX334" t="e">
        <f t="shared" si="371"/>
        <v>#N/A</v>
      </c>
      <c r="HY334" t="e">
        <f t="shared" si="372"/>
        <v>#N/A</v>
      </c>
      <c r="HZ334" s="55">
        <f>IF(OR(Исходн.данные.!AI334="Оз_Ч_П",Исходн.данные.!AI334="Оз_З_П",Исходн.данные.!AI334="Яр_зер"),12,30)</f>
        <v>30</v>
      </c>
      <c r="IA334" t="e">
        <f t="shared" si="422"/>
        <v>#N/A</v>
      </c>
      <c r="IB334" t="e">
        <f t="shared" si="423"/>
        <v>#N/A</v>
      </c>
      <c r="IC334" t="e">
        <f t="shared" si="424"/>
        <v>#N/A</v>
      </c>
      <c r="ID334" s="11" t="e">
        <f t="shared" si="425"/>
        <v>#N/A</v>
      </c>
      <c r="IE334" s="11" t="e">
        <f t="shared" si="426"/>
        <v>#N/A</v>
      </c>
      <c r="IF334" s="11" t="e">
        <f t="shared" si="427"/>
        <v>#N/A</v>
      </c>
    </row>
    <row r="335" spans="35:240" x14ac:dyDescent="0.2">
      <c r="AI335">
        <f>IF(Исходн.данные.!I335&gt;6,1,1.85-(0.148*Исходн.данные.!I335))</f>
        <v>1.85</v>
      </c>
      <c r="AJ335">
        <f>IF(Исходн.данные.!I335&gt;6,1,2.434-(0.246*Исходн.данные.!I335))</f>
        <v>2.4340000000000002</v>
      </c>
      <c r="AL335" s="148" t="b">
        <f>IF(Исходн.данные.!$P335="Ум",N_OrgUd_2g_um,IF(Исходн.данные.!$P335="Об",N_OrgUd_2g_ob))</f>
        <v>0</v>
      </c>
      <c r="AM335" s="148" t="b">
        <f>IF(Исходн.данные.!$P335="Ум",P_OrgUd_2g_um,IF(Исходн.данные.!$P335="Об",P_OrgUd_2g_ob))</f>
        <v>0</v>
      </c>
      <c r="AN335" s="148" t="b">
        <f>IF(Исходн.данные.!$P335="Ум",K_OrgUd_2g_um,IF(Исходн.данные.!$P335="Об",K_OrgUd_2g_ob))</f>
        <v>0</v>
      </c>
      <c r="AO335" s="148" t="b">
        <f>IF(Исходн.данные.!$P335="Ум",N_OrgUd_1g_um,IF(Исходн.данные.!$P335="Об",N_OrgUd_1g_ob))</f>
        <v>0</v>
      </c>
      <c r="AP335" s="148" t="b">
        <f>IF(Исходн.данные.!$P335="Ум",P_OrgUd_1g_um,IF(Исходн.данные.!$P335="Об",P_OrgUd_1g_ob))</f>
        <v>0</v>
      </c>
      <c r="AQ335" s="148" t="b">
        <f>IF(Исходн.данные.!$P335="Ум",K_OrgUd_1g_um,IF(Исходн.данные.!$P335="Об",K_OrgUd_1g_ob))</f>
        <v>0</v>
      </c>
      <c r="AR335" t="b">
        <f>IF(Исходн.данные.!$P335="Ум",N_MinUd_2g_um,IF(Исходн.данные.!$P335="Об",N_MinUd_2g_ob))</f>
        <v>0</v>
      </c>
      <c r="AS335" t="b">
        <f>IF(Исходн.данные.!$P335="Ум",P_MinUd_2g_um,IF(Исходн.данные.!$P335="Об",P_MinUd_2g_ob))</f>
        <v>0</v>
      </c>
      <c r="AT335" t="b">
        <f>IF(Исходн.данные.!$P335="Ум",K_MinUd_2g_um,IF(Исходн.данные.!$P335="Об",K_MinUd_2g_ob))</f>
        <v>0</v>
      </c>
      <c r="AU335" t="b">
        <f>IF(Исходн.данные.!$P335="Ум",N_MinUd_1g_um,IF(Исходн.данные.!$P335="Об",N_MinUd_1g_ob))</f>
        <v>0</v>
      </c>
      <c r="AV335" t="b">
        <f>IF(Исходн.данные.!P335="Ум",P_MinUd_1g_um,IF(Исходн.данные.!P335="Об",P_MinUd_1g_ob))</f>
        <v>0</v>
      </c>
      <c r="AW335" t="b">
        <f>IF(Исходн.данные.!P335="Ум",K_MinUd_1g_um,IF(Исходн.данные.!P335="Об",K_MinUd_1g_ob))</f>
        <v>0</v>
      </c>
      <c r="AY335" t="e">
        <f>VLOOKUP(Исходн.данные.!T335,Справ!$A$3:$N$57,12)</f>
        <v>#N/A</v>
      </c>
      <c r="AZ335" t="e">
        <f>VLOOKUP(Исходн.данные.!T335,Справ!$A$3:$N$57,13)</f>
        <v>#N/A</v>
      </c>
      <c r="BA335" t="e">
        <f>VLOOKUP(Исходн.данные.!T335,Справ!$A$3:$N$57,14)</f>
        <v>#N/A</v>
      </c>
      <c r="BB335">
        <f>IF(Исходн.данные.!AH335=0,0,25)</f>
        <v>0</v>
      </c>
      <c r="BC335" s="141">
        <f>IF(Исходн.данные.!AH335=0,0,IF(Исходн.данные.!T335=0,25,BD335))</f>
        <v>0</v>
      </c>
      <c r="BD335" s="168" t="e">
        <f>AY335+AZ335*Исходн.данные.!U335-POWER(BA335,2)*Исходн.данные.!U335</f>
        <v>#N/A</v>
      </c>
      <c r="BE33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5" s="25">
        <f>IF(Исходн.данные.!AH335=0,0,MIN(HN335:HP335))</f>
        <v>0</v>
      </c>
      <c r="BG335" s="9">
        <f>IF(Исходн.данные.!AH335=0,0,IF((HO335+10*0.25/HG335/HL335)&lt;17,17,HO335+10*0.25/HG335/HL335))</f>
        <v>0</v>
      </c>
      <c r="BH335" s="181">
        <f>IF(Исходн.данные.!AH335=0,0,HW335*HF335*HL335/AU335*AI335+Исходн.данные.!S335*10)</f>
        <v>0</v>
      </c>
      <c r="BI335" s="10"/>
      <c r="BJ335" s="182">
        <f>IF(Исходн.данные.!AH335=0,0,IF(HX335*HG335*HL335/AV335&lt;0,0,HX335*HG335*HL335/AV335*AJ335))</f>
        <v>0</v>
      </c>
      <c r="BK335" s="182">
        <f>IF(Исходн.данные.!AH335=0,0,HY335*HH335*HM335/AW335)</f>
        <v>0</v>
      </c>
      <c r="BL335" s="10">
        <f>IF(OR(Исходн.данные.!$AH335=$BP$1,Исходн.данные.!$AH335=$BP$2),0,IF(BH335&lt;0,0,IF(OR(Исходн.данные.!T335=Расчет!$BP$1,Исходн.данные.!T335=Расчет!$BP$2,Исходн.данные.!T335=Расчет!$BT$5,Исходн.данные.!T335=Расчет!$BT$6),BH335*0.5,IF(OR(Исходн.данные.!T335=Расчет!$BS$9,Исходн.данные.!T335=Расчет!$BS$10,Исходн.данные.!T335=Расчет!$BS$11,Исходн.данные.!T335=Расчет!$BS$12,Исходн.данные.!T335=Расчет!$BP$5),BH335*0.8,BH335))))</f>
        <v>0</v>
      </c>
      <c r="BM335" s="10">
        <f>IF(OR(Исходн.данные.!$AH335=$BP$1,Исходн.данные.!$AH335=$BP$2),0,IF(BJ335&lt;0,0,IF(Исходн.данные.!I335&lt;4.5,BJ335*1.2,IF(Исходн.данные.!I335&gt;5.1,BJ335,BJ335*((5.1-Исходн.данные.!I335)*0.333+1)))))</f>
        <v>0</v>
      </c>
      <c r="BN335" s="10">
        <f>IF(OR(Исходн.данные.!$AH335=$BP$1,Исходн.данные.!$AH335=$BP$2),60-Исходн.данные.!AF335,IF(BK335&lt;0,0,IF(Исходн.данные.!I335&lt;4.5,BK335*1.2,IF(Исходн.данные.!I335&gt;5.1,BK335,BK335*((5.1-Исходн.данные.!I335)*0.333+1)))))</f>
        <v>0</v>
      </c>
      <c r="BO335" s="9">
        <f>IF(BL335&lt;0,0,BL335*Исходн.данные.!$AJ335/1000)</f>
        <v>0</v>
      </c>
      <c r="BP335" s="9">
        <f>IF(BM335&lt;0,0,BM335*Исходн.данные.!$AJ335/1000)</f>
        <v>0</v>
      </c>
      <c r="BQ335" s="9">
        <f>IF(BN335&lt;0,0,BN335*Исходн.данные.!$AJ335/1000)</f>
        <v>0</v>
      </c>
      <c r="BR335" s="9">
        <f t="shared" si="377"/>
        <v>0</v>
      </c>
      <c r="BS335" s="10" t="str">
        <f t="shared" si="378"/>
        <v>Аммофос 12:52:00</v>
      </c>
      <c r="BT335" s="10" t="str">
        <f t="shared" si="379"/>
        <v>Аммофос 12:52:00</v>
      </c>
      <c r="BU335" s="10" t="str">
        <f t="shared" si="380"/>
        <v>Диаммофоска</v>
      </c>
      <c r="BV335" s="10">
        <f t="shared" si="381"/>
        <v>0</v>
      </c>
      <c r="BW335" s="10"/>
      <c r="BX335" s="10"/>
      <c r="BY335" s="9">
        <f>IF(BL335&lt;0,0,IF(OR(Исходн.данные.!AI335=Расчет!$BU$6,Исходн.данные.!AI335=Расчет!$BU$7),Расчет!BV335,IF(Исходн.данные.!$AG335=$BV$11,BL335,IF(OR(Исходн.данные.!$AH335=$BQ$7,Исходн.данные.!$AH335=$BQ$8),CB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0,IF(Исходн.данные.!$AI335=$BU$11,"Нет",IF(BL335&gt;30,30,BL335)))))))</f>
        <v>0</v>
      </c>
      <c r="BZ335" s="9">
        <f>IF(AND(Исходн.данные.!$AG335=$BV$11,BM335&lt;10),10,IF(Исходн.данные.!$AG335=$BV$11,BM335,IF(OR(Исходн.данные.!$AH335=$BQ$7,Исходн.данные.!$AH335=$BQ$8),CC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10,IF(Исходн.данные.!$AI335=$BU$11,"Нет",IF(BM335&gt;60,60,IF(BM335&lt;10,10,BM335)))))))</f>
        <v>10</v>
      </c>
      <c r="CA335" s="39">
        <f>IF(BN335&lt;0,0,IF(Исходн.данные.!$AG335=$BV$11,BN335,IF(OR(Исходн.данные.!$AH335=$BQ$7,Исходн.данные.!$AH335=$BQ$8),CD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0,IF(Исходн.данные.!$AI335=$BU$11,"Нет",IF(BN335&gt;30,30,BN335))))))</f>
        <v>0</v>
      </c>
      <c r="CB335" s="9">
        <f t="shared" si="382"/>
        <v>0</v>
      </c>
      <c r="CC335" s="9">
        <f t="shared" si="383"/>
        <v>0</v>
      </c>
      <c r="CD335" s="9">
        <f t="shared" si="384"/>
        <v>0</v>
      </c>
      <c r="CE335" s="12">
        <f t="shared" si="385"/>
        <v>10</v>
      </c>
      <c r="CF335" s="9">
        <f t="shared" si="386"/>
        <v>0</v>
      </c>
      <c r="CG335" s="9" t="s">
        <v>231</v>
      </c>
      <c r="CH335" s="132" t="str">
        <f>IF(Исходн.данные.!AP335=Расчет!$CI$16,"Нет",IF(Исходн.данные.!AL335&gt;0,Исходн.данные.!AL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BH$4,IF(OR(Исходн.данные.!AI335=Исходн.данные.!$AI$6,Исходн.данные.!AI335=Исходн.данные.!$AI$7),Расчет!BS335,IF(AND($CF335=0,$CE335&gt;0),EV335,ER335)))))</f>
        <v>Аммофос 12:52:00</v>
      </c>
      <c r="CI335" s="274">
        <f>IF(Расчет!$CH335="Нет","Нет",IF(Исходн.данные.!$AL335&gt;0,VLOOKUP(Расчет!$CH335,АшламаДВ_Irekle,2,FALSE),VLOOKUP(Расчет!$CH335,АшламаДВ_Gomumy,2,FALSE)))</f>
        <v>0.12</v>
      </c>
      <c r="CJ335" s="274">
        <f>IF(Расчет!$CH335="Нет","Нет",IF(Исходн.данные.!$AL335&gt;0,VLOOKUP(Расчет!$CH335,АшламаДВ_Irekle,3,FALSE),VLOOKUP(Расчет!$CH335,АшламаДВ_Gomumy,3,FALSE)))</f>
        <v>0.52</v>
      </c>
      <c r="CK335" s="274">
        <f>IF(Расчет!$CH335="Нет","Нет",IF(Исходн.данные.!$AL335&gt;0,VLOOKUP(Расчет!$CH335,АшламаДВ_Irekle,4,FALSE),VLOOKUP(Расчет!$CH335,АшламаДВ_Gomumy,4,FALSE)))</f>
        <v>0</v>
      </c>
      <c r="CL335" s="70"/>
      <c r="CM335" s="70"/>
      <c r="CN335" s="70"/>
      <c r="CO335" s="70"/>
      <c r="CP335" s="70"/>
      <c r="CQ335" s="70"/>
      <c r="CR335" s="10">
        <f t="shared" si="387"/>
        <v>0</v>
      </c>
      <c r="CS335" s="10">
        <f t="shared" si="388"/>
        <v>19.23076923076923</v>
      </c>
      <c r="CT335" s="10">
        <f t="shared" si="389"/>
        <v>0</v>
      </c>
      <c r="CU335" s="39">
        <f>IF($CH335="Нет",0,IF(CI335=0,30/MIN(CJ335:CK335),IF(Исходн.данные.!$AG335=$BV$11,CR335,IF(OR(Исходн.данные.!$AH335=$BQ$7,Исходн.данные.!$AH335=$BQ$8),90/CI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0,IF(Исходн.данные.!$AI335=$BU$11,"Нет",30/CI335))))))</f>
        <v>250</v>
      </c>
      <c r="CV335" s="39">
        <f>IF($CH335="Нет",0,IF(Исходн.данные.!AH335=0,0,IF(CJ335=0,60/MIN(CI335,CK335),IF(Исходн.данные.!$AG335=$BV$11,CS335,IF(OR(Исходн.данные.!$AH335=$BQ$7,Исходн.данные.!$AH335=$BQ$8),90/CJ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10/CJ335,IF(Исходн.данные.!$AI335=$BU$11,"Нет",60/CJ335)))))))</f>
        <v>0</v>
      </c>
      <c r="CW335" s="39">
        <f>IF($CH335="Нет",0,IF(Исходн.данные.!AH335=0,0,IF(CK335=0,30/MIN(CI335:CJ335),IF(Исходн.данные.!$AG335=$BV$11,CT335,IF(OR(Исходн.данные.!$AH335=$BQ$7,Исходн.данные.!$AH335=$BQ$8),90/CK335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0,IF(Исходн.данные.!$AI335=$BU$11,"Нет",30/CK335)))))))</f>
        <v>0</v>
      </c>
      <c r="CX335" s="133">
        <f>IF(Исходн.данные.!$AG335=$BV$11,MAX(CU335:CW335),IF(OR(Исходн.данные.!$AH335=$BS$8,Исходн.данные.!$AH335=$BQ$9,Исходн.данные.!$AH335=$BQ$10,Исходн.данные.!$AH335=$BQ$11,Исходн.данные.!$AH335=$BQ$12,Исходн.данные.!$AH335=$BP$3,Исходн.данные.!$AH335=$BT$8,$FM335="Да"),CV335,MIN(CU335:CW335)))</f>
        <v>0</v>
      </c>
      <c r="CY335" s="133">
        <f>IF(Исходн.данные.!AH335=0,0,IF(CR335&gt;$CX335,$CX335,CR335))</f>
        <v>0</v>
      </c>
      <c r="CZ335" s="133">
        <f>IF(Исходн.данные.!AH335=0,0,IF(CS335&gt;$CX335,$CX335,CS335))</f>
        <v>0</v>
      </c>
      <c r="DA335" s="133">
        <f>IF(Исходн.данные.!AH335=0,0,IF(CT335&gt;$CX335,$CX335,CT335))</f>
        <v>0</v>
      </c>
      <c r="DB335" s="10">
        <f t="shared" si="390"/>
        <v>0</v>
      </c>
      <c r="DC335" s="39">
        <f>DB335*Исходн.данные.!AJ335/1000</f>
        <v>0</v>
      </c>
      <c r="DD335" s="71">
        <f t="shared" si="391"/>
        <v>0</v>
      </c>
      <c r="DE335" s="9">
        <f t="shared" si="392"/>
        <v>0</v>
      </c>
      <c r="DF335" s="9">
        <f t="shared" si="393"/>
        <v>0</v>
      </c>
      <c r="DG335" s="39">
        <f>IF(BL335&lt;0,0,IF($CH335="Нет",BL335,IF(OR(Исходн.данные.!$AH335=$BP$1,Исходн.данные.!$AH335=$BP$2),0,IF(Исходн.данные.!AI335=$BU$11,BL335,IF(BL335-DD335&lt;0,0,BL335-DD335)))))</f>
        <v>0</v>
      </c>
      <c r="DH335" s="39">
        <f>IF(BM335&lt;0,0,IF($CH335="Нет",BM335,IF(OR(Исходн.данные.!$AH335=$BP$1,Исходн.данные.!$AH335=$BP$2),0,IF(Исходн.данные.!AJ335=$BU$11,BM335,IF(BM335-DE335&lt;0,0,BM335-DE335)))))</f>
        <v>0</v>
      </c>
      <c r="DI335" s="39">
        <f>IF(BN335&lt;0,0,IF($CH335="Нет",BN335,IF(OR(Исходн.данные.!$AH335=$BP$1,Исходн.данные.!$AH335=$BP$2),0,IF(Исходн.данные.!AK335=$BU$11,BN335,IF(BN335-DF335&lt;0,0,BN335-DF335)))))</f>
        <v>0</v>
      </c>
      <c r="DJ335" s="12">
        <f t="shared" si="394"/>
        <v>0</v>
      </c>
      <c r="DK335" s="9">
        <f t="shared" si="395"/>
        <v>0</v>
      </c>
      <c r="DL335" s="39">
        <f>IF(Исходн.данные.!AM335&gt;0,Исходн.данные.!AM335,IF(EG335&gt;0,$BH$10,0))</f>
        <v>0</v>
      </c>
      <c r="DM335" s="186">
        <f>IF($DL335=0,0,IF(Исходн.данные.!AM335&gt;0,VLOOKUP($DL335,АшламаДВ_Irekle,2,FALSE),VLOOKUP($DL335,АшламаДВ_Gomumy,2,FALSE)))</f>
        <v>0</v>
      </c>
      <c r="DN335" s="10">
        <f t="shared" si="373"/>
        <v>0</v>
      </c>
      <c r="DO335" s="9" t="str">
        <f>IF(Исходн.данные.!AN335&gt;0,Исходн.данные.!AN335,Удобрения!$B$37 )</f>
        <v>Хлор.калий</v>
      </c>
      <c r="DP335" s="9">
        <f>IF(Исходн.данные.!AN335&gt;0,VLOOKUP(Исходн.данные.!AN335,АшламаДВ_Irekle,4,FALSE),VLOOKUP(DO335,АшламаДВ_Gomumy,4,FALSE))</f>
        <v>0.6</v>
      </c>
      <c r="DQ335" s="10">
        <f t="shared" si="374"/>
        <v>0</v>
      </c>
      <c r="DR335" s="132" t="str">
        <f>IF(Исходн.данные.!AO335&gt;0,Исходн.данные.!AO335,IF(DH335=0,BS$17,IF(AND($DK335=0,$DJ335&gt;0),EJ335,EN335)))</f>
        <v>Нет</v>
      </c>
      <c r="DS335" s="70" t="str">
        <f>IF($DR335="Нет","Нет",IF(Исходн.данные.!$AO335&gt;0,VLOOKUP($DR335,АшламаДВ_Irekle,2,FALSE),VLOOKUP($DR335,АшламаДВ_Gomumy,2,FALSE)))</f>
        <v>Нет</v>
      </c>
      <c r="DT335" s="70" t="str">
        <f>IF($DR335="Нет","Нет",IF(Исходн.данные.!$AO335&gt;0,VLOOKUP($DR335,АшламаДВ_Irekle,3,FALSE),VLOOKUP($DR335,АшламаДВ_Gomumy,3,FALSE)))</f>
        <v>Нет</v>
      </c>
      <c r="DU335" s="70" t="str">
        <f>IF($DR335="Нет","Нет",IF(Исходн.данные.!$AO335&gt;0,VLOOKUP($DR335,АшламаДВ_Irekle,4,FALSE),VLOOKUP($DR335,АшламаДВ_Gomumy,4,FALSE)))</f>
        <v>Нет</v>
      </c>
      <c r="DV335" s="70"/>
      <c r="DW335" s="70"/>
      <c r="DX335" s="70"/>
      <c r="DY335" s="10">
        <f t="shared" si="396"/>
        <v>0</v>
      </c>
      <c r="DZ335" s="10">
        <f t="shared" si="397"/>
        <v>0</v>
      </c>
      <c r="EA335" s="10">
        <f t="shared" si="398"/>
        <v>0</v>
      </c>
      <c r="EB335" s="10">
        <f t="shared" si="399"/>
        <v>0</v>
      </c>
      <c r="EC335" s="10">
        <f t="shared" si="400"/>
        <v>0</v>
      </c>
      <c r="ED335" s="10">
        <f t="shared" si="401"/>
        <v>0</v>
      </c>
      <c r="EE335" s="10">
        <f t="shared" si="402"/>
        <v>0</v>
      </c>
      <c r="EF335" s="39">
        <f>EB335*Исходн.данные.!AJ335/1000</f>
        <v>0</v>
      </c>
      <c r="EG335" s="9">
        <f t="shared" si="403"/>
        <v>0</v>
      </c>
      <c r="EH335" s="9">
        <f t="shared" si="404"/>
        <v>0</v>
      </c>
      <c r="EI335" s="39" t="e">
        <f t="shared" si="354"/>
        <v>#DIV/0!</v>
      </c>
      <c r="EJ335" s="9" t="str">
        <f t="shared" si="375"/>
        <v>Азопреципитат</v>
      </c>
      <c r="EK335" s="12">
        <f t="shared" si="355"/>
        <v>0.26</v>
      </c>
      <c r="EL335" s="12">
        <f t="shared" si="356"/>
        <v>0.13</v>
      </c>
      <c r="EM335" s="12">
        <f t="shared" si="357"/>
        <v>0</v>
      </c>
      <c r="EN335" s="12" t="str">
        <f t="shared" si="376"/>
        <v>Нет</v>
      </c>
      <c r="EO335" s="12">
        <f t="shared" si="358"/>
        <v>0</v>
      </c>
      <c r="EP335" s="12">
        <f t="shared" si="359"/>
        <v>0</v>
      </c>
      <c r="EQ335" s="12">
        <f t="shared" si="360"/>
        <v>0</v>
      </c>
      <c r="ER335" s="12" t="str">
        <f t="shared" si="405"/>
        <v>Диаммофоска</v>
      </c>
      <c r="ES335" s="12">
        <f t="shared" si="361"/>
        <v>0.1</v>
      </c>
      <c r="ET335" s="12">
        <f t="shared" si="362"/>
        <v>0.26</v>
      </c>
      <c r="EU335" s="12">
        <f t="shared" si="363"/>
        <v>0.26</v>
      </c>
      <c r="EV335" s="12" t="str">
        <f t="shared" si="406"/>
        <v>Аммофос 12:52:00</v>
      </c>
      <c r="EW335" s="12" t="str">
        <f t="shared" si="407"/>
        <v>Кемира Свекловичное-6</v>
      </c>
      <c r="EX335" s="12">
        <f t="shared" si="364"/>
        <v>0.16</v>
      </c>
      <c r="EY335" s="12">
        <f t="shared" si="365"/>
        <v>0.12</v>
      </c>
      <c r="EZ335" s="12">
        <f t="shared" si="366"/>
        <v>0.17</v>
      </c>
      <c r="FA335" s="38" t="e">
        <f>IF(AND(OR(FJ335=$FD$1,FM335=$FD$1,FO335=$FD$1,FQ335=$FD$1,FS335=$FD$1),FD335=$FD$1,Исходн.данные.!J335&lt;2,FU335=$FD$1),"Бор,Кобальт",IF(AND(FO335=$FD$1,FH335=$FD$1,Исходн.данные.!J335&lt;2,FU335=$FD$1),"Бор,Кобальт",IF(AND(OR(FJ335=$FD$1,FM335=$FD$1,FQ335=$FD$1),FE335=$FD$1,Исходн.данные.!J335&lt;2,FT335=$FD$1,FU335=$FD$1),"Бор,Медь,Цинк",IF(AND(OR(FJ335=$FD$1,FR335="Да"),FI335="Да",Исходн.данные.!J335&lt;2,FT335="Да",FU335="Да"),"Бор,Цинк,Медь",IF(AND(OR(FM335="Да",FQ335="Да"),FI335="Да",Исходн.данные.!J335&lt;2,FT335="Да",FU335="Да"),"Бор,Цинк",IF(AND(FN335="Да",OR(FD335="Да",FE335="Да")),"Бор",FB335))))))</f>
        <v>#N/A</v>
      </c>
      <c r="FB335" s="134" t="e">
        <f>IF(AND(OR(FD335="Да",FE335="Да",FF335="Да",FG335="Да",FH335="Да"),FO335="Да"),"Бор",IF(AND(FP335="Да",OR(FD335="Да",FE335="Да",FI335="Да")),"Бор",IF(AND(FS335="Да",FE335="Да"),"Бор,Медь",IF(AND(OR(FJ335="Да",FK335="Да",FL335="Да"),FE335="Да",Исходн.данные.!I335&lt;5,FT335="Да",FU335="Да"),"Молибден,Цинк",IF(AND(FM335="Да",OR(FE335="Да",FF335="Да",FG335="Да",FH335="Да",FI335="Да")),"Молибден,Цинк",IF(AND(OR(FJ335="Да",FK335="Да",FL335="Да",FM335="Да",FQ335="Да"),OR(FE335="Да",FF335="Да"),FT335="Да",FU335="Да",Исходн.данные.!I335&gt;5.5),"Медь,Цинк",FC335))))))</f>
        <v>#N/A</v>
      </c>
      <c r="FC335" s="23" t="e">
        <f t="shared" si="408"/>
        <v>#N/A</v>
      </c>
      <c r="FD335" s="38" t="str">
        <f>IF(OR(Исходн.данные.!F335=$CC$1,Исходн.данные.!F335=$CC$2,Исходн.данные.!F335=$CC$3,Исходн.данные.!F335=$CC$4),"Да","Нет")</f>
        <v>Нет</v>
      </c>
      <c r="FE335" s="38" t="str">
        <f>IF(Исходн.данные.!F335=$CC$5,"Да","Нет")</f>
        <v>Нет</v>
      </c>
      <c r="FF335" s="38" t="str">
        <f>IF(OR(Исходн.данные.!F335=$CC$6,Исходн.данные.!F335=$CC$7),"Да","Нет")</f>
        <v>Нет</v>
      </c>
      <c r="FG335" s="38" t="str">
        <f>IF(OR(Исходн.данные.!F335=$CC$8,Исходн.данные.!F335=$CC$9),"Да","Нет")</f>
        <v>Нет</v>
      </c>
      <c r="FH335" s="38" t="str">
        <f>IF(Исходн.данные.!F335=$CC$10,"Да","Нет")</f>
        <v>Нет</v>
      </c>
      <c r="FI335" s="38" t="str">
        <f>IF(OR(Исходн.данные.!F335=$CC$11,Исходн.данные.!F335=$CC$12),"Да","Нет")</f>
        <v>Нет</v>
      </c>
      <c r="FJ335" s="38" t="str">
        <f>IF(OR(Исходн.данные.!AH335=$BS$1,Исходн.данные.!AH335=$BQ$11,Исходн.данные.!AH335=$BQ$12),"Да","Нет")</f>
        <v>Нет</v>
      </c>
      <c r="FK335" s="38" t="str">
        <f>IF(OR(Исходн.данные.!AH335=$BS$2,Исходн.данные.!AH335=$BS$4),"Да","Нет")</f>
        <v>Нет</v>
      </c>
      <c r="FL335" s="38" t="str">
        <f>IF(OR(Исходн.данные.!AH335=$BS$3,Исходн.данные.!AH335=$BS$5),"Да","Нет")</f>
        <v>Нет</v>
      </c>
      <c r="FM335" s="38" t="str">
        <f>IF(OR(Исходн.данные.!AH335=$BS$9,Исходн.данные.!AH335=$BS$10,Исходн.данные.!AH335=$BS$11,Исходн.данные.!AH335=$BS$12),"Да","Нет")</f>
        <v>Нет</v>
      </c>
      <c r="FN335" s="38" t="str">
        <f>IF(OR(Исходн.данные.!AH335=$BS$6,Исходн.данные.!AH335=$BP$3),"Да","Нет")</f>
        <v>Нет</v>
      </c>
      <c r="FO335" s="38" t="str">
        <f>IF(Исходн.данные.!AH335=$BQ$9,"Да","Нет")</f>
        <v>Нет</v>
      </c>
      <c r="FP335" s="38" t="str">
        <f>IF(OR(Исходн.данные.!AH335=$BS$8,Исходн.данные.!AH335=$BT$8),"Да","Нет")</f>
        <v>Нет</v>
      </c>
      <c r="FQ335" s="38" t="str">
        <f>IF(OR(Исходн.данные.!AH335=$BQ$7,Исходн.данные.!AH335=$BQ$8),"Да","Нет")</f>
        <v>Нет</v>
      </c>
      <c r="FR335" s="38" t="str">
        <f>IF(Исходн.данные.!AI335=$BU$9,"Да","Нет")</f>
        <v>Нет</v>
      </c>
      <c r="FS335" s="38" t="str">
        <f>IF(OR(Исходн.данные.!AH335=$BP$1,Исходн.данные.!AH335=$BP$2),"Да","Нет")</f>
        <v>Нет</v>
      </c>
      <c r="FT335" s="38" t="e">
        <f>IF((Исходн.данные.!K335*GO335*GS335*GW335+BL335*0.6+Исходн.данные.!Q335*4.5*0.275)&gt;90,"Да","Нет")</f>
        <v>#N/A</v>
      </c>
      <c r="FU335" s="38" t="e">
        <f>IF((Исходн.данные.!M335*GS335*GZ335+BM335*0.225)&gt;35,"Да","Нет")</f>
        <v>#N/A</v>
      </c>
      <c r="FV335" s="38" t="str">
        <f>IF(Исходн.данные.!O335&gt;175,"Да","Нет")</f>
        <v>Нет</v>
      </c>
      <c r="FW335" s="39" t="str">
        <f>IF(Исходн.данные.!I335&gt;5.5,"Да","Нет")</f>
        <v>Нет</v>
      </c>
      <c r="FX335" s="39" t="str">
        <f>IF(Исходн.данные.!J335&lt;2,"Да","Нет")</f>
        <v>Да</v>
      </c>
      <c r="FY335" s="39" t="e">
        <f>IF(HF335=$FY$16,0,Исходн.данные.!K335*GO335*GS335*GW335/HF335)</f>
        <v>#N/A</v>
      </c>
      <c r="FZ335" s="39" t="e">
        <f>Исходн.данные.!M335*GS335*GZ335/HG335</f>
        <v>#N/A</v>
      </c>
      <c r="GA335" s="39" t="e">
        <f>IF(K_Wyn=$FY$16,0,IF(Исходн.данные.!N335=Исходн.данные.!$L$10,Исходн.данные.!O335/1.1*GS335*HC335/HH335,IF(Исходн.данные.!N335=Исходн.данные.!$L$12,Исходн.данные.!O335/1.5*GS335*HC335/HH335,Исходн.данные.!O335*GS335*HC335/HH335)))</f>
        <v>#N/A</v>
      </c>
      <c r="GB335" s="39" t="e">
        <f>IF(HF335=$FY$16,0,((Исходн.данные.!Q335*N_Org+Исходн.данные.!R335*N_Sider+Исходн.данные.!S335*N_Soloma)*AO335+Расчет!BC335*VLOOKUP(Исходн.данные.!T335,Справ!$A$3:$O$57,15)*AO335+BB335*VLOOKUP(Исходн.данные.!T335,Справ!$A$3:$O$57,15)*AL335+(Исходн.данные.!V335*N_Rizotorf+Исходн.данные.!W335*N_Rizoagr))/HF335)</f>
        <v>#N/A</v>
      </c>
      <c r="GC335" s="39" t="e">
        <f>IF(HG335=$FY$16,0,((Исходн.данные.!Q335*Р_Org+Исходн.данные.!R335*P_Sider+Исходн.данные.!S335*P_Soloma)*AP335+Расчет!BC335*VLOOKUP(Исходн.данные.!T335,Справ!$A$3:$P$57,16)*AP335+BB335*VLOOKUP(Исходн.данные.!T335,Справ!$A$3:$P$57,16)*AM335)/HG335)</f>
        <v>#N/A</v>
      </c>
      <c r="GD335" s="39" t="e">
        <f>IF(HH335=$FY$16,0,((Исходн.данные.!Q335*К_Org+Исходн.данные.!R335*K_Sider+Исходн.данные.!S335*K_Soloma)*AQ335+Расчет!BC335*VLOOKUP(Исходн.данные.!T335,Справ!$A$3:$Q$57,17)*AQ335+BB335*VLOOKUP(Исходн.данные.!T335,Справ!$A$3:$Q$57,17)*AN335)/HH335)</f>
        <v>#N/A</v>
      </c>
      <c r="GE335" s="39" t="e">
        <f>IF(HF335=$FY$16,0,(Исходн.данные.!X335*AR335+Исходн.данные.!AA335*N_Org*AL335+Исходн.данные.!AB335*N_Sider*AL335+Исходн.данные.!AC335*N_Soloma*AL335)/HF335)</f>
        <v>#N/A</v>
      </c>
      <c r="GF335" s="39" t="e">
        <f>IF(HG335=$FY$16,0,(Исходн.данные.!Y335*AS335+Исходн.данные.!AA335*Р_Org*AM335+Исходн.данные.!AB335*P_Sider*AM335+Исходн.данные.!AC335*P_Soloma*AM335)/HG335)</f>
        <v>#N/A</v>
      </c>
      <c r="GG335" s="39" t="e">
        <f>IF(HH335=$FY$16,0,(Исходн.данные.!Z335*AT335+Исходн.данные.!AA335*К_Org*AN335+Исходн.данные.!AB335*K_Sider*AN335+Исходн.данные.!AC335*K_Soloma*AN335)/HH335)</f>
        <v>#N/A</v>
      </c>
      <c r="GH335" s="39" t="e">
        <f>Исходн.данные.!AD335*AU335/HF335</f>
        <v>#N/A</v>
      </c>
      <c r="GI335" s="39" t="e">
        <f>Исходн.данные.!AE335*AV335/HG335</f>
        <v>#N/A</v>
      </c>
      <c r="GJ335" s="39" t="e">
        <f>Исходн.данные.!AF335*AW335/HH335</f>
        <v>#N/A</v>
      </c>
      <c r="GK335" s="55">
        <f>Исходн.данные.!AK335</f>
        <v>0</v>
      </c>
      <c r="GL335" s="11" t="e">
        <f t="shared" si="409"/>
        <v>#N/A</v>
      </c>
      <c r="GM335" s="11" t="e">
        <f t="shared" si="410"/>
        <v>#N/A</v>
      </c>
      <c r="GN335" s="11" t="e">
        <f t="shared" si="411"/>
        <v>#N/A</v>
      </c>
      <c r="GO335" s="57">
        <f t="shared" si="412"/>
        <v>19</v>
      </c>
      <c r="GP335" s="55">
        <f>IF(OR(Исходн.данные.!F335=$CE$1,Исходн.данные.!F335=$CE$2,Исходн.данные.!F335=$CE$3,Исходн.данные.!F335=$CE$4,Исходн.данные.!F335=$CE$5),GQ335,GR335)</f>
        <v>19</v>
      </c>
      <c r="GQ335" s="55">
        <f>IF(Исходн.данные.!F335=$CE$1,28,IF(Исходн.данные.!F335=$CE$2,26,IF(Исходн.данные.!F335=$CE$3,24,IF(Исходн.данные.!F335=$CE$4,22,IF(Исходн.данные.!F335=$CE$5,20,GR335)))))</f>
        <v>19</v>
      </c>
      <c r="GR335" s="55">
        <f>IF(Исходн.данные.!F335=$CE$6,18,IF(Исходн.данные.!F335=$CE$7,16,IF(Исходн.данные.!F335=$CE$8,14,IF(Исходн.данные.!F335=$CE$9,13,IF(Исходн.данные.!F335=$CE$10,12,19)))))</f>
        <v>19</v>
      </c>
      <c r="GS335" s="55">
        <f>IF(Исходн.данные.!G335="Пес",0.035*(40+2*Исходн.данные.!H335),IF(Исходн.данные.!G335="Суп",0.0325*(40+2*Исходн.данные.!H335),0.03*(40+2*Исходн.данные.!H335)))</f>
        <v>1.2</v>
      </c>
      <c r="GT335" s="55">
        <f>IF(Исходн.данные.!H335&lt;23,2.6,IF(AND(Исходн.данные.!H335&gt;22,Исходн.данные.!H335&lt;26),3,IF(AND(Исходн.данные.!H335&gt;25,Исходн.данные.!H335&lt;29),3.4,3.6)))</f>
        <v>2.6</v>
      </c>
      <c r="GU335" s="55">
        <f>IF(Исходн.данные.!H335&lt;23,2.8,IF(AND(Исходн.данные.!H335&gt;22,Исходн.данные.!H335&lt;26),3.2,IF(AND(Исходн.данные.!H335&gt;25,Исходн.данные.!H335&lt;29),3.6,3.9)))</f>
        <v>2.8</v>
      </c>
      <c r="GV335" s="55">
        <f>IF(Исходн.данные.!H335&lt;23,3,IF(AND(Исходн.данные.!H335&gt;22,Исходн.данные.!H335&lt;26),3.5,IF(AND(Исходн.данные.!H335&gt;25,Исходн.данные.!H335&lt;29),3.9,4.2)))</f>
        <v>3</v>
      </c>
      <c r="GW335" s="55" t="e">
        <f>IF(Исходн.данные.!P335="Ум",GX335,GY335)</f>
        <v>#N/A</v>
      </c>
      <c r="GX335" s="55" t="e">
        <f>VLOOKUP(Исходн.данные.!AI335,Коэффициенты!$J$7:$L$13,2,FALSE)</f>
        <v>#N/A</v>
      </c>
      <c r="GY335" s="55" t="e">
        <f>VLOOKUP(Исходн.данные.!AI335,Коэффициенты!$J$7:$L$13,3,FALSE)</f>
        <v>#N/A</v>
      </c>
      <c r="GZ335" s="55" t="e">
        <f>(IF(Исходн.данные.!M335&lt;50,0.11*VLOOKUP(Исходн.данные.!AH335,Культуры.Информация,7,FALSE),IF(Исходн.данные.!M335&gt;250,0.05*VLOOKUP(Исходн.данные.!AH335,Культуры.Информация,7,FALSE),VLOOKUP(Исходн.данные.!AH335,Культуры.Информация,5,FALSE)/100*($GX$6+$GY$6*Исходн.данные.!M335))))*Расчет2!AI335</f>
        <v>#N/A</v>
      </c>
      <c r="HA335" s="211"/>
      <c r="HB335" s="211"/>
      <c r="HC335" s="55" t="e">
        <f>(IF(Исходн.данные.!O335&lt;80,0.2*VLOOKUP(Исходн.данные.!AH335,Культуры.Информация,8,FALSE),IF(Исходн.данные.!O335&gt;240,0.09*VLOOKUP(Исходн.данные.!AH335,Культуры.Информация,8,FALSE),VLOOKUP(Исходн.данные.!AH335,Культуры.Информация,6,FALSE)/100*($HB$6+$HC$6*Исходн.данные.!O335))))*Расчет2!AJ335</f>
        <v>#N/A</v>
      </c>
      <c r="HD335" s="55">
        <f>IF(Исходн.данные.!O335&gt;240,0.09,IF(Исходн.данные.!O335&lt;30,0.3,$HE$10+$HD$10*Исходн.данные.!O335))</f>
        <v>0.3</v>
      </c>
      <c r="HE335" s="55">
        <f>IF(Исходн.данные.!O335&gt;240,0.17,IF(Исходн.данные.!O335&lt;30,0.5,$HF$12+$HE$12*Исходн.данные.!O335))</f>
        <v>0.5</v>
      </c>
      <c r="HF335" s="55" t="e">
        <f>VLOOKUP(Исходн.данные.!AH335,Справ!$A$3:$D$58,2,FALSE)</f>
        <v>#N/A</v>
      </c>
      <c r="HG335" s="55" t="e">
        <f>VLOOKUP(Исходн.данные.!AH335,Справ!$A$3:$D$58,3,FALSE)</f>
        <v>#N/A</v>
      </c>
      <c r="HH335" s="55" t="e">
        <f>VLOOKUP(Исходн.данные.!AH335,Справ!$A$3:$D$58,4,FALSE)</f>
        <v>#N/A</v>
      </c>
      <c r="HI335" s="11" t="e">
        <f t="shared" si="413"/>
        <v>#N/A</v>
      </c>
      <c r="HJ335" s="11" t="e">
        <f t="shared" si="414"/>
        <v>#N/A</v>
      </c>
      <c r="HK335" s="11" t="e">
        <f t="shared" si="415"/>
        <v>#N/A</v>
      </c>
      <c r="HL335" s="55">
        <f>IF(OR(Исходн.данные.!G335="Глин",Исходн.данные.!G335="Т_суг"),1.1,IF(Исходн.данные.!G335="Ср_суг",1,1))</f>
        <v>1</v>
      </c>
      <c r="HM335" s="55">
        <f>IF(OR(Исходн.данные.!G335="Глин",Исходн.данные.!G335="Т_суг"),0.9,IF(Исходн.данные.!G335="Ср_суг",1,1.2))</f>
        <v>1.2</v>
      </c>
      <c r="HN335" s="11" t="e">
        <f t="shared" si="416"/>
        <v>#N/A</v>
      </c>
      <c r="HO335" s="11" t="e">
        <f t="shared" si="417"/>
        <v>#N/A</v>
      </c>
      <c r="HP335" s="11" t="e">
        <f t="shared" si="418"/>
        <v>#N/A</v>
      </c>
      <c r="HQ335" t="e">
        <f t="shared" si="419"/>
        <v>#N/A</v>
      </c>
      <c r="HR335" t="e">
        <f t="shared" si="420"/>
        <v>#N/A</v>
      </c>
      <c r="HS335" t="e">
        <f t="shared" si="421"/>
        <v>#N/A</v>
      </c>
      <c r="HT335" t="e">
        <f t="shared" si="367"/>
        <v>#N/A</v>
      </c>
      <c r="HU335" t="e">
        <f t="shared" si="368"/>
        <v>#N/A</v>
      </c>
      <c r="HV335" t="e">
        <f t="shared" si="369"/>
        <v>#N/A</v>
      </c>
      <c r="HW335" t="e">
        <f t="shared" si="370"/>
        <v>#N/A</v>
      </c>
      <c r="HX335" t="e">
        <f t="shared" si="371"/>
        <v>#N/A</v>
      </c>
      <c r="HY335" t="e">
        <f t="shared" si="372"/>
        <v>#N/A</v>
      </c>
      <c r="HZ335" s="55">
        <f>IF(OR(Исходн.данные.!AI335="Оз_Ч_П",Исходн.данные.!AI335="Оз_З_П",Исходн.данные.!AI335="Яр_зер"),12,30)</f>
        <v>30</v>
      </c>
      <c r="IA335" t="e">
        <f t="shared" si="422"/>
        <v>#N/A</v>
      </c>
      <c r="IB335" t="e">
        <f t="shared" si="423"/>
        <v>#N/A</v>
      </c>
      <c r="IC335" t="e">
        <f t="shared" si="424"/>
        <v>#N/A</v>
      </c>
      <c r="ID335" s="11" t="e">
        <f t="shared" si="425"/>
        <v>#N/A</v>
      </c>
      <c r="IE335" s="11" t="e">
        <f t="shared" si="426"/>
        <v>#N/A</v>
      </c>
      <c r="IF335" s="11" t="e">
        <f t="shared" si="427"/>
        <v>#N/A</v>
      </c>
    </row>
    <row r="336" spans="35:240" x14ac:dyDescent="0.2">
      <c r="AI336">
        <f>IF(Исходн.данные.!I336&gt;6,1,1.85-(0.148*Исходн.данные.!I336))</f>
        <v>1.85</v>
      </c>
      <c r="AJ336">
        <f>IF(Исходн.данные.!I336&gt;6,1,2.434-(0.246*Исходн.данные.!I336))</f>
        <v>2.4340000000000002</v>
      </c>
      <c r="AL336" s="148" t="b">
        <f>IF(Исходн.данные.!$P336="Ум",N_OrgUd_2g_um,IF(Исходн.данные.!$P336="Об",N_OrgUd_2g_ob))</f>
        <v>0</v>
      </c>
      <c r="AM336" s="148" t="b">
        <f>IF(Исходн.данные.!$P336="Ум",P_OrgUd_2g_um,IF(Исходн.данные.!$P336="Об",P_OrgUd_2g_ob))</f>
        <v>0</v>
      </c>
      <c r="AN336" s="148" t="b">
        <f>IF(Исходн.данные.!$P336="Ум",K_OrgUd_2g_um,IF(Исходн.данные.!$P336="Об",K_OrgUd_2g_ob))</f>
        <v>0</v>
      </c>
      <c r="AO336" s="148" t="b">
        <f>IF(Исходн.данные.!$P336="Ум",N_OrgUd_1g_um,IF(Исходн.данные.!$P336="Об",N_OrgUd_1g_ob))</f>
        <v>0</v>
      </c>
      <c r="AP336" s="148" t="b">
        <f>IF(Исходн.данные.!$P336="Ум",P_OrgUd_1g_um,IF(Исходн.данные.!$P336="Об",P_OrgUd_1g_ob))</f>
        <v>0</v>
      </c>
      <c r="AQ336" s="148" t="b">
        <f>IF(Исходн.данные.!$P336="Ум",K_OrgUd_1g_um,IF(Исходн.данные.!$P336="Об",K_OrgUd_1g_ob))</f>
        <v>0</v>
      </c>
      <c r="AR336" t="b">
        <f>IF(Исходн.данные.!$P336="Ум",N_MinUd_2g_um,IF(Исходн.данные.!$P336="Об",N_MinUd_2g_ob))</f>
        <v>0</v>
      </c>
      <c r="AS336" t="b">
        <f>IF(Исходн.данные.!$P336="Ум",P_MinUd_2g_um,IF(Исходн.данные.!$P336="Об",P_MinUd_2g_ob))</f>
        <v>0</v>
      </c>
      <c r="AT336" t="b">
        <f>IF(Исходн.данные.!$P336="Ум",K_MinUd_2g_um,IF(Исходн.данные.!$P336="Об",K_MinUd_2g_ob))</f>
        <v>0</v>
      </c>
      <c r="AU336" t="b">
        <f>IF(Исходн.данные.!$P336="Ум",N_MinUd_1g_um,IF(Исходн.данные.!$P336="Об",N_MinUd_1g_ob))</f>
        <v>0</v>
      </c>
      <c r="AV336" t="b">
        <f>IF(Исходн.данные.!P336="Ум",P_MinUd_1g_um,IF(Исходн.данные.!P336="Об",P_MinUd_1g_ob))</f>
        <v>0</v>
      </c>
      <c r="AW336" t="b">
        <f>IF(Исходн.данные.!P336="Ум",K_MinUd_1g_um,IF(Исходн.данные.!P336="Об",K_MinUd_1g_ob))</f>
        <v>0</v>
      </c>
      <c r="AY336" t="e">
        <f>VLOOKUP(Исходн.данные.!T336,Справ!$A$3:$N$57,12)</f>
        <v>#N/A</v>
      </c>
      <c r="AZ336" t="e">
        <f>VLOOKUP(Исходн.данные.!T336,Справ!$A$3:$N$57,13)</f>
        <v>#N/A</v>
      </c>
      <c r="BA336" t="e">
        <f>VLOOKUP(Исходн.данные.!T336,Справ!$A$3:$N$57,14)</f>
        <v>#N/A</v>
      </c>
      <c r="BB336">
        <f>IF(Исходн.данные.!AH336=0,0,25)</f>
        <v>0</v>
      </c>
      <c r="BC336" s="141">
        <f>IF(Исходн.данные.!AH336=0,0,IF(Исходн.данные.!T336=0,25,BD336))</f>
        <v>0</v>
      </c>
      <c r="BD336" s="168" t="e">
        <f>AY336+AZ336*Исходн.данные.!U336-POWER(BA336,2)*Исходн.данные.!U336</f>
        <v>#N/A</v>
      </c>
      <c r="BE33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6" s="25">
        <f>IF(Исходн.данные.!AH336=0,0,MIN(HN336:HP336))</f>
        <v>0</v>
      </c>
      <c r="BG336" s="9">
        <f>IF(Исходн.данные.!AH336=0,0,IF((HO336+10*0.25/HG336/HL336)&lt;17,17,HO336+10*0.25/HG336/HL336))</f>
        <v>0</v>
      </c>
      <c r="BH336" s="181">
        <f>IF(Исходн.данные.!AH336=0,0,HW336*HF336*HL336/AU336*AI336+Исходн.данные.!S336*10)</f>
        <v>0</v>
      </c>
      <c r="BI336" s="10"/>
      <c r="BJ336" s="182">
        <f>IF(Исходн.данные.!AH336=0,0,IF(HX336*HG336*HL336/AV336&lt;0,0,HX336*HG336*HL336/AV336*AJ336))</f>
        <v>0</v>
      </c>
      <c r="BK336" s="182">
        <f>IF(Исходн.данные.!AH336=0,0,HY336*HH336*HM336/AW336)</f>
        <v>0</v>
      </c>
      <c r="BL336" s="10">
        <f>IF(OR(Исходн.данные.!$AH336=$BP$1,Исходн.данные.!$AH336=$BP$2),0,IF(BH336&lt;0,0,IF(OR(Исходн.данные.!T336=Расчет!$BP$1,Исходн.данные.!T336=Расчет!$BP$2,Исходн.данные.!T336=Расчет!$BT$5,Исходн.данные.!T336=Расчет!$BT$6),BH336*0.5,IF(OR(Исходн.данные.!T336=Расчет!$BS$9,Исходн.данные.!T336=Расчет!$BS$10,Исходн.данные.!T336=Расчет!$BS$11,Исходн.данные.!T336=Расчет!$BS$12,Исходн.данные.!T336=Расчет!$BP$5),BH336*0.8,BH336))))</f>
        <v>0</v>
      </c>
      <c r="BM336" s="10">
        <f>IF(OR(Исходн.данные.!$AH336=$BP$1,Исходн.данные.!$AH336=$BP$2),0,IF(BJ336&lt;0,0,IF(Исходн.данные.!I336&lt;4.5,BJ336*1.2,IF(Исходн.данные.!I336&gt;5.1,BJ336,BJ336*((5.1-Исходн.данные.!I336)*0.333+1)))))</f>
        <v>0</v>
      </c>
      <c r="BN336" s="10">
        <f>IF(OR(Исходн.данные.!$AH336=$BP$1,Исходн.данные.!$AH336=$BP$2),60-Исходн.данные.!AF336,IF(BK336&lt;0,0,IF(Исходн.данные.!I336&lt;4.5,BK336*1.2,IF(Исходн.данные.!I336&gt;5.1,BK336,BK336*((5.1-Исходн.данные.!I336)*0.333+1)))))</f>
        <v>0</v>
      </c>
      <c r="BO336" s="9">
        <f>IF(BL336&lt;0,0,BL336*Исходн.данные.!$AJ336/1000)</f>
        <v>0</v>
      </c>
      <c r="BP336" s="9">
        <f>IF(BM336&lt;0,0,BM336*Исходн.данные.!$AJ336/1000)</f>
        <v>0</v>
      </c>
      <c r="BQ336" s="9">
        <f>IF(BN336&lt;0,0,BN336*Исходн.данные.!$AJ336/1000)</f>
        <v>0</v>
      </c>
      <c r="BR336" s="9">
        <f t="shared" si="377"/>
        <v>0</v>
      </c>
      <c r="BS336" s="10" t="str">
        <f t="shared" si="378"/>
        <v>Аммофос 12:52:00</v>
      </c>
      <c r="BT336" s="10" t="str">
        <f t="shared" si="379"/>
        <v>Аммофос 12:52:00</v>
      </c>
      <c r="BU336" s="10" t="str">
        <f t="shared" si="380"/>
        <v>Диаммофоска</v>
      </c>
      <c r="BV336" s="10">
        <f t="shared" si="381"/>
        <v>0</v>
      </c>
      <c r="BW336" s="10"/>
      <c r="BX336" s="10"/>
      <c r="BY336" s="9">
        <f>IF(BL336&lt;0,0,IF(OR(Исходн.данные.!AI336=Расчет!$BU$6,Исходн.данные.!AI336=Расчет!$BU$7),Расчет!BV336,IF(Исходн.данные.!$AG336=$BV$11,BL336,IF(OR(Исходн.данные.!$AH336=$BQ$7,Исходн.данные.!$AH336=$BQ$8),CB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0,IF(Исходн.данные.!$AI336=$BU$11,"Нет",IF(BL336&gt;30,30,BL336)))))))</f>
        <v>0</v>
      </c>
      <c r="BZ336" s="9">
        <f>IF(AND(Исходн.данные.!$AG336=$BV$11,BM336&lt;10),10,IF(Исходн.данные.!$AG336=$BV$11,BM336,IF(OR(Исходн.данные.!$AH336=$BQ$7,Исходн.данные.!$AH336=$BQ$8),CC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10,IF(Исходн.данные.!$AI336=$BU$11,"Нет",IF(BM336&gt;60,60,IF(BM336&lt;10,10,BM336)))))))</f>
        <v>10</v>
      </c>
      <c r="CA336" s="39">
        <f>IF(BN336&lt;0,0,IF(Исходн.данные.!$AG336=$BV$11,BN336,IF(OR(Исходн.данные.!$AH336=$BQ$7,Исходн.данные.!$AH336=$BQ$8),CD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0,IF(Исходн.данные.!$AI336=$BU$11,"Нет",IF(BN336&gt;30,30,BN336))))))</f>
        <v>0</v>
      </c>
      <c r="CB336" s="9">
        <f t="shared" si="382"/>
        <v>0</v>
      </c>
      <c r="CC336" s="9">
        <f t="shared" si="383"/>
        <v>0</v>
      </c>
      <c r="CD336" s="9">
        <f t="shared" si="384"/>
        <v>0</v>
      </c>
      <c r="CE336" s="12">
        <f t="shared" si="385"/>
        <v>10</v>
      </c>
      <c r="CF336" s="9">
        <f t="shared" si="386"/>
        <v>0</v>
      </c>
      <c r="CG336" s="9" t="s">
        <v>231</v>
      </c>
      <c r="CH336" s="132" t="str">
        <f>IF(Исходн.данные.!AP336=Расчет!$CI$16,"Нет",IF(Исходн.данные.!AL336&gt;0,Исходн.данные.!AL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BH$4,IF(OR(Исходн.данные.!AI336=Исходн.данные.!$AI$6,Исходн.данные.!AI336=Исходн.данные.!$AI$7),Расчет!BS336,IF(AND($CF336=0,$CE336&gt;0),EV336,ER336)))))</f>
        <v>Аммофос 12:52:00</v>
      </c>
      <c r="CI336" s="274">
        <f>IF(Расчет!$CH336="Нет","Нет",IF(Исходн.данные.!$AL336&gt;0,VLOOKUP(Расчет!$CH336,АшламаДВ_Irekle,2,FALSE),VLOOKUP(Расчет!$CH336,АшламаДВ_Gomumy,2,FALSE)))</f>
        <v>0.12</v>
      </c>
      <c r="CJ336" s="274">
        <f>IF(Расчет!$CH336="Нет","Нет",IF(Исходн.данные.!$AL336&gt;0,VLOOKUP(Расчет!$CH336,АшламаДВ_Irekle,3,FALSE),VLOOKUP(Расчет!$CH336,АшламаДВ_Gomumy,3,FALSE)))</f>
        <v>0.52</v>
      </c>
      <c r="CK336" s="274">
        <f>IF(Расчет!$CH336="Нет","Нет",IF(Исходн.данные.!$AL336&gt;0,VLOOKUP(Расчет!$CH336,АшламаДВ_Irekle,4,FALSE),VLOOKUP(Расчет!$CH336,АшламаДВ_Gomumy,4,FALSE)))</f>
        <v>0</v>
      </c>
      <c r="CL336" s="70"/>
      <c r="CM336" s="70"/>
      <c r="CN336" s="70"/>
      <c r="CO336" s="70"/>
      <c r="CP336" s="70"/>
      <c r="CQ336" s="70"/>
      <c r="CR336" s="10">
        <f t="shared" si="387"/>
        <v>0</v>
      </c>
      <c r="CS336" s="10">
        <f t="shared" si="388"/>
        <v>19.23076923076923</v>
      </c>
      <c r="CT336" s="10">
        <f t="shared" si="389"/>
        <v>0</v>
      </c>
      <c r="CU336" s="39">
        <f>IF($CH336="Нет",0,IF(CI336=0,30/MIN(CJ336:CK336),IF(Исходн.данные.!$AG336=$BV$11,CR336,IF(OR(Исходн.данные.!$AH336=$BQ$7,Исходн.данные.!$AH336=$BQ$8),90/CI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0,IF(Исходн.данные.!$AI336=$BU$11,"Нет",30/CI336))))))</f>
        <v>250</v>
      </c>
      <c r="CV336" s="39">
        <f>IF($CH336="Нет",0,IF(Исходн.данные.!AH336=0,0,IF(CJ336=0,60/MIN(CI336,CK336),IF(Исходн.данные.!$AG336=$BV$11,CS336,IF(OR(Исходн.данные.!$AH336=$BQ$7,Исходн.данные.!$AH336=$BQ$8),90/CJ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10/CJ336,IF(Исходн.данные.!$AI336=$BU$11,"Нет",60/CJ336)))))))</f>
        <v>0</v>
      </c>
      <c r="CW336" s="39">
        <f>IF($CH336="Нет",0,IF(Исходн.данные.!AH336=0,0,IF(CK336=0,30/MIN(CI336:CJ336),IF(Исходн.данные.!$AG336=$BV$11,CT336,IF(OR(Исходн.данные.!$AH336=$BQ$7,Исходн.данные.!$AH336=$BQ$8),90/CK336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0,IF(Исходн.данные.!$AI336=$BU$11,"Нет",30/CK336)))))))</f>
        <v>0</v>
      </c>
      <c r="CX336" s="133">
        <f>IF(Исходн.данные.!$AG336=$BV$11,MAX(CU336:CW336),IF(OR(Исходн.данные.!$AH336=$BS$8,Исходн.данные.!$AH336=$BQ$9,Исходн.данные.!$AH336=$BQ$10,Исходн.данные.!$AH336=$BQ$11,Исходн.данные.!$AH336=$BQ$12,Исходн.данные.!$AH336=$BP$3,Исходн.данные.!$AH336=$BT$8,$FM336="Да"),CV336,MIN(CU336:CW336)))</f>
        <v>0</v>
      </c>
      <c r="CY336" s="133">
        <f>IF(Исходн.данные.!AH336=0,0,IF(CR336&gt;$CX336,$CX336,CR336))</f>
        <v>0</v>
      </c>
      <c r="CZ336" s="133">
        <f>IF(Исходн.данные.!AH336=0,0,IF(CS336&gt;$CX336,$CX336,CS336))</f>
        <v>0</v>
      </c>
      <c r="DA336" s="133">
        <f>IF(Исходн.данные.!AH336=0,0,IF(CT336&gt;$CX336,$CX336,CT336))</f>
        <v>0</v>
      </c>
      <c r="DB336" s="10">
        <f t="shared" si="390"/>
        <v>0</v>
      </c>
      <c r="DC336" s="39">
        <f>DB336*Исходн.данные.!AJ336/1000</f>
        <v>0</v>
      </c>
      <c r="DD336" s="71">
        <f t="shared" si="391"/>
        <v>0</v>
      </c>
      <c r="DE336" s="9">
        <f t="shared" si="392"/>
        <v>0</v>
      </c>
      <c r="DF336" s="9">
        <f t="shared" si="393"/>
        <v>0</v>
      </c>
      <c r="DG336" s="39">
        <f>IF(BL336&lt;0,0,IF($CH336="Нет",BL336,IF(OR(Исходн.данные.!$AH336=$BP$1,Исходн.данные.!$AH336=$BP$2),0,IF(Исходн.данные.!AI336=$BU$11,BL336,IF(BL336-DD336&lt;0,0,BL336-DD336)))))</f>
        <v>0</v>
      </c>
      <c r="DH336" s="39">
        <f>IF(BM336&lt;0,0,IF($CH336="Нет",BM336,IF(OR(Исходн.данные.!$AH336=$BP$1,Исходн.данные.!$AH336=$BP$2),0,IF(Исходн.данные.!AJ336=$BU$11,BM336,IF(BM336-DE336&lt;0,0,BM336-DE336)))))</f>
        <v>0</v>
      </c>
      <c r="DI336" s="39">
        <f>IF(BN336&lt;0,0,IF($CH336="Нет",BN336,IF(OR(Исходн.данные.!$AH336=$BP$1,Исходн.данные.!$AH336=$BP$2),0,IF(Исходн.данные.!AK336=$BU$11,BN336,IF(BN336-DF336&lt;0,0,BN336-DF336)))))</f>
        <v>0</v>
      </c>
      <c r="DJ336" s="12">
        <f t="shared" si="394"/>
        <v>0</v>
      </c>
      <c r="DK336" s="9">
        <f t="shared" si="395"/>
        <v>0</v>
      </c>
      <c r="DL336" s="39">
        <f>IF(Исходн.данные.!AM336&gt;0,Исходн.данные.!AM336,IF(EG336&gt;0,$BH$10,0))</f>
        <v>0</v>
      </c>
      <c r="DM336" s="186">
        <f>IF($DL336=0,0,IF(Исходн.данные.!AM336&gt;0,VLOOKUP($DL336,АшламаДВ_Irekle,2,FALSE),VLOOKUP($DL336,АшламаДВ_Gomumy,2,FALSE)))</f>
        <v>0</v>
      </c>
      <c r="DN336" s="10">
        <f t="shared" si="373"/>
        <v>0</v>
      </c>
      <c r="DO336" s="9" t="str">
        <f>IF(Исходн.данные.!AN336&gt;0,Исходн.данные.!AN336,Удобрения!$B$37 )</f>
        <v>Хлор.калий</v>
      </c>
      <c r="DP336" s="9">
        <f>IF(Исходн.данные.!AN336&gt;0,VLOOKUP(Исходн.данные.!AN336,АшламаДВ_Irekle,4,FALSE),VLOOKUP(DO336,АшламаДВ_Gomumy,4,FALSE))</f>
        <v>0.6</v>
      </c>
      <c r="DQ336" s="10">
        <f t="shared" si="374"/>
        <v>0</v>
      </c>
      <c r="DR336" s="132" t="str">
        <f>IF(Исходн.данные.!AO336&gt;0,Исходн.данные.!AO336,IF(DH336=0,BS$17,IF(AND($DK336=0,$DJ336&gt;0),EJ336,EN336)))</f>
        <v>Нет</v>
      </c>
      <c r="DS336" s="70" t="str">
        <f>IF($DR336="Нет","Нет",IF(Исходн.данные.!$AO336&gt;0,VLOOKUP($DR336,АшламаДВ_Irekle,2,FALSE),VLOOKUP($DR336,АшламаДВ_Gomumy,2,FALSE)))</f>
        <v>Нет</v>
      </c>
      <c r="DT336" s="70" t="str">
        <f>IF($DR336="Нет","Нет",IF(Исходн.данные.!$AO336&gt;0,VLOOKUP($DR336,АшламаДВ_Irekle,3,FALSE),VLOOKUP($DR336,АшламаДВ_Gomumy,3,FALSE)))</f>
        <v>Нет</v>
      </c>
      <c r="DU336" s="70" t="str">
        <f>IF($DR336="Нет","Нет",IF(Исходн.данные.!$AO336&gt;0,VLOOKUP($DR336,АшламаДВ_Irekle,4,FALSE),VLOOKUP($DR336,АшламаДВ_Gomumy,4,FALSE)))</f>
        <v>Нет</v>
      </c>
      <c r="DV336" s="70"/>
      <c r="DW336" s="70"/>
      <c r="DX336" s="70"/>
      <c r="DY336" s="10">
        <f t="shared" si="396"/>
        <v>0</v>
      </c>
      <c r="DZ336" s="10">
        <f t="shared" si="397"/>
        <v>0</v>
      </c>
      <c r="EA336" s="10">
        <f t="shared" si="398"/>
        <v>0</v>
      </c>
      <c r="EB336" s="10">
        <f t="shared" si="399"/>
        <v>0</v>
      </c>
      <c r="EC336" s="10">
        <f t="shared" si="400"/>
        <v>0</v>
      </c>
      <c r="ED336" s="10">
        <f t="shared" si="401"/>
        <v>0</v>
      </c>
      <c r="EE336" s="10">
        <f t="shared" si="402"/>
        <v>0</v>
      </c>
      <c r="EF336" s="39">
        <f>EB336*Исходн.данные.!AJ336/1000</f>
        <v>0</v>
      </c>
      <c r="EG336" s="9">
        <f t="shared" si="403"/>
        <v>0</v>
      </c>
      <c r="EH336" s="9">
        <f t="shared" si="404"/>
        <v>0</v>
      </c>
      <c r="EI336" s="39" t="e">
        <f t="shared" si="354"/>
        <v>#DIV/0!</v>
      </c>
      <c r="EJ336" s="9" t="str">
        <f t="shared" si="375"/>
        <v>Азопреципитат</v>
      </c>
      <c r="EK336" s="12">
        <f t="shared" si="355"/>
        <v>0.26</v>
      </c>
      <c r="EL336" s="12">
        <f t="shared" si="356"/>
        <v>0.13</v>
      </c>
      <c r="EM336" s="12">
        <f t="shared" si="357"/>
        <v>0</v>
      </c>
      <c r="EN336" s="12" t="str">
        <f t="shared" si="376"/>
        <v>Нет</v>
      </c>
      <c r="EO336" s="12">
        <f t="shared" si="358"/>
        <v>0</v>
      </c>
      <c r="EP336" s="12">
        <f t="shared" si="359"/>
        <v>0</v>
      </c>
      <c r="EQ336" s="12">
        <f t="shared" si="360"/>
        <v>0</v>
      </c>
      <c r="ER336" s="12" t="str">
        <f t="shared" si="405"/>
        <v>Диаммофоска</v>
      </c>
      <c r="ES336" s="12">
        <f t="shared" si="361"/>
        <v>0.1</v>
      </c>
      <c r="ET336" s="12">
        <f t="shared" si="362"/>
        <v>0.26</v>
      </c>
      <c r="EU336" s="12">
        <f t="shared" si="363"/>
        <v>0.26</v>
      </c>
      <c r="EV336" s="12" t="str">
        <f t="shared" si="406"/>
        <v>Аммофос 12:52:00</v>
      </c>
      <c r="EW336" s="12" t="str">
        <f t="shared" si="407"/>
        <v>Кемира Свекловичное-6</v>
      </c>
      <c r="EX336" s="12">
        <f t="shared" si="364"/>
        <v>0.16</v>
      </c>
      <c r="EY336" s="12">
        <f t="shared" si="365"/>
        <v>0.12</v>
      </c>
      <c r="EZ336" s="12">
        <f t="shared" si="366"/>
        <v>0.17</v>
      </c>
      <c r="FA336" s="38" t="e">
        <f>IF(AND(OR(FJ336=$FD$1,FM336=$FD$1,FO336=$FD$1,FQ336=$FD$1,FS336=$FD$1),FD336=$FD$1,Исходн.данные.!J336&lt;2,FU336=$FD$1),"Бор,Кобальт",IF(AND(FO336=$FD$1,FH336=$FD$1,Исходн.данные.!J336&lt;2,FU336=$FD$1),"Бор,Кобальт",IF(AND(OR(FJ336=$FD$1,FM336=$FD$1,FQ336=$FD$1),FE336=$FD$1,Исходн.данные.!J336&lt;2,FT336=$FD$1,FU336=$FD$1),"Бор,Медь,Цинк",IF(AND(OR(FJ336=$FD$1,FR336="Да"),FI336="Да",Исходн.данные.!J336&lt;2,FT336="Да",FU336="Да"),"Бор,Цинк,Медь",IF(AND(OR(FM336="Да",FQ336="Да"),FI336="Да",Исходн.данные.!J336&lt;2,FT336="Да",FU336="Да"),"Бор,Цинк",IF(AND(FN336="Да",OR(FD336="Да",FE336="Да")),"Бор",FB336))))))</f>
        <v>#N/A</v>
      </c>
      <c r="FB336" s="134" t="e">
        <f>IF(AND(OR(FD336="Да",FE336="Да",FF336="Да",FG336="Да",FH336="Да"),FO336="Да"),"Бор",IF(AND(FP336="Да",OR(FD336="Да",FE336="Да",FI336="Да")),"Бор",IF(AND(FS336="Да",FE336="Да"),"Бор,Медь",IF(AND(OR(FJ336="Да",FK336="Да",FL336="Да"),FE336="Да",Исходн.данные.!I336&lt;5,FT336="Да",FU336="Да"),"Молибден,Цинк",IF(AND(FM336="Да",OR(FE336="Да",FF336="Да",FG336="Да",FH336="Да",FI336="Да")),"Молибден,Цинк",IF(AND(OR(FJ336="Да",FK336="Да",FL336="Да",FM336="Да",FQ336="Да"),OR(FE336="Да",FF336="Да"),FT336="Да",FU336="Да",Исходн.данные.!I336&gt;5.5),"Медь,Цинк",FC336))))))</f>
        <v>#N/A</v>
      </c>
      <c r="FC336" s="23" t="e">
        <f t="shared" si="408"/>
        <v>#N/A</v>
      </c>
      <c r="FD336" s="38" t="str">
        <f>IF(OR(Исходн.данные.!F336=$CC$1,Исходн.данные.!F336=$CC$2,Исходн.данные.!F336=$CC$3,Исходн.данные.!F336=$CC$4),"Да","Нет")</f>
        <v>Нет</v>
      </c>
      <c r="FE336" s="38" t="str">
        <f>IF(Исходн.данные.!F336=$CC$5,"Да","Нет")</f>
        <v>Нет</v>
      </c>
      <c r="FF336" s="38" t="str">
        <f>IF(OR(Исходн.данные.!F336=$CC$6,Исходн.данные.!F336=$CC$7),"Да","Нет")</f>
        <v>Нет</v>
      </c>
      <c r="FG336" s="38" t="str">
        <f>IF(OR(Исходн.данные.!F336=$CC$8,Исходн.данные.!F336=$CC$9),"Да","Нет")</f>
        <v>Нет</v>
      </c>
      <c r="FH336" s="38" t="str">
        <f>IF(Исходн.данные.!F336=$CC$10,"Да","Нет")</f>
        <v>Нет</v>
      </c>
      <c r="FI336" s="38" t="str">
        <f>IF(OR(Исходн.данные.!F336=$CC$11,Исходн.данные.!F336=$CC$12),"Да","Нет")</f>
        <v>Нет</v>
      </c>
      <c r="FJ336" s="38" t="str">
        <f>IF(OR(Исходн.данные.!AH336=$BS$1,Исходн.данные.!AH336=$BQ$11,Исходн.данные.!AH336=$BQ$12),"Да","Нет")</f>
        <v>Нет</v>
      </c>
      <c r="FK336" s="38" t="str">
        <f>IF(OR(Исходн.данные.!AH336=$BS$2,Исходн.данные.!AH336=$BS$4),"Да","Нет")</f>
        <v>Нет</v>
      </c>
      <c r="FL336" s="38" t="str">
        <f>IF(OR(Исходн.данные.!AH336=$BS$3,Исходн.данные.!AH336=$BS$5),"Да","Нет")</f>
        <v>Нет</v>
      </c>
      <c r="FM336" s="38" t="str">
        <f>IF(OR(Исходн.данные.!AH336=$BS$9,Исходн.данные.!AH336=$BS$10,Исходн.данные.!AH336=$BS$11,Исходн.данные.!AH336=$BS$12),"Да","Нет")</f>
        <v>Нет</v>
      </c>
      <c r="FN336" s="38" t="str">
        <f>IF(OR(Исходн.данные.!AH336=$BS$6,Исходн.данные.!AH336=$BP$3),"Да","Нет")</f>
        <v>Нет</v>
      </c>
      <c r="FO336" s="38" t="str">
        <f>IF(Исходн.данные.!AH336=$BQ$9,"Да","Нет")</f>
        <v>Нет</v>
      </c>
      <c r="FP336" s="38" t="str">
        <f>IF(OR(Исходн.данные.!AH336=$BS$8,Исходн.данные.!AH336=$BT$8),"Да","Нет")</f>
        <v>Нет</v>
      </c>
      <c r="FQ336" s="38" t="str">
        <f>IF(OR(Исходн.данные.!AH336=$BQ$7,Исходн.данные.!AH336=$BQ$8),"Да","Нет")</f>
        <v>Нет</v>
      </c>
      <c r="FR336" s="38" t="str">
        <f>IF(Исходн.данные.!AI336=$BU$9,"Да","Нет")</f>
        <v>Нет</v>
      </c>
      <c r="FS336" s="38" t="str">
        <f>IF(OR(Исходн.данные.!AH336=$BP$1,Исходн.данные.!AH336=$BP$2),"Да","Нет")</f>
        <v>Нет</v>
      </c>
      <c r="FT336" s="38" t="e">
        <f>IF((Исходн.данные.!K336*GO336*GS336*GW336+BL336*0.6+Исходн.данные.!Q336*4.5*0.275)&gt;90,"Да","Нет")</f>
        <v>#N/A</v>
      </c>
      <c r="FU336" s="38" t="e">
        <f>IF((Исходн.данные.!M336*GS336*GZ336+BM336*0.225)&gt;35,"Да","Нет")</f>
        <v>#N/A</v>
      </c>
      <c r="FV336" s="38" t="str">
        <f>IF(Исходн.данные.!O336&gt;175,"Да","Нет")</f>
        <v>Нет</v>
      </c>
      <c r="FW336" s="39" t="str">
        <f>IF(Исходн.данные.!I336&gt;5.5,"Да","Нет")</f>
        <v>Нет</v>
      </c>
      <c r="FX336" s="39" t="str">
        <f>IF(Исходн.данные.!J336&lt;2,"Да","Нет")</f>
        <v>Да</v>
      </c>
      <c r="FY336" s="39" t="e">
        <f>IF(HF336=$FY$16,0,Исходн.данные.!K336*GO336*GS336*GW336/HF336)</f>
        <v>#N/A</v>
      </c>
      <c r="FZ336" s="39" t="e">
        <f>Исходн.данные.!M336*GS336*GZ336/HG336</f>
        <v>#N/A</v>
      </c>
      <c r="GA336" s="39" t="e">
        <f>IF(K_Wyn=$FY$16,0,IF(Исходн.данные.!N336=Исходн.данные.!$L$10,Исходн.данные.!O336/1.1*GS336*HC336/HH336,IF(Исходн.данные.!N336=Исходн.данные.!$L$12,Исходн.данные.!O336/1.5*GS336*HC336/HH336,Исходн.данные.!O336*GS336*HC336/HH336)))</f>
        <v>#N/A</v>
      </c>
      <c r="GB336" s="39" t="e">
        <f>IF(HF336=$FY$16,0,((Исходн.данные.!Q336*N_Org+Исходн.данные.!R336*N_Sider+Исходн.данные.!S336*N_Soloma)*AO336+Расчет!BC336*VLOOKUP(Исходн.данные.!T336,Справ!$A$3:$O$57,15)*AO336+BB336*VLOOKUP(Исходн.данные.!T336,Справ!$A$3:$O$57,15)*AL336+(Исходн.данные.!V336*N_Rizotorf+Исходн.данные.!W336*N_Rizoagr))/HF336)</f>
        <v>#N/A</v>
      </c>
      <c r="GC336" s="39" t="e">
        <f>IF(HG336=$FY$16,0,((Исходн.данные.!Q336*Р_Org+Исходн.данные.!R336*P_Sider+Исходн.данные.!S336*P_Soloma)*AP336+Расчет!BC336*VLOOKUP(Исходн.данные.!T336,Справ!$A$3:$P$57,16)*AP336+BB336*VLOOKUP(Исходн.данные.!T336,Справ!$A$3:$P$57,16)*AM336)/HG336)</f>
        <v>#N/A</v>
      </c>
      <c r="GD336" s="39" t="e">
        <f>IF(HH336=$FY$16,0,((Исходн.данные.!Q336*К_Org+Исходн.данные.!R336*K_Sider+Исходн.данные.!S336*K_Soloma)*AQ336+Расчет!BC336*VLOOKUP(Исходн.данные.!T336,Справ!$A$3:$Q$57,17)*AQ336+BB336*VLOOKUP(Исходн.данные.!T336,Справ!$A$3:$Q$57,17)*AN336)/HH336)</f>
        <v>#N/A</v>
      </c>
      <c r="GE336" s="39" t="e">
        <f>IF(HF336=$FY$16,0,(Исходн.данные.!X336*AR336+Исходн.данные.!AA336*N_Org*AL336+Исходн.данные.!AB336*N_Sider*AL336+Исходн.данные.!AC336*N_Soloma*AL336)/HF336)</f>
        <v>#N/A</v>
      </c>
      <c r="GF336" s="39" t="e">
        <f>IF(HG336=$FY$16,0,(Исходн.данные.!Y336*AS336+Исходн.данные.!AA336*Р_Org*AM336+Исходн.данные.!AB336*P_Sider*AM336+Исходн.данные.!AC336*P_Soloma*AM336)/HG336)</f>
        <v>#N/A</v>
      </c>
      <c r="GG336" s="39" t="e">
        <f>IF(HH336=$FY$16,0,(Исходн.данные.!Z336*AT336+Исходн.данные.!AA336*К_Org*AN336+Исходн.данные.!AB336*K_Sider*AN336+Исходн.данные.!AC336*K_Soloma*AN336)/HH336)</f>
        <v>#N/A</v>
      </c>
      <c r="GH336" s="39" t="e">
        <f>Исходн.данные.!AD336*AU336/HF336</f>
        <v>#N/A</v>
      </c>
      <c r="GI336" s="39" t="e">
        <f>Исходн.данные.!AE336*AV336/HG336</f>
        <v>#N/A</v>
      </c>
      <c r="GJ336" s="39" t="e">
        <f>Исходн.данные.!AF336*AW336/HH336</f>
        <v>#N/A</v>
      </c>
      <c r="GK336" s="55">
        <f>Исходн.данные.!AK336</f>
        <v>0</v>
      </c>
      <c r="GL336" s="11" t="e">
        <f t="shared" si="409"/>
        <v>#N/A</v>
      </c>
      <c r="GM336" s="11" t="e">
        <f t="shared" si="410"/>
        <v>#N/A</v>
      </c>
      <c r="GN336" s="11" t="e">
        <f t="shared" si="411"/>
        <v>#N/A</v>
      </c>
      <c r="GO336" s="57">
        <f t="shared" si="412"/>
        <v>19</v>
      </c>
      <c r="GP336" s="55">
        <f>IF(OR(Исходн.данные.!F336=$CE$1,Исходн.данные.!F336=$CE$2,Исходн.данные.!F336=$CE$3,Исходн.данные.!F336=$CE$4,Исходн.данные.!F336=$CE$5),GQ336,GR336)</f>
        <v>19</v>
      </c>
      <c r="GQ336" s="55">
        <f>IF(Исходн.данные.!F336=$CE$1,28,IF(Исходн.данные.!F336=$CE$2,26,IF(Исходн.данные.!F336=$CE$3,24,IF(Исходн.данные.!F336=$CE$4,22,IF(Исходн.данные.!F336=$CE$5,20,GR336)))))</f>
        <v>19</v>
      </c>
      <c r="GR336" s="55">
        <f>IF(Исходн.данные.!F336=$CE$6,18,IF(Исходн.данные.!F336=$CE$7,16,IF(Исходн.данные.!F336=$CE$8,14,IF(Исходн.данные.!F336=$CE$9,13,IF(Исходн.данные.!F336=$CE$10,12,19)))))</f>
        <v>19</v>
      </c>
      <c r="GS336" s="55">
        <f>IF(Исходн.данные.!G336="Пес",0.035*(40+2*Исходн.данные.!H336),IF(Исходн.данные.!G336="Суп",0.0325*(40+2*Исходн.данные.!H336),0.03*(40+2*Исходн.данные.!H336)))</f>
        <v>1.2</v>
      </c>
      <c r="GT336" s="55">
        <f>IF(Исходн.данные.!H336&lt;23,2.6,IF(AND(Исходн.данные.!H336&gt;22,Исходн.данные.!H336&lt;26),3,IF(AND(Исходн.данные.!H336&gt;25,Исходн.данные.!H336&lt;29),3.4,3.6)))</f>
        <v>2.6</v>
      </c>
      <c r="GU336" s="55">
        <f>IF(Исходн.данные.!H336&lt;23,2.8,IF(AND(Исходн.данные.!H336&gt;22,Исходн.данные.!H336&lt;26),3.2,IF(AND(Исходн.данные.!H336&gt;25,Исходн.данные.!H336&lt;29),3.6,3.9)))</f>
        <v>2.8</v>
      </c>
      <c r="GV336" s="55">
        <f>IF(Исходн.данные.!H336&lt;23,3,IF(AND(Исходн.данные.!H336&gt;22,Исходн.данные.!H336&lt;26),3.5,IF(AND(Исходн.данные.!H336&gt;25,Исходн.данные.!H336&lt;29),3.9,4.2)))</f>
        <v>3</v>
      </c>
      <c r="GW336" s="55" t="e">
        <f>IF(Исходн.данные.!P336="Ум",GX336,GY336)</f>
        <v>#N/A</v>
      </c>
      <c r="GX336" s="55" t="e">
        <f>VLOOKUP(Исходн.данные.!AI336,Коэффициенты!$J$7:$L$13,2,FALSE)</f>
        <v>#N/A</v>
      </c>
      <c r="GY336" s="55" t="e">
        <f>VLOOKUP(Исходн.данные.!AI336,Коэффициенты!$J$7:$L$13,3,FALSE)</f>
        <v>#N/A</v>
      </c>
      <c r="GZ336" s="55" t="e">
        <f>(IF(Исходн.данные.!M336&lt;50,0.11*VLOOKUP(Исходн.данные.!AH336,Культуры.Информация,7,FALSE),IF(Исходн.данные.!M336&gt;250,0.05*VLOOKUP(Исходн.данные.!AH336,Культуры.Информация,7,FALSE),VLOOKUP(Исходн.данные.!AH336,Культуры.Информация,5,FALSE)/100*($GX$6+$GY$6*Исходн.данные.!M336))))*Расчет2!AI336</f>
        <v>#N/A</v>
      </c>
      <c r="HA336" s="211"/>
      <c r="HB336" s="211"/>
      <c r="HC336" s="55" t="e">
        <f>(IF(Исходн.данные.!O336&lt;80,0.2*VLOOKUP(Исходн.данные.!AH336,Культуры.Информация,8,FALSE),IF(Исходн.данные.!O336&gt;240,0.09*VLOOKUP(Исходн.данные.!AH336,Культуры.Информация,8,FALSE),VLOOKUP(Исходн.данные.!AH336,Культуры.Информация,6,FALSE)/100*($HB$6+$HC$6*Исходн.данные.!O336))))*Расчет2!AJ336</f>
        <v>#N/A</v>
      </c>
      <c r="HD336" s="55">
        <f>IF(Исходн.данные.!O336&gt;240,0.09,IF(Исходн.данные.!O336&lt;30,0.3,$HE$10+$HD$10*Исходн.данные.!O336))</f>
        <v>0.3</v>
      </c>
      <c r="HE336" s="55">
        <f>IF(Исходн.данные.!O336&gt;240,0.17,IF(Исходн.данные.!O336&lt;30,0.5,$HF$12+$HE$12*Исходн.данные.!O336))</f>
        <v>0.5</v>
      </c>
      <c r="HF336" s="55" t="e">
        <f>VLOOKUP(Исходн.данные.!AH336,Справ!$A$3:$D$58,2,FALSE)</f>
        <v>#N/A</v>
      </c>
      <c r="HG336" s="55" t="e">
        <f>VLOOKUP(Исходн.данные.!AH336,Справ!$A$3:$D$58,3,FALSE)</f>
        <v>#N/A</v>
      </c>
      <c r="HH336" s="55" t="e">
        <f>VLOOKUP(Исходн.данные.!AH336,Справ!$A$3:$D$58,4,FALSE)</f>
        <v>#N/A</v>
      </c>
      <c r="HI336" s="11" t="e">
        <f t="shared" si="413"/>
        <v>#N/A</v>
      </c>
      <c r="HJ336" s="11" t="e">
        <f t="shared" si="414"/>
        <v>#N/A</v>
      </c>
      <c r="HK336" s="11" t="e">
        <f t="shared" si="415"/>
        <v>#N/A</v>
      </c>
      <c r="HL336" s="55">
        <f>IF(OR(Исходн.данные.!G336="Глин",Исходн.данные.!G336="Т_суг"),1.1,IF(Исходн.данные.!G336="Ср_суг",1,1))</f>
        <v>1</v>
      </c>
      <c r="HM336" s="55">
        <f>IF(OR(Исходн.данные.!G336="Глин",Исходн.данные.!G336="Т_суг"),0.9,IF(Исходн.данные.!G336="Ср_суг",1,1.2))</f>
        <v>1.2</v>
      </c>
      <c r="HN336" s="11" t="e">
        <f t="shared" si="416"/>
        <v>#N/A</v>
      </c>
      <c r="HO336" s="11" t="e">
        <f t="shared" si="417"/>
        <v>#N/A</v>
      </c>
      <c r="HP336" s="11" t="e">
        <f t="shared" si="418"/>
        <v>#N/A</v>
      </c>
      <c r="HQ336" t="e">
        <f t="shared" si="419"/>
        <v>#N/A</v>
      </c>
      <c r="HR336" t="e">
        <f t="shared" si="420"/>
        <v>#N/A</v>
      </c>
      <c r="HS336" t="e">
        <f t="shared" si="421"/>
        <v>#N/A</v>
      </c>
      <c r="HT336" t="e">
        <f t="shared" si="367"/>
        <v>#N/A</v>
      </c>
      <c r="HU336" t="e">
        <f t="shared" si="368"/>
        <v>#N/A</v>
      </c>
      <c r="HV336" t="e">
        <f t="shared" si="369"/>
        <v>#N/A</v>
      </c>
      <c r="HW336" t="e">
        <f t="shared" si="370"/>
        <v>#N/A</v>
      </c>
      <c r="HX336" t="e">
        <f t="shared" si="371"/>
        <v>#N/A</v>
      </c>
      <c r="HY336" t="e">
        <f t="shared" si="372"/>
        <v>#N/A</v>
      </c>
      <c r="HZ336" s="55">
        <f>IF(OR(Исходн.данные.!AI336="Оз_Ч_П",Исходн.данные.!AI336="Оз_З_П",Исходн.данные.!AI336="Яр_зер"),12,30)</f>
        <v>30</v>
      </c>
      <c r="IA336" t="e">
        <f t="shared" si="422"/>
        <v>#N/A</v>
      </c>
      <c r="IB336" t="e">
        <f t="shared" si="423"/>
        <v>#N/A</v>
      </c>
      <c r="IC336" t="e">
        <f t="shared" si="424"/>
        <v>#N/A</v>
      </c>
      <c r="ID336" s="11" t="e">
        <f t="shared" si="425"/>
        <v>#N/A</v>
      </c>
      <c r="IE336" s="11" t="e">
        <f t="shared" si="426"/>
        <v>#N/A</v>
      </c>
      <c r="IF336" s="11" t="e">
        <f t="shared" si="427"/>
        <v>#N/A</v>
      </c>
    </row>
    <row r="337" spans="35:240" x14ac:dyDescent="0.2">
      <c r="AI337">
        <f>IF(Исходн.данные.!I337&gt;6,1,1.85-(0.148*Исходн.данные.!I337))</f>
        <v>1.85</v>
      </c>
      <c r="AJ337">
        <f>IF(Исходн.данные.!I337&gt;6,1,2.434-(0.246*Исходн.данные.!I337))</f>
        <v>2.4340000000000002</v>
      </c>
      <c r="AL337" s="148" t="b">
        <f>IF(Исходн.данные.!$P337="Ум",N_OrgUd_2g_um,IF(Исходн.данные.!$P337="Об",N_OrgUd_2g_ob))</f>
        <v>0</v>
      </c>
      <c r="AM337" s="148" t="b">
        <f>IF(Исходн.данные.!$P337="Ум",P_OrgUd_2g_um,IF(Исходн.данные.!$P337="Об",P_OrgUd_2g_ob))</f>
        <v>0</v>
      </c>
      <c r="AN337" s="148" t="b">
        <f>IF(Исходн.данные.!$P337="Ум",K_OrgUd_2g_um,IF(Исходн.данные.!$P337="Об",K_OrgUd_2g_ob))</f>
        <v>0</v>
      </c>
      <c r="AO337" s="148" t="b">
        <f>IF(Исходн.данные.!$P337="Ум",N_OrgUd_1g_um,IF(Исходн.данные.!$P337="Об",N_OrgUd_1g_ob))</f>
        <v>0</v>
      </c>
      <c r="AP337" s="148" t="b">
        <f>IF(Исходн.данные.!$P337="Ум",P_OrgUd_1g_um,IF(Исходн.данные.!$P337="Об",P_OrgUd_1g_ob))</f>
        <v>0</v>
      </c>
      <c r="AQ337" s="148" t="b">
        <f>IF(Исходн.данные.!$P337="Ум",K_OrgUd_1g_um,IF(Исходн.данные.!$P337="Об",K_OrgUd_1g_ob))</f>
        <v>0</v>
      </c>
      <c r="AR337" t="b">
        <f>IF(Исходн.данные.!$P337="Ум",N_MinUd_2g_um,IF(Исходн.данные.!$P337="Об",N_MinUd_2g_ob))</f>
        <v>0</v>
      </c>
      <c r="AS337" t="b">
        <f>IF(Исходн.данные.!$P337="Ум",P_MinUd_2g_um,IF(Исходн.данные.!$P337="Об",P_MinUd_2g_ob))</f>
        <v>0</v>
      </c>
      <c r="AT337" t="b">
        <f>IF(Исходн.данные.!$P337="Ум",K_MinUd_2g_um,IF(Исходн.данные.!$P337="Об",K_MinUd_2g_ob))</f>
        <v>0</v>
      </c>
      <c r="AU337" t="b">
        <f>IF(Исходн.данные.!$P337="Ум",N_MinUd_1g_um,IF(Исходн.данные.!$P337="Об",N_MinUd_1g_ob))</f>
        <v>0</v>
      </c>
      <c r="AV337" t="b">
        <f>IF(Исходн.данные.!P337="Ум",P_MinUd_1g_um,IF(Исходн.данные.!P337="Об",P_MinUd_1g_ob))</f>
        <v>0</v>
      </c>
      <c r="AW337" t="b">
        <f>IF(Исходн.данные.!P337="Ум",K_MinUd_1g_um,IF(Исходн.данные.!P337="Об",K_MinUd_1g_ob))</f>
        <v>0</v>
      </c>
      <c r="AY337" t="e">
        <f>VLOOKUP(Исходн.данные.!T337,Справ!$A$3:$N$57,12)</f>
        <v>#N/A</v>
      </c>
      <c r="AZ337" t="e">
        <f>VLOOKUP(Исходн.данные.!T337,Справ!$A$3:$N$57,13)</f>
        <v>#N/A</v>
      </c>
      <c r="BA337" t="e">
        <f>VLOOKUP(Исходн.данные.!T337,Справ!$A$3:$N$57,14)</f>
        <v>#N/A</v>
      </c>
      <c r="BB337">
        <f>IF(Исходн.данные.!AH337=0,0,25)</f>
        <v>0</v>
      </c>
      <c r="BC337" s="141">
        <f>IF(Исходн.данные.!AH337=0,0,IF(Исходн.данные.!T337=0,25,BD337))</f>
        <v>0</v>
      </c>
      <c r="BD337" s="168" t="e">
        <f>AY337+AZ337*Исходн.данные.!U337-POWER(BA337,2)*Исходн.данные.!U337</f>
        <v>#N/A</v>
      </c>
      <c r="BE33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7" s="25">
        <f>IF(Исходн.данные.!AH337=0,0,MIN(HN337:HP337))</f>
        <v>0</v>
      </c>
      <c r="BG337" s="9">
        <f>IF(Исходн.данные.!AH337=0,0,IF((HO337+10*0.25/HG337/HL337)&lt;17,17,HO337+10*0.25/HG337/HL337))</f>
        <v>0</v>
      </c>
      <c r="BH337" s="181">
        <f>IF(Исходн.данные.!AH337=0,0,HW337*HF337*HL337/AU337*AI337+Исходн.данные.!S337*10)</f>
        <v>0</v>
      </c>
      <c r="BI337" s="10"/>
      <c r="BJ337" s="182">
        <f>IF(Исходн.данные.!AH337=0,0,IF(HX337*HG337*HL337/AV337&lt;0,0,HX337*HG337*HL337/AV337*AJ337))</f>
        <v>0</v>
      </c>
      <c r="BK337" s="182">
        <f>IF(Исходн.данные.!AH337=0,0,HY337*HH337*HM337/AW337)</f>
        <v>0</v>
      </c>
      <c r="BL337" s="10">
        <f>IF(OR(Исходн.данные.!$AH337=$BP$1,Исходн.данные.!$AH337=$BP$2),0,IF(BH337&lt;0,0,IF(OR(Исходн.данные.!T337=Расчет!$BP$1,Исходн.данные.!T337=Расчет!$BP$2,Исходн.данные.!T337=Расчет!$BT$5,Исходн.данные.!T337=Расчет!$BT$6),BH337*0.5,IF(OR(Исходн.данные.!T337=Расчет!$BS$9,Исходн.данные.!T337=Расчет!$BS$10,Исходн.данные.!T337=Расчет!$BS$11,Исходн.данные.!T337=Расчет!$BS$12,Исходн.данные.!T337=Расчет!$BP$5),BH337*0.8,BH337))))</f>
        <v>0</v>
      </c>
      <c r="BM337" s="10">
        <f>IF(OR(Исходн.данные.!$AH337=$BP$1,Исходн.данные.!$AH337=$BP$2),0,IF(BJ337&lt;0,0,IF(Исходн.данные.!I337&lt;4.5,BJ337*1.2,IF(Исходн.данные.!I337&gt;5.1,BJ337,BJ337*((5.1-Исходн.данные.!I337)*0.333+1)))))</f>
        <v>0</v>
      </c>
      <c r="BN337" s="10">
        <f>IF(OR(Исходн.данные.!$AH337=$BP$1,Исходн.данные.!$AH337=$BP$2),60-Исходн.данные.!AF337,IF(BK337&lt;0,0,IF(Исходн.данные.!I337&lt;4.5,BK337*1.2,IF(Исходн.данные.!I337&gt;5.1,BK337,BK337*((5.1-Исходн.данные.!I337)*0.333+1)))))</f>
        <v>0</v>
      </c>
      <c r="BO337" s="9">
        <f>IF(BL337&lt;0,0,BL337*Исходн.данные.!$AJ337/1000)</f>
        <v>0</v>
      </c>
      <c r="BP337" s="9">
        <f>IF(BM337&lt;0,0,BM337*Исходн.данные.!$AJ337/1000)</f>
        <v>0</v>
      </c>
      <c r="BQ337" s="9">
        <f>IF(BN337&lt;0,0,BN337*Исходн.данные.!$AJ337/1000)</f>
        <v>0</v>
      </c>
      <c r="BR337" s="9">
        <f t="shared" si="377"/>
        <v>0</v>
      </c>
      <c r="BS337" s="10" t="str">
        <f t="shared" si="378"/>
        <v>Аммофос 12:52:00</v>
      </c>
      <c r="BT337" s="10" t="str">
        <f t="shared" si="379"/>
        <v>Аммофос 12:52:00</v>
      </c>
      <c r="BU337" s="10" t="str">
        <f t="shared" si="380"/>
        <v>Диаммофоска</v>
      </c>
      <c r="BV337" s="10">
        <f t="shared" si="381"/>
        <v>0</v>
      </c>
      <c r="BW337" s="10"/>
      <c r="BX337" s="10"/>
      <c r="BY337" s="9">
        <f>IF(BL337&lt;0,0,IF(OR(Исходн.данные.!AI337=Расчет!$BU$6,Исходн.данные.!AI337=Расчет!$BU$7),Расчет!BV337,IF(Исходн.данные.!$AG337=$BV$11,BL337,IF(OR(Исходн.данные.!$AH337=$BQ$7,Исходн.данные.!$AH337=$BQ$8),CB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0,IF(Исходн.данные.!$AI337=$BU$11,"Нет",IF(BL337&gt;30,30,BL337)))))))</f>
        <v>0</v>
      </c>
      <c r="BZ337" s="9">
        <f>IF(AND(Исходн.данные.!$AG337=$BV$11,BM337&lt;10),10,IF(Исходн.данные.!$AG337=$BV$11,BM337,IF(OR(Исходн.данные.!$AH337=$BQ$7,Исходн.данные.!$AH337=$BQ$8),CC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10,IF(Исходн.данные.!$AI337=$BU$11,"Нет",IF(BM337&gt;60,60,IF(BM337&lt;10,10,BM337)))))))</f>
        <v>10</v>
      </c>
      <c r="CA337" s="39">
        <f>IF(BN337&lt;0,0,IF(Исходн.данные.!$AG337=$BV$11,BN337,IF(OR(Исходн.данные.!$AH337=$BQ$7,Исходн.данные.!$AH337=$BQ$8),CD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0,IF(Исходн.данные.!$AI337=$BU$11,"Нет",IF(BN337&gt;30,30,BN337))))))</f>
        <v>0</v>
      </c>
      <c r="CB337" s="9">
        <f t="shared" si="382"/>
        <v>0</v>
      </c>
      <c r="CC337" s="9">
        <f t="shared" si="383"/>
        <v>0</v>
      </c>
      <c r="CD337" s="9">
        <f t="shared" si="384"/>
        <v>0</v>
      </c>
      <c r="CE337" s="12">
        <f t="shared" si="385"/>
        <v>10</v>
      </c>
      <c r="CF337" s="9">
        <f t="shared" si="386"/>
        <v>0</v>
      </c>
      <c r="CG337" s="9" t="s">
        <v>231</v>
      </c>
      <c r="CH337" s="132" t="str">
        <f>IF(Исходн.данные.!AP337=Расчет!$CI$16,"Нет",IF(Исходн.данные.!AL337&gt;0,Исходн.данные.!AL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BH$4,IF(OR(Исходн.данные.!AI337=Исходн.данные.!$AI$6,Исходн.данные.!AI337=Исходн.данные.!$AI$7),Расчет!BS337,IF(AND($CF337=0,$CE337&gt;0),EV337,ER337)))))</f>
        <v>Аммофос 12:52:00</v>
      </c>
      <c r="CI337" s="274">
        <f>IF(Расчет!$CH337="Нет","Нет",IF(Исходн.данные.!$AL337&gt;0,VLOOKUP(Расчет!$CH337,АшламаДВ_Irekle,2,FALSE),VLOOKUP(Расчет!$CH337,АшламаДВ_Gomumy,2,FALSE)))</f>
        <v>0.12</v>
      </c>
      <c r="CJ337" s="274">
        <f>IF(Расчет!$CH337="Нет","Нет",IF(Исходн.данные.!$AL337&gt;0,VLOOKUP(Расчет!$CH337,АшламаДВ_Irekle,3,FALSE),VLOOKUP(Расчет!$CH337,АшламаДВ_Gomumy,3,FALSE)))</f>
        <v>0.52</v>
      </c>
      <c r="CK337" s="274">
        <f>IF(Расчет!$CH337="Нет","Нет",IF(Исходн.данные.!$AL337&gt;0,VLOOKUP(Расчет!$CH337,АшламаДВ_Irekle,4,FALSE),VLOOKUP(Расчет!$CH337,АшламаДВ_Gomumy,4,FALSE)))</f>
        <v>0</v>
      </c>
      <c r="CL337" s="70"/>
      <c r="CM337" s="70"/>
      <c r="CN337" s="70"/>
      <c r="CO337" s="70"/>
      <c r="CP337" s="70"/>
      <c r="CQ337" s="70"/>
      <c r="CR337" s="10">
        <f t="shared" si="387"/>
        <v>0</v>
      </c>
      <c r="CS337" s="10">
        <f t="shared" si="388"/>
        <v>19.23076923076923</v>
      </c>
      <c r="CT337" s="10">
        <f t="shared" si="389"/>
        <v>0</v>
      </c>
      <c r="CU337" s="39">
        <f>IF($CH337="Нет",0,IF(CI337=0,30/MIN(CJ337:CK337),IF(Исходн.данные.!$AG337=$BV$11,CR337,IF(OR(Исходн.данные.!$AH337=$BQ$7,Исходн.данные.!$AH337=$BQ$8),90/CI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0,IF(Исходн.данные.!$AI337=$BU$11,"Нет",30/CI337))))))</f>
        <v>250</v>
      </c>
      <c r="CV337" s="39">
        <f>IF($CH337="Нет",0,IF(Исходн.данные.!AH337=0,0,IF(CJ337=0,60/MIN(CI337,CK337),IF(Исходн.данные.!$AG337=$BV$11,CS337,IF(OR(Исходн.данные.!$AH337=$BQ$7,Исходн.данные.!$AH337=$BQ$8),90/CJ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10/CJ337,IF(Исходн.данные.!$AI337=$BU$11,"Нет",60/CJ337)))))))</f>
        <v>0</v>
      </c>
      <c r="CW337" s="39">
        <f>IF($CH337="Нет",0,IF(Исходн.данные.!AH337=0,0,IF(CK337=0,30/MIN(CI337:CJ337),IF(Исходн.данные.!$AG337=$BV$11,CT337,IF(OR(Исходн.данные.!$AH337=$BQ$7,Исходн.данные.!$AH337=$BQ$8),90/CK337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0,IF(Исходн.данные.!$AI337=$BU$11,"Нет",30/CK337)))))))</f>
        <v>0</v>
      </c>
      <c r="CX337" s="133">
        <f>IF(Исходн.данные.!$AG337=$BV$11,MAX(CU337:CW337),IF(OR(Исходн.данные.!$AH337=$BS$8,Исходн.данные.!$AH337=$BQ$9,Исходн.данные.!$AH337=$BQ$10,Исходн.данные.!$AH337=$BQ$11,Исходн.данные.!$AH337=$BQ$12,Исходн.данные.!$AH337=$BP$3,Исходн.данные.!$AH337=$BT$8,$FM337="Да"),CV337,MIN(CU337:CW337)))</f>
        <v>0</v>
      </c>
      <c r="CY337" s="133">
        <f>IF(Исходн.данные.!AH337=0,0,IF(CR337&gt;$CX337,$CX337,CR337))</f>
        <v>0</v>
      </c>
      <c r="CZ337" s="133">
        <f>IF(Исходн.данные.!AH337=0,0,IF(CS337&gt;$CX337,$CX337,CS337))</f>
        <v>0</v>
      </c>
      <c r="DA337" s="133">
        <f>IF(Исходн.данные.!AH337=0,0,IF(CT337&gt;$CX337,$CX337,CT337))</f>
        <v>0</v>
      </c>
      <c r="DB337" s="10">
        <f t="shared" si="390"/>
        <v>0</v>
      </c>
      <c r="DC337" s="39">
        <f>DB337*Исходн.данные.!AJ337/1000</f>
        <v>0</v>
      </c>
      <c r="DD337" s="71">
        <f t="shared" si="391"/>
        <v>0</v>
      </c>
      <c r="DE337" s="9">
        <f t="shared" si="392"/>
        <v>0</v>
      </c>
      <c r="DF337" s="9">
        <f t="shared" si="393"/>
        <v>0</v>
      </c>
      <c r="DG337" s="39">
        <f>IF(BL337&lt;0,0,IF($CH337="Нет",BL337,IF(OR(Исходн.данные.!$AH337=$BP$1,Исходн.данные.!$AH337=$BP$2),0,IF(Исходн.данные.!AI337=$BU$11,BL337,IF(BL337-DD337&lt;0,0,BL337-DD337)))))</f>
        <v>0</v>
      </c>
      <c r="DH337" s="39">
        <f>IF(BM337&lt;0,0,IF($CH337="Нет",BM337,IF(OR(Исходн.данные.!$AH337=$BP$1,Исходн.данные.!$AH337=$BP$2),0,IF(Исходн.данные.!AJ337=$BU$11,BM337,IF(BM337-DE337&lt;0,0,BM337-DE337)))))</f>
        <v>0</v>
      </c>
      <c r="DI337" s="39">
        <f>IF(BN337&lt;0,0,IF($CH337="Нет",BN337,IF(OR(Исходн.данные.!$AH337=$BP$1,Исходн.данные.!$AH337=$BP$2),0,IF(Исходн.данные.!AK337=$BU$11,BN337,IF(BN337-DF337&lt;0,0,BN337-DF337)))))</f>
        <v>0</v>
      </c>
      <c r="DJ337" s="12">
        <f t="shared" si="394"/>
        <v>0</v>
      </c>
      <c r="DK337" s="9">
        <f t="shared" si="395"/>
        <v>0</v>
      </c>
      <c r="DL337" s="39">
        <f>IF(Исходн.данные.!AM337&gt;0,Исходн.данные.!AM337,IF(EG337&gt;0,$BH$10,0))</f>
        <v>0</v>
      </c>
      <c r="DM337" s="186">
        <f>IF($DL337=0,0,IF(Исходн.данные.!AM337&gt;0,VLOOKUP($DL337,АшламаДВ_Irekle,2,FALSE),VLOOKUP($DL337,АшламаДВ_Gomumy,2,FALSE)))</f>
        <v>0</v>
      </c>
      <c r="DN337" s="10">
        <f t="shared" si="373"/>
        <v>0</v>
      </c>
      <c r="DO337" s="9" t="str">
        <f>IF(Исходн.данные.!AN337&gt;0,Исходн.данные.!AN337,Удобрения!$B$37 )</f>
        <v>Хлор.калий</v>
      </c>
      <c r="DP337" s="9">
        <f>IF(Исходн.данные.!AN337&gt;0,VLOOKUP(Исходн.данные.!AN337,АшламаДВ_Irekle,4,FALSE),VLOOKUP(DO337,АшламаДВ_Gomumy,4,FALSE))</f>
        <v>0.6</v>
      </c>
      <c r="DQ337" s="10">
        <f t="shared" si="374"/>
        <v>0</v>
      </c>
      <c r="DR337" s="132" t="str">
        <f>IF(Исходн.данные.!AO337&gt;0,Исходн.данные.!AO337,IF(DH337=0,BS$17,IF(AND($DK337=0,$DJ337&gt;0),EJ337,EN337)))</f>
        <v>Нет</v>
      </c>
      <c r="DS337" s="70" t="str">
        <f>IF($DR337="Нет","Нет",IF(Исходн.данные.!$AO337&gt;0,VLOOKUP($DR337,АшламаДВ_Irekle,2,FALSE),VLOOKUP($DR337,АшламаДВ_Gomumy,2,FALSE)))</f>
        <v>Нет</v>
      </c>
      <c r="DT337" s="70" t="str">
        <f>IF($DR337="Нет","Нет",IF(Исходн.данные.!$AO337&gt;0,VLOOKUP($DR337,АшламаДВ_Irekle,3,FALSE),VLOOKUP($DR337,АшламаДВ_Gomumy,3,FALSE)))</f>
        <v>Нет</v>
      </c>
      <c r="DU337" s="70" t="str">
        <f>IF($DR337="Нет","Нет",IF(Исходн.данные.!$AO337&gt;0,VLOOKUP($DR337,АшламаДВ_Irekle,4,FALSE),VLOOKUP($DR337,АшламаДВ_Gomumy,4,FALSE)))</f>
        <v>Нет</v>
      </c>
      <c r="DV337" s="70"/>
      <c r="DW337" s="70"/>
      <c r="DX337" s="70"/>
      <c r="DY337" s="10">
        <f t="shared" si="396"/>
        <v>0</v>
      </c>
      <c r="DZ337" s="10">
        <f t="shared" si="397"/>
        <v>0</v>
      </c>
      <c r="EA337" s="10">
        <f t="shared" si="398"/>
        <v>0</v>
      </c>
      <c r="EB337" s="10">
        <f t="shared" si="399"/>
        <v>0</v>
      </c>
      <c r="EC337" s="10">
        <f t="shared" si="400"/>
        <v>0</v>
      </c>
      <c r="ED337" s="10">
        <f t="shared" si="401"/>
        <v>0</v>
      </c>
      <c r="EE337" s="10">
        <f t="shared" si="402"/>
        <v>0</v>
      </c>
      <c r="EF337" s="39">
        <f>EB337*Исходн.данные.!AJ337/1000</f>
        <v>0</v>
      </c>
      <c r="EG337" s="9">
        <f t="shared" si="403"/>
        <v>0</v>
      </c>
      <c r="EH337" s="9">
        <f t="shared" si="404"/>
        <v>0</v>
      </c>
      <c r="EI337" s="39" t="e">
        <f t="shared" si="354"/>
        <v>#DIV/0!</v>
      </c>
      <c r="EJ337" s="9" t="str">
        <f t="shared" si="375"/>
        <v>Азопреципитат</v>
      </c>
      <c r="EK337" s="12">
        <f t="shared" si="355"/>
        <v>0.26</v>
      </c>
      <c r="EL337" s="12">
        <f t="shared" si="356"/>
        <v>0.13</v>
      </c>
      <c r="EM337" s="12">
        <f t="shared" si="357"/>
        <v>0</v>
      </c>
      <c r="EN337" s="12" t="str">
        <f t="shared" si="376"/>
        <v>Нет</v>
      </c>
      <c r="EO337" s="12">
        <f t="shared" si="358"/>
        <v>0</v>
      </c>
      <c r="EP337" s="12">
        <f t="shared" si="359"/>
        <v>0</v>
      </c>
      <c r="EQ337" s="12">
        <f t="shared" si="360"/>
        <v>0</v>
      </c>
      <c r="ER337" s="12" t="str">
        <f t="shared" si="405"/>
        <v>Диаммофоска</v>
      </c>
      <c r="ES337" s="12">
        <f t="shared" si="361"/>
        <v>0.1</v>
      </c>
      <c r="ET337" s="12">
        <f t="shared" si="362"/>
        <v>0.26</v>
      </c>
      <c r="EU337" s="12">
        <f t="shared" si="363"/>
        <v>0.26</v>
      </c>
      <c r="EV337" s="12" t="str">
        <f t="shared" si="406"/>
        <v>Аммофос 12:52:00</v>
      </c>
      <c r="EW337" s="12" t="str">
        <f t="shared" si="407"/>
        <v>Кемира Свекловичное-6</v>
      </c>
      <c r="EX337" s="12">
        <f t="shared" si="364"/>
        <v>0.16</v>
      </c>
      <c r="EY337" s="12">
        <f t="shared" si="365"/>
        <v>0.12</v>
      </c>
      <c r="EZ337" s="12">
        <f t="shared" si="366"/>
        <v>0.17</v>
      </c>
      <c r="FA337" s="38" t="e">
        <f>IF(AND(OR(FJ337=$FD$1,FM337=$FD$1,FO337=$FD$1,FQ337=$FD$1,FS337=$FD$1),FD337=$FD$1,Исходн.данные.!J337&lt;2,FU337=$FD$1),"Бор,Кобальт",IF(AND(FO337=$FD$1,FH337=$FD$1,Исходн.данные.!J337&lt;2,FU337=$FD$1),"Бор,Кобальт",IF(AND(OR(FJ337=$FD$1,FM337=$FD$1,FQ337=$FD$1),FE337=$FD$1,Исходн.данные.!J337&lt;2,FT337=$FD$1,FU337=$FD$1),"Бор,Медь,Цинк",IF(AND(OR(FJ337=$FD$1,FR337="Да"),FI337="Да",Исходн.данные.!J337&lt;2,FT337="Да",FU337="Да"),"Бор,Цинк,Медь",IF(AND(OR(FM337="Да",FQ337="Да"),FI337="Да",Исходн.данные.!J337&lt;2,FT337="Да",FU337="Да"),"Бор,Цинк",IF(AND(FN337="Да",OR(FD337="Да",FE337="Да")),"Бор",FB337))))))</f>
        <v>#N/A</v>
      </c>
      <c r="FB337" s="134" t="e">
        <f>IF(AND(OR(FD337="Да",FE337="Да",FF337="Да",FG337="Да",FH337="Да"),FO337="Да"),"Бор",IF(AND(FP337="Да",OR(FD337="Да",FE337="Да",FI337="Да")),"Бор",IF(AND(FS337="Да",FE337="Да"),"Бор,Медь",IF(AND(OR(FJ337="Да",FK337="Да",FL337="Да"),FE337="Да",Исходн.данные.!I337&lt;5,FT337="Да",FU337="Да"),"Молибден,Цинк",IF(AND(FM337="Да",OR(FE337="Да",FF337="Да",FG337="Да",FH337="Да",FI337="Да")),"Молибден,Цинк",IF(AND(OR(FJ337="Да",FK337="Да",FL337="Да",FM337="Да",FQ337="Да"),OR(FE337="Да",FF337="Да"),FT337="Да",FU337="Да",Исходн.данные.!I337&gt;5.5),"Медь,Цинк",FC337))))))</f>
        <v>#N/A</v>
      </c>
      <c r="FC337" s="23" t="e">
        <f t="shared" si="408"/>
        <v>#N/A</v>
      </c>
      <c r="FD337" s="38" t="str">
        <f>IF(OR(Исходн.данные.!F337=$CC$1,Исходн.данные.!F337=$CC$2,Исходн.данные.!F337=$CC$3,Исходн.данные.!F337=$CC$4),"Да","Нет")</f>
        <v>Нет</v>
      </c>
      <c r="FE337" s="38" t="str">
        <f>IF(Исходн.данные.!F337=$CC$5,"Да","Нет")</f>
        <v>Нет</v>
      </c>
      <c r="FF337" s="38" t="str">
        <f>IF(OR(Исходн.данные.!F337=$CC$6,Исходн.данные.!F337=$CC$7),"Да","Нет")</f>
        <v>Нет</v>
      </c>
      <c r="FG337" s="38" t="str">
        <f>IF(OR(Исходн.данные.!F337=$CC$8,Исходн.данные.!F337=$CC$9),"Да","Нет")</f>
        <v>Нет</v>
      </c>
      <c r="FH337" s="38" t="str">
        <f>IF(Исходн.данные.!F337=$CC$10,"Да","Нет")</f>
        <v>Нет</v>
      </c>
      <c r="FI337" s="38" t="str">
        <f>IF(OR(Исходн.данные.!F337=$CC$11,Исходн.данные.!F337=$CC$12),"Да","Нет")</f>
        <v>Нет</v>
      </c>
      <c r="FJ337" s="38" t="str">
        <f>IF(OR(Исходн.данные.!AH337=$BS$1,Исходн.данные.!AH337=$BQ$11,Исходн.данные.!AH337=$BQ$12),"Да","Нет")</f>
        <v>Нет</v>
      </c>
      <c r="FK337" s="38" t="str">
        <f>IF(OR(Исходн.данные.!AH337=$BS$2,Исходн.данные.!AH337=$BS$4),"Да","Нет")</f>
        <v>Нет</v>
      </c>
      <c r="FL337" s="38" t="str">
        <f>IF(OR(Исходн.данные.!AH337=$BS$3,Исходн.данные.!AH337=$BS$5),"Да","Нет")</f>
        <v>Нет</v>
      </c>
      <c r="FM337" s="38" t="str">
        <f>IF(OR(Исходн.данные.!AH337=$BS$9,Исходн.данные.!AH337=$BS$10,Исходн.данные.!AH337=$BS$11,Исходн.данные.!AH337=$BS$12),"Да","Нет")</f>
        <v>Нет</v>
      </c>
      <c r="FN337" s="38" t="str">
        <f>IF(OR(Исходн.данные.!AH337=$BS$6,Исходн.данные.!AH337=$BP$3),"Да","Нет")</f>
        <v>Нет</v>
      </c>
      <c r="FO337" s="38" t="str">
        <f>IF(Исходн.данные.!AH337=$BQ$9,"Да","Нет")</f>
        <v>Нет</v>
      </c>
      <c r="FP337" s="38" t="str">
        <f>IF(OR(Исходн.данные.!AH337=$BS$8,Исходн.данные.!AH337=$BT$8),"Да","Нет")</f>
        <v>Нет</v>
      </c>
      <c r="FQ337" s="38" t="str">
        <f>IF(OR(Исходн.данные.!AH337=$BQ$7,Исходн.данные.!AH337=$BQ$8),"Да","Нет")</f>
        <v>Нет</v>
      </c>
      <c r="FR337" s="38" t="str">
        <f>IF(Исходн.данные.!AI337=$BU$9,"Да","Нет")</f>
        <v>Нет</v>
      </c>
      <c r="FS337" s="38" t="str">
        <f>IF(OR(Исходн.данные.!AH337=$BP$1,Исходн.данные.!AH337=$BP$2),"Да","Нет")</f>
        <v>Нет</v>
      </c>
      <c r="FT337" s="38" t="e">
        <f>IF((Исходн.данные.!K337*GO337*GS337*GW337+BL337*0.6+Исходн.данные.!Q337*4.5*0.275)&gt;90,"Да","Нет")</f>
        <v>#N/A</v>
      </c>
      <c r="FU337" s="38" t="e">
        <f>IF((Исходн.данные.!M337*GS337*GZ337+BM337*0.225)&gt;35,"Да","Нет")</f>
        <v>#N/A</v>
      </c>
      <c r="FV337" s="38" t="str">
        <f>IF(Исходн.данные.!O337&gt;175,"Да","Нет")</f>
        <v>Нет</v>
      </c>
      <c r="FW337" s="39" t="str">
        <f>IF(Исходн.данные.!I337&gt;5.5,"Да","Нет")</f>
        <v>Нет</v>
      </c>
      <c r="FX337" s="39" t="str">
        <f>IF(Исходн.данные.!J337&lt;2,"Да","Нет")</f>
        <v>Да</v>
      </c>
      <c r="FY337" s="39" t="e">
        <f>IF(HF337=$FY$16,0,Исходн.данные.!K337*GO337*GS337*GW337/HF337)</f>
        <v>#N/A</v>
      </c>
      <c r="FZ337" s="39" t="e">
        <f>Исходн.данные.!M337*GS337*GZ337/HG337</f>
        <v>#N/A</v>
      </c>
      <c r="GA337" s="39" t="e">
        <f>IF(K_Wyn=$FY$16,0,IF(Исходн.данные.!N337=Исходн.данные.!$L$10,Исходн.данные.!O337/1.1*GS337*HC337/HH337,IF(Исходн.данные.!N337=Исходн.данные.!$L$12,Исходн.данные.!O337/1.5*GS337*HC337/HH337,Исходн.данные.!O337*GS337*HC337/HH337)))</f>
        <v>#N/A</v>
      </c>
      <c r="GB337" s="39" t="e">
        <f>IF(HF337=$FY$16,0,((Исходн.данные.!Q337*N_Org+Исходн.данные.!R337*N_Sider+Исходн.данные.!S337*N_Soloma)*AO337+Расчет!BC337*VLOOKUP(Исходн.данные.!T337,Справ!$A$3:$O$57,15)*AO337+BB337*VLOOKUP(Исходн.данные.!T337,Справ!$A$3:$O$57,15)*AL337+(Исходн.данные.!V337*N_Rizotorf+Исходн.данные.!W337*N_Rizoagr))/HF337)</f>
        <v>#N/A</v>
      </c>
      <c r="GC337" s="39" t="e">
        <f>IF(HG337=$FY$16,0,((Исходн.данные.!Q337*Р_Org+Исходн.данные.!R337*P_Sider+Исходн.данные.!S337*P_Soloma)*AP337+Расчет!BC337*VLOOKUP(Исходн.данные.!T337,Справ!$A$3:$P$57,16)*AP337+BB337*VLOOKUP(Исходн.данные.!T337,Справ!$A$3:$P$57,16)*AM337)/HG337)</f>
        <v>#N/A</v>
      </c>
      <c r="GD337" s="39" t="e">
        <f>IF(HH337=$FY$16,0,((Исходн.данные.!Q337*К_Org+Исходн.данные.!R337*K_Sider+Исходн.данные.!S337*K_Soloma)*AQ337+Расчет!BC337*VLOOKUP(Исходн.данные.!T337,Справ!$A$3:$Q$57,17)*AQ337+BB337*VLOOKUP(Исходн.данные.!T337,Справ!$A$3:$Q$57,17)*AN337)/HH337)</f>
        <v>#N/A</v>
      </c>
      <c r="GE337" s="39" t="e">
        <f>IF(HF337=$FY$16,0,(Исходн.данные.!X337*AR337+Исходн.данные.!AA337*N_Org*AL337+Исходн.данные.!AB337*N_Sider*AL337+Исходн.данные.!AC337*N_Soloma*AL337)/HF337)</f>
        <v>#N/A</v>
      </c>
      <c r="GF337" s="39" t="e">
        <f>IF(HG337=$FY$16,0,(Исходн.данные.!Y337*AS337+Исходн.данные.!AA337*Р_Org*AM337+Исходн.данные.!AB337*P_Sider*AM337+Исходн.данные.!AC337*P_Soloma*AM337)/HG337)</f>
        <v>#N/A</v>
      </c>
      <c r="GG337" s="39" t="e">
        <f>IF(HH337=$FY$16,0,(Исходн.данные.!Z337*AT337+Исходн.данные.!AA337*К_Org*AN337+Исходн.данные.!AB337*K_Sider*AN337+Исходн.данные.!AC337*K_Soloma*AN337)/HH337)</f>
        <v>#N/A</v>
      </c>
      <c r="GH337" s="39" t="e">
        <f>Исходн.данные.!AD337*AU337/HF337</f>
        <v>#N/A</v>
      </c>
      <c r="GI337" s="39" t="e">
        <f>Исходн.данные.!AE337*AV337/HG337</f>
        <v>#N/A</v>
      </c>
      <c r="GJ337" s="39" t="e">
        <f>Исходн.данные.!AF337*AW337/HH337</f>
        <v>#N/A</v>
      </c>
      <c r="GK337" s="55">
        <f>Исходн.данные.!AK337</f>
        <v>0</v>
      </c>
      <c r="GL337" s="11" t="e">
        <f t="shared" si="409"/>
        <v>#N/A</v>
      </c>
      <c r="GM337" s="11" t="e">
        <f t="shared" si="410"/>
        <v>#N/A</v>
      </c>
      <c r="GN337" s="11" t="e">
        <f t="shared" si="411"/>
        <v>#N/A</v>
      </c>
      <c r="GO337" s="57">
        <f t="shared" si="412"/>
        <v>19</v>
      </c>
      <c r="GP337" s="55">
        <f>IF(OR(Исходн.данные.!F337=$CE$1,Исходн.данные.!F337=$CE$2,Исходн.данные.!F337=$CE$3,Исходн.данные.!F337=$CE$4,Исходн.данные.!F337=$CE$5),GQ337,GR337)</f>
        <v>19</v>
      </c>
      <c r="GQ337" s="55">
        <f>IF(Исходн.данные.!F337=$CE$1,28,IF(Исходн.данные.!F337=$CE$2,26,IF(Исходн.данные.!F337=$CE$3,24,IF(Исходн.данные.!F337=$CE$4,22,IF(Исходн.данные.!F337=$CE$5,20,GR337)))))</f>
        <v>19</v>
      </c>
      <c r="GR337" s="55">
        <f>IF(Исходн.данные.!F337=$CE$6,18,IF(Исходн.данные.!F337=$CE$7,16,IF(Исходн.данные.!F337=$CE$8,14,IF(Исходн.данные.!F337=$CE$9,13,IF(Исходн.данные.!F337=$CE$10,12,19)))))</f>
        <v>19</v>
      </c>
      <c r="GS337" s="55">
        <f>IF(Исходн.данные.!G337="Пес",0.035*(40+2*Исходн.данные.!H337),IF(Исходн.данные.!G337="Суп",0.0325*(40+2*Исходн.данные.!H337),0.03*(40+2*Исходн.данные.!H337)))</f>
        <v>1.2</v>
      </c>
      <c r="GT337" s="55">
        <f>IF(Исходн.данные.!H337&lt;23,2.6,IF(AND(Исходн.данные.!H337&gt;22,Исходн.данные.!H337&lt;26),3,IF(AND(Исходн.данные.!H337&gt;25,Исходн.данные.!H337&lt;29),3.4,3.6)))</f>
        <v>2.6</v>
      </c>
      <c r="GU337" s="55">
        <f>IF(Исходн.данные.!H337&lt;23,2.8,IF(AND(Исходн.данные.!H337&gt;22,Исходн.данные.!H337&lt;26),3.2,IF(AND(Исходн.данные.!H337&gt;25,Исходн.данные.!H337&lt;29),3.6,3.9)))</f>
        <v>2.8</v>
      </c>
      <c r="GV337" s="55">
        <f>IF(Исходн.данные.!H337&lt;23,3,IF(AND(Исходн.данные.!H337&gt;22,Исходн.данные.!H337&lt;26),3.5,IF(AND(Исходн.данные.!H337&gt;25,Исходн.данные.!H337&lt;29),3.9,4.2)))</f>
        <v>3</v>
      </c>
      <c r="GW337" s="55" t="e">
        <f>IF(Исходн.данные.!P337="Ум",GX337,GY337)</f>
        <v>#N/A</v>
      </c>
      <c r="GX337" s="55" t="e">
        <f>VLOOKUP(Исходн.данные.!AI337,Коэффициенты!$J$7:$L$13,2,FALSE)</f>
        <v>#N/A</v>
      </c>
      <c r="GY337" s="55" t="e">
        <f>VLOOKUP(Исходн.данные.!AI337,Коэффициенты!$J$7:$L$13,3,FALSE)</f>
        <v>#N/A</v>
      </c>
      <c r="GZ337" s="55" t="e">
        <f>(IF(Исходн.данные.!M337&lt;50,0.11*VLOOKUP(Исходн.данные.!AH337,Культуры.Информация,7,FALSE),IF(Исходн.данные.!M337&gt;250,0.05*VLOOKUP(Исходн.данные.!AH337,Культуры.Информация,7,FALSE),VLOOKUP(Исходн.данные.!AH337,Культуры.Информация,5,FALSE)/100*($GX$6+$GY$6*Исходн.данные.!M337))))*Расчет2!AI337</f>
        <v>#N/A</v>
      </c>
      <c r="HA337" s="211"/>
      <c r="HB337" s="211"/>
      <c r="HC337" s="55" t="e">
        <f>(IF(Исходн.данные.!O337&lt;80,0.2*VLOOKUP(Исходн.данные.!AH337,Культуры.Информация,8,FALSE),IF(Исходн.данные.!O337&gt;240,0.09*VLOOKUP(Исходн.данные.!AH337,Культуры.Информация,8,FALSE),VLOOKUP(Исходн.данные.!AH337,Культуры.Информация,6,FALSE)/100*($HB$6+$HC$6*Исходн.данные.!O337))))*Расчет2!AJ337</f>
        <v>#N/A</v>
      </c>
      <c r="HD337" s="55">
        <f>IF(Исходн.данные.!O337&gt;240,0.09,IF(Исходн.данные.!O337&lt;30,0.3,$HE$10+$HD$10*Исходн.данные.!O337))</f>
        <v>0.3</v>
      </c>
      <c r="HE337" s="55">
        <f>IF(Исходн.данные.!O337&gt;240,0.17,IF(Исходн.данные.!O337&lt;30,0.5,$HF$12+$HE$12*Исходн.данные.!O337))</f>
        <v>0.5</v>
      </c>
      <c r="HF337" s="55" t="e">
        <f>VLOOKUP(Исходн.данные.!AH337,Справ!$A$3:$D$58,2,FALSE)</f>
        <v>#N/A</v>
      </c>
      <c r="HG337" s="55" t="e">
        <f>VLOOKUP(Исходн.данные.!AH337,Справ!$A$3:$D$58,3,FALSE)</f>
        <v>#N/A</v>
      </c>
      <c r="HH337" s="55" t="e">
        <f>VLOOKUP(Исходн.данные.!AH337,Справ!$A$3:$D$58,4,FALSE)</f>
        <v>#N/A</v>
      </c>
      <c r="HI337" s="11" t="e">
        <f t="shared" si="413"/>
        <v>#N/A</v>
      </c>
      <c r="HJ337" s="11" t="e">
        <f t="shared" si="414"/>
        <v>#N/A</v>
      </c>
      <c r="HK337" s="11" t="e">
        <f t="shared" si="415"/>
        <v>#N/A</v>
      </c>
      <c r="HL337" s="55">
        <f>IF(OR(Исходн.данные.!G337="Глин",Исходн.данные.!G337="Т_суг"),1.1,IF(Исходн.данные.!G337="Ср_суг",1,1))</f>
        <v>1</v>
      </c>
      <c r="HM337" s="55">
        <f>IF(OR(Исходн.данные.!G337="Глин",Исходн.данные.!G337="Т_суг"),0.9,IF(Исходн.данные.!G337="Ср_суг",1,1.2))</f>
        <v>1.2</v>
      </c>
      <c r="HN337" s="11" t="e">
        <f t="shared" si="416"/>
        <v>#N/A</v>
      </c>
      <c r="HO337" s="11" t="e">
        <f t="shared" si="417"/>
        <v>#N/A</v>
      </c>
      <c r="HP337" s="11" t="e">
        <f t="shared" si="418"/>
        <v>#N/A</v>
      </c>
      <c r="HQ337" t="e">
        <f t="shared" si="419"/>
        <v>#N/A</v>
      </c>
      <c r="HR337" t="e">
        <f t="shared" si="420"/>
        <v>#N/A</v>
      </c>
      <c r="HS337" t="e">
        <f t="shared" si="421"/>
        <v>#N/A</v>
      </c>
      <c r="HT337" t="e">
        <f t="shared" si="367"/>
        <v>#N/A</v>
      </c>
      <c r="HU337" t="e">
        <f t="shared" si="368"/>
        <v>#N/A</v>
      </c>
      <c r="HV337" t="e">
        <f t="shared" si="369"/>
        <v>#N/A</v>
      </c>
      <c r="HW337" t="e">
        <f t="shared" si="370"/>
        <v>#N/A</v>
      </c>
      <c r="HX337" t="e">
        <f t="shared" si="371"/>
        <v>#N/A</v>
      </c>
      <c r="HY337" t="e">
        <f t="shared" si="372"/>
        <v>#N/A</v>
      </c>
      <c r="HZ337" s="55">
        <f>IF(OR(Исходн.данные.!AI337="Оз_Ч_П",Исходн.данные.!AI337="Оз_З_П",Исходн.данные.!AI337="Яр_зер"),12,30)</f>
        <v>30</v>
      </c>
      <c r="IA337" t="e">
        <f t="shared" si="422"/>
        <v>#N/A</v>
      </c>
      <c r="IB337" t="e">
        <f t="shared" si="423"/>
        <v>#N/A</v>
      </c>
      <c r="IC337" t="e">
        <f t="shared" si="424"/>
        <v>#N/A</v>
      </c>
      <c r="ID337" s="11" t="e">
        <f t="shared" si="425"/>
        <v>#N/A</v>
      </c>
      <c r="IE337" s="11" t="e">
        <f t="shared" si="426"/>
        <v>#N/A</v>
      </c>
      <c r="IF337" s="11" t="e">
        <f t="shared" si="427"/>
        <v>#N/A</v>
      </c>
    </row>
    <row r="338" spans="35:240" x14ac:dyDescent="0.2">
      <c r="AI338">
        <f>IF(Исходн.данные.!I338&gt;6,1,1.85-(0.148*Исходн.данные.!I338))</f>
        <v>1.85</v>
      </c>
      <c r="AJ338">
        <f>IF(Исходн.данные.!I338&gt;6,1,2.434-(0.246*Исходн.данные.!I338))</f>
        <v>2.4340000000000002</v>
      </c>
      <c r="AL338" s="148" t="b">
        <f>IF(Исходн.данные.!$P338="Ум",N_OrgUd_2g_um,IF(Исходн.данные.!$P338="Об",N_OrgUd_2g_ob))</f>
        <v>0</v>
      </c>
      <c r="AM338" s="148" t="b">
        <f>IF(Исходн.данные.!$P338="Ум",P_OrgUd_2g_um,IF(Исходн.данные.!$P338="Об",P_OrgUd_2g_ob))</f>
        <v>0</v>
      </c>
      <c r="AN338" s="148" t="b">
        <f>IF(Исходн.данные.!$P338="Ум",K_OrgUd_2g_um,IF(Исходн.данные.!$P338="Об",K_OrgUd_2g_ob))</f>
        <v>0</v>
      </c>
      <c r="AO338" s="148" t="b">
        <f>IF(Исходн.данные.!$P338="Ум",N_OrgUd_1g_um,IF(Исходн.данные.!$P338="Об",N_OrgUd_1g_ob))</f>
        <v>0</v>
      </c>
      <c r="AP338" s="148" t="b">
        <f>IF(Исходн.данные.!$P338="Ум",P_OrgUd_1g_um,IF(Исходн.данные.!$P338="Об",P_OrgUd_1g_ob))</f>
        <v>0</v>
      </c>
      <c r="AQ338" s="148" t="b">
        <f>IF(Исходн.данные.!$P338="Ум",K_OrgUd_1g_um,IF(Исходн.данные.!$P338="Об",K_OrgUd_1g_ob))</f>
        <v>0</v>
      </c>
      <c r="AR338" t="b">
        <f>IF(Исходн.данные.!$P338="Ум",N_MinUd_2g_um,IF(Исходн.данные.!$P338="Об",N_MinUd_2g_ob))</f>
        <v>0</v>
      </c>
      <c r="AS338" t="b">
        <f>IF(Исходн.данные.!$P338="Ум",P_MinUd_2g_um,IF(Исходн.данные.!$P338="Об",P_MinUd_2g_ob))</f>
        <v>0</v>
      </c>
      <c r="AT338" t="b">
        <f>IF(Исходн.данные.!$P338="Ум",K_MinUd_2g_um,IF(Исходн.данные.!$P338="Об",K_MinUd_2g_ob))</f>
        <v>0</v>
      </c>
      <c r="AU338" t="b">
        <f>IF(Исходн.данные.!$P338="Ум",N_MinUd_1g_um,IF(Исходн.данные.!$P338="Об",N_MinUd_1g_ob))</f>
        <v>0</v>
      </c>
      <c r="AV338" t="b">
        <f>IF(Исходн.данные.!P338="Ум",P_MinUd_1g_um,IF(Исходн.данные.!P338="Об",P_MinUd_1g_ob))</f>
        <v>0</v>
      </c>
      <c r="AW338" t="b">
        <f>IF(Исходн.данные.!P338="Ум",K_MinUd_1g_um,IF(Исходн.данные.!P338="Об",K_MinUd_1g_ob))</f>
        <v>0</v>
      </c>
      <c r="AY338" t="e">
        <f>VLOOKUP(Исходн.данные.!T338,Справ!$A$3:$N$57,12)</f>
        <v>#N/A</v>
      </c>
      <c r="AZ338" t="e">
        <f>VLOOKUP(Исходн.данные.!T338,Справ!$A$3:$N$57,13)</f>
        <v>#N/A</v>
      </c>
      <c r="BA338" t="e">
        <f>VLOOKUP(Исходн.данные.!T338,Справ!$A$3:$N$57,14)</f>
        <v>#N/A</v>
      </c>
      <c r="BB338">
        <f>IF(Исходн.данные.!AH338=0,0,25)</f>
        <v>0</v>
      </c>
      <c r="BC338" s="141">
        <f>IF(Исходн.данные.!AH338=0,0,IF(Исходн.данные.!T338=0,25,BD338))</f>
        <v>0</v>
      </c>
      <c r="BD338" s="168" t="e">
        <f>AY338+AZ338*Исходн.данные.!U338-POWER(BA338,2)*Исходн.данные.!U338</f>
        <v>#N/A</v>
      </c>
      <c r="BE33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8" s="25">
        <f>IF(Исходн.данные.!AH338=0,0,MIN(HN338:HP338))</f>
        <v>0</v>
      </c>
      <c r="BG338" s="9">
        <f>IF(Исходн.данные.!AH338=0,0,IF((HO338+10*0.25/HG338/HL338)&lt;17,17,HO338+10*0.25/HG338/HL338))</f>
        <v>0</v>
      </c>
      <c r="BH338" s="181">
        <f>IF(Исходн.данные.!AH338=0,0,HW338*HF338*HL338/AU338*AI338+Исходн.данные.!S338*10)</f>
        <v>0</v>
      </c>
      <c r="BI338" s="10"/>
      <c r="BJ338" s="182">
        <f>IF(Исходн.данные.!AH338=0,0,IF(HX338*HG338*HL338/AV338&lt;0,0,HX338*HG338*HL338/AV338*AJ338))</f>
        <v>0</v>
      </c>
      <c r="BK338" s="182">
        <f>IF(Исходн.данные.!AH338=0,0,HY338*HH338*HM338/AW338)</f>
        <v>0</v>
      </c>
      <c r="BL338" s="10">
        <f>IF(OR(Исходн.данные.!$AH338=$BP$1,Исходн.данные.!$AH338=$BP$2),0,IF(BH338&lt;0,0,IF(OR(Исходн.данные.!T338=Расчет!$BP$1,Исходн.данные.!T338=Расчет!$BP$2,Исходн.данные.!T338=Расчет!$BT$5,Исходн.данные.!T338=Расчет!$BT$6),BH338*0.5,IF(OR(Исходн.данные.!T338=Расчет!$BS$9,Исходн.данные.!T338=Расчет!$BS$10,Исходн.данные.!T338=Расчет!$BS$11,Исходн.данные.!T338=Расчет!$BS$12,Исходн.данные.!T338=Расчет!$BP$5),BH338*0.8,BH338))))</f>
        <v>0</v>
      </c>
      <c r="BM338" s="10">
        <f>IF(OR(Исходн.данные.!$AH338=$BP$1,Исходн.данные.!$AH338=$BP$2),0,IF(BJ338&lt;0,0,IF(Исходн.данные.!I338&lt;4.5,BJ338*1.2,IF(Исходн.данные.!I338&gt;5.1,BJ338,BJ338*((5.1-Исходн.данные.!I338)*0.333+1)))))</f>
        <v>0</v>
      </c>
      <c r="BN338" s="10">
        <f>IF(OR(Исходн.данные.!$AH338=$BP$1,Исходн.данные.!$AH338=$BP$2),60-Исходн.данные.!AF338,IF(BK338&lt;0,0,IF(Исходн.данные.!I338&lt;4.5,BK338*1.2,IF(Исходн.данные.!I338&gt;5.1,BK338,BK338*((5.1-Исходн.данные.!I338)*0.333+1)))))</f>
        <v>0</v>
      </c>
      <c r="BO338" s="9">
        <f>IF(BL338&lt;0,0,BL338*Исходн.данные.!$AJ338/1000)</f>
        <v>0</v>
      </c>
      <c r="BP338" s="9">
        <f>IF(BM338&lt;0,0,BM338*Исходн.данные.!$AJ338/1000)</f>
        <v>0</v>
      </c>
      <c r="BQ338" s="9">
        <f>IF(BN338&lt;0,0,BN338*Исходн.данные.!$AJ338/1000)</f>
        <v>0</v>
      </c>
      <c r="BR338" s="9">
        <f t="shared" si="377"/>
        <v>0</v>
      </c>
      <c r="BS338" s="10" t="str">
        <f t="shared" si="378"/>
        <v>Аммофос 12:52:00</v>
      </c>
      <c r="BT338" s="10" t="str">
        <f t="shared" si="379"/>
        <v>Аммофос 12:52:00</v>
      </c>
      <c r="BU338" s="10" t="str">
        <f t="shared" si="380"/>
        <v>Диаммофоска</v>
      </c>
      <c r="BV338" s="10">
        <f t="shared" si="381"/>
        <v>0</v>
      </c>
      <c r="BW338" s="10"/>
      <c r="BX338" s="10"/>
      <c r="BY338" s="9">
        <f>IF(BL338&lt;0,0,IF(OR(Исходн.данные.!AI338=Расчет!$BU$6,Исходн.данные.!AI338=Расчет!$BU$7),Расчет!BV338,IF(Исходн.данные.!$AG338=$BV$11,BL338,IF(OR(Исходн.данные.!$AH338=$BQ$7,Исходн.данные.!$AH338=$BQ$8),CB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0,IF(Исходн.данные.!$AI338=$BU$11,"Нет",IF(BL338&gt;30,30,BL338)))))))</f>
        <v>0</v>
      </c>
      <c r="BZ338" s="9">
        <f>IF(AND(Исходн.данные.!$AG338=$BV$11,BM338&lt;10),10,IF(Исходн.данные.!$AG338=$BV$11,BM338,IF(OR(Исходн.данные.!$AH338=$BQ$7,Исходн.данные.!$AH338=$BQ$8),CC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10,IF(Исходн.данные.!$AI338=$BU$11,"Нет",IF(BM338&gt;60,60,IF(BM338&lt;10,10,BM338)))))))</f>
        <v>10</v>
      </c>
      <c r="CA338" s="39">
        <f>IF(BN338&lt;0,0,IF(Исходн.данные.!$AG338=$BV$11,BN338,IF(OR(Исходн.данные.!$AH338=$BQ$7,Исходн.данные.!$AH338=$BQ$8),CD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0,IF(Исходн.данные.!$AI338=$BU$11,"Нет",IF(BN338&gt;30,30,BN338))))))</f>
        <v>0</v>
      </c>
      <c r="CB338" s="9">
        <f t="shared" si="382"/>
        <v>0</v>
      </c>
      <c r="CC338" s="9">
        <f t="shared" si="383"/>
        <v>0</v>
      </c>
      <c r="CD338" s="9">
        <f t="shared" si="384"/>
        <v>0</v>
      </c>
      <c r="CE338" s="12">
        <f t="shared" si="385"/>
        <v>10</v>
      </c>
      <c r="CF338" s="9">
        <f t="shared" si="386"/>
        <v>0</v>
      </c>
      <c r="CG338" s="9" t="s">
        <v>231</v>
      </c>
      <c r="CH338" s="132" t="str">
        <f>IF(Исходн.данные.!AP338=Расчет!$CI$16,"Нет",IF(Исходн.данные.!AL338&gt;0,Исходн.данные.!AL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BH$4,IF(OR(Исходн.данные.!AI338=Исходн.данные.!$AI$6,Исходн.данные.!AI338=Исходн.данные.!$AI$7),Расчет!BS338,IF(AND($CF338=0,$CE338&gt;0),EV338,ER338)))))</f>
        <v>Аммофос 12:52:00</v>
      </c>
      <c r="CI338" s="274">
        <f>IF(Расчет!$CH338="Нет","Нет",IF(Исходн.данные.!$AL338&gt;0,VLOOKUP(Расчет!$CH338,АшламаДВ_Irekle,2,FALSE),VLOOKUP(Расчет!$CH338,АшламаДВ_Gomumy,2,FALSE)))</f>
        <v>0.12</v>
      </c>
      <c r="CJ338" s="274">
        <f>IF(Расчет!$CH338="Нет","Нет",IF(Исходн.данные.!$AL338&gt;0,VLOOKUP(Расчет!$CH338,АшламаДВ_Irekle,3,FALSE),VLOOKUP(Расчет!$CH338,АшламаДВ_Gomumy,3,FALSE)))</f>
        <v>0.52</v>
      </c>
      <c r="CK338" s="274">
        <f>IF(Расчет!$CH338="Нет","Нет",IF(Исходн.данные.!$AL338&gt;0,VLOOKUP(Расчет!$CH338,АшламаДВ_Irekle,4,FALSE),VLOOKUP(Расчет!$CH338,АшламаДВ_Gomumy,4,FALSE)))</f>
        <v>0</v>
      </c>
      <c r="CL338" s="70"/>
      <c r="CM338" s="70"/>
      <c r="CN338" s="70"/>
      <c r="CO338" s="70"/>
      <c r="CP338" s="70"/>
      <c r="CQ338" s="70"/>
      <c r="CR338" s="10">
        <f t="shared" si="387"/>
        <v>0</v>
      </c>
      <c r="CS338" s="10">
        <f t="shared" si="388"/>
        <v>19.23076923076923</v>
      </c>
      <c r="CT338" s="10">
        <f t="shared" si="389"/>
        <v>0</v>
      </c>
      <c r="CU338" s="39">
        <f>IF($CH338="Нет",0,IF(CI338=0,30/MIN(CJ338:CK338),IF(Исходн.данные.!$AG338=$BV$11,CR338,IF(OR(Исходн.данные.!$AH338=$BQ$7,Исходн.данные.!$AH338=$BQ$8),90/CI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0,IF(Исходн.данные.!$AI338=$BU$11,"Нет",30/CI338))))))</f>
        <v>250</v>
      </c>
      <c r="CV338" s="39">
        <f>IF($CH338="Нет",0,IF(Исходн.данные.!AH338=0,0,IF(CJ338=0,60/MIN(CI338,CK338),IF(Исходн.данные.!$AG338=$BV$11,CS338,IF(OR(Исходн.данные.!$AH338=$BQ$7,Исходн.данные.!$AH338=$BQ$8),90/CJ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10/CJ338,IF(Исходн.данные.!$AI338=$BU$11,"Нет",60/CJ338)))))))</f>
        <v>0</v>
      </c>
      <c r="CW338" s="39">
        <f>IF($CH338="Нет",0,IF(Исходн.данные.!AH338=0,0,IF(CK338=0,30/MIN(CI338:CJ338),IF(Исходн.данные.!$AG338=$BV$11,CT338,IF(OR(Исходн.данные.!$AH338=$BQ$7,Исходн.данные.!$AH338=$BQ$8),90/CK338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0,IF(Исходн.данные.!$AI338=$BU$11,"Нет",30/CK338)))))))</f>
        <v>0</v>
      </c>
      <c r="CX338" s="133">
        <f>IF(Исходн.данные.!$AG338=$BV$11,MAX(CU338:CW338),IF(OR(Исходн.данные.!$AH338=$BS$8,Исходн.данные.!$AH338=$BQ$9,Исходн.данные.!$AH338=$BQ$10,Исходн.данные.!$AH338=$BQ$11,Исходн.данные.!$AH338=$BQ$12,Исходн.данные.!$AH338=$BP$3,Исходн.данные.!$AH338=$BT$8,$FM338="Да"),CV338,MIN(CU338:CW338)))</f>
        <v>0</v>
      </c>
      <c r="CY338" s="133">
        <f>IF(Исходн.данные.!AH338=0,0,IF(CR338&gt;$CX338,$CX338,CR338))</f>
        <v>0</v>
      </c>
      <c r="CZ338" s="133">
        <f>IF(Исходн.данные.!AH338=0,0,IF(CS338&gt;$CX338,$CX338,CS338))</f>
        <v>0</v>
      </c>
      <c r="DA338" s="133">
        <f>IF(Исходн.данные.!AH338=0,0,IF(CT338&gt;$CX338,$CX338,CT338))</f>
        <v>0</v>
      </c>
      <c r="DB338" s="10">
        <f t="shared" si="390"/>
        <v>0</v>
      </c>
      <c r="DC338" s="39">
        <f>DB338*Исходн.данные.!AJ338/1000</f>
        <v>0</v>
      </c>
      <c r="DD338" s="71">
        <f t="shared" si="391"/>
        <v>0</v>
      </c>
      <c r="DE338" s="9">
        <f t="shared" si="392"/>
        <v>0</v>
      </c>
      <c r="DF338" s="9">
        <f t="shared" si="393"/>
        <v>0</v>
      </c>
      <c r="DG338" s="39">
        <f>IF(BL338&lt;0,0,IF($CH338="Нет",BL338,IF(OR(Исходн.данные.!$AH338=$BP$1,Исходн.данные.!$AH338=$BP$2),0,IF(Исходн.данные.!AI338=$BU$11,BL338,IF(BL338-DD338&lt;0,0,BL338-DD338)))))</f>
        <v>0</v>
      </c>
      <c r="DH338" s="39">
        <f>IF(BM338&lt;0,0,IF($CH338="Нет",BM338,IF(OR(Исходн.данные.!$AH338=$BP$1,Исходн.данные.!$AH338=$BP$2),0,IF(Исходн.данные.!AJ338=$BU$11,BM338,IF(BM338-DE338&lt;0,0,BM338-DE338)))))</f>
        <v>0</v>
      </c>
      <c r="DI338" s="39">
        <f>IF(BN338&lt;0,0,IF($CH338="Нет",BN338,IF(OR(Исходн.данные.!$AH338=$BP$1,Исходн.данные.!$AH338=$BP$2),0,IF(Исходн.данные.!AK338=$BU$11,BN338,IF(BN338-DF338&lt;0,0,BN338-DF338)))))</f>
        <v>0</v>
      </c>
      <c r="DJ338" s="12">
        <f t="shared" si="394"/>
        <v>0</v>
      </c>
      <c r="DK338" s="9">
        <f t="shared" si="395"/>
        <v>0</v>
      </c>
      <c r="DL338" s="39">
        <f>IF(Исходн.данные.!AM338&gt;0,Исходн.данные.!AM338,IF(EG338&gt;0,$BH$10,0))</f>
        <v>0</v>
      </c>
      <c r="DM338" s="186">
        <f>IF($DL338=0,0,IF(Исходн.данные.!AM338&gt;0,VLOOKUP($DL338,АшламаДВ_Irekle,2,FALSE),VLOOKUP($DL338,АшламаДВ_Gomumy,2,FALSE)))</f>
        <v>0</v>
      </c>
      <c r="DN338" s="10">
        <f t="shared" si="373"/>
        <v>0</v>
      </c>
      <c r="DO338" s="9" t="str">
        <f>IF(Исходн.данные.!AN338&gt;0,Исходн.данные.!AN338,Удобрения!$B$37 )</f>
        <v>Хлор.калий</v>
      </c>
      <c r="DP338" s="9">
        <f>IF(Исходн.данные.!AN338&gt;0,VLOOKUP(Исходн.данные.!AN338,АшламаДВ_Irekle,4,FALSE),VLOOKUP(DO338,АшламаДВ_Gomumy,4,FALSE))</f>
        <v>0.6</v>
      </c>
      <c r="DQ338" s="10">
        <f t="shared" si="374"/>
        <v>0</v>
      </c>
      <c r="DR338" s="132" t="str">
        <f>IF(Исходн.данные.!AO338&gt;0,Исходн.данные.!AO338,IF(DH338=0,BS$17,IF(AND($DK338=0,$DJ338&gt;0),EJ338,EN338)))</f>
        <v>Нет</v>
      </c>
      <c r="DS338" s="70" t="str">
        <f>IF($DR338="Нет","Нет",IF(Исходн.данные.!$AO338&gt;0,VLOOKUP($DR338,АшламаДВ_Irekle,2,FALSE),VLOOKUP($DR338,АшламаДВ_Gomumy,2,FALSE)))</f>
        <v>Нет</v>
      </c>
      <c r="DT338" s="70" t="str">
        <f>IF($DR338="Нет","Нет",IF(Исходн.данные.!$AO338&gt;0,VLOOKUP($DR338,АшламаДВ_Irekle,3,FALSE),VLOOKUP($DR338,АшламаДВ_Gomumy,3,FALSE)))</f>
        <v>Нет</v>
      </c>
      <c r="DU338" s="70" t="str">
        <f>IF($DR338="Нет","Нет",IF(Исходн.данные.!$AO338&gt;0,VLOOKUP($DR338,АшламаДВ_Irekle,4,FALSE),VLOOKUP($DR338,АшламаДВ_Gomumy,4,FALSE)))</f>
        <v>Нет</v>
      </c>
      <c r="DV338" s="70"/>
      <c r="DW338" s="70"/>
      <c r="DX338" s="70"/>
      <c r="DY338" s="10">
        <f t="shared" si="396"/>
        <v>0</v>
      </c>
      <c r="DZ338" s="10">
        <f t="shared" si="397"/>
        <v>0</v>
      </c>
      <c r="EA338" s="10">
        <f t="shared" si="398"/>
        <v>0</v>
      </c>
      <c r="EB338" s="10">
        <f t="shared" si="399"/>
        <v>0</v>
      </c>
      <c r="EC338" s="10">
        <f t="shared" si="400"/>
        <v>0</v>
      </c>
      <c r="ED338" s="10">
        <f t="shared" si="401"/>
        <v>0</v>
      </c>
      <c r="EE338" s="10">
        <f t="shared" si="402"/>
        <v>0</v>
      </c>
      <c r="EF338" s="39">
        <f>EB338*Исходн.данные.!AJ338/1000</f>
        <v>0</v>
      </c>
      <c r="EG338" s="9">
        <f t="shared" si="403"/>
        <v>0</v>
      </c>
      <c r="EH338" s="9">
        <f t="shared" si="404"/>
        <v>0</v>
      </c>
      <c r="EI338" s="39" t="e">
        <f t="shared" si="354"/>
        <v>#DIV/0!</v>
      </c>
      <c r="EJ338" s="9" t="str">
        <f t="shared" si="375"/>
        <v>Азопреципитат</v>
      </c>
      <c r="EK338" s="12">
        <f t="shared" si="355"/>
        <v>0.26</v>
      </c>
      <c r="EL338" s="12">
        <f t="shared" si="356"/>
        <v>0.13</v>
      </c>
      <c r="EM338" s="12">
        <f t="shared" si="357"/>
        <v>0</v>
      </c>
      <c r="EN338" s="12" t="str">
        <f t="shared" si="376"/>
        <v>Нет</v>
      </c>
      <c r="EO338" s="12">
        <f t="shared" si="358"/>
        <v>0</v>
      </c>
      <c r="EP338" s="12">
        <f t="shared" si="359"/>
        <v>0</v>
      </c>
      <c r="EQ338" s="12">
        <f t="shared" si="360"/>
        <v>0</v>
      </c>
      <c r="ER338" s="12" t="str">
        <f t="shared" si="405"/>
        <v>Диаммофоска</v>
      </c>
      <c r="ES338" s="12">
        <f t="shared" si="361"/>
        <v>0.1</v>
      </c>
      <c r="ET338" s="12">
        <f t="shared" si="362"/>
        <v>0.26</v>
      </c>
      <c r="EU338" s="12">
        <f t="shared" si="363"/>
        <v>0.26</v>
      </c>
      <c r="EV338" s="12" t="str">
        <f t="shared" si="406"/>
        <v>Аммофос 12:52:00</v>
      </c>
      <c r="EW338" s="12" t="str">
        <f t="shared" si="407"/>
        <v>Кемира Свекловичное-6</v>
      </c>
      <c r="EX338" s="12">
        <f t="shared" si="364"/>
        <v>0.16</v>
      </c>
      <c r="EY338" s="12">
        <f t="shared" si="365"/>
        <v>0.12</v>
      </c>
      <c r="EZ338" s="12">
        <f t="shared" si="366"/>
        <v>0.17</v>
      </c>
      <c r="FA338" s="38" t="e">
        <f>IF(AND(OR(FJ338=$FD$1,FM338=$FD$1,FO338=$FD$1,FQ338=$FD$1,FS338=$FD$1),FD338=$FD$1,Исходн.данные.!J338&lt;2,FU338=$FD$1),"Бор,Кобальт",IF(AND(FO338=$FD$1,FH338=$FD$1,Исходн.данные.!J338&lt;2,FU338=$FD$1),"Бор,Кобальт",IF(AND(OR(FJ338=$FD$1,FM338=$FD$1,FQ338=$FD$1),FE338=$FD$1,Исходн.данные.!J338&lt;2,FT338=$FD$1,FU338=$FD$1),"Бор,Медь,Цинк",IF(AND(OR(FJ338=$FD$1,FR338="Да"),FI338="Да",Исходн.данные.!J338&lt;2,FT338="Да",FU338="Да"),"Бор,Цинк,Медь",IF(AND(OR(FM338="Да",FQ338="Да"),FI338="Да",Исходн.данные.!J338&lt;2,FT338="Да",FU338="Да"),"Бор,Цинк",IF(AND(FN338="Да",OR(FD338="Да",FE338="Да")),"Бор",FB338))))))</f>
        <v>#N/A</v>
      </c>
      <c r="FB338" s="134" t="e">
        <f>IF(AND(OR(FD338="Да",FE338="Да",FF338="Да",FG338="Да",FH338="Да"),FO338="Да"),"Бор",IF(AND(FP338="Да",OR(FD338="Да",FE338="Да",FI338="Да")),"Бор",IF(AND(FS338="Да",FE338="Да"),"Бор,Медь",IF(AND(OR(FJ338="Да",FK338="Да",FL338="Да"),FE338="Да",Исходн.данные.!I338&lt;5,FT338="Да",FU338="Да"),"Молибден,Цинк",IF(AND(FM338="Да",OR(FE338="Да",FF338="Да",FG338="Да",FH338="Да",FI338="Да")),"Молибден,Цинк",IF(AND(OR(FJ338="Да",FK338="Да",FL338="Да",FM338="Да",FQ338="Да"),OR(FE338="Да",FF338="Да"),FT338="Да",FU338="Да",Исходн.данные.!I338&gt;5.5),"Медь,Цинк",FC338))))))</f>
        <v>#N/A</v>
      </c>
      <c r="FC338" s="23" t="e">
        <f t="shared" si="408"/>
        <v>#N/A</v>
      </c>
      <c r="FD338" s="38" t="str">
        <f>IF(OR(Исходн.данные.!F338=$CC$1,Исходн.данные.!F338=$CC$2,Исходн.данные.!F338=$CC$3,Исходн.данные.!F338=$CC$4),"Да","Нет")</f>
        <v>Нет</v>
      </c>
      <c r="FE338" s="38" t="str">
        <f>IF(Исходн.данные.!F338=$CC$5,"Да","Нет")</f>
        <v>Нет</v>
      </c>
      <c r="FF338" s="38" t="str">
        <f>IF(OR(Исходн.данные.!F338=$CC$6,Исходн.данные.!F338=$CC$7),"Да","Нет")</f>
        <v>Нет</v>
      </c>
      <c r="FG338" s="38" t="str">
        <f>IF(OR(Исходн.данные.!F338=$CC$8,Исходн.данные.!F338=$CC$9),"Да","Нет")</f>
        <v>Нет</v>
      </c>
      <c r="FH338" s="38" t="str">
        <f>IF(Исходн.данные.!F338=$CC$10,"Да","Нет")</f>
        <v>Нет</v>
      </c>
      <c r="FI338" s="38" t="str">
        <f>IF(OR(Исходн.данные.!F338=$CC$11,Исходн.данные.!F338=$CC$12),"Да","Нет")</f>
        <v>Нет</v>
      </c>
      <c r="FJ338" s="38" t="str">
        <f>IF(OR(Исходн.данные.!AH338=$BS$1,Исходн.данные.!AH338=$BQ$11,Исходн.данные.!AH338=$BQ$12),"Да","Нет")</f>
        <v>Нет</v>
      </c>
      <c r="FK338" s="38" t="str">
        <f>IF(OR(Исходн.данные.!AH338=$BS$2,Исходн.данные.!AH338=$BS$4),"Да","Нет")</f>
        <v>Нет</v>
      </c>
      <c r="FL338" s="38" t="str">
        <f>IF(OR(Исходн.данные.!AH338=$BS$3,Исходн.данные.!AH338=$BS$5),"Да","Нет")</f>
        <v>Нет</v>
      </c>
      <c r="FM338" s="38" t="str">
        <f>IF(OR(Исходн.данные.!AH338=$BS$9,Исходн.данные.!AH338=$BS$10,Исходн.данные.!AH338=$BS$11,Исходн.данные.!AH338=$BS$12),"Да","Нет")</f>
        <v>Нет</v>
      </c>
      <c r="FN338" s="38" t="str">
        <f>IF(OR(Исходн.данные.!AH338=$BS$6,Исходн.данные.!AH338=$BP$3),"Да","Нет")</f>
        <v>Нет</v>
      </c>
      <c r="FO338" s="38" t="str">
        <f>IF(Исходн.данные.!AH338=$BQ$9,"Да","Нет")</f>
        <v>Нет</v>
      </c>
      <c r="FP338" s="38" t="str">
        <f>IF(OR(Исходн.данные.!AH338=$BS$8,Исходн.данные.!AH338=$BT$8),"Да","Нет")</f>
        <v>Нет</v>
      </c>
      <c r="FQ338" s="38" t="str">
        <f>IF(OR(Исходн.данные.!AH338=$BQ$7,Исходн.данные.!AH338=$BQ$8),"Да","Нет")</f>
        <v>Нет</v>
      </c>
      <c r="FR338" s="38" t="str">
        <f>IF(Исходн.данные.!AI338=$BU$9,"Да","Нет")</f>
        <v>Нет</v>
      </c>
      <c r="FS338" s="38" t="str">
        <f>IF(OR(Исходн.данные.!AH338=$BP$1,Исходн.данные.!AH338=$BP$2),"Да","Нет")</f>
        <v>Нет</v>
      </c>
      <c r="FT338" s="38" t="e">
        <f>IF((Исходн.данные.!K338*GO338*GS338*GW338+BL338*0.6+Исходн.данные.!Q338*4.5*0.275)&gt;90,"Да","Нет")</f>
        <v>#N/A</v>
      </c>
      <c r="FU338" s="38" t="e">
        <f>IF((Исходн.данные.!M338*GS338*GZ338+BM338*0.225)&gt;35,"Да","Нет")</f>
        <v>#N/A</v>
      </c>
      <c r="FV338" s="38" t="str">
        <f>IF(Исходн.данные.!O338&gt;175,"Да","Нет")</f>
        <v>Нет</v>
      </c>
      <c r="FW338" s="39" t="str">
        <f>IF(Исходн.данные.!I338&gt;5.5,"Да","Нет")</f>
        <v>Нет</v>
      </c>
      <c r="FX338" s="39" t="str">
        <f>IF(Исходн.данные.!J338&lt;2,"Да","Нет")</f>
        <v>Да</v>
      </c>
      <c r="FY338" s="39" t="e">
        <f>IF(HF338=$FY$16,0,Исходн.данные.!K338*GO338*GS338*GW338/HF338)</f>
        <v>#N/A</v>
      </c>
      <c r="FZ338" s="39" t="e">
        <f>Исходн.данные.!M338*GS338*GZ338/HG338</f>
        <v>#N/A</v>
      </c>
      <c r="GA338" s="39" t="e">
        <f>IF(K_Wyn=$FY$16,0,IF(Исходн.данные.!N338=Исходн.данные.!$L$10,Исходн.данные.!O338/1.1*GS338*HC338/HH338,IF(Исходн.данные.!N338=Исходн.данные.!$L$12,Исходн.данные.!O338/1.5*GS338*HC338/HH338,Исходн.данные.!O338*GS338*HC338/HH338)))</f>
        <v>#N/A</v>
      </c>
      <c r="GB338" s="39" t="e">
        <f>IF(HF338=$FY$16,0,((Исходн.данные.!Q338*N_Org+Исходн.данные.!R338*N_Sider+Исходн.данные.!S338*N_Soloma)*AO338+Расчет!BC338*VLOOKUP(Исходн.данные.!T338,Справ!$A$3:$O$57,15)*AO338+BB338*VLOOKUP(Исходн.данные.!T338,Справ!$A$3:$O$57,15)*AL338+(Исходн.данные.!V338*N_Rizotorf+Исходн.данные.!W338*N_Rizoagr))/HF338)</f>
        <v>#N/A</v>
      </c>
      <c r="GC338" s="39" t="e">
        <f>IF(HG338=$FY$16,0,((Исходн.данные.!Q338*Р_Org+Исходн.данные.!R338*P_Sider+Исходн.данные.!S338*P_Soloma)*AP338+Расчет!BC338*VLOOKUP(Исходн.данные.!T338,Справ!$A$3:$P$57,16)*AP338+BB338*VLOOKUP(Исходн.данные.!T338,Справ!$A$3:$P$57,16)*AM338)/HG338)</f>
        <v>#N/A</v>
      </c>
      <c r="GD338" s="39" t="e">
        <f>IF(HH338=$FY$16,0,((Исходн.данные.!Q338*К_Org+Исходн.данные.!R338*K_Sider+Исходн.данные.!S338*K_Soloma)*AQ338+Расчет!BC338*VLOOKUP(Исходн.данные.!T338,Справ!$A$3:$Q$57,17)*AQ338+BB338*VLOOKUP(Исходн.данные.!T338,Справ!$A$3:$Q$57,17)*AN338)/HH338)</f>
        <v>#N/A</v>
      </c>
      <c r="GE338" s="39" t="e">
        <f>IF(HF338=$FY$16,0,(Исходн.данные.!X338*AR338+Исходн.данные.!AA338*N_Org*AL338+Исходн.данные.!AB338*N_Sider*AL338+Исходн.данные.!AC338*N_Soloma*AL338)/HF338)</f>
        <v>#N/A</v>
      </c>
      <c r="GF338" s="39" t="e">
        <f>IF(HG338=$FY$16,0,(Исходн.данные.!Y338*AS338+Исходн.данные.!AA338*Р_Org*AM338+Исходн.данные.!AB338*P_Sider*AM338+Исходн.данные.!AC338*P_Soloma*AM338)/HG338)</f>
        <v>#N/A</v>
      </c>
      <c r="GG338" s="39" t="e">
        <f>IF(HH338=$FY$16,0,(Исходн.данные.!Z338*AT338+Исходн.данные.!AA338*К_Org*AN338+Исходн.данные.!AB338*K_Sider*AN338+Исходн.данные.!AC338*K_Soloma*AN338)/HH338)</f>
        <v>#N/A</v>
      </c>
      <c r="GH338" s="39" t="e">
        <f>Исходн.данные.!AD338*AU338/HF338</f>
        <v>#N/A</v>
      </c>
      <c r="GI338" s="39" t="e">
        <f>Исходн.данные.!AE338*AV338/HG338</f>
        <v>#N/A</v>
      </c>
      <c r="GJ338" s="39" t="e">
        <f>Исходн.данные.!AF338*AW338/HH338</f>
        <v>#N/A</v>
      </c>
      <c r="GK338" s="55">
        <f>Исходн.данные.!AK338</f>
        <v>0</v>
      </c>
      <c r="GL338" s="11" t="e">
        <f t="shared" si="409"/>
        <v>#N/A</v>
      </c>
      <c r="GM338" s="11" t="e">
        <f t="shared" si="410"/>
        <v>#N/A</v>
      </c>
      <c r="GN338" s="11" t="e">
        <f t="shared" si="411"/>
        <v>#N/A</v>
      </c>
      <c r="GO338" s="57">
        <f t="shared" si="412"/>
        <v>19</v>
      </c>
      <c r="GP338" s="55">
        <f>IF(OR(Исходн.данные.!F338=$CE$1,Исходн.данные.!F338=$CE$2,Исходн.данные.!F338=$CE$3,Исходн.данные.!F338=$CE$4,Исходн.данные.!F338=$CE$5),GQ338,GR338)</f>
        <v>19</v>
      </c>
      <c r="GQ338" s="55">
        <f>IF(Исходн.данные.!F338=$CE$1,28,IF(Исходн.данные.!F338=$CE$2,26,IF(Исходн.данные.!F338=$CE$3,24,IF(Исходн.данные.!F338=$CE$4,22,IF(Исходн.данные.!F338=$CE$5,20,GR338)))))</f>
        <v>19</v>
      </c>
      <c r="GR338" s="55">
        <f>IF(Исходн.данные.!F338=$CE$6,18,IF(Исходн.данные.!F338=$CE$7,16,IF(Исходн.данные.!F338=$CE$8,14,IF(Исходн.данные.!F338=$CE$9,13,IF(Исходн.данные.!F338=$CE$10,12,19)))))</f>
        <v>19</v>
      </c>
      <c r="GS338" s="55">
        <f>IF(Исходн.данные.!G338="Пес",0.035*(40+2*Исходн.данные.!H338),IF(Исходн.данные.!G338="Суп",0.0325*(40+2*Исходн.данные.!H338),0.03*(40+2*Исходн.данные.!H338)))</f>
        <v>1.2</v>
      </c>
      <c r="GT338" s="55">
        <f>IF(Исходн.данные.!H338&lt;23,2.6,IF(AND(Исходн.данные.!H338&gt;22,Исходн.данные.!H338&lt;26),3,IF(AND(Исходн.данные.!H338&gt;25,Исходн.данные.!H338&lt;29),3.4,3.6)))</f>
        <v>2.6</v>
      </c>
      <c r="GU338" s="55">
        <f>IF(Исходн.данные.!H338&lt;23,2.8,IF(AND(Исходн.данные.!H338&gt;22,Исходн.данные.!H338&lt;26),3.2,IF(AND(Исходн.данные.!H338&gt;25,Исходн.данные.!H338&lt;29),3.6,3.9)))</f>
        <v>2.8</v>
      </c>
      <c r="GV338" s="55">
        <f>IF(Исходн.данные.!H338&lt;23,3,IF(AND(Исходн.данные.!H338&gt;22,Исходн.данные.!H338&lt;26),3.5,IF(AND(Исходн.данные.!H338&gt;25,Исходн.данные.!H338&lt;29),3.9,4.2)))</f>
        <v>3</v>
      </c>
      <c r="GW338" s="55" t="e">
        <f>IF(Исходн.данные.!P338="Ум",GX338,GY338)</f>
        <v>#N/A</v>
      </c>
      <c r="GX338" s="55" t="e">
        <f>VLOOKUP(Исходн.данные.!AI338,Коэффициенты!$J$7:$L$13,2,FALSE)</f>
        <v>#N/A</v>
      </c>
      <c r="GY338" s="55" t="e">
        <f>VLOOKUP(Исходн.данные.!AI338,Коэффициенты!$J$7:$L$13,3,FALSE)</f>
        <v>#N/A</v>
      </c>
      <c r="GZ338" s="55" t="e">
        <f>(IF(Исходн.данные.!M338&lt;50,0.11*VLOOKUP(Исходн.данные.!AH338,Культуры.Информация,7,FALSE),IF(Исходн.данные.!M338&gt;250,0.05*VLOOKUP(Исходн.данные.!AH338,Культуры.Информация,7,FALSE),VLOOKUP(Исходн.данные.!AH338,Культуры.Информация,5,FALSE)/100*($GX$6+$GY$6*Исходн.данные.!M338))))*Расчет2!AI338</f>
        <v>#N/A</v>
      </c>
      <c r="HA338" s="211"/>
      <c r="HB338" s="211"/>
      <c r="HC338" s="55" t="e">
        <f>(IF(Исходн.данные.!O338&lt;80,0.2*VLOOKUP(Исходн.данные.!AH338,Культуры.Информация,8,FALSE),IF(Исходн.данные.!O338&gt;240,0.09*VLOOKUP(Исходн.данные.!AH338,Культуры.Информация,8,FALSE),VLOOKUP(Исходн.данные.!AH338,Культуры.Информация,6,FALSE)/100*($HB$6+$HC$6*Исходн.данные.!O338))))*Расчет2!AJ338</f>
        <v>#N/A</v>
      </c>
      <c r="HD338" s="55">
        <f>IF(Исходн.данные.!O338&gt;240,0.09,IF(Исходн.данные.!O338&lt;30,0.3,$HE$10+$HD$10*Исходн.данные.!O338))</f>
        <v>0.3</v>
      </c>
      <c r="HE338" s="55">
        <f>IF(Исходн.данные.!O338&gt;240,0.17,IF(Исходн.данные.!O338&lt;30,0.5,$HF$12+$HE$12*Исходн.данные.!O338))</f>
        <v>0.5</v>
      </c>
      <c r="HF338" s="55" t="e">
        <f>VLOOKUP(Исходн.данные.!AH338,Справ!$A$3:$D$58,2,FALSE)</f>
        <v>#N/A</v>
      </c>
      <c r="HG338" s="55" t="e">
        <f>VLOOKUP(Исходн.данные.!AH338,Справ!$A$3:$D$58,3,FALSE)</f>
        <v>#N/A</v>
      </c>
      <c r="HH338" s="55" t="e">
        <f>VLOOKUP(Исходн.данные.!AH338,Справ!$A$3:$D$58,4,FALSE)</f>
        <v>#N/A</v>
      </c>
      <c r="HI338" s="11" t="e">
        <f t="shared" si="413"/>
        <v>#N/A</v>
      </c>
      <c r="HJ338" s="11" t="e">
        <f t="shared" si="414"/>
        <v>#N/A</v>
      </c>
      <c r="HK338" s="11" t="e">
        <f t="shared" si="415"/>
        <v>#N/A</v>
      </c>
      <c r="HL338" s="55">
        <f>IF(OR(Исходн.данные.!G338="Глин",Исходн.данные.!G338="Т_суг"),1.1,IF(Исходн.данные.!G338="Ср_суг",1,1))</f>
        <v>1</v>
      </c>
      <c r="HM338" s="55">
        <f>IF(OR(Исходн.данные.!G338="Глин",Исходн.данные.!G338="Т_суг"),0.9,IF(Исходн.данные.!G338="Ср_суг",1,1.2))</f>
        <v>1.2</v>
      </c>
      <c r="HN338" s="11" t="e">
        <f t="shared" si="416"/>
        <v>#N/A</v>
      </c>
      <c r="HO338" s="11" t="e">
        <f t="shared" si="417"/>
        <v>#N/A</v>
      </c>
      <c r="HP338" s="11" t="e">
        <f t="shared" si="418"/>
        <v>#N/A</v>
      </c>
      <c r="HQ338" t="e">
        <f t="shared" si="419"/>
        <v>#N/A</v>
      </c>
      <c r="HR338" t="e">
        <f t="shared" si="420"/>
        <v>#N/A</v>
      </c>
      <c r="HS338" t="e">
        <f t="shared" si="421"/>
        <v>#N/A</v>
      </c>
      <c r="HT338" t="e">
        <f t="shared" si="367"/>
        <v>#N/A</v>
      </c>
      <c r="HU338" t="e">
        <f t="shared" si="368"/>
        <v>#N/A</v>
      </c>
      <c r="HV338" t="e">
        <f t="shared" si="369"/>
        <v>#N/A</v>
      </c>
      <c r="HW338" t="e">
        <f t="shared" si="370"/>
        <v>#N/A</v>
      </c>
      <c r="HX338" t="e">
        <f t="shared" si="371"/>
        <v>#N/A</v>
      </c>
      <c r="HY338" t="e">
        <f t="shared" si="372"/>
        <v>#N/A</v>
      </c>
      <c r="HZ338" s="55">
        <f>IF(OR(Исходн.данные.!AI338="Оз_Ч_П",Исходн.данные.!AI338="Оз_З_П",Исходн.данные.!AI338="Яр_зер"),12,30)</f>
        <v>30</v>
      </c>
      <c r="IA338" t="e">
        <f t="shared" si="422"/>
        <v>#N/A</v>
      </c>
      <c r="IB338" t="e">
        <f t="shared" si="423"/>
        <v>#N/A</v>
      </c>
      <c r="IC338" t="e">
        <f t="shared" si="424"/>
        <v>#N/A</v>
      </c>
      <c r="ID338" s="11" t="e">
        <f t="shared" si="425"/>
        <v>#N/A</v>
      </c>
      <c r="IE338" s="11" t="e">
        <f t="shared" si="426"/>
        <v>#N/A</v>
      </c>
      <c r="IF338" s="11" t="e">
        <f t="shared" si="427"/>
        <v>#N/A</v>
      </c>
    </row>
    <row r="339" spans="35:240" x14ac:dyDescent="0.2">
      <c r="AI339">
        <f>IF(Исходн.данные.!I339&gt;6,1,1.85-(0.148*Исходн.данные.!I339))</f>
        <v>1.85</v>
      </c>
      <c r="AJ339">
        <f>IF(Исходн.данные.!I339&gt;6,1,2.434-(0.246*Исходн.данные.!I339))</f>
        <v>2.4340000000000002</v>
      </c>
      <c r="AL339" s="148" t="b">
        <f>IF(Исходн.данные.!$P339="Ум",N_OrgUd_2g_um,IF(Исходн.данные.!$P339="Об",N_OrgUd_2g_ob))</f>
        <v>0</v>
      </c>
      <c r="AM339" s="148" t="b">
        <f>IF(Исходн.данные.!$P339="Ум",P_OrgUd_2g_um,IF(Исходн.данные.!$P339="Об",P_OrgUd_2g_ob))</f>
        <v>0</v>
      </c>
      <c r="AN339" s="148" t="b">
        <f>IF(Исходн.данные.!$P339="Ум",K_OrgUd_2g_um,IF(Исходн.данные.!$P339="Об",K_OrgUd_2g_ob))</f>
        <v>0</v>
      </c>
      <c r="AO339" s="148" t="b">
        <f>IF(Исходн.данные.!$P339="Ум",N_OrgUd_1g_um,IF(Исходн.данные.!$P339="Об",N_OrgUd_1g_ob))</f>
        <v>0</v>
      </c>
      <c r="AP339" s="148" t="b">
        <f>IF(Исходн.данные.!$P339="Ум",P_OrgUd_1g_um,IF(Исходн.данные.!$P339="Об",P_OrgUd_1g_ob))</f>
        <v>0</v>
      </c>
      <c r="AQ339" s="148" t="b">
        <f>IF(Исходн.данные.!$P339="Ум",K_OrgUd_1g_um,IF(Исходн.данные.!$P339="Об",K_OrgUd_1g_ob))</f>
        <v>0</v>
      </c>
      <c r="AR339" t="b">
        <f>IF(Исходн.данные.!$P339="Ум",N_MinUd_2g_um,IF(Исходн.данные.!$P339="Об",N_MinUd_2g_ob))</f>
        <v>0</v>
      </c>
      <c r="AS339" t="b">
        <f>IF(Исходн.данные.!$P339="Ум",P_MinUd_2g_um,IF(Исходн.данные.!$P339="Об",P_MinUd_2g_ob))</f>
        <v>0</v>
      </c>
      <c r="AT339" t="b">
        <f>IF(Исходн.данные.!$P339="Ум",K_MinUd_2g_um,IF(Исходн.данные.!$P339="Об",K_MinUd_2g_ob))</f>
        <v>0</v>
      </c>
      <c r="AU339" t="b">
        <f>IF(Исходн.данные.!$P339="Ум",N_MinUd_1g_um,IF(Исходн.данные.!$P339="Об",N_MinUd_1g_ob))</f>
        <v>0</v>
      </c>
      <c r="AV339" t="b">
        <f>IF(Исходн.данные.!P339="Ум",P_MinUd_1g_um,IF(Исходн.данные.!P339="Об",P_MinUd_1g_ob))</f>
        <v>0</v>
      </c>
      <c r="AW339" t="b">
        <f>IF(Исходн.данные.!P339="Ум",K_MinUd_1g_um,IF(Исходн.данные.!P339="Об",K_MinUd_1g_ob))</f>
        <v>0</v>
      </c>
      <c r="AY339" t="e">
        <f>VLOOKUP(Исходн.данные.!T339,Справ!$A$3:$N$57,12)</f>
        <v>#N/A</v>
      </c>
      <c r="AZ339" t="e">
        <f>VLOOKUP(Исходн.данные.!T339,Справ!$A$3:$N$57,13)</f>
        <v>#N/A</v>
      </c>
      <c r="BA339" t="e">
        <f>VLOOKUP(Исходн.данные.!T339,Справ!$A$3:$N$57,14)</f>
        <v>#N/A</v>
      </c>
      <c r="BB339">
        <f>IF(Исходн.данные.!AH339=0,0,25)</f>
        <v>0</v>
      </c>
      <c r="BC339" s="141">
        <f>IF(Исходн.данные.!AH339=0,0,IF(Исходн.данные.!T339=0,25,BD339))</f>
        <v>0</v>
      </c>
      <c r="BD339" s="168" t="e">
        <f>AY339+AZ339*Исходн.данные.!U339-POWER(BA339,2)*Исходн.данные.!U339</f>
        <v>#N/A</v>
      </c>
      <c r="BE33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39" s="25">
        <f>IF(Исходн.данные.!AH339=0,0,MIN(HN339:HP339))</f>
        <v>0</v>
      </c>
      <c r="BG339" s="9">
        <f>IF(Исходн.данные.!AH339=0,0,IF((HO339+10*0.25/HG339/HL339)&lt;17,17,HO339+10*0.25/HG339/HL339))</f>
        <v>0</v>
      </c>
      <c r="BH339" s="181">
        <f>IF(Исходн.данные.!AH339=0,0,HW339*HF339*HL339/AU339*AI339+Исходн.данные.!S339*10)</f>
        <v>0</v>
      </c>
      <c r="BI339" s="10"/>
      <c r="BJ339" s="182">
        <f>IF(Исходн.данные.!AH339=0,0,IF(HX339*HG339*HL339/AV339&lt;0,0,HX339*HG339*HL339/AV339*AJ339))</f>
        <v>0</v>
      </c>
      <c r="BK339" s="182">
        <f>IF(Исходн.данные.!AH339=0,0,HY339*HH339*HM339/AW339)</f>
        <v>0</v>
      </c>
      <c r="BL339" s="10">
        <f>IF(OR(Исходн.данные.!$AH339=$BP$1,Исходн.данные.!$AH339=$BP$2),0,IF(BH339&lt;0,0,IF(OR(Исходн.данные.!T339=Расчет!$BP$1,Исходн.данные.!T339=Расчет!$BP$2,Исходн.данные.!T339=Расчет!$BT$5,Исходн.данные.!T339=Расчет!$BT$6),BH339*0.5,IF(OR(Исходн.данные.!T339=Расчет!$BS$9,Исходн.данные.!T339=Расчет!$BS$10,Исходн.данные.!T339=Расчет!$BS$11,Исходн.данные.!T339=Расчет!$BS$12,Исходн.данные.!T339=Расчет!$BP$5),BH339*0.8,BH339))))</f>
        <v>0</v>
      </c>
      <c r="BM339" s="10">
        <f>IF(OR(Исходн.данные.!$AH339=$BP$1,Исходн.данные.!$AH339=$BP$2),0,IF(BJ339&lt;0,0,IF(Исходн.данные.!I339&lt;4.5,BJ339*1.2,IF(Исходн.данные.!I339&gt;5.1,BJ339,BJ339*((5.1-Исходн.данные.!I339)*0.333+1)))))</f>
        <v>0</v>
      </c>
      <c r="BN339" s="10">
        <f>IF(OR(Исходн.данные.!$AH339=$BP$1,Исходн.данные.!$AH339=$BP$2),60-Исходн.данные.!AF339,IF(BK339&lt;0,0,IF(Исходн.данные.!I339&lt;4.5,BK339*1.2,IF(Исходн.данные.!I339&gt;5.1,BK339,BK339*((5.1-Исходн.данные.!I339)*0.333+1)))))</f>
        <v>0</v>
      </c>
      <c r="BO339" s="9">
        <f>IF(BL339&lt;0,0,BL339*Исходн.данные.!$AJ339/1000)</f>
        <v>0</v>
      </c>
      <c r="BP339" s="9">
        <f>IF(BM339&lt;0,0,BM339*Исходн.данные.!$AJ339/1000)</f>
        <v>0</v>
      </c>
      <c r="BQ339" s="9">
        <f>IF(BN339&lt;0,0,BN339*Исходн.данные.!$AJ339/1000)</f>
        <v>0</v>
      </c>
      <c r="BR339" s="9">
        <f t="shared" si="377"/>
        <v>0</v>
      </c>
      <c r="BS339" s="10" t="str">
        <f t="shared" si="378"/>
        <v>Аммофос 12:52:00</v>
      </c>
      <c r="BT339" s="10" t="str">
        <f t="shared" si="379"/>
        <v>Аммофос 12:52:00</v>
      </c>
      <c r="BU339" s="10" t="str">
        <f t="shared" si="380"/>
        <v>Диаммофоска</v>
      </c>
      <c r="BV339" s="10">
        <f t="shared" si="381"/>
        <v>0</v>
      </c>
      <c r="BW339" s="10"/>
      <c r="BX339" s="10"/>
      <c r="BY339" s="9">
        <f>IF(BL339&lt;0,0,IF(OR(Исходн.данные.!AI339=Расчет!$BU$6,Исходн.данные.!AI339=Расчет!$BU$7),Расчет!BV339,IF(Исходн.данные.!$AG339=$BV$11,BL339,IF(OR(Исходн.данные.!$AH339=$BQ$7,Исходн.данные.!$AH339=$BQ$8),CB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0,IF(Исходн.данные.!$AI339=$BU$11,"Нет",IF(BL339&gt;30,30,BL339)))))))</f>
        <v>0</v>
      </c>
      <c r="BZ339" s="9">
        <f>IF(AND(Исходн.данные.!$AG339=$BV$11,BM339&lt;10),10,IF(Исходн.данные.!$AG339=$BV$11,BM339,IF(OR(Исходн.данные.!$AH339=$BQ$7,Исходн.данные.!$AH339=$BQ$8),CC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10,IF(Исходн.данные.!$AI339=$BU$11,"Нет",IF(BM339&gt;60,60,IF(BM339&lt;10,10,BM339)))))))</f>
        <v>10</v>
      </c>
      <c r="CA339" s="39">
        <f>IF(BN339&lt;0,0,IF(Исходн.данные.!$AG339=$BV$11,BN339,IF(OR(Исходн.данные.!$AH339=$BQ$7,Исходн.данные.!$AH339=$BQ$8),CD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0,IF(Исходн.данные.!$AI339=$BU$11,"Нет",IF(BN339&gt;30,30,BN339))))))</f>
        <v>0</v>
      </c>
      <c r="CB339" s="9">
        <f t="shared" si="382"/>
        <v>0</v>
      </c>
      <c r="CC339" s="9">
        <f t="shared" si="383"/>
        <v>0</v>
      </c>
      <c r="CD339" s="9">
        <f t="shared" si="384"/>
        <v>0</v>
      </c>
      <c r="CE339" s="12">
        <f t="shared" si="385"/>
        <v>10</v>
      </c>
      <c r="CF339" s="9">
        <f t="shared" si="386"/>
        <v>0</v>
      </c>
      <c r="CG339" s="9" t="s">
        <v>231</v>
      </c>
      <c r="CH339" s="132" t="str">
        <f>IF(Исходн.данные.!AP339=Расчет!$CI$16,"Нет",IF(Исходн.данные.!AL339&gt;0,Исходн.данные.!AL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BH$4,IF(OR(Исходн.данные.!AI339=Исходн.данные.!$AI$6,Исходн.данные.!AI339=Исходн.данные.!$AI$7),Расчет!BS339,IF(AND($CF339=0,$CE339&gt;0),EV339,ER339)))))</f>
        <v>Аммофос 12:52:00</v>
      </c>
      <c r="CI339" s="274">
        <f>IF(Расчет!$CH339="Нет","Нет",IF(Исходн.данные.!$AL339&gt;0,VLOOKUP(Расчет!$CH339,АшламаДВ_Irekle,2,FALSE),VLOOKUP(Расчет!$CH339,АшламаДВ_Gomumy,2,FALSE)))</f>
        <v>0.12</v>
      </c>
      <c r="CJ339" s="274">
        <f>IF(Расчет!$CH339="Нет","Нет",IF(Исходн.данные.!$AL339&gt;0,VLOOKUP(Расчет!$CH339,АшламаДВ_Irekle,3,FALSE),VLOOKUP(Расчет!$CH339,АшламаДВ_Gomumy,3,FALSE)))</f>
        <v>0.52</v>
      </c>
      <c r="CK339" s="274">
        <f>IF(Расчет!$CH339="Нет","Нет",IF(Исходн.данные.!$AL339&gt;0,VLOOKUP(Расчет!$CH339,АшламаДВ_Irekle,4,FALSE),VLOOKUP(Расчет!$CH339,АшламаДВ_Gomumy,4,FALSE)))</f>
        <v>0</v>
      </c>
      <c r="CL339" s="70"/>
      <c r="CM339" s="70"/>
      <c r="CN339" s="70"/>
      <c r="CO339" s="70"/>
      <c r="CP339" s="70"/>
      <c r="CQ339" s="70"/>
      <c r="CR339" s="10">
        <f t="shared" si="387"/>
        <v>0</v>
      </c>
      <c r="CS339" s="10">
        <f t="shared" si="388"/>
        <v>19.23076923076923</v>
      </c>
      <c r="CT339" s="10">
        <f t="shared" si="389"/>
        <v>0</v>
      </c>
      <c r="CU339" s="39">
        <f>IF($CH339="Нет",0,IF(CI339=0,30/MIN(CJ339:CK339),IF(Исходн.данные.!$AG339=$BV$11,CR339,IF(OR(Исходн.данные.!$AH339=$BQ$7,Исходн.данные.!$AH339=$BQ$8),90/CI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0,IF(Исходн.данные.!$AI339=$BU$11,"Нет",30/CI339))))))</f>
        <v>250</v>
      </c>
      <c r="CV339" s="39">
        <f>IF($CH339="Нет",0,IF(Исходн.данные.!AH339=0,0,IF(CJ339=0,60/MIN(CI339,CK339),IF(Исходн.данные.!$AG339=$BV$11,CS339,IF(OR(Исходн.данные.!$AH339=$BQ$7,Исходн.данные.!$AH339=$BQ$8),90/CJ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10/CJ339,IF(Исходн.данные.!$AI339=$BU$11,"Нет",60/CJ339)))))))</f>
        <v>0</v>
      </c>
      <c r="CW339" s="39">
        <f>IF($CH339="Нет",0,IF(Исходн.данные.!AH339=0,0,IF(CK339=0,30/MIN(CI339:CJ339),IF(Исходн.данные.!$AG339=$BV$11,CT339,IF(OR(Исходн.данные.!$AH339=$BQ$7,Исходн.данные.!$AH339=$BQ$8),90/CK339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0,IF(Исходн.данные.!$AI339=$BU$11,"Нет",30/CK339)))))))</f>
        <v>0</v>
      </c>
      <c r="CX339" s="133">
        <f>IF(Исходн.данные.!$AG339=$BV$11,MAX(CU339:CW339),IF(OR(Исходн.данные.!$AH339=$BS$8,Исходн.данные.!$AH339=$BQ$9,Исходн.данные.!$AH339=$BQ$10,Исходн.данные.!$AH339=$BQ$11,Исходн.данные.!$AH339=$BQ$12,Исходн.данные.!$AH339=$BP$3,Исходн.данные.!$AH339=$BT$8,$FM339="Да"),CV339,MIN(CU339:CW339)))</f>
        <v>0</v>
      </c>
      <c r="CY339" s="133">
        <f>IF(Исходн.данные.!AH339=0,0,IF(CR339&gt;$CX339,$CX339,CR339))</f>
        <v>0</v>
      </c>
      <c r="CZ339" s="133">
        <f>IF(Исходн.данные.!AH339=0,0,IF(CS339&gt;$CX339,$CX339,CS339))</f>
        <v>0</v>
      </c>
      <c r="DA339" s="133">
        <f>IF(Исходн.данные.!AH339=0,0,IF(CT339&gt;$CX339,$CX339,CT339))</f>
        <v>0</v>
      </c>
      <c r="DB339" s="10">
        <f t="shared" si="390"/>
        <v>0</v>
      </c>
      <c r="DC339" s="39">
        <f>DB339*Исходн.данные.!AJ339/1000</f>
        <v>0</v>
      </c>
      <c r="DD339" s="71">
        <f t="shared" si="391"/>
        <v>0</v>
      </c>
      <c r="DE339" s="9">
        <f t="shared" si="392"/>
        <v>0</v>
      </c>
      <c r="DF339" s="9">
        <f t="shared" si="393"/>
        <v>0</v>
      </c>
      <c r="DG339" s="39">
        <f>IF(BL339&lt;0,0,IF($CH339="Нет",BL339,IF(OR(Исходн.данные.!$AH339=$BP$1,Исходн.данные.!$AH339=$BP$2),0,IF(Исходн.данные.!AI339=$BU$11,BL339,IF(BL339-DD339&lt;0,0,BL339-DD339)))))</f>
        <v>0</v>
      </c>
      <c r="DH339" s="39">
        <f>IF(BM339&lt;0,0,IF($CH339="Нет",BM339,IF(OR(Исходн.данные.!$AH339=$BP$1,Исходн.данные.!$AH339=$BP$2),0,IF(Исходн.данные.!AJ339=$BU$11,BM339,IF(BM339-DE339&lt;0,0,BM339-DE339)))))</f>
        <v>0</v>
      </c>
      <c r="DI339" s="39">
        <f>IF(BN339&lt;0,0,IF($CH339="Нет",BN339,IF(OR(Исходн.данные.!$AH339=$BP$1,Исходн.данные.!$AH339=$BP$2),0,IF(Исходн.данные.!AK339=$BU$11,BN339,IF(BN339-DF339&lt;0,0,BN339-DF339)))))</f>
        <v>0</v>
      </c>
      <c r="DJ339" s="12">
        <f t="shared" si="394"/>
        <v>0</v>
      </c>
      <c r="DK339" s="9">
        <f t="shared" si="395"/>
        <v>0</v>
      </c>
      <c r="DL339" s="39">
        <f>IF(Исходн.данные.!AM339&gt;0,Исходн.данные.!AM339,IF(EG339&gt;0,$BH$10,0))</f>
        <v>0</v>
      </c>
      <c r="DM339" s="186">
        <f>IF($DL339=0,0,IF(Исходн.данные.!AM339&gt;0,VLOOKUP($DL339,АшламаДВ_Irekle,2,FALSE),VLOOKUP($DL339,АшламаДВ_Gomumy,2,FALSE)))</f>
        <v>0</v>
      </c>
      <c r="DN339" s="10">
        <f t="shared" si="373"/>
        <v>0</v>
      </c>
      <c r="DO339" s="9" t="str">
        <f>IF(Исходн.данные.!AN339&gt;0,Исходн.данные.!AN339,Удобрения!$B$37 )</f>
        <v>Хлор.калий</v>
      </c>
      <c r="DP339" s="9">
        <f>IF(Исходн.данные.!AN339&gt;0,VLOOKUP(Исходн.данные.!AN339,АшламаДВ_Irekle,4,FALSE),VLOOKUP(DO339,АшламаДВ_Gomumy,4,FALSE))</f>
        <v>0.6</v>
      </c>
      <c r="DQ339" s="10">
        <f t="shared" si="374"/>
        <v>0</v>
      </c>
      <c r="DR339" s="132" t="str">
        <f>IF(Исходн.данные.!AO339&gt;0,Исходн.данные.!AO339,IF(DH339=0,BS$17,IF(AND($DK339=0,$DJ339&gt;0),EJ339,EN339)))</f>
        <v>Нет</v>
      </c>
      <c r="DS339" s="70" t="str">
        <f>IF($DR339="Нет","Нет",IF(Исходн.данные.!$AO339&gt;0,VLOOKUP($DR339,АшламаДВ_Irekle,2,FALSE),VLOOKUP($DR339,АшламаДВ_Gomumy,2,FALSE)))</f>
        <v>Нет</v>
      </c>
      <c r="DT339" s="70" t="str">
        <f>IF($DR339="Нет","Нет",IF(Исходн.данные.!$AO339&gt;0,VLOOKUP($DR339,АшламаДВ_Irekle,3,FALSE),VLOOKUP($DR339,АшламаДВ_Gomumy,3,FALSE)))</f>
        <v>Нет</v>
      </c>
      <c r="DU339" s="70" t="str">
        <f>IF($DR339="Нет","Нет",IF(Исходн.данные.!$AO339&gt;0,VLOOKUP($DR339,АшламаДВ_Irekle,4,FALSE),VLOOKUP($DR339,АшламаДВ_Gomumy,4,FALSE)))</f>
        <v>Нет</v>
      </c>
      <c r="DV339" s="70"/>
      <c r="DW339" s="70"/>
      <c r="DX339" s="70"/>
      <c r="DY339" s="10">
        <f t="shared" si="396"/>
        <v>0</v>
      </c>
      <c r="DZ339" s="10">
        <f t="shared" si="397"/>
        <v>0</v>
      </c>
      <c r="EA339" s="10">
        <f t="shared" si="398"/>
        <v>0</v>
      </c>
      <c r="EB339" s="10">
        <f t="shared" si="399"/>
        <v>0</v>
      </c>
      <c r="EC339" s="10">
        <f t="shared" si="400"/>
        <v>0</v>
      </c>
      <c r="ED339" s="10">
        <f t="shared" si="401"/>
        <v>0</v>
      </c>
      <c r="EE339" s="10">
        <f t="shared" si="402"/>
        <v>0</v>
      </c>
      <c r="EF339" s="39">
        <f>EB339*Исходн.данные.!AJ339/1000</f>
        <v>0</v>
      </c>
      <c r="EG339" s="9">
        <f t="shared" si="403"/>
        <v>0</v>
      </c>
      <c r="EH339" s="9">
        <f t="shared" si="404"/>
        <v>0</v>
      </c>
      <c r="EI339" s="39" t="e">
        <f t="shared" si="354"/>
        <v>#DIV/0!</v>
      </c>
      <c r="EJ339" s="9" t="str">
        <f t="shared" si="375"/>
        <v>Азопреципитат</v>
      </c>
      <c r="EK339" s="12">
        <f t="shared" si="355"/>
        <v>0.26</v>
      </c>
      <c r="EL339" s="12">
        <f t="shared" si="356"/>
        <v>0.13</v>
      </c>
      <c r="EM339" s="12">
        <f t="shared" si="357"/>
        <v>0</v>
      </c>
      <c r="EN339" s="12" t="str">
        <f t="shared" si="376"/>
        <v>Нет</v>
      </c>
      <c r="EO339" s="12">
        <f t="shared" si="358"/>
        <v>0</v>
      </c>
      <c r="EP339" s="12">
        <f t="shared" si="359"/>
        <v>0</v>
      </c>
      <c r="EQ339" s="12">
        <f t="shared" si="360"/>
        <v>0</v>
      </c>
      <c r="ER339" s="12" t="str">
        <f t="shared" si="405"/>
        <v>Диаммофоска</v>
      </c>
      <c r="ES339" s="12">
        <f t="shared" si="361"/>
        <v>0.1</v>
      </c>
      <c r="ET339" s="12">
        <f t="shared" si="362"/>
        <v>0.26</v>
      </c>
      <c r="EU339" s="12">
        <f t="shared" si="363"/>
        <v>0.26</v>
      </c>
      <c r="EV339" s="12" t="str">
        <f t="shared" si="406"/>
        <v>Аммофос 12:52:00</v>
      </c>
      <c r="EW339" s="12" t="str">
        <f t="shared" si="407"/>
        <v>Кемира Свекловичное-6</v>
      </c>
      <c r="EX339" s="12">
        <f t="shared" si="364"/>
        <v>0.16</v>
      </c>
      <c r="EY339" s="12">
        <f t="shared" si="365"/>
        <v>0.12</v>
      </c>
      <c r="EZ339" s="12">
        <f t="shared" si="366"/>
        <v>0.17</v>
      </c>
      <c r="FA339" s="38" t="e">
        <f>IF(AND(OR(FJ339=$FD$1,FM339=$FD$1,FO339=$FD$1,FQ339=$FD$1,FS339=$FD$1),FD339=$FD$1,Исходн.данные.!J339&lt;2,FU339=$FD$1),"Бор,Кобальт",IF(AND(FO339=$FD$1,FH339=$FD$1,Исходн.данные.!J339&lt;2,FU339=$FD$1),"Бор,Кобальт",IF(AND(OR(FJ339=$FD$1,FM339=$FD$1,FQ339=$FD$1),FE339=$FD$1,Исходн.данные.!J339&lt;2,FT339=$FD$1,FU339=$FD$1),"Бор,Медь,Цинк",IF(AND(OR(FJ339=$FD$1,FR339="Да"),FI339="Да",Исходн.данные.!J339&lt;2,FT339="Да",FU339="Да"),"Бор,Цинк,Медь",IF(AND(OR(FM339="Да",FQ339="Да"),FI339="Да",Исходн.данные.!J339&lt;2,FT339="Да",FU339="Да"),"Бор,Цинк",IF(AND(FN339="Да",OR(FD339="Да",FE339="Да")),"Бор",FB339))))))</f>
        <v>#N/A</v>
      </c>
      <c r="FB339" s="134" t="e">
        <f>IF(AND(OR(FD339="Да",FE339="Да",FF339="Да",FG339="Да",FH339="Да"),FO339="Да"),"Бор",IF(AND(FP339="Да",OR(FD339="Да",FE339="Да",FI339="Да")),"Бор",IF(AND(FS339="Да",FE339="Да"),"Бор,Медь",IF(AND(OR(FJ339="Да",FK339="Да",FL339="Да"),FE339="Да",Исходн.данные.!I339&lt;5,FT339="Да",FU339="Да"),"Молибден,Цинк",IF(AND(FM339="Да",OR(FE339="Да",FF339="Да",FG339="Да",FH339="Да",FI339="Да")),"Молибден,Цинк",IF(AND(OR(FJ339="Да",FK339="Да",FL339="Да",FM339="Да",FQ339="Да"),OR(FE339="Да",FF339="Да"),FT339="Да",FU339="Да",Исходн.данные.!I339&gt;5.5),"Медь,Цинк",FC339))))))</f>
        <v>#N/A</v>
      </c>
      <c r="FC339" s="23" t="e">
        <f t="shared" si="408"/>
        <v>#N/A</v>
      </c>
      <c r="FD339" s="38" t="str">
        <f>IF(OR(Исходн.данные.!F339=$CC$1,Исходн.данные.!F339=$CC$2,Исходн.данные.!F339=$CC$3,Исходн.данные.!F339=$CC$4),"Да","Нет")</f>
        <v>Нет</v>
      </c>
      <c r="FE339" s="38" t="str">
        <f>IF(Исходн.данные.!F339=$CC$5,"Да","Нет")</f>
        <v>Нет</v>
      </c>
      <c r="FF339" s="38" t="str">
        <f>IF(OR(Исходн.данные.!F339=$CC$6,Исходн.данные.!F339=$CC$7),"Да","Нет")</f>
        <v>Нет</v>
      </c>
      <c r="FG339" s="38" t="str">
        <f>IF(OR(Исходн.данные.!F339=$CC$8,Исходн.данные.!F339=$CC$9),"Да","Нет")</f>
        <v>Нет</v>
      </c>
      <c r="FH339" s="38" t="str">
        <f>IF(Исходн.данные.!F339=$CC$10,"Да","Нет")</f>
        <v>Нет</v>
      </c>
      <c r="FI339" s="38" t="str">
        <f>IF(OR(Исходн.данные.!F339=$CC$11,Исходн.данные.!F339=$CC$12),"Да","Нет")</f>
        <v>Нет</v>
      </c>
      <c r="FJ339" s="38" t="str">
        <f>IF(OR(Исходн.данные.!AH339=$BS$1,Исходн.данные.!AH339=$BQ$11,Исходн.данные.!AH339=$BQ$12),"Да","Нет")</f>
        <v>Нет</v>
      </c>
      <c r="FK339" s="38" t="str">
        <f>IF(OR(Исходн.данные.!AH339=$BS$2,Исходн.данные.!AH339=$BS$4),"Да","Нет")</f>
        <v>Нет</v>
      </c>
      <c r="FL339" s="38" t="str">
        <f>IF(OR(Исходн.данные.!AH339=$BS$3,Исходн.данные.!AH339=$BS$5),"Да","Нет")</f>
        <v>Нет</v>
      </c>
      <c r="FM339" s="38" t="str">
        <f>IF(OR(Исходн.данные.!AH339=$BS$9,Исходн.данные.!AH339=$BS$10,Исходн.данные.!AH339=$BS$11,Исходн.данные.!AH339=$BS$12),"Да","Нет")</f>
        <v>Нет</v>
      </c>
      <c r="FN339" s="38" t="str">
        <f>IF(OR(Исходн.данные.!AH339=$BS$6,Исходн.данные.!AH339=$BP$3),"Да","Нет")</f>
        <v>Нет</v>
      </c>
      <c r="FO339" s="38" t="str">
        <f>IF(Исходн.данные.!AH339=$BQ$9,"Да","Нет")</f>
        <v>Нет</v>
      </c>
      <c r="FP339" s="38" t="str">
        <f>IF(OR(Исходн.данные.!AH339=$BS$8,Исходн.данные.!AH339=$BT$8),"Да","Нет")</f>
        <v>Нет</v>
      </c>
      <c r="FQ339" s="38" t="str">
        <f>IF(OR(Исходн.данные.!AH339=$BQ$7,Исходн.данные.!AH339=$BQ$8),"Да","Нет")</f>
        <v>Нет</v>
      </c>
      <c r="FR339" s="38" t="str">
        <f>IF(Исходн.данные.!AI339=$BU$9,"Да","Нет")</f>
        <v>Нет</v>
      </c>
      <c r="FS339" s="38" t="str">
        <f>IF(OR(Исходн.данные.!AH339=$BP$1,Исходн.данные.!AH339=$BP$2),"Да","Нет")</f>
        <v>Нет</v>
      </c>
      <c r="FT339" s="38" t="e">
        <f>IF((Исходн.данные.!K339*GO339*GS339*GW339+BL339*0.6+Исходн.данные.!Q339*4.5*0.275)&gt;90,"Да","Нет")</f>
        <v>#N/A</v>
      </c>
      <c r="FU339" s="38" t="e">
        <f>IF((Исходн.данные.!M339*GS339*GZ339+BM339*0.225)&gt;35,"Да","Нет")</f>
        <v>#N/A</v>
      </c>
      <c r="FV339" s="38" t="str">
        <f>IF(Исходн.данные.!O339&gt;175,"Да","Нет")</f>
        <v>Нет</v>
      </c>
      <c r="FW339" s="39" t="str">
        <f>IF(Исходн.данные.!I339&gt;5.5,"Да","Нет")</f>
        <v>Нет</v>
      </c>
      <c r="FX339" s="39" t="str">
        <f>IF(Исходн.данные.!J339&lt;2,"Да","Нет")</f>
        <v>Да</v>
      </c>
      <c r="FY339" s="39" t="e">
        <f>IF(HF339=$FY$16,0,Исходн.данные.!K339*GO339*GS339*GW339/HF339)</f>
        <v>#N/A</v>
      </c>
      <c r="FZ339" s="39" t="e">
        <f>Исходн.данные.!M339*GS339*GZ339/HG339</f>
        <v>#N/A</v>
      </c>
      <c r="GA339" s="39" t="e">
        <f>IF(K_Wyn=$FY$16,0,IF(Исходн.данные.!N339=Исходн.данные.!$L$10,Исходн.данные.!O339/1.1*GS339*HC339/HH339,IF(Исходн.данные.!N339=Исходн.данные.!$L$12,Исходн.данные.!O339/1.5*GS339*HC339/HH339,Исходн.данные.!O339*GS339*HC339/HH339)))</f>
        <v>#N/A</v>
      </c>
      <c r="GB339" s="39" t="e">
        <f>IF(HF339=$FY$16,0,((Исходн.данные.!Q339*N_Org+Исходн.данные.!R339*N_Sider+Исходн.данные.!S339*N_Soloma)*AO339+Расчет!BC339*VLOOKUP(Исходн.данные.!T339,Справ!$A$3:$O$57,15)*AO339+BB339*VLOOKUP(Исходн.данные.!T339,Справ!$A$3:$O$57,15)*AL339+(Исходн.данные.!V339*N_Rizotorf+Исходн.данные.!W339*N_Rizoagr))/HF339)</f>
        <v>#N/A</v>
      </c>
      <c r="GC339" s="39" t="e">
        <f>IF(HG339=$FY$16,0,((Исходн.данные.!Q339*Р_Org+Исходн.данные.!R339*P_Sider+Исходн.данные.!S339*P_Soloma)*AP339+Расчет!BC339*VLOOKUP(Исходн.данные.!T339,Справ!$A$3:$P$57,16)*AP339+BB339*VLOOKUP(Исходн.данные.!T339,Справ!$A$3:$P$57,16)*AM339)/HG339)</f>
        <v>#N/A</v>
      </c>
      <c r="GD339" s="39" t="e">
        <f>IF(HH339=$FY$16,0,((Исходн.данные.!Q339*К_Org+Исходн.данные.!R339*K_Sider+Исходн.данные.!S339*K_Soloma)*AQ339+Расчет!BC339*VLOOKUP(Исходн.данные.!T339,Справ!$A$3:$Q$57,17)*AQ339+BB339*VLOOKUP(Исходн.данные.!T339,Справ!$A$3:$Q$57,17)*AN339)/HH339)</f>
        <v>#N/A</v>
      </c>
      <c r="GE339" s="39" t="e">
        <f>IF(HF339=$FY$16,0,(Исходн.данные.!X339*AR339+Исходн.данные.!AA339*N_Org*AL339+Исходн.данные.!AB339*N_Sider*AL339+Исходн.данные.!AC339*N_Soloma*AL339)/HF339)</f>
        <v>#N/A</v>
      </c>
      <c r="GF339" s="39" t="e">
        <f>IF(HG339=$FY$16,0,(Исходн.данные.!Y339*AS339+Исходн.данные.!AA339*Р_Org*AM339+Исходн.данные.!AB339*P_Sider*AM339+Исходн.данные.!AC339*P_Soloma*AM339)/HG339)</f>
        <v>#N/A</v>
      </c>
      <c r="GG339" s="39" t="e">
        <f>IF(HH339=$FY$16,0,(Исходн.данные.!Z339*AT339+Исходн.данные.!AA339*К_Org*AN339+Исходн.данные.!AB339*K_Sider*AN339+Исходн.данные.!AC339*K_Soloma*AN339)/HH339)</f>
        <v>#N/A</v>
      </c>
      <c r="GH339" s="39" t="e">
        <f>Исходн.данные.!AD339*AU339/HF339</f>
        <v>#N/A</v>
      </c>
      <c r="GI339" s="39" t="e">
        <f>Исходн.данные.!AE339*AV339/HG339</f>
        <v>#N/A</v>
      </c>
      <c r="GJ339" s="39" t="e">
        <f>Исходн.данные.!AF339*AW339/HH339</f>
        <v>#N/A</v>
      </c>
      <c r="GK339" s="55">
        <f>Исходн.данные.!AK339</f>
        <v>0</v>
      </c>
      <c r="GL339" s="11" t="e">
        <f t="shared" si="409"/>
        <v>#N/A</v>
      </c>
      <c r="GM339" s="11" t="e">
        <f t="shared" si="410"/>
        <v>#N/A</v>
      </c>
      <c r="GN339" s="11" t="e">
        <f t="shared" si="411"/>
        <v>#N/A</v>
      </c>
      <c r="GO339" s="57">
        <f t="shared" si="412"/>
        <v>19</v>
      </c>
      <c r="GP339" s="55">
        <f>IF(OR(Исходн.данные.!F339=$CE$1,Исходн.данные.!F339=$CE$2,Исходн.данные.!F339=$CE$3,Исходн.данные.!F339=$CE$4,Исходн.данные.!F339=$CE$5),GQ339,GR339)</f>
        <v>19</v>
      </c>
      <c r="GQ339" s="55">
        <f>IF(Исходн.данные.!F339=$CE$1,28,IF(Исходн.данные.!F339=$CE$2,26,IF(Исходн.данные.!F339=$CE$3,24,IF(Исходн.данные.!F339=$CE$4,22,IF(Исходн.данные.!F339=$CE$5,20,GR339)))))</f>
        <v>19</v>
      </c>
      <c r="GR339" s="55">
        <f>IF(Исходн.данные.!F339=$CE$6,18,IF(Исходн.данные.!F339=$CE$7,16,IF(Исходн.данные.!F339=$CE$8,14,IF(Исходн.данные.!F339=$CE$9,13,IF(Исходн.данные.!F339=$CE$10,12,19)))))</f>
        <v>19</v>
      </c>
      <c r="GS339" s="55">
        <f>IF(Исходн.данные.!G339="Пес",0.035*(40+2*Исходн.данные.!H339),IF(Исходн.данные.!G339="Суп",0.0325*(40+2*Исходн.данные.!H339),0.03*(40+2*Исходн.данные.!H339)))</f>
        <v>1.2</v>
      </c>
      <c r="GT339" s="55">
        <f>IF(Исходн.данные.!H339&lt;23,2.6,IF(AND(Исходн.данные.!H339&gt;22,Исходн.данные.!H339&lt;26),3,IF(AND(Исходн.данные.!H339&gt;25,Исходн.данные.!H339&lt;29),3.4,3.6)))</f>
        <v>2.6</v>
      </c>
      <c r="GU339" s="55">
        <f>IF(Исходн.данные.!H339&lt;23,2.8,IF(AND(Исходн.данные.!H339&gt;22,Исходн.данные.!H339&lt;26),3.2,IF(AND(Исходн.данные.!H339&gt;25,Исходн.данные.!H339&lt;29),3.6,3.9)))</f>
        <v>2.8</v>
      </c>
      <c r="GV339" s="55">
        <f>IF(Исходн.данные.!H339&lt;23,3,IF(AND(Исходн.данные.!H339&gt;22,Исходн.данные.!H339&lt;26),3.5,IF(AND(Исходн.данные.!H339&gt;25,Исходн.данные.!H339&lt;29),3.9,4.2)))</f>
        <v>3</v>
      </c>
      <c r="GW339" s="55" t="e">
        <f>IF(Исходн.данные.!P339="Ум",GX339,GY339)</f>
        <v>#N/A</v>
      </c>
      <c r="GX339" s="55" t="e">
        <f>VLOOKUP(Исходн.данные.!AI339,Коэффициенты!$J$7:$L$13,2,FALSE)</f>
        <v>#N/A</v>
      </c>
      <c r="GY339" s="55" t="e">
        <f>VLOOKUP(Исходн.данные.!AI339,Коэффициенты!$J$7:$L$13,3,FALSE)</f>
        <v>#N/A</v>
      </c>
      <c r="GZ339" s="55" t="e">
        <f>(IF(Исходн.данные.!M339&lt;50,0.11*VLOOKUP(Исходн.данные.!AH339,Культуры.Информация,7,FALSE),IF(Исходн.данные.!M339&gt;250,0.05*VLOOKUP(Исходн.данные.!AH339,Культуры.Информация,7,FALSE),VLOOKUP(Исходн.данные.!AH339,Культуры.Информация,5,FALSE)/100*($GX$6+$GY$6*Исходн.данные.!M339))))*Расчет2!AI339</f>
        <v>#N/A</v>
      </c>
      <c r="HA339" s="211"/>
      <c r="HB339" s="211"/>
      <c r="HC339" s="55" t="e">
        <f>(IF(Исходн.данные.!O339&lt;80,0.2*VLOOKUP(Исходн.данные.!AH339,Культуры.Информация,8,FALSE),IF(Исходн.данные.!O339&gt;240,0.09*VLOOKUP(Исходн.данные.!AH339,Культуры.Информация,8,FALSE),VLOOKUP(Исходн.данные.!AH339,Культуры.Информация,6,FALSE)/100*($HB$6+$HC$6*Исходн.данные.!O339))))*Расчет2!AJ339</f>
        <v>#N/A</v>
      </c>
      <c r="HD339" s="55">
        <f>IF(Исходн.данные.!O339&gt;240,0.09,IF(Исходн.данные.!O339&lt;30,0.3,$HE$10+$HD$10*Исходн.данные.!O339))</f>
        <v>0.3</v>
      </c>
      <c r="HE339" s="55">
        <f>IF(Исходн.данные.!O339&gt;240,0.17,IF(Исходн.данные.!O339&lt;30,0.5,$HF$12+$HE$12*Исходн.данные.!O339))</f>
        <v>0.5</v>
      </c>
      <c r="HF339" s="55" t="e">
        <f>VLOOKUP(Исходн.данные.!AH339,Справ!$A$3:$D$58,2,FALSE)</f>
        <v>#N/A</v>
      </c>
      <c r="HG339" s="55" t="e">
        <f>VLOOKUP(Исходн.данные.!AH339,Справ!$A$3:$D$58,3,FALSE)</f>
        <v>#N/A</v>
      </c>
      <c r="HH339" s="55" t="e">
        <f>VLOOKUP(Исходн.данные.!AH339,Справ!$A$3:$D$58,4,FALSE)</f>
        <v>#N/A</v>
      </c>
      <c r="HI339" s="11" t="e">
        <f t="shared" si="413"/>
        <v>#N/A</v>
      </c>
      <c r="HJ339" s="11" t="e">
        <f t="shared" si="414"/>
        <v>#N/A</v>
      </c>
      <c r="HK339" s="11" t="e">
        <f t="shared" si="415"/>
        <v>#N/A</v>
      </c>
      <c r="HL339" s="55">
        <f>IF(OR(Исходн.данные.!G339="Глин",Исходн.данные.!G339="Т_суг"),1.1,IF(Исходн.данные.!G339="Ср_суг",1,1))</f>
        <v>1</v>
      </c>
      <c r="HM339" s="55">
        <f>IF(OR(Исходн.данные.!G339="Глин",Исходн.данные.!G339="Т_суг"),0.9,IF(Исходн.данные.!G339="Ср_суг",1,1.2))</f>
        <v>1.2</v>
      </c>
      <c r="HN339" s="11" t="e">
        <f t="shared" si="416"/>
        <v>#N/A</v>
      </c>
      <c r="HO339" s="11" t="e">
        <f t="shared" si="417"/>
        <v>#N/A</v>
      </c>
      <c r="HP339" s="11" t="e">
        <f t="shared" si="418"/>
        <v>#N/A</v>
      </c>
      <c r="HQ339" t="e">
        <f t="shared" si="419"/>
        <v>#N/A</v>
      </c>
      <c r="HR339" t="e">
        <f t="shared" si="420"/>
        <v>#N/A</v>
      </c>
      <c r="HS339" t="e">
        <f t="shared" si="421"/>
        <v>#N/A</v>
      </c>
      <c r="HT339" t="e">
        <f t="shared" si="367"/>
        <v>#N/A</v>
      </c>
      <c r="HU339" t="e">
        <f t="shared" si="368"/>
        <v>#N/A</v>
      </c>
      <c r="HV339" t="e">
        <f t="shared" si="369"/>
        <v>#N/A</v>
      </c>
      <c r="HW339" t="e">
        <f t="shared" si="370"/>
        <v>#N/A</v>
      </c>
      <c r="HX339" t="e">
        <f t="shared" si="371"/>
        <v>#N/A</v>
      </c>
      <c r="HY339" t="e">
        <f t="shared" si="372"/>
        <v>#N/A</v>
      </c>
      <c r="HZ339" s="55">
        <f>IF(OR(Исходн.данные.!AI339="Оз_Ч_П",Исходн.данные.!AI339="Оз_З_П",Исходн.данные.!AI339="Яр_зер"),12,30)</f>
        <v>30</v>
      </c>
      <c r="IA339" t="e">
        <f t="shared" si="422"/>
        <v>#N/A</v>
      </c>
      <c r="IB339" t="e">
        <f t="shared" si="423"/>
        <v>#N/A</v>
      </c>
      <c r="IC339" t="e">
        <f t="shared" si="424"/>
        <v>#N/A</v>
      </c>
      <c r="ID339" s="11" t="e">
        <f t="shared" si="425"/>
        <v>#N/A</v>
      </c>
      <c r="IE339" s="11" t="e">
        <f t="shared" si="426"/>
        <v>#N/A</v>
      </c>
      <c r="IF339" s="11" t="e">
        <f t="shared" si="427"/>
        <v>#N/A</v>
      </c>
    </row>
    <row r="340" spans="35:240" x14ac:dyDescent="0.2">
      <c r="AI340">
        <f>IF(Исходн.данные.!I340&gt;6,1,1.85-(0.148*Исходн.данные.!I340))</f>
        <v>1.85</v>
      </c>
      <c r="AJ340">
        <f>IF(Исходн.данные.!I340&gt;6,1,2.434-(0.246*Исходн.данные.!I340))</f>
        <v>2.4340000000000002</v>
      </c>
      <c r="AL340" s="148" t="b">
        <f>IF(Исходн.данные.!$P340="Ум",N_OrgUd_2g_um,IF(Исходн.данные.!$P340="Об",N_OrgUd_2g_ob))</f>
        <v>0</v>
      </c>
      <c r="AM340" s="148" t="b">
        <f>IF(Исходн.данные.!$P340="Ум",P_OrgUd_2g_um,IF(Исходн.данные.!$P340="Об",P_OrgUd_2g_ob))</f>
        <v>0</v>
      </c>
      <c r="AN340" s="148" t="b">
        <f>IF(Исходн.данные.!$P340="Ум",K_OrgUd_2g_um,IF(Исходн.данные.!$P340="Об",K_OrgUd_2g_ob))</f>
        <v>0</v>
      </c>
      <c r="AO340" s="148" t="b">
        <f>IF(Исходн.данные.!$P340="Ум",N_OrgUd_1g_um,IF(Исходн.данные.!$P340="Об",N_OrgUd_1g_ob))</f>
        <v>0</v>
      </c>
      <c r="AP340" s="148" t="b">
        <f>IF(Исходн.данные.!$P340="Ум",P_OrgUd_1g_um,IF(Исходн.данные.!$P340="Об",P_OrgUd_1g_ob))</f>
        <v>0</v>
      </c>
      <c r="AQ340" s="148" t="b">
        <f>IF(Исходн.данные.!$P340="Ум",K_OrgUd_1g_um,IF(Исходн.данные.!$P340="Об",K_OrgUd_1g_ob))</f>
        <v>0</v>
      </c>
      <c r="AR340" t="b">
        <f>IF(Исходн.данные.!$P340="Ум",N_MinUd_2g_um,IF(Исходн.данные.!$P340="Об",N_MinUd_2g_ob))</f>
        <v>0</v>
      </c>
      <c r="AS340" t="b">
        <f>IF(Исходн.данные.!$P340="Ум",P_MinUd_2g_um,IF(Исходн.данные.!$P340="Об",P_MinUd_2g_ob))</f>
        <v>0</v>
      </c>
      <c r="AT340" t="b">
        <f>IF(Исходн.данные.!$P340="Ум",K_MinUd_2g_um,IF(Исходн.данные.!$P340="Об",K_MinUd_2g_ob))</f>
        <v>0</v>
      </c>
      <c r="AU340" t="b">
        <f>IF(Исходн.данные.!$P340="Ум",N_MinUd_1g_um,IF(Исходн.данные.!$P340="Об",N_MinUd_1g_ob))</f>
        <v>0</v>
      </c>
      <c r="AV340" t="b">
        <f>IF(Исходн.данные.!P340="Ум",P_MinUd_1g_um,IF(Исходн.данные.!P340="Об",P_MinUd_1g_ob))</f>
        <v>0</v>
      </c>
      <c r="AW340" t="b">
        <f>IF(Исходн.данные.!P340="Ум",K_MinUd_1g_um,IF(Исходн.данные.!P340="Об",K_MinUd_1g_ob))</f>
        <v>0</v>
      </c>
      <c r="AY340" t="e">
        <f>VLOOKUP(Исходн.данные.!T340,Справ!$A$3:$N$57,12)</f>
        <v>#N/A</v>
      </c>
      <c r="AZ340" t="e">
        <f>VLOOKUP(Исходн.данные.!T340,Справ!$A$3:$N$57,13)</f>
        <v>#N/A</v>
      </c>
      <c r="BA340" t="e">
        <f>VLOOKUP(Исходн.данные.!T340,Справ!$A$3:$N$57,14)</f>
        <v>#N/A</v>
      </c>
      <c r="BB340">
        <f>IF(Исходн.данные.!AH340=0,0,25)</f>
        <v>0</v>
      </c>
      <c r="BC340" s="141">
        <f>IF(Исходн.данные.!AH340=0,0,IF(Исходн.данные.!T340=0,25,BD340))</f>
        <v>0</v>
      </c>
      <c r="BD340" s="168" t="e">
        <f>AY340+AZ340*Исходн.данные.!U340-POWER(BA340,2)*Исходн.данные.!U340</f>
        <v>#N/A</v>
      </c>
      <c r="BE340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0" s="25">
        <f>IF(Исходн.данные.!AH340=0,0,MIN(HN340:HP340))</f>
        <v>0</v>
      </c>
      <c r="BG340" s="9">
        <f>IF(Исходн.данные.!AH340=0,0,IF((HO340+10*0.25/HG340/HL340)&lt;17,17,HO340+10*0.25/HG340/HL340))</f>
        <v>0</v>
      </c>
      <c r="BH340" s="181">
        <f>IF(Исходн.данные.!AH340=0,0,HW340*HF340*HL340/AU340*AI340+Исходн.данные.!S340*10)</f>
        <v>0</v>
      </c>
      <c r="BI340" s="10"/>
      <c r="BJ340" s="182">
        <f>IF(Исходн.данные.!AH340=0,0,IF(HX340*HG340*HL340/AV340&lt;0,0,HX340*HG340*HL340/AV340*AJ340))</f>
        <v>0</v>
      </c>
      <c r="BK340" s="182">
        <f>IF(Исходн.данные.!AH340=0,0,HY340*HH340*HM340/AW340)</f>
        <v>0</v>
      </c>
      <c r="BL340" s="10">
        <f>IF(OR(Исходн.данные.!$AH340=$BP$1,Исходн.данные.!$AH340=$BP$2),0,IF(BH340&lt;0,0,IF(OR(Исходн.данные.!T340=Расчет!$BP$1,Исходн.данные.!T340=Расчет!$BP$2,Исходн.данные.!T340=Расчет!$BT$5,Исходн.данные.!T340=Расчет!$BT$6),BH340*0.5,IF(OR(Исходн.данные.!T340=Расчет!$BS$9,Исходн.данные.!T340=Расчет!$BS$10,Исходн.данные.!T340=Расчет!$BS$11,Исходн.данные.!T340=Расчет!$BS$12,Исходн.данные.!T340=Расчет!$BP$5),BH340*0.8,BH340))))</f>
        <v>0</v>
      </c>
      <c r="BM340" s="10">
        <f>IF(OR(Исходн.данные.!$AH340=$BP$1,Исходн.данные.!$AH340=$BP$2),0,IF(BJ340&lt;0,0,IF(Исходн.данные.!I340&lt;4.5,BJ340*1.2,IF(Исходн.данные.!I340&gt;5.1,BJ340,BJ340*((5.1-Исходн.данные.!I340)*0.333+1)))))</f>
        <v>0</v>
      </c>
      <c r="BN340" s="10">
        <f>IF(OR(Исходн.данные.!$AH340=$BP$1,Исходн.данные.!$AH340=$BP$2),60-Исходн.данные.!AF340,IF(BK340&lt;0,0,IF(Исходн.данные.!I340&lt;4.5,BK340*1.2,IF(Исходн.данные.!I340&gt;5.1,BK340,BK340*((5.1-Исходн.данные.!I340)*0.333+1)))))</f>
        <v>0</v>
      </c>
      <c r="BO340" s="9">
        <f>IF(BL340&lt;0,0,BL340*Исходн.данные.!$AJ340/1000)</f>
        <v>0</v>
      </c>
      <c r="BP340" s="9">
        <f>IF(BM340&lt;0,0,BM340*Исходн.данные.!$AJ340/1000)</f>
        <v>0</v>
      </c>
      <c r="BQ340" s="9">
        <f>IF(BN340&lt;0,0,BN340*Исходн.данные.!$AJ340/1000)</f>
        <v>0</v>
      </c>
      <c r="BR340" s="9">
        <f t="shared" si="377"/>
        <v>0</v>
      </c>
      <c r="BS340" s="10" t="str">
        <f t="shared" si="378"/>
        <v>Аммофос 12:52:00</v>
      </c>
      <c r="BT340" s="10" t="str">
        <f t="shared" si="379"/>
        <v>Аммофос 12:52:00</v>
      </c>
      <c r="BU340" s="10" t="str">
        <f t="shared" si="380"/>
        <v>Диаммофоска</v>
      </c>
      <c r="BV340" s="10">
        <f t="shared" si="381"/>
        <v>0</v>
      </c>
      <c r="BW340" s="10"/>
      <c r="BX340" s="10"/>
      <c r="BY340" s="9">
        <f>IF(BL340&lt;0,0,IF(OR(Исходн.данные.!AI340=Расчет!$BU$6,Исходн.данные.!AI340=Расчет!$BU$7),Расчет!BV340,IF(Исходн.данные.!$AG340=$BV$11,BL340,IF(OR(Исходн.данные.!$AH340=$BQ$7,Исходн.данные.!$AH340=$BQ$8),CB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0,IF(Исходн.данные.!$AI340=$BU$11,"Нет",IF(BL340&gt;30,30,BL340)))))))</f>
        <v>0</v>
      </c>
      <c r="BZ340" s="9">
        <f>IF(AND(Исходн.данные.!$AG340=$BV$11,BM340&lt;10),10,IF(Исходн.данные.!$AG340=$BV$11,BM340,IF(OR(Исходн.данные.!$AH340=$BQ$7,Исходн.данные.!$AH340=$BQ$8),CC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10,IF(Исходн.данные.!$AI340=$BU$11,"Нет",IF(BM340&gt;60,60,IF(BM340&lt;10,10,BM340)))))))</f>
        <v>10</v>
      </c>
      <c r="CA340" s="39">
        <f>IF(BN340&lt;0,0,IF(Исходн.данные.!$AG340=$BV$11,BN340,IF(OR(Исходн.данные.!$AH340=$BQ$7,Исходн.данные.!$AH340=$BQ$8),CD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0,IF(Исходн.данные.!$AI340=$BU$11,"Нет",IF(BN340&gt;30,30,BN340))))))</f>
        <v>0</v>
      </c>
      <c r="CB340" s="9">
        <f t="shared" si="382"/>
        <v>0</v>
      </c>
      <c r="CC340" s="9">
        <f t="shared" si="383"/>
        <v>0</v>
      </c>
      <c r="CD340" s="9">
        <f t="shared" si="384"/>
        <v>0</v>
      </c>
      <c r="CE340" s="12">
        <f t="shared" si="385"/>
        <v>10</v>
      </c>
      <c r="CF340" s="9">
        <f t="shared" si="386"/>
        <v>0</v>
      </c>
      <c r="CG340" s="9" t="s">
        <v>231</v>
      </c>
      <c r="CH340" s="132" t="str">
        <f>IF(Исходн.данные.!AP340=Расчет!$CI$16,"Нет",IF(Исходн.данные.!AL340&gt;0,Исходн.данные.!AL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BH$4,IF(OR(Исходн.данные.!AI340=Исходн.данные.!$AI$6,Исходн.данные.!AI340=Исходн.данные.!$AI$7),Расчет!BS340,IF(AND($CF340=0,$CE340&gt;0),EV340,ER340)))))</f>
        <v>Аммофос 12:52:00</v>
      </c>
      <c r="CI340" s="274">
        <f>IF(Расчет!$CH340="Нет","Нет",IF(Исходн.данные.!$AL340&gt;0,VLOOKUP(Расчет!$CH340,АшламаДВ_Irekle,2,FALSE),VLOOKUP(Расчет!$CH340,АшламаДВ_Gomumy,2,FALSE)))</f>
        <v>0.12</v>
      </c>
      <c r="CJ340" s="274">
        <f>IF(Расчет!$CH340="Нет","Нет",IF(Исходн.данные.!$AL340&gt;0,VLOOKUP(Расчет!$CH340,АшламаДВ_Irekle,3,FALSE),VLOOKUP(Расчет!$CH340,АшламаДВ_Gomumy,3,FALSE)))</f>
        <v>0.52</v>
      </c>
      <c r="CK340" s="274">
        <f>IF(Расчет!$CH340="Нет","Нет",IF(Исходн.данные.!$AL340&gt;0,VLOOKUP(Расчет!$CH340,АшламаДВ_Irekle,4,FALSE),VLOOKUP(Расчет!$CH340,АшламаДВ_Gomumy,4,FALSE)))</f>
        <v>0</v>
      </c>
      <c r="CL340" s="70"/>
      <c r="CM340" s="70"/>
      <c r="CN340" s="70"/>
      <c r="CO340" s="70"/>
      <c r="CP340" s="70"/>
      <c r="CQ340" s="70"/>
      <c r="CR340" s="10">
        <f t="shared" si="387"/>
        <v>0</v>
      </c>
      <c r="CS340" s="10">
        <f t="shared" si="388"/>
        <v>19.23076923076923</v>
      </c>
      <c r="CT340" s="10">
        <f t="shared" si="389"/>
        <v>0</v>
      </c>
      <c r="CU340" s="39">
        <f>IF($CH340="Нет",0,IF(CI340=0,30/MIN(CJ340:CK340),IF(Исходн.данные.!$AG340=$BV$11,CR340,IF(OR(Исходн.данные.!$AH340=$BQ$7,Исходн.данные.!$AH340=$BQ$8),90/CI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0,IF(Исходн.данные.!$AI340=$BU$11,"Нет",30/CI340))))))</f>
        <v>250</v>
      </c>
      <c r="CV340" s="39">
        <f>IF($CH340="Нет",0,IF(Исходн.данные.!AH340=0,0,IF(CJ340=0,60/MIN(CI340,CK340),IF(Исходн.данные.!$AG340=$BV$11,CS340,IF(OR(Исходн.данные.!$AH340=$BQ$7,Исходн.данные.!$AH340=$BQ$8),90/CJ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10/CJ340,IF(Исходн.данные.!$AI340=$BU$11,"Нет",60/CJ340)))))))</f>
        <v>0</v>
      </c>
      <c r="CW340" s="39">
        <f>IF($CH340="Нет",0,IF(Исходн.данные.!AH340=0,0,IF(CK340=0,30/MIN(CI340:CJ340),IF(Исходн.данные.!$AG340=$BV$11,CT340,IF(OR(Исходн.данные.!$AH340=$BQ$7,Исходн.данные.!$AH340=$BQ$8),90/CK340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0,IF(Исходн.данные.!$AI340=$BU$11,"Нет",30/CK340)))))))</f>
        <v>0</v>
      </c>
      <c r="CX340" s="133">
        <f>IF(Исходн.данные.!$AG340=$BV$11,MAX(CU340:CW340),IF(OR(Исходн.данные.!$AH340=$BS$8,Исходн.данные.!$AH340=$BQ$9,Исходн.данные.!$AH340=$BQ$10,Исходн.данные.!$AH340=$BQ$11,Исходн.данные.!$AH340=$BQ$12,Исходн.данные.!$AH340=$BP$3,Исходн.данные.!$AH340=$BT$8,$FM340="Да"),CV340,MIN(CU340:CW340)))</f>
        <v>0</v>
      </c>
      <c r="CY340" s="133">
        <f>IF(Исходн.данные.!AH340=0,0,IF(CR340&gt;$CX340,$CX340,CR340))</f>
        <v>0</v>
      </c>
      <c r="CZ340" s="133">
        <f>IF(Исходн.данные.!AH340=0,0,IF(CS340&gt;$CX340,$CX340,CS340))</f>
        <v>0</v>
      </c>
      <c r="DA340" s="133">
        <f>IF(Исходн.данные.!AH340=0,0,IF(CT340&gt;$CX340,$CX340,CT340))</f>
        <v>0</v>
      </c>
      <c r="DB340" s="10">
        <f t="shared" si="390"/>
        <v>0</v>
      </c>
      <c r="DC340" s="39">
        <f>DB340*Исходн.данные.!AJ340/1000</f>
        <v>0</v>
      </c>
      <c r="DD340" s="71">
        <f t="shared" si="391"/>
        <v>0</v>
      </c>
      <c r="DE340" s="9">
        <f t="shared" si="392"/>
        <v>0</v>
      </c>
      <c r="DF340" s="9">
        <f t="shared" si="393"/>
        <v>0</v>
      </c>
      <c r="DG340" s="39">
        <f>IF(BL340&lt;0,0,IF($CH340="Нет",BL340,IF(OR(Исходн.данные.!$AH340=$BP$1,Исходн.данные.!$AH340=$BP$2),0,IF(Исходн.данные.!AI340=$BU$11,BL340,IF(BL340-DD340&lt;0,0,BL340-DD340)))))</f>
        <v>0</v>
      </c>
      <c r="DH340" s="39">
        <f>IF(BM340&lt;0,0,IF($CH340="Нет",BM340,IF(OR(Исходн.данные.!$AH340=$BP$1,Исходн.данные.!$AH340=$BP$2),0,IF(Исходн.данные.!AJ340=$BU$11,BM340,IF(BM340-DE340&lt;0,0,BM340-DE340)))))</f>
        <v>0</v>
      </c>
      <c r="DI340" s="39">
        <f>IF(BN340&lt;0,0,IF($CH340="Нет",BN340,IF(OR(Исходн.данные.!$AH340=$BP$1,Исходн.данные.!$AH340=$BP$2),0,IF(Исходн.данные.!AK340=$BU$11,BN340,IF(BN340-DF340&lt;0,0,BN340-DF340)))))</f>
        <v>0</v>
      </c>
      <c r="DJ340" s="12">
        <f t="shared" si="394"/>
        <v>0</v>
      </c>
      <c r="DK340" s="9">
        <f t="shared" si="395"/>
        <v>0</v>
      </c>
      <c r="DL340" s="39">
        <f>IF(Исходн.данные.!AM340&gt;0,Исходн.данные.!AM340,IF(EG340&gt;0,$BH$10,0))</f>
        <v>0</v>
      </c>
      <c r="DM340" s="186">
        <f>IF($DL340=0,0,IF(Исходн.данные.!AM340&gt;0,VLOOKUP($DL340,АшламаДВ_Irekle,2,FALSE),VLOOKUP($DL340,АшламаДВ_Gomumy,2,FALSE)))</f>
        <v>0</v>
      </c>
      <c r="DN340" s="10">
        <f t="shared" si="373"/>
        <v>0</v>
      </c>
      <c r="DO340" s="9" t="str">
        <f>IF(Исходн.данные.!AN340&gt;0,Исходн.данные.!AN340,Удобрения!$B$37 )</f>
        <v>Хлор.калий</v>
      </c>
      <c r="DP340" s="9">
        <f>IF(Исходн.данные.!AN340&gt;0,VLOOKUP(Исходн.данные.!AN340,АшламаДВ_Irekle,4,FALSE),VLOOKUP(DO340,АшламаДВ_Gomumy,4,FALSE))</f>
        <v>0.6</v>
      </c>
      <c r="DQ340" s="10">
        <f t="shared" si="374"/>
        <v>0</v>
      </c>
      <c r="DR340" s="132" t="str">
        <f>IF(Исходн.данные.!AO340&gt;0,Исходн.данные.!AO340,IF(DH340=0,BS$17,IF(AND($DK340=0,$DJ340&gt;0),EJ340,EN340)))</f>
        <v>Нет</v>
      </c>
      <c r="DS340" s="70" t="str">
        <f>IF($DR340="Нет","Нет",IF(Исходн.данные.!$AO340&gt;0,VLOOKUP($DR340,АшламаДВ_Irekle,2,FALSE),VLOOKUP($DR340,АшламаДВ_Gomumy,2,FALSE)))</f>
        <v>Нет</v>
      </c>
      <c r="DT340" s="70" t="str">
        <f>IF($DR340="Нет","Нет",IF(Исходн.данные.!$AO340&gt;0,VLOOKUP($DR340,АшламаДВ_Irekle,3,FALSE),VLOOKUP($DR340,АшламаДВ_Gomumy,3,FALSE)))</f>
        <v>Нет</v>
      </c>
      <c r="DU340" s="70" t="str">
        <f>IF($DR340="Нет","Нет",IF(Исходн.данные.!$AO340&gt;0,VLOOKUP($DR340,АшламаДВ_Irekle,4,FALSE),VLOOKUP($DR340,АшламаДВ_Gomumy,4,FALSE)))</f>
        <v>Нет</v>
      </c>
      <c r="DV340" s="70"/>
      <c r="DW340" s="70"/>
      <c r="DX340" s="70"/>
      <c r="DY340" s="10">
        <f t="shared" si="396"/>
        <v>0</v>
      </c>
      <c r="DZ340" s="10">
        <f t="shared" si="397"/>
        <v>0</v>
      </c>
      <c r="EA340" s="10">
        <f t="shared" si="398"/>
        <v>0</v>
      </c>
      <c r="EB340" s="10">
        <f t="shared" si="399"/>
        <v>0</v>
      </c>
      <c r="EC340" s="10">
        <f t="shared" si="400"/>
        <v>0</v>
      </c>
      <c r="ED340" s="10">
        <f t="shared" si="401"/>
        <v>0</v>
      </c>
      <c r="EE340" s="10">
        <f t="shared" si="402"/>
        <v>0</v>
      </c>
      <c r="EF340" s="39">
        <f>EB340*Исходн.данные.!AJ340/1000</f>
        <v>0</v>
      </c>
      <c r="EG340" s="9">
        <f t="shared" si="403"/>
        <v>0</v>
      </c>
      <c r="EH340" s="9">
        <f t="shared" si="404"/>
        <v>0</v>
      </c>
      <c r="EI340" s="39" t="e">
        <f t="shared" si="354"/>
        <v>#DIV/0!</v>
      </c>
      <c r="EJ340" s="9" t="str">
        <f t="shared" si="375"/>
        <v>Азопреципитат</v>
      </c>
      <c r="EK340" s="12">
        <f t="shared" si="355"/>
        <v>0.26</v>
      </c>
      <c r="EL340" s="12">
        <f t="shared" si="356"/>
        <v>0.13</v>
      </c>
      <c r="EM340" s="12">
        <f t="shared" si="357"/>
        <v>0</v>
      </c>
      <c r="EN340" s="12" t="str">
        <f t="shared" si="376"/>
        <v>Нет</v>
      </c>
      <c r="EO340" s="12">
        <f t="shared" si="358"/>
        <v>0</v>
      </c>
      <c r="EP340" s="12">
        <f t="shared" si="359"/>
        <v>0</v>
      </c>
      <c r="EQ340" s="12">
        <f t="shared" si="360"/>
        <v>0</v>
      </c>
      <c r="ER340" s="12" t="str">
        <f t="shared" si="405"/>
        <v>Диаммофоска</v>
      </c>
      <c r="ES340" s="12">
        <f t="shared" si="361"/>
        <v>0.1</v>
      </c>
      <c r="ET340" s="12">
        <f t="shared" si="362"/>
        <v>0.26</v>
      </c>
      <c r="EU340" s="12">
        <f t="shared" si="363"/>
        <v>0.26</v>
      </c>
      <c r="EV340" s="12" t="str">
        <f t="shared" si="406"/>
        <v>Аммофос 12:52:00</v>
      </c>
      <c r="EW340" s="12" t="str">
        <f t="shared" si="407"/>
        <v>Кемира Свекловичное-6</v>
      </c>
      <c r="EX340" s="12">
        <f t="shared" si="364"/>
        <v>0.16</v>
      </c>
      <c r="EY340" s="12">
        <f t="shared" si="365"/>
        <v>0.12</v>
      </c>
      <c r="EZ340" s="12">
        <f t="shared" si="366"/>
        <v>0.17</v>
      </c>
      <c r="FA340" s="38" t="e">
        <f>IF(AND(OR(FJ340=$FD$1,FM340=$FD$1,FO340=$FD$1,FQ340=$FD$1,FS340=$FD$1),FD340=$FD$1,Исходн.данные.!J340&lt;2,FU340=$FD$1),"Бор,Кобальт",IF(AND(FO340=$FD$1,FH340=$FD$1,Исходн.данные.!J340&lt;2,FU340=$FD$1),"Бор,Кобальт",IF(AND(OR(FJ340=$FD$1,FM340=$FD$1,FQ340=$FD$1),FE340=$FD$1,Исходн.данные.!J340&lt;2,FT340=$FD$1,FU340=$FD$1),"Бор,Медь,Цинк",IF(AND(OR(FJ340=$FD$1,FR340="Да"),FI340="Да",Исходн.данные.!J340&lt;2,FT340="Да",FU340="Да"),"Бор,Цинк,Медь",IF(AND(OR(FM340="Да",FQ340="Да"),FI340="Да",Исходн.данные.!J340&lt;2,FT340="Да",FU340="Да"),"Бор,Цинк",IF(AND(FN340="Да",OR(FD340="Да",FE340="Да")),"Бор",FB340))))))</f>
        <v>#N/A</v>
      </c>
      <c r="FB340" s="134" t="e">
        <f>IF(AND(OR(FD340="Да",FE340="Да",FF340="Да",FG340="Да",FH340="Да"),FO340="Да"),"Бор",IF(AND(FP340="Да",OR(FD340="Да",FE340="Да",FI340="Да")),"Бор",IF(AND(FS340="Да",FE340="Да"),"Бор,Медь",IF(AND(OR(FJ340="Да",FK340="Да",FL340="Да"),FE340="Да",Исходн.данные.!I340&lt;5,FT340="Да",FU340="Да"),"Молибден,Цинк",IF(AND(FM340="Да",OR(FE340="Да",FF340="Да",FG340="Да",FH340="Да",FI340="Да")),"Молибден,Цинк",IF(AND(OR(FJ340="Да",FK340="Да",FL340="Да",FM340="Да",FQ340="Да"),OR(FE340="Да",FF340="Да"),FT340="Да",FU340="Да",Исходн.данные.!I340&gt;5.5),"Медь,Цинк",FC340))))))</f>
        <v>#N/A</v>
      </c>
      <c r="FC340" s="23" t="e">
        <f t="shared" si="408"/>
        <v>#N/A</v>
      </c>
      <c r="FD340" s="38" t="str">
        <f>IF(OR(Исходн.данные.!F340=$CC$1,Исходн.данные.!F340=$CC$2,Исходн.данные.!F340=$CC$3,Исходн.данные.!F340=$CC$4),"Да","Нет")</f>
        <v>Нет</v>
      </c>
      <c r="FE340" s="38" t="str">
        <f>IF(Исходн.данные.!F340=$CC$5,"Да","Нет")</f>
        <v>Нет</v>
      </c>
      <c r="FF340" s="38" t="str">
        <f>IF(OR(Исходн.данные.!F340=$CC$6,Исходн.данные.!F340=$CC$7),"Да","Нет")</f>
        <v>Нет</v>
      </c>
      <c r="FG340" s="38" t="str">
        <f>IF(OR(Исходн.данные.!F340=$CC$8,Исходн.данные.!F340=$CC$9),"Да","Нет")</f>
        <v>Нет</v>
      </c>
      <c r="FH340" s="38" t="str">
        <f>IF(Исходн.данные.!F340=$CC$10,"Да","Нет")</f>
        <v>Нет</v>
      </c>
      <c r="FI340" s="38" t="str">
        <f>IF(OR(Исходн.данные.!F340=$CC$11,Исходн.данные.!F340=$CC$12),"Да","Нет")</f>
        <v>Нет</v>
      </c>
      <c r="FJ340" s="38" t="str">
        <f>IF(OR(Исходн.данные.!AH340=$BS$1,Исходн.данные.!AH340=$BQ$11,Исходн.данные.!AH340=$BQ$12),"Да","Нет")</f>
        <v>Нет</v>
      </c>
      <c r="FK340" s="38" t="str">
        <f>IF(OR(Исходн.данные.!AH340=$BS$2,Исходн.данные.!AH340=$BS$4),"Да","Нет")</f>
        <v>Нет</v>
      </c>
      <c r="FL340" s="38" t="str">
        <f>IF(OR(Исходн.данные.!AH340=$BS$3,Исходн.данные.!AH340=$BS$5),"Да","Нет")</f>
        <v>Нет</v>
      </c>
      <c r="FM340" s="38" t="str">
        <f>IF(OR(Исходн.данные.!AH340=$BS$9,Исходн.данные.!AH340=$BS$10,Исходн.данные.!AH340=$BS$11,Исходн.данные.!AH340=$BS$12),"Да","Нет")</f>
        <v>Нет</v>
      </c>
      <c r="FN340" s="38" t="str">
        <f>IF(OR(Исходн.данные.!AH340=$BS$6,Исходн.данные.!AH340=$BP$3),"Да","Нет")</f>
        <v>Нет</v>
      </c>
      <c r="FO340" s="38" t="str">
        <f>IF(Исходн.данные.!AH340=$BQ$9,"Да","Нет")</f>
        <v>Нет</v>
      </c>
      <c r="FP340" s="38" t="str">
        <f>IF(OR(Исходн.данные.!AH340=$BS$8,Исходн.данные.!AH340=$BT$8),"Да","Нет")</f>
        <v>Нет</v>
      </c>
      <c r="FQ340" s="38" t="str">
        <f>IF(OR(Исходн.данные.!AH340=$BQ$7,Исходн.данные.!AH340=$BQ$8),"Да","Нет")</f>
        <v>Нет</v>
      </c>
      <c r="FR340" s="38" t="str">
        <f>IF(Исходн.данные.!AI340=$BU$9,"Да","Нет")</f>
        <v>Нет</v>
      </c>
      <c r="FS340" s="38" t="str">
        <f>IF(OR(Исходн.данные.!AH340=$BP$1,Исходн.данные.!AH340=$BP$2),"Да","Нет")</f>
        <v>Нет</v>
      </c>
      <c r="FT340" s="38" t="e">
        <f>IF((Исходн.данные.!K340*GO340*GS340*GW340+BL340*0.6+Исходн.данные.!Q340*4.5*0.275)&gt;90,"Да","Нет")</f>
        <v>#N/A</v>
      </c>
      <c r="FU340" s="38" t="e">
        <f>IF((Исходн.данные.!M340*GS340*GZ340+BM340*0.225)&gt;35,"Да","Нет")</f>
        <v>#N/A</v>
      </c>
      <c r="FV340" s="38" t="str">
        <f>IF(Исходн.данные.!O340&gt;175,"Да","Нет")</f>
        <v>Нет</v>
      </c>
      <c r="FW340" s="39" t="str">
        <f>IF(Исходн.данные.!I340&gt;5.5,"Да","Нет")</f>
        <v>Нет</v>
      </c>
      <c r="FX340" s="39" t="str">
        <f>IF(Исходн.данные.!J340&lt;2,"Да","Нет")</f>
        <v>Да</v>
      </c>
      <c r="FY340" s="39" t="e">
        <f>IF(HF340=$FY$16,0,Исходн.данные.!K340*GO340*GS340*GW340/HF340)</f>
        <v>#N/A</v>
      </c>
      <c r="FZ340" s="39" t="e">
        <f>Исходн.данные.!M340*GS340*GZ340/HG340</f>
        <v>#N/A</v>
      </c>
      <c r="GA340" s="39" t="e">
        <f>IF(K_Wyn=$FY$16,0,IF(Исходн.данные.!N340=Исходн.данные.!$L$10,Исходн.данные.!O340/1.1*GS340*HC340/HH340,IF(Исходн.данные.!N340=Исходн.данные.!$L$12,Исходн.данные.!O340/1.5*GS340*HC340/HH340,Исходн.данные.!O340*GS340*HC340/HH340)))</f>
        <v>#N/A</v>
      </c>
      <c r="GB340" s="39" t="e">
        <f>IF(HF340=$FY$16,0,((Исходн.данные.!Q340*N_Org+Исходн.данные.!R340*N_Sider+Исходн.данные.!S340*N_Soloma)*AO340+Расчет!BC340*VLOOKUP(Исходн.данные.!T340,Справ!$A$3:$O$57,15)*AO340+BB340*VLOOKUP(Исходн.данные.!T340,Справ!$A$3:$O$57,15)*AL340+(Исходн.данные.!V340*N_Rizotorf+Исходн.данные.!W340*N_Rizoagr))/HF340)</f>
        <v>#N/A</v>
      </c>
      <c r="GC340" s="39" t="e">
        <f>IF(HG340=$FY$16,0,((Исходн.данные.!Q340*Р_Org+Исходн.данные.!R340*P_Sider+Исходн.данные.!S340*P_Soloma)*AP340+Расчет!BC340*VLOOKUP(Исходн.данные.!T340,Справ!$A$3:$P$57,16)*AP340+BB340*VLOOKUP(Исходн.данные.!T340,Справ!$A$3:$P$57,16)*AM340)/HG340)</f>
        <v>#N/A</v>
      </c>
      <c r="GD340" s="39" t="e">
        <f>IF(HH340=$FY$16,0,((Исходн.данные.!Q340*К_Org+Исходн.данные.!R340*K_Sider+Исходн.данные.!S340*K_Soloma)*AQ340+Расчет!BC340*VLOOKUP(Исходн.данные.!T340,Справ!$A$3:$Q$57,17)*AQ340+BB340*VLOOKUP(Исходн.данные.!T340,Справ!$A$3:$Q$57,17)*AN340)/HH340)</f>
        <v>#N/A</v>
      </c>
      <c r="GE340" s="39" t="e">
        <f>IF(HF340=$FY$16,0,(Исходн.данные.!X340*AR340+Исходн.данные.!AA340*N_Org*AL340+Исходн.данные.!AB340*N_Sider*AL340+Исходн.данные.!AC340*N_Soloma*AL340)/HF340)</f>
        <v>#N/A</v>
      </c>
      <c r="GF340" s="39" t="e">
        <f>IF(HG340=$FY$16,0,(Исходн.данные.!Y340*AS340+Исходн.данные.!AA340*Р_Org*AM340+Исходн.данные.!AB340*P_Sider*AM340+Исходн.данные.!AC340*P_Soloma*AM340)/HG340)</f>
        <v>#N/A</v>
      </c>
      <c r="GG340" s="39" t="e">
        <f>IF(HH340=$FY$16,0,(Исходн.данные.!Z340*AT340+Исходн.данные.!AA340*К_Org*AN340+Исходн.данные.!AB340*K_Sider*AN340+Исходн.данные.!AC340*K_Soloma*AN340)/HH340)</f>
        <v>#N/A</v>
      </c>
      <c r="GH340" s="39" t="e">
        <f>Исходн.данные.!AD340*AU340/HF340</f>
        <v>#N/A</v>
      </c>
      <c r="GI340" s="39" t="e">
        <f>Исходн.данные.!AE340*AV340/HG340</f>
        <v>#N/A</v>
      </c>
      <c r="GJ340" s="39" t="e">
        <f>Исходн.данные.!AF340*AW340/HH340</f>
        <v>#N/A</v>
      </c>
      <c r="GK340" s="55">
        <f>Исходн.данные.!AK340</f>
        <v>0</v>
      </c>
      <c r="GL340" s="11" t="e">
        <f t="shared" si="409"/>
        <v>#N/A</v>
      </c>
      <c r="GM340" s="11" t="e">
        <f t="shared" si="410"/>
        <v>#N/A</v>
      </c>
      <c r="GN340" s="11" t="e">
        <f t="shared" si="411"/>
        <v>#N/A</v>
      </c>
      <c r="GO340" s="57">
        <f t="shared" si="412"/>
        <v>19</v>
      </c>
      <c r="GP340" s="55">
        <f>IF(OR(Исходн.данные.!F340=$CE$1,Исходн.данные.!F340=$CE$2,Исходн.данные.!F340=$CE$3,Исходн.данные.!F340=$CE$4,Исходн.данные.!F340=$CE$5),GQ340,GR340)</f>
        <v>19</v>
      </c>
      <c r="GQ340" s="55">
        <f>IF(Исходн.данные.!F340=$CE$1,28,IF(Исходн.данные.!F340=$CE$2,26,IF(Исходн.данные.!F340=$CE$3,24,IF(Исходн.данные.!F340=$CE$4,22,IF(Исходн.данные.!F340=$CE$5,20,GR340)))))</f>
        <v>19</v>
      </c>
      <c r="GR340" s="55">
        <f>IF(Исходн.данные.!F340=$CE$6,18,IF(Исходн.данные.!F340=$CE$7,16,IF(Исходн.данные.!F340=$CE$8,14,IF(Исходн.данные.!F340=$CE$9,13,IF(Исходн.данные.!F340=$CE$10,12,19)))))</f>
        <v>19</v>
      </c>
      <c r="GS340" s="55">
        <f>IF(Исходн.данные.!G340="Пес",0.035*(40+2*Исходн.данные.!H340),IF(Исходн.данные.!G340="Суп",0.0325*(40+2*Исходн.данные.!H340),0.03*(40+2*Исходн.данные.!H340)))</f>
        <v>1.2</v>
      </c>
      <c r="GT340" s="55">
        <f>IF(Исходн.данные.!H340&lt;23,2.6,IF(AND(Исходн.данные.!H340&gt;22,Исходн.данные.!H340&lt;26),3,IF(AND(Исходн.данные.!H340&gt;25,Исходн.данные.!H340&lt;29),3.4,3.6)))</f>
        <v>2.6</v>
      </c>
      <c r="GU340" s="55">
        <f>IF(Исходн.данные.!H340&lt;23,2.8,IF(AND(Исходн.данные.!H340&gt;22,Исходн.данные.!H340&lt;26),3.2,IF(AND(Исходн.данные.!H340&gt;25,Исходн.данные.!H340&lt;29),3.6,3.9)))</f>
        <v>2.8</v>
      </c>
      <c r="GV340" s="55">
        <f>IF(Исходн.данные.!H340&lt;23,3,IF(AND(Исходн.данные.!H340&gt;22,Исходн.данные.!H340&lt;26),3.5,IF(AND(Исходн.данные.!H340&gt;25,Исходн.данные.!H340&lt;29),3.9,4.2)))</f>
        <v>3</v>
      </c>
      <c r="GW340" s="55" t="e">
        <f>IF(Исходн.данные.!P340="Ум",GX340,GY340)</f>
        <v>#N/A</v>
      </c>
      <c r="GX340" s="55" t="e">
        <f>VLOOKUP(Исходн.данные.!AI340,Коэффициенты!$J$7:$L$13,2,FALSE)</f>
        <v>#N/A</v>
      </c>
      <c r="GY340" s="55" t="e">
        <f>VLOOKUP(Исходн.данные.!AI340,Коэффициенты!$J$7:$L$13,3,FALSE)</f>
        <v>#N/A</v>
      </c>
      <c r="GZ340" s="55" t="e">
        <f>(IF(Исходн.данные.!M340&lt;50,0.11*VLOOKUP(Исходн.данные.!AH340,Культуры.Информация,7,FALSE),IF(Исходн.данные.!M340&gt;250,0.05*VLOOKUP(Исходн.данные.!AH340,Культуры.Информация,7,FALSE),VLOOKUP(Исходн.данные.!AH340,Культуры.Информация,5,FALSE)/100*($GX$6+$GY$6*Исходн.данные.!M340))))*Расчет2!AI340</f>
        <v>#N/A</v>
      </c>
      <c r="HA340" s="211"/>
      <c r="HB340" s="211"/>
      <c r="HC340" s="55" t="e">
        <f>(IF(Исходн.данные.!O340&lt;80,0.2*VLOOKUP(Исходн.данные.!AH340,Культуры.Информация,8,FALSE),IF(Исходн.данные.!O340&gt;240,0.09*VLOOKUP(Исходн.данные.!AH340,Культуры.Информация,8,FALSE),VLOOKUP(Исходн.данные.!AH340,Культуры.Информация,6,FALSE)/100*($HB$6+$HC$6*Исходн.данные.!O340))))*Расчет2!AJ340</f>
        <v>#N/A</v>
      </c>
      <c r="HD340" s="55">
        <f>IF(Исходн.данные.!O340&gt;240,0.09,IF(Исходн.данные.!O340&lt;30,0.3,$HE$10+$HD$10*Исходн.данные.!O340))</f>
        <v>0.3</v>
      </c>
      <c r="HE340" s="55">
        <f>IF(Исходн.данные.!O340&gt;240,0.17,IF(Исходн.данные.!O340&lt;30,0.5,$HF$12+$HE$12*Исходн.данные.!O340))</f>
        <v>0.5</v>
      </c>
      <c r="HF340" s="55" t="e">
        <f>VLOOKUP(Исходн.данные.!AH340,Справ!$A$3:$D$58,2,FALSE)</f>
        <v>#N/A</v>
      </c>
      <c r="HG340" s="55" t="e">
        <f>VLOOKUP(Исходн.данные.!AH340,Справ!$A$3:$D$58,3,FALSE)</f>
        <v>#N/A</v>
      </c>
      <c r="HH340" s="55" t="e">
        <f>VLOOKUP(Исходн.данные.!AH340,Справ!$A$3:$D$58,4,FALSE)</f>
        <v>#N/A</v>
      </c>
      <c r="HI340" s="11" t="e">
        <f t="shared" si="413"/>
        <v>#N/A</v>
      </c>
      <c r="HJ340" s="11" t="e">
        <f t="shared" si="414"/>
        <v>#N/A</v>
      </c>
      <c r="HK340" s="11" t="e">
        <f t="shared" si="415"/>
        <v>#N/A</v>
      </c>
      <c r="HL340" s="55">
        <f>IF(OR(Исходн.данные.!G340="Глин",Исходн.данные.!G340="Т_суг"),1.1,IF(Исходн.данные.!G340="Ср_суг",1,1))</f>
        <v>1</v>
      </c>
      <c r="HM340" s="55">
        <f>IF(OR(Исходн.данные.!G340="Глин",Исходн.данные.!G340="Т_суг"),0.9,IF(Исходн.данные.!G340="Ср_суг",1,1.2))</f>
        <v>1.2</v>
      </c>
      <c r="HN340" s="11" t="e">
        <f t="shared" si="416"/>
        <v>#N/A</v>
      </c>
      <c r="HO340" s="11" t="e">
        <f t="shared" si="417"/>
        <v>#N/A</v>
      </c>
      <c r="HP340" s="11" t="e">
        <f t="shared" si="418"/>
        <v>#N/A</v>
      </c>
      <c r="HQ340" t="e">
        <f t="shared" si="419"/>
        <v>#N/A</v>
      </c>
      <c r="HR340" t="e">
        <f t="shared" si="420"/>
        <v>#N/A</v>
      </c>
      <c r="HS340" t="e">
        <f t="shared" si="421"/>
        <v>#N/A</v>
      </c>
      <c r="HT340" t="e">
        <f t="shared" si="367"/>
        <v>#N/A</v>
      </c>
      <c r="HU340" t="e">
        <f t="shared" si="368"/>
        <v>#N/A</v>
      </c>
      <c r="HV340" t="e">
        <f t="shared" si="369"/>
        <v>#N/A</v>
      </c>
      <c r="HW340" t="e">
        <f t="shared" si="370"/>
        <v>#N/A</v>
      </c>
      <c r="HX340" t="e">
        <f t="shared" si="371"/>
        <v>#N/A</v>
      </c>
      <c r="HY340" t="e">
        <f t="shared" si="372"/>
        <v>#N/A</v>
      </c>
      <c r="HZ340" s="55">
        <f>IF(OR(Исходн.данные.!AI340="Оз_Ч_П",Исходн.данные.!AI340="Оз_З_П",Исходн.данные.!AI340="Яр_зер"),12,30)</f>
        <v>30</v>
      </c>
      <c r="IA340" t="e">
        <f t="shared" si="422"/>
        <v>#N/A</v>
      </c>
      <c r="IB340" t="e">
        <f t="shared" si="423"/>
        <v>#N/A</v>
      </c>
      <c r="IC340" t="e">
        <f t="shared" si="424"/>
        <v>#N/A</v>
      </c>
      <c r="ID340" s="11" t="e">
        <f t="shared" si="425"/>
        <v>#N/A</v>
      </c>
      <c r="IE340" s="11" t="e">
        <f t="shared" si="426"/>
        <v>#N/A</v>
      </c>
      <c r="IF340" s="11" t="e">
        <f t="shared" si="427"/>
        <v>#N/A</v>
      </c>
    </row>
    <row r="341" spans="35:240" x14ac:dyDescent="0.2">
      <c r="AI341">
        <f>IF(Исходн.данные.!I341&gt;6,1,1.85-(0.148*Исходн.данные.!I341))</f>
        <v>1.85</v>
      </c>
      <c r="AJ341">
        <f>IF(Исходн.данные.!I341&gt;6,1,2.434-(0.246*Исходн.данные.!I341))</f>
        <v>2.4340000000000002</v>
      </c>
      <c r="AL341" s="148" t="b">
        <f>IF(Исходн.данные.!$P341="Ум",N_OrgUd_2g_um,IF(Исходн.данные.!$P341="Об",N_OrgUd_2g_ob))</f>
        <v>0</v>
      </c>
      <c r="AM341" s="148" t="b">
        <f>IF(Исходн.данные.!$P341="Ум",P_OrgUd_2g_um,IF(Исходн.данные.!$P341="Об",P_OrgUd_2g_ob))</f>
        <v>0</v>
      </c>
      <c r="AN341" s="148" t="b">
        <f>IF(Исходн.данные.!$P341="Ум",K_OrgUd_2g_um,IF(Исходн.данные.!$P341="Об",K_OrgUd_2g_ob))</f>
        <v>0</v>
      </c>
      <c r="AO341" s="148" t="b">
        <f>IF(Исходн.данные.!$P341="Ум",N_OrgUd_1g_um,IF(Исходн.данные.!$P341="Об",N_OrgUd_1g_ob))</f>
        <v>0</v>
      </c>
      <c r="AP341" s="148" t="b">
        <f>IF(Исходн.данные.!$P341="Ум",P_OrgUd_1g_um,IF(Исходн.данные.!$P341="Об",P_OrgUd_1g_ob))</f>
        <v>0</v>
      </c>
      <c r="AQ341" s="148" t="b">
        <f>IF(Исходн.данные.!$P341="Ум",K_OrgUd_1g_um,IF(Исходн.данные.!$P341="Об",K_OrgUd_1g_ob))</f>
        <v>0</v>
      </c>
      <c r="AR341" t="b">
        <f>IF(Исходн.данные.!$P341="Ум",N_MinUd_2g_um,IF(Исходн.данные.!$P341="Об",N_MinUd_2g_ob))</f>
        <v>0</v>
      </c>
      <c r="AS341" t="b">
        <f>IF(Исходн.данные.!$P341="Ум",P_MinUd_2g_um,IF(Исходн.данные.!$P341="Об",P_MinUd_2g_ob))</f>
        <v>0</v>
      </c>
      <c r="AT341" t="b">
        <f>IF(Исходн.данные.!$P341="Ум",K_MinUd_2g_um,IF(Исходн.данные.!$P341="Об",K_MinUd_2g_ob))</f>
        <v>0</v>
      </c>
      <c r="AU341" t="b">
        <f>IF(Исходн.данные.!$P341="Ум",N_MinUd_1g_um,IF(Исходн.данные.!$P341="Об",N_MinUd_1g_ob))</f>
        <v>0</v>
      </c>
      <c r="AV341" t="b">
        <f>IF(Исходн.данные.!P341="Ум",P_MinUd_1g_um,IF(Исходн.данные.!P341="Об",P_MinUd_1g_ob))</f>
        <v>0</v>
      </c>
      <c r="AW341" t="b">
        <f>IF(Исходн.данные.!P341="Ум",K_MinUd_1g_um,IF(Исходн.данные.!P341="Об",K_MinUd_1g_ob))</f>
        <v>0</v>
      </c>
      <c r="AY341" t="e">
        <f>VLOOKUP(Исходн.данные.!T341,Справ!$A$3:$N$57,12)</f>
        <v>#N/A</v>
      </c>
      <c r="AZ341" t="e">
        <f>VLOOKUP(Исходн.данные.!T341,Справ!$A$3:$N$57,13)</f>
        <v>#N/A</v>
      </c>
      <c r="BA341" t="e">
        <f>VLOOKUP(Исходн.данные.!T341,Справ!$A$3:$N$57,14)</f>
        <v>#N/A</v>
      </c>
      <c r="BB341">
        <f>IF(Исходн.данные.!AH341=0,0,25)</f>
        <v>0</v>
      </c>
      <c r="BC341" s="141">
        <f>IF(Исходн.данные.!AH341=0,0,IF(Исходн.данные.!T341=0,25,BD341))</f>
        <v>0</v>
      </c>
      <c r="BD341" s="168" t="e">
        <f>AY341+AZ341*Исходн.данные.!U341-POWER(BA341,2)*Исходн.данные.!U341</f>
        <v>#N/A</v>
      </c>
      <c r="BE341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1" s="25">
        <f>IF(Исходн.данные.!AH341=0,0,MIN(HN341:HP341))</f>
        <v>0</v>
      </c>
      <c r="BG341" s="9">
        <f>IF(Исходн.данные.!AH341=0,0,IF((HO341+10*0.25/HG341/HL341)&lt;17,17,HO341+10*0.25/HG341/HL341))</f>
        <v>0</v>
      </c>
      <c r="BH341" s="181">
        <f>IF(Исходн.данные.!AH341=0,0,HW341*HF341*HL341/AU341*AI341+Исходн.данные.!S341*10)</f>
        <v>0</v>
      </c>
      <c r="BI341" s="10"/>
      <c r="BJ341" s="182">
        <f>IF(Исходн.данные.!AH341=0,0,IF(HX341*HG341*HL341/AV341&lt;0,0,HX341*HG341*HL341/AV341*AJ341))</f>
        <v>0</v>
      </c>
      <c r="BK341" s="182">
        <f>IF(Исходн.данные.!AH341=0,0,HY341*HH341*HM341/AW341)</f>
        <v>0</v>
      </c>
      <c r="BL341" s="10">
        <f>IF(OR(Исходн.данные.!$AH341=$BP$1,Исходн.данные.!$AH341=$BP$2),0,IF(BH341&lt;0,0,IF(OR(Исходн.данные.!T341=Расчет!$BP$1,Исходн.данные.!T341=Расчет!$BP$2,Исходн.данные.!T341=Расчет!$BT$5,Исходн.данные.!T341=Расчет!$BT$6),BH341*0.5,IF(OR(Исходн.данные.!T341=Расчет!$BS$9,Исходн.данные.!T341=Расчет!$BS$10,Исходн.данные.!T341=Расчет!$BS$11,Исходн.данные.!T341=Расчет!$BS$12,Исходн.данные.!T341=Расчет!$BP$5),BH341*0.8,BH341))))</f>
        <v>0</v>
      </c>
      <c r="BM341" s="10">
        <f>IF(OR(Исходн.данные.!$AH341=$BP$1,Исходн.данные.!$AH341=$BP$2),0,IF(BJ341&lt;0,0,IF(Исходн.данные.!I341&lt;4.5,BJ341*1.2,IF(Исходн.данные.!I341&gt;5.1,BJ341,BJ341*((5.1-Исходн.данные.!I341)*0.333+1)))))</f>
        <v>0</v>
      </c>
      <c r="BN341" s="10">
        <f>IF(OR(Исходн.данные.!$AH341=$BP$1,Исходн.данные.!$AH341=$BP$2),60-Исходн.данные.!AF341,IF(BK341&lt;0,0,IF(Исходн.данные.!I341&lt;4.5,BK341*1.2,IF(Исходн.данные.!I341&gt;5.1,BK341,BK341*((5.1-Исходн.данные.!I341)*0.333+1)))))</f>
        <v>0</v>
      </c>
      <c r="BO341" s="9">
        <f>IF(BL341&lt;0,0,BL341*Исходн.данные.!$AJ341/1000)</f>
        <v>0</v>
      </c>
      <c r="BP341" s="9">
        <f>IF(BM341&lt;0,0,BM341*Исходн.данные.!$AJ341/1000)</f>
        <v>0</v>
      </c>
      <c r="BQ341" s="9">
        <f>IF(BN341&lt;0,0,BN341*Исходн.данные.!$AJ341/1000)</f>
        <v>0</v>
      </c>
      <c r="BR341" s="9">
        <f t="shared" si="377"/>
        <v>0</v>
      </c>
      <c r="BS341" s="10" t="str">
        <f t="shared" si="378"/>
        <v>Аммофос 12:52:00</v>
      </c>
      <c r="BT341" s="10" t="str">
        <f t="shared" si="379"/>
        <v>Аммофос 12:52:00</v>
      </c>
      <c r="BU341" s="10" t="str">
        <f t="shared" si="380"/>
        <v>Диаммофоска</v>
      </c>
      <c r="BV341" s="10">
        <f t="shared" si="381"/>
        <v>0</v>
      </c>
      <c r="BW341" s="10"/>
      <c r="BX341" s="10"/>
      <c r="BY341" s="9">
        <f>IF(BL341&lt;0,0,IF(OR(Исходн.данные.!AI341=Расчет!$BU$6,Исходн.данные.!AI341=Расчет!$BU$7),Расчет!BV341,IF(Исходн.данные.!$AG341=$BV$11,BL341,IF(OR(Исходн.данные.!$AH341=$BQ$7,Исходн.данные.!$AH341=$BQ$8),CB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0,IF(Исходн.данные.!$AI341=$BU$11,"Нет",IF(BL341&gt;30,30,BL341)))))))</f>
        <v>0</v>
      </c>
      <c r="BZ341" s="9">
        <f>IF(AND(Исходн.данные.!$AG341=$BV$11,BM341&lt;10),10,IF(Исходн.данные.!$AG341=$BV$11,BM341,IF(OR(Исходн.данные.!$AH341=$BQ$7,Исходн.данные.!$AH341=$BQ$8),CC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10,IF(Исходн.данные.!$AI341=$BU$11,"Нет",IF(BM341&gt;60,60,IF(BM341&lt;10,10,BM341)))))))</f>
        <v>10</v>
      </c>
      <c r="CA341" s="39">
        <f>IF(BN341&lt;0,0,IF(Исходн.данные.!$AG341=$BV$11,BN341,IF(OR(Исходн.данные.!$AH341=$BQ$7,Исходн.данные.!$AH341=$BQ$8),CD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0,IF(Исходн.данные.!$AI341=$BU$11,"Нет",IF(BN341&gt;30,30,BN341))))))</f>
        <v>0</v>
      </c>
      <c r="CB341" s="9">
        <f t="shared" si="382"/>
        <v>0</v>
      </c>
      <c r="CC341" s="9">
        <f t="shared" si="383"/>
        <v>0</v>
      </c>
      <c r="CD341" s="9">
        <f t="shared" si="384"/>
        <v>0</v>
      </c>
      <c r="CE341" s="12">
        <f t="shared" si="385"/>
        <v>10</v>
      </c>
      <c r="CF341" s="9">
        <f t="shared" si="386"/>
        <v>0</v>
      </c>
      <c r="CG341" s="9" t="s">
        <v>231</v>
      </c>
      <c r="CH341" s="132" t="str">
        <f>IF(Исходн.данные.!AP341=Расчет!$CI$16,"Нет",IF(Исходн.данные.!AL341&gt;0,Исходн.данные.!AL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BH$4,IF(OR(Исходн.данные.!AI341=Исходн.данные.!$AI$6,Исходн.данные.!AI341=Исходн.данные.!$AI$7),Расчет!BS341,IF(AND($CF341=0,$CE341&gt;0),EV341,ER341)))))</f>
        <v>Аммофос 12:52:00</v>
      </c>
      <c r="CI341" s="274">
        <f>IF(Расчет!$CH341="Нет","Нет",IF(Исходн.данные.!$AL341&gt;0,VLOOKUP(Расчет!$CH341,АшламаДВ_Irekle,2,FALSE),VLOOKUP(Расчет!$CH341,АшламаДВ_Gomumy,2,FALSE)))</f>
        <v>0.12</v>
      </c>
      <c r="CJ341" s="274">
        <f>IF(Расчет!$CH341="Нет","Нет",IF(Исходн.данные.!$AL341&gt;0,VLOOKUP(Расчет!$CH341,АшламаДВ_Irekle,3,FALSE),VLOOKUP(Расчет!$CH341,АшламаДВ_Gomumy,3,FALSE)))</f>
        <v>0.52</v>
      </c>
      <c r="CK341" s="274">
        <f>IF(Расчет!$CH341="Нет","Нет",IF(Исходн.данные.!$AL341&gt;0,VLOOKUP(Расчет!$CH341,АшламаДВ_Irekle,4,FALSE),VLOOKUP(Расчет!$CH341,АшламаДВ_Gomumy,4,FALSE)))</f>
        <v>0</v>
      </c>
      <c r="CL341" s="70"/>
      <c r="CM341" s="70"/>
      <c r="CN341" s="70"/>
      <c r="CO341" s="70"/>
      <c r="CP341" s="70"/>
      <c r="CQ341" s="70"/>
      <c r="CR341" s="10">
        <f t="shared" si="387"/>
        <v>0</v>
      </c>
      <c r="CS341" s="10">
        <f t="shared" si="388"/>
        <v>19.23076923076923</v>
      </c>
      <c r="CT341" s="10">
        <f t="shared" si="389"/>
        <v>0</v>
      </c>
      <c r="CU341" s="39">
        <f>IF($CH341="Нет",0,IF(CI341=0,30/MIN(CJ341:CK341),IF(Исходн.данные.!$AG341=$BV$11,CR341,IF(OR(Исходн.данные.!$AH341=$BQ$7,Исходн.данные.!$AH341=$BQ$8),90/CI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0,IF(Исходн.данные.!$AI341=$BU$11,"Нет",30/CI341))))))</f>
        <v>250</v>
      </c>
      <c r="CV341" s="39">
        <f>IF($CH341="Нет",0,IF(Исходн.данные.!AH341=0,0,IF(CJ341=0,60/MIN(CI341,CK341),IF(Исходн.данные.!$AG341=$BV$11,CS341,IF(OR(Исходн.данные.!$AH341=$BQ$7,Исходн.данные.!$AH341=$BQ$8),90/CJ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10/CJ341,IF(Исходн.данные.!$AI341=$BU$11,"Нет",60/CJ341)))))))</f>
        <v>0</v>
      </c>
      <c r="CW341" s="39">
        <f>IF($CH341="Нет",0,IF(Исходн.данные.!AH341=0,0,IF(CK341=0,30/MIN(CI341:CJ341),IF(Исходн.данные.!$AG341=$BV$11,CT341,IF(OR(Исходн.данные.!$AH341=$BQ$7,Исходн.данные.!$AH341=$BQ$8),90/CK341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0,IF(Исходн.данные.!$AI341=$BU$11,"Нет",30/CK341)))))))</f>
        <v>0</v>
      </c>
      <c r="CX341" s="133">
        <f>IF(Исходн.данные.!$AG341=$BV$11,MAX(CU341:CW341),IF(OR(Исходн.данные.!$AH341=$BS$8,Исходн.данные.!$AH341=$BQ$9,Исходн.данные.!$AH341=$BQ$10,Исходн.данные.!$AH341=$BQ$11,Исходн.данные.!$AH341=$BQ$12,Исходн.данные.!$AH341=$BP$3,Исходн.данные.!$AH341=$BT$8,$FM341="Да"),CV341,MIN(CU341:CW341)))</f>
        <v>0</v>
      </c>
      <c r="CY341" s="133">
        <f>IF(Исходн.данные.!AH341=0,0,IF(CR341&gt;$CX341,$CX341,CR341))</f>
        <v>0</v>
      </c>
      <c r="CZ341" s="133">
        <f>IF(Исходн.данные.!AH341=0,0,IF(CS341&gt;$CX341,$CX341,CS341))</f>
        <v>0</v>
      </c>
      <c r="DA341" s="133">
        <f>IF(Исходн.данные.!AH341=0,0,IF(CT341&gt;$CX341,$CX341,CT341))</f>
        <v>0</v>
      </c>
      <c r="DB341" s="10">
        <f t="shared" si="390"/>
        <v>0</v>
      </c>
      <c r="DC341" s="39">
        <f>DB341*Исходн.данные.!AJ341/1000</f>
        <v>0</v>
      </c>
      <c r="DD341" s="71">
        <f t="shared" si="391"/>
        <v>0</v>
      </c>
      <c r="DE341" s="9">
        <f t="shared" si="392"/>
        <v>0</v>
      </c>
      <c r="DF341" s="9">
        <f t="shared" si="393"/>
        <v>0</v>
      </c>
      <c r="DG341" s="39">
        <f>IF(BL341&lt;0,0,IF($CH341="Нет",BL341,IF(OR(Исходн.данные.!$AH341=$BP$1,Исходн.данные.!$AH341=$BP$2),0,IF(Исходн.данные.!AI341=$BU$11,BL341,IF(BL341-DD341&lt;0,0,BL341-DD341)))))</f>
        <v>0</v>
      </c>
      <c r="DH341" s="39">
        <f>IF(BM341&lt;0,0,IF($CH341="Нет",BM341,IF(OR(Исходн.данные.!$AH341=$BP$1,Исходн.данные.!$AH341=$BP$2),0,IF(Исходн.данные.!AJ341=$BU$11,BM341,IF(BM341-DE341&lt;0,0,BM341-DE341)))))</f>
        <v>0</v>
      </c>
      <c r="DI341" s="39">
        <f>IF(BN341&lt;0,0,IF($CH341="Нет",BN341,IF(OR(Исходн.данные.!$AH341=$BP$1,Исходн.данные.!$AH341=$BP$2),0,IF(Исходн.данные.!AK341=$BU$11,BN341,IF(BN341-DF341&lt;0,0,BN341-DF341)))))</f>
        <v>0</v>
      </c>
      <c r="DJ341" s="12">
        <f t="shared" si="394"/>
        <v>0</v>
      </c>
      <c r="DK341" s="9">
        <f t="shared" si="395"/>
        <v>0</v>
      </c>
      <c r="DL341" s="39">
        <f>IF(Исходн.данные.!AM341&gt;0,Исходн.данные.!AM341,IF(EG341&gt;0,$BH$10,0))</f>
        <v>0</v>
      </c>
      <c r="DM341" s="186">
        <f>IF($DL341=0,0,IF(Исходн.данные.!AM341&gt;0,VLOOKUP($DL341,АшламаДВ_Irekle,2,FALSE),VLOOKUP($DL341,АшламаДВ_Gomumy,2,FALSE)))</f>
        <v>0</v>
      </c>
      <c r="DN341" s="10">
        <f t="shared" si="373"/>
        <v>0</v>
      </c>
      <c r="DO341" s="9" t="str">
        <f>IF(Исходн.данные.!AN341&gt;0,Исходн.данные.!AN341,Удобрения!$B$37 )</f>
        <v>Хлор.калий</v>
      </c>
      <c r="DP341" s="9">
        <f>IF(Исходн.данные.!AN341&gt;0,VLOOKUP(Исходн.данные.!AN341,АшламаДВ_Irekle,4,FALSE),VLOOKUP(DO341,АшламаДВ_Gomumy,4,FALSE))</f>
        <v>0.6</v>
      </c>
      <c r="DQ341" s="10">
        <f t="shared" si="374"/>
        <v>0</v>
      </c>
      <c r="DR341" s="132" t="str">
        <f>IF(Исходн.данные.!AO341&gt;0,Исходн.данные.!AO341,IF(DH341=0,BS$17,IF(AND($DK341=0,$DJ341&gt;0),EJ341,EN341)))</f>
        <v>Нет</v>
      </c>
      <c r="DS341" s="70" t="str">
        <f>IF($DR341="Нет","Нет",IF(Исходн.данные.!$AO341&gt;0,VLOOKUP($DR341,АшламаДВ_Irekle,2,FALSE),VLOOKUP($DR341,АшламаДВ_Gomumy,2,FALSE)))</f>
        <v>Нет</v>
      </c>
      <c r="DT341" s="70" t="str">
        <f>IF($DR341="Нет","Нет",IF(Исходн.данные.!$AO341&gt;0,VLOOKUP($DR341,АшламаДВ_Irekle,3,FALSE),VLOOKUP($DR341,АшламаДВ_Gomumy,3,FALSE)))</f>
        <v>Нет</v>
      </c>
      <c r="DU341" s="70" t="str">
        <f>IF($DR341="Нет","Нет",IF(Исходн.данные.!$AO341&gt;0,VLOOKUP($DR341,АшламаДВ_Irekle,4,FALSE),VLOOKUP($DR341,АшламаДВ_Gomumy,4,FALSE)))</f>
        <v>Нет</v>
      </c>
      <c r="DV341" s="70"/>
      <c r="DW341" s="70"/>
      <c r="DX341" s="70"/>
      <c r="DY341" s="10">
        <f t="shared" si="396"/>
        <v>0</v>
      </c>
      <c r="DZ341" s="10">
        <f t="shared" si="397"/>
        <v>0</v>
      </c>
      <c r="EA341" s="10">
        <f t="shared" si="398"/>
        <v>0</v>
      </c>
      <c r="EB341" s="10">
        <f t="shared" si="399"/>
        <v>0</v>
      </c>
      <c r="EC341" s="10">
        <f t="shared" si="400"/>
        <v>0</v>
      </c>
      <c r="ED341" s="10">
        <f t="shared" si="401"/>
        <v>0</v>
      </c>
      <c r="EE341" s="10">
        <f t="shared" si="402"/>
        <v>0</v>
      </c>
      <c r="EF341" s="39">
        <f>EB341*Исходн.данные.!AJ341/1000</f>
        <v>0</v>
      </c>
      <c r="EG341" s="9">
        <f t="shared" si="403"/>
        <v>0</v>
      </c>
      <c r="EH341" s="9">
        <f t="shared" si="404"/>
        <v>0</v>
      </c>
      <c r="EI341" s="39" t="e">
        <f t="shared" si="354"/>
        <v>#DIV/0!</v>
      </c>
      <c r="EJ341" s="9" t="str">
        <f t="shared" si="375"/>
        <v>Азопреципитат</v>
      </c>
      <c r="EK341" s="12">
        <f t="shared" si="355"/>
        <v>0.26</v>
      </c>
      <c r="EL341" s="12">
        <f t="shared" si="356"/>
        <v>0.13</v>
      </c>
      <c r="EM341" s="12">
        <f t="shared" si="357"/>
        <v>0</v>
      </c>
      <c r="EN341" s="12" t="str">
        <f t="shared" si="376"/>
        <v>Нет</v>
      </c>
      <c r="EO341" s="12">
        <f t="shared" si="358"/>
        <v>0</v>
      </c>
      <c r="EP341" s="12">
        <f t="shared" si="359"/>
        <v>0</v>
      </c>
      <c r="EQ341" s="12">
        <f t="shared" si="360"/>
        <v>0</v>
      </c>
      <c r="ER341" s="12" t="str">
        <f t="shared" si="405"/>
        <v>Диаммофоска</v>
      </c>
      <c r="ES341" s="12">
        <f t="shared" si="361"/>
        <v>0.1</v>
      </c>
      <c r="ET341" s="12">
        <f t="shared" si="362"/>
        <v>0.26</v>
      </c>
      <c r="EU341" s="12">
        <f t="shared" si="363"/>
        <v>0.26</v>
      </c>
      <c r="EV341" s="12" t="str">
        <f t="shared" si="406"/>
        <v>Аммофос 12:52:00</v>
      </c>
      <c r="EW341" s="12" t="str">
        <f t="shared" si="407"/>
        <v>Кемира Свекловичное-6</v>
      </c>
      <c r="EX341" s="12">
        <f t="shared" si="364"/>
        <v>0.16</v>
      </c>
      <c r="EY341" s="12">
        <f t="shared" si="365"/>
        <v>0.12</v>
      </c>
      <c r="EZ341" s="12">
        <f t="shared" si="366"/>
        <v>0.17</v>
      </c>
      <c r="FA341" s="38" t="e">
        <f>IF(AND(OR(FJ341=$FD$1,FM341=$FD$1,FO341=$FD$1,FQ341=$FD$1,FS341=$FD$1),FD341=$FD$1,Исходн.данные.!J341&lt;2,FU341=$FD$1),"Бор,Кобальт",IF(AND(FO341=$FD$1,FH341=$FD$1,Исходн.данные.!J341&lt;2,FU341=$FD$1),"Бор,Кобальт",IF(AND(OR(FJ341=$FD$1,FM341=$FD$1,FQ341=$FD$1),FE341=$FD$1,Исходн.данные.!J341&lt;2,FT341=$FD$1,FU341=$FD$1),"Бор,Медь,Цинк",IF(AND(OR(FJ341=$FD$1,FR341="Да"),FI341="Да",Исходн.данные.!J341&lt;2,FT341="Да",FU341="Да"),"Бор,Цинк,Медь",IF(AND(OR(FM341="Да",FQ341="Да"),FI341="Да",Исходн.данные.!J341&lt;2,FT341="Да",FU341="Да"),"Бор,Цинк",IF(AND(FN341="Да",OR(FD341="Да",FE341="Да")),"Бор",FB341))))))</f>
        <v>#N/A</v>
      </c>
      <c r="FB341" s="134" t="e">
        <f>IF(AND(OR(FD341="Да",FE341="Да",FF341="Да",FG341="Да",FH341="Да"),FO341="Да"),"Бор",IF(AND(FP341="Да",OR(FD341="Да",FE341="Да",FI341="Да")),"Бор",IF(AND(FS341="Да",FE341="Да"),"Бор,Медь",IF(AND(OR(FJ341="Да",FK341="Да",FL341="Да"),FE341="Да",Исходн.данные.!I341&lt;5,FT341="Да",FU341="Да"),"Молибден,Цинк",IF(AND(FM341="Да",OR(FE341="Да",FF341="Да",FG341="Да",FH341="Да",FI341="Да")),"Молибден,Цинк",IF(AND(OR(FJ341="Да",FK341="Да",FL341="Да",FM341="Да",FQ341="Да"),OR(FE341="Да",FF341="Да"),FT341="Да",FU341="Да",Исходн.данные.!I341&gt;5.5),"Медь,Цинк",FC341))))))</f>
        <v>#N/A</v>
      </c>
      <c r="FC341" s="23" t="e">
        <f t="shared" si="408"/>
        <v>#N/A</v>
      </c>
      <c r="FD341" s="38" t="str">
        <f>IF(OR(Исходн.данные.!F341=$CC$1,Исходн.данные.!F341=$CC$2,Исходн.данные.!F341=$CC$3,Исходн.данные.!F341=$CC$4),"Да","Нет")</f>
        <v>Нет</v>
      </c>
      <c r="FE341" s="38" t="str">
        <f>IF(Исходн.данные.!F341=$CC$5,"Да","Нет")</f>
        <v>Нет</v>
      </c>
      <c r="FF341" s="38" t="str">
        <f>IF(OR(Исходн.данные.!F341=$CC$6,Исходн.данные.!F341=$CC$7),"Да","Нет")</f>
        <v>Нет</v>
      </c>
      <c r="FG341" s="38" t="str">
        <f>IF(OR(Исходн.данные.!F341=$CC$8,Исходн.данные.!F341=$CC$9),"Да","Нет")</f>
        <v>Нет</v>
      </c>
      <c r="FH341" s="38" t="str">
        <f>IF(Исходн.данные.!F341=$CC$10,"Да","Нет")</f>
        <v>Нет</v>
      </c>
      <c r="FI341" s="38" t="str">
        <f>IF(OR(Исходн.данные.!F341=$CC$11,Исходн.данные.!F341=$CC$12),"Да","Нет")</f>
        <v>Нет</v>
      </c>
      <c r="FJ341" s="38" t="str">
        <f>IF(OR(Исходн.данные.!AH341=$BS$1,Исходн.данные.!AH341=$BQ$11,Исходн.данные.!AH341=$BQ$12),"Да","Нет")</f>
        <v>Нет</v>
      </c>
      <c r="FK341" s="38" t="str">
        <f>IF(OR(Исходн.данные.!AH341=$BS$2,Исходн.данные.!AH341=$BS$4),"Да","Нет")</f>
        <v>Нет</v>
      </c>
      <c r="FL341" s="38" t="str">
        <f>IF(OR(Исходн.данные.!AH341=$BS$3,Исходн.данные.!AH341=$BS$5),"Да","Нет")</f>
        <v>Нет</v>
      </c>
      <c r="FM341" s="38" t="str">
        <f>IF(OR(Исходн.данные.!AH341=$BS$9,Исходн.данные.!AH341=$BS$10,Исходн.данные.!AH341=$BS$11,Исходн.данные.!AH341=$BS$12),"Да","Нет")</f>
        <v>Нет</v>
      </c>
      <c r="FN341" s="38" t="str">
        <f>IF(OR(Исходн.данные.!AH341=$BS$6,Исходн.данные.!AH341=$BP$3),"Да","Нет")</f>
        <v>Нет</v>
      </c>
      <c r="FO341" s="38" t="str">
        <f>IF(Исходн.данные.!AH341=$BQ$9,"Да","Нет")</f>
        <v>Нет</v>
      </c>
      <c r="FP341" s="38" t="str">
        <f>IF(OR(Исходн.данные.!AH341=$BS$8,Исходн.данные.!AH341=$BT$8),"Да","Нет")</f>
        <v>Нет</v>
      </c>
      <c r="FQ341" s="38" t="str">
        <f>IF(OR(Исходн.данные.!AH341=$BQ$7,Исходн.данные.!AH341=$BQ$8),"Да","Нет")</f>
        <v>Нет</v>
      </c>
      <c r="FR341" s="38" t="str">
        <f>IF(Исходн.данные.!AI341=$BU$9,"Да","Нет")</f>
        <v>Нет</v>
      </c>
      <c r="FS341" s="38" t="str">
        <f>IF(OR(Исходн.данные.!AH341=$BP$1,Исходн.данные.!AH341=$BP$2),"Да","Нет")</f>
        <v>Нет</v>
      </c>
      <c r="FT341" s="38" t="e">
        <f>IF((Исходн.данные.!K341*GO341*GS341*GW341+BL341*0.6+Исходн.данные.!Q341*4.5*0.275)&gt;90,"Да","Нет")</f>
        <v>#N/A</v>
      </c>
      <c r="FU341" s="38" t="e">
        <f>IF((Исходн.данные.!M341*GS341*GZ341+BM341*0.225)&gt;35,"Да","Нет")</f>
        <v>#N/A</v>
      </c>
      <c r="FV341" s="38" t="str">
        <f>IF(Исходн.данные.!O341&gt;175,"Да","Нет")</f>
        <v>Нет</v>
      </c>
      <c r="FW341" s="39" t="str">
        <f>IF(Исходн.данные.!I341&gt;5.5,"Да","Нет")</f>
        <v>Нет</v>
      </c>
      <c r="FX341" s="39" t="str">
        <f>IF(Исходн.данные.!J341&lt;2,"Да","Нет")</f>
        <v>Да</v>
      </c>
      <c r="FY341" s="39" t="e">
        <f>IF(HF341=$FY$16,0,Исходн.данные.!K341*GO341*GS341*GW341/HF341)</f>
        <v>#N/A</v>
      </c>
      <c r="FZ341" s="39" t="e">
        <f>Исходн.данные.!M341*GS341*GZ341/HG341</f>
        <v>#N/A</v>
      </c>
      <c r="GA341" s="39" t="e">
        <f>IF(K_Wyn=$FY$16,0,IF(Исходн.данные.!N341=Исходн.данные.!$L$10,Исходн.данные.!O341/1.1*GS341*HC341/HH341,IF(Исходн.данные.!N341=Исходн.данные.!$L$12,Исходн.данные.!O341/1.5*GS341*HC341/HH341,Исходн.данные.!O341*GS341*HC341/HH341)))</f>
        <v>#N/A</v>
      </c>
      <c r="GB341" s="39" t="e">
        <f>IF(HF341=$FY$16,0,((Исходн.данные.!Q341*N_Org+Исходн.данные.!R341*N_Sider+Исходн.данные.!S341*N_Soloma)*AO341+Расчет!BC341*VLOOKUP(Исходн.данные.!T341,Справ!$A$3:$O$57,15)*AO341+BB341*VLOOKUP(Исходн.данные.!T341,Справ!$A$3:$O$57,15)*AL341+(Исходн.данные.!V341*N_Rizotorf+Исходн.данные.!W341*N_Rizoagr))/HF341)</f>
        <v>#N/A</v>
      </c>
      <c r="GC341" s="39" t="e">
        <f>IF(HG341=$FY$16,0,((Исходн.данные.!Q341*Р_Org+Исходн.данные.!R341*P_Sider+Исходн.данные.!S341*P_Soloma)*AP341+Расчет!BC341*VLOOKUP(Исходн.данные.!T341,Справ!$A$3:$P$57,16)*AP341+BB341*VLOOKUP(Исходн.данные.!T341,Справ!$A$3:$P$57,16)*AM341)/HG341)</f>
        <v>#N/A</v>
      </c>
      <c r="GD341" s="39" t="e">
        <f>IF(HH341=$FY$16,0,((Исходн.данные.!Q341*К_Org+Исходн.данные.!R341*K_Sider+Исходн.данные.!S341*K_Soloma)*AQ341+Расчет!BC341*VLOOKUP(Исходн.данные.!T341,Справ!$A$3:$Q$57,17)*AQ341+BB341*VLOOKUP(Исходн.данные.!T341,Справ!$A$3:$Q$57,17)*AN341)/HH341)</f>
        <v>#N/A</v>
      </c>
      <c r="GE341" s="39" t="e">
        <f>IF(HF341=$FY$16,0,(Исходн.данные.!X341*AR341+Исходн.данные.!AA341*N_Org*AL341+Исходн.данные.!AB341*N_Sider*AL341+Исходн.данные.!AC341*N_Soloma*AL341)/HF341)</f>
        <v>#N/A</v>
      </c>
      <c r="GF341" s="39" t="e">
        <f>IF(HG341=$FY$16,0,(Исходн.данные.!Y341*AS341+Исходн.данные.!AA341*Р_Org*AM341+Исходн.данные.!AB341*P_Sider*AM341+Исходн.данные.!AC341*P_Soloma*AM341)/HG341)</f>
        <v>#N/A</v>
      </c>
      <c r="GG341" s="39" t="e">
        <f>IF(HH341=$FY$16,0,(Исходн.данные.!Z341*AT341+Исходн.данные.!AA341*К_Org*AN341+Исходн.данные.!AB341*K_Sider*AN341+Исходн.данные.!AC341*K_Soloma*AN341)/HH341)</f>
        <v>#N/A</v>
      </c>
      <c r="GH341" s="39" t="e">
        <f>Исходн.данные.!AD341*AU341/HF341</f>
        <v>#N/A</v>
      </c>
      <c r="GI341" s="39" t="e">
        <f>Исходн.данные.!AE341*AV341/HG341</f>
        <v>#N/A</v>
      </c>
      <c r="GJ341" s="39" t="e">
        <f>Исходн.данные.!AF341*AW341/HH341</f>
        <v>#N/A</v>
      </c>
      <c r="GK341" s="55">
        <f>Исходн.данные.!AK341</f>
        <v>0</v>
      </c>
      <c r="GL341" s="11" t="e">
        <f t="shared" si="409"/>
        <v>#N/A</v>
      </c>
      <c r="GM341" s="11" t="e">
        <f t="shared" si="410"/>
        <v>#N/A</v>
      </c>
      <c r="GN341" s="11" t="e">
        <f t="shared" si="411"/>
        <v>#N/A</v>
      </c>
      <c r="GO341" s="57">
        <f t="shared" si="412"/>
        <v>19</v>
      </c>
      <c r="GP341" s="55">
        <f>IF(OR(Исходн.данные.!F341=$CE$1,Исходн.данные.!F341=$CE$2,Исходн.данные.!F341=$CE$3,Исходн.данные.!F341=$CE$4,Исходн.данные.!F341=$CE$5),GQ341,GR341)</f>
        <v>19</v>
      </c>
      <c r="GQ341" s="55">
        <f>IF(Исходн.данные.!F341=$CE$1,28,IF(Исходн.данные.!F341=$CE$2,26,IF(Исходн.данные.!F341=$CE$3,24,IF(Исходн.данные.!F341=$CE$4,22,IF(Исходн.данные.!F341=$CE$5,20,GR341)))))</f>
        <v>19</v>
      </c>
      <c r="GR341" s="55">
        <f>IF(Исходн.данные.!F341=$CE$6,18,IF(Исходн.данные.!F341=$CE$7,16,IF(Исходн.данные.!F341=$CE$8,14,IF(Исходн.данные.!F341=$CE$9,13,IF(Исходн.данные.!F341=$CE$10,12,19)))))</f>
        <v>19</v>
      </c>
      <c r="GS341" s="55">
        <f>IF(Исходн.данные.!G341="Пес",0.035*(40+2*Исходн.данные.!H341),IF(Исходн.данные.!G341="Суп",0.0325*(40+2*Исходн.данные.!H341),0.03*(40+2*Исходн.данные.!H341)))</f>
        <v>1.2</v>
      </c>
      <c r="GT341" s="55">
        <f>IF(Исходн.данные.!H341&lt;23,2.6,IF(AND(Исходн.данные.!H341&gt;22,Исходн.данные.!H341&lt;26),3,IF(AND(Исходн.данные.!H341&gt;25,Исходн.данные.!H341&lt;29),3.4,3.6)))</f>
        <v>2.6</v>
      </c>
      <c r="GU341" s="55">
        <f>IF(Исходн.данные.!H341&lt;23,2.8,IF(AND(Исходн.данные.!H341&gt;22,Исходн.данные.!H341&lt;26),3.2,IF(AND(Исходн.данные.!H341&gt;25,Исходн.данные.!H341&lt;29),3.6,3.9)))</f>
        <v>2.8</v>
      </c>
      <c r="GV341" s="55">
        <f>IF(Исходн.данные.!H341&lt;23,3,IF(AND(Исходн.данные.!H341&gt;22,Исходн.данные.!H341&lt;26),3.5,IF(AND(Исходн.данные.!H341&gt;25,Исходн.данные.!H341&lt;29),3.9,4.2)))</f>
        <v>3</v>
      </c>
      <c r="GW341" s="55" t="e">
        <f>IF(Исходн.данные.!P341="Ум",GX341,GY341)</f>
        <v>#N/A</v>
      </c>
      <c r="GX341" s="55" t="e">
        <f>VLOOKUP(Исходн.данные.!AI341,Коэффициенты!$J$7:$L$13,2,FALSE)</f>
        <v>#N/A</v>
      </c>
      <c r="GY341" s="55" t="e">
        <f>VLOOKUP(Исходн.данные.!AI341,Коэффициенты!$J$7:$L$13,3,FALSE)</f>
        <v>#N/A</v>
      </c>
      <c r="GZ341" s="55" t="e">
        <f>(IF(Исходн.данные.!M341&lt;50,0.11*VLOOKUP(Исходн.данные.!AH341,Культуры.Информация,7,FALSE),IF(Исходн.данные.!M341&gt;250,0.05*VLOOKUP(Исходн.данные.!AH341,Культуры.Информация,7,FALSE),VLOOKUP(Исходн.данные.!AH341,Культуры.Информация,5,FALSE)/100*($GX$6+$GY$6*Исходн.данные.!M341))))*Расчет2!AI341</f>
        <v>#N/A</v>
      </c>
      <c r="HA341" s="211"/>
      <c r="HB341" s="211"/>
      <c r="HC341" s="55" t="e">
        <f>(IF(Исходн.данные.!O341&lt;80,0.2*VLOOKUP(Исходн.данные.!AH341,Культуры.Информация,8,FALSE),IF(Исходн.данные.!O341&gt;240,0.09*VLOOKUP(Исходн.данные.!AH341,Культуры.Информация,8,FALSE),VLOOKUP(Исходн.данные.!AH341,Культуры.Информация,6,FALSE)/100*($HB$6+$HC$6*Исходн.данные.!O341))))*Расчет2!AJ341</f>
        <v>#N/A</v>
      </c>
      <c r="HD341" s="55">
        <f>IF(Исходн.данные.!O341&gt;240,0.09,IF(Исходн.данные.!O341&lt;30,0.3,$HE$10+$HD$10*Исходн.данные.!O341))</f>
        <v>0.3</v>
      </c>
      <c r="HE341" s="55">
        <f>IF(Исходн.данные.!O341&gt;240,0.17,IF(Исходн.данные.!O341&lt;30,0.5,$HF$12+$HE$12*Исходн.данные.!O341))</f>
        <v>0.5</v>
      </c>
      <c r="HF341" s="55" t="e">
        <f>VLOOKUP(Исходн.данные.!AH341,Справ!$A$3:$D$58,2,FALSE)</f>
        <v>#N/A</v>
      </c>
      <c r="HG341" s="55" t="e">
        <f>VLOOKUP(Исходн.данные.!AH341,Справ!$A$3:$D$58,3,FALSE)</f>
        <v>#N/A</v>
      </c>
      <c r="HH341" s="55" t="e">
        <f>VLOOKUP(Исходн.данные.!AH341,Справ!$A$3:$D$58,4,FALSE)</f>
        <v>#N/A</v>
      </c>
      <c r="HI341" s="11" t="e">
        <f t="shared" si="413"/>
        <v>#N/A</v>
      </c>
      <c r="HJ341" s="11" t="e">
        <f t="shared" si="414"/>
        <v>#N/A</v>
      </c>
      <c r="HK341" s="11" t="e">
        <f t="shared" si="415"/>
        <v>#N/A</v>
      </c>
      <c r="HL341" s="55">
        <f>IF(OR(Исходн.данные.!G341="Глин",Исходн.данные.!G341="Т_суг"),1.1,IF(Исходн.данные.!G341="Ср_суг",1,1))</f>
        <v>1</v>
      </c>
      <c r="HM341" s="55">
        <f>IF(OR(Исходн.данные.!G341="Глин",Исходн.данные.!G341="Т_суг"),0.9,IF(Исходн.данные.!G341="Ср_суг",1,1.2))</f>
        <v>1.2</v>
      </c>
      <c r="HN341" s="11" t="e">
        <f t="shared" si="416"/>
        <v>#N/A</v>
      </c>
      <c r="HO341" s="11" t="e">
        <f t="shared" si="417"/>
        <v>#N/A</v>
      </c>
      <c r="HP341" s="11" t="e">
        <f t="shared" si="418"/>
        <v>#N/A</v>
      </c>
      <c r="HQ341" t="e">
        <f t="shared" si="419"/>
        <v>#N/A</v>
      </c>
      <c r="HR341" t="e">
        <f t="shared" si="420"/>
        <v>#N/A</v>
      </c>
      <c r="HS341" t="e">
        <f t="shared" si="421"/>
        <v>#N/A</v>
      </c>
      <c r="HT341" t="e">
        <f t="shared" si="367"/>
        <v>#N/A</v>
      </c>
      <c r="HU341" t="e">
        <f t="shared" si="368"/>
        <v>#N/A</v>
      </c>
      <c r="HV341" t="e">
        <f t="shared" si="369"/>
        <v>#N/A</v>
      </c>
      <c r="HW341" t="e">
        <f t="shared" si="370"/>
        <v>#N/A</v>
      </c>
      <c r="HX341" t="e">
        <f t="shared" si="371"/>
        <v>#N/A</v>
      </c>
      <c r="HY341" t="e">
        <f t="shared" si="372"/>
        <v>#N/A</v>
      </c>
      <c r="HZ341" s="55">
        <f>IF(OR(Исходн.данные.!AI341="Оз_Ч_П",Исходн.данные.!AI341="Оз_З_П",Исходн.данные.!AI341="Яр_зер"),12,30)</f>
        <v>30</v>
      </c>
      <c r="IA341" t="e">
        <f t="shared" si="422"/>
        <v>#N/A</v>
      </c>
      <c r="IB341" t="e">
        <f t="shared" si="423"/>
        <v>#N/A</v>
      </c>
      <c r="IC341" t="e">
        <f t="shared" si="424"/>
        <v>#N/A</v>
      </c>
      <c r="ID341" s="11" t="e">
        <f t="shared" si="425"/>
        <v>#N/A</v>
      </c>
      <c r="IE341" s="11" t="e">
        <f t="shared" si="426"/>
        <v>#N/A</v>
      </c>
      <c r="IF341" s="11" t="e">
        <f t="shared" si="427"/>
        <v>#N/A</v>
      </c>
    </row>
    <row r="342" spans="35:240" x14ac:dyDescent="0.2">
      <c r="AI342">
        <f>IF(Исходн.данные.!I342&gt;6,1,1.85-(0.148*Исходн.данные.!I342))</f>
        <v>1.85</v>
      </c>
      <c r="AJ342">
        <f>IF(Исходн.данные.!I342&gt;6,1,2.434-(0.246*Исходн.данные.!I342))</f>
        <v>2.4340000000000002</v>
      </c>
      <c r="AL342" s="148" t="b">
        <f>IF(Исходн.данные.!$P342="Ум",N_OrgUd_2g_um,IF(Исходн.данные.!$P342="Об",N_OrgUd_2g_ob))</f>
        <v>0</v>
      </c>
      <c r="AM342" s="148" t="b">
        <f>IF(Исходн.данные.!$P342="Ум",P_OrgUd_2g_um,IF(Исходн.данные.!$P342="Об",P_OrgUd_2g_ob))</f>
        <v>0</v>
      </c>
      <c r="AN342" s="148" t="b">
        <f>IF(Исходн.данные.!$P342="Ум",K_OrgUd_2g_um,IF(Исходн.данные.!$P342="Об",K_OrgUd_2g_ob))</f>
        <v>0</v>
      </c>
      <c r="AO342" s="148" t="b">
        <f>IF(Исходн.данные.!$P342="Ум",N_OrgUd_1g_um,IF(Исходн.данные.!$P342="Об",N_OrgUd_1g_ob))</f>
        <v>0</v>
      </c>
      <c r="AP342" s="148" t="b">
        <f>IF(Исходн.данные.!$P342="Ум",P_OrgUd_1g_um,IF(Исходн.данные.!$P342="Об",P_OrgUd_1g_ob))</f>
        <v>0</v>
      </c>
      <c r="AQ342" s="148" t="b">
        <f>IF(Исходн.данные.!$P342="Ум",K_OrgUd_1g_um,IF(Исходн.данные.!$P342="Об",K_OrgUd_1g_ob))</f>
        <v>0</v>
      </c>
      <c r="AR342" t="b">
        <f>IF(Исходн.данные.!$P342="Ум",N_MinUd_2g_um,IF(Исходн.данные.!$P342="Об",N_MinUd_2g_ob))</f>
        <v>0</v>
      </c>
      <c r="AS342" t="b">
        <f>IF(Исходн.данные.!$P342="Ум",P_MinUd_2g_um,IF(Исходн.данные.!$P342="Об",P_MinUd_2g_ob))</f>
        <v>0</v>
      </c>
      <c r="AT342" t="b">
        <f>IF(Исходн.данные.!$P342="Ум",K_MinUd_2g_um,IF(Исходн.данные.!$P342="Об",K_MinUd_2g_ob))</f>
        <v>0</v>
      </c>
      <c r="AU342" t="b">
        <f>IF(Исходн.данные.!$P342="Ум",N_MinUd_1g_um,IF(Исходн.данные.!$P342="Об",N_MinUd_1g_ob))</f>
        <v>0</v>
      </c>
      <c r="AV342" t="b">
        <f>IF(Исходн.данные.!P342="Ум",P_MinUd_1g_um,IF(Исходн.данные.!P342="Об",P_MinUd_1g_ob))</f>
        <v>0</v>
      </c>
      <c r="AW342" t="b">
        <f>IF(Исходн.данные.!P342="Ум",K_MinUd_1g_um,IF(Исходн.данные.!P342="Об",K_MinUd_1g_ob))</f>
        <v>0</v>
      </c>
      <c r="AY342" t="e">
        <f>VLOOKUP(Исходн.данные.!T342,Справ!$A$3:$N$57,12)</f>
        <v>#N/A</v>
      </c>
      <c r="AZ342" t="e">
        <f>VLOOKUP(Исходн.данные.!T342,Справ!$A$3:$N$57,13)</f>
        <v>#N/A</v>
      </c>
      <c r="BA342" t="e">
        <f>VLOOKUP(Исходн.данные.!T342,Справ!$A$3:$N$57,14)</f>
        <v>#N/A</v>
      </c>
      <c r="BB342">
        <f>IF(Исходн.данные.!AH342=0,0,25)</f>
        <v>0</v>
      </c>
      <c r="BC342" s="141">
        <f>IF(Исходн.данные.!AH342=0,0,IF(Исходн.данные.!T342=0,25,BD342))</f>
        <v>0</v>
      </c>
      <c r="BD342" s="168" t="e">
        <f>AY342+AZ342*Исходн.данные.!U342-POWER(BA342,2)*Исходн.данные.!U342</f>
        <v>#N/A</v>
      </c>
      <c r="BE342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2" s="25">
        <f>IF(Исходн.данные.!AH342=0,0,MIN(HN342:HP342))</f>
        <v>0</v>
      </c>
      <c r="BG342" s="9">
        <f>IF(Исходн.данные.!AH342=0,0,IF((HO342+10*0.25/HG342/HL342)&lt;17,17,HO342+10*0.25/HG342/HL342))</f>
        <v>0</v>
      </c>
      <c r="BH342" s="181">
        <f>IF(Исходн.данные.!AH342=0,0,HW342*HF342*HL342/AU342*AI342+Исходн.данные.!S342*10)</f>
        <v>0</v>
      </c>
      <c r="BI342" s="10"/>
      <c r="BJ342" s="182">
        <f>IF(Исходн.данные.!AH342=0,0,IF(HX342*HG342*HL342/AV342&lt;0,0,HX342*HG342*HL342/AV342*AJ342))</f>
        <v>0</v>
      </c>
      <c r="BK342" s="182">
        <f>IF(Исходн.данные.!AH342=0,0,HY342*HH342*HM342/AW342)</f>
        <v>0</v>
      </c>
      <c r="BL342" s="10">
        <f>IF(OR(Исходн.данные.!$AH342=$BP$1,Исходн.данные.!$AH342=$BP$2),0,IF(BH342&lt;0,0,IF(OR(Исходн.данные.!T342=Расчет!$BP$1,Исходн.данные.!T342=Расчет!$BP$2,Исходн.данные.!T342=Расчет!$BT$5,Исходн.данные.!T342=Расчет!$BT$6),BH342*0.5,IF(OR(Исходн.данные.!T342=Расчет!$BS$9,Исходн.данные.!T342=Расчет!$BS$10,Исходн.данные.!T342=Расчет!$BS$11,Исходн.данные.!T342=Расчет!$BS$12,Исходн.данные.!T342=Расчет!$BP$5),BH342*0.8,BH342))))</f>
        <v>0</v>
      </c>
      <c r="BM342" s="10">
        <f>IF(OR(Исходн.данные.!$AH342=$BP$1,Исходн.данные.!$AH342=$BP$2),0,IF(BJ342&lt;0,0,IF(Исходн.данные.!I342&lt;4.5,BJ342*1.2,IF(Исходн.данные.!I342&gt;5.1,BJ342,BJ342*((5.1-Исходн.данные.!I342)*0.333+1)))))</f>
        <v>0</v>
      </c>
      <c r="BN342" s="10">
        <f>IF(OR(Исходн.данные.!$AH342=$BP$1,Исходн.данные.!$AH342=$BP$2),60-Исходн.данные.!AF342,IF(BK342&lt;0,0,IF(Исходн.данные.!I342&lt;4.5,BK342*1.2,IF(Исходн.данные.!I342&gt;5.1,BK342,BK342*((5.1-Исходн.данные.!I342)*0.333+1)))))</f>
        <v>0</v>
      </c>
      <c r="BO342" s="9">
        <f>IF(BL342&lt;0,0,BL342*Исходн.данные.!$AJ342/1000)</f>
        <v>0</v>
      </c>
      <c r="BP342" s="9">
        <f>IF(BM342&lt;0,0,BM342*Исходн.данные.!$AJ342/1000)</f>
        <v>0</v>
      </c>
      <c r="BQ342" s="9">
        <f>IF(BN342&lt;0,0,BN342*Исходн.данные.!$AJ342/1000)</f>
        <v>0</v>
      </c>
      <c r="BR342" s="9">
        <f t="shared" si="377"/>
        <v>0</v>
      </c>
      <c r="BS342" s="10" t="str">
        <f t="shared" si="378"/>
        <v>Аммофос 12:52:00</v>
      </c>
      <c r="BT342" s="10" t="str">
        <f t="shared" si="379"/>
        <v>Аммофос 12:52:00</v>
      </c>
      <c r="BU342" s="10" t="str">
        <f t="shared" si="380"/>
        <v>Диаммофоска</v>
      </c>
      <c r="BV342" s="10">
        <f t="shared" si="381"/>
        <v>0</v>
      </c>
      <c r="BW342" s="10"/>
      <c r="BX342" s="10"/>
      <c r="BY342" s="9">
        <f>IF(BL342&lt;0,0,IF(OR(Исходн.данные.!AI342=Расчет!$BU$6,Исходн.данные.!AI342=Расчет!$BU$7),Расчет!BV342,IF(Исходн.данные.!$AG342=$BV$11,BL342,IF(OR(Исходн.данные.!$AH342=$BQ$7,Исходн.данные.!$AH342=$BQ$8),CB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0,IF(Исходн.данные.!$AI342=$BU$11,"Нет",IF(BL342&gt;30,30,BL342)))))))</f>
        <v>0</v>
      </c>
      <c r="BZ342" s="9">
        <f>IF(AND(Исходн.данные.!$AG342=$BV$11,BM342&lt;10),10,IF(Исходн.данные.!$AG342=$BV$11,BM342,IF(OR(Исходн.данные.!$AH342=$BQ$7,Исходн.данные.!$AH342=$BQ$8),CC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10,IF(Исходн.данные.!$AI342=$BU$11,"Нет",IF(BM342&gt;60,60,IF(BM342&lt;10,10,BM342)))))))</f>
        <v>10</v>
      </c>
      <c r="CA342" s="39">
        <f>IF(BN342&lt;0,0,IF(Исходн.данные.!$AG342=$BV$11,BN342,IF(OR(Исходн.данные.!$AH342=$BQ$7,Исходн.данные.!$AH342=$BQ$8),CD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0,IF(Исходн.данные.!$AI342=$BU$11,"Нет",IF(BN342&gt;30,30,BN342))))))</f>
        <v>0</v>
      </c>
      <c r="CB342" s="9">
        <f t="shared" si="382"/>
        <v>0</v>
      </c>
      <c r="CC342" s="9">
        <f t="shared" si="383"/>
        <v>0</v>
      </c>
      <c r="CD342" s="9">
        <f t="shared" si="384"/>
        <v>0</v>
      </c>
      <c r="CE342" s="12">
        <f t="shared" si="385"/>
        <v>10</v>
      </c>
      <c r="CF342" s="9">
        <f t="shared" si="386"/>
        <v>0</v>
      </c>
      <c r="CG342" s="9" t="s">
        <v>231</v>
      </c>
      <c r="CH342" s="132" t="str">
        <f>IF(Исходн.данные.!AP342=Расчет!$CI$16,"Нет",IF(Исходн.данные.!AL342&gt;0,Исходн.данные.!AL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BH$4,IF(OR(Исходн.данные.!AI342=Исходн.данные.!$AI$6,Исходн.данные.!AI342=Исходн.данные.!$AI$7),Расчет!BS342,IF(AND($CF342=0,$CE342&gt;0),EV342,ER342)))))</f>
        <v>Аммофос 12:52:00</v>
      </c>
      <c r="CI342" s="274">
        <f>IF(Расчет!$CH342="Нет","Нет",IF(Исходн.данные.!$AL342&gt;0,VLOOKUP(Расчет!$CH342,АшламаДВ_Irekle,2,FALSE),VLOOKUP(Расчет!$CH342,АшламаДВ_Gomumy,2,FALSE)))</f>
        <v>0.12</v>
      </c>
      <c r="CJ342" s="274">
        <f>IF(Расчет!$CH342="Нет","Нет",IF(Исходн.данные.!$AL342&gt;0,VLOOKUP(Расчет!$CH342,АшламаДВ_Irekle,3,FALSE),VLOOKUP(Расчет!$CH342,АшламаДВ_Gomumy,3,FALSE)))</f>
        <v>0.52</v>
      </c>
      <c r="CK342" s="274">
        <f>IF(Расчет!$CH342="Нет","Нет",IF(Исходн.данные.!$AL342&gt;0,VLOOKUP(Расчет!$CH342,АшламаДВ_Irekle,4,FALSE),VLOOKUP(Расчет!$CH342,АшламаДВ_Gomumy,4,FALSE)))</f>
        <v>0</v>
      </c>
      <c r="CL342" s="70"/>
      <c r="CM342" s="70"/>
      <c r="CN342" s="70"/>
      <c r="CO342" s="70"/>
      <c r="CP342" s="70"/>
      <c r="CQ342" s="70"/>
      <c r="CR342" s="10">
        <f t="shared" si="387"/>
        <v>0</v>
      </c>
      <c r="CS342" s="10">
        <f t="shared" si="388"/>
        <v>19.23076923076923</v>
      </c>
      <c r="CT342" s="10">
        <f t="shared" si="389"/>
        <v>0</v>
      </c>
      <c r="CU342" s="39">
        <f>IF($CH342="Нет",0,IF(CI342=0,30/MIN(CJ342:CK342),IF(Исходн.данные.!$AG342=$BV$11,CR342,IF(OR(Исходн.данные.!$AH342=$BQ$7,Исходн.данные.!$AH342=$BQ$8),90/CI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0,IF(Исходн.данные.!$AI342=$BU$11,"Нет",30/CI342))))))</f>
        <v>250</v>
      </c>
      <c r="CV342" s="39">
        <f>IF($CH342="Нет",0,IF(Исходн.данные.!AH342=0,0,IF(CJ342=0,60/MIN(CI342,CK342),IF(Исходн.данные.!$AG342=$BV$11,CS342,IF(OR(Исходн.данные.!$AH342=$BQ$7,Исходн.данные.!$AH342=$BQ$8),90/CJ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10/CJ342,IF(Исходн.данные.!$AI342=$BU$11,"Нет",60/CJ342)))))))</f>
        <v>0</v>
      </c>
      <c r="CW342" s="39">
        <f>IF($CH342="Нет",0,IF(Исходн.данные.!AH342=0,0,IF(CK342=0,30/MIN(CI342:CJ342),IF(Исходн.данные.!$AG342=$BV$11,CT342,IF(OR(Исходн.данные.!$AH342=$BQ$7,Исходн.данные.!$AH342=$BQ$8),90/CK342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0,IF(Исходн.данные.!$AI342=$BU$11,"Нет",30/CK342)))))))</f>
        <v>0</v>
      </c>
      <c r="CX342" s="133">
        <f>IF(Исходн.данные.!$AG342=$BV$11,MAX(CU342:CW342),IF(OR(Исходн.данные.!$AH342=$BS$8,Исходн.данные.!$AH342=$BQ$9,Исходн.данные.!$AH342=$BQ$10,Исходн.данные.!$AH342=$BQ$11,Исходн.данные.!$AH342=$BQ$12,Исходн.данные.!$AH342=$BP$3,Исходн.данные.!$AH342=$BT$8,$FM342="Да"),CV342,MIN(CU342:CW342)))</f>
        <v>0</v>
      </c>
      <c r="CY342" s="133">
        <f>IF(Исходн.данные.!AH342=0,0,IF(CR342&gt;$CX342,$CX342,CR342))</f>
        <v>0</v>
      </c>
      <c r="CZ342" s="133">
        <f>IF(Исходн.данные.!AH342=0,0,IF(CS342&gt;$CX342,$CX342,CS342))</f>
        <v>0</v>
      </c>
      <c r="DA342" s="133">
        <f>IF(Исходн.данные.!AH342=0,0,IF(CT342&gt;$CX342,$CX342,CT342))</f>
        <v>0</v>
      </c>
      <c r="DB342" s="10">
        <f t="shared" si="390"/>
        <v>0</v>
      </c>
      <c r="DC342" s="39">
        <f>DB342*Исходн.данные.!AJ342/1000</f>
        <v>0</v>
      </c>
      <c r="DD342" s="71">
        <f t="shared" si="391"/>
        <v>0</v>
      </c>
      <c r="DE342" s="9">
        <f t="shared" si="392"/>
        <v>0</v>
      </c>
      <c r="DF342" s="9">
        <f t="shared" si="393"/>
        <v>0</v>
      </c>
      <c r="DG342" s="39">
        <f>IF(BL342&lt;0,0,IF($CH342="Нет",BL342,IF(OR(Исходн.данные.!$AH342=$BP$1,Исходн.данные.!$AH342=$BP$2),0,IF(Исходн.данные.!AI342=$BU$11,BL342,IF(BL342-DD342&lt;0,0,BL342-DD342)))))</f>
        <v>0</v>
      </c>
      <c r="DH342" s="39">
        <f>IF(BM342&lt;0,0,IF($CH342="Нет",BM342,IF(OR(Исходн.данные.!$AH342=$BP$1,Исходн.данные.!$AH342=$BP$2),0,IF(Исходн.данные.!AJ342=$BU$11,BM342,IF(BM342-DE342&lt;0,0,BM342-DE342)))))</f>
        <v>0</v>
      </c>
      <c r="DI342" s="39">
        <f>IF(BN342&lt;0,0,IF($CH342="Нет",BN342,IF(OR(Исходн.данные.!$AH342=$BP$1,Исходн.данные.!$AH342=$BP$2),0,IF(Исходн.данные.!AK342=$BU$11,BN342,IF(BN342-DF342&lt;0,0,BN342-DF342)))))</f>
        <v>0</v>
      </c>
      <c r="DJ342" s="12">
        <f t="shared" si="394"/>
        <v>0</v>
      </c>
      <c r="DK342" s="9">
        <f t="shared" si="395"/>
        <v>0</v>
      </c>
      <c r="DL342" s="39">
        <f>IF(Исходн.данные.!AM342&gt;0,Исходн.данные.!AM342,IF(EG342&gt;0,$BH$10,0))</f>
        <v>0</v>
      </c>
      <c r="DM342" s="186">
        <f>IF($DL342=0,0,IF(Исходн.данные.!AM342&gt;0,VLOOKUP($DL342,АшламаДВ_Irekle,2,FALSE),VLOOKUP($DL342,АшламаДВ_Gomumy,2,FALSE)))</f>
        <v>0</v>
      </c>
      <c r="DN342" s="10">
        <f t="shared" si="373"/>
        <v>0</v>
      </c>
      <c r="DO342" s="9" t="str">
        <f>IF(Исходн.данные.!AN342&gt;0,Исходн.данные.!AN342,Удобрения!$B$37 )</f>
        <v>Хлор.калий</v>
      </c>
      <c r="DP342" s="9">
        <f>IF(Исходн.данные.!AN342&gt;0,VLOOKUP(Исходн.данные.!AN342,АшламаДВ_Irekle,4,FALSE),VLOOKUP(DO342,АшламаДВ_Gomumy,4,FALSE))</f>
        <v>0.6</v>
      </c>
      <c r="DQ342" s="10">
        <f t="shared" si="374"/>
        <v>0</v>
      </c>
      <c r="DR342" s="132" t="str">
        <f>IF(Исходн.данные.!AO342&gt;0,Исходн.данные.!AO342,IF(DH342=0,BS$17,IF(AND($DK342=0,$DJ342&gt;0),EJ342,EN342)))</f>
        <v>Нет</v>
      </c>
      <c r="DS342" s="70" t="str">
        <f>IF($DR342="Нет","Нет",IF(Исходн.данные.!$AO342&gt;0,VLOOKUP($DR342,АшламаДВ_Irekle,2,FALSE),VLOOKUP($DR342,АшламаДВ_Gomumy,2,FALSE)))</f>
        <v>Нет</v>
      </c>
      <c r="DT342" s="70" t="str">
        <f>IF($DR342="Нет","Нет",IF(Исходн.данные.!$AO342&gt;0,VLOOKUP($DR342,АшламаДВ_Irekle,3,FALSE),VLOOKUP($DR342,АшламаДВ_Gomumy,3,FALSE)))</f>
        <v>Нет</v>
      </c>
      <c r="DU342" s="70" t="str">
        <f>IF($DR342="Нет","Нет",IF(Исходн.данные.!$AO342&gt;0,VLOOKUP($DR342,АшламаДВ_Irekle,4,FALSE),VLOOKUP($DR342,АшламаДВ_Gomumy,4,FALSE)))</f>
        <v>Нет</v>
      </c>
      <c r="DV342" s="70"/>
      <c r="DW342" s="70"/>
      <c r="DX342" s="70"/>
      <c r="DY342" s="10">
        <f t="shared" si="396"/>
        <v>0</v>
      </c>
      <c r="DZ342" s="10">
        <f t="shared" si="397"/>
        <v>0</v>
      </c>
      <c r="EA342" s="10">
        <f t="shared" si="398"/>
        <v>0</v>
      </c>
      <c r="EB342" s="10">
        <f t="shared" si="399"/>
        <v>0</v>
      </c>
      <c r="EC342" s="10">
        <f t="shared" si="400"/>
        <v>0</v>
      </c>
      <c r="ED342" s="10">
        <f t="shared" si="401"/>
        <v>0</v>
      </c>
      <c r="EE342" s="10">
        <f t="shared" si="402"/>
        <v>0</v>
      </c>
      <c r="EF342" s="39">
        <f>EB342*Исходн.данные.!AJ342/1000</f>
        <v>0</v>
      </c>
      <c r="EG342" s="9">
        <f t="shared" si="403"/>
        <v>0</v>
      </c>
      <c r="EH342" s="9">
        <f t="shared" si="404"/>
        <v>0</v>
      </c>
      <c r="EI342" s="39" t="e">
        <f t="shared" ref="EI342:EI349" si="428">IF(УрожПлан=0,РацУрож*100-УрЕстПлод*100,УрожПлан*100-УрЕстПлод*100)/(УдРядКг_гаФВ*УдРядДВ+УдСложДВ*УдСложКг_гаФВ+УдАзКг_гаФВ*УдАзДВ+УдКалКг_гаФВ*УдКалДВ+УдОсДВ)</f>
        <v>#DIV/0!</v>
      </c>
      <c r="EJ342" s="9" t="str">
        <f t="shared" si="375"/>
        <v>Азопреципитат</v>
      </c>
      <c r="EK342" s="12">
        <f t="shared" ref="EK342:EK349" si="429">VLOOKUP($EJ342,АшламаДВ_Gomumy,2,FALSE)</f>
        <v>0.26</v>
      </c>
      <c r="EL342" s="12">
        <f t="shared" ref="EL342:EL349" si="430">VLOOKUP($EJ342,АшламаДВ_Gomumy,3,FALSE)</f>
        <v>0.13</v>
      </c>
      <c r="EM342" s="12">
        <f t="shared" ref="EM342:EM349" si="431">VLOOKUP($EJ342,АшламаДВ_Gomumy,4,FALSE)</f>
        <v>0</v>
      </c>
      <c r="EN342" s="12" t="str">
        <f t="shared" si="376"/>
        <v>Нет</v>
      </c>
      <c r="EO342" s="12">
        <f t="shared" ref="EO342:EO349" si="432">IF($EN342="Нет",0,VLOOKUP($EN342,АшламаДВ_Gomumy,2,FALSE))</f>
        <v>0</v>
      </c>
      <c r="EP342" s="12">
        <f t="shared" ref="EP342:EP349" si="433">IF($EN342="Нет",0,VLOOKUP($EN342,АшламаДВ_Gomumy,3,FALSE))</f>
        <v>0</v>
      </c>
      <c r="EQ342" s="12">
        <f t="shared" ref="EQ342:EQ349" si="434">IF($EN342="Нет",0,VLOOKUP($EN342,АшламаДВ_Gomumy,4,FALSE))</f>
        <v>0</v>
      </c>
      <c r="ER342" s="12" t="str">
        <f t="shared" si="405"/>
        <v>Диаммофоска</v>
      </c>
      <c r="ES342" s="12">
        <f t="shared" ref="ES342:ES349" si="435">VLOOKUP(ER342,АшламаДВ_Gomumy,2,FALSE)</f>
        <v>0.1</v>
      </c>
      <c r="ET342" s="12">
        <f t="shared" ref="ET342:ET349" si="436">VLOOKUP(ER342,АшламаДВ_Gomumy,3,FALSE)</f>
        <v>0.26</v>
      </c>
      <c r="EU342" s="12">
        <f t="shared" ref="EU342:EU349" si="437">VLOOKUP(ER342,АшламаДВ_Gomumy,4,FALSE)</f>
        <v>0.26</v>
      </c>
      <c r="EV342" s="12" t="str">
        <f t="shared" si="406"/>
        <v>Аммофос 12:52:00</v>
      </c>
      <c r="EW342" s="12" t="str">
        <f t="shared" si="407"/>
        <v>Кемира Свекловичное-6</v>
      </c>
      <c r="EX342" s="12">
        <f t="shared" ref="EX342:EX349" si="438">VLOOKUP($EW342,АшламаДВ_Gomumy,2,FALSE)</f>
        <v>0.16</v>
      </c>
      <c r="EY342" s="12">
        <f t="shared" ref="EY342:EY349" si="439">VLOOKUP($EW342,АшламаДВ_Gomumy,3,FALSE)</f>
        <v>0.12</v>
      </c>
      <c r="EZ342" s="12">
        <f t="shared" ref="EZ342:EZ349" si="440">VLOOKUP($EW342,АшламаДВ_Gomumy,4,FALSE)</f>
        <v>0.17</v>
      </c>
      <c r="FA342" s="38" t="e">
        <f>IF(AND(OR(FJ342=$FD$1,FM342=$FD$1,FO342=$FD$1,FQ342=$FD$1,FS342=$FD$1),FD342=$FD$1,Исходн.данные.!J342&lt;2,FU342=$FD$1),"Бор,Кобальт",IF(AND(FO342=$FD$1,FH342=$FD$1,Исходн.данные.!J342&lt;2,FU342=$FD$1),"Бор,Кобальт",IF(AND(OR(FJ342=$FD$1,FM342=$FD$1,FQ342=$FD$1),FE342=$FD$1,Исходн.данные.!J342&lt;2,FT342=$FD$1,FU342=$FD$1),"Бор,Медь,Цинк",IF(AND(OR(FJ342=$FD$1,FR342="Да"),FI342="Да",Исходн.данные.!J342&lt;2,FT342="Да",FU342="Да"),"Бор,Цинк,Медь",IF(AND(OR(FM342="Да",FQ342="Да"),FI342="Да",Исходн.данные.!J342&lt;2,FT342="Да",FU342="Да"),"Бор,Цинк",IF(AND(FN342="Да",OR(FD342="Да",FE342="Да")),"Бор",FB342))))))</f>
        <v>#N/A</v>
      </c>
      <c r="FB342" s="134" t="e">
        <f>IF(AND(OR(FD342="Да",FE342="Да",FF342="Да",FG342="Да",FH342="Да"),FO342="Да"),"Бор",IF(AND(FP342="Да",OR(FD342="Да",FE342="Да",FI342="Да")),"Бор",IF(AND(FS342="Да",FE342="Да"),"Бор,Медь",IF(AND(OR(FJ342="Да",FK342="Да",FL342="Да"),FE342="Да",Исходн.данные.!I342&lt;5,FT342="Да",FU342="Да"),"Молибден,Цинк",IF(AND(FM342="Да",OR(FE342="Да",FF342="Да",FG342="Да",FH342="Да",FI342="Да")),"Молибден,Цинк",IF(AND(OR(FJ342="Да",FK342="Да",FL342="Да",FM342="Да",FQ342="Да"),OR(FE342="Да",FF342="Да"),FT342="Да",FU342="Да",Исходн.данные.!I342&gt;5.5),"Медь,Цинк",FC342))))))</f>
        <v>#N/A</v>
      </c>
      <c r="FC342" s="23" t="e">
        <f t="shared" si="408"/>
        <v>#N/A</v>
      </c>
      <c r="FD342" s="38" t="str">
        <f>IF(OR(Исходн.данные.!F342=$CC$1,Исходн.данные.!F342=$CC$2,Исходн.данные.!F342=$CC$3,Исходн.данные.!F342=$CC$4),"Да","Нет")</f>
        <v>Нет</v>
      </c>
      <c r="FE342" s="38" t="str">
        <f>IF(Исходн.данные.!F342=$CC$5,"Да","Нет")</f>
        <v>Нет</v>
      </c>
      <c r="FF342" s="38" t="str">
        <f>IF(OR(Исходн.данные.!F342=$CC$6,Исходн.данные.!F342=$CC$7),"Да","Нет")</f>
        <v>Нет</v>
      </c>
      <c r="FG342" s="38" t="str">
        <f>IF(OR(Исходн.данные.!F342=$CC$8,Исходн.данные.!F342=$CC$9),"Да","Нет")</f>
        <v>Нет</v>
      </c>
      <c r="FH342" s="38" t="str">
        <f>IF(Исходн.данные.!F342=$CC$10,"Да","Нет")</f>
        <v>Нет</v>
      </c>
      <c r="FI342" s="38" t="str">
        <f>IF(OR(Исходн.данные.!F342=$CC$11,Исходн.данные.!F342=$CC$12),"Да","Нет")</f>
        <v>Нет</v>
      </c>
      <c r="FJ342" s="38" t="str">
        <f>IF(OR(Исходн.данные.!AH342=$BS$1,Исходн.данные.!AH342=$BQ$11,Исходн.данные.!AH342=$BQ$12),"Да","Нет")</f>
        <v>Нет</v>
      </c>
      <c r="FK342" s="38" t="str">
        <f>IF(OR(Исходн.данные.!AH342=$BS$2,Исходн.данные.!AH342=$BS$4),"Да","Нет")</f>
        <v>Нет</v>
      </c>
      <c r="FL342" s="38" t="str">
        <f>IF(OR(Исходн.данные.!AH342=$BS$3,Исходн.данные.!AH342=$BS$5),"Да","Нет")</f>
        <v>Нет</v>
      </c>
      <c r="FM342" s="38" t="str">
        <f>IF(OR(Исходн.данные.!AH342=$BS$9,Исходн.данные.!AH342=$BS$10,Исходн.данные.!AH342=$BS$11,Исходн.данные.!AH342=$BS$12),"Да","Нет")</f>
        <v>Нет</v>
      </c>
      <c r="FN342" s="38" t="str">
        <f>IF(OR(Исходн.данные.!AH342=$BS$6,Исходн.данные.!AH342=$BP$3),"Да","Нет")</f>
        <v>Нет</v>
      </c>
      <c r="FO342" s="38" t="str">
        <f>IF(Исходн.данные.!AH342=$BQ$9,"Да","Нет")</f>
        <v>Нет</v>
      </c>
      <c r="FP342" s="38" t="str">
        <f>IF(OR(Исходн.данные.!AH342=$BS$8,Исходн.данные.!AH342=$BT$8),"Да","Нет")</f>
        <v>Нет</v>
      </c>
      <c r="FQ342" s="38" t="str">
        <f>IF(OR(Исходн.данные.!AH342=$BQ$7,Исходн.данные.!AH342=$BQ$8),"Да","Нет")</f>
        <v>Нет</v>
      </c>
      <c r="FR342" s="38" t="str">
        <f>IF(Исходн.данные.!AI342=$BU$9,"Да","Нет")</f>
        <v>Нет</v>
      </c>
      <c r="FS342" s="38" t="str">
        <f>IF(OR(Исходн.данные.!AH342=$BP$1,Исходн.данные.!AH342=$BP$2),"Да","Нет")</f>
        <v>Нет</v>
      </c>
      <c r="FT342" s="38" t="e">
        <f>IF((Исходн.данные.!K342*GO342*GS342*GW342+BL342*0.6+Исходн.данные.!Q342*4.5*0.275)&gt;90,"Да","Нет")</f>
        <v>#N/A</v>
      </c>
      <c r="FU342" s="38" t="e">
        <f>IF((Исходн.данные.!M342*GS342*GZ342+BM342*0.225)&gt;35,"Да","Нет")</f>
        <v>#N/A</v>
      </c>
      <c r="FV342" s="38" t="str">
        <f>IF(Исходн.данные.!O342&gt;175,"Да","Нет")</f>
        <v>Нет</v>
      </c>
      <c r="FW342" s="39" t="str">
        <f>IF(Исходн.данные.!I342&gt;5.5,"Да","Нет")</f>
        <v>Нет</v>
      </c>
      <c r="FX342" s="39" t="str">
        <f>IF(Исходн.данные.!J342&lt;2,"Да","Нет")</f>
        <v>Да</v>
      </c>
      <c r="FY342" s="39" t="e">
        <f>IF(HF342=$FY$16,0,Исходн.данные.!K342*GO342*GS342*GW342/HF342)</f>
        <v>#N/A</v>
      </c>
      <c r="FZ342" s="39" t="e">
        <f>Исходн.данные.!M342*GS342*GZ342/HG342</f>
        <v>#N/A</v>
      </c>
      <c r="GA342" s="39" t="e">
        <f>IF(K_Wyn=$FY$16,0,IF(Исходн.данные.!N342=Исходн.данные.!$L$10,Исходн.данные.!O342/1.1*GS342*HC342/HH342,IF(Исходн.данные.!N342=Исходн.данные.!$L$12,Исходн.данные.!O342/1.5*GS342*HC342/HH342,Исходн.данные.!O342*GS342*HC342/HH342)))</f>
        <v>#N/A</v>
      </c>
      <c r="GB342" s="39" t="e">
        <f>IF(HF342=$FY$16,0,((Исходн.данные.!Q342*N_Org+Исходн.данные.!R342*N_Sider+Исходн.данные.!S342*N_Soloma)*AO342+Расчет!BC342*VLOOKUP(Исходн.данные.!T342,Справ!$A$3:$O$57,15)*AO342+BB342*VLOOKUP(Исходн.данные.!T342,Справ!$A$3:$O$57,15)*AL342+(Исходн.данные.!V342*N_Rizotorf+Исходн.данные.!W342*N_Rizoagr))/HF342)</f>
        <v>#N/A</v>
      </c>
      <c r="GC342" s="39" t="e">
        <f>IF(HG342=$FY$16,0,((Исходн.данные.!Q342*Р_Org+Исходн.данные.!R342*P_Sider+Исходн.данные.!S342*P_Soloma)*AP342+Расчет!BC342*VLOOKUP(Исходн.данные.!T342,Справ!$A$3:$P$57,16)*AP342+BB342*VLOOKUP(Исходн.данные.!T342,Справ!$A$3:$P$57,16)*AM342)/HG342)</f>
        <v>#N/A</v>
      </c>
      <c r="GD342" s="39" t="e">
        <f>IF(HH342=$FY$16,0,((Исходн.данные.!Q342*К_Org+Исходн.данные.!R342*K_Sider+Исходн.данные.!S342*K_Soloma)*AQ342+Расчет!BC342*VLOOKUP(Исходн.данные.!T342,Справ!$A$3:$Q$57,17)*AQ342+BB342*VLOOKUP(Исходн.данные.!T342,Справ!$A$3:$Q$57,17)*AN342)/HH342)</f>
        <v>#N/A</v>
      </c>
      <c r="GE342" s="39" t="e">
        <f>IF(HF342=$FY$16,0,(Исходн.данные.!X342*AR342+Исходн.данные.!AA342*N_Org*AL342+Исходн.данные.!AB342*N_Sider*AL342+Исходн.данные.!AC342*N_Soloma*AL342)/HF342)</f>
        <v>#N/A</v>
      </c>
      <c r="GF342" s="39" t="e">
        <f>IF(HG342=$FY$16,0,(Исходн.данные.!Y342*AS342+Исходн.данные.!AA342*Р_Org*AM342+Исходн.данные.!AB342*P_Sider*AM342+Исходн.данные.!AC342*P_Soloma*AM342)/HG342)</f>
        <v>#N/A</v>
      </c>
      <c r="GG342" s="39" t="e">
        <f>IF(HH342=$FY$16,0,(Исходн.данные.!Z342*AT342+Исходн.данные.!AA342*К_Org*AN342+Исходн.данные.!AB342*K_Sider*AN342+Исходн.данные.!AC342*K_Soloma*AN342)/HH342)</f>
        <v>#N/A</v>
      </c>
      <c r="GH342" s="39" t="e">
        <f>Исходн.данные.!AD342*AU342/HF342</f>
        <v>#N/A</v>
      </c>
      <c r="GI342" s="39" t="e">
        <f>Исходн.данные.!AE342*AV342/HG342</f>
        <v>#N/A</v>
      </c>
      <c r="GJ342" s="39" t="e">
        <f>Исходн.данные.!AF342*AW342/HH342</f>
        <v>#N/A</v>
      </c>
      <c r="GK342" s="55">
        <f>Исходн.данные.!AK342</f>
        <v>0</v>
      </c>
      <c r="GL342" s="11" t="e">
        <f t="shared" si="409"/>
        <v>#N/A</v>
      </c>
      <c r="GM342" s="11" t="e">
        <f t="shared" si="410"/>
        <v>#N/A</v>
      </c>
      <c r="GN342" s="11" t="e">
        <f t="shared" si="411"/>
        <v>#N/A</v>
      </c>
      <c r="GO342" s="57">
        <f t="shared" si="412"/>
        <v>19</v>
      </c>
      <c r="GP342" s="55">
        <f>IF(OR(Исходн.данные.!F342=$CE$1,Исходн.данные.!F342=$CE$2,Исходн.данные.!F342=$CE$3,Исходн.данные.!F342=$CE$4,Исходн.данные.!F342=$CE$5),GQ342,GR342)</f>
        <v>19</v>
      </c>
      <c r="GQ342" s="55">
        <f>IF(Исходн.данные.!F342=$CE$1,28,IF(Исходн.данные.!F342=$CE$2,26,IF(Исходн.данные.!F342=$CE$3,24,IF(Исходн.данные.!F342=$CE$4,22,IF(Исходн.данные.!F342=$CE$5,20,GR342)))))</f>
        <v>19</v>
      </c>
      <c r="GR342" s="55">
        <f>IF(Исходн.данные.!F342=$CE$6,18,IF(Исходн.данные.!F342=$CE$7,16,IF(Исходн.данные.!F342=$CE$8,14,IF(Исходн.данные.!F342=$CE$9,13,IF(Исходн.данные.!F342=$CE$10,12,19)))))</f>
        <v>19</v>
      </c>
      <c r="GS342" s="55">
        <f>IF(Исходн.данные.!G342="Пес",0.035*(40+2*Исходн.данные.!H342),IF(Исходн.данные.!G342="Суп",0.0325*(40+2*Исходн.данные.!H342),0.03*(40+2*Исходн.данные.!H342)))</f>
        <v>1.2</v>
      </c>
      <c r="GT342" s="55">
        <f>IF(Исходн.данные.!H342&lt;23,2.6,IF(AND(Исходн.данные.!H342&gt;22,Исходн.данные.!H342&lt;26),3,IF(AND(Исходн.данные.!H342&gt;25,Исходн.данные.!H342&lt;29),3.4,3.6)))</f>
        <v>2.6</v>
      </c>
      <c r="GU342" s="55">
        <f>IF(Исходн.данные.!H342&lt;23,2.8,IF(AND(Исходн.данные.!H342&gt;22,Исходн.данные.!H342&lt;26),3.2,IF(AND(Исходн.данные.!H342&gt;25,Исходн.данные.!H342&lt;29),3.6,3.9)))</f>
        <v>2.8</v>
      </c>
      <c r="GV342" s="55">
        <f>IF(Исходн.данные.!H342&lt;23,3,IF(AND(Исходн.данные.!H342&gt;22,Исходн.данные.!H342&lt;26),3.5,IF(AND(Исходн.данные.!H342&gt;25,Исходн.данные.!H342&lt;29),3.9,4.2)))</f>
        <v>3</v>
      </c>
      <c r="GW342" s="55" t="e">
        <f>IF(Исходн.данные.!P342="Ум",GX342,GY342)</f>
        <v>#N/A</v>
      </c>
      <c r="GX342" s="55" t="e">
        <f>VLOOKUP(Исходн.данные.!AI342,Коэффициенты!$J$7:$L$13,2,FALSE)</f>
        <v>#N/A</v>
      </c>
      <c r="GY342" s="55" t="e">
        <f>VLOOKUP(Исходн.данные.!AI342,Коэффициенты!$J$7:$L$13,3,FALSE)</f>
        <v>#N/A</v>
      </c>
      <c r="GZ342" s="55" t="e">
        <f>(IF(Исходн.данные.!M342&lt;50,0.11*VLOOKUP(Исходн.данные.!AH342,Культуры.Информация,7,FALSE),IF(Исходн.данные.!M342&gt;250,0.05*VLOOKUP(Исходн.данные.!AH342,Культуры.Информация,7,FALSE),VLOOKUP(Исходн.данные.!AH342,Культуры.Информация,5,FALSE)/100*($GX$6+$GY$6*Исходн.данные.!M342))))*Расчет2!AI342</f>
        <v>#N/A</v>
      </c>
      <c r="HA342" s="211"/>
      <c r="HB342" s="211"/>
      <c r="HC342" s="55" t="e">
        <f>(IF(Исходн.данные.!O342&lt;80,0.2*VLOOKUP(Исходн.данные.!AH342,Культуры.Информация,8,FALSE),IF(Исходн.данные.!O342&gt;240,0.09*VLOOKUP(Исходн.данные.!AH342,Культуры.Информация,8,FALSE),VLOOKUP(Исходн.данные.!AH342,Культуры.Информация,6,FALSE)/100*($HB$6+$HC$6*Исходн.данные.!O342))))*Расчет2!AJ342</f>
        <v>#N/A</v>
      </c>
      <c r="HD342" s="55">
        <f>IF(Исходн.данные.!O342&gt;240,0.09,IF(Исходн.данные.!O342&lt;30,0.3,$HE$10+$HD$10*Исходн.данные.!O342))</f>
        <v>0.3</v>
      </c>
      <c r="HE342" s="55">
        <f>IF(Исходн.данные.!O342&gt;240,0.17,IF(Исходн.данные.!O342&lt;30,0.5,$HF$12+$HE$12*Исходн.данные.!O342))</f>
        <v>0.5</v>
      </c>
      <c r="HF342" s="55" t="e">
        <f>VLOOKUP(Исходн.данные.!AH342,Справ!$A$3:$D$58,2,FALSE)</f>
        <v>#N/A</v>
      </c>
      <c r="HG342" s="55" t="e">
        <f>VLOOKUP(Исходн.данные.!AH342,Справ!$A$3:$D$58,3,FALSE)</f>
        <v>#N/A</v>
      </c>
      <c r="HH342" s="55" t="e">
        <f>VLOOKUP(Исходн.данные.!AH342,Справ!$A$3:$D$58,4,FALSE)</f>
        <v>#N/A</v>
      </c>
      <c r="HI342" s="11" t="e">
        <f t="shared" si="413"/>
        <v>#N/A</v>
      </c>
      <c r="HJ342" s="11" t="e">
        <f t="shared" si="414"/>
        <v>#N/A</v>
      </c>
      <c r="HK342" s="11" t="e">
        <f t="shared" si="415"/>
        <v>#N/A</v>
      </c>
      <c r="HL342" s="55">
        <f>IF(OR(Исходн.данные.!G342="Глин",Исходн.данные.!G342="Т_суг"),1.1,IF(Исходн.данные.!G342="Ср_суг",1,1))</f>
        <v>1</v>
      </c>
      <c r="HM342" s="55">
        <f>IF(OR(Исходн.данные.!G342="Глин",Исходн.данные.!G342="Т_суг"),0.9,IF(Исходн.данные.!G342="Ср_суг",1,1.2))</f>
        <v>1.2</v>
      </c>
      <c r="HN342" s="11" t="e">
        <f t="shared" si="416"/>
        <v>#N/A</v>
      </c>
      <c r="HO342" s="11" t="e">
        <f t="shared" si="417"/>
        <v>#N/A</v>
      </c>
      <c r="HP342" s="11" t="e">
        <f t="shared" si="418"/>
        <v>#N/A</v>
      </c>
      <c r="HQ342" t="e">
        <f t="shared" si="419"/>
        <v>#N/A</v>
      </c>
      <c r="HR342" t="e">
        <f t="shared" si="420"/>
        <v>#N/A</v>
      </c>
      <c r="HS342" t="e">
        <f t="shared" si="421"/>
        <v>#N/A</v>
      </c>
      <c r="HT342" t="e">
        <f t="shared" ref="HT342:HT349" si="441">GK342-HN342</f>
        <v>#N/A</v>
      </c>
      <c r="HU342" t="e">
        <f t="shared" ref="HU342:HU349" si="442">GK342-HO342</f>
        <v>#N/A</v>
      </c>
      <c r="HV342" t="e">
        <f t="shared" ref="HV342:HV349" si="443">GK342-HP342</f>
        <v>#N/A</v>
      </c>
      <c r="HW342" t="e">
        <f t="shared" ref="HW342:HW349" si="444">IF(GK342=0,HI342,HT342)</f>
        <v>#N/A</v>
      </c>
      <c r="HX342" t="e">
        <f t="shared" ref="HX342:HX349" si="445">IF(GK342=0,HJ342,HU342)</f>
        <v>#N/A</v>
      </c>
      <c r="HY342" t="e">
        <f t="shared" ref="HY342:HY349" si="446">IF(GK342=0,HK342,HV342)</f>
        <v>#N/A</v>
      </c>
      <c r="HZ342" s="55">
        <f>IF(OR(Исходн.данные.!AI342="Оз_Ч_П",Исходн.данные.!AI342="Оз_З_П",Исходн.данные.!AI342="Яр_зер"),12,30)</f>
        <v>30</v>
      </c>
      <c r="IA342" t="e">
        <f t="shared" si="422"/>
        <v>#N/A</v>
      </c>
      <c r="IB342" t="e">
        <f t="shared" si="423"/>
        <v>#N/A</v>
      </c>
      <c r="IC342" t="e">
        <f t="shared" si="424"/>
        <v>#N/A</v>
      </c>
      <c r="ID342" s="11" t="e">
        <f t="shared" si="425"/>
        <v>#N/A</v>
      </c>
      <c r="IE342" s="11" t="e">
        <f t="shared" si="426"/>
        <v>#N/A</v>
      </c>
      <c r="IF342" s="11" t="e">
        <f t="shared" si="427"/>
        <v>#N/A</v>
      </c>
    </row>
    <row r="343" spans="35:240" x14ac:dyDescent="0.2">
      <c r="AI343">
        <f>IF(Исходн.данные.!I343&gt;6,1,1.85-(0.148*Исходн.данные.!I343))</f>
        <v>1.85</v>
      </c>
      <c r="AJ343">
        <f>IF(Исходн.данные.!I343&gt;6,1,2.434-(0.246*Исходн.данные.!I343))</f>
        <v>2.4340000000000002</v>
      </c>
      <c r="AL343" s="148" t="b">
        <f>IF(Исходн.данные.!$P343="Ум",N_OrgUd_2g_um,IF(Исходн.данные.!$P343="Об",N_OrgUd_2g_ob))</f>
        <v>0</v>
      </c>
      <c r="AM343" s="148" t="b">
        <f>IF(Исходн.данные.!$P343="Ум",P_OrgUd_2g_um,IF(Исходн.данные.!$P343="Об",P_OrgUd_2g_ob))</f>
        <v>0</v>
      </c>
      <c r="AN343" s="148" t="b">
        <f>IF(Исходн.данные.!$P343="Ум",K_OrgUd_2g_um,IF(Исходн.данные.!$P343="Об",K_OrgUd_2g_ob))</f>
        <v>0</v>
      </c>
      <c r="AO343" s="148" t="b">
        <f>IF(Исходн.данные.!$P343="Ум",N_OrgUd_1g_um,IF(Исходн.данные.!$P343="Об",N_OrgUd_1g_ob))</f>
        <v>0</v>
      </c>
      <c r="AP343" s="148" t="b">
        <f>IF(Исходн.данные.!$P343="Ум",P_OrgUd_1g_um,IF(Исходн.данные.!$P343="Об",P_OrgUd_1g_ob))</f>
        <v>0</v>
      </c>
      <c r="AQ343" s="148" t="b">
        <f>IF(Исходн.данные.!$P343="Ум",K_OrgUd_1g_um,IF(Исходн.данные.!$P343="Об",K_OrgUd_1g_ob))</f>
        <v>0</v>
      </c>
      <c r="AR343" t="b">
        <f>IF(Исходн.данные.!$P343="Ум",N_MinUd_2g_um,IF(Исходн.данные.!$P343="Об",N_MinUd_2g_ob))</f>
        <v>0</v>
      </c>
      <c r="AS343" t="b">
        <f>IF(Исходн.данные.!$P343="Ум",P_MinUd_2g_um,IF(Исходн.данные.!$P343="Об",P_MinUd_2g_ob))</f>
        <v>0</v>
      </c>
      <c r="AT343" t="b">
        <f>IF(Исходн.данные.!$P343="Ум",K_MinUd_2g_um,IF(Исходн.данные.!$P343="Об",K_MinUd_2g_ob))</f>
        <v>0</v>
      </c>
      <c r="AU343" t="b">
        <f>IF(Исходн.данные.!$P343="Ум",N_MinUd_1g_um,IF(Исходн.данные.!$P343="Об",N_MinUd_1g_ob))</f>
        <v>0</v>
      </c>
      <c r="AV343" t="b">
        <f>IF(Исходн.данные.!P343="Ум",P_MinUd_1g_um,IF(Исходн.данные.!P343="Об",P_MinUd_1g_ob))</f>
        <v>0</v>
      </c>
      <c r="AW343" t="b">
        <f>IF(Исходн.данные.!P343="Ум",K_MinUd_1g_um,IF(Исходн.данные.!P343="Об",K_MinUd_1g_ob))</f>
        <v>0</v>
      </c>
      <c r="AY343" t="e">
        <f>VLOOKUP(Исходн.данные.!T343,Справ!$A$3:$N$57,12)</f>
        <v>#N/A</v>
      </c>
      <c r="AZ343" t="e">
        <f>VLOOKUP(Исходн.данные.!T343,Справ!$A$3:$N$57,13)</f>
        <v>#N/A</v>
      </c>
      <c r="BA343" t="e">
        <f>VLOOKUP(Исходн.данные.!T343,Справ!$A$3:$N$57,14)</f>
        <v>#N/A</v>
      </c>
      <c r="BB343">
        <f>IF(Исходн.данные.!AH343=0,0,25)</f>
        <v>0</v>
      </c>
      <c r="BC343" s="141">
        <f>IF(Исходн.данные.!AH343=0,0,IF(Исходн.данные.!T343=0,25,BD343))</f>
        <v>0</v>
      </c>
      <c r="BD343" s="168" t="e">
        <f>AY343+AZ343*Исходн.данные.!U343-POWER(BA343,2)*Исходн.данные.!U343</f>
        <v>#N/A</v>
      </c>
      <c r="BE343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3" s="25">
        <f>IF(Исходн.данные.!AH343=0,0,MIN(HN343:HP343))</f>
        <v>0</v>
      </c>
      <c r="BG343" s="9">
        <f>IF(Исходн.данные.!AH343=0,0,IF((HO343+10*0.25/HG343/HL343)&lt;17,17,HO343+10*0.25/HG343/HL343))</f>
        <v>0</v>
      </c>
      <c r="BH343" s="181">
        <f>IF(Исходн.данные.!AH343=0,0,HW343*HF343*HL343/AU343*AI343+Исходн.данные.!S343*10)</f>
        <v>0</v>
      </c>
      <c r="BI343" s="10"/>
      <c r="BJ343" s="182">
        <f>IF(Исходн.данные.!AH343=0,0,IF(HX343*HG343*HL343/AV343&lt;0,0,HX343*HG343*HL343/AV343*AJ343))</f>
        <v>0</v>
      </c>
      <c r="BK343" s="182">
        <f>IF(Исходн.данные.!AH343=0,0,HY343*HH343*HM343/AW343)</f>
        <v>0</v>
      </c>
      <c r="BL343" s="10">
        <f>IF(OR(Исходн.данные.!$AH343=$BP$1,Исходн.данные.!$AH343=$BP$2),0,IF(BH343&lt;0,0,IF(OR(Исходн.данные.!T343=Расчет!$BP$1,Исходн.данные.!T343=Расчет!$BP$2,Исходн.данные.!T343=Расчет!$BT$5,Исходн.данные.!T343=Расчет!$BT$6),BH343*0.5,IF(OR(Исходн.данные.!T343=Расчет!$BS$9,Исходн.данные.!T343=Расчет!$BS$10,Исходн.данные.!T343=Расчет!$BS$11,Исходн.данные.!T343=Расчет!$BS$12,Исходн.данные.!T343=Расчет!$BP$5),BH343*0.8,BH343))))</f>
        <v>0</v>
      </c>
      <c r="BM343" s="10">
        <f>IF(OR(Исходн.данные.!$AH343=$BP$1,Исходн.данные.!$AH343=$BP$2),0,IF(BJ343&lt;0,0,IF(Исходн.данные.!I343&lt;4.5,BJ343*1.2,IF(Исходн.данные.!I343&gt;5.1,BJ343,BJ343*((5.1-Исходн.данные.!I343)*0.333+1)))))</f>
        <v>0</v>
      </c>
      <c r="BN343" s="10">
        <f>IF(OR(Исходн.данные.!$AH343=$BP$1,Исходн.данные.!$AH343=$BP$2),60-Исходн.данные.!AF343,IF(BK343&lt;0,0,IF(Исходн.данные.!I343&lt;4.5,BK343*1.2,IF(Исходн.данные.!I343&gt;5.1,BK343,BK343*((5.1-Исходн.данные.!I343)*0.333+1)))))</f>
        <v>0</v>
      </c>
      <c r="BO343" s="9">
        <f>IF(BL343&lt;0,0,BL343*Исходн.данные.!$AJ343/1000)</f>
        <v>0</v>
      </c>
      <c r="BP343" s="9">
        <f>IF(BM343&lt;0,0,BM343*Исходн.данные.!$AJ343/1000)</f>
        <v>0</v>
      </c>
      <c r="BQ343" s="9">
        <f>IF(BN343&lt;0,0,BN343*Исходн.данные.!$AJ343/1000)</f>
        <v>0</v>
      </c>
      <c r="BR343" s="9">
        <f t="shared" si="377"/>
        <v>0</v>
      </c>
      <c r="BS343" s="10" t="str">
        <f t="shared" si="378"/>
        <v>Аммофос 12:52:00</v>
      </c>
      <c r="BT343" s="10" t="str">
        <f t="shared" si="379"/>
        <v>Аммофос 12:52:00</v>
      </c>
      <c r="BU343" s="10" t="str">
        <f t="shared" si="380"/>
        <v>Диаммофоска</v>
      </c>
      <c r="BV343" s="10">
        <f t="shared" si="381"/>
        <v>0</v>
      </c>
      <c r="BW343" s="10"/>
      <c r="BX343" s="10"/>
      <c r="BY343" s="9">
        <f>IF(BL343&lt;0,0,IF(OR(Исходн.данные.!AI343=Расчет!$BU$6,Исходн.данные.!AI343=Расчет!$BU$7),Расчет!BV343,IF(Исходн.данные.!$AG343=$BV$11,BL343,IF(OR(Исходн.данные.!$AH343=$BQ$7,Исходн.данные.!$AH343=$BQ$8),CB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0,IF(Исходн.данные.!$AI343=$BU$11,"Нет",IF(BL343&gt;30,30,BL343)))))))</f>
        <v>0</v>
      </c>
      <c r="BZ343" s="9">
        <f>IF(AND(Исходн.данные.!$AG343=$BV$11,BM343&lt;10),10,IF(Исходн.данные.!$AG343=$BV$11,BM343,IF(OR(Исходн.данные.!$AH343=$BQ$7,Исходн.данные.!$AH343=$BQ$8),CC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10,IF(Исходн.данные.!$AI343=$BU$11,"Нет",IF(BM343&gt;60,60,IF(BM343&lt;10,10,BM343)))))))</f>
        <v>10</v>
      </c>
      <c r="CA343" s="39">
        <f>IF(BN343&lt;0,0,IF(Исходн.данные.!$AG343=$BV$11,BN343,IF(OR(Исходн.данные.!$AH343=$BQ$7,Исходн.данные.!$AH343=$BQ$8),CD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0,IF(Исходн.данные.!$AI343=$BU$11,"Нет",IF(BN343&gt;30,30,BN343))))))</f>
        <v>0</v>
      </c>
      <c r="CB343" s="9">
        <f t="shared" si="382"/>
        <v>0</v>
      </c>
      <c r="CC343" s="9">
        <f t="shared" si="383"/>
        <v>0</v>
      </c>
      <c r="CD343" s="9">
        <f t="shared" si="384"/>
        <v>0</v>
      </c>
      <c r="CE343" s="12">
        <f t="shared" si="385"/>
        <v>10</v>
      </c>
      <c r="CF343" s="9">
        <f t="shared" si="386"/>
        <v>0</v>
      </c>
      <c r="CG343" s="9" t="s">
        <v>231</v>
      </c>
      <c r="CH343" s="132" t="str">
        <f>IF(Исходн.данные.!AP343=Расчет!$CI$16,"Нет",IF(Исходн.данные.!AL343&gt;0,Исходн.данные.!AL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BH$4,IF(OR(Исходн.данные.!AI343=Исходн.данные.!$AI$6,Исходн.данные.!AI343=Исходн.данные.!$AI$7),Расчет!BS343,IF(AND($CF343=0,$CE343&gt;0),EV343,ER343)))))</f>
        <v>Аммофос 12:52:00</v>
      </c>
      <c r="CI343" s="274">
        <f>IF(Расчет!$CH343="Нет","Нет",IF(Исходн.данные.!$AL343&gt;0,VLOOKUP(Расчет!$CH343,АшламаДВ_Irekle,2,FALSE),VLOOKUP(Расчет!$CH343,АшламаДВ_Gomumy,2,FALSE)))</f>
        <v>0.12</v>
      </c>
      <c r="CJ343" s="274">
        <f>IF(Расчет!$CH343="Нет","Нет",IF(Исходн.данные.!$AL343&gt;0,VLOOKUP(Расчет!$CH343,АшламаДВ_Irekle,3,FALSE),VLOOKUP(Расчет!$CH343,АшламаДВ_Gomumy,3,FALSE)))</f>
        <v>0.52</v>
      </c>
      <c r="CK343" s="274">
        <f>IF(Расчет!$CH343="Нет","Нет",IF(Исходн.данные.!$AL343&gt;0,VLOOKUP(Расчет!$CH343,АшламаДВ_Irekle,4,FALSE),VLOOKUP(Расчет!$CH343,АшламаДВ_Gomumy,4,FALSE)))</f>
        <v>0</v>
      </c>
      <c r="CL343" s="70"/>
      <c r="CM343" s="70"/>
      <c r="CN343" s="70"/>
      <c r="CO343" s="70"/>
      <c r="CP343" s="70"/>
      <c r="CQ343" s="70"/>
      <c r="CR343" s="10">
        <f t="shared" si="387"/>
        <v>0</v>
      </c>
      <c r="CS343" s="10">
        <f t="shared" si="388"/>
        <v>19.23076923076923</v>
      </c>
      <c r="CT343" s="10">
        <f t="shared" si="389"/>
        <v>0</v>
      </c>
      <c r="CU343" s="39">
        <f>IF($CH343="Нет",0,IF(CI343=0,30/MIN(CJ343:CK343),IF(Исходн.данные.!$AG343=$BV$11,CR343,IF(OR(Исходн.данные.!$AH343=$BQ$7,Исходн.данные.!$AH343=$BQ$8),90/CI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0,IF(Исходн.данные.!$AI343=$BU$11,"Нет",30/CI343))))))</f>
        <v>250</v>
      </c>
      <c r="CV343" s="39">
        <f>IF($CH343="Нет",0,IF(Исходн.данные.!AH343=0,0,IF(CJ343=0,60/MIN(CI343,CK343),IF(Исходн.данные.!$AG343=$BV$11,CS343,IF(OR(Исходн.данные.!$AH343=$BQ$7,Исходн.данные.!$AH343=$BQ$8),90/CJ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10/CJ343,IF(Исходн.данные.!$AI343=$BU$11,"Нет",60/CJ343)))))))</f>
        <v>0</v>
      </c>
      <c r="CW343" s="39">
        <f>IF($CH343="Нет",0,IF(Исходн.данные.!AH343=0,0,IF(CK343=0,30/MIN(CI343:CJ343),IF(Исходн.данные.!$AG343=$BV$11,CT343,IF(OR(Исходн.данные.!$AH343=$BQ$7,Исходн.данные.!$AH343=$BQ$8),90/CK343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0,IF(Исходн.данные.!$AI343=$BU$11,"Нет",30/CK343)))))))</f>
        <v>0</v>
      </c>
      <c r="CX343" s="133">
        <f>IF(Исходн.данные.!$AG343=$BV$11,MAX(CU343:CW343),IF(OR(Исходн.данные.!$AH343=$BS$8,Исходн.данные.!$AH343=$BQ$9,Исходн.данные.!$AH343=$BQ$10,Исходн.данные.!$AH343=$BQ$11,Исходн.данные.!$AH343=$BQ$12,Исходн.данные.!$AH343=$BP$3,Исходн.данные.!$AH343=$BT$8,$FM343="Да"),CV343,MIN(CU343:CW343)))</f>
        <v>0</v>
      </c>
      <c r="CY343" s="133">
        <f>IF(Исходн.данные.!AH343=0,0,IF(CR343&gt;$CX343,$CX343,CR343))</f>
        <v>0</v>
      </c>
      <c r="CZ343" s="133">
        <f>IF(Исходн.данные.!AH343=0,0,IF(CS343&gt;$CX343,$CX343,CS343))</f>
        <v>0</v>
      </c>
      <c r="DA343" s="133">
        <f>IF(Исходн.данные.!AH343=0,0,IF(CT343&gt;$CX343,$CX343,CT343))</f>
        <v>0</v>
      </c>
      <c r="DB343" s="10">
        <f t="shared" si="390"/>
        <v>0</v>
      </c>
      <c r="DC343" s="39">
        <f>DB343*Исходн.данные.!AJ343/1000</f>
        <v>0</v>
      </c>
      <c r="DD343" s="71">
        <f t="shared" si="391"/>
        <v>0</v>
      </c>
      <c r="DE343" s="9">
        <f t="shared" si="392"/>
        <v>0</v>
      </c>
      <c r="DF343" s="9">
        <f t="shared" si="393"/>
        <v>0</v>
      </c>
      <c r="DG343" s="39">
        <f>IF(BL343&lt;0,0,IF($CH343="Нет",BL343,IF(OR(Исходн.данные.!$AH343=$BP$1,Исходн.данные.!$AH343=$BP$2),0,IF(Исходн.данные.!AI343=$BU$11,BL343,IF(BL343-DD343&lt;0,0,BL343-DD343)))))</f>
        <v>0</v>
      </c>
      <c r="DH343" s="39">
        <f>IF(BM343&lt;0,0,IF($CH343="Нет",BM343,IF(OR(Исходн.данные.!$AH343=$BP$1,Исходн.данные.!$AH343=$BP$2),0,IF(Исходн.данные.!AJ343=$BU$11,BM343,IF(BM343-DE343&lt;0,0,BM343-DE343)))))</f>
        <v>0</v>
      </c>
      <c r="DI343" s="39">
        <f>IF(BN343&lt;0,0,IF($CH343="Нет",BN343,IF(OR(Исходн.данные.!$AH343=$BP$1,Исходн.данные.!$AH343=$BP$2),0,IF(Исходн.данные.!AK343=$BU$11,BN343,IF(BN343-DF343&lt;0,0,BN343-DF343)))))</f>
        <v>0</v>
      </c>
      <c r="DJ343" s="12">
        <f t="shared" si="394"/>
        <v>0</v>
      </c>
      <c r="DK343" s="9">
        <f t="shared" si="395"/>
        <v>0</v>
      </c>
      <c r="DL343" s="39">
        <f>IF(Исходн.данные.!AM343&gt;0,Исходн.данные.!AM343,IF(EG343&gt;0,$BH$10,0))</f>
        <v>0</v>
      </c>
      <c r="DM343" s="186">
        <f>IF($DL343=0,0,IF(Исходн.данные.!AM343&gt;0,VLOOKUP($DL343,АшламаДВ_Irekle,2,FALSE),VLOOKUP($DL343,АшламаДВ_Gomumy,2,FALSE)))</f>
        <v>0</v>
      </c>
      <c r="DN343" s="10">
        <f t="shared" ref="DN343:DN349" si="447">IF(DL343=0,0,EG343/DM343)</f>
        <v>0</v>
      </c>
      <c r="DO343" s="9" t="str">
        <f>IF(Исходн.данные.!AN343&gt;0,Исходн.данные.!AN343,Удобрения!$B$37 )</f>
        <v>Хлор.калий</v>
      </c>
      <c r="DP343" s="9">
        <f>IF(Исходн.данные.!AN343&gt;0,VLOOKUP(Исходн.данные.!AN343,АшламаДВ_Irekle,4,FALSE),VLOOKUP(DO343,АшламаДВ_Gomumy,4,FALSE))</f>
        <v>0.6</v>
      </c>
      <c r="DQ343" s="10">
        <f t="shared" ref="DQ343:DQ349" si="448">IF(OR(EH343=0,EH343&lt;0),0,EH343/DP343)</f>
        <v>0</v>
      </c>
      <c r="DR343" s="132" t="str">
        <f>IF(Исходн.данные.!AO343&gt;0,Исходн.данные.!AO343,IF(DH343=0,BS$17,IF(AND($DK343=0,$DJ343&gt;0),EJ343,EN343)))</f>
        <v>Нет</v>
      </c>
      <c r="DS343" s="70" t="str">
        <f>IF($DR343="Нет","Нет",IF(Исходн.данные.!$AO343&gt;0,VLOOKUP($DR343,АшламаДВ_Irekle,2,FALSE),VLOOKUP($DR343,АшламаДВ_Gomumy,2,FALSE)))</f>
        <v>Нет</v>
      </c>
      <c r="DT343" s="70" t="str">
        <f>IF($DR343="Нет","Нет",IF(Исходн.данные.!$AO343&gt;0,VLOOKUP($DR343,АшламаДВ_Irekle,3,FALSE),VLOOKUP($DR343,АшламаДВ_Gomumy,3,FALSE)))</f>
        <v>Нет</v>
      </c>
      <c r="DU343" s="70" t="str">
        <f>IF($DR343="Нет","Нет",IF(Исходн.данные.!$AO343&gt;0,VLOOKUP($DR343,АшламаДВ_Irekle,4,FALSE),VLOOKUP($DR343,АшламаДВ_Gomumy,4,FALSE)))</f>
        <v>Нет</v>
      </c>
      <c r="DV343" s="70"/>
      <c r="DW343" s="70"/>
      <c r="DX343" s="70"/>
      <c r="DY343" s="10">
        <f t="shared" si="396"/>
        <v>0</v>
      </c>
      <c r="DZ343" s="10">
        <f t="shared" si="397"/>
        <v>0</v>
      </c>
      <c r="EA343" s="10">
        <f t="shared" si="398"/>
        <v>0</v>
      </c>
      <c r="EB343" s="10">
        <f t="shared" si="399"/>
        <v>0</v>
      </c>
      <c r="EC343" s="10">
        <f t="shared" si="400"/>
        <v>0</v>
      </c>
      <c r="ED343" s="10">
        <f t="shared" si="401"/>
        <v>0</v>
      </c>
      <c r="EE343" s="10">
        <f t="shared" si="402"/>
        <v>0</v>
      </c>
      <c r="EF343" s="39">
        <f>EB343*Исходн.данные.!AJ343/1000</f>
        <v>0</v>
      </c>
      <c r="EG343" s="9">
        <f t="shared" si="403"/>
        <v>0</v>
      </c>
      <c r="EH343" s="9">
        <f t="shared" si="404"/>
        <v>0</v>
      </c>
      <c r="EI343" s="39" t="e">
        <f t="shared" si="428"/>
        <v>#DIV/0!</v>
      </c>
      <c r="EJ343" s="9" t="str">
        <f t="shared" ref="EJ343:EJ349" si="449">IF($DJ343&gt;2.6,BH$4,IF($DJ343&gt;0.9,BH$3,IF($DJ343&gt;0.5,BH$2,BH$1)))</f>
        <v>Азопреципитат</v>
      </c>
      <c r="EK343" s="12">
        <f t="shared" si="429"/>
        <v>0.26</v>
      </c>
      <c r="EL343" s="12">
        <f t="shared" si="430"/>
        <v>0.13</v>
      </c>
      <c r="EM343" s="12">
        <f t="shared" si="431"/>
        <v>0</v>
      </c>
      <c r="EN343" s="12" t="str">
        <f t="shared" ref="EN343:EN349" si="450">IF(DH343=0,"Нет",IF($DK343&gt;1.4,BS$14,IF($DJ343&gt;2.2,BH$9,IF($DJ343&gt;1.5,BH$8,IF($DJ343&gt;1,BH$7,IF($DJ343&gt;0.5,BH$6,BH$5))))))</f>
        <v>Нет</v>
      </c>
      <c r="EO343" s="12">
        <f t="shared" si="432"/>
        <v>0</v>
      </c>
      <c r="EP343" s="12">
        <f t="shared" si="433"/>
        <v>0</v>
      </c>
      <c r="EQ343" s="12">
        <f t="shared" si="434"/>
        <v>0</v>
      </c>
      <c r="ER343" s="12" t="str">
        <f t="shared" si="405"/>
        <v>Диаммофоска</v>
      </c>
      <c r="ES343" s="12">
        <f t="shared" si="435"/>
        <v>0.1</v>
      </c>
      <c r="ET343" s="12">
        <f t="shared" si="436"/>
        <v>0.26</v>
      </c>
      <c r="EU343" s="12">
        <f t="shared" si="437"/>
        <v>0.26</v>
      </c>
      <c r="EV343" s="12" t="str">
        <f t="shared" si="406"/>
        <v>Аммофос 12:52:00</v>
      </c>
      <c r="EW343" s="12" t="str">
        <f t="shared" si="407"/>
        <v>Кемира Свекловичное-6</v>
      </c>
      <c r="EX343" s="12">
        <f t="shared" si="438"/>
        <v>0.16</v>
      </c>
      <c r="EY343" s="12">
        <f t="shared" si="439"/>
        <v>0.12</v>
      </c>
      <c r="EZ343" s="12">
        <f t="shared" si="440"/>
        <v>0.17</v>
      </c>
      <c r="FA343" s="38" t="e">
        <f>IF(AND(OR(FJ343=$FD$1,FM343=$FD$1,FO343=$FD$1,FQ343=$FD$1,FS343=$FD$1),FD343=$FD$1,Исходн.данные.!J343&lt;2,FU343=$FD$1),"Бор,Кобальт",IF(AND(FO343=$FD$1,FH343=$FD$1,Исходн.данные.!J343&lt;2,FU343=$FD$1),"Бор,Кобальт",IF(AND(OR(FJ343=$FD$1,FM343=$FD$1,FQ343=$FD$1),FE343=$FD$1,Исходн.данные.!J343&lt;2,FT343=$FD$1,FU343=$FD$1),"Бор,Медь,Цинк",IF(AND(OR(FJ343=$FD$1,FR343="Да"),FI343="Да",Исходн.данные.!J343&lt;2,FT343="Да",FU343="Да"),"Бор,Цинк,Медь",IF(AND(OR(FM343="Да",FQ343="Да"),FI343="Да",Исходн.данные.!J343&lt;2,FT343="Да",FU343="Да"),"Бор,Цинк",IF(AND(FN343="Да",OR(FD343="Да",FE343="Да")),"Бор",FB343))))))</f>
        <v>#N/A</v>
      </c>
      <c r="FB343" s="134" t="e">
        <f>IF(AND(OR(FD343="Да",FE343="Да",FF343="Да",FG343="Да",FH343="Да"),FO343="Да"),"Бор",IF(AND(FP343="Да",OR(FD343="Да",FE343="Да",FI343="Да")),"Бор",IF(AND(FS343="Да",FE343="Да"),"Бор,Медь",IF(AND(OR(FJ343="Да",FK343="Да",FL343="Да"),FE343="Да",Исходн.данные.!I343&lt;5,FT343="Да",FU343="Да"),"Молибден,Цинк",IF(AND(FM343="Да",OR(FE343="Да",FF343="Да",FG343="Да",FH343="Да",FI343="Да")),"Молибден,Цинк",IF(AND(OR(FJ343="Да",FK343="Да",FL343="Да",FM343="Да",FQ343="Да"),OR(FE343="Да",FF343="Да"),FT343="Да",FU343="Да",Исходн.данные.!I343&gt;5.5),"Медь,Цинк",FC343))))))</f>
        <v>#N/A</v>
      </c>
      <c r="FC343" s="23" t="e">
        <f t="shared" si="408"/>
        <v>#N/A</v>
      </c>
      <c r="FD343" s="38" t="str">
        <f>IF(OR(Исходн.данные.!F343=$CC$1,Исходн.данные.!F343=$CC$2,Исходн.данные.!F343=$CC$3,Исходн.данные.!F343=$CC$4),"Да","Нет")</f>
        <v>Нет</v>
      </c>
      <c r="FE343" s="38" t="str">
        <f>IF(Исходн.данные.!F343=$CC$5,"Да","Нет")</f>
        <v>Нет</v>
      </c>
      <c r="FF343" s="38" t="str">
        <f>IF(OR(Исходн.данные.!F343=$CC$6,Исходн.данные.!F343=$CC$7),"Да","Нет")</f>
        <v>Нет</v>
      </c>
      <c r="FG343" s="38" t="str">
        <f>IF(OR(Исходн.данные.!F343=$CC$8,Исходн.данные.!F343=$CC$9),"Да","Нет")</f>
        <v>Нет</v>
      </c>
      <c r="FH343" s="38" t="str">
        <f>IF(Исходн.данные.!F343=$CC$10,"Да","Нет")</f>
        <v>Нет</v>
      </c>
      <c r="FI343" s="38" t="str">
        <f>IF(OR(Исходн.данные.!F343=$CC$11,Исходн.данные.!F343=$CC$12),"Да","Нет")</f>
        <v>Нет</v>
      </c>
      <c r="FJ343" s="38" t="str">
        <f>IF(OR(Исходн.данные.!AH343=$BS$1,Исходн.данные.!AH343=$BQ$11,Исходн.данные.!AH343=$BQ$12),"Да","Нет")</f>
        <v>Нет</v>
      </c>
      <c r="FK343" s="38" t="str">
        <f>IF(OR(Исходн.данные.!AH343=$BS$2,Исходн.данные.!AH343=$BS$4),"Да","Нет")</f>
        <v>Нет</v>
      </c>
      <c r="FL343" s="38" t="str">
        <f>IF(OR(Исходн.данные.!AH343=$BS$3,Исходн.данные.!AH343=$BS$5),"Да","Нет")</f>
        <v>Нет</v>
      </c>
      <c r="FM343" s="38" t="str">
        <f>IF(OR(Исходн.данные.!AH343=$BS$9,Исходн.данные.!AH343=$BS$10,Исходн.данные.!AH343=$BS$11,Исходн.данные.!AH343=$BS$12),"Да","Нет")</f>
        <v>Нет</v>
      </c>
      <c r="FN343" s="38" t="str">
        <f>IF(OR(Исходн.данные.!AH343=$BS$6,Исходн.данные.!AH343=$BP$3),"Да","Нет")</f>
        <v>Нет</v>
      </c>
      <c r="FO343" s="38" t="str">
        <f>IF(Исходн.данные.!AH343=$BQ$9,"Да","Нет")</f>
        <v>Нет</v>
      </c>
      <c r="FP343" s="38" t="str">
        <f>IF(OR(Исходн.данные.!AH343=$BS$8,Исходн.данные.!AH343=$BT$8),"Да","Нет")</f>
        <v>Нет</v>
      </c>
      <c r="FQ343" s="38" t="str">
        <f>IF(OR(Исходн.данные.!AH343=$BQ$7,Исходн.данные.!AH343=$BQ$8),"Да","Нет")</f>
        <v>Нет</v>
      </c>
      <c r="FR343" s="38" t="str">
        <f>IF(Исходн.данные.!AI343=$BU$9,"Да","Нет")</f>
        <v>Нет</v>
      </c>
      <c r="FS343" s="38" t="str">
        <f>IF(OR(Исходн.данные.!AH343=$BP$1,Исходн.данные.!AH343=$BP$2),"Да","Нет")</f>
        <v>Нет</v>
      </c>
      <c r="FT343" s="38" t="e">
        <f>IF((Исходн.данные.!K343*GO343*GS343*GW343+BL343*0.6+Исходн.данные.!Q343*4.5*0.275)&gt;90,"Да","Нет")</f>
        <v>#N/A</v>
      </c>
      <c r="FU343" s="38" t="e">
        <f>IF((Исходн.данные.!M343*GS343*GZ343+BM343*0.225)&gt;35,"Да","Нет")</f>
        <v>#N/A</v>
      </c>
      <c r="FV343" s="38" t="str">
        <f>IF(Исходн.данные.!O343&gt;175,"Да","Нет")</f>
        <v>Нет</v>
      </c>
      <c r="FW343" s="39" t="str">
        <f>IF(Исходн.данные.!I343&gt;5.5,"Да","Нет")</f>
        <v>Нет</v>
      </c>
      <c r="FX343" s="39" t="str">
        <f>IF(Исходн.данные.!J343&lt;2,"Да","Нет")</f>
        <v>Да</v>
      </c>
      <c r="FY343" s="39" t="e">
        <f>IF(HF343=$FY$16,0,Исходн.данные.!K343*GO343*GS343*GW343/HF343)</f>
        <v>#N/A</v>
      </c>
      <c r="FZ343" s="39" t="e">
        <f>Исходн.данные.!M343*GS343*GZ343/HG343</f>
        <v>#N/A</v>
      </c>
      <c r="GA343" s="39" t="e">
        <f>IF(K_Wyn=$FY$16,0,IF(Исходн.данные.!N343=Исходн.данные.!$L$10,Исходн.данные.!O343/1.1*GS343*HC343/HH343,IF(Исходн.данные.!N343=Исходн.данные.!$L$12,Исходн.данные.!O343/1.5*GS343*HC343/HH343,Исходн.данные.!O343*GS343*HC343/HH343)))</f>
        <v>#N/A</v>
      </c>
      <c r="GB343" s="39" t="e">
        <f>IF(HF343=$FY$16,0,((Исходн.данные.!Q343*N_Org+Исходн.данные.!R343*N_Sider+Исходн.данные.!S343*N_Soloma)*AO343+Расчет!BC343*VLOOKUP(Исходн.данные.!T343,Справ!$A$3:$O$57,15)*AO343+BB343*VLOOKUP(Исходн.данные.!T343,Справ!$A$3:$O$57,15)*AL343+(Исходн.данные.!V343*N_Rizotorf+Исходн.данные.!W343*N_Rizoagr))/HF343)</f>
        <v>#N/A</v>
      </c>
      <c r="GC343" s="39" t="e">
        <f>IF(HG343=$FY$16,0,((Исходн.данные.!Q343*Р_Org+Исходн.данные.!R343*P_Sider+Исходн.данные.!S343*P_Soloma)*AP343+Расчет!BC343*VLOOKUP(Исходн.данные.!T343,Справ!$A$3:$P$57,16)*AP343+BB343*VLOOKUP(Исходн.данные.!T343,Справ!$A$3:$P$57,16)*AM343)/HG343)</f>
        <v>#N/A</v>
      </c>
      <c r="GD343" s="39" t="e">
        <f>IF(HH343=$FY$16,0,((Исходн.данные.!Q343*К_Org+Исходн.данные.!R343*K_Sider+Исходн.данные.!S343*K_Soloma)*AQ343+Расчет!BC343*VLOOKUP(Исходн.данные.!T343,Справ!$A$3:$Q$57,17)*AQ343+BB343*VLOOKUP(Исходн.данные.!T343,Справ!$A$3:$Q$57,17)*AN343)/HH343)</f>
        <v>#N/A</v>
      </c>
      <c r="GE343" s="39" t="e">
        <f>IF(HF343=$FY$16,0,(Исходн.данные.!X343*AR343+Исходн.данные.!AA343*N_Org*AL343+Исходн.данные.!AB343*N_Sider*AL343+Исходн.данные.!AC343*N_Soloma*AL343)/HF343)</f>
        <v>#N/A</v>
      </c>
      <c r="GF343" s="39" t="e">
        <f>IF(HG343=$FY$16,0,(Исходн.данные.!Y343*AS343+Исходн.данные.!AA343*Р_Org*AM343+Исходн.данные.!AB343*P_Sider*AM343+Исходн.данные.!AC343*P_Soloma*AM343)/HG343)</f>
        <v>#N/A</v>
      </c>
      <c r="GG343" s="39" t="e">
        <f>IF(HH343=$FY$16,0,(Исходн.данные.!Z343*AT343+Исходн.данные.!AA343*К_Org*AN343+Исходн.данные.!AB343*K_Sider*AN343+Исходн.данные.!AC343*K_Soloma*AN343)/HH343)</f>
        <v>#N/A</v>
      </c>
      <c r="GH343" s="39" t="e">
        <f>Исходн.данные.!AD343*AU343/HF343</f>
        <v>#N/A</v>
      </c>
      <c r="GI343" s="39" t="e">
        <f>Исходн.данные.!AE343*AV343/HG343</f>
        <v>#N/A</v>
      </c>
      <c r="GJ343" s="39" t="e">
        <f>Исходн.данные.!AF343*AW343/HH343</f>
        <v>#N/A</v>
      </c>
      <c r="GK343" s="55">
        <f>Исходн.данные.!AK343</f>
        <v>0</v>
      </c>
      <c r="GL343" s="11" t="e">
        <f t="shared" si="409"/>
        <v>#N/A</v>
      </c>
      <c r="GM343" s="11" t="e">
        <f t="shared" si="410"/>
        <v>#N/A</v>
      </c>
      <c r="GN343" s="11" t="e">
        <f t="shared" si="411"/>
        <v>#N/A</v>
      </c>
      <c r="GO343" s="57">
        <f t="shared" si="412"/>
        <v>19</v>
      </c>
      <c r="GP343" s="55">
        <f>IF(OR(Исходн.данные.!F343=$CE$1,Исходн.данные.!F343=$CE$2,Исходн.данные.!F343=$CE$3,Исходн.данные.!F343=$CE$4,Исходн.данные.!F343=$CE$5),GQ343,GR343)</f>
        <v>19</v>
      </c>
      <c r="GQ343" s="55">
        <f>IF(Исходн.данные.!F343=$CE$1,28,IF(Исходн.данные.!F343=$CE$2,26,IF(Исходн.данные.!F343=$CE$3,24,IF(Исходн.данные.!F343=$CE$4,22,IF(Исходн.данные.!F343=$CE$5,20,GR343)))))</f>
        <v>19</v>
      </c>
      <c r="GR343" s="55">
        <f>IF(Исходн.данные.!F343=$CE$6,18,IF(Исходн.данные.!F343=$CE$7,16,IF(Исходн.данные.!F343=$CE$8,14,IF(Исходн.данные.!F343=$CE$9,13,IF(Исходн.данные.!F343=$CE$10,12,19)))))</f>
        <v>19</v>
      </c>
      <c r="GS343" s="55">
        <f>IF(Исходн.данные.!G343="Пес",0.035*(40+2*Исходн.данные.!H343),IF(Исходн.данные.!G343="Суп",0.0325*(40+2*Исходн.данные.!H343),0.03*(40+2*Исходн.данные.!H343)))</f>
        <v>1.2</v>
      </c>
      <c r="GT343" s="55">
        <f>IF(Исходн.данные.!H343&lt;23,2.6,IF(AND(Исходн.данные.!H343&gt;22,Исходн.данные.!H343&lt;26),3,IF(AND(Исходн.данные.!H343&gt;25,Исходн.данные.!H343&lt;29),3.4,3.6)))</f>
        <v>2.6</v>
      </c>
      <c r="GU343" s="55">
        <f>IF(Исходн.данные.!H343&lt;23,2.8,IF(AND(Исходн.данные.!H343&gt;22,Исходн.данные.!H343&lt;26),3.2,IF(AND(Исходн.данные.!H343&gt;25,Исходн.данные.!H343&lt;29),3.6,3.9)))</f>
        <v>2.8</v>
      </c>
      <c r="GV343" s="55">
        <f>IF(Исходн.данные.!H343&lt;23,3,IF(AND(Исходн.данные.!H343&gt;22,Исходн.данные.!H343&lt;26),3.5,IF(AND(Исходн.данные.!H343&gt;25,Исходн.данные.!H343&lt;29),3.9,4.2)))</f>
        <v>3</v>
      </c>
      <c r="GW343" s="55" t="e">
        <f>IF(Исходн.данные.!P343="Ум",GX343,GY343)</f>
        <v>#N/A</v>
      </c>
      <c r="GX343" s="55" t="e">
        <f>VLOOKUP(Исходн.данные.!AI343,Коэффициенты!$J$7:$L$13,2,FALSE)</f>
        <v>#N/A</v>
      </c>
      <c r="GY343" s="55" t="e">
        <f>VLOOKUP(Исходн.данные.!AI343,Коэффициенты!$J$7:$L$13,3,FALSE)</f>
        <v>#N/A</v>
      </c>
      <c r="GZ343" s="55" t="e">
        <f>(IF(Исходн.данные.!M343&lt;50,0.11*VLOOKUP(Исходн.данные.!AH343,Культуры.Информация,7,FALSE),IF(Исходн.данные.!M343&gt;250,0.05*VLOOKUP(Исходн.данные.!AH343,Культуры.Информация,7,FALSE),VLOOKUP(Исходн.данные.!AH343,Культуры.Информация,5,FALSE)/100*($GX$6+$GY$6*Исходн.данные.!M343))))*Расчет2!AI343</f>
        <v>#N/A</v>
      </c>
      <c r="HA343" s="211"/>
      <c r="HB343" s="211"/>
      <c r="HC343" s="55" t="e">
        <f>(IF(Исходн.данные.!O343&lt;80,0.2*VLOOKUP(Исходн.данные.!AH343,Культуры.Информация,8,FALSE),IF(Исходн.данные.!O343&gt;240,0.09*VLOOKUP(Исходн.данные.!AH343,Культуры.Информация,8,FALSE),VLOOKUP(Исходн.данные.!AH343,Культуры.Информация,6,FALSE)/100*($HB$6+$HC$6*Исходн.данные.!O343))))*Расчет2!AJ343</f>
        <v>#N/A</v>
      </c>
      <c r="HD343" s="55">
        <f>IF(Исходн.данные.!O343&gt;240,0.09,IF(Исходн.данные.!O343&lt;30,0.3,$HE$10+$HD$10*Исходн.данные.!O343))</f>
        <v>0.3</v>
      </c>
      <c r="HE343" s="55">
        <f>IF(Исходн.данные.!O343&gt;240,0.17,IF(Исходн.данные.!O343&lt;30,0.5,$HF$12+$HE$12*Исходн.данные.!O343))</f>
        <v>0.5</v>
      </c>
      <c r="HF343" s="55" t="e">
        <f>VLOOKUP(Исходн.данные.!AH343,Справ!$A$3:$D$58,2,FALSE)</f>
        <v>#N/A</v>
      </c>
      <c r="HG343" s="55" t="e">
        <f>VLOOKUP(Исходн.данные.!AH343,Справ!$A$3:$D$58,3,FALSE)</f>
        <v>#N/A</v>
      </c>
      <c r="HH343" s="55" t="e">
        <f>VLOOKUP(Исходн.данные.!AH343,Справ!$A$3:$D$58,4,FALSE)</f>
        <v>#N/A</v>
      </c>
      <c r="HI343" s="11" t="e">
        <f t="shared" si="413"/>
        <v>#N/A</v>
      </c>
      <c r="HJ343" s="11" t="e">
        <f t="shared" si="414"/>
        <v>#N/A</v>
      </c>
      <c r="HK343" s="11" t="e">
        <f t="shared" si="415"/>
        <v>#N/A</v>
      </c>
      <c r="HL343" s="55">
        <f>IF(OR(Исходн.данные.!G343="Глин",Исходн.данные.!G343="Т_суг"),1.1,IF(Исходн.данные.!G343="Ср_суг",1,1))</f>
        <v>1</v>
      </c>
      <c r="HM343" s="55">
        <f>IF(OR(Исходн.данные.!G343="Глин",Исходн.данные.!G343="Т_суг"),0.9,IF(Исходн.данные.!G343="Ср_суг",1,1.2))</f>
        <v>1.2</v>
      </c>
      <c r="HN343" s="11" t="e">
        <f t="shared" si="416"/>
        <v>#N/A</v>
      </c>
      <c r="HO343" s="11" t="e">
        <f t="shared" si="417"/>
        <v>#N/A</v>
      </c>
      <c r="HP343" s="11" t="e">
        <f t="shared" si="418"/>
        <v>#N/A</v>
      </c>
      <c r="HQ343" t="e">
        <f t="shared" si="419"/>
        <v>#N/A</v>
      </c>
      <c r="HR343" t="e">
        <f t="shared" si="420"/>
        <v>#N/A</v>
      </c>
      <c r="HS343" t="e">
        <f t="shared" si="421"/>
        <v>#N/A</v>
      </c>
      <c r="HT343" t="e">
        <f t="shared" si="441"/>
        <v>#N/A</v>
      </c>
      <c r="HU343" t="e">
        <f t="shared" si="442"/>
        <v>#N/A</v>
      </c>
      <c r="HV343" t="e">
        <f t="shared" si="443"/>
        <v>#N/A</v>
      </c>
      <c r="HW343" t="e">
        <f t="shared" si="444"/>
        <v>#N/A</v>
      </c>
      <c r="HX343" t="e">
        <f t="shared" si="445"/>
        <v>#N/A</v>
      </c>
      <c r="HY343" t="e">
        <f t="shared" si="446"/>
        <v>#N/A</v>
      </c>
      <c r="HZ343" s="55">
        <f>IF(OR(Исходн.данные.!AI343="Оз_Ч_П",Исходн.данные.!AI343="Оз_З_П",Исходн.данные.!AI343="Яр_зер"),12,30)</f>
        <v>30</v>
      </c>
      <c r="IA343" t="e">
        <f t="shared" si="422"/>
        <v>#N/A</v>
      </c>
      <c r="IB343" t="e">
        <f t="shared" si="423"/>
        <v>#N/A</v>
      </c>
      <c r="IC343" t="e">
        <f t="shared" si="424"/>
        <v>#N/A</v>
      </c>
      <c r="ID343" s="11" t="e">
        <f t="shared" si="425"/>
        <v>#N/A</v>
      </c>
      <c r="IE343" s="11" t="e">
        <f t="shared" si="426"/>
        <v>#N/A</v>
      </c>
      <c r="IF343" s="11" t="e">
        <f t="shared" si="427"/>
        <v>#N/A</v>
      </c>
    </row>
    <row r="344" spans="35:240" x14ac:dyDescent="0.2">
      <c r="AI344">
        <f>IF(Исходн.данные.!I344&gt;6,1,1.85-(0.148*Исходн.данные.!I344))</f>
        <v>1.85</v>
      </c>
      <c r="AJ344">
        <f>IF(Исходн.данные.!I344&gt;6,1,2.434-(0.246*Исходн.данные.!I344))</f>
        <v>2.4340000000000002</v>
      </c>
      <c r="AL344" s="148" t="b">
        <f>IF(Исходн.данные.!$P344="Ум",N_OrgUd_2g_um,IF(Исходн.данные.!$P344="Об",N_OrgUd_2g_ob))</f>
        <v>0</v>
      </c>
      <c r="AM344" s="148" t="b">
        <f>IF(Исходн.данные.!$P344="Ум",P_OrgUd_2g_um,IF(Исходн.данные.!$P344="Об",P_OrgUd_2g_ob))</f>
        <v>0</v>
      </c>
      <c r="AN344" s="148" t="b">
        <f>IF(Исходн.данные.!$P344="Ум",K_OrgUd_2g_um,IF(Исходн.данные.!$P344="Об",K_OrgUd_2g_ob))</f>
        <v>0</v>
      </c>
      <c r="AO344" s="148" t="b">
        <f>IF(Исходн.данные.!$P344="Ум",N_OrgUd_1g_um,IF(Исходн.данные.!$P344="Об",N_OrgUd_1g_ob))</f>
        <v>0</v>
      </c>
      <c r="AP344" s="148" t="b">
        <f>IF(Исходн.данные.!$P344="Ум",P_OrgUd_1g_um,IF(Исходн.данные.!$P344="Об",P_OrgUd_1g_ob))</f>
        <v>0</v>
      </c>
      <c r="AQ344" s="148" t="b">
        <f>IF(Исходн.данные.!$P344="Ум",K_OrgUd_1g_um,IF(Исходн.данные.!$P344="Об",K_OrgUd_1g_ob))</f>
        <v>0</v>
      </c>
      <c r="AR344" t="b">
        <f>IF(Исходн.данные.!$P344="Ум",N_MinUd_2g_um,IF(Исходн.данные.!$P344="Об",N_MinUd_2g_ob))</f>
        <v>0</v>
      </c>
      <c r="AS344" t="b">
        <f>IF(Исходн.данные.!$P344="Ум",P_MinUd_2g_um,IF(Исходн.данные.!$P344="Об",P_MinUd_2g_ob))</f>
        <v>0</v>
      </c>
      <c r="AT344" t="b">
        <f>IF(Исходн.данные.!$P344="Ум",K_MinUd_2g_um,IF(Исходн.данные.!$P344="Об",K_MinUd_2g_ob))</f>
        <v>0</v>
      </c>
      <c r="AU344" t="b">
        <f>IF(Исходн.данные.!$P344="Ум",N_MinUd_1g_um,IF(Исходн.данные.!$P344="Об",N_MinUd_1g_ob))</f>
        <v>0</v>
      </c>
      <c r="AV344" t="b">
        <f>IF(Исходн.данные.!P344="Ум",P_MinUd_1g_um,IF(Исходн.данные.!P344="Об",P_MinUd_1g_ob))</f>
        <v>0</v>
      </c>
      <c r="AW344" t="b">
        <f>IF(Исходн.данные.!P344="Ум",K_MinUd_1g_um,IF(Исходн.данные.!P344="Об",K_MinUd_1g_ob))</f>
        <v>0</v>
      </c>
      <c r="AY344" t="e">
        <f>VLOOKUP(Исходн.данные.!T344,Справ!$A$3:$N$57,12)</f>
        <v>#N/A</v>
      </c>
      <c r="AZ344" t="e">
        <f>VLOOKUP(Исходн.данные.!T344,Справ!$A$3:$N$57,13)</f>
        <v>#N/A</v>
      </c>
      <c r="BA344" t="e">
        <f>VLOOKUP(Исходн.данные.!T344,Справ!$A$3:$N$57,14)</f>
        <v>#N/A</v>
      </c>
      <c r="BB344">
        <f>IF(Исходн.данные.!AH344=0,0,25)</f>
        <v>0</v>
      </c>
      <c r="BC344" s="141">
        <f>IF(Исходн.данные.!AH344=0,0,IF(Исходн.данные.!T344=0,25,BD344))</f>
        <v>0</v>
      </c>
      <c r="BD344" s="168" t="e">
        <f>AY344+AZ344*Исходн.данные.!U344-POWER(BA344,2)*Исходн.данные.!U344</f>
        <v>#N/A</v>
      </c>
      <c r="BE344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4" s="25">
        <f>IF(Исходн.данные.!AH344=0,0,MIN(HN344:HP344))</f>
        <v>0</v>
      </c>
      <c r="BG344" s="9">
        <f>IF(Исходн.данные.!AH344=0,0,IF((HO344+10*0.25/HG344/HL344)&lt;17,17,HO344+10*0.25/HG344/HL344))</f>
        <v>0</v>
      </c>
      <c r="BH344" s="181">
        <f>IF(Исходн.данные.!AH344=0,0,HW344*HF344*HL344/AU344*AI344+Исходн.данные.!S344*10)</f>
        <v>0</v>
      </c>
      <c r="BI344" s="10"/>
      <c r="BJ344" s="182">
        <f>IF(Исходн.данные.!AH344=0,0,IF(HX344*HG344*HL344/AV344&lt;0,0,HX344*HG344*HL344/AV344*AJ344))</f>
        <v>0</v>
      </c>
      <c r="BK344" s="182">
        <f>IF(Исходн.данные.!AH344=0,0,HY344*HH344*HM344/AW344)</f>
        <v>0</v>
      </c>
      <c r="BL344" s="10">
        <f>IF(OR(Исходн.данные.!$AH344=$BP$1,Исходн.данные.!$AH344=$BP$2),0,IF(BH344&lt;0,0,IF(OR(Исходн.данные.!T344=Расчет!$BP$1,Исходн.данные.!T344=Расчет!$BP$2,Исходн.данные.!T344=Расчет!$BT$5,Исходн.данные.!T344=Расчет!$BT$6),BH344*0.5,IF(OR(Исходн.данные.!T344=Расчет!$BS$9,Исходн.данные.!T344=Расчет!$BS$10,Исходн.данные.!T344=Расчет!$BS$11,Исходн.данные.!T344=Расчет!$BS$12,Исходн.данные.!T344=Расчет!$BP$5),BH344*0.8,BH344))))</f>
        <v>0</v>
      </c>
      <c r="BM344" s="10">
        <f>IF(OR(Исходн.данные.!$AH344=$BP$1,Исходн.данные.!$AH344=$BP$2),0,IF(BJ344&lt;0,0,IF(Исходн.данные.!I344&lt;4.5,BJ344*1.2,IF(Исходн.данные.!I344&gt;5.1,BJ344,BJ344*((5.1-Исходн.данные.!I344)*0.333+1)))))</f>
        <v>0</v>
      </c>
      <c r="BN344" s="10">
        <f>IF(OR(Исходн.данные.!$AH344=$BP$1,Исходн.данные.!$AH344=$BP$2),60-Исходн.данные.!AF344,IF(BK344&lt;0,0,IF(Исходн.данные.!I344&lt;4.5,BK344*1.2,IF(Исходн.данные.!I344&gt;5.1,BK344,BK344*((5.1-Исходн.данные.!I344)*0.333+1)))))</f>
        <v>0</v>
      </c>
      <c r="BO344" s="9">
        <f>IF(BL344&lt;0,0,BL344*Исходн.данные.!$AJ344/1000)</f>
        <v>0</v>
      </c>
      <c r="BP344" s="9">
        <f>IF(BM344&lt;0,0,BM344*Исходн.данные.!$AJ344/1000)</f>
        <v>0</v>
      </c>
      <c r="BQ344" s="9">
        <f>IF(BN344&lt;0,0,BN344*Исходн.данные.!$AJ344/1000)</f>
        <v>0</v>
      </c>
      <c r="BR344" s="9">
        <f t="shared" si="377"/>
        <v>0</v>
      </c>
      <c r="BS344" s="10" t="str">
        <f t="shared" si="378"/>
        <v>Аммофос 12:52:00</v>
      </c>
      <c r="BT344" s="10" t="str">
        <f t="shared" si="379"/>
        <v>Аммофос 12:52:00</v>
      </c>
      <c r="BU344" s="10" t="str">
        <f t="shared" si="380"/>
        <v>Диаммофоска</v>
      </c>
      <c r="BV344" s="10">
        <f t="shared" si="381"/>
        <v>0</v>
      </c>
      <c r="BW344" s="10"/>
      <c r="BX344" s="10"/>
      <c r="BY344" s="9">
        <f>IF(BL344&lt;0,0,IF(OR(Исходн.данные.!AI344=Расчет!$BU$6,Исходн.данные.!AI344=Расчет!$BU$7),Расчет!BV344,IF(Исходн.данные.!$AG344=$BV$11,BL344,IF(OR(Исходн.данные.!$AH344=$BQ$7,Исходн.данные.!$AH344=$BQ$8),CB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0,IF(Исходн.данные.!$AI344=$BU$11,"Нет",IF(BL344&gt;30,30,BL344)))))))</f>
        <v>0</v>
      </c>
      <c r="BZ344" s="9">
        <f>IF(AND(Исходн.данные.!$AG344=$BV$11,BM344&lt;10),10,IF(Исходн.данные.!$AG344=$BV$11,BM344,IF(OR(Исходн.данные.!$AH344=$BQ$7,Исходн.данные.!$AH344=$BQ$8),CC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10,IF(Исходн.данные.!$AI344=$BU$11,"Нет",IF(BM344&gt;60,60,IF(BM344&lt;10,10,BM344)))))))</f>
        <v>10</v>
      </c>
      <c r="CA344" s="39">
        <f>IF(BN344&lt;0,0,IF(Исходн.данные.!$AG344=$BV$11,BN344,IF(OR(Исходн.данные.!$AH344=$BQ$7,Исходн.данные.!$AH344=$BQ$8),CD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0,IF(Исходн.данные.!$AI344=$BU$11,"Нет",IF(BN344&gt;30,30,BN344))))))</f>
        <v>0</v>
      </c>
      <c r="CB344" s="9">
        <f t="shared" si="382"/>
        <v>0</v>
      </c>
      <c r="CC344" s="9">
        <f t="shared" si="383"/>
        <v>0</v>
      </c>
      <c r="CD344" s="9">
        <f t="shared" si="384"/>
        <v>0</v>
      </c>
      <c r="CE344" s="12">
        <f t="shared" si="385"/>
        <v>10</v>
      </c>
      <c r="CF344" s="9">
        <f t="shared" si="386"/>
        <v>0</v>
      </c>
      <c r="CG344" s="9" t="s">
        <v>231</v>
      </c>
      <c r="CH344" s="132" t="str">
        <f>IF(Исходн.данные.!AP344=Расчет!$CI$16,"Нет",IF(Исходн.данные.!AL344&gt;0,Исходн.данные.!AL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BH$4,IF(OR(Исходн.данные.!AI344=Исходн.данные.!$AI$6,Исходн.данные.!AI344=Исходн.данные.!$AI$7),Расчет!BS344,IF(AND($CF344=0,$CE344&gt;0),EV344,ER344)))))</f>
        <v>Аммофос 12:52:00</v>
      </c>
      <c r="CI344" s="274">
        <f>IF(Расчет!$CH344="Нет","Нет",IF(Исходн.данные.!$AL344&gt;0,VLOOKUP(Расчет!$CH344,АшламаДВ_Irekle,2,FALSE),VLOOKUP(Расчет!$CH344,АшламаДВ_Gomumy,2,FALSE)))</f>
        <v>0.12</v>
      </c>
      <c r="CJ344" s="274">
        <f>IF(Расчет!$CH344="Нет","Нет",IF(Исходн.данные.!$AL344&gt;0,VLOOKUP(Расчет!$CH344,АшламаДВ_Irekle,3,FALSE),VLOOKUP(Расчет!$CH344,АшламаДВ_Gomumy,3,FALSE)))</f>
        <v>0.52</v>
      </c>
      <c r="CK344" s="274">
        <f>IF(Расчет!$CH344="Нет","Нет",IF(Исходн.данные.!$AL344&gt;0,VLOOKUP(Расчет!$CH344,АшламаДВ_Irekle,4,FALSE),VLOOKUP(Расчет!$CH344,АшламаДВ_Gomumy,4,FALSE)))</f>
        <v>0</v>
      </c>
      <c r="CL344" s="70"/>
      <c r="CM344" s="70"/>
      <c r="CN344" s="70"/>
      <c r="CO344" s="70"/>
      <c r="CP344" s="70"/>
      <c r="CQ344" s="70"/>
      <c r="CR344" s="10">
        <f t="shared" si="387"/>
        <v>0</v>
      </c>
      <c r="CS344" s="10">
        <f t="shared" si="388"/>
        <v>19.23076923076923</v>
      </c>
      <c r="CT344" s="10">
        <f t="shared" si="389"/>
        <v>0</v>
      </c>
      <c r="CU344" s="39">
        <f>IF($CH344="Нет",0,IF(CI344=0,30/MIN(CJ344:CK344),IF(Исходн.данные.!$AG344=$BV$11,CR344,IF(OR(Исходн.данные.!$AH344=$BQ$7,Исходн.данные.!$AH344=$BQ$8),90/CI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0,IF(Исходн.данные.!$AI344=$BU$11,"Нет",30/CI344))))))</f>
        <v>250</v>
      </c>
      <c r="CV344" s="39">
        <f>IF($CH344="Нет",0,IF(Исходн.данные.!AH344=0,0,IF(CJ344=0,60/MIN(CI344,CK344),IF(Исходн.данные.!$AG344=$BV$11,CS344,IF(OR(Исходн.данные.!$AH344=$BQ$7,Исходн.данные.!$AH344=$BQ$8),90/CJ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10/CJ344,IF(Исходн.данные.!$AI344=$BU$11,"Нет",60/CJ344)))))))</f>
        <v>0</v>
      </c>
      <c r="CW344" s="39">
        <f>IF($CH344="Нет",0,IF(Исходн.данные.!AH344=0,0,IF(CK344=0,30/MIN(CI344:CJ344),IF(Исходн.данные.!$AG344=$BV$11,CT344,IF(OR(Исходн.данные.!$AH344=$BQ$7,Исходн.данные.!$AH344=$BQ$8),90/CK344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0,IF(Исходн.данные.!$AI344=$BU$11,"Нет",30/CK344)))))))</f>
        <v>0</v>
      </c>
      <c r="CX344" s="133">
        <f>IF(Исходн.данные.!$AG344=$BV$11,MAX(CU344:CW344),IF(OR(Исходн.данные.!$AH344=$BS$8,Исходн.данные.!$AH344=$BQ$9,Исходн.данные.!$AH344=$BQ$10,Исходн.данные.!$AH344=$BQ$11,Исходн.данные.!$AH344=$BQ$12,Исходн.данные.!$AH344=$BP$3,Исходн.данные.!$AH344=$BT$8,$FM344="Да"),CV344,MIN(CU344:CW344)))</f>
        <v>0</v>
      </c>
      <c r="CY344" s="133">
        <f>IF(Исходн.данные.!AH344=0,0,IF(CR344&gt;$CX344,$CX344,CR344))</f>
        <v>0</v>
      </c>
      <c r="CZ344" s="133">
        <f>IF(Исходн.данные.!AH344=0,0,IF(CS344&gt;$CX344,$CX344,CS344))</f>
        <v>0</v>
      </c>
      <c r="DA344" s="133">
        <f>IF(Исходн.данные.!AH344=0,0,IF(CT344&gt;$CX344,$CX344,CT344))</f>
        <v>0</v>
      </c>
      <c r="DB344" s="10">
        <f t="shared" si="390"/>
        <v>0</v>
      </c>
      <c r="DC344" s="39">
        <f>DB344*Исходн.данные.!AJ344/1000</f>
        <v>0</v>
      </c>
      <c r="DD344" s="71">
        <f t="shared" si="391"/>
        <v>0</v>
      </c>
      <c r="DE344" s="9">
        <f t="shared" si="392"/>
        <v>0</v>
      </c>
      <c r="DF344" s="9">
        <f t="shared" si="393"/>
        <v>0</v>
      </c>
      <c r="DG344" s="39">
        <f>IF(BL344&lt;0,0,IF($CH344="Нет",BL344,IF(OR(Исходн.данные.!$AH344=$BP$1,Исходн.данные.!$AH344=$BP$2),0,IF(Исходн.данные.!AI344=$BU$11,BL344,IF(BL344-DD344&lt;0,0,BL344-DD344)))))</f>
        <v>0</v>
      </c>
      <c r="DH344" s="39">
        <f>IF(BM344&lt;0,0,IF($CH344="Нет",BM344,IF(OR(Исходн.данные.!$AH344=$BP$1,Исходн.данные.!$AH344=$BP$2),0,IF(Исходн.данные.!AJ344=$BU$11,BM344,IF(BM344-DE344&lt;0,0,BM344-DE344)))))</f>
        <v>0</v>
      </c>
      <c r="DI344" s="39">
        <f>IF(BN344&lt;0,0,IF($CH344="Нет",BN344,IF(OR(Исходн.данные.!$AH344=$BP$1,Исходн.данные.!$AH344=$BP$2),0,IF(Исходн.данные.!AK344=$BU$11,BN344,IF(BN344-DF344&lt;0,0,BN344-DF344)))))</f>
        <v>0</v>
      </c>
      <c r="DJ344" s="12">
        <f t="shared" si="394"/>
        <v>0</v>
      </c>
      <c r="DK344" s="9">
        <f t="shared" si="395"/>
        <v>0</v>
      </c>
      <c r="DL344" s="39">
        <f>IF(Исходн.данные.!AM344&gt;0,Исходн.данные.!AM344,IF(EG344&gt;0,$BH$10,0))</f>
        <v>0</v>
      </c>
      <c r="DM344" s="186">
        <f>IF($DL344=0,0,IF(Исходн.данные.!AM344&gt;0,VLOOKUP($DL344,АшламаДВ_Irekle,2,FALSE),VLOOKUP($DL344,АшламаДВ_Gomumy,2,FALSE)))</f>
        <v>0</v>
      </c>
      <c r="DN344" s="10">
        <f t="shared" si="447"/>
        <v>0</v>
      </c>
      <c r="DO344" s="9" t="str">
        <f>IF(Исходн.данные.!AN344&gt;0,Исходн.данные.!AN344,Удобрения!$B$37 )</f>
        <v>Хлор.калий</v>
      </c>
      <c r="DP344" s="9">
        <f>IF(Исходн.данные.!AN344&gt;0,VLOOKUP(Исходн.данные.!AN344,АшламаДВ_Irekle,4,FALSE),VLOOKUP(DO344,АшламаДВ_Gomumy,4,FALSE))</f>
        <v>0.6</v>
      </c>
      <c r="DQ344" s="10">
        <f t="shared" si="448"/>
        <v>0</v>
      </c>
      <c r="DR344" s="132" t="str">
        <f>IF(Исходн.данные.!AO344&gt;0,Исходн.данные.!AO344,IF(DH344=0,BS$17,IF(AND($DK344=0,$DJ344&gt;0),EJ344,EN344)))</f>
        <v>Нет</v>
      </c>
      <c r="DS344" s="70" t="str">
        <f>IF($DR344="Нет","Нет",IF(Исходн.данные.!$AO344&gt;0,VLOOKUP($DR344,АшламаДВ_Irekle,2,FALSE),VLOOKUP($DR344,АшламаДВ_Gomumy,2,FALSE)))</f>
        <v>Нет</v>
      </c>
      <c r="DT344" s="70" t="str">
        <f>IF($DR344="Нет","Нет",IF(Исходн.данные.!$AO344&gt;0,VLOOKUP($DR344,АшламаДВ_Irekle,3,FALSE),VLOOKUP($DR344,АшламаДВ_Gomumy,3,FALSE)))</f>
        <v>Нет</v>
      </c>
      <c r="DU344" s="70" t="str">
        <f>IF($DR344="Нет","Нет",IF(Исходн.данные.!$AO344&gt;0,VLOOKUP($DR344,АшламаДВ_Irekle,4,FALSE),VLOOKUP($DR344,АшламаДВ_Gomumy,4,FALSE)))</f>
        <v>Нет</v>
      </c>
      <c r="DV344" s="70"/>
      <c r="DW344" s="70"/>
      <c r="DX344" s="70"/>
      <c r="DY344" s="10">
        <f t="shared" si="396"/>
        <v>0</v>
      </c>
      <c r="DZ344" s="10">
        <f t="shared" si="397"/>
        <v>0</v>
      </c>
      <c r="EA344" s="10">
        <f t="shared" si="398"/>
        <v>0</v>
      </c>
      <c r="EB344" s="10">
        <f t="shared" si="399"/>
        <v>0</v>
      </c>
      <c r="EC344" s="10">
        <f t="shared" si="400"/>
        <v>0</v>
      </c>
      <c r="ED344" s="10">
        <f t="shared" si="401"/>
        <v>0</v>
      </c>
      <c r="EE344" s="10">
        <f t="shared" si="402"/>
        <v>0</v>
      </c>
      <c r="EF344" s="39">
        <f>EB344*Исходн.данные.!AJ344/1000</f>
        <v>0</v>
      </c>
      <c r="EG344" s="9">
        <f t="shared" si="403"/>
        <v>0</v>
      </c>
      <c r="EH344" s="9">
        <f t="shared" si="404"/>
        <v>0</v>
      </c>
      <c r="EI344" s="39" t="e">
        <f t="shared" si="428"/>
        <v>#DIV/0!</v>
      </c>
      <c r="EJ344" s="9" t="str">
        <f t="shared" si="449"/>
        <v>Азопреципитат</v>
      </c>
      <c r="EK344" s="12">
        <f t="shared" si="429"/>
        <v>0.26</v>
      </c>
      <c r="EL344" s="12">
        <f t="shared" si="430"/>
        <v>0.13</v>
      </c>
      <c r="EM344" s="12">
        <f t="shared" si="431"/>
        <v>0</v>
      </c>
      <c r="EN344" s="12" t="str">
        <f t="shared" si="450"/>
        <v>Нет</v>
      </c>
      <c r="EO344" s="12">
        <f t="shared" si="432"/>
        <v>0</v>
      </c>
      <c r="EP344" s="12">
        <f t="shared" si="433"/>
        <v>0</v>
      </c>
      <c r="EQ344" s="12">
        <f t="shared" si="434"/>
        <v>0</v>
      </c>
      <c r="ER344" s="12" t="str">
        <f t="shared" si="405"/>
        <v>Диаммофоска</v>
      </c>
      <c r="ES344" s="12">
        <f t="shared" si="435"/>
        <v>0.1</v>
      </c>
      <c r="ET344" s="12">
        <f t="shared" si="436"/>
        <v>0.26</v>
      </c>
      <c r="EU344" s="12">
        <f t="shared" si="437"/>
        <v>0.26</v>
      </c>
      <c r="EV344" s="12" t="str">
        <f t="shared" si="406"/>
        <v>Аммофос 12:52:00</v>
      </c>
      <c r="EW344" s="12" t="str">
        <f t="shared" si="407"/>
        <v>Кемира Свекловичное-6</v>
      </c>
      <c r="EX344" s="12">
        <f t="shared" si="438"/>
        <v>0.16</v>
      </c>
      <c r="EY344" s="12">
        <f t="shared" si="439"/>
        <v>0.12</v>
      </c>
      <c r="EZ344" s="12">
        <f t="shared" si="440"/>
        <v>0.17</v>
      </c>
      <c r="FA344" s="38" t="e">
        <f>IF(AND(OR(FJ344=$FD$1,FM344=$FD$1,FO344=$FD$1,FQ344=$FD$1,FS344=$FD$1),FD344=$FD$1,Исходн.данные.!J344&lt;2,FU344=$FD$1),"Бор,Кобальт",IF(AND(FO344=$FD$1,FH344=$FD$1,Исходн.данные.!J344&lt;2,FU344=$FD$1),"Бор,Кобальт",IF(AND(OR(FJ344=$FD$1,FM344=$FD$1,FQ344=$FD$1),FE344=$FD$1,Исходн.данные.!J344&lt;2,FT344=$FD$1,FU344=$FD$1),"Бор,Медь,Цинк",IF(AND(OR(FJ344=$FD$1,FR344="Да"),FI344="Да",Исходн.данные.!J344&lt;2,FT344="Да",FU344="Да"),"Бор,Цинк,Медь",IF(AND(OR(FM344="Да",FQ344="Да"),FI344="Да",Исходн.данные.!J344&lt;2,FT344="Да",FU344="Да"),"Бор,Цинк",IF(AND(FN344="Да",OR(FD344="Да",FE344="Да")),"Бор",FB344))))))</f>
        <v>#N/A</v>
      </c>
      <c r="FB344" s="134" t="e">
        <f>IF(AND(OR(FD344="Да",FE344="Да",FF344="Да",FG344="Да",FH344="Да"),FO344="Да"),"Бор",IF(AND(FP344="Да",OR(FD344="Да",FE344="Да",FI344="Да")),"Бор",IF(AND(FS344="Да",FE344="Да"),"Бор,Медь",IF(AND(OR(FJ344="Да",FK344="Да",FL344="Да"),FE344="Да",Исходн.данные.!I344&lt;5,FT344="Да",FU344="Да"),"Молибден,Цинк",IF(AND(FM344="Да",OR(FE344="Да",FF344="Да",FG344="Да",FH344="Да",FI344="Да")),"Молибден,Цинк",IF(AND(OR(FJ344="Да",FK344="Да",FL344="Да",FM344="Да",FQ344="Да"),OR(FE344="Да",FF344="Да"),FT344="Да",FU344="Да",Исходн.данные.!I344&gt;5.5),"Медь,Цинк",FC344))))))</f>
        <v>#N/A</v>
      </c>
      <c r="FC344" s="23" t="e">
        <f t="shared" si="408"/>
        <v>#N/A</v>
      </c>
      <c r="FD344" s="38" t="str">
        <f>IF(OR(Исходн.данные.!F344=$CC$1,Исходн.данные.!F344=$CC$2,Исходн.данные.!F344=$CC$3,Исходн.данные.!F344=$CC$4),"Да","Нет")</f>
        <v>Нет</v>
      </c>
      <c r="FE344" s="38" t="str">
        <f>IF(Исходн.данные.!F344=$CC$5,"Да","Нет")</f>
        <v>Нет</v>
      </c>
      <c r="FF344" s="38" t="str">
        <f>IF(OR(Исходн.данные.!F344=$CC$6,Исходн.данные.!F344=$CC$7),"Да","Нет")</f>
        <v>Нет</v>
      </c>
      <c r="FG344" s="38" t="str">
        <f>IF(OR(Исходн.данные.!F344=$CC$8,Исходн.данные.!F344=$CC$9),"Да","Нет")</f>
        <v>Нет</v>
      </c>
      <c r="FH344" s="38" t="str">
        <f>IF(Исходн.данные.!F344=$CC$10,"Да","Нет")</f>
        <v>Нет</v>
      </c>
      <c r="FI344" s="38" t="str">
        <f>IF(OR(Исходн.данные.!F344=$CC$11,Исходн.данные.!F344=$CC$12),"Да","Нет")</f>
        <v>Нет</v>
      </c>
      <c r="FJ344" s="38" t="str">
        <f>IF(OR(Исходн.данные.!AH344=$BS$1,Исходн.данные.!AH344=$BQ$11,Исходн.данные.!AH344=$BQ$12),"Да","Нет")</f>
        <v>Нет</v>
      </c>
      <c r="FK344" s="38" t="str">
        <f>IF(OR(Исходн.данные.!AH344=$BS$2,Исходн.данные.!AH344=$BS$4),"Да","Нет")</f>
        <v>Нет</v>
      </c>
      <c r="FL344" s="38" t="str">
        <f>IF(OR(Исходн.данные.!AH344=$BS$3,Исходн.данные.!AH344=$BS$5),"Да","Нет")</f>
        <v>Нет</v>
      </c>
      <c r="FM344" s="38" t="str">
        <f>IF(OR(Исходн.данные.!AH344=$BS$9,Исходн.данные.!AH344=$BS$10,Исходн.данные.!AH344=$BS$11,Исходн.данные.!AH344=$BS$12),"Да","Нет")</f>
        <v>Нет</v>
      </c>
      <c r="FN344" s="38" t="str">
        <f>IF(OR(Исходн.данные.!AH344=$BS$6,Исходн.данные.!AH344=$BP$3),"Да","Нет")</f>
        <v>Нет</v>
      </c>
      <c r="FO344" s="38" t="str">
        <f>IF(Исходн.данные.!AH344=$BQ$9,"Да","Нет")</f>
        <v>Нет</v>
      </c>
      <c r="FP344" s="38" t="str">
        <f>IF(OR(Исходн.данные.!AH344=$BS$8,Исходн.данные.!AH344=$BT$8),"Да","Нет")</f>
        <v>Нет</v>
      </c>
      <c r="FQ344" s="38" t="str">
        <f>IF(OR(Исходн.данные.!AH344=$BQ$7,Исходн.данные.!AH344=$BQ$8),"Да","Нет")</f>
        <v>Нет</v>
      </c>
      <c r="FR344" s="38" t="str">
        <f>IF(Исходн.данные.!AI344=$BU$9,"Да","Нет")</f>
        <v>Нет</v>
      </c>
      <c r="FS344" s="38" t="str">
        <f>IF(OR(Исходн.данные.!AH344=$BP$1,Исходн.данные.!AH344=$BP$2),"Да","Нет")</f>
        <v>Нет</v>
      </c>
      <c r="FT344" s="38" t="e">
        <f>IF((Исходн.данные.!K344*GO344*GS344*GW344+BL344*0.6+Исходн.данные.!Q344*4.5*0.275)&gt;90,"Да","Нет")</f>
        <v>#N/A</v>
      </c>
      <c r="FU344" s="38" t="e">
        <f>IF((Исходн.данные.!M344*GS344*GZ344+BM344*0.225)&gt;35,"Да","Нет")</f>
        <v>#N/A</v>
      </c>
      <c r="FV344" s="38" t="str">
        <f>IF(Исходн.данные.!O344&gt;175,"Да","Нет")</f>
        <v>Нет</v>
      </c>
      <c r="FW344" s="39" t="str">
        <f>IF(Исходн.данные.!I344&gt;5.5,"Да","Нет")</f>
        <v>Нет</v>
      </c>
      <c r="FX344" s="39" t="str">
        <f>IF(Исходн.данные.!J344&lt;2,"Да","Нет")</f>
        <v>Да</v>
      </c>
      <c r="FY344" s="39" t="e">
        <f>IF(HF344=$FY$16,0,Исходн.данные.!K344*GO344*GS344*GW344/HF344)</f>
        <v>#N/A</v>
      </c>
      <c r="FZ344" s="39" t="e">
        <f>Исходн.данные.!M344*GS344*GZ344/HG344</f>
        <v>#N/A</v>
      </c>
      <c r="GA344" s="39" t="e">
        <f>IF(K_Wyn=$FY$16,0,IF(Исходн.данные.!N344=Исходн.данные.!$L$10,Исходн.данные.!O344/1.1*GS344*HC344/HH344,IF(Исходн.данные.!N344=Исходн.данные.!$L$12,Исходн.данные.!O344/1.5*GS344*HC344/HH344,Исходн.данные.!O344*GS344*HC344/HH344)))</f>
        <v>#N/A</v>
      </c>
      <c r="GB344" s="39" t="e">
        <f>IF(HF344=$FY$16,0,((Исходн.данные.!Q344*N_Org+Исходн.данные.!R344*N_Sider+Исходн.данные.!S344*N_Soloma)*AO344+Расчет!BC344*VLOOKUP(Исходн.данные.!T344,Справ!$A$3:$O$57,15)*AO344+BB344*VLOOKUP(Исходн.данные.!T344,Справ!$A$3:$O$57,15)*AL344+(Исходн.данные.!V344*N_Rizotorf+Исходн.данные.!W344*N_Rizoagr))/HF344)</f>
        <v>#N/A</v>
      </c>
      <c r="GC344" s="39" t="e">
        <f>IF(HG344=$FY$16,0,((Исходн.данные.!Q344*Р_Org+Исходн.данные.!R344*P_Sider+Исходн.данные.!S344*P_Soloma)*AP344+Расчет!BC344*VLOOKUP(Исходн.данные.!T344,Справ!$A$3:$P$57,16)*AP344+BB344*VLOOKUP(Исходн.данные.!T344,Справ!$A$3:$P$57,16)*AM344)/HG344)</f>
        <v>#N/A</v>
      </c>
      <c r="GD344" s="39" t="e">
        <f>IF(HH344=$FY$16,0,((Исходн.данные.!Q344*К_Org+Исходн.данные.!R344*K_Sider+Исходн.данные.!S344*K_Soloma)*AQ344+Расчет!BC344*VLOOKUP(Исходн.данные.!T344,Справ!$A$3:$Q$57,17)*AQ344+BB344*VLOOKUP(Исходн.данные.!T344,Справ!$A$3:$Q$57,17)*AN344)/HH344)</f>
        <v>#N/A</v>
      </c>
      <c r="GE344" s="39" t="e">
        <f>IF(HF344=$FY$16,0,(Исходн.данные.!X344*AR344+Исходн.данные.!AA344*N_Org*AL344+Исходн.данные.!AB344*N_Sider*AL344+Исходн.данные.!AC344*N_Soloma*AL344)/HF344)</f>
        <v>#N/A</v>
      </c>
      <c r="GF344" s="39" t="e">
        <f>IF(HG344=$FY$16,0,(Исходн.данные.!Y344*AS344+Исходн.данные.!AA344*Р_Org*AM344+Исходн.данные.!AB344*P_Sider*AM344+Исходн.данные.!AC344*P_Soloma*AM344)/HG344)</f>
        <v>#N/A</v>
      </c>
      <c r="GG344" s="39" t="e">
        <f>IF(HH344=$FY$16,0,(Исходн.данные.!Z344*AT344+Исходн.данные.!AA344*К_Org*AN344+Исходн.данные.!AB344*K_Sider*AN344+Исходн.данные.!AC344*K_Soloma*AN344)/HH344)</f>
        <v>#N/A</v>
      </c>
      <c r="GH344" s="39" t="e">
        <f>Исходн.данные.!AD344*AU344/HF344</f>
        <v>#N/A</v>
      </c>
      <c r="GI344" s="39" t="e">
        <f>Исходн.данные.!AE344*AV344/HG344</f>
        <v>#N/A</v>
      </c>
      <c r="GJ344" s="39" t="e">
        <f>Исходн.данные.!AF344*AW344/HH344</f>
        <v>#N/A</v>
      </c>
      <c r="GK344" s="55">
        <f>Исходн.данные.!AK344</f>
        <v>0</v>
      </c>
      <c r="GL344" s="11" t="e">
        <f t="shared" si="409"/>
        <v>#N/A</v>
      </c>
      <c r="GM344" s="11" t="e">
        <f t="shared" si="410"/>
        <v>#N/A</v>
      </c>
      <c r="GN344" s="11" t="e">
        <f t="shared" si="411"/>
        <v>#N/A</v>
      </c>
      <c r="GO344" s="57">
        <f t="shared" si="412"/>
        <v>19</v>
      </c>
      <c r="GP344" s="55">
        <f>IF(OR(Исходн.данные.!F344=$CE$1,Исходн.данные.!F344=$CE$2,Исходн.данные.!F344=$CE$3,Исходн.данные.!F344=$CE$4,Исходн.данные.!F344=$CE$5),GQ344,GR344)</f>
        <v>19</v>
      </c>
      <c r="GQ344" s="55">
        <f>IF(Исходн.данные.!F344=$CE$1,28,IF(Исходн.данные.!F344=$CE$2,26,IF(Исходн.данные.!F344=$CE$3,24,IF(Исходн.данные.!F344=$CE$4,22,IF(Исходн.данные.!F344=$CE$5,20,GR344)))))</f>
        <v>19</v>
      </c>
      <c r="GR344" s="55">
        <f>IF(Исходн.данные.!F344=$CE$6,18,IF(Исходн.данные.!F344=$CE$7,16,IF(Исходн.данные.!F344=$CE$8,14,IF(Исходн.данные.!F344=$CE$9,13,IF(Исходн.данные.!F344=$CE$10,12,19)))))</f>
        <v>19</v>
      </c>
      <c r="GS344" s="55">
        <f>IF(Исходн.данные.!G344="Пес",0.035*(40+2*Исходн.данные.!H344),IF(Исходн.данные.!G344="Суп",0.0325*(40+2*Исходн.данные.!H344),0.03*(40+2*Исходн.данные.!H344)))</f>
        <v>1.2</v>
      </c>
      <c r="GT344" s="55">
        <f>IF(Исходн.данные.!H344&lt;23,2.6,IF(AND(Исходн.данные.!H344&gt;22,Исходн.данные.!H344&lt;26),3,IF(AND(Исходн.данные.!H344&gt;25,Исходн.данные.!H344&lt;29),3.4,3.6)))</f>
        <v>2.6</v>
      </c>
      <c r="GU344" s="55">
        <f>IF(Исходн.данные.!H344&lt;23,2.8,IF(AND(Исходн.данные.!H344&gt;22,Исходн.данные.!H344&lt;26),3.2,IF(AND(Исходн.данные.!H344&gt;25,Исходн.данные.!H344&lt;29),3.6,3.9)))</f>
        <v>2.8</v>
      </c>
      <c r="GV344" s="55">
        <f>IF(Исходн.данные.!H344&lt;23,3,IF(AND(Исходн.данные.!H344&gt;22,Исходн.данные.!H344&lt;26),3.5,IF(AND(Исходн.данные.!H344&gt;25,Исходн.данные.!H344&lt;29),3.9,4.2)))</f>
        <v>3</v>
      </c>
      <c r="GW344" s="55" t="e">
        <f>IF(Исходн.данные.!P344="Ум",GX344,GY344)</f>
        <v>#N/A</v>
      </c>
      <c r="GX344" s="55" t="e">
        <f>VLOOKUP(Исходн.данные.!AI344,Коэффициенты!$J$7:$L$13,2,FALSE)</f>
        <v>#N/A</v>
      </c>
      <c r="GY344" s="55" t="e">
        <f>VLOOKUP(Исходн.данные.!AI344,Коэффициенты!$J$7:$L$13,3,FALSE)</f>
        <v>#N/A</v>
      </c>
      <c r="GZ344" s="55" t="e">
        <f>(IF(Исходн.данные.!M344&lt;50,0.11*VLOOKUP(Исходн.данные.!AH344,Культуры.Информация,7,FALSE),IF(Исходн.данные.!M344&gt;250,0.05*VLOOKUP(Исходн.данные.!AH344,Культуры.Информация,7,FALSE),VLOOKUP(Исходн.данные.!AH344,Культуры.Информация,5,FALSE)/100*($GX$6+$GY$6*Исходн.данные.!M344))))*Расчет2!AI344</f>
        <v>#N/A</v>
      </c>
      <c r="HA344" s="211"/>
      <c r="HB344" s="211"/>
      <c r="HC344" s="55" t="e">
        <f>(IF(Исходн.данные.!O344&lt;80,0.2*VLOOKUP(Исходн.данные.!AH344,Культуры.Информация,8,FALSE),IF(Исходн.данные.!O344&gt;240,0.09*VLOOKUP(Исходн.данные.!AH344,Культуры.Информация,8,FALSE),VLOOKUP(Исходн.данные.!AH344,Культуры.Информация,6,FALSE)/100*($HB$6+$HC$6*Исходн.данные.!O344))))*Расчет2!AJ344</f>
        <v>#N/A</v>
      </c>
      <c r="HD344" s="55">
        <f>IF(Исходн.данные.!O344&gt;240,0.09,IF(Исходн.данные.!O344&lt;30,0.3,$HE$10+$HD$10*Исходн.данные.!O344))</f>
        <v>0.3</v>
      </c>
      <c r="HE344" s="55">
        <f>IF(Исходн.данные.!O344&gt;240,0.17,IF(Исходн.данные.!O344&lt;30,0.5,$HF$12+$HE$12*Исходн.данные.!O344))</f>
        <v>0.5</v>
      </c>
      <c r="HF344" s="55" t="e">
        <f>VLOOKUP(Исходн.данные.!AH344,Справ!$A$3:$D$58,2,FALSE)</f>
        <v>#N/A</v>
      </c>
      <c r="HG344" s="55" t="e">
        <f>VLOOKUP(Исходн.данные.!AH344,Справ!$A$3:$D$58,3,FALSE)</f>
        <v>#N/A</v>
      </c>
      <c r="HH344" s="55" t="e">
        <f>VLOOKUP(Исходн.данные.!AH344,Справ!$A$3:$D$58,4,FALSE)</f>
        <v>#N/A</v>
      </c>
      <c r="HI344" s="11" t="e">
        <f t="shared" si="413"/>
        <v>#N/A</v>
      </c>
      <c r="HJ344" s="11" t="e">
        <f t="shared" si="414"/>
        <v>#N/A</v>
      </c>
      <c r="HK344" s="11" t="e">
        <f t="shared" si="415"/>
        <v>#N/A</v>
      </c>
      <c r="HL344" s="55">
        <f>IF(OR(Исходн.данные.!G344="Глин",Исходн.данные.!G344="Т_суг"),1.1,IF(Исходн.данные.!G344="Ср_суг",1,1))</f>
        <v>1</v>
      </c>
      <c r="HM344" s="55">
        <f>IF(OR(Исходн.данные.!G344="Глин",Исходн.данные.!G344="Т_суг"),0.9,IF(Исходн.данные.!G344="Ср_суг",1,1.2))</f>
        <v>1.2</v>
      </c>
      <c r="HN344" s="11" t="e">
        <f t="shared" si="416"/>
        <v>#N/A</v>
      </c>
      <c r="HO344" s="11" t="e">
        <f t="shared" si="417"/>
        <v>#N/A</v>
      </c>
      <c r="HP344" s="11" t="e">
        <f t="shared" si="418"/>
        <v>#N/A</v>
      </c>
      <c r="HQ344" t="e">
        <f t="shared" si="419"/>
        <v>#N/A</v>
      </c>
      <c r="HR344" t="e">
        <f t="shared" si="420"/>
        <v>#N/A</v>
      </c>
      <c r="HS344" t="e">
        <f t="shared" si="421"/>
        <v>#N/A</v>
      </c>
      <c r="HT344" t="e">
        <f t="shared" si="441"/>
        <v>#N/A</v>
      </c>
      <c r="HU344" t="e">
        <f t="shared" si="442"/>
        <v>#N/A</v>
      </c>
      <c r="HV344" t="e">
        <f t="shared" si="443"/>
        <v>#N/A</v>
      </c>
      <c r="HW344" t="e">
        <f t="shared" si="444"/>
        <v>#N/A</v>
      </c>
      <c r="HX344" t="e">
        <f t="shared" si="445"/>
        <v>#N/A</v>
      </c>
      <c r="HY344" t="e">
        <f t="shared" si="446"/>
        <v>#N/A</v>
      </c>
      <c r="HZ344" s="55">
        <f>IF(OR(Исходн.данные.!AI344="Оз_Ч_П",Исходн.данные.!AI344="Оз_З_П",Исходн.данные.!AI344="Яр_зер"),12,30)</f>
        <v>30</v>
      </c>
      <c r="IA344" t="e">
        <f t="shared" si="422"/>
        <v>#N/A</v>
      </c>
      <c r="IB344" t="e">
        <f t="shared" si="423"/>
        <v>#N/A</v>
      </c>
      <c r="IC344" t="e">
        <f t="shared" si="424"/>
        <v>#N/A</v>
      </c>
      <c r="ID344" s="11" t="e">
        <f t="shared" si="425"/>
        <v>#N/A</v>
      </c>
      <c r="IE344" s="11" t="e">
        <f t="shared" si="426"/>
        <v>#N/A</v>
      </c>
      <c r="IF344" s="11" t="e">
        <f t="shared" si="427"/>
        <v>#N/A</v>
      </c>
    </row>
    <row r="345" spans="35:240" x14ac:dyDescent="0.2">
      <c r="AI345">
        <f>IF(Исходн.данные.!I345&gt;6,1,1.85-(0.148*Исходн.данные.!I345))</f>
        <v>1.85</v>
      </c>
      <c r="AJ345">
        <f>IF(Исходн.данные.!I345&gt;6,1,2.434-(0.246*Исходн.данные.!I345))</f>
        <v>2.4340000000000002</v>
      </c>
      <c r="AL345" s="148" t="b">
        <f>IF(Исходн.данные.!$P345="Ум",N_OrgUd_2g_um,IF(Исходн.данные.!$P345="Об",N_OrgUd_2g_ob))</f>
        <v>0</v>
      </c>
      <c r="AM345" s="148" t="b">
        <f>IF(Исходн.данные.!$P345="Ум",P_OrgUd_2g_um,IF(Исходн.данные.!$P345="Об",P_OrgUd_2g_ob))</f>
        <v>0</v>
      </c>
      <c r="AN345" s="148" t="b">
        <f>IF(Исходн.данные.!$P345="Ум",K_OrgUd_2g_um,IF(Исходн.данные.!$P345="Об",K_OrgUd_2g_ob))</f>
        <v>0</v>
      </c>
      <c r="AO345" s="148" t="b">
        <f>IF(Исходн.данные.!$P345="Ум",N_OrgUd_1g_um,IF(Исходн.данные.!$P345="Об",N_OrgUd_1g_ob))</f>
        <v>0</v>
      </c>
      <c r="AP345" s="148" t="b">
        <f>IF(Исходн.данные.!$P345="Ум",P_OrgUd_1g_um,IF(Исходн.данные.!$P345="Об",P_OrgUd_1g_ob))</f>
        <v>0</v>
      </c>
      <c r="AQ345" s="148" t="b">
        <f>IF(Исходн.данные.!$P345="Ум",K_OrgUd_1g_um,IF(Исходн.данные.!$P345="Об",K_OrgUd_1g_ob))</f>
        <v>0</v>
      </c>
      <c r="AR345" t="b">
        <f>IF(Исходн.данные.!$P345="Ум",N_MinUd_2g_um,IF(Исходн.данные.!$P345="Об",N_MinUd_2g_ob))</f>
        <v>0</v>
      </c>
      <c r="AS345" t="b">
        <f>IF(Исходн.данные.!$P345="Ум",P_MinUd_2g_um,IF(Исходн.данные.!$P345="Об",P_MinUd_2g_ob))</f>
        <v>0</v>
      </c>
      <c r="AT345" t="b">
        <f>IF(Исходн.данные.!$P345="Ум",K_MinUd_2g_um,IF(Исходн.данные.!$P345="Об",K_MinUd_2g_ob))</f>
        <v>0</v>
      </c>
      <c r="AU345" t="b">
        <f>IF(Исходн.данные.!$P345="Ум",N_MinUd_1g_um,IF(Исходн.данные.!$P345="Об",N_MinUd_1g_ob))</f>
        <v>0</v>
      </c>
      <c r="AV345" t="b">
        <f>IF(Исходн.данные.!P345="Ум",P_MinUd_1g_um,IF(Исходн.данные.!P345="Об",P_MinUd_1g_ob))</f>
        <v>0</v>
      </c>
      <c r="AW345" t="b">
        <f>IF(Исходн.данные.!P345="Ум",K_MinUd_1g_um,IF(Исходн.данные.!P345="Об",K_MinUd_1g_ob))</f>
        <v>0</v>
      </c>
      <c r="AY345" t="e">
        <f>VLOOKUP(Исходн.данные.!T345,Справ!$A$3:$N$57,12)</f>
        <v>#N/A</v>
      </c>
      <c r="AZ345" t="e">
        <f>VLOOKUP(Исходн.данные.!T345,Справ!$A$3:$N$57,13)</f>
        <v>#N/A</v>
      </c>
      <c r="BA345" t="e">
        <f>VLOOKUP(Исходн.данные.!T345,Справ!$A$3:$N$57,14)</f>
        <v>#N/A</v>
      </c>
      <c r="BB345">
        <f>IF(Исходн.данные.!AH345=0,0,25)</f>
        <v>0</v>
      </c>
      <c r="BC345" s="141">
        <f>IF(Исходн.данные.!AH345=0,0,IF(Исходн.данные.!T345=0,25,BD345))</f>
        <v>0</v>
      </c>
      <c r="BD345" s="168" t="e">
        <f>AY345+AZ345*Исходн.данные.!U345-POWER(BA345,2)*Исходн.данные.!U345</f>
        <v>#N/A</v>
      </c>
      <c r="BE345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5" s="25">
        <f>IF(Исходн.данные.!AH345=0,0,MIN(HN345:HP345))</f>
        <v>0</v>
      </c>
      <c r="BG345" s="9">
        <f>IF(Исходн.данные.!AH345=0,0,IF((HO345+10*0.25/HG345/HL345)&lt;17,17,HO345+10*0.25/HG345/HL345))</f>
        <v>0</v>
      </c>
      <c r="BH345" s="181">
        <f>IF(Исходн.данные.!AH345=0,0,HW345*HF345*HL345/AU345*AI345+Исходн.данные.!S345*10)</f>
        <v>0</v>
      </c>
      <c r="BI345" s="10"/>
      <c r="BJ345" s="182">
        <f>IF(Исходн.данные.!AH345=0,0,IF(HX345*HG345*HL345/AV345&lt;0,0,HX345*HG345*HL345/AV345*AJ345))</f>
        <v>0</v>
      </c>
      <c r="BK345" s="182">
        <f>IF(Исходн.данные.!AH345=0,0,HY345*HH345*HM345/AW345)</f>
        <v>0</v>
      </c>
      <c r="BL345" s="10">
        <f>IF(OR(Исходн.данные.!$AH345=$BP$1,Исходн.данные.!$AH345=$BP$2),0,IF(BH345&lt;0,0,IF(OR(Исходн.данные.!T345=Расчет!$BP$1,Исходн.данные.!T345=Расчет!$BP$2,Исходн.данные.!T345=Расчет!$BT$5,Исходн.данные.!T345=Расчет!$BT$6),BH345*0.5,IF(OR(Исходн.данные.!T345=Расчет!$BS$9,Исходн.данные.!T345=Расчет!$BS$10,Исходн.данные.!T345=Расчет!$BS$11,Исходн.данные.!T345=Расчет!$BS$12,Исходн.данные.!T345=Расчет!$BP$5),BH345*0.8,BH345))))</f>
        <v>0</v>
      </c>
      <c r="BM345" s="10">
        <f>IF(OR(Исходн.данные.!$AH345=$BP$1,Исходн.данные.!$AH345=$BP$2),0,IF(BJ345&lt;0,0,IF(Исходн.данные.!I345&lt;4.5,BJ345*1.2,IF(Исходн.данные.!I345&gt;5.1,BJ345,BJ345*((5.1-Исходн.данные.!I345)*0.333+1)))))</f>
        <v>0</v>
      </c>
      <c r="BN345" s="10">
        <f>IF(OR(Исходн.данные.!$AH345=$BP$1,Исходн.данные.!$AH345=$BP$2),60-Исходн.данные.!AF345,IF(BK345&lt;0,0,IF(Исходн.данные.!I345&lt;4.5,BK345*1.2,IF(Исходн.данные.!I345&gt;5.1,BK345,BK345*((5.1-Исходн.данные.!I345)*0.333+1)))))</f>
        <v>0</v>
      </c>
      <c r="BO345" s="9">
        <f>IF(BL345&lt;0,0,BL345*Исходн.данные.!$AJ345/1000)</f>
        <v>0</v>
      </c>
      <c r="BP345" s="9">
        <f>IF(BM345&lt;0,0,BM345*Исходн.данные.!$AJ345/1000)</f>
        <v>0</v>
      </c>
      <c r="BQ345" s="9">
        <f>IF(BN345&lt;0,0,BN345*Исходн.данные.!$AJ345/1000)</f>
        <v>0</v>
      </c>
      <c r="BR345" s="9">
        <f t="shared" si="377"/>
        <v>0</v>
      </c>
      <c r="BS345" s="10" t="str">
        <f t="shared" si="378"/>
        <v>Аммофос 12:52:00</v>
      </c>
      <c r="BT345" s="10" t="str">
        <f t="shared" si="379"/>
        <v>Аммофос 12:52:00</v>
      </c>
      <c r="BU345" s="10" t="str">
        <f t="shared" si="380"/>
        <v>Диаммофоска</v>
      </c>
      <c r="BV345" s="10">
        <f t="shared" si="381"/>
        <v>0</v>
      </c>
      <c r="BW345" s="10"/>
      <c r="BX345" s="10"/>
      <c r="BY345" s="9">
        <f>IF(BL345&lt;0,0,IF(OR(Исходн.данные.!AI345=Расчет!$BU$6,Исходн.данные.!AI345=Расчет!$BU$7),Расчет!BV345,IF(Исходн.данные.!$AG345=$BV$11,BL345,IF(OR(Исходн.данные.!$AH345=$BQ$7,Исходн.данные.!$AH345=$BQ$8),CB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0,IF(Исходн.данные.!$AI345=$BU$11,"Нет",IF(BL345&gt;30,30,BL345)))))))</f>
        <v>0</v>
      </c>
      <c r="BZ345" s="9">
        <f>IF(AND(Исходн.данные.!$AG345=$BV$11,BM345&lt;10),10,IF(Исходн.данные.!$AG345=$BV$11,BM345,IF(OR(Исходн.данные.!$AH345=$BQ$7,Исходн.данные.!$AH345=$BQ$8),CC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10,IF(Исходн.данные.!$AI345=$BU$11,"Нет",IF(BM345&gt;60,60,IF(BM345&lt;10,10,BM345)))))))</f>
        <v>10</v>
      </c>
      <c r="CA345" s="39">
        <f>IF(BN345&lt;0,0,IF(Исходн.данные.!$AG345=$BV$11,BN345,IF(OR(Исходн.данные.!$AH345=$BQ$7,Исходн.данные.!$AH345=$BQ$8),CD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0,IF(Исходн.данные.!$AI345=$BU$11,"Нет",IF(BN345&gt;30,30,BN345))))))</f>
        <v>0</v>
      </c>
      <c r="CB345" s="9">
        <f t="shared" si="382"/>
        <v>0</v>
      </c>
      <c r="CC345" s="9">
        <f t="shared" si="383"/>
        <v>0</v>
      </c>
      <c r="CD345" s="9">
        <f t="shared" si="384"/>
        <v>0</v>
      </c>
      <c r="CE345" s="12">
        <f t="shared" si="385"/>
        <v>10</v>
      </c>
      <c r="CF345" s="9">
        <f t="shared" si="386"/>
        <v>0</v>
      </c>
      <c r="CG345" s="9" t="s">
        <v>231</v>
      </c>
      <c r="CH345" s="132" t="str">
        <f>IF(Исходн.данные.!AP345=Расчет!$CI$16,"Нет",IF(Исходн.данные.!AL345&gt;0,Исходн.данные.!AL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BH$4,IF(OR(Исходн.данные.!AI345=Исходн.данные.!$AI$6,Исходн.данные.!AI345=Исходн.данные.!$AI$7),Расчет!BS345,IF(AND($CF345=0,$CE345&gt;0),EV345,ER345)))))</f>
        <v>Аммофос 12:52:00</v>
      </c>
      <c r="CI345" s="274">
        <f>IF(Расчет!$CH345="Нет","Нет",IF(Исходн.данные.!$AL345&gt;0,VLOOKUP(Расчет!$CH345,АшламаДВ_Irekle,2,FALSE),VLOOKUP(Расчет!$CH345,АшламаДВ_Gomumy,2,FALSE)))</f>
        <v>0.12</v>
      </c>
      <c r="CJ345" s="274">
        <f>IF(Расчет!$CH345="Нет","Нет",IF(Исходн.данные.!$AL345&gt;0,VLOOKUP(Расчет!$CH345,АшламаДВ_Irekle,3,FALSE),VLOOKUP(Расчет!$CH345,АшламаДВ_Gomumy,3,FALSE)))</f>
        <v>0.52</v>
      </c>
      <c r="CK345" s="274">
        <f>IF(Расчет!$CH345="Нет","Нет",IF(Исходн.данные.!$AL345&gt;0,VLOOKUP(Расчет!$CH345,АшламаДВ_Irekle,4,FALSE),VLOOKUP(Расчет!$CH345,АшламаДВ_Gomumy,4,FALSE)))</f>
        <v>0</v>
      </c>
      <c r="CL345" s="70"/>
      <c r="CM345" s="70"/>
      <c r="CN345" s="70"/>
      <c r="CO345" s="70"/>
      <c r="CP345" s="70"/>
      <c r="CQ345" s="70"/>
      <c r="CR345" s="10">
        <f t="shared" si="387"/>
        <v>0</v>
      </c>
      <c r="CS345" s="10">
        <f t="shared" si="388"/>
        <v>19.23076923076923</v>
      </c>
      <c r="CT345" s="10">
        <f t="shared" si="389"/>
        <v>0</v>
      </c>
      <c r="CU345" s="39">
        <f>IF($CH345="Нет",0,IF(CI345=0,30/MIN(CJ345:CK345),IF(Исходн.данные.!$AG345=$BV$11,CR345,IF(OR(Исходн.данные.!$AH345=$BQ$7,Исходн.данные.!$AH345=$BQ$8),90/CI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0,IF(Исходн.данные.!$AI345=$BU$11,"Нет",30/CI345))))))</f>
        <v>250</v>
      </c>
      <c r="CV345" s="39">
        <f>IF($CH345="Нет",0,IF(Исходн.данные.!AH345=0,0,IF(CJ345=0,60/MIN(CI345,CK345),IF(Исходн.данные.!$AG345=$BV$11,CS345,IF(OR(Исходн.данные.!$AH345=$BQ$7,Исходн.данные.!$AH345=$BQ$8),90/CJ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10/CJ345,IF(Исходн.данные.!$AI345=$BU$11,"Нет",60/CJ345)))))))</f>
        <v>0</v>
      </c>
      <c r="CW345" s="39">
        <f>IF($CH345="Нет",0,IF(Исходн.данные.!AH345=0,0,IF(CK345=0,30/MIN(CI345:CJ345),IF(Исходн.данные.!$AG345=$BV$11,CT345,IF(OR(Исходн.данные.!$AH345=$BQ$7,Исходн.данные.!$AH345=$BQ$8),90/CK345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0,IF(Исходн.данные.!$AI345=$BU$11,"Нет",30/CK345)))))))</f>
        <v>0</v>
      </c>
      <c r="CX345" s="133">
        <f>IF(Исходн.данные.!$AG345=$BV$11,MAX(CU345:CW345),IF(OR(Исходн.данные.!$AH345=$BS$8,Исходн.данные.!$AH345=$BQ$9,Исходн.данные.!$AH345=$BQ$10,Исходн.данные.!$AH345=$BQ$11,Исходн.данные.!$AH345=$BQ$12,Исходн.данные.!$AH345=$BP$3,Исходн.данные.!$AH345=$BT$8,$FM345="Да"),CV345,MIN(CU345:CW345)))</f>
        <v>0</v>
      </c>
      <c r="CY345" s="133">
        <f>IF(Исходн.данные.!AH345=0,0,IF(CR345&gt;$CX345,$CX345,CR345))</f>
        <v>0</v>
      </c>
      <c r="CZ345" s="133">
        <f>IF(Исходн.данные.!AH345=0,0,IF(CS345&gt;$CX345,$CX345,CS345))</f>
        <v>0</v>
      </c>
      <c r="DA345" s="133">
        <f>IF(Исходн.данные.!AH345=0,0,IF(CT345&gt;$CX345,$CX345,CT345))</f>
        <v>0</v>
      </c>
      <c r="DB345" s="10">
        <f t="shared" si="390"/>
        <v>0</v>
      </c>
      <c r="DC345" s="39">
        <f>DB345*Исходн.данные.!AJ345/1000</f>
        <v>0</v>
      </c>
      <c r="DD345" s="71">
        <f t="shared" si="391"/>
        <v>0</v>
      </c>
      <c r="DE345" s="9">
        <f t="shared" si="392"/>
        <v>0</v>
      </c>
      <c r="DF345" s="9">
        <f t="shared" si="393"/>
        <v>0</v>
      </c>
      <c r="DG345" s="39">
        <f>IF(BL345&lt;0,0,IF($CH345="Нет",BL345,IF(OR(Исходн.данные.!$AH345=$BP$1,Исходн.данные.!$AH345=$BP$2),0,IF(Исходн.данные.!AI345=$BU$11,BL345,IF(BL345-DD345&lt;0,0,BL345-DD345)))))</f>
        <v>0</v>
      </c>
      <c r="DH345" s="39">
        <f>IF(BM345&lt;0,0,IF($CH345="Нет",BM345,IF(OR(Исходн.данные.!$AH345=$BP$1,Исходн.данные.!$AH345=$BP$2),0,IF(Исходн.данные.!AJ345=$BU$11,BM345,IF(BM345-DE345&lt;0,0,BM345-DE345)))))</f>
        <v>0</v>
      </c>
      <c r="DI345" s="39">
        <f>IF(BN345&lt;0,0,IF($CH345="Нет",BN345,IF(OR(Исходн.данные.!$AH345=$BP$1,Исходн.данные.!$AH345=$BP$2),0,IF(Исходн.данные.!AK345=$BU$11,BN345,IF(BN345-DF345&lt;0,0,BN345-DF345)))))</f>
        <v>0</v>
      </c>
      <c r="DJ345" s="12">
        <f t="shared" si="394"/>
        <v>0</v>
      </c>
      <c r="DK345" s="9">
        <f t="shared" si="395"/>
        <v>0</v>
      </c>
      <c r="DL345" s="39">
        <f>IF(Исходн.данные.!AM345&gt;0,Исходн.данные.!AM345,IF(EG345&gt;0,$BH$10,0))</f>
        <v>0</v>
      </c>
      <c r="DM345" s="186">
        <f>IF($DL345=0,0,IF(Исходн.данные.!AM345&gt;0,VLOOKUP($DL345,АшламаДВ_Irekle,2,FALSE),VLOOKUP($DL345,АшламаДВ_Gomumy,2,FALSE)))</f>
        <v>0</v>
      </c>
      <c r="DN345" s="10">
        <f t="shared" si="447"/>
        <v>0</v>
      </c>
      <c r="DO345" s="9" t="str">
        <f>IF(Исходн.данные.!AN345&gt;0,Исходн.данные.!AN345,Удобрения!$B$37 )</f>
        <v>Хлор.калий</v>
      </c>
      <c r="DP345" s="9">
        <f>IF(Исходн.данные.!AN345&gt;0,VLOOKUP(Исходн.данные.!AN345,АшламаДВ_Irekle,4,FALSE),VLOOKUP(DO345,АшламаДВ_Gomumy,4,FALSE))</f>
        <v>0.6</v>
      </c>
      <c r="DQ345" s="10">
        <f t="shared" si="448"/>
        <v>0</v>
      </c>
      <c r="DR345" s="132" t="str">
        <f>IF(Исходн.данные.!AO345&gt;0,Исходн.данные.!AO345,IF(DH345=0,BS$17,IF(AND($DK345=0,$DJ345&gt;0),EJ345,EN345)))</f>
        <v>Нет</v>
      </c>
      <c r="DS345" s="70" t="str">
        <f>IF($DR345="Нет","Нет",IF(Исходн.данные.!$AO345&gt;0,VLOOKUP($DR345,АшламаДВ_Irekle,2,FALSE),VLOOKUP($DR345,АшламаДВ_Gomumy,2,FALSE)))</f>
        <v>Нет</v>
      </c>
      <c r="DT345" s="70" t="str">
        <f>IF($DR345="Нет","Нет",IF(Исходн.данные.!$AO345&gt;0,VLOOKUP($DR345,АшламаДВ_Irekle,3,FALSE),VLOOKUP($DR345,АшламаДВ_Gomumy,3,FALSE)))</f>
        <v>Нет</v>
      </c>
      <c r="DU345" s="70" t="str">
        <f>IF($DR345="Нет","Нет",IF(Исходн.данные.!$AO345&gt;0,VLOOKUP($DR345,АшламаДВ_Irekle,4,FALSE),VLOOKUP($DR345,АшламаДВ_Gomumy,4,FALSE)))</f>
        <v>Нет</v>
      </c>
      <c r="DV345" s="70"/>
      <c r="DW345" s="70"/>
      <c r="DX345" s="70"/>
      <c r="DY345" s="10">
        <f t="shared" si="396"/>
        <v>0</v>
      </c>
      <c r="DZ345" s="10">
        <f t="shared" si="397"/>
        <v>0</v>
      </c>
      <c r="EA345" s="10">
        <f t="shared" si="398"/>
        <v>0</v>
      </c>
      <c r="EB345" s="10">
        <f t="shared" si="399"/>
        <v>0</v>
      </c>
      <c r="EC345" s="10">
        <f t="shared" si="400"/>
        <v>0</v>
      </c>
      <c r="ED345" s="10">
        <f t="shared" si="401"/>
        <v>0</v>
      </c>
      <c r="EE345" s="10">
        <f t="shared" si="402"/>
        <v>0</v>
      </c>
      <c r="EF345" s="39">
        <f>EB345*Исходн.данные.!AJ345/1000</f>
        <v>0</v>
      </c>
      <c r="EG345" s="9">
        <f t="shared" si="403"/>
        <v>0</v>
      </c>
      <c r="EH345" s="9">
        <f t="shared" si="404"/>
        <v>0</v>
      </c>
      <c r="EI345" s="39" t="e">
        <f t="shared" si="428"/>
        <v>#DIV/0!</v>
      </c>
      <c r="EJ345" s="9" t="str">
        <f t="shared" si="449"/>
        <v>Азопреципитат</v>
      </c>
      <c r="EK345" s="12">
        <f t="shared" si="429"/>
        <v>0.26</v>
      </c>
      <c r="EL345" s="12">
        <f t="shared" si="430"/>
        <v>0.13</v>
      </c>
      <c r="EM345" s="12">
        <f t="shared" si="431"/>
        <v>0</v>
      </c>
      <c r="EN345" s="12" t="str">
        <f t="shared" si="450"/>
        <v>Нет</v>
      </c>
      <c r="EO345" s="12">
        <f t="shared" si="432"/>
        <v>0</v>
      </c>
      <c r="EP345" s="12">
        <f t="shared" si="433"/>
        <v>0</v>
      </c>
      <c r="EQ345" s="12">
        <f t="shared" si="434"/>
        <v>0</v>
      </c>
      <c r="ER345" s="12" t="str">
        <f t="shared" si="405"/>
        <v>Диаммофоска</v>
      </c>
      <c r="ES345" s="12">
        <f t="shared" si="435"/>
        <v>0.1</v>
      </c>
      <c r="ET345" s="12">
        <f t="shared" si="436"/>
        <v>0.26</v>
      </c>
      <c r="EU345" s="12">
        <f t="shared" si="437"/>
        <v>0.26</v>
      </c>
      <c r="EV345" s="12" t="str">
        <f t="shared" si="406"/>
        <v>Аммофос 12:52:00</v>
      </c>
      <c r="EW345" s="12" t="str">
        <f t="shared" si="407"/>
        <v>Кемира Свекловичное-6</v>
      </c>
      <c r="EX345" s="12">
        <f t="shared" si="438"/>
        <v>0.16</v>
      </c>
      <c r="EY345" s="12">
        <f t="shared" si="439"/>
        <v>0.12</v>
      </c>
      <c r="EZ345" s="12">
        <f t="shared" si="440"/>
        <v>0.17</v>
      </c>
      <c r="FA345" s="38" t="e">
        <f>IF(AND(OR(FJ345=$FD$1,FM345=$FD$1,FO345=$FD$1,FQ345=$FD$1,FS345=$FD$1),FD345=$FD$1,Исходн.данные.!J345&lt;2,FU345=$FD$1),"Бор,Кобальт",IF(AND(FO345=$FD$1,FH345=$FD$1,Исходн.данные.!J345&lt;2,FU345=$FD$1),"Бор,Кобальт",IF(AND(OR(FJ345=$FD$1,FM345=$FD$1,FQ345=$FD$1),FE345=$FD$1,Исходн.данные.!J345&lt;2,FT345=$FD$1,FU345=$FD$1),"Бор,Медь,Цинк",IF(AND(OR(FJ345=$FD$1,FR345="Да"),FI345="Да",Исходн.данные.!J345&lt;2,FT345="Да",FU345="Да"),"Бор,Цинк,Медь",IF(AND(OR(FM345="Да",FQ345="Да"),FI345="Да",Исходн.данные.!J345&lt;2,FT345="Да",FU345="Да"),"Бор,Цинк",IF(AND(FN345="Да",OR(FD345="Да",FE345="Да")),"Бор",FB345))))))</f>
        <v>#N/A</v>
      </c>
      <c r="FB345" s="134" t="e">
        <f>IF(AND(OR(FD345="Да",FE345="Да",FF345="Да",FG345="Да",FH345="Да"),FO345="Да"),"Бор",IF(AND(FP345="Да",OR(FD345="Да",FE345="Да",FI345="Да")),"Бор",IF(AND(FS345="Да",FE345="Да"),"Бор,Медь",IF(AND(OR(FJ345="Да",FK345="Да",FL345="Да"),FE345="Да",Исходн.данные.!I345&lt;5,FT345="Да",FU345="Да"),"Молибден,Цинк",IF(AND(FM345="Да",OR(FE345="Да",FF345="Да",FG345="Да",FH345="Да",FI345="Да")),"Молибден,Цинк",IF(AND(OR(FJ345="Да",FK345="Да",FL345="Да",FM345="Да",FQ345="Да"),OR(FE345="Да",FF345="Да"),FT345="Да",FU345="Да",Исходн.данные.!I345&gt;5.5),"Медь,Цинк",FC345))))))</f>
        <v>#N/A</v>
      </c>
      <c r="FC345" s="23" t="e">
        <f t="shared" si="408"/>
        <v>#N/A</v>
      </c>
      <c r="FD345" s="38" t="str">
        <f>IF(OR(Исходн.данные.!F345=$CC$1,Исходн.данные.!F345=$CC$2,Исходн.данные.!F345=$CC$3,Исходн.данные.!F345=$CC$4),"Да","Нет")</f>
        <v>Нет</v>
      </c>
      <c r="FE345" s="38" t="str">
        <f>IF(Исходн.данные.!F345=$CC$5,"Да","Нет")</f>
        <v>Нет</v>
      </c>
      <c r="FF345" s="38" t="str">
        <f>IF(OR(Исходн.данные.!F345=$CC$6,Исходн.данные.!F345=$CC$7),"Да","Нет")</f>
        <v>Нет</v>
      </c>
      <c r="FG345" s="38" t="str">
        <f>IF(OR(Исходн.данные.!F345=$CC$8,Исходн.данные.!F345=$CC$9),"Да","Нет")</f>
        <v>Нет</v>
      </c>
      <c r="FH345" s="38" t="str">
        <f>IF(Исходн.данные.!F345=$CC$10,"Да","Нет")</f>
        <v>Нет</v>
      </c>
      <c r="FI345" s="38" t="str">
        <f>IF(OR(Исходн.данные.!F345=$CC$11,Исходн.данные.!F345=$CC$12),"Да","Нет")</f>
        <v>Нет</v>
      </c>
      <c r="FJ345" s="38" t="str">
        <f>IF(OR(Исходн.данные.!AH345=$BS$1,Исходн.данные.!AH345=$BQ$11,Исходн.данные.!AH345=$BQ$12),"Да","Нет")</f>
        <v>Нет</v>
      </c>
      <c r="FK345" s="38" t="str">
        <f>IF(OR(Исходн.данные.!AH345=$BS$2,Исходн.данные.!AH345=$BS$4),"Да","Нет")</f>
        <v>Нет</v>
      </c>
      <c r="FL345" s="38" t="str">
        <f>IF(OR(Исходн.данные.!AH345=$BS$3,Исходн.данные.!AH345=$BS$5),"Да","Нет")</f>
        <v>Нет</v>
      </c>
      <c r="FM345" s="38" t="str">
        <f>IF(OR(Исходн.данные.!AH345=$BS$9,Исходн.данные.!AH345=$BS$10,Исходн.данные.!AH345=$BS$11,Исходн.данные.!AH345=$BS$12),"Да","Нет")</f>
        <v>Нет</v>
      </c>
      <c r="FN345" s="38" t="str">
        <f>IF(OR(Исходн.данные.!AH345=$BS$6,Исходн.данные.!AH345=$BP$3),"Да","Нет")</f>
        <v>Нет</v>
      </c>
      <c r="FO345" s="38" t="str">
        <f>IF(Исходн.данные.!AH345=$BQ$9,"Да","Нет")</f>
        <v>Нет</v>
      </c>
      <c r="FP345" s="38" t="str">
        <f>IF(OR(Исходн.данные.!AH345=$BS$8,Исходн.данные.!AH345=$BT$8),"Да","Нет")</f>
        <v>Нет</v>
      </c>
      <c r="FQ345" s="38" t="str">
        <f>IF(OR(Исходн.данные.!AH345=$BQ$7,Исходн.данные.!AH345=$BQ$8),"Да","Нет")</f>
        <v>Нет</v>
      </c>
      <c r="FR345" s="38" t="str">
        <f>IF(Исходн.данные.!AI345=$BU$9,"Да","Нет")</f>
        <v>Нет</v>
      </c>
      <c r="FS345" s="38" t="str">
        <f>IF(OR(Исходн.данные.!AH345=$BP$1,Исходн.данные.!AH345=$BP$2),"Да","Нет")</f>
        <v>Нет</v>
      </c>
      <c r="FT345" s="38" t="e">
        <f>IF((Исходн.данные.!K345*GO345*GS345*GW345+BL345*0.6+Исходн.данные.!Q345*4.5*0.275)&gt;90,"Да","Нет")</f>
        <v>#N/A</v>
      </c>
      <c r="FU345" s="38" t="e">
        <f>IF((Исходн.данные.!M345*GS345*GZ345+BM345*0.225)&gt;35,"Да","Нет")</f>
        <v>#N/A</v>
      </c>
      <c r="FV345" s="38" t="str">
        <f>IF(Исходн.данные.!O345&gt;175,"Да","Нет")</f>
        <v>Нет</v>
      </c>
      <c r="FW345" s="39" t="str">
        <f>IF(Исходн.данные.!I345&gt;5.5,"Да","Нет")</f>
        <v>Нет</v>
      </c>
      <c r="FX345" s="39" t="str">
        <f>IF(Исходн.данные.!J345&lt;2,"Да","Нет")</f>
        <v>Да</v>
      </c>
      <c r="FY345" s="39" t="e">
        <f>IF(HF345=$FY$16,0,Исходн.данные.!K345*GO345*GS345*GW345/HF345)</f>
        <v>#N/A</v>
      </c>
      <c r="FZ345" s="39" t="e">
        <f>Исходн.данные.!M345*GS345*GZ345/HG345</f>
        <v>#N/A</v>
      </c>
      <c r="GA345" s="39" t="e">
        <f>IF(K_Wyn=$FY$16,0,IF(Исходн.данные.!N345=Исходн.данные.!$L$10,Исходн.данные.!O345/1.1*GS345*HC345/HH345,IF(Исходн.данные.!N345=Исходн.данные.!$L$12,Исходн.данные.!O345/1.5*GS345*HC345/HH345,Исходн.данные.!O345*GS345*HC345/HH345)))</f>
        <v>#N/A</v>
      </c>
      <c r="GB345" s="39" t="e">
        <f>IF(HF345=$FY$16,0,((Исходн.данные.!Q345*N_Org+Исходн.данные.!R345*N_Sider+Исходн.данные.!S345*N_Soloma)*AO345+Расчет!BC345*VLOOKUP(Исходн.данные.!T345,Справ!$A$3:$O$57,15)*AO345+BB345*VLOOKUP(Исходн.данные.!T345,Справ!$A$3:$O$57,15)*AL345+(Исходн.данные.!V345*N_Rizotorf+Исходн.данные.!W345*N_Rizoagr))/HF345)</f>
        <v>#N/A</v>
      </c>
      <c r="GC345" s="39" t="e">
        <f>IF(HG345=$FY$16,0,((Исходн.данные.!Q345*Р_Org+Исходн.данные.!R345*P_Sider+Исходн.данные.!S345*P_Soloma)*AP345+Расчет!BC345*VLOOKUP(Исходн.данные.!T345,Справ!$A$3:$P$57,16)*AP345+BB345*VLOOKUP(Исходн.данные.!T345,Справ!$A$3:$P$57,16)*AM345)/HG345)</f>
        <v>#N/A</v>
      </c>
      <c r="GD345" s="39" t="e">
        <f>IF(HH345=$FY$16,0,((Исходн.данные.!Q345*К_Org+Исходн.данные.!R345*K_Sider+Исходн.данные.!S345*K_Soloma)*AQ345+Расчет!BC345*VLOOKUP(Исходн.данные.!T345,Справ!$A$3:$Q$57,17)*AQ345+BB345*VLOOKUP(Исходн.данные.!T345,Справ!$A$3:$Q$57,17)*AN345)/HH345)</f>
        <v>#N/A</v>
      </c>
      <c r="GE345" s="39" t="e">
        <f>IF(HF345=$FY$16,0,(Исходн.данные.!X345*AR345+Исходн.данные.!AA345*N_Org*AL345+Исходн.данные.!AB345*N_Sider*AL345+Исходн.данные.!AC345*N_Soloma*AL345)/HF345)</f>
        <v>#N/A</v>
      </c>
      <c r="GF345" s="39" t="e">
        <f>IF(HG345=$FY$16,0,(Исходн.данные.!Y345*AS345+Исходн.данные.!AA345*Р_Org*AM345+Исходн.данные.!AB345*P_Sider*AM345+Исходн.данные.!AC345*P_Soloma*AM345)/HG345)</f>
        <v>#N/A</v>
      </c>
      <c r="GG345" s="39" t="e">
        <f>IF(HH345=$FY$16,0,(Исходн.данные.!Z345*AT345+Исходн.данные.!AA345*К_Org*AN345+Исходн.данные.!AB345*K_Sider*AN345+Исходн.данные.!AC345*K_Soloma*AN345)/HH345)</f>
        <v>#N/A</v>
      </c>
      <c r="GH345" s="39" t="e">
        <f>Исходн.данные.!AD345*AU345/HF345</f>
        <v>#N/A</v>
      </c>
      <c r="GI345" s="39" t="e">
        <f>Исходн.данные.!AE345*AV345/HG345</f>
        <v>#N/A</v>
      </c>
      <c r="GJ345" s="39" t="e">
        <f>Исходн.данные.!AF345*AW345/HH345</f>
        <v>#N/A</v>
      </c>
      <c r="GK345" s="55">
        <f>Исходн.данные.!AK345</f>
        <v>0</v>
      </c>
      <c r="GL345" s="11" t="e">
        <f t="shared" si="409"/>
        <v>#N/A</v>
      </c>
      <c r="GM345" s="11" t="e">
        <f t="shared" si="410"/>
        <v>#N/A</v>
      </c>
      <c r="GN345" s="11" t="e">
        <f t="shared" si="411"/>
        <v>#N/A</v>
      </c>
      <c r="GO345" s="57">
        <f t="shared" si="412"/>
        <v>19</v>
      </c>
      <c r="GP345" s="55">
        <f>IF(OR(Исходн.данные.!F345=$CE$1,Исходн.данные.!F345=$CE$2,Исходн.данные.!F345=$CE$3,Исходн.данные.!F345=$CE$4,Исходн.данные.!F345=$CE$5),GQ345,GR345)</f>
        <v>19</v>
      </c>
      <c r="GQ345" s="55">
        <f>IF(Исходн.данные.!F345=$CE$1,28,IF(Исходн.данные.!F345=$CE$2,26,IF(Исходн.данные.!F345=$CE$3,24,IF(Исходн.данные.!F345=$CE$4,22,IF(Исходн.данные.!F345=$CE$5,20,GR345)))))</f>
        <v>19</v>
      </c>
      <c r="GR345" s="55">
        <f>IF(Исходн.данные.!F345=$CE$6,18,IF(Исходн.данные.!F345=$CE$7,16,IF(Исходн.данные.!F345=$CE$8,14,IF(Исходн.данные.!F345=$CE$9,13,IF(Исходн.данные.!F345=$CE$10,12,19)))))</f>
        <v>19</v>
      </c>
      <c r="GS345" s="55">
        <f>IF(Исходн.данные.!G345="Пес",0.035*(40+2*Исходн.данные.!H345),IF(Исходн.данные.!G345="Суп",0.0325*(40+2*Исходн.данные.!H345),0.03*(40+2*Исходн.данные.!H345)))</f>
        <v>1.2</v>
      </c>
      <c r="GT345" s="55">
        <f>IF(Исходн.данные.!H345&lt;23,2.6,IF(AND(Исходн.данные.!H345&gt;22,Исходн.данные.!H345&lt;26),3,IF(AND(Исходн.данные.!H345&gt;25,Исходн.данные.!H345&lt;29),3.4,3.6)))</f>
        <v>2.6</v>
      </c>
      <c r="GU345" s="55">
        <f>IF(Исходн.данные.!H345&lt;23,2.8,IF(AND(Исходн.данные.!H345&gt;22,Исходн.данные.!H345&lt;26),3.2,IF(AND(Исходн.данные.!H345&gt;25,Исходн.данные.!H345&lt;29),3.6,3.9)))</f>
        <v>2.8</v>
      </c>
      <c r="GV345" s="55">
        <f>IF(Исходн.данные.!H345&lt;23,3,IF(AND(Исходн.данные.!H345&gt;22,Исходн.данные.!H345&lt;26),3.5,IF(AND(Исходн.данные.!H345&gt;25,Исходн.данные.!H345&lt;29),3.9,4.2)))</f>
        <v>3</v>
      </c>
      <c r="GW345" s="55" t="e">
        <f>IF(Исходн.данные.!P345="Ум",GX345,GY345)</f>
        <v>#N/A</v>
      </c>
      <c r="GX345" s="55" t="e">
        <f>VLOOKUP(Исходн.данные.!AI345,Коэффициенты!$J$7:$L$13,2,FALSE)</f>
        <v>#N/A</v>
      </c>
      <c r="GY345" s="55" t="e">
        <f>VLOOKUP(Исходн.данные.!AI345,Коэффициенты!$J$7:$L$13,3,FALSE)</f>
        <v>#N/A</v>
      </c>
      <c r="GZ345" s="55" t="e">
        <f>(IF(Исходн.данные.!M345&lt;50,0.11*VLOOKUP(Исходн.данные.!AH345,Культуры.Информация,7,FALSE),IF(Исходн.данные.!M345&gt;250,0.05*VLOOKUP(Исходн.данные.!AH345,Культуры.Информация,7,FALSE),VLOOKUP(Исходн.данные.!AH345,Культуры.Информация,5,FALSE)/100*($GX$6+$GY$6*Исходн.данные.!M345))))*Расчет2!AI345</f>
        <v>#N/A</v>
      </c>
      <c r="HA345" s="211"/>
      <c r="HB345" s="211"/>
      <c r="HC345" s="55" t="e">
        <f>(IF(Исходн.данные.!O345&lt;80,0.2*VLOOKUP(Исходн.данные.!AH345,Культуры.Информация,8,FALSE),IF(Исходн.данные.!O345&gt;240,0.09*VLOOKUP(Исходн.данные.!AH345,Культуры.Информация,8,FALSE),VLOOKUP(Исходн.данные.!AH345,Культуры.Информация,6,FALSE)/100*($HB$6+$HC$6*Исходн.данные.!O345))))*Расчет2!AJ345</f>
        <v>#N/A</v>
      </c>
      <c r="HD345" s="55">
        <f>IF(Исходн.данные.!O345&gt;240,0.09,IF(Исходн.данные.!O345&lt;30,0.3,$HE$10+$HD$10*Исходн.данные.!O345))</f>
        <v>0.3</v>
      </c>
      <c r="HE345" s="55">
        <f>IF(Исходн.данные.!O345&gt;240,0.17,IF(Исходн.данные.!O345&lt;30,0.5,$HF$12+$HE$12*Исходн.данные.!O345))</f>
        <v>0.5</v>
      </c>
      <c r="HF345" s="55" t="e">
        <f>VLOOKUP(Исходн.данные.!AH345,Справ!$A$3:$D$58,2,FALSE)</f>
        <v>#N/A</v>
      </c>
      <c r="HG345" s="55" t="e">
        <f>VLOOKUP(Исходн.данные.!AH345,Справ!$A$3:$D$58,3,FALSE)</f>
        <v>#N/A</v>
      </c>
      <c r="HH345" s="55" t="e">
        <f>VLOOKUP(Исходн.данные.!AH345,Справ!$A$3:$D$58,4,FALSE)</f>
        <v>#N/A</v>
      </c>
      <c r="HI345" s="11" t="e">
        <f t="shared" si="413"/>
        <v>#N/A</v>
      </c>
      <c r="HJ345" s="11" t="e">
        <f t="shared" si="414"/>
        <v>#N/A</v>
      </c>
      <c r="HK345" s="11" t="e">
        <f t="shared" si="415"/>
        <v>#N/A</v>
      </c>
      <c r="HL345" s="55">
        <f>IF(OR(Исходн.данные.!G345="Глин",Исходн.данные.!G345="Т_суг"),1.1,IF(Исходн.данные.!G345="Ср_суг",1,1))</f>
        <v>1</v>
      </c>
      <c r="HM345" s="55">
        <f>IF(OR(Исходн.данные.!G345="Глин",Исходн.данные.!G345="Т_суг"),0.9,IF(Исходн.данные.!G345="Ср_суг",1,1.2))</f>
        <v>1.2</v>
      </c>
      <c r="HN345" s="11" t="e">
        <f t="shared" si="416"/>
        <v>#N/A</v>
      </c>
      <c r="HO345" s="11" t="e">
        <f t="shared" si="417"/>
        <v>#N/A</v>
      </c>
      <c r="HP345" s="11" t="e">
        <f t="shared" si="418"/>
        <v>#N/A</v>
      </c>
      <c r="HQ345" t="e">
        <f t="shared" si="419"/>
        <v>#N/A</v>
      </c>
      <c r="HR345" t="e">
        <f t="shared" si="420"/>
        <v>#N/A</v>
      </c>
      <c r="HS345" t="e">
        <f t="shared" si="421"/>
        <v>#N/A</v>
      </c>
      <c r="HT345" t="e">
        <f t="shared" si="441"/>
        <v>#N/A</v>
      </c>
      <c r="HU345" t="e">
        <f t="shared" si="442"/>
        <v>#N/A</v>
      </c>
      <c r="HV345" t="e">
        <f t="shared" si="443"/>
        <v>#N/A</v>
      </c>
      <c r="HW345" t="e">
        <f t="shared" si="444"/>
        <v>#N/A</v>
      </c>
      <c r="HX345" t="e">
        <f t="shared" si="445"/>
        <v>#N/A</v>
      </c>
      <c r="HY345" t="e">
        <f t="shared" si="446"/>
        <v>#N/A</v>
      </c>
      <c r="HZ345" s="55">
        <f>IF(OR(Исходн.данные.!AI345="Оз_Ч_П",Исходн.данные.!AI345="Оз_З_П",Исходн.данные.!AI345="Яр_зер"),12,30)</f>
        <v>30</v>
      </c>
      <c r="IA345" t="e">
        <f t="shared" si="422"/>
        <v>#N/A</v>
      </c>
      <c r="IB345" t="e">
        <f t="shared" si="423"/>
        <v>#N/A</v>
      </c>
      <c r="IC345" t="e">
        <f t="shared" si="424"/>
        <v>#N/A</v>
      </c>
      <c r="ID345" s="11" t="e">
        <f t="shared" si="425"/>
        <v>#N/A</v>
      </c>
      <c r="IE345" s="11" t="e">
        <f t="shared" si="426"/>
        <v>#N/A</v>
      </c>
      <c r="IF345" s="11" t="e">
        <f t="shared" si="427"/>
        <v>#N/A</v>
      </c>
    </row>
    <row r="346" spans="35:240" x14ac:dyDescent="0.2">
      <c r="AI346">
        <f>IF(Исходн.данные.!I346&gt;6,1,1.85-(0.148*Исходн.данные.!I346))</f>
        <v>1.85</v>
      </c>
      <c r="AJ346">
        <f>IF(Исходн.данные.!I346&gt;6,1,2.434-(0.246*Исходн.данные.!I346))</f>
        <v>2.4340000000000002</v>
      </c>
      <c r="AL346" s="148" t="b">
        <f>IF(Исходн.данные.!$P346="Ум",N_OrgUd_2g_um,IF(Исходн.данные.!$P346="Об",N_OrgUd_2g_ob))</f>
        <v>0</v>
      </c>
      <c r="AM346" s="148" t="b">
        <f>IF(Исходн.данные.!$P346="Ум",P_OrgUd_2g_um,IF(Исходн.данные.!$P346="Об",P_OrgUd_2g_ob))</f>
        <v>0</v>
      </c>
      <c r="AN346" s="148" t="b">
        <f>IF(Исходн.данные.!$P346="Ум",K_OrgUd_2g_um,IF(Исходн.данные.!$P346="Об",K_OrgUd_2g_ob))</f>
        <v>0</v>
      </c>
      <c r="AO346" s="148" t="b">
        <f>IF(Исходн.данные.!$P346="Ум",N_OrgUd_1g_um,IF(Исходн.данные.!$P346="Об",N_OrgUd_1g_ob))</f>
        <v>0</v>
      </c>
      <c r="AP346" s="148" t="b">
        <f>IF(Исходн.данные.!$P346="Ум",P_OrgUd_1g_um,IF(Исходн.данные.!$P346="Об",P_OrgUd_1g_ob))</f>
        <v>0</v>
      </c>
      <c r="AQ346" s="148" t="b">
        <f>IF(Исходн.данные.!$P346="Ум",K_OrgUd_1g_um,IF(Исходн.данные.!$P346="Об",K_OrgUd_1g_ob))</f>
        <v>0</v>
      </c>
      <c r="AR346" t="b">
        <f>IF(Исходн.данные.!$P346="Ум",N_MinUd_2g_um,IF(Исходн.данные.!$P346="Об",N_MinUd_2g_ob))</f>
        <v>0</v>
      </c>
      <c r="AS346" t="b">
        <f>IF(Исходн.данные.!$P346="Ум",P_MinUd_2g_um,IF(Исходн.данные.!$P346="Об",P_MinUd_2g_ob))</f>
        <v>0</v>
      </c>
      <c r="AT346" t="b">
        <f>IF(Исходн.данные.!$P346="Ум",K_MinUd_2g_um,IF(Исходн.данные.!$P346="Об",K_MinUd_2g_ob))</f>
        <v>0</v>
      </c>
      <c r="AU346" t="b">
        <f>IF(Исходн.данные.!$P346="Ум",N_MinUd_1g_um,IF(Исходн.данные.!$P346="Об",N_MinUd_1g_ob))</f>
        <v>0</v>
      </c>
      <c r="AV346" t="b">
        <f>IF(Исходн.данные.!P346="Ум",P_MinUd_1g_um,IF(Исходн.данные.!P346="Об",P_MinUd_1g_ob))</f>
        <v>0</v>
      </c>
      <c r="AW346" t="b">
        <f>IF(Исходн.данные.!P346="Ум",K_MinUd_1g_um,IF(Исходн.данные.!P346="Об",K_MinUd_1g_ob))</f>
        <v>0</v>
      </c>
      <c r="AY346" t="e">
        <f>VLOOKUP(Исходн.данные.!T346,Справ!$A$3:$N$57,12)</f>
        <v>#N/A</v>
      </c>
      <c r="AZ346" t="e">
        <f>VLOOKUP(Исходн.данные.!T346,Справ!$A$3:$N$57,13)</f>
        <v>#N/A</v>
      </c>
      <c r="BA346" t="e">
        <f>VLOOKUP(Исходн.данные.!T346,Справ!$A$3:$N$57,14)</f>
        <v>#N/A</v>
      </c>
      <c r="BB346">
        <f>IF(Исходн.данные.!AH346=0,0,25)</f>
        <v>0</v>
      </c>
      <c r="BC346" s="141">
        <f>IF(Исходн.данные.!AH346=0,0,IF(Исходн.данные.!T346=0,25,BD346))</f>
        <v>0</v>
      </c>
      <c r="BD346" s="168" t="e">
        <f>AY346+AZ346*Исходн.данные.!U346-POWER(BA346,2)*Исходн.данные.!U346</f>
        <v>#N/A</v>
      </c>
      <c r="BE346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6" s="25">
        <f>IF(Исходн.данные.!AH346=0,0,MIN(HN346:HP346))</f>
        <v>0</v>
      </c>
      <c r="BG346" s="9">
        <f>IF(Исходн.данные.!AH346=0,0,IF((HO346+10*0.25/HG346/HL346)&lt;17,17,HO346+10*0.25/HG346/HL346))</f>
        <v>0</v>
      </c>
      <c r="BH346" s="181">
        <f>IF(Исходн.данные.!AH346=0,0,HW346*HF346*HL346/AU346*AI346+Исходн.данные.!S346*10)</f>
        <v>0</v>
      </c>
      <c r="BI346" s="10"/>
      <c r="BJ346" s="182">
        <f>IF(Исходн.данные.!AH346=0,0,IF(HX346*HG346*HL346/AV346&lt;0,0,HX346*HG346*HL346/AV346*AJ346))</f>
        <v>0</v>
      </c>
      <c r="BK346" s="182">
        <f>IF(Исходн.данные.!AH346=0,0,HY346*HH346*HM346/AW346)</f>
        <v>0</v>
      </c>
      <c r="BL346" s="10">
        <f>IF(OR(Исходн.данные.!$AH346=$BP$1,Исходн.данные.!$AH346=$BP$2),0,IF(BH346&lt;0,0,IF(OR(Исходн.данные.!T346=Расчет!$BP$1,Исходн.данные.!T346=Расчет!$BP$2,Исходн.данные.!T346=Расчет!$BT$5,Исходн.данные.!T346=Расчет!$BT$6),BH346*0.5,IF(OR(Исходн.данные.!T346=Расчет!$BS$9,Исходн.данные.!T346=Расчет!$BS$10,Исходн.данные.!T346=Расчет!$BS$11,Исходн.данные.!T346=Расчет!$BS$12,Исходн.данные.!T346=Расчет!$BP$5),BH346*0.8,BH346))))</f>
        <v>0</v>
      </c>
      <c r="BM346" s="10">
        <f>IF(OR(Исходн.данные.!$AH346=$BP$1,Исходн.данные.!$AH346=$BP$2),0,IF(BJ346&lt;0,0,IF(Исходн.данные.!I346&lt;4.5,BJ346*1.2,IF(Исходн.данные.!I346&gt;5.1,BJ346,BJ346*((5.1-Исходн.данные.!I346)*0.333+1)))))</f>
        <v>0</v>
      </c>
      <c r="BN346" s="10">
        <f>IF(OR(Исходн.данные.!$AH346=$BP$1,Исходн.данные.!$AH346=$BP$2),60-Исходн.данные.!AF346,IF(BK346&lt;0,0,IF(Исходн.данные.!I346&lt;4.5,BK346*1.2,IF(Исходн.данные.!I346&gt;5.1,BK346,BK346*((5.1-Исходн.данные.!I346)*0.333+1)))))</f>
        <v>0</v>
      </c>
      <c r="BO346" s="9">
        <f>IF(BL346&lt;0,0,BL346*Исходн.данные.!$AJ346/1000)</f>
        <v>0</v>
      </c>
      <c r="BP346" s="9">
        <f>IF(BM346&lt;0,0,BM346*Исходн.данные.!$AJ346/1000)</f>
        <v>0</v>
      </c>
      <c r="BQ346" s="9">
        <f>IF(BN346&lt;0,0,BN346*Исходн.данные.!$AJ346/1000)</f>
        <v>0</v>
      </c>
      <c r="BR346" s="9">
        <f t="shared" si="377"/>
        <v>0</v>
      </c>
      <c r="BS346" s="10" t="str">
        <f t="shared" si="378"/>
        <v>Аммофос 12:52:00</v>
      </c>
      <c r="BT346" s="10" t="str">
        <f t="shared" si="379"/>
        <v>Аммофос 12:52:00</v>
      </c>
      <c r="BU346" s="10" t="str">
        <f t="shared" si="380"/>
        <v>Диаммофоска</v>
      </c>
      <c r="BV346" s="10">
        <f t="shared" si="381"/>
        <v>0</v>
      </c>
      <c r="BW346" s="10"/>
      <c r="BX346" s="10"/>
      <c r="BY346" s="9">
        <f>IF(BL346&lt;0,0,IF(OR(Исходн.данные.!AI346=Расчет!$BU$6,Исходн.данные.!AI346=Расчет!$BU$7),Расчет!BV346,IF(Исходн.данные.!$AG346=$BV$11,BL346,IF(OR(Исходн.данные.!$AH346=$BQ$7,Исходн.данные.!$AH346=$BQ$8),CB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0,IF(Исходн.данные.!$AI346=$BU$11,"Нет",IF(BL346&gt;30,30,BL346)))))))</f>
        <v>0</v>
      </c>
      <c r="BZ346" s="9">
        <f>IF(AND(Исходн.данные.!$AG346=$BV$11,BM346&lt;10),10,IF(Исходн.данные.!$AG346=$BV$11,BM346,IF(OR(Исходн.данные.!$AH346=$BQ$7,Исходн.данные.!$AH346=$BQ$8),CC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10,IF(Исходн.данные.!$AI346=$BU$11,"Нет",IF(BM346&gt;60,60,IF(BM346&lt;10,10,BM346)))))))</f>
        <v>10</v>
      </c>
      <c r="CA346" s="39">
        <f>IF(BN346&lt;0,0,IF(Исходн.данные.!$AG346=$BV$11,BN346,IF(OR(Исходн.данные.!$AH346=$BQ$7,Исходн.данные.!$AH346=$BQ$8),CD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0,IF(Исходн.данные.!$AI346=$BU$11,"Нет",IF(BN346&gt;30,30,BN346))))))</f>
        <v>0</v>
      </c>
      <c r="CB346" s="9">
        <f t="shared" si="382"/>
        <v>0</v>
      </c>
      <c r="CC346" s="9">
        <f t="shared" si="383"/>
        <v>0</v>
      </c>
      <c r="CD346" s="9">
        <f t="shared" si="384"/>
        <v>0</v>
      </c>
      <c r="CE346" s="12">
        <f t="shared" si="385"/>
        <v>10</v>
      </c>
      <c r="CF346" s="9">
        <f t="shared" si="386"/>
        <v>0</v>
      </c>
      <c r="CG346" s="9" t="s">
        <v>231</v>
      </c>
      <c r="CH346" s="132" t="str">
        <f>IF(Исходн.данные.!AP346=Расчет!$CI$16,"Нет",IF(Исходн.данные.!AL346&gt;0,Исходн.данные.!AL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BH$4,IF(OR(Исходн.данные.!AI346=Исходн.данные.!$AI$6,Исходн.данные.!AI346=Исходн.данные.!$AI$7),Расчет!BS346,IF(AND($CF346=0,$CE346&gt;0),EV346,ER346)))))</f>
        <v>Аммофос 12:52:00</v>
      </c>
      <c r="CI346" s="274">
        <f>IF(Расчет!$CH346="Нет","Нет",IF(Исходн.данные.!$AL346&gt;0,VLOOKUP(Расчет!$CH346,АшламаДВ_Irekle,2,FALSE),VLOOKUP(Расчет!$CH346,АшламаДВ_Gomumy,2,FALSE)))</f>
        <v>0.12</v>
      </c>
      <c r="CJ346" s="274">
        <f>IF(Расчет!$CH346="Нет","Нет",IF(Исходн.данные.!$AL346&gt;0,VLOOKUP(Расчет!$CH346,АшламаДВ_Irekle,3,FALSE),VLOOKUP(Расчет!$CH346,АшламаДВ_Gomumy,3,FALSE)))</f>
        <v>0.52</v>
      </c>
      <c r="CK346" s="274">
        <f>IF(Расчет!$CH346="Нет","Нет",IF(Исходн.данные.!$AL346&gt;0,VLOOKUP(Расчет!$CH346,АшламаДВ_Irekle,4,FALSE),VLOOKUP(Расчет!$CH346,АшламаДВ_Gomumy,4,FALSE)))</f>
        <v>0</v>
      </c>
      <c r="CL346" s="70"/>
      <c r="CM346" s="70"/>
      <c r="CN346" s="70"/>
      <c r="CO346" s="70"/>
      <c r="CP346" s="70"/>
      <c r="CQ346" s="70"/>
      <c r="CR346" s="10">
        <f t="shared" si="387"/>
        <v>0</v>
      </c>
      <c r="CS346" s="10">
        <f t="shared" si="388"/>
        <v>19.23076923076923</v>
      </c>
      <c r="CT346" s="10">
        <f t="shared" si="389"/>
        <v>0</v>
      </c>
      <c r="CU346" s="39">
        <f>IF($CH346="Нет",0,IF(CI346=0,30/MIN(CJ346:CK346),IF(Исходн.данные.!$AG346=$BV$11,CR346,IF(OR(Исходн.данные.!$AH346=$BQ$7,Исходн.данные.!$AH346=$BQ$8),90/CI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0,IF(Исходн.данные.!$AI346=$BU$11,"Нет",30/CI346))))))</f>
        <v>250</v>
      </c>
      <c r="CV346" s="39">
        <f>IF($CH346="Нет",0,IF(Исходн.данные.!AH346=0,0,IF(CJ346=0,60/MIN(CI346,CK346),IF(Исходн.данные.!$AG346=$BV$11,CS346,IF(OR(Исходн.данные.!$AH346=$BQ$7,Исходн.данные.!$AH346=$BQ$8),90/CJ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10/CJ346,IF(Исходн.данные.!$AI346=$BU$11,"Нет",60/CJ346)))))))</f>
        <v>0</v>
      </c>
      <c r="CW346" s="39">
        <f>IF($CH346="Нет",0,IF(Исходн.данные.!AH346=0,0,IF(CK346=0,30/MIN(CI346:CJ346),IF(Исходн.данные.!$AG346=$BV$11,CT346,IF(OR(Исходн.данные.!$AH346=$BQ$7,Исходн.данные.!$AH346=$BQ$8),90/CK346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0,IF(Исходн.данные.!$AI346=$BU$11,"Нет",30/CK346)))))))</f>
        <v>0</v>
      </c>
      <c r="CX346" s="133">
        <f>IF(Исходн.данные.!$AG346=$BV$11,MAX(CU346:CW346),IF(OR(Исходн.данные.!$AH346=$BS$8,Исходн.данные.!$AH346=$BQ$9,Исходн.данные.!$AH346=$BQ$10,Исходн.данные.!$AH346=$BQ$11,Исходн.данные.!$AH346=$BQ$12,Исходн.данные.!$AH346=$BP$3,Исходн.данные.!$AH346=$BT$8,$FM346="Да"),CV346,MIN(CU346:CW346)))</f>
        <v>0</v>
      </c>
      <c r="CY346" s="133">
        <f>IF(Исходн.данные.!AH346=0,0,IF(CR346&gt;$CX346,$CX346,CR346))</f>
        <v>0</v>
      </c>
      <c r="CZ346" s="133">
        <f>IF(Исходн.данные.!AH346=0,0,IF(CS346&gt;$CX346,$CX346,CS346))</f>
        <v>0</v>
      </c>
      <c r="DA346" s="133">
        <f>IF(Исходн.данные.!AH346=0,0,IF(CT346&gt;$CX346,$CX346,CT346))</f>
        <v>0</v>
      </c>
      <c r="DB346" s="10">
        <f t="shared" si="390"/>
        <v>0</v>
      </c>
      <c r="DC346" s="39">
        <f>DB346*Исходн.данные.!AJ346/1000</f>
        <v>0</v>
      </c>
      <c r="DD346" s="71">
        <f t="shared" si="391"/>
        <v>0</v>
      </c>
      <c r="DE346" s="9">
        <f t="shared" si="392"/>
        <v>0</v>
      </c>
      <c r="DF346" s="9">
        <f t="shared" si="393"/>
        <v>0</v>
      </c>
      <c r="DG346" s="39">
        <f>IF(BL346&lt;0,0,IF($CH346="Нет",BL346,IF(OR(Исходн.данные.!$AH346=$BP$1,Исходн.данные.!$AH346=$BP$2),0,IF(Исходн.данные.!AI346=$BU$11,BL346,IF(BL346-DD346&lt;0,0,BL346-DD346)))))</f>
        <v>0</v>
      </c>
      <c r="DH346" s="39">
        <f>IF(BM346&lt;0,0,IF($CH346="Нет",BM346,IF(OR(Исходн.данные.!$AH346=$BP$1,Исходн.данные.!$AH346=$BP$2),0,IF(Исходн.данные.!AJ346=$BU$11,BM346,IF(BM346-DE346&lt;0,0,BM346-DE346)))))</f>
        <v>0</v>
      </c>
      <c r="DI346" s="39">
        <f>IF(BN346&lt;0,0,IF($CH346="Нет",BN346,IF(OR(Исходн.данные.!$AH346=$BP$1,Исходн.данные.!$AH346=$BP$2),0,IF(Исходн.данные.!AK346=$BU$11,BN346,IF(BN346-DF346&lt;0,0,BN346-DF346)))))</f>
        <v>0</v>
      </c>
      <c r="DJ346" s="12">
        <f t="shared" si="394"/>
        <v>0</v>
      </c>
      <c r="DK346" s="9">
        <f t="shared" si="395"/>
        <v>0</v>
      </c>
      <c r="DL346" s="39">
        <f>IF(Исходн.данные.!AM346&gt;0,Исходн.данные.!AM346,IF(EG346&gt;0,$BH$10,0))</f>
        <v>0</v>
      </c>
      <c r="DM346" s="186">
        <f>IF($DL346=0,0,IF(Исходн.данные.!AM346&gt;0,VLOOKUP($DL346,АшламаДВ_Irekle,2,FALSE),VLOOKUP($DL346,АшламаДВ_Gomumy,2,FALSE)))</f>
        <v>0</v>
      </c>
      <c r="DN346" s="10">
        <f t="shared" si="447"/>
        <v>0</v>
      </c>
      <c r="DO346" s="9" t="str">
        <f>IF(Исходн.данные.!AN346&gt;0,Исходн.данные.!AN346,Удобрения!$B$37 )</f>
        <v>Хлор.калий</v>
      </c>
      <c r="DP346" s="9">
        <f>IF(Исходн.данные.!AN346&gt;0,VLOOKUP(Исходн.данные.!AN346,АшламаДВ_Irekle,4,FALSE),VLOOKUP(DO346,АшламаДВ_Gomumy,4,FALSE))</f>
        <v>0.6</v>
      </c>
      <c r="DQ346" s="10">
        <f t="shared" si="448"/>
        <v>0</v>
      </c>
      <c r="DR346" s="132" t="str">
        <f>IF(Исходн.данные.!AO346&gt;0,Исходн.данные.!AO346,IF(DH346=0,BS$17,IF(AND($DK346=0,$DJ346&gt;0),EJ346,EN346)))</f>
        <v>Нет</v>
      </c>
      <c r="DS346" s="70" t="str">
        <f>IF($DR346="Нет","Нет",IF(Исходн.данные.!$AO346&gt;0,VLOOKUP($DR346,АшламаДВ_Irekle,2,FALSE),VLOOKUP($DR346,АшламаДВ_Gomumy,2,FALSE)))</f>
        <v>Нет</v>
      </c>
      <c r="DT346" s="70" t="str">
        <f>IF($DR346="Нет","Нет",IF(Исходн.данные.!$AO346&gt;0,VLOOKUP($DR346,АшламаДВ_Irekle,3,FALSE),VLOOKUP($DR346,АшламаДВ_Gomumy,3,FALSE)))</f>
        <v>Нет</v>
      </c>
      <c r="DU346" s="70" t="str">
        <f>IF($DR346="Нет","Нет",IF(Исходн.данные.!$AO346&gt;0,VLOOKUP($DR346,АшламаДВ_Irekle,4,FALSE),VLOOKUP($DR346,АшламаДВ_Gomumy,4,FALSE)))</f>
        <v>Нет</v>
      </c>
      <c r="DV346" s="70"/>
      <c r="DW346" s="70"/>
      <c r="DX346" s="70"/>
      <c r="DY346" s="10">
        <f t="shared" si="396"/>
        <v>0</v>
      </c>
      <c r="DZ346" s="10">
        <f t="shared" si="397"/>
        <v>0</v>
      </c>
      <c r="EA346" s="10">
        <f t="shared" si="398"/>
        <v>0</v>
      </c>
      <c r="EB346" s="10">
        <f t="shared" si="399"/>
        <v>0</v>
      </c>
      <c r="EC346" s="10">
        <f t="shared" si="400"/>
        <v>0</v>
      </c>
      <c r="ED346" s="10">
        <f t="shared" si="401"/>
        <v>0</v>
      </c>
      <c r="EE346" s="10">
        <f t="shared" si="402"/>
        <v>0</v>
      </c>
      <c r="EF346" s="39">
        <f>EB346*Исходн.данные.!AJ346/1000</f>
        <v>0</v>
      </c>
      <c r="EG346" s="9">
        <f t="shared" si="403"/>
        <v>0</v>
      </c>
      <c r="EH346" s="9">
        <f t="shared" si="404"/>
        <v>0</v>
      </c>
      <c r="EI346" s="39" t="e">
        <f t="shared" si="428"/>
        <v>#DIV/0!</v>
      </c>
      <c r="EJ346" s="9" t="str">
        <f t="shared" si="449"/>
        <v>Азопреципитат</v>
      </c>
      <c r="EK346" s="12">
        <f t="shared" si="429"/>
        <v>0.26</v>
      </c>
      <c r="EL346" s="12">
        <f t="shared" si="430"/>
        <v>0.13</v>
      </c>
      <c r="EM346" s="12">
        <f t="shared" si="431"/>
        <v>0</v>
      </c>
      <c r="EN346" s="12" t="str">
        <f t="shared" si="450"/>
        <v>Нет</v>
      </c>
      <c r="EO346" s="12">
        <f t="shared" si="432"/>
        <v>0</v>
      </c>
      <c r="EP346" s="12">
        <f t="shared" si="433"/>
        <v>0</v>
      </c>
      <c r="EQ346" s="12">
        <f t="shared" si="434"/>
        <v>0</v>
      </c>
      <c r="ER346" s="12" t="str">
        <f t="shared" si="405"/>
        <v>Диаммофоска</v>
      </c>
      <c r="ES346" s="12">
        <f t="shared" si="435"/>
        <v>0.1</v>
      </c>
      <c r="ET346" s="12">
        <f t="shared" si="436"/>
        <v>0.26</v>
      </c>
      <c r="EU346" s="12">
        <f t="shared" si="437"/>
        <v>0.26</v>
      </c>
      <c r="EV346" s="12" t="str">
        <f t="shared" si="406"/>
        <v>Аммофос 12:52:00</v>
      </c>
      <c r="EW346" s="12" t="str">
        <f t="shared" si="407"/>
        <v>Кемира Свекловичное-6</v>
      </c>
      <c r="EX346" s="12">
        <f t="shared" si="438"/>
        <v>0.16</v>
      </c>
      <c r="EY346" s="12">
        <f t="shared" si="439"/>
        <v>0.12</v>
      </c>
      <c r="EZ346" s="12">
        <f t="shared" si="440"/>
        <v>0.17</v>
      </c>
      <c r="FA346" s="38" t="e">
        <f>IF(AND(OR(FJ346=$FD$1,FM346=$FD$1,FO346=$FD$1,FQ346=$FD$1,FS346=$FD$1),FD346=$FD$1,Исходн.данные.!J346&lt;2,FU346=$FD$1),"Бор,Кобальт",IF(AND(FO346=$FD$1,FH346=$FD$1,Исходн.данные.!J346&lt;2,FU346=$FD$1),"Бор,Кобальт",IF(AND(OR(FJ346=$FD$1,FM346=$FD$1,FQ346=$FD$1),FE346=$FD$1,Исходн.данные.!J346&lt;2,FT346=$FD$1,FU346=$FD$1),"Бор,Медь,Цинк",IF(AND(OR(FJ346=$FD$1,FR346="Да"),FI346="Да",Исходн.данные.!J346&lt;2,FT346="Да",FU346="Да"),"Бор,Цинк,Медь",IF(AND(OR(FM346="Да",FQ346="Да"),FI346="Да",Исходн.данные.!J346&lt;2,FT346="Да",FU346="Да"),"Бор,Цинк",IF(AND(FN346="Да",OR(FD346="Да",FE346="Да")),"Бор",FB346))))))</f>
        <v>#N/A</v>
      </c>
      <c r="FB346" s="134" t="e">
        <f>IF(AND(OR(FD346="Да",FE346="Да",FF346="Да",FG346="Да",FH346="Да"),FO346="Да"),"Бор",IF(AND(FP346="Да",OR(FD346="Да",FE346="Да",FI346="Да")),"Бор",IF(AND(FS346="Да",FE346="Да"),"Бор,Медь",IF(AND(OR(FJ346="Да",FK346="Да",FL346="Да"),FE346="Да",Исходн.данные.!I346&lt;5,FT346="Да",FU346="Да"),"Молибден,Цинк",IF(AND(FM346="Да",OR(FE346="Да",FF346="Да",FG346="Да",FH346="Да",FI346="Да")),"Молибден,Цинк",IF(AND(OR(FJ346="Да",FK346="Да",FL346="Да",FM346="Да",FQ346="Да"),OR(FE346="Да",FF346="Да"),FT346="Да",FU346="Да",Исходн.данные.!I346&gt;5.5),"Медь,Цинк",FC346))))))</f>
        <v>#N/A</v>
      </c>
      <c r="FC346" s="23" t="e">
        <f t="shared" si="408"/>
        <v>#N/A</v>
      </c>
      <c r="FD346" s="38" t="str">
        <f>IF(OR(Исходн.данные.!F346=$CC$1,Исходн.данные.!F346=$CC$2,Исходн.данные.!F346=$CC$3,Исходн.данные.!F346=$CC$4),"Да","Нет")</f>
        <v>Нет</v>
      </c>
      <c r="FE346" s="38" t="str">
        <f>IF(Исходн.данные.!F346=$CC$5,"Да","Нет")</f>
        <v>Нет</v>
      </c>
      <c r="FF346" s="38" t="str">
        <f>IF(OR(Исходн.данные.!F346=$CC$6,Исходн.данные.!F346=$CC$7),"Да","Нет")</f>
        <v>Нет</v>
      </c>
      <c r="FG346" s="38" t="str">
        <f>IF(OR(Исходн.данные.!F346=$CC$8,Исходн.данные.!F346=$CC$9),"Да","Нет")</f>
        <v>Нет</v>
      </c>
      <c r="FH346" s="38" t="str">
        <f>IF(Исходн.данные.!F346=$CC$10,"Да","Нет")</f>
        <v>Нет</v>
      </c>
      <c r="FI346" s="38" t="str">
        <f>IF(OR(Исходн.данные.!F346=$CC$11,Исходн.данные.!F346=$CC$12),"Да","Нет")</f>
        <v>Нет</v>
      </c>
      <c r="FJ346" s="38" t="str">
        <f>IF(OR(Исходн.данные.!AH346=$BS$1,Исходн.данные.!AH346=$BQ$11,Исходн.данные.!AH346=$BQ$12),"Да","Нет")</f>
        <v>Нет</v>
      </c>
      <c r="FK346" s="38" t="str">
        <f>IF(OR(Исходн.данные.!AH346=$BS$2,Исходн.данные.!AH346=$BS$4),"Да","Нет")</f>
        <v>Нет</v>
      </c>
      <c r="FL346" s="38" t="str">
        <f>IF(OR(Исходн.данные.!AH346=$BS$3,Исходн.данные.!AH346=$BS$5),"Да","Нет")</f>
        <v>Нет</v>
      </c>
      <c r="FM346" s="38" t="str">
        <f>IF(OR(Исходн.данные.!AH346=$BS$9,Исходн.данные.!AH346=$BS$10,Исходн.данные.!AH346=$BS$11,Исходн.данные.!AH346=$BS$12),"Да","Нет")</f>
        <v>Нет</v>
      </c>
      <c r="FN346" s="38" t="str">
        <f>IF(OR(Исходн.данные.!AH346=$BS$6,Исходн.данные.!AH346=$BP$3),"Да","Нет")</f>
        <v>Нет</v>
      </c>
      <c r="FO346" s="38" t="str">
        <f>IF(Исходн.данные.!AH346=$BQ$9,"Да","Нет")</f>
        <v>Нет</v>
      </c>
      <c r="FP346" s="38" t="str">
        <f>IF(OR(Исходн.данные.!AH346=$BS$8,Исходн.данные.!AH346=$BT$8),"Да","Нет")</f>
        <v>Нет</v>
      </c>
      <c r="FQ346" s="38" t="str">
        <f>IF(OR(Исходн.данные.!AH346=$BQ$7,Исходн.данные.!AH346=$BQ$8),"Да","Нет")</f>
        <v>Нет</v>
      </c>
      <c r="FR346" s="38" t="str">
        <f>IF(Исходн.данные.!AI346=$BU$9,"Да","Нет")</f>
        <v>Нет</v>
      </c>
      <c r="FS346" s="38" t="str">
        <f>IF(OR(Исходн.данные.!AH346=$BP$1,Исходн.данные.!AH346=$BP$2),"Да","Нет")</f>
        <v>Нет</v>
      </c>
      <c r="FT346" s="38" t="e">
        <f>IF((Исходн.данные.!K346*GO346*GS346*GW346+BL346*0.6+Исходн.данные.!Q346*4.5*0.275)&gt;90,"Да","Нет")</f>
        <v>#N/A</v>
      </c>
      <c r="FU346" s="38" t="e">
        <f>IF((Исходн.данные.!M346*GS346*GZ346+BM346*0.225)&gt;35,"Да","Нет")</f>
        <v>#N/A</v>
      </c>
      <c r="FV346" s="38" t="str">
        <f>IF(Исходн.данные.!O346&gt;175,"Да","Нет")</f>
        <v>Нет</v>
      </c>
      <c r="FW346" s="39" t="str">
        <f>IF(Исходн.данные.!I346&gt;5.5,"Да","Нет")</f>
        <v>Нет</v>
      </c>
      <c r="FX346" s="39" t="str">
        <f>IF(Исходн.данные.!J346&lt;2,"Да","Нет")</f>
        <v>Да</v>
      </c>
      <c r="FY346" s="39" t="e">
        <f>IF(HF346=$FY$16,0,Исходн.данные.!K346*GO346*GS346*GW346/HF346)</f>
        <v>#N/A</v>
      </c>
      <c r="FZ346" s="39" t="e">
        <f>Исходн.данные.!M346*GS346*GZ346/HG346</f>
        <v>#N/A</v>
      </c>
      <c r="GA346" s="39" t="e">
        <f>IF(K_Wyn=$FY$16,0,IF(Исходн.данные.!N346=Исходн.данные.!$L$10,Исходн.данные.!O346/1.1*GS346*HC346/HH346,IF(Исходн.данные.!N346=Исходн.данные.!$L$12,Исходн.данные.!O346/1.5*GS346*HC346/HH346,Исходн.данные.!O346*GS346*HC346/HH346)))</f>
        <v>#N/A</v>
      </c>
      <c r="GB346" s="39" t="e">
        <f>IF(HF346=$FY$16,0,((Исходн.данные.!Q346*N_Org+Исходн.данные.!R346*N_Sider+Исходн.данные.!S346*N_Soloma)*AO346+Расчет!BC346*VLOOKUP(Исходн.данные.!T346,Справ!$A$3:$O$57,15)*AO346+BB346*VLOOKUP(Исходн.данные.!T346,Справ!$A$3:$O$57,15)*AL346+(Исходн.данные.!V346*N_Rizotorf+Исходн.данные.!W346*N_Rizoagr))/HF346)</f>
        <v>#N/A</v>
      </c>
      <c r="GC346" s="39" t="e">
        <f>IF(HG346=$FY$16,0,((Исходн.данные.!Q346*Р_Org+Исходн.данные.!R346*P_Sider+Исходн.данные.!S346*P_Soloma)*AP346+Расчет!BC346*VLOOKUP(Исходн.данные.!T346,Справ!$A$3:$P$57,16)*AP346+BB346*VLOOKUP(Исходн.данные.!T346,Справ!$A$3:$P$57,16)*AM346)/HG346)</f>
        <v>#N/A</v>
      </c>
      <c r="GD346" s="39" t="e">
        <f>IF(HH346=$FY$16,0,((Исходн.данные.!Q346*К_Org+Исходн.данные.!R346*K_Sider+Исходн.данные.!S346*K_Soloma)*AQ346+Расчет!BC346*VLOOKUP(Исходн.данные.!T346,Справ!$A$3:$Q$57,17)*AQ346+BB346*VLOOKUP(Исходн.данные.!T346,Справ!$A$3:$Q$57,17)*AN346)/HH346)</f>
        <v>#N/A</v>
      </c>
      <c r="GE346" s="39" t="e">
        <f>IF(HF346=$FY$16,0,(Исходн.данные.!X346*AR346+Исходн.данные.!AA346*N_Org*AL346+Исходн.данные.!AB346*N_Sider*AL346+Исходн.данные.!AC346*N_Soloma*AL346)/HF346)</f>
        <v>#N/A</v>
      </c>
      <c r="GF346" s="39" t="e">
        <f>IF(HG346=$FY$16,0,(Исходн.данные.!Y346*AS346+Исходн.данные.!AA346*Р_Org*AM346+Исходн.данные.!AB346*P_Sider*AM346+Исходн.данные.!AC346*P_Soloma*AM346)/HG346)</f>
        <v>#N/A</v>
      </c>
      <c r="GG346" s="39" t="e">
        <f>IF(HH346=$FY$16,0,(Исходн.данные.!Z346*AT346+Исходн.данные.!AA346*К_Org*AN346+Исходн.данные.!AB346*K_Sider*AN346+Исходн.данные.!AC346*K_Soloma*AN346)/HH346)</f>
        <v>#N/A</v>
      </c>
      <c r="GH346" s="39" t="e">
        <f>Исходн.данные.!AD346*AU346/HF346</f>
        <v>#N/A</v>
      </c>
      <c r="GI346" s="39" t="e">
        <f>Исходн.данные.!AE346*AV346/HG346</f>
        <v>#N/A</v>
      </c>
      <c r="GJ346" s="39" t="e">
        <f>Исходн.данные.!AF346*AW346/HH346</f>
        <v>#N/A</v>
      </c>
      <c r="GK346" s="55">
        <f>Исходн.данные.!AK346</f>
        <v>0</v>
      </c>
      <c r="GL346" s="11" t="e">
        <f t="shared" si="409"/>
        <v>#N/A</v>
      </c>
      <c r="GM346" s="11" t="e">
        <f t="shared" si="410"/>
        <v>#N/A</v>
      </c>
      <c r="GN346" s="11" t="e">
        <f t="shared" si="411"/>
        <v>#N/A</v>
      </c>
      <c r="GO346" s="57">
        <f t="shared" si="412"/>
        <v>19</v>
      </c>
      <c r="GP346" s="55">
        <f>IF(OR(Исходн.данные.!F346=$CE$1,Исходн.данные.!F346=$CE$2,Исходн.данные.!F346=$CE$3,Исходн.данные.!F346=$CE$4,Исходн.данные.!F346=$CE$5),GQ346,GR346)</f>
        <v>19</v>
      </c>
      <c r="GQ346" s="55">
        <f>IF(Исходн.данные.!F346=$CE$1,28,IF(Исходн.данные.!F346=$CE$2,26,IF(Исходн.данные.!F346=$CE$3,24,IF(Исходн.данные.!F346=$CE$4,22,IF(Исходн.данные.!F346=$CE$5,20,GR346)))))</f>
        <v>19</v>
      </c>
      <c r="GR346" s="55">
        <f>IF(Исходн.данные.!F346=$CE$6,18,IF(Исходн.данные.!F346=$CE$7,16,IF(Исходн.данные.!F346=$CE$8,14,IF(Исходн.данные.!F346=$CE$9,13,IF(Исходн.данные.!F346=$CE$10,12,19)))))</f>
        <v>19</v>
      </c>
      <c r="GS346" s="55">
        <f>IF(Исходн.данные.!G346="Пес",0.035*(40+2*Исходн.данные.!H346),IF(Исходн.данные.!G346="Суп",0.0325*(40+2*Исходн.данные.!H346),0.03*(40+2*Исходн.данные.!H346)))</f>
        <v>1.2</v>
      </c>
      <c r="GT346" s="55">
        <f>IF(Исходн.данные.!H346&lt;23,2.6,IF(AND(Исходн.данные.!H346&gt;22,Исходн.данные.!H346&lt;26),3,IF(AND(Исходн.данные.!H346&gt;25,Исходн.данные.!H346&lt;29),3.4,3.6)))</f>
        <v>2.6</v>
      </c>
      <c r="GU346" s="55">
        <f>IF(Исходн.данные.!H346&lt;23,2.8,IF(AND(Исходн.данные.!H346&gt;22,Исходн.данные.!H346&lt;26),3.2,IF(AND(Исходн.данные.!H346&gt;25,Исходн.данные.!H346&lt;29),3.6,3.9)))</f>
        <v>2.8</v>
      </c>
      <c r="GV346" s="55">
        <f>IF(Исходн.данные.!H346&lt;23,3,IF(AND(Исходн.данные.!H346&gt;22,Исходн.данные.!H346&lt;26),3.5,IF(AND(Исходн.данные.!H346&gt;25,Исходн.данные.!H346&lt;29),3.9,4.2)))</f>
        <v>3</v>
      </c>
      <c r="GW346" s="55" t="e">
        <f>IF(Исходн.данные.!P346="Ум",GX346,GY346)</f>
        <v>#N/A</v>
      </c>
      <c r="GX346" s="55" t="e">
        <f>VLOOKUP(Исходн.данные.!AI346,Коэффициенты!$J$7:$L$13,2,FALSE)</f>
        <v>#N/A</v>
      </c>
      <c r="GY346" s="55" t="e">
        <f>VLOOKUP(Исходн.данные.!AI346,Коэффициенты!$J$7:$L$13,3,FALSE)</f>
        <v>#N/A</v>
      </c>
      <c r="GZ346" s="55" t="e">
        <f>(IF(Исходн.данные.!M346&lt;50,0.11*VLOOKUP(Исходн.данные.!AH346,Культуры.Информация,7,FALSE),IF(Исходн.данные.!M346&gt;250,0.05*VLOOKUP(Исходн.данные.!AH346,Культуры.Информация,7,FALSE),VLOOKUP(Исходн.данные.!AH346,Культуры.Информация,5,FALSE)/100*($GX$6+$GY$6*Исходн.данные.!M346))))*Расчет2!AI346</f>
        <v>#N/A</v>
      </c>
      <c r="HA346" s="211"/>
      <c r="HB346" s="211"/>
      <c r="HC346" s="55" t="e">
        <f>(IF(Исходн.данные.!O346&lt;80,0.2*VLOOKUP(Исходн.данные.!AH346,Культуры.Информация,8,FALSE),IF(Исходн.данные.!O346&gt;240,0.09*VLOOKUP(Исходн.данные.!AH346,Культуры.Информация,8,FALSE),VLOOKUP(Исходн.данные.!AH346,Культуры.Информация,6,FALSE)/100*($HB$6+$HC$6*Исходн.данные.!O346))))*Расчет2!AJ346</f>
        <v>#N/A</v>
      </c>
      <c r="HD346" s="55">
        <f>IF(Исходн.данные.!O346&gt;240,0.09,IF(Исходн.данные.!O346&lt;30,0.3,$HE$10+$HD$10*Исходн.данные.!O346))</f>
        <v>0.3</v>
      </c>
      <c r="HE346" s="55">
        <f>IF(Исходн.данные.!O346&gt;240,0.17,IF(Исходн.данные.!O346&lt;30,0.5,$HF$12+$HE$12*Исходн.данные.!O346))</f>
        <v>0.5</v>
      </c>
      <c r="HF346" s="55" t="e">
        <f>VLOOKUP(Исходн.данные.!AH346,Справ!$A$3:$D$58,2,FALSE)</f>
        <v>#N/A</v>
      </c>
      <c r="HG346" s="55" t="e">
        <f>VLOOKUP(Исходн.данные.!AH346,Справ!$A$3:$D$58,3,FALSE)</f>
        <v>#N/A</v>
      </c>
      <c r="HH346" s="55" t="e">
        <f>VLOOKUP(Исходн.данные.!AH346,Справ!$A$3:$D$58,4,FALSE)</f>
        <v>#N/A</v>
      </c>
      <c r="HI346" s="11" t="e">
        <f t="shared" si="413"/>
        <v>#N/A</v>
      </c>
      <c r="HJ346" s="11" t="e">
        <f t="shared" si="414"/>
        <v>#N/A</v>
      </c>
      <c r="HK346" s="11" t="e">
        <f t="shared" si="415"/>
        <v>#N/A</v>
      </c>
      <c r="HL346" s="55">
        <f>IF(OR(Исходн.данные.!G346="Глин",Исходн.данные.!G346="Т_суг"),1.1,IF(Исходн.данные.!G346="Ср_суг",1,1))</f>
        <v>1</v>
      </c>
      <c r="HM346" s="55">
        <f>IF(OR(Исходн.данные.!G346="Глин",Исходн.данные.!G346="Т_суг"),0.9,IF(Исходн.данные.!G346="Ср_суг",1,1.2))</f>
        <v>1.2</v>
      </c>
      <c r="HN346" s="11" t="e">
        <f t="shared" si="416"/>
        <v>#N/A</v>
      </c>
      <c r="HO346" s="11" t="e">
        <f t="shared" si="417"/>
        <v>#N/A</v>
      </c>
      <c r="HP346" s="11" t="e">
        <f t="shared" si="418"/>
        <v>#N/A</v>
      </c>
      <c r="HQ346" t="e">
        <f t="shared" si="419"/>
        <v>#N/A</v>
      </c>
      <c r="HR346" t="e">
        <f t="shared" si="420"/>
        <v>#N/A</v>
      </c>
      <c r="HS346" t="e">
        <f t="shared" si="421"/>
        <v>#N/A</v>
      </c>
      <c r="HT346" t="e">
        <f t="shared" si="441"/>
        <v>#N/A</v>
      </c>
      <c r="HU346" t="e">
        <f t="shared" si="442"/>
        <v>#N/A</v>
      </c>
      <c r="HV346" t="e">
        <f t="shared" si="443"/>
        <v>#N/A</v>
      </c>
      <c r="HW346" t="e">
        <f t="shared" si="444"/>
        <v>#N/A</v>
      </c>
      <c r="HX346" t="e">
        <f t="shared" si="445"/>
        <v>#N/A</v>
      </c>
      <c r="HY346" t="e">
        <f t="shared" si="446"/>
        <v>#N/A</v>
      </c>
      <c r="HZ346" s="55">
        <f>IF(OR(Исходн.данные.!AI346="Оз_Ч_П",Исходн.данные.!AI346="Оз_З_П",Исходн.данные.!AI346="Яр_зер"),12,30)</f>
        <v>30</v>
      </c>
      <c r="IA346" t="e">
        <f t="shared" si="422"/>
        <v>#N/A</v>
      </c>
      <c r="IB346" t="e">
        <f t="shared" si="423"/>
        <v>#N/A</v>
      </c>
      <c r="IC346" t="e">
        <f t="shared" si="424"/>
        <v>#N/A</v>
      </c>
      <c r="ID346" s="11" t="e">
        <f t="shared" si="425"/>
        <v>#N/A</v>
      </c>
      <c r="IE346" s="11" t="e">
        <f t="shared" si="426"/>
        <v>#N/A</v>
      </c>
      <c r="IF346" s="11" t="e">
        <f t="shared" si="427"/>
        <v>#N/A</v>
      </c>
    </row>
    <row r="347" spans="35:240" x14ac:dyDescent="0.2">
      <c r="AI347">
        <f>IF(Исходн.данные.!I347&gt;6,1,1.85-(0.148*Исходн.данные.!I347))</f>
        <v>1.85</v>
      </c>
      <c r="AJ347">
        <f>IF(Исходн.данные.!I347&gt;6,1,2.434-(0.246*Исходн.данные.!I347))</f>
        <v>2.4340000000000002</v>
      </c>
      <c r="AL347" s="148" t="b">
        <f>IF(Исходн.данные.!$P347="Ум",N_OrgUd_2g_um,IF(Исходн.данные.!$P347="Об",N_OrgUd_2g_ob))</f>
        <v>0</v>
      </c>
      <c r="AM347" s="148" t="b">
        <f>IF(Исходн.данные.!$P347="Ум",P_OrgUd_2g_um,IF(Исходн.данные.!$P347="Об",P_OrgUd_2g_ob))</f>
        <v>0</v>
      </c>
      <c r="AN347" s="148" t="b">
        <f>IF(Исходн.данные.!$P347="Ум",K_OrgUd_2g_um,IF(Исходн.данные.!$P347="Об",K_OrgUd_2g_ob))</f>
        <v>0</v>
      </c>
      <c r="AO347" s="148" t="b">
        <f>IF(Исходн.данные.!$P347="Ум",N_OrgUd_1g_um,IF(Исходн.данные.!$P347="Об",N_OrgUd_1g_ob))</f>
        <v>0</v>
      </c>
      <c r="AP347" s="148" t="b">
        <f>IF(Исходн.данные.!$P347="Ум",P_OrgUd_1g_um,IF(Исходн.данные.!$P347="Об",P_OrgUd_1g_ob))</f>
        <v>0</v>
      </c>
      <c r="AQ347" s="148" t="b">
        <f>IF(Исходн.данные.!$P347="Ум",K_OrgUd_1g_um,IF(Исходн.данные.!$P347="Об",K_OrgUd_1g_ob))</f>
        <v>0</v>
      </c>
      <c r="AR347" t="b">
        <f>IF(Исходн.данные.!$P347="Ум",N_MinUd_2g_um,IF(Исходн.данные.!$P347="Об",N_MinUd_2g_ob))</f>
        <v>0</v>
      </c>
      <c r="AS347" t="b">
        <f>IF(Исходн.данные.!$P347="Ум",P_MinUd_2g_um,IF(Исходн.данные.!$P347="Об",P_MinUd_2g_ob))</f>
        <v>0</v>
      </c>
      <c r="AT347" t="b">
        <f>IF(Исходн.данные.!$P347="Ум",K_MinUd_2g_um,IF(Исходн.данные.!$P347="Об",K_MinUd_2g_ob))</f>
        <v>0</v>
      </c>
      <c r="AU347" t="b">
        <f>IF(Исходн.данные.!$P347="Ум",N_MinUd_1g_um,IF(Исходн.данные.!$P347="Об",N_MinUd_1g_ob))</f>
        <v>0</v>
      </c>
      <c r="AV347" t="b">
        <f>IF(Исходн.данные.!P347="Ум",P_MinUd_1g_um,IF(Исходн.данные.!P347="Об",P_MinUd_1g_ob))</f>
        <v>0</v>
      </c>
      <c r="AW347" t="b">
        <f>IF(Исходн.данные.!P347="Ум",K_MinUd_1g_um,IF(Исходн.данные.!P347="Об",K_MinUd_1g_ob))</f>
        <v>0</v>
      </c>
      <c r="AY347" t="e">
        <f>VLOOKUP(Исходн.данные.!T347,Справ!$A$3:$N$57,12)</f>
        <v>#N/A</v>
      </c>
      <c r="AZ347" t="e">
        <f>VLOOKUP(Исходн.данные.!T347,Справ!$A$3:$N$57,13)</f>
        <v>#N/A</v>
      </c>
      <c r="BA347" t="e">
        <f>VLOOKUP(Исходн.данные.!T347,Справ!$A$3:$N$57,14)</f>
        <v>#N/A</v>
      </c>
      <c r="BB347">
        <f>IF(Исходн.данные.!AH347=0,0,25)</f>
        <v>0</v>
      </c>
      <c r="BC347" s="141">
        <f>IF(Исходн.данные.!AH347=0,0,IF(Исходн.данные.!T347=0,25,BD347))</f>
        <v>0</v>
      </c>
      <c r="BD347" s="168" t="e">
        <f>AY347+AZ347*Исходн.данные.!U347-POWER(BA347,2)*Исходн.данные.!U347</f>
        <v>#N/A</v>
      </c>
      <c r="BE347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7" s="25">
        <f>IF(Исходн.данные.!AH347=0,0,MIN(HN347:HP347))</f>
        <v>0</v>
      </c>
      <c r="BG347" s="9">
        <f>IF(Исходн.данные.!AH347=0,0,IF((HO347+10*0.25/HG347/HL347)&lt;17,17,HO347+10*0.25/HG347/HL347))</f>
        <v>0</v>
      </c>
      <c r="BH347" s="181">
        <f>IF(Исходн.данные.!AH347=0,0,HW347*HF347*HL347/AU347*AI347+Исходн.данные.!S347*10)</f>
        <v>0</v>
      </c>
      <c r="BI347" s="10"/>
      <c r="BJ347" s="182">
        <f>IF(Исходн.данные.!AH347=0,0,IF(HX347*HG347*HL347/AV347&lt;0,0,HX347*HG347*HL347/AV347*AJ347))</f>
        <v>0</v>
      </c>
      <c r="BK347" s="182">
        <f>IF(Исходн.данные.!AH347=0,0,HY347*HH347*HM347/AW347)</f>
        <v>0</v>
      </c>
      <c r="BL347" s="10">
        <f>IF(OR(Исходн.данные.!$AH347=$BP$1,Исходн.данные.!$AH347=$BP$2),0,IF(BH347&lt;0,0,IF(OR(Исходн.данные.!T347=Расчет!$BP$1,Исходн.данные.!T347=Расчет!$BP$2,Исходн.данные.!T347=Расчет!$BT$5,Исходн.данные.!T347=Расчет!$BT$6),BH347*0.5,IF(OR(Исходн.данные.!T347=Расчет!$BS$9,Исходн.данные.!T347=Расчет!$BS$10,Исходн.данные.!T347=Расчет!$BS$11,Исходн.данные.!T347=Расчет!$BS$12,Исходн.данные.!T347=Расчет!$BP$5),BH347*0.8,BH347))))</f>
        <v>0</v>
      </c>
      <c r="BM347" s="10">
        <f>IF(OR(Исходн.данные.!$AH347=$BP$1,Исходн.данные.!$AH347=$BP$2),0,IF(BJ347&lt;0,0,IF(Исходн.данные.!I347&lt;4.5,BJ347*1.2,IF(Исходн.данные.!I347&gt;5.1,BJ347,BJ347*((5.1-Исходн.данные.!I347)*0.333+1)))))</f>
        <v>0</v>
      </c>
      <c r="BN347" s="10">
        <f>IF(OR(Исходн.данные.!$AH347=$BP$1,Исходн.данные.!$AH347=$BP$2),60-Исходн.данные.!AF347,IF(BK347&lt;0,0,IF(Исходн.данные.!I347&lt;4.5,BK347*1.2,IF(Исходн.данные.!I347&gt;5.1,BK347,BK347*((5.1-Исходн.данные.!I347)*0.333+1)))))</f>
        <v>0</v>
      </c>
      <c r="BO347" s="9">
        <f>IF(BL347&lt;0,0,BL347*Исходн.данные.!$AJ347/1000)</f>
        <v>0</v>
      </c>
      <c r="BP347" s="9">
        <f>IF(BM347&lt;0,0,BM347*Исходн.данные.!$AJ347/1000)</f>
        <v>0</v>
      </c>
      <c r="BQ347" s="9">
        <f>IF(BN347&lt;0,0,BN347*Исходн.данные.!$AJ347/1000)</f>
        <v>0</v>
      </c>
      <c r="BR347" s="9">
        <f t="shared" si="377"/>
        <v>0</v>
      </c>
      <c r="BS347" s="10" t="str">
        <f t="shared" si="378"/>
        <v>Аммофос 12:52:00</v>
      </c>
      <c r="BT347" s="10" t="str">
        <f t="shared" si="379"/>
        <v>Аммофос 12:52:00</v>
      </c>
      <c r="BU347" s="10" t="str">
        <f t="shared" si="380"/>
        <v>Диаммофоска</v>
      </c>
      <c r="BV347" s="10">
        <f t="shared" si="381"/>
        <v>0</v>
      </c>
      <c r="BW347" s="10"/>
      <c r="BX347" s="10"/>
      <c r="BY347" s="9">
        <f>IF(BL347&lt;0,0,IF(OR(Исходн.данные.!AI347=Расчет!$BU$6,Исходн.данные.!AI347=Расчет!$BU$7),Расчет!BV347,IF(Исходн.данные.!$AG347=$BV$11,BL347,IF(OR(Исходн.данные.!$AH347=$BQ$7,Исходн.данные.!$AH347=$BQ$8),CB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0,IF(Исходн.данные.!$AI347=$BU$11,"Нет",IF(BL347&gt;30,30,BL347)))))))</f>
        <v>0</v>
      </c>
      <c r="BZ347" s="9">
        <f>IF(AND(Исходн.данные.!$AG347=$BV$11,BM347&lt;10),10,IF(Исходн.данные.!$AG347=$BV$11,BM347,IF(OR(Исходн.данные.!$AH347=$BQ$7,Исходн.данные.!$AH347=$BQ$8),CC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10,IF(Исходн.данные.!$AI347=$BU$11,"Нет",IF(BM347&gt;60,60,IF(BM347&lt;10,10,BM347)))))))</f>
        <v>10</v>
      </c>
      <c r="CA347" s="39">
        <f>IF(BN347&lt;0,0,IF(Исходн.данные.!$AG347=$BV$11,BN347,IF(OR(Исходн.данные.!$AH347=$BQ$7,Исходн.данные.!$AH347=$BQ$8),CD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0,IF(Исходн.данные.!$AI347=$BU$11,"Нет",IF(BN347&gt;30,30,BN347))))))</f>
        <v>0</v>
      </c>
      <c r="CB347" s="9">
        <f t="shared" si="382"/>
        <v>0</v>
      </c>
      <c r="CC347" s="9">
        <f t="shared" si="383"/>
        <v>0</v>
      </c>
      <c r="CD347" s="9">
        <f t="shared" si="384"/>
        <v>0</v>
      </c>
      <c r="CE347" s="12">
        <f t="shared" si="385"/>
        <v>10</v>
      </c>
      <c r="CF347" s="9">
        <f t="shared" si="386"/>
        <v>0</v>
      </c>
      <c r="CG347" s="9" t="s">
        <v>231</v>
      </c>
      <c r="CH347" s="132" t="str">
        <f>IF(Исходн.данные.!AP347=Расчет!$CI$16,"Нет",IF(Исходн.данные.!AL347&gt;0,Исходн.данные.!AL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BH$4,IF(OR(Исходн.данные.!AI347=Исходн.данные.!$AI$6,Исходн.данные.!AI347=Исходн.данные.!$AI$7),Расчет!BS347,IF(AND($CF347=0,$CE347&gt;0),EV347,ER347)))))</f>
        <v>Аммофос 12:52:00</v>
      </c>
      <c r="CI347" s="274">
        <f>IF(Расчет!$CH347="Нет","Нет",IF(Исходн.данные.!$AL347&gt;0,VLOOKUP(Расчет!$CH347,АшламаДВ_Irekle,2,FALSE),VLOOKUP(Расчет!$CH347,АшламаДВ_Gomumy,2,FALSE)))</f>
        <v>0.12</v>
      </c>
      <c r="CJ347" s="274">
        <f>IF(Расчет!$CH347="Нет","Нет",IF(Исходн.данные.!$AL347&gt;0,VLOOKUP(Расчет!$CH347,АшламаДВ_Irekle,3,FALSE),VLOOKUP(Расчет!$CH347,АшламаДВ_Gomumy,3,FALSE)))</f>
        <v>0.52</v>
      </c>
      <c r="CK347" s="274">
        <f>IF(Расчет!$CH347="Нет","Нет",IF(Исходн.данные.!$AL347&gt;0,VLOOKUP(Расчет!$CH347,АшламаДВ_Irekle,4,FALSE),VLOOKUP(Расчет!$CH347,АшламаДВ_Gomumy,4,FALSE)))</f>
        <v>0</v>
      </c>
      <c r="CL347" s="70"/>
      <c r="CM347" s="70"/>
      <c r="CN347" s="70"/>
      <c r="CO347" s="70"/>
      <c r="CP347" s="70"/>
      <c r="CQ347" s="70"/>
      <c r="CR347" s="10">
        <f t="shared" si="387"/>
        <v>0</v>
      </c>
      <c r="CS347" s="10">
        <f t="shared" si="388"/>
        <v>19.23076923076923</v>
      </c>
      <c r="CT347" s="10">
        <f t="shared" si="389"/>
        <v>0</v>
      </c>
      <c r="CU347" s="39">
        <f>IF($CH347="Нет",0,IF(CI347=0,30/MIN(CJ347:CK347),IF(Исходн.данные.!$AG347=$BV$11,CR347,IF(OR(Исходн.данные.!$AH347=$BQ$7,Исходн.данные.!$AH347=$BQ$8),90/CI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0,IF(Исходн.данные.!$AI347=$BU$11,"Нет",30/CI347))))))</f>
        <v>250</v>
      </c>
      <c r="CV347" s="39">
        <f>IF($CH347="Нет",0,IF(Исходн.данные.!AH347=0,0,IF(CJ347=0,60/MIN(CI347,CK347),IF(Исходн.данные.!$AG347=$BV$11,CS347,IF(OR(Исходн.данные.!$AH347=$BQ$7,Исходн.данные.!$AH347=$BQ$8),90/CJ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10/CJ347,IF(Исходн.данные.!$AI347=$BU$11,"Нет",60/CJ347)))))))</f>
        <v>0</v>
      </c>
      <c r="CW347" s="39">
        <f>IF($CH347="Нет",0,IF(Исходн.данные.!AH347=0,0,IF(CK347=0,30/MIN(CI347:CJ347),IF(Исходн.данные.!$AG347=$BV$11,CT347,IF(OR(Исходн.данные.!$AH347=$BQ$7,Исходн.данные.!$AH347=$BQ$8),90/CK347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0,IF(Исходн.данные.!$AI347=$BU$11,"Нет",30/CK347)))))))</f>
        <v>0</v>
      </c>
      <c r="CX347" s="133">
        <f>IF(Исходн.данные.!$AG347=$BV$11,MAX(CU347:CW347),IF(OR(Исходн.данные.!$AH347=$BS$8,Исходн.данные.!$AH347=$BQ$9,Исходн.данные.!$AH347=$BQ$10,Исходн.данные.!$AH347=$BQ$11,Исходн.данные.!$AH347=$BQ$12,Исходн.данные.!$AH347=$BP$3,Исходн.данные.!$AH347=$BT$8,$FM347="Да"),CV347,MIN(CU347:CW347)))</f>
        <v>0</v>
      </c>
      <c r="CY347" s="133">
        <f>IF(Исходн.данные.!AH347=0,0,IF(CR347&gt;$CX347,$CX347,CR347))</f>
        <v>0</v>
      </c>
      <c r="CZ347" s="133">
        <f>IF(Исходн.данные.!AH347=0,0,IF(CS347&gt;$CX347,$CX347,CS347))</f>
        <v>0</v>
      </c>
      <c r="DA347" s="133">
        <f>IF(Исходн.данные.!AH347=0,0,IF(CT347&gt;$CX347,$CX347,CT347))</f>
        <v>0</v>
      </c>
      <c r="DB347" s="10">
        <f t="shared" si="390"/>
        <v>0</v>
      </c>
      <c r="DC347" s="39">
        <f>DB347*Исходн.данные.!AJ347/1000</f>
        <v>0</v>
      </c>
      <c r="DD347" s="71">
        <f t="shared" si="391"/>
        <v>0</v>
      </c>
      <c r="DE347" s="9">
        <f t="shared" si="392"/>
        <v>0</v>
      </c>
      <c r="DF347" s="9">
        <f t="shared" si="393"/>
        <v>0</v>
      </c>
      <c r="DG347" s="39">
        <f>IF(BL347&lt;0,0,IF($CH347="Нет",BL347,IF(OR(Исходн.данные.!$AH347=$BP$1,Исходн.данные.!$AH347=$BP$2),0,IF(Исходн.данные.!AI347=$BU$11,BL347,IF(BL347-DD347&lt;0,0,BL347-DD347)))))</f>
        <v>0</v>
      </c>
      <c r="DH347" s="39">
        <f>IF(BM347&lt;0,0,IF($CH347="Нет",BM347,IF(OR(Исходн.данные.!$AH347=$BP$1,Исходн.данные.!$AH347=$BP$2),0,IF(Исходн.данные.!AJ347=$BU$11,BM347,IF(BM347-DE347&lt;0,0,BM347-DE347)))))</f>
        <v>0</v>
      </c>
      <c r="DI347" s="39">
        <f>IF(BN347&lt;0,0,IF($CH347="Нет",BN347,IF(OR(Исходн.данные.!$AH347=$BP$1,Исходн.данные.!$AH347=$BP$2),0,IF(Исходн.данные.!AK347=$BU$11,BN347,IF(BN347-DF347&lt;0,0,BN347-DF347)))))</f>
        <v>0</v>
      </c>
      <c r="DJ347" s="12">
        <f t="shared" si="394"/>
        <v>0</v>
      </c>
      <c r="DK347" s="9">
        <f t="shared" si="395"/>
        <v>0</v>
      </c>
      <c r="DL347" s="39">
        <f>IF(Исходн.данные.!AM347&gt;0,Исходн.данные.!AM347,IF(EG347&gt;0,$BH$10,0))</f>
        <v>0</v>
      </c>
      <c r="DM347" s="186">
        <f>IF($DL347=0,0,IF(Исходн.данные.!AM347&gt;0,VLOOKUP($DL347,АшламаДВ_Irekle,2,FALSE),VLOOKUP($DL347,АшламаДВ_Gomumy,2,FALSE)))</f>
        <v>0</v>
      </c>
      <c r="DN347" s="10">
        <f t="shared" si="447"/>
        <v>0</v>
      </c>
      <c r="DO347" s="9" t="str">
        <f>IF(Исходн.данные.!AN347&gt;0,Исходн.данные.!AN347,Удобрения!$B$37 )</f>
        <v>Хлор.калий</v>
      </c>
      <c r="DP347" s="9">
        <f>IF(Исходн.данные.!AN347&gt;0,VLOOKUP(Исходн.данные.!AN347,АшламаДВ_Irekle,4,FALSE),VLOOKUP(DO347,АшламаДВ_Gomumy,4,FALSE))</f>
        <v>0.6</v>
      </c>
      <c r="DQ347" s="10">
        <f t="shared" si="448"/>
        <v>0</v>
      </c>
      <c r="DR347" s="132" t="str">
        <f>IF(Исходн.данные.!AO347&gt;0,Исходн.данные.!AO347,IF(DH347=0,BS$17,IF(AND($DK347=0,$DJ347&gt;0),EJ347,EN347)))</f>
        <v>Нет</v>
      </c>
      <c r="DS347" s="70" t="str">
        <f>IF($DR347="Нет","Нет",IF(Исходн.данные.!$AO347&gt;0,VLOOKUP($DR347,АшламаДВ_Irekle,2,FALSE),VLOOKUP($DR347,АшламаДВ_Gomumy,2,FALSE)))</f>
        <v>Нет</v>
      </c>
      <c r="DT347" s="70" t="str">
        <f>IF($DR347="Нет","Нет",IF(Исходн.данные.!$AO347&gt;0,VLOOKUP($DR347,АшламаДВ_Irekle,3,FALSE),VLOOKUP($DR347,АшламаДВ_Gomumy,3,FALSE)))</f>
        <v>Нет</v>
      </c>
      <c r="DU347" s="70" t="str">
        <f>IF($DR347="Нет","Нет",IF(Исходн.данные.!$AO347&gt;0,VLOOKUP($DR347,АшламаДВ_Irekle,4,FALSE),VLOOKUP($DR347,АшламаДВ_Gomumy,4,FALSE)))</f>
        <v>Нет</v>
      </c>
      <c r="DV347" s="70"/>
      <c r="DW347" s="70"/>
      <c r="DX347" s="70"/>
      <c r="DY347" s="10">
        <f t="shared" si="396"/>
        <v>0</v>
      </c>
      <c r="DZ347" s="10">
        <f t="shared" si="397"/>
        <v>0</v>
      </c>
      <c r="EA347" s="10">
        <f t="shared" si="398"/>
        <v>0</v>
      </c>
      <c r="EB347" s="10">
        <f t="shared" si="399"/>
        <v>0</v>
      </c>
      <c r="EC347" s="10">
        <f t="shared" si="400"/>
        <v>0</v>
      </c>
      <c r="ED347" s="10">
        <f t="shared" si="401"/>
        <v>0</v>
      </c>
      <c r="EE347" s="10">
        <f t="shared" si="402"/>
        <v>0</v>
      </c>
      <c r="EF347" s="39">
        <f>EB347*Исходн.данные.!AJ347/1000</f>
        <v>0</v>
      </c>
      <c r="EG347" s="9">
        <f t="shared" si="403"/>
        <v>0</v>
      </c>
      <c r="EH347" s="9">
        <f t="shared" si="404"/>
        <v>0</v>
      </c>
      <c r="EI347" s="39" t="e">
        <f t="shared" si="428"/>
        <v>#DIV/0!</v>
      </c>
      <c r="EJ347" s="9" t="str">
        <f t="shared" si="449"/>
        <v>Азопреципитат</v>
      </c>
      <c r="EK347" s="12">
        <f t="shared" si="429"/>
        <v>0.26</v>
      </c>
      <c r="EL347" s="12">
        <f t="shared" si="430"/>
        <v>0.13</v>
      </c>
      <c r="EM347" s="12">
        <f t="shared" si="431"/>
        <v>0</v>
      </c>
      <c r="EN347" s="12" t="str">
        <f t="shared" si="450"/>
        <v>Нет</v>
      </c>
      <c r="EO347" s="12">
        <f t="shared" si="432"/>
        <v>0</v>
      </c>
      <c r="EP347" s="12">
        <f t="shared" si="433"/>
        <v>0</v>
      </c>
      <c r="EQ347" s="12">
        <f t="shared" si="434"/>
        <v>0</v>
      </c>
      <c r="ER347" s="12" t="str">
        <f t="shared" si="405"/>
        <v>Диаммофоска</v>
      </c>
      <c r="ES347" s="12">
        <f t="shared" si="435"/>
        <v>0.1</v>
      </c>
      <c r="ET347" s="12">
        <f t="shared" si="436"/>
        <v>0.26</v>
      </c>
      <c r="EU347" s="12">
        <f t="shared" si="437"/>
        <v>0.26</v>
      </c>
      <c r="EV347" s="12" t="str">
        <f t="shared" si="406"/>
        <v>Аммофос 12:52:00</v>
      </c>
      <c r="EW347" s="12" t="str">
        <f t="shared" si="407"/>
        <v>Кемира Свекловичное-6</v>
      </c>
      <c r="EX347" s="12">
        <f t="shared" si="438"/>
        <v>0.16</v>
      </c>
      <c r="EY347" s="12">
        <f t="shared" si="439"/>
        <v>0.12</v>
      </c>
      <c r="EZ347" s="12">
        <f t="shared" si="440"/>
        <v>0.17</v>
      </c>
      <c r="FA347" s="38" t="e">
        <f>IF(AND(OR(FJ347=$FD$1,FM347=$FD$1,FO347=$FD$1,FQ347=$FD$1,FS347=$FD$1),FD347=$FD$1,Исходн.данные.!J347&lt;2,FU347=$FD$1),"Бор,Кобальт",IF(AND(FO347=$FD$1,FH347=$FD$1,Исходн.данные.!J347&lt;2,FU347=$FD$1),"Бор,Кобальт",IF(AND(OR(FJ347=$FD$1,FM347=$FD$1,FQ347=$FD$1),FE347=$FD$1,Исходн.данные.!J347&lt;2,FT347=$FD$1,FU347=$FD$1),"Бор,Медь,Цинк",IF(AND(OR(FJ347=$FD$1,FR347="Да"),FI347="Да",Исходн.данные.!J347&lt;2,FT347="Да",FU347="Да"),"Бор,Цинк,Медь",IF(AND(OR(FM347="Да",FQ347="Да"),FI347="Да",Исходн.данные.!J347&lt;2,FT347="Да",FU347="Да"),"Бор,Цинк",IF(AND(FN347="Да",OR(FD347="Да",FE347="Да")),"Бор",FB347))))))</f>
        <v>#N/A</v>
      </c>
      <c r="FB347" s="134" t="e">
        <f>IF(AND(OR(FD347="Да",FE347="Да",FF347="Да",FG347="Да",FH347="Да"),FO347="Да"),"Бор",IF(AND(FP347="Да",OR(FD347="Да",FE347="Да",FI347="Да")),"Бор",IF(AND(FS347="Да",FE347="Да"),"Бор,Медь",IF(AND(OR(FJ347="Да",FK347="Да",FL347="Да"),FE347="Да",Исходн.данные.!I347&lt;5,FT347="Да",FU347="Да"),"Молибден,Цинк",IF(AND(FM347="Да",OR(FE347="Да",FF347="Да",FG347="Да",FH347="Да",FI347="Да")),"Молибден,Цинк",IF(AND(OR(FJ347="Да",FK347="Да",FL347="Да",FM347="Да",FQ347="Да"),OR(FE347="Да",FF347="Да"),FT347="Да",FU347="Да",Исходн.данные.!I347&gt;5.5),"Медь,Цинк",FC347))))))</f>
        <v>#N/A</v>
      </c>
      <c r="FC347" s="23" t="e">
        <f t="shared" si="408"/>
        <v>#N/A</v>
      </c>
      <c r="FD347" s="38" t="str">
        <f>IF(OR(Исходн.данные.!F347=$CC$1,Исходн.данные.!F347=$CC$2,Исходн.данные.!F347=$CC$3,Исходн.данные.!F347=$CC$4),"Да","Нет")</f>
        <v>Нет</v>
      </c>
      <c r="FE347" s="38" t="str">
        <f>IF(Исходн.данные.!F347=$CC$5,"Да","Нет")</f>
        <v>Нет</v>
      </c>
      <c r="FF347" s="38" t="str">
        <f>IF(OR(Исходн.данные.!F347=$CC$6,Исходн.данные.!F347=$CC$7),"Да","Нет")</f>
        <v>Нет</v>
      </c>
      <c r="FG347" s="38" t="str">
        <f>IF(OR(Исходн.данные.!F347=$CC$8,Исходн.данные.!F347=$CC$9),"Да","Нет")</f>
        <v>Нет</v>
      </c>
      <c r="FH347" s="38" t="str">
        <f>IF(Исходн.данные.!F347=$CC$10,"Да","Нет")</f>
        <v>Нет</v>
      </c>
      <c r="FI347" s="38" t="str">
        <f>IF(OR(Исходн.данные.!F347=$CC$11,Исходн.данные.!F347=$CC$12),"Да","Нет")</f>
        <v>Нет</v>
      </c>
      <c r="FJ347" s="38" t="str">
        <f>IF(OR(Исходн.данные.!AH347=$BS$1,Исходн.данные.!AH347=$BQ$11,Исходн.данные.!AH347=$BQ$12),"Да","Нет")</f>
        <v>Нет</v>
      </c>
      <c r="FK347" s="38" t="str">
        <f>IF(OR(Исходн.данные.!AH347=$BS$2,Исходн.данные.!AH347=$BS$4),"Да","Нет")</f>
        <v>Нет</v>
      </c>
      <c r="FL347" s="38" t="str">
        <f>IF(OR(Исходн.данные.!AH347=$BS$3,Исходн.данные.!AH347=$BS$5),"Да","Нет")</f>
        <v>Нет</v>
      </c>
      <c r="FM347" s="38" t="str">
        <f>IF(OR(Исходн.данные.!AH347=$BS$9,Исходн.данные.!AH347=$BS$10,Исходн.данные.!AH347=$BS$11,Исходн.данные.!AH347=$BS$12),"Да","Нет")</f>
        <v>Нет</v>
      </c>
      <c r="FN347" s="38" t="str">
        <f>IF(OR(Исходн.данные.!AH347=$BS$6,Исходн.данные.!AH347=$BP$3),"Да","Нет")</f>
        <v>Нет</v>
      </c>
      <c r="FO347" s="38" t="str">
        <f>IF(Исходн.данные.!AH347=$BQ$9,"Да","Нет")</f>
        <v>Нет</v>
      </c>
      <c r="FP347" s="38" t="str">
        <f>IF(OR(Исходн.данные.!AH347=$BS$8,Исходн.данные.!AH347=$BT$8),"Да","Нет")</f>
        <v>Нет</v>
      </c>
      <c r="FQ347" s="38" t="str">
        <f>IF(OR(Исходн.данные.!AH347=$BQ$7,Исходн.данные.!AH347=$BQ$8),"Да","Нет")</f>
        <v>Нет</v>
      </c>
      <c r="FR347" s="38" t="str">
        <f>IF(Исходн.данные.!AI347=$BU$9,"Да","Нет")</f>
        <v>Нет</v>
      </c>
      <c r="FS347" s="38" t="str">
        <f>IF(OR(Исходн.данные.!AH347=$BP$1,Исходн.данные.!AH347=$BP$2),"Да","Нет")</f>
        <v>Нет</v>
      </c>
      <c r="FT347" s="38" t="e">
        <f>IF((Исходн.данные.!K347*GO347*GS347*GW347+BL347*0.6+Исходн.данные.!Q347*4.5*0.275)&gt;90,"Да","Нет")</f>
        <v>#N/A</v>
      </c>
      <c r="FU347" s="38" t="e">
        <f>IF((Исходн.данные.!M347*GS347*GZ347+BM347*0.225)&gt;35,"Да","Нет")</f>
        <v>#N/A</v>
      </c>
      <c r="FV347" s="38" t="str">
        <f>IF(Исходн.данные.!O347&gt;175,"Да","Нет")</f>
        <v>Нет</v>
      </c>
      <c r="FW347" s="39" t="str">
        <f>IF(Исходн.данные.!I347&gt;5.5,"Да","Нет")</f>
        <v>Нет</v>
      </c>
      <c r="FX347" s="39" t="str">
        <f>IF(Исходн.данные.!J347&lt;2,"Да","Нет")</f>
        <v>Да</v>
      </c>
      <c r="FY347" s="39" t="e">
        <f>IF(HF347=$FY$16,0,Исходн.данные.!K347*GO347*GS347*GW347/HF347)</f>
        <v>#N/A</v>
      </c>
      <c r="FZ347" s="39" t="e">
        <f>Исходн.данные.!M347*GS347*GZ347/HG347</f>
        <v>#N/A</v>
      </c>
      <c r="GA347" s="39" t="e">
        <f>IF(K_Wyn=$FY$16,0,IF(Исходн.данные.!N347=Исходн.данные.!$L$10,Исходн.данные.!O347/1.1*GS347*HC347/HH347,IF(Исходн.данные.!N347=Исходн.данные.!$L$12,Исходн.данные.!O347/1.5*GS347*HC347/HH347,Исходн.данные.!O347*GS347*HC347/HH347)))</f>
        <v>#N/A</v>
      </c>
      <c r="GB347" s="39" t="e">
        <f>IF(HF347=$FY$16,0,((Исходн.данные.!Q347*N_Org+Исходн.данные.!R347*N_Sider+Исходн.данные.!S347*N_Soloma)*AO347+Расчет!BC347*VLOOKUP(Исходн.данные.!T347,Справ!$A$3:$O$57,15)*AO347+BB347*VLOOKUP(Исходн.данные.!T347,Справ!$A$3:$O$57,15)*AL347+(Исходн.данные.!V347*N_Rizotorf+Исходн.данные.!W347*N_Rizoagr))/HF347)</f>
        <v>#N/A</v>
      </c>
      <c r="GC347" s="39" t="e">
        <f>IF(HG347=$FY$16,0,((Исходн.данные.!Q347*Р_Org+Исходн.данные.!R347*P_Sider+Исходн.данные.!S347*P_Soloma)*AP347+Расчет!BC347*VLOOKUP(Исходн.данные.!T347,Справ!$A$3:$P$57,16)*AP347+BB347*VLOOKUP(Исходн.данные.!T347,Справ!$A$3:$P$57,16)*AM347)/HG347)</f>
        <v>#N/A</v>
      </c>
      <c r="GD347" s="39" t="e">
        <f>IF(HH347=$FY$16,0,((Исходн.данные.!Q347*К_Org+Исходн.данные.!R347*K_Sider+Исходн.данные.!S347*K_Soloma)*AQ347+Расчет!BC347*VLOOKUP(Исходн.данные.!T347,Справ!$A$3:$Q$57,17)*AQ347+BB347*VLOOKUP(Исходн.данные.!T347,Справ!$A$3:$Q$57,17)*AN347)/HH347)</f>
        <v>#N/A</v>
      </c>
      <c r="GE347" s="39" t="e">
        <f>IF(HF347=$FY$16,0,(Исходн.данные.!X347*AR347+Исходн.данные.!AA347*N_Org*AL347+Исходн.данные.!AB347*N_Sider*AL347+Исходн.данные.!AC347*N_Soloma*AL347)/HF347)</f>
        <v>#N/A</v>
      </c>
      <c r="GF347" s="39" t="e">
        <f>IF(HG347=$FY$16,0,(Исходн.данные.!Y347*AS347+Исходн.данные.!AA347*Р_Org*AM347+Исходн.данные.!AB347*P_Sider*AM347+Исходн.данные.!AC347*P_Soloma*AM347)/HG347)</f>
        <v>#N/A</v>
      </c>
      <c r="GG347" s="39" t="e">
        <f>IF(HH347=$FY$16,0,(Исходн.данные.!Z347*AT347+Исходн.данные.!AA347*К_Org*AN347+Исходн.данные.!AB347*K_Sider*AN347+Исходн.данные.!AC347*K_Soloma*AN347)/HH347)</f>
        <v>#N/A</v>
      </c>
      <c r="GH347" s="39" t="e">
        <f>Исходн.данные.!AD347*AU347/HF347</f>
        <v>#N/A</v>
      </c>
      <c r="GI347" s="39" t="e">
        <f>Исходн.данные.!AE347*AV347/HG347</f>
        <v>#N/A</v>
      </c>
      <c r="GJ347" s="39" t="e">
        <f>Исходн.данные.!AF347*AW347/HH347</f>
        <v>#N/A</v>
      </c>
      <c r="GK347" s="55">
        <f>Исходн.данные.!AK347</f>
        <v>0</v>
      </c>
      <c r="GL347" s="11" t="e">
        <f t="shared" si="409"/>
        <v>#N/A</v>
      </c>
      <c r="GM347" s="11" t="e">
        <f t="shared" si="410"/>
        <v>#N/A</v>
      </c>
      <c r="GN347" s="11" t="e">
        <f t="shared" si="411"/>
        <v>#N/A</v>
      </c>
      <c r="GO347" s="57">
        <f t="shared" si="412"/>
        <v>19</v>
      </c>
      <c r="GP347" s="55">
        <f>IF(OR(Исходн.данные.!F347=$CE$1,Исходн.данные.!F347=$CE$2,Исходн.данные.!F347=$CE$3,Исходн.данные.!F347=$CE$4,Исходн.данные.!F347=$CE$5),GQ347,GR347)</f>
        <v>19</v>
      </c>
      <c r="GQ347" s="55">
        <f>IF(Исходн.данные.!F347=$CE$1,28,IF(Исходн.данные.!F347=$CE$2,26,IF(Исходн.данные.!F347=$CE$3,24,IF(Исходн.данные.!F347=$CE$4,22,IF(Исходн.данные.!F347=$CE$5,20,GR347)))))</f>
        <v>19</v>
      </c>
      <c r="GR347" s="55">
        <f>IF(Исходн.данные.!F347=$CE$6,18,IF(Исходн.данные.!F347=$CE$7,16,IF(Исходн.данные.!F347=$CE$8,14,IF(Исходн.данные.!F347=$CE$9,13,IF(Исходн.данные.!F347=$CE$10,12,19)))))</f>
        <v>19</v>
      </c>
      <c r="GS347" s="55">
        <f>IF(Исходн.данные.!G347="Пес",0.035*(40+2*Исходн.данные.!H347),IF(Исходн.данные.!G347="Суп",0.0325*(40+2*Исходн.данные.!H347),0.03*(40+2*Исходн.данные.!H347)))</f>
        <v>1.2</v>
      </c>
      <c r="GT347" s="55">
        <f>IF(Исходн.данные.!H347&lt;23,2.6,IF(AND(Исходн.данные.!H347&gt;22,Исходн.данные.!H347&lt;26),3,IF(AND(Исходн.данные.!H347&gt;25,Исходн.данные.!H347&lt;29),3.4,3.6)))</f>
        <v>2.6</v>
      </c>
      <c r="GU347" s="55">
        <f>IF(Исходн.данные.!H347&lt;23,2.8,IF(AND(Исходн.данные.!H347&gt;22,Исходн.данные.!H347&lt;26),3.2,IF(AND(Исходн.данные.!H347&gt;25,Исходн.данные.!H347&lt;29),3.6,3.9)))</f>
        <v>2.8</v>
      </c>
      <c r="GV347" s="55">
        <f>IF(Исходн.данные.!H347&lt;23,3,IF(AND(Исходн.данные.!H347&gt;22,Исходн.данные.!H347&lt;26),3.5,IF(AND(Исходн.данные.!H347&gt;25,Исходн.данные.!H347&lt;29),3.9,4.2)))</f>
        <v>3</v>
      </c>
      <c r="GW347" s="55" t="e">
        <f>IF(Исходн.данные.!P347="Ум",GX347,GY347)</f>
        <v>#N/A</v>
      </c>
      <c r="GX347" s="55" t="e">
        <f>VLOOKUP(Исходн.данные.!AI347,Коэффициенты!$J$7:$L$13,2,FALSE)</f>
        <v>#N/A</v>
      </c>
      <c r="GY347" s="55" t="e">
        <f>VLOOKUP(Исходн.данные.!AI347,Коэффициенты!$J$7:$L$13,3,FALSE)</f>
        <v>#N/A</v>
      </c>
      <c r="GZ347" s="55" t="e">
        <f>(IF(Исходн.данные.!M347&lt;50,0.11*VLOOKUP(Исходн.данные.!AH347,Культуры.Информация,7,FALSE),IF(Исходн.данные.!M347&gt;250,0.05*VLOOKUP(Исходн.данные.!AH347,Культуры.Информация,7,FALSE),VLOOKUP(Исходн.данные.!AH347,Культуры.Информация,5,FALSE)/100*($GX$6+$GY$6*Исходн.данные.!M347))))*Расчет2!AI347</f>
        <v>#N/A</v>
      </c>
      <c r="HA347" s="211"/>
      <c r="HB347" s="211"/>
      <c r="HC347" s="55" t="e">
        <f>(IF(Исходн.данные.!O347&lt;80,0.2*VLOOKUP(Исходн.данные.!AH347,Культуры.Информация,8,FALSE),IF(Исходн.данные.!O347&gt;240,0.09*VLOOKUP(Исходн.данные.!AH347,Культуры.Информация,8,FALSE),VLOOKUP(Исходн.данные.!AH347,Культуры.Информация,6,FALSE)/100*($HB$6+$HC$6*Исходн.данные.!O347))))*Расчет2!AJ347</f>
        <v>#N/A</v>
      </c>
      <c r="HD347" s="55">
        <f>IF(Исходн.данные.!O347&gt;240,0.09,IF(Исходн.данные.!O347&lt;30,0.3,$HE$10+$HD$10*Исходн.данные.!O347))</f>
        <v>0.3</v>
      </c>
      <c r="HE347" s="55">
        <f>IF(Исходн.данные.!O347&gt;240,0.17,IF(Исходн.данные.!O347&lt;30,0.5,$HF$12+$HE$12*Исходн.данные.!O347))</f>
        <v>0.5</v>
      </c>
      <c r="HF347" s="55" t="e">
        <f>VLOOKUP(Исходн.данные.!AH347,Справ!$A$3:$D$58,2,FALSE)</f>
        <v>#N/A</v>
      </c>
      <c r="HG347" s="55" t="e">
        <f>VLOOKUP(Исходн.данные.!AH347,Справ!$A$3:$D$58,3,FALSE)</f>
        <v>#N/A</v>
      </c>
      <c r="HH347" s="55" t="e">
        <f>VLOOKUP(Исходн.данные.!AH347,Справ!$A$3:$D$58,4,FALSE)</f>
        <v>#N/A</v>
      </c>
      <c r="HI347" s="11" t="e">
        <f t="shared" si="413"/>
        <v>#N/A</v>
      </c>
      <c r="HJ347" s="11" t="e">
        <f t="shared" si="414"/>
        <v>#N/A</v>
      </c>
      <c r="HK347" s="11" t="e">
        <f t="shared" si="415"/>
        <v>#N/A</v>
      </c>
      <c r="HL347" s="55">
        <f>IF(OR(Исходн.данные.!G347="Глин",Исходн.данные.!G347="Т_суг"),1.1,IF(Исходн.данные.!G347="Ср_суг",1,1))</f>
        <v>1</v>
      </c>
      <c r="HM347" s="55">
        <f>IF(OR(Исходн.данные.!G347="Глин",Исходн.данные.!G347="Т_суг"),0.9,IF(Исходн.данные.!G347="Ср_суг",1,1.2))</f>
        <v>1.2</v>
      </c>
      <c r="HN347" s="11" t="e">
        <f t="shared" si="416"/>
        <v>#N/A</v>
      </c>
      <c r="HO347" s="11" t="e">
        <f t="shared" si="417"/>
        <v>#N/A</v>
      </c>
      <c r="HP347" s="11" t="e">
        <f t="shared" si="418"/>
        <v>#N/A</v>
      </c>
      <c r="HQ347" t="e">
        <f t="shared" si="419"/>
        <v>#N/A</v>
      </c>
      <c r="HR347" t="e">
        <f t="shared" si="420"/>
        <v>#N/A</v>
      </c>
      <c r="HS347" t="e">
        <f t="shared" si="421"/>
        <v>#N/A</v>
      </c>
      <c r="HT347" t="e">
        <f t="shared" si="441"/>
        <v>#N/A</v>
      </c>
      <c r="HU347" t="e">
        <f t="shared" si="442"/>
        <v>#N/A</v>
      </c>
      <c r="HV347" t="e">
        <f t="shared" si="443"/>
        <v>#N/A</v>
      </c>
      <c r="HW347" t="e">
        <f t="shared" si="444"/>
        <v>#N/A</v>
      </c>
      <c r="HX347" t="e">
        <f t="shared" si="445"/>
        <v>#N/A</v>
      </c>
      <c r="HY347" t="e">
        <f t="shared" si="446"/>
        <v>#N/A</v>
      </c>
      <c r="HZ347" s="55">
        <f>IF(OR(Исходн.данные.!AI347="Оз_Ч_П",Исходн.данные.!AI347="Оз_З_П",Исходн.данные.!AI347="Яр_зер"),12,30)</f>
        <v>30</v>
      </c>
      <c r="IA347" t="e">
        <f t="shared" si="422"/>
        <v>#N/A</v>
      </c>
      <c r="IB347" t="e">
        <f t="shared" si="423"/>
        <v>#N/A</v>
      </c>
      <c r="IC347" t="e">
        <f t="shared" si="424"/>
        <v>#N/A</v>
      </c>
      <c r="ID347" s="11" t="e">
        <f t="shared" si="425"/>
        <v>#N/A</v>
      </c>
      <c r="IE347" s="11" t="e">
        <f t="shared" si="426"/>
        <v>#N/A</v>
      </c>
      <c r="IF347" s="11" t="e">
        <f t="shared" si="427"/>
        <v>#N/A</v>
      </c>
    </row>
    <row r="348" spans="35:240" x14ac:dyDescent="0.2">
      <c r="AI348">
        <f>IF(Исходн.данные.!I348&gt;6,1,1.85-(0.148*Исходн.данные.!I348))</f>
        <v>1.85</v>
      </c>
      <c r="AJ348">
        <f>IF(Исходн.данные.!I348&gt;6,1,2.434-(0.246*Исходн.данные.!I348))</f>
        <v>2.4340000000000002</v>
      </c>
      <c r="AL348" s="148" t="b">
        <f>IF(Исходн.данные.!$P348="Ум",N_OrgUd_2g_um,IF(Исходн.данные.!$P348="Об",N_OrgUd_2g_ob))</f>
        <v>0</v>
      </c>
      <c r="AM348" s="148" t="b">
        <f>IF(Исходн.данные.!$P348="Ум",P_OrgUd_2g_um,IF(Исходн.данные.!$P348="Об",P_OrgUd_2g_ob))</f>
        <v>0</v>
      </c>
      <c r="AN348" s="148" t="b">
        <f>IF(Исходн.данные.!$P348="Ум",K_OrgUd_2g_um,IF(Исходн.данные.!$P348="Об",K_OrgUd_2g_ob))</f>
        <v>0</v>
      </c>
      <c r="AO348" s="148" t="b">
        <f>IF(Исходн.данные.!$P348="Ум",N_OrgUd_1g_um,IF(Исходн.данные.!$P348="Об",N_OrgUd_1g_ob))</f>
        <v>0</v>
      </c>
      <c r="AP348" s="148" t="b">
        <f>IF(Исходн.данные.!$P348="Ум",P_OrgUd_1g_um,IF(Исходн.данные.!$P348="Об",P_OrgUd_1g_ob))</f>
        <v>0</v>
      </c>
      <c r="AQ348" s="148" t="b">
        <f>IF(Исходн.данные.!$P348="Ум",K_OrgUd_1g_um,IF(Исходн.данные.!$P348="Об",K_OrgUd_1g_ob))</f>
        <v>0</v>
      </c>
      <c r="AR348" t="b">
        <f>IF(Исходн.данные.!$P348="Ум",N_MinUd_2g_um,IF(Исходн.данные.!$P348="Об",N_MinUd_2g_ob))</f>
        <v>0</v>
      </c>
      <c r="AS348" t="b">
        <f>IF(Исходн.данные.!$P348="Ум",P_MinUd_2g_um,IF(Исходн.данные.!$P348="Об",P_MinUd_2g_ob))</f>
        <v>0</v>
      </c>
      <c r="AT348" t="b">
        <f>IF(Исходн.данные.!$P348="Ум",K_MinUd_2g_um,IF(Исходн.данные.!$P348="Об",K_MinUd_2g_ob))</f>
        <v>0</v>
      </c>
      <c r="AU348" t="b">
        <f>IF(Исходн.данные.!$P348="Ум",N_MinUd_1g_um,IF(Исходн.данные.!$P348="Об",N_MinUd_1g_ob))</f>
        <v>0</v>
      </c>
      <c r="AV348" t="b">
        <f>IF(Исходн.данные.!P348="Ум",P_MinUd_1g_um,IF(Исходн.данные.!P348="Об",P_MinUd_1g_ob))</f>
        <v>0</v>
      </c>
      <c r="AW348" t="b">
        <f>IF(Исходн.данные.!P348="Ум",K_MinUd_1g_um,IF(Исходн.данные.!P348="Об",K_MinUd_1g_ob))</f>
        <v>0</v>
      </c>
      <c r="AY348" t="e">
        <f>VLOOKUP(Исходн.данные.!T348,Справ!$A$3:$N$57,12)</f>
        <v>#N/A</v>
      </c>
      <c r="AZ348" t="e">
        <f>VLOOKUP(Исходн.данные.!T348,Справ!$A$3:$N$57,13)</f>
        <v>#N/A</v>
      </c>
      <c r="BA348" t="e">
        <f>VLOOKUP(Исходн.данные.!T348,Справ!$A$3:$N$57,14)</f>
        <v>#N/A</v>
      </c>
      <c r="BB348">
        <f>IF(Исходн.данные.!AH348=0,0,25)</f>
        <v>0</v>
      </c>
      <c r="BC348" s="141">
        <f>IF(Исходн.данные.!AH348=0,0,IF(Исходн.данные.!T348=0,25,BD348))</f>
        <v>0</v>
      </c>
      <c r="BD348" s="168" t="e">
        <f>AY348+AZ348*Исходн.данные.!U348-POWER(BA348,2)*Исходн.данные.!U348</f>
        <v>#N/A</v>
      </c>
      <c r="BE348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8" s="25">
        <f>IF(Исходн.данные.!AH348=0,0,MIN(HN348:HP348))</f>
        <v>0</v>
      </c>
      <c r="BG348" s="9">
        <f>IF(Исходн.данные.!AH348=0,0,IF((HO348+10*0.25/HG348/HL348)&lt;17,17,HO348+10*0.25/HG348/HL348))</f>
        <v>0</v>
      </c>
      <c r="BH348" s="181">
        <f>IF(Исходн.данные.!AH348=0,0,HW348*HF348*HL348/AU348*AI348+Исходн.данные.!S348*10)</f>
        <v>0</v>
      </c>
      <c r="BI348" s="10"/>
      <c r="BJ348" s="182">
        <f>IF(Исходн.данные.!AH348=0,0,IF(HX348*HG348*HL348/AV348&lt;0,0,HX348*HG348*HL348/AV348*AJ348))</f>
        <v>0</v>
      </c>
      <c r="BK348" s="182">
        <f>IF(Исходн.данные.!AH348=0,0,HY348*HH348*HM348/AW348)</f>
        <v>0</v>
      </c>
      <c r="BL348" s="10">
        <f>IF(OR(Исходн.данные.!$AH348=$BP$1,Исходн.данные.!$AH348=$BP$2),0,IF(BH348&lt;0,0,IF(OR(Исходн.данные.!T348=Расчет!$BP$1,Исходн.данные.!T348=Расчет!$BP$2,Исходн.данные.!T348=Расчет!$BT$5,Исходн.данные.!T348=Расчет!$BT$6),BH348*0.5,IF(OR(Исходн.данные.!T348=Расчет!$BS$9,Исходн.данные.!T348=Расчет!$BS$10,Исходн.данные.!T348=Расчет!$BS$11,Исходн.данные.!T348=Расчет!$BS$12,Исходн.данные.!T348=Расчет!$BP$5),BH348*0.8,BH348))))</f>
        <v>0</v>
      </c>
      <c r="BM348" s="10">
        <f>IF(OR(Исходн.данные.!$AH348=$BP$1,Исходн.данные.!$AH348=$BP$2),0,IF(BJ348&lt;0,0,IF(Исходн.данные.!I348&lt;4.5,BJ348*1.2,IF(Исходн.данные.!I348&gt;5.1,BJ348,BJ348*((5.1-Исходн.данные.!I348)*0.333+1)))))</f>
        <v>0</v>
      </c>
      <c r="BN348" s="10">
        <f>IF(OR(Исходн.данные.!$AH348=$BP$1,Исходн.данные.!$AH348=$BP$2),60-Исходн.данные.!AF348,IF(BK348&lt;0,0,IF(Исходн.данные.!I348&lt;4.5,BK348*1.2,IF(Исходн.данные.!I348&gt;5.1,BK348,BK348*((5.1-Исходн.данные.!I348)*0.333+1)))))</f>
        <v>0</v>
      </c>
      <c r="BO348" s="9">
        <f>IF(BL348&lt;0,0,BL348*Исходн.данные.!$AJ348/1000)</f>
        <v>0</v>
      </c>
      <c r="BP348" s="9">
        <f>IF(BM348&lt;0,0,BM348*Исходн.данные.!$AJ348/1000)</f>
        <v>0</v>
      </c>
      <c r="BQ348" s="9">
        <f>IF(BN348&lt;0,0,BN348*Исходн.данные.!$AJ348/1000)</f>
        <v>0</v>
      </c>
      <c r="BR348" s="9">
        <f t="shared" si="377"/>
        <v>0</v>
      </c>
      <c r="BS348" s="10" t="str">
        <f t="shared" si="378"/>
        <v>Аммофос 12:52:00</v>
      </c>
      <c r="BT348" s="10" t="str">
        <f t="shared" si="379"/>
        <v>Аммофос 12:52:00</v>
      </c>
      <c r="BU348" s="10" t="str">
        <f t="shared" si="380"/>
        <v>Диаммофоска</v>
      </c>
      <c r="BV348" s="10">
        <f t="shared" si="381"/>
        <v>0</v>
      </c>
      <c r="BW348" s="10"/>
      <c r="BX348" s="10"/>
      <c r="BY348" s="9">
        <f>IF(BL348&lt;0,0,IF(OR(Исходн.данные.!AI348=Расчет!$BU$6,Исходн.данные.!AI348=Расчет!$BU$7),Расчет!BV348,IF(Исходн.данные.!$AG348=$BV$11,BL348,IF(OR(Исходн.данные.!$AH348=$BQ$7,Исходн.данные.!$AH348=$BQ$8),CB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0,IF(Исходн.данные.!$AI348=$BU$11,"Нет",IF(BL348&gt;30,30,BL348)))))))</f>
        <v>0</v>
      </c>
      <c r="BZ348" s="9">
        <f>IF(AND(Исходн.данные.!$AG348=$BV$11,BM348&lt;10),10,IF(Исходн.данные.!$AG348=$BV$11,BM348,IF(OR(Исходн.данные.!$AH348=$BQ$7,Исходн.данные.!$AH348=$BQ$8),CC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10,IF(Исходн.данные.!$AI348=$BU$11,"Нет",IF(BM348&gt;60,60,IF(BM348&lt;10,10,BM348)))))))</f>
        <v>10</v>
      </c>
      <c r="CA348" s="39">
        <f>IF(BN348&lt;0,0,IF(Исходн.данные.!$AG348=$BV$11,BN348,IF(OR(Исходн.данные.!$AH348=$BQ$7,Исходн.данные.!$AH348=$BQ$8),CD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0,IF(Исходн.данные.!$AI348=$BU$11,"Нет",IF(BN348&gt;30,30,BN348))))))</f>
        <v>0</v>
      </c>
      <c r="CB348" s="9">
        <f t="shared" si="382"/>
        <v>0</v>
      </c>
      <c r="CC348" s="9">
        <f t="shared" si="383"/>
        <v>0</v>
      </c>
      <c r="CD348" s="9">
        <f t="shared" si="384"/>
        <v>0</v>
      </c>
      <c r="CE348" s="12">
        <f t="shared" si="385"/>
        <v>10</v>
      </c>
      <c r="CF348" s="9">
        <f t="shared" si="386"/>
        <v>0</v>
      </c>
      <c r="CG348" s="9" t="s">
        <v>231</v>
      </c>
      <c r="CH348" s="132" t="str">
        <f>IF(Исходн.данные.!AP348=Расчет!$CI$16,"Нет",IF(Исходн.данные.!AL348&gt;0,Исходн.данные.!AL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BH$4,IF(OR(Исходн.данные.!AI348=Исходн.данные.!$AI$6,Исходн.данные.!AI348=Исходн.данные.!$AI$7),Расчет!BS348,IF(AND($CF348=0,$CE348&gt;0),EV348,ER348)))))</f>
        <v>Аммофос 12:52:00</v>
      </c>
      <c r="CI348" s="274">
        <f>IF(Расчет!$CH348="Нет","Нет",IF(Исходн.данные.!$AL348&gt;0,VLOOKUP(Расчет!$CH348,АшламаДВ_Irekle,2,FALSE),VLOOKUP(Расчет!$CH348,АшламаДВ_Gomumy,2,FALSE)))</f>
        <v>0.12</v>
      </c>
      <c r="CJ348" s="274">
        <f>IF(Расчет!$CH348="Нет","Нет",IF(Исходн.данные.!$AL348&gt;0,VLOOKUP(Расчет!$CH348,АшламаДВ_Irekle,3,FALSE),VLOOKUP(Расчет!$CH348,АшламаДВ_Gomumy,3,FALSE)))</f>
        <v>0.52</v>
      </c>
      <c r="CK348" s="274">
        <f>IF(Расчет!$CH348="Нет","Нет",IF(Исходн.данные.!$AL348&gt;0,VLOOKUP(Расчет!$CH348,АшламаДВ_Irekle,4,FALSE),VLOOKUP(Расчет!$CH348,АшламаДВ_Gomumy,4,FALSE)))</f>
        <v>0</v>
      </c>
      <c r="CL348" s="70"/>
      <c r="CM348" s="70"/>
      <c r="CN348" s="70"/>
      <c r="CO348" s="70"/>
      <c r="CP348" s="70"/>
      <c r="CQ348" s="70"/>
      <c r="CR348" s="10">
        <f t="shared" si="387"/>
        <v>0</v>
      </c>
      <c r="CS348" s="10">
        <f t="shared" si="388"/>
        <v>19.23076923076923</v>
      </c>
      <c r="CT348" s="10">
        <f t="shared" si="389"/>
        <v>0</v>
      </c>
      <c r="CU348" s="39">
        <f>IF($CH348="Нет",0,IF(CI348=0,30/MIN(CJ348:CK348),IF(Исходн.данные.!$AG348=$BV$11,CR348,IF(OR(Исходн.данные.!$AH348=$BQ$7,Исходн.данные.!$AH348=$BQ$8),90/CI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0,IF(Исходн.данные.!$AI348=$BU$11,"Нет",30/CI348))))))</f>
        <v>250</v>
      </c>
      <c r="CV348" s="39">
        <f>IF($CH348="Нет",0,IF(Исходн.данные.!AH348=0,0,IF(CJ348=0,60/MIN(CI348,CK348),IF(Исходн.данные.!$AG348=$BV$11,CS348,IF(OR(Исходн.данные.!$AH348=$BQ$7,Исходн.данные.!$AH348=$BQ$8),90/CJ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10/CJ348,IF(Исходн.данные.!$AI348=$BU$11,"Нет",60/CJ348)))))))</f>
        <v>0</v>
      </c>
      <c r="CW348" s="39">
        <f>IF($CH348="Нет",0,IF(Исходн.данные.!AH348=0,0,IF(CK348=0,30/MIN(CI348:CJ348),IF(Исходн.данные.!$AG348=$BV$11,CT348,IF(OR(Исходн.данные.!$AH348=$BQ$7,Исходн.данные.!$AH348=$BQ$8),90/CK348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0,IF(Исходн.данные.!$AI348=$BU$11,"Нет",30/CK348)))))))</f>
        <v>0</v>
      </c>
      <c r="CX348" s="133">
        <f>IF(Исходн.данные.!$AG348=$BV$11,MAX(CU348:CW348),IF(OR(Исходн.данные.!$AH348=$BS$8,Исходн.данные.!$AH348=$BQ$9,Исходн.данные.!$AH348=$BQ$10,Исходн.данные.!$AH348=$BQ$11,Исходн.данные.!$AH348=$BQ$12,Исходн.данные.!$AH348=$BP$3,Исходн.данные.!$AH348=$BT$8,$FM348="Да"),CV348,MIN(CU348:CW348)))</f>
        <v>0</v>
      </c>
      <c r="CY348" s="133">
        <f>IF(Исходн.данные.!AH348=0,0,IF(CR348&gt;$CX348,$CX348,CR348))</f>
        <v>0</v>
      </c>
      <c r="CZ348" s="133">
        <f>IF(Исходн.данные.!AH348=0,0,IF(CS348&gt;$CX348,$CX348,CS348))</f>
        <v>0</v>
      </c>
      <c r="DA348" s="133">
        <f>IF(Исходн.данные.!AH348=0,0,IF(CT348&gt;$CX348,$CX348,CT348))</f>
        <v>0</v>
      </c>
      <c r="DB348" s="10">
        <f t="shared" si="390"/>
        <v>0</v>
      </c>
      <c r="DC348" s="39">
        <f>DB348*Исходн.данные.!AJ348/1000</f>
        <v>0</v>
      </c>
      <c r="DD348" s="71">
        <f t="shared" si="391"/>
        <v>0</v>
      </c>
      <c r="DE348" s="9">
        <f t="shared" si="392"/>
        <v>0</v>
      </c>
      <c r="DF348" s="9">
        <f t="shared" si="393"/>
        <v>0</v>
      </c>
      <c r="DG348" s="39">
        <f>IF(BL348&lt;0,0,IF($CH348="Нет",BL348,IF(OR(Исходн.данные.!$AH348=$BP$1,Исходн.данные.!$AH348=$BP$2),0,IF(Исходн.данные.!AI348=$BU$11,BL348,IF(BL348-DD348&lt;0,0,BL348-DD348)))))</f>
        <v>0</v>
      </c>
      <c r="DH348" s="39">
        <f>IF(BM348&lt;0,0,IF($CH348="Нет",BM348,IF(OR(Исходн.данные.!$AH348=$BP$1,Исходн.данные.!$AH348=$BP$2),0,IF(Исходн.данные.!AJ348=$BU$11,BM348,IF(BM348-DE348&lt;0,0,BM348-DE348)))))</f>
        <v>0</v>
      </c>
      <c r="DI348" s="39">
        <f>IF(BN348&lt;0,0,IF($CH348="Нет",BN348,IF(OR(Исходн.данные.!$AH348=$BP$1,Исходн.данные.!$AH348=$BP$2),0,IF(Исходн.данные.!AK348=$BU$11,BN348,IF(BN348-DF348&lt;0,0,BN348-DF348)))))</f>
        <v>0</v>
      </c>
      <c r="DJ348" s="12">
        <f t="shared" si="394"/>
        <v>0</v>
      </c>
      <c r="DK348" s="9">
        <f t="shared" si="395"/>
        <v>0</v>
      </c>
      <c r="DL348" s="39">
        <f>IF(Исходн.данные.!AM348&gt;0,Исходн.данные.!AM348,IF(EG348&gt;0,$BH$10,0))</f>
        <v>0</v>
      </c>
      <c r="DM348" s="186">
        <f>IF($DL348=0,0,IF(Исходн.данные.!AM348&gt;0,VLOOKUP($DL348,АшламаДВ_Irekle,2,FALSE),VLOOKUP($DL348,АшламаДВ_Gomumy,2,FALSE)))</f>
        <v>0</v>
      </c>
      <c r="DN348" s="10">
        <f t="shared" si="447"/>
        <v>0</v>
      </c>
      <c r="DO348" s="9" t="str">
        <f>IF(Исходн.данные.!AN348&gt;0,Исходн.данные.!AN348,Удобрения!$B$37 )</f>
        <v>Хлор.калий</v>
      </c>
      <c r="DP348" s="9">
        <f>IF(Исходн.данные.!AN348&gt;0,VLOOKUP(Исходн.данные.!AN348,АшламаДВ_Irekle,4,FALSE),VLOOKUP(DO348,АшламаДВ_Gomumy,4,FALSE))</f>
        <v>0.6</v>
      </c>
      <c r="DQ348" s="10">
        <f t="shared" si="448"/>
        <v>0</v>
      </c>
      <c r="DR348" s="132" t="str">
        <f>IF(Исходн.данные.!AO348&gt;0,Исходн.данные.!AO348,IF(DH348=0,BS$17,IF(AND($DK348=0,$DJ348&gt;0),EJ348,EN348)))</f>
        <v>Нет</v>
      </c>
      <c r="DS348" s="70" t="str">
        <f>IF($DR348="Нет","Нет",IF(Исходн.данные.!$AO348&gt;0,VLOOKUP($DR348,АшламаДВ_Irekle,2,FALSE),VLOOKUP($DR348,АшламаДВ_Gomumy,2,FALSE)))</f>
        <v>Нет</v>
      </c>
      <c r="DT348" s="70" t="str">
        <f>IF($DR348="Нет","Нет",IF(Исходн.данные.!$AO348&gt;0,VLOOKUP($DR348,АшламаДВ_Irekle,3,FALSE),VLOOKUP($DR348,АшламаДВ_Gomumy,3,FALSE)))</f>
        <v>Нет</v>
      </c>
      <c r="DU348" s="70" t="str">
        <f>IF($DR348="Нет","Нет",IF(Исходн.данные.!$AO348&gt;0,VLOOKUP($DR348,АшламаДВ_Irekle,4,FALSE),VLOOKUP($DR348,АшламаДВ_Gomumy,4,FALSE)))</f>
        <v>Нет</v>
      </c>
      <c r="DV348" s="70"/>
      <c r="DW348" s="70"/>
      <c r="DX348" s="70"/>
      <c r="DY348" s="10">
        <f t="shared" si="396"/>
        <v>0</v>
      </c>
      <c r="DZ348" s="10">
        <f t="shared" si="397"/>
        <v>0</v>
      </c>
      <c r="EA348" s="10">
        <f t="shared" si="398"/>
        <v>0</v>
      </c>
      <c r="EB348" s="10">
        <f t="shared" si="399"/>
        <v>0</v>
      </c>
      <c r="EC348" s="10">
        <f t="shared" si="400"/>
        <v>0</v>
      </c>
      <c r="ED348" s="10">
        <f t="shared" si="401"/>
        <v>0</v>
      </c>
      <c r="EE348" s="10">
        <f t="shared" si="402"/>
        <v>0</v>
      </c>
      <c r="EF348" s="39">
        <f>EB348*Исходн.данные.!AJ348/1000</f>
        <v>0</v>
      </c>
      <c r="EG348" s="9">
        <f t="shared" si="403"/>
        <v>0</v>
      </c>
      <c r="EH348" s="9">
        <f t="shared" si="404"/>
        <v>0</v>
      </c>
      <c r="EI348" s="39" t="e">
        <f t="shared" si="428"/>
        <v>#DIV/0!</v>
      </c>
      <c r="EJ348" s="9" t="str">
        <f t="shared" si="449"/>
        <v>Азопреципитат</v>
      </c>
      <c r="EK348" s="12">
        <f t="shared" si="429"/>
        <v>0.26</v>
      </c>
      <c r="EL348" s="12">
        <f t="shared" si="430"/>
        <v>0.13</v>
      </c>
      <c r="EM348" s="12">
        <f t="shared" si="431"/>
        <v>0</v>
      </c>
      <c r="EN348" s="12" t="str">
        <f t="shared" si="450"/>
        <v>Нет</v>
      </c>
      <c r="EO348" s="12">
        <f t="shared" si="432"/>
        <v>0</v>
      </c>
      <c r="EP348" s="12">
        <f t="shared" si="433"/>
        <v>0</v>
      </c>
      <c r="EQ348" s="12">
        <f t="shared" si="434"/>
        <v>0</v>
      </c>
      <c r="ER348" s="12" t="str">
        <f t="shared" si="405"/>
        <v>Диаммофоска</v>
      </c>
      <c r="ES348" s="12">
        <f t="shared" si="435"/>
        <v>0.1</v>
      </c>
      <c r="ET348" s="12">
        <f t="shared" si="436"/>
        <v>0.26</v>
      </c>
      <c r="EU348" s="12">
        <f t="shared" si="437"/>
        <v>0.26</v>
      </c>
      <c r="EV348" s="12" t="str">
        <f t="shared" si="406"/>
        <v>Аммофос 12:52:00</v>
      </c>
      <c r="EW348" s="12" t="str">
        <f t="shared" si="407"/>
        <v>Кемира Свекловичное-6</v>
      </c>
      <c r="EX348" s="12">
        <f t="shared" si="438"/>
        <v>0.16</v>
      </c>
      <c r="EY348" s="12">
        <f t="shared" si="439"/>
        <v>0.12</v>
      </c>
      <c r="EZ348" s="12">
        <f t="shared" si="440"/>
        <v>0.17</v>
      </c>
      <c r="FA348" s="38" t="e">
        <f>IF(AND(OR(FJ348=$FD$1,FM348=$FD$1,FO348=$FD$1,FQ348=$FD$1,FS348=$FD$1),FD348=$FD$1,Исходн.данные.!J348&lt;2,FU348=$FD$1),"Бор,Кобальт",IF(AND(FO348=$FD$1,FH348=$FD$1,Исходн.данные.!J348&lt;2,FU348=$FD$1),"Бор,Кобальт",IF(AND(OR(FJ348=$FD$1,FM348=$FD$1,FQ348=$FD$1),FE348=$FD$1,Исходн.данные.!J348&lt;2,FT348=$FD$1,FU348=$FD$1),"Бор,Медь,Цинк",IF(AND(OR(FJ348=$FD$1,FR348="Да"),FI348="Да",Исходн.данные.!J348&lt;2,FT348="Да",FU348="Да"),"Бор,Цинк,Медь",IF(AND(OR(FM348="Да",FQ348="Да"),FI348="Да",Исходн.данные.!J348&lt;2,FT348="Да",FU348="Да"),"Бор,Цинк",IF(AND(FN348="Да",OR(FD348="Да",FE348="Да")),"Бор",FB348))))))</f>
        <v>#N/A</v>
      </c>
      <c r="FB348" s="134" t="e">
        <f>IF(AND(OR(FD348="Да",FE348="Да",FF348="Да",FG348="Да",FH348="Да"),FO348="Да"),"Бор",IF(AND(FP348="Да",OR(FD348="Да",FE348="Да",FI348="Да")),"Бор",IF(AND(FS348="Да",FE348="Да"),"Бор,Медь",IF(AND(OR(FJ348="Да",FK348="Да",FL348="Да"),FE348="Да",Исходн.данные.!I348&lt;5,FT348="Да",FU348="Да"),"Молибден,Цинк",IF(AND(FM348="Да",OR(FE348="Да",FF348="Да",FG348="Да",FH348="Да",FI348="Да")),"Молибден,Цинк",IF(AND(OR(FJ348="Да",FK348="Да",FL348="Да",FM348="Да",FQ348="Да"),OR(FE348="Да",FF348="Да"),FT348="Да",FU348="Да",Исходн.данные.!I348&gt;5.5),"Медь,Цинк",FC348))))))</f>
        <v>#N/A</v>
      </c>
      <c r="FC348" s="23" t="e">
        <f t="shared" si="408"/>
        <v>#N/A</v>
      </c>
      <c r="FD348" s="38" t="str">
        <f>IF(OR(Исходн.данные.!F348=$CC$1,Исходн.данные.!F348=$CC$2,Исходн.данные.!F348=$CC$3,Исходн.данные.!F348=$CC$4),"Да","Нет")</f>
        <v>Нет</v>
      </c>
      <c r="FE348" s="38" t="str">
        <f>IF(Исходн.данные.!F348=$CC$5,"Да","Нет")</f>
        <v>Нет</v>
      </c>
      <c r="FF348" s="38" t="str">
        <f>IF(OR(Исходн.данные.!F348=$CC$6,Исходн.данные.!F348=$CC$7),"Да","Нет")</f>
        <v>Нет</v>
      </c>
      <c r="FG348" s="38" t="str">
        <f>IF(OR(Исходн.данные.!F348=$CC$8,Исходн.данные.!F348=$CC$9),"Да","Нет")</f>
        <v>Нет</v>
      </c>
      <c r="FH348" s="38" t="str">
        <f>IF(Исходн.данные.!F348=$CC$10,"Да","Нет")</f>
        <v>Нет</v>
      </c>
      <c r="FI348" s="38" t="str">
        <f>IF(OR(Исходн.данные.!F348=$CC$11,Исходн.данные.!F348=$CC$12),"Да","Нет")</f>
        <v>Нет</v>
      </c>
      <c r="FJ348" s="38" t="str">
        <f>IF(OR(Исходн.данные.!AH348=$BS$1,Исходн.данные.!AH348=$BQ$11,Исходн.данные.!AH348=$BQ$12),"Да","Нет")</f>
        <v>Нет</v>
      </c>
      <c r="FK348" s="38" t="str">
        <f>IF(OR(Исходн.данные.!AH348=$BS$2,Исходн.данные.!AH348=$BS$4),"Да","Нет")</f>
        <v>Нет</v>
      </c>
      <c r="FL348" s="38" t="str">
        <f>IF(OR(Исходн.данные.!AH348=$BS$3,Исходн.данные.!AH348=$BS$5),"Да","Нет")</f>
        <v>Нет</v>
      </c>
      <c r="FM348" s="38" t="str">
        <f>IF(OR(Исходн.данные.!AH348=$BS$9,Исходн.данные.!AH348=$BS$10,Исходн.данные.!AH348=$BS$11,Исходн.данные.!AH348=$BS$12),"Да","Нет")</f>
        <v>Нет</v>
      </c>
      <c r="FN348" s="38" t="str">
        <f>IF(OR(Исходн.данные.!AH348=$BS$6,Исходн.данные.!AH348=$BP$3),"Да","Нет")</f>
        <v>Нет</v>
      </c>
      <c r="FO348" s="38" t="str">
        <f>IF(Исходн.данные.!AH348=$BQ$9,"Да","Нет")</f>
        <v>Нет</v>
      </c>
      <c r="FP348" s="38" t="str">
        <f>IF(OR(Исходн.данные.!AH348=$BS$8,Исходн.данные.!AH348=$BT$8),"Да","Нет")</f>
        <v>Нет</v>
      </c>
      <c r="FQ348" s="38" t="str">
        <f>IF(OR(Исходн.данные.!AH348=$BQ$7,Исходн.данные.!AH348=$BQ$8),"Да","Нет")</f>
        <v>Нет</v>
      </c>
      <c r="FR348" s="38" t="str">
        <f>IF(Исходн.данные.!AI348=$BU$9,"Да","Нет")</f>
        <v>Нет</v>
      </c>
      <c r="FS348" s="38" t="str">
        <f>IF(OR(Исходн.данные.!AH348=$BP$1,Исходн.данные.!AH348=$BP$2),"Да","Нет")</f>
        <v>Нет</v>
      </c>
      <c r="FT348" s="38" t="e">
        <f>IF((Исходн.данные.!K348*GO348*GS348*GW348+BL348*0.6+Исходн.данные.!Q348*4.5*0.275)&gt;90,"Да","Нет")</f>
        <v>#N/A</v>
      </c>
      <c r="FU348" s="38" t="e">
        <f>IF((Исходн.данные.!M348*GS348*GZ348+BM348*0.225)&gt;35,"Да","Нет")</f>
        <v>#N/A</v>
      </c>
      <c r="FV348" s="38" t="str">
        <f>IF(Исходн.данные.!O348&gt;175,"Да","Нет")</f>
        <v>Нет</v>
      </c>
      <c r="FW348" s="39" t="str">
        <f>IF(Исходн.данные.!I348&gt;5.5,"Да","Нет")</f>
        <v>Нет</v>
      </c>
      <c r="FX348" s="39" t="str">
        <f>IF(Исходн.данные.!J348&lt;2,"Да","Нет")</f>
        <v>Да</v>
      </c>
      <c r="FY348" s="39" t="e">
        <f>IF(HF348=$FY$16,0,Исходн.данные.!K348*GO348*GS348*GW348/HF348)</f>
        <v>#N/A</v>
      </c>
      <c r="FZ348" s="39" t="e">
        <f>Исходн.данные.!M348*GS348*GZ348/HG348</f>
        <v>#N/A</v>
      </c>
      <c r="GA348" s="39" t="e">
        <f>IF(K_Wyn=$FY$16,0,IF(Исходн.данные.!N348=Исходн.данные.!$L$10,Исходн.данные.!O348/1.1*GS348*HC348/HH348,IF(Исходн.данные.!N348=Исходн.данные.!$L$12,Исходн.данные.!O348/1.5*GS348*HC348/HH348,Исходн.данные.!O348*GS348*HC348/HH348)))</f>
        <v>#N/A</v>
      </c>
      <c r="GB348" s="39" t="e">
        <f>IF(HF348=$FY$16,0,((Исходн.данные.!Q348*N_Org+Исходн.данные.!R348*N_Sider+Исходн.данные.!S348*N_Soloma)*AO348+Расчет!BC348*VLOOKUP(Исходн.данные.!T348,Справ!$A$3:$O$57,15)*AO348+BB348*VLOOKUP(Исходн.данные.!T348,Справ!$A$3:$O$57,15)*AL348+(Исходн.данные.!V348*N_Rizotorf+Исходн.данные.!W348*N_Rizoagr))/HF348)</f>
        <v>#N/A</v>
      </c>
      <c r="GC348" s="39" t="e">
        <f>IF(HG348=$FY$16,0,((Исходн.данные.!Q348*Р_Org+Исходн.данные.!R348*P_Sider+Исходн.данные.!S348*P_Soloma)*AP348+Расчет!BC348*VLOOKUP(Исходн.данные.!T348,Справ!$A$3:$P$57,16)*AP348+BB348*VLOOKUP(Исходн.данные.!T348,Справ!$A$3:$P$57,16)*AM348)/HG348)</f>
        <v>#N/A</v>
      </c>
      <c r="GD348" s="39" t="e">
        <f>IF(HH348=$FY$16,0,((Исходн.данные.!Q348*К_Org+Исходн.данные.!R348*K_Sider+Исходн.данные.!S348*K_Soloma)*AQ348+Расчет!BC348*VLOOKUP(Исходн.данные.!T348,Справ!$A$3:$Q$57,17)*AQ348+BB348*VLOOKUP(Исходн.данные.!T348,Справ!$A$3:$Q$57,17)*AN348)/HH348)</f>
        <v>#N/A</v>
      </c>
      <c r="GE348" s="39" t="e">
        <f>IF(HF348=$FY$16,0,(Исходн.данные.!X348*AR348+Исходн.данные.!AA348*N_Org*AL348+Исходн.данные.!AB348*N_Sider*AL348+Исходн.данные.!AC348*N_Soloma*AL348)/HF348)</f>
        <v>#N/A</v>
      </c>
      <c r="GF348" s="39" t="e">
        <f>IF(HG348=$FY$16,0,(Исходн.данные.!Y348*AS348+Исходн.данные.!AA348*Р_Org*AM348+Исходн.данные.!AB348*P_Sider*AM348+Исходн.данные.!AC348*P_Soloma*AM348)/HG348)</f>
        <v>#N/A</v>
      </c>
      <c r="GG348" s="39" t="e">
        <f>IF(HH348=$FY$16,0,(Исходн.данные.!Z348*AT348+Исходн.данные.!AA348*К_Org*AN348+Исходн.данные.!AB348*K_Sider*AN348+Исходн.данные.!AC348*K_Soloma*AN348)/HH348)</f>
        <v>#N/A</v>
      </c>
      <c r="GH348" s="39" t="e">
        <f>Исходн.данные.!AD348*AU348/HF348</f>
        <v>#N/A</v>
      </c>
      <c r="GI348" s="39" t="e">
        <f>Исходн.данные.!AE348*AV348/HG348</f>
        <v>#N/A</v>
      </c>
      <c r="GJ348" s="39" t="e">
        <f>Исходн.данные.!AF348*AW348/HH348</f>
        <v>#N/A</v>
      </c>
      <c r="GK348" s="55">
        <f>Исходн.данные.!AK348</f>
        <v>0</v>
      </c>
      <c r="GL348" s="11" t="e">
        <f t="shared" si="409"/>
        <v>#N/A</v>
      </c>
      <c r="GM348" s="11" t="e">
        <f t="shared" si="410"/>
        <v>#N/A</v>
      </c>
      <c r="GN348" s="11" t="e">
        <f t="shared" si="411"/>
        <v>#N/A</v>
      </c>
      <c r="GO348" s="57">
        <f t="shared" si="412"/>
        <v>19</v>
      </c>
      <c r="GP348" s="55">
        <f>IF(OR(Исходн.данные.!F348=$CE$1,Исходн.данные.!F348=$CE$2,Исходн.данные.!F348=$CE$3,Исходн.данные.!F348=$CE$4,Исходн.данные.!F348=$CE$5),GQ348,GR348)</f>
        <v>19</v>
      </c>
      <c r="GQ348" s="55">
        <f>IF(Исходн.данные.!F348=$CE$1,28,IF(Исходн.данные.!F348=$CE$2,26,IF(Исходн.данные.!F348=$CE$3,24,IF(Исходн.данные.!F348=$CE$4,22,IF(Исходн.данные.!F348=$CE$5,20,GR348)))))</f>
        <v>19</v>
      </c>
      <c r="GR348" s="55">
        <f>IF(Исходн.данные.!F348=$CE$6,18,IF(Исходн.данные.!F348=$CE$7,16,IF(Исходн.данные.!F348=$CE$8,14,IF(Исходн.данные.!F348=$CE$9,13,IF(Исходн.данные.!F348=$CE$10,12,19)))))</f>
        <v>19</v>
      </c>
      <c r="GS348" s="55">
        <f>IF(Исходн.данные.!G348="Пес",0.035*(40+2*Исходн.данные.!H348),IF(Исходн.данные.!G348="Суп",0.0325*(40+2*Исходн.данные.!H348),0.03*(40+2*Исходн.данные.!H348)))</f>
        <v>1.2</v>
      </c>
      <c r="GT348" s="55">
        <f>IF(Исходн.данные.!H348&lt;23,2.6,IF(AND(Исходн.данные.!H348&gt;22,Исходн.данные.!H348&lt;26),3,IF(AND(Исходн.данные.!H348&gt;25,Исходн.данные.!H348&lt;29),3.4,3.6)))</f>
        <v>2.6</v>
      </c>
      <c r="GU348" s="55">
        <f>IF(Исходн.данные.!H348&lt;23,2.8,IF(AND(Исходн.данные.!H348&gt;22,Исходн.данные.!H348&lt;26),3.2,IF(AND(Исходн.данные.!H348&gt;25,Исходн.данные.!H348&lt;29),3.6,3.9)))</f>
        <v>2.8</v>
      </c>
      <c r="GV348" s="55">
        <f>IF(Исходн.данные.!H348&lt;23,3,IF(AND(Исходн.данные.!H348&gt;22,Исходн.данные.!H348&lt;26),3.5,IF(AND(Исходн.данные.!H348&gt;25,Исходн.данные.!H348&lt;29),3.9,4.2)))</f>
        <v>3</v>
      </c>
      <c r="GW348" s="55" t="e">
        <f>IF(Исходн.данные.!P348="Ум",GX348,GY348)</f>
        <v>#N/A</v>
      </c>
      <c r="GX348" s="55" t="e">
        <f>VLOOKUP(Исходн.данные.!AI348,Коэффициенты!$J$7:$L$13,2,FALSE)</f>
        <v>#N/A</v>
      </c>
      <c r="GY348" s="55" t="e">
        <f>VLOOKUP(Исходн.данные.!AI348,Коэффициенты!$J$7:$L$13,3,FALSE)</f>
        <v>#N/A</v>
      </c>
      <c r="GZ348" s="55" t="e">
        <f>(IF(Исходн.данные.!M348&lt;50,0.11*VLOOKUP(Исходн.данные.!AH348,Культуры.Информация,7,FALSE),IF(Исходн.данные.!M348&gt;250,0.05*VLOOKUP(Исходн.данные.!AH348,Культуры.Информация,7,FALSE),VLOOKUP(Исходн.данные.!AH348,Культуры.Информация,5,FALSE)/100*($GX$6+$GY$6*Исходн.данные.!M348))))*Расчет2!AI348</f>
        <v>#N/A</v>
      </c>
      <c r="HA348" s="211"/>
      <c r="HB348" s="211"/>
      <c r="HC348" s="55" t="e">
        <f>(IF(Исходн.данные.!O348&lt;80,0.2*VLOOKUP(Исходн.данные.!AH348,Культуры.Информация,8,FALSE),IF(Исходн.данные.!O348&gt;240,0.09*VLOOKUP(Исходн.данные.!AH348,Культуры.Информация,8,FALSE),VLOOKUP(Исходн.данные.!AH348,Культуры.Информация,6,FALSE)/100*($HB$6+$HC$6*Исходн.данные.!O348))))*Расчет2!AJ348</f>
        <v>#N/A</v>
      </c>
      <c r="HD348" s="55">
        <f>IF(Исходн.данные.!O348&gt;240,0.09,IF(Исходн.данные.!O348&lt;30,0.3,$HE$10+$HD$10*Исходн.данные.!O348))</f>
        <v>0.3</v>
      </c>
      <c r="HE348" s="55">
        <f>IF(Исходн.данные.!O348&gt;240,0.17,IF(Исходн.данные.!O348&lt;30,0.5,$HF$12+$HE$12*Исходн.данные.!O348))</f>
        <v>0.5</v>
      </c>
      <c r="HF348" s="55" t="e">
        <f>VLOOKUP(Исходн.данные.!AH348,Справ!$A$3:$D$58,2,FALSE)</f>
        <v>#N/A</v>
      </c>
      <c r="HG348" s="55" t="e">
        <f>VLOOKUP(Исходн.данные.!AH348,Справ!$A$3:$D$58,3,FALSE)</f>
        <v>#N/A</v>
      </c>
      <c r="HH348" s="55" t="e">
        <f>VLOOKUP(Исходн.данные.!AH348,Справ!$A$3:$D$58,4,FALSE)</f>
        <v>#N/A</v>
      </c>
      <c r="HI348" s="11" t="e">
        <f t="shared" si="413"/>
        <v>#N/A</v>
      </c>
      <c r="HJ348" s="11" t="e">
        <f t="shared" si="414"/>
        <v>#N/A</v>
      </c>
      <c r="HK348" s="11" t="e">
        <f t="shared" si="415"/>
        <v>#N/A</v>
      </c>
      <c r="HL348" s="55">
        <f>IF(OR(Исходн.данные.!G348="Глин",Исходн.данные.!G348="Т_суг"),1.1,IF(Исходн.данные.!G348="Ср_суг",1,1))</f>
        <v>1</v>
      </c>
      <c r="HM348" s="55">
        <f>IF(OR(Исходн.данные.!G348="Глин",Исходн.данные.!G348="Т_суг"),0.9,IF(Исходн.данные.!G348="Ср_суг",1,1.2))</f>
        <v>1.2</v>
      </c>
      <c r="HN348" s="11" t="e">
        <f t="shared" si="416"/>
        <v>#N/A</v>
      </c>
      <c r="HO348" s="11" t="e">
        <f t="shared" si="417"/>
        <v>#N/A</v>
      </c>
      <c r="HP348" s="11" t="e">
        <f t="shared" si="418"/>
        <v>#N/A</v>
      </c>
      <c r="HQ348" t="e">
        <f t="shared" si="419"/>
        <v>#N/A</v>
      </c>
      <c r="HR348" t="e">
        <f t="shared" si="420"/>
        <v>#N/A</v>
      </c>
      <c r="HS348" t="e">
        <f t="shared" si="421"/>
        <v>#N/A</v>
      </c>
      <c r="HT348" t="e">
        <f t="shared" si="441"/>
        <v>#N/A</v>
      </c>
      <c r="HU348" t="e">
        <f t="shared" si="442"/>
        <v>#N/A</v>
      </c>
      <c r="HV348" t="e">
        <f t="shared" si="443"/>
        <v>#N/A</v>
      </c>
      <c r="HW348" t="e">
        <f t="shared" si="444"/>
        <v>#N/A</v>
      </c>
      <c r="HX348" t="e">
        <f t="shared" si="445"/>
        <v>#N/A</v>
      </c>
      <c r="HY348" t="e">
        <f t="shared" si="446"/>
        <v>#N/A</v>
      </c>
      <c r="HZ348" s="55">
        <f>IF(OR(Исходн.данные.!AI348="Оз_Ч_П",Исходн.данные.!AI348="Оз_З_П",Исходн.данные.!AI348="Яр_зер"),12,30)</f>
        <v>30</v>
      </c>
      <c r="IA348" t="e">
        <f t="shared" si="422"/>
        <v>#N/A</v>
      </c>
      <c r="IB348" t="e">
        <f t="shared" si="423"/>
        <v>#N/A</v>
      </c>
      <c r="IC348" t="e">
        <f t="shared" si="424"/>
        <v>#N/A</v>
      </c>
      <c r="ID348" s="11" t="e">
        <f t="shared" si="425"/>
        <v>#N/A</v>
      </c>
      <c r="IE348" s="11" t="e">
        <f t="shared" si="426"/>
        <v>#N/A</v>
      </c>
      <c r="IF348" s="11" t="e">
        <f t="shared" si="427"/>
        <v>#N/A</v>
      </c>
    </row>
    <row r="349" spans="35:240" x14ac:dyDescent="0.2">
      <c r="AI349">
        <f>IF(Исходн.данные.!I349&gt;6,1,1.85-(0.148*Исходн.данные.!I349))</f>
        <v>1.85</v>
      </c>
      <c r="AJ349">
        <f>IF(Исходн.данные.!I349&gt;6,1,2.434-(0.246*Исходн.данные.!I349))</f>
        <v>2.4340000000000002</v>
      </c>
      <c r="AL349" s="148" t="b">
        <f>IF(Исходн.данные.!$P349="Ум",N_OrgUd_2g_um,IF(Исходн.данные.!$P349="Об",N_OrgUd_2g_ob))</f>
        <v>0</v>
      </c>
      <c r="AM349" s="148" t="b">
        <f>IF(Исходн.данные.!$P349="Ум",P_OrgUd_2g_um,IF(Исходн.данные.!$P349="Об",P_OrgUd_2g_ob))</f>
        <v>0</v>
      </c>
      <c r="AN349" s="148" t="b">
        <f>IF(Исходн.данные.!$P349="Ум",K_OrgUd_2g_um,IF(Исходн.данные.!$P349="Об",K_OrgUd_2g_ob))</f>
        <v>0</v>
      </c>
      <c r="AO349" s="148" t="b">
        <f>IF(Исходн.данные.!$P349="Ум",N_OrgUd_1g_um,IF(Исходн.данные.!$P349="Об",N_OrgUd_1g_ob))</f>
        <v>0</v>
      </c>
      <c r="AP349" s="148" t="b">
        <f>IF(Исходн.данные.!$P349="Ум",P_OrgUd_1g_um,IF(Исходн.данные.!$P349="Об",P_OrgUd_1g_ob))</f>
        <v>0</v>
      </c>
      <c r="AQ349" s="148" t="b">
        <f>IF(Исходн.данные.!$P349="Ум",K_OrgUd_1g_um,IF(Исходн.данные.!$P349="Об",K_OrgUd_1g_ob))</f>
        <v>0</v>
      </c>
      <c r="AR349" t="b">
        <f>IF(Исходн.данные.!$P349="Ум",N_MinUd_2g_um,IF(Исходн.данные.!$P349="Об",N_MinUd_2g_ob))</f>
        <v>0</v>
      </c>
      <c r="AS349" t="b">
        <f>IF(Исходн.данные.!$P349="Ум",P_MinUd_2g_um,IF(Исходн.данные.!$P349="Об",P_MinUd_2g_ob))</f>
        <v>0</v>
      </c>
      <c r="AT349" t="b">
        <f>IF(Исходн.данные.!$P349="Ум",K_MinUd_2g_um,IF(Исходн.данные.!$P349="Об",K_MinUd_2g_ob))</f>
        <v>0</v>
      </c>
      <c r="AU349" t="b">
        <f>IF(Исходн.данные.!$P349="Ум",N_MinUd_1g_um,IF(Исходн.данные.!$P349="Об",N_MinUd_1g_ob))</f>
        <v>0</v>
      </c>
      <c r="AV349" t="b">
        <f>IF(Исходн.данные.!P349="Ум",P_MinUd_1g_um,IF(Исходн.данные.!P349="Об",P_MinUd_1g_ob))</f>
        <v>0</v>
      </c>
      <c r="AW349" t="b">
        <f>IF(Исходн.данные.!P349="Ум",K_MinUd_1g_um,IF(Исходн.данные.!P349="Об",K_MinUd_1g_ob))</f>
        <v>0</v>
      </c>
      <c r="AY349" t="e">
        <f>VLOOKUP(Исходн.данные.!T349,Справ!$A$3:$N$57,12)</f>
        <v>#N/A</v>
      </c>
      <c r="AZ349" t="e">
        <f>VLOOKUP(Исходн.данные.!T349,Справ!$A$3:$N$57,13)</f>
        <v>#N/A</v>
      </c>
      <c r="BA349" t="e">
        <f>VLOOKUP(Исходн.данные.!T349,Справ!$A$3:$N$57,14)</f>
        <v>#N/A</v>
      </c>
      <c r="BB349">
        <f>IF(Исходн.данные.!AH349=0,0,25)</f>
        <v>0</v>
      </c>
      <c r="BC349" s="141">
        <f>IF(Исходн.данные.!AH349=0,0,IF(Исходн.данные.!T349=0,25,BD349))</f>
        <v>0</v>
      </c>
      <c r="BD349" s="168" t="e">
        <f>AY349+AZ349*Исходн.данные.!U349-POWER(BA349,2)*Исходн.данные.!U349</f>
        <v>#N/A</v>
      </c>
      <c r="BE349" s="131" t="e">
        <f>IF(#REF!=Расчет!$BQ$12,(2+0.183*#REF!-0.0002*(#REF!*#REF!))/10,IF(#REF!=Расчет!$BT$9,(2.1+0.14*#REF!-0.0004*(#REF!*#REF!))/10,IF(OR(#REF!=Расчет!$BT$10,#REF!=Расчет!$BP$3),(2.09+1.151*#REF!-0.006*(#REF!*#REF!))/10,IF(#REF!=Расчет!$BT$11,(8.54+0.277*#REF!-0.0004*(#REF!*#REF!))/10,IF(#REF!=Расчет!$BT$3,(-2.02+2.422*#REF!-0.012*(#REF!*#REF!))/10,IF(#REF!=Расчет!$BT$12,(6.09+0.401*#REF!-0.0005*(#REF!*#REF!))/10,IF(#REF!=Расчет!$BP$5,0,IF(#REF!=Расчет!$BP$4,(3.4+0.302*#REF!-0.0003*(#REF!*#REF!))/10,2.5))))))))</f>
        <v>#REF!</v>
      </c>
      <c r="BF349" s="25">
        <f>IF(Исходн.данные.!AH349=0,0,MIN(HN349:HP349))</f>
        <v>0</v>
      </c>
      <c r="BG349" s="9">
        <f>IF(Исходн.данные.!AH349=0,0,IF((HO349+10*0.25/HG349/HL349)&lt;17,17,HO349+10*0.25/HG349/HL349))</f>
        <v>0</v>
      </c>
      <c r="BH349" s="181">
        <f>IF(Исходн.данные.!AH349=0,0,HW349*HF349*HL349/AU349*AI349+Исходн.данные.!S349*10)</f>
        <v>0</v>
      </c>
      <c r="BI349" s="10"/>
      <c r="BJ349" s="182">
        <f>IF(Исходн.данные.!AH349=0,0,IF(HX349*HG349*HL349/AV349&lt;0,0,HX349*HG349*HL349/AV349*AJ349))</f>
        <v>0</v>
      </c>
      <c r="BK349" s="182">
        <f>IF(Исходн.данные.!AH349=0,0,HY349*HH349*HM349/AW349)</f>
        <v>0</v>
      </c>
      <c r="BL349" s="10">
        <f>IF(OR(Исходн.данные.!$AH349=$BP$1,Исходн.данные.!$AH349=$BP$2),0,IF(BH349&lt;0,0,IF(OR(Исходн.данные.!T349=Расчет!$BP$1,Исходн.данные.!T349=Расчет!$BP$2,Исходн.данные.!T349=Расчет!$BT$5,Исходн.данные.!T349=Расчет!$BT$6),BH349*0.5,IF(OR(Исходн.данные.!T349=Расчет!$BS$9,Исходн.данные.!T349=Расчет!$BS$10,Исходн.данные.!T349=Расчет!$BS$11,Исходн.данные.!T349=Расчет!$BS$12,Исходн.данные.!T349=Расчет!$BP$5),BH349*0.8,BH349))))</f>
        <v>0</v>
      </c>
      <c r="BM349" s="10">
        <f>IF(OR(Исходн.данные.!$AH349=$BP$1,Исходн.данные.!$AH349=$BP$2),0,IF(BJ349&lt;0,0,IF(Исходн.данные.!I349&lt;4.5,BJ349*1.2,IF(Исходн.данные.!I349&gt;5.1,BJ349,BJ349*((5.1-Исходн.данные.!I349)*0.333+1)))))</f>
        <v>0</v>
      </c>
      <c r="BN349" s="10">
        <f>IF(OR(Исходн.данные.!$AH349=$BP$1,Исходн.данные.!$AH349=$BP$2),60-Исходн.данные.!AF349,IF(BK349&lt;0,0,IF(Исходн.данные.!I349&lt;4.5,BK349*1.2,IF(Исходн.данные.!I349&gt;5.1,BK349,BK349*((5.1-Исходн.данные.!I349)*0.333+1)))))</f>
        <v>0</v>
      </c>
      <c r="BO349" s="9">
        <f>IF(BL349&lt;0,0,BL349*Исходн.данные.!$AJ349/1000)</f>
        <v>0</v>
      </c>
      <c r="BP349" s="9">
        <f>IF(BM349&lt;0,0,BM349*Исходн.данные.!$AJ349/1000)</f>
        <v>0</v>
      </c>
      <c r="BQ349" s="9">
        <f>IF(BN349&lt;0,0,BN349*Исходн.данные.!$AJ349/1000)</f>
        <v>0</v>
      </c>
      <c r="BR349" s="9">
        <f t="shared" si="377"/>
        <v>0</v>
      </c>
      <c r="BS349" s="10" t="str">
        <f t="shared" si="378"/>
        <v>Аммофос 12:52:00</v>
      </c>
      <c r="BT349" s="10" t="str">
        <f t="shared" si="379"/>
        <v>Аммофос 12:52:00</v>
      </c>
      <c r="BU349" s="10" t="str">
        <f t="shared" si="380"/>
        <v>Диаммофоска</v>
      </c>
      <c r="BV349" s="10">
        <f t="shared" si="381"/>
        <v>0</v>
      </c>
      <c r="BW349" s="10"/>
      <c r="BX349" s="10"/>
      <c r="BY349" s="9">
        <f>IF(BL349&lt;0,0,IF(OR(Исходн.данные.!AI349=Расчет!$BU$6,Исходн.данные.!AI349=Расчет!$BU$7),Расчет!BV349,IF(Исходн.данные.!$AG349=$BV$11,BL349,IF(OR(Исходн.данные.!$AH349=$BQ$7,Исходн.данные.!$AH349=$BQ$8),CB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0,IF(Исходн.данные.!$AI349=$BU$11,"Нет",IF(BL349&gt;30,30,BL349)))))))</f>
        <v>0</v>
      </c>
      <c r="BZ349" s="9">
        <f>IF(AND(Исходн.данные.!$AG349=$BV$11,BM349&lt;10),10,IF(Исходн.данные.!$AG349=$BV$11,BM349,IF(OR(Исходн.данные.!$AH349=$BQ$7,Исходн.данные.!$AH349=$BQ$8),CC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10,IF(Исходн.данные.!$AI349=$BU$11,"Нет",IF(BM349&gt;60,60,IF(BM349&lt;10,10,BM349)))))))</f>
        <v>10</v>
      </c>
      <c r="CA349" s="39">
        <f>IF(BN349&lt;0,0,IF(Исходн.данные.!$AG349=$BV$11,BN349,IF(OR(Исходн.данные.!$AH349=$BQ$7,Исходн.данные.!$AH349=$BQ$8),CD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0,IF(Исходн.данные.!$AI349=$BU$11,"Нет",IF(BN349&gt;30,30,BN349))))))</f>
        <v>0</v>
      </c>
      <c r="CB349" s="9">
        <f t="shared" si="382"/>
        <v>0</v>
      </c>
      <c r="CC349" s="9">
        <f t="shared" si="383"/>
        <v>0</v>
      </c>
      <c r="CD349" s="9">
        <f t="shared" si="384"/>
        <v>0</v>
      </c>
      <c r="CE349" s="12">
        <f t="shared" si="385"/>
        <v>10</v>
      </c>
      <c r="CF349" s="9">
        <f t="shared" si="386"/>
        <v>0</v>
      </c>
      <c r="CG349" s="9" t="s">
        <v>231</v>
      </c>
      <c r="CH349" s="132" t="str">
        <f>IF(Исходн.данные.!AP349=Расчет!$CI$16,"Нет",IF(Исходн.данные.!AL349&gt;0,Исходн.данные.!AL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BH$4,IF(OR(Исходн.данные.!AI349=Исходн.данные.!$AI$6,Исходн.данные.!AI349=Исходн.данные.!$AI$7),Расчет!BS349,IF(AND($CF349=0,$CE349&gt;0),EV349,ER349)))))</f>
        <v>Аммофос 12:52:00</v>
      </c>
      <c r="CI349" s="274">
        <f>IF(Расчет!$CH349="Нет","Нет",IF(Исходн.данные.!$AL349&gt;0,VLOOKUP(Расчет!$CH349,АшламаДВ_Irekle,2,FALSE),VLOOKUP(Расчет!$CH349,АшламаДВ_Gomumy,2,FALSE)))</f>
        <v>0.12</v>
      </c>
      <c r="CJ349" s="274">
        <f>IF(Расчет!$CH349="Нет","Нет",IF(Исходн.данные.!$AL349&gt;0,VLOOKUP(Расчет!$CH349,АшламаДВ_Irekle,3,FALSE),VLOOKUP(Расчет!$CH349,АшламаДВ_Gomumy,3,FALSE)))</f>
        <v>0.52</v>
      </c>
      <c r="CK349" s="274">
        <f>IF(Расчет!$CH349="Нет","Нет",IF(Исходн.данные.!$AL349&gt;0,VLOOKUP(Расчет!$CH349,АшламаДВ_Irekle,4,FALSE),VLOOKUP(Расчет!$CH349,АшламаДВ_Gomumy,4,FALSE)))</f>
        <v>0</v>
      </c>
      <c r="CL349" s="70"/>
      <c r="CM349" s="70"/>
      <c r="CN349" s="70"/>
      <c r="CO349" s="70"/>
      <c r="CP349" s="70"/>
      <c r="CQ349" s="70"/>
      <c r="CR349" s="10">
        <f t="shared" si="387"/>
        <v>0</v>
      </c>
      <c r="CS349" s="10">
        <f t="shared" si="388"/>
        <v>19.23076923076923</v>
      </c>
      <c r="CT349" s="10">
        <f t="shared" si="389"/>
        <v>0</v>
      </c>
      <c r="CU349" s="39">
        <f>IF($CH349="Нет",0,IF(CI349=0,30/MIN(CJ349:CK349),IF(Исходн.данные.!$AG349=$BV$11,CR349,IF(OR(Исходн.данные.!$AH349=$BQ$7,Исходн.данные.!$AH349=$BQ$8),90/CI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0,IF(Исходн.данные.!$AI349=$BU$11,"Нет",30/CI349))))))</f>
        <v>250</v>
      </c>
      <c r="CV349" s="39">
        <f>IF($CH349="Нет",0,IF(Исходн.данные.!AH349=0,0,IF(CJ349=0,60/MIN(CI349,CK349),IF(Исходн.данные.!$AG349=$BV$11,CS349,IF(OR(Исходн.данные.!$AH349=$BQ$7,Исходн.данные.!$AH349=$BQ$8),90/CJ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10/CJ349,IF(Исходн.данные.!$AI349=$BU$11,"Нет",60/CJ349)))))))</f>
        <v>0</v>
      </c>
      <c r="CW349" s="39">
        <f>IF($CH349="Нет",0,IF(Исходн.данные.!AH349=0,0,IF(CK349=0,30/MIN(CI349:CJ349),IF(Исходн.данные.!$AG349=$BV$11,CT349,IF(OR(Исходн.данные.!$AH349=$BQ$7,Исходн.данные.!$AH349=$BQ$8),90/CK349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0,IF(Исходн.данные.!$AI349=$BU$11,"Нет",30/CK349)))))))</f>
        <v>0</v>
      </c>
      <c r="CX349" s="133">
        <f>IF(Исходн.данные.!$AG349=$BV$11,MAX(CU349:CW349),IF(OR(Исходн.данные.!$AH349=$BS$8,Исходн.данные.!$AH349=$BQ$9,Исходн.данные.!$AH349=$BQ$10,Исходн.данные.!$AH349=$BQ$11,Исходн.данные.!$AH349=$BQ$12,Исходн.данные.!$AH349=$BP$3,Исходн.данные.!$AH349=$BT$8,$FM349="Да"),CV349,MIN(CU349:CW349)))</f>
        <v>0</v>
      </c>
      <c r="CY349" s="133">
        <f>IF(Исходн.данные.!AH349=0,0,IF(CR349&gt;$CX349,$CX349,CR349))</f>
        <v>0</v>
      </c>
      <c r="CZ349" s="133">
        <f>IF(Исходн.данные.!AH349=0,0,IF(CS349&gt;$CX349,$CX349,CS349))</f>
        <v>0</v>
      </c>
      <c r="DA349" s="133">
        <f>IF(Исходн.данные.!AH349=0,0,IF(CT349&gt;$CX349,$CX349,CT349))</f>
        <v>0</v>
      </c>
      <c r="DB349" s="10">
        <f t="shared" si="390"/>
        <v>0</v>
      </c>
      <c r="DC349" s="39">
        <f>DB349*Исходн.данные.!AJ349/1000</f>
        <v>0</v>
      </c>
      <c r="DD349" s="71">
        <f t="shared" si="391"/>
        <v>0</v>
      </c>
      <c r="DE349" s="9">
        <f t="shared" si="392"/>
        <v>0</v>
      </c>
      <c r="DF349" s="9">
        <f t="shared" si="393"/>
        <v>0</v>
      </c>
      <c r="DG349" s="39">
        <f>IF(BL349&lt;0,0,IF($CH349="Нет",BL349,IF(OR(Исходн.данные.!$AH349=$BP$1,Исходн.данные.!$AH349=$BP$2),0,IF(Исходн.данные.!AI349=$BU$11,BL349,IF(BL349-DD349&lt;0,0,BL349-DD349)))))</f>
        <v>0</v>
      </c>
      <c r="DH349" s="39">
        <f>IF(BM349&lt;0,0,IF($CH349="Нет",BM349,IF(OR(Исходн.данные.!$AH349=$BP$1,Исходн.данные.!$AH349=$BP$2),0,IF(Исходн.данные.!AJ349=$BU$11,BM349,IF(BM349-DE349&lt;0,0,BM349-DE349)))))</f>
        <v>0</v>
      </c>
      <c r="DI349" s="39">
        <f>IF(BN349&lt;0,0,IF($CH349="Нет",BN349,IF(OR(Исходн.данные.!$AH349=$BP$1,Исходн.данные.!$AH349=$BP$2),0,IF(Исходн.данные.!AK349=$BU$11,BN349,IF(BN349-DF349&lt;0,0,BN349-DF349)))))</f>
        <v>0</v>
      </c>
      <c r="DJ349" s="12">
        <f t="shared" si="394"/>
        <v>0</v>
      </c>
      <c r="DK349" s="9">
        <f t="shared" si="395"/>
        <v>0</v>
      </c>
      <c r="DL349" s="39">
        <f>IF(Исходн.данные.!AM349&gt;0,Исходн.данные.!AM349,IF(EG349&gt;0,$BH$10,0))</f>
        <v>0</v>
      </c>
      <c r="DM349" s="186">
        <f>IF($DL349=0,0,IF(Исходн.данные.!AM349&gt;0,VLOOKUP($DL349,АшламаДВ_Irekle,2,FALSE),VLOOKUP($DL349,АшламаДВ_Gomumy,2,FALSE)))</f>
        <v>0</v>
      </c>
      <c r="DN349" s="10">
        <f t="shared" si="447"/>
        <v>0</v>
      </c>
      <c r="DO349" s="9" t="str">
        <f>IF(Исходн.данные.!AN349&gt;0,Исходн.данные.!AN349,Удобрения!$B$37 )</f>
        <v>Хлор.калий</v>
      </c>
      <c r="DP349" s="9">
        <f>IF(Исходн.данные.!AN349&gt;0,VLOOKUP(Исходн.данные.!AN349,АшламаДВ_Irekle,4,FALSE),VLOOKUP(DO349,АшламаДВ_Gomumy,4,FALSE))</f>
        <v>0.6</v>
      </c>
      <c r="DQ349" s="10">
        <f t="shared" si="448"/>
        <v>0</v>
      </c>
      <c r="DR349" s="132" t="str">
        <f>IF(Исходн.данные.!AO349&gt;0,Исходн.данные.!AO349,IF(DH349=0,BS$17,IF(AND($DK349=0,$DJ349&gt;0),EJ349,EN349)))</f>
        <v>Нет</v>
      </c>
      <c r="DS349" s="70" t="str">
        <f>IF($DR349="Нет","Нет",IF(Исходн.данные.!$AO349&gt;0,VLOOKUP($DR349,АшламаДВ_Irekle,2,FALSE),VLOOKUP($DR349,АшламаДВ_Gomumy,2,FALSE)))</f>
        <v>Нет</v>
      </c>
      <c r="DT349" s="70" t="str">
        <f>IF($DR349="Нет","Нет",IF(Исходн.данные.!$AO349&gt;0,VLOOKUP($DR349,АшламаДВ_Irekle,3,FALSE),VLOOKUP($DR349,АшламаДВ_Gomumy,3,FALSE)))</f>
        <v>Нет</v>
      </c>
      <c r="DU349" s="70" t="str">
        <f>IF($DR349="Нет","Нет",IF(Исходн.данные.!$AO349&gt;0,VLOOKUP($DR349,АшламаДВ_Irekle,4,FALSE),VLOOKUP($DR349,АшламаДВ_Gomumy,4,FALSE)))</f>
        <v>Нет</v>
      </c>
      <c r="DV349" s="70"/>
      <c r="DW349" s="70"/>
      <c r="DX349" s="70"/>
      <c r="DY349" s="10">
        <f t="shared" si="396"/>
        <v>0</v>
      </c>
      <c r="DZ349" s="10">
        <f t="shared" si="397"/>
        <v>0</v>
      </c>
      <c r="EA349" s="10">
        <f t="shared" si="398"/>
        <v>0</v>
      </c>
      <c r="EB349" s="10">
        <f t="shared" si="399"/>
        <v>0</v>
      </c>
      <c r="EC349" s="10">
        <f t="shared" si="400"/>
        <v>0</v>
      </c>
      <c r="ED349" s="10">
        <f t="shared" si="401"/>
        <v>0</v>
      </c>
      <c r="EE349" s="10">
        <f t="shared" si="402"/>
        <v>0</v>
      </c>
      <c r="EF349" s="39">
        <f>EB349*Исходн.данные.!AJ349/1000</f>
        <v>0</v>
      </c>
      <c r="EG349" s="9">
        <f t="shared" si="403"/>
        <v>0</v>
      </c>
      <c r="EH349" s="9">
        <f t="shared" si="404"/>
        <v>0</v>
      </c>
      <c r="EI349" s="39" t="e">
        <f t="shared" si="428"/>
        <v>#DIV/0!</v>
      </c>
      <c r="EJ349" s="9" t="str">
        <f t="shared" si="449"/>
        <v>Азопреципитат</v>
      </c>
      <c r="EK349" s="12">
        <f t="shared" si="429"/>
        <v>0.26</v>
      </c>
      <c r="EL349" s="12">
        <f t="shared" si="430"/>
        <v>0.13</v>
      </c>
      <c r="EM349" s="12">
        <f t="shared" si="431"/>
        <v>0</v>
      </c>
      <c r="EN349" s="12" t="str">
        <f t="shared" si="450"/>
        <v>Нет</v>
      </c>
      <c r="EO349" s="12">
        <f t="shared" si="432"/>
        <v>0</v>
      </c>
      <c r="EP349" s="12">
        <f t="shared" si="433"/>
        <v>0</v>
      </c>
      <c r="EQ349" s="12">
        <f t="shared" si="434"/>
        <v>0</v>
      </c>
      <c r="ER349" s="12" t="str">
        <f t="shared" si="405"/>
        <v>Диаммофоска</v>
      </c>
      <c r="ES349" s="12">
        <f t="shared" si="435"/>
        <v>0.1</v>
      </c>
      <c r="ET349" s="12">
        <f t="shared" si="436"/>
        <v>0.26</v>
      </c>
      <c r="EU349" s="12">
        <f t="shared" si="437"/>
        <v>0.26</v>
      </c>
      <c r="EV349" s="12" t="str">
        <f t="shared" si="406"/>
        <v>Аммофос 12:52:00</v>
      </c>
      <c r="EW349" s="12" t="str">
        <f t="shared" si="407"/>
        <v>Кемира Свекловичное-6</v>
      </c>
      <c r="EX349" s="12">
        <f t="shared" si="438"/>
        <v>0.16</v>
      </c>
      <c r="EY349" s="12">
        <f t="shared" si="439"/>
        <v>0.12</v>
      </c>
      <c r="EZ349" s="12">
        <f t="shared" si="440"/>
        <v>0.17</v>
      </c>
      <c r="FA349" s="38" t="e">
        <f>IF(AND(OR(FJ349=$FD$1,FM349=$FD$1,FO349=$FD$1,FQ349=$FD$1,FS349=$FD$1),FD349=$FD$1,Исходн.данные.!J349&lt;2,FU349=$FD$1),"Бор,Кобальт",IF(AND(FO349=$FD$1,FH349=$FD$1,Исходн.данные.!J349&lt;2,FU349=$FD$1),"Бор,Кобальт",IF(AND(OR(FJ349=$FD$1,FM349=$FD$1,FQ349=$FD$1),FE349=$FD$1,Исходн.данные.!J349&lt;2,FT349=$FD$1,FU349=$FD$1),"Бор,Медь,Цинк",IF(AND(OR(FJ349=$FD$1,FR349="Да"),FI349="Да",Исходн.данные.!J349&lt;2,FT349="Да",FU349="Да"),"Бор,Цинк,Медь",IF(AND(OR(FM349="Да",FQ349="Да"),FI349="Да",Исходн.данные.!J349&lt;2,FT349="Да",FU349="Да"),"Бор,Цинк",IF(AND(FN349="Да",OR(FD349="Да",FE349="Да")),"Бор",FB349))))))</f>
        <v>#N/A</v>
      </c>
      <c r="FB349" s="134" t="e">
        <f>IF(AND(OR(FD349="Да",FE349="Да",FF349="Да",FG349="Да",FH349="Да"),FO349="Да"),"Бор",IF(AND(FP349="Да",OR(FD349="Да",FE349="Да",FI349="Да")),"Бор",IF(AND(FS349="Да",FE349="Да"),"Бор,Медь",IF(AND(OR(FJ349="Да",FK349="Да",FL349="Да"),FE349="Да",Исходн.данные.!I349&lt;5,FT349="Да",FU349="Да"),"Молибден,Цинк",IF(AND(FM349="Да",OR(FE349="Да",FF349="Да",FG349="Да",FH349="Да",FI349="Да")),"Молибден,Цинк",IF(AND(OR(FJ349="Да",FK349="Да",FL349="Да",FM349="Да",FQ349="Да"),OR(FE349="Да",FF349="Да"),FT349="Да",FU349="Да",Исходн.данные.!I349&gt;5.5),"Медь,Цинк",FC349))))))</f>
        <v>#N/A</v>
      </c>
      <c r="FC349" s="23" t="e">
        <f t="shared" si="408"/>
        <v>#N/A</v>
      </c>
      <c r="FD349" s="38" t="str">
        <f>IF(OR(Исходн.данные.!F349=$CC$1,Исходн.данные.!F349=$CC$2,Исходн.данные.!F349=$CC$3,Исходн.данные.!F349=$CC$4),"Да","Нет")</f>
        <v>Нет</v>
      </c>
      <c r="FE349" s="38" t="str">
        <f>IF(Исходн.данные.!F349=$CC$5,"Да","Нет")</f>
        <v>Нет</v>
      </c>
      <c r="FF349" s="38" t="str">
        <f>IF(OR(Исходн.данные.!F349=$CC$6,Исходн.данные.!F349=$CC$7),"Да","Нет")</f>
        <v>Нет</v>
      </c>
      <c r="FG349" s="38" t="str">
        <f>IF(OR(Исходн.данные.!F349=$CC$8,Исходн.данные.!F349=$CC$9),"Да","Нет")</f>
        <v>Нет</v>
      </c>
      <c r="FH349" s="38" t="str">
        <f>IF(Исходн.данные.!F349=$CC$10,"Да","Нет")</f>
        <v>Нет</v>
      </c>
      <c r="FI349" s="38" t="str">
        <f>IF(OR(Исходн.данные.!F349=$CC$11,Исходн.данные.!F349=$CC$12),"Да","Нет")</f>
        <v>Нет</v>
      </c>
      <c r="FJ349" s="38" t="str">
        <f>IF(OR(Исходн.данные.!AH349=$BS$1,Исходн.данные.!AH349=$BQ$11,Исходн.данные.!AH349=$BQ$12),"Да","Нет")</f>
        <v>Нет</v>
      </c>
      <c r="FK349" s="38" t="str">
        <f>IF(OR(Исходн.данные.!AH349=$BS$2,Исходн.данные.!AH349=$BS$4),"Да","Нет")</f>
        <v>Нет</v>
      </c>
      <c r="FL349" s="38" t="str">
        <f>IF(OR(Исходн.данные.!AH349=$BS$3,Исходн.данные.!AH349=$BS$5),"Да","Нет")</f>
        <v>Нет</v>
      </c>
      <c r="FM349" s="38" t="str">
        <f>IF(OR(Исходн.данные.!AH349=$BS$9,Исходн.данные.!AH349=$BS$10,Исходн.данные.!AH349=$BS$11,Исходн.данные.!AH349=$BS$12),"Да","Нет")</f>
        <v>Нет</v>
      </c>
      <c r="FN349" s="38" t="str">
        <f>IF(OR(Исходн.данные.!AH349=$BS$6,Исходн.данные.!AH349=$BP$3),"Да","Нет")</f>
        <v>Нет</v>
      </c>
      <c r="FO349" s="38" t="str">
        <f>IF(Исходн.данные.!AH349=$BQ$9,"Да","Нет")</f>
        <v>Нет</v>
      </c>
      <c r="FP349" s="38" t="str">
        <f>IF(OR(Исходн.данные.!AH349=$BS$8,Исходн.данные.!AH349=$BT$8),"Да","Нет")</f>
        <v>Нет</v>
      </c>
      <c r="FQ349" s="38" t="str">
        <f>IF(OR(Исходн.данные.!AH349=$BQ$7,Исходн.данные.!AH349=$BQ$8),"Да","Нет")</f>
        <v>Нет</v>
      </c>
      <c r="FR349" s="38" t="str">
        <f>IF(Исходн.данные.!AI349=$BU$9,"Да","Нет")</f>
        <v>Нет</v>
      </c>
      <c r="FS349" s="38" t="str">
        <f>IF(OR(Исходн.данные.!AH349=$BP$1,Исходн.данные.!AH349=$BP$2),"Да","Нет")</f>
        <v>Нет</v>
      </c>
      <c r="FT349" s="38" t="e">
        <f>IF((Исходн.данные.!K349*GO349*GS349*GW349+BL349*0.6+Исходн.данные.!Q349*4.5*0.275)&gt;90,"Да","Нет")</f>
        <v>#N/A</v>
      </c>
      <c r="FU349" s="38" t="e">
        <f>IF((Исходн.данные.!M349*GS349*GZ349+BM349*0.225)&gt;35,"Да","Нет")</f>
        <v>#N/A</v>
      </c>
      <c r="FV349" s="38" t="str">
        <f>IF(Исходн.данные.!O349&gt;175,"Да","Нет")</f>
        <v>Нет</v>
      </c>
      <c r="FW349" s="39" t="str">
        <f>IF(Исходн.данные.!I349&gt;5.5,"Да","Нет")</f>
        <v>Нет</v>
      </c>
      <c r="FX349" s="39" t="str">
        <f>IF(Исходн.данные.!J349&lt;2,"Да","Нет")</f>
        <v>Да</v>
      </c>
      <c r="FY349" s="39" t="e">
        <f>IF(HF349=$FY$16,0,Исходн.данные.!K349*GO349*GS349*GW349/HF349)</f>
        <v>#N/A</v>
      </c>
      <c r="FZ349" s="39" t="e">
        <f>Исходн.данные.!M349*GS349*GZ349/HG349</f>
        <v>#N/A</v>
      </c>
      <c r="GA349" s="39" t="e">
        <f>IF(K_Wyn=$FY$16,0,IF(Исходн.данные.!N349=Исходн.данные.!$L$10,Исходн.данные.!O349/1.1*GS349*HC349/HH349,IF(Исходн.данные.!N349=Исходн.данные.!$L$12,Исходн.данные.!O349/1.5*GS349*HC349/HH349,Исходн.данные.!O349*GS349*HC349/HH349)))</f>
        <v>#N/A</v>
      </c>
      <c r="GB349" s="39" t="e">
        <f>IF(HF349=$FY$16,0,((Исходн.данные.!Q349*N_Org+Исходн.данные.!R349*N_Sider+Исходн.данные.!S349*N_Soloma)*AO349+Расчет!BC349*VLOOKUP(Исходн.данные.!T349,Справ!$A$3:$O$57,15)*AO349+BB349*VLOOKUP(Исходн.данные.!T349,Справ!$A$3:$O$57,15)*AL349+(Исходн.данные.!V349*N_Rizotorf+Исходн.данные.!W349*N_Rizoagr))/HF349)</f>
        <v>#N/A</v>
      </c>
      <c r="GC349" s="39" t="e">
        <f>IF(HG349=$FY$16,0,((Исходн.данные.!Q349*Р_Org+Исходн.данные.!R349*P_Sider+Исходн.данные.!S349*P_Soloma)*AP349+Расчет!BC349*VLOOKUP(Исходн.данные.!T349,Справ!$A$3:$P$57,16)*AP349+BB349*VLOOKUP(Исходн.данные.!T349,Справ!$A$3:$P$57,16)*AM349)/HG349)</f>
        <v>#N/A</v>
      </c>
      <c r="GD349" s="39" t="e">
        <f>IF(HH349=$FY$16,0,((Исходн.данные.!Q349*К_Org+Исходн.данные.!R349*K_Sider+Исходн.данные.!S349*K_Soloma)*AQ349+Расчет!BC349*VLOOKUP(Исходн.данные.!T349,Справ!$A$3:$Q$57,17)*AQ349+BB349*VLOOKUP(Исходн.данные.!T349,Справ!$A$3:$Q$57,17)*AN349)/HH349)</f>
        <v>#N/A</v>
      </c>
      <c r="GE349" s="39" t="e">
        <f>IF(HF349=$FY$16,0,(Исходн.данные.!X349*AR349+Исходн.данные.!AA349*N_Org*AL349+Исходн.данные.!AB349*N_Sider*AL349+Исходн.данные.!AC349*N_Soloma*AL349)/HF349)</f>
        <v>#N/A</v>
      </c>
      <c r="GF349" s="39" t="e">
        <f>IF(HG349=$FY$16,0,(Исходн.данные.!Y349*AS349+Исходн.данные.!AA349*Р_Org*AM349+Исходн.данные.!AB349*P_Sider*AM349+Исходн.данные.!AC349*P_Soloma*AM349)/HG349)</f>
        <v>#N/A</v>
      </c>
      <c r="GG349" s="39" t="e">
        <f>IF(HH349=$FY$16,0,(Исходн.данные.!Z349*AT349+Исходн.данные.!AA349*К_Org*AN349+Исходн.данные.!AB349*K_Sider*AN349+Исходн.данные.!AC349*K_Soloma*AN349)/HH349)</f>
        <v>#N/A</v>
      </c>
      <c r="GH349" s="39" t="e">
        <f>Исходн.данные.!AD349*AU349/HF349</f>
        <v>#N/A</v>
      </c>
      <c r="GI349" s="39" t="e">
        <f>Исходн.данные.!AE349*AV349/HG349</f>
        <v>#N/A</v>
      </c>
      <c r="GJ349" s="39" t="e">
        <f>Исходн.данные.!AF349*AW349/HH349</f>
        <v>#N/A</v>
      </c>
      <c r="GK349" s="55">
        <f>Исходн.данные.!AK349</f>
        <v>0</v>
      </c>
      <c r="GL349" s="11" t="e">
        <f t="shared" si="409"/>
        <v>#N/A</v>
      </c>
      <c r="GM349" s="11" t="e">
        <f t="shared" si="410"/>
        <v>#N/A</v>
      </c>
      <c r="GN349" s="11" t="e">
        <f t="shared" si="411"/>
        <v>#N/A</v>
      </c>
      <c r="GO349" s="57">
        <f t="shared" si="412"/>
        <v>19</v>
      </c>
      <c r="GP349" s="55">
        <f>IF(OR(Исходн.данные.!F349=$CE$1,Исходн.данные.!F349=$CE$2,Исходн.данные.!F349=$CE$3,Исходн.данные.!F349=$CE$4,Исходн.данные.!F349=$CE$5),GQ349,GR349)</f>
        <v>19</v>
      </c>
      <c r="GQ349" s="55">
        <f>IF(Исходн.данные.!F349=$CE$1,28,IF(Исходн.данные.!F349=$CE$2,26,IF(Исходн.данные.!F349=$CE$3,24,IF(Исходн.данные.!F349=$CE$4,22,IF(Исходн.данные.!F349=$CE$5,20,GR349)))))</f>
        <v>19</v>
      </c>
      <c r="GR349" s="55">
        <f>IF(Исходн.данные.!F349=$CE$6,18,IF(Исходн.данные.!F349=$CE$7,16,IF(Исходн.данные.!F349=$CE$8,14,IF(Исходн.данные.!F349=$CE$9,13,IF(Исходн.данные.!F349=$CE$10,12,19)))))</f>
        <v>19</v>
      </c>
      <c r="GS349" s="55">
        <f>IF(Исходн.данные.!G349="Пес",0.035*(40+2*Исходн.данные.!H349),IF(Исходн.данные.!G349="Суп",0.0325*(40+2*Исходн.данные.!H349),0.03*(40+2*Исходн.данные.!H349)))</f>
        <v>1.2</v>
      </c>
      <c r="GT349" s="55">
        <f>IF(Исходн.данные.!H349&lt;23,2.6,IF(AND(Исходн.данные.!H349&gt;22,Исходн.данные.!H349&lt;26),3,IF(AND(Исходн.данные.!H349&gt;25,Исходн.данные.!H349&lt;29),3.4,3.6)))</f>
        <v>2.6</v>
      </c>
      <c r="GU349" s="55">
        <f>IF(Исходн.данные.!H349&lt;23,2.8,IF(AND(Исходн.данные.!H349&gt;22,Исходн.данные.!H349&lt;26),3.2,IF(AND(Исходн.данные.!H349&gt;25,Исходн.данные.!H349&lt;29),3.6,3.9)))</f>
        <v>2.8</v>
      </c>
      <c r="GV349" s="55">
        <f>IF(Исходн.данные.!H349&lt;23,3,IF(AND(Исходн.данные.!H349&gt;22,Исходн.данные.!H349&lt;26),3.5,IF(AND(Исходн.данные.!H349&gt;25,Исходн.данные.!H349&lt;29),3.9,4.2)))</f>
        <v>3</v>
      </c>
      <c r="GW349" s="55" t="e">
        <f>IF(Исходн.данные.!P349="Ум",GX349,GY349)</f>
        <v>#N/A</v>
      </c>
      <c r="GX349" s="55" t="e">
        <f>VLOOKUP(Исходн.данные.!AI349,Коэффициенты!$J$7:$L$13,2,FALSE)</f>
        <v>#N/A</v>
      </c>
      <c r="GY349" s="55" t="e">
        <f>VLOOKUP(Исходн.данные.!AI349,Коэффициенты!$J$7:$L$13,3,FALSE)</f>
        <v>#N/A</v>
      </c>
      <c r="GZ349" s="55" t="e">
        <f>(IF(Исходн.данные.!M349&lt;50,0.11*VLOOKUP(Исходн.данные.!AH349,Культуры.Информация,7,FALSE),IF(Исходн.данные.!M349&gt;250,0.05*VLOOKUP(Исходн.данные.!AH349,Культуры.Информация,7,FALSE),VLOOKUP(Исходн.данные.!AH349,Культуры.Информация,5,FALSE)/100*($GX$6+$GY$6*Исходн.данные.!M349))))*Расчет2!AI349</f>
        <v>#N/A</v>
      </c>
      <c r="HA349" s="211"/>
      <c r="HB349" s="211"/>
      <c r="HC349" s="55" t="e">
        <f>(IF(Исходн.данные.!O349&lt;80,0.2*VLOOKUP(Исходн.данные.!AH349,Культуры.Информация,8,FALSE),IF(Исходн.данные.!O349&gt;240,0.09*VLOOKUP(Исходн.данные.!AH349,Культуры.Информация,8,FALSE),VLOOKUP(Исходн.данные.!AH349,Культуры.Информация,6,FALSE)/100*($HB$6+$HC$6*Исходн.данные.!O349))))*Расчет2!AJ349</f>
        <v>#N/A</v>
      </c>
      <c r="HD349" s="55">
        <f>IF(Исходн.данные.!O349&gt;240,0.09,IF(Исходн.данные.!O349&lt;30,0.3,$HE$10+$HD$10*Исходн.данные.!O349))</f>
        <v>0.3</v>
      </c>
      <c r="HE349" s="55">
        <f>IF(Исходн.данные.!O349&gt;240,0.17,IF(Исходн.данные.!O349&lt;30,0.5,$HF$12+$HE$12*Исходн.данные.!O349))</f>
        <v>0.5</v>
      </c>
      <c r="HF349" s="55" t="e">
        <f>VLOOKUP(Исходн.данные.!AH349,Справ!$A$3:$D$58,2,FALSE)</f>
        <v>#N/A</v>
      </c>
      <c r="HG349" s="55" t="e">
        <f>VLOOKUP(Исходн.данные.!AH349,Справ!$A$3:$D$58,3,FALSE)</f>
        <v>#N/A</v>
      </c>
      <c r="HH349" s="55" t="e">
        <f>VLOOKUP(Исходн.данные.!AH349,Справ!$A$3:$D$58,4,FALSE)</f>
        <v>#N/A</v>
      </c>
      <c r="HI349" s="11" t="e">
        <f t="shared" si="413"/>
        <v>#N/A</v>
      </c>
      <c r="HJ349" s="11" t="e">
        <f t="shared" si="414"/>
        <v>#N/A</v>
      </c>
      <c r="HK349" s="11" t="e">
        <f t="shared" si="415"/>
        <v>#N/A</v>
      </c>
      <c r="HL349" s="55">
        <f>IF(OR(Исходн.данные.!G349="Глин",Исходн.данные.!G349="Т_суг"),1.1,IF(Исходн.данные.!G349="Ср_суг",1,1))</f>
        <v>1</v>
      </c>
      <c r="HM349" s="55">
        <f>IF(OR(Исходн.данные.!G349="Глин",Исходн.данные.!G349="Т_суг"),0.9,IF(Исходн.данные.!G349="Ср_суг",1,1.2))</f>
        <v>1.2</v>
      </c>
      <c r="HN349" s="11" t="e">
        <f t="shared" si="416"/>
        <v>#N/A</v>
      </c>
      <c r="HO349" s="11" t="e">
        <f t="shared" si="417"/>
        <v>#N/A</v>
      </c>
      <c r="HP349" s="11" t="e">
        <f t="shared" si="418"/>
        <v>#N/A</v>
      </c>
      <c r="HQ349" t="e">
        <f t="shared" si="419"/>
        <v>#N/A</v>
      </c>
      <c r="HR349" t="e">
        <f t="shared" si="420"/>
        <v>#N/A</v>
      </c>
      <c r="HS349" t="e">
        <f t="shared" si="421"/>
        <v>#N/A</v>
      </c>
      <c r="HT349" t="e">
        <f t="shared" si="441"/>
        <v>#N/A</v>
      </c>
      <c r="HU349" t="e">
        <f t="shared" si="442"/>
        <v>#N/A</v>
      </c>
      <c r="HV349" t="e">
        <f t="shared" si="443"/>
        <v>#N/A</v>
      </c>
      <c r="HW349" t="e">
        <f t="shared" si="444"/>
        <v>#N/A</v>
      </c>
      <c r="HX349" t="e">
        <f t="shared" si="445"/>
        <v>#N/A</v>
      </c>
      <c r="HY349" t="e">
        <f t="shared" si="446"/>
        <v>#N/A</v>
      </c>
      <c r="HZ349" s="55">
        <f>IF(OR(Исходн.данные.!AI349="Оз_Ч_П",Исходн.данные.!AI349="Оз_З_П",Исходн.данные.!AI349="Яр_зер"),12,30)</f>
        <v>30</v>
      </c>
      <c r="IA349" t="e">
        <f t="shared" si="422"/>
        <v>#N/A</v>
      </c>
      <c r="IB349" t="e">
        <f t="shared" si="423"/>
        <v>#N/A</v>
      </c>
      <c r="IC349" t="e">
        <f t="shared" si="424"/>
        <v>#N/A</v>
      </c>
      <c r="ID349" s="11" t="e">
        <f t="shared" si="425"/>
        <v>#N/A</v>
      </c>
      <c r="IE349" s="11" t="e">
        <f t="shared" si="426"/>
        <v>#N/A</v>
      </c>
      <c r="IF349" s="11" t="e">
        <f t="shared" si="427"/>
        <v>#N/A</v>
      </c>
    </row>
    <row r="350" spans="35:240" x14ac:dyDescent="0.2">
      <c r="BS350" s="10"/>
      <c r="BT350" s="10"/>
      <c r="BU350" s="10"/>
    </row>
  </sheetData>
  <mergeCells count="65">
    <mergeCell ref="AI20:AJ20"/>
    <mergeCell ref="ID19:IF19"/>
    <mergeCell ref="BH20:BI20"/>
    <mergeCell ref="BO20:BR20"/>
    <mergeCell ref="BS20:BX20"/>
    <mergeCell ref="BY20:CD20"/>
    <mergeCell ref="EG20:EH20"/>
    <mergeCell ref="HL20:HM20"/>
    <mergeCell ref="HN20:HP20"/>
    <mergeCell ref="HI20:HK20"/>
    <mergeCell ref="DG20:EF20"/>
    <mergeCell ref="CI20:CK20"/>
    <mergeCell ref="CR20:CT20"/>
    <mergeCell ref="AY20:BA20"/>
    <mergeCell ref="IA19:IC19"/>
    <mergeCell ref="HN19:HP19"/>
    <mergeCell ref="HT19:HV19"/>
    <mergeCell ref="HW19:HY19"/>
    <mergeCell ref="HQ19:HS19"/>
    <mergeCell ref="GW2:HE2"/>
    <mergeCell ref="ER21:EV21"/>
    <mergeCell ref="HF20:HF21"/>
    <mergeCell ref="EJ19:EQ19"/>
    <mergeCell ref="HI19:HK19"/>
    <mergeCell ref="HL19:HM19"/>
    <mergeCell ref="DB3:DD3"/>
    <mergeCell ref="CE20:CG20"/>
    <mergeCell ref="GT18:GV18"/>
    <mergeCell ref="GH19:GJ19"/>
    <mergeCell ref="DB20:DC20"/>
    <mergeCell ref="CY20:DA20"/>
    <mergeCell ref="CU20:CX20"/>
    <mergeCell ref="DD20:DF20"/>
    <mergeCell ref="BS19:EH19"/>
    <mergeCell ref="GK19:GN19"/>
    <mergeCell ref="GS19:GV19"/>
    <mergeCell ref="EJ20:EM20"/>
    <mergeCell ref="FT19:FV19"/>
    <mergeCell ref="GE19:GG19"/>
    <mergeCell ref="GB19:GD19"/>
    <mergeCell ref="FY20:GA20"/>
    <mergeCell ref="GX3:GY3"/>
    <mergeCell ref="GZ3:HA3"/>
    <mergeCell ref="HB3:HC3"/>
    <mergeCell ref="HD3:HE3"/>
    <mergeCell ref="HF19:HH19"/>
    <mergeCell ref="HC19:HE19"/>
    <mergeCell ref="GW19:GY19"/>
    <mergeCell ref="GZ19:HB19"/>
    <mergeCell ref="BG19:BG21"/>
    <mergeCell ref="BF19:BF21"/>
    <mergeCell ref="HG16:HH16"/>
    <mergeCell ref="CF17:CH17"/>
    <mergeCell ref="FT20:FV20"/>
    <mergeCell ref="EN20:EQ20"/>
    <mergeCell ref="GE20:GG20"/>
    <mergeCell ref="GH20:GJ20"/>
    <mergeCell ref="ER19:EZ19"/>
    <mergeCell ref="HH20:HH21"/>
    <mergeCell ref="HG20:HG21"/>
    <mergeCell ref="EW21:EZ21"/>
    <mergeCell ref="BH19:BK19"/>
    <mergeCell ref="BL19:BN19"/>
    <mergeCell ref="BO19:BR19"/>
    <mergeCell ref="FY19:GA19"/>
  </mergeCells>
  <phoneticPr fontId="5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T44"/>
  <sheetViews>
    <sheetView workbookViewId="0">
      <selection activeCell="W4" sqref="W4"/>
    </sheetView>
  </sheetViews>
  <sheetFormatPr defaultRowHeight="12.75" x14ac:dyDescent="0.2"/>
  <cols>
    <col min="11" max="15" width="0" hidden="1" customWidth="1"/>
  </cols>
  <sheetData>
    <row r="1" spans="1:20" ht="40.5" customHeight="1" x14ac:dyDescent="0.2">
      <c r="A1" s="374" t="s">
        <v>16</v>
      </c>
      <c r="B1" s="374" t="s">
        <v>445</v>
      </c>
      <c r="C1" s="374" t="s">
        <v>447</v>
      </c>
      <c r="D1" s="374" t="s">
        <v>444</v>
      </c>
      <c r="E1" s="374" t="s">
        <v>443</v>
      </c>
      <c r="F1" s="374"/>
      <c r="G1" s="374"/>
      <c r="H1" s="374" t="s">
        <v>446</v>
      </c>
      <c r="I1" s="374"/>
      <c r="J1" s="374"/>
      <c r="R1" s="374" t="s">
        <v>443</v>
      </c>
      <c r="S1" s="374"/>
      <c r="T1" s="374"/>
    </row>
    <row r="2" spans="1:20" x14ac:dyDescent="0.2">
      <c r="A2" s="374"/>
      <c r="B2" s="374"/>
      <c r="C2" s="374"/>
      <c r="D2" s="374"/>
      <c r="E2" s="14" t="s">
        <v>29</v>
      </c>
      <c r="F2" s="14" t="s">
        <v>30</v>
      </c>
      <c r="G2" s="14" t="s">
        <v>31</v>
      </c>
      <c r="H2" s="14" t="s">
        <v>29</v>
      </c>
      <c r="I2" s="14" t="s">
        <v>30</v>
      </c>
      <c r="J2" s="14" t="s">
        <v>31</v>
      </c>
      <c r="R2" s="14" t="s">
        <v>29</v>
      </c>
      <c r="S2" s="14" t="s">
        <v>30</v>
      </c>
      <c r="T2" s="14" t="s">
        <v>31</v>
      </c>
    </row>
    <row r="3" spans="1:20" x14ac:dyDescent="0.2">
      <c r="A3" t="str">
        <f>Исходн.данные.!T22</f>
        <v>ЧП</v>
      </c>
      <c r="B3">
        <f>Исходн.данные.!AJ22</f>
        <v>50</v>
      </c>
      <c r="C3">
        <f>Исходн.данные.!U22</f>
        <v>0</v>
      </c>
      <c r="D3" s="175">
        <f>Расчет!BD22</f>
        <v>0</v>
      </c>
      <c r="E3">
        <v>0.93</v>
      </c>
      <c r="F3">
        <v>0.35</v>
      </c>
      <c r="G3">
        <v>0.75</v>
      </c>
      <c r="H3" s="176">
        <f>$D3*E3*$B3/1000</f>
        <v>0</v>
      </c>
      <c r="I3" s="176">
        <f>$D3*F3*$B3/1000</f>
        <v>0</v>
      </c>
      <c r="J3" s="176">
        <f>$D3*G3*$B3/1000</f>
        <v>0</v>
      </c>
      <c r="Q3" s="46" t="s">
        <v>144</v>
      </c>
      <c r="R3">
        <v>0.9</v>
      </c>
      <c r="S3">
        <v>0.35</v>
      </c>
      <c r="T3">
        <v>0.83</v>
      </c>
    </row>
    <row r="4" spans="1:20" x14ac:dyDescent="0.2">
      <c r="A4">
        <f>Исходн.данные.!T23</f>
        <v>0</v>
      </c>
      <c r="B4">
        <f>Исходн.данные.!AJ23</f>
        <v>0</v>
      </c>
      <c r="C4">
        <f>Исходн.данные.!U23</f>
        <v>0</v>
      </c>
      <c r="D4" s="175" t="e">
        <f>Расчет!BD23</f>
        <v>#N/A</v>
      </c>
      <c r="E4">
        <v>0.93</v>
      </c>
      <c r="F4">
        <v>0.35</v>
      </c>
      <c r="G4">
        <v>0.75</v>
      </c>
      <c r="H4" s="176" t="e">
        <f t="shared" ref="H4:H44" si="0">$D4*E4*$B4/1000</f>
        <v>#N/A</v>
      </c>
      <c r="I4" s="176" t="e">
        <f t="shared" ref="I4:I44" si="1">$D4*F4*$B4/1000</f>
        <v>#N/A</v>
      </c>
      <c r="J4" s="176" t="e">
        <f t="shared" ref="J4:J44" si="2">$D4*G4*$B4/1000</f>
        <v>#N/A</v>
      </c>
      <c r="Q4" s="46" t="s">
        <v>60</v>
      </c>
      <c r="R4">
        <v>0.9</v>
      </c>
      <c r="S4">
        <v>0.35</v>
      </c>
      <c r="T4">
        <v>0.83</v>
      </c>
    </row>
    <row r="5" spans="1:20" x14ac:dyDescent="0.2">
      <c r="A5">
        <f>Исходн.данные.!T24</f>
        <v>0</v>
      </c>
      <c r="B5">
        <f>Исходн.данные.!AJ24</f>
        <v>0</v>
      </c>
      <c r="C5">
        <f>Исходн.данные.!U24</f>
        <v>0</v>
      </c>
      <c r="D5" s="175" t="e">
        <f>Расчет!BD24</f>
        <v>#N/A</v>
      </c>
      <c r="E5">
        <v>0.93</v>
      </c>
      <c r="F5">
        <v>0.35</v>
      </c>
      <c r="G5">
        <v>0.75</v>
      </c>
      <c r="H5" s="176" t="e">
        <f t="shared" si="0"/>
        <v>#N/A</v>
      </c>
      <c r="I5" s="176" t="e">
        <f t="shared" si="1"/>
        <v>#N/A</v>
      </c>
      <c r="J5" s="176" t="e">
        <f t="shared" si="2"/>
        <v>#N/A</v>
      </c>
      <c r="Q5" s="46" t="s">
        <v>61</v>
      </c>
      <c r="R5">
        <v>0.8</v>
      </c>
      <c r="S5">
        <v>0.33</v>
      </c>
      <c r="T5">
        <v>0.65</v>
      </c>
    </row>
    <row r="6" spans="1:20" x14ac:dyDescent="0.2">
      <c r="A6">
        <f>Исходн.данные.!T25</f>
        <v>0</v>
      </c>
      <c r="B6">
        <f>Исходн.данные.!AJ25</f>
        <v>0</v>
      </c>
      <c r="C6">
        <f>Исходн.данные.!U25</f>
        <v>0</v>
      </c>
      <c r="D6" s="175" t="e">
        <f>Расчет!BD25</f>
        <v>#N/A</v>
      </c>
      <c r="H6" s="176" t="e">
        <f t="shared" si="0"/>
        <v>#N/A</v>
      </c>
      <c r="I6" s="176" t="e">
        <f t="shared" si="1"/>
        <v>#N/A</v>
      </c>
      <c r="J6" s="176" t="e">
        <f t="shared" si="2"/>
        <v>#N/A</v>
      </c>
      <c r="Q6" s="46" t="s">
        <v>68</v>
      </c>
    </row>
    <row r="7" spans="1:20" x14ac:dyDescent="0.2">
      <c r="A7">
        <f>Исходн.данные.!T26</f>
        <v>0</v>
      </c>
      <c r="B7">
        <f>Исходн.данные.!AJ26</f>
        <v>0</v>
      </c>
      <c r="C7">
        <f>Исходн.данные.!U26</f>
        <v>0</v>
      </c>
      <c r="D7" s="175" t="e">
        <f>Расчет!BD26</f>
        <v>#N/A</v>
      </c>
      <c r="H7" s="176" t="e">
        <f t="shared" si="0"/>
        <v>#N/A</v>
      </c>
      <c r="I7" s="176" t="e">
        <f t="shared" si="1"/>
        <v>#N/A</v>
      </c>
      <c r="J7" s="176" t="e">
        <f t="shared" si="2"/>
        <v>#N/A</v>
      </c>
      <c r="Q7" s="46" t="s">
        <v>133</v>
      </c>
      <c r="R7">
        <v>1.8</v>
      </c>
      <c r="S7">
        <v>0.9</v>
      </c>
      <c r="T7">
        <v>1.25</v>
      </c>
    </row>
    <row r="8" spans="1:20" x14ac:dyDescent="0.2">
      <c r="A8">
        <f>Исходн.данные.!T27</f>
        <v>0</v>
      </c>
      <c r="B8">
        <f>Исходн.данные.!AJ27</f>
        <v>0</v>
      </c>
      <c r="C8">
        <f>Исходн.данные.!U27</f>
        <v>0</v>
      </c>
      <c r="D8" s="175" t="e">
        <f>Расчет!BD27</f>
        <v>#N/A</v>
      </c>
      <c r="H8" s="176" t="e">
        <f t="shared" si="0"/>
        <v>#N/A</v>
      </c>
      <c r="I8" s="176" t="e">
        <f t="shared" si="1"/>
        <v>#N/A</v>
      </c>
      <c r="J8" s="176" t="e">
        <f t="shared" si="2"/>
        <v>#N/A</v>
      </c>
      <c r="Q8" s="54" t="s">
        <v>127</v>
      </c>
      <c r="R8">
        <v>0.68</v>
      </c>
      <c r="S8">
        <v>0.3</v>
      </c>
      <c r="T8">
        <v>0.85</v>
      </c>
    </row>
    <row r="9" spans="1:20" x14ac:dyDescent="0.2">
      <c r="A9">
        <f>Исходн.данные.!T28</f>
        <v>0</v>
      </c>
      <c r="B9">
        <f>Исходн.данные.!AJ28</f>
        <v>0</v>
      </c>
      <c r="C9">
        <f>Исходн.данные.!U28</f>
        <v>0</v>
      </c>
      <c r="D9" s="175" t="e">
        <f>Расчет!BD28</f>
        <v>#N/A</v>
      </c>
      <c r="H9" s="176" t="e">
        <f t="shared" si="0"/>
        <v>#N/A</v>
      </c>
      <c r="I9" s="176" t="e">
        <f t="shared" si="1"/>
        <v>#N/A</v>
      </c>
      <c r="J9" s="176" t="e">
        <f t="shared" si="2"/>
        <v>#N/A</v>
      </c>
      <c r="Q9" s="46" t="s">
        <v>158</v>
      </c>
      <c r="R9">
        <v>1.8</v>
      </c>
      <c r="S9">
        <v>0.9</v>
      </c>
      <c r="T9">
        <v>1.25</v>
      </c>
    </row>
    <row r="10" spans="1:20" x14ac:dyDescent="0.2">
      <c r="A10">
        <f>Исходн.данные.!T29</f>
        <v>0</v>
      </c>
      <c r="B10">
        <f>Исходн.данные.!AJ29</f>
        <v>0</v>
      </c>
      <c r="C10">
        <f>Исходн.данные.!U29</f>
        <v>0</v>
      </c>
      <c r="D10" s="175" t="e">
        <f>Расчет!BD29</f>
        <v>#N/A</v>
      </c>
      <c r="H10" s="176" t="e">
        <f t="shared" si="0"/>
        <v>#N/A</v>
      </c>
      <c r="I10" s="176" t="e">
        <f t="shared" si="1"/>
        <v>#N/A</v>
      </c>
      <c r="J10" s="176" t="e">
        <f t="shared" si="2"/>
        <v>#N/A</v>
      </c>
      <c r="Q10" s="46" t="s">
        <v>135</v>
      </c>
      <c r="R10">
        <v>1.8</v>
      </c>
      <c r="S10">
        <v>0.9</v>
      </c>
      <c r="T10">
        <v>1.25</v>
      </c>
    </row>
    <row r="11" spans="1:20" x14ac:dyDescent="0.2">
      <c r="A11">
        <f>Исходн.данные.!T30</f>
        <v>0</v>
      </c>
      <c r="B11">
        <f>Исходн.данные.!AJ30</f>
        <v>0</v>
      </c>
      <c r="C11">
        <f>Исходн.данные.!U30</f>
        <v>0</v>
      </c>
      <c r="D11" s="175" t="e">
        <f>Расчет!BD30</f>
        <v>#N/A</v>
      </c>
      <c r="H11" s="176" t="e">
        <f t="shared" si="0"/>
        <v>#N/A</v>
      </c>
      <c r="I11" s="176" t="e">
        <f t="shared" si="1"/>
        <v>#N/A</v>
      </c>
      <c r="J11" s="176" t="e">
        <f t="shared" si="2"/>
        <v>#N/A</v>
      </c>
      <c r="Q11" s="46" t="s">
        <v>143</v>
      </c>
      <c r="R11">
        <v>0.68</v>
      </c>
      <c r="S11">
        <v>0.3</v>
      </c>
      <c r="T11">
        <v>0.85</v>
      </c>
    </row>
    <row r="12" spans="1:20" x14ac:dyDescent="0.2">
      <c r="A12">
        <f>Исходн.данные.!T31</f>
        <v>0</v>
      </c>
      <c r="B12">
        <f>Исходн.данные.!AJ31</f>
        <v>0</v>
      </c>
      <c r="C12">
        <f>Исходн.данные.!U31</f>
        <v>0</v>
      </c>
      <c r="D12" s="175" t="e">
        <f>Расчет!BD31</f>
        <v>#N/A</v>
      </c>
      <c r="H12" s="176" t="e">
        <f t="shared" si="0"/>
        <v>#N/A</v>
      </c>
      <c r="I12" s="176" t="e">
        <f t="shared" si="1"/>
        <v>#N/A</v>
      </c>
      <c r="J12" s="176" t="e">
        <f t="shared" si="2"/>
        <v>#N/A</v>
      </c>
      <c r="Q12" s="46" t="s">
        <v>146</v>
      </c>
      <c r="R12">
        <v>0.68</v>
      </c>
      <c r="S12">
        <v>0.3</v>
      </c>
      <c r="T12">
        <v>0.85</v>
      </c>
    </row>
    <row r="13" spans="1:20" x14ac:dyDescent="0.2">
      <c r="A13">
        <f>Исходн.данные.!T32</f>
        <v>0</v>
      </c>
      <c r="B13">
        <f>Исходн.данные.!AJ32</f>
        <v>0</v>
      </c>
      <c r="C13">
        <f>Исходн.данные.!U32</f>
        <v>0</v>
      </c>
      <c r="D13" s="175" t="e">
        <f>Расчет!BD32</f>
        <v>#N/A</v>
      </c>
      <c r="H13" s="176" t="e">
        <f t="shared" si="0"/>
        <v>#N/A</v>
      </c>
      <c r="I13" s="176" t="e">
        <f t="shared" si="1"/>
        <v>#N/A</v>
      </c>
      <c r="J13" s="176" t="e">
        <f t="shared" si="2"/>
        <v>#N/A</v>
      </c>
      <c r="Q13" s="46" t="s">
        <v>64</v>
      </c>
      <c r="R13">
        <v>0.68</v>
      </c>
      <c r="S13">
        <v>0.3</v>
      </c>
      <c r="T13">
        <v>0.85</v>
      </c>
    </row>
    <row r="14" spans="1:20" x14ac:dyDescent="0.2">
      <c r="A14">
        <f>Исходн.данные.!T33</f>
        <v>0</v>
      </c>
      <c r="B14">
        <f>Исходн.данные.!AJ33</f>
        <v>0</v>
      </c>
      <c r="C14">
        <f>Исходн.данные.!U33</f>
        <v>0</v>
      </c>
      <c r="D14" s="175" t="e">
        <f>Расчет!BD33</f>
        <v>#N/A</v>
      </c>
      <c r="H14" s="176" t="e">
        <f t="shared" si="0"/>
        <v>#N/A</v>
      </c>
      <c r="I14" s="176" t="e">
        <f t="shared" si="1"/>
        <v>#N/A</v>
      </c>
      <c r="J14" s="176" t="e">
        <f t="shared" si="2"/>
        <v>#N/A</v>
      </c>
      <c r="Q14" s="46" t="s">
        <v>157</v>
      </c>
      <c r="R14">
        <v>0.8</v>
      </c>
      <c r="S14">
        <v>0.33</v>
      </c>
      <c r="T14">
        <v>0.65</v>
      </c>
    </row>
    <row r="15" spans="1:20" x14ac:dyDescent="0.2">
      <c r="A15">
        <f>Исходн.данные.!T34</f>
        <v>0</v>
      </c>
      <c r="B15">
        <f>Исходн.данные.!AJ34</f>
        <v>0</v>
      </c>
      <c r="C15">
        <f>Исходн.данные.!U34</f>
        <v>0</v>
      </c>
      <c r="D15" s="175" t="e">
        <f>Расчет!BD34</f>
        <v>#N/A</v>
      </c>
      <c r="H15" s="176" t="e">
        <f t="shared" si="0"/>
        <v>#N/A</v>
      </c>
      <c r="I15" s="176" t="e">
        <f t="shared" si="1"/>
        <v>#N/A</v>
      </c>
      <c r="J15" s="176" t="e">
        <f t="shared" si="2"/>
        <v>#N/A</v>
      </c>
      <c r="Q15" s="46" t="s">
        <v>134</v>
      </c>
      <c r="R15">
        <v>0.8</v>
      </c>
      <c r="S15">
        <v>0.33</v>
      </c>
      <c r="T15">
        <v>0.65</v>
      </c>
    </row>
    <row r="16" spans="1:20" x14ac:dyDescent="0.2">
      <c r="A16">
        <f>Исходн.данные.!T35</f>
        <v>0</v>
      </c>
      <c r="B16">
        <f>Исходн.данные.!AJ35</f>
        <v>0</v>
      </c>
      <c r="C16">
        <f>Исходн.данные.!U35</f>
        <v>0</v>
      </c>
      <c r="D16" s="175" t="e">
        <f>Расчет!BD35</f>
        <v>#N/A</v>
      </c>
      <c r="H16" s="176" t="e">
        <f t="shared" si="0"/>
        <v>#N/A</v>
      </c>
      <c r="I16" s="176" t="e">
        <f t="shared" si="1"/>
        <v>#N/A</v>
      </c>
      <c r="J16" s="176" t="e">
        <f t="shared" si="2"/>
        <v>#N/A</v>
      </c>
      <c r="Q16" s="46" t="s">
        <v>159</v>
      </c>
      <c r="R16">
        <v>1.8</v>
      </c>
      <c r="S16">
        <v>0.9</v>
      </c>
      <c r="T16">
        <v>1.25</v>
      </c>
    </row>
    <row r="17" spans="1:20" x14ac:dyDescent="0.2">
      <c r="A17">
        <f>Исходн.данные.!T36</f>
        <v>0</v>
      </c>
      <c r="B17">
        <f>Исходн.данные.!AJ36</f>
        <v>0</v>
      </c>
      <c r="C17">
        <f>Исходн.данные.!U36</f>
        <v>0</v>
      </c>
      <c r="D17" s="175" t="e">
        <f>Расчет!BD36</f>
        <v>#N/A</v>
      </c>
      <c r="H17" s="176" t="e">
        <f t="shared" si="0"/>
        <v>#N/A</v>
      </c>
      <c r="I17" s="176" t="e">
        <f t="shared" si="1"/>
        <v>#N/A</v>
      </c>
      <c r="J17" s="176" t="e">
        <f t="shared" si="2"/>
        <v>#N/A</v>
      </c>
      <c r="Q17" s="46" t="s">
        <v>70</v>
      </c>
      <c r="R17">
        <v>1.8</v>
      </c>
      <c r="S17">
        <v>0.9</v>
      </c>
      <c r="T17">
        <v>1.25</v>
      </c>
    </row>
    <row r="18" spans="1:20" x14ac:dyDescent="0.2">
      <c r="A18">
        <f>Исходн.данные.!T37</f>
        <v>0</v>
      </c>
      <c r="B18">
        <f>Исходн.данные.!AJ37</f>
        <v>0</v>
      </c>
      <c r="C18">
        <f>Исходн.данные.!U37</f>
        <v>0</v>
      </c>
      <c r="D18" s="175" t="e">
        <f>Расчет!BD37</f>
        <v>#N/A</v>
      </c>
      <c r="H18" s="176" t="e">
        <f t="shared" si="0"/>
        <v>#N/A</v>
      </c>
      <c r="I18" s="176" t="e">
        <f t="shared" si="1"/>
        <v>#N/A</v>
      </c>
      <c r="J18" s="176" t="e">
        <f t="shared" si="2"/>
        <v>#N/A</v>
      </c>
      <c r="Q18" s="46" t="s">
        <v>147</v>
      </c>
      <c r="R18">
        <v>1.8</v>
      </c>
      <c r="S18">
        <v>0.9</v>
      </c>
      <c r="T18">
        <v>1.25</v>
      </c>
    </row>
    <row r="19" spans="1:20" x14ac:dyDescent="0.2">
      <c r="A19">
        <f>Исходн.данные.!T38</f>
        <v>0</v>
      </c>
      <c r="B19">
        <f>Исходн.данные.!AJ38</f>
        <v>0</v>
      </c>
      <c r="C19">
        <f>Исходн.данные.!U38</f>
        <v>0</v>
      </c>
      <c r="D19" s="175" t="e">
        <f>Расчет!BD38</f>
        <v>#N/A</v>
      </c>
      <c r="H19" s="176" t="e">
        <f t="shared" si="0"/>
        <v>#N/A</v>
      </c>
      <c r="I19" s="176" t="e">
        <f t="shared" si="1"/>
        <v>#N/A</v>
      </c>
      <c r="J19" s="176" t="e">
        <f t="shared" si="2"/>
        <v>#N/A</v>
      </c>
      <c r="Q19" s="46" t="s">
        <v>129</v>
      </c>
      <c r="R19">
        <v>0.68</v>
      </c>
      <c r="S19">
        <v>0.3</v>
      </c>
      <c r="T19">
        <v>0.85</v>
      </c>
    </row>
    <row r="20" spans="1:20" x14ac:dyDescent="0.2">
      <c r="A20">
        <f>Исходн.данные.!T39</f>
        <v>0</v>
      </c>
      <c r="B20">
        <f>Исходн.данные.!AJ39</f>
        <v>0</v>
      </c>
      <c r="C20">
        <f>Исходн.данные.!U39</f>
        <v>0</v>
      </c>
      <c r="D20" s="175" t="e">
        <f>Расчет!BD39</f>
        <v>#N/A</v>
      </c>
      <c r="H20" s="176" t="e">
        <f t="shared" si="0"/>
        <v>#N/A</v>
      </c>
      <c r="I20" s="176" t="e">
        <f t="shared" si="1"/>
        <v>#N/A</v>
      </c>
      <c r="J20" s="176" t="e">
        <f t="shared" si="2"/>
        <v>#N/A</v>
      </c>
      <c r="Q20" s="54" t="s">
        <v>136</v>
      </c>
      <c r="R20">
        <v>0.68</v>
      </c>
      <c r="S20">
        <v>0.3</v>
      </c>
      <c r="T20">
        <v>0.85</v>
      </c>
    </row>
    <row r="21" spans="1:20" x14ac:dyDescent="0.2">
      <c r="A21">
        <f>Исходн.данные.!T40</f>
        <v>0</v>
      </c>
      <c r="B21">
        <f>Исходн.данные.!AJ40</f>
        <v>0</v>
      </c>
      <c r="C21">
        <f>Исходн.данные.!U40</f>
        <v>0</v>
      </c>
      <c r="D21" s="175" t="e">
        <f>Расчет!BD40</f>
        <v>#N/A</v>
      </c>
      <c r="H21" s="176" t="e">
        <f t="shared" si="0"/>
        <v>#N/A</v>
      </c>
      <c r="I21" s="176" t="e">
        <f t="shared" si="1"/>
        <v>#N/A</v>
      </c>
      <c r="J21" s="176" t="e">
        <f t="shared" si="2"/>
        <v>#N/A</v>
      </c>
      <c r="Q21" s="46" t="s">
        <v>115</v>
      </c>
      <c r="R21">
        <v>0.8</v>
      </c>
      <c r="S21">
        <v>0.33</v>
      </c>
      <c r="T21">
        <v>0.65</v>
      </c>
    </row>
    <row r="22" spans="1:20" x14ac:dyDescent="0.2">
      <c r="A22">
        <f>Исходн.данные.!T41</f>
        <v>0</v>
      </c>
      <c r="B22">
        <f>Исходн.данные.!AJ41</f>
        <v>0</v>
      </c>
      <c r="C22">
        <f>Исходн.данные.!U41</f>
        <v>0</v>
      </c>
      <c r="D22" s="175" t="e">
        <f>Расчет!BD41</f>
        <v>#N/A</v>
      </c>
      <c r="H22" s="176" t="e">
        <f t="shared" si="0"/>
        <v>#N/A</v>
      </c>
      <c r="I22" s="176" t="e">
        <f t="shared" si="1"/>
        <v>#N/A</v>
      </c>
      <c r="J22" s="176" t="e">
        <f t="shared" si="2"/>
        <v>#N/A</v>
      </c>
      <c r="Q22" s="46" t="s">
        <v>132</v>
      </c>
      <c r="R22">
        <v>0.68</v>
      </c>
      <c r="S22">
        <v>0.3</v>
      </c>
      <c r="T22">
        <v>0.85</v>
      </c>
    </row>
    <row r="23" spans="1:20" x14ac:dyDescent="0.2">
      <c r="A23">
        <f>Исходн.данные.!T42</f>
        <v>0</v>
      </c>
      <c r="B23">
        <f>Исходн.данные.!AJ42</f>
        <v>0</v>
      </c>
      <c r="C23">
        <f>Исходн.данные.!U42</f>
        <v>0</v>
      </c>
      <c r="D23" s="175" t="e">
        <f>Расчет!BD42</f>
        <v>#N/A</v>
      </c>
      <c r="H23" s="176" t="e">
        <f t="shared" si="0"/>
        <v>#N/A</v>
      </c>
      <c r="I23" s="176" t="e">
        <f t="shared" si="1"/>
        <v>#N/A</v>
      </c>
      <c r="J23" s="176" t="e">
        <f t="shared" si="2"/>
        <v>#N/A</v>
      </c>
      <c r="Q23" s="46" t="s">
        <v>55</v>
      </c>
      <c r="R23">
        <v>0.93</v>
      </c>
      <c r="S23">
        <v>0.35</v>
      </c>
      <c r="T23">
        <v>0.75</v>
      </c>
    </row>
    <row r="24" spans="1:20" x14ac:dyDescent="0.2">
      <c r="A24">
        <f>Исходн.данные.!T43</f>
        <v>0</v>
      </c>
      <c r="B24">
        <f>Исходн.данные.!AJ43</f>
        <v>0</v>
      </c>
      <c r="C24">
        <f>Исходн.данные.!U43</f>
        <v>0</v>
      </c>
      <c r="D24" s="175" t="e">
        <f>Расчет!BD43</f>
        <v>#N/A</v>
      </c>
      <c r="H24" s="176" t="e">
        <f t="shared" si="0"/>
        <v>#N/A</v>
      </c>
      <c r="I24" s="176" t="e">
        <f t="shared" si="1"/>
        <v>#N/A</v>
      </c>
      <c r="J24" s="176" t="e">
        <f t="shared" si="2"/>
        <v>#N/A</v>
      </c>
      <c r="Q24" s="46" t="s">
        <v>142</v>
      </c>
      <c r="R24">
        <v>0.8</v>
      </c>
      <c r="S24">
        <v>0.33</v>
      </c>
      <c r="T24">
        <v>0.65</v>
      </c>
    </row>
    <row r="25" spans="1:20" x14ac:dyDescent="0.2">
      <c r="A25">
        <f>Исходн.данные.!T44</f>
        <v>0</v>
      </c>
      <c r="B25">
        <f>Исходн.данные.!AJ44</f>
        <v>0</v>
      </c>
      <c r="C25">
        <f>Исходн.данные.!U44</f>
        <v>0</v>
      </c>
      <c r="D25" s="175" t="e">
        <f>Расчет!BD44</f>
        <v>#N/A</v>
      </c>
      <c r="H25" s="176" t="e">
        <f t="shared" si="0"/>
        <v>#N/A</v>
      </c>
      <c r="I25" s="176" t="e">
        <f t="shared" si="1"/>
        <v>#N/A</v>
      </c>
      <c r="J25" s="176" t="e">
        <f t="shared" si="2"/>
        <v>#N/A</v>
      </c>
      <c r="Q25" s="46" t="s">
        <v>67</v>
      </c>
      <c r="R25">
        <v>0.93</v>
      </c>
      <c r="S25">
        <v>0.35</v>
      </c>
      <c r="T25">
        <v>0.75</v>
      </c>
    </row>
    <row r="26" spans="1:20" x14ac:dyDescent="0.2">
      <c r="A26">
        <f>Исходн.данные.!T45</f>
        <v>0</v>
      </c>
      <c r="B26">
        <f>Исходн.данные.!AJ45</f>
        <v>0</v>
      </c>
      <c r="C26">
        <f>Исходн.данные.!U45</f>
        <v>0</v>
      </c>
      <c r="D26" s="175" t="e">
        <f>Расчет!BD45</f>
        <v>#N/A</v>
      </c>
      <c r="H26" s="176" t="e">
        <f t="shared" si="0"/>
        <v>#N/A</v>
      </c>
      <c r="I26" s="176" t="e">
        <f t="shared" si="1"/>
        <v>#N/A</v>
      </c>
      <c r="J26" s="176" t="e">
        <f t="shared" si="2"/>
        <v>#N/A</v>
      </c>
      <c r="Q26" s="46" t="s">
        <v>148</v>
      </c>
      <c r="R26">
        <v>0.8</v>
      </c>
      <c r="S26">
        <v>0.33</v>
      </c>
      <c r="T26">
        <v>0.65</v>
      </c>
    </row>
    <row r="27" spans="1:20" x14ac:dyDescent="0.2">
      <c r="A27">
        <f>Исходн.данные.!T46</f>
        <v>0</v>
      </c>
      <c r="B27">
        <f>Исходн.данные.!AJ46</f>
        <v>0</v>
      </c>
      <c r="C27">
        <f>Исходн.данные.!U46</f>
        <v>0</v>
      </c>
      <c r="D27" s="175" t="e">
        <f>Расчет!BD46</f>
        <v>#N/A</v>
      </c>
      <c r="H27" s="176" t="e">
        <f t="shared" si="0"/>
        <v>#N/A</v>
      </c>
      <c r="I27" s="176" t="e">
        <f t="shared" si="1"/>
        <v>#N/A</v>
      </c>
      <c r="J27" s="176" t="e">
        <f t="shared" si="2"/>
        <v>#N/A</v>
      </c>
      <c r="Q27" s="46" t="s">
        <v>145</v>
      </c>
      <c r="R27">
        <v>0.8</v>
      </c>
      <c r="S27">
        <v>0.33</v>
      </c>
      <c r="T27">
        <v>0.65</v>
      </c>
    </row>
    <row r="28" spans="1:20" x14ac:dyDescent="0.2">
      <c r="A28">
        <f>Исходн.данные.!T47</f>
        <v>0</v>
      </c>
      <c r="B28">
        <f>Исходн.данные.!AJ47</f>
        <v>0</v>
      </c>
      <c r="C28">
        <f>Исходн.данные.!U47</f>
        <v>0</v>
      </c>
      <c r="D28" s="175" t="e">
        <f>Расчет!BD47</f>
        <v>#N/A</v>
      </c>
      <c r="H28" s="176" t="e">
        <f t="shared" si="0"/>
        <v>#N/A</v>
      </c>
      <c r="I28" s="176" t="e">
        <f t="shared" si="1"/>
        <v>#N/A</v>
      </c>
      <c r="J28" s="176" t="e">
        <f t="shared" si="2"/>
        <v>#N/A</v>
      </c>
      <c r="Q28" s="46" t="s">
        <v>128</v>
      </c>
      <c r="R28">
        <v>0.68</v>
      </c>
      <c r="S28">
        <v>0.3</v>
      </c>
      <c r="T28">
        <v>0.85</v>
      </c>
    </row>
    <row r="29" spans="1:20" x14ac:dyDescent="0.2">
      <c r="A29">
        <f>Исходн.данные.!T48</f>
        <v>0</v>
      </c>
      <c r="B29">
        <f>Исходн.данные.!AJ48</f>
        <v>0</v>
      </c>
      <c r="C29">
        <f>Исходн.данные.!U48</f>
        <v>0</v>
      </c>
      <c r="D29" s="175" t="e">
        <f>Расчет!BD48</f>
        <v>#N/A</v>
      </c>
      <c r="H29" s="176" t="e">
        <f t="shared" si="0"/>
        <v>#N/A</v>
      </c>
      <c r="I29" s="176" t="e">
        <f t="shared" si="1"/>
        <v>#N/A</v>
      </c>
      <c r="J29" s="176" t="e">
        <f t="shared" si="2"/>
        <v>#N/A</v>
      </c>
      <c r="Q29" s="46" t="s">
        <v>139</v>
      </c>
      <c r="R29">
        <v>0.68</v>
      </c>
      <c r="S29">
        <v>0.3</v>
      </c>
      <c r="T29">
        <v>0.85</v>
      </c>
    </row>
    <row r="30" spans="1:20" x14ac:dyDescent="0.2">
      <c r="A30">
        <f>Исходн.данные.!T49</f>
        <v>0</v>
      </c>
      <c r="B30">
        <f>Исходн.данные.!AJ49</f>
        <v>0</v>
      </c>
      <c r="C30">
        <f>Исходн.данные.!U49</f>
        <v>0</v>
      </c>
      <c r="D30" s="175" t="e">
        <f>Расчет!BD49</f>
        <v>#N/A</v>
      </c>
      <c r="H30" s="176" t="e">
        <f t="shared" si="0"/>
        <v>#N/A</v>
      </c>
      <c r="I30" s="176" t="e">
        <f t="shared" si="1"/>
        <v>#N/A</v>
      </c>
      <c r="J30" s="176" t="e">
        <f t="shared" si="2"/>
        <v>#N/A</v>
      </c>
      <c r="Q30" s="42" t="s">
        <v>138</v>
      </c>
      <c r="R30">
        <v>0.8</v>
      </c>
      <c r="S30">
        <v>0.33</v>
      </c>
      <c r="T30">
        <v>0.65</v>
      </c>
    </row>
    <row r="31" spans="1:20" x14ac:dyDescent="0.2">
      <c r="A31">
        <f>Исходн.данные.!T50</f>
        <v>0</v>
      </c>
      <c r="B31">
        <f>Исходн.данные.!AJ50</f>
        <v>0</v>
      </c>
      <c r="C31">
        <f>Исходн.данные.!U50</f>
        <v>0</v>
      </c>
      <c r="D31" s="175" t="e">
        <f>Расчет!BD50</f>
        <v>#N/A</v>
      </c>
      <c r="H31" s="176" t="e">
        <f t="shared" si="0"/>
        <v>#N/A</v>
      </c>
      <c r="I31" s="176" t="e">
        <f t="shared" si="1"/>
        <v>#N/A</v>
      </c>
      <c r="J31" s="176" t="e">
        <f t="shared" si="2"/>
        <v>#N/A</v>
      </c>
      <c r="Q31" s="42" t="s">
        <v>137</v>
      </c>
      <c r="R31">
        <v>0.68</v>
      </c>
      <c r="S31">
        <v>0.3</v>
      </c>
      <c r="T31">
        <v>0.85</v>
      </c>
    </row>
    <row r="32" spans="1:20" x14ac:dyDescent="0.2">
      <c r="A32">
        <f>Исходн.данные.!T51</f>
        <v>0</v>
      </c>
      <c r="B32">
        <f>Исходн.данные.!AJ51</f>
        <v>0</v>
      </c>
      <c r="C32">
        <f>Исходн.данные.!U51</f>
        <v>0</v>
      </c>
      <c r="D32" s="175" t="e">
        <f>Расчет!BD51</f>
        <v>#N/A</v>
      </c>
      <c r="H32" s="176" t="e">
        <f t="shared" si="0"/>
        <v>#N/A</v>
      </c>
      <c r="I32" s="176" t="e">
        <f t="shared" si="1"/>
        <v>#N/A</v>
      </c>
      <c r="J32" s="176" t="e">
        <f t="shared" si="2"/>
        <v>#N/A</v>
      </c>
      <c r="Q32" s="46" t="s">
        <v>63</v>
      </c>
      <c r="R32">
        <v>0.9</v>
      </c>
      <c r="S32">
        <v>0.35</v>
      </c>
      <c r="T32">
        <v>0.83</v>
      </c>
    </row>
    <row r="33" spans="1:20" x14ac:dyDescent="0.2">
      <c r="A33">
        <f>Исходн.данные.!T52</f>
        <v>0</v>
      </c>
      <c r="B33">
        <f>Исходн.данные.!AJ52</f>
        <v>0</v>
      </c>
      <c r="C33">
        <f>Исходн.данные.!U52</f>
        <v>0</v>
      </c>
      <c r="D33" s="175" t="e">
        <f>Расчет!BD52</f>
        <v>#N/A</v>
      </c>
      <c r="H33" s="176" t="e">
        <f t="shared" si="0"/>
        <v>#N/A</v>
      </c>
      <c r="I33" s="176" t="e">
        <f t="shared" si="1"/>
        <v>#N/A</v>
      </c>
      <c r="J33" s="176" t="e">
        <f t="shared" si="2"/>
        <v>#N/A</v>
      </c>
      <c r="Q33" s="46" t="s">
        <v>140</v>
      </c>
      <c r="R33">
        <v>0.9</v>
      </c>
      <c r="S33">
        <v>0.35</v>
      </c>
      <c r="T33">
        <v>0.83</v>
      </c>
    </row>
    <row r="34" spans="1:20" x14ac:dyDescent="0.2">
      <c r="A34">
        <f>Исходн.данные.!T53</f>
        <v>0</v>
      </c>
      <c r="B34">
        <f>Исходн.данные.!AJ53</f>
        <v>0</v>
      </c>
      <c r="C34">
        <f>Исходн.данные.!U53</f>
        <v>0</v>
      </c>
      <c r="D34" s="175" t="e">
        <f>Расчет!BD53</f>
        <v>#N/A</v>
      </c>
      <c r="H34" s="176" t="e">
        <f t="shared" si="0"/>
        <v>#N/A</v>
      </c>
      <c r="I34" s="176" t="e">
        <f t="shared" si="1"/>
        <v>#N/A</v>
      </c>
      <c r="J34" s="176" t="e">
        <f t="shared" si="2"/>
        <v>#N/A</v>
      </c>
      <c r="Q34" s="46" t="s">
        <v>141</v>
      </c>
      <c r="R34">
        <v>0.68</v>
      </c>
      <c r="S34">
        <v>0.3</v>
      </c>
      <c r="T34">
        <v>0.85</v>
      </c>
    </row>
    <row r="35" spans="1:20" x14ac:dyDescent="0.2">
      <c r="A35">
        <f>Исходн.данные.!T54</f>
        <v>0</v>
      </c>
      <c r="B35">
        <f>Исходн.данные.!AJ54</f>
        <v>0</v>
      </c>
      <c r="C35">
        <f>Исходн.данные.!U54</f>
        <v>0</v>
      </c>
      <c r="D35" s="175" t="e">
        <f>Расчет!BD54</f>
        <v>#N/A</v>
      </c>
      <c r="H35" s="176" t="e">
        <f t="shared" si="0"/>
        <v>#N/A</v>
      </c>
      <c r="I35" s="176" t="e">
        <f t="shared" si="1"/>
        <v>#N/A</v>
      </c>
      <c r="J35" s="176" t="e">
        <f t="shared" si="2"/>
        <v>#N/A</v>
      </c>
      <c r="Q35" s="46" t="s">
        <v>191</v>
      </c>
      <c r="R35">
        <v>0.8</v>
      </c>
      <c r="S35">
        <v>0.33</v>
      </c>
      <c r="T35">
        <v>0.65</v>
      </c>
    </row>
    <row r="36" spans="1:20" x14ac:dyDescent="0.2">
      <c r="A36">
        <f>Исходн.данные.!T55</f>
        <v>0</v>
      </c>
      <c r="B36">
        <f>Исходн.данные.!AJ55</f>
        <v>0</v>
      </c>
      <c r="C36">
        <f>Исходн.данные.!U55</f>
        <v>0</v>
      </c>
      <c r="D36" s="175" t="e">
        <f>Расчет!BD55</f>
        <v>#N/A</v>
      </c>
      <c r="H36" s="176" t="e">
        <f t="shared" si="0"/>
        <v>#N/A</v>
      </c>
      <c r="I36" s="176" t="e">
        <f t="shared" si="1"/>
        <v>#N/A</v>
      </c>
      <c r="J36" s="176" t="e">
        <f t="shared" si="2"/>
        <v>#N/A</v>
      </c>
      <c r="Q36" s="46" t="s">
        <v>149</v>
      </c>
      <c r="R36">
        <v>0.9</v>
      </c>
      <c r="S36">
        <v>0.35</v>
      </c>
      <c r="T36">
        <v>0.83</v>
      </c>
    </row>
    <row r="37" spans="1:20" x14ac:dyDescent="0.2">
      <c r="A37">
        <f>Исходн.данные.!T56</f>
        <v>0</v>
      </c>
      <c r="B37">
        <f>Исходн.данные.!AJ56</f>
        <v>0</v>
      </c>
      <c r="C37">
        <f>Исходн.данные.!U56</f>
        <v>0</v>
      </c>
      <c r="D37" s="175" t="e">
        <f>Расчет!BD56</f>
        <v>#N/A</v>
      </c>
      <c r="H37" s="176" t="e">
        <f t="shared" si="0"/>
        <v>#N/A</v>
      </c>
      <c r="I37" s="176" t="e">
        <f t="shared" si="1"/>
        <v>#N/A</v>
      </c>
      <c r="J37" s="176" t="e">
        <f t="shared" si="2"/>
        <v>#N/A</v>
      </c>
      <c r="Q37" s="46" t="s">
        <v>69</v>
      </c>
      <c r="R37">
        <v>1.8</v>
      </c>
      <c r="S37">
        <v>0.9</v>
      </c>
      <c r="T37">
        <v>1.25</v>
      </c>
    </row>
    <row r="38" spans="1:20" x14ac:dyDescent="0.2">
      <c r="A38">
        <f>Исходн.данные.!T57</f>
        <v>0</v>
      </c>
      <c r="B38">
        <f>Исходн.данные.!AJ57</f>
        <v>0</v>
      </c>
      <c r="C38">
        <f>Исходн.данные.!U57</f>
        <v>0</v>
      </c>
      <c r="D38" s="175" t="e">
        <f>Расчет!BD57</f>
        <v>#N/A</v>
      </c>
      <c r="H38" s="176" t="e">
        <f t="shared" si="0"/>
        <v>#N/A</v>
      </c>
      <c r="I38" s="176" t="e">
        <f t="shared" si="1"/>
        <v>#N/A</v>
      </c>
      <c r="J38" s="176" t="e">
        <f t="shared" si="2"/>
        <v>#N/A</v>
      </c>
      <c r="Q38" s="46" t="s">
        <v>130</v>
      </c>
      <c r="R38">
        <v>0.68</v>
      </c>
      <c r="S38">
        <v>0.3</v>
      </c>
      <c r="T38">
        <v>0.85</v>
      </c>
    </row>
    <row r="39" spans="1:20" x14ac:dyDescent="0.2">
      <c r="A39">
        <f>Исходн.данные.!T58</f>
        <v>0</v>
      </c>
      <c r="B39">
        <f>Исходн.данные.!AJ58</f>
        <v>0</v>
      </c>
      <c r="C39">
        <f>Исходн.данные.!U58</f>
        <v>0</v>
      </c>
      <c r="D39" s="175" t="e">
        <f>Расчет!BD58</f>
        <v>#N/A</v>
      </c>
      <c r="H39" s="176" t="e">
        <f t="shared" si="0"/>
        <v>#N/A</v>
      </c>
      <c r="I39" s="176" t="e">
        <f t="shared" si="1"/>
        <v>#N/A</v>
      </c>
      <c r="J39" s="176" t="e">
        <f t="shared" si="2"/>
        <v>#N/A</v>
      </c>
      <c r="Q39" s="46" t="s">
        <v>150</v>
      </c>
      <c r="R39">
        <v>1.8</v>
      </c>
      <c r="S39">
        <v>0.9</v>
      </c>
      <c r="T39">
        <v>1.25</v>
      </c>
    </row>
    <row r="40" spans="1:20" x14ac:dyDescent="0.2">
      <c r="A40">
        <f>Исходн.данные.!T59</f>
        <v>0</v>
      </c>
      <c r="B40">
        <f>Исходн.данные.!AJ59</f>
        <v>0</v>
      </c>
      <c r="C40">
        <f>Исходн.данные.!U59</f>
        <v>0</v>
      </c>
      <c r="D40" s="175" t="e">
        <f>Расчет!BD59</f>
        <v>#N/A</v>
      </c>
      <c r="H40" s="176" t="e">
        <f t="shared" si="0"/>
        <v>#N/A</v>
      </c>
      <c r="I40" s="176" t="e">
        <f t="shared" si="1"/>
        <v>#N/A</v>
      </c>
      <c r="J40" s="176" t="e">
        <f t="shared" si="2"/>
        <v>#N/A</v>
      </c>
      <c r="Q40" s="46" t="s">
        <v>131</v>
      </c>
      <c r="R40">
        <v>1.8</v>
      </c>
      <c r="S40">
        <v>0.9</v>
      </c>
      <c r="T40">
        <v>1.25</v>
      </c>
    </row>
    <row r="41" spans="1:20" x14ac:dyDescent="0.2">
      <c r="A41">
        <f>Исходн.данные.!T60</f>
        <v>0</v>
      </c>
      <c r="B41">
        <f>Исходн.данные.!AJ60</f>
        <v>0</v>
      </c>
      <c r="C41">
        <f>Исходн.данные.!U60</f>
        <v>0</v>
      </c>
      <c r="D41" s="175" t="e">
        <f>Расчет!BD60</f>
        <v>#N/A</v>
      </c>
      <c r="H41" s="176" t="e">
        <f t="shared" si="0"/>
        <v>#N/A</v>
      </c>
      <c r="I41" s="176" t="e">
        <f t="shared" si="1"/>
        <v>#N/A</v>
      </c>
      <c r="J41" s="176" t="e">
        <f t="shared" si="2"/>
        <v>#N/A</v>
      </c>
      <c r="Q41" s="46" t="s">
        <v>190</v>
      </c>
    </row>
    <row r="42" spans="1:20" x14ac:dyDescent="0.2">
      <c r="A42">
        <f>Исходн.данные.!T61</f>
        <v>0</v>
      </c>
      <c r="B42">
        <f>Исходн.данные.!AJ61</f>
        <v>0</v>
      </c>
      <c r="C42">
        <f>Исходн.данные.!U61</f>
        <v>0</v>
      </c>
      <c r="D42" s="175" t="e">
        <f>Расчет!BD61</f>
        <v>#N/A</v>
      </c>
      <c r="H42" s="176" t="e">
        <f t="shared" si="0"/>
        <v>#N/A</v>
      </c>
      <c r="I42" s="176" t="e">
        <f t="shared" si="1"/>
        <v>#N/A</v>
      </c>
      <c r="J42" s="176" t="e">
        <f t="shared" si="2"/>
        <v>#N/A</v>
      </c>
      <c r="Q42" s="46" t="s">
        <v>57</v>
      </c>
      <c r="R42">
        <v>0.8</v>
      </c>
      <c r="S42">
        <v>0.33</v>
      </c>
      <c r="T42">
        <v>0.65</v>
      </c>
    </row>
    <row r="43" spans="1:20" x14ac:dyDescent="0.2">
      <c r="A43">
        <f>Исходн.данные.!T62</f>
        <v>0</v>
      </c>
      <c r="B43">
        <f>Исходн.данные.!AJ62</f>
        <v>0</v>
      </c>
      <c r="C43">
        <f>Исходн.данные.!U62</f>
        <v>0</v>
      </c>
      <c r="D43" s="175" t="e">
        <f>Расчет!BD62</f>
        <v>#N/A</v>
      </c>
      <c r="H43" s="176" t="e">
        <f t="shared" si="0"/>
        <v>#N/A</v>
      </c>
      <c r="I43" s="176" t="e">
        <f t="shared" si="1"/>
        <v>#N/A</v>
      </c>
      <c r="J43" s="176" t="e">
        <f t="shared" si="2"/>
        <v>#N/A</v>
      </c>
      <c r="Q43" s="46" t="s">
        <v>59</v>
      </c>
      <c r="R43">
        <v>0.8</v>
      </c>
      <c r="S43">
        <v>0.33</v>
      </c>
      <c r="T43">
        <v>0.65</v>
      </c>
    </row>
    <row r="44" spans="1:20" x14ac:dyDescent="0.2">
      <c r="D44" s="109"/>
      <c r="H44" s="176">
        <f t="shared" si="0"/>
        <v>0</v>
      </c>
      <c r="I44" s="176">
        <f t="shared" si="1"/>
        <v>0</v>
      </c>
      <c r="J44" s="176">
        <f t="shared" si="2"/>
        <v>0</v>
      </c>
    </row>
  </sheetData>
  <sheetProtection sheet="1" objects="1" scenarios="1"/>
  <mergeCells count="7">
    <mergeCell ref="D1:D2"/>
    <mergeCell ref="B1:B2"/>
    <mergeCell ref="A1:A2"/>
    <mergeCell ref="C1:C2"/>
    <mergeCell ref="R1:T1"/>
    <mergeCell ref="H1:J1"/>
    <mergeCell ref="E1:G1"/>
  </mergeCells>
  <phoneticPr fontId="5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56"/>
  <sheetViews>
    <sheetView zoomScale="78" zoomScaleNormal="78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2" sqref="G2:H2"/>
    </sheetView>
  </sheetViews>
  <sheetFormatPr defaultRowHeight="12.75" x14ac:dyDescent="0.2"/>
  <cols>
    <col min="1" max="1" width="11.85546875" customWidth="1"/>
    <col min="8" max="8" width="9.42578125" customWidth="1"/>
    <col min="19" max="19" width="22.7109375" customWidth="1"/>
    <col min="20" max="20" width="7.42578125" customWidth="1"/>
    <col min="21" max="21" width="6" customWidth="1"/>
    <col min="22" max="23" width="5.85546875" customWidth="1"/>
    <col min="24" max="25" width="6.140625" customWidth="1"/>
    <col min="26" max="26" width="9.28515625" customWidth="1"/>
    <col min="27" max="27" width="10.5703125" customWidth="1"/>
    <col min="28" max="28" width="10.7109375" customWidth="1"/>
    <col min="29" max="29" width="10.28515625" customWidth="1"/>
    <col min="32" max="32" width="60.7109375" customWidth="1"/>
    <col min="33" max="33" width="5.140625" customWidth="1"/>
    <col min="34" max="34" width="7.85546875" customWidth="1"/>
  </cols>
  <sheetData>
    <row r="1" spans="1:37" ht="15.75" x14ac:dyDescent="0.25">
      <c r="E1" s="353" t="s">
        <v>466</v>
      </c>
      <c r="F1" s="353"/>
      <c r="G1" s="353"/>
      <c r="H1" s="353"/>
      <c r="I1" t="s">
        <v>370</v>
      </c>
      <c r="J1" t="s">
        <v>371</v>
      </c>
      <c r="L1" s="374" t="s">
        <v>420</v>
      </c>
      <c r="M1" s="374"/>
      <c r="N1" s="374"/>
      <c r="O1" s="374"/>
      <c r="P1" s="374"/>
      <c r="Q1" s="374"/>
      <c r="AA1" s="3" t="s">
        <v>426</v>
      </c>
      <c r="AB1" s="367" t="s">
        <v>432</v>
      </c>
      <c r="AC1" s="367"/>
      <c r="AD1" s="367"/>
      <c r="AF1" s="161" t="s">
        <v>408</v>
      </c>
    </row>
    <row r="2" spans="1:37" ht="16.5" thickBot="1" x14ac:dyDescent="0.3">
      <c r="B2" s="380" t="s">
        <v>377</v>
      </c>
      <c r="C2" s="380"/>
      <c r="D2" s="380"/>
      <c r="E2" s="374" t="s">
        <v>378</v>
      </c>
      <c r="F2" s="374"/>
      <c r="G2" s="374" t="s">
        <v>467</v>
      </c>
      <c r="H2" s="374"/>
      <c r="I2" t="s">
        <v>372</v>
      </c>
      <c r="L2" s="374" t="s">
        <v>421</v>
      </c>
      <c r="M2" s="374"/>
      <c r="N2" s="374"/>
      <c r="O2" s="374" t="s">
        <v>424</v>
      </c>
      <c r="P2" s="374"/>
      <c r="Q2" s="374"/>
      <c r="AA2" s="4" t="s">
        <v>427</v>
      </c>
      <c r="AB2" s="369" t="s">
        <v>433</v>
      </c>
      <c r="AC2" s="369"/>
      <c r="AD2" s="369"/>
      <c r="AF2" s="161" t="s">
        <v>409</v>
      </c>
    </row>
    <row r="3" spans="1:37" ht="19.5" thickBot="1" x14ac:dyDescent="0.25">
      <c r="B3" s="14" t="s">
        <v>29</v>
      </c>
      <c r="C3" s="14" t="s">
        <v>30</v>
      </c>
      <c r="D3" s="14" t="s">
        <v>31</v>
      </c>
      <c r="E3" s="14" t="s">
        <v>30</v>
      </c>
      <c r="F3" s="14" t="s">
        <v>31</v>
      </c>
      <c r="G3" s="14" t="s">
        <v>30</v>
      </c>
      <c r="H3" s="14" t="s">
        <v>31</v>
      </c>
      <c r="I3" t="s">
        <v>373</v>
      </c>
      <c r="J3" t="s">
        <v>373</v>
      </c>
      <c r="K3" t="s">
        <v>374</v>
      </c>
      <c r="L3" s="167">
        <v>1</v>
      </c>
      <c r="M3" s="167">
        <v>2</v>
      </c>
      <c r="N3" s="167">
        <v>3</v>
      </c>
      <c r="O3" s="14" t="s">
        <v>29</v>
      </c>
      <c r="P3" s="14" t="s">
        <v>30</v>
      </c>
      <c r="Q3" s="14" t="s">
        <v>31</v>
      </c>
      <c r="AA3" s="5"/>
      <c r="AB3" s="18" t="s">
        <v>29</v>
      </c>
      <c r="AC3" s="28" t="s">
        <v>96</v>
      </c>
      <c r="AD3" s="28" t="s">
        <v>97</v>
      </c>
      <c r="AF3" s="162" t="s">
        <v>410</v>
      </c>
      <c r="AG3" s="163" t="s">
        <v>411</v>
      </c>
      <c r="AH3" s="163" t="s">
        <v>412</v>
      </c>
      <c r="AJ3" s="76" t="s">
        <v>71</v>
      </c>
    </row>
    <row r="4" spans="1:37" ht="32.25" thickBot="1" x14ac:dyDescent="0.25">
      <c r="A4" t="s">
        <v>462</v>
      </c>
      <c r="B4" s="191">
        <f>B5*7</f>
        <v>1.8900000000000001</v>
      </c>
      <c r="C4" s="191">
        <f>C5*5</f>
        <v>1</v>
      </c>
      <c r="D4" s="191">
        <f>D5*5</f>
        <v>4</v>
      </c>
      <c r="E4" s="189">
        <v>5</v>
      </c>
      <c r="F4" s="189">
        <v>20</v>
      </c>
      <c r="G4" s="166">
        <f>E4/$E$26</f>
        <v>0.83333333333333337</v>
      </c>
      <c r="H4" s="166">
        <f>F4/$F$26</f>
        <v>2</v>
      </c>
      <c r="I4">
        <v>1</v>
      </c>
      <c r="J4" s="314">
        <v>1</v>
      </c>
      <c r="K4">
        <v>1</v>
      </c>
      <c r="L4" s="60">
        <v>0.5</v>
      </c>
      <c r="M4" s="202">
        <v>1.48</v>
      </c>
      <c r="N4" s="200">
        <v>1.4999999999999999E-2</v>
      </c>
      <c r="O4">
        <v>0.68</v>
      </c>
      <c r="P4">
        <v>0.3</v>
      </c>
      <c r="Q4">
        <v>0.85</v>
      </c>
      <c r="AA4" s="6" t="s">
        <v>428</v>
      </c>
      <c r="AB4" s="28">
        <v>4.5</v>
      </c>
      <c r="AC4" s="28">
        <v>2.5</v>
      </c>
      <c r="AD4" s="28">
        <v>5</v>
      </c>
      <c r="AF4" s="164" t="s">
        <v>413</v>
      </c>
      <c r="AG4" s="209">
        <v>6</v>
      </c>
      <c r="AH4" s="209">
        <v>10</v>
      </c>
      <c r="AJ4" s="76" t="s">
        <v>56</v>
      </c>
    </row>
    <row r="5" spans="1:37" ht="16.5" thickBot="1" x14ac:dyDescent="0.3">
      <c r="A5" s="190" t="s">
        <v>463</v>
      </c>
      <c r="B5" s="189">
        <v>0.27</v>
      </c>
      <c r="C5" s="189">
        <v>0.2</v>
      </c>
      <c r="D5" s="189">
        <v>0.8</v>
      </c>
      <c r="E5" s="189">
        <v>5</v>
      </c>
      <c r="F5" s="189">
        <v>20</v>
      </c>
      <c r="G5" s="166">
        <f t="shared" ref="G5:G46" si="0">E5/$E$26</f>
        <v>0.83333333333333337</v>
      </c>
      <c r="H5" s="166">
        <f t="shared" ref="H5:H46" si="1">F5/$F$26</f>
        <v>2</v>
      </c>
      <c r="I5">
        <v>1</v>
      </c>
      <c r="J5">
        <v>1</v>
      </c>
      <c r="K5">
        <v>1</v>
      </c>
      <c r="L5" s="60">
        <v>2</v>
      </c>
      <c r="M5" s="202">
        <v>0.183</v>
      </c>
      <c r="N5" s="200">
        <v>2.0000000000000001E-4</v>
      </c>
      <c r="O5">
        <v>0.68</v>
      </c>
      <c r="P5">
        <v>0.3</v>
      </c>
      <c r="Q5">
        <v>0.85</v>
      </c>
      <c r="AA5" s="3" t="s">
        <v>429</v>
      </c>
      <c r="AB5" s="16"/>
      <c r="AC5" s="16"/>
      <c r="AD5" s="16"/>
      <c r="AF5" s="165" t="s">
        <v>414</v>
      </c>
      <c r="AG5" s="210">
        <v>3</v>
      </c>
      <c r="AH5" s="210">
        <v>6</v>
      </c>
      <c r="AJ5" s="76" t="s">
        <v>58</v>
      </c>
    </row>
    <row r="6" spans="1:37" ht="16.5" thickBot="1" x14ac:dyDescent="0.25">
      <c r="A6" s="46" t="s">
        <v>144</v>
      </c>
      <c r="B6" s="14">
        <v>2</v>
      </c>
      <c r="C6" s="14">
        <v>1.8</v>
      </c>
      <c r="D6" s="14">
        <v>2</v>
      </c>
      <c r="E6" s="14">
        <v>6</v>
      </c>
      <c r="F6" s="14">
        <v>10</v>
      </c>
      <c r="G6" s="166">
        <f t="shared" si="0"/>
        <v>1</v>
      </c>
      <c r="H6" s="166">
        <f t="shared" si="1"/>
        <v>1</v>
      </c>
      <c r="I6">
        <v>1</v>
      </c>
      <c r="J6">
        <v>1</v>
      </c>
      <c r="K6">
        <v>1</v>
      </c>
      <c r="L6" s="60">
        <v>0.24</v>
      </c>
      <c r="M6" s="202">
        <v>1.53</v>
      </c>
      <c r="N6" s="200">
        <v>0.01</v>
      </c>
      <c r="O6">
        <v>0.9</v>
      </c>
      <c r="P6">
        <v>0.35</v>
      </c>
      <c r="Q6">
        <v>0.83</v>
      </c>
      <c r="AA6" s="4" t="s">
        <v>430</v>
      </c>
      <c r="AB6" s="8">
        <v>5</v>
      </c>
      <c r="AC6" s="8">
        <v>1.33</v>
      </c>
      <c r="AD6" s="8">
        <v>3.63</v>
      </c>
      <c r="AF6" s="164" t="s">
        <v>415</v>
      </c>
      <c r="AG6" s="209">
        <v>5</v>
      </c>
      <c r="AH6" s="209">
        <v>20</v>
      </c>
      <c r="AJ6" s="76" t="s">
        <v>93</v>
      </c>
    </row>
    <row r="7" spans="1:37" ht="16.5" thickBot="1" x14ac:dyDescent="0.25">
      <c r="A7" s="46" t="s">
        <v>60</v>
      </c>
      <c r="B7" s="14">
        <v>2.1</v>
      </c>
      <c r="C7" s="14">
        <v>2</v>
      </c>
      <c r="D7" s="14">
        <v>2</v>
      </c>
      <c r="E7" s="14">
        <v>6</v>
      </c>
      <c r="F7" s="14">
        <v>10</v>
      </c>
      <c r="G7" s="166">
        <f t="shared" si="0"/>
        <v>1</v>
      </c>
      <c r="H7" s="166">
        <f t="shared" si="1"/>
        <v>1</v>
      </c>
      <c r="I7">
        <v>1</v>
      </c>
      <c r="J7">
        <v>1</v>
      </c>
      <c r="K7">
        <v>1</v>
      </c>
      <c r="L7" s="60">
        <v>0.24</v>
      </c>
      <c r="M7" s="202">
        <v>1.53</v>
      </c>
      <c r="N7" s="200">
        <v>0.01</v>
      </c>
      <c r="O7">
        <v>0.9</v>
      </c>
      <c r="P7">
        <v>0.35</v>
      </c>
      <c r="Q7">
        <v>0.83</v>
      </c>
      <c r="AA7" s="3" t="s">
        <v>429</v>
      </c>
      <c r="AB7" s="16"/>
      <c r="AC7" s="16"/>
      <c r="AD7" s="16"/>
      <c r="AF7" s="164" t="s">
        <v>416</v>
      </c>
      <c r="AG7" s="209">
        <v>7</v>
      </c>
      <c r="AH7" s="209" t="s">
        <v>417</v>
      </c>
      <c r="AJ7" s="76" t="s">
        <v>62</v>
      </c>
    </row>
    <row r="8" spans="1:37" ht="16.5" thickBot="1" x14ac:dyDescent="0.25">
      <c r="A8" s="46" t="s">
        <v>61</v>
      </c>
      <c r="B8" s="14">
        <v>2.9</v>
      </c>
      <c r="C8" s="14">
        <v>1.7</v>
      </c>
      <c r="D8" s="14">
        <v>4</v>
      </c>
      <c r="E8" s="14">
        <v>6</v>
      </c>
      <c r="F8" s="14">
        <v>10</v>
      </c>
      <c r="G8" s="166">
        <f t="shared" si="0"/>
        <v>1</v>
      </c>
      <c r="H8" s="166">
        <f t="shared" si="1"/>
        <v>1</v>
      </c>
      <c r="I8">
        <v>1</v>
      </c>
      <c r="J8">
        <v>1</v>
      </c>
      <c r="K8">
        <v>1</v>
      </c>
      <c r="L8" s="60">
        <v>-0.4</v>
      </c>
      <c r="M8" s="202">
        <v>2.39</v>
      </c>
      <c r="N8" s="200">
        <v>2.7E-2</v>
      </c>
      <c r="O8">
        <v>0.8</v>
      </c>
      <c r="P8">
        <v>0.33</v>
      </c>
      <c r="Q8">
        <v>0.65</v>
      </c>
      <c r="AA8" s="5" t="s">
        <v>431</v>
      </c>
      <c r="AB8" s="8">
        <v>5</v>
      </c>
      <c r="AC8" s="8">
        <v>2</v>
      </c>
      <c r="AD8" s="8">
        <v>10</v>
      </c>
      <c r="AF8" s="164" t="s">
        <v>418</v>
      </c>
      <c r="AG8" s="209">
        <v>5</v>
      </c>
      <c r="AH8" s="209">
        <v>20</v>
      </c>
      <c r="AJ8" s="76" t="s">
        <v>65</v>
      </c>
      <c r="AK8" s="46"/>
    </row>
    <row r="9" spans="1:37" ht="16.5" thickBot="1" x14ac:dyDescent="0.25">
      <c r="A9" s="46" t="s">
        <v>68</v>
      </c>
      <c r="B9" s="149">
        <v>0.46</v>
      </c>
      <c r="C9" s="149">
        <v>0.18</v>
      </c>
      <c r="D9" s="149">
        <v>0.44</v>
      </c>
      <c r="E9" s="14">
        <v>5</v>
      </c>
      <c r="F9" s="14">
        <v>20</v>
      </c>
      <c r="G9" s="166">
        <f t="shared" si="0"/>
        <v>0.83333333333333337</v>
      </c>
      <c r="H9" s="166">
        <f t="shared" si="1"/>
        <v>2</v>
      </c>
      <c r="I9">
        <v>1</v>
      </c>
      <c r="J9">
        <v>1</v>
      </c>
      <c r="K9">
        <v>1</v>
      </c>
      <c r="L9" s="60">
        <v>2</v>
      </c>
      <c r="M9" s="202">
        <v>0.183</v>
      </c>
      <c r="N9" s="200">
        <v>2.0000000000000001E-4</v>
      </c>
      <c r="O9">
        <f>O16</f>
        <v>0.68</v>
      </c>
      <c r="P9">
        <f>P16</f>
        <v>0.3</v>
      </c>
      <c r="Q9">
        <f>Q16</f>
        <v>0.85</v>
      </c>
      <c r="AA9" s="173" t="s">
        <v>434</v>
      </c>
      <c r="AB9" s="138">
        <v>50</v>
      </c>
      <c r="AC9" s="173" t="s">
        <v>435</v>
      </c>
      <c r="AD9" s="173" t="s">
        <v>439</v>
      </c>
      <c r="AF9" s="164" t="s">
        <v>419</v>
      </c>
      <c r="AG9" s="209">
        <v>6</v>
      </c>
      <c r="AH9" s="209">
        <v>10</v>
      </c>
      <c r="AJ9" s="76" t="s">
        <v>151</v>
      </c>
      <c r="AK9" s="41"/>
    </row>
    <row r="10" spans="1:37" x14ac:dyDescent="0.2">
      <c r="A10" s="46" t="s">
        <v>133</v>
      </c>
      <c r="B10" s="14">
        <v>0.48</v>
      </c>
      <c r="C10" s="14">
        <v>0.13</v>
      </c>
      <c r="D10" s="14">
        <v>0.27</v>
      </c>
      <c r="E10" s="14">
        <v>5</v>
      </c>
      <c r="F10" s="14">
        <v>20</v>
      </c>
      <c r="G10" s="166">
        <f t="shared" si="0"/>
        <v>0.83333333333333337</v>
      </c>
      <c r="H10" s="166">
        <f t="shared" si="1"/>
        <v>2</v>
      </c>
      <c r="I10">
        <v>1</v>
      </c>
      <c r="J10">
        <v>1.3</v>
      </c>
      <c r="K10">
        <v>1</v>
      </c>
      <c r="L10" s="60">
        <v>6.09</v>
      </c>
      <c r="M10" s="202">
        <v>0.4</v>
      </c>
      <c r="N10" s="200">
        <v>5.0000000000000001E-4</v>
      </c>
      <c r="O10">
        <v>1.8</v>
      </c>
      <c r="P10">
        <v>0.9</v>
      </c>
      <c r="Q10">
        <v>1.25</v>
      </c>
      <c r="AA10" s="170" t="s">
        <v>40</v>
      </c>
      <c r="AB10" s="138">
        <v>15</v>
      </c>
      <c r="AC10" s="6">
        <v>15</v>
      </c>
      <c r="AD10" s="6"/>
    </row>
    <row r="11" spans="1:37" x14ac:dyDescent="0.2">
      <c r="A11" s="54" t="s">
        <v>127</v>
      </c>
      <c r="B11" s="14">
        <v>0.4</v>
      </c>
      <c r="C11" s="14">
        <v>0.2</v>
      </c>
      <c r="D11" s="14">
        <v>0.5</v>
      </c>
      <c r="E11" s="14">
        <v>7</v>
      </c>
      <c r="F11" s="14">
        <v>22.5</v>
      </c>
      <c r="G11" s="166">
        <f t="shared" si="0"/>
        <v>1.1666666666666667</v>
      </c>
      <c r="H11" s="166">
        <f t="shared" si="1"/>
        <v>2.25</v>
      </c>
      <c r="I11">
        <v>1</v>
      </c>
      <c r="J11">
        <v>1</v>
      </c>
      <c r="K11">
        <v>1</v>
      </c>
      <c r="L11" s="60">
        <v>2.83</v>
      </c>
      <c r="M11" s="202">
        <v>0.193</v>
      </c>
      <c r="N11" s="200">
        <v>2.0000000000000001E-4</v>
      </c>
      <c r="O11">
        <v>0.68</v>
      </c>
      <c r="P11">
        <v>0.3</v>
      </c>
      <c r="Q11">
        <v>0.85</v>
      </c>
      <c r="AA11" s="171" t="s">
        <v>442</v>
      </c>
      <c r="AB11" s="172" t="s">
        <v>436</v>
      </c>
      <c r="AC11" s="172" t="s">
        <v>437</v>
      </c>
      <c r="AE11" s="174" t="s">
        <v>440</v>
      </c>
    </row>
    <row r="12" spans="1:37" x14ac:dyDescent="0.2">
      <c r="A12" s="46" t="s">
        <v>158</v>
      </c>
      <c r="B12" s="149" t="s">
        <v>379</v>
      </c>
      <c r="C12" s="149" t="s">
        <v>379</v>
      </c>
      <c r="D12" s="149" t="s">
        <v>379</v>
      </c>
      <c r="E12" s="14">
        <v>6</v>
      </c>
      <c r="F12" s="14">
        <v>10</v>
      </c>
      <c r="G12" s="166">
        <f t="shared" si="0"/>
        <v>1</v>
      </c>
      <c r="H12" s="166">
        <f t="shared" si="1"/>
        <v>1</v>
      </c>
      <c r="I12">
        <v>1</v>
      </c>
      <c r="J12">
        <v>1.3</v>
      </c>
      <c r="K12">
        <v>1</v>
      </c>
      <c r="L12" s="60">
        <v>-2.02</v>
      </c>
      <c r="M12" s="202">
        <v>2.4220000000000002</v>
      </c>
      <c r="N12" s="200">
        <v>1.2E-2</v>
      </c>
      <c r="O12">
        <v>1.8</v>
      </c>
      <c r="P12">
        <v>0.9</v>
      </c>
      <c r="Q12">
        <v>1.25</v>
      </c>
      <c r="AA12" s="148" t="s">
        <v>441</v>
      </c>
      <c r="AB12" s="172" t="s">
        <v>438</v>
      </c>
      <c r="AC12" s="172"/>
      <c r="AF12" s="46" t="s">
        <v>55</v>
      </c>
    </row>
    <row r="13" spans="1:37" x14ac:dyDescent="0.2">
      <c r="A13" s="46" t="s">
        <v>135</v>
      </c>
      <c r="B13" s="14">
        <v>2.13</v>
      </c>
      <c r="C13" s="14">
        <v>0.62</v>
      </c>
      <c r="D13" s="14">
        <v>1.68</v>
      </c>
      <c r="E13" s="14">
        <v>6</v>
      </c>
      <c r="F13" s="14">
        <v>10</v>
      </c>
      <c r="G13" s="166">
        <f t="shared" si="0"/>
        <v>1</v>
      </c>
      <c r="H13" s="166">
        <f t="shared" si="1"/>
        <v>1</v>
      </c>
      <c r="I13">
        <v>1</v>
      </c>
      <c r="J13">
        <v>1.3</v>
      </c>
      <c r="K13">
        <v>1</v>
      </c>
      <c r="L13" s="60">
        <v>-2.02</v>
      </c>
      <c r="M13" s="202">
        <v>2.4220000000000002</v>
      </c>
      <c r="N13" s="200">
        <v>1.2E-2</v>
      </c>
      <c r="O13">
        <v>1.8</v>
      </c>
      <c r="P13">
        <v>0.9</v>
      </c>
      <c r="Q13">
        <v>1.25</v>
      </c>
      <c r="AF13" s="46" t="s">
        <v>67</v>
      </c>
    </row>
    <row r="14" spans="1:37" x14ac:dyDescent="0.2">
      <c r="A14" s="46" t="s">
        <v>143</v>
      </c>
      <c r="B14" s="14">
        <v>0.3</v>
      </c>
      <c r="C14" s="14">
        <v>0.15</v>
      </c>
      <c r="D14" s="14">
        <v>0.7</v>
      </c>
      <c r="E14" s="14">
        <v>7</v>
      </c>
      <c r="F14" s="14">
        <v>22.5</v>
      </c>
      <c r="G14" s="166">
        <f t="shared" si="0"/>
        <v>1.1666666666666667</v>
      </c>
      <c r="H14" s="166">
        <f t="shared" si="1"/>
        <v>2.25</v>
      </c>
      <c r="I14">
        <v>1</v>
      </c>
      <c r="J14">
        <v>1</v>
      </c>
      <c r="K14">
        <v>1</v>
      </c>
      <c r="L14" s="60">
        <v>-30.5</v>
      </c>
      <c r="M14" s="202">
        <v>0.224</v>
      </c>
      <c r="N14" s="200">
        <v>1.7000000000000001E-4</v>
      </c>
      <c r="O14">
        <v>0.68</v>
      </c>
      <c r="P14">
        <v>0.3</v>
      </c>
      <c r="Q14">
        <v>0.85</v>
      </c>
      <c r="T14" t="s">
        <v>54</v>
      </c>
      <c r="U14" t="s">
        <v>262</v>
      </c>
      <c r="V14" t="s">
        <v>54</v>
      </c>
      <c r="W14" t="s">
        <v>262</v>
      </c>
      <c r="X14" t="s">
        <v>54</v>
      </c>
      <c r="Y14" t="s">
        <v>262</v>
      </c>
      <c r="AE14" s="102" t="s">
        <v>110</v>
      </c>
      <c r="AF14" s="46" t="s">
        <v>57</v>
      </c>
    </row>
    <row r="15" spans="1:37" x14ac:dyDescent="0.2">
      <c r="A15" s="46" t="s">
        <v>146</v>
      </c>
      <c r="B15" s="14">
        <v>3</v>
      </c>
      <c r="C15" s="14">
        <v>1</v>
      </c>
      <c r="D15" s="14">
        <v>2.9</v>
      </c>
      <c r="E15" s="14">
        <v>6</v>
      </c>
      <c r="F15" s="14">
        <v>25</v>
      </c>
      <c r="G15" s="166">
        <f t="shared" si="0"/>
        <v>1</v>
      </c>
      <c r="H15" s="166">
        <f t="shared" si="1"/>
        <v>2.5</v>
      </c>
      <c r="I15">
        <v>1</v>
      </c>
      <c r="J15">
        <v>1</v>
      </c>
      <c r="K15">
        <v>1</v>
      </c>
      <c r="L15" s="60">
        <v>0.5</v>
      </c>
      <c r="M15" s="202">
        <v>1.48</v>
      </c>
      <c r="N15" s="200">
        <v>1.4999999999999999E-2</v>
      </c>
      <c r="O15">
        <v>0.68</v>
      </c>
      <c r="P15">
        <v>0.3</v>
      </c>
      <c r="Q15">
        <v>0.85</v>
      </c>
      <c r="S15" s="381" t="s">
        <v>381</v>
      </c>
      <c r="T15" s="382"/>
      <c r="U15" s="382"/>
      <c r="V15" s="382"/>
      <c r="W15" s="382"/>
      <c r="X15" s="383"/>
      <c r="Y15" s="241"/>
      <c r="AA15" t="s">
        <v>448</v>
      </c>
      <c r="AE15" s="102" t="s">
        <v>111</v>
      </c>
      <c r="AF15" s="46" t="s">
        <v>59</v>
      </c>
    </row>
    <row r="16" spans="1:37" x14ac:dyDescent="0.2">
      <c r="A16" s="46" t="s">
        <v>64</v>
      </c>
      <c r="B16" s="14">
        <v>0.46</v>
      </c>
      <c r="C16" s="14">
        <v>0.18</v>
      </c>
      <c r="D16" s="14">
        <v>0.44</v>
      </c>
      <c r="E16" s="14">
        <v>5</v>
      </c>
      <c r="F16" s="14">
        <v>20</v>
      </c>
      <c r="G16" s="166">
        <f t="shared" si="0"/>
        <v>0.83333333333333337</v>
      </c>
      <c r="H16" s="166">
        <f t="shared" si="1"/>
        <v>2</v>
      </c>
      <c r="I16">
        <v>1</v>
      </c>
      <c r="J16">
        <v>1</v>
      </c>
      <c r="K16">
        <v>1</v>
      </c>
      <c r="L16" s="204">
        <v>2</v>
      </c>
      <c r="M16" s="203">
        <v>0.183</v>
      </c>
      <c r="N16" s="201">
        <v>2.0000000000000001E-4</v>
      </c>
      <c r="O16">
        <v>0.68</v>
      </c>
      <c r="P16">
        <v>0.3</v>
      </c>
      <c r="Q16">
        <v>0.85</v>
      </c>
      <c r="S16" s="379" t="s">
        <v>382</v>
      </c>
      <c r="T16" s="384" t="s">
        <v>383</v>
      </c>
      <c r="U16" s="384"/>
      <c r="V16" s="384"/>
      <c r="W16" s="384"/>
      <c r="X16" s="385"/>
      <c r="Y16" s="237"/>
      <c r="AA16" t="s">
        <v>449</v>
      </c>
      <c r="AE16" s="102" t="s">
        <v>108</v>
      </c>
      <c r="AF16" s="46" t="s">
        <v>115</v>
      </c>
    </row>
    <row r="17" spans="1:32" ht="14.25" x14ac:dyDescent="0.25">
      <c r="A17" s="46" t="s">
        <v>157</v>
      </c>
      <c r="B17" s="14">
        <v>8</v>
      </c>
      <c r="C17" s="14">
        <v>4</v>
      </c>
      <c r="D17" s="14">
        <v>7</v>
      </c>
      <c r="E17" s="14">
        <v>3</v>
      </c>
      <c r="F17" s="14">
        <v>5</v>
      </c>
      <c r="G17" s="166">
        <f t="shared" si="0"/>
        <v>0.5</v>
      </c>
      <c r="H17" s="166">
        <f t="shared" si="1"/>
        <v>0.5</v>
      </c>
      <c r="I17">
        <v>1</v>
      </c>
      <c r="J17">
        <v>1</v>
      </c>
      <c r="K17">
        <v>1</v>
      </c>
      <c r="L17" s="60">
        <v>2.09</v>
      </c>
      <c r="M17" s="202">
        <v>1.151</v>
      </c>
      <c r="N17" s="200">
        <v>6.0000000000000001E-3</v>
      </c>
      <c r="O17">
        <v>0.8</v>
      </c>
      <c r="P17">
        <v>0.33</v>
      </c>
      <c r="Q17">
        <v>0.65</v>
      </c>
      <c r="S17" s="379"/>
      <c r="T17" s="150" t="s">
        <v>29</v>
      </c>
      <c r="U17" s="237"/>
      <c r="V17" s="150" t="s">
        <v>384</v>
      </c>
      <c r="W17" s="237"/>
      <c r="X17" s="151" t="s">
        <v>385</v>
      </c>
      <c r="Y17" s="237"/>
      <c r="AA17" s="6" t="s">
        <v>450</v>
      </c>
      <c r="AB17" s="6" t="s">
        <v>451</v>
      </c>
      <c r="AC17" s="6" t="s">
        <v>452</v>
      </c>
      <c r="AE17" s="102" t="s">
        <v>114</v>
      </c>
      <c r="AF17" s="54" t="s">
        <v>61</v>
      </c>
    </row>
    <row r="18" spans="1:32" x14ac:dyDescent="0.2">
      <c r="A18" s="46" t="s">
        <v>134</v>
      </c>
      <c r="B18" s="14">
        <v>0.37</v>
      </c>
      <c r="C18" s="14">
        <v>0.15</v>
      </c>
      <c r="D18" s="14">
        <v>0.46</v>
      </c>
      <c r="E18" s="14">
        <v>7</v>
      </c>
      <c r="F18" s="14">
        <v>22.5</v>
      </c>
      <c r="G18" s="166">
        <f t="shared" si="0"/>
        <v>1.1666666666666667</v>
      </c>
      <c r="H18" s="166">
        <f t="shared" si="1"/>
        <v>2.25</v>
      </c>
      <c r="I18">
        <v>1</v>
      </c>
      <c r="J18">
        <v>1</v>
      </c>
      <c r="K18">
        <v>1</v>
      </c>
      <c r="L18" s="60">
        <v>2.83</v>
      </c>
      <c r="M18" s="202">
        <v>0.193</v>
      </c>
      <c r="N18" s="200">
        <v>2.0000000000000001E-4</v>
      </c>
      <c r="O18">
        <v>0.8</v>
      </c>
      <c r="P18">
        <v>0.33</v>
      </c>
      <c r="Q18">
        <v>0.65</v>
      </c>
      <c r="S18" s="376" t="s">
        <v>386</v>
      </c>
      <c r="T18" s="377"/>
      <c r="U18" s="377"/>
      <c r="V18" s="377"/>
      <c r="W18" s="377"/>
      <c r="X18" s="378"/>
      <c r="Y18" s="236"/>
      <c r="AA18" s="76" t="s">
        <v>71</v>
      </c>
      <c r="AB18" s="179" t="s">
        <v>453</v>
      </c>
      <c r="AC18" s="179" t="s">
        <v>457</v>
      </c>
      <c r="AE18" s="102" t="s">
        <v>109</v>
      </c>
      <c r="AF18" s="46" t="s">
        <v>138</v>
      </c>
    </row>
    <row r="19" spans="1:32" x14ac:dyDescent="0.2">
      <c r="A19" s="46" t="s">
        <v>159</v>
      </c>
      <c r="B19" s="149" t="s">
        <v>379</v>
      </c>
      <c r="C19" s="149" t="s">
        <v>379</v>
      </c>
      <c r="D19" s="149" t="s">
        <v>379</v>
      </c>
      <c r="E19" s="14">
        <v>6</v>
      </c>
      <c r="F19" s="14">
        <v>10</v>
      </c>
      <c r="G19" s="166">
        <f t="shared" si="0"/>
        <v>1</v>
      </c>
      <c r="H19" s="166">
        <f t="shared" si="1"/>
        <v>1</v>
      </c>
      <c r="I19">
        <v>1</v>
      </c>
      <c r="J19">
        <v>1.3</v>
      </c>
      <c r="K19">
        <v>1</v>
      </c>
      <c r="L19" s="60">
        <v>-2.02</v>
      </c>
      <c r="M19" s="202">
        <v>2.4220000000000002</v>
      </c>
      <c r="N19" s="200">
        <v>1.2E-2</v>
      </c>
      <c r="O19">
        <v>1.8</v>
      </c>
      <c r="P19">
        <v>0.9</v>
      </c>
      <c r="Q19">
        <v>1.25</v>
      </c>
      <c r="S19" s="152" t="s">
        <v>387</v>
      </c>
      <c r="T19" s="155" t="s">
        <v>388</v>
      </c>
      <c r="U19" s="155"/>
      <c r="V19" s="155" t="s">
        <v>389</v>
      </c>
      <c r="W19" s="155"/>
      <c r="X19" s="156" t="s">
        <v>390</v>
      </c>
      <c r="Y19" s="155"/>
      <c r="AA19" s="76" t="s">
        <v>56</v>
      </c>
      <c r="AB19" s="6" t="s">
        <v>454</v>
      </c>
      <c r="AC19" s="6" t="s">
        <v>453</v>
      </c>
      <c r="AE19" s="102" t="s">
        <v>278</v>
      </c>
      <c r="AF19" s="46" t="s">
        <v>63</v>
      </c>
    </row>
    <row r="20" spans="1:32" x14ac:dyDescent="0.2">
      <c r="A20" s="46" t="s">
        <v>70</v>
      </c>
      <c r="B20" s="14">
        <v>2.71</v>
      </c>
      <c r="C20" s="14">
        <v>0.68</v>
      </c>
      <c r="D20" s="14">
        <v>1.62</v>
      </c>
      <c r="E20" s="14">
        <v>6</v>
      </c>
      <c r="F20" s="14">
        <v>10</v>
      </c>
      <c r="G20" s="166">
        <f t="shared" si="0"/>
        <v>1</v>
      </c>
      <c r="H20" s="166">
        <f t="shared" si="1"/>
        <v>1</v>
      </c>
      <c r="I20">
        <v>1</v>
      </c>
      <c r="J20">
        <v>1.3</v>
      </c>
      <c r="K20">
        <v>1</v>
      </c>
      <c r="L20" s="60">
        <v>-2.02</v>
      </c>
      <c r="M20" s="202">
        <v>2.4220000000000002</v>
      </c>
      <c r="N20" s="200">
        <v>1.2E-2</v>
      </c>
      <c r="O20">
        <v>1.8</v>
      </c>
      <c r="P20">
        <v>0.9</v>
      </c>
      <c r="Q20">
        <v>1.25</v>
      </c>
      <c r="S20" s="153" t="s">
        <v>391</v>
      </c>
      <c r="T20" s="157" t="s">
        <v>392</v>
      </c>
      <c r="U20" s="157"/>
      <c r="V20" s="157" t="s">
        <v>405</v>
      </c>
      <c r="W20" s="157"/>
      <c r="X20" s="158" t="s">
        <v>393</v>
      </c>
      <c r="Y20" s="157"/>
      <c r="AA20" s="76" t="s">
        <v>58</v>
      </c>
      <c r="AB20" s="6" t="s">
        <v>455</v>
      </c>
      <c r="AC20" s="6" t="s">
        <v>458</v>
      </c>
      <c r="AE20" s="102" t="s">
        <v>122</v>
      </c>
      <c r="AF20" s="46" t="s">
        <v>60</v>
      </c>
    </row>
    <row r="21" spans="1:32" x14ac:dyDescent="0.2">
      <c r="A21" s="46" t="s">
        <v>147</v>
      </c>
      <c r="B21" s="149" t="s">
        <v>379</v>
      </c>
      <c r="C21" s="149" t="s">
        <v>379</v>
      </c>
      <c r="D21" s="149" t="s">
        <v>379</v>
      </c>
      <c r="E21" s="14">
        <v>6</v>
      </c>
      <c r="F21" s="14">
        <v>10</v>
      </c>
      <c r="G21" s="166">
        <f t="shared" si="0"/>
        <v>1</v>
      </c>
      <c r="H21" s="166">
        <f t="shared" si="1"/>
        <v>1</v>
      </c>
      <c r="I21">
        <v>1</v>
      </c>
      <c r="J21">
        <v>1</v>
      </c>
      <c r="K21">
        <v>1</v>
      </c>
      <c r="L21" s="60">
        <v>-2.02</v>
      </c>
      <c r="M21" s="202">
        <v>2.4220000000000002</v>
      </c>
      <c r="N21" s="200">
        <v>1.2E-2</v>
      </c>
      <c r="O21">
        <v>1.8</v>
      </c>
      <c r="P21">
        <v>0.9</v>
      </c>
      <c r="Q21">
        <v>1.25</v>
      </c>
      <c r="S21" s="152" t="s">
        <v>394</v>
      </c>
      <c r="T21" s="155" t="s">
        <v>404</v>
      </c>
      <c r="U21" s="155"/>
      <c r="V21" s="155" t="s">
        <v>406</v>
      </c>
      <c r="W21" s="155"/>
      <c r="X21" s="156" t="s">
        <v>406</v>
      </c>
      <c r="Y21" s="155"/>
      <c r="AA21" s="76" t="s">
        <v>93</v>
      </c>
      <c r="AB21" s="6" t="s">
        <v>456</v>
      </c>
      <c r="AC21" s="6" t="s">
        <v>457</v>
      </c>
      <c r="AE21" s="102" t="s">
        <v>107</v>
      </c>
      <c r="AF21" s="46" t="s">
        <v>144</v>
      </c>
    </row>
    <row r="22" spans="1:32" x14ac:dyDescent="0.2">
      <c r="A22" s="46" t="s">
        <v>129</v>
      </c>
      <c r="B22" s="14">
        <v>0.4</v>
      </c>
      <c r="C22" s="14">
        <v>0.2</v>
      </c>
      <c r="D22" s="14">
        <v>0.6</v>
      </c>
      <c r="E22" s="14">
        <v>7</v>
      </c>
      <c r="F22" s="14">
        <v>22.5</v>
      </c>
      <c r="G22" s="166">
        <f t="shared" si="0"/>
        <v>1.1666666666666667</v>
      </c>
      <c r="H22" s="166">
        <f t="shared" si="1"/>
        <v>2.25</v>
      </c>
      <c r="I22">
        <v>1</v>
      </c>
      <c r="J22">
        <v>1</v>
      </c>
      <c r="K22">
        <v>1</v>
      </c>
      <c r="L22" s="60">
        <v>2.83</v>
      </c>
      <c r="M22" s="202">
        <v>0.193</v>
      </c>
      <c r="N22" s="200">
        <v>2.0000000000000001E-4</v>
      </c>
      <c r="O22">
        <v>0.68</v>
      </c>
      <c r="P22">
        <v>0.3</v>
      </c>
      <c r="Q22">
        <v>0.85</v>
      </c>
      <c r="S22" s="153" t="s">
        <v>395</v>
      </c>
      <c r="T22" s="157" t="s">
        <v>396</v>
      </c>
      <c r="U22" s="157"/>
      <c r="V22" s="157" t="s">
        <v>407</v>
      </c>
      <c r="W22" s="157"/>
      <c r="X22" s="158" t="s">
        <v>407</v>
      </c>
      <c r="Y22" s="157"/>
      <c r="AA22" s="76" t="s">
        <v>62</v>
      </c>
      <c r="AB22" s="6" t="s">
        <v>456</v>
      </c>
      <c r="AC22" s="6" t="s">
        <v>457</v>
      </c>
      <c r="AE22" s="102" t="s">
        <v>112</v>
      </c>
      <c r="AF22" s="46" t="s">
        <v>147</v>
      </c>
    </row>
    <row r="23" spans="1:32" x14ac:dyDescent="0.2">
      <c r="A23" s="54" t="s">
        <v>136</v>
      </c>
      <c r="B23" s="14">
        <v>0.4</v>
      </c>
      <c r="C23" s="14">
        <v>0.2</v>
      </c>
      <c r="D23" s="14">
        <v>0.5</v>
      </c>
      <c r="E23" s="14">
        <v>7</v>
      </c>
      <c r="F23" s="14">
        <v>22.5</v>
      </c>
      <c r="G23" s="166">
        <f t="shared" si="0"/>
        <v>1.1666666666666667</v>
      </c>
      <c r="H23" s="166">
        <f t="shared" si="1"/>
        <v>2.25</v>
      </c>
      <c r="I23">
        <v>1</v>
      </c>
      <c r="J23">
        <v>1</v>
      </c>
      <c r="K23">
        <v>1</v>
      </c>
      <c r="L23" s="60">
        <v>2.83</v>
      </c>
      <c r="M23" s="202">
        <v>0.193</v>
      </c>
      <c r="N23" s="200">
        <v>2.0000000000000001E-4</v>
      </c>
      <c r="O23">
        <v>0.68</v>
      </c>
      <c r="P23">
        <v>0.3</v>
      </c>
      <c r="Q23">
        <v>0.85</v>
      </c>
      <c r="S23" s="376" t="s">
        <v>397</v>
      </c>
      <c r="T23" s="377"/>
      <c r="U23" s="377"/>
      <c r="V23" s="377"/>
      <c r="W23" s="377"/>
      <c r="X23" s="378"/>
      <c r="Y23" s="236"/>
      <c r="AA23" s="76" t="s">
        <v>65</v>
      </c>
      <c r="AB23" s="6" t="s">
        <v>456</v>
      </c>
      <c r="AC23" s="6" t="s">
        <v>457</v>
      </c>
      <c r="AE23" s="102" t="s">
        <v>113</v>
      </c>
      <c r="AF23" s="46" t="s">
        <v>149</v>
      </c>
    </row>
    <row r="24" spans="1:32" x14ac:dyDescent="0.2">
      <c r="A24" s="46" t="s">
        <v>115</v>
      </c>
      <c r="B24" s="14">
        <v>3.5</v>
      </c>
      <c r="C24" s="14">
        <v>1.3</v>
      </c>
      <c r="D24" s="14">
        <v>2.4</v>
      </c>
      <c r="E24" s="14">
        <v>6</v>
      </c>
      <c r="F24" s="14">
        <v>10</v>
      </c>
      <c r="G24" s="166">
        <f t="shared" si="0"/>
        <v>1</v>
      </c>
      <c r="H24" s="166">
        <f t="shared" si="1"/>
        <v>1</v>
      </c>
      <c r="I24">
        <v>1</v>
      </c>
      <c r="J24">
        <v>1</v>
      </c>
      <c r="K24">
        <v>1</v>
      </c>
      <c r="L24" s="60">
        <v>0.24</v>
      </c>
      <c r="M24" s="202">
        <v>1.53</v>
      </c>
      <c r="N24" s="200">
        <v>0.01</v>
      </c>
      <c r="O24">
        <v>0.8</v>
      </c>
      <c r="P24">
        <v>0.33</v>
      </c>
      <c r="Q24">
        <v>0.65</v>
      </c>
      <c r="S24" s="152" t="s">
        <v>387</v>
      </c>
      <c r="T24" s="155" t="s">
        <v>398</v>
      </c>
      <c r="U24" s="155"/>
      <c r="V24" s="155" t="s">
        <v>398</v>
      </c>
      <c r="W24" s="155"/>
      <c r="X24" s="156" t="s">
        <v>399</v>
      </c>
      <c r="Y24" s="155"/>
      <c r="AA24" s="76" t="s">
        <v>151</v>
      </c>
      <c r="AB24" s="6">
        <v>25</v>
      </c>
      <c r="AC24" s="6">
        <v>35</v>
      </c>
      <c r="AE24" s="102" t="s">
        <v>294</v>
      </c>
      <c r="AF24" s="46" t="s">
        <v>127</v>
      </c>
    </row>
    <row r="25" spans="1:32" x14ac:dyDescent="0.2">
      <c r="A25" s="46" t="s">
        <v>132</v>
      </c>
      <c r="B25" s="14">
        <v>0.28999999999999998</v>
      </c>
      <c r="C25" s="14">
        <v>0.14000000000000001</v>
      </c>
      <c r="D25" s="14">
        <v>0.54</v>
      </c>
      <c r="E25" s="14">
        <v>7</v>
      </c>
      <c r="F25" s="14">
        <v>22.5</v>
      </c>
      <c r="G25" s="166">
        <f t="shared" si="0"/>
        <v>1.1666666666666667</v>
      </c>
      <c r="H25" s="166">
        <f t="shared" si="1"/>
        <v>2.25</v>
      </c>
      <c r="I25">
        <v>1</v>
      </c>
      <c r="J25">
        <v>1</v>
      </c>
      <c r="K25">
        <v>1</v>
      </c>
      <c r="L25" s="60">
        <v>2.83</v>
      </c>
      <c r="M25" s="202">
        <v>0.193</v>
      </c>
      <c r="N25" s="200">
        <v>2.0000000000000001E-4</v>
      </c>
      <c r="O25">
        <v>0.68</v>
      </c>
      <c r="P25">
        <v>0.3</v>
      </c>
      <c r="Q25">
        <v>0.85</v>
      </c>
      <c r="S25" s="153" t="s">
        <v>391</v>
      </c>
      <c r="T25" s="157" t="s">
        <v>400</v>
      </c>
      <c r="U25" s="157"/>
      <c r="V25" s="157" t="s">
        <v>401</v>
      </c>
      <c r="W25" s="157"/>
      <c r="X25" s="158" t="s">
        <v>393</v>
      </c>
      <c r="Y25" s="157"/>
      <c r="AE25" s="102" t="s">
        <v>106</v>
      </c>
      <c r="AF25" s="46" t="s">
        <v>129</v>
      </c>
    </row>
    <row r="26" spans="1:32" x14ac:dyDescent="0.2">
      <c r="A26" s="46" t="s">
        <v>55</v>
      </c>
      <c r="B26" s="14">
        <v>3.2</v>
      </c>
      <c r="C26" s="14">
        <v>1.3</v>
      </c>
      <c r="D26" s="14">
        <v>2</v>
      </c>
      <c r="E26" s="205">
        <v>6</v>
      </c>
      <c r="F26" s="205">
        <v>10</v>
      </c>
      <c r="G26" s="166">
        <f t="shared" si="0"/>
        <v>1</v>
      </c>
      <c r="H26" s="166">
        <f t="shared" si="1"/>
        <v>1</v>
      </c>
      <c r="I26">
        <v>1</v>
      </c>
      <c r="J26">
        <v>1</v>
      </c>
      <c r="K26">
        <v>1</v>
      </c>
      <c r="L26" s="60">
        <v>7.2</v>
      </c>
      <c r="M26" s="202">
        <v>1.36</v>
      </c>
      <c r="N26" s="200">
        <v>8.0000000000000002E-3</v>
      </c>
      <c r="O26">
        <v>0.93</v>
      </c>
      <c r="P26">
        <v>0.35</v>
      </c>
      <c r="Q26">
        <v>0.75</v>
      </c>
      <c r="S26" s="152" t="s">
        <v>394</v>
      </c>
      <c r="T26" s="155" t="s">
        <v>402</v>
      </c>
      <c r="U26" s="155"/>
      <c r="V26" s="155" t="s">
        <v>406</v>
      </c>
      <c r="W26" s="155"/>
      <c r="X26" s="156" t="s">
        <v>402</v>
      </c>
      <c r="Y26" s="155"/>
      <c r="AE26" s="102" t="s">
        <v>326</v>
      </c>
      <c r="AF26" s="46" t="s">
        <v>130</v>
      </c>
    </row>
    <row r="27" spans="1:32" x14ac:dyDescent="0.2">
      <c r="A27" s="46" t="s">
        <v>142</v>
      </c>
      <c r="B27" s="14">
        <v>0.39</v>
      </c>
      <c r="C27" s="14">
        <v>0.27</v>
      </c>
      <c r="D27" s="14">
        <v>0.56000000000000005</v>
      </c>
      <c r="E27" s="14">
        <v>6</v>
      </c>
      <c r="F27" s="14">
        <v>10</v>
      </c>
      <c r="G27" s="166">
        <f t="shared" si="0"/>
        <v>1</v>
      </c>
      <c r="H27" s="166">
        <f t="shared" si="1"/>
        <v>1</v>
      </c>
      <c r="I27">
        <v>1</v>
      </c>
      <c r="J27">
        <v>1</v>
      </c>
      <c r="K27">
        <v>1</v>
      </c>
      <c r="L27" s="60">
        <v>2.1</v>
      </c>
      <c r="M27" s="202">
        <v>0.14000000000000001</v>
      </c>
      <c r="N27" s="200">
        <v>4.0000000000000002E-4</v>
      </c>
      <c r="O27">
        <v>0.8</v>
      </c>
      <c r="P27">
        <v>0.33</v>
      </c>
      <c r="Q27">
        <v>0.65</v>
      </c>
      <c r="S27" s="154" t="s">
        <v>395</v>
      </c>
      <c r="T27" s="159" t="s">
        <v>407</v>
      </c>
      <c r="U27" s="159"/>
      <c r="V27" s="159" t="s">
        <v>403</v>
      </c>
      <c r="W27" s="159"/>
      <c r="X27" s="160" t="s">
        <v>407</v>
      </c>
      <c r="Y27" s="157"/>
      <c r="AA27" s="6"/>
      <c r="AB27" s="6" t="s">
        <v>96</v>
      </c>
      <c r="AC27" s="6" t="s">
        <v>97</v>
      </c>
      <c r="AE27" s="102" t="s">
        <v>211</v>
      </c>
      <c r="AF27" s="46" t="s">
        <v>132</v>
      </c>
    </row>
    <row r="28" spans="1:32" x14ac:dyDescent="0.2">
      <c r="A28" s="46" t="s">
        <v>67</v>
      </c>
      <c r="B28" s="14">
        <v>3.1</v>
      </c>
      <c r="C28" s="14">
        <v>1.2</v>
      </c>
      <c r="D28" s="14">
        <v>2</v>
      </c>
      <c r="E28" s="14">
        <v>6</v>
      </c>
      <c r="F28" s="14">
        <v>10</v>
      </c>
      <c r="G28" s="166">
        <f t="shared" si="0"/>
        <v>1</v>
      </c>
      <c r="H28" s="166">
        <f t="shared" si="1"/>
        <v>1</v>
      </c>
      <c r="I28">
        <v>1</v>
      </c>
      <c r="J28">
        <v>1</v>
      </c>
      <c r="K28">
        <v>1</v>
      </c>
      <c r="L28" s="60">
        <v>7.2</v>
      </c>
      <c r="M28" s="202">
        <v>1.36</v>
      </c>
      <c r="N28" s="200">
        <v>8.0000000000000002E-3</v>
      </c>
      <c r="O28">
        <v>0.93</v>
      </c>
      <c r="P28">
        <v>0.35</v>
      </c>
      <c r="Q28">
        <v>0.75</v>
      </c>
      <c r="AA28" s="38" t="s">
        <v>341</v>
      </c>
      <c r="AB28" s="6">
        <v>1</v>
      </c>
      <c r="AC28" s="6">
        <v>1</v>
      </c>
      <c r="AF28" s="46" t="s">
        <v>134</v>
      </c>
    </row>
    <row r="29" spans="1:32" x14ac:dyDescent="0.2">
      <c r="A29" s="46" t="s">
        <v>148</v>
      </c>
      <c r="B29" s="14">
        <v>0.48</v>
      </c>
      <c r="C29" s="14">
        <v>0.13</v>
      </c>
      <c r="D29" s="14">
        <v>0.27</v>
      </c>
      <c r="E29" s="14">
        <v>6</v>
      </c>
      <c r="F29" s="14">
        <v>10</v>
      </c>
      <c r="G29" s="166">
        <f t="shared" si="0"/>
        <v>1</v>
      </c>
      <c r="H29" s="166">
        <f t="shared" si="1"/>
        <v>1</v>
      </c>
      <c r="I29">
        <v>1</v>
      </c>
      <c r="J29">
        <v>1</v>
      </c>
      <c r="K29">
        <v>1</v>
      </c>
      <c r="L29" s="60">
        <v>8.5399999999999991</v>
      </c>
      <c r="M29" s="202">
        <v>0.27700000000000002</v>
      </c>
      <c r="N29" s="200">
        <v>4.0000000000000002E-4</v>
      </c>
      <c r="O29">
        <v>0.8</v>
      </c>
      <c r="P29">
        <v>0.33</v>
      </c>
      <c r="Q29">
        <v>0.65</v>
      </c>
      <c r="S29" s="38" t="s">
        <v>0</v>
      </c>
      <c r="T29" s="6">
        <v>28</v>
      </c>
      <c r="AA29" s="38" t="s">
        <v>342</v>
      </c>
      <c r="AB29" s="6">
        <v>1.6</v>
      </c>
      <c r="AC29" s="6">
        <v>1.2</v>
      </c>
      <c r="AF29" s="54" t="s">
        <v>136</v>
      </c>
    </row>
    <row r="30" spans="1:32" x14ac:dyDescent="0.2">
      <c r="A30" s="46" t="s">
        <v>145</v>
      </c>
      <c r="B30" s="14">
        <v>1.92</v>
      </c>
      <c r="C30" s="14">
        <v>0.62</v>
      </c>
      <c r="D30" s="14">
        <v>1</v>
      </c>
      <c r="E30" s="14">
        <v>6</v>
      </c>
      <c r="F30" s="14">
        <v>10</v>
      </c>
      <c r="G30" s="166">
        <f t="shared" si="0"/>
        <v>1</v>
      </c>
      <c r="H30" s="166">
        <f t="shared" si="1"/>
        <v>1</v>
      </c>
      <c r="I30">
        <v>1</v>
      </c>
      <c r="J30">
        <v>1</v>
      </c>
      <c r="K30">
        <v>1</v>
      </c>
      <c r="L30" s="60">
        <v>2.09</v>
      </c>
      <c r="M30" s="202">
        <v>1.151</v>
      </c>
      <c r="N30" s="200">
        <v>6.0000000000000001E-3</v>
      </c>
      <c r="O30">
        <v>0.8</v>
      </c>
      <c r="P30">
        <v>0.33</v>
      </c>
      <c r="Q30">
        <v>0.65</v>
      </c>
      <c r="S30" s="38" t="s">
        <v>1</v>
      </c>
      <c r="T30" s="6">
        <v>26</v>
      </c>
      <c r="AA30" s="38" t="s">
        <v>343</v>
      </c>
      <c r="AB30" s="6">
        <v>3.1</v>
      </c>
      <c r="AC30" s="6">
        <v>0.55000000000000004</v>
      </c>
      <c r="AF30" s="46" t="s">
        <v>137</v>
      </c>
    </row>
    <row r="31" spans="1:32" x14ac:dyDescent="0.2">
      <c r="A31" s="46" t="s">
        <v>128</v>
      </c>
      <c r="B31" s="14">
        <v>6</v>
      </c>
      <c r="C31" s="14">
        <v>2.6</v>
      </c>
      <c r="D31" s="14">
        <v>8.6</v>
      </c>
      <c r="E31" s="14">
        <v>7</v>
      </c>
      <c r="F31" s="14">
        <v>34</v>
      </c>
      <c r="G31" s="166">
        <f t="shared" si="0"/>
        <v>1.1666666666666667</v>
      </c>
      <c r="H31" s="166">
        <f t="shared" si="1"/>
        <v>3.4</v>
      </c>
      <c r="I31">
        <v>1</v>
      </c>
      <c r="J31">
        <v>1</v>
      </c>
      <c r="K31">
        <v>1</v>
      </c>
      <c r="L31" s="60">
        <v>-0.34</v>
      </c>
      <c r="M31" s="202">
        <v>2.46</v>
      </c>
      <c r="N31" s="200">
        <v>3.4000000000000002E-2</v>
      </c>
      <c r="O31">
        <v>0.68</v>
      </c>
      <c r="P31">
        <v>0.3</v>
      </c>
      <c r="Q31">
        <v>0.85</v>
      </c>
      <c r="S31" s="38" t="s">
        <v>2</v>
      </c>
      <c r="T31" s="6">
        <v>24</v>
      </c>
      <c r="AF31" s="46" t="s">
        <v>139</v>
      </c>
    </row>
    <row r="32" spans="1:32" x14ac:dyDescent="0.2">
      <c r="A32" s="46" t="s">
        <v>139</v>
      </c>
      <c r="B32" s="14">
        <v>0.6</v>
      </c>
      <c r="C32" s="14">
        <v>0.2</v>
      </c>
      <c r="D32" s="14">
        <v>0.8</v>
      </c>
      <c r="E32" s="14">
        <v>7</v>
      </c>
      <c r="F32" s="14">
        <v>22.5</v>
      </c>
      <c r="G32" s="166">
        <f t="shared" si="0"/>
        <v>1.1666666666666667</v>
      </c>
      <c r="H32" s="166">
        <f t="shared" si="1"/>
        <v>2.25</v>
      </c>
      <c r="I32">
        <v>1</v>
      </c>
      <c r="J32">
        <v>1</v>
      </c>
      <c r="K32">
        <v>0.75</v>
      </c>
      <c r="L32" s="60">
        <v>2.83</v>
      </c>
      <c r="M32" s="202">
        <v>0.193</v>
      </c>
      <c r="N32" s="200">
        <v>2.0000000000000001E-4</v>
      </c>
      <c r="O32">
        <v>0.68</v>
      </c>
      <c r="P32">
        <v>0.3</v>
      </c>
      <c r="Q32">
        <v>0.85</v>
      </c>
      <c r="S32" s="38" t="s">
        <v>3</v>
      </c>
      <c r="T32" s="6">
        <v>22</v>
      </c>
      <c r="AA32" s="53" t="s">
        <v>262</v>
      </c>
      <c r="AB32" s="240"/>
      <c r="AF32" s="46" t="s">
        <v>141</v>
      </c>
    </row>
    <row r="33" spans="1:32" x14ac:dyDescent="0.2">
      <c r="A33" s="42" t="s">
        <v>138</v>
      </c>
      <c r="B33" s="14">
        <v>3.2</v>
      </c>
      <c r="C33" s="14">
        <v>1</v>
      </c>
      <c r="D33" s="14">
        <v>3.2</v>
      </c>
      <c r="E33" s="14">
        <v>6</v>
      </c>
      <c r="F33" s="14">
        <v>10</v>
      </c>
      <c r="G33" s="166">
        <f t="shared" si="0"/>
        <v>1</v>
      </c>
      <c r="H33" s="166">
        <f t="shared" si="1"/>
        <v>1</v>
      </c>
      <c r="I33">
        <v>1</v>
      </c>
      <c r="J33">
        <v>1</v>
      </c>
      <c r="K33">
        <v>1</v>
      </c>
      <c r="L33" s="60">
        <v>0.24</v>
      </c>
      <c r="M33" s="202">
        <v>1.53</v>
      </c>
      <c r="N33" s="200">
        <v>0.01</v>
      </c>
      <c r="O33">
        <v>0.8</v>
      </c>
      <c r="P33">
        <v>0.33</v>
      </c>
      <c r="Q33">
        <v>0.65</v>
      </c>
      <c r="S33" s="38" t="s">
        <v>4</v>
      </c>
      <c r="T33" s="6">
        <v>20</v>
      </c>
      <c r="AA33" s="53" t="s">
        <v>54</v>
      </c>
      <c r="AB33" s="240"/>
      <c r="AF33" s="46" t="s">
        <v>143</v>
      </c>
    </row>
    <row r="34" spans="1:32" x14ac:dyDescent="0.2">
      <c r="A34" s="42" t="s">
        <v>137</v>
      </c>
      <c r="B34" s="14">
        <v>0.5</v>
      </c>
      <c r="C34" s="14">
        <v>0.15</v>
      </c>
      <c r="D34" s="14">
        <v>0.7</v>
      </c>
      <c r="E34" s="14">
        <v>7</v>
      </c>
      <c r="F34" s="14">
        <v>22.5</v>
      </c>
      <c r="G34" s="166">
        <f t="shared" si="0"/>
        <v>1.1666666666666667</v>
      </c>
      <c r="H34" s="166">
        <f t="shared" si="1"/>
        <v>2.25</v>
      </c>
      <c r="I34">
        <v>1</v>
      </c>
      <c r="J34">
        <v>1</v>
      </c>
      <c r="K34">
        <v>0.75</v>
      </c>
      <c r="L34" s="60">
        <v>2.83</v>
      </c>
      <c r="M34" s="202">
        <v>0.193</v>
      </c>
      <c r="N34" s="200">
        <v>2.0000000000000001E-4</v>
      </c>
      <c r="O34">
        <v>0.68</v>
      </c>
      <c r="P34">
        <v>0.3</v>
      </c>
      <c r="Q34">
        <v>0.85</v>
      </c>
      <c r="S34" s="38" t="s">
        <v>5</v>
      </c>
      <c r="T34" s="6">
        <v>18</v>
      </c>
      <c r="AF34" s="46" t="s">
        <v>146</v>
      </c>
    </row>
    <row r="35" spans="1:32" x14ac:dyDescent="0.2">
      <c r="A35" s="46" t="s">
        <v>63</v>
      </c>
      <c r="B35" s="14">
        <v>5</v>
      </c>
      <c r="C35" s="14">
        <v>3</v>
      </c>
      <c r="D35" s="14">
        <v>6.5</v>
      </c>
      <c r="E35" s="14">
        <v>6</v>
      </c>
      <c r="F35" s="14">
        <v>10</v>
      </c>
      <c r="G35" s="166">
        <f t="shared" si="0"/>
        <v>1</v>
      </c>
      <c r="H35" s="166">
        <f t="shared" si="1"/>
        <v>1</v>
      </c>
      <c r="I35">
        <v>1</v>
      </c>
      <c r="J35">
        <v>1</v>
      </c>
      <c r="K35">
        <v>1</v>
      </c>
      <c r="L35" s="60">
        <v>0.24</v>
      </c>
      <c r="M35" s="202">
        <v>1.53</v>
      </c>
      <c r="N35" s="200">
        <v>0.01</v>
      </c>
      <c r="O35">
        <v>0.9</v>
      </c>
      <c r="P35">
        <v>0.35</v>
      </c>
      <c r="Q35">
        <v>0.83</v>
      </c>
      <c r="S35" s="38" t="s">
        <v>6</v>
      </c>
      <c r="T35" s="6">
        <v>16</v>
      </c>
      <c r="AF35" s="46" t="s">
        <v>64</v>
      </c>
    </row>
    <row r="36" spans="1:32" x14ac:dyDescent="0.2">
      <c r="A36" s="46" t="s">
        <v>140</v>
      </c>
      <c r="B36" s="149" t="s">
        <v>379</v>
      </c>
      <c r="C36" s="149" t="s">
        <v>379</v>
      </c>
      <c r="D36" s="149" t="s">
        <v>379</v>
      </c>
      <c r="E36" s="14">
        <v>6</v>
      </c>
      <c r="F36" s="14">
        <v>10</v>
      </c>
      <c r="G36" s="166">
        <f t="shared" si="0"/>
        <v>1</v>
      </c>
      <c r="H36" s="166">
        <f t="shared" si="1"/>
        <v>1</v>
      </c>
      <c r="I36">
        <v>1</v>
      </c>
      <c r="J36">
        <v>1</v>
      </c>
      <c r="K36">
        <v>1</v>
      </c>
      <c r="L36" s="60">
        <v>8.5399999999999991</v>
      </c>
      <c r="M36" s="202">
        <v>0.27700000000000002</v>
      </c>
      <c r="N36" s="200">
        <v>4.0000000000000002E-4</v>
      </c>
      <c r="O36">
        <v>0.9</v>
      </c>
      <c r="P36">
        <v>0.35</v>
      </c>
      <c r="Q36">
        <v>0.83</v>
      </c>
      <c r="S36" s="38" t="s">
        <v>7</v>
      </c>
      <c r="T36" s="6">
        <v>14</v>
      </c>
      <c r="Z36" s="66" t="s">
        <v>215</v>
      </c>
      <c r="AA36" s="239"/>
      <c r="AB36" s="115" t="s">
        <v>285</v>
      </c>
      <c r="AF36" s="46" t="s">
        <v>128</v>
      </c>
    </row>
    <row r="37" spans="1:32" x14ac:dyDescent="0.2">
      <c r="A37" s="46" t="s">
        <v>141</v>
      </c>
      <c r="B37" s="14">
        <v>0.5</v>
      </c>
      <c r="C37" s="14">
        <v>0.2</v>
      </c>
      <c r="D37" s="14">
        <v>0.8</v>
      </c>
      <c r="E37" s="14">
        <v>7</v>
      </c>
      <c r="F37" s="14">
        <v>34</v>
      </c>
      <c r="G37" s="166">
        <f t="shared" si="0"/>
        <v>1.1666666666666667</v>
      </c>
      <c r="H37" s="166">
        <f t="shared" si="1"/>
        <v>3.4</v>
      </c>
      <c r="I37">
        <v>1</v>
      </c>
      <c r="J37">
        <v>1</v>
      </c>
      <c r="K37">
        <v>1</v>
      </c>
      <c r="L37" s="60">
        <v>0.27</v>
      </c>
      <c r="M37" s="202">
        <v>0.185</v>
      </c>
      <c r="N37" s="200">
        <v>2.0000000000000001E-4</v>
      </c>
      <c r="O37">
        <v>0.68</v>
      </c>
      <c r="P37">
        <v>0.3</v>
      </c>
      <c r="Q37">
        <v>0.85</v>
      </c>
      <c r="S37" s="38" t="s">
        <v>8</v>
      </c>
      <c r="T37" s="6">
        <v>13</v>
      </c>
      <c r="Z37" s="66" t="s">
        <v>216</v>
      </c>
      <c r="AA37" s="239"/>
      <c r="AB37" s="115" t="s">
        <v>286</v>
      </c>
      <c r="AF37" s="46" t="s">
        <v>68</v>
      </c>
    </row>
    <row r="38" spans="1:32" x14ac:dyDescent="0.2">
      <c r="A38" s="46" t="s">
        <v>191</v>
      </c>
      <c r="B38" s="149">
        <v>0.5</v>
      </c>
      <c r="C38" s="149">
        <v>0.15</v>
      </c>
      <c r="D38" s="149">
        <v>0.3</v>
      </c>
      <c r="E38" s="14">
        <v>6</v>
      </c>
      <c r="F38" s="14">
        <v>10</v>
      </c>
      <c r="G38" s="166">
        <f t="shared" si="0"/>
        <v>1</v>
      </c>
      <c r="H38" s="166">
        <f t="shared" si="1"/>
        <v>1</v>
      </c>
      <c r="I38">
        <v>1</v>
      </c>
      <c r="J38">
        <v>1</v>
      </c>
      <c r="K38">
        <v>1</v>
      </c>
      <c r="L38" s="60">
        <v>3.4</v>
      </c>
      <c r="M38" s="202">
        <v>0.3</v>
      </c>
      <c r="N38" s="200">
        <v>2.9999999999999997E-4</v>
      </c>
      <c r="O38">
        <v>0.8</v>
      </c>
      <c r="P38">
        <v>0.33</v>
      </c>
      <c r="Q38">
        <v>0.65</v>
      </c>
      <c r="S38" s="38" t="s">
        <v>9</v>
      </c>
      <c r="T38" s="6">
        <v>12</v>
      </c>
      <c r="AA38" s="66" t="s">
        <v>261</v>
      </c>
      <c r="AF38" s="46" t="s">
        <v>131</v>
      </c>
    </row>
    <row r="39" spans="1:32" x14ac:dyDescent="0.2">
      <c r="A39" s="46" t="s">
        <v>149</v>
      </c>
      <c r="B39" s="149" t="s">
        <v>379</v>
      </c>
      <c r="C39" s="149" t="s">
        <v>379</v>
      </c>
      <c r="D39" s="149" t="s">
        <v>379</v>
      </c>
      <c r="E39" s="14">
        <v>6</v>
      </c>
      <c r="F39" s="14">
        <v>10</v>
      </c>
      <c r="G39" s="166">
        <f t="shared" si="0"/>
        <v>1</v>
      </c>
      <c r="H39" s="166">
        <f t="shared" si="1"/>
        <v>1</v>
      </c>
      <c r="I39">
        <v>1</v>
      </c>
      <c r="J39">
        <v>1</v>
      </c>
      <c r="K39">
        <v>1</v>
      </c>
      <c r="L39" s="60">
        <v>0.24</v>
      </c>
      <c r="M39" s="202">
        <v>1.53</v>
      </c>
      <c r="N39" s="200">
        <v>0.01</v>
      </c>
      <c r="O39">
        <v>0.9</v>
      </c>
      <c r="P39">
        <v>0.35</v>
      </c>
      <c r="Q39">
        <v>0.83</v>
      </c>
      <c r="S39" s="38" t="s">
        <v>10</v>
      </c>
      <c r="T39" s="6">
        <v>12</v>
      </c>
      <c r="AA39" s="66" t="s">
        <v>260</v>
      </c>
      <c r="AF39" s="42" t="s">
        <v>133</v>
      </c>
    </row>
    <row r="40" spans="1:32" x14ac:dyDescent="0.2">
      <c r="A40" s="46" t="s">
        <v>69</v>
      </c>
      <c r="B40" s="14">
        <v>1.47</v>
      </c>
      <c r="C40" s="14">
        <v>0.74</v>
      </c>
      <c r="D40" s="14">
        <v>2.36</v>
      </c>
      <c r="E40" s="14">
        <v>6</v>
      </c>
      <c r="F40" s="14">
        <v>10</v>
      </c>
      <c r="G40" s="166">
        <f t="shared" si="0"/>
        <v>1</v>
      </c>
      <c r="H40" s="166">
        <f t="shared" si="1"/>
        <v>1</v>
      </c>
      <c r="I40">
        <v>1</v>
      </c>
      <c r="J40">
        <v>1.3</v>
      </c>
      <c r="K40">
        <v>1</v>
      </c>
      <c r="L40" s="60">
        <v>-2.02</v>
      </c>
      <c r="M40" s="202">
        <v>2.4220000000000002</v>
      </c>
      <c r="N40" s="200">
        <v>1.2E-2</v>
      </c>
      <c r="O40">
        <v>1.8</v>
      </c>
      <c r="P40">
        <v>0.9</v>
      </c>
      <c r="Q40">
        <v>1.25</v>
      </c>
      <c r="S40" s="38" t="s">
        <v>11</v>
      </c>
      <c r="T40" s="6">
        <v>20</v>
      </c>
      <c r="AA40" s="66" t="s">
        <v>259</v>
      </c>
      <c r="AF40" s="42" t="s">
        <v>135</v>
      </c>
    </row>
    <row r="41" spans="1:32" x14ac:dyDescent="0.2">
      <c r="A41" s="46" t="s">
        <v>130</v>
      </c>
      <c r="B41" s="14">
        <v>0.35</v>
      </c>
      <c r="C41" s="14">
        <v>0.14000000000000001</v>
      </c>
      <c r="D41" s="14">
        <v>0.51</v>
      </c>
      <c r="E41" s="14">
        <v>7</v>
      </c>
      <c r="F41" s="14">
        <v>22.5</v>
      </c>
      <c r="G41" s="166">
        <f t="shared" si="0"/>
        <v>1.1666666666666667</v>
      </c>
      <c r="H41" s="166">
        <f t="shared" si="1"/>
        <v>2.25</v>
      </c>
      <c r="I41">
        <v>1</v>
      </c>
      <c r="J41">
        <v>1</v>
      </c>
      <c r="K41">
        <v>1</v>
      </c>
      <c r="L41" s="60">
        <v>2.83</v>
      </c>
      <c r="M41" s="202">
        <v>0.193</v>
      </c>
      <c r="N41" s="200">
        <v>2.0000000000000001E-4</v>
      </c>
      <c r="O41">
        <v>0.68</v>
      </c>
      <c r="P41">
        <v>0.3</v>
      </c>
      <c r="Q41">
        <v>0.85</v>
      </c>
      <c r="AA41" s="86" t="s">
        <v>66</v>
      </c>
      <c r="AF41" s="46" t="s">
        <v>70</v>
      </c>
    </row>
    <row r="42" spans="1:32" x14ac:dyDescent="0.2">
      <c r="A42" s="46" t="s">
        <v>150</v>
      </c>
      <c r="B42" s="149">
        <f>B43/4</f>
        <v>0.6</v>
      </c>
      <c r="C42" s="149">
        <f>C43/4</f>
        <v>0.13</v>
      </c>
      <c r="D42" s="149">
        <f>D43/4</f>
        <v>0.51</v>
      </c>
      <c r="E42" s="14">
        <v>6</v>
      </c>
      <c r="F42" s="14">
        <v>10</v>
      </c>
      <c r="G42" s="166">
        <f t="shared" si="0"/>
        <v>1</v>
      </c>
      <c r="H42" s="166">
        <f t="shared" si="1"/>
        <v>1</v>
      </c>
      <c r="I42">
        <v>1</v>
      </c>
      <c r="J42">
        <v>1.3</v>
      </c>
      <c r="K42">
        <v>1</v>
      </c>
      <c r="L42" s="60">
        <v>6.09</v>
      </c>
      <c r="M42" s="202">
        <v>0.40100000000000002</v>
      </c>
      <c r="N42" s="200">
        <v>5.0000000000000001E-4</v>
      </c>
      <c r="O42">
        <v>1.8</v>
      </c>
      <c r="P42">
        <v>0.9</v>
      </c>
      <c r="Q42">
        <v>1.25</v>
      </c>
      <c r="S42" s="353" t="s">
        <v>581</v>
      </c>
      <c r="T42" s="353"/>
      <c r="U42" s="353"/>
      <c r="V42" s="353"/>
      <c r="W42" s="353"/>
      <c r="AA42" s="86" t="s">
        <v>53</v>
      </c>
      <c r="AF42" s="46" t="s">
        <v>69</v>
      </c>
    </row>
    <row r="43" spans="1:32" x14ac:dyDescent="0.2">
      <c r="A43" s="46" t="s">
        <v>131</v>
      </c>
      <c r="B43" s="14">
        <v>2.4</v>
      </c>
      <c r="C43" s="14">
        <v>0.52</v>
      </c>
      <c r="D43" s="14">
        <v>2.04</v>
      </c>
      <c r="E43" s="14">
        <v>6</v>
      </c>
      <c r="F43" s="14">
        <v>10</v>
      </c>
      <c r="G43" s="166">
        <f t="shared" si="0"/>
        <v>1</v>
      </c>
      <c r="H43" s="166">
        <f t="shared" si="1"/>
        <v>1</v>
      </c>
      <c r="I43">
        <v>1</v>
      </c>
      <c r="J43">
        <v>1.3</v>
      </c>
      <c r="K43">
        <v>1</v>
      </c>
      <c r="L43" s="60">
        <v>-2.02</v>
      </c>
      <c r="M43" s="202">
        <v>2.4220000000000002</v>
      </c>
      <c r="N43" s="200">
        <v>1.2E-2</v>
      </c>
      <c r="O43">
        <v>1.8</v>
      </c>
      <c r="P43">
        <v>0.9</v>
      </c>
      <c r="Q43">
        <v>1.25</v>
      </c>
      <c r="S43" s="357" t="s">
        <v>582</v>
      </c>
      <c r="T43" s="357"/>
      <c r="U43" s="357"/>
      <c r="V43" s="357"/>
      <c r="W43" s="357"/>
      <c r="AF43" s="46" t="s">
        <v>140</v>
      </c>
    </row>
    <row r="44" spans="1:32" x14ac:dyDescent="0.2">
      <c r="A44" s="46" t="s">
        <v>190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66">
        <f t="shared" si="0"/>
        <v>0</v>
      </c>
      <c r="H44" s="166">
        <f t="shared" si="1"/>
        <v>0</v>
      </c>
      <c r="I44">
        <v>1</v>
      </c>
      <c r="J44">
        <v>1</v>
      </c>
      <c r="K44">
        <v>1</v>
      </c>
      <c r="L44" s="60">
        <v>0</v>
      </c>
      <c r="M44" s="202">
        <v>0</v>
      </c>
      <c r="N44" s="200">
        <v>0</v>
      </c>
      <c r="S44" s="343" t="s">
        <v>583</v>
      </c>
      <c r="T44" s="343"/>
      <c r="U44" s="343"/>
      <c r="V44" s="343"/>
      <c r="W44" s="310" t="s">
        <v>584</v>
      </c>
      <c r="AF44" s="46" t="s">
        <v>142</v>
      </c>
    </row>
    <row r="45" spans="1:32" x14ac:dyDescent="0.2">
      <c r="A45" s="46" t="s">
        <v>57</v>
      </c>
      <c r="B45" s="14">
        <v>3.8</v>
      </c>
      <c r="C45" s="14">
        <v>1.4</v>
      </c>
      <c r="D45" s="14">
        <v>2.1</v>
      </c>
      <c r="E45" s="14">
        <v>6</v>
      </c>
      <c r="F45" s="14">
        <v>10</v>
      </c>
      <c r="G45" s="166">
        <f t="shared" si="0"/>
        <v>1</v>
      </c>
      <c r="H45" s="166">
        <f t="shared" si="1"/>
        <v>1</v>
      </c>
      <c r="I45">
        <v>1</v>
      </c>
      <c r="J45">
        <v>1</v>
      </c>
      <c r="K45">
        <v>1</v>
      </c>
      <c r="L45" s="60">
        <v>0.24</v>
      </c>
      <c r="M45" s="202">
        <v>1.53</v>
      </c>
      <c r="N45" s="200">
        <v>0.01</v>
      </c>
      <c r="O45">
        <v>0.8</v>
      </c>
      <c r="P45">
        <v>0.33</v>
      </c>
      <c r="Q45">
        <v>0.65</v>
      </c>
      <c r="S45" s="375" t="s">
        <v>585</v>
      </c>
      <c r="T45" s="375"/>
      <c r="U45" s="375"/>
      <c r="V45" s="375"/>
      <c r="W45" s="6">
        <v>28</v>
      </c>
      <c r="AF45" s="46" t="s">
        <v>145</v>
      </c>
    </row>
    <row r="46" spans="1:32" x14ac:dyDescent="0.2">
      <c r="A46" s="46" t="s">
        <v>59</v>
      </c>
      <c r="B46" s="14">
        <v>2.5</v>
      </c>
      <c r="C46" s="14">
        <v>1</v>
      </c>
      <c r="D46" s="14">
        <v>2</v>
      </c>
      <c r="E46" s="14">
        <v>6</v>
      </c>
      <c r="F46" s="14">
        <v>10</v>
      </c>
      <c r="G46" s="166">
        <f t="shared" si="0"/>
        <v>1</v>
      </c>
      <c r="H46" s="166">
        <f t="shared" si="1"/>
        <v>1</v>
      </c>
      <c r="I46">
        <v>0.6</v>
      </c>
      <c r="J46">
        <v>0.8</v>
      </c>
      <c r="K46">
        <v>1</v>
      </c>
      <c r="L46" s="60">
        <v>0.24</v>
      </c>
      <c r="M46" s="202">
        <v>1.53</v>
      </c>
      <c r="N46" s="200">
        <v>0.01</v>
      </c>
      <c r="O46">
        <v>0.8</v>
      </c>
      <c r="P46">
        <v>0.33</v>
      </c>
      <c r="Q46">
        <v>0.65</v>
      </c>
      <c r="S46" s="375" t="s">
        <v>586</v>
      </c>
      <c r="T46" s="375"/>
      <c r="U46" s="375"/>
      <c r="V46" s="375"/>
      <c r="W46" s="6">
        <v>26</v>
      </c>
      <c r="AF46" s="46" t="s">
        <v>148</v>
      </c>
    </row>
    <row r="47" spans="1:32" x14ac:dyDescent="0.2">
      <c r="N47" s="200"/>
      <c r="S47" s="375" t="s">
        <v>587</v>
      </c>
      <c r="T47" s="375"/>
      <c r="U47" s="375"/>
      <c r="V47" s="375"/>
      <c r="W47" s="6">
        <v>24</v>
      </c>
      <c r="AF47" s="46" t="s">
        <v>150</v>
      </c>
    </row>
    <row r="48" spans="1:32" x14ac:dyDescent="0.2">
      <c r="N48" s="200"/>
      <c r="S48" s="375" t="s">
        <v>588</v>
      </c>
      <c r="T48" s="375"/>
      <c r="U48" s="375"/>
      <c r="V48" s="375"/>
      <c r="W48" s="6">
        <v>22</v>
      </c>
      <c r="AF48" s="46" t="s">
        <v>158</v>
      </c>
    </row>
    <row r="49" spans="14:32" x14ac:dyDescent="0.2">
      <c r="N49" s="200"/>
      <c r="S49" s="375" t="s">
        <v>589</v>
      </c>
      <c r="T49" s="375"/>
      <c r="U49" s="375"/>
      <c r="V49" s="375"/>
      <c r="W49" s="6">
        <v>20</v>
      </c>
      <c r="AF49" s="46" t="s">
        <v>159</v>
      </c>
    </row>
    <row r="50" spans="14:32" x14ac:dyDescent="0.2">
      <c r="N50" s="200"/>
      <c r="S50" s="375" t="s">
        <v>590</v>
      </c>
      <c r="T50" s="375"/>
      <c r="U50" s="375"/>
      <c r="V50" s="375"/>
      <c r="W50" s="6">
        <v>18</v>
      </c>
      <c r="AF50" s="46" t="s">
        <v>157</v>
      </c>
    </row>
    <row r="51" spans="14:32" x14ac:dyDescent="0.2">
      <c r="N51" s="200"/>
      <c r="S51" s="375" t="s">
        <v>591</v>
      </c>
      <c r="T51" s="375"/>
      <c r="U51" s="375"/>
      <c r="V51" s="375"/>
      <c r="W51" s="6">
        <v>16</v>
      </c>
      <c r="AF51" s="46" t="s">
        <v>191</v>
      </c>
    </row>
    <row r="52" spans="14:32" x14ac:dyDescent="0.2">
      <c r="N52" s="200"/>
      <c r="S52" s="375" t="s">
        <v>592</v>
      </c>
      <c r="T52" s="375"/>
      <c r="U52" s="375"/>
      <c r="V52" s="375"/>
      <c r="W52" s="6">
        <v>14</v>
      </c>
      <c r="AF52" s="46" t="s">
        <v>190</v>
      </c>
    </row>
    <row r="53" spans="14:32" x14ac:dyDescent="0.2">
      <c r="S53" s="375" t="s">
        <v>593</v>
      </c>
      <c r="T53" s="375"/>
      <c r="U53" s="375"/>
      <c r="V53" s="375"/>
      <c r="W53" s="6">
        <v>13</v>
      </c>
    </row>
    <row r="54" spans="14:32" x14ac:dyDescent="0.2">
      <c r="S54" s="375" t="s">
        <v>594</v>
      </c>
      <c r="T54" s="375"/>
      <c r="U54" s="375"/>
      <c r="V54" s="375"/>
      <c r="W54" s="6">
        <v>12</v>
      </c>
    </row>
    <row r="55" spans="14:32" x14ac:dyDescent="0.2">
      <c r="S55" s="375" t="s">
        <v>595</v>
      </c>
      <c r="T55" s="375"/>
      <c r="U55" s="375"/>
      <c r="V55" s="375"/>
      <c r="W55" s="6">
        <v>12</v>
      </c>
    </row>
    <row r="56" spans="14:32" x14ac:dyDescent="0.2">
      <c r="S56" s="375" t="s">
        <v>596</v>
      </c>
      <c r="T56" s="375"/>
      <c r="U56" s="375"/>
      <c r="V56" s="375"/>
      <c r="W56" s="6">
        <v>20</v>
      </c>
    </row>
  </sheetData>
  <mergeCells count="29">
    <mergeCell ref="B2:D2"/>
    <mergeCell ref="S15:X15"/>
    <mergeCell ref="G2:H2"/>
    <mergeCell ref="E2:F2"/>
    <mergeCell ref="T16:X16"/>
    <mergeCell ref="S18:X18"/>
    <mergeCell ref="S23:X23"/>
    <mergeCell ref="AB1:AD1"/>
    <mergeCell ref="AB2:AD2"/>
    <mergeCell ref="E1:H1"/>
    <mergeCell ref="L1:Q1"/>
    <mergeCell ref="O2:Q2"/>
    <mergeCell ref="L2:N2"/>
    <mergeCell ref="S16:S17"/>
    <mergeCell ref="S42:W42"/>
    <mergeCell ref="S43:W43"/>
    <mergeCell ref="S44:V44"/>
    <mergeCell ref="S45:V45"/>
    <mergeCell ref="S46:V46"/>
    <mergeCell ref="S47:V47"/>
    <mergeCell ref="S48:V48"/>
    <mergeCell ref="S49:V49"/>
    <mergeCell ref="S50:V50"/>
    <mergeCell ref="S51:V51"/>
    <mergeCell ref="S52:V52"/>
    <mergeCell ref="S53:V53"/>
    <mergeCell ref="S54:V54"/>
    <mergeCell ref="S55:V55"/>
    <mergeCell ref="S56:V56"/>
  </mergeCells>
  <phoneticPr fontId="5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37"/>
  <sheetViews>
    <sheetView zoomScale="84" zoomScaleNormal="84" workbookViewId="0">
      <pane xSplit="2" ySplit="1" topLeftCell="C14" activePane="bottomRight" state="frozen"/>
      <selection pane="topRight" activeCell="C1" sqref="C1"/>
      <selection pane="bottomLeft" activeCell="A2" sqref="A2"/>
      <selection pane="bottomRight" activeCell="E37" sqref="B2:E37"/>
    </sheetView>
  </sheetViews>
  <sheetFormatPr defaultRowHeight="12.75" x14ac:dyDescent="0.2"/>
  <cols>
    <col min="2" max="2" width="23.7109375" customWidth="1"/>
    <col min="3" max="3" width="10.28515625" customWidth="1"/>
    <col min="7" max="7" width="33.42578125" customWidth="1"/>
    <col min="8" max="8" width="22.42578125" customWidth="1"/>
  </cols>
  <sheetData>
    <row r="1" spans="2:29" ht="15.75" x14ac:dyDescent="0.3">
      <c r="B1" s="6" t="str">
        <f>Q1</f>
        <v>Удобрение</v>
      </c>
      <c r="C1" s="6" t="str">
        <f t="shared" ref="C1:N1" si="0">R1</f>
        <v>N</v>
      </c>
      <c r="D1" s="6" t="str">
        <f t="shared" si="0"/>
        <v>P2O5</v>
      </c>
      <c r="E1" s="6" t="str">
        <f t="shared" si="0"/>
        <v>K2O</v>
      </c>
      <c r="F1" s="6" t="str">
        <f t="shared" si="0"/>
        <v>S</v>
      </c>
      <c r="G1" s="6" t="str">
        <f t="shared" si="0"/>
        <v>Ca</v>
      </c>
      <c r="H1" s="6" t="str">
        <f t="shared" si="0"/>
        <v>Mg</v>
      </c>
      <c r="I1" s="6" t="str">
        <f t="shared" si="0"/>
        <v>Mn</v>
      </c>
      <c r="J1" s="6" t="str">
        <f t="shared" si="0"/>
        <v>Cu</v>
      </c>
      <c r="K1" s="6" t="str">
        <f t="shared" si="0"/>
        <v>B</v>
      </c>
      <c r="L1" s="6" t="str">
        <f t="shared" si="0"/>
        <v>Fe</v>
      </c>
      <c r="M1" s="6" t="str">
        <f t="shared" si="0"/>
        <v>Zn</v>
      </c>
      <c r="N1" s="6" t="str">
        <f t="shared" si="0"/>
        <v>Mo</v>
      </c>
      <c r="Q1" s="6" t="s">
        <v>264</v>
      </c>
      <c r="R1" s="222" t="s">
        <v>29</v>
      </c>
      <c r="S1" s="222" t="s">
        <v>468</v>
      </c>
      <c r="T1" s="222" t="s">
        <v>469</v>
      </c>
      <c r="U1" s="222" t="s">
        <v>470</v>
      </c>
      <c r="V1" s="222" t="s">
        <v>471</v>
      </c>
      <c r="W1" s="222" t="s">
        <v>472</v>
      </c>
      <c r="X1" s="222" t="s">
        <v>473</v>
      </c>
      <c r="Y1" s="222" t="s">
        <v>474</v>
      </c>
      <c r="Z1" s="222" t="s">
        <v>475</v>
      </c>
      <c r="AA1" s="222" t="s">
        <v>476</v>
      </c>
      <c r="AB1" s="222" t="s">
        <v>477</v>
      </c>
      <c r="AC1" s="222" t="s">
        <v>478</v>
      </c>
    </row>
    <row r="2" spans="2:29" ht="15.75" x14ac:dyDescent="0.25">
      <c r="B2" s="102" t="s">
        <v>110</v>
      </c>
      <c r="C2" s="6">
        <v>0.13</v>
      </c>
      <c r="D2" s="6">
        <v>0.19</v>
      </c>
      <c r="E2" s="6">
        <v>0.19</v>
      </c>
      <c r="F2" s="6"/>
      <c r="G2" s="6"/>
      <c r="H2" s="6"/>
      <c r="I2" s="6"/>
      <c r="J2" s="6"/>
      <c r="K2" s="6"/>
      <c r="L2" s="6"/>
      <c r="M2" s="6"/>
      <c r="N2" s="6"/>
      <c r="Q2" s="223" t="s">
        <v>479</v>
      </c>
      <c r="R2" s="224">
        <v>11</v>
      </c>
      <c r="S2" s="224">
        <v>28.4</v>
      </c>
      <c r="T2" s="224">
        <v>16.5</v>
      </c>
      <c r="U2" s="222"/>
      <c r="V2" s="222"/>
      <c r="W2" s="222"/>
      <c r="X2" s="222"/>
      <c r="Y2" s="222"/>
      <c r="Z2" s="222"/>
      <c r="AA2" s="222"/>
      <c r="AB2" s="222"/>
      <c r="AC2" s="222"/>
    </row>
    <row r="3" spans="2:29" ht="18.75" customHeight="1" x14ac:dyDescent="0.2">
      <c r="B3" s="102" t="s">
        <v>111</v>
      </c>
      <c r="C3" s="6">
        <v>0.09</v>
      </c>
      <c r="D3" s="6">
        <v>0.2</v>
      </c>
      <c r="E3" s="6">
        <v>0.2</v>
      </c>
      <c r="F3" s="6"/>
      <c r="G3" s="227"/>
      <c r="H3" s="228"/>
      <c r="I3" s="6"/>
      <c r="J3" s="6"/>
      <c r="K3" s="6"/>
      <c r="L3" s="6"/>
      <c r="M3" s="6"/>
      <c r="N3" s="6"/>
      <c r="Q3" s="225" t="s">
        <v>480</v>
      </c>
      <c r="R3" s="224">
        <v>9.4</v>
      </c>
      <c r="S3" s="224">
        <v>14</v>
      </c>
      <c r="T3" s="224">
        <v>30</v>
      </c>
      <c r="U3" s="222"/>
      <c r="V3" s="222"/>
      <c r="W3" s="222"/>
      <c r="X3" s="222"/>
      <c r="Y3" s="222"/>
      <c r="Z3" s="222"/>
      <c r="AA3" s="222"/>
      <c r="AB3" s="222"/>
      <c r="AC3" s="222"/>
    </row>
    <row r="4" spans="2:29" ht="15.75" customHeight="1" x14ac:dyDescent="0.2">
      <c r="B4" s="102" t="s">
        <v>492</v>
      </c>
      <c r="C4" s="6">
        <v>0.26</v>
      </c>
      <c r="D4" s="6">
        <v>0.13</v>
      </c>
      <c r="E4" s="6">
        <v>0</v>
      </c>
      <c r="F4" s="6"/>
      <c r="G4" s="227"/>
      <c r="H4" s="229"/>
      <c r="I4" s="228"/>
      <c r="J4" s="228"/>
      <c r="K4" s="228"/>
      <c r="L4" s="6"/>
      <c r="M4" s="6"/>
      <c r="N4" s="6"/>
      <c r="Q4" s="225" t="s">
        <v>481</v>
      </c>
      <c r="R4" s="224">
        <v>13</v>
      </c>
      <c r="S4" s="224">
        <v>19.5</v>
      </c>
      <c r="T4" s="224">
        <v>19.5</v>
      </c>
      <c r="U4" s="222"/>
      <c r="V4" s="222"/>
      <c r="W4" s="222"/>
      <c r="X4" s="222"/>
      <c r="Y4" s="222"/>
      <c r="Z4" s="222"/>
      <c r="AA4" s="222"/>
      <c r="AB4" s="222"/>
      <c r="AC4" s="222"/>
    </row>
    <row r="5" spans="2:29" ht="15" customHeight="1" x14ac:dyDescent="0.2">
      <c r="B5" s="102" t="s">
        <v>503</v>
      </c>
      <c r="C5" s="6">
        <v>0.16</v>
      </c>
      <c r="D5" s="6">
        <v>0.16</v>
      </c>
      <c r="E5" s="6">
        <v>0.16</v>
      </c>
      <c r="F5" s="6"/>
      <c r="G5" s="227"/>
      <c r="H5" s="229"/>
      <c r="I5" s="228"/>
      <c r="J5" s="228"/>
      <c r="K5" s="228"/>
      <c r="L5" s="6"/>
      <c r="M5" s="6"/>
      <c r="N5" s="6"/>
      <c r="Q5" s="225" t="s">
        <v>482</v>
      </c>
      <c r="R5" s="224">
        <v>8.6</v>
      </c>
      <c r="S5" s="224">
        <v>21.6</v>
      </c>
      <c r="T5" s="224">
        <v>25.7</v>
      </c>
      <c r="U5" s="222"/>
      <c r="V5" s="222"/>
      <c r="W5" s="222"/>
      <c r="X5" s="222"/>
      <c r="Y5" s="222"/>
      <c r="Z5" s="222"/>
      <c r="AA5" s="222"/>
      <c r="AB5" s="222"/>
      <c r="AC5" s="222"/>
    </row>
    <row r="6" spans="2:29" ht="18.75" x14ac:dyDescent="0.2">
      <c r="B6" s="102" t="s">
        <v>504</v>
      </c>
      <c r="C6" s="6">
        <v>0.22</v>
      </c>
      <c r="D6" s="6">
        <v>0.11</v>
      </c>
      <c r="E6" s="6">
        <v>0.11</v>
      </c>
      <c r="F6" s="6"/>
      <c r="G6" s="227"/>
      <c r="H6" s="228"/>
      <c r="I6" s="228"/>
      <c r="J6" s="228"/>
      <c r="K6" s="228"/>
      <c r="L6" s="6"/>
      <c r="M6" s="6"/>
      <c r="N6" s="6"/>
      <c r="Q6" s="6" t="s">
        <v>483</v>
      </c>
      <c r="R6" s="222">
        <v>10.7</v>
      </c>
      <c r="S6" s="222">
        <v>8.6999999999999993</v>
      </c>
      <c r="T6" s="222">
        <v>16</v>
      </c>
      <c r="U6" s="222">
        <v>2.7</v>
      </c>
      <c r="V6" s="222">
        <v>2.7</v>
      </c>
      <c r="W6" s="222"/>
      <c r="X6" s="222"/>
      <c r="Y6" s="222"/>
      <c r="Z6" s="222"/>
      <c r="AA6" s="222"/>
      <c r="AB6" s="222"/>
      <c r="AC6" s="222"/>
    </row>
    <row r="7" spans="2:29" ht="18.75" x14ac:dyDescent="0.2">
      <c r="B7" s="102" t="s">
        <v>278</v>
      </c>
      <c r="C7" s="6">
        <v>0.20499999999999999</v>
      </c>
      <c r="D7" s="6">
        <v>0</v>
      </c>
      <c r="E7" s="6">
        <v>0</v>
      </c>
      <c r="F7" s="6"/>
      <c r="G7" s="227"/>
      <c r="H7" s="228"/>
      <c r="I7" s="228"/>
      <c r="J7" s="228"/>
      <c r="K7" s="228"/>
      <c r="L7" s="6"/>
      <c r="M7" s="6"/>
      <c r="N7" s="6"/>
      <c r="Q7" s="6" t="s">
        <v>484</v>
      </c>
      <c r="R7" s="222">
        <v>16</v>
      </c>
      <c r="S7" s="222">
        <v>12</v>
      </c>
      <c r="T7" s="222">
        <v>17</v>
      </c>
      <c r="U7" s="222">
        <v>0.7</v>
      </c>
      <c r="V7" s="222">
        <v>0.55000000000000004</v>
      </c>
      <c r="W7" s="226">
        <v>0</v>
      </c>
      <c r="X7" s="222">
        <v>0.16</v>
      </c>
      <c r="Y7" s="222">
        <v>0.08</v>
      </c>
      <c r="Z7" s="222">
        <v>0.09</v>
      </c>
      <c r="AA7" s="222">
        <v>0.16</v>
      </c>
      <c r="AB7" s="222">
        <v>0.09</v>
      </c>
      <c r="AC7" s="222">
        <v>8.0000000000000002E-3</v>
      </c>
    </row>
    <row r="8" spans="2:29" ht="18.75" x14ac:dyDescent="0.2">
      <c r="B8" s="102" t="s">
        <v>505</v>
      </c>
      <c r="C8" s="6">
        <v>0.34399999999999997</v>
      </c>
      <c r="D8" s="6">
        <v>0</v>
      </c>
      <c r="E8" s="6">
        <v>0</v>
      </c>
      <c r="F8" s="6"/>
      <c r="G8" s="227"/>
      <c r="H8" s="230"/>
      <c r="I8" s="228"/>
      <c r="J8" s="228"/>
      <c r="K8" s="228"/>
      <c r="L8" s="6"/>
      <c r="M8" s="6"/>
      <c r="N8" s="6"/>
      <c r="Q8" s="6" t="s">
        <v>485</v>
      </c>
      <c r="R8" s="222">
        <v>18.600000000000001</v>
      </c>
      <c r="S8" s="222">
        <v>7.7</v>
      </c>
      <c r="T8" s="222">
        <v>17</v>
      </c>
      <c r="U8" s="222">
        <v>0.7</v>
      </c>
      <c r="V8" s="222">
        <v>0.55000000000000004</v>
      </c>
      <c r="W8" s="226">
        <v>0</v>
      </c>
      <c r="X8" s="222">
        <v>0.16</v>
      </c>
      <c r="Y8" s="222">
        <v>0.08</v>
      </c>
      <c r="Z8" s="222">
        <v>0.09</v>
      </c>
      <c r="AA8" s="222">
        <v>0.16</v>
      </c>
      <c r="AB8" s="222">
        <v>0.09</v>
      </c>
      <c r="AC8" s="222">
        <v>8.0000000000000002E-3</v>
      </c>
    </row>
    <row r="9" spans="2:29" ht="18.75" x14ac:dyDescent="0.2">
      <c r="B9" s="102" t="s">
        <v>494</v>
      </c>
      <c r="C9" s="6">
        <v>0.82199999999999995</v>
      </c>
      <c r="D9" s="6"/>
      <c r="E9" s="6"/>
      <c r="F9" s="6"/>
      <c r="G9" s="227"/>
      <c r="H9" s="229"/>
      <c r="I9" s="6"/>
      <c r="J9" s="6"/>
      <c r="K9" s="6"/>
      <c r="L9" s="6"/>
      <c r="M9" s="6"/>
      <c r="N9" s="6"/>
      <c r="Q9" s="6" t="s">
        <v>486</v>
      </c>
      <c r="R9" s="222">
        <v>11.8</v>
      </c>
      <c r="S9" s="222">
        <v>12</v>
      </c>
      <c r="T9" s="222">
        <v>25</v>
      </c>
      <c r="U9" s="222">
        <v>0.7</v>
      </c>
      <c r="V9" s="222">
        <v>0.55000000000000004</v>
      </c>
      <c r="W9" s="226">
        <v>0</v>
      </c>
      <c r="X9" s="222">
        <v>0.16</v>
      </c>
      <c r="Y9" s="222">
        <v>0.08</v>
      </c>
      <c r="Z9" s="222">
        <v>0.09</v>
      </c>
      <c r="AA9" s="222">
        <v>0.16</v>
      </c>
      <c r="AB9" s="222">
        <v>0.09</v>
      </c>
      <c r="AC9" s="222">
        <v>8.0000000000000002E-3</v>
      </c>
    </row>
    <row r="10" spans="2:29" ht="18.75" x14ac:dyDescent="0.2">
      <c r="B10" s="102" t="s">
        <v>498</v>
      </c>
      <c r="C10" s="6">
        <v>0.1</v>
      </c>
      <c r="D10" s="6">
        <v>0.44</v>
      </c>
      <c r="E10" s="6">
        <v>0</v>
      </c>
      <c r="F10" s="6"/>
      <c r="G10" s="227"/>
      <c r="H10" s="229"/>
      <c r="I10" s="6"/>
      <c r="J10" s="6"/>
      <c r="K10" s="6"/>
      <c r="L10" s="6"/>
      <c r="M10" s="6"/>
      <c r="N10" s="6"/>
      <c r="Q10" s="6" t="s">
        <v>487</v>
      </c>
      <c r="R10" s="222">
        <v>12</v>
      </c>
      <c r="S10" s="222">
        <v>8</v>
      </c>
      <c r="T10" s="222">
        <v>14</v>
      </c>
      <c r="U10" s="222">
        <v>8</v>
      </c>
      <c r="V10" s="226">
        <v>0</v>
      </c>
      <c r="W10" s="222">
        <v>2</v>
      </c>
      <c r="X10" s="222">
        <v>0.2</v>
      </c>
      <c r="Y10" s="222">
        <v>0.1</v>
      </c>
      <c r="Z10" s="222">
        <v>0.1</v>
      </c>
      <c r="AA10" s="222">
        <v>0.2</v>
      </c>
      <c r="AB10" s="222">
        <v>0.1</v>
      </c>
      <c r="AC10" s="222">
        <v>0.01</v>
      </c>
    </row>
    <row r="11" spans="2:29" ht="18.75" x14ac:dyDescent="0.2">
      <c r="B11" s="102" t="s">
        <v>497</v>
      </c>
      <c r="C11" s="6">
        <v>0.11</v>
      </c>
      <c r="D11" s="6">
        <v>0.42</v>
      </c>
      <c r="E11" s="6">
        <v>0</v>
      </c>
      <c r="F11" s="6"/>
      <c r="G11" s="227"/>
      <c r="H11" s="229"/>
      <c r="I11" s="6"/>
      <c r="J11" s="6"/>
      <c r="K11" s="6"/>
      <c r="L11" s="6"/>
      <c r="M11" s="6"/>
      <c r="N11" s="6"/>
      <c r="Q11" s="6" t="s">
        <v>488</v>
      </c>
      <c r="R11" s="222">
        <v>4.8</v>
      </c>
      <c r="S11" s="222">
        <v>20.8</v>
      </c>
      <c r="T11" s="222">
        <v>31.3</v>
      </c>
      <c r="U11" s="222">
        <v>0.7</v>
      </c>
      <c r="V11" s="222">
        <v>0.55000000000000004</v>
      </c>
      <c r="W11" s="226">
        <v>0</v>
      </c>
      <c r="X11" s="222">
        <v>0.16</v>
      </c>
      <c r="Y11" s="222">
        <v>0.08</v>
      </c>
      <c r="Z11" s="222">
        <v>0.09</v>
      </c>
      <c r="AA11" s="222">
        <v>0.16</v>
      </c>
      <c r="AB11" s="222">
        <v>0.09</v>
      </c>
      <c r="AC11" s="222">
        <v>0.01</v>
      </c>
    </row>
    <row r="12" spans="2:29" ht="18.75" x14ac:dyDescent="0.2">
      <c r="B12" s="102" t="s">
        <v>496</v>
      </c>
      <c r="C12" s="6">
        <v>0.12</v>
      </c>
      <c r="D12" s="6">
        <v>0.52</v>
      </c>
      <c r="E12" s="6">
        <v>0</v>
      </c>
      <c r="F12" s="6"/>
      <c r="G12" s="227"/>
      <c r="H12" s="228"/>
      <c r="I12" s="228"/>
      <c r="J12" s="228"/>
      <c r="K12" s="228"/>
      <c r="L12" s="6"/>
      <c r="M12" s="6"/>
      <c r="N12" s="6"/>
      <c r="Q12" s="6" t="s">
        <v>489</v>
      </c>
      <c r="R12" s="222">
        <v>14</v>
      </c>
      <c r="S12" s="222">
        <v>11</v>
      </c>
      <c r="T12" s="222">
        <v>25.3</v>
      </c>
      <c r="U12" s="222">
        <v>1.8</v>
      </c>
      <c r="V12" s="222"/>
      <c r="W12" s="226">
        <v>1.4</v>
      </c>
      <c r="X12" s="222">
        <v>0.1</v>
      </c>
      <c r="Y12" s="222">
        <v>0.01</v>
      </c>
      <c r="Z12" s="222">
        <v>0.02</v>
      </c>
      <c r="AA12" s="222">
        <v>0.1</v>
      </c>
      <c r="AB12" s="222">
        <v>0.01</v>
      </c>
      <c r="AC12" s="222">
        <v>2E-3</v>
      </c>
    </row>
    <row r="13" spans="2:29" ht="14.25" customHeight="1" x14ac:dyDescent="0.2">
      <c r="B13" s="102" t="s">
        <v>506</v>
      </c>
      <c r="C13" s="6">
        <v>0.1</v>
      </c>
      <c r="D13" s="6">
        <v>0.26</v>
      </c>
      <c r="E13" s="6">
        <v>0.26</v>
      </c>
      <c r="F13" s="6"/>
      <c r="G13" s="227"/>
      <c r="H13" s="228"/>
      <c r="I13" s="228"/>
      <c r="J13" s="228"/>
      <c r="K13" s="228"/>
      <c r="L13" s="6"/>
      <c r="M13" s="6"/>
      <c r="N13" s="6"/>
      <c r="Q13" s="6" t="s">
        <v>490</v>
      </c>
      <c r="R13" s="222">
        <v>8.1999999999999993</v>
      </c>
      <c r="S13" s="222">
        <v>9.9</v>
      </c>
      <c r="T13" s="222">
        <v>34.1</v>
      </c>
      <c r="U13" s="222">
        <v>2</v>
      </c>
      <c r="V13" s="222"/>
      <c r="W13" s="226">
        <v>1.5</v>
      </c>
      <c r="X13" s="222">
        <v>0.1</v>
      </c>
      <c r="Y13" s="222">
        <v>0.01</v>
      </c>
      <c r="Z13" s="222">
        <v>0.02</v>
      </c>
      <c r="AA13" s="222">
        <v>0.1</v>
      </c>
      <c r="AB13" s="222">
        <v>0.01</v>
      </c>
      <c r="AC13" s="222">
        <v>2E-3</v>
      </c>
    </row>
    <row r="14" spans="2:29" ht="18.75" x14ac:dyDescent="0.2">
      <c r="B14" s="102" t="s">
        <v>507</v>
      </c>
      <c r="C14" s="6">
        <v>0.18</v>
      </c>
      <c r="D14" s="6">
        <v>0.46</v>
      </c>
      <c r="E14" s="6">
        <v>0</v>
      </c>
      <c r="F14" s="6"/>
      <c r="G14" s="227"/>
      <c r="H14" s="228"/>
      <c r="I14" s="228"/>
      <c r="J14" s="228"/>
      <c r="K14" s="228"/>
      <c r="L14" s="6"/>
      <c r="M14" s="6"/>
      <c r="N14" s="6"/>
      <c r="Q14" s="6" t="s">
        <v>491</v>
      </c>
      <c r="R14" s="222">
        <v>11</v>
      </c>
      <c r="S14" s="222">
        <v>24.1</v>
      </c>
      <c r="T14" s="222">
        <v>22.1</v>
      </c>
      <c r="U14" s="222">
        <v>5.8</v>
      </c>
      <c r="V14" s="222"/>
      <c r="W14" s="226">
        <v>0.1</v>
      </c>
      <c r="X14" s="222">
        <v>0.5</v>
      </c>
      <c r="Y14" s="222">
        <v>1.1000000000000001</v>
      </c>
      <c r="Z14" s="222">
        <v>0.1</v>
      </c>
      <c r="AA14" s="222">
        <v>0.95</v>
      </c>
      <c r="AB14" s="222">
        <v>0.5</v>
      </c>
      <c r="AC14" s="222">
        <v>0.01</v>
      </c>
    </row>
    <row r="15" spans="2:29" x14ac:dyDescent="0.2">
      <c r="B15" s="199" t="s">
        <v>501</v>
      </c>
      <c r="C15" s="6"/>
      <c r="D15" s="6"/>
      <c r="E15" s="6"/>
      <c r="F15" s="6"/>
      <c r="G15" s="6"/>
      <c r="H15" s="6"/>
      <c r="I15" s="6"/>
      <c r="J15" s="6">
        <v>1.4E-3</v>
      </c>
      <c r="K15" s="6">
        <v>3.5E-4</v>
      </c>
      <c r="L15" s="6"/>
      <c r="M15" s="6"/>
      <c r="N15" s="6"/>
    </row>
    <row r="16" spans="2:29" x14ac:dyDescent="0.2">
      <c r="B16" s="199" t="s">
        <v>502</v>
      </c>
      <c r="C16" s="6"/>
      <c r="D16" s="6"/>
      <c r="E16" s="6"/>
      <c r="F16" s="6"/>
      <c r="G16" s="6"/>
      <c r="H16" s="6"/>
      <c r="I16" s="6"/>
      <c r="J16" s="6">
        <v>1.4E-3</v>
      </c>
      <c r="K16" s="6">
        <v>3.3999999999999998E-3</v>
      </c>
      <c r="L16" s="6"/>
      <c r="M16" s="6"/>
      <c r="N16" s="6"/>
    </row>
    <row r="17" spans="2:29" ht="18.75" x14ac:dyDescent="0.2">
      <c r="B17" s="102" t="s">
        <v>493</v>
      </c>
      <c r="C17" s="6">
        <v>0</v>
      </c>
      <c r="D17" s="6">
        <v>0</v>
      </c>
      <c r="E17" s="6">
        <v>0.28000000000000003</v>
      </c>
      <c r="F17" s="6"/>
      <c r="G17" s="227"/>
      <c r="H17" s="6">
        <v>0.09</v>
      </c>
      <c r="I17" s="6"/>
      <c r="J17" s="6"/>
      <c r="K17" s="6"/>
      <c r="L17" s="6"/>
      <c r="M17" s="6"/>
      <c r="N17" s="6"/>
    </row>
    <row r="18" spans="2:29" ht="18.75" x14ac:dyDescent="0.2">
      <c r="B18" s="102" t="s">
        <v>294</v>
      </c>
      <c r="C18" s="6">
        <v>0.46</v>
      </c>
      <c r="D18" s="6">
        <v>0</v>
      </c>
      <c r="E18" s="6">
        <v>0</v>
      </c>
      <c r="F18" s="6"/>
      <c r="G18" s="227"/>
      <c r="H18" s="229"/>
      <c r="I18" s="228"/>
      <c r="J18" s="228"/>
      <c r="K18" s="228"/>
      <c r="L18" s="6"/>
      <c r="M18" s="6"/>
      <c r="N18" s="6"/>
    </row>
    <row r="19" spans="2:29" ht="18.75" customHeight="1" x14ac:dyDescent="0.2">
      <c r="B19" s="102" t="s">
        <v>499</v>
      </c>
      <c r="C19" s="6">
        <v>0.3</v>
      </c>
      <c r="D19" s="6"/>
      <c r="E19" s="6"/>
      <c r="F19" s="6"/>
      <c r="G19" s="227"/>
      <c r="H19" s="229"/>
      <c r="I19" s="6"/>
      <c r="J19" s="6"/>
      <c r="K19" s="6"/>
      <c r="L19" s="6"/>
      <c r="M19" s="6"/>
      <c r="N19" s="6"/>
      <c r="R19">
        <f t="shared" ref="R19:AC19" si="1">R2/100</f>
        <v>0.11</v>
      </c>
      <c r="S19">
        <f t="shared" si="1"/>
        <v>0.28399999999999997</v>
      </c>
      <c r="T19">
        <f t="shared" si="1"/>
        <v>0.16500000000000001</v>
      </c>
      <c r="U19">
        <f t="shared" si="1"/>
        <v>0</v>
      </c>
      <c r="V19">
        <f t="shared" si="1"/>
        <v>0</v>
      </c>
      <c r="W19">
        <f t="shared" si="1"/>
        <v>0</v>
      </c>
      <c r="X19">
        <f t="shared" si="1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</row>
    <row r="20" spans="2:29" ht="15" x14ac:dyDescent="0.25">
      <c r="B20" s="223" t="s">
        <v>479</v>
      </c>
      <c r="C20" s="127">
        <v>0.11</v>
      </c>
      <c r="D20" s="6">
        <v>0.28399999999999997</v>
      </c>
      <c r="E20" s="6">
        <v>0.16500000000000001</v>
      </c>
      <c r="F20" s="6">
        <v>0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v>0</v>
      </c>
      <c r="R20">
        <f t="shared" ref="R20:AC20" si="2">R3/100</f>
        <v>9.4E-2</v>
      </c>
      <c r="S20">
        <f t="shared" si="2"/>
        <v>0.14000000000000001</v>
      </c>
      <c r="T20">
        <f t="shared" si="2"/>
        <v>0.3</v>
      </c>
      <c r="U20">
        <f t="shared" si="2"/>
        <v>0</v>
      </c>
      <c r="V20">
        <f t="shared" si="2"/>
        <v>0</v>
      </c>
      <c r="W20">
        <f t="shared" si="2"/>
        <v>0</v>
      </c>
      <c r="X20">
        <f t="shared" si="2"/>
        <v>0</v>
      </c>
      <c r="Y20">
        <f t="shared" si="2"/>
        <v>0</v>
      </c>
      <c r="Z20">
        <f t="shared" si="2"/>
        <v>0</v>
      </c>
      <c r="AA20">
        <f t="shared" si="2"/>
        <v>0</v>
      </c>
      <c r="AB20">
        <f t="shared" si="2"/>
        <v>0</v>
      </c>
      <c r="AC20">
        <f t="shared" si="2"/>
        <v>0</v>
      </c>
    </row>
    <row r="21" spans="2:29" ht="15" x14ac:dyDescent="0.2">
      <c r="B21" s="225" t="s">
        <v>480</v>
      </c>
      <c r="C21" s="127">
        <v>9.4E-2</v>
      </c>
      <c r="D21" s="6">
        <v>0.14000000000000001</v>
      </c>
      <c r="E21" s="6">
        <v>0.3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R21">
        <f t="shared" ref="R21:AC21" si="3">R4/100</f>
        <v>0.13</v>
      </c>
      <c r="S21">
        <f t="shared" si="3"/>
        <v>0.19500000000000001</v>
      </c>
      <c r="T21">
        <f t="shared" si="3"/>
        <v>0.19500000000000001</v>
      </c>
      <c r="U21">
        <f t="shared" si="3"/>
        <v>0</v>
      </c>
      <c r="V21">
        <f t="shared" si="3"/>
        <v>0</v>
      </c>
      <c r="W21">
        <f t="shared" si="3"/>
        <v>0</v>
      </c>
      <c r="X21">
        <f t="shared" si="3"/>
        <v>0</v>
      </c>
      <c r="Y21">
        <f t="shared" si="3"/>
        <v>0</v>
      </c>
      <c r="Z21">
        <f t="shared" si="3"/>
        <v>0</v>
      </c>
      <c r="AA21">
        <f t="shared" si="3"/>
        <v>0</v>
      </c>
      <c r="AB21">
        <f t="shared" si="3"/>
        <v>0</v>
      </c>
      <c r="AC21">
        <f t="shared" si="3"/>
        <v>0</v>
      </c>
    </row>
    <row r="22" spans="2:29" ht="15" x14ac:dyDescent="0.2">
      <c r="B22" s="225" t="s">
        <v>481</v>
      </c>
      <c r="C22" s="127">
        <v>0.13</v>
      </c>
      <c r="D22" s="6">
        <v>0.19500000000000001</v>
      </c>
      <c r="E22" s="6">
        <v>0.19500000000000001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R22">
        <f t="shared" ref="R22:AC22" si="4">R5/100</f>
        <v>8.5999999999999993E-2</v>
      </c>
      <c r="S22">
        <f t="shared" si="4"/>
        <v>0.21600000000000003</v>
      </c>
      <c r="T22">
        <f t="shared" si="4"/>
        <v>0.25700000000000001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f t="shared" si="4"/>
        <v>0</v>
      </c>
      <c r="Z22">
        <f t="shared" si="4"/>
        <v>0</v>
      </c>
      <c r="AA22">
        <f t="shared" si="4"/>
        <v>0</v>
      </c>
      <c r="AB22">
        <f t="shared" si="4"/>
        <v>0</v>
      </c>
      <c r="AC22">
        <f t="shared" si="4"/>
        <v>0</v>
      </c>
    </row>
    <row r="23" spans="2:29" ht="15" x14ac:dyDescent="0.2">
      <c r="B23" s="225" t="s">
        <v>482</v>
      </c>
      <c r="C23" s="127">
        <v>8.5999999999999993E-2</v>
      </c>
      <c r="D23" s="6">
        <v>0.21600000000000003</v>
      </c>
      <c r="E23" s="6">
        <v>0.25700000000000001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v>0</v>
      </c>
      <c r="R23">
        <f t="shared" ref="R23:AC23" si="5">R6/100</f>
        <v>0.107</v>
      </c>
      <c r="S23">
        <f t="shared" si="5"/>
        <v>8.6999999999999994E-2</v>
      </c>
      <c r="T23">
        <f t="shared" si="5"/>
        <v>0.16</v>
      </c>
      <c r="U23">
        <f t="shared" si="5"/>
        <v>2.7000000000000003E-2</v>
      </c>
      <c r="V23">
        <f t="shared" si="5"/>
        <v>2.7000000000000003E-2</v>
      </c>
      <c r="W23">
        <f t="shared" si="5"/>
        <v>0</v>
      </c>
      <c r="X23">
        <f t="shared" si="5"/>
        <v>0</v>
      </c>
      <c r="Y23">
        <f t="shared" si="5"/>
        <v>0</v>
      </c>
      <c r="Z23">
        <f t="shared" si="5"/>
        <v>0</v>
      </c>
      <c r="AA23">
        <f t="shared" si="5"/>
        <v>0</v>
      </c>
      <c r="AB23">
        <f t="shared" si="5"/>
        <v>0</v>
      </c>
      <c r="AC23">
        <f t="shared" si="5"/>
        <v>0</v>
      </c>
    </row>
    <row r="24" spans="2:29" x14ac:dyDescent="0.2">
      <c r="B24" s="6" t="s">
        <v>490</v>
      </c>
      <c r="C24" s="127">
        <v>8.199999999999999E-2</v>
      </c>
      <c r="D24" s="6">
        <v>9.9000000000000005E-2</v>
      </c>
      <c r="E24" s="6">
        <v>0.34100000000000003</v>
      </c>
      <c r="F24" s="6">
        <v>0.02</v>
      </c>
      <c r="G24" s="6">
        <v>0</v>
      </c>
      <c r="H24" s="6">
        <v>1.4999999999999999E-2</v>
      </c>
      <c r="I24" s="6">
        <v>1E-3</v>
      </c>
      <c r="J24" s="6">
        <v>1E-4</v>
      </c>
      <c r="K24" s="6">
        <v>2.0000000000000001E-4</v>
      </c>
      <c r="L24" s="6">
        <v>1E-3</v>
      </c>
      <c r="M24" s="6">
        <v>1E-4</v>
      </c>
      <c r="N24" s="6">
        <v>2.0000000000000002E-5</v>
      </c>
      <c r="R24">
        <f t="shared" ref="R24:AC24" si="6">R7/100</f>
        <v>0.16</v>
      </c>
      <c r="S24">
        <f t="shared" si="6"/>
        <v>0.12</v>
      </c>
      <c r="T24">
        <f t="shared" si="6"/>
        <v>0.17</v>
      </c>
      <c r="U24">
        <f t="shared" si="6"/>
        <v>6.9999999999999993E-3</v>
      </c>
      <c r="V24">
        <f t="shared" si="6"/>
        <v>5.5000000000000005E-3</v>
      </c>
      <c r="W24">
        <f t="shared" si="6"/>
        <v>0</v>
      </c>
      <c r="X24">
        <f t="shared" si="6"/>
        <v>1.6000000000000001E-3</v>
      </c>
      <c r="Y24">
        <f t="shared" si="6"/>
        <v>8.0000000000000004E-4</v>
      </c>
      <c r="Z24">
        <f t="shared" si="6"/>
        <v>8.9999999999999998E-4</v>
      </c>
      <c r="AA24">
        <f t="shared" si="6"/>
        <v>1.6000000000000001E-3</v>
      </c>
      <c r="AB24">
        <f t="shared" si="6"/>
        <v>8.9999999999999998E-4</v>
      </c>
      <c r="AC24">
        <f t="shared" si="6"/>
        <v>8.0000000000000007E-5</v>
      </c>
    </row>
    <row r="25" spans="2:29" x14ac:dyDescent="0.2">
      <c r="B25" s="6" t="s">
        <v>483</v>
      </c>
      <c r="C25" s="127">
        <v>0.107</v>
      </c>
      <c r="D25" s="6">
        <v>8.6999999999999994E-2</v>
      </c>
      <c r="E25" s="6">
        <v>0.16</v>
      </c>
      <c r="F25" s="6">
        <v>2.7000000000000003E-2</v>
      </c>
      <c r="G25" s="6">
        <v>2.7000000000000003E-2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v>0</v>
      </c>
      <c r="R25">
        <f t="shared" ref="R25:AC25" si="7">R8/100</f>
        <v>0.18600000000000003</v>
      </c>
      <c r="S25">
        <f t="shared" si="7"/>
        <v>7.6999999999999999E-2</v>
      </c>
      <c r="T25">
        <f t="shared" si="7"/>
        <v>0.17</v>
      </c>
      <c r="U25">
        <f t="shared" si="7"/>
        <v>6.9999999999999993E-3</v>
      </c>
      <c r="V25">
        <f t="shared" si="7"/>
        <v>5.5000000000000005E-3</v>
      </c>
      <c r="W25">
        <f t="shared" si="7"/>
        <v>0</v>
      </c>
      <c r="X25">
        <f t="shared" si="7"/>
        <v>1.6000000000000001E-3</v>
      </c>
      <c r="Y25">
        <f t="shared" si="7"/>
        <v>8.0000000000000004E-4</v>
      </c>
      <c r="Z25">
        <f t="shared" si="7"/>
        <v>8.9999999999999998E-4</v>
      </c>
      <c r="AA25">
        <f t="shared" si="7"/>
        <v>1.6000000000000001E-3</v>
      </c>
      <c r="AB25">
        <f t="shared" si="7"/>
        <v>8.9999999999999998E-4</v>
      </c>
      <c r="AC25">
        <f t="shared" si="7"/>
        <v>8.0000000000000007E-5</v>
      </c>
    </row>
    <row r="26" spans="2:29" x14ac:dyDescent="0.2">
      <c r="B26" s="6" t="s">
        <v>489</v>
      </c>
      <c r="C26" s="127">
        <v>0.14000000000000001</v>
      </c>
      <c r="D26" s="6">
        <v>0.11</v>
      </c>
      <c r="E26" s="6">
        <v>0.253</v>
      </c>
      <c r="F26" s="6">
        <v>1.8000000000000002E-2</v>
      </c>
      <c r="G26" s="6">
        <v>0</v>
      </c>
      <c r="H26" s="6">
        <v>1.3999999999999999E-2</v>
      </c>
      <c r="I26" s="6">
        <v>1E-3</v>
      </c>
      <c r="J26" s="6">
        <v>1E-4</v>
      </c>
      <c r="K26" s="6">
        <v>2.0000000000000001E-4</v>
      </c>
      <c r="L26" s="6">
        <v>1E-3</v>
      </c>
      <c r="M26" s="6">
        <v>1E-4</v>
      </c>
      <c r="N26" s="6">
        <v>2.0000000000000002E-5</v>
      </c>
      <c r="R26">
        <f t="shared" ref="R26:AC26" si="8">R9/100</f>
        <v>0.11800000000000001</v>
      </c>
      <c r="S26">
        <f t="shared" si="8"/>
        <v>0.12</v>
      </c>
      <c r="T26">
        <f t="shared" si="8"/>
        <v>0.25</v>
      </c>
      <c r="U26">
        <f t="shared" si="8"/>
        <v>6.9999999999999993E-3</v>
      </c>
      <c r="V26">
        <f t="shared" si="8"/>
        <v>5.5000000000000005E-3</v>
      </c>
      <c r="W26">
        <f t="shared" si="8"/>
        <v>0</v>
      </c>
      <c r="X26">
        <f t="shared" si="8"/>
        <v>1.6000000000000001E-3</v>
      </c>
      <c r="Y26">
        <f t="shared" si="8"/>
        <v>8.0000000000000004E-4</v>
      </c>
      <c r="Z26">
        <f t="shared" si="8"/>
        <v>8.9999999999999998E-4</v>
      </c>
      <c r="AA26">
        <f t="shared" si="8"/>
        <v>1.6000000000000001E-3</v>
      </c>
      <c r="AB26">
        <f t="shared" si="8"/>
        <v>8.9999999999999998E-4</v>
      </c>
      <c r="AC26">
        <f t="shared" si="8"/>
        <v>8.0000000000000007E-5</v>
      </c>
    </row>
    <row r="27" spans="2:29" x14ac:dyDescent="0.2">
      <c r="B27" s="6" t="s">
        <v>488</v>
      </c>
      <c r="C27" s="127">
        <v>4.8000000000000001E-2</v>
      </c>
      <c r="D27" s="6">
        <v>0.20800000000000002</v>
      </c>
      <c r="E27" s="6">
        <v>0.313</v>
      </c>
      <c r="F27" s="6">
        <v>6.9999999999999993E-3</v>
      </c>
      <c r="G27" s="6">
        <v>5.5000000000000005E-3</v>
      </c>
      <c r="H27" s="6">
        <v>0</v>
      </c>
      <c r="I27" s="6">
        <v>1.6000000000000001E-3</v>
      </c>
      <c r="J27" s="6">
        <v>8.0000000000000004E-4</v>
      </c>
      <c r="K27" s="6">
        <v>8.9999999999999998E-4</v>
      </c>
      <c r="L27" s="6">
        <v>1.6000000000000001E-3</v>
      </c>
      <c r="M27" s="6">
        <v>8.9999999999999998E-4</v>
      </c>
      <c r="N27" s="6">
        <v>1E-4</v>
      </c>
      <c r="R27">
        <f t="shared" ref="R27:AC27" si="9">R10/100</f>
        <v>0.12</v>
      </c>
      <c r="S27">
        <f t="shared" si="9"/>
        <v>0.08</v>
      </c>
      <c r="T27">
        <f t="shared" si="9"/>
        <v>0.14000000000000001</v>
      </c>
      <c r="U27">
        <f t="shared" si="9"/>
        <v>0.08</v>
      </c>
      <c r="V27">
        <f t="shared" si="9"/>
        <v>0</v>
      </c>
      <c r="W27">
        <f t="shared" si="9"/>
        <v>0.02</v>
      </c>
      <c r="X27">
        <f t="shared" si="9"/>
        <v>2E-3</v>
      </c>
      <c r="Y27">
        <f t="shared" si="9"/>
        <v>1E-3</v>
      </c>
      <c r="Z27">
        <f t="shared" si="9"/>
        <v>1E-3</v>
      </c>
      <c r="AA27">
        <f t="shared" si="9"/>
        <v>2E-3</v>
      </c>
      <c r="AB27">
        <f t="shared" si="9"/>
        <v>1E-3</v>
      </c>
      <c r="AC27">
        <f t="shared" si="9"/>
        <v>1E-4</v>
      </c>
    </row>
    <row r="28" spans="2:29" x14ac:dyDescent="0.2">
      <c r="B28" s="6" t="s">
        <v>486</v>
      </c>
      <c r="C28" s="127">
        <v>0.11800000000000001</v>
      </c>
      <c r="D28" s="6">
        <v>0.12</v>
      </c>
      <c r="E28" s="6">
        <v>0.25</v>
      </c>
      <c r="F28" s="6">
        <v>6.9999999999999993E-3</v>
      </c>
      <c r="G28" s="6">
        <v>5.5000000000000005E-3</v>
      </c>
      <c r="H28" s="6">
        <v>0</v>
      </c>
      <c r="I28" s="6">
        <v>1.6000000000000001E-3</v>
      </c>
      <c r="J28" s="6">
        <v>8.0000000000000004E-4</v>
      </c>
      <c r="K28" s="6">
        <v>8.9999999999999998E-4</v>
      </c>
      <c r="L28" s="6">
        <v>1.6000000000000001E-3</v>
      </c>
      <c r="M28" s="6">
        <v>8.9999999999999998E-4</v>
      </c>
      <c r="N28" s="6">
        <v>8.0000000000000007E-5</v>
      </c>
      <c r="R28">
        <f t="shared" ref="R28:AC28" si="10">R11/100</f>
        <v>4.8000000000000001E-2</v>
      </c>
      <c r="S28">
        <f t="shared" si="10"/>
        <v>0.20800000000000002</v>
      </c>
      <c r="T28">
        <f t="shared" si="10"/>
        <v>0.313</v>
      </c>
      <c r="U28">
        <f t="shared" si="10"/>
        <v>6.9999999999999993E-3</v>
      </c>
      <c r="V28">
        <f t="shared" si="10"/>
        <v>5.5000000000000005E-3</v>
      </c>
      <c r="W28">
        <f t="shared" si="10"/>
        <v>0</v>
      </c>
      <c r="X28">
        <f t="shared" si="10"/>
        <v>1.6000000000000001E-3</v>
      </c>
      <c r="Y28">
        <f t="shared" si="10"/>
        <v>8.0000000000000004E-4</v>
      </c>
      <c r="Z28">
        <f t="shared" si="10"/>
        <v>8.9999999999999998E-4</v>
      </c>
      <c r="AA28">
        <f t="shared" si="10"/>
        <v>1.6000000000000001E-3</v>
      </c>
      <c r="AB28">
        <f t="shared" si="10"/>
        <v>8.9999999999999998E-4</v>
      </c>
      <c r="AC28">
        <f t="shared" si="10"/>
        <v>1E-4</v>
      </c>
    </row>
    <row r="29" spans="2:29" ht="18" customHeight="1" x14ac:dyDescent="0.2">
      <c r="B29" s="6" t="s">
        <v>485</v>
      </c>
      <c r="C29" s="127">
        <v>0.18600000000000003</v>
      </c>
      <c r="D29" s="6">
        <v>7.6999999999999999E-2</v>
      </c>
      <c r="E29" s="6">
        <v>0.17</v>
      </c>
      <c r="F29" s="6">
        <v>6.9999999999999993E-3</v>
      </c>
      <c r="G29" s="6">
        <v>5.5000000000000005E-3</v>
      </c>
      <c r="H29" s="6">
        <v>0</v>
      </c>
      <c r="I29" s="6">
        <v>1.6000000000000001E-3</v>
      </c>
      <c r="J29" s="6">
        <v>8.0000000000000004E-4</v>
      </c>
      <c r="K29" s="6">
        <v>8.9999999999999998E-4</v>
      </c>
      <c r="L29" s="6">
        <v>1.6000000000000001E-3</v>
      </c>
      <c r="M29" s="6">
        <v>8.9999999999999998E-4</v>
      </c>
      <c r="N29" s="6">
        <v>8.0000000000000007E-5</v>
      </c>
      <c r="R29">
        <f t="shared" ref="R29:AC29" si="11">R12/100</f>
        <v>0.14000000000000001</v>
      </c>
      <c r="S29">
        <f t="shared" si="11"/>
        <v>0.11</v>
      </c>
      <c r="T29">
        <f t="shared" si="11"/>
        <v>0.253</v>
      </c>
      <c r="U29">
        <f t="shared" si="11"/>
        <v>1.8000000000000002E-2</v>
      </c>
      <c r="V29">
        <f t="shared" si="11"/>
        <v>0</v>
      </c>
      <c r="W29">
        <f t="shared" si="11"/>
        <v>1.3999999999999999E-2</v>
      </c>
      <c r="X29">
        <f t="shared" si="11"/>
        <v>1E-3</v>
      </c>
      <c r="Y29">
        <f t="shared" si="11"/>
        <v>1E-4</v>
      </c>
      <c r="Z29">
        <f t="shared" si="11"/>
        <v>2.0000000000000001E-4</v>
      </c>
      <c r="AA29">
        <f t="shared" si="11"/>
        <v>1E-3</v>
      </c>
      <c r="AB29">
        <f t="shared" si="11"/>
        <v>1E-4</v>
      </c>
      <c r="AC29">
        <f t="shared" si="11"/>
        <v>2.0000000000000002E-5</v>
      </c>
    </row>
    <row r="30" spans="2:29" x14ac:dyDescent="0.2">
      <c r="B30" s="6" t="s">
        <v>484</v>
      </c>
      <c r="C30" s="127">
        <v>0.16</v>
      </c>
      <c r="D30" s="6">
        <v>0.12</v>
      </c>
      <c r="E30" s="6">
        <v>0.17</v>
      </c>
      <c r="F30" s="6">
        <v>6.9999999999999993E-3</v>
      </c>
      <c r="G30" s="6">
        <v>5.5000000000000005E-3</v>
      </c>
      <c r="H30" s="6">
        <v>0</v>
      </c>
      <c r="I30" s="6">
        <v>1.6000000000000001E-3</v>
      </c>
      <c r="J30" s="6">
        <v>8.0000000000000004E-4</v>
      </c>
      <c r="K30" s="6">
        <v>8.9999999999999998E-4</v>
      </c>
      <c r="L30" s="6">
        <v>1.6000000000000001E-3</v>
      </c>
      <c r="M30" s="6">
        <v>8.9999999999999998E-4</v>
      </c>
      <c r="N30" s="6">
        <v>8.0000000000000007E-5</v>
      </c>
      <c r="R30">
        <f t="shared" ref="R30:AC30" si="12">R13/100</f>
        <v>8.199999999999999E-2</v>
      </c>
      <c r="S30">
        <f t="shared" si="12"/>
        <v>9.9000000000000005E-2</v>
      </c>
      <c r="T30">
        <f t="shared" si="12"/>
        <v>0.34100000000000003</v>
      </c>
      <c r="U30">
        <f t="shared" si="12"/>
        <v>0.02</v>
      </c>
      <c r="V30">
        <f t="shared" si="12"/>
        <v>0</v>
      </c>
      <c r="W30">
        <f t="shared" si="12"/>
        <v>1.4999999999999999E-2</v>
      </c>
      <c r="X30">
        <f t="shared" si="12"/>
        <v>1E-3</v>
      </c>
      <c r="Y30">
        <f t="shared" si="12"/>
        <v>1E-4</v>
      </c>
      <c r="Z30">
        <f t="shared" si="12"/>
        <v>2.0000000000000001E-4</v>
      </c>
      <c r="AA30">
        <f t="shared" si="12"/>
        <v>1E-3</v>
      </c>
      <c r="AB30">
        <f t="shared" si="12"/>
        <v>1E-4</v>
      </c>
      <c r="AC30">
        <f t="shared" si="12"/>
        <v>2.0000000000000002E-5</v>
      </c>
    </row>
    <row r="31" spans="2:29" x14ac:dyDescent="0.2">
      <c r="B31" s="6" t="s">
        <v>491</v>
      </c>
      <c r="C31" s="127">
        <v>0.11</v>
      </c>
      <c r="D31" s="6">
        <v>0.24100000000000002</v>
      </c>
      <c r="E31" s="6">
        <v>0.221</v>
      </c>
      <c r="F31" s="6">
        <v>5.7999999999999996E-2</v>
      </c>
      <c r="G31" s="6">
        <v>0</v>
      </c>
      <c r="H31" s="6">
        <v>1E-3</v>
      </c>
      <c r="I31" s="6">
        <v>5.0000000000000001E-3</v>
      </c>
      <c r="J31" s="6">
        <v>1.1000000000000001E-2</v>
      </c>
      <c r="K31" s="6">
        <v>1E-3</v>
      </c>
      <c r="L31" s="6">
        <v>9.4999999999999998E-3</v>
      </c>
      <c r="M31" s="6">
        <v>5.0000000000000001E-3</v>
      </c>
      <c r="N31" s="6">
        <v>1E-4</v>
      </c>
      <c r="R31">
        <f t="shared" ref="R31:AC31" si="13">R14/100</f>
        <v>0.11</v>
      </c>
      <c r="S31">
        <f t="shared" si="13"/>
        <v>0.24100000000000002</v>
      </c>
      <c r="T31">
        <f t="shared" si="13"/>
        <v>0.221</v>
      </c>
      <c r="U31">
        <f t="shared" si="13"/>
        <v>5.7999999999999996E-2</v>
      </c>
      <c r="V31">
        <f t="shared" si="13"/>
        <v>0</v>
      </c>
      <c r="W31">
        <f t="shared" si="13"/>
        <v>1E-3</v>
      </c>
      <c r="X31">
        <f t="shared" si="13"/>
        <v>5.0000000000000001E-3</v>
      </c>
      <c r="Y31">
        <f t="shared" si="13"/>
        <v>1.1000000000000001E-2</v>
      </c>
      <c r="Z31">
        <f t="shared" si="13"/>
        <v>1E-3</v>
      </c>
      <c r="AA31">
        <f t="shared" si="13"/>
        <v>9.4999999999999998E-3</v>
      </c>
      <c r="AB31">
        <f t="shared" si="13"/>
        <v>5.0000000000000001E-3</v>
      </c>
      <c r="AC31">
        <f t="shared" si="13"/>
        <v>1E-4</v>
      </c>
    </row>
    <row r="32" spans="2:29" x14ac:dyDescent="0.2">
      <c r="B32" s="6" t="s">
        <v>487</v>
      </c>
      <c r="C32" s="127">
        <v>0.12</v>
      </c>
      <c r="D32" s="6">
        <v>0.08</v>
      </c>
      <c r="E32" s="6">
        <v>0.14000000000000001</v>
      </c>
      <c r="F32" s="6">
        <v>0.08</v>
      </c>
      <c r="G32" s="6">
        <v>0</v>
      </c>
      <c r="H32" s="6">
        <v>0.02</v>
      </c>
      <c r="I32" s="6">
        <v>2E-3</v>
      </c>
      <c r="J32" s="6">
        <v>1E-3</v>
      </c>
      <c r="K32" s="6">
        <v>1E-3</v>
      </c>
      <c r="L32" s="6">
        <v>2E-3</v>
      </c>
      <c r="M32" s="6">
        <v>1E-3</v>
      </c>
      <c r="N32" s="6">
        <v>1E-4</v>
      </c>
    </row>
    <row r="33" spans="2:14" ht="18.75" x14ac:dyDescent="0.2">
      <c r="B33" s="102" t="s">
        <v>106</v>
      </c>
      <c r="C33" s="6">
        <v>0.23</v>
      </c>
      <c r="D33" s="6">
        <v>0.21</v>
      </c>
      <c r="E33" s="6">
        <v>0</v>
      </c>
      <c r="F33" s="6"/>
      <c r="G33" s="227"/>
      <c r="H33" s="229"/>
      <c r="I33" s="228"/>
      <c r="J33" s="228"/>
      <c r="K33" s="228"/>
      <c r="L33" s="6"/>
      <c r="M33" s="6"/>
      <c r="N33" s="6"/>
    </row>
    <row r="34" spans="2:14" ht="18.75" x14ac:dyDescent="0.2">
      <c r="B34" s="102" t="s">
        <v>508</v>
      </c>
      <c r="C34" s="127">
        <v>0.22</v>
      </c>
      <c r="D34" s="127">
        <v>7.0000000000000007E-2</v>
      </c>
      <c r="E34" s="127">
        <v>0.12</v>
      </c>
      <c r="F34" s="6"/>
      <c r="G34" s="227"/>
      <c r="H34" s="229"/>
      <c r="I34" s="6"/>
      <c r="J34" s="6"/>
      <c r="K34" s="6"/>
      <c r="L34" s="6"/>
      <c r="M34" s="6"/>
      <c r="N34" s="6"/>
    </row>
    <row r="35" spans="2:14" ht="16.5" customHeight="1" x14ac:dyDescent="0.2">
      <c r="B35" s="102" t="s">
        <v>500</v>
      </c>
      <c r="C35" s="6">
        <v>0.11</v>
      </c>
      <c r="D35" s="6">
        <v>0.1</v>
      </c>
      <c r="E35" s="6">
        <v>0.11</v>
      </c>
      <c r="F35" s="6"/>
      <c r="G35" s="6"/>
      <c r="H35" s="6"/>
      <c r="I35" s="6"/>
      <c r="J35" s="6"/>
      <c r="K35" s="6"/>
      <c r="L35" s="6"/>
      <c r="M35" s="6"/>
      <c r="N35" s="6"/>
    </row>
    <row r="36" spans="2:14" ht="18.75" x14ac:dyDescent="0.2">
      <c r="B36" s="102" t="s">
        <v>495</v>
      </c>
      <c r="C36" s="6">
        <v>0.20499999999999999</v>
      </c>
      <c r="D36" s="6"/>
      <c r="E36" s="6"/>
      <c r="F36" s="6"/>
      <c r="G36" s="227"/>
      <c r="H36" s="231"/>
      <c r="I36" s="6"/>
      <c r="J36" s="6"/>
      <c r="K36" s="6"/>
      <c r="L36" s="6"/>
      <c r="M36" s="6"/>
      <c r="N36" s="6"/>
    </row>
    <row r="37" spans="2:14" ht="18.75" x14ac:dyDescent="0.2">
      <c r="B37" s="102" t="s">
        <v>211</v>
      </c>
      <c r="C37" s="6">
        <v>0</v>
      </c>
      <c r="D37" s="6">
        <v>0</v>
      </c>
      <c r="E37" s="6">
        <v>0.6</v>
      </c>
      <c r="F37" s="6"/>
      <c r="G37" s="227"/>
      <c r="H37" s="229"/>
      <c r="I37" s="6"/>
      <c r="J37" s="6"/>
      <c r="K37" s="6"/>
      <c r="L37" s="6"/>
      <c r="M37" s="6"/>
      <c r="N37" s="6"/>
    </row>
  </sheetData>
  <sheetProtection sheet="1" objects="1" scenarios="1"/>
  <sortState ref="B2:N37">
    <sortCondition ref="B2"/>
  </sortState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F47"/>
  <sheetViews>
    <sheetView workbookViewId="0">
      <selection activeCell="G41" sqref="G41"/>
    </sheetView>
  </sheetViews>
  <sheetFormatPr defaultRowHeight="12.75" x14ac:dyDescent="0.2"/>
  <cols>
    <col min="2" max="2" width="22.28515625" customWidth="1"/>
    <col min="3" max="3" width="9.28515625" bestFit="1" customWidth="1"/>
    <col min="4" max="5" width="9.5703125" bestFit="1" customWidth="1"/>
    <col min="9" max="9" width="12.28515625" customWidth="1"/>
    <col min="10" max="10" width="12.7109375" customWidth="1"/>
    <col min="11" max="11" width="12.140625" customWidth="1"/>
    <col min="12" max="12" width="12" customWidth="1"/>
    <col min="13" max="13" width="9.140625" hidden="1" customWidth="1"/>
  </cols>
  <sheetData>
    <row r="2" spans="2:28" x14ac:dyDescent="0.2">
      <c r="C2" s="353" t="s">
        <v>611</v>
      </c>
      <c r="D2" s="353"/>
      <c r="E2" s="353"/>
      <c r="F2" s="353"/>
    </row>
    <row r="3" spans="2:28" x14ac:dyDescent="0.2">
      <c r="B3" s="387" t="s">
        <v>381</v>
      </c>
      <c r="C3" s="387"/>
      <c r="D3" s="387"/>
      <c r="E3" s="387"/>
      <c r="F3" s="387"/>
      <c r="G3" s="387"/>
      <c r="H3" s="241"/>
      <c r="J3" s="353" t="s">
        <v>611</v>
      </c>
      <c r="K3" s="353"/>
      <c r="L3" s="353"/>
      <c r="M3" s="353"/>
    </row>
    <row r="4" spans="2:28" x14ac:dyDescent="0.2">
      <c r="B4" s="388" t="s">
        <v>382</v>
      </c>
      <c r="C4" s="388" t="s">
        <v>425</v>
      </c>
      <c r="D4" s="388"/>
      <c r="E4" s="388"/>
      <c r="F4" s="388"/>
      <c r="G4" s="388"/>
      <c r="H4" s="247"/>
      <c r="J4" t="s">
        <v>448</v>
      </c>
    </row>
    <row r="5" spans="2:28" ht="14.25" customHeight="1" x14ac:dyDescent="0.25">
      <c r="B5" s="388"/>
      <c r="C5" s="391" t="s">
        <v>29</v>
      </c>
      <c r="D5" s="392"/>
      <c r="E5" s="391" t="s">
        <v>384</v>
      </c>
      <c r="F5" s="392"/>
      <c r="G5" s="391" t="s">
        <v>385</v>
      </c>
      <c r="H5" s="392"/>
      <c r="J5" s="357" t="s">
        <v>524</v>
      </c>
      <c r="K5" s="357"/>
      <c r="L5" s="357"/>
      <c r="M5" t="s">
        <v>525</v>
      </c>
      <c r="O5" s="353" t="s">
        <v>611</v>
      </c>
      <c r="P5" s="353"/>
      <c r="Q5" s="353"/>
      <c r="R5" s="353"/>
    </row>
    <row r="6" spans="2:28" ht="25.5" x14ac:dyDescent="0.2">
      <c r="B6" s="247"/>
      <c r="C6" s="247" t="s">
        <v>522</v>
      </c>
      <c r="D6" s="247" t="s">
        <v>523</v>
      </c>
      <c r="E6" s="247" t="s">
        <v>522</v>
      </c>
      <c r="F6" s="247" t="s">
        <v>523</v>
      </c>
      <c r="G6" s="247" t="s">
        <v>522</v>
      </c>
      <c r="H6" s="247" t="s">
        <v>523</v>
      </c>
      <c r="J6" s="6" t="s">
        <v>450</v>
      </c>
      <c r="K6" s="6" t="s">
        <v>451</v>
      </c>
      <c r="L6" s="6" t="s">
        <v>452</v>
      </c>
      <c r="O6" s="6"/>
      <c r="P6" s="6" t="s">
        <v>96</v>
      </c>
      <c r="Q6" s="6" t="s">
        <v>97</v>
      </c>
    </row>
    <row r="7" spans="2:28" x14ac:dyDescent="0.2">
      <c r="B7" s="390" t="s">
        <v>386</v>
      </c>
      <c r="C7" s="390"/>
      <c r="D7" s="390"/>
      <c r="E7" s="390"/>
      <c r="F7" s="390"/>
      <c r="G7" s="390"/>
      <c r="H7" s="248"/>
      <c r="J7" s="76" t="s">
        <v>65</v>
      </c>
      <c r="K7" s="199">
        <v>0.3</v>
      </c>
      <c r="L7" s="199">
        <v>0.5</v>
      </c>
      <c r="O7" s="38" t="s">
        <v>341</v>
      </c>
      <c r="P7" s="6">
        <v>1</v>
      </c>
      <c r="Q7" s="6">
        <v>1</v>
      </c>
    </row>
    <row r="8" spans="2:28" x14ac:dyDescent="0.2">
      <c r="B8" s="249" t="s">
        <v>387</v>
      </c>
      <c r="C8" s="12">
        <f t="shared" ref="C8:H8" si="0">SUM(C9:C11)</f>
        <v>0.73</v>
      </c>
      <c r="D8" s="12">
        <f t="shared" si="0"/>
        <v>0.95000000000000007</v>
      </c>
      <c r="E8" s="12">
        <f t="shared" si="0"/>
        <v>0.41499999999999998</v>
      </c>
      <c r="F8" s="12">
        <f t="shared" si="0"/>
        <v>0.7</v>
      </c>
      <c r="G8" s="12">
        <f t="shared" si="0"/>
        <v>0.79</v>
      </c>
      <c r="H8" s="12">
        <f t="shared" si="0"/>
        <v>0.95000000000000007</v>
      </c>
      <c r="J8" s="76" t="s">
        <v>93</v>
      </c>
      <c r="K8" s="199">
        <v>0.3</v>
      </c>
      <c r="L8" s="199">
        <v>0.5</v>
      </c>
      <c r="O8" s="38" t="s">
        <v>342</v>
      </c>
      <c r="P8" s="6">
        <v>1.6</v>
      </c>
      <c r="Q8" s="6">
        <v>1.2</v>
      </c>
    </row>
    <row r="9" spans="2:28" x14ac:dyDescent="0.2">
      <c r="B9" s="250" t="s">
        <v>391</v>
      </c>
      <c r="C9" s="199">
        <v>0.7</v>
      </c>
      <c r="D9" s="199">
        <v>0.9</v>
      </c>
      <c r="E9" s="251">
        <v>0.22500000000000001</v>
      </c>
      <c r="F9" s="251">
        <v>0.45</v>
      </c>
      <c r="G9" s="199">
        <v>0.6</v>
      </c>
      <c r="H9" s="199">
        <v>0.8</v>
      </c>
      <c r="J9" s="76" t="s">
        <v>151</v>
      </c>
      <c r="K9" s="199">
        <v>0.25</v>
      </c>
      <c r="L9" s="199">
        <v>0.35</v>
      </c>
      <c r="O9" s="38" t="s">
        <v>343</v>
      </c>
      <c r="P9" s="6">
        <v>3.1</v>
      </c>
      <c r="Q9" s="6">
        <v>0.55000000000000004</v>
      </c>
    </row>
    <row r="10" spans="2:28" x14ac:dyDescent="0.2">
      <c r="B10" s="250" t="s">
        <v>394</v>
      </c>
      <c r="C10" s="199">
        <v>0.03</v>
      </c>
      <c r="D10" s="199">
        <v>0.05</v>
      </c>
      <c r="E10" s="199">
        <v>0.12</v>
      </c>
      <c r="F10" s="199">
        <v>0.15</v>
      </c>
      <c r="G10" s="199">
        <v>0.12</v>
      </c>
      <c r="H10" s="199">
        <v>0.1</v>
      </c>
      <c r="J10" s="76" t="s">
        <v>56</v>
      </c>
      <c r="K10" s="199">
        <v>0.25</v>
      </c>
      <c r="L10" s="199">
        <v>0.4</v>
      </c>
    </row>
    <row r="11" spans="2:28" x14ac:dyDescent="0.2">
      <c r="B11" s="250" t="s">
        <v>395</v>
      </c>
      <c r="C11" s="199">
        <v>0</v>
      </c>
      <c r="D11" s="199">
        <v>0</v>
      </c>
      <c r="E11" s="199">
        <v>7.0000000000000007E-2</v>
      </c>
      <c r="F11" s="199">
        <v>0.1</v>
      </c>
      <c r="G11" s="199">
        <v>7.0000000000000007E-2</v>
      </c>
      <c r="H11" s="199">
        <v>0.05</v>
      </c>
      <c r="J11" s="76" t="s">
        <v>71</v>
      </c>
      <c r="K11" s="199">
        <v>0.35</v>
      </c>
      <c r="L11" s="199">
        <v>0.5</v>
      </c>
    </row>
    <row r="12" spans="2:28" x14ac:dyDescent="0.2">
      <c r="B12" s="389" t="s">
        <v>397</v>
      </c>
      <c r="C12" s="389"/>
      <c r="D12" s="389"/>
      <c r="E12" s="389"/>
      <c r="F12" s="389"/>
      <c r="G12" s="389"/>
      <c r="H12" s="252"/>
      <c r="J12" s="76" t="s">
        <v>62</v>
      </c>
      <c r="K12" s="199">
        <v>0.3</v>
      </c>
      <c r="L12" s="199">
        <v>0.5</v>
      </c>
      <c r="Y12" s="315"/>
      <c r="Z12" s="315"/>
      <c r="AA12" s="315"/>
      <c r="AB12" s="315"/>
    </row>
    <row r="13" spans="2:28" x14ac:dyDescent="0.2">
      <c r="B13" s="250" t="s">
        <v>387</v>
      </c>
      <c r="C13" s="253">
        <f t="shared" ref="C13:H13" si="1">SUM(C14:C16)</f>
        <v>0.45</v>
      </c>
      <c r="D13" s="253">
        <f t="shared" si="1"/>
        <v>0.6</v>
      </c>
      <c r="E13" s="253">
        <f t="shared" si="1"/>
        <v>0.52</v>
      </c>
      <c r="F13" s="253">
        <f t="shared" si="1"/>
        <v>0.65</v>
      </c>
      <c r="G13" s="253">
        <f t="shared" si="1"/>
        <v>0.69</v>
      </c>
      <c r="H13" s="253">
        <f t="shared" si="1"/>
        <v>0.9</v>
      </c>
      <c r="J13" s="76" t="s">
        <v>58</v>
      </c>
      <c r="K13" s="199">
        <v>0.25</v>
      </c>
      <c r="L13" s="199">
        <v>0.35</v>
      </c>
      <c r="Y13" s="315"/>
      <c r="Z13" s="315"/>
      <c r="AA13" s="315"/>
      <c r="AB13" s="315"/>
    </row>
    <row r="14" spans="2:28" x14ac:dyDescent="0.2">
      <c r="B14" s="250" t="s">
        <v>391</v>
      </c>
      <c r="C14" s="199">
        <v>0.22</v>
      </c>
      <c r="D14" s="199">
        <v>0.3</v>
      </c>
      <c r="E14" s="199">
        <v>0.38</v>
      </c>
      <c r="F14" s="199">
        <v>0.45</v>
      </c>
      <c r="G14" s="199">
        <v>0.45</v>
      </c>
      <c r="H14" s="199">
        <v>0.6</v>
      </c>
      <c r="Y14" s="315"/>
      <c r="Z14" s="315"/>
      <c r="AA14" s="315"/>
      <c r="AB14" s="315"/>
    </row>
    <row r="15" spans="2:28" x14ac:dyDescent="0.2">
      <c r="B15" s="250" t="s">
        <v>394</v>
      </c>
      <c r="C15" s="199">
        <v>0.17</v>
      </c>
      <c r="D15" s="199">
        <v>0.2</v>
      </c>
      <c r="E15" s="199">
        <v>0.12</v>
      </c>
      <c r="F15" s="199">
        <v>0.15</v>
      </c>
      <c r="G15" s="199">
        <v>0.17</v>
      </c>
      <c r="H15" s="199">
        <v>0.2</v>
      </c>
      <c r="I15" s="127"/>
      <c r="J15" s="127"/>
      <c r="K15" s="127"/>
      <c r="L15" s="127"/>
      <c r="Y15" s="180"/>
      <c r="Z15" s="180"/>
      <c r="AA15" s="180"/>
      <c r="AB15" s="180"/>
    </row>
    <row r="16" spans="2:28" x14ac:dyDescent="0.2">
      <c r="B16" s="254" t="s">
        <v>395</v>
      </c>
      <c r="C16" s="255">
        <v>0.06</v>
      </c>
      <c r="D16" s="255">
        <v>0.1</v>
      </c>
      <c r="E16" s="255">
        <v>0.02</v>
      </c>
      <c r="F16" s="255">
        <v>0.05</v>
      </c>
      <c r="G16" s="255">
        <v>7.0000000000000007E-2</v>
      </c>
      <c r="H16" s="255">
        <v>0.1</v>
      </c>
      <c r="Y16" s="315"/>
      <c r="Z16" s="315"/>
      <c r="AA16" s="315"/>
      <c r="AB16" s="315"/>
    </row>
    <row r="17" spans="2:32" x14ac:dyDescent="0.2">
      <c r="B17" s="318"/>
      <c r="C17" s="319"/>
      <c r="D17" s="319"/>
      <c r="E17" s="319"/>
      <c r="F17" s="319"/>
      <c r="G17" s="319"/>
      <c r="H17" s="214"/>
      <c r="J17" s="353" t="s">
        <v>612</v>
      </c>
      <c r="K17" s="353"/>
      <c r="L17" s="353"/>
      <c r="M17" s="353"/>
      <c r="Y17" s="315"/>
      <c r="Z17" s="315"/>
      <c r="AA17" s="315"/>
      <c r="AB17" s="315"/>
    </row>
    <row r="18" spans="2:32" x14ac:dyDescent="0.2">
      <c r="B18" s="214"/>
      <c r="C18" s="353" t="s">
        <v>612</v>
      </c>
      <c r="D18" s="353"/>
      <c r="E18" s="353"/>
      <c r="F18" s="353"/>
      <c r="G18" s="214"/>
      <c r="J18" t="s">
        <v>448</v>
      </c>
      <c r="Y18" s="315"/>
      <c r="Z18" s="315"/>
      <c r="AA18" s="315"/>
      <c r="AB18" s="315"/>
    </row>
    <row r="19" spans="2:32" x14ac:dyDescent="0.2">
      <c r="B19" s="381" t="s">
        <v>381</v>
      </c>
      <c r="C19" s="382"/>
      <c r="D19" s="382"/>
      <c r="E19" s="382"/>
      <c r="F19" s="382"/>
      <c r="G19" s="383"/>
      <c r="J19" t="s">
        <v>449</v>
      </c>
      <c r="O19" s="187"/>
      <c r="P19" s="187"/>
      <c r="Q19" s="187"/>
      <c r="R19" s="187"/>
      <c r="S19" s="148"/>
      <c r="T19" s="187"/>
    </row>
    <row r="20" spans="2:32" x14ac:dyDescent="0.2">
      <c r="B20" s="379" t="s">
        <v>382</v>
      </c>
      <c r="C20" s="384" t="s">
        <v>383</v>
      </c>
      <c r="D20" s="384"/>
      <c r="E20" s="384"/>
      <c r="F20" s="384"/>
      <c r="G20" s="385"/>
      <c r="J20" s="6" t="s">
        <v>450</v>
      </c>
      <c r="K20" s="6" t="s">
        <v>451</v>
      </c>
      <c r="L20" s="6" t="s">
        <v>452</v>
      </c>
      <c r="P20" s="353" t="s">
        <v>612</v>
      </c>
      <c r="Q20" s="353"/>
      <c r="R20" s="353"/>
      <c r="S20" s="353"/>
    </row>
    <row r="21" spans="2:32" ht="14.25" x14ac:dyDescent="0.25">
      <c r="B21" s="379"/>
      <c r="C21" s="242" t="s">
        <v>29</v>
      </c>
      <c r="D21" s="242"/>
      <c r="E21" s="242" t="s">
        <v>384</v>
      </c>
      <c r="F21" s="242"/>
      <c r="G21" s="243" t="s">
        <v>385</v>
      </c>
      <c r="J21" s="76" t="s">
        <v>71</v>
      </c>
      <c r="K21" s="179" t="s">
        <v>453</v>
      </c>
      <c r="L21" s="179" t="s">
        <v>457</v>
      </c>
      <c r="X21" s="347"/>
      <c r="Y21" s="347"/>
      <c r="Z21" s="347"/>
      <c r="AA21" s="347"/>
      <c r="AB21" s="148"/>
      <c r="AC21" s="386"/>
      <c r="AD21" s="386"/>
      <c r="AE21" s="386"/>
      <c r="AF21" s="386"/>
    </row>
    <row r="22" spans="2:32" x14ac:dyDescent="0.2">
      <c r="B22" s="376" t="s">
        <v>386</v>
      </c>
      <c r="C22" s="377"/>
      <c r="D22" s="377"/>
      <c r="E22" s="377"/>
      <c r="F22" s="377"/>
      <c r="G22" s="378"/>
      <c r="J22" s="76" t="s">
        <v>56</v>
      </c>
      <c r="K22" s="6" t="s">
        <v>454</v>
      </c>
      <c r="L22" s="6" t="s">
        <v>453</v>
      </c>
      <c r="X22" s="127"/>
      <c r="Y22" s="127"/>
      <c r="Z22" s="316"/>
      <c r="AA22" s="316"/>
      <c r="AB22" s="148"/>
      <c r="AC22" s="127"/>
      <c r="AD22" s="127"/>
      <c r="AE22" s="316"/>
      <c r="AF22" s="316"/>
    </row>
    <row r="23" spans="2:32" x14ac:dyDescent="0.2">
      <c r="B23" s="152" t="s">
        <v>387</v>
      </c>
      <c r="C23" s="155" t="s">
        <v>388</v>
      </c>
      <c r="D23" s="155"/>
      <c r="E23" s="155" t="s">
        <v>389</v>
      </c>
      <c r="F23" s="155"/>
      <c r="G23" s="156" t="s">
        <v>390</v>
      </c>
      <c r="J23" s="76" t="s">
        <v>58</v>
      </c>
      <c r="K23" s="6" t="s">
        <v>455</v>
      </c>
      <c r="L23" s="6" t="s">
        <v>458</v>
      </c>
      <c r="X23" s="137"/>
      <c r="Y23" s="137"/>
      <c r="Z23" s="127"/>
      <c r="AA23" s="127"/>
      <c r="AB23" s="148"/>
      <c r="AC23" s="137"/>
      <c r="AD23" s="137"/>
      <c r="AE23" s="317"/>
      <c r="AF23" s="317"/>
    </row>
    <row r="24" spans="2:32" x14ac:dyDescent="0.2">
      <c r="B24" s="153" t="s">
        <v>391</v>
      </c>
      <c r="C24" s="157" t="s">
        <v>392</v>
      </c>
      <c r="D24" s="157"/>
      <c r="E24" s="157" t="s">
        <v>405</v>
      </c>
      <c r="F24" s="157"/>
      <c r="G24" s="158" t="s">
        <v>393</v>
      </c>
      <c r="J24" s="76" t="s">
        <v>93</v>
      </c>
      <c r="K24" s="6" t="s">
        <v>456</v>
      </c>
      <c r="L24" s="6" t="s">
        <v>457</v>
      </c>
      <c r="X24" s="127"/>
      <c r="Y24" s="127"/>
      <c r="Z24" s="127"/>
      <c r="AA24" s="127"/>
      <c r="AB24" s="148"/>
      <c r="AC24" s="127"/>
      <c r="AD24" s="127"/>
      <c r="AE24" s="317"/>
      <c r="AF24" s="317"/>
    </row>
    <row r="25" spans="2:32" x14ac:dyDescent="0.2">
      <c r="B25" s="152" t="s">
        <v>394</v>
      </c>
      <c r="C25" s="155" t="s">
        <v>404</v>
      </c>
      <c r="D25" s="155"/>
      <c r="E25" s="155" t="s">
        <v>406</v>
      </c>
      <c r="F25" s="155"/>
      <c r="G25" s="156" t="s">
        <v>406</v>
      </c>
      <c r="J25" s="76" t="s">
        <v>62</v>
      </c>
      <c r="K25" s="6" t="s">
        <v>456</v>
      </c>
      <c r="L25" s="6" t="s">
        <v>457</v>
      </c>
      <c r="X25" s="127"/>
      <c r="Y25" s="127"/>
      <c r="Z25" s="127"/>
      <c r="AA25" s="127"/>
      <c r="AB25" s="148"/>
      <c r="AC25" s="127"/>
      <c r="AD25" s="127"/>
      <c r="AE25" s="317"/>
      <c r="AF25" s="317"/>
    </row>
    <row r="26" spans="2:32" x14ac:dyDescent="0.2">
      <c r="B26" s="153" t="s">
        <v>395</v>
      </c>
      <c r="C26" s="157" t="s">
        <v>396</v>
      </c>
      <c r="D26" s="157"/>
      <c r="E26" s="157" t="s">
        <v>407</v>
      </c>
      <c r="F26" s="157"/>
      <c r="G26" s="158" t="s">
        <v>407</v>
      </c>
      <c r="J26" s="76" t="s">
        <v>65</v>
      </c>
      <c r="K26" s="6" t="s">
        <v>456</v>
      </c>
      <c r="L26" s="6" t="s">
        <v>457</v>
      </c>
      <c r="X26" s="127"/>
      <c r="Y26" s="127"/>
      <c r="Z26" s="127"/>
      <c r="AA26" s="127"/>
      <c r="AB26" s="148"/>
      <c r="AC26" s="127"/>
      <c r="AD26" s="127"/>
      <c r="AE26" s="317"/>
      <c r="AF26" s="317"/>
    </row>
    <row r="27" spans="2:32" x14ac:dyDescent="0.2">
      <c r="B27" s="376" t="s">
        <v>397</v>
      </c>
      <c r="C27" s="377"/>
      <c r="D27" s="377"/>
      <c r="E27" s="377"/>
      <c r="F27" s="377"/>
      <c r="G27" s="378"/>
      <c r="J27" s="76" t="s">
        <v>151</v>
      </c>
      <c r="K27" s="6">
        <v>25</v>
      </c>
      <c r="L27" s="6">
        <v>35</v>
      </c>
      <c r="X27" s="127"/>
      <c r="Y27" s="127"/>
      <c r="Z27" s="127"/>
      <c r="AA27" s="127"/>
      <c r="AB27" s="148"/>
      <c r="AC27" s="127"/>
      <c r="AD27" s="127"/>
      <c r="AE27" s="317"/>
      <c r="AF27" s="317"/>
    </row>
    <row r="28" spans="2:32" x14ac:dyDescent="0.2">
      <c r="B28" s="152" t="s">
        <v>387</v>
      </c>
      <c r="C28" s="155" t="s">
        <v>398</v>
      </c>
      <c r="D28" s="155"/>
      <c r="E28" s="155" t="s">
        <v>398</v>
      </c>
      <c r="F28" s="155"/>
      <c r="G28" s="156" t="s">
        <v>399</v>
      </c>
      <c r="X28" s="127"/>
      <c r="Y28" s="127"/>
      <c r="Z28" s="127"/>
      <c r="AA28" s="127"/>
      <c r="AB28" s="148"/>
      <c r="AC28" s="127"/>
      <c r="AD28" s="127"/>
      <c r="AE28" s="317"/>
      <c r="AF28" s="317"/>
    </row>
    <row r="29" spans="2:32" x14ac:dyDescent="0.2">
      <c r="B29" s="153" t="s">
        <v>391</v>
      </c>
      <c r="C29" s="157" t="s">
        <v>400</v>
      </c>
      <c r="D29" s="157"/>
      <c r="E29" s="157" t="s">
        <v>401</v>
      </c>
      <c r="F29" s="157"/>
      <c r="G29" s="158" t="s">
        <v>393</v>
      </c>
      <c r="X29" s="127"/>
      <c r="Y29" s="127"/>
      <c r="Z29" s="127"/>
      <c r="AA29" s="127"/>
      <c r="AB29" s="148"/>
      <c r="AC29" s="127"/>
      <c r="AD29" s="127"/>
      <c r="AE29" s="317"/>
      <c r="AF29" s="317"/>
    </row>
    <row r="30" spans="2:32" x14ac:dyDescent="0.2">
      <c r="B30" s="152" t="s">
        <v>394</v>
      </c>
      <c r="C30" s="155" t="s">
        <v>402</v>
      </c>
      <c r="D30" s="155"/>
      <c r="E30" s="155" t="s">
        <v>406</v>
      </c>
      <c r="F30" s="155"/>
      <c r="G30" s="156" t="s">
        <v>402</v>
      </c>
      <c r="I30" s="353" t="s">
        <v>612</v>
      </c>
      <c r="J30" s="353"/>
      <c r="K30" s="353"/>
      <c r="L30" s="353"/>
      <c r="X30" s="127"/>
      <c r="Y30" s="127"/>
      <c r="Z30" s="127"/>
      <c r="AA30" s="127"/>
      <c r="AB30" s="148"/>
      <c r="AC30" s="127"/>
      <c r="AD30" s="127"/>
      <c r="AE30" s="317"/>
      <c r="AF30" s="317"/>
    </row>
    <row r="31" spans="2:32" ht="19.5" thickBot="1" x14ac:dyDescent="0.35">
      <c r="B31" s="154" t="s">
        <v>395</v>
      </c>
      <c r="C31" s="159" t="s">
        <v>407</v>
      </c>
      <c r="D31" s="159"/>
      <c r="E31" s="159" t="s">
        <v>403</v>
      </c>
      <c r="F31" s="159"/>
      <c r="G31" s="160" t="s">
        <v>407</v>
      </c>
      <c r="I31" s="264" t="s">
        <v>539</v>
      </c>
      <c r="X31" s="127"/>
      <c r="Y31" s="127"/>
      <c r="Z31" s="127"/>
      <c r="AA31" s="127"/>
      <c r="AB31" s="148"/>
      <c r="AC31" s="127"/>
      <c r="AD31" s="127"/>
      <c r="AE31" s="317"/>
      <c r="AF31" s="317"/>
    </row>
    <row r="32" spans="2:32" ht="19.5" customHeight="1" thickBot="1" x14ac:dyDescent="0.25">
      <c r="B32" s="320"/>
      <c r="C32" s="157"/>
      <c r="D32" s="157"/>
      <c r="E32" s="157"/>
      <c r="I32" s="257" t="s">
        <v>540</v>
      </c>
      <c r="J32" s="258" t="s">
        <v>541</v>
      </c>
      <c r="X32" s="127"/>
      <c r="Y32" s="127"/>
      <c r="Z32" s="127"/>
      <c r="AA32" s="127"/>
      <c r="AB32" s="148"/>
      <c r="AC32" s="127"/>
      <c r="AD32" s="127"/>
      <c r="AE32" s="317"/>
      <c r="AF32" s="317"/>
    </row>
    <row r="33" spans="2:32" ht="16.5" thickBot="1" x14ac:dyDescent="0.25">
      <c r="B33" s="353" t="s">
        <v>612</v>
      </c>
      <c r="C33" s="353"/>
      <c r="D33" s="353"/>
      <c r="E33" s="353"/>
      <c r="I33" s="259" t="s">
        <v>272</v>
      </c>
      <c r="J33" s="260" t="s">
        <v>542</v>
      </c>
      <c r="X33" s="127"/>
      <c r="Y33" s="127"/>
      <c r="Z33" s="127"/>
      <c r="AA33" s="127"/>
      <c r="AB33" s="148"/>
      <c r="AC33" s="127"/>
      <c r="AD33" s="127"/>
      <c r="AE33" s="317"/>
      <c r="AF33" s="317"/>
    </row>
    <row r="34" spans="2:32" ht="17.25" customHeight="1" thickBot="1" x14ac:dyDescent="0.35">
      <c r="B34" s="264" t="s">
        <v>527</v>
      </c>
      <c r="I34" s="259" t="s">
        <v>543</v>
      </c>
      <c r="J34" s="260" t="s">
        <v>455</v>
      </c>
      <c r="X34" s="127"/>
      <c r="Y34" s="127"/>
      <c r="Z34" s="127"/>
      <c r="AA34" s="127"/>
      <c r="AB34" s="148"/>
      <c r="AC34" s="127"/>
      <c r="AD34" s="127"/>
      <c r="AE34" s="317"/>
      <c r="AF34" s="317"/>
    </row>
    <row r="35" spans="2:32" ht="19.5" thickBot="1" x14ac:dyDescent="0.25">
      <c r="B35" s="257" t="s">
        <v>528</v>
      </c>
      <c r="C35" s="258" t="s">
        <v>29</v>
      </c>
      <c r="D35" s="258" t="s">
        <v>529</v>
      </c>
      <c r="E35" s="258" t="s">
        <v>530</v>
      </c>
      <c r="I35" s="259" t="s">
        <v>273</v>
      </c>
      <c r="J35" s="260">
        <v>70</v>
      </c>
    </row>
    <row r="36" spans="2:32" ht="16.5" thickBot="1" x14ac:dyDescent="0.25">
      <c r="B36" s="259" t="s">
        <v>531</v>
      </c>
      <c r="C36" s="265" t="s">
        <v>454</v>
      </c>
      <c r="D36" s="265" t="s">
        <v>532</v>
      </c>
      <c r="E36" s="265" t="s">
        <v>398</v>
      </c>
    </row>
    <row r="37" spans="2:32" ht="16.5" thickBot="1" x14ac:dyDescent="0.25">
      <c r="B37" s="259" t="s">
        <v>533</v>
      </c>
      <c r="C37" s="267">
        <v>20</v>
      </c>
      <c r="D37" s="266" t="s">
        <v>544</v>
      </c>
      <c r="E37" s="268" t="s">
        <v>544</v>
      </c>
    </row>
    <row r="38" spans="2:32" ht="16.5" thickBot="1" x14ac:dyDescent="0.25">
      <c r="B38" s="259" t="s">
        <v>534</v>
      </c>
      <c r="C38" s="265">
        <v>10</v>
      </c>
      <c r="D38" s="265">
        <v>5</v>
      </c>
      <c r="E38" s="265" t="s">
        <v>396</v>
      </c>
    </row>
    <row r="39" spans="2:32" ht="32.25" thickBot="1" x14ac:dyDescent="0.25">
      <c r="B39" s="259" t="s">
        <v>535</v>
      </c>
      <c r="C39" s="265" t="s">
        <v>536</v>
      </c>
      <c r="D39" s="265" t="s">
        <v>537</v>
      </c>
      <c r="E39" s="265" t="s">
        <v>538</v>
      </c>
    </row>
    <row r="40" spans="2:32" ht="15.75" x14ac:dyDescent="0.25">
      <c r="B40" s="261"/>
    </row>
    <row r="41" spans="2:32" ht="18.75" x14ac:dyDescent="0.3">
      <c r="B41" s="262"/>
    </row>
    <row r="47" spans="2:32" ht="18.75" x14ac:dyDescent="0.3">
      <c r="B47" s="263"/>
    </row>
  </sheetData>
  <sheetProtection password="D25D" sheet="1" objects="1" scenarios="1"/>
  <protectedRanges>
    <protectedRange sqref="K7:L13" name="Коэф исп щ_гидр азота"/>
    <protectedRange sqref="C9:H11" name="Коэфф исп из мин уд"/>
    <protectedRange sqref="C14:H16 C17:G17" name="Коэф исп из орг уд"/>
  </protectedRanges>
  <mergeCells count="24">
    <mergeCell ref="AC21:AF21"/>
    <mergeCell ref="X21:AA21"/>
    <mergeCell ref="J5:L5"/>
    <mergeCell ref="B3:G3"/>
    <mergeCell ref="B4:B5"/>
    <mergeCell ref="C4:G4"/>
    <mergeCell ref="B12:G12"/>
    <mergeCell ref="B7:G7"/>
    <mergeCell ref="C5:D5"/>
    <mergeCell ref="E5:F5"/>
    <mergeCell ref="G5:H5"/>
    <mergeCell ref="B19:G19"/>
    <mergeCell ref="B20:B21"/>
    <mergeCell ref="C20:G20"/>
    <mergeCell ref="I30:L30"/>
    <mergeCell ref="B33:E33"/>
    <mergeCell ref="C2:F2"/>
    <mergeCell ref="J3:M3"/>
    <mergeCell ref="O5:R5"/>
    <mergeCell ref="P20:S20"/>
    <mergeCell ref="J17:M17"/>
    <mergeCell ref="C18:F18"/>
    <mergeCell ref="B22:G22"/>
    <mergeCell ref="B27:G27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N344" sqref="AN344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 formatCells="0" formatColumns="0" formatRows="0"/>
  <protectedRanges>
    <protectedRange sqref="AP22:AP356" name="Диапазон5"/>
    <protectedRange sqref="A22:AK356" name="Диапазон3_1"/>
    <protectedRange sqref="A1" name="Диапазон4_2_1_1_1"/>
    <protectedRange sqref="AL22:AO356" name="Диапазон3_1_1_1_1"/>
    <protectedRange sqref="AL1:AP14" name="Диапазон1_1_1_1_1_1"/>
  </protectedRanges>
  <mergeCells count="16">
    <mergeCell ref="BA18:BC18"/>
    <mergeCell ref="AL19:AO19"/>
    <mergeCell ref="BB19:BC19"/>
    <mergeCell ref="AD20:AF20"/>
    <mergeCell ref="L20:M20"/>
    <mergeCell ref="N20:O20"/>
    <mergeCell ref="T20:U20"/>
    <mergeCell ref="X20:Z20"/>
    <mergeCell ref="AU20:AW20"/>
    <mergeCell ref="AX20:AZ20"/>
    <mergeCell ref="BB20:BC20"/>
    <mergeCell ref="K19:O19"/>
    <mergeCell ref="AD19:AF19"/>
    <mergeCell ref="Q19:W19"/>
    <mergeCell ref="X19:AC19"/>
    <mergeCell ref="AU18:AZ19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АшламаЛ10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346" sqref="AL34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 formatCells="0" formatColumns="0" formatRows="0"/>
  <protectedRanges>
    <protectedRange sqref="AP22:AP356" name="Диапазон5"/>
    <protectedRange sqref="A22:AK356" name="Диапазон3_1_1"/>
    <protectedRange sqref="A1" name="Диапазон4_2_1_1_1"/>
    <protectedRange sqref="AL22:AO356" name="Диапазон3_1_1_1"/>
    <protectedRange sqref="AL1:AP14" name="Диапазон1_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АшламаЛ9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22" sqref="AL22:AO35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 formatCells="0" formatColumns="0" formatRows="0"/>
  <protectedRanges>
    <protectedRange sqref="AP22:AP356" name="Диапазон5"/>
    <protectedRange sqref="A22:AK356" name="Диапазон3_1_1"/>
    <protectedRange sqref="A1" name="Диапазон4_2_1_1_1"/>
    <protectedRange sqref="AL22:AO356" name="Диапазон3_1_1_1"/>
    <protectedRange sqref="AL1:AP14" name="Диапазон1_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АшламаЛ8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22" sqref="AL22:AO35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_1"/>
    <protectedRange sqref="A1" name="Диапазон4_2_1_1_1"/>
    <protectedRange sqref="AL22:AO356" name="Диапазон3_1_1_1"/>
    <protectedRange sqref="AL1:AP14" name="Диапазон1_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АшламаЛ7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22" sqref="AL22:AO35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_1"/>
    <protectedRange sqref="A1" name="Диапазон4_2_1_1_1"/>
    <protectedRange sqref="AL22:AO356" name="Диапазон3_1_1_1"/>
    <protectedRange sqref="AL1:AP14" name="Диапазон1_1_1_1_1_1"/>
  </protectedRanges>
  <mergeCells count="16">
    <mergeCell ref="L20:M20"/>
    <mergeCell ref="N20:O20"/>
    <mergeCell ref="T20:U20"/>
    <mergeCell ref="X20:Z20"/>
    <mergeCell ref="K19:O19"/>
    <mergeCell ref="Q19:W19"/>
    <mergeCell ref="X19:AC19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АшламаЛ6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22" sqref="AL22:AN35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"/>
    <protectedRange sqref="A1" name="Диапазон4_2_1_1_1"/>
    <protectedRange sqref="AL22:AO356" name="Диапазон3_1_1_1_1"/>
    <protectedRange sqref="AL1:AP14" name="Диапазон1_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3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O22:AO356">
      <formula1>АшламаИД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  <dataValidation type="list" allowBlank="1" showInputMessage="1" showErrorMessage="1" sqref="AL22:AN356">
      <formula1>АшламаЛ5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BC356"/>
  <sheetViews>
    <sheetView zoomScale="75" workbookViewId="0">
      <pane xSplit="1" ySplit="21" topLeftCell="B22" activePane="bottomRight" state="frozen"/>
      <selection pane="topRight" activeCell="B1" sqref="B1"/>
      <selection pane="bottomLeft" activeCell="A22" sqref="A22"/>
      <selection pane="bottomRight" activeCell="AL22" sqref="AL22:AO356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545</v>
      </c>
      <c r="AM2" s="6">
        <v>0.34399999999999997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211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/>
      <c r="AM4" s="6"/>
      <c r="AN4" s="6"/>
      <c r="AO4" s="6"/>
      <c r="AP4" s="102"/>
      <c r="AQ4" s="107">
        <f>AP4-Потребность!Z8</f>
        <v>0</v>
      </c>
      <c r="AR4" s="123">
        <v>1</v>
      </c>
      <c r="AS4" s="11" t="e">
        <f t="shared" si="0"/>
        <v>#DIV/0!</v>
      </c>
      <c r="AT4" s="11" t="e">
        <f t="shared" si="1"/>
        <v>#DIV/0!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85"/>
      <c r="B22" s="195"/>
      <c r="C22" s="85"/>
      <c r="D22" s="85"/>
      <c r="E22" s="195"/>
      <c r="F22" s="35"/>
      <c r="G22" s="65"/>
      <c r="H22" s="36"/>
      <c r="I22" s="37"/>
      <c r="J22" s="37"/>
      <c r="K22" s="35"/>
      <c r="L22" s="38"/>
      <c r="M22" s="128"/>
      <c r="N22" s="38"/>
      <c r="O22" s="128"/>
      <c r="P22" s="53"/>
      <c r="Q22" s="45"/>
      <c r="R22" s="45"/>
      <c r="S22" s="45"/>
      <c r="T22" s="46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66"/>
      <c r="AH22" s="46"/>
      <c r="AI22" s="76"/>
      <c r="AJ22" s="97"/>
      <c r="AK22" s="39"/>
      <c r="AL22" s="102"/>
      <c r="AM22" s="102"/>
      <c r="AN22" s="102"/>
      <c r="AO22" s="102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85"/>
      <c r="B23" s="195"/>
      <c r="C23" s="85"/>
      <c r="D23" s="85"/>
      <c r="E23" s="195"/>
      <c r="F23" s="35"/>
      <c r="G23" s="65"/>
      <c r="H23" s="36"/>
      <c r="I23" s="37"/>
      <c r="J23" s="37"/>
      <c r="K23" s="35"/>
      <c r="L23" s="38"/>
      <c r="M23" s="128"/>
      <c r="N23" s="38"/>
      <c r="O23" s="128"/>
      <c r="P23" s="53"/>
      <c r="Q23" s="45"/>
      <c r="R23" s="45"/>
      <c r="S23" s="45"/>
      <c r="T23" s="46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66"/>
      <c r="AH23" s="46"/>
      <c r="AI23" s="76"/>
      <c r="AJ23" s="97"/>
      <c r="AK23" s="39"/>
      <c r="AL23" s="102"/>
      <c r="AM23" s="102"/>
      <c r="AN23" s="102"/>
      <c r="AO23" s="102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38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102"/>
      <c r="AM24" s="102"/>
      <c r="AN24" s="102"/>
      <c r="AO24" s="102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38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102"/>
      <c r="AM25" s="102"/>
      <c r="AN25" s="102"/>
      <c r="AO25" s="102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_1"/>
    <protectedRange sqref="A1" name="Диапазон4_2_1_1_1"/>
    <protectedRange sqref="AL22:AO356" name="Диапазон3_1_1_1"/>
    <protectedRange sqref="AL1:AP14" name="Диапазон1_1_1_1_1_1"/>
  </protectedRanges>
  <mergeCells count="16">
    <mergeCell ref="K19:O19"/>
    <mergeCell ref="Q19:W19"/>
    <mergeCell ref="X19:AC19"/>
    <mergeCell ref="L20:M20"/>
    <mergeCell ref="N20:O20"/>
    <mergeCell ref="T20:U20"/>
    <mergeCell ref="X20:Z20"/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АшламаЛ4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BC356"/>
  <sheetViews>
    <sheetView zoomScale="80" zoomScaleNormal="80" workbookViewId="0">
      <pane xSplit="1" ySplit="21" topLeftCell="T22" activePane="bottomRight" state="frozen"/>
      <selection pane="topRight" activeCell="B1" sqref="B1"/>
      <selection pane="bottomLeft" activeCell="A22" sqref="A22"/>
      <selection pane="bottomRight" activeCell="A22" sqref="A22:AP25"/>
    </sheetView>
  </sheetViews>
  <sheetFormatPr defaultRowHeight="12.75" x14ac:dyDescent="0.2"/>
  <cols>
    <col min="1" max="1" width="10.140625" customWidth="1"/>
    <col min="2" max="2" width="11.85546875" style="192" customWidth="1"/>
    <col min="3" max="3" width="9.28515625" customWidth="1"/>
    <col min="4" max="4" width="9.140625" customWidth="1"/>
    <col min="5" max="5" width="15.28515625" style="192" customWidth="1"/>
    <col min="6" max="37" width="9.140625" customWidth="1"/>
    <col min="38" max="38" width="19.42578125" customWidth="1"/>
    <col min="39" max="41" width="9.140625" customWidth="1"/>
    <col min="42" max="42" width="10" customWidth="1"/>
    <col min="43" max="43" width="10.42578125" customWidth="1"/>
    <col min="46" max="46" width="10.7109375" customWidth="1"/>
  </cols>
  <sheetData>
    <row r="1" spans="1:53" ht="15" x14ac:dyDescent="0.2">
      <c r="A1" t="s">
        <v>601</v>
      </c>
      <c r="F1" s="38" t="s">
        <v>0</v>
      </c>
      <c r="X1" s="6" t="s">
        <v>62</v>
      </c>
      <c r="Y1" s="6" t="s">
        <v>65</v>
      </c>
      <c r="Z1" s="6" t="s">
        <v>151</v>
      </c>
      <c r="AC1" s="46" t="s">
        <v>55</v>
      </c>
      <c r="AD1" s="46" t="s">
        <v>127</v>
      </c>
      <c r="AE1" s="46" t="s">
        <v>128</v>
      </c>
      <c r="AH1" s="188"/>
      <c r="AI1" s="187"/>
      <c r="AL1" s="102" t="s">
        <v>107</v>
      </c>
      <c r="AM1" s="6">
        <v>0.12</v>
      </c>
      <c r="AN1" s="6">
        <v>0.52</v>
      </c>
      <c r="AO1" s="6">
        <v>0</v>
      </c>
      <c r="AP1" s="102"/>
      <c r="AQ1" s="107">
        <f>AP1-Потребность!Z5</f>
        <v>0</v>
      </c>
      <c r="AR1" s="123">
        <v>1</v>
      </c>
      <c r="AS1" s="11">
        <f t="shared" ref="AS1:AS13" si="0">AN1/AM1</f>
        <v>4.3333333333333339</v>
      </c>
      <c r="AT1" s="11">
        <f t="shared" ref="AT1:AT13" si="1">AO1/AM1</f>
        <v>0</v>
      </c>
      <c r="AV1" s="102" t="s">
        <v>110</v>
      </c>
      <c r="AW1" s="233"/>
      <c r="AX1" s="233"/>
      <c r="AY1" s="233"/>
      <c r="AZ1" s="187"/>
      <c r="BA1" s="234"/>
    </row>
    <row r="2" spans="1:53" ht="15" x14ac:dyDescent="0.2">
      <c r="A2" t="s">
        <v>509</v>
      </c>
      <c r="F2" s="38" t="s">
        <v>1</v>
      </c>
      <c r="X2" t="s">
        <v>137</v>
      </c>
      <c r="Y2" t="s">
        <v>131</v>
      </c>
      <c r="Z2" t="s">
        <v>140</v>
      </c>
      <c r="AC2" s="46" t="s">
        <v>67</v>
      </c>
      <c r="AD2" s="46" t="s">
        <v>129</v>
      </c>
      <c r="AE2" s="46" t="s">
        <v>68</v>
      </c>
      <c r="AH2" s="188"/>
      <c r="AI2" s="148"/>
      <c r="AL2" s="102" t="s">
        <v>597</v>
      </c>
      <c r="AM2" s="6">
        <v>0.34499999999999997</v>
      </c>
      <c r="AN2" s="6">
        <v>0</v>
      </c>
      <c r="AO2" s="6">
        <v>0</v>
      </c>
      <c r="AP2" s="102"/>
      <c r="AQ2" s="107">
        <f>AP2-Потребность!Z6</f>
        <v>0</v>
      </c>
      <c r="AR2" s="123">
        <v>1</v>
      </c>
      <c r="AS2" s="11">
        <f t="shared" si="0"/>
        <v>0</v>
      </c>
      <c r="AT2" s="11">
        <f t="shared" si="1"/>
        <v>0</v>
      </c>
      <c r="AV2" s="102" t="s">
        <v>111</v>
      </c>
      <c r="AW2" s="233"/>
      <c r="AX2" s="233"/>
      <c r="AY2" s="233"/>
      <c r="AZ2" s="187"/>
      <c r="BA2" s="234"/>
    </row>
    <row r="3" spans="1:53" x14ac:dyDescent="0.2">
      <c r="F3" s="38" t="s">
        <v>2</v>
      </c>
      <c r="X3" t="s">
        <v>139</v>
      </c>
      <c r="Y3" t="s">
        <v>150</v>
      </c>
      <c r="Z3" t="s">
        <v>142</v>
      </c>
      <c r="AC3" s="46" t="s">
        <v>57</v>
      </c>
      <c r="AD3" s="46" t="s">
        <v>130</v>
      </c>
      <c r="AE3" s="46" t="s">
        <v>131</v>
      </c>
      <c r="AI3" s="75"/>
      <c r="AL3" s="102" t="s">
        <v>598</v>
      </c>
      <c r="AM3" s="6">
        <v>0</v>
      </c>
      <c r="AN3" s="6">
        <v>0</v>
      </c>
      <c r="AO3" s="6">
        <v>0.6</v>
      </c>
      <c r="AP3" s="102"/>
      <c r="AQ3" s="107">
        <f>AP3-Потребность!Z7</f>
        <v>0</v>
      </c>
      <c r="AR3" s="123">
        <v>1</v>
      </c>
      <c r="AS3" s="11" t="e">
        <f t="shared" si="0"/>
        <v>#DIV/0!</v>
      </c>
      <c r="AT3" s="11" t="e">
        <f t="shared" si="1"/>
        <v>#DIV/0!</v>
      </c>
      <c r="AV3" s="102" t="s">
        <v>506</v>
      </c>
      <c r="AW3" s="233"/>
      <c r="AX3" s="233"/>
      <c r="AY3" s="233"/>
      <c r="AZ3" s="187"/>
      <c r="BA3" s="234"/>
    </row>
    <row r="4" spans="1:53" x14ac:dyDescent="0.2">
      <c r="F4" s="38" t="s">
        <v>3</v>
      </c>
      <c r="X4" t="s">
        <v>141</v>
      </c>
      <c r="Y4" t="s">
        <v>133</v>
      </c>
      <c r="Z4" t="s">
        <v>145</v>
      </c>
      <c r="AC4" s="46" t="s">
        <v>59</v>
      </c>
      <c r="AD4" s="46" t="s">
        <v>132</v>
      </c>
      <c r="AE4" s="42" t="s">
        <v>133</v>
      </c>
      <c r="AI4" s="76"/>
      <c r="AL4" s="102" t="s">
        <v>547</v>
      </c>
      <c r="AM4" s="6">
        <v>0.16</v>
      </c>
      <c r="AN4" s="6">
        <v>0.16</v>
      </c>
      <c r="AO4" s="6">
        <v>0.16</v>
      </c>
      <c r="AP4" s="102"/>
      <c r="AQ4" s="107">
        <f>AP4-Потребность!Z8</f>
        <v>0</v>
      </c>
      <c r="AR4" s="123">
        <v>1</v>
      </c>
      <c r="AS4" s="11">
        <f t="shared" si="0"/>
        <v>1</v>
      </c>
      <c r="AT4" s="11">
        <f t="shared" si="1"/>
        <v>1</v>
      </c>
      <c r="AV4" s="102" t="s">
        <v>294</v>
      </c>
      <c r="AW4" s="233"/>
      <c r="AX4" s="233"/>
      <c r="AY4" s="233"/>
      <c r="AZ4" s="187"/>
      <c r="BA4" s="234"/>
    </row>
    <row r="5" spans="1:53" x14ac:dyDescent="0.2">
      <c r="F5" s="38" t="s">
        <v>4</v>
      </c>
      <c r="X5" t="s">
        <v>143</v>
      </c>
      <c r="Y5" t="s">
        <v>135</v>
      </c>
      <c r="Z5" t="s">
        <v>148</v>
      </c>
      <c r="AC5" s="46" t="s">
        <v>115</v>
      </c>
      <c r="AD5" s="46" t="s">
        <v>134</v>
      </c>
      <c r="AE5" s="42" t="s">
        <v>135</v>
      </c>
      <c r="AI5" s="76"/>
      <c r="AL5" s="102"/>
      <c r="AM5" s="6"/>
      <c r="AN5" s="6"/>
      <c r="AO5" s="6"/>
      <c r="AP5" s="102"/>
      <c r="AQ5" s="107">
        <f>AP5-Потребность!Z9</f>
        <v>0</v>
      </c>
      <c r="AR5" s="123">
        <v>1</v>
      </c>
      <c r="AS5" s="11" t="e">
        <f t="shared" si="0"/>
        <v>#DIV/0!</v>
      </c>
      <c r="AT5" s="11" t="e">
        <f t="shared" si="1"/>
        <v>#DIV/0!</v>
      </c>
      <c r="AV5" s="102" t="s">
        <v>106</v>
      </c>
      <c r="AW5" s="232"/>
      <c r="AX5" s="233"/>
      <c r="AY5" s="233"/>
      <c r="AZ5" s="187"/>
      <c r="BA5" s="234"/>
    </row>
    <row r="6" spans="1:53" x14ac:dyDescent="0.2">
      <c r="F6" s="38" t="s">
        <v>5</v>
      </c>
      <c r="X6" t="s">
        <v>146</v>
      </c>
      <c r="Y6" t="s">
        <v>70</v>
      </c>
      <c r="Z6" t="s">
        <v>157</v>
      </c>
      <c r="AC6" s="54" t="s">
        <v>61</v>
      </c>
      <c r="AD6" s="54" t="s">
        <v>136</v>
      </c>
      <c r="AE6" s="46" t="s">
        <v>70</v>
      </c>
      <c r="AF6" s="46"/>
      <c r="AI6" s="76" t="s">
        <v>71</v>
      </c>
      <c r="AL6" s="102"/>
      <c r="AM6" s="6"/>
      <c r="AN6" s="6"/>
      <c r="AO6" s="6"/>
      <c r="AP6" s="102"/>
      <c r="AQ6" s="107">
        <f>AP6-Потребность!Z10</f>
        <v>0</v>
      </c>
      <c r="AR6" s="123">
        <v>1</v>
      </c>
      <c r="AS6" s="11" t="e">
        <f t="shared" si="0"/>
        <v>#DIV/0!</v>
      </c>
      <c r="AT6" s="11" t="e">
        <f t="shared" si="1"/>
        <v>#DIV/0!</v>
      </c>
      <c r="AV6" s="102" t="s">
        <v>503</v>
      </c>
      <c r="AW6" s="232"/>
      <c r="AX6" s="233"/>
      <c r="AY6" s="233"/>
      <c r="AZ6" s="187"/>
      <c r="BA6" s="234"/>
    </row>
    <row r="7" spans="1:53" x14ac:dyDescent="0.2">
      <c r="F7" s="38" t="s">
        <v>6</v>
      </c>
      <c r="X7" t="s">
        <v>64</v>
      </c>
      <c r="Y7" t="s">
        <v>69</v>
      </c>
      <c r="AC7" s="46" t="s">
        <v>138</v>
      </c>
      <c r="AD7" s="46" t="s">
        <v>137</v>
      </c>
      <c r="AE7" s="46" t="s">
        <v>69</v>
      </c>
      <c r="AF7" s="41"/>
      <c r="AI7" s="76" t="s">
        <v>56</v>
      </c>
      <c r="AL7" s="102"/>
      <c r="AM7" s="6"/>
      <c r="AN7" s="6"/>
      <c r="AO7" s="6"/>
      <c r="AP7" s="102"/>
      <c r="AQ7" s="107">
        <f>AP7-Потребность!Z11</f>
        <v>0</v>
      </c>
      <c r="AR7" s="123">
        <v>1</v>
      </c>
      <c r="AS7" s="11" t="e">
        <f t="shared" si="0"/>
        <v>#DIV/0!</v>
      </c>
      <c r="AT7" s="11" t="e">
        <f t="shared" si="1"/>
        <v>#DIV/0!</v>
      </c>
      <c r="AV7" s="102" t="s">
        <v>505</v>
      </c>
    </row>
    <row r="8" spans="1:53" x14ac:dyDescent="0.2">
      <c r="F8" s="38" t="s">
        <v>7</v>
      </c>
      <c r="G8" s="66" t="s">
        <v>261</v>
      </c>
      <c r="X8" t="s">
        <v>128</v>
      </c>
      <c r="Y8" t="s">
        <v>158</v>
      </c>
      <c r="AC8" s="46" t="s">
        <v>63</v>
      </c>
      <c r="AD8" s="46" t="s">
        <v>139</v>
      </c>
      <c r="AE8" s="46" t="s">
        <v>140</v>
      </c>
      <c r="AF8" s="46" t="s">
        <v>158</v>
      </c>
      <c r="AI8" s="76" t="s">
        <v>58</v>
      </c>
      <c r="AL8" s="102"/>
      <c r="AM8" s="6"/>
      <c r="AN8" s="6"/>
      <c r="AO8" s="6"/>
      <c r="AP8" s="102"/>
      <c r="AQ8" s="107">
        <f>AP8-Потребность!Z12</f>
        <v>0</v>
      </c>
      <c r="AR8" s="123">
        <v>1</v>
      </c>
      <c r="AS8" s="11" t="e">
        <f t="shared" si="0"/>
        <v>#DIV/0!</v>
      </c>
      <c r="AT8" s="11" t="e">
        <f t="shared" si="1"/>
        <v>#DIV/0!</v>
      </c>
      <c r="AV8" s="102" t="s">
        <v>496</v>
      </c>
    </row>
    <row r="9" spans="1:53" x14ac:dyDescent="0.2">
      <c r="F9" s="38" t="s">
        <v>8</v>
      </c>
      <c r="G9" s="66" t="s">
        <v>260</v>
      </c>
      <c r="X9" t="s">
        <v>68</v>
      </c>
      <c r="Y9" t="s">
        <v>159</v>
      </c>
      <c r="AC9" s="46" t="s">
        <v>60</v>
      </c>
      <c r="AD9" s="46" t="s">
        <v>141</v>
      </c>
      <c r="AE9" s="46" t="s">
        <v>142</v>
      </c>
      <c r="AF9" s="46" t="s">
        <v>159</v>
      </c>
      <c r="AG9" s="41"/>
      <c r="AH9" s="41"/>
      <c r="AI9" s="76" t="s">
        <v>93</v>
      </c>
      <c r="AL9" s="102"/>
      <c r="AM9" s="6"/>
      <c r="AN9" s="6"/>
      <c r="AO9" s="6"/>
      <c r="AP9" s="102"/>
      <c r="AQ9" s="107">
        <f>AP9-Потребность!Z13</f>
        <v>0</v>
      </c>
      <c r="AR9" s="123">
        <v>1</v>
      </c>
      <c r="AS9" s="11" t="e">
        <f t="shared" si="0"/>
        <v>#DIV/0!</v>
      </c>
      <c r="AT9" s="11" t="e">
        <f t="shared" si="1"/>
        <v>#DIV/0!</v>
      </c>
      <c r="AV9" s="102" t="s">
        <v>507</v>
      </c>
    </row>
    <row r="10" spans="1:53" x14ac:dyDescent="0.2">
      <c r="F10" s="38" t="s">
        <v>9</v>
      </c>
      <c r="G10" s="66" t="s">
        <v>259</v>
      </c>
      <c r="L10" s="38" t="s">
        <v>341</v>
      </c>
      <c r="AC10" s="46" t="s">
        <v>144</v>
      </c>
      <c r="AD10" s="46" t="s">
        <v>143</v>
      </c>
      <c r="AE10" s="46" t="s">
        <v>145</v>
      </c>
      <c r="AF10" s="46" t="s">
        <v>157</v>
      </c>
      <c r="AH10" s="41"/>
      <c r="AI10" s="76" t="s">
        <v>62</v>
      </c>
      <c r="AL10" s="102"/>
      <c r="AM10" s="6"/>
      <c r="AN10" s="6"/>
      <c r="AO10" s="6"/>
      <c r="AP10" s="102"/>
      <c r="AQ10" s="107">
        <f>AP10-Потребность!Z14</f>
        <v>0</v>
      </c>
      <c r="AR10" s="123">
        <v>1</v>
      </c>
      <c r="AS10" s="11" t="e">
        <f t="shared" si="0"/>
        <v>#DIV/0!</v>
      </c>
      <c r="AT10" s="11" t="e">
        <f t="shared" si="1"/>
        <v>#DIV/0!</v>
      </c>
      <c r="AV10" s="102" t="s">
        <v>493</v>
      </c>
    </row>
    <row r="11" spans="1:53" x14ac:dyDescent="0.2">
      <c r="F11" s="38" t="s">
        <v>10</v>
      </c>
      <c r="G11" s="86" t="s">
        <v>66</v>
      </c>
      <c r="L11" s="38" t="s">
        <v>342</v>
      </c>
      <c r="P11" s="53" t="s">
        <v>262</v>
      </c>
      <c r="AC11" s="46" t="s">
        <v>147</v>
      </c>
      <c r="AD11" s="46" t="s">
        <v>146</v>
      </c>
      <c r="AE11" s="46" t="s">
        <v>148</v>
      </c>
      <c r="AF11" s="46" t="s">
        <v>191</v>
      </c>
      <c r="AG11" s="66" t="s">
        <v>215</v>
      </c>
      <c r="AH11" s="41"/>
      <c r="AI11" s="76" t="s">
        <v>65</v>
      </c>
      <c r="AL11" s="102"/>
      <c r="AM11" s="6"/>
      <c r="AN11" s="6"/>
      <c r="AO11" s="6"/>
      <c r="AP11" s="102"/>
      <c r="AQ11" s="107">
        <f>AP11-Потребность!Z15</f>
        <v>0</v>
      </c>
      <c r="AR11" s="123">
        <v>1</v>
      </c>
      <c r="AS11" s="11" t="e">
        <f t="shared" si="0"/>
        <v>#DIV/0!</v>
      </c>
      <c r="AT11" s="11" t="e">
        <f t="shared" si="1"/>
        <v>#DIV/0!</v>
      </c>
      <c r="AV11" s="102" t="s">
        <v>508</v>
      </c>
    </row>
    <row r="12" spans="1:53" x14ac:dyDescent="0.2">
      <c r="F12" s="38" t="s">
        <v>11</v>
      </c>
      <c r="G12" s="86" t="s">
        <v>53</v>
      </c>
      <c r="L12" s="38" t="s">
        <v>343</v>
      </c>
      <c r="P12" s="53" t="s">
        <v>54</v>
      </c>
      <c r="AC12" s="46" t="s">
        <v>149</v>
      </c>
      <c r="AD12" s="46" t="s">
        <v>64</v>
      </c>
      <c r="AE12" s="46" t="s">
        <v>150</v>
      </c>
      <c r="AF12" s="46" t="s">
        <v>190</v>
      </c>
      <c r="AG12" s="66" t="s">
        <v>216</v>
      </c>
      <c r="AH12" s="41"/>
      <c r="AI12" s="76" t="s">
        <v>151</v>
      </c>
      <c r="AL12" s="102"/>
      <c r="AM12" s="6"/>
      <c r="AN12" s="6"/>
      <c r="AO12" s="6"/>
      <c r="AP12" s="102"/>
      <c r="AQ12" s="107">
        <f>AP12-Потребность!Z16</f>
        <v>0</v>
      </c>
      <c r="AR12" s="123">
        <v>1</v>
      </c>
      <c r="AS12" s="11" t="e">
        <f t="shared" si="0"/>
        <v>#DIV/0!</v>
      </c>
      <c r="AT12" s="11" t="e">
        <f t="shared" si="1"/>
        <v>#DIV/0!</v>
      </c>
      <c r="AV12" s="102" t="s">
        <v>495</v>
      </c>
    </row>
    <row r="13" spans="1:53" x14ac:dyDescent="0.2">
      <c r="F13" s="55"/>
      <c r="G13" s="68"/>
      <c r="L13" s="55"/>
      <c r="M13" s="55"/>
      <c r="N13" s="55"/>
      <c r="P13" s="89"/>
      <c r="AC13" s="41"/>
      <c r="AG13" s="68"/>
      <c r="AH13" s="41"/>
      <c r="AI13" s="75"/>
      <c r="AL13" s="102"/>
      <c r="AM13" s="6"/>
      <c r="AN13" s="6"/>
      <c r="AO13" s="6"/>
      <c r="AP13" s="102"/>
      <c r="AQ13" s="107">
        <f>AP13-Потребность!Z17</f>
        <v>0</v>
      </c>
      <c r="AR13" s="112">
        <v>1</v>
      </c>
      <c r="AS13" s="140" t="e">
        <f t="shared" si="0"/>
        <v>#DIV/0!</v>
      </c>
      <c r="AT13" s="140" t="e">
        <f t="shared" si="1"/>
        <v>#DIV/0!</v>
      </c>
      <c r="AV13" s="102" t="s">
        <v>211</v>
      </c>
    </row>
    <row r="14" spans="1:53" x14ac:dyDescent="0.2">
      <c r="F14" s="55"/>
      <c r="G14" s="68"/>
      <c r="L14" s="55"/>
      <c r="M14" s="55"/>
      <c r="N14" s="55"/>
      <c r="P14" s="89"/>
      <c r="Q14" s="26"/>
      <c r="R14" s="26"/>
      <c r="S14" s="26"/>
      <c r="T14" s="26"/>
      <c r="U14" s="26"/>
      <c r="V14" s="26"/>
      <c r="W14" s="26"/>
      <c r="AC14" s="92"/>
      <c r="AG14" s="68"/>
      <c r="AH14" s="41"/>
      <c r="AI14" s="91"/>
      <c r="AJ14" s="26"/>
      <c r="AL14" s="102"/>
      <c r="AM14" s="6"/>
      <c r="AN14" s="6"/>
      <c r="AO14" s="6"/>
      <c r="AP14" s="102"/>
      <c r="AQ14" s="107">
        <f>AP14-Потребность!Z18</f>
        <v>0</v>
      </c>
      <c r="AR14" s="123">
        <v>0</v>
      </c>
      <c r="AS14" s="11">
        <v>0</v>
      </c>
      <c r="AT14" s="11">
        <v>1</v>
      </c>
      <c r="AV14" s="102" t="s">
        <v>494</v>
      </c>
    </row>
    <row r="15" spans="1:53" ht="15" x14ac:dyDescent="0.2">
      <c r="F15" s="55"/>
      <c r="G15" s="68"/>
      <c r="L15" s="55"/>
      <c r="N15" s="55"/>
      <c r="P15" s="89"/>
      <c r="Q15" s="26"/>
      <c r="R15" s="26"/>
      <c r="S15" s="26"/>
      <c r="T15" s="26"/>
      <c r="U15" s="26"/>
      <c r="V15" s="26"/>
      <c r="W15" s="26"/>
      <c r="AC15" s="92"/>
      <c r="AG15" s="87"/>
      <c r="AH15" s="41"/>
      <c r="AI15" s="91"/>
      <c r="AJ15" s="26"/>
      <c r="AL15" s="69"/>
      <c r="AP15" s="184" t="s">
        <v>459</v>
      </c>
      <c r="AQ15" s="184" t="s">
        <v>460</v>
      </c>
    </row>
    <row r="16" spans="1:53" x14ac:dyDescent="0.2">
      <c r="F16" s="55"/>
      <c r="G16" s="68"/>
      <c r="L16" s="55"/>
      <c r="N16" s="55"/>
      <c r="P16" s="89"/>
      <c r="Q16" s="26"/>
      <c r="R16" s="26"/>
      <c r="S16" s="26"/>
      <c r="T16" s="26"/>
      <c r="U16" s="26"/>
      <c r="V16" s="26"/>
      <c r="W16" s="26"/>
      <c r="AC16" s="92"/>
      <c r="AG16" s="87"/>
      <c r="AH16" s="41"/>
      <c r="AI16" s="91"/>
      <c r="AJ16" s="26"/>
      <c r="AL16" s="69"/>
    </row>
    <row r="17" spans="1:55" x14ac:dyDescent="0.2">
      <c r="A17" s="26"/>
      <c r="C17" s="58"/>
      <c r="D17" s="58"/>
      <c r="E17" s="196"/>
      <c r="F17" s="88"/>
      <c r="G17" s="87"/>
      <c r="H17" s="26"/>
      <c r="I17" s="26"/>
      <c r="J17" s="26"/>
      <c r="K17" s="26"/>
      <c r="L17" s="88"/>
      <c r="M17" s="26"/>
      <c r="N17" s="88"/>
      <c r="O17" s="26"/>
      <c r="P17" s="90"/>
      <c r="Q17" s="26"/>
      <c r="R17" s="26"/>
      <c r="S17" s="26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26"/>
      <c r="AE17" s="26"/>
      <c r="AF17" s="26"/>
      <c r="AG17" s="87"/>
      <c r="AH17" s="92"/>
      <c r="AI17" s="91"/>
      <c r="AJ17" s="26"/>
      <c r="AK17" s="26"/>
      <c r="AL17" s="69"/>
    </row>
    <row r="18" spans="1:55" x14ac:dyDescent="0.2">
      <c r="F18" s="55"/>
      <c r="G18" s="68"/>
      <c r="L18" s="55"/>
      <c r="N18" s="55"/>
      <c r="P18" s="89"/>
      <c r="T18" s="41"/>
      <c r="AG18" s="68"/>
      <c r="AH18" s="41"/>
      <c r="AI18" s="75"/>
      <c r="AL18" s="69"/>
      <c r="AM18" s="69"/>
      <c r="AN18" s="69"/>
      <c r="AO18" s="115" t="s">
        <v>286</v>
      </c>
      <c r="AP18" s="115" t="s">
        <v>285</v>
      </c>
      <c r="AQ18" s="136" t="s">
        <v>353</v>
      </c>
      <c r="AR18" s="3"/>
      <c r="AS18" s="3"/>
      <c r="AT18" s="3"/>
      <c r="AU18" s="343" t="s">
        <v>357</v>
      </c>
      <c r="AV18" s="343"/>
      <c r="AW18" s="343"/>
      <c r="AX18" s="343"/>
      <c r="AY18" s="343"/>
      <c r="AZ18" s="343"/>
      <c r="BA18" s="326" t="s">
        <v>360</v>
      </c>
      <c r="BB18" s="327"/>
      <c r="BC18" s="328"/>
    </row>
    <row r="19" spans="1:55" x14ac:dyDescent="0.2">
      <c r="A19" s="83" t="s">
        <v>179</v>
      </c>
      <c r="B19" s="193" t="s">
        <v>179</v>
      </c>
      <c r="C19" s="83" t="s">
        <v>181</v>
      </c>
      <c r="D19" s="83" t="s">
        <v>182</v>
      </c>
      <c r="E19" s="193" t="s">
        <v>184</v>
      </c>
      <c r="F19" s="29" t="s">
        <v>12</v>
      </c>
      <c r="G19" s="63" t="s">
        <v>13</v>
      </c>
      <c r="H19" s="30" t="s">
        <v>14</v>
      </c>
      <c r="I19" s="31"/>
      <c r="J19" s="31" t="s">
        <v>154</v>
      </c>
      <c r="K19" s="339" t="s">
        <v>15</v>
      </c>
      <c r="L19" s="348"/>
      <c r="M19" s="348"/>
      <c r="N19" s="348"/>
      <c r="O19" s="340"/>
      <c r="P19" s="61" t="s">
        <v>173</v>
      </c>
      <c r="Q19" s="341" t="s">
        <v>22</v>
      </c>
      <c r="R19" s="349"/>
      <c r="S19" s="349"/>
      <c r="T19" s="349"/>
      <c r="U19" s="349"/>
      <c r="V19" s="349"/>
      <c r="W19" s="342"/>
      <c r="X19" s="336" t="s">
        <v>193</v>
      </c>
      <c r="Y19" s="337"/>
      <c r="Z19" s="337"/>
      <c r="AA19" s="337"/>
      <c r="AB19" s="337"/>
      <c r="AC19" s="338"/>
      <c r="AD19" s="350" t="s">
        <v>72</v>
      </c>
      <c r="AE19" s="351"/>
      <c r="AF19" s="352"/>
      <c r="AG19" s="63" t="s">
        <v>214</v>
      </c>
      <c r="AH19" s="47" t="s">
        <v>16</v>
      </c>
      <c r="AI19" s="77" t="s">
        <v>18</v>
      </c>
      <c r="AJ19" s="80" t="s">
        <v>17</v>
      </c>
      <c r="AK19" s="29" t="s">
        <v>196</v>
      </c>
      <c r="AL19" s="344" t="s">
        <v>279</v>
      </c>
      <c r="AM19" s="345"/>
      <c r="AN19" s="345"/>
      <c r="AO19" s="346"/>
      <c r="AP19" s="113" t="s">
        <v>291</v>
      </c>
      <c r="AQ19" s="13" t="s">
        <v>354</v>
      </c>
      <c r="AR19" s="4" t="s">
        <v>347</v>
      </c>
      <c r="AS19" s="123" t="s">
        <v>19</v>
      </c>
      <c r="AT19" s="17" t="s">
        <v>351</v>
      </c>
      <c r="AU19" s="343"/>
      <c r="AV19" s="343"/>
      <c r="AW19" s="343"/>
      <c r="AX19" s="343"/>
      <c r="AY19" s="343"/>
      <c r="AZ19" s="343"/>
      <c r="BA19" s="13"/>
      <c r="BB19" s="329" t="s">
        <v>364</v>
      </c>
      <c r="BC19" s="330"/>
    </row>
    <row r="20" spans="1:55" x14ac:dyDescent="0.2">
      <c r="A20" s="84" t="s">
        <v>187</v>
      </c>
      <c r="B20" s="194" t="s">
        <v>180</v>
      </c>
      <c r="C20" s="84" t="s">
        <v>32</v>
      </c>
      <c r="D20" s="84" t="s">
        <v>183</v>
      </c>
      <c r="E20" s="194" t="s">
        <v>183</v>
      </c>
      <c r="F20" s="32" t="s">
        <v>26</v>
      </c>
      <c r="G20" s="64" t="s">
        <v>27</v>
      </c>
      <c r="H20" s="33" t="s">
        <v>28</v>
      </c>
      <c r="I20" s="34" t="s">
        <v>152</v>
      </c>
      <c r="J20" s="34" t="s">
        <v>155</v>
      </c>
      <c r="K20" s="29" t="s">
        <v>175</v>
      </c>
      <c r="L20" s="339" t="s">
        <v>30</v>
      </c>
      <c r="M20" s="340"/>
      <c r="N20" s="339" t="s">
        <v>31</v>
      </c>
      <c r="O20" s="340"/>
      <c r="P20" s="62" t="s">
        <v>174</v>
      </c>
      <c r="Q20" s="44" t="s">
        <v>177</v>
      </c>
      <c r="R20" s="44" t="s">
        <v>36</v>
      </c>
      <c r="S20" s="44" t="s">
        <v>37</v>
      </c>
      <c r="T20" s="341" t="s">
        <v>189</v>
      </c>
      <c r="U20" s="342"/>
      <c r="V20" s="44" t="s">
        <v>39</v>
      </c>
      <c r="W20" s="44" t="s">
        <v>40</v>
      </c>
      <c r="X20" s="336" t="s">
        <v>44</v>
      </c>
      <c r="Y20" s="337"/>
      <c r="Z20" s="338"/>
      <c r="AA20" s="50" t="s">
        <v>194</v>
      </c>
      <c r="AB20" s="50" t="s">
        <v>36</v>
      </c>
      <c r="AC20" s="50" t="s">
        <v>37</v>
      </c>
      <c r="AD20" s="331" t="s">
        <v>73</v>
      </c>
      <c r="AE20" s="332"/>
      <c r="AF20" s="333"/>
      <c r="AG20" s="64" t="s">
        <v>212</v>
      </c>
      <c r="AH20" s="48"/>
      <c r="AI20" s="78" t="s">
        <v>33</v>
      </c>
      <c r="AJ20" s="81" t="s">
        <v>32</v>
      </c>
      <c r="AK20" s="32" t="s">
        <v>178</v>
      </c>
      <c r="AL20" s="104"/>
      <c r="AM20" s="105" t="s">
        <v>204</v>
      </c>
      <c r="AN20" s="235"/>
      <c r="AO20" s="106"/>
      <c r="AP20" s="112" t="s">
        <v>292</v>
      </c>
      <c r="AQ20" s="13" t="s">
        <v>355</v>
      </c>
      <c r="AR20" s="4" t="s">
        <v>348</v>
      </c>
      <c r="AS20" s="123" t="s">
        <v>349</v>
      </c>
      <c r="AT20" s="17" t="s">
        <v>352</v>
      </c>
      <c r="AU20" s="347" t="s">
        <v>263</v>
      </c>
      <c r="AV20" s="347"/>
      <c r="AW20" s="347"/>
      <c r="AX20" s="347" t="s">
        <v>204</v>
      </c>
      <c r="AY20" s="347"/>
      <c r="AZ20" s="347"/>
      <c r="BA20" s="276" t="s">
        <v>361</v>
      </c>
      <c r="BB20" s="334" t="s">
        <v>363</v>
      </c>
      <c r="BC20" s="335"/>
    </row>
    <row r="21" spans="1:55" x14ac:dyDescent="0.2">
      <c r="A21" s="85" t="s">
        <v>258</v>
      </c>
      <c r="B21" s="195"/>
      <c r="C21" s="85"/>
      <c r="D21" s="85"/>
      <c r="E21" s="195"/>
      <c r="F21" s="35"/>
      <c r="G21" s="65"/>
      <c r="H21" s="36" t="s">
        <v>45</v>
      </c>
      <c r="I21" s="37"/>
      <c r="J21" s="37" t="s">
        <v>156</v>
      </c>
      <c r="K21" s="35" t="s">
        <v>176</v>
      </c>
      <c r="L21" s="128" t="s">
        <v>340</v>
      </c>
      <c r="M21" s="128" t="s">
        <v>46</v>
      </c>
      <c r="N21" s="128" t="s">
        <v>340</v>
      </c>
      <c r="O21" s="128" t="s">
        <v>46</v>
      </c>
      <c r="P21" s="52"/>
      <c r="Q21" s="45" t="s">
        <v>48</v>
      </c>
      <c r="R21" s="45" t="s">
        <v>48</v>
      </c>
      <c r="S21" s="45" t="s">
        <v>48</v>
      </c>
      <c r="T21" s="93" t="s">
        <v>16</v>
      </c>
      <c r="U21" s="43" t="s">
        <v>192</v>
      </c>
      <c r="V21" s="45" t="s">
        <v>49</v>
      </c>
      <c r="W21" s="45" t="s">
        <v>49</v>
      </c>
      <c r="X21" s="51" t="s">
        <v>29</v>
      </c>
      <c r="Y21" s="51" t="s">
        <v>30</v>
      </c>
      <c r="Z21" s="51" t="s">
        <v>31</v>
      </c>
      <c r="AA21" s="51" t="s">
        <v>48</v>
      </c>
      <c r="AB21" s="51" t="s">
        <v>48</v>
      </c>
      <c r="AC21" s="51" t="s">
        <v>48</v>
      </c>
      <c r="AD21" s="52" t="s">
        <v>29</v>
      </c>
      <c r="AE21" s="52" t="s">
        <v>30</v>
      </c>
      <c r="AF21" s="52" t="s">
        <v>31</v>
      </c>
      <c r="AG21" s="65" t="s">
        <v>213</v>
      </c>
      <c r="AH21" s="49"/>
      <c r="AI21" s="79"/>
      <c r="AJ21" s="82"/>
      <c r="AK21" s="35" t="s">
        <v>47</v>
      </c>
      <c r="AL21" s="104" t="s">
        <v>263</v>
      </c>
      <c r="AM21" s="102" t="s">
        <v>272</v>
      </c>
      <c r="AN21" s="102" t="s">
        <v>273</v>
      </c>
      <c r="AO21" s="102" t="s">
        <v>271</v>
      </c>
      <c r="AP21" s="114" t="s">
        <v>293</v>
      </c>
      <c r="AQ21" s="7" t="s">
        <v>356</v>
      </c>
      <c r="AR21" s="5"/>
      <c r="AS21" s="137" t="s">
        <v>350</v>
      </c>
      <c r="AT21" s="277" t="s">
        <v>324</v>
      </c>
      <c r="AU21" s="275" t="s">
        <v>29</v>
      </c>
      <c r="AV21" s="275" t="s">
        <v>30</v>
      </c>
      <c r="AW21" s="275" t="s">
        <v>31</v>
      </c>
      <c r="AX21" s="275" t="s">
        <v>29</v>
      </c>
      <c r="AY21" s="275" t="s">
        <v>30</v>
      </c>
      <c r="AZ21" s="275" t="s">
        <v>31</v>
      </c>
      <c r="BA21" s="278" t="s">
        <v>362</v>
      </c>
      <c r="BB21" s="275" t="s">
        <v>365</v>
      </c>
      <c r="BC21" s="6" t="s">
        <v>366</v>
      </c>
    </row>
    <row r="22" spans="1:55" x14ac:dyDescent="0.2">
      <c r="A22" s="284"/>
      <c r="B22" s="285"/>
      <c r="C22" s="284"/>
      <c r="D22" s="284"/>
      <c r="E22" s="285"/>
      <c r="F22" s="286"/>
      <c r="G22" s="287"/>
      <c r="H22" s="288"/>
      <c r="I22" s="289"/>
      <c r="J22" s="289"/>
      <c r="K22" s="286"/>
      <c r="L22" s="279"/>
      <c r="M22" s="279"/>
      <c r="N22" s="279"/>
      <c r="O22" s="279"/>
      <c r="P22" s="122"/>
      <c r="Q22" s="290"/>
      <c r="R22" s="290"/>
      <c r="S22" s="290"/>
      <c r="T22" s="291"/>
      <c r="U22" s="120"/>
      <c r="V22" s="120"/>
      <c r="W22" s="120"/>
      <c r="X22" s="121"/>
      <c r="Y22" s="121"/>
      <c r="Z22" s="121"/>
      <c r="AA22" s="121"/>
      <c r="AB22" s="121"/>
      <c r="AC22" s="121"/>
      <c r="AD22" s="122"/>
      <c r="AE22" s="122"/>
      <c r="AF22" s="122"/>
      <c r="AG22" s="292"/>
      <c r="AH22" s="291"/>
      <c r="AI22" s="293"/>
      <c r="AJ22" s="294"/>
      <c r="AK22" s="295"/>
      <c r="AL22" s="102"/>
      <c r="AM22" s="102"/>
      <c r="AN22" s="102"/>
      <c r="AO22" s="281"/>
      <c r="AP22" s="115"/>
      <c r="AQ22" s="10">
        <f>Потребность!AD22</f>
        <v>281.68582095238088</v>
      </c>
      <c r="AR22" s="10">
        <f>SUM(Потребность!K22:M22)</f>
        <v>112.16655383066016</v>
      </c>
      <c r="AS22" s="9">
        <f>Потребность!AZ22</f>
        <v>15.099741688192651</v>
      </c>
      <c r="AT22" s="9">
        <f>Потребность!J22</f>
        <v>23.853939393939395</v>
      </c>
      <c r="AU22" s="9" t="e">
        <f>Потребность!N22/Потребность!$N22</f>
        <v>#DIV/0!</v>
      </c>
      <c r="AV22" s="9" t="e">
        <f>Потребность!O22/Потребность!$N22</f>
        <v>#DIV/0!</v>
      </c>
      <c r="AW22" s="9" t="e">
        <f>Потребность!P22/Потребность!$N22</f>
        <v>#DIV/0!</v>
      </c>
      <c r="AX22" s="9">
        <f>Потребность!T22/Потребность!$T22</f>
        <v>1</v>
      </c>
      <c r="AY22" s="9">
        <f>Потребность!U22/Потребность!$T22</f>
        <v>0.31424235503108727</v>
      </c>
      <c r="AZ22" s="9">
        <f>Потребность!V22/Потребность!$T22</f>
        <v>0.47333593304157029</v>
      </c>
      <c r="BA22" s="141" t="str">
        <f>Потребность!Q22</f>
        <v>Нет</v>
      </c>
      <c r="BB22" t="str">
        <f>Потребность!AC22</f>
        <v>Нитроаммофоска</v>
      </c>
      <c r="BC22" s="141">
        <f>Потребность!AD22</f>
        <v>281.68582095238088</v>
      </c>
    </row>
    <row r="23" spans="1:55" x14ac:dyDescent="0.2">
      <c r="A23" s="284"/>
      <c r="B23" s="285"/>
      <c r="C23" s="284"/>
      <c r="D23" s="284"/>
      <c r="E23" s="285"/>
      <c r="F23" s="286"/>
      <c r="G23" s="287"/>
      <c r="H23" s="288"/>
      <c r="I23" s="289"/>
      <c r="J23" s="289"/>
      <c r="K23" s="286"/>
      <c r="L23" s="279"/>
      <c r="M23" s="279"/>
      <c r="N23" s="279"/>
      <c r="O23" s="279"/>
      <c r="P23" s="122"/>
      <c r="Q23" s="290"/>
      <c r="R23" s="290"/>
      <c r="S23" s="290"/>
      <c r="T23" s="291"/>
      <c r="U23" s="120"/>
      <c r="V23" s="120"/>
      <c r="W23" s="120"/>
      <c r="X23" s="121"/>
      <c r="Y23" s="121"/>
      <c r="Z23" s="121"/>
      <c r="AA23" s="121"/>
      <c r="AB23" s="121"/>
      <c r="AC23" s="121"/>
      <c r="AD23" s="122"/>
      <c r="AE23" s="122"/>
      <c r="AF23" s="122"/>
      <c r="AG23" s="292"/>
      <c r="AH23" s="291"/>
      <c r="AI23" s="293"/>
      <c r="AJ23" s="294"/>
      <c r="AK23" s="295"/>
      <c r="AL23" s="281"/>
      <c r="AM23" s="281"/>
      <c r="AN23" s="281"/>
      <c r="AO23" s="281"/>
      <c r="AP23" s="280"/>
      <c r="AQ23" s="10">
        <f>Потребность!AD23</f>
        <v>0</v>
      </c>
      <c r="AR23" s="10">
        <f>SUM(Потребность!K23:M23)</f>
        <v>0</v>
      </c>
      <c r="AS23" s="9" t="e">
        <f>Потребность!AZ23</f>
        <v>#N/A</v>
      </c>
      <c r="AT23" s="9">
        <f>Потребность!J23</f>
        <v>0</v>
      </c>
      <c r="AU23" s="9" t="e">
        <f>Потребность!N23/Потребность!$N23</f>
        <v>#DIV/0!</v>
      </c>
      <c r="AV23" s="9" t="e">
        <f>Потребность!O23/Потребность!$N23</f>
        <v>#DIV/0!</v>
      </c>
      <c r="AW23" s="9" t="e">
        <f>Потребность!P23/Потребность!$N23</f>
        <v>#DIV/0!</v>
      </c>
      <c r="AX23" s="9" t="e">
        <f>Потребность!T23/Потребность!$T23</f>
        <v>#DIV/0!</v>
      </c>
      <c r="AY23" s="9" t="e">
        <f>Потребность!U23/Потребность!$T23</f>
        <v>#DIV/0!</v>
      </c>
      <c r="AZ23" s="9" t="e">
        <f>Потребность!V23/Потребность!$T23</f>
        <v>#DIV/0!</v>
      </c>
      <c r="BA23" s="141">
        <f>Потребность!Q23</f>
        <v>0</v>
      </c>
      <c r="BB23">
        <f>Потребность!AC23</f>
        <v>0</v>
      </c>
      <c r="BC23" s="141">
        <f>Потребность!AD23</f>
        <v>0</v>
      </c>
    </row>
    <row r="24" spans="1:55" x14ac:dyDescent="0.2">
      <c r="A24" s="85"/>
      <c r="B24" s="195"/>
      <c r="C24" s="85"/>
      <c r="D24" s="85"/>
      <c r="E24" s="195"/>
      <c r="F24" s="35"/>
      <c r="G24" s="65"/>
      <c r="H24" s="36"/>
      <c r="I24" s="37"/>
      <c r="J24" s="37"/>
      <c r="K24" s="35"/>
      <c r="L24" s="38"/>
      <c r="M24" s="128"/>
      <c r="N24" s="279"/>
      <c r="O24" s="128"/>
      <c r="P24" s="53"/>
      <c r="Q24" s="45"/>
      <c r="R24" s="45"/>
      <c r="S24" s="45"/>
      <c r="T24" s="46"/>
      <c r="U24" s="120"/>
      <c r="V24" s="120"/>
      <c r="W24" s="120"/>
      <c r="X24" s="121"/>
      <c r="Y24" s="121"/>
      <c r="Z24" s="121"/>
      <c r="AA24" s="121"/>
      <c r="AB24" s="121"/>
      <c r="AC24" s="121"/>
      <c r="AD24" s="122"/>
      <c r="AE24" s="122"/>
      <c r="AF24" s="122"/>
      <c r="AG24" s="66"/>
      <c r="AH24" s="46"/>
      <c r="AI24" s="76"/>
      <c r="AJ24" s="97"/>
      <c r="AK24" s="39"/>
      <c r="AL24" s="281"/>
      <c r="AM24" s="281"/>
      <c r="AN24" s="281"/>
      <c r="AO24" s="281"/>
      <c r="AP24" s="280"/>
      <c r="AQ24" s="10">
        <f>Потребность!AD24</f>
        <v>0</v>
      </c>
      <c r="AR24" s="10">
        <f>SUM(Потребность!K24:M24)</f>
        <v>0</v>
      </c>
      <c r="AS24" s="9" t="e">
        <f>Потребность!AZ24</f>
        <v>#N/A</v>
      </c>
      <c r="AT24" s="9">
        <f>Потребность!J24</f>
        <v>0</v>
      </c>
      <c r="AU24" s="9" t="e">
        <f>Потребность!N24/Потребность!$N24</f>
        <v>#DIV/0!</v>
      </c>
      <c r="AV24" s="9" t="e">
        <f>Потребность!O24/Потребность!$N24</f>
        <v>#DIV/0!</v>
      </c>
      <c r="AW24" s="9" t="e">
        <f>Потребность!P24/Потребность!$N24</f>
        <v>#DIV/0!</v>
      </c>
      <c r="AX24" s="9" t="e">
        <f>Потребность!T24/Потребность!$T24</f>
        <v>#DIV/0!</v>
      </c>
      <c r="AY24" s="9" t="e">
        <f>Потребность!U24/Потребность!$T24</f>
        <v>#DIV/0!</v>
      </c>
      <c r="AZ24" s="9" t="e">
        <f>Потребность!V24/Потребность!$T24</f>
        <v>#DIV/0!</v>
      </c>
      <c r="BA24" s="141">
        <f>Потребность!Q24</f>
        <v>0</v>
      </c>
      <c r="BB24">
        <f>Потребность!AC24</f>
        <v>0</v>
      </c>
      <c r="BC24" s="141">
        <f>Потребность!AD24</f>
        <v>0</v>
      </c>
    </row>
    <row r="25" spans="1:55" x14ac:dyDescent="0.2">
      <c r="A25" s="85"/>
      <c r="B25" s="195"/>
      <c r="C25" s="85"/>
      <c r="D25" s="85"/>
      <c r="E25" s="195"/>
      <c r="F25" s="35"/>
      <c r="G25" s="65"/>
      <c r="H25" s="36"/>
      <c r="I25" s="37"/>
      <c r="J25" s="37"/>
      <c r="K25" s="35"/>
      <c r="L25" s="38"/>
      <c r="M25" s="128"/>
      <c r="N25" s="279"/>
      <c r="O25" s="128"/>
      <c r="P25" s="53"/>
      <c r="Q25" s="45"/>
      <c r="R25" s="45"/>
      <c r="S25" s="45"/>
      <c r="T25" s="46"/>
      <c r="U25" s="120"/>
      <c r="V25" s="120"/>
      <c r="W25" s="120"/>
      <c r="X25" s="121"/>
      <c r="Y25" s="121"/>
      <c r="Z25" s="121"/>
      <c r="AA25" s="121"/>
      <c r="AB25" s="121"/>
      <c r="AC25" s="121"/>
      <c r="AD25" s="122"/>
      <c r="AE25" s="122"/>
      <c r="AF25" s="122"/>
      <c r="AG25" s="66"/>
      <c r="AH25" s="46"/>
      <c r="AI25" s="76"/>
      <c r="AJ25" s="97"/>
      <c r="AK25" s="39"/>
      <c r="AL25" s="281"/>
      <c r="AM25" s="281"/>
      <c r="AN25" s="281"/>
      <c r="AO25" s="281"/>
      <c r="AP25" s="280"/>
      <c r="AQ25" s="10">
        <f>Потребность!AD25</f>
        <v>0</v>
      </c>
      <c r="AR25" s="10">
        <f>SUM(Потребность!K25:M25)</f>
        <v>0</v>
      </c>
      <c r="AS25" s="9" t="e">
        <f>Потребность!AZ25</f>
        <v>#N/A</v>
      </c>
      <c r="AT25" s="9">
        <f>Потребность!J25</f>
        <v>0</v>
      </c>
      <c r="AU25" s="9" t="e">
        <f>Потребность!N25/Потребность!$N25</f>
        <v>#DIV/0!</v>
      </c>
      <c r="AV25" s="9" t="e">
        <f>Потребность!O25/Потребность!$N25</f>
        <v>#DIV/0!</v>
      </c>
      <c r="AW25" s="9" t="e">
        <f>Потребность!P25/Потребность!$N25</f>
        <v>#DIV/0!</v>
      </c>
      <c r="AX25" s="9" t="e">
        <f>Потребность!T25/Потребность!$T25</f>
        <v>#DIV/0!</v>
      </c>
      <c r="AY25" s="9" t="e">
        <f>Потребность!U25/Потребность!$T25</f>
        <v>#DIV/0!</v>
      </c>
      <c r="AZ25" s="9" t="e">
        <f>Потребность!V25/Потребность!$T25</f>
        <v>#DIV/0!</v>
      </c>
      <c r="BA25" s="141">
        <f>Потребность!Q25</f>
        <v>0</v>
      </c>
      <c r="BB25">
        <f>Потребность!AC25</f>
        <v>0</v>
      </c>
      <c r="BC25" s="141">
        <f>Потребность!AD25</f>
        <v>0</v>
      </c>
    </row>
    <row r="26" spans="1:55" x14ac:dyDescent="0.2">
      <c r="A26" s="85"/>
      <c r="B26" s="195"/>
      <c r="C26" s="85"/>
      <c r="D26" s="85"/>
      <c r="E26" s="195"/>
      <c r="F26" s="35"/>
      <c r="G26" s="65"/>
      <c r="H26" s="36"/>
      <c r="I26" s="37"/>
      <c r="J26" s="37"/>
      <c r="K26" s="35"/>
      <c r="L26" s="38"/>
      <c r="M26" s="128"/>
      <c r="N26" s="38"/>
      <c r="O26" s="128"/>
      <c r="P26" s="53"/>
      <c r="Q26" s="45"/>
      <c r="R26" s="45"/>
      <c r="S26" s="45"/>
      <c r="T26" s="46"/>
      <c r="U26" s="120"/>
      <c r="V26" s="120"/>
      <c r="W26" s="120"/>
      <c r="X26" s="121"/>
      <c r="Y26" s="121"/>
      <c r="Z26" s="121"/>
      <c r="AA26" s="121"/>
      <c r="AB26" s="121"/>
      <c r="AC26" s="121"/>
      <c r="AD26" s="122"/>
      <c r="AE26" s="122"/>
      <c r="AF26" s="122"/>
      <c r="AG26" s="66"/>
      <c r="AH26" s="46"/>
      <c r="AI26" s="76"/>
      <c r="AJ26" s="97"/>
      <c r="AK26" s="39"/>
      <c r="AL26" s="102"/>
      <c r="AM26" s="102"/>
      <c r="AN26" s="102"/>
      <c r="AO26" s="102"/>
      <c r="AP26" s="280"/>
      <c r="AQ26" s="10">
        <f>Потребность!AD26</f>
        <v>0</v>
      </c>
      <c r="AR26" s="10">
        <f>SUM(Потребность!K26:M26)</f>
        <v>0</v>
      </c>
      <c r="AS26" s="9" t="e">
        <f>Потребность!AZ26</f>
        <v>#N/A</v>
      </c>
      <c r="AT26" s="9">
        <f>Потребность!J26</f>
        <v>0</v>
      </c>
      <c r="AU26" s="9" t="e">
        <f>Потребность!N26/Потребность!$N26</f>
        <v>#DIV/0!</v>
      </c>
      <c r="AV26" s="9" t="e">
        <f>Потребность!O26/Потребность!$N26</f>
        <v>#DIV/0!</v>
      </c>
      <c r="AW26" s="9" t="e">
        <f>Потребность!P26/Потребность!$N26</f>
        <v>#DIV/0!</v>
      </c>
      <c r="AX26" s="9" t="e">
        <f>Потребность!T26/Потребность!$T26</f>
        <v>#DIV/0!</v>
      </c>
      <c r="AY26" s="9" t="e">
        <f>Потребность!U26/Потребность!$T26</f>
        <v>#DIV/0!</v>
      </c>
      <c r="AZ26" s="9" t="e">
        <f>Потребность!V26/Потребность!$T26</f>
        <v>#DIV/0!</v>
      </c>
      <c r="BA26" s="141">
        <f>Потребность!Q26</f>
        <v>0</v>
      </c>
      <c r="BB26">
        <f>Потребность!AC26</f>
        <v>0</v>
      </c>
      <c r="BC26" s="141">
        <f>Потребность!AD26</f>
        <v>0</v>
      </c>
    </row>
    <row r="27" spans="1:55" ht="12" customHeight="1" x14ac:dyDescent="0.2">
      <c r="A27" s="85"/>
      <c r="B27" s="195"/>
      <c r="C27" s="85"/>
      <c r="D27" s="85"/>
      <c r="E27" s="195"/>
      <c r="F27" s="35"/>
      <c r="G27" s="65"/>
      <c r="H27" s="36"/>
      <c r="I27" s="37"/>
      <c r="J27" s="37"/>
      <c r="K27" s="35"/>
      <c r="L27" s="38"/>
      <c r="M27" s="128"/>
      <c r="N27" s="38"/>
      <c r="O27" s="128"/>
      <c r="P27" s="53"/>
      <c r="Q27" s="45"/>
      <c r="R27" s="45"/>
      <c r="S27" s="45"/>
      <c r="T27" s="46"/>
      <c r="U27" s="120"/>
      <c r="V27" s="120"/>
      <c r="W27" s="120"/>
      <c r="X27" s="121"/>
      <c r="Y27" s="121"/>
      <c r="Z27" s="121"/>
      <c r="AA27" s="121"/>
      <c r="AB27" s="121"/>
      <c r="AC27" s="121"/>
      <c r="AD27" s="122"/>
      <c r="AE27" s="122"/>
      <c r="AF27" s="122"/>
      <c r="AG27" s="66"/>
      <c r="AH27" s="46"/>
      <c r="AI27" s="76"/>
      <c r="AJ27" s="97"/>
      <c r="AK27" s="39"/>
      <c r="AL27" s="102"/>
      <c r="AM27" s="102"/>
      <c r="AN27" s="102"/>
      <c r="AO27" s="102"/>
      <c r="AP27" s="280"/>
      <c r="AQ27" s="10">
        <f>Потребность!AD27</f>
        <v>0</v>
      </c>
      <c r="AR27" s="10">
        <f>SUM(Потребность!K27:M27)</f>
        <v>0</v>
      </c>
      <c r="AS27" s="9" t="e">
        <f>Потребность!AZ27</f>
        <v>#N/A</v>
      </c>
      <c r="AT27" s="9">
        <f>Потребность!J27</f>
        <v>0</v>
      </c>
      <c r="AU27" s="9" t="e">
        <f>Потребность!N27/Потребность!$N27</f>
        <v>#DIV/0!</v>
      </c>
      <c r="AV27" s="9" t="e">
        <f>Потребность!O27/Потребность!$N27</f>
        <v>#DIV/0!</v>
      </c>
      <c r="AW27" s="9" t="e">
        <f>Потребность!P27/Потребность!$N27</f>
        <v>#DIV/0!</v>
      </c>
      <c r="AX27" s="9" t="e">
        <f>Потребность!T27/Потребность!$T27</f>
        <v>#DIV/0!</v>
      </c>
      <c r="AY27" s="9" t="e">
        <f>Потребность!U27/Потребность!$T27</f>
        <v>#DIV/0!</v>
      </c>
      <c r="AZ27" s="9" t="e">
        <f>Потребность!V27/Потребность!$T27</f>
        <v>#DIV/0!</v>
      </c>
      <c r="BA27" s="141">
        <f>Потребность!Q27</f>
        <v>0</v>
      </c>
      <c r="BB27">
        <f>Потребность!AC27</f>
        <v>0</v>
      </c>
      <c r="BC27" s="141">
        <f>Потребность!AD27</f>
        <v>0</v>
      </c>
    </row>
    <row r="28" spans="1:55" x14ac:dyDescent="0.2">
      <c r="A28" s="85"/>
      <c r="B28" s="195"/>
      <c r="C28" s="85"/>
      <c r="D28" s="85"/>
      <c r="E28" s="195"/>
      <c r="F28" s="35"/>
      <c r="G28" s="65"/>
      <c r="H28" s="36"/>
      <c r="I28" s="37"/>
      <c r="J28" s="37"/>
      <c r="K28" s="35"/>
      <c r="L28" s="38"/>
      <c r="M28" s="128"/>
      <c r="N28" s="38"/>
      <c r="O28" s="128"/>
      <c r="P28" s="53"/>
      <c r="Q28" s="45"/>
      <c r="R28" s="45"/>
      <c r="S28" s="45"/>
      <c r="T28" s="46"/>
      <c r="U28" s="120"/>
      <c r="V28" s="120"/>
      <c r="W28" s="120"/>
      <c r="X28" s="121"/>
      <c r="Y28" s="121"/>
      <c r="Z28" s="121"/>
      <c r="AA28" s="121"/>
      <c r="AB28" s="121"/>
      <c r="AC28" s="121"/>
      <c r="AD28" s="122"/>
      <c r="AE28" s="122"/>
      <c r="AF28" s="122"/>
      <c r="AG28" s="66"/>
      <c r="AH28" s="46"/>
      <c r="AI28" s="76"/>
      <c r="AJ28" s="97"/>
      <c r="AK28" s="39"/>
      <c r="AL28" s="102"/>
      <c r="AM28" s="102"/>
      <c r="AN28" s="102"/>
      <c r="AO28" s="102"/>
      <c r="AP28" s="280"/>
      <c r="AQ28" s="10">
        <f>Потребность!AD28</f>
        <v>0</v>
      </c>
      <c r="AR28" s="10">
        <f>SUM(Потребность!K28:M28)</f>
        <v>0</v>
      </c>
      <c r="AS28" s="9" t="e">
        <f>Потребность!AZ28</f>
        <v>#N/A</v>
      </c>
      <c r="AT28" s="9">
        <f>Потребность!J28</f>
        <v>0</v>
      </c>
      <c r="AU28" s="9" t="e">
        <f>Потребность!N28/Потребность!$N28</f>
        <v>#DIV/0!</v>
      </c>
      <c r="AV28" s="9" t="e">
        <f>Потребность!O28/Потребность!$N28</f>
        <v>#DIV/0!</v>
      </c>
      <c r="AW28" s="9" t="e">
        <f>Потребность!P28/Потребность!$N28</f>
        <v>#DIV/0!</v>
      </c>
      <c r="AX28" s="9" t="e">
        <f>Потребность!T28/Потребность!$T28</f>
        <v>#DIV/0!</v>
      </c>
      <c r="AY28" s="9" t="e">
        <f>Потребность!U28/Потребность!$T28</f>
        <v>#DIV/0!</v>
      </c>
      <c r="AZ28" s="9" t="e">
        <f>Потребность!V28/Потребность!$T28</f>
        <v>#DIV/0!</v>
      </c>
      <c r="BA28" s="141">
        <f>Потребность!Q28</f>
        <v>0</v>
      </c>
      <c r="BB28">
        <f>Потребность!AC28</f>
        <v>0</v>
      </c>
      <c r="BC28" s="141">
        <f>Потребность!AD28</f>
        <v>0</v>
      </c>
    </row>
    <row r="29" spans="1:55" x14ac:dyDescent="0.2">
      <c r="A29" s="85"/>
      <c r="B29" s="195"/>
      <c r="C29" s="85"/>
      <c r="D29" s="85"/>
      <c r="E29" s="195"/>
      <c r="F29" s="35"/>
      <c r="G29" s="65"/>
      <c r="H29" s="36"/>
      <c r="I29" s="37"/>
      <c r="J29" s="37"/>
      <c r="K29" s="35"/>
      <c r="L29" s="38"/>
      <c r="M29" s="128"/>
      <c r="N29" s="38"/>
      <c r="O29" s="128"/>
      <c r="P29" s="53"/>
      <c r="Q29" s="45"/>
      <c r="R29" s="45"/>
      <c r="S29" s="45"/>
      <c r="T29" s="46"/>
      <c r="U29" s="120"/>
      <c r="V29" s="120"/>
      <c r="W29" s="120"/>
      <c r="X29" s="121"/>
      <c r="Y29" s="121"/>
      <c r="Z29" s="121"/>
      <c r="AA29" s="121"/>
      <c r="AB29" s="121"/>
      <c r="AC29" s="121"/>
      <c r="AD29" s="122"/>
      <c r="AE29" s="122"/>
      <c r="AF29" s="122"/>
      <c r="AG29" s="66"/>
      <c r="AH29" s="46"/>
      <c r="AI29" s="76"/>
      <c r="AJ29" s="97"/>
      <c r="AK29" s="39"/>
      <c r="AL29" s="102"/>
      <c r="AM29" s="102"/>
      <c r="AN29" s="102"/>
      <c r="AO29" s="102"/>
      <c r="AP29" s="280"/>
      <c r="AQ29" s="10">
        <f>Потребность!AD29</f>
        <v>0</v>
      </c>
      <c r="AR29" s="10">
        <f>SUM(Потребность!K29:M29)</f>
        <v>0</v>
      </c>
      <c r="AS29" s="9" t="e">
        <f>Потребность!AZ29</f>
        <v>#N/A</v>
      </c>
      <c r="AT29" s="9">
        <f>Потребность!J29</f>
        <v>0</v>
      </c>
      <c r="AU29" s="9" t="e">
        <f>Потребность!N29/Потребность!$N29</f>
        <v>#DIV/0!</v>
      </c>
      <c r="AV29" s="9" t="e">
        <f>Потребность!O29/Потребность!$N29</f>
        <v>#DIV/0!</v>
      </c>
      <c r="AW29" s="9" t="e">
        <f>Потребность!P29/Потребность!$N29</f>
        <v>#DIV/0!</v>
      </c>
      <c r="AX29" s="9" t="e">
        <f>Потребность!T29/Потребность!$T29</f>
        <v>#DIV/0!</v>
      </c>
      <c r="AY29" s="9" t="e">
        <f>Потребность!U29/Потребность!$T29</f>
        <v>#DIV/0!</v>
      </c>
      <c r="AZ29" s="9" t="e">
        <f>Потребность!V29/Потребность!$T29</f>
        <v>#DIV/0!</v>
      </c>
      <c r="BA29" s="141">
        <f>Потребность!Q29</f>
        <v>0</v>
      </c>
      <c r="BB29">
        <f>Потребность!AC29</f>
        <v>0</v>
      </c>
      <c r="BC29" s="141">
        <f>Потребность!AD29</f>
        <v>0</v>
      </c>
    </row>
    <row r="30" spans="1:55" x14ac:dyDescent="0.2">
      <c r="A30" s="85"/>
      <c r="B30" s="195"/>
      <c r="C30" s="85"/>
      <c r="D30" s="85"/>
      <c r="E30" s="195"/>
      <c r="F30" s="35"/>
      <c r="G30" s="65"/>
      <c r="H30" s="36"/>
      <c r="I30" s="37"/>
      <c r="J30" s="37"/>
      <c r="K30" s="35"/>
      <c r="L30" s="38"/>
      <c r="M30" s="128"/>
      <c r="N30" s="38"/>
      <c r="O30" s="128"/>
      <c r="P30" s="53"/>
      <c r="Q30" s="45"/>
      <c r="R30" s="45"/>
      <c r="S30" s="45"/>
      <c r="T30" s="46"/>
      <c r="U30" s="120"/>
      <c r="V30" s="120"/>
      <c r="W30" s="120"/>
      <c r="X30" s="121"/>
      <c r="Y30" s="121"/>
      <c r="Z30" s="121"/>
      <c r="AA30" s="121"/>
      <c r="AB30" s="121"/>
      <c r="AC30" s="121"/>
      <c r="AD30" s="122"/>
      <c r="AE30" s="122"/>
      <c r="AF30" s="122"/>
      <c r="AG30" s="66"/>
      <c r="AH30" s="46"/>
      <c r="AI30" s="76"/>
      <c r="AJ30" s="97"/>
      <c r="AK30" s="39"/>
      <c r="AL30" s="102"/>
      <c r="AM30" s="102"/>
      <c r="AN30" s="102"/>
      <c r="AO30" s="102"/>
      <c r="AP30" s="280"/>
      <c r="AQ30" s="10">
        <f>Потребность!AD30</f>
        <v>0</v>
      </c>
      <c r="AR30" s="10">
        <f>SUM(Потребность!K30:M30)</f>
        <v>0</v>
      </c>
      <c r="AS30" s="9" t="e">
        <f>Потребность!AZ30</f>
        <v>#N/A</v>
      </c>
      <c r="AT30" s="9">
        <f>Потребность!J30</f>
        <v>0</v>
      </c>
      <c r="AU30" s="9" t="e">
        <f>Потребность!N30/Потребность!$N30</f>
        <v>#DIV/0!</v>
      </c>
      <c r="AV30" s="9" t="e">
        <f>Потребность!O30/Потребность!$N30</f>
        <v>#DIV/0!</v>
      </c>
      <c r="AW30" s="9" t="e">
        <f>Потребность!P30/Потребность!$N30</f>
        <v>#DIV/0!</v>
      </c>
      <c r="AX30" s="9" t="e">
        <f>Потребность!T30/Потребность!$T30</f>
        <v>#DIV/0!</v>
      </c>
      <c r="AY30" s="9" t="e">
        <f>Потребность!U30/Потребность!$T30</f>
        <v>#DIV/0!</v>
      </c>
      <c r="AZ30" s="9" t="e">
        <f>Потребность!V30/Потребность!$T30</f>
        <v>#DIV/0!</v>
      </c>
      <c r="BA30" s="141">
        <f>Потребность!Q30</f>
        <v>0</v>
      </c>
      <c r="BB30">
        <f>Потребность!AC30</f>
        <v>0</v>
      </c>
      <c r="BC30" s="141">
        <f>Потребность!AD30</f>
        <v>0</v>
      </c>
    </row>
    <row r="31" spans="1:55" x14ac:dyDescent="0.2">
      <c r="A31" s="85"/>
      <c r="B31" s="195"/>
      <c r="C31" s="85"/>
      <c r="D31" s="85"/>
      <c r="E31" s="195"/>
      <c r="F31" s="35"/>
      <c r="G31" s="65"/>
      <c r="H31" s="36"/>
      <c r="I31" s="37"/>
      <c r="J31" s="37"/>
      <c r="K31" s="35"/>
      <c r="L31" s="38"/>
      <c r="M31" s="128"/>
      <c r="N31" s="38"/>
      <c r="O31" s="128"/>
      <c r="P31" s="53"/>
      <c r="Q31" s="45"/>
      <c r="R31" s="45"/>
      <c r="S31" s="45"/>
      <c r="T31" s="46"/>
      <c r="U31" s="120"/>
      <c r="V31" s="120"/>
      <c r="W31" s="120"/>
      <c r="X31" s="121"/>
      <c r="Y31" s="121"/>
      <c r="Z31" s="121"/>
      <c r="AA31" s="121"/>
      <c r="AB31" s="121"/>
      <c r="AC31" s="121"/>
      <c r="AD31" s="122"/>
      <c r="AE31" s="122"/>
      <c r="AF31" s="122"/>
      <c r="AG31" s="66"/>
      <c r="AH31" s="46"/>
      <c r="AI31" s="76"/>
      <c r="AJ31" s="97"/>
      <c r="AK31" s="39"/>
      <c r="AL31" s="102"/>
      <c r="AM31" s="102"/>
      <c r="AN31" s="102"/>
      <c r="AO31" s="102"/>
      <c r="AP31" s="280"/>
      <c r="AQ31" s="10">
        <f>Потребность!AD31</f>
        <v>0</v>
      </c>
      <c r="AR31" s="10">
        <f>SUM(Потребность!K31:M31)</f>
        <v>0</v>
      </c>
      <c r="AS31" s="9" t="e">
        <f>Потребность!AZ31</f>
        <v>#N/A</v>
      </c>
      <c r="AT31" s="9">
        <f>Потребность!J31</f>
        <v>0</v>
      </c>
      <c r="AU31" s="9" t="e">
        <f>Потребность!N31/Потребность!$N31</f>
        <v>#DIV/0!</v>
      </c>
      <c r="AV31" s="9" t="e">
        <f>Потребность!O31/Потребность!$N31</f>
        <v>#DIV/0!</v>
      </c>
      <c r="AW31" s="9" t="e">
        <f>Потребность!P31/Потребность!$N31</f>
        <v>#DIV/0!</v>
      </c>
      <c r="AX31" s="9" t="e">
        <f>Потребность!T31/Потребность!$T31</f>
        <v>#DIV/0!</v>
      </c>
      <c r="AY31" s="9" t="e">
        <f>Потребность!U31/Потребность!$T31</f>
        <v>#DIV/0!</v>
      </c>
      <c r="AZ31" s="9" t="e">
        <f>Потребность!V31/Потребность!$T31</f>
        <v>#DIV/0!</v>
      </c>
      <c r="BA31" s="141">
        <f>Потребность!Q31</f>
        <v>0</v>
      </c>
      <c r="BB31">
        <f>Потребность!AC31</f>
        <v>0</v>
      </c>
      <c r="BC31" s="141">
        <f>Потребность!AD31</f>
        <v>0</v>
      </c>
    </row>
    <row r="32" spans="1:55" x14ac:dyDescent="0.2">
      <c r="A32" s="85"/>
      <c r="B32" s="195"/>
      <c r="C32" s="85"/>
      <c r="D32" s="85"/>
      <c r="E32" s="195"/>
      <c r="F32" s="35"/>
      <c r="G32" s="65"/>
      <c r="H32" s="36"/>
      <c r="I32" s="37"/>
      <c r="J32" s="37"/>
      <c r="K32" s="35"/>
      <c r="L32" s="38"/>
      <c r="M32" s="128"/>
      <c r="N32" s="38"/>
      <c r="O32" s="128"/>
      <c r="P32" s="53"/>
      <c r="Q32" s="45"/>
      <c r="R32" s="45"/>
      <c r="S32" s="45"/>
      <c r="T32" s="46"/>
      <c r="U32" s="120"/>
      <c r="V32" s="120"/>
      <c r="W32" s="120"/>
      <c r="X32" s="121"/>
      <c r="Y32" s="121"/>
      <c r="Z32" s="121"/>
      <c r="AA32" s="121"/>
      <c r="AB32" s="121"/>
      <c r="AC32" s="121"/>
      <c r="AD32" s="122"/>
      <c r="AE32" s="122"/>
      <c r="AF32" s="122"/>
      <c r="AG32" s="66"/>
      <c r="AH32" s="46"/>
      <c r="AI32" s="76"/>
      <c r="AJ32" s="97"/>
      <c r="AK32" s="39"/>
      <c r="AL32" s="102"/>
      <c r="AM32" s="102"/>
      <c r="AN32" s="102"/>
      <c r="AO32" s="102"/>
      <c r="AP32" s="280"/>
      <c r="AQ32" s="10">
        <f>Потребность!AD32</f>
        <v>0</v>
      </c>
      <c r="AR32" s="10">
        <f>SUM(Потребность!K32:M32)</f>
        <v>0</v>
      </c>
      <c r="AS32" s="9" t="e">
        <f>Потребность!AZ32</f>
        <v>#N/A</v>
      </c>
      <c r="AT32" s="9">
        <f>Потребность!J32</f>
        <v>0</v>
      </c>
      <c r="AU32" s="9" t="e">
        <f>Потребность!N32/Потребность!$N32</f>
        <v>#DIV/0!</v>
      </c>
      <c r="AV32" s="9" t="e">
        <f>Потребность!O32/Потребность!$N32</f>
        <v>#DIV/0!</v>
      </c>
      <c r="AW32" s="9" t="e">
        <f>Потребность!P32/Потребность!$N32</f>
        <v>#DIV/0!</v>
      </c>
      <c r="AX32" s="9" t="e">
        <f>Потребность!T32/Потребность!$T32</f>
        <v>#DIV/0!</v>
      </c>
      <c r="AY32" s="9" t="e">
        <f>Потребность!U32/Потребность!$T32</f>
        <v>#DIV/0!</v>
      </c>
      <c r="AZ32" s="9" t="e">
        <f>Потребность!V32/Потребность!$T32</f>
        <v>#DIV/0!</v>
      </c>
      <c r="BA32" s="141">
        <f>Потребность!Q32</f>
        <v>0</v>
      </c>
      <c r="BB32">
        <f>Потребность!AC32</f>
        <v>0</v>
      </c>
      <c r="BC32" s="141">
        <f>Потребность!AD32</f>
        <v>0</v>
      </c>
    </row>
    <row r="33" spans="1:55" x14ac:dyDescent="0.2">
      <c r="A33" s="85"/>
      <c r="B33" s="195"/>
      <c r="C33" s="85"/>
      <c r="D33" s="85"/>
      <c r="E33" s="195"/>
      <c r="F33" s="35"/>
      <c r="G33" s="65"/>
      <c r="H33" s="36"/>
      <c r="I33" s="37"/>
      <c r="J33" s="37"/>
      <c r="K33" s="35"/>
      <c r="L33" s="38"/>
      <c r="M33" s="128"/>
      <c r="N33" s="38"/>
      <c r="O33" s="128"/>
      <c r="P33" s="53"/>
      <c r="Q33" s="45"/>
      <c r="R33" s="45"/>
      <c r="S33" s="45"/>
      <c r="T33" s="46"/>
      <c r="U33" s="120"/>
      <c r="V33" s="120"/>
      <c r="W33" s="120"/>
      <c r="X33" s="121"/>
      <c r="Y33" s="121"/>
      <c r="Z33" s="121"/>
      <c r="AA33" s="121"/>
      <c r="AB33" s="121"/>
      <c r="AC33" s="121"/>
      <c r="AD33" s="122"/>
      <c r="AE33" s="122"/>
      <c r="AF33" s="122"/>
      <c r="AG33" s="66"/>
      <c r="AH33" s="46"/>
      <c r="AI33" s="76"/>
      <c r="AJ33" s="97"/>
      <c r="AK33" s="39"/>
      <c r="AL33" s="102"/>
      <c r="AM33" s="102"/>
      <c r="AN33" s="102"/>
      <c r="AO33" s="102"/>
      <c r="AP33" s="280"/>
      <c r="AQ33" s="10">
        <f>Потребность!AD33</f>
        <v>0</v>
      </c>
      <c r="AR33" s="10">
        <f>SUM(Потребность!K33:M33)</f>
        <v>0</v>
      </c>
      <c r="AS33" s="9" t="e">
        <f>Потребность!AZ33</f>
        <v>#N/A</v>
      </c>
      <c r="AT33" s="9">
        <f>Потребность!J33</f>
        <v>0</v>
      </c>
      <c r="AU33" s="9" t="e">
        <f>Потребность!N33/Потребность!$N33</f>
        <v>#DIV/0!</v>
      </c>
      <c r="AV33" s="9" t="e">
        <f>Потребность!O33/Потребность!$N33</f>
        <v>#DIV/0!</v>
      </c>
      <c r="AW33" s="9" t="e">
        <f>Потребность!P33/Потребность!$N33</f>
        <v>#DIV/0!</v>
      </c>
      <c r="AX33" s="9" t="e">
        <f>Потребность!T33/Потребность!$T33</f>
        <v>#DIV/0!</v>
      </c>
      <c r="AY33" s="9" t="e">
        <f>Потребность!U33/Потребность!$T33</f>
        <v>#DIV/0!</v>
      </c>
      <c r="AZ33" s="9" t="e">
        <f>Потребность!V33/Потребность!$T33</f>
        <v>#DIV/0!</v>
      </c>
      <c r="BA33" s="141">
        <f>Потребность!Q33</f>
        <v>0</v>
      </c>
      <c r="BB33">
        <f>Потребность!AC33</f>
        <v>0</v>
      </c>
      <c r="BC33" s="141">
        <f>Потребность!AD33</f>
        <v>0</v>
      </c>
    </row>
    <row r="34" spans="1:55" x14ac:dyDescent="0.2">
      <c r="A34" s="85"/>
      <c r="B34" s="195"/>
      <c r="C34" s="85"/>
      <c r="D34" s="85"/>
      <c r="E34" s="195"/>
      <c r="F34" s="35"/>
      <c r="G34" s="65"/>
      <c r="H34" s="36"/>
      <c r="I34" s="37"/>
      <c r="J34" s="37"/>
      <c r="K34" s="35"/>
      <c r="L34" s="38"/>
      <c r="M34" s="128"/>
      <c r="N34" s="38"/>
      <c r="O34" s="128"/>
      <c r="P34" s="53"/>
      <c r="Q34" s="45"/>
      <c r="R34" s="45"/>
      <c r="S34" s="45"/>
      <c r="T34" s="46"/>
      <c r="U34" s="120"/>
      <c r="V34" s="120"/>
      <c r="W34" s="120"/>
      <c r="X34" s="121"/>
      <c r="Y34" s="121"/>
      <c r="Z34" s="121"/>
      <c r="AA34" s="121"/>
      <c r="AB34" s="121"/>
      <c r="AC34" s="121"/>
      <c r="AD34" s="122"/>
      <c r="AE34" s="122"/>
      <c r="AF34" s="122"/>
      <c r="AG34" s="66"/>
      <c r="AH34" s="46"/>
      <c r="AI34" s="76"/>
      <c r="AJ34" s="97"/>
      <c r="AK34" s="39"/>
      <c r="AL34" s="102"/>
      <c r="AM34" s="102"/>
      <c r="AN34" s="102"/>
      <c r="AO34" s="102"/>
      <c r="AP34" s="280"/>
      <c r="AQ34" s="10">
        <f>Потребность!AD34</f>
        <v>0</v>
      </c>
      <c r="AR34" s="10">
        <f>SUM(Потребность!K34:M34)</f>
        <v>0</v>
      </c>
      <c r="AS34" s="9" t="e">
        <f>Потребность!AZ34</f>
        <v>#N/A</v>
      </c>
      <c r="AT34" s="9">
        <f>Потребность!J34</f>
        <v>0</v>
      </c>
      <c r="AU34" s="9" t="e">
        <f>Потребность!N34/Потребность!$N34</f>
        <v>#DIV/0!</v>
      </c>
      <c r="AV34" s="9" t="e">
        <f>Потребность!O34/Потребность!$N34</f>
        <v>#DIV/0!</v>
      </c>
      <c r="AW34" s="9" t="e">
        <f>Потребность!P34/Потребность!$N34</f>
        <v>#DIV/0!</v>
      </c>
      <c r="AX34" s="9" t="e">
        <f>Потребность!T34/Потребность!$T34</f>
        <v>#DIV/0!</v>
      </c>
      <c r="AY34" s="9" t="e">
        <f>Потребность!U34/Потребность!$T34</f>
        <v>#DIV/0!</v>
      </c>
      <c r="AZ34" s="9" t="e">
        <f>Потребность!V34/Потребность!$T34</f>
        <v>#DIV/0!</v>
      </c>
      <c r="BA34" s="141">
        <f>Потребность!Q34</f>
        <v>0</v>
      </c>
      <c r="BB34">
        <f>Потребность!AC34</f>
        <v>0</v>
      </c>
      <c r="BC34" s="141">
        <f>Потребность!AD34</f>
        <v>0</v>
      </c>
    </row>
    <row r="35" spans="1:55" ht="12" customHeight="1" x14ac:dyDescent="0.2">
      <c r="A35" s="85"/>
      <c r="B35" s="195"/>
      <c r="C35" s="85"/>
      <c r="D35" s="85"/>
      <c r="E35" s="195"/>
      <c r="F35" s="35"/>
      <c r="G35" s="65"/>
      <c r="H35" s="36"/>
      <c r="I35" s="37"/>
      <c r="J35" s="37"/>
      <c r="K35" s="35"/>
      <c r="L35" s="38"/>
      <c r="M35" s="128"/>
      <c r="N35" s="38"/>
      <c r="O35" s="128"/>
      <c r="P35" s="53"/>
      <c r="Q35" s="45"/>
      <c r="R35" s="45"/>
      <c r="S35" s="45"/>
      <c r="T35" s="46"/>
      <c r="U35" s="120"/>
      <c r="V35" s="120"/>
      <c r="W35" s="120"/>
      <c r="X35" s="121"/>
      <c r="Y35" s="121"/>
      <c r="Z35" s="121"/>
      <c r="AA35" s="121"/>
      <c r="AB35" s="121"/>
      <c r="AC35" s="121"/>
      <c r="AD35" s="122"/>
      <c r="AE35" s="122"/>
      <c r="AF35" s="122"/>
      <c r="AG35" s="66"/>
      <c r="AH35" s="46"/>
      <c r="AI35" s="76"/>
      <c r="AJ35" s="97"/>
      <c r="AK35" s="39"/>
      <c r="AL35" s="102"/>
      <c r="AM35" s="102"/>
      <c r="AN35" s="102"/>
      <c r="AO35" s="102"/>
      <c r="AP35" s="280"/>
      <c r="AQ35" s="10">
        <f>Потребность!AD35</f>
        <v>0</v>
      </c>
      <c r="AR35" s="10">
        <f>SUM(Потребность!K35:M35)</f>
        <v>0</v>
      </c>
      <c r="AS35" s="9" t="e">
        <f>Потребность!AZ35</f>
        <v>#N/A</v>
      </c>
      <c r="AT35" s="9">
        <f>Потребность!J35</f>
        <v>0</v>
      </c>
      <c r="AU35" s="9" t="e">
        <f>Потребность!N35/Потребность!$N35</f>
        <v>#DIV/0!</v>
      </c>
      <c r="AV35" s="9" t="e">
        <f>Потребность!O35/Потребность!$N35</f>
        <v>#DIV/0!</v>
      </c>
      <c r="AW35" s="9" t="e">
        <f>Потребность!P35/Потребность!$N35</f>
        <v>#DIV/0!</v>
      </c>
      <c r="AX35" s="9" t="e">
        <f>Потребность!T35/Потребность!$T35</f>
        <v>#DIV/0!</v>
      </c>
      <c r="AY35" s="9" t="e">
        <f>Потребность!U35/Потребность!$T35</f>
        <v>#DIV/0!</v>
      </c>
      <c r="AZ35" s="9" t="e">
        <f>Потребность!V35/Потребность!$T35</f>
        <v>#DIV/0!</v>
      </c>
      <c r="BA35" s="141">
        <f>Потребность!Q35</f>
        <v>0</v>
      </c>
      <c r="BB35">
        <f>Потребность!AC35</f>
        <v>0</v>
      </c>
      <c r="BC35" s="141">
        <f>Потребность!AD35</f>
        <v>0</v>
      </c>
    </row>
    <row r="36" spans="1:55" x14ac:dyDescent="0.2">
      <c r="A36" s="85"/>
      <c r="B36" s="195"/>
      <c r="C36" s="85"/>
      <c r="D36" s="85"/>
      <c r="E36" s="195"/>
      <c r="F36" s="35"/>
      <c r="G36" s="65"/>
      <c r="H36" s="36"/>
      <c r="I36" s="37"/>
      <c r="J36" s="37"/>
      <c r="K36" s="35"/>
      <c r="L36" s="38"/>
      <c r="M36" s="128"/>
      <c r="N36" s="38"/>
      <c r="O36" s="128"/>
      <c r="P36" s="53"/>
      <c r="Q36" s="45"/>
      <c r="R36" s="45"/>
      <c r="S36" s="45"/>
      <c r="T36" s="46"/>
      <c r="U36" s="120"/>
      <c r="V36" s="120"/>
      <c r="W36" s="120"/>
      <c r="X36" s="121"/>
      <c r="Y36" s="121"/>
      <c r="Z36" s="121"/>
      <c r="AA36" s="121"/>
      <c r="AB36" s="121"/>
      <c r="AC36" s="121"/>
      <c r="AD36" s="122"/>
      <c r="AE36" s="122"/>
      <c r="AF36" s="122"/>
      <c r="AG36" s="66"/>
      <c r="AH36" s="46"/>
      <c r="AI36" s="76"/>
      <c r="AJ36" s="97"/>
      <c r="AK36" s="39"/>
      <c r="AL36" s="102"/>
      <c r="AM36" s="102"/>
      <c r="AN36" s="102"/>
      <c r="AO36" s="102"/>
      <c r="AP36" s="280"/>
      <c r="AQ36" s="10">
        <f>Потребность!AD36</f>
        <v>0</v>
      </c>
      <c r="AR36" s="10">
        <f>SUM(Потребность!K36:M36)</f>
        <v>0</v>
      </c>
      <c r="AS36" s="9" t="e">
        <f>Потребность!AZ36</f>
        <v>#N/A</v>
      </c>
      <c r="AT36" s="9">
        <f>Потребность!J36</f>
        <v>0</v>
      </c>
      <c r="AU36" s="9" t="e">
        <f>Потребность!N36/Потребность!$N36</f>
        <v>#DIV/0!</v>
      </c>
      <c r="AV36" s="9" t="e">
        <f>Потребность!O36/Потребность!$N36</f>
        <v>#DIV/0!</v>
      </c>
      <c r="AW36" s="9" t="e">
        <f>Потребность!P36/Потребность!$N36</f>
        <v>#DIV/0!</v>
      </c>
      <c r="AX36" s="9" t="e">
        <f>Потребность!T36/Потребность!$T36</f>
        <v>#DIV/0!</v>
      </c>
      <c r="AY36" s="9" t="e">
        <f>Потребность!U36/Потребность!$T36</f>
        <v>#DIV/0!</v>
      </c>
      <c r="AZ36" s="9" t="e">
        <f>Потребность!V36/Потребность!$T36</f>
        <v>#DIV/0!</v>
      </c>
      <c r="BA36" s="141">
        <f>Потребность!Q36</f>
        <v>0</v>
      </c>
      <c r="BB36">
        <f>Потребность!AC36</f>
        <v>0</v>
      </c>
      <c r="BC36" s="141">
        <f>Потребность!AD36</f>
        <v>0</v>
      </c>
    </row>
    <row r="37" spans="1:55" x14ac:dyDescent="0.2">
      <c r="A37" s="85"/>
      <c r="B37" s="195"/>
      <c r="C37" s="85"/>
      <c r="D37" s="85"/>
      <c r="E37" s="195"/>
      <c r="F37" s="35"/>
      <c r="G37" s="65"/>
      <c r="H37" s="36"/>
      <c r="I37" s="37"/>
      <c r="J37" s="37"/>
      <c r="K37" s="35"/>
      <c r="L37" s="38"/>
      <c r="M37" s="128"/>
      <c r="N37" s="38"/>
      <c r="O37" s="128"/>
      <c r="P37" s="53"/>
      <c r="Q37" s="45"/>
      <c r="R37" s="45"/>
      <c r="S37" s="45"/>
      <c r="T37" s="46"/>
      <c r="U37" s="120"/>
      <c r="V37" s="120"/>
      <c r="W37" s="120"/>
      <c r="X37" s="121"/>
      <c r="Y37" s="121"/>
      <c r="Z37" s="121"/>
      <c r="AA37" s="121"/>
      <c r="AB37" s="121"/>
      <c r="AC37" s="121"/>
      <c r="AD37" s="122"/>
      <c r="AE37" s="122"/>
      <c r="AF37" s="122"/>
      <c r="AG37" s="66"/>
      <c r="AH37" s="46"/>
      <c r="AI37" s="76"/>
      <c r="AJ37" s="97"/>
      <c r="AK37" s="39"/>
      <c r="AL37" s="102"/>
      <c r="AM37" s="102"/>
      <c r="AN37" s="102"/>
      <c r="AO37" s="102"/>
      <c r="AP37" s="280"/>
      <c r="AQ37" s="10">
        <f>Потребность!AD37</f>
        <v>0</v>
      </c>
      <c r="AR37" s="10">
        <f>SUM(Потребность!K37:M37)</f>
        <v>0</v>
      </c>
      <c r="AS37" s="9" t="e">
        <f>Потребность!AZ37</f>
        <v>#N/A</v>
      </c>
      <c r="AT37" s="9">
        <f>Потребность!J37</f>
        <v>0</v>
      </c>
      <c r="AU37" s="9" t="e">
        <f>Потребность!N37/Потребность!$N37</f>
        <v>#DIV/0!</v>
      </c>
      <c r="AV37" s="9" t="e">
        <f>Потребность!O37/Потребность!$N37</f>
        <v>#DIV/0!</v>
      </c>
      <c r="AW37" s="9" t="e">
        <f>Потребность!P37/Потребность!$N37</f>
        <v>#DIV/0!</v>
      </c>
      <c r="AX37" s="9" t="e">
        <f>Потребность!T37/Потребность!$T37</f>
        <v>#DIV/0!</v>
      </c>
      <c r="AY37" s="9" t="e">
        <f>Потребность!U37/Потребность!$T37</f>
        <v>#DIV/0!</v>
      </c>
      <c r="AZ37" s="9" t="e">
        <f>Потребность!V37/Потребность!$T37</f>
        <v>#DIV/0!</v>
      </c>
      <c r="BA37" s="141">
        <f>Потребность!Q37</f>
        <v>0</v>
      </c>
      <c r="BB37">
        <f>Потребность!AC37</f>
        <v>0</v>
      </c>
      <c r="BC37" s="141">
        <f>Потребность!AD37</f>
        <v>0</v>
      </c>
    </row>
    <row r="38" spans="1:55" x14ac:dyDescent="0.2">
      <c r="A38" s="85"/>
      <c r="B38" s="195"/>
      <c r="C38" s="85"/>
      <c r="D38" s="85"/>
      <c r="E38" s="195"/>
      <c r="F38" s="35"/>
      <c r="G38" s="65"/>
      <c r="H38" s="36"/>
      <c r="I38" s="37"/>
      <c r="J38" s="37"/>
      <c r="K38" s="35"/>
      <c r="L38" s="38"/>
      <c r="M38" s="128"/>
      <c r="N38" s="38"/>
      <c r="O38" s="128"/>
      <c r="P38" s="53"/>
      <c r="Q38" s="45"/>
      <c r="R38" s="45"/>
      <c r="S38" s="45"/>
      <c r="T38" s="46"/>
      <c r="U38" s="120"/>
      <c r="V38" s="120"/>
      <c r="W38" s="120"/>
      <c r="X38" s="121"/>
      <c r="Y38" s="121"/>
      <c r="Z38" s="121"/>
      <c r="AA38" s="121"/>
      <c r="AB38" s="121"/>
      <c r="AC38" s="121"/>
      <c r="AD38" s="122"/>
      <c r="AE38" s="122"/>
      <c r="AF38" s="122"/>
      <c r="AG38" s="66"/>
      <c r="AH38" s="46"/>
      <c r="AI38" s="76"/>
      <c r="AJ38" s="97"/>
      <c r="AK38" s="39"/>
      <c r="AL38" s="102"/>
      <c r="AM38" s="102"/>
      <c r="AN38" s="102"/>
      <c r="AO38" s="102"/>
      <c r="AP38" s="280"/>
      <c r="AQ38" s="10">
        <f>Потребность!AD38</f>
        <v>0</v>
      </c>
      <c r="AR38" s="10">
        <f>SUM(Потребность!K38:M38)</f>
        <v>0</v>
      </c>
      <c r="AS38" s="9" t="e">
        <f>Потребность!AZ38</f>
        <v>#N/A</v>
      </c>
      <c r="AT38" s="9">
        <f>Потребность!J38</f>
        <v>0</v>
      </c>
      <c r="AU38" s="9" t="e">
        <f>Потребность!N38/Потребность!$N38</f>
        <v>#DIV/0!</v>
      </c>
      <c r="AV38" s="9" t="e">
        <f>Потребность!O38/Потребность!$N38</f>
        <v>#DIV/0!</v>
      </c>
      <c r="AW38" s="9" t="e">
        <f>Потребность!P38/Потребность!$N38</f>
        <v>#DIV/0!</v>
      </c>
      <c r="AX38" s="9" t="e">
        <f>Потребность!T38/Потребность!$T38</f>
        <v>#DIV/0!</v>
      </c>
      <c r="AY38" s="9" t="e">
        <f>Потребность!U38/Потребность!$T38</f>
        <v>#DIV/0!</v>
      </c>
      <c r="AZ38" s="9" t="e">
        <f>Потребность!V38/Потребность!$T38</f>
        <v>#DIV/0!</v>
      </c>
      <c r="BA38" s="141">
        <f>Потребность!Q38</f>
        <v>0</v>
      </c>
      <c r="BB38">
        <f>Потребность!AC38</f>
        <v>0</v>
      </c>
      <c r="BC38" s="141">
        <f>Потребность!AD38</f>
        <v>0</v>
      </c>
    </row>
    <row r="39" spans="1:55" x14ac:dyDescent="0.2">
      <c r="A39" s="85"/>
      <c r="B39" s="195"/>
      <c r="C39" s="85"/>
      <c r="D39" s="85"/>
      <c r="E39" s="195"/>
      <c r="F39" s="35"/>
      <c r="G39" s="65"/>
      <c r="H39" s="36"/>
      <c r="I39" s="37"/>
      <c r="J39" s="37"/>
      <c r="K39" s="35"/>
      <c r="L39" s="38"/>
      <c r="M39" s="128"/>
      <c r="N39" s="38"/>
      <c r="O39" s="128"/>
      <c r="P39" s="53"/>
      <c r="Q39" s="45"/>
      <c r="R39" s="45"/>
      <c r="S39" s="45"/>
      <c r="T39" s="46"/>
      <c r="U39" s="120"/>
      <c r="V39" s="120"/>
      <c r="W39" s="120"/>
      <c r="X39" s="121"/>
      <c r="Y39" s="121"/>
      <c r="Z39" s="121"/>
      <c r="AA39" s="121"/>
      <c r="AB39" s="121"/>
      <c r="AC39" s="121"/>
      <c r="AD39" s="122"/>
      <c r="AE39" s="122"/>
      <c r="AF39" s="122"/>
      <c r="AG39" s="66"/>
      <c r="AH39" s="46"/>
      <c r="AI39" s="76"/>
      <c r="AJ39" s="97"/>
      <c r="AK39" s="39"/>
      <c r="AL39" s="102"/>
      <c r="AM39" s="102"/>
      <c r="AN39" s="102"/>
      <c r="AO39" s="102"/>
      <c r="AP39" s="280"/>
      <c r="AQ39" s="10">
        <f>Потребность!AD39</f>
        <v>0</v>
      </c>
      <c r="AR39" s="10">
        <f>SUM(Потребность!K39:M39)</f>
        <v>0</v>
      </c>
      <c r="AS39" s="9" t="e">
        <f>Потребность!AZ39</f>
        <v>#N/A</v>
      </c>
      <c r="AT39" s="9">
        <f>Потребность!J39</f>
        <v>0</v>
      </c>
      <c r="AU39" s="9" t="e">
        <f>Потребность!N39/Потребность!$N39</f>
        <v>#DIV/0!</v>
      </c>
      <c r="AV39" s="9" t="e">
        <f>Потребность!O39/Потребность!$N39</f>
        <v>#DIV/0!</v>
      </c>
      <c r="AW39" s="9" t="e">
        <f>Потребность!P39/Потребность!$N39</f>
        <v>#DIV/0!</v>
      </c>
      <c r="AX39" s="9" t="e">
        <f>Потребность!T39/Потребность!$T39</f>
        <v>#DIV/0!</v>
      </c>
      <c r="AY39" s="9" t="e">
        <f>Потребность!U39/Потребность!$T39</f>
        <v>#DIV/0!</v>
      </c>
      <c r="AZ39" s="9" t="e">
        <f>Потребность!V39/Потребность!$T39</f>
        <v>#DIV/0!</v>
      </c>
      <c r="BA39" s="141">
        <f>Потребность!Q39</f>
        <v>0</v>
      </c>
      <c r="BB39">
        <f>Потребность!AC39</f>
        <v>0</v>
      </c>
      <c r="BC39" s="141">
        <f>Потребность!AD39</f>
        <v>0</v>
      </c>
    </row>
    <row r="40" spans="1:55" x14ac:dyDescent="0.2">
      <c r="A40" s="85"/>
      <c r="B40" s="195"/>
      <c r="C40" s="85"/>
      <c r="D40" s="85"/>
      <c r="E40" s="195"/>
      <c r="F40" s="35"/>
      <c r="G40" s="65"/>
      <c r="H40" s="36"/>
      <c r="I40" s="37"/>
      <c r="J40" s="37"/>
      <c r="K40" s="35"/>
      <c r="L40" s="38"/>
      <c r="M40" s="128"/>
      <c r="N40" s="38"/>
      <c r="O40" s="128"/>
      <c r="P40" s="53"/>
      <c r="Q40" s="45"/>
      <c r="R40" s="45"/>
      <c r="S40" s="45"/>
      <c r="T40" s="46"/>
      <c r="U40" s="120"/>
      <c r="V40" s="120"/>
      <c r="W40" s="120"/>
      <c r="X40" s="121"/>
      <c r="Y40" s="121"/>
      <c r="Z40" s="121"/>
      <c r="AA40" s="121"/>
      <c r="AB40" s="121"/>
      <c r="AC40" s="121"/>
      <c r="AD40" s="122"/>
      <c r="AE40" s="122"/>
      <c r="AF40" s="122"/>
      <c r="AG40" s="66"/>
      <c r="AH40" s="46"/>
      <c r="AI40" s="76"/>
      <c r="AJ40" s="97"/>
      <c r="AK40" s="39"/>
      <c r="AL40" s="102"/>
      <c r="AM40" s="102"/>
      <c r="AN40" s="102"/>
      <c r="AO40" s="102"/>
      <c r="AP40" s="280"/>
      <c r="AQ40" s="10">
        <f>Потребность!AD40</f>
        <v>0</v>
      </c>
      <c r="AR40" s="10">
        <f>SUM(Потребность!K40:M40)</f>
        <v>0</v>
      </c>
      <c r="AS40" s="9" t="e">
        <f>Потребность!AZ40</f>
        <v>#N/A</v>
      </c>
      <c r="AT40" s="9">
        <f>Потребность!J40</f>
        <v>0</v>
      </c>
      <c r="AU40" s="9" t="e">
        <f>Потребность!N40/Потребность!$N40</f>
        <v>#DIV/0!</v>
      </c>
      <c r="AV40" s="9" t="e">
        <f>Потребность!O40/Потребность!$N40</f>
        <v>#DIV/0!</v>
      </c>
      <c r="AW40" s="9" t="e">
        <f>Потребность!P40/Потребность!$N40</f>
        <v>#DIV/0!</v>
      </c>
      <c r="AX40" s="9" t="e">
        <f>Потребность!T40/Потребность!$T40</f>
        <v>#DIV/0!</v>
      </c>
      <c r="AY40" s="9" t="e">
        <f>Потребность!U40/Потребность!$T40</f>
        <v>#DIV/0!</v>
      </c>
      <c r="AZ40" s="9" t="e">
        <f>Потребность!V40/Потребность!$T40</f>
        <v>#DIV/0!</v>
      </c>
      <c r="BA40" s="141">
        <f>Потребность!Q40</f>
        <v>0</v>
      </c>
      <c r="BB40">
        <f>Потребность!AC40</f>
        <v>0</v>
      </c>
      <c r="BC40" s="141">
        <f>Потребность!AD40</f>
        <v>0</v>
      </c>
    </row>
    <row r="41" spans="1:55" x14ac:dyDescent="0.2">
      <c r="A41" s="85"/>
      <c r="B41" s="195"/>
      <c r="C41" s="85"/>
      <c r="D41" s="85"/>
      <c r="E41" s="195"/>
      <c r="F41" s="35"/>
      <c r="G41" s="65"/>
      <c r="H41" s="36"/>
      <c r="I41" s="37"/>
      <c r="J41" s="37"/>
      <c r="K41" s="35"/>
      <c r="L41" s="38"/>
      <c r="M41" s="128"/>
      <c r="N41" s="38"/>
      <c r="O41" s="128"/>
      <c r="P41" s="53"/>
      <c r="Q41" s="45"/>
      <c r="R41" s="45"/>
      <c r="S41" s="45"/>
      <c r="T41" s="46"/>
      <c r="U41" s="120"/>
      <c r="V41" s="120"/>
      <c r="W41" s="120"/>
      <c r="X41" s="121"/>
      <c r="Y41" s="121"/>
      <c r="Z41" s="121"/>
      <c r="AA41" s="121"/>
      <c r="AB41" s="121"/>
      <c r="AC41" s="121"/>
      <c r="AD41" s="122"/>
      <c r="AE41" s="122"/>
      <c r="AF41" s="122"/>
      <c r="AG41" s="66"/>
      <c r="AH41" s="46"/>
      <c r="AI41" s="76"/>
      <c r="AJ41" s="97"/>
      <c r="AK41" s="39"/>
      <c r="AL41" s="102"/>
      <c r="AM41" s="102"/>
      <c r="AN41" s="102"/>
      <c r="AO41" s="102"/>
      <c r="AP41" s="280"/>
      <c r="AQ41" s="10">
        <f>Потребность!AD41</f>
        <v>0</v>
      </c>
      <c r="AR41" s="10">
        <f>SUM(Потребность!K41:M41)</f>
        <v>0</v>
      </c>
      <c r="AS41" s="9" t="e">
        <f>Потребность!AZ41</f>
        <v>#N/A</v>
      </c>
      <c r="AT41" s="9">
        <f>Потребность!J41</f>
        <v>0</v>
      </c>
      <c r="AU41" s="9" t="e">
        <f>Потребность!N41/Потребность!$N41</f>
        <v>#DIV/0!</v>
      </c>
      <c r="AV41" s="9" t="e">
        <f>Потребность!O41/Потребность!$N41</f>
        <v>#DIV/0!</v>
      </c>
      <c r="AW41" s="9" t="e">
        <f>Потребность!P41/Потребность!$N41</f>
        <v>#DIV/0!</v>
      </c>
      <c r="AX41" s="9" t="e">
        <f>Потребность!T41/Потребность!$T41</f>
        <v>#DIV/0!</v>
      </c>
      <c r="AY41" s="9" t="e">
        <f>Потребность!U41/Потребность!$T41</f>
        <v>#DIV/0!</v>
      </c>
      <c r="AZ41" s="9" t="e">
        <f>Потребность!V41/Потребность!$T41</f>
        <v>#DIV/0!</v>
      </c>
      <c r="BA41" s="141">
        <f>Потребность!Q41</f>
        <v>0</v>
      </c>
      <c r="BB41">
        <f>Потребность!AC41</f>
        <v>0</v>
      </c>
      <c r="BC41" s="141">
        <f>Потребность!AD41</f>
        <v>0</v>
      </c>
    </row>
    <row r="42" spans="1:55" x14ac:dyDescent="0.2">
      <c r="A42" s="85"/>
      <c r="B42" s="195"/>
      <c r="C42" s="85"/>
      <c r="D42" s="85"/>
      <c r="E42" s="195"/>
      <c r="F42" s="35"/>
      <c r="G42" s="65"/>
      <c r="H42" s="36"/>
      <c r="I42" s="37"/>
      <c r="J42" s="37"/>
      <c r="K42" s="35"/>
      <c r="L42" s="38"/>
      <c r="M42" s="128"/>
      <c r="N42" s="38"/>
      <c r="O42" s="128"/>
      <c r="P42" s="53"/>
      <c r="Q42" s="45"/>
      <c r="R42" s="45"/>
      <c r="S42" s="45"/>
      <c r="T42" s="46"/>
      <c r="U42" s="120"/>
      <c r="V42" s="120"/>
      <c r="W42" s="120"/>
      <c r="X42" s="121"/>
      <c r="Y42" s="121"/>
      <c r="Z42" s="121"/>
      <c r="AA42" s="121"/>
      <c r="AB42" s="121"/>
      <c r="AC42" s="121"/>
      <c r="AD42" s="122"/>
      <c r="AE42" s="122"/>
      <c r="AF42" s="122"/>
      <c r="AG42" s="66"/>
      <c r="AH42" s="46"/>
      <c r="AI42" s="76"/>
      <c r="AJ42" s="97"/>
      <c r="AK42" s="39"/>
      <c r="AL42" s="102"/>
      <c r="AM42" s="102"/>
      <c r="AN42" s="102"/>
      <c r="AO42" s="102"/>
      <c r="AP42" s="280"/>
      <c r="AQ42" s="10">
        <f>Потребность!AD42</f>
        <v>0</v>
      </c>
      <c r="AR42" s="10">
        <f>SUM(Потребность!K42:M42)</f>
        <v>0</v>
      </c>
      <c r="AS42" s="9" t="e">
        <f>Потребность!AZ42</f>
        <v>#N/A</v>
      </c>
      <c r="AT42" s="9">
        <f>Потребность!J42</f>
        <v>0</v>
      </c>
      <c r="AU42" s="9" t="e">
        <f>Потребность!N42/Потребность!$N42</f>
        <v>#DIV/0!</v>
      </c>
      <c r="AV42" s="9" t="e">
        <f>Потребность!O42/Потребность!$N42</f>
        <v>#DIV/0!</v>
      </c>
      <c r="AW42" s="9" t="e">
        <f>Потребность!P42/Потребность!$N42</f>
        <v>#DIV/0!</v>
      </c>
      <c r="AX42" s="9" t="e">
        <f>Потребность!T42/Потребность!$T42</f>
        <v>#DIV/0!</v>
      </c>
      <c r="AY42" s="9" t="e">
        <f>Потребность!U42/Потребность!$T42</f>
        <v>#DIV/0!</v>
      </c>
      <c r="AZ42" s="9" t="e">
        <f>Потребность!V42/Потребность!$T42</f>
        <v>#DIV/0!</v>
      </c>
      <c r="BA42" s="141">
        <f>Потребность!Q42</f>
        <v>0</v>
      </c>
      <c r="BB42">
        <f>Потребность!AC42</f>
        <v>0</v>
      </c>
      <c r="BC42" s="141">
        <f>Потребность!AD42</f>
        <v>0</v>
      </c>
    </row>
    <row r="43" spans="1:55" x14ac:dyDescent="0.2">
      <c r="A43" s="85"/>
      <c r="B43" s="195"/>
      <c r="C43" s="85"/>
      <c r="D43" s="85"/>
      <c r="E43" s="195"/>
      <c r="F43" s="35"/>
      <c r="G43" s="65"/>
      <c r="H43" s="36"/>
      <c r="I43" s="37"/>
      <c r="J43" s="37"/>
      <c r="K43" s="35"/>
      <c r="L43" s="38"/>
      <c r="M43" s="128"/>
      <c r="N43" s="38"/>
      <c r="O43" s="128"/>
      <c r="P43" s="53"/>
      <c r="Q43" s="45"/>
      <c r="R43" s="45"/>
      <c r="S43" s="45"/>
      <c r="T43" s="46"/>
      <c r="U43" s="120"/>
      <c r="V43" s="120"/>
      <c r="W43" s="120"/>
      <c r="X43" s="121"/>
      <c r="Y43" s="121"/>
      <c r="Z43" s="121"/>
      <c r="AA43" s="121"/>
      <c r="AB43" s="121"/>
      <c r="AC43" s="121"/>
      <c r="AD43" s="122"/>
      <c r="AE43" s="122"/>
      <c r="AF43" s="122"/>
      <c r="AG43" s="66"/>
      <c r="AH43" s="46"/>
      <c r="AI43" s="76"/>
      <c r="AJ43" s="97"/>
      <c r="AK43" s="39"/>
      <c r="AL43" s="102"/>
      <c r="AM43" s="102"/>
      <c r="AN43" s="102"/>
      <c r="AO43" s="102"/>
      <c r="AP43" s="280"/>
      <c r="AQ43" s="10">
        <f>Потребность!AD43</f>
        <v>0</v>
      </c>
      <c r="AR43" s="10">
        <f>SUM(Потребность!K43:M43)</f>
        <v>0</v>
      </c>
      <c r="AS43" s="9" t="e">
        <f>Потребность!AZ43</f>
        <v>#N/A</v>
      </c>
      <c r="AT43" s="9">
        <f>Потребность!J43</f>
        <v>0</v>
      </c>
      <c r="AU43" s="9" t="e">
        <f>Потребность!N43/Потребность!$N43</f>
        <v>#DIV/0!</v>
      </c>
      <c r="AV43" s="9" t="e">
        <f>Потребность!O43/Потребность!$N43</f>
        <v>#DIV/0!</v>
      </c>
      <c r="AW43" s="9" t="e">
        <f>Потребность!P43/Потребность!$N43</f>
        <v>#DIV/0!</v>
      </c>
      <c r="AX43" s="9" t="e">
        <f>Потребность!T43/Потребность!$T43</f>
        <v>#DIV/0!</v>
      </c>
      <c r="AY43" s="9" t="e">
        <f>Потребность!U43/Потребность!$T43</f>
        <v>#DIV/0!</v>
      </c>
      <c r="AZ43" s="9" t="e">
        <f>Потребность!V43/Потребность!$T43</f>
        <v>#DIV/0!</v>
      </c>
      <c r="BA43" s="141">
        <f>Потребность!Q43</f>
        <v>0</v>
      </c>
      <c r="BB43">
        <f>Потребность!AC43</f>
        <v>0</v>
      </c>
      <c r="BC43" s="141">
        <f>Потребность!AD43</f>
        <v>0</v>
      </c>
    </row>
    <row r="44" spans="1:55" x14ac:dyDescent="0.2">
      <c r="A44" s="85"/>
      <c r="B44" s="195"/>
      <c r="C44" s="85"/>
      <c r="D44" s="85"/>
      <c r="E44" s="195"/>
      <c r="F44" s="35"/>
      <c r="G44" s="65"/>
      <c r="H44" s="36"/>
      <c r="I44" s="37"/>
      <c r="J44" s="37"/>
      <c r="K44" s="35"/>
      <c r="L44" s="38"/>
      <c r="M44" s="128"/>
      <c r="N44" s="38"/>
      <c r="O44" s="128"/>
      <c r="P44" s="53"/>
      <c r="Q44" s="45"/>
      <c r="R44" s="45"/>
      <c r="S44" s="45"/>
      <c r="T44" s="46"/>
      <c r="U44" s="120"/>
      <c r="V44" s="120"/>
      <c r="W44" s="120"/>
      <c r="X44" s="121"/>
      <c r="Y44" s="121"/>
      <c r="Z44" s="121"/>
      <c r="AA44" s="121"/>
      <c r="AB44" s="121"/>
      <c r="AC44" s="121"/>
      <c r="AD44" s="122"/>
      <c r="AE44" s="122"/>
      <c r="AF44" s="122"/>
      <c r="AG44" s="66"/>
      <c r="AH44" s="46"/>
      <c r="AI44" s="76"/>
      <c r="AJ44" s="97"/>
      <c r="AK44" s="39"/>
      <c r="AL44" s="102"/>
      <c r="AM44" s="102"/>
      <c r="AN44" s="102"/>
      <c r="AO44" s="102"/>
      <c r="AP44" s="280"/>
      <c r="AQ44" s="10">
        <f>Потребность!AD44</f>
        <v>0</v>
      </c>
      <c r="AR44" s="10">
        <f>SUM(Потребность!K44:M44)</f>
        <v>0</v>
      </c>
      <c r="AS44" s="9" t="e">
        <f>Потребность!AZ44</f>
        <v>#N/A</v>
      </c>
      <c r="AT44" s="9">
        <f>Потребность!J44</f>
        <v>0</v>
      </c>
      <c r="AU44" s="9" t="e">
        <f>Потребность!N44/Потребность!$N44</f>
        <v>#DIV/0!</v>
      </c>
      <c r="AV44" s="9" t="e">
        <f>Потребность!O44/Потребность!$N44</f>
        <v>#DIV/0!</v>
      </c>
      <c r="AW44" s="9" t="e">
        <f>Потребность!P44/Потребность!$N44</f>
        <v>#DIV/0!</v>
      </c>
      <c r="AX44" s="9" t="e">
        <f>Потребность!T44/Потребность!$T44</f>
        <v>#DIV/0!</v>
      </c>
      <c r="AY44" s="9" t="e">
        <f>Потребность!U44/Потребность!$T44</f>
        <v>#DIV/0!</v>
      </c>
      <c r="AZ44" s="9" t="e">
        <f>Потребность!V44/Потребность!$T44</f>
        <v>#DIV/0!</v>
      </c>
      <c r="BA44" s="141">
        <f>Потребность!Q44</f>
        <v>0</v>
      </c>
      <c r="BB44">
        <f>Потребность!AC44</f>
        <v>0</v>
      </c>
      <c r="BC44" s="141">
        <f>Потребность!AD44</f>
        <v>0</v>
      </c>
    </row>
    <row r="45" spans="1:55" x14ac:dyDescent="0.2">
      <c r="A45" s="85"/>
      <c r="B45" s="195"/>
      <c r="C45" s="85"/>
      <c r="D45" s="85"/>
      <c r="E45" s="195"/>
      <c r="F45" s="35"/>
      <c r="G45" s="65"/>
      <c r="H45" s="36"/>
      <c r="I45" s="37"/>
      <c r="J45" s="37"/>
      <c r="K45" s="35"/>
      <c r="L45" s="38"/>
      <c r="M45" s="128"/>
      <c r="N45" s="38"/>
      <c r="O45" s="128"/>
      <c r="P45" s="53"/>
      <c r="Q45" s="45"/>
      <c r="R45" s="45"/>
      <c r="S45" s="45"/>
      <c r="T45" s="46"/>
      <c r="U45" s="120"/>
      <c r="V45" s="120"/>
      <c r="W45" s="120"/>
      <c r="X45" s="121"/>
      <c r="Y45" s="121"/>
      <c r="Z45" s="121"/>
      <c r="AA45" s="121"/>
      <c r="AB45" s="121"/>
      <c r="AC45" s="121"/>
      <c r="AD45" s="122"/>
      <c r="AE45" s="122"/>
      <c r="AF45" s="122"/>
      <c r="AG45" s="66"/>
      <c r="AH45" s="46"/>
      <c r="AI45" s="76"/>
      <c r="AJ45" s="97"/>
      <c r="AK45" s="39"/>
      <c r="AL45" s="102"/>
      <c r="AM45" s="102"/>
      <c r="AN45" s="102"/>
      <c r="AO45" s="102"/>
      <c r="AP45" s="280"/>
      <c r="AQ45" s="10">
        <f>Потребность!AD45</f>
        <v>0</v>
      </c>
      <c r="AR45" s="10">
        <f>SUM(Потребность!K45:M45)</f>
        <v>0</v>
      </c>
      <c r="AS45" s="9" t="e">
        <f>Потребность!AZ45</f>
        <v>#N/A</v>
      </c>
      <c r="AT45" s="9">
        <f>Потребность!J45</f>
        <v>0</v>
      </c>
      <c r="AU45" s="9" t="e">
        <f>Потребность!N45/Потребность!$N45</f>
        <v>#DIV/0!</v>
      </c>
      <c r="AV45" s="9" t="e">
        <f>Потребность!O45/Потребность!$N45</f>
        <v>#DIV/0!</v>
      </c>
      <c r="AW45" s="9" t="e">
        <f>Потребность!P45/Потребность!$N45</f>
        <v>#DIV/0!</v>
      </c>
      <c r="AX45" s="9" t="e">
        <f>Потребность!T45/Потребность!$T45</f>
        <v>#DIV/0!</v>
      </c>
      <c r="AY45" s="9" t="e">
        <f>Потребность!U45/Потребность!$T45</f>
        <v>#DIV/0!</v>
      </c>
      <c r="AZ45" s="9" t="e">
        <f>Потребность!V45/Потребность!$T45</f>
        <v>#DIV/0!</v>
      </c>
      <c r="BA45" s="141">
        <f>Потребность!Q45</f>
        <v>0</v>
      </c>
      <c r="BB45">
        <f>Потребность!AC45</f>
        <v>0</v>
      </c>
      <c r="BC45" s="141">
        <f>Потребность!AD45</f>
        <v>0</v>
      </c>
    </row>
    <row r="46" spans="1:55" x14ac:dyDescent="0.2">
      <c r="A46" s="85"/>
      <c r="B46" s="195"/>
      <c r="C46" s="85"/>
      <c r="D46" s="85"/>
      <c r="E46" s="195"/>
      <c r="F46" s="35"/>
      <c r="G46" s="65"/>
      <c r="H46" s="36"/>
      <c r="I46" s="37"/>
      <c r="J46" s="37"/>
      <c r="K46" s="35"/>
      <c r="L46" s="38"/>
      <c r="M46" s="128"/>
      <c r="N46" s="38"/>
      <c r="O46" s="128"/>
      <c r="P46" s="53"/>
      <c r="Q46" s="45"/>
      <c r="R46" s="45"/>
      <c r="S46" s="45"/>
      <c r="T46" s="46"/>
      <c r="U46" s="120"/>
      <c r="V46" s="120"/>
      <c r="W46" s="120"/>
      <c r="X46" s="121"/>
      <c r="Y46" s="121"/>
      <c r="Z46" s="121"/>
      <c r="AA46" s="121"/>
      <c r="AB46" s="121"/>
      <c r="AC46" s="121"/>
      <c r="AD46" s="122"/>
      <c r="AE46" s="122"/>
      <c r="AF46" s="122"/>
      <c r="AG46" s="66"/>
      <c r="AH46" s="46"/>
      <c r="AI46" s="76"/>
      <c r="AJ46" s="97"/>
      <c r="AK46" s="39"/>
      <c r="AL46" s="102"/>
      <c r="AM46" s="102"/>
      <c r="AN46" s="102"/>
      <c r="AO46" s="102"/>
      <c r="AP46" s="280"/>
      <c r="AQ46" s="10">
        <f>Потребность!AD46</f>
        <v>0</v>
      </c>
      <c r="AR46" s="10">
        <f>SUM(Потребность!K46:M46)</f>
        <v>0</v>
      </c>
      <c r="AS46" s="9" t="e">
        <f>Потребность!AZ46</f>
        <v>#N/A</v>
      </c>
      <c r="AT46" s="9">
        <f>Потребность!J46</f>
        <v>0</v>
      </c>
      <c r="AU46" s="9" t="e">
        <f>Потребность!N46/Потребность!$N46</f>
        <v>#DIV/0!</v>
      </c>
      <c r="AV46" s="9" t="e">
        <f>Потребность!O46/Потребность!$N46</f>
        <v>#DIV/0!</v>
      </c>
      <c r="AW46" s="9" t="e">
        <f>Потребность!P46/Потребность!$N46</f>
        <v>#DIV/0!</v>
      </c>
      <c r="AX46" s="9" t="e">
        <f>Потребность!T46/Потребность!$T46</f>
        <v>#DIV/0!</v>
      </c>
      <c r="AY46" s="9" t="e">
        <f>Потребность!U46/Потребность!$T46</f>
        <v>#DIV/0!</v>
      </c>
      <c r="AZ46" s="9" t="e">
        <f>Потребность!V46/Потребность!$T46</f>
        <v>#DIV/0!</v>
      </c>
      <c r="BA46" s="141">
        <f>Потребность!Q46</f>
        <v>0</v>
      </c>
      <c r="BB46">
        <f>Потребность!AC46</f>
        <v>0</v>
      </c>
      <c r="BC46" s="141">
        <f>Потребность!AD46</f>
        <v>0</v>
      </c>
    </row>
    <row r="47" spans="1:55" x14ac:dyDescent="0.2">
      <c r="A47" s="85"/>
      <c r="B47" s="195"/>
      <c r="C47" s="85"/>
      <c r="D47" s="85"/>
      <c r="E47" s="195"/>
      <c r="F47" s="35"/>
      <c r="G47" s="65"/>
      <c r="H47" s="36"/>
      <c r="I47" s="37"/>
      <c r="J47" s="37"/>
      <c r="K47" s="35"/>
      <c r="L47" s="38"/>
      <c r="M47" s="128"/>
      <c r="N47" s="38"/>
      <c r="O47" s="128"/>
      <c r="P47" s="53"/>
      <c r="Q47" s="45"/>
      <c r="R47" s="45"/>
      <c r="S47" s="45"/>
      <c r="T47" s="46"/>
      <c r="U47" s="120"/>
      <c r="V47" s="120"/>
      <c r="W47" s="120"/>
      <c r="X47" s="121"/>
      <c r="Y47" s="121"/>
      <c r="Z47" s="121"/>
      <c r="AA47" s="121"/>
      <c r="AB47" s="121"/>
      <c r="AC47" s="121"/>
      <c r="AD47" s="122"/>
      <c r="AE47" s="122"/>
      <c r="AF47" s="122"/>
      <c r="AG47" s="66"/>
      <c r="AH47" s="46"/>
      <c r="AI47" s="76"/>
      <c r="AJ47" s="97"/>
      <c r="AK47" s="39"/>
      <c r="AL47" s="102"/>
      <c r="AM47" s="102"/>
      <c r="AN47" s="102"/>
      <c r="AO47" s="102"/>
      <c r="AP47" s="280"/>
      <c r="AQ47" s="10">
        <f>Потребность!AD47</f>
        <v>0</v>
      </c>
      <c r="AR47" s="10">
        <f>SUM(Потребность!K47:M47)</f>
        <v>0</v>
      </c>
      <c r="AS47" s="9" t="e">
        <f>Потребность!AZ47</f>
        <v>#N/A</v>
      </c>
      <c r="AT47" s="9">
        <f>Потребность!J47</f>
        <v>0</v>
      </c>
      <c r="AU47" s="9" t="e">
        <f>Потребность!N47/Потребность!$N47</f>
        <v>#DIV/0!</v>
      </c>
      <c r="AV47" s="9" t="e">
        <f>Потребность!O47/Потребность!$N47</f>
        <v>#DIV/0!</v>
      </c>
      <c r="AW47" s="9" t="e">
        <f>Потребность!P47/Потребность!$N47</f>
        <v>#DIV/0!</v>
      </c>
      <c r="AX47" s="9" t="e">
        <f>Потребность!T47/Потребность!$T47</f>
        <v>#DIV/0!</v>
      </c>
      <c r="AY47" s="9" t="e">
        <f>Потребность!U47/Потребность!$T47</f>
        <v>#DIV/0!</v>
      </c>
      <c r="AZ47" s="9" t="e">
        <f>Потребность!V47/Потребность!$T47</f>
        <v>#DIV/0!</v>
      </c>
      <c r="BA47" s="141">
        <f>Потребность!Q47</f>
        <v>0</v>
      </c>
      <c r="BB47">
        <f>Потребность!AC47</f>
        <v>0</v>
      </c>
      <c r="BC47" s="141">
        <f>Потребность!AD47</f>
        <v>0</v>
      </c>
    </row>
    <row r="48" spans="1:55" x14ac:dyDescent="0.2">
      <c r="A48" s="85"/>
      <c r="B48" s="195"/>
      <c r="C48" s="85"/>
      <c r="D48" s="85"/>
      <c r="E48" s="195"/>
      <c r="F48" s="35"/>
      <c r="G48" s="65"/>
      <c r="H48" s="36"/>
      <c r="I48" s="37"/>
      <c r="J48" s="37"/>
      <c r="K48" s="35"/>
      <c r="L48" s="38"/>
      <c r="M48" s="128"/>
      <c r="N48" s="38"/>
      <c r="O48" s="128"/>
      <c r="P48" s="53"/>
      <c r="Q48" s="45"/>
      <c r="R48" s="45"/>
      <c r="S48" s="45"/>
      <c r="T48" s="46"/>
      <c r="U48" s="120"/>
      <c r="V48" s="120"/>
      <c r="W48" s="120"/>
      <c r="X48" s="121"/>
      <c r="Y48" s="121"/>
      <c r="Z48" s="121"/>
      <c r="AA48" s="121"/>
      <c r="AB48" s="121"/>
      <c r="AC48" s="121"/>
      <c r="AD48" s="122"/>
      <c r="AE48" s="122"/>
      <c r="AF48" s="122"/>
      <c r="AG48" s="66"/>
      <c r="AH48" s="46"/>
      <c r="AI48" s="76"/>
      <c r="AJ48" s="97"/>
      <c r="AK48" s="39"/>
      <c r="AL48" s="102"/>
      <c r="AM48" s="102"/>
      <c r="AN48" s="102"/>
      <c r="AO48" s="102"/>
      <c r="AP48" s="280"/>
      <c r="AQ48" s="10">
        <f>Потребность!AD48</f>
        <v>0</v>
      </c>
      <c r="AR48" s="10">
        <f>SUM(Потребность!K48:M48)</f>
        <v>0</v>
      </c>
      <c r="AS48" s="9" t="e">
        <f>Потребность!AZ48</f>
        <v>#N/A</v>
      </c>
      <c r="AT48" s="9">
        <f>Потребность!J48</f>
        <v>0</v>
      </c>
      <c r="AU48" s="9" t="e">
        <f>Потребность!N48/Потребность!$N48</f>
        <v>#DIV/0!</v>
      </c>
      <c r="AV48" s="9" t="e">
        <f>Потребность!O48/Потребность!$N48</f>
        <v>#DIV/0!</v>
      </c>
      <c r="AW48" s="9" t="e">
        <f>Потребность!P48/Потребность!$N48</f>
        <v>#DIV/0!</v>
      </c>
      <c r="AX48" s="9" t="e">
        <f>Потребность!T48/Потребность!$T48</f>
        <v>#DIV/0!</v>
      </c>
      <c r="AY48" s="9" t="e">
        <f>Потребность!U48/Потребность!$T48</f>
        <v>#DIV/0!</v>
      </c>
      <c r="AZ48" s="9" t="e">
        <f>Потребность!V48/Потребность!$T48</f>
        <v>#DIV/0!</v>
      </c>
      <c r="BA48" s="141">
        <f>Потребность!Q48</f>
        <v>0</v>
      </c>
      <c r="BB48">
        <f>Потребность!AC48</f>
        <v>0</v>
      </c>
      <c r="BC48" s="141">
        <f>Потребность!AD48</f>
        <v>0</v>
      </c>
    </row>
    <row r="49" spans="1:55" x14ac:dyDescent="0.2">
      <c r="A49" s="85"/>
      <c r="B49" s="195"/>
      <c r="C49" s="85"/>
      <c r="D49" s="85"/>
      <c r="E49" s="195"/>
      <c r="F49" s="35"/>
      <c r="G49" s="65"/>
      <c r="H49" s="36"/>
      <c r="I49" s="37"/>
      <c r="J49" s="37"/>
      <c r="K49" s="35"/>
      <c r="L49" s="38"/>
      <c r="M49" s="128"/>
      <c r="N49" s="38"/>
      <c r="O49" s="128"/>
      <c r="P49" s="53"/>
      <c r="Q49" s="45"/>
      <c r="R49" s="45"/>
      <c r="S49" s="45"/>
      <c r="T49" s="46"/>
      <c r="U49" s="120"/>
      <c r="V49" s="120"/>
      <c r="W49" s="120"/>
      <c r="X49" s="121"/>
      <c r="Y49" s="121"/>
      <c r="Z49" s="121"/>
      <c r="AA49" s="121"/>
      <c r="AB49" s="121"/>
      <c r="AC49" s="121"/>
      <c r="AD49" s="122"/>
      <c r="AE49" s="122"/>
      <c r="AF49" s="122"/>
      <c r="AG49" s="66"/>
      <c r="AH49" s="46"/>
      <c r="AI49" s="76"/>
      <c r="AJ49" s="97"/>
      <c r="AK49" s="39"/>
      <c r="AL49" s="102"/>
      <c r="AM49" s="102"/>
      <c r="AN49" s="102"/>
      <c r="AO49" s="102"/>
      <c r="AP49" s="280"/>
      <c r="AQ49" s="10">
        <f>Потребность!AD49</f>
        <v>0</v>
      </c>
      <c r="AR49" s="10">
        <f>SUM(Потребность!K49:M49)</f>
        <v>0</v>
      </c>
      <c r="AS49" s="9" t="e">
        <f>Потребность!AZ49</f>
        <v>#N/A</v>
      </c>
      <c r="AT49" s="9">
        <f>Потребность!J49</f>
        <v>0</v>
      </c>
      <c r="AU49" s="9" t="e">
        <f>Потребность!N49/Потребность!$N49</f>
        <v>#DIV/0!</v>
      </c>
      <c r="AV49" s="9" t="e">
        <f>Потребность!O49/Потребность!$N49</f>
        <v>#DIV/0!</v>
      </c>
      <c r="AW49" s="9" t="e">
        <f>Потребность!P49/Потребность!$N49</f>
        <v>#DIV/0!</v>
      </c>
      <c r="AX49" s="9" t="e">
        <f>Потребность!T49/Потребность!$T49</f>
        <v>#DIV/0!</v>
      </c>
      <c r="AY49" s="9" t="e">
        <f>Потребность!U49/Потребность!$T49</f>
        <v>#DIV/0!</v>
      </c>
      <c r="AZ49" s="9" t="e">
        <f>Потребность!V49/Потребность!$T49</f>
        <v>#DIV/0!</v>
      </c>
      <c r="BA49" s="141">
        <f>Потребность!Q49</f>
        <v>0</v>
      </c>
      <c r="BB49">
        <f>Потребность!AC49</f>
        <v>0</v>
      </c>
      <c r="BC49" s="141">
        <f>Потребность!AD49</f>
        <v>0</v>
      </c>
    </row>
    <row r="50" spans="1:55" x14ac:dyDescent="0.2">
      <c r="A50" s="85"/>
      <c r="B50" s="195"/>
      <c r="C50" s="85"/>
      <c r="D50" s="85"/>
      <c r="E50" s="195"/>
      <c r="F50" s="35"/>
      <c r="G50" s="65"/>
      <c r="H50" s="36"/>
      <c r="I50" s="37"/>
      <c r="J50" s="37"/>
      <c r="K50" s="35"/>
      <c r="L50" s="38"/>
      <c r="M50" s="128"/>
      <c r="N50" s="38"/>
      <c r="O50" s="128"/>
      <c r="P50" s="53"/>
      <c r="Q50" s="45"/>
      <c r="R50" s="45"/>
      <c r="S50" s="45"/>
      <c r="T50" s="46"/>
      <c r="U50" s="120"/>
      <c r="V50" s="120"/>
      <c r="W50" s="120"/>
      <c r="X50" s="121"/>
      <c r="Y50" s="121"/>
      <c r="Z50" s="121"/>
      <c r="AA50" s="121"/>
      <c r="AB50" s="121"/>
      <c r="AC50" s="121"/>
      <c r="AD50" s="122"/>
      <c r="AE50" s="122"/>
      <c r="AF50" s="122"/>
      <c r="AG50" s="66"/>
      <c r="AH50" s="46"/>
      <c r="AI50" s="76"/>
      <c r="AJ50" s="97"/>
      <c r="AK50" s="39"/>
      <c r="AL50" s="102"/>
      <c r="AM50" s="102"/>
      <c r="AN50" s="102"/>
      <c r="AO50" s="102"/>
      <c r="AP50" s="280"/>
      <c r="AQ50" s="10">
        <f>Потребность!AD50</f>
        <v>0</v>
      </c>
      <c r="AR50" s="10">
        <f>SUM(Потребность!K50:M50)</f>
        <v>0</v>
      </c>
      <c r="AS50" s="9" t="e">
        <f>Потребность!AZ50</f>
        <v>#N/A</v>
      </c>
      <c r="AT50" s="9">
        <f>Потребность!J50</f>
        <v>0</v>
      </c>
      <c r="AU50" s="9" t="e">
        <f>Потребность!N50/Потребность!$N50</f>
        <v>#DIV/0!</v>
      </c>
      <c r="AV50" s="9" t="e">
        <f>Потребность!O50/Потребность!$N50</f>
        <v>#DIV/0!</v>
      </c>
      <c r="AW50" s="9" t="e">
        <f>Потребность!P50/Потребность!$N50</f>
        <v>#DIV/0!</v>
      </c>
      <c r="AX50" s="9" t="e">
        <f>Потребность!T50/Потребность!$T50</f>
        <v>#DIV/0!</v>
      </c>
      <c r="AY50" s="9" t="e">
        <f>Потребность!U50/Потребность!$T50</f>
        <v>#DIV/0!</v>
      </c>
      <c r="AZ50" s="9" t="e">
        <f>Потребность!V50/Потребность!$T50</f>
        <v>#DIV/0!</v>
      </c>
      <c r="BA50" s="141">
        <f>Потребность!Q50</f>
        <v>0</v>
      </c>
      <c r="BB50">
        <f>Потребность!AC50</f>
        <v>0</v>
      </c>
      <c r="BC50" s="141">
        <f>Потребность!AD50</f>
        <v>0</v>
      </c>
    </row>
    <row r="51" spans="1:55" x14ac:dyDescent="0.2">
      <c r="A51" s="85"/>
      <c r="B51" s="195"/>
      <c r="C51" s="85"/>
      <c r="D51" s="85"/>
      <c r="E51" s="195"/>
      <c r="F51" s="35"/>
      <c r="G51" s="65"/>
      <c r="H51" s="36"/>
      <c r="I51" s="37"/>
      <c r="J51" s="37"/>
      <c r="K51" s="35"/>
      <c r="L51" s="38"/>
      <c r="M51" s="128"/>
      <c r="N51" s="38"/>
      <c r="O51" s="128"/>
      <c r="P51" s="53"/>
      <c r="Q51" s="45"/>
      <c r="R51" s="45"/>
      <c r="S51" s="45"/>
      <c r="T51" s="46"/>
      <c r="U51" s="120"/>
      <c r="V51" s="120"/>
      <c r="W51" s="120"/>
      <c r="X51" s="121"/>
      <c r="Y51" s="121"/>
      <c r="Z51" s="121"/>
      <c r="AA51" s="121"/>
      <c r="AB51" s="121"/>
      <c r="AC51" s="121"/>
      <c r="AD51" s="122"/>
      <c r="AE51" s="122"/>
      <c r="AF51" s="122"/>
      <c r="AG51" s="66"/>
      <c r="AH51" s="46"/>
      <c r="AI51" s="76"/>
      <c r="AJ51" s="97"/>
      <c r="AK51" s="39"/>
      <c r="AL51" s="102"/>
      <c r="AM51" s="102"/>
      <c r="AN51" s="102"/>
      <c r="AO51" s="102"/>
      <c r="AP51" s="280"/>
      <c r="AQ51" s="10">
        <f>Потребность!AD51</f>
        <v>0</v>
      </c>
      <c r="AR51" s="10">
        <f>SUM(Потребность!K51:M51)</f>
        <v>0</v>
      </c>
      <c r="AS51" s="9" t="e">
        <f>Потребность!AZ51</f>
        <v>#N/A</v>
      </c>
      <c r="AT51" s="9">
        <f>Потребность!J51</f>
        <v>0</v>
      </c>
      <c r="AU51" s="9" t="e">
        <f>Потребность!N51/Потребность!$N51</f>
        <v>#DIV/0!</v>
      </c>
      <c r="AV51" s="9" t="e">
        <f>Потребность!O51/Потребность!$N51</f>
        <v>#DIV/0!</v>
      </c>
      <c r="AW51" s="9" t="e">
        <f>Потребность!P51/Потребность!$N51</f>
        <v>#DIV/0!</v>
      </c>
      <c r="AX51" s="9" t="e">
        <f>Потребность!T51/Потребность!$T51</f>
        <v>#DIV/0!</v>
      </c>
      <c r="AY51" s="9" t="e">
        <f>Потребность!U51/Потребность!$T51</f>
        <v>#DIV/0!</v>
      </c>
      <c r="AZ51" s="9" t="e">
        <f>Потребность!V51/Потребность!$T51</f>
        <v>#DIV/0!</v>
      </c>
      <c r="BA51" s="141">
        <f>Потребность!Q51</f>
        <v>0</v>
      </c>
      <c r="BB51">
        <f>Потребность!AC51</f>
        <v>0</v>
      </c>
      <c r="BC51" s="141">
        <f>Потребность!AD51</f>
        <v>0</v>
      </c>
    </row>
    <row r="52" spans="1:55" x14ac:dyDescent="0.2">
      <c r="A52" s="85"/>
      <c r="B52" s="195"/>
      <c r="C52" s="85"/>
      <c r="D52" s="85"/>
      <c r="E52" s="195"/>
      <c r="F52" s="35"/>
      <c r="G52" s="65"/>
      <c r="H52" s="36"/>
      <c r="I52" s="37"/>
      <c r="J52" s="37"/>
      <c r="K52" s="35"/>
      <c r="L52" s="38"/>
      <c r="M52" s="128"/>
      <c r="N52" s="38"/>
      <c r="O52" s="128"/>
      <c r="P52" s="53"/>
      <c r="Q52" s="45"/>
      <c r="R52" s="45"/>
      <c r="S52" s="45"/>
      <c r="T52" s="46"/>
      <c r="U52" s="120"/>
      <c r="V52" s="120"/>
      <c r="W52" s="120"/>
      <c r="X52" s="121"/>
      <c r="Y52" s="121"/>
      <c r="Z52" s="121"/>
      <c r="AA52" s="121"/>
      <c r="AB52" s="121"/>
      <c r="AC52" s="121"/>
      <c r="AD52" s="122"/>
      <c r="AE52" s="122"/>
      <c r="AF52" s="122"/>
      <c r="AG52" s="66"/>
      <c r="AH52" s="46"/>
      <c r="AI52" s="76"/>
      <c r="AJ52" s="97"/>
      <c r="AK52" s="39"/>
      <c r="AL52" s="102"/>
      <c r="AM52" s="102"/>
      <c r="AN52" s="102"/>
      <c r="AO52" s="102"/>
      <c r="AP52" s="280"/>
      <c r="AQ52" s="10">
        <f>Потребность!AD52</f>
        <v>0</v>
      </c>
      <c r="AR52" s="10">
        <f>SUM(Потребность!K52:M52)</f>
        <v>0</v>
      </c>
      <c r="AS52" s="9" t="e">
        <f>Потребность!AZ52</f>
        <v>#N/A</v>
      </c>
      <c r="AT52" s="9">
        <f>Потребность!J52</f>
        <v>0</v>
      </c>
      <c r="AU52" s="9" t="e">
        <f>Потребность!N52/Потребность!$N52</f>
        <v>#DIV/0!</v>
      </c>
      <c r="AV52" s="9" t="e">
        <f>Потребность!O52/Потребность!$N52</f>
        <v>#DIV/0!</v>
      </c>
      <c r="AW52" s="9" t="e">
        <f>Потребность!P52/Потребность!$N52</f>
        <v>#DIV/0!</v>
      </c>
      <c r="AX52" s="9" t="e">
        <f>Потребность!T52/Потребность!$T52</f>
        <v>#DIV/0!</v>
      </c>
      <c r="AY52" s="9" t="e">
        <f>Потребность!U52/Потребность!$T52</f>
        <v>#DIV/0!</v>
      </c>
      <c r="AZ52" s="9" t="e">
        <f>Потребность!V52/Потребность!$T52</f>
        <v>#DIV/0!</v>
      </c>
      <c r="BA52" s="141">
        <f>Потребность!Q52</f>
        <v>0</v>
      </c>
      <c r="BB52">
        <f>Потребность!AC52</f>
        <v>0</v>
      </c>
      <c r="BC52" s="141">
        <f>Потребность!AD52</f>
        <v>0</v>
      </c>
    </row>
    <row r="53" spans="1:55" x14ac:dyDescent="0.2">
      <c r="A53" s="85"/>
      <c r="B53" s="195"/>
      <c r="C53" s="85"/>
      <c r="D53" s="85"/>
      <c r="E53" s="195"/>
      <c r="F53" s="35"/>
      <c r="G53" s="65"/>
      <c r="H53" s="36"/>
      <c r="I53" s="37"/>
      <c r="J53" s="37"/>
      <c r="K53" s="35"/>
      <c r="L53" s="38"/>
      <c r="M53" s="128"/>
      <c r="N53" s="38"/>
      <c r="O53" s="128"/>
      <c r="P53" s="53"/>
      <c r="Q53" s="45"/>
      <c r="R53" s="45"/>
      <c r="S53" s="45"/>
      <c r="T53" s="46"/>
      <c r="U53" s="120"/>
      <c r="V53" s="120"/>
      <c r="W53" s="120"/>
      <c r="X53" s="121"/>
      <c r="Y53" s="121"/>
      <c r="Z53" s="121"/>
      <c r="AA53" s="121"/>
      <c r="AB53" s="121"/>
      <c r="AC53" s="121"/>
      <c r="AD53" s="122"/>
      <c r="AE53" s="122"/>
      <c r="AF53" s="122"/>
      <c r="AG53" s="66"/>
      <c r="AH53" s="46"/>
      <c r="AI53" s="76"/>
      <c r="AJ53" s="97"/>
      <c r="AK53" s="39"/>
      <c r="AL53" s="102"/>
      <c r="AM53" s="102"/>
      <c r="AN53" s="102"/>
      <c r="AO53" s="102"/>
      <c r="AP53" s="280"/>
      <c r="AQ53" s="10">
        <f>Потребность!AD53</f>
        <v>0</v>
      </c>
      <c r="AR53" s="10">
        <f>SUM(Потребность!K53:M53)</f>
        <v>0</v>
      </c>
      <c r="AS53" s="9" t="e">
        <f>Потребность!AZ53</f>
        <v>#N/A</v>
      </c>
      <c r="AT53" s="9">
        <f>Потребность!J53</f>
        <v>0</v>
      </c>
      <c r="AU53" s="9" t="e">
        <f>Потребность!N53/Потребность!$N53</f>
        <v>#DIV/0!</v>
      </c>
      <c r="AV53" s="9" t="e">
        <f>Потребность!O53/Потребность!$N53</f>
        <v>#DIV/0!</v>
      </c>
      <c r="AW53" s="9" t="e">
        <f>Потребность!P53/Потребность!$N53</f>
        <v>#DIV/0!</v>
      </c>
      <c r="AX53" s="9" t="e">
        <f>Потребность!T53/Потребность!$T53</f>
        <v>#DIV/0!</v>
      </c>
      <c r="AY53" s="9" t="e">
        <f>Потребность!U53/Потребность!$T53</f>
        <v>#DIV/0!</v>
      </c>
      <c r="AZ53" s="9" t="e">
        <f>Потребность!V53/Потребность!$T53</f>
        <v>#DIV/0!</v>
      </c>
      <c r="BA53" s="141">
        <f>Потребность!Q53</f>
        <v>0</v>
      </c>
      <c r="BB53">
        <f>Потребность!AC53</f>
        <v>0</v>
      </c>
      <c r="BC53" s="141">
        <f>Потребность!AD53</f>
        <v>0</v>
      </c>
    </row>
    <row r="54" spans="1:55" x14ac:dyDescent="0.2">
      <c r="A54" s="85"/>
      <c r="B54" s="195"/>
      <c r="C54" s="85"/>
      <c r="D54" s="85"/>
      <c r="E54" s="195"/>
      <c r="F54" s="35"/>
      <c r="G54" s="65"/>
      <c r="H54" s="36"/>
      <c r="I54" s="37"/>
      <c r="J54" s="37"/>
      <c r="K54" s="35"/>
      <c r="L54" s="38"/>
      <c r="M54" s="128"/>
      <c r="N54" s="38"/>
      <c r="O54" s="128"/>
      <c r="P54" s="53"/>
      <c r="Q54" s="45"/>
      <c r="R54" s="45"/>
      <c r="S54" s="45"/>
      <c r="T54" s="46"/>
      <c r="U54" s="120"/>
      <c r="V54" s="120"/>
      <c r="W54" s="120"/>
      <c r="X54" s="121"/>
      <c r="Y54" s="121"/>
      <c r="Z54" s="121"/>
      <c r="AA54" s="121"/>
      <c r="AB54" s="121"/>
      <c r="AC54" s="121"/>
      <c r="AD54" s="122"/>
      <c r="AE54" s="122"/>
      <c r="AF54" s="122"/>
      <c r="AG54" s="66"/>
      <c r="AH54" s="46"/>
      <c r="AI54" s="76"/>
      <c r="AJ54" s="97"/>
      <c r="AK54" s="39"/>
      <c r="AL54" s="102"/>
      <c r="AM54" s="102"/>
      <c r="AN54" s="102"/>
      <c r="AO54" s="102"/>
      <c r="AP54" s="280"/>
      <c r="AQ54" s="10">
        <f>Потребность!AD54</f>
        <v>0</v>
      </c>
      <c r="AR54" s="10">
        <f>SUM(Потребность!K54:M54)</f>
        <v>0</v>
      </c>
      <c r="AS54" s="9" t="e">
        <f>Потребность!AZ54</f>
        <v>#N/A</v>
      </c>
      <c r="AT54" s="9">
        <f>Потребность!J54</f>
        <v>0</v>
      </c>
      <c r="AU54" s="9" t="e">
        <f>Потребность!N54/Потребность!$N54</f>
        <v>#DIV/0!</v>
      </c>
      <c r="AV54" s="9" t="e">
        <f>Потребность!O54/Потребность!$N54</f>
        <v>#DIV/0!</v>
      </c>
      <c r="AW54" s="9" t="e">
        <f>Потребность!P54/Потребность!$N54</f>
        <v>#DIV/0!</v>
      </c>
      <c r="AX54" s="9" t="e">
        <f>Потребность!T54/Потребность!$T54</f>
        <v>#DIV/0!</v>
      </c>
      <c r="AY54" s="9" t="e">
        <f>Потребность!U54/Потребность!$T54</f>
        <v>#DIV/0!</v>
      </c>
      <c r="AZ54" s="9" t="e">
        <f>Потребность!V54/Потребность!$T54</f>
        <v>#DIV/0!</v>
      </c>
      <c r="BA54" s="141">
        <f>Потребность!Q54</f>
        <v>0</v>
      </c>
      <c r="BB54">
        <f>Потребность!AC54</f>
        <v>0</v>
      </c>
      <c r="BC54" s="141">
        <f>Потребность!AD54</f>
        <v>0</v>
      </c>
    </row>
    <row r="55" spans="1:55" x14ac:dyDescent="0.2">
      <c r="A55" s="85"/>
      <c r="B55" s="195"/>
      <c r="C55" s="85"/>
      <c r="D55" s="85"/>
      <c r="E55" s="195"/>
      <c r="F55" s="35"/>
      <c r="G55" s="65"/>
      <c r="H55" s="36"/>
      <c r="I55" s="37"/>
      <c r="J55" s="37"/>
      <c r="K55" s="35"/>
      <c r="L55" s="38"/>
      <c r="M55" s="128"/>
      <c r="N55" s="38"/>
      <c r="O55" s="128"/>
      <c r="P55" s="53"/>
      <c r="Q55" s="45"/>
      <c r="R55" s="45"/>
      <c r="S55" s="45"/>
      <c r="T55" s="46"/>
      <c r="U55" s="120"/>
      <c r="V55" s="120"/>
      <c r="W55" s="120"/>
      <c r="X55" s="121"/>
      <c r="Y55" s="121"/>
      <c r="Z55" s="121"/>
      <c r="AA55" s="121"/>
      <c r="AB55" s="121"/>
      <c r="AC55" s="121"/>
      <c r="AD55" s="122"/>
      <c r="AE55" s="122"/>
      <c r="AF55" s="122"/>
      <c r="AG55" s="66"/>
      <c r="AH55" s="46"/>
      <c r="AI55" s="76"/>
      <c r="AJ55" s="97"/>
      <c r="AK55" s="39"/>
      <c r="AL55" s="102"/>
      <c r="AM55" s="102"/>
      <c r="AN55" s="102"/>
      <c r="AO55" s="102"/>
      <c r="AP55" s="280"/>
      <c r="AQ55" s="10">
        <f>Потребность!AD55</f>
        <v>0</v>
      </c>
      <c r="AR55" s="10">
        <f>SUM(Потребность!K55:M55)</f>
        <v>0</v>
      </c>
      <c r="AS55" s="9" t="e">
        <f>Потребность!AZ55</f>
        <v>#N/A</v>
      </c>
      <c r="AT55" s="9">
        <f>Потребность!J55</f>
        <v>0</v>
      </c>
      <c r="AU55" s="9" t="e">
        <f>Потребность!N55/Потребность!$N55</f>
        <v>#DIV/0!</v>
      </c>
      <c r="AV55" s="9" t="e">
        <f>Потребность!O55/Потребность!$N55</f>
        <v>#DIV/0!</v>
      </c>
      <c r="AW55" s="9" t="e">
        <f>Потребность!P55/Потребность!$N55</f>
        <v>#DIV/0!</v>
      </c>
      <c r="AX55" s="9" t="e">
        <f>Потребность!T55/Потребность!$T55</f>
        <v>#DIV/0!</v>
      </c>
      <c r="AY55" s="9" t="e">
        <f>Потребность!U55/Потребность!$T55</f>
        <v>#DIV/0!</v>
      </c>
      <c r="AZ55" s="9" t="e">
        <f>Потребность!V55/Потребность!$T55</f>
        <v>#DIV/0!</v>
      </c>
      <c r="BA55" s="141">
        <f>Потребность!Q55</f>
        <v>0</v>
      </c>
      <c r="BB55">
        <f>Потребность!AC55</f>
        <v>0</v>
      </c>
      <c r="BC55" s="141">
        <f>Потребность!AD55</f>
        <v>0</v>
      </c>
    </row>
    <row r="56" spans="1:55" x14ac:dyDescent="0.2">
      <c r="A56" s="85"/>
      <c r="B56" s="195"/>
      <c r="C56" s="85"/>
      <c r="D56" s="85"/>
      <c r="E56" s="195"/>
      <c r="F56" s="35"/>
      <c r="G56" s="65"/>
      <c r="H56" s="36"/>
      <c r="I56" s="37"/>
      <c r="J56" s="37"/>
      <c r="K56" s="35"/>
      <c r="L56" s="38"/>
      <c r="M56" s="128"/>
      <c r="N56" s="38"/>
      <c r="O56" s="128"/>
      <c r="P56" s="53"/>
      <c r="Q56" s="45"/>
      <c r="R56" s="45"/>
      <c r="S56" s="45"/>
      <c r="T56" s="46"/>
      <c r="U56" s="120"/>
      <c r="V56" s="120"/>
      <c r="W56" s="120"/>
      <c r="X56" s="121"/>
      <c r="Y56" s="121"/>
      <c r="Z56" s="121"/>
      <c r="AA56" s="121"/>
      <c r="AB56" s="121"/>
      <c r="AC56" s="121"/>
      <c r="AD56" s="122"/>
      <c r="AE56" s="122"/>
      <c r="AF56" s="122"/>
      <c r="AG56" s="66"/>
      <c r="AH56" s="46"/>
      <c r="AI56" s="76"/>
      <c r="AJ56" s="97"/>
      <c r="AK56" s="39"/>
      <c r="AL56" s="102"/>
      <c r="AM56" s="102"/>
      <c r="AN56" s="102"/>
      <c r="AO56" s="102"/>
      <c r="AP56" s="280"/>
      <c r="AQ56" s="10">
        <f>Потребность!AD56</f>
        <v>0</v>
      </c>
      <c r="AR56" s="10">
        <f>SUM(Потребность!K56:M56)</f>
        <v>0</v>
      </c>
      <c r="AS56" s="9" t="e">
        <f>Потребность!AZ56</f>
        <v>#N/A</v>
      </c>
      <c r="AT56" s="9">
        <f>Потребность!J56</f>
        <v>0</v>
      </c>
      <c r="AU56" s="9" t="e">
        <f>Потребность!N56/Потребность!$N56</f>
        <v>#DIV/0!</v>
      </c>
      <c r="AV56" s="9" t="e">
        <f>Потребность!O56/Потребность!$N56</f>
        <v>#DIV/0!</v>
      </c>
      <c r="AW56" s="9" t="e">
        <f>Потребность!P56/Потребность!$N56</f>
        <v>#DIV/0!</v>
      </c>
      <c r="AX56" s="9" t="e">
        <f>Потребность!T56/Потребность!$T56</f>
        <v>#DIV/0!</v>
      </c>
      <c r="AY56" s="9" t="e">
        <f>Потребность!U56/Потребность!$T56</f>
        <v>#DIV/0!</v>
      </c>
      <c r="AZ56" s="9" t="e">
        <f>Потребность!V56/Потребность!$T56</f>
        <v>#DIV/0!</v>
      </c>
      <c r="BA56" s="141">
        <f>Потребность!Q56</f>
        <v>0</v>
      </c>
      <c r="BB56">
        <f>Потребность!AC56</f>
        <v>0</v>
      </c>
      <c r="BC56" s="141">
        <f>Потребность!AD56</f>
        <v>0</v>
      </c>
    </row>
    <row r="57" spans="1:55" x14ac:dyDescent="0.2">
      <c r="A57" s="85"/>
      <c r="B57" s="195"/>
      <c r="C57" s="85"/>
      <c r="D57" s="85"/>
      <c r="E57" s="195"/>
      <c r="F57" s="35"/>
      <c r="G57" s="65"/>
      <c r="H57" s="36"/>
      <c r="I57" s="37"/>
      <c r="J57" s="37"/>
      <c r="K57" s="35"/>
      <c r="L57" s="38"/>
      <c r="M57" s="128"/>
      <c r="N57" s="38"/>
      <c r="O57" s="128"/>
      <c r="P57" s="53"/>
      <c r="Q57" s="45"/>
      <c r="R57" s="45"/>
      <c r="S57" s="45"/>
      <c r="T57" s="46"/>
      <c r="U57" s="120"/>
      <c r="V57" s="120"/>
      <c r="W57" s="120"/>
      <c r="X57" s="121"/>
      <c r="Y57" s="121"/>
      <c r="Z57" s="121"/>
      <c r="AA57" s="121"/>
      <c r="AB57" s="121"/>
      <c r="AC57" s="121"/>
      <c r="AD57" s="122"/>
      <c r="AE57" s="122"/>
      <c r="AF57" s="122"/>
      <c r="AG57" s="66"/>
      <c r="AH57" s="46"/>
      <c r="AI57" s="76"/>
      <c r="AJ57" s="97"/>
      <c r="AK57" s="39"/>
      <c r="AL57" s="102"/>
      <c r="AM57" s="102"/>
      <c r="AN57" s="102"/>
      <c r="AO57" s="102"/>
      <c r="AP57" s="280"/>
      <c r="AQ57" s="10">
        <f>Потребность!AD57</f>
        <v>0</v>
      </c>
      <c r="AR57" s="10">
        <f>SUM(Потребность!K57:M57)</f>
        <v>0</v>
      </c>
      <c r="AS57" s="9" t="e">
        <f>Потребность!AZ57</f>
        <v>#N/A</v>
      </c>
      <c r="AT57" s="9">
        <f>Потребность!J57</f>
        <v>0</v>
      </c>
      <c r="AU57" s="9" t="e">
        <f>Потребность!N57/Потребность!$N57</f>
        <v>#DIV/0!</v>
      </c>
      <c r="AV57" s="9" t="e">
        <f>Потребность!O57/Потребность!$N57</f>
        <v>#DIV/0!</v>
      </c>
      <c r="AW57" s="9" t="e">
        <f>Потребность!P57/Потребность!$N57</f>
        <v>#DIV/0!</v>
      </c>
      <c r="AX57" s="9" t="e">
        <f>Потребность!T57/Потребность!$T57</f>
        <v>#DIV/0!</v>
      </c>
      <c r="AY57" s="9" t="e">
        <f>Потребность!U57/Потребность!$T57</f>
        <v>#DIV/0!</v>
      </c>
      <c r="AZ57" s="9" t="e">
        <f>Потребность!V57/Потребность!$T57</f>
        <v>#DIV/0!</v>
      </c>
      <c r="BA57" s="141">
        <f>Потребность!Q57</f>
        <v>0</v>
      </c>
      <c r="BB57">
        <f>Потребность!AC57</f>
        <v>0</v>
      </c>
      <c r="BC57" s="141">
        <f>Потребность!AD57</f>
        <v>0</v>
      </c>
    </row>
    <row r="58" spans="1:55" x14ac:dyDescent="0.2">
      <c r="A58" s="85"/>
      <c r="B58" s="195"/>
      <c r="C58" s="85"/>
      <c r="D58" s="85"/>
      <c r="E58" s="195"/>
      <c r="F58" s="35"/>
      <c r="G58" s="65"/>
      <c r="H58" s="36"/>
      <c r="I58" s="37"/>
      <c r="J58" s="37"/>
      <c r="K58" s="35"/>
      <c r="L58" s="38"/>
      <c r="M58" s="128"/>
      <c r="N58" s="38"/>
      <c r="O58" s="128"/>
      <c r="P58" s="53"/>
      <c r="Q58" s="45"/>
      <c r="R58" s="45"/>
      <c r="S58" s="45"/>
      <c r="T58" s="46"/>
      <c r="U58" s="120"/>
      <c r="V58" s="120"/>
      <c r="W58" s="120"/>
      <c r="X58" s="121"/>
      <c r="Y58" s="121"/>
      <c r="Z58" s="121"/>
      <c r="AA58" s="121"/>
      <c r="AB58" s="121"/>
      <c r="AC58" s="121"/>
      <c r="AD58" s="122"/>
      <c r="AE58" s="122"/>
      <c r="AF58" s="122"/>
      <c r="AG58" s="66"/>
      <c r="AH58" s="46"/>
      <c r="AI58" s="76"/>
      <c r="AJ58" s="97"/>
      <c r="AK58" s="39"/>
      <c r="AL58" s="102"/>
      <c r="AM58" s="102"/>
      <c r="AN58" s="102"/>
      <c r="AO58" s="102"/>
      <c r="AP58" s="280"/>
      <c r="AQ58" s="10">
        <f>Потребность!AD58</f>
        <v>0</v>
      </c>
      <c r="AR58" s="10">
        <f>SUM(Потребность!K58:M58)</f>
        <v>0</v>
      </c>
      <c r="AS58" s="9" t="e">
        <f>Потребность!AZ58</f>
        <v>#N/A</v>
      </c>
      <c r="AT58" s="9">
        <f>Потребность!J58</f>
        <v>0</v>
      </c>
      <c r="AU58" s="9" t="e">
        <f>Потребность!N58/Потребность!$N58</f>
        <v>#DIV/0!</v>
      </c>
      <c r="AV58" s="9" t="e">
        <f>Потребность!O58/Потребность!$N58</f>
        <v>#DIV/0!</v>
      </c>
      <c r="AW58" s="9" t="e">
        <f>Потребность!P58/Потребность!$N58</f>
        <v>#DIV/0!</v>
      </c>
      <c r="AX58" s="9" t="e">
        <f>Потребность!T58/Потребность!$T58</f>
        <v>#DIV/0!</v>
      </c>
      <c r="AY58" s="9" t="e">
        <f>Потребность!U58/Потребность!$T58</f>
        <v>#DIV/0!</v>
      </c>
      <c r="AZ58" s="9" t="e">
        <f>Потребность!V58/Потребность!$T58</f>
        <v>#DIV/0!</v>
      </c>
      <c r="BA58" s="141">
        <f>Потребность!Q58</f>
        <v>0</v>
      </c>
      <c r="BB58">
        <f>Потребность!AC58</f>
        <v>0</v>
      </c>
      <c r="BC58" s="141">
        <f>Потребность!AD58</f>
        <v>0</v>
      </c>
    </row>
    <row r="59" spans="1:55" x14ac:dyDescent="0.2">
      <c r="A59" s="85"/>
      <c r="B59" s="195"/>
      <c r="C59" s="85"/>
      <c r="D59" s="85"/>
      <c r="E59" s="195"/>
      <c r="F59" s="35"/>
      <c r="G59" s="65"/>
      <c r="H59" s="36"/>
      <c r="I59" s="37"/>
      <c r="J59" s="37"/>
      <c r="K59" s="35"/>
      <c r="L59" s="38"/>
      <c r="M59" s="128"/>
      <c r="N59" s="38"/>
      <c r="O59" s="128"/>
      <c r="P59" s="53"/>
      <c r="Q59" s="45"/>
      <c r="R59" s="45"/>
      <c r="S59" s="45"/>
      <c r="T59" s="46"/>
      <c r="U59" s="120"/>
      <c r="V59" s="120"/>
      <c r="W59" s="120"/>
      <c r="X59" s="121"/>
      <c r="Y59" s="121"/>
      <c r="Z59" s="121"/>
      <c r="AA59" s="121"/>
      <c r="AB59" s="121"/>
      <c r="AC59" s="121"/>
      <c r="AD59" s="122"/>
      <c r="AE59" s="122"/>
      <c r="AF59" s="122"/>
      <c r="AG59" s="66"/>
      <c r="AH59" s="46"/>
      <c r="AI59" s="76"/>
      <c r="AJ59" s="97"/>
      <c r="AK59" s="39"/>
      <c r="AL59" s="102"/>
      <c r="AM59" s="102"/>
      <c r="AN59" s="102"/>
      <c r="AO59" s="102"/>
      <c r="AP59" s="280"/>
      <c r="AQ59" s="10">
        <f>Потребность!AD59</f>
        <v>0</v>
      </c>
      <c r="AR59" s="10">
        <f>SUM(Потребность!K59:M59)</f>
        <v>0</v>
      </c>
      <c r="AS59" s="9" t="e">
        <f>Потребность!AZ59</f>
        <v>#N/A</v>
      </c>
      <c r="AT59" s="9">
        <f>Потребность!J59</f>
        <v>0</v>
      </c>
      <c r="AU59" s="9" t="e">
        <f>Потребность!N59/Потребность!$N59</f>
        <v>#DIV/0!</v>
      </c>
      <c r="AV59" s="9" t="e">
        <f>Потребность!O59/Потребность!$N59</f>
        <v>#DIV/0!</v>
      </c>
      <c r="AW59" s="9" t="e">
        <f>Потребность!P59/Потребность!$N59</f>
        <v>#DIV/0!</v>
      </c>
      <c r="AX59" s="9" t="e">
        <f>Потребность!T59/Потребность!$T59</f>
        <v>#DIV/0!</v>
      </c>
      <c r="AY59" s="9" t="e">
        <f>Потребность!U59/Потребность!$T59</f>
        <v>#DIV/0!</v>
      </c>
      <c r="AZ59" s="9" t="e">
        <f>Потребность!V59/Потребность!$T59</f>
        <v>#DIV/0!</v>
      </c>
      <c r="BA59" s="141">
        <f>Потребность!Q59</f>
        <v>0</v>
      </c>
      <c r="BB59">
        <f>Потребность!AC59</f>
        <v>0</v>
      </c>
      <c r="BC59" s="141">
        <f>Потребность!AD59</f>
        <v>0</v>
      </c>
    </row>
    <row r="60" spans="1:55" x14ac:dyDescent="0.2">
      <c r="A60" s="85"/>
      <c r="B60" s="195"/>
      <c r="C60" s="85"/>
      <c r="D60" s="85"/>
      <c r="E60" s="195"/>
      <c r="F60" s="35"/>
      <c r="G60" s="65"/>
      <c r="H60" s="36"/>
      <c r="I60" s="37"/>
      <c r="J60" s="37"/>
      <c r="K60" s="35"/>
      <c r="L60" s="38"/>
      <c r="M60" s="128"/>
      <c r="N60" s="38"/>
      <c r="O60" s="128"/>
      <c r="P60" s="53"/>
      <c r="Q60" s="45"/>
      <c r="R60" s="45"/>
      <c r="S60" s="45"/>
      <c r="T60" s="46"/>
      <c r="U60" s="120"/>
      <c r="V60" s="120"/>
      <c r="W60" s="120"/>
      <c r="X60" s="121"/>
      <c r="Y60" s="121"/>
      <c r="Z60" s="121"/>
      <c r="AA60" s="121"/>
      <c r="AB60" s="121"/>
      <c r="AC60" s="121"/>
      <c r="AD60" s="122"/>
      <c r="AE60" s="122"/>
      <c r="AF60" s="122"/>
      <c r="AG60" s="66"/>
      <c r="AH60" s="46"/>
      <c r="AI60" s="76"/>
      <c r="AJ60" s="97"/>
      <c r="AK60" s="39"/>
      <c r="AL60" s="102"/>
      <c r="AM60" s="102"/>
      <c r="AN60" s="102"/>
      <c r="AO60" s="102"/>
      <c r="AP60" s="280"/>
      <c r="AQ60" s="10">
        <f>Потребность!AD60</f>
        <v>0</v>
      </c>
      <c r="AR60" s="10">
        <f>SUM(Потребность!K60:M60)</f>
        <v>0</v>
      </c>
      <c r="AS60" s="9" t="e">
        <f>Потребность!AZ60</f>
        <v>#N/A</v>
      </c>
      <c r="AT60" s="9">
        <f>Потребность!J60</f>
        <v>0</v>
      </c>
      <c r="AU60" s="9" t="e">
        <f>Потребность!N60/Потребность!$N60</f>
        <v>#DIV/0!</v>
      </c>
      <c r="AV60" s="9" t="e">
        <f>Потребность!O60/Потребность!$N60</f>
        <v>#DIV/0!</v>
      </c>
      <c r="AW60" s="9" t="e">
        <f>Потребность!P60/Потребность!$N60</f>
        <v>#DIV/0!</v>
      </c>
      <c r="AX60" s="9" t="e">
        <f>Потребность!T60/Потребность!$T60</f>
        <v>#DIV/0!</v>
      </c>
      <c r="AY60" s="9" t="e">
        <f>Потребность!U60/Потребность!$T60</f>
        <v>#DIV/0!</v>
      </c>
      <c r="AZ60" s="9" t="e">
        <f>Потребность!V60/Потребность!$T60</f>
        <v>#DIV/0!</v>
      </c>
      <c r="BA60" s="141">
        <f>Потребность!Q60</f>
        <v>0</v>
      </c>
      <c r="BB60">
        <f>Потребность!AC60</f>
        <v>0</v>
      </c>
      <c r="BC60" s="141">
        <f>Потребность!AD60</f>
        <v>0</v>
      </c>
    </row>
    <row r="61" spans="1:55" x14ac:dyDescent="0.2">
      <c r="A61" s="85"/>
      <c r="B61" s="195"/>
      <c r="C61" s="85"/>
      <c r="D61" s="85"/>
      <c r="E61" s="195"/>
      <c r="F61" s="35"/>
      <c r="G61" s="65"/>
      <c r="H61" s="36"/>
      <c r="I61" s="37"/>
      <c r="J61" s="37"/>
      <c r="K61" s="35"/>
      <c r="L61" s="38"/>
      <c r="M61" s="128"/>
      <c r="N61" s="38"/>
      <c r="O61" s="128"/>
      <c r="P61" s="53"/>
      <c r="Q61" s="45"/>
      <c r="R61" s="45"/>
      <c r="S61" s="45"/>
      <c r="T61" s="46"/>
      <c r="U61" s="120"/>
      <c r="V61" s="120"/>
      <c r="W61" s="120"/>
      <c r="X61" s="121"/>
      <c r="Y61" s="121"/>
      <c r="Z61" s="121"/>
      <c r="AA61" s="121"/>
      <c r="AB61" s="121"/>
      <c r="AC61" s="121"/>
      <c r="AD61" s="122"/>
      <c r="AE61" s="122"/>
      <c r="AF61" s="122"/>
      <c r="AG61" s="66"/>
      <c r="AH61" s="46"/>
      <c r="AI61" s="76"/>
      <c r="AJ61" s="97"/>
      <c r="AK61" s="39"/>
      <c r="AL61" s="102"/>
      <c r="AM61" s="102"/>
      <c r="AN61" s="102"/>
      <c r="AO61" s="102"/>
      <c r="AP61" s="280"/>
      <c r="AQ61" s="10">
        <f>Потребность!AD61</f>
        <v>0</v>
      </c>
      <c r="AR61" s="10">
        <f>SUM(Потребность!K61:M61)</f>
        <v>0</v>
      </c>
      <c r="AS61" s="9" t="e">
        <f>Потребность!AZ61</f>
        <v>#N/A</v>
      </c>
      <c r="AT61" s="9">
        <f>Потребность!J61</f>
        <v>0</v>
      </c>
      <c r="AU61" s="9" t="e">
        <f>Потребность!N61/Потребность!$N61</f>
        <v>#DIV/0!</v>
      </c>
      <c r="AV61" s="9" t="e">
        <f>Потребность!O61/Потребность!$N61</f>
        <v>#DIV/0!</v>
      </c>
      <c r="AW61" s="9" t="e">
        <f>Потребность!P61/Потребность!$N61</f>
        <v>#DIV/0!</v>
      </c>
      <c r="AX61" s="9" t="e">
        <f>Потребность!T61/Потребность!$T61</f>
        <v>#DIV/0!</v>
      </c>
      <c r="AY61" s="9" t="e">
        <f>Потребность!U61/Потребность!$T61</f>
        <v>#DIV/0!</v>
      </c>
      <c r="AZ61" s="9" t="e">
        <f>Потребность!V61/Потребность!$T61</f>
        <v>#DIV/0!</v>
      </c>
      <c r="BA61" s="141">
        <f>Потребность!Q61</f>
        <v>0</v>
      </c>
      <c r="BB61">
        <f>Потребность!AC61</f>
        <v>0</v>
      </c>
      <c r="BC61" s="141">
        <f>Потребность!AD61</f>
        <v>0</v>
      </c>
    </row>
    <row r="62" spans="1:55" x14ac:dyDescent="0.2">
      <c r="A62" s="85"/>
      <c r="B62" s="195"/>
      <c r="C62" s="85"/>
      <c r="D62" s="85"/>
      <c r="E62" s="195"/>
      <c r="F62" s="35"/>
      <c r="G62" s="65"/>
      <c r="H62" s="36"/>
      <c r="I62" s="37"/>
      <c r="J62" s="37"/>
      <c r="K62" s="35"/>
      <c r="L62" s="38"/>
      <c r="M62" s="128"/>
      <c r="N62" s="38"/>
      <c r="O62" s="128"/>
      <c r="P62" s="53"/>
      <c r="Q62" s="45"/>
      <c r="R62" s="45"/>
      <c r="S62" s="45"/>
      <c r="T62" s="46"/>
      <c r="U62" s="120"/>
      <c r="V62" s="120"/>
      <c r="W62" s="120"/>
      <c r="X62" s="121"/>
      <c r="Y62" s="121"/>
      <c r="Z62" s="121"/>
      <c r="AA62" s="121"/>
      <c r="AB62" s="121"/>
      <c r="AC62" s="121"/>
      <c r="AD62" s="122"/>
      <c r="AE62" s="122"/>
      <c r="AF62" s="122"/>
      <c r="AG62" s="66"/>
      <c r="AH62" s="46"/>
      <c r="AI62" s="76"/>
      <c r="AJ62" s="97"/>
      <c r="AK62" s="39"/>
      <c r="AL62" s="102"/>
      <c r="AM62" s="102"/>
      <c r="AN62" s="102"/>
      <c r="AO62" s="102"/>
      <c r="AP62" s="280"/>
      <c r="AQ62" s="10">
        <f>Потребность!AD62</f>
        <v>0</v>
      </c>
      <c r="AR62" s="10">
        <f>SUM(Потребность!K62:M62)</f>
        <v>0</v>
      </c>
      <c r="AS62" s="9" t="e">
        <f>Потребность!AZ62</f>
        <v>#N/A</v>
      </c>
      <c r="AT62" s="9">
        <f>Потребность!J62</f>
        <v>0</v>
      </c>
      <c r="AU62" s="9" t="e">
        <f>Потребность!N62/Потребность!$N62</f>
        <v>#DIV/0!</v>
      </c>
      <c r="AV62" s="9" t="e">
        <f>Потребность!O62/Потребность!$N62</f>
        <v>#DIV/0!</v>
      </c>
      <c r="AW62" s="9" t="e">
        <f>Потребность!P62/Потребность!$N62</f>
        <v>#DIV/0!</v>
      </c>
      <c r="AX62" s="9" t="e">
        <f>Потребность!T62/Потребность!$T62</f>
        <v>#DIV/0!</v>
      </c>
      <c r="AY62" s="9" t="e">
        <f>Потребность!U62/Потребность!$T62</f>
        <v>#DIV/0!</v>
      </c>
      <c r="AZ62" s="9" t="e">
        <f>Потребность!V62/Потребность!$T62</f>
        <v>#DIV/0!</v>
      </c>
      <c r="BA62" s="141">
        <f>Потребность!Q62</f>
        <v>0</v>
      </c>
      <c r="BB62">
        <f>Потребность!AC62</f>
        <v>0</v>
      </c>
      <c r="BC62" s="141">
        <f>Потребность!AD62</f>
        <v>0</v>
      </c>
    </row>
    <row r="63" spans="1:55" x14ac:dyDescent="0.2">
      <c r="A63" s="85"/>
      <c r="B63" s="195"/>
      <c r="C63" s="85"/>
      <c r="D63" s="85"/>
      <c r="E63" s="195"/>
      <c r="F63" s="35"/>
      <c r="G63" s="65"/>
      <c r="H63" s="36"/>
      <c r="I63" s="37"/>
      <c r="J63" s="37"/>
      <c r="K63" s="35"/>
      <c r="L63" s="38"/>
      <c r="M63" s="128"/>
      <c r="N63" s="38"/>
      <c r="O63" s="128"/>
      <c r="P63" s="53"/>
      <c r="Q63" s="45"/>
      <c r="R63" s="45"/>
      <c r="S63" s="45"/>
      <c r="T63" s="46"/>
      <c r="U63" s="120"/>
      <c r="V63" s="120"/>
      <c r="W63" s="120"/>
      <c r="X63" s="121"/>
      <c r="Y63" s="121"/>
      <c r="Z63" s="121"/>
      <c r="AA63" s="121"/>
      <c r="AB63" s="121"/>
      <c r="AC63" s="121"/>
      <c r="AD63" s="122"/>
      <c r="AE63" s="122"/>
      <c r="AF63" s="122"/>
      <c r="AG63" s="66"/>
      <c r="AH63" s="46"/>
      <c r="AI63" s="76"/>
      <c r="AJ63" s="97"/>
      <c r="AK63" s="39"/>
      <c r="AL63" s="102"/>
      <c r="AM63" s="102"/>
      <c r="AN63" s="102"/>
      <c r="AO63" s="102"/>
      <c r="AP63" s="280"/>
      <c r="AQ63" s="10">
        <f>Потребность!AD63</f>
        <v>0</v>
      </c>
      <c r="AR63" s="10">
        <f>SUM(Потребность!K63:M63)</f>
        <v>0</v>
      </c>
      <c r="AS63" s="9" t="e">
        <f>Потребность!AZ63</f>
        <v>#N/A</v>
      </c>
      <c r="AT63" s="9">
        <f>Потребность!J63</f>
        <v>0</v>
      </c>
      <c r="AU63" s="9" t="e">
        <f>Потребность!N63/Потребность!$N63</f>
        <v>#DIV/0!</v>
      </c>
      <c r="AV63" s="9" t="e">
        <f>Потребность!O63/Потребность!$N63</f>
        <v>#DIV/0!</v>
      </c>
      <c r="AW63" s="9" t="e">
        <f>Потребность!P63/Потребность!$N63</f>
        <v>#DIV/0!</v>
      </c>
      <c r="AX63" s="9" t="e">
        <f>Потребность!T63/Потребность!$T63</f>
        <v>#DIV/0!</v>
      </c>
      <c r="AY63" s="9" t="e">
        <f>Потребность!U63/Потребность!$T63</f>
        <v>#DIV/0!</v>
      </c>
      <c r="AZ63" s="9" t="e">
        <f>Потребность!V63/Потребность!$T63</f>
        <v>#DIV/0!</v>
      </c>
      <c r="BA63" s="141">
        <f>Потребность!Q63</f>
        <v>0</v>
      </c>
      <c r="BB63">
        <f>Потребность!AC63</f>
        <v>0</v>
      </c>
      <c r="BC63" s="141">
        <f>Потребность!AD63</f>
        <v>0</v>
      </c>
    </row>
    <row r="64" spans="1:55" x14ac:dyDescent="0.2">
      <c r="A64" s="85"/>
      <c r="B64" s="195"/>
      <c r="C64" s="85"/>
      <c r="D64" s="85"/>
      <c r="E64" s="195"/>
      <c r="F64" s="35"/>
      <c r="G64" s="65"/>
      <c r="H64" s="36"/>
      <c r="I64" s="37"/>
      <c r="J64" s="37"/>
      <c r="K64" s="35"/>
      <c r="L64" s="38"/>
      <c r="M64" s="128"/>
      <c r="N64" s="38"/>
      <c r="O64" s="128"/>
      <c r="P64" s="53"/>
      <c r="Q64" s="45"/>
      <c r="R64" s="45"/>
      <c r="S64" s="45"/>
      <c r="T64" s="46"/>
      <c r="U64" s="120"/>
      <c r="V64" s="120"/>
      <c r="W64" s="120"/>
      <c r="X64" s="121"/>
      <c r="Y64" s="121"/>
      <c r="Z64" s="121"/>
      <c r="AA64" s="121"/>
      <c r="AB64" s="121"/>
      <c r="AC64" s="121"/>
      <c r="AD64" s="122"/>
      <c r="AE64" s="122"/>
      <c r="AF64" s="122"/>
      <c r="AG64" s="66"/>
      <c r="AH64" s="46"/>
      <c r="AI64" s="76"/>
      <c r="AJ64" s="97"/>
      <c r="AK64" s="39"/>
      <c r="AL64" s="102"/>
      <c r="AM64" s="102"/>
      <c r="AN64" s="102"/>
      <c r="AO64" s="102"/>
      <c r="AP64" s="280"/>
      <c r="AQ64" s="10">
        <f>Потребность!AD64</f>
        <v>0</v>
      </c>
      <c r="AR64" s="10">
        <f>SUM(Потребность!K64:M64)</f>
        <v>0</v>
      </c>
      <c r="AS64" s="9" t="e">
        <f>Потребность!AZ64</f>
        <v>#N/A</v>
      </c>
      <c r="AT64" s="9">
        <f>Потребность!J64</f>
        <v>0</v>
      </c>
      <c r="AU64" s="9" t="e">
        <f>Потребность!N64/Потребность!$N64</f>
        <v>#DIV/0!</v>
      </c>
      <c r="AV64" s="9" t="e">
        <f>Потребность!O64/Потребность!$N64</f>
        <v>#DIV/0!</v>
      </c>
      <c r="AW64" s="9" t="e">
        <f>Потребность!P64/Потребность!$N64</f>
        <v>#DIV/0!</v>
      </c>
      <c r="AX64" s="9" t="e">
        <f>Потребность!T64/Потребность!$T64</f>
        <v>#DIV/0!</v>
      </c>
      <c r="AY64" s="9" t="e">
        <f>Потребность!U64/Потребность!$T64</f>
        <v>#DIV/0!</v>
      </c>
      <c r="AZ64" s="9" t="e">
        <f>Потребность!V64/Потребность!$T64</f>
        <v>#DIV/0!</v>
      </c>
      <c r="BA64" s="141">
        <f>Потребность!Q64</f>
        <v>0</v>
      </c>
      <c r="BB64">
        <f>Потребность!AC64</f>
        <v>0</v>
      </c>
      <c r="BC64" s="141">
        <f>Потребность!AD64</f>
        <v>0</v>
      </c>
    </row>
    <row r="65" spans="1:55" x14ac:dyDescent="0.2">
      <c r="A65" s="85"/>
      <c r="B65" s="195"/>
      <c r="C65" s="85"/>
      <c r="D65" s="85"/>
      <c r="E65" s="195"/>
      <c r="F65" s="35"/>
      <c r="G65" s="65"/>
      <c r="H65" s="36"/>
      <c r="I65" s="37"/>
      <c r="J65" s="37"/>
      <c r="K65" s="35"/>
      <c r="L65" s="38"/>
      <c r="M65" s="128"/>
      <c r="N65" s="38"/>
      <c r="O65" s="128"/>
      <c r="P65" s="53"/>
      <c r="Q65" s="45"/>
      <c r="R65" s="45"/>
      <c r="S65" s="45"/>
      <c r="T65" s="46"/>
      <c r="U65" s="120"/>
      <c r="V65" s="120"/>
      <c r="W65" s="120"/>
      <c r="X65" s="121"/>
      <c r="Y65" s="121"/>
      <c r="Z65" s="121"/>
      <c r="AA65" s="121"/>
      <c r="AB65" s="121"/>
      <c r="AC65" s="121"/>
      <c r="AD65" s="122"/>
      <c r="AE65" s="122"/>
      <c r="AF65" s="122"/>
      <c r="AG65" s="66"/>
      <c r="AH65" s="46"/>
      <c r="AI65" s="76"/>
      <c r="AJ65" s="97"/>
      <c r="AK65" s="39"/>
      <c r="AL65" s="102"/>
      <c r="AM65" s="102"/>
      <c r="AN65" s="102"/>
      <c r="AO65" s="102"/>
      <c r="AP65" s="280"/>
      <c r="AQ65" s="10">
        <f>Потребность!AD65</f>
        <v>0</v>
      </c>
      <c r="AR65" s="10">
        <f>SUM(Потребность!K65:M65)</f>
        <v>0</v>
      </c>
      <c r="AS65" s="9" t="e">
        <f>Потребность!AZ65</f>
        <v>#N/A</v>
      </c>
      <c r="AT65" s="9">
        <f>Потребность!J65</f>
        <v>0</v>
      </c>
      <c r="AU65" s="9" t="e">
        <f>Потребность!N65/Потребность!$N65</f>
        <v>#DIV/0!</v>
      </c>
      <c r="AV65" s="9" t="e">
        <f>Потребность!O65/Потребность!$N65</f>
        <v>#DIV/0!</v>
      </c>
      <c r="AW65" s="9" t="e">
        <f>Потребность!P65/Потребность!$N65</f>
        <v>#DIV/0!</v>
      </c>
      <c r="AX65" s="9" t="e">
        <f>Потребность!T65/Потребность!$T65</f>
        <v>#DIV/0!</v>
      </c>
      <c r="AY65" s="9" t="e">
        <f>Потребность!U65/Потребность!$T65</f>
        <v>#DIV/0!</v>
      </c>
      <c r="AZ65" s="9" t="e">
        <f>Потребность!V65/Потребность!$T65</f>
        <v>#DIV/0!</v>
      </c>
      <c r="BA65" s="141">
        <f>Потребность!Q65</f>
        <v>0</v>
      </c>
      <c r="BB65">
        <f>Потребность!AC65</f>
        <v>0</v>
      </c>
      <c r="BC65" s="141">
        <f>Потребность!AD65</f>
        <v>0</v>
      </c>
    </row>
    <row r="66" spans="1:55" x14ac:dyDescent="0.2">
      <c r="A66" s="85"/>
      <c r="B66" s="195"/>
      <c r="C66" s="85"/>
      <c r="D66" s="85"/>
      <c r="E66" s="195"/>
      <c r="F66" s="35"/>
      <c r="G66" s="65"/>
      <c r="H66" s="36"/>
      <c r="I66" s="37"/>
      <c r="J66" s="37"/>
      <c r="K66" s="35"/>
      <c r="L66" s="38"/>
      <c r="M66" s="128"/>
      <c r="N66" s="38"/>
      <c r="O66" s="128"/>
      <c r="P66" s="53"/>
      <c r="Q66" s="45"/>
      <c r="R66" s="45"/>
      <c r="S66" s="45"/>
      <c r="T66" s="46"/>
      <c r="U66" s="120"/>
      <c r="V66" s="120"/>
      <c r="W66" s="120"/>
      <c r="X66" s="121"/>
      <c r="Y66" s="121"/>
      <c r="Z66" s="121"/>
      <c r="AA66" s="121"/>
      <c r="AB66" s="121"/>
      <c r="AC66" s="121"/>
      <c r="AD66" s="122"/>
      <c r="AE66" s="122"/>
      <c r="AF66" s="122"/>
      <c r="AG66" s="66"/>
      <c r="AH66" s="46"/>
      <c r="AI66" s="76"/>
      <c r="AJ66" s="97"/>
      <c r="AK66" s="39"/>
      <c r="AL66" s="102"/>
      <c r="AM66" s="102"/>
      <c r="AN66" s="102"/>
      <c r="AO66" s="102"/>
      <c r="AP66" s="280"/>
      <c r="AQ66" s="10">
        <f>Потребность!AD66</f>
        <v>0</v>
      </c>
      <c r="AR66" s="10">
        <f>SUM(Потребность!K66:M66)</f>
        <v>0</v>
      </c>
      <c r="AS66" s="9" t="e">
        <f>Потребность!AZ66</f>
        <v>#N/A</v>
      </c>
      <c r="AT66" s="9">
        <f>Потребность!J66</f>
        <v>0</v>
      </c>
      <c r="AU66" s="9" t="e">
        <f>Потребность!N66/Потребность!$N66</f>
        <v>#DIV/0!</v>
      </c>
      <c r="AV66" s="9" t="e">
        <f>Потребность!O66/Потребность!$N66</f>
        <v>#DIV/0!</v>
      </c>
      <c r="AW66" s="9" t="e">
        <f>Потребность!P66/Потребность!$N66</f>
        <v>#DIV/0!</v>
      </c>
      <c r="AX66" s="9" t="e">
        <f>Потребность!T66/Потребность!$T66</f>
        <v>#DIV/0!</v>
      </c>
      <c r="AY66" s="9" t="e">
        <f>Потребность!U66/Потребность!$T66</f>
        <v>#DIV/0!</v>
      </c>
      <c r="AZ66" s="9" t="e">
        <f>Потребность!V66/Потребность!$T66</f>
        <v>#DIV/0!</v>
      </c>
      <c r="BA66" s="141">
        <f>Потребность!Q66</f>
        <v>0</v>
      </c>
      <c r="BB66">
        <f>Потребность!AC66</f>
        <v>0</v>
      </c>
      <c r="BC66" s="141">
        <f>Потребность!AD66</f>
        <v>0</v>
      </c>
    </row>
    <row r="67" spans="1:55" x14ac:dyDescent="0.2">
      <c r="A67" s="85"/>
      <c r="B67" s="195"/>
      <c r="C67" s="85"/>
      <c r="D67" s="85"/>
      <c r="E67" s="195"/>
      <c r="F67" s="35"/>
      <c r="G67" s="65"/>
      <c r="H67" s="36"/>
      <c r="I67" s="37"/>
      <c r="J67" s="37"/>
      <c r="K67" s="35"/>
      <c r="L67" s="38"/>
      <c r="M67" s="128"/>
      <c r="N67" s="38"/>
      <c r="O67" s="128"/>
      <c r="P67" s="53"/>
      <c r="Q67" s="45"/>
      <c r="R67" s="45"/>
      <c r="S67" s="45"/>
      <c r="T67" s="46"/>
      <c r="U67" s="120"/>
      <c r="V67" s="120"/>
      <c r="W67" s="120"/>
      <c r="X67" s="121"/>
      <c r="Y67" s="121"/>
      <c r="Z67" s="121"/>
      <c r="AA67" s="121"/>
      <c r="AB67" s="121"/>
      <c r="AC67" s="121"/>
      <c r="AD67" s="122"/>
      <c r="AE67" s="122"/>
      <c r="AF67" s="122"/>
      <c r="AG67" s="66"/>
      <c r="AH67" s="46"/>
      <c r="AI67" s="76"/>
      <c r="AJ67" s="97"/>
      <c r="AK67" s="39"/>
      <c r="AL67" s="102"/>
      <c r="AM67" s="102"/>
      <c r="AN67" s="102"/>
      <c r="AO67" s="102"/>
      <c r="AP67" s="280"/>
      <c r="AQ67" s="10">
        <f>Потребность!AD67</f>
        <v>0</v>
      </c>
      <c r="AR67" s="10">
        <f>SUM(Потребность!K67:M67)</f>
        <v>0</v>
      </c>
      <c r="AS67" s="9" t="e">
        <f>Потребность!AZ67</f>
        <v>#N/A</v>
      </c>
      <c r="AT67" s="9">
        <f>Потребность!J67</f>
        <v>0</v>
      </c>
      <c r="AU67" s="9" t="e">
        <f>Потребность!N67/Потребность!$N67</f>
        <v>#DIV/0!</v>
      </c>
      <c r="AV67" s="9" t="e">
        <f>Потребность!O67/Потребность!$N67</f>
        <v>#DIV/0!</v>
      </c>
      <c r="AW67" s="9" t="e">
        <f>Потребность!P67/Потребность!$N67</f>
        <v>#DIV/0!</v>
      </c>
      <c r="AX67" s="9" t="e">
        <f>Потребность!T67/Потребность!$T67</f>
        <v>#DIV/0!</v>
      </c>
      <c r="AY67" s="9" t="e">
        <f>Потребность!U67/Потребность!$T67</f>
        <v>#DIV/0!</v>
      </c>
      <c r="AZ67" s="9" t="e">
        <f>Потребность!V67/Потребность!$T67</f>
        <v>#DIV/0!</v>
      </c>
      <c r="BA67" s="141">
        <f>Потребность!Q67</f>
        <v>0</v>
      </c>
      <c r="BB67">
        <f>Потребность!AC67</f>
        <v>0</v>
      </c>
      <c r="BC67" s="141">
        <f>Потребность!AD67</f>
        <v>0</v>
      </c>
    </row>
    <row r="68" spans="1:55" x14ac:dyDescent="0.2">
      <c r="A68" s="85"/>
      <c r="B68" s="195"/>
      <c r="C68" s="85"/>
      <c r="D68" s="85"/>
      <c r="E68" s="195"/>
      <c r="F68" s="35"/>
      <c r="G68" s="65"/>
      <c r="H68" s="36"/>
      <c r="I68" s="37"/>
      <c r="J68" s="37"/>
      <c r="K68" s="35"/>
      <c r="L68" s="38"/>
      <c r="M68" s="128"/>
      <c r="N68" s="38"/>
      <c r="O68" s="128"/>
      <c r="P68" s="53"/>
      <c r="Q68" s="45"/>
      <c r="R68" s="45"/>
      <c r="S68" s="45"/>
      <c r="T68" s="46"/>
      <c r="U68" s="120"/>
      <c r="V68" s="120"/>
      <c r="W68" s="120"/>
      <c r="X68" s="121"/>
      <c r="Y68" s="121"/>
      <c r="Z68" s="121"/>
      <c r="AA68" s="121"/>
      <c r="AB68" s="121"/>
      <c r="AC68" s="121"/>
      <c r="AD68" s="122"/>
      <c r="AE68" s="122"/>
      <c r="AF68" s="122"/>
      <c r="AG68" s="66"/>
      <c r="AH68" s="46"/>
      <c r="AI68" s="76"/>
      <c r="AJ68" s="97"/>
      <c r="AK68" s="39"/>
      <c r="AL68" s="102"/>
      <c r="AM68" s="102"/>
      <c r="AN68" s="102"/>
      <c r="AO68" s="102"/>
      <c r="AP68" s="280"/>
      <c r="AQ68" s="10">
        <f>Потребность!AD68</f>
        <v>0</v>
      </c>
      <c r="AR68" s="10">
        <f>SUM(Потребность!K68:M68)</f>
        <v>0</v>
      </c>
      <c r="AS68" s="9" t="e">
        <f>Потребность!AZ68</f>
        <v>#N/A</v>
      </c>
      <c r="AT68" s="9">
        <f>Потребность!J68</f>
        <v>0</v>
      </c>
      <c r="AU68" s="9" t="e">
        <f>Потребность!N68/Потребность!$N68</f>
        <v>#DIV/0!</v>
      </c>
      <c r="AV68" s="9" t="e">
        <f>Потребность!O68/Потребность!$N68</f>
        <v>#DIV/0!</v>
      </c>
      <c r="AW68" s="9" t="e">
        <f>Потребность!P68/Потребность!$N68</f>
        <v>#DIV/0!</v>
      </c>
      <c r="AX68" s="9" t="e">
        <f>Потребность!T68/Потребность!$T68</f>
        <v>#DIV/0!</v>
      </c>
      <c r="AY68" s="9" t="e">
        <f>Потребность!U68/Потребность!$T68</f>
        <v>#DIV/0!</v>
      </c>
      <c r="AZ68" s="9" t="e">
        <f>Потребность!V68/Потребность!$T68</f>
        <v>#DIV/0!</v>
      </c>
      <c r="BA68" s="141">
        <f>Потребность!Q68</f>
        <v>0</v>
      </c>
      <c r="BB68">
        <f>Потребность!AC68</f>
        <v>0</v>
      </c>
      <c r="BC68" s="141">
        <f>Потребность!AD68</f>
        <v>0</v>
      </c>
    </row>
    <row r="69" spans="1:55" x14ac:dyDescent="0.2">
      <c r="A69" s="85"/>
      <c r="B69" s="195"/>
      <c r="C69" s="85"/>
      <c r="D69" s="85"/>
      <c r="E69" s="195"/>
      <c r="F69" s="35"/>
      <c r="G69" s="65"/>
      <c r="H69" s="36"/>
      <c r="I69" s="37"/>
      <c r="J69" s="37"/>
      <c r="K69" s="35"/>
      <c r="L69" s="38"/>
      <c r="M69" s="128"/>
      <c r="N69" s="38"/>
      <c r="O69" s="128"/>
      <c r="P69" s="53"/>
      <c r="Q69" s="45"/>
      <c r="R69" s="45"/>
      <c r="S69" s="45"/>
      <c r="T69" s="46"/>
      <c r="U69" s="120"/>
      <c r="V69" s="120"/>
      <c r="W69" s="120"/>
      <c r="X69" s="121"/>
      <c r="Y69" s="121"/>
      <c r="Z69" s="121"/>
      <c r="AA69" s="121"/>
      <c r="AB69" s="121"/>
      <c r="AC69" s="121"/>
      <c r="AD69" s="122"/>
      <c r="AE69" s="122"/>
      <c r="AF69" s="122"/>
      <c r="AG69" s="66"/>
      <c r="AH69" s="46"/>
      <c r="AI69" s="76"/>
      <c r="AJ69" s="97"/>
      <c r="AK69" s="39"/>
      <c r="AL69" s="102"/>
      <c r="AM69" s="102"/>
      <c r="AN69" s="102"/>
      <c r="AO69" s="102"/>
      <c r="AP69" s="280"/>
      <c r="AQ69" s="10">
        <f>Потребность!AD69</f>
        <v>0</v>
      </c>
      <c r="AR69" s="10">
        <f>SUM(Потребность!K69:M69)</f>
        <v>0</v>
      </c>
      <c r="AS69" s="9" t="e">
        <f>Потребность!AZ69</f>
        <v>#N/A</v>
      </c>
      <c r="AT69" s="9">
        <f>Потребность!J69</f>
        <v>0</v>
      </c>
      <c r="AU69" s="9" t="e">
        <f>Потребность!N69/Потребность!$N69</f>
        <v>#DIV/0!</v>
      </c>
      <c r="AV69" s="9" t="e">
        <f>Потребность!O69/Потребность!$N69</f>
        <v>#DIV/0!</v>
      </c>
      <c r="AW69" s="9" t="e">
        <f>Потребность!P69/Потребность!$N69</f>
        <v>#DIV/0!</v>
      </c>
      <c r="AX69" s="9" t="e">
        <f>Потребность!T69/Потребность!$T69</f>
        <v>#DIV/0!</v>
      </c>
      <c r="AY69" s="9" t="e">
        <f>Потребность!U69/Потребность!$T69</f>
        <v>#DIV/0!</v>
      </c>
      <c r="AZ69" s="9" t="e">
        <f>Потребность!V69/Потребность!$T69</f>
        <v>#DIV/0!</v>
      </c>
      <c r="BA69" s="141">
        <f>Потребность!Q69</f>
        <v>0</v>
      </c>
      <c r="BB69">
        <f>Потребность!AC69</f>
        <v>0</v>
      </c>
      <c r="BC69" s="141">
        <f>Потребность!AD69</f>
        <v>0</v>
      </c>
    </row>
    <row r="70" spans="1:55" x14ac:dyDescent="0.2">
      <c r="A70" s="85"/>
      <c r="B70" s="195"/>
      <c r="C70" s="85"/>
      <c r="D70" s="85"/>
      <c r="E70" s="195"/>
      <c r="F70" s="35"/>
      <c r="G70" s="65"/>
      <c r="H70" s="36"/>
      <c r="I70" s="37"/>
      <c r="J70" s="37"/>
      <c r="K70" s="35"/>
      <c r="L70" s="38"/>
      <c r="M70" s="128"/>
      <c r="N70" s="38"/>
      <c r="O70" s="128"/>
      <c r="P70" s="53"/>
      <c r="Q70" s="45"/>
      <c r="R70" s="45"/>
      <c r="S70" s="45"/>
      <c r="T70" s="46"/>
      <c r="U70" s="120"/>
      <c r="V70" s="120"/>
      <c r="W70" s="120"/>
      <c r="X70" s="121"/>
      <c r="Y70" s="121"/>
      <c r="Z70" s="121"/>
      <c r="AA70" s="121"/>
      <c r="AB70" s="121"/>
      <c r="AC70" s="121"/>
      <c r="AD70" s="122"/>
      <c r="AE70" s="122"/>
      <c r="AF70" s="122"/>
      <c r="AG70" s="66"/>
      <c r="AH70" s="46"/>
      <c r="AI70" s="76"/>
      <c r="AJ70" s="97"/>
      <c r="AK70" s="39"/>
      <c r="AL70" s="102"/>
      <c r="AM70" s="102"/>
      <c r="AN70" s="102"/>
      <c r="AO70" s="102"/>
      <c r="AP70" s="280"/>
      <c r="AQ70" s="10">
        <f>Потребность!AD70</f>
        <v>0</v>
      </c>
      <c r="AR70" s="10">
        <f>SUM(Потребность!K70:M70)</f>
        <v>0</v>
      </c>
      <c r="AS70" s="9" t="e">
        <f>Потребность!AZ70</f>
        <v>#N/A</v>
      </c>
      <c r="AT70" s="9">
        <f>Потребность!J70</f>
        <v>0</v>
      </c>
      <c r="AU70" s="9" t="e">
        <f>Потребность!N70/Потребность!$N70</f>
        <v>#DIV/0!</v>
      </c>
      <c r="AV70" s="9" t="e">
        <f>Потребность!O70/Потребность!$N70</f>
        <v>#DIV/0!</v>
      </c>
      <c r="AW70" s="9" t="e">
        <f>Потребность!P70/Потребность!$N70</f>
        <v>#DIV/0!</v>
      </c>
      <c r="AX70" s="9" t="e">
        <f>Потребность!T70/Потребность!$T70</f>
        <v>#DIV/0!</v>
      </c>
      <c r="AY70" s="9" t="e">
        <f>Потребность!U70/Потребность!$T70</f>
        <v>#DIV/0!</v>
      </c>
      <c r="AZ70" s="9" t="e">
        <f>Потребность!V70/Потребность!$T70</f>
        <v>#DIV/0!</v>
      </c>
      <c r="BA70" s="141">
        <f>Потребность!Q70</f>
        <v>0</v>
      </c>
      <c r="BB70">
        <f>Потребность!AC70</f>
        <v>0</v>
      </c>
      <c r="BC70" s="141">
        <f>Потребность!AD70</f>
        <v>0</v>
      </c>
    </row>
    <row r="71" spans="1:55" x14ac:dyDescent="0.2">
      <c r="A71" s="85"/>
      <c r="B71" s="195"/>
      <c r="C71" s="85"/>
      <c r="D71" s="85"/>
      <c r="E71" s="195"/>
      <c r="F71" s="35"/>
      <c r="G71" s="65"/>
      <c r="H71" s="36"/>
      <c r="I71" s="37"/>
      <c r="J71" s="37"/>
      <c r="K71" s="35"/>
      <c r="L71" s="38"/>
      <c r="M71" s="128"/>
      <c r="N71" s="38"/>
      <c r="O71" s="128"/>
      <c r="P71" s="53"/>
      <c r="Q71" s="45"/>
      <c r="R71" s="45"/>
      <c r="S71" s="45"/>
      <c r="T71" s="46"/>
      <c r="U71" s="120"/>
      <c r="V71" s="120"/>
      <c r="W71" s="120"/>
      <c r="X71" s="121"/>
      <c r="Y71" s="121"/>
      <c r="Z71" s="121"/>
      <c r="AA71" s="121"/>
      <c r="AB71" s="121"/>
      <c r="AC71" s="121"/>
      <c r="AD71" s="122"/>
      <c r="AE71" s="122"/>
      <c r="AF71" s="122"/>
      <c r="AG71" s="66"/>
      <c r="AH71" s="46"/>
      <c r="AI71" s="76"/>
      <c r="AJ71" s="97"/>
      <c r="AK71" s="39"/>
      <c r="AL71" s="102"/>
      <c r="AM71" s="102"/>
      <c r="AN71" s="102"/>
      <c r="AO71" s="102"/>
      <c r="AP71" s="280"/>
      <c r="AQ71" s="10">
        <f>Потребность!AD71</f>
        <v>0</v>
      </c>
      <c r="AR71" s="10">
        <f>SUM(Потребность!K71:M71)</f>
        <v>0</v>
      </c>
      <c r="AS71" s="9" t="e">
        <f>Потребность!AZ71</f>
        <v>#N/A</v>
      </c>
      <c r="AT71" s="9">
        <f>Потребность!J71</f>
        <v>0</v>
      </c>
      <c r="AU71" s="9" t="e">
        <f>Потребность!N71/Потребность!$N71</f>
        <v>#DIV/0!</v>
      </c>
      <c r="AV71" s="9" t="e">
        <f>Потребность!O71/Потребность!$N71</f>
        <v>#DIV/0!</v>
      </c>
      <c r="AW71" s="9" t="e">
        <f>Потребность!P71/Потребность!$N71</f>
        <v>#DIV/0!</v>
      </c>
      <c r="AX71" s="9" t="e">
        <f>Потребность!T71/Потребность!$T71</f>
        <v>#DIV/0!</v>
      </c>
      <c r="AY71" s="9" t="e">
        <f>Потребность!U71/Потребность!$T71</f>
        <v>#DIV/0!</v>
      </c>
      <c r="AZ71" s="9" t="e">
        <f>Потребность!V71/Потребность!$T71</f>
        <v>#DIV/0!</v>
      </c>
      <c r="BA71" s="141">
        <f>Потребность!Q71</f>
        <v>0</v>
      </c>
      <c r="BB71">
        <f>Потребность!AC71</f>
        <v>0</v>
      </c>
      <c r="BC71" s="141">
        <f>Потребность!AD71</f>
        <v>0</v>
      </c>
    </row>
    <row r="72" spans="1:55" x14ac:dyDescent="0.2">
      <c r="A72" s="85"/>
      <c r="B72" s="195"/>
      <c r="C72" s="85"/>
      <c r="D72" s="85"/>
      <c r="E72" s="195"/>
      <c r="F72" s="35"/>
      <c r="G72" s="65"/>
      <c r="H72" s="36"/>
      <c r="I72" s="37"/>
      <c r="J72" s="37"/>
      <c r="K72" s="35"/>
      <c r="L72" s="38"/>
      <c r="M72" s="128"/>
      <c r="N72" s="38"/>
      <c r="O72" s="128"/>
      <c r="P72" s="53"/>
      <c r="Q72" s="45"/>
      <c r="R72" s="45"/>
      <c r="S72" s="45"/>
      <c r="T72" s="46"/>
      <c r="U72" s="120"/>
      <c r="V72" s="120"/>
      <c r="W72" s="120"/>
      <c r="X72" s="121"/>
      <c r="Y72" s="121"/>
      <c r="Z72" s="121"/>
      <c r="AA72" s="121"/>
      <c r="AB72" s="121"/>
      <c r="AC72" s="121"/>
      <c r="AD72" s="122"/>
      <c r="AE72" s="122"/>
      <c r="AF72" s="122"/>
      <c r="AG72" s="66"/>
      <c r="AH72" s="46"/>
      <c r="AI72" s="76"/>
      <c r="AJ72" s="97"/>
      <c r="AK72" s="39"/>
      <c r="AL72" s="102"/>
      <c r="AM72" s="102"/>
      <c r="AN72" s="102"/>
      <c r="AO72" s="102"/>
      <c r="AP72" s="280"/>
      <c r="AQ72" s="10">
        <f>Потребность!AD72</f>
        <v>0</v>
      </c>
      <c r="AR72" s="10">
        <f>SUM(Потребность!K72:M72)</f>
        <v>0</v>
      </c>
      <c r="AS72" s="9" t="e">
        <f>Потребность!AZ72</f>
        <v>#N/A</v>
      </c>
      <c r="AT72" s="9">
        <f>Потребность!J72</f>
        <v>0</v>
      </c>
      <c r="AU72" s="9" t="e">
        <f>Потребность!N72/Потребность!$N72</f>
        <v>#DIV/0!</v>
      </c>
      <c r="AV72" s="9" t="e">
        <f>Потребность!O72/Потребность!$N72</f>
        <v>#DIV/0!</v>
      </c>
      <c r="AW72" s="9" t="e">
        <f>Потребность!P72/Потребность!$N72</f>
        <v>#DIV/0!</v>
      </c>
      <c r="AX72" s="9" t="e">
        <f>Потребность!T72/Потребность!$T72</f>
        <v>#DIV/0!</v>
      </c>
      <c r="AY72" s="9" t="e">
        <f>Потребность!U72/Потребность!$T72</f>
        <v>#DIV/0!</v>
      </c>
      <c r="AZ72" s="9" t="e">
        <f>Потребность!V72/Потребность!$T72</f>
        <v>#DIV/0!</v>
      </c>
      <c r="BA72" s="141">
        <f>Потребность!Q72</f>
        <v>0</v>
      </c>
      <c r="BB72">
        <f>Потребность!AC72</f>
        <v>0</v>
      </c>
      <c r="BC72" s="141">
        <f>Потребность!AD72</f>
        <v>0</v>
      </c>
    </row>
    <row r="73" spans="1:55" x14ac:dyDescent="0.2">
      <c r="A73" s="85"/>
      <c r="B73" s="195"/>
      <c r="C73" s="85"/>
      <c r="D73" s="85"/>
      <c r="E73" s="195"/>
      <c r="F73" s="35"/>
      <c r="G73" s="65"/>
      <c r="H73" s="36"/>
      <c r="I73" s="37"/>
      <c r="J73" s="37"/>
      <c r="K73" s="35"/>
      <c r="L73" s="38"/>
      <c r="M73" s="128"/>
      <c r="N73" s="38"/>
      <c r="O73" s="128"/>
      <c r="P73" s="53"/>
      <c r="Q73" s="45"/>
      <c r="R73" s="45"/>
      <c r="S73" s="45"/>
      <c r="T73" s="46"/>
      <c r="U73" s="120"/>
      <c r="V73" s="120"/>
      <c r="W73" s="120"/>
      <c r="X73" s="121"/>
      <c r="Y73" s="121"/>
      <c r="Z73" s="121"/>
      <c r="AA73" s="121"/>
      <c r="AB73" s="121"/>
      <c r="AC73" s="121"/>
      <c r="AD73" s="122"/>
      <c r="AE73" s="122"/>
      <c r="AF73" s="122"/>
      <c r="AG73" s="66"/>
      <c r="AH73" s="46"/>
      <c r="AI73" s="76"/>
      <c r="AJ73" s="97"/>
      <c r="AK73" s="39"/>
      <c r="AL73" s="102"/>
      <c r="AM73" s="102"/>
      <c r="AN73" s="102"/>
      <c r="AO73" s="102"/>
      <c r="AP73" s="280"/>
      <c r="AQ73" s="10">
        <f>Потребность!AD73</f>
        <v>0</v>
      </c>
      <c r="AR73" s="10">
        <f>SUM(Потребность!K73:M73)</f>
        <v>0</v>
      </c>
      <c r="AS73" s="9" t="e">
        <f>Потребность!AZ73</f>
        <v>#N/A</v>
      </c>
      <c r="AT73" s="9">
        <f>Потребность!J73</f>
        <v>0</v>
      </c>
      <c r="AU73" s="9" t="e">
        <f>Потребность!N73/Потребность!$N73</f>
        <v>#DIV/0!</v>
      </c>
      <c r="AV73" s="9" t="e">
        <f>Потребность!O73/Потребность!$N73</f>
        <v>#DIV/0!</v>
      </c>
      <c r="AW73" s="9" t="e">
        <f>Потребность!P73/Потребность!$N73</f>
        <v>#DIV/0!</v>
      </c>
      <c r="AX73" s="9" t="e">
        <f>Потребность!T73/Потребность!$T73</f>
        <v>#DIV/0!</v>
      </c>
      <c r="AY73" s="9" t="e">
        <f>Потребность!U73/Потребность!$T73</f>
        <v>#DIV/0!</v>
      </c>
      <c r="AZ73" s="9" t="e">
        <f>Потребность!V73/Потребность!$T73</f>
        <v>#DIV/0!</v>
      </c>
      <c r="BA73" s="141">
        <f>Потребность!Q73</f>
        <v>0</v>
      </c>
      <c r="BB73">
        <f>Потребность!AC73</f>
        <v>0</v>
      </c>
      <c r="BC73" s="141">
        <f>Потребность!AD73</f>
        <v>0</v>
      </c>
    </row>
    <row r="74" spans="1:55" x14ac:dyDescent="0.2">
      <c r="A74" s="85"/>
      <c r="B74" s="195"/>
      <c r="C74" s="85"/>
      <c r="D74" s="85"/>
      <c r="E74" s="195"/>
      <c r="F74" s="35"/>
      <c r="G74" s="65"/>
      <c r="H74" s="36"/>
      <c r="I74" s="37"/>
      <c r="J74" s="37"/>
      <c r="K74" s="35"/>
      <c r="L74" s="38"/>
      <c r="M74" s="128"/>
      <c r="N74" s="38"/>
      <c r="O74" s="128"/>
      <c r="P74" s="53"/>
      <c r="Q74" s="45"/>
      <c r="R74" s="45"/>
      <c r="S74" s="45"/>
      <c r="T74" s="46"/>
      <c r="U74" s="120"/>
      <c r="V74" s="120"/>
      <c r="W74" s="120"/>
      <c r="X74" s="121"/>
      <c r="Y74" s="121"/>
      <c r="Z74" s="121"/>
      <c r="AA74" s="121"/>
      <c r="AB74" s="121"/>
      <c r="AC74" s="121"/>
      <c r="AD74" s="122"/>
      <c r="AE74" s="122"/>
      <c r="AF74" s="122"/>
      <c r="AG74" s="66"/>
      <c r="AH74" s="46"/>
      <c r="AI74" s="76"/>
      <c r="AJ74" s="97"/>
      <c r="AK74" s="39"/>
      <c r="AL74" s="102"/>
      <c r="AM74" s="102"/>
      <c r="AN74" s="102"/>
      <c r="AO74" s="102"/>
      <c r="AP74" s="280"/>
      <c r="AQ74" s="10">
        <f>Потребность!AD74</f>
        <v>0</v>
      </c>
      <c r="AR74" s="10">
        <f>SUM(Потребность!K74:M74)</f>
        <v>0</v>
      </c>
      <c r="AS74" s="9" t="e">
        <f>Потребность!AZ74</f>
        <v>#N/A</v>
      </c>
      <c r="AT74" s="9">
        <f>Потребность!J74</f>
        <v>0</v>
      </c>
      <c r="AU74" s="9" t="e">
        <f>Потребность!N74/Потребность!$N74</f>
        <v>#DIV/0!</v>
      </c>
      <c r="AV74" s="9" t="e">
        <f>Потребность!O74/Потребность!$N74</f>
        <v>#DIV/0!</v>
      </c>
      <c r="AW74" s="9" t="e">
        <f>Потребность!P74/Потребность!$N74</f>
        <v>#DIV/0!</v>
      </c>
      <c r="AX74" s="9" t="e">
        <f>Потребность!T74/Потребность!$T74</f>
        <v>#DIV/0!</v>
      </c>
      <c r="AY74" s="9" t="e">
        <f>Потребность!U74/Потребность!$T74</f>
        <v>#DIV/0!</v>
      </c>
      <c r="AZ74" s="9" t="e">
        <f>Потребность!V74/Потребность!$T74</f>
        <v>#DIV/0!</v>
      </c>
      <c r="BA74" s="141">
        <f>Потребность!Q74</f>
        <v>0</v>
      </c>
      <c r="BB74">
        <f>Потребность!AC74</f>
        <v>0</v>
      </c>
      <c r="BC74" s="141">
        <f>Потребность!AD74</f>
        <v>0</v>
      </c>
    </row>
    <row r="75" spans="1:55" x14ac:dyDescent="0.2">
      <c r="A75" s="85"/>
      <c r="B75" s="195"/>
      <c r="C75" s="85"/>
      <c r="D75" s="85"/>
      <c r="E75" s="195"/>
      <c r="F75" s="35"/>
      <c r="G75" s="65"/>
      <c r="H75" s="36"/>
      <c r="I75" s="37"/>
      <c r="J75" s="37"/>
      <c r="K75" s="35"/>
      <c r="L75" s="38"/>
      <c r="M75" s="128"/>
      <c r="N75" s="38"/>
      <c r="O75" s="128"/>
      <c r="P75" s="53"/>
      <c r="Q75" s="45"/>
      <c r="R75" s="45"/>
      <c r="S75" s="45"/>
      <c r="T75" s="46"/>
      <c r="U75" s="120"/>
      <c r="V75" s="120"/>
      <c r="W75" s="120"/>
      <c r="X75" s="121"/>
      <c r="Y75" s="121"/>
      <c r="Z75" s="121"/>
      <c r="AA75" s="121"/>
      <c r="AB75" s="121"/>
      <c r="AC75" s="121"/>
      <c r="AD75" s="122"/>
      <c r="AE75" s="122"/>
      <c r="AF75" s="122"/>
      <c r="AG75" s="66"/>
      <c r="AH75" s="46"/>
      <c r="AI75" s="76"/>
      <c r="AJ75" s="97"/>
      <c r="AK75" s="39"/>
      <c r="AL75" s="102"/>
      <c r="AM75" s="102"/>
      <c r="AN75" s="102"/>
      <c r="AO75" s="102"/>
      <c r="AP75" s="280"/>
      <c r="AQ75" s="10">
        <f>Потребность!AD75</f>
        <v>0</v>
      </c>
      <c r="AR75" s="10">
        <f>SUM(Потребность!K75:M75)</f>
        <v>0</v>
      </c>
      <c r="AS75" s="9" t="e">
        <f>Потребность!AZ75</f>
        <v>#N/A</v>
      </c>
      <c r="AT75" s="9">
        <f>Потребность!J75</f>
        <v>0</v>
      </c>
      <c r="AU75" s="9" t="e">
        <f>Потребность!N75/Потребность!$N75</f>
        <v>#DIV/0!</v>
      </c>
      <c r="AV75" s="9" t="e">
        <f>Потребность!O75/Потребность!$N75</f>
        <v>#DIV/0!</v>
      </c>
      <c r="AW75" s="9" t="e">
        <f>Потребность!P75/Потребность!$N75</f>
        <v>#DIV/0!</v>
      </c>
      <c r="AX75" s="9" t="e">
        <f>Потребность!T75/Потребность!$T75</f>
        <v>#DIV/0!</v>
      </c>
      <c r="AY75" s="9" t="e">
        <f>Потребность!U75/Потребность!$T75</f>
        <v>#DIV/0!</v>
      </c>
      <c r="AZ75" s="9" t="e">
        <f>Потребность!V75/Потребность!$T75</f>
        <v>#DIV/0!</v>
      </c>
      <c r="BA75" s="141">
        <f>Потребность!Q75</f>
        <v>0</v>
      </c>
      <c r="BB75">
        <f>Потребность!AC75</f>
        <v>0</v>
      </c>
      <c r="BC75" s="141">
        <f>Потребность!AD75</f>
        <v>0</v>
      </c>
    </row>
    <row r="76" spans="1:55" x14ac:dyDescent="0.2">
      <c r="A76" s="85"/>
      <c r="B76" s="195"/>
      <c r="C76" s="85"/>
      <c r="D76" s="85"/>
      <c r="E76" s="195"/>
      <c r="F76" s="35"/>
      <c r="G76" s="65"/>
      <c r="H76" s="36"/>
      <c r="I76" s="37"/>
      <c r="J76" s="37"/>
      <c r="K76" s="35"/>
      <c r="L76" s="38"/>
      <c r="M76" s="128"/>
      <c r="N76" s="38"/>
      <c r="O76" s="128"/>
      <c r="P76" s="53"/>
      <c r="Q76" s="45"/>
      <c r="R76" s="45"/>
      <c r="S76" s="45"/>
      <c r="T76" s="46"/>
      <c r="U76" s="120"/>
      <c r="V76" s="120"/>
      <c r="W76" s="120"/>
      <c r="X76" s="121"/>
      <c r="Y76" s="121"/>
      <c r="Z76" s="121"/>
      <c r="AA76" s="121"/>
      <c r="AB76" s="121"/>
      <c r="AC76" s="121"/>
      <c r="AD76" s="122"/>
      <c r="AE76" s="122"/>
      <c r="AF76" s="122"/>
      <c r="AG76" s="66"/>
      <c r="AH76" s="46"/>
      <c r="AI76" s="76"/>
      <c r="AJ76" s="97"/>
      <c r="AK76" s="39"/>
      <c r="AL76" s="102"/>
      <c r="AM76" s="102"/>
      <c r="AN76" s="102"/>
      <c r="AO76" s="102"/>
      <c r="AP76" s="280"/>
      <c r="AQ76" s="10">
        <f>Потребность!AD76</f>
        <v>0</v>
      </c>
      <c r="AR76" s="10">
        <f>SUM(Потребность!K76:M76)</f>
        <v>0</v>
      </c>
      <c r="AS76" s="9" t="e">
        <f>Потребность!AZ76</f>
        <v>#N/A</v>
      </c>
      <c r="AT76" s="9">
        <f>Потребность!J76</f>
        <v>0</v>
      </c>
      <c r="AU76" s="9" t="e">
        <f>Потребность!N76/Потребность!$N76</f>
        <v>#DIV/0!</v>
      </c>
      <c r="AV76" s="9" t="e">
        <f>Потребность!O76/Потребность!$N76</f>
        <v>#DIV/0!</v>
      </c>
      <c r="AW76" s="9" t="e">
        <f>Потребность!P76/Потребность!$N76</f>
        <v>#DIV/0!</v>
      </c>
      <c r="AX76" s="9" t="e">
        <f>Потребность!T76/Потребность!$T76</f>
        <v>#DIV/0!</v>
      </c>
      <c r="AY76" s="9" t="e">
        <f>Потребность!U76/Потребность!$T76</f>
        <v>#DIV/0!</v>
      </c>
      <c r="AZ76" s="9" t="e">
        <f>Потребность!V76/Потребность!$T76</f>
        <v>#DIV/0!</v>
      </c>
      <c r="BA76" s="141">
        <f>Потребность!Q76</f>
        <v>0</v>
      </c>
      <c r="BB76">
        <f>Потребность!AC76</f>
        <v>0</v>
      </c>
      <c r="BC76" s="141">
        <f>Потребность!AD76</f>
        <v>0</v>
      </c>
    </row>
    <row r="77" spans="1:55" x14ac:dyDescent="0.2">
      <c r="A77" s="85"/>
      <c r="B77" s="195"/>
      <c r="C77" s="85"/>
      <c r="D77" s="85"/>
      <c r="E77" s="195"/>
      <c r="F77" s="35"/>
      <c r="G77" s="65"/>
      <c r="H77" s="36"/>
      <c r="I77" s="37"/>
      <c r="J77" s="37"/>
      <c r="K77" s="35"/>
      <c r="L77" s="38"/>
      <c r="M77" s="128"/>
      <c r="N77" s="38"/>
      <c r="O77" s="128"/>
      <c r="P77" s="53"/>
      <c r="Q77" s="45"/>
      <c r="R77" s="45"/>
      <c r="S77" s="45"/>
      <c r="T77" s="46"/>
      <c r="U77" s="120"/>
      <c r="V77" s="120"/>
      <c r="W77" s="120"/>
      <c r="X77" s="121"/>
      <c r="Y77" s="121"/>
      <c r="Z77" s="121"/>
      <c r="AA77" s="121"/>
      <c r="AB77" s="121"/>
      <c r="AC77" s="121"/>
      <c r="AD77" s="122"/>
      <c r="AE77" s="122"/>
      <c r="AF77" s="122"/>
      <c r="AG77" s="66"/>
      <c r="AH77" s="46"/>
      <c r="AI77" s="76"/>
      <c r="AJ77" s="97"/>
      <c r="AK77" s="39"/>
      <c r="AL77" s="102"/>
      <c r="AM77" s="102"/>
      <c r="AN77" s="102"/>
      <c r="AO77" s="102"/>
      <c r="AP77" s="280"/>
      <c r="AQ77" s="10">
        <f>Потребность!AD77</f>
        <v>0</v>
      </c>
      <c r="AR77" s="10">
        <f>SUM(Потребность!K77:M77)</f>
        <v>0</v>
      </c>
      <c r="AS77" s="9" t="e">
        <f>Потребность!AZ77</f>
        <v>#N/A</v>
      </c>
      <c r="AT77" s="9">
        <f>Потребность!J77</f>
        <v>0</v>
      </c>
      <c r="AU77" s="9" t="e">
        <f>Потребность!N77/Потребность!$N77</f>
        <v>#DIV/0!</v>
      </c>
      <c r="AV77" s="9" t="e">
        <f>Потребность!O77/Потребность!$N77</f>
        <v>#DIV/0!</v>
      </c>
      <c r="AW77" s="9" t="e">
        <f>Потребность!P77/Потребность!$N77</f>
        <v>#DIV/0!</v>
      </c>
      <c r="AX77" s="9" t="e">
        <f>Потребность!T77/Потребность!$T77</f>
        <v>#DIV/0!</v>
      </c>
      <c r="AY77" s="9" t="e">
        <f>Потребность!U77/Потребность!$T77</f>
        <v>#DIV/0!</v>
      </c>
      <c r="AZ77" s="9" t="e">
        <f>Потребность!V77/Потребность!$T77</f>
        <v>#DIV/0!</v>
      </c>
      <c r="BA77" s="141">
        <f>Потребность!Q77</f>
        <v>0</v>
      </c>
      <c r="BB77">
        <f>Потребность!AC77</f>
        <v>0</v>
      </c>
      <c r="BC77" s="141">
        <f>Потребность!AD77</f>
        <v>0</v>
      </c>
    </row>
    <row r="78" spans="1:55" x14ac:dyDescent="0.2">
      <c r="A78" s="85"/>
      <c r="B78" s="195"/>
      <c r="C78" s="85"/>
      <c r="D78" s="85"/>
      <c r="E78" s="195"/>
      <c r="F78" s="35"/>
      <c r="G78" s="65"/>
      <c r="H78" s="36"/>
      <c r="I78" s="37"/>
      <c r="J78" s="37"/>
      <c r="K78" s="35"/>
      <c r="L78" s="38"/>
      <c r="M78" s="128"/>
      <c r="N78" s="38"/>
      <c r="O78" s="128"/>
      <c r="P78" s="53"/>
      <c r="Q78" s="45"/>
      <c r="R78" s="45"/>
      <c r="S78" s="45"/>
      <c r="T78" s="46"/>
      <c r="U78" s="120"/>
      <c r="V78" s="120"/>
      <c r="W78" s="120"/>
      <c r="X78" s="121"/>
      <c r="Y78" s="121"/>
      <c r="Z78" s="121"/>
      <c r="AA78" s="121"/>
      <c r="AB78" s="121"/>
      <c r="AC78" s="121"/>
      <c r="AD78" s="122"/>
      <c r="AE78" s="122"/>
      <c r="AF78" s="122"/>
      <c r="AG78" s="66"/>
      <c r="AH78" s="46"/>
      <c r="AI78" s="76"/>
      <c r="AJ78" s="97"/>
      <c r="AK78" s="39"/>
      <c r="AL78" s="102"/>
      <c r="AM78" s="102"/>
      <c r="AN78" s="102"/>
      <c r="AO78" s="102"/>
      <c r="AP78" s="280"/>
      <c r="AQ78" s="10">
        <f>Потребность!AD78</f>
        <v>0</v>
      </c>
      <c r="AR78" s="10">
        <f>SUM(Потребность!K78:M78)</f>
        <v>0</v>
      </c>
      <c r="AS78" s="9" t="e">
        <f>Потребность!AZ78</f>
        <v>#N/A</v>
      </c>
      <c r="AT78" s="9">
        <f>Потребность!J78</f>
        <v>0</v>
      </c>
      <c r="AU78" s="9" t="e">
        <f>Потребность!N78/Потребность!$N78</f>
        <v>#DIV/0!</v>
      </c>
      <c r="AV78" s="9" t="e">
        <f>Потребность!O78/Потребность!$N78</f>
        <v>#DIV/0!</v>
      </c>
      <c r="AW78" s="9" t="e">
        <f>Потребность!P78/Потребность!$N78</f>
        <v>#DIV/0!</v>
      </c>
      <c r="AX78" s="9" t="e">
        <f>Потребность!T78/Потребность!$T78</f>
        <v>#DIV/0!</v>
      </c>
      <c r="AY78" s="9" t="e">
        <f>Потребность!U78/Потребность!$T78</f>
        <v>#DIV/0!</v>
      </c>
      <c r="AZ78" s="9" t="e">
        <f>Потребность!V78/Потребность!$T78</f>
        <v>#DIV/0!</v>
      </c>
      <c r="BA78" s="141">
        <f>Потребность!Q78</f>
        <v>0</v>
      </c>
      <c r="BB78">
        <f>Потребность!AC78</f>
        <v>0</v>
      </c>
      <c r="BC78" s="141">
        <f>Потребность!AD78</f>
        <v>0</v>
      </c>
    </row>
    <row r="79" spans="1:55" x14ac:dyDescent="0.2">
      <c r="A79" s="85"/>
      <c r="B79" s="195"/>
      <c r="C79" s="85"/>
      <c r="D79" s="85"/>
      <c r="E79" s="195"/>
      <c r="F79" s="35"/>
      <c r="G79" s="65"/>
      <c r="H79" s="36"/>
      <c r="I79" s="37"/>
      <c r="J79" s="37"/>
      <c r="K79" s="35"/>
      <c r="L79" s="38"/>
      <c r="M79" s="128"/>
      <c r="N79" s="38"/>
      <c r="O79" s="128"/>
      <c r="P79" s="53"/>
      <c r="Q79" s="45"/>
      <c r="R79" s="45"/>
      <c r="S79" s="45"/>
      <c r="T79" s="46"/>
      <c r="U79" s="120"/>
      <c r="V79" s="120"/>
      <c r="W79" s="120"/>
      <c r="X79" s="121"/>
      <c r="Y79" s="121"/>
      <c r="Z79" s="121"/>
      <c r="AA79" s="121"/>
      <c r="AB79" s="121"/>
      <c r="AC79" s="121"/>
      <c r="AD79" s="122"/>
      <c r="AE79" s="122"/>
      <c r="AF79" s="122"/>
      <c r="AG79" s="66"/>
      <c r="AH79" s="46"/>
      <c r="AI79" s="76"/>
      <c r="AJ79" s="97"/>
      <c r="AK79" s="39"/>
      <c r="AL79" s="102"/>
      <c r="AM79" s="102"/>
      <c r="AN79" s="102"/>
      <c r="AO79" s="102"/>
      <c r="AP79" s="280"/>
      <c r="AQ79" s="10">
        <f>Потребность!AD79</f>
        <v>0</v>
      </c>
      <c r="AR79" s="10">
        <f>SUM(Потребность!K79:M79)</f>
        <v>0</v>
      </c>
      <c r="AS79" s="9" t="e">
        <f>Потребность!AZ79</f>
        <v>#N/A</v>
      </c>
      <c r="AT79" s="9">
        <f>Потребность!J79</f>
        <v>0</v>
      </c>
      <c r="AU79" s="9" t="e">
        <f>Потребность!N79/Потребность!$N79</f>
        <v>#DIV/0!</v>
      </c>
      <c r="AV79" s="9" t="e">
        <f>Потребность!O79/Потребность!$N79</f>
        <v>#DIV/0!</v>
      </c>
      <c r="AW79" s="9" t="e">
        <f>Потребность!P79/Потребность!$N79</f>
        <v>#DIV/0!</v>
      </c>
      <c r="AX79" s="9" t="e">
        <f>Потребность!T79/Потребность!$T79</f>
        <v>#DIV/0!</v>
      </c>
      <c r="AY79" s="9" t="e">
        <f>Потребность!U79/Потребность!$T79</f>
        <v>#DIV/0!</v>
      </c>
      <c r="AZ79" s="9" t="e">
        <f>Потребность!V79/Потребность!$T79</f>
        <v>#DIV/0!</v>
      </c>
      <c r="BA79" s="141">
        <f>Потребность!Q79</f>
        <v>0</v>
      </c>
      <c r="BB79">
        <f>Потребность!AC79</f>
        <v>0</v>
      </c>
      <c r="BC79" s="141">
        <f>Потребность!AD79</f>
        <v>0</v>
      </c>
    </row>
    <row r="80" spans="1:55" x14ac:dyDescent="0.2">
      <c r="A80" s="85"/>
      <c r="B80" s="195"/>
      <c r="C80" s="85"/>
      <c r="D80" s="85"/>
      <c r="E80" s="195"/>
      <c r="F80" s="35"/>
      <c r="G80" s="65"/>
      <c r="H80" s="36"/>
      <c r="I80" s="37"/>
      <c r="J80" s="37"/>
      <c r="K80" s="35"/>
      <c r="L80" s="38"/>
      <c r="M80" s="128"/>
      <c r="N80" s="38"/>
      <c r="O80" s="128"/>
      <c r="P80" s="53"/>
      <c r="Q80" s="45"/>
      <c r="R80" s="45"/>
      <c r="S80" s="45"/>
      <c r="T80" s="46"/>
      <c r="U80" s="120"/>
      <c r="V80" s="120"/>
      <c r="W80" s="120"/>
      <c r="X80" s="121"/>
      <c r="Y80" s="121"/>
      <c r="Z80" s="121"/>
      <c r="AA80" s="121"/>
      <c r="AB80" s="121"/>
      <c r="AC80" s="121"/>
      <c r="AD80" s="122"/>
      <c r="AE80" s="122"/>
      <c r="AF80" s="122"/>
      <c r="AG80" s="66"/>
      <c r="AH80" s="46"/>
      <c r="AI80" s="76"/>
      <c r="AJ80" s="97"/>
      <c r="AK80" s="39"/>
      <c r="AL80" s="102"/>
      <c r="AM80" s="102"/>
      <c r="AN80" s="102"/>
      <c r="AO80" s="102"/>
      <c r="AP80" s="280"/>
      <c r="AQ80" s="10">
        <f>Потребность!AD80</f>
        <v>0</v>
      </c>
      <c r="AR80" s="10">
        <f>SUM(Потребность!K80:M80)</f>
        <v>0</v>
      </c>
      <c r="AS80" s="9" t="e">
        <f>Потребность!AZ80</f>
        <v>#N/A</v>
      </c>
      <c r="AT80" s="9">
        <f>Потребность!J80</f>
        <v>0</v>
      </c>
      <c r="AU80" s="9" t="e">
        <f>Потребность!N80/Потребность!$N80</f>
        <v>#DIV/0!</v>
      </c>
      <c r="AV80" s="9" t="e">
        <f>Потребность!O80/Потребность!$N80</f>
        <v>#DIV/0!</v>
      </c>
      <c r="AW80" s="9" t="e">
        <f>Потребность!P80/Потребность!$N80</f>
        <v>#DIV/0!</v>
      </c>
      <c r="AX80" s="9" t="e">
        <f>Потребность!T80/Потребность!$T80</f>
        <v>#DIV/0!</v>
      </c>
      <c r="AY80" s="9" t="e">
        <f>Потребность!U80/Потребность!$T80</f>
        <v>#DIV/0!</v>
      </c>
      <c r="AZ80" s="9" t="e">
        <f>Потребность!V80/Потребность!$T80</f>
        <v>#DIV/0!</v>
      </c>
      <c r="BA80" s="141">
        <f>Потребность!Q80</f>
        <v>0</v>
      </c>
      <c r="BB80">
        <f>Потребность!AC80</f>
        <v>0</v>
      </c>
      <c r="BC80" s="141">
        <f>Потребность!AD80</f>
        <v>0</v>
      </c>
    </row>
    <row r="81" spans="1:55" x14ac:dyDescent="0.2">
      <c r="A81" s="85"/>
      <c r="B81" s="195"/>
      <c r="C81" s="85"/>
      <c r="D81" s="85"/>
      <c r="E81" s="195"/>
      <c r="F81" s="35"/>
      <c r="G81" s="65"/>
      <c r="H81" s="36"/>
      <c r="I81" s="37"/>
      <c r="J81" s="37"/>
      <c r="K81" s="35"/>
      <c r="L81" s="38"/>
      <c r="M81" s="128"/>
      <c r="N81" s="38"/>
      <c r="O81" s="128"/>
      <c r="P81" s="53"/>
      <c r="Q81" s="45"/>
      <c r="R81" s="45"/>
      <c r="S81" s="45"/>
      <c r="T81" s="46"/>
      <c r="U81" s="120"/>
      <c r="V81" s="120"/>
      <c r="W81" s="120"/>
      <c r="X81" s="121"/>
      <c r="Y81" s="121"/>
      <c r="Z81" s="121"/>
      <c r="AA81" s="121"/>
      <c r="AB81" s="121"/>
      <c r="AC81" s="121"/>
      <c r="AD81" s="122"/>
      <c r="AE81" s="122"/>
      <c r="AF81" s="122"/>
      <c r="AG81" s="66"/>
      <c r="AH81" s="46"/>
      <c r="AI81" s="76"/>
      <c r="AJ81" s="97"/>
      <c r="AK81" s="39"/>
      <c r="AL81" s="102"/>
      <c r="AM81" s="102"/>
      <c r="AN81" s="102"/>
      <c r="AO81" s="102"/>
      <c r="AP81" s="280"/>
      <c r="AQ81" s="10">
        <f>Потребность!AD81</f>
        <v>0</v>
      </c>
      <c r="AR81" s="10">
        <f>SUM(Потребность!K81:M81)</f>
        <v>0</v>
      </c>
      <c r="AS81" s="9" t="e">
        <f>Потребность!AZ81</f>
        <v>#N/A</v>
      </c>
      <c r="AT81" s="9">
        <f>Потребность!J81</f>
        <v>0</v>
      </c>
      <c r="AU81" s="9" t="e">
        <f>Потребность!N81/Потребность!$N81</f>
        <v>#DIV/0!</v>
      </c>
      <c r="AV81" s="9" t="e">
        <f>Потребность!O81/Потребность!$N81</f>
        <v>#DIV/0!</v>
      </c>
      <c r="AW81" s="9" t="e">
        <f>Потребность!P81/Потребность!$N81</f>
        <v>#DIV/0!</v>
      </c>
      <c r="AX81" s="9" t="e">
        <f>Потребность!T81/Потребность!$T81</f>
        <v>#DIV/0!</v>
      </c>
      <c r="AY81" s="9" t="e">
        <f>Потребность!U81/Потребность!$T81</f>
        <v>#DIV/0!</v>
      </c>
      <c r="AZ81" s="9" t="e">
        <f>Потребность!V81/Потребность!$T81</f>
        <v>#DIV/0!</v>
      </c>
      <c r="BA81" s="141">
        <f>Потребность!Q81</f>
        <v>0</v>
      </c>
      <c r="BB81">
        <f>Потребность!AC81</f>
        <v>0</v>
      </c>
      <c r="BC81" s="141">
        <f>Потребность!AD81</f>
        <v>0</v>
      </c>
    </row>
    <row r="82" spans="1:55" x14ac:dyDescent="0.2">
      <c r="A82" s="85"/>
      <c r="B82" s="195"/>
      <c r="C82" s="85"/>
      <c r="D82" s="85"/>
      <c r="E82" s="195"/>
      <c r="F82" s="35"/>
      <c r="G82" s="65"/>
      <c r="H82" s="36"/>
      <c r="I82" s="37"/>
      <c r="J82" s="37"/>
      <c r="K82" s="35"/>
      <c r="L82" s="38"/>
      <c r="M82" s="128"/>
      <c r="N82" s="38"/>
      <c r="O82" s="128"/>
      <c r="P82" s="53"/>
      <c r="Q82" s="45"/>
      <c r="R82" s="45"/>
      <c r="S82" s="45"/>
      <c r="T82" s="46"/>
      <c r="U82" s="120"/>
      <c r="V82" s="120"/>
      <c r="W82" s="120"/>
      <c r="X82" s="121"/>
      <c r="Y82" s="121"/>
      <c r="Z82" s="121"/>
      <c r="AA82" s="121"/>
      <c r="AB82" s="121"/>
      <c r="AC82" s="121"/>
      <c r="AD82" s="122"/>
      <c r="AE82" s="122"/>
      <c r="AF82" s="122"/>
      <c r="AG82" s="66"/>
      <c r="AH82" s="46"/>
      <c r="AI82" s="76"/>
      <c r="AJ82" s="97"/>
      <c r="AK82" s="39"/>
      <c r="AL82" s="102"/>
      <c r="AM82" s="102"/>
      <c r="AN82" s="102"/>
      <c r="AO82" s="102"/>
      <c r="AP82" s="280"/>
      <c r="AQ82" s="10">
        <f>Потребность!AD82</f>
        <v>0</v>
      </c>
      <c r="AR82" s="10">
        <f>SUM(Потребность!K82:M82)</f>
        <v>0</v>
      </c>
      <c r="AS82" s="9" t="e">
        <f>Потребность!AZ82</f>
        <v>#N/A</v>
      </c>
      <c r="AT82" s="9">
        <f>Потребность!J82</f>
        <v>0</v>
      </c>
      <c r="AU82" s="9" t="e">
        <f>Потребность!N82/Потребность!$N82</f>
        <v>#DIV/0!</v>
      </c>
      <c r="AV82" s="9" t="e">
        <f>Потребность!O82/Потребность!$N82</f>
        <v>#DIV/0!</v>
      </c>
      <c r="AW82" s="9" t="e">
        <f>Потребность!P82/Потребность!$N82</f>
        <v>#DIV/0!</v>
      </c>
      <c r="AX82" s="9" t="e">
        <f>Потребность!T82/Потребность!$T82</f>
        <v>#DIV/0!</v>
      </c>
      <c r="AY82" s="9" t="e">
        <f>Потребность!U82/Потребность!$T82</f>
        <v>#DIV/0!</v>
      </c>
      <c r="AZ82" s="9" t="e">
        <f>Потребность!V82/Потребность!$T82</f>
        <v>#DIV/0!</v>
      </c>
      <c r="BA82" s="141">
        <f>Потребность!Q82</f>
        <v>0</v>
      </c>
      <c r="BB82">
        <f>Потребность!AC82</f>
        <v>0</v>
      </c>
      <c r="BC82" s="141">
        <f>Потребность!AD82</f>
        <v>0</v>
      </c>
    </row>
    <row r="83" spans="1:55" x14ac:dyDescent="0.2">
      <c r="A83" s="85"/>
      <c r="B83" s="195"/>
      <c r="C83" s="85"/>
      <c r="D83" s="85"/>
      <c r="E83" s="195"/>
      <c r="F83" s="35"/>
      <c r="G83" s="65"/>
      <c r="H83" s="36"/>
      <c r="I83" s="37"/>
      <c r="J83" s="37"/>
      <c r="K83" s="35"/>
      <c r="L83" s="38"/>
      <c r="M83" s="128"/>
      <c r="N83" s="38"/>
      <c r="O83" s="128"/>
      <c r="P83" s="53"/>
      <c r="Q83" s="45"/>
      <c r="R83" s="45"/>
      <c r="S83" s="45"/>
      <c r="T83" s="46"/>
      <c r="U83" s="120"/>
      <c r="V83" s="120"/>
      <c r="W83" s="120"/>
      <c r="X83" s="121"/>
      <c r="Y83" s="121"/>
      <c r="Z83" s="121"/>
      <c r="AA83" s="121"/>
      <c r="AB83" s="121"/>
      <c r="AC83" s="121"/>
      <c r="AD83" s="122"/>
      <c r="AE83" s="122"/>
      <c r="AF83" s="122"/>
      <c r="AG83" s="66"/>
      <c r="AH83" s="46"/>
      <c r="AI83" s="76"/>
      <c r="AJ83" s="97"/>
      <c r="AK83" s="39"/>
      <c r="AL83" s="102"/>
      <c r="AM83" s="102"/>
      <c r="AN83" s="102"/>
      <c r="AO83" s="102"/>
      <c r="AP83" s="280"/>
      <c r="AQ83" s="10">
        <f>Потребность!AD83</f>
        <v>0</v>
      </c>
      <c r="AR83" s="10">
        <f>SUM(Потребность!K83:M83)</f>
        <v>0</v>
      </c>
      <c r="AS83" s="9" t="e">
        <f>Потребность!AZ83</f>
        <v>#N/A</v>
      </c>
      <c r="AT83" s="9">
        <f>Потребность!J83</f>
        <v>0</v>
      </c>
      <c r="AU83" s="9" t="e">
        <f>Потребность!N83/Потребность!$N83</f>
        <v>#DIV/0!</v>
      </c>
      <c r="AV83" s="9" t="e">
        <f>Потребность!O83/Потребность!$N83</f>
        <v>#DIV/0!</v>
      </c>
      <c r="AW83" s="9" t="e">
        <f>Потребность!P83/Потребность!$N83</f>
        <v>#DIV/0!</v>
      </c>
      <c r="AX83" s="9" t="e">
        <f>Потребность!T83/Потребность!$T83</f>
        <v>#DIV/0!</v>
      </c>
      <c r="AY83" s="9" t="e">
        <f>Потребность!U83/Потребность!$T83</f>
        <v>#DIV/0!</v>
      </c>
      <c r="AZ83" s="9" t="e">
        <f>Потребность!V83/Потребность!$T83</f>
        <v>#DIV/0!</v>
      </c>
      <c r="BA83" s="141">
        <f>Потребность!Q83</f>
        <v>0</v>
      </c>
      <c r="BB83">
        <f>Потребность!AC83</f>
        <v>0</v>
      </c>
      <c r="BC83" s="141">
        <f>Потребность!AD83</f>
        <v>0</v>
      </c>
    </row>
    <row r="84" spans="1:55" x14ac:dyDescent="0.2">
      <c r="A84" s="85"/>
      <c r="B84" s="195"/>
      <c r="C84" s="85"/>
      <c r="D84" s="85"/>
      <c r="E84" s="195"/>
      <c r="F84" s="35"/>
      <c r="G84" s="65"/>
      <c r="H84" s="36"/>
      <c r="I84" s="37"/>
      <c r="J84" s="37"/>
      <c r="K84" s="35"/>
      <c r="L84" s="38"/>
      <c r="M84" s="128"/>
      <c r="N84" s="38"/>
      <c r="O84" s="128"/>
      <c r="P84" s="53"/>
      <c r="Q84" s="45"/>
      <c r="R84" s="45"/>
      <c r="S84" s="45"/>
      <c r="T84" s="46"/>
      <c r="U84" s="120"/>
      <c r="V84" s="120"/>
      <c r="W84" s="120"/>
      <c r="X84" s="121"/>
      <c r="Y84" s="121"/>
      <c r="Z84" s="121"/>
      <c r="AA84" s="121"/>
      <c r="AB84" s="121"/>
      <c r="AC84" s="121"/>
      <c r="AD84" s="122"/>
      <c r="AE84" s="122"/>
      <c r="AF84" s="122"/>
      <c r="AG84" s="66"/>
      <c r="AH84" s="46"/>
      <c r="AI84" s="76"/>
      <c r="AJ84" s="97"/>
      <c r="AK84" s="39"/>
      <c r="AL84" s="102"/>
      <c r="AM84" s="102"/>
      <c r="AN84" s="102"/>
      <c r="AO84" s="102"/>
      <c r="AP84" s="280"/>
      <c r="AQ84" s="10">
        <f>Потребность!AD84</f>
        <v>0</v>
      </c>
      <c r="AR84" s="10">
        <f>SUM(Потребность!K84:M84)</f>
        <v>0</v>
      </c>
      <c r="AS84" s="9" t="e">
        <f>Потребность!AZ84</f>
        <v>#N/A</v>
      </c>
      <c r="AT84" s="9">
        <f>Потребность!J84</f>
        <v>0</v>
      </c>
      <c r="AU84" s="9" t="e">
        <f>Потребность!N84/Потребность!$N84</f>
        <v>#DIV/0!</v>
      </c>
      <c r="AV84" s="9" t="e">
        <f>Потребность!O84/Потребность!$N84</f>
        <v>#DIV/0!</v>
      </c>
      <c r="AW84" s="9" t="e">
        <f>Потребность!P84/Потребность!$N84</f>
        <v>#DIV/0!</v>
      </c>
      <c r="AX84" s="9" t="e">
        <f>Потребность!T84/Потребность!$T84</f>
        <v>#DIV/0!</v>
      </c>
      <c r="AY84" s="9" t="e">
        <f>Потребность!U84/Потребность!$T84</f>
        <v>#DIV/0!</v>
      </c>
      <c r="AZ84" s="9" t="e">
        <f>Потребность!V84/Потребность!$T84</f>
        <v>#DIV/0!</v>
      </c>
      <c r="BA84" s="141">
        <f>Потребность!Q84</f>
        <v>0</v>
      </c>
      <c r="BB84">
        <f>Потребность!AC84</f>
        <v>0</v>
      </c>
      <c r="BC84" s="141">
        <f>Потребность!AD84</f>
        <v>0</v>
      </c>
    </row>
    <row r="85" spans="1:55" x14ac:dyDescent="0.2">
      <c r="A85" s="85"/>
      <c r="B85" s="195"/>
      <c r="C85" s="85"/>
      <c r="D85" s="85"/>
      <c r="E85" s="195"/>
      <c r="F85" s="35"/>
      <c r="G85" s="65"/>
      <c r="H85" s="36"/>
      <c r="I85" s="37"/>
      <c r="J85" s="37"/>
      <c r="K85" s="35"/>
      <c r="L85" s="38"/>
      <c r="M85" s="128"/>
      <c r="N85" s="38"/>
      <c r="O85" s="128"/>
      <c r="P85" s="53"/>
      <c r="Q85" s="45"/>
      <c r="R85" s="45"/>
      <c r="S85" s="45"/>
      <c r="T85" s="46"/>
      <c r="U85" s="120"/>
      <c r="V85" s="120"/>
      <c r="W85" s="120"/>
      <c r="X85" s="121"/>
      <c r="Y85" s="121"/>
      <c r="Z85" s="121"/>
      <c r="AA85" s="121"/>
      <c r="AB85" s="121"/>
      <c r="AC85" s="121"/>
      <c r="AD85" s="122"/>
      <c r="AE85" s="122"/>
      <c r="AF85" s="122"/>
      <c r="AG85" s="66"/>
      <c r="AH85" s="46"/>
      <c r="AI85" s="76"/>
      <c r="AJ85" s="97"/>
      <c r="AK85" s="39"/>
      <c r="AL85" s="102"/>
      <c r="AM85" s="102"/>
      <c r="AN85" s="102"/>
      <c r="AO85" s="102"/>
      <c r="AP85" s="280"/>
      <c r="AQ85" s="10">
        <f>Потребность!AD85</f>
        <v>0</v>
      </c>
      <c r="AR85" s="10">
        <f>SUM(Потребность!K85:M85)</f>
        <v>0</v>
      </c>
      <c r="AS85" s="9" t="e">
        <f>Потребность!AZ85</f>
        <v>#N/A</v>
      </c>
      <c r="AT85" s="9">
        <f>Потребность!J85</f>
        <v>0</v>
      </c>
      <c r="AU85" s="9" t="e">
        <f>Потребность!N85/Потребность!$N85</f>
        <v>#DIV/0!</v>
      </c>
      <c r="AV85" s="9" t="e">
        <f>Потребность!O85/Потребность!$N85</f>
        <v>#DIV/0!</v>
      </c>
      <c r="AW85" s="9" t="e">
        <f>Потребность!P85/Потребность!$N85</f>
        <v>#DIV/0!</v>
      </c>
      <c r="AX85" s="9" t="e">
        <f>Потребность!T85/Потребность!$T85</f>
        <v>#DIV/0!</v>
      </c>
      <c r="AY85" s="9" t="e">
        <f>Потребность!U85/Потребность!$T85</f>
        <v>#DIV/0!</v>
      </c>
      <c r="AZ85" s="9" t="e">
        <f>Потребность!V85/Потребность!$T85</f>
        <v>#DIV/0!</v>
      </c>
      <c r="BA85" s="141">
        <f>Потребность!Q85</f>
        <v>0</v>
      </c>
      <c r="BB85">
        <f>Потребность!AC85</f>
        <v>0</v>
      </c>
      <c r="BC85" s="141">
        <f>Потребность!AD85</f>
        <v>0</v>
      </c>
    </row>
    <row r="86" spans="1:55" x14ac:dyDescent="0.2">
      <c r="A86" s="85"/>
      <c r="B86" s="195"/>
      <c r="C86" s="85"/>
      <c r="D86" s="85"/>
      <c r="E86" s="195"/>
      <c r="F86" s="35"/>
      <c r="G86" s="65"/>
      <c r="H86" s="36"/>
      <c r="I86" s="37"/>
      <c r="J86" s="37"/>
      <c r="K86" s="35"/>
      <c r="L86" s="38"/>
      <c r="M86" s="128"/>
      <c r="N86" s="38"/>
      <c r="O86" s="128"/>
      <c r="P86" s="53"/>
      <c r="Q86" s="45"/>
      <c r="R86" s="45"/>
      <c r="S86" s="45"/>
      <c r="T86" s="46"/>
      <c r="U86" s="120"/>
      <c r="V86" s="120"/>
      <c r="W86" s="120"/>
      <c r="X86" s="121"/>
      <c r="Y86" s="121"/>
      <c r="Z86" s="121"/>
      <c r="AA86" s="121"/>
      <c r="AB86" s="121"/>
      <c r="AC86" s="121"/>
      <c r="AD86" s="122"/>
      <c r="AE86" s="122"/>
      <c r="AF86" s="122"/>
      <c r="AG86" s="66"/>
      <c r="AH86" s="46"/>
      <c r="AI86" s="76"/>
      <c r="AJ86" s="97"/>
      <c r="AK86" s="39"/>
      <c r="AL86" s="102"/>
      <c r="AM86" s="102"/>
      <c r="AN86" s="102"/>
      <c r="AO86" s="102"/>
      <c r="AP86" s="280"/>
      <c r="AQ86" s="10">
        <f>Потребность!AD86</f>
        <v>0</v>
      </c>
      <c r="AR86" s="10">
        <f>SUM(Потребность!K86:M86)</f>
        <v>0</v>
      </c>
      <c r="AS86" s="9" t="e">
        <f>Потребность!AZ86</f>
        <v>#N/A</v>
      </c>
      <c r="AT86" s="9">
        <f>Потребность!J86</f>
        <v>0</v>
      </c>
      <c r="AU86" s="9" t="e">
        <f>Потребность!N86/Потребность!$N86</f>
        <v>#DIV/0!</v>
      </c>
      <c r="AV86" s="9" t="e">
        <f>Потребность!O86/Потребность!$N86</f>
        <v>#DIV/0!</v>
      </c>
      <c r="AW86" s="9" t="e">
        <f>Потребность!P86/Потребность!$N86</f>
        <v>#DIV/0!</v>
      </c>
      <c r="AX86" s="9" t="e">
        <f>Потребность!T86/Потребность!$T86</f>
        <v>#DIV/0!</v>
      </c>
      <c r="AY86" s="9" t="e">
        <f>Потребность!U86/Потребность!$T86</f>
        <v>#DIV/0!</v>
      </c>
      <c r="AZ86" s="9" t="e">
        <f>Потребность!V86/Потребность!$T86</f>
        <v>#DIV/0!</v>
      </c>
      <c r="BA86" s="141">
        <f>Потребность!Q86</f>
        <v>0</v>
      </c>
      <c r="BB86">
        <f>Потребность!AC86</f>
        <v>0</v>
      </c>
      <c r="BC86" s="141">
        <f>Потребность!AD86</f>
        <v>0</v>
      </c>
    </row>
    <row r="87" spans="1:55" x14ac:dyDescent="0.2">
      <c r="A87" s="85"/>
      <c r="B87" s="195"/>
      <c r="C87" s="85"/>
      <c r="D87" s="85"/>
      <c r="E87" s="195"/>
      <c r="F87" s="35"/>
      <c r="G87" s="65"/>
      <c r="H87" s="36"/>
      <c r="I87" s="37"/>
      <c r="J87" s="37"/>
      <c r="K87" s="35"/>
      <c r="L87" s="38"/>
      <c r="M87" s="128"/>
      <c r="N87" s="38"/>
      <c r="O87" s="128"/>
      <c r="P87" s="53"/>
      <c r="Q87" s="45"/>
      <c r="R87" s="45"/>
      <c r="S87" s="45"/>
      <c r="T87" s="46"/>
      <c r="U87" s="120"/>
      <c r="V87" s="120"/>
      <c r="W87" s="120"/>
      <c r="X87" s="121"/>
      <c r="Y87" s="121"/>
      <c r="Z87" s="121"/>
      <c r="AA87" s="121"/>
      <c r="AB87" s="121"/>
      <c r="AC87" s="121"/>
      <c r="AD87" s="122"/>
      <c r="AE87" s="122"/>
      <c r="AF87" s="122"/>
      <c r="AG87" s="66"/>
      <c r="AH87" s="46"/>
      <c r="AI87" s="76"/>
      <c r="AJ87" s="97"/>
      <c r="AK87" s="39"/>
      <c r="AL87" s="102"/>
      <c r="AM87" s="102"/>
      <c r="AN87" s="102"/>
      <c r="AO87" s="102"/>
      <c r="AP87" s="280"/>
      <c r="AQ87" s="10">
        <f>Потребность!AD87</f>
        <v>0</v>
      </c>
      <c r="AR87" s="10">
        <f>SUM(Потребность!K87:M87)</f>
        <v>0</v>
      </c>
      <c r="AS87" s="9" t="e">
        <f>Потребность!AZ87</f>
        <v>#N/A</v>
      </c>
      <c r="AT87" s="9">
        <f>Потребность!J87</f>
        <v>0</v>
      </c>
      <c r="AU87" s="9" t="e">
        <f>Потребность!N87/Потребность!$N87</f>
        <v>#DIV/0!</v>
      </c>
      <c r="AV87" s="9" t="e">
        <f>Потребность!O87/Потребность!$N87</f>
        <v>#DIV/0!</v>
      </c>
      <c r="AW87" s="9" t="e">
        <f>Потребность!P87/Потребность!$N87</f>
        <v>#DIV/0!</v>
      </c>
      <c r="AX87" s="9" t="e">
        <f>Потребность!T87/Потребность!$T87</f>
        <v>#DIV/0!</v>
      </c>
      <c r="AY87" s="9" t="e">
        <f>Потребность!U87/Потребность!$T87</f>
        <v>#DIV/0!</v>
      </c>
      <c r="AZ87" s="9" t="e">
        <f>Потребность!V87/Потребность!$T87</f>
        <v>#DIV/0!</v>
      </c>
      <c r="BA87" s="141">
        <f>Потребность!Q87</f>
        <v>0</v>
      </c>
      <c r="BB87">
        <f>Потребность!AC87</f>
        <v>0</v>
      </c>
      <c r="BC87" s="141">
        <f>Потребность!AD87</f>
        <v>0</v>
      </c>
    </row>
    <row r="88" spans="1:55" x14ac:dyDescent="0.2">
      <c r="A88" s="85"/>
      <c r="B88" s="195"/>
      <c r="C88" s="85"/>
      <c r="D88" s="85"/>
      <c r="E88" s="195"/>
      <c r="F88" s="35"/>
      <c r="G88" s="65"/>
      <c r="H88" s="36"/>
      <c r="I88" s="37"/>
      <c r="J88" s="37"/>
      <c r="K88" s="35"/>
      <c r="L88" s="38"/>
      <c r="M88" s="128"/>
      <c r="N88" s="38"/>
      <c r="O88" s="128"/>
      <c r="P88" s="53"/>
      <c r="Q88" s="45"/>
      <c r="R88" s="45"/>
      <c r="S88" s="45"/>
      <c r="T88" s="46"/>
      <c r="U88" s="120"/>
      <c r="V88" s="120"/>
      <c r="W88" s="120"/>
      <c r="X88" s="121"/>
      <c r="Y88" s="121"/>
      <c r="Z88" s="121"/>
      <c r="AA88" s="121"/>
      <c r="AB88" s="121"/>
      <c r="AC88" s="121"/>
      <c r="AD88" s="122"/>
      <c r="AE88" s="122"/>
      <c r="AF88" s="122"/>
      <c r="AG88" s="66"/>
      <c r="AH88" s="46"/>
      <c r="AI88" s="76"/>
      <c r="AJ88" s="97"/>
      <c r="AK88" s="39"/>
      <c r="AL88" s="102"/>
      <c r="AM88" s="102"/>
      <c r="AN88" s="102"/>
      <c r="AO88" s="102"/>
      <c r="AP88" s="280"/>
      <c r="AQ88" s="10">
        <f>Потребность!AD88</f>
        <v>0</v>
      </c>
      <c r="AR88" s="10">
        <f>SUM(Потребность!K88:M88)</f>
        <v>0</v>
      </c>
      <c r="AS88" s="9" t="e">
        <f>Потребность!AZ88</f>
        <v>#N/A</v>
      </c>
      <c r="AT88" s="9">
        <f>Потребность!J88</f>
        <v>0</v>
      </c>
      <c r="AU88" s="9" t="e">
        <f>Потребность!N88/Потребность!$N88</f>
        <v>#DIV/0!</v>
      </c>
      <c r="AV88" s="9" t="e">
        <f>Потребность!O88/Потребность!$N88</f>
        <v>#DIV/0!</v>
      </c>
      <c r="AW88" s="9" t="e">
        <f>Потребность!P88/Потребность!$N88</f>
        <v>#DIV/0!</v>
      </c>
      <c r="AX88" s="9" t="e">
        <f>Потребность!T88/Потребность!$T88</f>
        <v>#DIV/0!</v>
      </c>
      <c r="AY88" s="9" t="e">
        <f>Потребность!U88/Потребность!$T88</f>
        <v>#DIV/0!</v>
      </c>
      <c r="AZ88" s="9" t="e">
        <f>Потребность!V88/Потребность!$T88</f>
        <v>#DIV/0!</v>
      </c>
      <c r="BA88" s="141">
        <f>Потребность!Q88</f>
        <v>0</v>
      </c>
      <c r="BB88">
        <f>Потребность!AC88</f>
        <v>0</v>
      </c>
      <c r="BC88" s="141">
        <f>Потребность!AD88</f>
        <v>0</v>
      </c>
    </row>
    <row r="89" spans="1:55" x14ac:dyDescent="0.2">
      <c r="A89" s="85"/>
      <c r="B89" s="195"/>
      <c r="C89" s="85"/>
      <c r="D89" s="85"/>
      <c r="E89" s="195"/>
      <c r="F89" s="35"/>
      <c r="G89" s="65"/>
      <c r="H89" s="36"/>
      <c r="I89" s="37"/>
      <c r="J89" s="37"/>
      <c r="K89" s="35"/>
      <c r="L89" s="38"/>
      <c r="M89" s="128"/>
      <c r="N89" s="38"/>
      <c r="O89" s="128"/>
      <c r="P89" s="53"/>
      <c r="Q89" s="45"/>
      <c r="R89" s="45"/>
      <c r="S89" s="45"/>
      <c r="T89" s="46"/>
      <c r="U89" s="120"/>
      <c r="V89" s="120"/>
      <c r="W89" s="120"/>
      <c r="X89" s="121"/>
      <c r="Y89" s="121"/>
      <c r="Z89" s="121"/>
      <c r="AA89" s="121"/>
      <c r="AB89" s="121"/>
      <c r="AC89" s="121"/>
      <c r="AD89" s="122"/>
      <c r="AE89" s="122"/>
      <c r="AF89" s="122"/>
      <c r="AG89" s="66"/>
      <c r="AH89" s="46"/>
      <c r="AI89" s="76"/>
      <c r="AJ89" s="97"/>
      <c r="AK89" s="39"/>
      <c r="AL89" s="102"/>
      <c r="AM89" s="102"/>
      <c r="AN89" s="102"/>
      <c r="AO89" s="102"/>
      <c r="AP89" s="280"/>
      <c r="AQ89" s="10">
        <f>Потребность!AD89</f>
        <v>0</v>
      </c>
      <c r="AR89" s="10">
        <f>SUM(Потребность!K89:M89)</f>
        <v>0</v>
      </c>
      <c r="AS89" s="9" t="e">
        <f>Потребность!AZ89</f>
        <v>#N/A</v>
      </c>
      <c r="AT89" s="9">
        <f>Потребность!J89</f>
        <v>0</v>
      </c>
      <c r="AU89" s="9" t="e">
        <f>Потребность!N89/Потребность!$N89</f>
        <v>#DIV/0!</v>
      </c>
      <c r="AV89" s="9" t="e">
        <f>Потребность!O89/Потребность!$N89</f>
        <v>#DIV/0!</v>
      </c>
      <c r="AW89" s="9" t="e">
        <f>Потребность!P89/Потребность!$N89</f>
        <v>#DIV/0!</v>
      </c>
      <c r="AX89" s="9" t="e">
        <f>Потребность!T89/Потребность!$T89</f>
        <v>#DIV/0!</v>
      </c>
      <c r="AY89" s="9" t="e">
        <f>Потребность!U89/Потребность!$T89</f>
        <v>#DIV/0!</v>
      </c>
      <c r="AZ89" s="9" t="e">
        <f>Потребность!V89/Потребность!$T89</f>
        <v>#DIV/0!</v>
      </c>
      <c r="BA89" s="141">
        <f>Потребность!Q89</f>
        <v>0</v>
      </c>
      <c r="BB89">
        <f>Потребность!AC89</f>
        <v>0</v>
      </c>
      <c r="BC89" s="141">
        <f>Потребность!AD89</f>
        <v>0</v>
      </c>
    </row>
    <row r="90" spans="1:55" x14ac:dyDescent="0.2">
      <c r="A90" s="85"/>
      <c r="B90" s="195"/>
      <c r="C90" s="85"/>
      <c r="D90" s="85"/>
      <c r="E90" s="195"/>
      <c r="F90" s="35"/>
      <c r="G90" s="65"/>
      <c r="H90" s="36"/>
      <c r="I90" s="37"/>
      <c r="J90" s="37"/>
      <c r="K90" s="35"/>
      <c r="L90" s="38"/>
      <c r="M90" s="128"/>
      <c r="N90" s="38"/>
      <c r="O90" s="128"/>
      <c r="P90" s="53"/>
      <c r="Q90" s="45"/>
      <c r="R90" s="45"/>
      <c r="S90" s="45"/>
      <c r="T90" s="46"/>
      <c r="U90" s="120"/>
      <c r="V90" s="120"/>
      <c r="W90" s="120"/>
      <c r="X90" s="121"/>
      <c r="Y90" s="121"/>
      <c r="Z90" s="121"/>
      <c r="AA90" s="121"/>
      <c r="AB90" s="121"/>
      <c r="AC90" s="121"/>
      <c r="AD90" s="122"/>
      <c r="AE90" s="122"/>
      <c r="AF90" s="122"/>
      <c r="AG90" s="66"/>
      <c r="AH90" s="46"/>
      <c r="AI90" s="76"/>
      <c r="AJ90" s="97"/>
      <c r="AK90" s="39"/>
      <c r="AL90" s="102"/>
      <c r="AM90" s="102"/>
      <c r="AN90" s="102"/>
      <c r="AO90" s="102"/>
      <c r="AP90" s="280"/>
      <c r="AQ90" s="10">
        <f>Потребность!AD90</f>
        <v>0</v>
      </c>
      <c r="AR90" s="10">
        <f>SUM(Потребность!K90:M90)</f>
        <v>0</v>
      </c>
      <c r="AS90" s="9" t="e">
        <f>Потребность!AZ90</f>
        <v>#N/A</v>
      </c>
      <c r="AT90" s="9">
        <f>Потребность!J90</f>
        <v>0</v>
      </c>
      <c r="AU90" s="9" t="e">
        <f>Потребность!N90/Потребность!$N90</f>
        <v>#DIV/0!</v>
      </c>
      <c r="AV90" s="9" t="e">
        <f>Потребность!O90/Потребность!$N90</f>
        <v>#DIV/0!</v>
      </c>
      <c r="AW90" s="9" t="e">
        <f>Потребность!P90/Потребность!$N90</f>
        <v>#DIV/0!</v>
      </c>
      <c r="AX90" s="9" t="e">
        <f>Потребность!T90/Потребность!$T90</f>
        <v>#DIV/0!</v>
      </c>
      <c r="AY90" s="9" t="e">
        <f>Потребность!U90/Потребность!$T90</f>
        <v>#DIV/0!</v>
      </c>
      <c r="AZ90" s="9" t="e">
        <f>Потребность!V90/Потребность!$T90</f>
        <v>#DIV/0!</v>
      </c>
      <c r="BA90" s="141">
        <f>Потребность!Q90</f>
        <v>0</v>
      </c>
      <c r="BB90">
        <f>Потребность!AC90</f>
        <v>0</v>
      </c>
      <c r="BC90" s="141">
        <f>Потребность!AD90</f>
        <v>0</v>
      </c>
    </row>
    <row r="91" spans="1:55" x14ac:dyDescent="0.2">
      <c r="A91" s="85"/>
      <c r="B91" s="195"/>
      <c r="C91" s="85"/>
      <c r="D91" s="85"/>
      <c r="E91" s="195"/>
      <c r="F91" s="35"/>
      <c r="G91" s="65"/>
      <c r="H91" s="36"/>
      <c r="I91" s="37"/>
      <c r="J91" s="37"/>
      <c r="K91" s="35"/>
      <c r="L91" s="38"/>
      <c r="M91" s="128"/>
      <c r="N91" s="38"/>
      <c r="O91" s="128"/>
      <c r="P91" s="53"/>
      <c r="Q91" s="45"/>
      <c r="R91" s="45"/>
      <c r="S91" s="45"/>
      <c r="T91" s="46"/>
      <c r="U91" s="120"/>
      <c r="V91" s="120"/>
      <c r="W91" s="120"/>
      <c r="X91" s="121"/>
      <c r="Y91" s="121"/>
      <c r="Z91" s="121"/>
      <c r="AA91" s="121"/>
      <c r="AB91" s="121"/>
      <c r="AC91" s="121"/>
      <c r="AD91" s="122"/>
      <c r="AE91" s="122"/>
      <c r="AF91" s="122"/>
      <c r="AG91" s="66"/>
      <c r="AH91" s="46"/>
      <c r="AI91" s="76"/>
      <c r="AJ91" s="97"/>
      <c r="AK91" s="39"/>
      <c r="AL91" s="102"/>
      <c r="AM91" s="102"/>
      <c r="AN91" s="102"/>
      <c r="AO91" s="102"/>
      <c r="AP91" s="280"/>
      <c r="AQ91" s="10">
        <f>Потребность!AD91</f>
        <v>0</v>
      </c>
      <c r="AR91" s="10">
        <f>SUM(Потребность!K91:M91)</f>
        <v>0</v>
      </c>
      <c r="AS91" s="9" t="e">
        <f>Потребность!AZ91</f>
        <v>#N/A</v>
      </c>
      <c r="AT91" s="9">
        <f>Потребность!J91</f>
        <v>0</v>
      </c>
      <c r="AU91" s="9" t="e">
        <f>Потребность!N91/Потребность!$N91</f>
        <v>#DIV/0!</v>
      </c>
      <c r="AV91" s="9" t="e">
        <f>Потребность!O91/Потребность!$N91</f>
        <v>#DIV/0!</v>
      </c>
      <c r="AW91" s="9" t="e">
        <f>Потребность!P91/Потребность!$N91</f>
        <v>#DIV/0!</v>
      </c>
      <c r="AX91" s="9" t="e">
        <f>Потребность!T91/Потребность!$T91</f>
        <v>#DIV/0!</v>
      </c>
      <c r="AY91" s="9" t="e">
        <f>Потребность!U91/Потребность!$T91</f>
        <v>#DIV/0!</v>
      </c>
      <c r="AZ91" s="9" t="e">
        <f>Потребность!V91/Потребность!$T91</f>
        <v>#DIV/0!</v>
      </c>
      <c r="BA91" s="141">
        <f>Потребность!Q91</f>
        <v>0</v>
      </c>
      <c r="BB91">
        <f>Потребность!AC91</f>
        <v>0</v>
      </c>
      <c r="BC91" s="141">
        <f>Потребность!AD91</f>
        <v>0</v>
      </c>
    </row>
    <row r="92" spans="1:55" x14ac:dyDescent="0.2">
      <c r="A92" s="85"/>
      <c r="B92" s="195"/>
      <c r="C92" s="85"/>
      <c r="D92" s="85"/>
      <c r="E92" s="195"/>
      <c r="F92" s="35"/>
      <c r="G92" s="65"/>
      <c r="H92" s="36"/>
      <c r="I92" s="37"/>
      <c r="J92" s="37"/>
      <c r="K92" s="35"/>
      <c r="L92" s="38"/>
      <c r="M92" s="128"/>
      <c r="N92" s="38"/>
      <c r="O92" s="128"/>
      <c r="P92" s="53"/>
      <c r="Q92" s="45"/>
      <c r="R92" s="45"/>
      <c r="S92" s="45"/>
      <c r="T92" s="46"/>
      <c r="U92" s="120"/>
      <c r="V92" s="120"/>
      <c r="W92" s="120"/>
      <c r="X92" s="121"/>
      <c r="Y92" s="121"/>
      <c r="Z92" s="121"/>
      <c r="AA92" s="121"/>
      <c r="AB92" s="121"/>
      <c r="AC92" s="121"/>
      <c r="AD92" s="122"/>
      <c r="AE92" s="122"/>
      <c r="AF92" s="122"/>
      <c r="AG92" s="66"/>
      <c r="AH92" s="46"/>
      <c r="AI92" s="76"/>
      <c r="AJ92" s="97"/>
      <c r="AK92" s="39"/>
      <c r="AL92" s="102"/>
      <c r="AM92" s="102"/>
      <c r="AN92" s="102"/>
      <c r="AO92" s="102"/>
      <c r="AP92" s="280"/>
      <c r="AQ92" s="10">
        <f>Потребность!AD92</f>
        <v>0</v>
      </c>
      <c r="AR92" s="10">
        <f>SUM(Потребность!K92:M92)</f>
        <v>0</v>
      </c>
      <c r="AS92" s="9" t="e">
        <f>Потребность!AZ92</f>
        <v>#N/A</v>
      </c>
      <c r="AT92" s="9">
        <f>Потребность!J92</f>
        <v>0</v>
      </c>
      <c r="AU92" s="9" t="e">
        <f>Потребность!N92/Потребность!$N92</f>
        <v>#DIV/0!</v>
      </c>
      <c r="AV92" s="9" t="e">
        <f>Потребность!O92/Потребность!$N92</f>
        <v>#DIV/0!</v>
      </c>
      <c r="AW92" s="9" t="e">
        <f>Потребность!P92/Потребность!$N92</f>
        <v>#DIV/0!</v>
      </c>
      <c r="AX92" s="9" t="e">
        <f>Потребность!T92/Потребность!$T92</f>
        <v>#DIV/0!</v>
      </c>
      <c r="AY92" s="9" t="e">
        <f>Потребность!U92/Потребность!$T92</f>
        <v>#DIV/0!</v>
      </c>
      <c r="AZ92" s="9" t="e">
        <f>Потребность!V92/Потребность!$T92</f>
        <v>#DIV/0!</v>
      </c>
      <c r="BA92" s="141">
        <f>Потребность!Q92</f>
        <v>0</v>
      </c>
      <c r="BB92">
        <f>Потребность!AC92</f>
        <v>0</v>
      </c>
      <c r="BC92" s="141">
        <f>Потребность!AD92</f>
        <v>0</v>
      </c>
    </row>
    <row r="93" spans="1:55" x14ac:dyDescent="0.2">
      <c r="A93" s="85"/>
      <c r="B93" s="195"/>
      <c r="C93" s="85"/>
      <c r="D93" s="85"/>
      <c r="E93" s="195"/>
      <c r="F93" s="35"/>
      <c r="G93" s="65"/>
      <c r="H93" s="36"/>
      <c r="I93" s="37"/>
      <c r="J93" s="37"/>
      <c r="K93" s="35"/>
      <c r="L93" s="38"/>
      <c r="M93" s="128"/>
      <c r="N93" s="38"/>
      <c r="O93" s="128"/>
      <c r="P93" s="53"/>
      <c r="Q93" s="45"/>
      <c r="R93" s="45"/>
      <c r="S93" s="45"/>
      <c r="T93" s="46"/>
      <c r="U93" s="120"/>
      <c r="V93" s="120"/>
      <c r="W93" s="120"/>
      <c r="X93" s="121"/>
      <c r="Y93" s="121"/>
      <c r="Z93" s="121"/>
      <c r="AA93" s="121"/>
      <c r="AB93" s="121"/>
      <c r="AC93" s="121"/>
      <c r="AD93" s="122"/>
      <c r="AE93" s="122"/>
      <c r="AF93" s="122"/>
      <c r="AG93" s="66"/>
      <c r="AH93" s="46"/>
      <c r="AI93" s="76"/>
      <c r="AJ93" s="97"/>
      <c r="AK93" s="39"/>
      <c r="AL93" s="102"/>
      <c r="AM93" s="102"/>
      <c r="AN93" s="102"/>
      <c r="AO93" s="102"/>
      <c r="AP93" s="280"/>
      <c r="AQ93" s="10">
        <f>Потребность!AD93</f>
        <v>0</v>
      </c>
      <c r="AR93" s="10">
        <f>SUM(Потребность!K93:M93)</f>
        <v>0</v>
      </c>
      <c r="AS93" s="9" t="e">
        <f>Потребность!AZ93</f>
        <v>#N/A</v>
      </c>
      <c r="AT93" s="9">
        <f>Потребность!J93</f>
        <v>0</v>
      </c>
      <c r="AU93" s="9" t="e">
        <f>Потребность!N93/Потребность!$N93</f>
        <v>#DIV/0!</v>
      </c>
      <c r="AV93" s="9" t="e">
        <f>Потребность!O93/Потребность!$N93</f>
        <v>#DIV/0!</v>
      </c>
      <c r="AW93" s="9" t="e">
        <f>Потребность!P93/Потребность!$N93</f>
        <v>#DIV/0!</v>
      </c>
      <c r="AX93" s="9" t="e">
        <f>Потребность!T93/Потребность!$T93</f>
        <v>#DIV/0!</v>
      </c>
      <c r="AY93" s="9" t="e">
        <f>Потребность!U93/Потребность!$T93</f>
        <v>#DIV/0!</v>
      </c>
      <c r="AZ93" s="9" t="e">
        <f>Потребность!V93/Потребность!$T93</f>
        <v>#DIV/0!</v>
      </c>
      <c r="BA93" s="141">
        <f>Потребность!Q93</f>
        <v>0</v>
      </c>
      <c r="BB93">
        <f>Потребность!AC93</f>
        <v>0</v>
      </c>
      <c r="BC93" s="141">
        <f>Потребность!AD93</f>
        <v>0</v>
      </c>
    </row>
    <row r="94" spans="1:55" x14ac:dyDescent="0.2">
      <c r="A94" s="85"/>
      <c r="B94" s="195"/>
      <c r="C94" s="85"/>
      <c r="D94" s="85"/>
      <c r="E94" s="195"/>
      <c r="F94" s="35"/>
      <c r="G94" s="65"/>
      <c r="H94" s="36"/>
      <c r="I94" s="37"/>
      <c r="J94" s="37"/>
      <c r="K94" s="35"/>
      <c r="L94" s="38"/>
      <c r="M94" s="128"/>
      <c r="N94" s="38"/>
      <c r="O94" s="128"/>
      <c r="P94" s="53"/>
      <c r="Q94" s="45"/>
      <c r="R94" s="45"/>
      <c r="S94" s="45"/>
      <c r="T94" s="46"/>
      <c r="U94" s="120"/>
      <c r="V94" s="120"/>
      <c r="W94" s="120"/>
      <c r="X94" s="121"/>
      <c r="Y94" s="121"/>
      <c r="Z94" s="121"/>
      <c r="AA94" s="121"/>
      <c r="AB94" s="121"/>
      <c r="AC94" s="121"/>
      <c r="AD94" s="122"/>
      <c r="AE94" s="122"/>
      <c r="AF94" s="122"/>
      <c r="AG94" s="66"/>
      <c r="AH94" s="46"/>
      <c r="AI94" s="76"/>
      <c r="AJ94" s="97"/>
      <c r="AK94" s="39"/>
      <c r="AL94" s="102"/>
      <c r="AM94" s="102"/>
      <c r="AN94" s="102"/>
      <c r="AO94" s="102"/>
      <c r="AP94" s="280"/>
      <c r="AQ94" s="10">
        <f>Потребность!AD94</f>
        <v>0</v>
      </c>
      <c r="AR94" s="10">
        <f>SUM(Потребность!K94:M94)</f>
        <v>0</v>
      </c>
      <c r="AS94" s="9" t="e">
        <f>Потребность!AZ94</f>
        <v>#N/A</v>
      </c>
      <c r="AT94" s="9">
        <f>Потребность!J94</f>
        <v>0</v>
      </c>
      <c r="AU94" s="9" t="e">
        <f>Потребность!N94/Потребность!$N94</f>
        <v>#DIV/0!</v>
      </c>
      <c r="AV94" s="9" t="e">
        <f>Потребность!O94/Потребность!$N94</f>
        <v>#DIV/0!</v>
      </c>
      <c r="AW94" s="9" t="e">
        <f>Потребность!P94/Потребность!$N94</f>
        <v>#DIV/0!</v>
      </c>
      <c r="AX94" s="9" t="e">
        <f>Потребность!T94/Потребность!$T94</f>
        <v>#DIV/0!</v>
      </c>
      <c r="AY94" s="9" t="e">
        <f>Потребность!U94/Потребность!$T94</f>
        <v>#DIV/0!</v>
      </c>
      <c r="AZ94" s="9" t="e">
        <f>Потребность!V94/Потребность!$T94</f>
        <v>#DIV/0!</v>
      </c>
      <c r="BA94" s="141">
        <f>Потребность!Q94</f>
        <v>0</v>
      </c>
      <c r="BB94">
        <f>Потребность!AC94</f>
        <v>0</v>
      </c>
      <c r="BC94" s="141">
        <f>Потребность!AD94</f>
        <v>0</v>
      </c>
    </row>
    <row r="95" spans="1:55" x14ac:dyDescent="0.2">
      <c r="A95" s="85"/>
      <c r="B95" s="195"/>
      <c r="C95" s="85"/>
      <c r="D95" s="85"/>
      <c r="E95" s="195"/>
      <c r="F95" s="35"/>
      <c r="G95" s="65"/>
      <c r="H95" s="36"/>
      <c r="I95" s="37"/>
      <c r="J95" s="37"/>
      <c r="K95" s="35"/>
      <c r="L95" s="38"/>
      <c r="M95" s="128"/>
      <c r="N95" s="38"/>
      <c r="O95" s="128"/>
      <c r="P95" s="53"/>
      <c r="Q95" s="45"/>
      <c r="R95" s="45"/>
      <c r="S95" s="45"/>
      <c r="T95" s="46"/>
      <c r="U95" s="120"/>
      <c r="V95" s="120"/>
      <c r="W95" s="120"/>
      <c r="X95" s="121"/>
      <c r="Y95" s="121"/>
      <c r="Z95" s="121"/>
      <c r="AA95" s="121"/>
      <c r="AB95" s="121"/>
      <c r="AC95" s="121"/>
      <c r="AD95" s="122"/>
      <c r="AE95" s="122"/>
      <c r="AF95" s="122"/>
      <c r="AG95" s="66"/>
      <c r="AH95" s="46"/>
      <c r="AI95" s="76"/>
      <c r="AJ95" s="97"/>
      <c r="AK95" s="39"/>
      <c r="AL95" s="102"/>
      <c r="AM95" s="102"/>
      <c r="AN95" s="102"/>
      <c r="AO95" s="102"/>
      <c r="AP95" s="280"/>
      <c r="AQ95" s="10">
        <f>Потребность!AD95</f>
        <v>0</v>
      </c>
      <c r="AR95" s="10">
        <f>SUM(Потребность!K95:M95)</f>
        <v>0</v>
      </c>
      <c r="AS95" s="9" t="e">
        <f>Потребность!AZ95</f>
        <v>#N/A</v>
      </c>
      <c r="AT95" s="9">
        <f>Потребность!J95</f>
        <v>0</v>
      </c>
      <c r="AU95" s="9" t="e">
        <f>Потребность!N95/Потребность!$N95</f>
        <v>#DIV/0!</v>
      </c>
      <c r="AV95" s="9" t="e">
        <f>Потребность!O95/Потребность!$N95</f>
        <v>#DIV/0!</v>
      </c>
      <c r="AW95" s="9" t="e">
        <f>Потребность!P95/Потребность!$N95</f>
        <v>#DIV/0!</v>
      </c>
      <c r="AX95" s="9" t="e">
        <f>Потребность!T95/Потребность!$T95</f>
        <v>#DIV/0!</v>
      </c>
      <c r="AY95" s="9" t="e">
        <f>Потребность!U95/Потребность!$T95</f>
        <v>#DIV/0!</v>
      </c>
      <c r="AZ95" s="9" t="e">
        <f>Потребность!V95/Потребность!$T95</f>
        <v>#DIV/0!</v>
      </c>
      <c r="BA95" s="141">
        <f>Потребность!Q95</f>
        <v>0</v>
      </c>
      <c r="BB95">
        <f>Потребность!AC95</f>
        <v>0</v>
      </c>
      <c r="BC95" s="141">
        <f>Потребность!AD95</f>
        <v>0</v>
      </c>
    </row>
    <row r="96" spans="1:55" x14ac:dyDescent="0.2">
      <c r="A96" s="85"/>
      <c r="B96" s="195"/>
      <c r="C96" s="85"/>
      <c r="D96" s="85"/>
      <c r="E96" s="195"/>
      <c r="F96" s="35"/>
      <c r="G96" s="65"/>
      <c r="H96" s="36"/>
      <c r="I96" s="37"/>
      <c r="J96" s="37"/>
      <c r="K96" s="35"/>
      <c r="L96" s="38"/>
      <c r="M96" s="128"/>
      <c r="N96" s="38"/>
      <c r="O96" s="128"/>
      <c r="P96" s="53"/>
      <c r="Q96" s="45"/>
      <c r="R96" s="45"/>
      <c r="S96" s="45"/>
      <c r="T96" s="46"/>
      <c r="U96" s="120"/>
      <c r="V96" s="120"/>
      <c r="W96" s="120"/>
      <c r="X96" s="121"/>
      <c r="Y96" s="121"/>
      <c r="Z96" s="121"/>
      <c r="AA96" s="121"/>
      <c r="AB96" s="121"/>
      <c r="AC96" s="121"/>
      <c r="AD96" s="122"/>
      <c r="AE96" s="122"/>
      <c r="AF96" s="122"/>
      <c r="AG96" s="66"/>
      <c r="AH96" s="46"/>
      <c r="AI96" s="76"/>
      <c r="AJ96" s="97"/>
      <c r="AK96" s="39"/>
      <c r="AL96" s="102"/>
      <c r="AM96" s="102"/>
      <c r="AN96" s="102"/>
      <c r="AO96" s="102"/>
      <c r="AP96" s="280"/>
      <c r="AQ96" s="10">
        <f>Потребность!AD96</f>
        <v>0</v>
      </c>
      <c r="AR96" s="10">
        <f>SUM(Потребность!K96:M96)</f>
        <v>0</v>
      </c>
      <c r="AS96" s="9" t="e">
        <f>Потребность!AZ96</f>
        <v>#N/A</v>
      </c>
      <c r="AT96" s="9">
        <f>Потребность!J96</f>
        <v>0</v>
      </c>
      <c r="AU96" s="9" t="e">
        <f>Потребность!N96/Потребность!$N96</f>
        <v>#DIV/0!</v>
      </c>
      <c r="AV96" s="9" t="e">
        <f>Потребность!O96/Потребность!$N96</f>
        <v>#DIV/0!</v>
      </c>
      <c r="AW96" s="9" t="e">
        <f>Потребность!P96/Потребность!$N96</f>
        <v>#DIV/0!</v>
      </c>
      <c r="AX96" s="9" t="e">
        <f>Потребность!T96/Потребность!$T96</f>
        <v>#DIV/0!</v>
      </c>
      <c r="AY96" s="9" t="e">
        <f>Потребность!U96/Потребность!$T96</f>
        <v>#DIV/0!</v>
      </c>
      <c r="AZ96" s="9" t="e">
        <f>Потребность!V96/Потребность!$T96</f>
        <v>#DIV/0!</v>
      </c>
      <c r="BA96" s="141">
        <f>Потребность!Q96</f>
        <v>0</v>
      </c>
      <c r="BB96">
        <f>Потребность!AC96</f>
        <v>0</v>
      </c>
      <c r="BC96" s="141">
        <f>Потребность!AD96</f>
        <v>0</v>
      </c>
    </row>
    <row r="97" spans="1:55" x14ac:dyDescent="0.2">
      <c r="A97" s="85"/>
      <c r="B97" s="195"/>
      <c r="C97" s="85"/>
      <c r="D97" s="85"/>
      <c r="E97" s="195"/>
      <c r="F97" s="35"/>
      <c r="G97" s="65"/>
      <c r="H97" s="36"/>
      <c r="I97" s="37"/>
      <c r="J97" s="37"/>
      <c r="K97" s="35"/>
      <c r="L97" s="38"/>
      <c r="M97" s="128"/>
      <c r="N97" s="38"/>
      <c r="O97" s="128"/>
      <c r="P97" s="53"/>
      <c r="Q97" s="45"/>
      <c r="R97" s="45"/>
      <c r="S97" s="45"/>
      <c r="T97" s="46"/>
      <c r="U97" s="120"/>
      <c r="V97" s="120"/>
      <c r="W97" s="120"/>
      <c r="X97" s="121"/>
      <c r="Y97" s="121"/>
      <c r="Z97" s="121"/>
      <c r="AA97" s="121"/>
      <c r="AB97" s="121"/>
      <c r="AC97" s="121"/>
      <c r="AD97" s="122"/>
      <c r="AE97" s="122"/>
      <c r="AF97" s="122"/>
      <c r="AG97" s="66"/>
      <c r="AH97" s="46"/>
      <c r="AI97" s="76"/>
      <c r="AJ97" s="97"/>
      <c r="AK97" s="39"/>
      <c r="AL97" s="102"/>
      <c r="AM97" s="102"/>
      <c r="AN97" s="102"/>
      <c r="AO97" s="102"/>
      <c r="AP97" s="280"/>
      <c r="AQ97" s="10">
        <f>Потребность!AD97</f>
        <v>0</v>
      </c>
      <c r="AR97" s="10">
        <f>SUM(Потребность!K97:M97)</f>
        <v>0</v>
      </c>
      <c r="AS97" s="9" t="e">
        <f>Потребность!AZ97</f>
        <v>#N/A</v>
      </c>
      <c r="AT97" s="9">
        <f>Потребность!J97</f>
        <v>0</v>
      </c>
      <c r="AU97" s="9" t="e">
        <f>Потребность!N97/Потребность!$N97</f>
        <v>#DIV/0!</v>
      </c>
      <c r="AV97" s="9" t="e">
        <f>Потребность!O97/Потребность!$N97</f>
        <v>#DIV/0!</v>
      </c>
      <c r="AW97" s="9" t="e">
        <f>Потребность!P97/Потребность!$N97</f>
        <v>#DIV/0!</v>
      </c>
      <c r="AX97" s="9" t="e">
        <f>Потребность!T97/Потребность!$T97</f>
        <v>#DIV/0!</v>
      </c>
      <c r="AY97" s="9" t="e">
        <f>Потребность!U97/Потребность!$T97</f>
        <v>#DIV/0!</v>
      </c>
      <c r="AZ97" s="9" t="e">
        <f>Потребность!V97/Потребность!$T97</f>
        <v>#DIV/0!</v>
      </c>
      <c r="BA97" s="141">
        <f>Потребность!Q97</f>
        <v>0</v>
      </c>
      <c r="BB97">
        <f>Потребность!AC97</f>
        <v>0</v>
      </c>
      <c r="BC97" s="141">
        <f>Потребность!AD97</f>
        <v>0</v>
      </c>
    </row>
    <row r="98" spans="1:55" x14ac:dyDescent="0.2">
      <c r="A98" s="85"/>
      <c r="B98" s="195"/>
      <c r="C98" s="85"/>
      <c r="D98" s="85"/>
      <c r="E98" s="195"/>
      <c r="F98" s="35"/>
      <c r="G98" s="65"/>
      <c r="H98" s="36"/>
      <c r="I98" s="37"/>
      <c r="J98" s="37"/>
      <c r="K98" s="35"/>
      <c r="L98" s="38"/>
      <c r="M98" s="128"/>
      <c r="N98" s="38"/>
      <c r="O98" s="128"/>
      <c r="P98" s="53"/>
      <c r="Q98" s="45"/>
      <c r="R98" s="45"/>
      <c r="S98" s="45"/>
      <c r="T98" s="46"/>
      <c r="U98" s="120"/>
      <c r="V98" s="120"/>
      <c r="W98" s="120"/>
      <c r="X98" s="121"/>
      <c r="Y98" s="121"/>
      <c r="Z98" s="121"/>
      <c r="AA98" s="121"/>
      <c r="AB98" s="121"/>
      <c r="AC98" s="121"/>
      <c r="AD98" s="122"/>
      <c r="AE98" s="122"/>
      <c r="AF98" s="122"/>
      <c r="AG98" s="66"/>
      <c r="AH98" s="46"/>
      <c r="AI98" s="76"/>
      <c r="AJ98" s="97"/>
      <c r="AK98" s="39"/>
      <c r="AL98" s="102"/>
      <c r="AM98" s="102"/>
      <c r="AN98" s="102"/>
      <c r="AO98" s="102"/>
      <c r="AP98" s="280"/>
      <c r="AQ98" s="10">
        <f>Потребность!AD98</f>
        <v>0</v>
      </c>
      <c r="AR98" s="10">
        <f>SUM(Потребность!K98:M98)</f>
        <v>0</v>
      </c>
      <c r="AS98" s="9" t="e">
        <f>Потребность!AZ98</f>
        <v>#N/A</v>
      </c>
      <c r="AT98" s="9">
        <f>Потребность!J98</f>
        <v>0</v>
      </c>
      <c r="AU98" s="9" t="e">
        <f>Потребность!N98/Потребность!$N98</f>
        <v>#DIV/0!</v>
      </c>
      <c r="AV98" s="9" t="e">
        <f>Потребность!O98/Потребность!$N98</f>
        <v>#DIV/0!</v>
      </c>
      <c r="AW98" s="9" t="e">
        <f>Потребность!P98/Потребность!$N98</f>
        <v>#DIV/0!</v>
      </c>
      <c r="AX98" s="9" t="e">
        <f>Потребность!T98/Потребность!$T98</f>
        <v>#DIV/0!</v>
      </c>
      <c r="AY98" s="9" t="e">
        <f>Потребность!U98/Потребность!$T98</f>
        <v>#DIV/0!</v>
      </c>
      <c r="AZ98" s="9" t="e">
        <f>Потребность!V98/Потребность!$T98</f>
        <v>#DIV/0!</v>
      </c>
      <c r="BA98" s="141">
        <f>Потребность!Q98</f>
        <v>0</v>
      </c>
      <c r="BB98">
        <f>Потребность!AC98</f>
        <v>0</v>
      </c>
      <c r="BC98" s="141">
        <f>Потребность!AD98</f>
        <v>0</v>
      </c>
    </row>
    <row r="99" spans="1:55" x14ac:dyDescent="0.2">
      <c r="A99" s="85"/>
      <c r="B99" s="195"/>
      <c r="C99" s="85"/>
      <c r="D99" s="85"/>
      <c r="E99" s="195"/>
      <c r="F99" s="35"/>
      <c r="G99" s="65"/>
      <c r="H99" s="36"/>
      <c r="I99" s="37"/>
      <c r="J99" s="37"/>
      <c r="K99" s="35"/>
      <c r="L99" s="38"/>
      <c r="M99" s="128"/>
      <c r="N99" s="38"/>
      <c r="O99" s="128"/>
      <c r="P99" s="53"/>
      <c r="Q99" s="45"/>
      <c r="R99" s="45"/>
      <c r="S99" s="45"/>
      <c r="T99" s="46"/>
      <c r="U99" s="120"/>
      <c r="V99" s="120"/>
      <c r="W99" s="120"/>
      <c r="X99" s="121"/>
      <c r="Y99" s="121"/>
      <c r="Z99" s="121"/>
      <c r="AA99" s="121"/>
      <c r="AB99" s="121"/>
      <c r="AC99" s="121"/>
      <c r="AD99" s="122"/>
      <c r="AE99" s="122"/>
      <c r="AF99" s="122"/>
      <c r="AG99" s="66"/>
      <c r="AH99" s="46"/>
      <c r="AI99" s="76"/>
      <c r="AJ99" s="97"/>
      <c r="AK99" s="39"/>
      <c r="AL99" s="102"/>
      <c r="AM99" s="102"/>
      <c r="AN99" s="102"/>
      <c r="AO99" s="102"/>
      <c r="AP99" s="280"/>
      <c r="AQ99" s="10">
        <f>Потребность!AD99</f>
        <v>0</v>
      </c>
      <c r="AR99" s="10">
        <f>SUM(Потребность!K99:M99)</f>
        <v>0</v>
      </c>
      <c r="AS99" s="9" t="e">
        <f>Потребность!AZ99</f>
        <v>#N/A</v>
      </c>
      <c r="AT99" s="9">
        <f>Потребность!J99</f>
        <v>0</v>
      </c>
      <c r="AU99" s="9" t="e">
        <f>Потребность!N99/Потребность!$N99</f>
        <v>#DIV/0!</v>
      </c>
      <c r="AV99" s="9" t="e">
        <f>Потребность!O99/Потребность!$N99</f>
        <v>#DIV/0!</v>
      </c>
      <c r="AW99" s="9" t="e">
        <f>Потребность!P99/Потребность!$N99</f>
        <v>#DIV/0!</v>
      </c>
      <c r="AX99" s="9" t="e">
        <f>Потребность!T99/Потребность!$T99</f>
        <v>#DIV/0!</v>
      </c>
      <c r="AY99" s="9" t="e">
        <f>Потребность!U99/Потребность!$T99</f>
        <v>#DIV/0!</v>
      </c>
      <c r="AZ99" s="9" t="e">
        <f>Потребность!V99/Потребность!$T99</f>
        <v>#DIV/0!</v>
      </c>
      <c r="BA99" s="141">
        <f>Потребность!Q99</f>
        <v>0</v>
      </c>
      <c r="BB99">
        <f>Потребность!AC99</f>
        <v>0</v>
      </c>
      <c r="BC99" s="141">
        <f>Потребность!AD99</f>
        <v>0</v>
      </c>
    </row>
    <row r="100" spans="1:55" x14ac:dyDescent="0.2">
      <c r="A100" s="85"/>
      <c r="B100" s="195"/>
      <c r="C100" s="85"/>
      <c r="D100" s="85"/>
      <c r="E100" s="195"/>
      <c r="F100" s="35"/>
      <c r="G100" s="65"/>
      <c r="H100" s="36"/>
      <c r="I100" s="37"/>
      <c r="J100" s="37"/>
      <c r="K100" s="35"/>
      <c r="L100" s="38"/>
      <c r="M100" s="128"/>
      <c r="N100" s="38"/>
      <c r="O100" s="128"/>
      <c r="P100" s="53"/>
      <c r="Q100" s="45"/>
      <c r="R100" s="45"/>
      <c r="S100" s="45"/>
      <c r="T100" s="46"/>
      <c r="U100" s="120"/>
      <c r="V100" s="120"/>
      <c r="W100" s="120"/>
      <c r="X100" s="121"/>
      <c r="Y100" s="121"/>
      <c r="Z100" s="121"/>
      <c r="AA100" s="121"/>
      <c r="AB100" s="121"/>
      <c r="AC100" s="121"/>
      <c r="AD100" s="122"/>
      <c r="AE100" s="122"/>
      <c r="AF100" s="122"/>
      <c r="AG100" s="66"/>
      <c r="AH100" s="46"/>
      <c r="AI100" s="76"/>
      <c r="AJ100" s="97"/>
      <c r="AK100" s="39"/>
      <c r="AL100" s="102"/>
      <c r="AM100" s="102"/>
      <c r="AN100" s="102"/>
      <c r="AO100" s="102"/>
      <c r="AP100" s="280"/>
      <c r="AQ100" s="10">
        <f>Потребность!AD100</f>
        <v>0</v>
      </c>
      <c r="AR100" s="10">
        <f>SUM(Потребность!K100:M100)</f>
        <v>0</v>
      </c>
      <c r="AS100" s="9" t="e">
        <f>Потребность!AZ100</f>
        <v>#N/A</v>
      </c>
      <c r="AT100" s="9">
        <f>Потребность!J100</f>
        <v>0</v>
      </c>
      <c r="AU100" s="9" t="e">
        <f>Потребность!N100/Потребность!$N100</f>
        <v>#DIV/0!</v>
      </c>
      <c r="AV100" s="9" t="e">
        <f>Потребность!O100/Потребность!$N100</f>
        <v>#DIV/0!</v>
      </c>
      <c r="AW100" s="9" t="e">
        <f>Потребность!P100/Потребность!$N100</f>
        <v>#DIV/0!</v>
      </c>
      <c r="AX100" s="9" t="e">
        <f>Потребность!T100/Потребность!$T100</f>
        <v>#DIV/0!</v>
      </c>
      <c r="AY100" s="9" t="e">
        <f>Потребность!U100/Потребность!$T100</f>
        <v>#DIV/0!</v>
      </c>
      <c r="AZ100" s="9" t="e">
        <f>Потребность!V100/Потребность!$T100</f>
        <v>#DIV/0!</v>
      </c>
      <c r="BA100" s="141">
        <f>Потребность!Q100</f>
        <v>0</v>
      </c>
      <c r="BB100">
        <f>Потребность!AC100</f>
        <v>0</v>
      </c>
      <c r="BC100" s="141">
        <f>Потребность!AD100</f>
        <v>0</v>
      </c>
    </row>
    <row r="101" spans="1:55" x14ac:dyDescent="0.2">
      <c r="A101" s="85"/>
      <c r="B101" s="195"/>
      <c r="C101" s="85"/>
      <c r="D101" s="85"/>
      <c r="E101" s="195"/>
      <c r="F101" s="35"/>
      <c r="G101" s="65"/>
      <c r="H101" s="36"/>
      <c r="I101" s="37"/>
      <c r="J101" s="37"/>
      <c r="K101" s="35"/>
      <c r="L101" s="38"/>
      <c r="M101" s="128"/>
      <c r="N101" s="38"/>
      <c r="O101" s="128"/>
      <c r="P101" s="53"/>
      <c r="Q101" s="45"/>
      <c r="R101" s="45"/>
      <c r="S101" s="45"/>
      <c r="T101" s="46"/>
      <c r="U101" s="120"/>
      <c r="V101" s="120"/>
      <c r="W101" s="120"/>
      <c r="X101" s="121"/>
      <c r="Y101" s="121"/>
      <c r="Z101" s="121"/>
      <c r="AA101" s="121"/>
      <c r="AB101" s="121"/>
      <c r="AC101" s="121"/>
      <c r="AD101" s="122"/>
      <c r="AE101" s="122"/>
      <c r="AF101" s="122"/>
      <c r="AG101" s="66"/>
      <c r="AH101" s="46"/>
      <c r="AI101" s="76"/>
      <c r="AJ101" s="97"/>
      <c r="AK101" s="39"/>
      <c r="AL101" s="102"/>
      <c r="AM101" s="102"/>
      <c r="AN101" s="102"/>
      <c r="AO101" s="102"/>
      <c r="AP101" s="280"/>
      <c r="AQ101" s="10">
        <f>Потребность!AD101</f>
        <v>0</v>
      </c>
      <c r="AR101" s="10">
        <f>SUM(Потребность!K101:M101)</f>
        <v>0</v>
      </c>
      <c r="AS101" s="9" t="e">
        <f>Потребность!AZ101</f>
        <v>#N/A</v>
      </c>
      <c r="AT101" s="9">
        <f>Потребность!J101</f>
        <v>0</v>
      </c>
      <c r="AU101" s="9" t="e">
        <f>Потребность!N101/Потребность!$N101</f>
        <v>#DIV/0!</v>
      </c>
      <c r="AV101" s="9" t="e">
        <f>Потребность!O101/Потребность!$N101</f>
        <v>#DIV/0!</v>
      </c>
      <c r="AW101" s="9" t="e">
        <f>Потребность!P101/Потребность!$N101</f>
        <v>#DIV/0!</v>
      </c>
      <c r="AX101" s="9" t="e">
        <f>Потребность!T101/Потребность!$T101</f>
        <v>#DIV/0!</v>
      </c>
      <c r="AY101" s="9" t="e">
        <f>Потребность!U101/Потребность!$T101</f>
        <v>#DIV/0!</v>
      </c>
      <c r="AZ101" s="9" t="e">
        <f>Потребность!V101/Потребность!$T101</f>
        <v>#DIV/0!</v>
      </c>
      <c r="BA101" s="141">
        <f>Потребность!Q101</f>
        <v>0</v>
      </c>
      <c r="BB101">
        <f>Потребность!AC101</f>
        <v>0</v>
      </c>
      <c r="BC101" s="141">
        <f>Потребность!AD101</f>
        <v>0</v>
      </c>
    </row>
    <row r="102" spans="1:55" x14ac:dyDescent="0.2">
      <c r="A102" s="85"/>
      <c r="B102" s="195"/>
      <c r="C102" s="85"/>
      <c r="D102" s="85"/>
      <c r="E102" s="195"/>
      <c r="F102" s="35"/>
      <c r="G102" s="65"/>
      <c r="H102" s="36"/>
      <c r="I102" s="37"/>
      <c r="J102" s="37"/>
      <c r="K102" s="35"/>
      <c r="L102" s="38"/>
      <c r="M102" s="128"/>
      <c r="N102" s="38"/>
      <c r="O102" s="128"/>
      <c r="P102" s="53"/>
      <c r="Q102" s="45"/>
      <c r="R102" s="45"/>
      <c r="S102" s="45"/>
      <c r="T102" s="46"/>
      <c r="U102" s="120"/>
      <c r="V102" s="120"/>
      <c r="W102" s="120"/>
      <c r="X102" s="121"/>
      <c r="Y102" s="121"/>
      <c r="Z102" s="121"/>
      <c r="AA102" s="121"/>
      <c r="AB102" s="121"/>
      <c r="AC102" s="121"/>
      <c r="AD102" s="122"/>
      <c r="AE102" s="122"/>
      <c r="AF102" s="122"/>
      <c r="AG102" s="66"/>
      <c r="AH102" s="46"/>
      <c r="AI102" s="76"/>
      <c r="AJ102" s="97"/>
      <c r="AK102" s="39"/>
      <c r="AL102" s="102"/>
      <c r="AM102" s="102"/>
      <c r="AN102" s="102"/>
      <c r="AO102" s="102"/>
      <c r="AP102" s="280"/>
      <c r="AQ102" s="10">
        <f>Потребность!AD102</f>
        <v>0</v>
      </c>
      <c r="AR102" s="10">
        <f>SUM(Потребность!K102:M102)</f>
        <v>0</v>
      </c>
      <c r="AS102" s="9" t="e">
        <f>Потребность!AZ102</f>
        <v>#N/A</v>
      </c>
      <c r="AT102" s="9">
        <f>Потребность!J102</f>
        <v>0</v>
      </c>
      <c r="AU102" s="9" t="e">
        <f>Потребность!N102/Потребность!$N102</f>
        <v>#DIV/0!</v>
      </c>
      <c r="AV102" s="9" t="e">
        <f>Потребность!O102/Потребность!$N102</f>
        <v>#DIV/0!</v>
      </c>
      <c r="AW102" s="9" t="e">
        <f>Потребность!P102/Потребность!$N102</f>
        <v>#DIV/0!</v>
      </c>
      <c r="AX102" s="9" t="e">
        <f>Потребность!T102/Потребность!$T102</f>
        <v>#DIV/0!</v>
      </c>
      <c r="AY102" s="9" t="e">
        <f>Потребность!U102/Потребность!$T102</f>
        <v>#DIV/0!</v>
      </c>
      <c r="AZ102" s="9" t="e">
        <f>Потребность!V102/Потребность!$T102</f>
        <v>#DIV/0!</v>
      </c>
      <c r="BA102" s="141">
        <f>Потребность!Q102</f>
        <v>0</v>
      </c>
      <c r="BB102">
        <f>Потребность!AC102</f>
        <v>0</v>
      </c>
      <c r="BC102" s="141">
        <f>Потребность!AD102</f>
        <v>0</v>
      </c>
    </row>
    <row r="103" spans="1:55" x14ac:dyDescent="0.2">
      <c r="A103" s="85"/>
      <c r="B103" s="195"/>
      <c r="C103" s="85"/>
      <c r="D103" s="85"/>
      <c r="E103" s="195"/>
      <c r="F103" s="35"/>
      <c r="G103" s="65"/>
      <c r="H103" s="36"/>
      <c r="I103" s="37"/>
      <c r="J103" s="37"/>
      <c r="K103" s="35"/>
      <c r="L103" s="38"/>
      <c r="M103" s="128"/>
      <c r="N103" s="38"/>
      <c r="O103" s="128"/>
      <c r="P103" s="53"/>
      <c r="Q103" s="45"/>
      <c r="R103" s="45"/>
      <c r="S103" s="45"/>
      <c r="T103" s="46"/>
      <c r="U103" s="120"/>
      <c r="V103" s="120"/>
      <c r="W103" s="120"/>
      <c r="X103" s="121"/>
      <c r="Y103" s="121"/>
      <c r="Z103" s="121"/>
      <c r="AA103" s="121"/>
      <c r="AB103" s="121"/>
      <c r="AC103" s="121"/>
      <c r="AD103" s="122"/>
      <c r="AE103" s="122"/>
      <c r="AF103" s="122"/>
      <c r="AG103" s="66"/>
      <c r="AH103" s="46"/>
      <c r="AI103" s="76"/>
      <c r="AJ103" s="97"/>
      <c r="AK103" s="39"/>
      <c r="AL103" s="102"/>
      <c r="AM103" s="102"/>
      <c r="AN103" s="102"/>
      <c r="AO103" s="102"/>
      <c r="AP103" s="280"/>
      <c r="AQ103" s="10">
        <f>Потребность!AD103</f>
        <v>0</v>
      </c>
      <c r="AR103" s="10">
        <f>SUM(Потребность!K103:M103)</f>
        <v>0</v>
      </c>
      <c r="AS103" s="9" t="e">
        <f>Потребность!AZ103</f>
        <v>#N/A</v>
      </c>
      <c r="AT103" s="9">
        <f>Потребность!J103</f>
        <v>0</v>
      </c>
      <c r="AU103" s="9" t="e">
        <f>Потребность!N103/Потребность!$N103</f>
        <v>#DIV/0!</v>
      </c>
      <c r="AV103" s="9" t="e">
        <f>Потребность!O103/Потребность!$N103</f>
        <v>#DIV/0!</v>
      </c>
      <c r="AW103" s="9" t="e">
        <f>Потребность!P103/Потребность!$N103</f>
        <v>#DIV/0!</v>
      </c>
      <c r="AX103" s="9" t="e">
        <f>Потребность!T103/Потребность!$T103</f>
        <v>#DIV/0!</v>
      </c>
      <c r="AY103" s="9" t="e">
        <f>Потребность!U103/Потребность!$T103</f>
        <v>#DIV/0!</v>
      </c>
      <c r="AZ103" s="9" t="e">
        <f>Потребность!V103/Потребность!$T103</f>
        <v>#DIV/0!</v>
      </c>
      <c r="BA103" s="141">
        <f>Потребность!Q103</f>
        <v>0</v>
      </c>
      <c r="BB103">
        <f>Потребность!AC103</f>
        <v>0</v>
      </c>
      <c r="BC103" s="141">
        <f>Потребность!AD103</f>
        <v>0</v>
      </c>
    </row>
    <row r="104" spans="1:55" x14ac:dyDescent="0.2">
      <c r="A104" s="85"/>
      <c r="B104" s="195"/>
      <c r="C104" s="85"/>
      <c r="D104" s="85"/>
      <c r="E104" s="195"/>
      <c r="F104" s="35"/>
      <c r="G104" s="65"/>
      <c r="H104" s="36"/>
      <c r="I104" s="37"/>
      <c r="J104" s="37"/>
      <c r="K104" s="35"/>
      <c r="L104" s="38"/>
      <c r="M104" s="128"/>
      <c r="N104" s="38"/>
      <c r="O104" s="128"/>
      <c r="P104" s="53"/>
      <c r="Q104" s="45"/>
      <c r="R104" s="45"/>
      <c r="S104" s="45"/>
      <c r="T104" s="46"/>
      <c r="U104" s="120"/>
      <c r="V104" s="120"/>
      <c r="W104" s="120"/>
      <c r="X104" s="121"/>
      <c r="Y104" s="121"/>
      <c r="Z104" s="121"/>
      <c r="AA104" s="121"/>
      <c r="AB104" s="121"/>
      <c r="AC104" s="121"/>
      <c r="AD104" s="122"/>
      <c r="AE104" s="122"/>
      <c r="AF104" s="122"/>
      <c r="AG104" s="66"/>
      <c r="AH104" s="46"/>
      <c r="AI104" s="76"/>
      <c r="AJ104" s="97"/>
      <c r="AK104" s="39"/>
      <c r="AL104" s="102"/>
      <c r="AM104" s="102"/>
      <c r="AN104" s="102"/>
      <c r="AO104" s="102"/>
      <c r="AP104" s="280"/>
      <c r="AQ104" s="10">
        <f>Потребность!AD104</f>
        <v>0</v>
      </c>
      <c r="AR104" s="10">
        <f>SUM(Потребность!K104:M104)</f>
        <v>0</v>
      </c>
      <c r="AS104" s="9" t="e">
        <f>Потребность!AZ104</f>
        <v>#N/A</v>
      </c>
      <c r="AT104" s="9">
        <f>Потребность!J104</f>
        <v>0</v>
      </c>
      <c r="AU104" s="9" t="e">
        <f>Потребность!N104/Потребность!$N104</f>
        <v>#DIV/0!</v>
      </c>
      <c r="AV104" s="9" t="e">
        <f>Потребность!O104/Потребность!$N104</f>
        <v>#DIV/0!</v>
      </c>
      <c r="AW104" s="9" t="e">
        <f>Потребность!P104/Потребность!$N104</f>
        <v>#DIV/0!</v>
      </c>
      <c r="AX104" s="9" t="e">
        <f>Потребность!T104/Потребность!$T104</f>
        <v>#DIV/0!</v>
      </c>
      <c r="AY104" s="9" t="e">
        <f>Потребность!U104/Потребность!$T104</f>
        <v>#DIV/0!</v>
      </c>
      <c r="AZ104" s="9" t="e">
        <f>Потребность!V104/Потребность!$T104</f>
        <v>#DIV/0!</v>
      </c>
      <c r="BA104" s="141">
        <f>Потребность!Q104</f>
        <v>0</v>
      </c>
      <c r="BB104">
        <f>Потребность!AC104</f>
        <v>0</v>
      </c>
      <c r="BC104" s="141">
        <f>Потребность!AD104</f>
        <v>0</v>
      </c>
    </row>
    <row r="105" spans="1:55" x14ac:dyDescent="0.2">
      <c r="A105" s="85"/>
      <c r="B105" s="195"/>
      <c r="C105" s="85"/>
      <c r="D105" s="85"/>
      <c r="E105" s="195"/>
      <c r="F105" s="35"/>
      <c r="G105" s="65"/>
      <c r="H105" s="36"/>
      <c r="I105" s="37"/>
      <c r="J105" s="37"/>
      <c r="K105" s="35"/>
      <c r="L105" s="38"/>
      <c r="M105" s="128"/>
      <c r="N105" s="38"/>
      <c r="O105" s="128"/>
      <c r="P105" s="53"/>
      <c r="Q105" s="45"/>
      <c r="R105" s="45"/>
      <c r="S105" s="45"/>
      <c r="T105" s="46"/>
      <c r="U105" s="120"/>
      <c r="V105" s="120"/>
      <c r="W105" s="120"/>
      <c r="X105" s="121"/>
      <c r="Y105" s="121"/>
      <c r="Z105" s="121"/>
      <c r="AA105" s="121"/>
      <c r="AB105" s="121"/>
      <c r="AC105" s="121"/>
      <c r="AD105" s="122"/>
      <c r="AE105" s="122"/>
      <c r="AF105" s="122"/>
      <c r="AG105" s="66"/>
      <c r="AH105" s="46"/>
      <c r="AI105" s="76"/>
      <c r="AJ105" s="97"/>
      <c r="AK105" s="39"/>
      <c r="AL105" s="102"/>
      <c r="AM105" s="102"/>
      <c r="AN105" s="102"/>
      <c r="AO105" s="102"/>
      <c r="AP105" s="280"/>
      <c r="AQ105" s="10">
        <f>Потребность!AD105</f>
        <v>0</v>
      </c>
      <c r="AR105" s="10">
        <f>SUM(Потребность!K105:M105)</f>
        <v>0</v>
      </c>
      <c r="AS105" s="9" t="e">
        <f>Потребность!AZ105</f>
        <v>#N/A</v>
      </c>
      <c r="AT105" s="9">
        <f>Потребность!J105</f>
        <v>0</v>
      </c>
      <c r="AU105" s="9" t="e">
        <f>Потребность!N105/Потребность!$N105</f>
        <v>#DIV/0!</v>
      </c>
      <c r="AV105" s="9" t="e">
        <f>Потребность!O105/Потребность!$N105</f>
        <v>#DIV/0!</v>
      </c>
      <c r="AW105" s="9" t="e">
        <f>Потребность!P105/Потребность!$N105</f>
        <v>#DIV/0!</v>
      </c>
      <c r="AX105" s="9" t="e">
        <f>Потребность!T105/Потребность!$T105</f>
        <v>#DIV/0!</v>
      </c>
      <c r="AY105" s="9" t="e">
        <f>Потребность!U105/Потребность!$T105</f>
        <v>#DIV/0!</v>
      </c>
      <c r="AZ105" s="9" t="e">
        <f>Потребность!V105/Потребность!$T105</f>
        <v>#DIV/0!</v>
      </c>
      <c r="BA105" s="141">
        <f>Потребность!Q105</f>
        <v>0</v>
      </c>
      <c r="BB105">
        <f>Потребность!AC105</f>
        <v>0</v>
      </c>
      <c r="BC105" s="141">
        <f>Потребность!AD105</f>
        <v>0</v>
      </c>
    </row>
    <row r="106" spans="1:55" x14ac:dyDescent="0.2">
      <c r="A106" s="85"/>
      <c r="B106" s="195"/>
      <c r="C106" s="85"/>
      <c r="D106" s="85"/>
      <c r="E106" s="195"/>
      <c r="F106" s="35"/>
      <c r="G106" s="65"/>
      <c r="H106" s="36"/>
      <c r="I106" s="37"/>
      <c r="J106" s="37"/>
      <c r="K106" s="35"/>
      <c r="L106" s="38"/>
      <c r="M106" s="128"/>
      <c r="N106" s="38"/>
      <c r="O106" s="128"/>
      <c r="P106" s="53"/>
      <c r="Q106" s="45"/>
      <c r="R106" s="45"/>
      <c r="S106" s="45"/>
      <c r="T106" s="46"/>
      <c r="U106" s="120"/>
      <c r="V106" s="120"/>
      <c r="W106" s="120"/>
      <c r="X106" s="121"/>
      <c r="Y106" s="121"/>
      <c r="Z106" s="121"/>
      <c r="AA106" s="121"/>
      <c r="AB106" s="121"/>
      <c r="AC106" s="121"/>
      <c r="AD106" s="122"/>
      <c r="AE106" s="122"/>
      <c r="AF106" s="122"/>
      <c r="AG106" s="66"/>
      <c r="AH106" s="46"/>
      <c r="AI106" s="76"/>
      <c r="AJ106" s="97"/>
      <c r="AK106" s="39"/>
      <c r="AL106" s="102"/>
      <c r="AM106" s="102"/>
      <c r="AN106" s="102"/>
      <c r="AO106" s="102"/>
      <c r="AP106" s="280"/>
      <c r="AQ106" s="10">
        <f>Потребность!AD106</f>
        <v>0</v>
      </c>
      <c r="AR106" s="10">
        <f>SUM(Потребность!K106:M106)</f>
        <v>0</v>
      </c>
      <c r="AS106" s="9" t="e">
        <f>Потребность!AZ106</f>
        <v>#N/A</v>
      </c>
      <c r="AT106" s="9">
        <f>Потребность!J106</f>
        <v>0</v>
      </c>
      <c r="AU106" s="9" t="e">
        <f>Потребность!N106/Потребность!$N106</f>
        <v>#DIV/0!</v>
      </c>
      <c r="AV106" s="9" t="e">
        <f>Потребность!O106/Потребность!$N106</f>
        <v>#DIV/0!</v>
      </c>
      <c r="AW106" s="9" t="e">
        <f>Потребность!P106/Потребность!$N106</f>
        <v>#DIV/0!</v>
      </c>
      <c r="AX106" s="9" t="e">
        <f>Потребность!T106/Потребность!$T106</f>
        <v>#DIV/0!</v>
      </c>
      <c r="AY106" s="9" t="e">
        <f>Потребность!U106/Потребность!$T106</f>
        <v>#DIV/0!</v>
      </c>
      <c r="AZ106" s="9" t="e">
        <f>Потребность!V106/Потребность!$T106</f>
        <v>#DIV/0!</v>
      </c>
      <c r="BA106" s="141">
        <f>Потребность!Q106</f>
        <v>0</v>
      </c>
      <c r="BB106">
        <f>Потребность!AC106</f>
        <v>0</v>
      </c>
      <c r="BC106" s="141">
        <f>Потребность!AD106</f>
        <v>0</v>
      </c>
    </row>
    <row r="107" spans="1:55" x14ac:dyDescent="0.2">
      <c r="A107" s="85"/>
      <c r="B107" s="195"/>
      <c r="C107" s="85"/>
      <c r="D107" s="85"/>
      <c r="E107" s="195"/>
      <c r="F107" s="35"/>
      <c r="G107" s="65"/>
      <c r="H107" s="36"/>
      <c r="I107" s="37"/>
      <c r="J107" s="37"/>
      <c r="K107" s="35"/>
      <c r="L107" s="38"/>
      <c r="M107" s="128"/>
      <c r="N107" s="38"/>
      <c r="O107" s="128"/>
      <c r="P107" s="53"/>
      <c r="Q107" s="45"/>
      <c r="R107" s="45"/>
      <c r="S107" s="45"/>
      <c r="T107" s="46"/>
      <c r="U107" s="120"/>
      <c r="V107" s="120"/>
      <c r="W107" s="120"/>
      <c r="X107" s="121"/>
      <c r="Y107" s="121"/>
      <c r="Z107" s="121"/>
      <c r="AA107" s="121"/>
      <c r="AB107" s="121"/>
      <c r="AC107" s="121"/>
      <c r="AD107" s="122"/>
      <c r="AE107" s="122"/>
      <c r="AF107" s="122"/>
      <c r="AG107" s="66"/>
      <c r="AH107" s="46"/>
      <c r="AI107" s="76"/>
      <c r="AJ107" s="97"/>
      <c r="AK107" s="39"/>
      <c r="AL107" s="102"/>
      <c r="AM107" s="102"/>
      <c r="AN107" s="102"/>
      <c r="AO107" s="102"/>
      <c r="AP107" s="280"/>
      <c r="AQ107" s="10">
        <f>Потребность!AD107</f>
        <v>0</v>
      </c>
      <c r="AR107" s="10">
        <f>SUM(Потребность!K107:M107)</f>
        <v>0</v>
      </c>
      <c r="AS107" s="9" t="e">
        <f>Потребность!AZ107</f>
        <v>#N/A</v>
      </c>
      <c r="AT107" s="9">
        <f>Потребность!J107</f>
        <v>0</v>
      </c>
      <c r="AU107" s="9" t="e">
        <f>Потребность!N107/Потребность!$N107</f>
        <v>#DIV/0!</v>
      </c>
      <c r="AV107" s="9" t="e">
        <f>Потребность!O107/Потребность!$N107</f>
        <v>#DIV/0!</v>
      </c>
      <c r="AW107" s="9" t="e">
        <f>Потребность!P107/Потребность!$N107</f>
        <v>#DIV/0!</v>
      </c>
      <c r="AX107" s="9" t="e">
        <f>Потребность!T107/Потребность!$T107</f>
        <v>#DIV/0!</v>
      </c>
      <c r="AY107" s="9" t="e">
        <f>Потребность!U107/Потребность!$T107</f>
        <v>#DIV/0!</v>
      </c>
      <c r="AZ107" s="9" t="e">
        <f>Потребность!V107/Потребность!$T107</f>
        <v>#DIV/0!</v>
      </c>
      <c r="BA107" s="141">
        <f>Потребность!Q107</f>
        <v>0</v>
      </c>
      <c r="BB107">
        <f>Потребность!AC107</f>
        <v>0</v>
      </c>
      <c r="BC107" s="141">
        <f>Потребность!AD107</f>
        <v>0</v>
      </c>
    </row>
    <row r="108" spans="1:55" x14ac:dyDescent="0.2">
      <c r="A108" s="85"/>
      <c r="B108" s="195"/>
      <c r="C108" s="85"/>
      <c r="D108" s="85"/>
      <c r="E108" s="195"/>
      <c r="F108" s="35"/>
      <c r="G108" s="65"/>
      <c r="H108" s="36"/>
      <c r="I108" s="37"/>
      <c r="J108" s="37"/>
      <c r="K108" s="35"/>
      <c r="L108" s="38"/>
      <c r="M108" s="128"/>
      <c r="N108" s="38"/>
      <c r="O108" s="128"/>
      <c r="P108" s="53"/>
      <c r="Q108" s="45"/>
      <c r="R108" s="45"/>
      <c r="S108" s="45"/>
      <c r="T108" s="46"/>
      <c r="U108" s="120"/>
      <c r="V108" s="120"/>
      <c r="W108" s="120"/>
      <c r="X108" s="121"/>
      <c r="Y108" s="121"/>
      <c r="Z108" s="121"/>
      <c r="AA108" s="121"/>
      <c r="AB108" s="121"/>
      <c r="AC108" s="121"/>
      <c r="AD108" s="122"/>
      <c r="AE108" s="122"/>
      <c r="AF108" s="122"/>
      <c r="AG108" s="66"/>
      <c r="AH108" s="46"/>
      <c r="AI108" s="76"/>
      <c r="AJ108" s="97"/>
      <c r="AK108" s="39"/>
      <c r="AL108" s="102"/>
      <c r="AM108" s="102"/>
      <c r="AN108" s="102"/>
      <c r="AO108" s="102"/>
      <c r="AP108" s="280"/>
      <c r="AQ108" s="10">
        <f>Потребность!AD108</f>
        <v>0</v>
      </c>
      <c r="AR108" s="10">
        <f>SUM(Потребность!K108:M108)</f>
        <v>0</v>
      </c>
      <c r="AS108" s="9" t="e">
        <f>Потребность!AZ108</f>
        <v>#N/A</v>
      </c>
      <c r="AT108" s="9">
        <f>Потребность!J108</f>
        <v>0</v>
      </c>
      <c r="AU108" s="9" t="e">
        <f>Потребность!N108/Потребность!$N108</f>
        <v>#DIV/0!</v>
      </c>
      <c r="AV108" s="9" t="e">
        <f>Потребность!O108/Потребность!$N108</f>
        <v>#DIV/0!</v>
      </c>
      <c r="AW108" s="9" t="e">
        <f>Потребность!P108/Потребность!$N108</f>
        <v>#DIV/0!</v>
      </c>
      <c r="AX108" s="9" t="e">
        <f>Потребность!T108/Потребность!$T108</f>
        <v>#DIV/0!</v>
      </c>
      <c r="AY108" s="9" t="e">
        <f>Потребность!U108/Потребность!$T108</f>
        <v>#DIV/0!</v>
      </c>
      <c r="AZ108" s="9" t="e">
        <f>Потребность!V108/Потребность!$T108</f>
        <v>#DIV/0!</v>
      </c>
      <c r="BA108" s="141">
        <f>Потребность!Q108</f>
        <v>0</v>
      </c>
      <c r="BB108">
        <f>Потребность!AC108</f>
        <v>0</v>
      </c>
      <c r="BC108" s="141">
        <f>Потребность!AD108</f>
        <v>0</v>
      </c>
    </row>
    <row r="109" spans="1:55" x14ac:dyDescent="0.2">
      <c r="A109" s="85"/>
      <c r="B109" s="195"/>
      <c r="C109" s="85"/>
      <c r="D109" s="85"/>
      <c r="E109" s="195"/>
      <c r="F109" s="35"/>
      <c r="G109" s="65"/>
      <c r="H109" s="36"/>
      <c r="I109" s="37"/>
      <c r="J109" s="37"/>
      <c r="K109" s="35"/>
      <c r="L109" s="38"/>
      <c r="M109" s="128"/>
      <c r="N109" s="38"/>
      <c r="O109" s="128"/>
      <c r="P109" s="53"/>
      <c r="Q109" s="45"/>
      <c r="R109" s="45"/>
      <c r="S109" s="45"/>
      <c r="T109" s="46"/>
      <c r="U109" s="120"/>
      <c r="V109" s="120"/>
      <c r="W109" s="120"/>
      <c r="X109" s="121"/>
      <c r="Y109" s="121"/>
      <c r="Z109" s="121"/>
      <c r="AA109" s="121"/>
      <c r="AB109" s="121"/>
      <c r="AC109" s="121"/>
      <c r="AD109" s="122"/>
      <c r="AE109" s="122"/>
      <c r="AF109" s="122"/>
      <c r="AG109" s="66"/>
      <c r="AH109" s="46"/>
      <c r="AI109" s="76"/>
      <c r="AJ109" s="97"/>
      <c r="AK109" s="39"/>
      <c r="AL109" s="102"/>
      <c r="AM109" s="102"/>
      <c r="AN109" s="102"/>
      <c r="AO109" s="102"/>
      <c r="AP109" s="280"/>
      <c r="AQ109" s="10">
        <f>Потребность!AD109</f>
        <v>0</v>
      </c>
      <c r="AR109" s="10">
        <f>SUM(Потребность!K109:M109)</f>
        <v>0</v>
      </c>
      <c r="AS109" s="9" t="e">
        <f>Потребность!AZ109</f>
        <v>#N/A</v>
      </c>
      <c r="AT109" s="9">
        <f>Потребность!J109</f>
        <v>0</v>
      </c>
      <c r="AU109" s="9" t="e">
        <f>Потребность!N109/Потребность!$N109</f>
        <v>#DIV/0!</v>
      </c>
      <c r="AV109" s="9" t="e">
        <f>Потребность!O109/Потребность!$N109</f>
        <v>#DIV/0!</v>
      </c>
      <c r="AW109" s="9" t="e">
        <f>Потребность!P109/Потребность!$N109</f>
        <v>#DIV/0!</v>
      </c>
      <c r="AX109" s="9" t="e">
        <f>Потребность!T109/Потребность!$T109</f>
        <v>#DIV/0!</v>
      </c>
      <c r="AY109" s="9" t="e">
        <f>Потребность!U109/Потребность!$T109</f>
        <v>#DIV/0!</v>
      </c>
      <c r="AZ109" s="9" t="e">
        <f>Потребность!V109/Потребность!$T109</f>
        <v>#DIV/0!</v>
      </c>
      <c r="BA109" s="141">
        <f>Потребность!Q109</f>
        <v>0</v>
      </c>
      <c r="BB109">
        <f>Потребность!AC109</f>
        <v>0</v>
      </c>
      <c r="BC109" s="141">
        <f>Потребность!AD109</f>
        <v>0</v>
      </c>
    </row>
    <row r="110" spans="1:55" x14ac:dyDescent="0.2">
      <c r="A110" s="85"/>
      <c r="B110" s="195"/>
      <c r="C110" s="85"/>
      <c r="D110" s="85"/>
      <c r="E110" s="195"/>
      <c r="F110" s="35"/>
      <c r="G110" s="65"/>
      <c r="H110" s="36"/>
      <c r="I110" s="37"/>
      <c r="J110" s="37"/>
      <c r="K110" s="35"/>
      <c r="L110" s="38"/>
      <c r="M110" s="128"/>
      <c r="N110" s="38"/>
      <c r="O110" s="128"/>
      <c r="P110" s="53"/>
      <c r="Q110" s="45"/>
      <c r="R110" s="45"/>
      <c r="S110" s="45"/>
      <c r="T110" s="46"/>
      <c r="U110" s="120"/>
      <c r="V110" s="120"/>
      <c r="W110" s="120"/>
      <c r="X110" s="121"/>
      <c r="Y110" s="121"/>
      <c r="Z110" s="121"/>
      <c r="AA110" s="121"/>
      <c r="AB110" s="121"/>
      <c r="AC110" s="121"/>
      <c r="AD110" s="122"/>
      <c r="AE110" s="122"/>
      <c r="AF110" s="122"/>
      <c r="AG110" s="66"/>
      <c r="AH110" s="46"/>
      <c r="AI110" s="76"/>
      <c r="AJ110" s="97"/>
      <c r="AK110" s="39"/>
      <c r="AL110" s="102"/>
      <c r="AM110" s="102"/>
      <c r="AN110" s="102"/>
      <c r="AO110" s="102"/>
      <c r="AP110" s="280"/>
      <c r="AQ110" s="10">
        <f>Потребность!AD110</f>
        <v>0</v>
      </c>
      <c r="AR110" s="10">
        <f>SUM(Потребность!K110:M110)</f>
        <v>0</v>
      </c>
      <c r="AS110" s="9" t="e">
        <f>Потребность!AZ110</f>
        <v>#N/A</v>
      </c>
      <c r="AT110" s="9">
        <f>Потребность!J110</f>
        <v>0</v>
      </c>
      <c r="AU110" s="9" t="e">
        <f>Потребность!N110/Потребность!$N110</f>
        <v>#DIV/0!</v>
      </c>
      <c r="AV110" s="9" t="e">
        <f>Потребность!O110/Потребность!$N110</f>
        <v>#DIV/0!</v>
      </c>
      <c r="AW110" s="9" t="e">
        <f>Потребность!P110/Потребность!$N110</f>
        <v>#DIV/0!</v>
      </c>
      <c r="AX110" s="9" t="e">
        <f>Потребность!T110/Потребность!$T110</f>
        <v>#DIV/0!</v>
      </c>
      <c r="AY110" s="9" t="e">
        <f>Потребность!U110/Потребность!$T110</f>
        <v>#DIV/0!</v>
      </c>
      <c r="AZ110" s="9" t="e">
        <f>Потребность!V110/Потребность!$T110</f>
        <v>#DIV/0!</v>
      </c>
      <c r="BA110" s="141">
        <f>Потребность!Q110</f>
        <v>0</v>
      </c>
      <c r="BB110">
        <f>Потребность!AC110</f>
        <v>0</v>
      </c>
      <c r="BC110" s="141">
        <f>Потребность!AD110</f>
        <v>0</v>
      </c>
    </row>
    <row r="111" spans="1:55" x14ac:dyDescent="0.2">
      <c r="A111" s="85"/>
      <c r="B111" s="195"/>
      <c r="C111" s="85"/>
      <c r="D111" s="85"/>
      <c r="E111" s="195"/>
      <c r="F111" s="35"/>
      <c r="G111" s="65"/>
      <c r="H111" s="36"/>
      <c r="I111" s="37"/>
      <c r="J111" s="37"/>
      <c r="K111" s="35"/>
      <c r="L111" s="38"/>
      <c r="M111" s="128"/>
      <c r="N111" s="38"/>
      <c r="O111" s="128"/>
      <c r="P111" s="53"/>
      <c r="Q111" s="45"/>
      <c r="R111" s="45"/>
      <c r="S111" s="45"/>
      <c r="T111" s="46"/>
      <c r="U111" s="120"/>
      <c r="V111" s="120"/>
      <c r="W111" s="120"/>
      <c r="X111" s="121"/>
      <c r="Y111" s="121"/>
      <c r="Z111" s="121"/>
      <c r="AA111" s="121"/>
      <c r="AB111" s="121"/>
      <c r="AC111" s="121"/>
      <c r="AD111" s="122"/>
      <c r="AE111" s="122"/>
      <c r="AF111" s="122"/>
      <c r="AG111" s="66"/>
      <c r="AH111" s="46"/>
      <c r="AI111" s="76"/>
      <c r="AJ111" s="97"/>
      <c r="AK111" s="39"/>
      <c r="AL111" s="102"/>
      <c r="AM111" s="102"/>
      <c r="AN111" s="102"/>
      <c r="AO111" s="102"/>
      <c r="AP111" s="280"/>
      <c r="AQ111" s="10">
        <f>Потребность!AD111</f>
        <v>0</v>
      </c>
      <c r="AR111" s="10">
        <f>SUM(Потребность!K111:M111)</f>
        <v>0</v>
      </c>
      <c r="AS111" s="9" t="e">
        <f>Потребность!AZ111</f>
        <v>#N/A</v>
      </c>
      <c r="AT111" s="9">
        <f>Потребность!J111</f>
        <v>0</v>
      </c>
      <c r="AU111" s="9" t="e">
        <f>Потребность!N111/Потребность!$N111</f>
        <v>#DIV/0!</v>
      </c>
      <c r="AV111" s="9" t="e">
        <f>Потребность!O111/Потребность!$N111</f>
        <v>#DIV/0!</v>
      </c>
      <c r="AW111" s="9" t="e">
        <f>Потребность!P111/Потребность!$N111</f>
        <v>#DIV/0!</v>
      </c>
      <c r="AX111" s="9" t="e">
        <f>Потребность!T111/Потребность!$T111</f>
        <v>#DIV/0!</v>
      </c>
      <c r="AY111" s="9" t="e">
        <f>Потребность!U111/Потребность!$T111</f>
        <v>#DIV/0!</v>
      </c>
      <c r="AZ111" s="9" t="e">
        <f>Потребность!V111/Потребность!$T111</f>
        <v>#DIV/0!</v>
      </c>
      <c r="BA111" s="141">
        <f>Потребность!Q111</f>
        <v>0</v>
      </c>
      <c r="BB111">
        <f>Потребность!AC111</f>
        <v>0</v>
      </c>
      <c r="BC111" s="141">
        <f>Потребность!AD111</f>
        <v>0</v>
      </c>
    </row>
    <row r="112" spans="1:55" x14ac:dyDescent="0.2">
      <c r="A112" s="85"/>
      <c r="B112" s="195"/>
      <c r="C112" s="85"/>
      <c r="D112" s="85"/>
      <c r="E112" s="195"/>
      <c r="F112" s="35"/>
      <c r="G112" s="65"/>
      <c r="H112" s="36"/>
      <c r="I112" s="37"/>
      <c r="J112" s="37"/>
      <c r="K112" s="35"/>
      <c r="L112" s="38"/>
      <c r="M112" s="128"/>
      <c r="N112" s="38"/>
      <c r="O112" s="128"/>
      <c r="P112" s="53"/>
      <c r="Q112" s="45"/>
      <c r="R112" s="45"/>
      <c r="S112" s="45"/>
      <c r="T112" s="46"/>
      <c r="U112" s="120"/>
      <c r="V112" s="120"/>
      <c r="W112" s="120"/>
      <c r="X112" s="121"/>
      <c r="Y112" s="121"/>
      <c r="Z112" s="121"/>
      <c r="AA112" s="121"/>
      <c r="AB112" s="121"/>
      <c r="AC112" s="121"/>
      <c r="AD112" s="122"/>
      <c r="AE112" s="122"/>
      <c r="AF112" s="122"/>
      <c r="AG112" s="66"/>
      <c r="AH112" s="46"/>
      <c r="AI112" s="76"/>
      <c r="AJ112" s="97"/>
      <c r="AK112" s="39"/>
      <c r="AL112" s="102"/>
      <c r="AM112" s="102"/>
      <c r="AN112" s="102"/>
      <c r="AO112" s="102"/>
      <c r="AP112" s="280"/>
      <c r="AQ112" s="10">
        <f>Потребность!AD112</f>
        <v>0</v>
      </c>
      <c r="AR112" s="10">
        <f>SUM(Потребность!K112:M112)</f>
        <v>0</v>
      </c>
      <c r="AS112" s="9" t="e">
        <f>Потребность!AZ112</f>
        <v>#N/A</v>
      </c>
      <c r="AT112" s="9">
        <f>Потребность!J112</f>
        <v>0</v>
      </c>
      <c r="AU112" s="9" t="e">
        <f>Потребность!N112/Потребность!$N112</f>
        <v>#DIV/0!</v>
      </c>
      <c r="AV112" s="9" t="e">
        <f>Потребность!O112/Потребность!$N112</f>
        <v>#DIV/0!</v>
      </c>
      <c r="AW112" s="9" t="e">
        <f>Потребность!P112/Потребность!$N112</f>
        <v>#DIV/0!</v>
      </c>
      <c r="AX112" s="9" t="e">
        <f>Потребность!T112/Потребность!$T112</f>
        <v>#DIV/0!</v>
      </c>
      <c r="AY112" s="9" t="e">
        <f>Потребность!U112/Потребность!$T112</f>
        <v>#DIV/0!</v>
      </c>
      <c r="AZ112" s="9" t="e">
        <f>Потребность!V112/Потребность!$T112</f>
        <v>#DIV/0!</v>
      </c>
      <c r="BA112" s="141">
        <f>Потребность!Q112</f>
        <v>0</v>
      </c>
      <c r="BB112">
        <f>Потребность!AC112</f>
        <v>0</v>
      </c>
      <c r="BC112" s="141">
        <f>Потребность!AD112</f>
        <v>0</v>
      </c>
    </row>
    <row r="113" spans="1:55" x14ac:dyDescent="0.2">
      <c r="A113" s="85"/>
      <c r="B113" s="195"/>
      <c r="C113" s="85"/>
      <c r="D113" s="85"/>
      <c r="E113" s="195"/>
      <c r="F113" s="35"/>
      <c r="G113" s="65"/>
      <c r="H113" s="36"/>
      <c r="I113" s="37"/>
      <c r="J113" s="37"/>
      <c r="K113" s="35"/>
      <c r="L113" s="38"/>
      <c r="M113" s="128"/>
      <c r="N113" s="38"/>
      <c r="O113" s="128"/>
      <c r="P113" s="53"/>
      <c r="Q113" s="45"/>
      <c r="R113" s="45"/>
      <c r="S113" s="45"/>
      <c r="T113" s="46"/>
      <c r="U113" s="120"/>
      <c r="V113" s="120"/>
      <c r="W113" s="120"/>
      <c r="X113" s="121"/>
      <c r="Y113" s="121"/>
      <c r="Z113" s="121"/>
      <c r="AA113" s="121"/>
      <c r="AB113" s="121"/>
      <c r="AC113" s="121"/>
      <c r="AD113" s="122"/>
      <c r="AE113" s="122"/>
      <c r="AF113" s="122"/>
      <c r="AG113" s="66"/>
      <c r="AH113" s="46"/>
      <c r="AI113" s="76"/>
      <c r="AJ113" s="97"/>
      <c r="AK113" s="39"/>
      <c r="AL113" s="102"/>
      <c r="AM113" s="102"/>
      <c r="AN113" s="102"/>
      <c r="AO113" s="102"/>
      <c r="AP113" s="280"/>
      <c r="AQ113" s="10">
        <f>Потребность!AD113</f>
        <v>0</v>
      </c>
      <c r="AR113" s="10">
        <f>SUM(Потребность!K113:M113)</f>
        <v>0</v>
      </c>
      <c r="AS113" s="9" t="e">
        <f>Потребность!AZ113</f>
        <v>#N/A</v>
      </c>
      <c r="AT113" s="9">
        <f>Потребность!J113</f>
        <v>0</v>
      </c>
      <c r="AU113" s="9" t="e">
        <f>Потребность!N113/Потребность!$N113</f>
        <v>#DIV/0!</v>
      </c>
      <c r="AV113" s="9" t="e">
        <f>Потребность!O113/Потребность!$N113</f>
        <v>#DIV/0!</v>
      </c>
      <c r="AW113" s="9" t="e">
        <f>Потребность!P113/Потребность!$N113</f>
        <v>#DIV/0!</v>
      </c>
      <c r="AX113" s="9" t="e">
        <f>Потребность!T113/Потребность!$T113</f>
        <v>#DIV/0!</v>
      </c>
      <c r="AY113" s="9" t="e">
        <f>Потребность!U113/Потребность!$T113</f>
        <v>#DIV/0!</v>
      </c>
      <c r="AZ113" s="9" t="e">
        <f>Потребность!V113/Потребность!$T113</f>
        <v>#DIV/0!</v>
      </c>
      <c r="BA113" s="141">
        <f>Потребность!Q113</f>
        <v>0</v>
      </c>
      <c r="BB113">
        <f>Потребность!AC113</f>
        <v>0</v>
      </c>
      <c r="BC113" s="141">
        <f>Потребность!AD113</f>
        <v>0</v>
      </c>
    </row>
    <row r="114" spans="1:55" x14ac:dyDescent="0.2">
      <c r="A114" s="85"/>
      <c r="B114" s="195"/>
      <c r="C114" s="85"/>
      <c r="D114" s="85"/>
      <c r="E114" s="195"/>
      <c r="F114" s="35"/>
      <c r="G114" s="65"/>
      <c r="H114" s="36"/>
      <c r="I114" s="37"/>
      <c r="J114" s="37"/>
      <c r="K114" s="35"/>
      <c r="L114" s="38"/>
      <c r="M114" s="128"/>
      <c r="N114" s="38"/>
      <c r="O114" s="128"/>
      <c r="P114" s="53"/>
      <c r="Q114" s="45"/>
      <c r="R114" s="45"/>
      <c r="S114" s="45"/>
      <c r="T114" s="46"/>
      <c r="U114" s="120"/>
      <c r="V114" s="120"/>
      <c r="W114" s="120"/>
      <c r="X114" s="121"/>
      <c r="Y114" s="121"/>
      <c r="Z114" s="121"/>
      <c r="AA114" s="121"/>
      <c r="AB114" s="121"/>
      <c r="AC114" s="121"/>
      <c r="AD114" s="122"/>
      <c r="AE114" s="122"/>
      <c r="AF114" s="122"/>
      <c r="AG114" s="66"/>
      <c r="AH114" s="46"/>
      <c r="AI114" s="76"/>
      <c r="AJ114" s="97"/>
      <c r="AK114" s="39"/>
      <c r="AL114" s="102"/>
      <c r="AM114" s="102"/>
      <c r="AN114" s="102"/>
      <c r="AO114" s="102"/>
      <c r="AP114" s="280"/>
      <c r="AQ114" s="10">
        <f>Потребность!AD114</f>
        <v>0</v>
      </c>
      <c r="AR114" s="10">
        <f>SUM(Потребность!K114:M114)</f>
        <v>0</v>
      </c>
      <c r="AS114" s="9" t="e">
        <f>Потребность!AZ114</f>
        <v>#N/A</v>
      </c>
      <c r="AT114" s="9">
        <f>Потребность!J114</f>
        <v>0</v>
      </c>
      <c r="AU114" s="9" t="e">
        <f>Потребность!N114/Потребность!$N114</f>
        <v>#DIV/0!</v>
      </c>
      <c r="AV114" s="9" t="e">
        <f>Потребность!O114/Потребность!$N114</f>
        <v>#DIV/0!</v>
      </c>
      <c r="AW114" s="9" t="e">
        <f>Потребность!P114/Потребность!$N114</f>
        <v>#DIV/0!</v>
      </c>
      <c r="AX114" s="9" t="e">
        <f>Потребность!T114/Потребность!$T114</f>
        <v>#DIV/0!</v>
      </c>
      <c r="AY114" s="9" t="e">
        <f>Потребность!U114/Потребность!$T114</f>
        <v>#DIV/0!</v>
      </c>
      <c r="AZ114" s="9" t="e">
        <f>Потребность!V114/Потребность!$T114</f>
        <v>#DIV/0!</v>
      </c>
      <c r="BA114" s="141">
        <f>Потребность!Q114</f>
        <v>0</v>
      </c>
      <c r="BB114">
        <f>Потребность!AC114</f>
        <v>0</v>
      </c>
      <c r="BC114" s="141">
        <f>Потребность!AD114</f>
        <v>0</v>
      </c>
    </row>
    <row r="115" spans="1:55" x14ac:dyDescent="0.2">
      <c r="A115" s="85"/>
      <c r="B115" s="195"/>
      <c r="C115" s="85"/>
      <c r="D115" s="85"/>
      <c r="E115" s="195"/>
      <c r="F115" s="35"/>
      <c r="G115" s="65"/>
      <c r="H115" s="36"/>
      <c r="I115" s="37"/>
      <c r="J115" s="37"/>
      <c r="K115" s="35"/>
      <c r="L115" s="38"/>
      <c r="M115" s="128"/>
      <c r="N115" s="38"/>
      <c r="O115" s="128"/>
      <c r="P115" s="53"/>
      <c r="Q115" s="45"/>
      <c r="R115" s="45"/>
      <c r="S115" s="45"/>
      <c r="T115" s="46"/>
      <c r="U115" s="120"/>
      <c r="V115" s="120"/>
      <c r="W115" s="120"/>
      <c r="X115" s="121"/>
      <c r="Y115" s="121"/>
      <c r="Z115" s="121"/>
      <c r="AA115" s="121"/>
      <c r="AB115" s="121"/>
      <c r="AC115" s="121"/>
      <c r="AD115" s="122"/>
      <c r="AE115" s="122"/>
      <c r="AF115" s="122"/>
      <c r="AG115" s="66"/>
      <c r="AH115" s="46"/>
      <c r="AI115" s="76"/>
      <c r="AJ115" s="97"/>
      <c r="AK115" s="39"/>
      <c r="AL115" s="102"/>
      <c r="AM115" s="102"/>
      <c r="AN115" s="102"/>
      <c r="AO115" s="102"/>
      <c r="AP115" s="280"/>
      <c r="AQ115" s="10">
        <f>Потребность!AD115</f>
        <v>0</v>
      </c>
      <c r="AR115" s="10">
        <f>SUM(Потребность!K115:M115)</f>
        <v>0</v>
      </c>
      <c r="AS115" s="9" t="e">
        <f>Потребность!AZ115</f>
        <v>#N/A</v>
      </c>
      <c r="AT115" s="9">
        <f>Потребность!J115</f>
        <v>0</v>
      </c>
      <c r="AU115" s="9" t="e">
        <f>Потребность!N115/Потребность!$N115</f>
        <v>#DIV/0!</v>
      </c>
      <c r="AV115" s="9" t="e">
        <f>Потребность!O115/Потребность!$N115</f>
        <v>#DIV/0!</v>
      </c>
      <c r="AW115" s="9" t="e">
        <f>Потребность!P115/Потребность!$N115</f>
        <v>#DIV/0!</v>
      </c>
      <c r="AX115" s="9" t="e">
        <f>Потребность!T115/Потребность!$T115</f>
        <v>#DIV/0!</v>
      </c>
      <c r="AY115" s="9" t="e">
        <f>Потребность!U115/Потребность!$T115</f>
        <v>#DIV/0!</v>
      </c>
      <c r="AZ115" s="9" t="e">
        <f>Потребность!V115/Потребность!$T115</f>
        <v>#DIV/0!</v>
      </c>
      <c r="BA115" s="141">
        <f>Потребность!Q115</f>
        <v>0</v>
      </c>
      <c r="BB115">
        <f>Потребность!AC115</f>
        <v>0</v>
      </c>
      <c r="BC115" s="141">
        <f>Потребность!AD115</f>
        <v>0</v>
      </c>
    </row>
    <row r="116" spans="1:55" x14ac:dyDescent="0.2">
      <c r="A116" s="85"/>
      <c r="B116" s="195"/>
      <c r="C116" s="85"/>
      <c r="D116" s="85"/>
      <c r="E116" s="195"/>
      <c r="F116" s="35"/>
      <c r="G116" s="65"/>
      <c r="H116" s="36"/>
      <c r="I116" s="37"/>
      <c r="J116" s="37"/>
      <c r="K116" s="35"/>
      <c r="L116" s="38"/>
      <c r="M116" s="128"/>
      <c r="N116" s="38"/>
      <c r="O116" s="128"/>
      <c r="P116" s="53"/>
      <c r="Q116" s="45"/>
      <c r="R116" s="45"/>
      <c r="S116" s="45"/>
      <c r="T116" s="46"/>
      <c r="U116" s="120"/>
      <c r="V116" s="120"/>
      <c r="W116" s="120"/>
      <c r="X116" s="121"/>
      <c r="Y116" s="121"/>
      <c r="Z116" s="121"/>
      <c r="AA116" s="121"/>
      <c r="AB116" s="121"/>
      <c r="AC116" s="121"/>
      <c r="AD116" s="122"/>
      <c r="AE116" s="122"/>
      <c r="AF116" s="122"/>
      <c r="AG116" s="66"/>
      <c r="AH116" s="46"/>
      <c r="AI116" s="76"/>
      <c r="AJ116" s="97"/>
      <c r="AK116" s="39"/>
      <c r="AL116" s="102"/>
      <c r="AM116" s="102"/>
      <c r="AN116" s="102"/>
      <c r="AO116" s="102"/>
      <c r="AP116" s="280"/>
      <c r="AQ116" s="10">
        <f>Потребность!AD116</f>
        <v>0</v>
      </c>
      <c r="AR116" s="10">
        <f>SUM(Потребность!K116:M116)</f>
        <v>0</v>
      </c>
      <c r="AS116" s="9" t="e">
        <f>Потребность!AZ116</f>
        <v>#N/A</v>
      </c>
      <c r="AT116" s="9">
        <f>Потребность!J116</f>
        <v>0</v>
      </c>
      <c r="AU116" s="9" t="e">
        <f>Потребность!N116/Потребность!$N116</f>
        <v>#DIV/0!</v>
      </c>
      <c r="AV116" s="9" t="e">
        <f>Потребность!O116/Потребность!$N116</f>
        <v>#DIV/0!</v>
      </c>
      <c r="AW116" s="9" t="e">
        <f>Потребность!P116/Потребность!$N116</f>
        <v>#DIV/0!</v>
      </c>
      <c r="AX116" s="9" t="e">
        <f>Потребность!T116/Потребность!$T116</f>
        <v>#DIV/0!</v>
      </c>
      <c r="AY116" s="9" t="e">
        <f>Потребность!U116/Потребность!$T116</f>
        <v>#DIV/0!</v>
      </c>
      <c r="AZ116" s="9" t="e">
        <f>Потребность!V116/Потребность!$T116</f>
        <v>#DIV/0!</v>
      </c>
      <c r="BA116" s="141">
        <f>Потребность!Q116</f>
        <v>0</v>
      </c>
      <c r="BB116">
        <f>Потребность!AC116</f>
        <v>0</v>
      </c>
      <c r="BC116" s="141">
        <f>Потребность!AD116</f>
        <v>0</v>
      </c>
    </row>
    <row r="117" spans="1:55" x14ac:dyDescent="0.2">
      <c r="A117" s="85"/>
      <c r="B117" s="195"/>
      <c r="C117" s="85"/>
      <c r="D117" s="85"/>
      <c r="E117" s="195"/>
      <c r="F117" s="35"/>
      <c r="G117" s="65"/>
      <c r="H117" s="36"/>
      <c r="I117" s="37"/>
      <c r="J117" s="37"/>
      <c r="K117" s="35"/>
      <c r="L117" s="38"/>
      <c r="M117" s="128"/>
      <c r="N117" s="38"/>
      <c r="O117" s="128"/>
      <c r="P117" s="53"/>
      <c r="Q117" s="45"/>
      <c r="R117" s="45"/>
      <c r="S117" s="45"/>
      <c r="T117" s="46"/>
      <c r="U117" s="120"/>
      <c r="V117" s="120"/>
      <c r="W117" s="120"/>
      <c r="X117" s="121"/>
      <c r="Y117" s="121"/>
      <c r="Z117" s="121"/>
      <c r="AA117" s="121"/>
      <c r="AB117" s="121"/>
      <c r="AC117" s="121"/>
      <c r="AD117" s="122"/>
      <c r="AE117" s="122"/>
      <c r="AF117" s="122"/>
      <c r="AG117" s="66"/>
      <c r="AH117" s="46"/>
      <c r="AI117" s="76"/>
      <c r="AJ117" s="97"/>
      <c r="AK117" s="39"/>
      <c r="AL117" s="102"/>
      <c r="AM117" s="102"/>
      <c r="AN117" s="102"/>
      <c r="AO117" s="102"/>
      <c r="AP117" s="280"/>
      <c r="AQ117" s="10">
        <f>Потребность!AD117</f>
        <v>0</v>
      </c>
      <c r="AR117" s="10">
        <f>SUM(Потребность!K117:M117)</f>
        <v>0</v>
      </c>
      <c r="AS117" s="9" t="e">
        <f>Потребность!AZ117</f>
        <v>#N/A</v>
      </c>
      <c r="AT117" s="9">
        <f>Потребность!J117</f>
        <v>0</v>
      </c>
      <c r="AU117" s="9" t="e">
        <f>Потребность!N117/Потребность!$N117</f>
        <v>#DIV/0!</v>
      </c>
      <c r="AV117" s="9" t="e">
        <f>Потребность!O117/Потребность!$N117</f>
        <v>#DIV/0!</v>
      </c>
      <c r="AW117" s="9" t="e">
        <f>Потребность!P117/Потребность!$N117</f>
        <v>#DIV/0!</v>
      </c>
      <c r="AX117" s="9" t="e">
        <f>Потребность!T117/Потребность!$T117</f>
        <v>#DIV/0!</v>
      </c>
      <c r="AY117" s="9" t="e">
        <f>Потребность!U117/Потребность!$T117</f>
        <v>#DIV/0!</v>
      </c>
      <c r="AZ117" s="9" t="e">
        <f>Потребность!V117/Потребность!$T117</f>
        <v>#DIV/0!</v>
      </c>
      <c r="BA117" s="141">
        <f>Потребность!Q117</f>
        <v>0</v>
      </c>
      <c r="BB117">
        <f>Потребность!AC117</f>
        <v>0</v>
      </c>
      <c r="BC117" s="141">
        <f>Потребность!AD117</f>
        <v>0</v>
      </c>
    </row>
    <row r="118" spans="1:55" x14ac:dyDescent="0.2">
      <c r="A118" s="85"/>
      <c r="B118" s="195"/>
      <c r="C118" s="85"/>
      <c r="D118" s="85"/>
      <c r="E118" s="195"/>
      <c r="F118" s="35"/>
      <c r="G118" s="65"/>
      <c r="H118" s="36"/>
      <c r="I118" s="37"/>
      <c r="J118" s="37"/>
      <c r="K118" s="35"/>
      <c r="L118" s="38"/>
      <c r="M118" s="128"/>
      <c r="N118" s="38"/>
      <c r="O118" s="128"/>
      <c r="P118" s="53"/>
      <c r="Q118" s="45"/>
      <c r="R118" s="45"/>
      <c r="S118" s="45"/>
      <c r="T118" s="46"/>
      <c r="U118" s="120"/>
      <c r="V118" s="120"/>
      <c r="W118" s="120"/>
      <c r="X118" s="121"/>
      <c r="Y118" s="121"/>
      <c r="Z118" s="121"/>
      <c r="AA118" s="121"/>
      <c r="AB118" s="121"/>
      <c r="AC118" s="121"/>
      <c r="AD118" s="122"/>
      <c r="AE118" s="122"/>
      <c r="AF118" s="122"/>
      <c r="AG118" s="66"/>
      <c r="AH118" s="46"/>
      <c r="AI118" s="76"/>
      <c r="AJ118" s="97"/>
      <c r="AK118" s="39"/>
      <c r="AL118" s="102"/>
      <c r="AM118" s="102"/>
      <c r="AN118" s="102"/>
      <c r="AO118" s="102"/>
      <c r="AP118" s="280"/>
      <c r="AQ118" s="10">
        <f>Потребность!AD118</f>
        <v>0</v>
      </c>
      <c r="AR118" s="10">
        <f>SUM(Потребность!K118:M118)</f>
        <v>0</v>
      </c>
      <c r="AS118" s="9" t="e">
        <f>Потребность!AZ118</f>
        <v>#N/A</v>
      </c>
      <c r="AT118" s="9">
        <f>Потребность!J118</f>
        <v>0</v>
      </c>
      <c r="AU118" s="9" t="e">
        <f>Потребность!N118/Потребность!$N118</f>
        <v>#DIV/0!</v>
      </c>
      <c r="AV118" s="9" t="e">
        <f>Потребность!O118/Потребность!$N118</f>
        <v>#DIV/0!</v>
      </c>
      <c r="AW118" s="9" t="e">
        <f>Потребность!P118/Потребность!$N118</f>
        <v>#DIV/0!</v>
      </c>
      <c r="AX118" s="9" t="e">
        <f>Потребность!T118/Потребность!$T118</f>
        <v>#DIV/0!</v>
      </c>
      <c r="AY118" s="9" t="e">
        <f>Потребность!U118/Потребность!$T118</f>
        <v>#DIV/0!</v>
      </c>
      <c r="AZ118" s="9" t="e">
        <f>Потребность!V118/Потребность!$T118</f>
        <v>#DIV/0!</v>
      </c>
      <c r="BA118" s="141">
        <f>Потребность!Q118</f>
        <v>0</v>
      </c>
      <c r="BB118">
        <f>Потребность!AC118</f>
        <v>0</v>
      </c>
      <c r="BC118" s="141">
        <f>Потребность!AD118</f>
        <v>0</v>
      </c>
    </row>
    <row r="119" spans="1:55" x14ac:dyDescent="0.2">
      <c r="A119" s="85"/>
      <c r="B119" s="195"/>
      <c r="C119" s="85"/>
      <c r="D119" s="85"/>
      <c r="E119" s="195"/>
      <c r="F119" s="35"/>
      <c r="G119" s="65"/>
      <c r="H119" s="36"/>
      <c r="I119" s="37"/>
      <c r="J119" s="37"/>
      <c r="K119" s="35"/>
      <c r="L119" s="38"/>
      <c r="M119" s="128"/>
      <c r="N119" s="38"/>
      <c r="O119" s="128"/>
      <c r="P119" s="53"/>
      <c r="Q119" s="45"/>
      <c r="R119" s="45"/>
      <c r="S119" s="45"/>
      <c r="T119" s="46"/>
      <c r="U119" s="120"/>
      <c r="V119" s="120"/>
      <c r="W119" s="120"/>
      <c r="X119" s="121"/>
      <c r="Y119" s="121"/>
      <c r="Z119" s="121"/>
      <c r="AA119" s="121"/>
      <c r="AB119" s="121"/>
      <c r="AC119" s="121"/>
      <c r="AD119" s="122"/>
      <c r="AE119" s="122"/>
      <c r="AF119" s="122"/>
      <c r="AG119" s="66"/>
      <c r="AH119" s="46"/>
      <c r="AI119" s="76"/>
      <c r="AJ119" s="97"/>
      <c r="AK119" s="39"/>
      <c r="AL119" s="102"/>
      <c r="AM119" s="102"/>
      <c r="AN119" s="102"/>
      <c r="AO119" s="102"/>
      <c r="AP119" s="280"/>
      <c r="AQ119" s="10">
        <f>Потребность!AD119</f>
        <v>0</v>
      </c>
      <c r="AR119" s="10">
        <f>SUM(Потребность!K119:M119)</f>
        <v>0</v>
      </c>
      <c r="AS119" s="9" t="e">
        <f>Потребность!AZ119</f>
        <v>#N/A</v>
      </c>
      <c r="AT119" s="9">
        <f>Потребность!J119</f>
        <v>0</v>
      </c>
      <c r="AU119" s="9" t="e">
        <f>Потребность!N119/Потребность!$N119</f>
        <v>#DIV/0!</v>
      </c>
      <c r="AV119" s="9" t="e">
        <f>Потребность!O119/Потребность!$N119</f>
        <v>#DIV/0!</v>
      </c>
      <c r="AW119" s="9" t="e">
        <f>Потребность!P119/Потребность!$N119</f>
        <v>#DIV/0!</v>
      </c>
      <c r="AX119" s="9" t="e">
        <f>Потребность!T119/Потребность!$T119</f>
        <v>#DIV/0!</v>
      </c>
      <c r="AY119" s="9" t="e">
        <f>Потребность!U119/Потребность!$T119</f>
        <v>#DIV/0!</v>
      </c>
      <c r="AZ119" s="9" t="e">
        <f>Потребность!V119/Потребность!$T119</f>
        <v>#DIV/0!</v>
      </c>
      <c r="BA119" s="141">
        <f>Потребность!Q119</f>
        <v>0</v>
      </c>
      <c r="BB119">
        <f>Потребность!AC119</f>
        <v>0</v>
      </c>
      <c r="BC119" s="141">
        <f>Потребность!AD119</f>
        <v>0</v>
      </c>
    </row>
    <row r="120" spans="1:55" x14ac:dyDescent="0.2">
      <c r="A120" s="85"/>
      <c r="B120" s="195"/>
      <c r="C120" s="85"/>
      <c r="D120" s="85"/>
      <c r="E120" s="195"/>
      <c r="F120" s="35"/>
      <c r="G120" s="65"/>
      <c r="H120" s="36"/>
      <c r="I120" s="37"/>
      <c r="J120" s="37"/>
      <c r="K120" s="35"/>
      <c r="L120" s="38"/>
      <c r="M120" s="128"/>
      <c r="N120" s="38"/>
      <c r="O120" s="128"/>
      <c r="P120" s="53"/>
      <c r="Q120" s="45"/>
      <c r="R120" s="45"/>
      <c r="S120" s="45"/>
      <c r="T120" s="46"/>
      <c r="U120" s="120"/>
      <c r="V120" s="120"/>
      <c r="W120" s="120"/>
      <c r="X120" s="121"/>
      <c r="Y120" s="121"/>
      <c r="Z120" s="121"/>
      <c r="AA120" s="121"/>
      <c r="AB120" s="121"/>
      <c r="AC120" s="121"/>
      <c r="AD120" s="122"/>
      <c r="AE120" s="122"/>
      <c r="AF120" s="122"/>
      <c r="AG120" s="66"/>
      <c r="AH120" s="46"/>
      <c r="AI120" s="76"/>
      <c r="AJ120" s="97"/>
      <c r="AK120" s="39"/>
      <c r="AL120" s="102"/>
      <c r="AM120" s="102"/>
      <c r="AN120" s="102"/>
      <c r="AO120" s="102"/>
      <c r="AP120" s="280"/>
      <c r="AQ120" s="10">
        <f>Потребность!AD120</f>
        <v>0</v>
      </c>
      <c r="AR120" s="10">
        <f>SUM(Потребность!K120:M120)</f>
        <v>0</v>
      </c>
      <c r="AS120" s="9" t="e">
        <f>Потребность!AZ120</f>
        <v>#N/A</v>
      </c>
      <c r="AT120" s="9">
        <f>Потребность!J120</f>
        <v>0</v>
      </c>
      <c r="AU120" s="9" t="e">
        <f>Потребность!N120/Потребность!$N120</f>
        <v>#DIV/0!</v>
      </c>
      <c r="AV120" s="9" t="e">
        <f>Потребность!O120/Потребность!$N120</f>
        <v>#DIV/0!</v>
      </c>
      <c r="AW120" s="9" t="e">
        <f>Потребность!P120/Потребность!$N120</f>
        <v>#DIV/0!</v>
      </c>
      <c r="AX120" s="9" t="e">
        <f>Потребность!T120/Потребность!$T120</f>
        <v>#DIV/0!</v>
      </c>
      <c r="AY120" s="9" t="e">
        <f>Потребность!U120/Потребность!$T120</f>
        <v>#DIV/0!</v>
      </c>
      <c r="AZ120" s="9" t="e">
        <f>Потребность!V120/Потребность!$T120</f>
        <v>#DIV/0!</v>
      </c>
      <c r="BA120" s="141">
        <f>Потребность!Q120</f>
        <v>0</v>
      </c>
      <c r="BB120">
        <f>Потребность!AC120</f>
        <v>0</v>
      </c>
      <c r="BC120" s="141">
        <f>Потребность!AD120</f>
        <v>0</v>
      </c>
    </row>
    <row r="121" spans="1:55" x14ac:dyDescent="0.2">
      <c r="A121" s="85"/>
      <c r="B121" s="195"/>
      <c r="C121" s="85"/>
      <c r="D121" s="85"/>
      <c r="E121" s="195"/>
      <c r="F121" s="35"/>
      <c r="G121" s="65"/>
      <c r="H121" s="36"/>
      <c r="I121" s="37"/>
      <c r="J121" s="37"/>
      <c r="K121" s="35"/>
      <c r="L121" s="38"/>
      <c r="M121" s="128"/>
      <c r="N121" s="38"/>
      <c r="O121" s="128"/>
      <c r="P121" s="53"/>
      <c r="Q121" s="45"/>
      <c r="R121" s="45"/>
      <c r="S121" s="45"/>
      <c r="T121" s="46"/>
      <c r="U121" s="120"/>
      <c r="V121" s="120"/>
      <c r="W121" s="120"/>
      <c r="X121" s="121"/>
      <c r="Y121" s="121"/>
      <c r="Z121" s="121"/>
      <c r="AA121" s="121"/>
      <c r="AB121" s="121"/>
      <c r="AC121" s="121"/>
      <c r="AD121" s="122"/>
      <c r="AE121" s="122"/>
      <c r="AF121" s="122"/>
      <c r="AG121" s="66"/>
      <c r="AH121" s="46"/>
      <c r="AI121" s="76"/>
      <c r="AJ121" s="97"/>
      <c r="AK121" s="39"/>
      <c r="AL121" s="102"/>
      <c r="AM121" s="102"/>
      <c r="AN121" s="102"/>
      <c r="AO121" s="102"/>
      <c r="AP121" s="280"/>
      <c r="AQ121" s="10">
        <f>Потребность!AD121</f>
        <v>0</v>
      </c>
      <c r="AR121" s="10">
        <f>SUM(Потребность!K121:M121)</f>
        <v>0</v>
      </c>
      <c r="AS121" s="9" t="e">
        <f>Потребность!AZ121</f>
        <v>#N/A</v>
      </c>
      <c r="AT121" s="9">
        <f>Потребность!J121</f>
        <v>0</v>
      </c>
      <c r="AU121" s="9" t="e">
        <f>Потребность!N121/Потребность!$N121</f>
        <v>#DIV/0!</v>
      </c>
      <c r="AV121" s="9" t="e">
        <f>Потребность!O121/Потребность!$N121</f>
        <v>#DIV/0!</v>
      </c>
      <c r="AW121" s="9" t="e">
        <f>Потребность!P121/Потребность!$N121</f>
        <v>#DIV/0!</v>
      </c>
      <c r="AX121" s="9" t="e">
        <f>Потребность!T121/Потребность!$T121</f>
        <v>#DIV/0!</v>
      </c>
      <c r="AY121" s="9" t="e">
        <f>Потребность!U121/Потребность!$T121</f>
        <v>#DIV/0!</v>
      </c>
      <c r="AZ121" s="9" t="e">
        <f>Потребность!V121/Потребность!$T121</f>
        <v>#DIV/0!</v>
      </c>
      <c r="BA121" s="141">
        <f>Потребность!Q121</f>
        <v>0</v>
      </c>
      <c r="BB121">
        <f>Потребность!AC121</f>
        <v>0</v>
      </c>
      <c r="BC121" s="141">
        <f>Потребность!AD121</f>
        <v>0</v>
      </c>
    </row>
    <row r="122" spans="1:55" x14ac:dyDescent="0.2">
      <c r="A122" s="85"/>
      <c r="B122" s="195"/>
      <c r="C122" s="85"/>
      <c r="D122" s="85"/>
      <c r="E122" s="195"/>
      <c r="F122" s="35"/>
      <c r="G122" s="65"/>
      <c r="H122" s="36"/>
      <c r="I122" s="37"/>
      <c r="J122" s="37"/>
      <c r="K122" s="35"/>
      <c r="L122" s="38"/>
      <c r="M122" s="128"/>
      <c r="N122" s="38"/>
      <c r="O122" s="128"/>
      <c r="P122" s="53"/>
      <c r="Q122" s="45"/>
      <c r="R122" s="45"/>
      <c r="S122" s="45"/>
      <c r="T122" s="46"/>
      <c r="U122" s="120"/>
      <c r="V122" s="120"/>
      <c r="W122" s="120"/>
      <c r="X122" s="121"/>
      <c r="Y122" s="121"/>
      <c r="Z122" s="121"/>
      <c r="AA122" s="121"/>
      <c r="AB122" s="121"/>
      <c r="AC122" s="121"/>
      <c r="AD122" s="122"/>
      <c r="AE122" s="122"/>
      <c r="AF122" s="122"/>
      <c r="AG122" s="66"/>
      <c r="AH122" s="46"/>
      <c r="AI122" s="76"/>
      <c r="AJ122" s="97"/>
      <c r="AK122" s="39"/>
      <c r="AL122" s="102"/>
      <c r="AM122" s="102"/>
      <c r="AN122" s="102"/>
      <c r="AO122" s="102"/>
      <c r="AP122" s="280"/>
      <c r="AQ122" s="10">
        <f>Потребность!AD122</f>
        <v>0</v>
      </c>
      <c r="AR122" s="10">
        <f>SUM(Потребность!K122:M122)</f>
        <v>0</v>
      </c>
      <c r="AS122" s="9" t="e">
        <f>Потребность!AZ122</f>
        <v>#N/A</v>
      </c>
      <c r="AT122" s="9">
        <f>Потребность!J122</f>
        <v>0</v>
      </c>
      <c r="AU122" s="9" t="e">
        <f>Потребность!N122/Потребность!$N122</f>
        <v>#DIV/0!</v>
      </c>
      <c r="AV122" s="9" t="e">
        <f>Потребность!O122/Потребность!$N122</f>
        <v>#DIV/0!</v>
      </c>
      <c r="AW122" s="9" t="e">
        <f>Потребность!P122/Потребность!$N122</f>
        <v>#DIV/0!</v>
      </c>
      <c r="AX122" s="9" t="e">
        <f>Потребность!T122/Потребность!$T122</f>
        <v>#DIV/0!</v>
      </c>
      <c r="AY122" s="9" t="e">
        <f>Потребность!U122/Потребность!$T122</f>
        <v>#DIV/0!</v>
      </c>
      <c r="AZ122" s="9" t="e">
        <f>Потребность!V122/Потребность!$T122</f>
        <v>#DIV/0!</v>
      </c>
      <c r="BA122" s="141">
        <f>Потребность!Q122</f>
        <v>0</v>
      </c>
      <c r="BB122">
        <f>Потребность!AC122</f>
        <v>0</v>
      </c>
      <c r="BC122" s="141">
        <f>Потребность!AD122</f>
        <v>0</v>
      </c>
    </row>
    <row r="123" spans="1:55" x14ac:dyDescent="0.2">
      <c r="A123" s="85"/>
      <c r="B123" s="195"/>
      <c r="C123" s="85"/>
      <c r="D123" s="85"/>
      <c r="E123" s="195"/>
      <c r="F123" s="35"/>
      <c r="G123" s="65"/>
      <c r="H123" s="36"/>
      <c r="I123" s="37"/>
      <c r="J123" s="37"/>
      <c r="K123" s="35"/>
      <c r="L123" s="38"/>
      <c r="M123" s="128"/>
      <c r="N123" s="38"/>
      <c r="O123" s="128"/>
      <c r="P123" s="53"/>
      <c r="Q123" s="45"/>
      <c r="R123" s="45"/>
      <c r="S123" s="45"/>
      <c r="T123" s="46"/>
      <c r="U123" s="120"/>
      <c r="V123" s="120"/>
      <c r="W123" s="120"/>
      <c r="X123" s="121"/>
      <c r="Y123" s="121"/>
      <c r="Z123" s="121"/>
      <c r="AA123" s="121"/>
      <c r="AB123" s="121"/>
      <c r="AC123" s="121"/>
      <c r="AD123" s="122"/>
      <c r="AE123" s="122"/>
      <c r="AF123" s="122"/>
      <c r="AG123" s="66"/>
      <c r="AH123" s="46"/>
      <c r="AI123" s="76"/>
      <c r="AJ123" s="97"/>
      <c r="AK123" s="39"/>
      <c r="AL123" s="102"/>
      <c r="AM123" s="102"/>
      <c r="AN123" s="102"/>
      <c r="AO123" s="102"/>
      <c r="AP123" s="280"/>
      <c r="AQ123" s="10">
        <f>Потребность!AD123</f>
        <v>0</v>
      </c>
      <c r="AR123" s="10">
        <f>SUM(Потребность!K123:M123)</f>
        <v>0</v>
      </c>
      <c r="AS123" s="9" t="e">
        <f>Потребность!AZ123</f>
        <v>#N/A</v>
      </c>
      <c r="AT123" s="9">
        <f>Потребность!J123</f>
        <v>0</v>
      </c>
      <c r="AU123" s="9" t="e">
        <f>Потребность!N123/Потребность!$N123</f>
        <v>#DIV/0!</v>
      </c>
      <c r="AV123" s="9" t="e">
        <f>Потребность!O123/Потребность!$N123</f>
        <v>#DIV/0!</v>
      </c>
      <c r="AW123" s="9" t="e">
        <f>Потребность!P123/Потребность!$N123</f>
        <v>#DIV/0!</v>
      </c>
      <c r="AX123" s="9" t="e">
        <f>Потребность!T123/Потребность!$T123</f>
        <v>#DIV/0!</v>
      </c>
      <c r="AY123" s="9" t="e">
        <f>Потребность!U123/Потребность!$T123</f>
        <v>#DIV/0!</v>
      </c>
      <c r="AZ123" s="9" t="e">
        <f>Потребность!V123/Потребность!$T123</f>
        <v>#DIV/0!</v>
      </c>
      <c r="BA123" s="141">
        <f>Потребность!Q123</f>
        <v>0</v>
      </c>
      <c r="BB123">
        <f>Потребность!AC123</f>
        <v>0</v>
      </c>
      <c r="BC123" s="141">
        <f>Потребность!AD123</f>
        <v>0</v>
      </c>
    </row>
    <row r="124" spans="1:55" x14ac:dyDescent="0.2">
      <c r="A124" s="85"/>
      <c r="B124" s="195"/>
      <c r="C124" s="85"/>
      <c r="D124" s="85"/>
      <c r="E124" s="195"/>
      <c r="F124" s="35"/>
      <c r="G124" s="65"/>
      <c r="H124" s="36"/>
      <c r="I124" s="37"/>
      <c r="J124" s="37"/>
      <c r="K124" s="35"/>
      <c r="L124" s="38"/>
      <c r="M124" s="128"/>
      <c r="N124" s="38"/>
      <c r="O124" s="128"/>
      <c r="P124" s="53"/>
      <c r="Q124" s="45"/>
      <c r="R124" s="45"/>
      <c r="S124" s="45"/>
      <c r="T124" s="46"/>
      <c r="U124" s="120"/>
      <c r="V124" s="120"/>
      <c r="W124" s="120"/>
      <c r="X124" s="121"/>
      <c r="Y124" s="121"/>
      <c r="Z124" s="121"/>
      <c r="AA124" s="121"/>
      <c r="AB124" s="121"/>
      <c r="AC124" s="121"/>
      <c r="AD124" s="122"/>
      <c r="AE124" s="122"/>
      <c r="AF124" s="122"/>
      <c r="AG124" s="66"/>
      <c r="AH124" s="46"/>
      <c r="AI124" s="76"/>
      <c r="AJ124" s="97"/>
      <c r="AK124" s="39"/>
      <c r="AL124" s="102"/>
      <c r="AM124" s="102"/>
      <c r="AN124" s="102"/>
      <c r="AO124" s="102"/>
      <c r="AP124" s="280"/>
      <c r="AQ124" s="10">
        <f>Потребность!AD124</f>
        <v>0</v>
      </c>
      <c r="AR124" s="10">
        <f>SUM(Потребность!K124:M124)</f>
        <v>0</v>
      </c>
      <c r="AS124" s="9" t="e">
        <f>Потребность!AZ124</f>
        <v>#N/A</v>
      </c>
      <c r="AT124" s="9">
        <f>Потребность!J124</f>
        <v>0</v>
      </c>
      <c r="AU124" s="9" t="e">
        <f>Потребность!N124/Потребность!$N124</f>
        <v>#DIV/0!</v>
      </c>
      <c r="AV124" s="9" t="e">
        <f>Потребность!O124/Потребность!$N124</f>
        <v>#DIV/0!</v>
      </c>
      <c r="AW124" s="9" t="e">
        <f>Потребность!P124/Потребность!$N124</f>
        <v>#DIV/0!</v>
      </c>
      <c r="AX124" s="9" t="e">
        <f>Потребность!T124/Потребность!$T124</f>
        <v>#DIV/0!</v>
      </c>
      <c r="AY124" s="9" t="e">
        <f>Потребность!U124/Потребность!$T124</f>
        <v>#DIV/0!</v>
      </c>
      <c r="AZ124" s="9" t="e">
        <f>Потребность!V124/Потребность!$T124</f>
        <v>#DIV/0!</v>
      </c>
      <c r="BA124" s="141">
        <f>Потребность!Q124</f>
        <v>0</v>
      </c>
      <c r="BB124">
        <f>Потребность!AC124</f>
        <v>0</v>
      </c>
      <c r="BC124" s="141">
        <f>Потребность!AD124</f>
        <v>0</v>
      </c>
    </row>
    <row r="125" spans="1:55" x14ac:dyDescent="0.2">
      <c r="A125" s="85"/>
      <c r="B125" s="195"/>
      <c r="C125" s="85"/>
      <c r="D125" s="85"/>
      <c r="E125" s="195"/>
      <c r="F125" s="35"/>
      <c r="G125" s="65"/>
      <c r="H125" s="36"/>
      <c r="I125" s="37"/>
      <c r="J125" s="37"/>
      <c r="K125" s="35"/>
      <c r="L125" s="38"/>
      <c r="M125" s="128"/>
      <c r="N125" s="38"/>
      <c r="O125" s="128"/>
      <c r="P125" s="53"/>
      <c r="Q125" s="45"/>
      <c r="R125" s="45"/>
      <c r="S125" s="45"/>
      <c r="T125" s="46"/>
      <c r="U125" s="120"/>
      <c r="V125" s="120"/>
      <c r="W125" s="120"/>
      <c r="X125" s="121"/>
      <c r="Y125" s="121"/>
      <c r="Z125" s="121"/>
      <c r="AA125" s="121"/>
      <c r="AB125" s="121"/>
      <c r="AC125" s="121"/>
      <c r="AD125" s="122"/>
      <c r="AE125" s="122"/>
      <c r="AF125" s="122"/>
      <c r="AG125" s="66"/>
      <c r="AH125" s="46"/>
      <c r="AI125" s="76"/>
      <c r="AJ125" s="97"/>
      <c r="AK125" s="39"/>
      <c r="AL125" s="102"/>
      <c r="AM125" s="102"/>
      <c r="AN125" s="102"/>
      <c r="AO125" s="102"/>
      <c r="AP125" s="280"/>
      <c r="AQ125" s="10">
        <f>Потребность!AD125</f>
        <v>0</v>
      </c>
      <c r="AR125" s="10">
        <f>SUM(Потребность!K125:M125)</f>
        <v>0</v>
      </c>
      <c r="AS125" s="9" t="e">
        <f>Потребность!AZ125</f>
        <v>#N/A</v>
      </c>
      <c r="AT125" s="9">
        <f>Потребность!J125</f>
        <v>0</v>
      </c>
      <c r="AU125" s="9" t="e">
        <f>Потребность!N125/Потребность!$N125</f>
        <v>#DIV/0!</v>
      </c>
      <c r="AV125" s="9" t="e">
        <f>Потребность!O125/Потребность!$N125</f>
        <v>#DIV/0!</v>
      </c>
      <c r="AW125" s="9" t="e">
        <f>Потребность!P125/Потребность!$N125</f>
        <v>#DIV/0!</v>
      </c>
      <c r="AX125" s="9" t="e">
        <f>Потребность!T125/Потребность!$T125</f>
        <v>#DIV/0!</v>
      </c>
      <c r="AY125" s="9" t="e">
        <f>Потребность!U125/Потребность!$T125</f>
        <v>#DIV/0!</v>
      </c>
      <c r="AZ125" s="9" t="e">
        <f>Потребность!V125/Потребность!$T125</f>
        <v>#DIV/0!</v>
      </c>
      <c r="BA125" s="141">
        <f>Потребность!Q125</f>
        <v>0</v>
      </c>
      <c r="BB125">
        <f>Потребность!AC125</f>
        <v>0</v>
      </c>
      <c r="BC125" s="141">
        <f>Потребность!AD125</f>
        <v>0</v>
      </c>
    </row>
    <row r="126" spans="1:55" x14ac:dyDescent="0.2">
      <c r="A126" s="85"/>
      <c r="B126" s="195"/>
      <c r="C126" s="85"/>
      <c r="D126" s="85"/>
      <c r="E126" s="195"/>
      <c r="F126" s="35"/>
      <c r="G126" s="65"/>
      <c r="H126" s="36"/>
      <c r="I126" s="37"/>
      <c r="J126" s="37"/>
      <c r="K126" s="35"/>
      <c r="L126" s="38"/>
      <c r="M126" s="128"/>
      <c r="N126" s="38"/>
      <c r="O126" s="128"/>
      <c r="P126" s="53"/>
      <c r="Q126" s="45"/>
      <c r="R126" s="45"/>
      <c r="S126" s="45"/>
      <c r="T126" s="46"/>
      <c r="U126" s="120"/>
      <c r="V126" s="120"/>
      <c r="W126" s="120"/>
      <c r="X126" s="121"/>
      <c r="Y126" s="121"/>
      <c r="Z126" s="121"/>
      <c r="AA126" s="121"/>
      <c r="AB126" s="121"/>
      <c r="AC126" s="121"/>
      <c r="AD126" s="122"/>
      <c r="AE126" s="122"/>
      <c r="AF126" s="122"/>
      <c r="AG126" s="66"/>
      <c r="AH126" s="46"/>
      <c r="AI126" s="76"/>
      <c r="AJ126" s="97"/>
      <c r="AK126" s="39"/>
      <c r="AL126" s="102"/>
      <c r="AM126" s="102"/>
      <c r="AN126" s="102"/>
      <c r="AO126" s="102"/>
      <c r="AP126" s="280"/>
      <c r="AQ126" s="10">
        <f>Потребность!AD126</f>
        <v>0</v>
      </c>
      <c r="AR126" s="10">
        <f>SUM(Потребность!K126:M126)</f>
        <v>0</v>
      </c>
      <c r="AS126" s="9" t="e">
        <f>Потребность!AZ126</f>
        <v>#N/A</v>
      </c>
      <c r="AT126" s="9">
        <f>Потребность!J126</f>
        <v>0</v>
      </c>
      <c r="AU126" s="9" t="e">
        <f>Потребность!N126/Потребность!$N126</f>
        <v>#DIV/0!</v>
      </c>
      <c r="AV126" s="9" t="e">
        <f>Потребность!O126/Потребность!$N126</f>
        <v>#DIV/0!</v>
      </c>
      <c r="AW126" s="9" t="e">
        <f>Потребность!P126/Потребность!$N126</f>
        <v>#DIV/0!</v>
      </c>
      <c r="AX126" s="9" t="e">
        <f>Потребность!T126/Потребность!$T126</f>
        <v>#DIV/0!</v>
      </c>
      <c r="AY126" s="9" t="e">
        <f>Потребность!U126/Потребность!$T126</f>
        <v>#DIV/0!</v>
      </c>
      <c r="AZ126" s="9" t="e">
        <f>Потребность!V126/Потребность!$T126</f>
        <v>#DIV/0!</v>
      </c>
      <c r="BA126" s="141">
        <f>Потребность!Q126</f>
        <v>0</v>
      </c>
      <c r="BB126">
        <f>Потребность!AC126</f>
        <v>0</v>
      </c>
      <c r="BC126" s="141">
        <f>Потребность!AD126</f>
        <v>0</v>
      </c>
    </row>
    <row r="127" spans="1:55" x14ac:dyDescent="0.2">
      <c r="A127" s="85"/>
      <c r="B127" s="195"/>
      <c r="C127" s="85"/>
      <c r="D127" s="85"/>
      <c r="E127" s="195"/>
      <c r="F127" s="35"/>
      <c r="G127" s="65"/>
      <c r="H127" s="36"/>
      <c r="I127" s="37"/>
      <c r="J127" s="37"/>
      <c r="K127" s="35"/>
      <c r="L127" s="38"/>
      <c r="M127" s="128"/>
      <c r="N127" s="38"/>
      <c r="O127" s="128"/>
      <c r="P127" s="53"/>
      <c r="Q127" s="45"/>
      <c r="R127" s="45"/>
      <c r="S127" s="45"/>
      <c r="T127" s="46"/>
      <c r="U127" s="120"/>
      <c r="V127" s="120"/>
      <c r="W127" s="120"/>
      <c r="X127" s="121"/>
      <c r="Y127" s="121"/>
      <c r="Z127" s="121"/>
      <c r="AA127" s="121"/>
      <c r="AB127" s="121"/>
      <c r="AC127" s="121"/>
      <c r="AD127" s="122"/>
      <c r="AE127" s="122"/>
      <c r="AF127" s="122"/>
      <c r="AG127" s="66"/>
      <c r="AH127" s="46"/>
      <c r="AI127" s="76"/>
      <c r="AJ127" s="97"/>
      <c r="AK127" s="39"/>
      <c r="AL127" s="102"/>
      <c r="AM127" s="102"/>
      <c r="AN127" s="102"/>
      <c r="AO127" s="102"/>
      <c r="AP127" s="280"/>
      <c r="AQ127" s="10">
        <f>Потребность!AD127</f>
        <v>0</v>
      </c>
      <c r="AR127" s="10">
        <f>SUM(Потребность!K127:M127)</f>
        <v>0</v>
      </c>
      <c r="AS127" s="9" t="e">
        <f>Потребность!AZ127</f>
        <v>#N/A</v>
      </c>
      <c r="AT127" s="9">
        <f>Потребность!J127</f>
        <v>0</v>
      </c>
      <c r="AU127" s="9" t="e">
        <f>Потребность!N127/Потребность!$N127</f>
        <v>#DIV/0!</v>
      </c>
      <c r="AV127" s="9" t="e">
        <f>Потребность!O127/Потребность!$N127</f>
        <v>#DIV/0!</v>
      </c>
      <c r="AW127" s="9" t="e">
        <f>Потребность!P127/Потребность!$N127</f>
        <v>#DIV/0!</v>
      </c>
      <c r="AX127" s="9" t="e">
        <f>Потребность!T127/Потребность!$T127</f>
        <v>#DIV/0!</v>
      </c>
      <c r="AY127" s="9" t="e">
        <f>Потребность!U127/Потребность!$T127</f>
        <v>#DIV/0!</v>
      </c>
      <c r="AZ127" s="9" t="e">
        <f>Потребность!V127/Потребность!$T127</f>
        <v>#DIV/0!</v>
      </c>
      <c r="BA127" s="141">
        <f>Потребность!Q127</f>
        <v>0</v>
      </c>
      <c r="BB127">
        <f>Потребность!AC127</f>
        <v>0</v>
      </c>
      <c r="BC127" s="141">
        <f>Потребность!AD127</f>
        <v>0</v>
      </c>
    </row>
    <row r="128" spans="1:55" x14ac:dyDescent="0.2">
      <c r="A128" s="85"/>
      <c r="B128" s="195"/>
      <c r="C128" s="85"/>
      <c r="D128" s="85"/>
      <c r="E128" s="195"/>
      <c r="F128" s="35"/>
      <c r="G128" s="65"/>
      <c r="H128" s="36"/>
      <c r="I128" s="37"/>
      <c r="J128" s="37"/>
      <c r="K128" s="35"/>
      <c r="L128" s="38"/>
      <c r="M128" s="128"/>
      <c r="N128" s="38"/>
      <c r="O128" s="128"/>
      <c r="P128" s="53"/>
      <c r="Q128" s="45"/>
      <c r="R128" s="45"/>
      <c r="S128" s="45"/>
      <c r="T128" s="46"/>
      <c r="U128" s="120"/>
      <c r="V128" s="120"/>
      <c r="W128" s="120"/>
      <c r="X128" s="121"/>
      <c r="Y128" s="121"/>
      <c r="Z128" s="121"/>
      <c r="AA128" s="121"/>
      <c r="AB128" s="121"/>
      <c r="AC128" s="121"/>
      <c r="AD128" s="122"/>
      <c r="AE128" s="122"/>
      <c r="AF128" s="122"/>
      <c r="AG128" s="66"/>
      <c r="AH128" s="46"/>
      <c r="AI128" s="76"/>
      <c r="AJ128" s="97"/>
      <c r="AK128" s="39"/>
      <c r="AL128" s="102"/>
      <c r="AM128" s="102"/>
      <c r="AN128" s="102"/>
      <c r="AO128" s="102"/>
      <c r="AP128" s="280"/>
      <c r="AQ128" s="10">
        <f>Потребность!AD128</f>
        <v>0</v>
      </c>
      <c r="AR128" s="10">
        <f>SUM(Потребность!K128:M128)</f>
        <v>0</v>
      </c>
      <c r="AS128" s="9" t="e">
        <f>Потребность!AZ128</f>
        <v>#N/A</v>
      </c>
      <c r="AT128" s="9">
        <f>Потребность!J128</f>
        <v>0</v>
      </c>
      <c r="AU128" s="9" t="e">
        <f>Потребность!N128/Потребность!$N128</f>
        <v>#DIV/0!</v>
      </c>
      <c r="AV128" s="9" t="e">
        <f>Потребность!O128/Потребность!$N128</f>
        <v>#DIV/0!</v>
      </c>
      <c r="AW128" s="9" t="e">
        <f>Потребность!P128/Потребность!$N128</f>
        <v>#DIV/0!</v>
      </c>
      <c r="AX128" s="9" t="e">
        <f>Потребность!T128/Потребность!$T128</f>
        <v>#DIV/0!</v>
      </c>
      <c r="AY128" s="9" t="e">
        <f>Потребность!U128/Потребность!$T128</f>
        <v>#DIV/0!</v>
      </c>
      <c r="AZ128" s="9" t="e">
        <f>Потребность!V128/Потребность!$T128</f>
        <v>#DIV/0!</v>
      </c>
      <c r="BA128" s="141">
        <f>Потребность!Q128</f>
        <v>0</v>
      </c>
      <c r="BB128">
        <f>Потребность!AC128</f>
        <v>0</v>
      </c>
      <c r="BC128" s="141">
        <f>Потребность!AD128</f>
        <v>0</v>
      </c>
    </row>
    <row r="129" spans="1:55" x14ac:dyDescent="0.2">
      <c r="A129" s="85"/>
      <c r="B129" s="195"/>
      <c r="C129" s="85"/>
      <c r="D129" s="85"/>
      <c r="E129" s="195"/>
      <c r="F129" s="35"/>
      <c r="G129" s="65"/>
      <c r="H129" s="36"/>
      <c r="I129" s="37"/>
      <c r="J129" s="37"/>
      <c r="K129" s="35"/>
      <c r="L129" s="38"/>
      <c r="M129" s="128"/>
      <c r="N129" s="38"/>
      <c r="O129" s="128"/>
      <c r="P129" s="53"/>
      <c r="Q129" s="45"/>
      <c r="R129" s="45"/>
      <c r="S129" s="45"/>
      <c r="T129" s="46"/>
      <c r="U129" s="120"/>
      <c r="V129" s="120"/>
      <c r="W129" s="120"/>
      <c r="X129" s="121"/>
      <c r="Y129" s="121"/>
      <c r="Z129" s="121"/>
      <c r="AA129" s="121"/>
      <c r="AB129" s="121"/>
      <c r="AC129" s="121"/>
      <c r="AD129" s="122"/>
      <c r="AE129" s="122"/>
      <c r="AF129" s="122"/>
      <c r="AG129" s="66"/>
      <c r="AH129" s="46"/>
      <c r="AI129" s="76"/>
      <c r="AJ129" s="97"/>
      <c r="AK129" s="39"/>
      <c r="AL129" s="102"/>
      <c r="AM129" s="102"/>
      <c r="AN129" s="102"/>
      <c r="AO129" s="102"/>
      <c r="AP129" s="280"/>
      <c r="AQ129" s="10">
        <f>Потребность!AD129</f>
        <v>0</v>
      </c>
      <c r="AR129" s="10">
        <f>SUM(Потребность!K129:M129)</f>
        <v>0</v>
      </c>
      <c r="AS129" s="9" t="e">
        <f>Потребность!AZ129</f>
        <v>#N/A</v>
      </c>
      <c r="AT129" s="9">
        <f>Потребность!J129</f>
        <v>0</v>
      </c>
      <c r="AU129" s="9" t="e">
        <f>Потребность!N129/Потребность!$N129</f>
        <v>#DIV/0!</v>
      </c>
      <c r="AV129" s="9" t="e">
        <f>Потребность!O129/Потребность!$N129</f>
        <v>#DIV/0!</v>
      </c>
      <c r="AW129" s="9" t="e">
        <f>Потребность!P129/Потребность!$N129</f>
        <v>#DIV/0!</v>
      </c>
      <c r="AX129" s="9" t="e">
        <f>Потребность!T129/Потребность!$T129</f>
        <v>#DIV/0!</v>
      </c>
      <c r="AY129" s="9" t="e">
        <f>Потребность!U129/Потребность!$T129</f>
        <v>#DIV/0!</v>
      </c>
      <c r="AZ129" s="9" t="e">
        <f>Потребность!V129/Потребность!$T129</f>
        <v>#DIV/0!</v>
      </c>
      <c r="BA129" s="141">
        <f>Потребность!Q129</f>
        <v>0</v>
      </c>
      <c r="BB129">
        <f>Потребность!AC129</f>
        <v>0</v>
      </c>
      <c r="BC129" s="141">
        <f>Потребность!AD129</f>
        <v>0</v>
      </c>
    </row>
    <row r="130" spans="1:55" x14ac:dyDescent="0.2">
      <c r="A130" s="85"/>
      <c r="B130" s="195"/>
      <c r="C130" s="85"/>
      <c r="D130" s="85"/>
      <c r="E130" s="195"/>
      <c r="F130" s="35"/>
      <c r="G130" s="65"/>
      <c r="H130" s="36"/>
      <c r="I130" s="37"/>
      <c r="J130" s="37"/>
      <c r="K130" s="35"/>
      <c r="L130" s="38"/>
      <c r="M130" s="128"/>
      <c r="N130" s="38"/>
      <c r="O130" s="128"/>
      <c r="P130" s="53"/>
      <c r="Q130" s="45"/>
      <c r="R130" s="45"/>
      <c r="S130" s="45"/>
      <c r="T130" s="46"/>
      <c r="U130" s="120"/>
      <c r="V130" s="120"/>
      <c r="W130" s="120"/>
      <c r="X130" s="121"/>
      <c r="Y130" s="121"/>
      <c r="Z130" s="121"/>
      <c r="AA130" s="121"/>
      <c r="AB130" s="121"/>
      <c r="AC130" s="121"/>
      <c r="AD130" s="122"/>
      <c r="AE130" s="122"/>
      <c r="AF130" s="122"/>
      <c r="AG130" s="66"/>
      <c r="AH130" s="46"/>
      <c r="AI130" s="76"/>
      <c r="AJ130" s="97"/>
      <c r="AK130" s="39"/>
      <c r="AL130" s="102"/>
      <c r="AM130" s="102"/>
      <c r="AN130" s="102"/>
      <c r="AO130" s="102"/>
      <c r="AP130" s="280"/>
      <c r="AQ130" s="10">
        <f>Потребность!AD130</f>
        <v>0</v>
      </c>
      <c r="AR130" s="10">
        <f>SUM(Потребность!K130:M130)</f>
        <v>0</v>
      </c>
      <c r="AS130" s="9" t="e">
        <f>Потребность!AZ130</f>
        <v>#N/A</v>
      </c>
      <c r="AT130" s="9">
        <f>Потребность!J130</f>
        <v>0</v>
      </c>
      <c r="AU130" s="9" t="e">
        <f>Потребность!N130/Потребность!$N130</f>
        <v>#DIV/0!</v>
      </c>
      <c r="AV130" s="9" t="e">
        <f>Потребность!O130/Потребность!$N130</f>
        <v>#DIV/0!</v>
      </c>
      <c r="AW130" s="9" t="e">
        <f>Потребность!P130/Потребность!$N130</f>
        <v>#DIV/0!</v>
      </c>
      <c r="AX130" s="9" t="e">
        <f>Потребность!T130/Потребность!$T130</f>
        <v>#DIV/0!</v>
      </c>
      <c r="AY130" s="9" t="e">
        <f>Потребность!U130/Потребность!$T130</f>
        <v>#DIV/0!</v>
      </c>
      <c r="AZ130" s="9" t="e">
        <f>Потребность!V130/Потребность!$T130</f>
        <v>#DIV/0!</v>
      </c>
      <c r="BA130" s="141">
        <f>Потребность!Q130</f>
        <v>0</v>
      </c>
      <c r="BB130">
        <f>Потребность!AC130</f>
        <v>0</v>
      </c>
      <c r="BC130" s="141">
        <f>Потребность!AD130</f>
        <v>0</v>
      </c>
    </row>
    <row r="131" spans="1:55" x14ac:dyDescent="0.2">
      <c r="A131" s="85"/>
      <c r="B131" s="195"/>
      <c r="C131" s="85"/>
      <c r="D131" s="85"/>
      <c r="E131" s="195"/>
      <c r="F131" s="35"/>
      <c r="G131" s="65"/>
      <c r="H131" s="36"/>
      <c r="I131" s="37"/>
      <c r="J131" s="37"/>
      <c r="K131" s="35"/>
      <c r="L131" s="38"/>
      <c r="M131" s="128"/>
      <c r="N131" s="38"/>
      <c r="O131" s="128"/>
      <c r="P131" s="53"/>
      <c r="Q131" s="45"/>
      <c r="R131" s="45"/>
      <c r="S131" s="45"/>
      <c r="T131" s="46"/>
      <c r="U131" s="120"/>
      <c r="V131" s="120"/>
      <c r="W131" s="120"/>
      <c r="X131" s="121"/>
      <c r="Y131" s="121"/>
      <c r="Z131" s="121"/>
      <c r="AA131" s="121"/>
      <c r="AB131" s="121"/>
      <c r="AC131" s="121"/>
      <c r="AD131" s="122"/>
      <c r="AE131" s="122"/>
      <c r="AF131" s="122"/>
      <c r="AG131" s="66"/>
      <c r="AH131" s="46"/>
      <c r="AI131" s="76"/>
      <c r="AJ131" s="97"/>
      <c r="AK131" s="39"/>
      <c r="AL131" s="102"/>
      <c r="AM131" s="102"/>
      <c r="AN131" s="102"/>
      <c r="AO131" s="102"/>
      <c r="AP131" s="280"/>
      <c r="AQ131" s="10">
        <f>Потребность!AD131</f>
        <v>0</v>
      </c>
      <c r="AR131" s="10">
        <f>SUM(Потребность!K131:M131)</f>
        <v>0</v>
      </c>
      <c r="AS131" s="9" t="e">
        <f>Потребность!AZ131</f>
        <v>#N/A</v>
      </c>
      <c r="AT131" s="9">
        <f>Потребность!J131</f>
        <v>0</v>
      </c>
      <c r="AU131" s="9" t="e">
        <f>Потребность!N131/Потребность!$N131</f>
        <v>#DIV/0!</v>
      </c>
      <c r="AV131" s="9" t="e">
        <f>Потребность!O131/Потребность!$N131</f>
        <v>#DIV/0!</v>
      </c>
      <c r="AW131" s="9" t="e">
        <f>Потребность!P131/Потребность!$N131</f>
        <v>#DIV/0!</v>
      </c>
      <c r="AX131" s="9" t="e">
        <f>Потребность!T131/Потребность!$T131</f>
        <v>#DIV/0!</v>
      </c>
      <c r="AY131" s="9" t="e">
        <f>Потребность!U131/Потребность!$T131</f>
        <v>#DIV/0!</v>
      </c>
      <c r="AZ131" s="9" t="e">
        <f>Потребность!V131/Потребность!$T131</f>
        <v>#DIV/0!</v>
      </c>
      <c r="BA131" s="141">
        <f>Потребность!Q131</f>
        <v>0</v>
      </c>
      <c r="BB131">
        <f>Потребность!AC131</f>
        <v>0</v>
      </c>
      <c r="BC131" s="141">
        <f>Потребность!AD131</f>
        <v>0</v>
      </c>
    </row>
    <row r="132" spans="1:55" x14ac:dyDescent="0.2">
      <c r="A132" s="85"/>
      <c r="B132" s="195"/>
      <c r="C132" s="85"/>
      <c r="D132" s="85"/>
      <c r="E132" s="195"/>
      <c r="F132" s="35"/>
      <c r="G132" s="65"/>
      <c r="H132" s="36"/>
      <c r="I132" s="37"/>
      <c r="J132" s="37"/>
      <c r="K132" s="35"/>
      <c r="L132" s="38"/>
      <c r="M132" s="128"/>
      <c r="N132" s="38"/>
      <c r="O132" s="128"/>
      <c r="P132" s="53"/>
      <c r="Q132" s="45"/>
      <c r="R132" s="45"/>
      <c r="S132" s="45"/>
      <c r="T132" s="46"/>
      <c r="U132" s="120"/>
      <c r="V132" s="120"/>
      <c r="W132" s="120"/>
      <c r="X132" s="121"/>
      <c r="Y132" s="121"/>
      <c r="Z132" s="121"/>
      <c r="AA132" s="121"/>
      <c r="AB132" s="121"/>
      <c r="AC132" s="121"/>
      <c r="AD132" s="122"/>
      <c r="AE132" s="122"/>
      <c r="AF132" s="122"/>
      <c r="AG132" s="66"/>
      <c r="AH132" s="46"/>
      <c r="AI132" s="76"/>
      <c r="AJ132" s="97"/>
      <c r="AK132" s="39"/>
      <c r="AL132" s="102"/>
      <c r="AM132" s="102"/>
      <c r="AN132" s="102"/>
      <c r="AO132" s="102"/>
      <c r="AP132" s="280"/>
      <c r="AQ132" s="10">
        <f>Потребность!AD132</f>
        <v>0</v>
      </c>
      <c r="AR132" s="10">
        <f>SUM(Потребность!K132:M132)</f>
        <v>0</v>
      </c>
      <c r="AS132" s="9" t="e">
        <f>Потребность!AZ132</f>
        <v>#N/A</v>
      </c>
      <c r="AT132" s="9">
        <f>Потребность!J132</f>
        <v>0</v>
      </c>
      <c r="AU132" s="9" t="e">
        <f>Потребность!N132/Потребность!$N132</f>
        <v>#DIV/0!</v>
      </c>
      <c r="AV132" s="9" t="e">
        <f>Потребность!O132/Потребность!$N132</f>
        <v>#DIV/0!</v>
      </c>
      <c r="AW132" s="9" t="e">
        <f>Потребность!P132/Потребность!$N132</f>
        <v>#DIV/0!</v>
      </c>
      <c r="AX132" s="9" t="e">
        <f>Потребность!T132/Потребность!$T132</f>
        <v>#DIV/0!</v>
      </c>
      <c r="AY132" s="9" t="e">
        <f>Потребность!U132/Потребность!$T132</f>
        <v>#DIV/0!</v>
      </c>
      <c r="AZ132" s="9" t="e">
        <f>Потребность!V132/Потребность!$T132</f>
        <v>#DIV/0!</v>
      </c>
      <c r="BA132" s="141">
        <f>Потребность!Q132</f>
        <v>0</v>
      </c>
      <c r="BB132">
        <f>Потребность!AC132</f>
        <v>0</v>
      </c>
      <c r="BC132" s="141">
        <f>Потребность!AD132</f>
        <v>0</v>
      </c>
    </row>
    <row r="133" spans="1:55" x14ac:dyDescent="0.2">
      <c r="A133" s="85"/>
      <c r="B133" s="195"/>
      <c r="C133" s="85"/>
      <c r="D133" s="85"/>
      <c r="E133" s="195"/>
      <c r="F133" s="35"/>
      <c r="G133" s="65"/>
      <c r="H133" s="36"/>
      <c r="I133" s="37"/>
      <c r="J133" s="37"/>
      <c r="K133" s="35"/>
      <c r="L133" s="38"/>
      <c r="M133" s="128"/>
      <c r="N133" s="38"/>
      <c r="O133" s="128"/>
      <c r="P133" s="53"/>
      <c r="Q133" s="45"/>
      <c r="R133" s="45"/>
      <c r="S133" s="45"/>
      <c r="T133" s="46"/>
      <c r="U133" s="120"/>
      <c r="V133" s="120"/>
      <c r="W133" s="120"/>
      <c r="X133" s="121"/>
      <c r="Y133" s="121"/>
      <c r="Z133" s="121"/>
      <c r="AA133" s="121"/>
      <c r="AB133" s="121"/>
      <c r="AC133" s="121"/>
      <c r="AD133" s="122"/>
      <c r="AE133" s="122"/>
      <c r="AF133" s="122"/>
      <c r="AG133" s="66"/>
      <c r="AH133" s="46"/>
      <c r="AI133" s="76"/>
      <c r="AJ133" s="97"/>
      <c r="AK133" s="39"/>
      <c r="AL133" s="102"/>
      <c r="AM133" s="102"/>
      <c r="AN133" s="102"/>
      <c r="AO133" s="102"/>
      <c r="AP133" s="280"/>
      <c r="AQ133" s="10">
        <f>Потребность!AD133</f>
        <v>0</v>
      </c>
      <c r="AR133" s="10">
        <f>SUM(Потребность!K133:M133)</f>
        <v>0</v>
      </c>
      <c r="AS133" s="9" t="e">
        <f>Потребность!AZ133</f>
        <v>#N/A</v>
      </c>
      <c r="AT133" s="9">
        <f>Потребность!J133</f>
        <v>0</v>
      </c>
      <c r="AU133" s="9" t="e">
        <f>Потребность!N133/Потребность!$N133</f>
        <v>#DIV/0!</v>
      </c>
      <c r="AV133" s="9" t="e">
        <f>Потребность!O133/Потребность!$N133</f>
        <v>#DIV/0!</v>
      </c>
      <c r="AW133" s="9" t="e">
        <f>Потребность!P133/Потребность!$N133</f>
        <v>#DIV/0!</v>
      </c>
      <c r="AX133" s="9" t="e">
        <f>Потребность!T133/Потребность!$T133</f>
        <v>#DIV/0!</v>
      </c>
      <c r="AY133" s="9" t="e">
        <f>Потребность!U133/Потребность!$T133</f>
        <v>#DIV/0!</v>
      </c>
      <c r="AZ133" s="9" t="e">
        <f>Потребность!V133/Потребность!$T133</f>
        <v>#DIV/0!</v>
      </c>
      <c r="BA133" s="141">
        <f>Потребность!Q133</f>
        <v>0</v>
      </c>
      <c r="BB133">
        <f>Потребность!AC133</f>
        <v>0</v>
      </c>
      <c r="BC133" s="141">
        <f>Потребность!AD133</f>
        <v>0</v>
      </c>
    </row>
    <row r="134" spans="1:55" x14ac:dyDescent="0.2">
      <c r="A134" s="85"/>
      <c r="B134" s="195"/>
      <c r="C134" s="85"/>
      <c r="D134" s="85"/>
      <c r="E134" s="195"/>
      <c r="F134" s="35"/>
      <c r="G134" s="65"/>
      <c r="H134" s="36"/>
      <c r="I134" s="37"/>
      <c r="J134" s="37"/>
      <c r="K134" s="35"/>
      <c r="L134" s="38"/>
      <c r="M134" s="128"/>
      <c r="N134" s="38"/>
      <c r="O134" s="128"/>
      <c r="P134" s="53"/>
      <c r="Q134" s="45"/>
      <c r="R134" s="45"/>
      <c r="S134" s="45"/>
      <c r="T134" s="46"/>
      <c r="U134" s="120"/>
      <c r="V134" s="120"/>
      <c r="W134" s="120"/>
      <c r="X134" s="121"/>
      <c r="Y134" s="121"/>
      <c r="Z134" s="121"/>
      <c r="AA134" s="121"/>
      <c r="AB134" s="121"/>
      <c r="AC134" s="121"/>
      <c r="AD134" s="122"/>
      <c r="AE134" s="122"/>
      <c r="AF134" s="122"/>
      <c r="AG134" s="66"/>
      <c r="AH134" s="46"/>
      <c r="AI134" s="76"/>
      <c r="AJ134" s="97"/>
      <c r="AK134" s="39"/>
      <c r="AL134" s="102"/>
      <c r="AM134" s="102"/>
      <c r="AN134" s="102"/>
      <c r="AO134" s="102"/>
      <c r="AP134" s="280"/>
      <c r="AQ134" s="10">
        <f>Потребность!AD134</f>
        <v>0</v>
      </c>
      <c r="AR134" s="10">
        <f>SUM(Потребность!K134:M134)</f>
        <v>0</v>
      </c>
      <c r="AS134" s="9" t="e">
        <f>Потребность!AZ134</f>
        <v>#N/A</v>
      </c>
      <c r="AT134" s="9">
        <f>Потребность!J134</f>
        <v>0</v>
      </c>
      <c r="AU134" s="9" t="e">
        <f>Потребность!N134/Потребность!$N134</f>
        <v>#DIV/0!</v>
      </c>
      <c r="AV134" s="9" t="e">
        <f>Потребность!O134/Потребность!$N134</f>
        <v>#DIV/0!</v>
      </c>
      <c r="AW134" s="9" t="e">
        <f>Потребность!P134/Потребность!$N134</f>
        <v>#DIV/0!</v>
      </c>
      <c r="AX134" s="9" t="e">
        <f>Потребность!T134/Потребность!$T134</f>
        <v>#DIV/0!</v>
      </c>
      <c r="AY134" s="9" t="e">
        <f>Потребность!U134/Потребность!$T134</f>
        <v>#DIV/0!</v>
      </c>
      <c r="AZ134" s="9" t="e">
        <f>Потребность!V134/Потребность!$T134</f>
        <v>#DIV/0!</v>
      </c>
      <c r="BA134" s="141">
        <f>Потребность!Q134</f>
        <v>0</v>
      </c>
      <c r="BB134">
        <f>Потребность!AC134</f>
        <v>0</v>
      </c>
      <c r="BC134" s="141">
        <f>Потребность!AD134</f>
        <v>0</v>
      </c>
    </row>
    <row r="135" spans="1:55" x14ac:dyDescent="0.2">
      <c r="A135" s="85"/>
      <c r="B135" s="195"/>
      <c r="C135" s="85"/>
      <c r="D135" s="85"/>
      <c r="E135" s="195"/>
      <c r="F135" s="35"/>
      <c r="G135" s="65"/>
      <c r="H135" s="36"/>
      <c r="I135" s="37"/>
      <c r="J135" s="37"/>
      <c r="K135" s="35"/>
      <c r="L135" s="38"/>
      <c r="M135" s="128"/>
      <c r="N135" s="38"/>
      <c r="O135" s="128"/>
      <c r="P135" s="53"/>
      <c r="Q135" s="45"/>
      <c r="R135" s="45"/>
      <c r="S135" s="45"/>
      <c r="T135" s="46"/>
      <c r="U135" s="120"/>
      <c r="V135" s="120"/>
      <c r="W135" s="120"/>
      <c r="X135" s="121"/>
      <c r="Y135" s="121"/>
      <c r="Z135" s="121"/>
      <c r="AA135" s="121"/>
      <c r="AB135" s="121"/>
      <c r="AC135" s="121"/>
      <c r="AD135" s="122"/>
      <c r="AE135" s="122"/>
      <c r="AF135" s="122"/>
      <c r="AG135" s="66"/>
      <c r="AH135" s="46"/>
      <c r="AI135" s="76"/>
      <c r="AJ135" s="97"/>
      <c r="AK135" s="39"/>
      <c r="AL135" s="102"/>
      <c r="AM135" s="102"/>
      <c r="AN135" s="102"/>
      <c r="AO135" s="102"/>
      <c r="AP135" s="280"/>
      <c r="AQ135" s="10">
        <f>Потребность!AD135</f>
        <v>0</v>
      </c>
      <c r="AR135" s="10">
        <f>SUM(Потребность!K135:M135)</f>
        <v>0</v>
      </c>
      <c r="AS135" s="9" t="e">
        <f>Потребность!AZ135</f>
        <v>#N/A</v>
      </c>
      <c r="AT135" s="9">
        <f>Потребность!J135</f>
        <v>0</v>
      </c>
      <c r="AU135" s="9" t="e">
        <f>Потребность!N135/Потребность!$N135</f>
        <v>#DIV/0!</v>
      </c>
      <c r="AV135" s="9" t="e">
        <f>Потребность!O135/Потребность!$N135</f>
        <v>#DIV/0!</v>
      </c>
      <c r="AW135" s="9" t="e">
        <f>Потребность!P135/Потребность!$N135</f>
        <v>#DIV/0!</v>
      </c>
      <c r="AX135" s="9" t="e">
        <f>Потребность!T135/Потребность!$T135</f>
        <v>#DIV/0!</v>
      </c>
      <c r="AY135" s="9" t="e">
        <f>Потребность!U135/Потребность!$T135</f>
        <v>#DIV/0!</v>
      </c>
      <c r="AZ135" s="9" t="e">
        <f>Потребность!V135/Потребность!$T135</f>
        <v>#DIV/0!</v>
      </c>
      <c r="BA135" s="141">
        <f>Потребность!Q135</f>
        <v>0</v>
      </c>
      <c r="BB135">
        <f>Потребность!AC135</f>
        <v>0</v>
      </c>
      <c r="BC135" s="141">
        <f>Потребность!AD135</f>
        <v>0</v>
      </c>
    </row>
    <row r="136" spans="1:55" x14ac:dyDescent="0.2">
      <c r="A136" s="85"/>
      <c r="B136" s="195"/>
      <c r="C136" s="85"/>
      <c r="D136" s="85"/>
      <c r="E136" s="195"/>
      <c r="F136" s="35"/>
      <c r="G136" s="65"/>
      <c r="H136" s="36"/>
      <c r="I136" s="37"/>
      <c r="J136" s="37"/>
      <c r="K136" s="35"/>
      <c r="L136" s="38"/>
      <c r="M136" s="128"/>
      <c r="N136" s="38"/>
      <c r="O136" s="128"/>
      <c r="P136" s="53"/>
      <c r="Q136" s="45"/>
      <c r="R136" s="45"/>
      <c r="S136" s="45"/>
      <c r="T136" s="46"/>
      <c r="U136" s="120"/>
      <c r="V136" s="120"/>
      <c r="W136" s="120"/>
      <c r="X136" s="121"/>
      <c r="Y136" s="121"/>
      <c r="Z136" s="121"/>
      <c r="AA136" s="121"/>
      <c r="AB136" s="121"/>
      <c r="AC136" s="121"/>
      <c r="AD136" s="122"/>
      <c r="AE136" s="122"/>
      <c r="AF136" s="122"/>
      <c r="AG136" s="66"/>
      <c r="AH136" s="46"/>
      <c r="AI136" s="76"/>
      <c r="AJ136" s="97"/>
      <c r="AK136" s="39"/>
      <c r="AL136" s="102"/>
      <c r="AM136" s="102"/>
      <c r="AN136" s="102"/>
      <c r="AO136" s="102"/>
      <c r="AP136" s="280"/>
      <c r="AQ136" s="10">
        <f>Потребность!AD136</f>
        <v>0</v>
      </c>
      <c r="AR136" s="10">
        <f>SUM(Потребность!K136:M136)</f>
        <v>0</v>
      </c>
      <c r="AS136" s="9" t="e">
        <f>Потребность!AZ136</f>
        <v>#N/A</v>
      </c>
      <c r="AT136" s="9">
        <f>Потребность!J136</f>
        <v>0</v>
      </c>
      <c r="AU136" s="9" t="e">
        <f>Потребность!N136/Потребность!$N136</f>
        <v>#DIV/0!</v>
      </c>
      <c r="AV136" s="9" t="e">
        <f>Потребность!O136/Потребность!$N136</f>
        <v>#DIV/0!</v>
      </c>
      <c r="AW136" s="9" t="e">
        <f>Потребность!P136/Потребность!$N136</f>
        <v>#DIV/0!</v>
      </c>
      <c r="AX136" s="9" t="e">
        <f>Потребность!T136/Потребность!$T136</f>
        <v>#DIV/0!</v>
      </c>
      <c r="AY136" s="9" t="e">
        <f>Потребность!U136/Потребность!$T136</f>
        <v>#DIV/0!</v>
      </c>
      <c r="AZ136" s="9" t="e">
        <f>Потребность!V136/Потребность!$T136</f>
        <v>#DIV/0!</v>
      </c>
      <c r="BA136" s="141">
        <f>Потребность!Q136</f>
        <v>0</v>
      </c>
      <c r="BB136">
        <f>Потребность!AC136</f>
        <v>0</v>
      </c>
      <c r="BC136" s="141">
        <f>Потребность!AD136</f>
        <v>0</v>
      </c>
    </row>
    <row r="137" spans="1:55" x14ac:dyDescent="0.2">
      <c r="A137" s="85"/>
      <c r="B137" s="195"/>
      <c r="C137" s="85"/>
      <c r="D137" s="85"/>
      <c r="E137" s="195"/>
      <c r="F137" s="35"/>
      <c r="G137" s="65"/>
      <c r="H137" s="36"/>
      <c r="I137" s="37"/>
      <c r="J137" s="37"/>
      <c r="K137" s="35"/>
      <c r="L137" s="38"/>
      <c r="M137" s="128"/>
      <c r="N137" s="38"/>
      <c r="O137" s="128"/>
      <c r="P137" s="53"/>
      <c r="Q137" s="45"/>
      <c r="R137" s="45"/>
      <c r="S137" s="45"/>
      <c r="T137" s="46"/>
      <c r="U137" s="120"/>
      <c r="V137" s="120"/>
      <c r="W137" s="120"/>
      <c r="X137" s="121"/>
      <c r="Y137" s="121"/>
      <c r="Z137" s="121"/>
      <c r="AA137" s="121"/>
      <c r="AB137" s="121"/>
      <c r="AC137" s="121"/>
      <c r="AD137" s="122"/>
      <c r="AE137" s="122"/>
      <c r="AF137" s="122"/>
      <c r="AG137" s="66"/>
      <c r="AH137" s="46"/>
      <c r="AI137" s="76"/>
      <c r="AJ137" s="97"/>
      <c r="AK137" s="39"/>
      <c r="AL137" s="102"/>
      <c r="AM137" s="102"/>
      <c r="AN137" s="102"/>
      <c r="AO137" s="102"/>
      <c r="AP137" s="280"/>
      <c r="AQ137" s="10">
        <f>Потребность!AD137</f>
        <v>0</v>
      </c>
      <c r="AR137" s="10">
        <f>SUM(Потребность!K137:M137)</f>
        <v>0</v>
      </c>
      <c r="AS137" s="9" t="e">
        <f>Потребность!AZ137</f>
        <v>#N/A</v>
      </c>
      <c r="AT137" s="9">
        <f>Потребность!J137</f>
        <v>0</v>
      </c>
      <c r="AU137" s="9" t="e">
        <f>Потребность!N137/Потребность!$N137</f>
        <v>#DIV/0!</v>
      </c>
      <c r="AV137" s="9" t="e">
        <f>Потребность!O137/Потребность!$N137</f>
        <v>#DIV/0!</v>
      </c>
      <c r="AW137" s="9" t="e">
        <f>Потребность!P137/Потребность!$N137</f>
        <v>#DIV/0!</v>
      </c>
      <c r="AX137" s="9" t="e">
        <f>Потребность!T137/Потребность!$T137</f>
        <v>#DIV/0!</v>
      </c>
      <c r="AY137" s="9" t="e">
        <f>Потребность!U137/Потребность!$T137</f>
        <v>#DIV/0!</v>
      </c>
      <c r="AZ137" s="9" t="e">
        <f>Потребность!V137/Потребность!$T137</f>
        <v>#DIV/0!</v>
      </c>
      <c r="BA137" s="141">
        <f>Потребность!Q137</f>
        <v>0</v>
      </c>
      <c r="BB137">
        <f>Потребность!AC137</f>
        <v>0</v>
      </c>
      <c r="BC137" s="141">
        <f>Потребность!AD137</f>
        <v>0</v>
      </c>
    </row>
    <row r="138" spans="1:55" x14ac:dyDescent="0.2">
      <c r="A138" s="85"/>
      <c r="B138" s="195"/>
      <c r="C138" s="85"/>
      <c r="D138" s="85"/>
      <c r="E138" s="195"/>
      <c r="F138" s="35"/>
      <c r="G138" s="65"/>
      <c r="H138" s="36"/>
      <c r="I138" s="37"/>
      <c r="J138" s="37"/>
      <c r="K138" s="35"/>
      <c r="L138" s="38"/>
      <c r="M138" s="128"/>
      <c r="N138" s="38"/>
      <c r="O138" s="128"/>
      <c r="P138" s="53"/>
      <c r="Q138" s="45"/>
      <c r="R138" s="45"/>
      <c r="S138" s="45"/>
      <c r="T138" s="46"/>
      <c r="U138" s="120"/>
      <c r="V138" s="120"/>
      <c r="W138" s="120"/>
      <c r="X138" s="121"/>
      <c r="Y138" s="121"/>
      <c r="Z138" s="121"/>
      <c r="AA138" s="121"/>
      <c r="AB138" s="121"/>
      <c r="AC138" s="121"/>
      <c r="AD138" s="122"/>
      <c r="AE138" s="122"/>
      <c r="AF138" s="122"/>
      <c r="AG138" s="66"/>
      <c r="AH138" s="46"/>
      <c r="AI138" s="76"/>
      <c r="AJ138" s="97"/>
      <c r="AK138" s="39"/>
      <c r="AL138" s="102"/>
      <c r="AM138" s="102"/>
      <c r="AN138" s="102"/>
      <c r="AO138" s="102"/>
      <c r="AP138" s="280"/>
      <c r="AQ138" s="10">
        <f>Потребность!AD138</f>
        <v>0</v>
      </c>
      <c r="AR138" s="10">
        <f>SUM(Потребность!K138:M138)</f>
        <v>0</v>
      </c>
      <c r="AS138" s="9" t="e">
        <f>Потребность!AZ138</f>
        <v>#N/A</v>
      </c>
      <c r="AT138" s="9">
        <f>Потребность!J138</f>
        <v>0</v>
      </c>
      <c r="AU138" s="9" t="e">
        <f>Потребность!N138/Потребность!$N138</f>
        <v>#DIV/0!</v>
      </c>
      <c r="AV138" s="9" t="e">
        <f>Потребность!O138/Потребность!$N138</f>
        <v>#DIV/0!</v>
      </c>
      <c r="AW138" s="9" t="e">
        <f>Потребность!P138/Потребность!$N138</f>
        <v>#DIV/0!</v>
      </c>
      <c r="AX138" s="9" t="e">
        <f>Потребность!T138/Потребность!$T138</f>
        <v>#DIV/0!</v>
      </c>
      <c r="AY138" s="9" t="e">
        <f>Потребность!U138/Потребность!$T138</f>
        <v>#DIV/0!</v>
      </c>
      <c r="AZ138" s="9" t="e">
        <f>Потребность!V138/Потребность!$T138</f>
        <v>#DIV/0!</v>
      </c>
      <c r="BA138" s="141">
        <f>Потребность!Q138</f>
        <v>0</v>
      </c>
      <c r="BB138">
        <f>Потребность!AC138</f>
        <v>0</v>
      </c>
      <c r="BC138" s="141">
        <f>Потребность!AD138</f>
        <v>0</v>
      </c>
    </row>
    <row r="139" spans="1:55" x14ac:dyDescent="0.2">
      <c r="A139" s="85"/>
      <c r="B139" s="195"/>
      <c r="C139" s="85"/>
      <c r="D139" s="85"/>
      <c r="E139" s="195"/>
      <c r="F139" s="35"/>
      <c r="G139" s="65"/>
      <c r="H139" s="36"/>
      <c r="I139" s="37"/>
      <c r="J139" s="37"/>
      <c r="K139" s="35"/>
      <c r="L139" s="38"/>
      <c r="M139" s="128"/>
      <c r="N139" s="38"/>
      <c r="O139" s="128"/>
      <c r="P139" s="53"/>
      <c r="Q139" s="45"/>
      <c r="R139" s="45"/>
      <c r="S139" s="45"/>
      <c r="T139" s="46"/>
      <c r="U139" s="120"/>
      <c r="V139" s="120"/>
      <c r="W139" s="120"/>
      <c r="X139" s="121"/>
      <c r="Y139" s="121"/>
      <c r="Z139" s="121"/>
      <c r="AA139" s="121"/>
      <c r="AB139" s="121"/>
      <c r="AC139" s="121"/>
      <c r="AD139" s="122"/>
      <c r="AE139" s="122"/>
      <c r="AF139" s="122"/>
      <c r="AG139" s="66"/>
      <c r="AH139" s="46"/>
      <c r="AI139" s="76"/>
      <c r="AJ139" s="97"/>
      <c r="AK139" s="39"/>
      <c r="AL139" s="102"/>
      <c r="AM139" s="102"/>
      <c r="AN139" s="102"/>
      <c r="AO139" s="102"/>
      <c r="AP139" s="280"/>
      <c r="AQ139" s="10">
        <f>Потребность!AD139</f>
        <v>0</v>
      </c>
      <c r="AR139" s="10">
        <f>SUM(Потребность!K139:M139)</f>
        <v>0</v>
      </c>
      <c r="AS139" s="9" t="e">
        <f>Потребность!AZ139</f>
        <v>#N/A</v>
      </c>
      <c r="AT139" s="9">
        <f>Потребность!J139</f>
        <v>0</v>
      </c>
      <c r="AU139" s="9" t="e">
        <f>Потребность!N139/Потребность!$N139</f>
        <v>#DIV/0!</v>
      </c>
      <c r="AV139" s="9" t="e">
        <f>Потребность!O139/Потребность!$N139</f>
        <v>#DIV/0!</v>
      </c>
      <c r="AW139" s="9" t="e">
        <f>Потребность!P139/Потребность!$N139</f>
        <v>#DIV/0!</v>
      </c>
      <c r="AX139" s="9" t="e">
        <f>Потребность!T139/Потребность!$T139</f>
        <v>#DIV/0!</v>
      </c>
      <c r="AY139" s="9" t="e">
        <f>Потребность!U139/Потребность!$T139</f>
        <v>#DIV/0!</v>
      </c>
      <c r="AZ139" s="9" t="e">
        <f>Потребность!V139/Потребность!$T139</f>
        <v>#DIV/0!</v>
      </c>
      <c r="BA139" s="141">
        <f>Потребность!Q139</f>
        <v>0</v>
      </c>
      <c r="BB139">
        <f>Потребность!AC139</f>
        <v>0</v>
      </c>
      <c r="BC139" s="141">
        <f>Потребность!AD139</f>
        <v>0</v>
      </c>
    </row>
    <row r="140" spans="1:55" x14ac:dyDescent="0.2">
      <c r="A140" s="85"/>
      <c r="B140" s="195"/>
      <c r="C140" s="85"/>
      <c r="D140" s="85"/>
      <c r="E140" s="195"/>
      <c r="F140" s="35"/>
      <c r="G140" s="65"/>
      <c r="H140" s="36"/>
      <c r="I140" s="37"/>
      <c r="J140" s="37"/>
      <c r="K140" s="35"/>
      <c r="L140" s="38"/>
      <c r="M140" s="128"/>
      <c r="N140" s="38"/>
      <c r="O140" s="128"/>
      <c r="P140" s="53"/>
      <c r="Q140" s="45"/>
      <c r="R140" s="45"/>
      <c r="S140" s="45"/>
      <c r="T140" s="46"/>
      <c r="U140" s="120"/>
      <c r="V140" s="120"/>
      <c r="W140" s="120"/>
      <c r="X140" s="121"/>
      <c r="Y140" s="121"/>
      <c r="Z140" s="121"/>
      <c r="AA140" s="121"/>
      <c r="AB140" s="121"/>
      <c r="AC140" s="121"/>
      <c r="AD140" s="122"/>
      <c r="AE140" s="122"/>
      <c r="AF140" s="122"/>
      <c r="AG140" s="66"/>
      <c r="AH140" s="46"/>
      <c r="AI140" s="76"/>
      <c r="AJ140" s="97"/>
      <c r="AK140" s="39"/>
      <c r="AL140" s="102"/>
      <c r="AM140" s="102"/>
      <c r="AN140" s="102"/>
      <c r="AO140" s="102"/>
      <c r="AP140" s="280"/>
      <c r="AQ140" s="10">
        <f>Потребность!AD140</f>
        <v>0</v>
      </c>
      <c r="AR140" s="10">
        <f>SUM(Потребность!K140:M140)</f>
        <v>0</v>
      </c>
      <c r="AS140" s="9" t="e">
        <f>Потребность!AZ140</f>
        <v>#N/A</v>
      </c>
      <c r="AT140" s="9">
        <f>Потребность!J140</f>
        <v>0</v>
      </c>
      <c r="AU140" s="9" t="e">
        <f>Потребность!N140/Потребность!$N140</f>
        <v>#DIV/0!</v>
      </c>
      <c r="AV140" s="9" t="e">
        <f>Потребность!O140/Потребность!$N140</f>
        <v>#DIV/0!</v>
      </c>
      <c r="AW140" s="9" t="e">
        <f>Потребность!P140/Потребность!$N140</f>
        <v>#DIV/0!</v>
      </c>
      <c r="AX140" s="9" t="e">
        <f>Потребность!T140/Потребность!$T140</f>
        <v>#DIV/0!</v>
      </c>
      <c r="AY140" s="9" t="e">
        <f>Потребность!U140/Потребность!$T140</f>
        <v>#DIV/0!</v>
      </c>
      <c r="AZ140" s="9" t="e">
        <f>Потребность!V140/Потребность!$T140</f>
        <v>#DIV/0!</v>
      </c>
      <c r="BA140" s="141">
        <f>Потребность!Q140</f>
        <v>0</v>
      </c>
      <c r="BB140">
        <f>Потребность!AC140</f>
        <v>0</v>
      </c>
      <c r="BC140" s="141">
        <f>Потребность!AD140</f>
        <v>0</v>
      </c>
    </row>
    <row r="141" spans="1:55" x14ac:dyDescent="0.2">
      <c r="A141" s="85"/>
      <c r="B141" s="195"/>
      <c r="C141" s="85"/>
      <c r="D141" s="85"/>
      <c r="E141" s="195"/>
      <c r="F141" s="35"/>
      <c r="G141" s="65"/>
      <c r="H141" s="36"/>
      <c r="I141" s="37"/>
      <c r="J141" s="37"/>
      <c r="K141" s="35"/>
      <c r="L141" s="38"/>
      <c r="M141" s="128"/>
      <c r="N141" s="38"/>
      <c r="O141" s="128"/>
      <c r="P141" s="53"/>
      <c r="Q141" s="45"/>
      <c r="R141" s="45"/>
      <c r="S141" s="45"/>
      <c r="T141" s="46"/>
      <c r="U141" s="120"/>
      <c r="V141" s="120"/>
      <c r="W141" s="120"/>
      <c r="X141" s="121"/>
      <c r="Y141" s="121"/>
      <c r="Z141" s="121"/>
      <c r="AA141" s="121"/>
      <c r="AB141" s="121"/>
      <c r="AC141" s="121"/>
      <c r="AD141" s="122"/>
      <c r="AE141" s="122"/>
      <c r="AF141" s="122"/>
      <c r="AG141" s="66"/>
      <c r="AH141" s="46"/>
      <c r="AI141" s="76"/>
      <c r="AJ141" s="97"/>
      <c r="AK141" s="39"/>
      <c r="AL141" s="102"/>
      <c r="AM141" s="102"/>
      <c r="AN141" s="102"/>
      <c r="AO141" s="102"/>
      <c r="AP141" s="280"/>
      <c r="AQ141" s="10">
        <f>Потребность!AD141</f>
        <v>0</v>
      </c>
      <c r="AR141" s="10">
        <f>SUM(Потребность!K141:M141)</f>
        <v>0</v>
      </c>
      <c r="AS141" s="9" t="e">
        <f>Потребность!AZ141</f>
        <v>#N/A</v>
      </c>
      <c r="AT141" s="9">
        <f>Потребность!J141</f>
        <v>0</v>
      </c>
      <c r="AU141" s="9" t="e">
        <f>Потребность!N141/Потребность!$N141</f>
        <v>#DIV/0!</v>
      </c>
      <c r="AV141" s="9" t="e">
        <f>Потребность!O141/Потребность!$N141</f>
        <v>#DIV/0!</v>
      </c>
      <c r="AW141" s="9" t="e">
        <f>Потребность!P141/Потребность!$N141</f>
        <v>#DIV/0!</v>
      </c>
      <c r="AX141" s="9" t="e">
        <f>Потребность!T141/Потребность!$T141</f>
        <v>#DIV/0!</v>
      </c>
      <c r="AY141" s="9" t="e">
        <f>Потребность!U141/Потребность!$T141</f>
        <v>#DIV/0!</v>
      </c>
      <c r="AZ141" s="9" t="e">
        <f>Потребность!V141/Потребность!$T141</f>
        <v>#DIV/0!</v>
      </c>
      <c r="BA141" s="141">
        <f>Потребность!Q141</f>
        <v>0</v>
      </c>
      <c r="BB141">
        <f>Потребность!AC141</f>
        <v>0</v>
      </c>
      <c r="BC141" s="141">
        <f>Потребность!AD141</f>
        <v>0</v>
      </c>
    </row>
    <row r="142" spans="1:55" x14ac:dyDescent="0.2">
      <c r="A142" s="85"/>
      <c r="B142" s="195"/>
      <c r="C142" s="85"/>
      <c r="D142" s="85"/>
      <c r="E142" s="195"/>
      <c r="F142" s="35"/>
      <c r="G142" s="65"/>
      <c r="H142" s="36"/>
      <c r="I142" s="37"/>
      <c r="J142" s="37"/>
      <c r="K142" s="35"/>
      <c r="L142" s="38"/>
      <c r="M142" s="128"/>
      <c r="N142" s="38"/>
      <c r="O142" s="128"/>
      <c r="P142" s="53"/>
      <c r="Q142" s="45"/>
      <c r="R142" s="45"/>
      <c r="S142" s="45"/>
      <c r="T142" s="46"/>
      <c r="U142" s="120"/>
      <c r="V142" s="120"/>
      <c r="W142" s="120"/>
      <c r="X142" s="121"/>
      <c r="Y142" s="121"/>
      <c r="Z142" s="121"/>
      <c r="AA142" s="121"/>
      <c r="AB142" s="121"/>
      <c r="AC142" s="121"/>
      <c r="AD142" s="122"/>
      <c r="AE142" s="122"/>
      <c r="AF142" s="122"/>
      <c r="AG142" s="66"/>
      <c r="AH142" s="46"/>
      <c r="AI142" s="76"/>
      <c r="AJ142" s="97"/>
      <c r="AK142" s="39"/>
      <c r="AL142" s="102"/>
      <c r="AM142" s="102"/>
      <c r="AN142" s="102"/>
      <c r="AO142" s="102"/>
      <c r="AP142" s="280"/>
      <c r="AQ142" s="10">
        <f>Потребность!AD142</f>
        <v>0</v>
      </c>
      <c r="AR142" s="10">
        <f>SUM(Потребность!K142:M142)</f>
        <v>0</v>
      </c>
      <c r="AS142" s="9" t="e">
        <f>Потребность!AZ142</f>
        <v>#N/A</v>
      </c>
      <c r="AT142" s="9">
        <f>Потребность!J142</f>
        <v>0</v>
      </c>
      <c r="AU142" s="9" t="e">
        <f>Потребность!N142/Потребность!$N142</f>
        <v>#DIV/0!</v>
      </c>
      <c r="AV142" s="9" t="e">
        <f>Потребность!O142/Потребность!$N142</f>
        <v>#DIV/0!</v>
      </c>
      <c r="AW142" s="9" t="e">
        <f>Потребность!P142/Потребность!$N142</f>
        <v>#DIV/0!</v>
      </c>
      <c r="AX142" s="9" t="e">
        <f>Потребность!T142/Потребность!$T142</f>
        <v>#DIV/0!</v>
      </c>
      <c r="AY142" s="9" t="e">
        <f>Потребность!U142/Потребность!$T142</f>
        <v>#DIV/0!</v>
      </c>
      <c r="AZ142" s="9" t="e">
        <f>Потребность!V142/Потребность!$T142</f>
        <v>#DIV/0!</v>
      </c>
      <c r="BA142" s="141">
        <f>Потребность!Q142</f>
        <v>0</v>
      </c>
      <c r="BB142">
        <f>Потребность!AC142</f>
        <v>0</v>
      </c>
      <c r="BC142" s="141">
        <f>Потребность!AD142</f>
        <v>0</v>
      </c>
    </row>
    <row r="143" spans="1:55" x14ac:dyDescent="0.2">
      <c r="A143" s="85"/>
      <c r="B143" s="195"/>
      <c r="C143" s="85"/>
      <c r="D143" s="85"/>
      <c r="E143" s="195"/>
      <c r="F143" s="35"/>
      <c r="G143" s="65"/>
      <c r="H143" s="36"/>
      <c r="I143" s="37"/>
      <c r="J143" s="37"/>
      <c r="K143" s="35"/>
      <c r="L143" s="38"/>
      <c r="M143" s="128"/>
      <c r="N143" s="38"/>
      <c r="O143" s="128"/>
      <c r="P143" s="53"/>
      <c r="Q143" s="45"/>
      <c r="R143" s="45"/>
      <c r="S143" s="45"/>
      <c r="T143" s="46"/>
      <c r="U143" s="120"/>
      <c r="V143" s="120"/>
      <c r="W143" s="120"/>
      <c r="X143" s="121"/>
      <c r="Y143" s="121"/>
      <c r="Z143" s="121"/>
      <c r="AA143" s="121"/>
      <c r="AB143" s="121"/>
      <c r="AC143" s="121"/>
      <c r="AD143" s="122"/>
      <c r="AE143" s="122"/>
      <c r="AF143" s="122"/>
      <c r="AG143" s="66"/>
      <c r="AH143" s="46"/>
      <c r="AI143" s="76"/>
      <c r="AJ143" s="97"/>
      <c r="AK143" s="39"/>
      <c r="AL143" s="102"/>
      <c r="AM143" s="102"/>
      <c r="AN143" s="102"/>
      <c r="AO143" s="102"/>
      <c r="AP143" s="280"/>
      <c r="AQ143" s="10">
        <f>Потребность!AD143</f>
        <v>0</v>
      </c>
      <c r="AR143" s="10">
        <f>SUM(Потребность!K143:M143)</f>
        <v>0</v>
      </c>
      <c r="AS143" s="9" t="e">
        <f>Потребность!AZ143</f>
        <v>#N/A</v>
      </c>
      <c r="AT143" s="9">
        <f>Потребность!J143</f>
        <v>0</v>
      </c>
      <c r="AU143" s="9" t="e">
        <f>Потребность!N143/Потребность!$N143</f>
        <v>#DIV/0!</v>
      </c>
      <c r="AV143" s="9" t="e">
        <f>Потребность!O143/Потребность!$N143</f>
        <v>#DIV/0!</v>
      </c>
      <c r="AW143" s="9" t="e">
        <f>Потребность!P143/Потребность!$N143</f>
        <v>#DIV/0!</v>
      </c>
      <c r="AX143" s="9" t="e">
        <f>Потребность!T143/Потребность!$T143</f>
        <v>#DIV/0!</v>
      </c>
      <c r="AY143" s="9" t="e">
        <f>Потребность!U143/Потребность!$T143</f>
        <v>#DIV/0!</v>
      </c>
      <c r="AZ143" s="9" t="e">
        <f>Потребность!V143/Потребность!$T143</f>
        <v>#DIV/0!</v>
      </c>
      <c r="BA143" s="141">
        <f>Потребность!Q143</f>
        <v>0</v>
      </c>
      <c r="BB143">
        <f>Потребность!AC143</f>
        <v>0</v>
      </c>
      <c r="BC143" s="141">
        <f>Потребность!AD143</f>
        <v>0</v>
      </c>
    </row>
    <row r="144" spans="1:55" x14ac:dyDescent="0.2">
      <c r="A144" s="85"/>
      <c r="B144" s="195"/>
      <c r="C144" s="85"/>
      <c r="D144" s="85"/>
      <c r="E144" s="195"/>
      <c r="F144" s="35"/>
      <c r="G144" s="65"/>
      <c r="H144" s="36"/>
      <c r="I144" s="37"/>
      <c r="J144" s="37"/>
      <c r="K144" s="35"/>
      <c r="L144" s="38"/>
      <c r="M144" s="128"/>
      <c r="N144" s="38"/>
      <c r="O144" s="128"/>
      <c r="P144" s="53"/>
      <c r="Q144" s="45"/>
      <c r="R144" s="45"/>
      <c r="S144" s="45"/>
      <c r="T144" s="46"/>
      <c r="U144" s="120"/>
      <c r="V144" s="120"/>
      <c r="W144" s="120"/>
      <c r="X144" s="121"/>
      <c r="Y144" s="121"/>
      <c r="Z144" s="121"/>
      <c r="AA144" s="121"/>
      <c r="AB144" s="121"/>
      <c r="AC144" s="121"/>
      <c r="AD144" s="122"/>
      <c r="AE144" s="122"/>
      <c r="AF144" s="122"/>
      <c r="AG144" s="66"/>
      <c r="AH144" s="46"/>
      <c r="AI144" s="76"/>
      <c r="AJ144" s="97"/>
      <c r="AK144" s="39"/>
      <c r="AL144" s="102"/>
      <c r="AM144" s="102"/>
      <c r="AN144" s="102"/>
      <c r="AO144" s="102"/>
      <c r="AP144" s="280"/>
      <c r="AQ144" s="10">
        <f>Потребность!AD144</f>
        <v>0</v>
      </c>
      <c r="AR144" s="10">
        <f>SUM(Потребность!K144:M144)</f>
        <v>0</v>
      </c>
      <c r="AS144" s="9" t="e">
        <f>Потребность!AZ144</f>
        <v>#N/A</v>
      </c>
      <c r="AT144" s="9">
        <f>Потребность!J144</f>
        <v>0</v>
      </c>
      <c r="AU144" s="9" t="e">
        <f>Потребность!N144/Потребность!$N144</f>
        <v>#DIV/0!</v>
      </c>
      <c r="AV144" s="9" t="e">
        <f>Потребность!O144/Потребность!$N144</f>
        <v>#DIV/0!</v>
      </c>
      <c r="AW144" s="9" t="e">
        <f>Потребность!P144/Потребность!$N144</f>
        <v>#DIV/0!</v>
      </c>
      <c r="AX144" s="9" t="e">
        <f>Потребность!T144/Потребность!$T144</f>
        <v>#DIV/0!</v>
      </c>
      <c r="AY144" s="9" t="e">
        <f>Потребность!U144/Потребность!$T144</f>
        <v>#DIV/0!</v>
      </c>
      <c r="AZ144" s="9" t="e">
        <f>Потребность!V144/Потребность!$T144</f>
        <v>#DIV/0!</v>
      </c>
      <c r="BA144" s="141">
        <f>Потребность!Q144</f>
        <v>0</v>
      </c>
      <c r="BB144">
        <f>Потребность!AC144</f>
        <v>0</v>
      </c>
      <c r="BC144" s="141">
        <f>Потребность!AD144</f>
        <v>0</v>
      </c>
    </row>
    <row r="145" spans="1:55" x14ac:dyDescent="0.2">
      <c r="A145" s="85"/>
      <c r="B145" s="195"/>
      <c r="C145" s="85"/>
      <c r="D145" s="85"/>
      <c r="E145" s="195"/>
      <c r="F145" s="35"/>
      <c r="G145" s="65"/>
      <c r="H145" s="36"/>
      <c r="I145" s="37"/>
      <c r="J145" s="37"/>
      <c r="K145" s="35"/>
      <c r="L145" s="38"/>
      <c r="M145" s="128"/>
      <c r="N145" s="38"/>
      <c r="O145" s="128"/>
      <c r="P145" s="53"/>
      <c r="Q145" s="45"/>
      <c r="R145" s="45"/>
      <c r="S145" s="45"/>
      <c r="T145" s="46"/>
      <c r="U145" s="120"/>
      <c r="V145" s="120"/>
      <c r="W145" s="120"/>
      <c r="X145" s="121"/>
      <c r="Y145" s="121"/>
      <c r="Z145" s="121"/>
      <c r="AA145" s="121"/>
      <c r="AB145" s="121"/>
      <c r="AC145" s="121"/>
      <c r="AD145" s="122"/>
      <c r="AE145" s="122"/>
      <c r="AF145" s="122"/>
      <c r="AG145" s="66"/>
      <c r="AH145" s="46"/>
      <c r="AI145" s="76"/>
      <c r="AJ145" s="97"/>
      <c r="AK145" s="39"/>
      <c r="AL145" s="102"/>
      <c r="AM145" s="102"/>
      <c r="AN145" s="102"/>
      <c r="AO145" s="102"/>
      <c r="AP145" s="280"/>
      <c r="AQ145" s="10">
        <f>Потребность!AD145</f>
        <v>0</v>
      </c>
      <c r="AR145" s="10">
        <f>SUM(Потребность!K145:M145)</f>
        <v>0</v>
      </c>
      <c r="AS145" s="9" t="e">
        <f>Потребность!AZ145</f>
        <v>#N/A</v>
      </c>
      <c r="AT145" s="9">
        <f>Потребность!J145</f>
        <v>0</v>
      </c>
      <c r="AU145" s="9" t="e">
        <f>Потребность!N145/Потребность!$N145</f>
        <v>#DIV/0!</v>
      </c>
      <c r="AV145" s="9" t="e">
        <f>Потребность!O145/Потребность!$N145</f>
        <v>#DIV/0!</v>
      </c>
      <c r="AW145" s="9" t="e">
        <f>Потребность!P145/Потребность!$N145</f>
        <v>#DIV/0!</v>
      </c>
      <c r="AX145" s="9" t="e">
        <f>Потребность!T145/Потребность!$T145</f>
        <v>#DIV/0!</v>
      </c>
      <c r="AY145" s="9" t="e">
        <f>Потребность!U145/Потребность!$T145</f>
        <v>#DIV/0!</v>
      </c>
      <c r="AZ145" s="9" t="e">
        <f>Потребность!V145/Потребность!$T145</f>
        <v>#DIV/0!</v>
      </c>
      <c r="BA145" s="141">
        <f>Потребность!Q145</f>
        <v>0</v>
      </c>
      <c r="BB145">
        <f>Потребность!AC145</f>
        <v>0</v>
      </c>
      <c r="BC145" s="141">
        <f>Потребность!AD145</f>
        <v>0</v>
      </c>
    </row>
    <row r="146" spans="1:55" x14ac:dyDescent="0.2">
      <c r="A146" s="85"/>
      <c r="B146" s="195"/>
      <c r="C146" s="85"/>
      <c r="D146" s="85"/>
      <c r="E146" s="195"/>
      <c r="F146" s="35"/>
      <c r="G146" s="65"/>
      <c r="H146" s="36"/>
      <c r="I146" s="37"/>
      <c r="J146" s="37"/>
      <c r="K146" s="35"/>
      <c r="L146" s="38"/>
      <c r="M146" s="128"/>
      <c r="N146" s="38"/>
      <c r="O146" s="128"/>
      <c r="P146" s="53"/>
      <c r="Q146" s="45"/>
      <c r="R146" s="45"/>
      <c r="S146" s="45"/>
      <c r="T146" s="46"/>
      <c r="U146" s="120"/>
      <c r="V146" s="120"/>
      <c r="W146" s="120"/>
      <c r="X146" s="121"/>
      <c r="Y146" s="121"/>
      <c r="Z146" s="121"/>
      <c r="AA146" s="121"/>
      <c r="AB146" s="121"/>
      <c r="AC146" s="121"/>
      <c r="AD146" s="122"/>
      <c r="AE146" s="122"/>
      <c r="AF146" s="122"/>
      <c r="AG146" s="66"/>
      <c r="AH146" s="46"/>
      <c r="AI146" s="76"/>
      <c r="AJ146" s="97"/>
      <c r="AK146" s="39"/>
      <c r="AL146" s="102"/>
      <c r="AM146" s="102"/>
      <c r="AN146" s="102"/>
      <c r="AO146" s="102"/>
      <c r="AP146" s="280"/>
      <c r="AQ146" s="10">
        <f>Потребность!AD146</f>
        <v>0</v>
      </c>
      <c r="AR146" s="10">
        <f>SUM(Потребность!K146:M146)</f>
        <v>0</v>
      </c>
      <c r="AS146" s="9" t="e">
        <f>Потребность!AZ146</f>
        <v>#N/A</v>
      </c>
      <c r="AT146" s="9">
        <f>Потребность!J146</f>
        <v>0</v>
      </c>
      <c r="AU146" s="9" t="e">
        <f>Потребность!N146/Потребность!$N146</f>
        <v>#DIV/0!</v>
      </c>
      <c r="AV146" s="9" t="e">
        <f>Потребность!O146/Потребность!$N146</f>
        <v>#DIV/0!</v>
      </c>
      <c r="AW146" s="9" t="e">
        <f>Потребность!P146/Потребность!$N146</f>
        <v>#DIV/0!</v>
      </c>
      <c r="AX146" s="9" t="e">
        <f>Потребность!T146/Потребность!$T146</f>
        <v>#DIV/0!</v>
      </c>
      <c r="AY146" s="9" t="e">
        <f>Потребность!U146/Потребность!$T146</f>
        <v>#DIV/0!</v>
      </c>
      <c r="AZ146" s="9" t="e">
        <f>Потребность!V146/Потребность!$T146</f>
        <v>#DIV/0!</v>
      </c>
      <c r="BA146" s="141">
        <f>Потребность!Q146</f>
        <v>0</v>
      </c>
      <c r="BB146">
        <f>Потребность!AC146</f>
        <v>0</v>
      </c>
      <c r="BC146" s="141">
        <f>Потребность!AD146</f>
        <v>0</v>
      </c>
    </row>
    <row r="147" spans="1:55" x14ac:dyDescent="0.2">
      <c r="A147" s="85"/>
      <c r="B147" s="195"/>
      <c r="C147" s="85"/>
      <c r="D147" s="85"/>
      <c r="E147" s="195"/>
      <c r="F147" s="35"/>
      <c r="G147" s="65"/>
      <c r="H147" s="36"/>
      <c r="I147" s="37"/>
      <c r="J147" s="37"/>
      <c r="K147" s="35"/>
      <c r="L147" s="38"/>
      <c r="M147" s="128"/>
      <c r="N147" s="38"/>
      <c r="O147" s="128"/>
      <c r="P147" s="53"/>
      <c r="Q147" s="45"/>
      <c r="R147" s="45"/>
      <c r="S147" s="45"/>
      <c r="T147" s="46"/>
      <c r="U147" s="120"/>
      <c r="V147" s="120"/>
      <c r="W147" s="120"/>
      <c r="X147" s="121"/>
      <c r="Y147" s="121"/>
      <c r="Z147" s="121"/>
      <c r="AA147" s="121"/>
      <c r="AB147" s="121"/>
      <c r="AC147" s="121"/>
      <c r="AD147" s="122"/>
      <c r="AE147" s="122"/>
      <c r="AF147" s="122"/>
      <c r="AG147" s="66"/>
      <c r="AH147" s="46"/>
      <c r="AI147" s="76"/>
      <c r="AJ147" s="97"/>
      <c r="AK147" s="39"/>
      <c r="AL147" s="102"/>
      <c r="AM147" s="102"/>
      <c r="AN147" s="102"/>
      <c r="AO147" s="102"/>
      <c r="AP147" s="280"/>
      <c r="AQ147" s="10">
        <f>Потребность!AD147</f>
        <v>0</v>
      </c>
      <c r="AR147" s="10">
        <f>SUM(Потребность!K147:M147)</f>
        <v>0</v>
      </c>
      <c r="AS147" s="9" t="e">
        <f>Потребность!AZ147</f>
        <v>#N/A</v>
      </c>
      <c r="AT147" s="9">
        <f>Потребность!J147</f>
        <v>0</v>
      </c>
      <c r="AU147" s="9" t="e">
        <f>Потребность!N147/Потребность!$N147</f>
        <v>#DIV/0!</v>
      </c>
      <c r="AV147" s="9" t="e">
        <f>Потребность!O147/Потребность!$N147</f>
        <v>#DIV/0!</v>
      </c>
      <c r="AW147" s="9" t="e">
        <f>Потребность!P147/Потребность!$N147</f>
        <v>#DIV/0!</v>
      </c>
      <c r="AX147" s="9" t="e">
        <f>Потребность!T147/Потребность!$T147</f>
        <v>#DIV/0!</v>
      </c>
      <c r="AY147" s="9" t="e">
        <f>Потребность!U147/Потребность!$T147</f>
        <v>#DIV/0!</v>
      </c>
      <c r="AZ147" s="9" t="e">
        <f>Потребность!V147/Потребность!$T147</f>
        <v>#DIV/0!</v>
      </c>
      <c r="BA147" s="141">
        <f>Потребность!Q147</f>
        <v>0</v>
      </c>
      <c r="BB147">
        <f>Потребность!AC147</f>
        <v>0</v>
      </c>
      <c r="BC147" s="141">
        <f>Потребность!AD147</f>
        <v>0</v>
      </c>
    </row>
    <row r="148" spans="1:55" x14ac:dyDescent="0.2">
      <c r="A148" s="85"/>
      <c r="B148" s="195"/>
      <c r="C148" s="85"/>
      <c r="D148" s="85"/>
      <c r="E148" s="195"/>
      <c r="F148" s="35"/>
      <c r="G148" s="65"/>
      <c r="H148" s="36"/>
      <c r="I148" s="37"/>
      <c r="J148" s="37"/>
      <c r="K148" s="35"/>
      <c r="L148" s="38"/>
      <c r="M148" s="128"/>
      <c r="N148" s="38"/>
      <c r="O148" s="128"/>
      <c r="P148" s="53"/>
      <c r="Q148" s="45"/>
      <c r="R148" s="45"/>
      <c r="S148" s="45"/>
      <c r="T148" s="46"/>
      <c r="U148" s="120"/>
      <c r="V148" s="120"/>
      <c r="W148" s="120"/>
      <c r="X148" s="121"/>
      <c r="Y148" s="121"/>
      <c r="Z148" s="121"/>
      <c r="AA148" s="121"/>
      <c r="AB148" s="121"/>
      <c r="AC148" s="121"/>
      <c r="AD148" s="122"/>
      <c r="AE148" s="122"/>
      <c r="AF148" s="122"/>
      <c r="AG148" s="66"/>
      <c r="AH148" s="46"/>
      <c r="AI148" s="76"/>
      <c r="AJ148" s="97"/>
      <c r="AK148" s="39"/>
      <c r="AL148" s="102"/>
      <c r="AM148" s="102"/>
      <c r="AN148" s="102"/>
      <c r="AO148" s="102"/>
      <c r="AP148" s="280"/>
      <c r="AQ148" s="10">
        <f>Потребность!AD148</f>
        <v>0</v>
      </c>
      <c r="AR148" s="10">
        <f>SUM(Потребность!K148:M148)</f>
        <v>0</v>
      </c>
      <c r="AS148" s="9" t="e">
        <f>Потребность!AZ148</f>
        <v>#N/A</v>
      </c>
      <c r="AT148" s="9">
        <f>Потребность!J148</f>
        <v>0</v>
      </c>
      <c r="AU148" s="9" t="e">
        <f>Потребность!N148/Потребность!$N148</f>
        <v>#DIV/0!</v>
      </c>
      <c r="AV148" s="9" t="e">
        <f>Потребность!O148/Потребность!$N148</f>
        <v>#DIV/0!</v>
      </c>
      <c r="AW148" s="9" t="e">
        <f>Потребность!P148/Потребность!$N148</f>
        <v>#DIV/0!</v>
      </c>
      <c r="AX148" s="9" t="e">
        <f>Потребность!T148/Потребность!$T148</f>
        <v>#DIV/0!</v>
      </c>
      <c r="AY148" s="9" t="e">
        <f>Потребность!U148/Потребность!$T148</f>
        <v>#DIV/0!</v>
      </c>
      <c r="AZ148" s="9" t="e">
        <f>Потребность!V148/Потребность!$T148</f>
        <v>#DIV/0!</v>
      </c>
      <c r="BA148" s="141">
        <f>Потребность!Q148</f>
        <v>0</v>
      </c>
      <c r="BB148">
        <f>Потребность!AC148</f>
        <v>0</v>
      </c>
      <c r="BC148" s="141">
        <f>Потребность!AD148</f>
        <v>0</v>
      </c>
    </row>
    <row r="149" spans="1:55" x14ac:dyDescent="0.2">
      <c r="A149" s="85"/>
      <c r="B149" s="195"/>
      <c r="C149" s="85"/>
      <c r="D149" s="85"/>
      <c r="E149" s="195"/>
      <c r="F149" s="35"/>
      <c r="G149" s="65"/>
      <c r="H149" s="36"/>
      <c r="I149" s="37"/>
      <c r="J149" s="37"/>
      <c r="K149" s="35"/>
      <c r="L149" s="38"/>
      <c r="M149" s="128"/>
      <c r="N149" s="38"/>
      <c r="O149" s="128"/>
      <c r="P149" s="53"/>
      <c r="Q149" s="45"/>
      <c r="R149" s="45"/>
      <c r="S149" s="45"/>
      <c r="T149" s="46"/>
      <c r="U149" s="120"/>
      <c r="V149" s="120"/>
      <c r="W149" s="120"/>
      <c r="X149" s="121"/>
      <c r="Y149" s="121"/>
      <c r="Z149" s="121"/>
      <c r="AA149" s="121"/>
      <c r="AB149" s="121"/>
      <c r="AC149" s="121"/>
      <c r="AD149" s="122"/>
      <c r="AE149" s="122"/>
      <c r="AF149" s="122"/>
      <c r="AG149" s="66"/>
      <c r="AH149" s="46"/>
      <c r="AI149" s="76"/>
      <c r="AJ149" s="97"/>
      <c r="AK149" s="39"/>
      <c r="AL149" s="102"/>
      <c r="AM149" s="102"/>
      <c r="AN149" s="102"/>
      <c r="AO149" s="102"/>
      <c r="AP149" s="280"/>
      <c r="AQ149" s="10">
        <f>Потребность!AD149</f>
        <v>0</v>
      </c>
      <c r="AR149" s="10">
        <f>SUM(Потребность!K149:M149)</f>
        <v>0</v>
      </c>
      <c r="AS149" s="9" t="e">
        <f>Потребность!AZ149</f>
        <v>#N/A</v>
      </c>
      <c r="AT149" s="9">
        <f>Потребность!J149</f>
        <v>0</v>
      </c>
      <c r="AU149" s="9" t="e">
        <f>Потребность!N149/Потребность!$N149</f>
        <v>#DIV/0!</v>
      </c>
      <c r="AV149" s="9" t="e">
        <f>Потребность!O149/Потребность!$N149</f>
        <v>#DIV/0!</v>
      </c>
      <c r="AW149" s="9" t="e">
        <f>Потребность!P149/Потребность!$N149</f>
        <v>#DIV/0!</v>
      </c>
      <c r="AX149" s="9" t="e">
        <f>Потребность!T149/Потребность!$T149</f>
        <v>#DIV/0!</v>
      </c>
      <c r="AY149" s="9" t="e">
        <f>Потребность!U149/Потребность!$T149</f>
        <v>#DIV/0!</v>
      </c>
      <c r="AZ149" s="9" t="e">
        <f>Потребность!V149/Потребность!$T149</f>
        <v>#DIV/0!</v>
      </c>
      <c r="BA149" s="141">
        <f>Потребность!Q149</f>
        <v>0</v>
      </c>
      <c r="BB149">
        <f>Потребность!AC149</f>
        <v>0</v>
      </c>
      <c r="BC149" s="141">
        <f>Потребность!AD149</f>
        <v>0</v>
      </c>
    </row>
    <row r="150" spans="1:55" x14ac:dyDescent="0.2">
      <c r="A150" s="85"/>
      <c r="B150" s="195"/>
      <c r="C150" s="85"/>
      <c r="D150" s="85"/>
      <c r="E150" s="195"/>
      <c r="F150" s="35"/>
      <c r="G150" s="65"/>
      <c r="H150" s="36"/>
      <c r="I150" s="37"/>
      <c r="J150" s="37"/>
      <c r="K150" s="35"/>
      <c r="L150" s="38"/>
      <c r="M150" s="128"/>
      <c r="N150" s="38"/>
      <c r="O150" s="128"/>
      <c r="P150" s="53"/>
      <c r="Q150" s="45"/>
      <c r="R150" s="45"/>
      <c r="S150" s="45"/>
      <c r="T150" s="46"/>
      <c r="U150" s="120"/>
      <c r="V150" s="120"/>
      <c r="W150" s="120"/>
      <c r="X150" s="121"/>
      <c r="Y150" s="121"/>
      <c r="Z150" s="121"/>
      <c r="AA150" s="121"/>
      <c r="AB150" s="121"/>
      <c r="AC150" s="121"/>
      <c r="AD150" s="122"/>
      <c r="AE150" s="122"/>
      <c r="AF150" s="122"/>
      <c r="AG150" s="66"/>
      <c r="AH150" s="46"/>
      <c r="AI150" s="76"/>
      <c r="AJ150" s="97"/>
      <c r="AK150" s="39"/>
      <c r="AL150" s="102"/>
      <c r="AM150" s="102"/>
      <c r="AN150" s="102"/>
      <c r="AO150" s="102"/>
      <c r="AP150" s="280"/>
      <c r="AQ150" s="10">
        <f>Потребность!AD150</f>
        <v>0</v>
      </c>
      <c r="AR150" s="10">
        <f>SUM(Потребность!K150:M150)</f>
        <v>0</v>
      </c>
      <c r="AS150" s="9" t="e">
        <f>Потребность!AZ150</f>
        <v>#N/A</v>
      </c>
      <c r="AT150" s="9">
        <f>Потребность!J150</f>
        <v>0</v>
      </c>
      <c r="AU150" s="9" t="e">
        <f>Потребность!N150/Потребность!$N150</f>
        <v>#DIV/0!</v>
      </c>
      <c r="AV150" s="9" t="e">
        <f>Потребность!O150/Потребность!$N150</f>
        <v>#DIV/0!</v>
      </c>
      <c r="AW150" s="9" t="e">
        <f>Потребность!P150/Потребность!$N150</f>
        <v>#DIV/0!</v>
      </c>
      <c r="AX150" s="9" t="e">
        <f>Потребность!T150/Потребность!$T150</f>
        <v>#DIV/0!</v>
      </c>
      <c r="AY150" s="9" t="e">
        <f>Потребность!U150/Потребность!$T150</f>
        <v>#DIV/0!</v>
      </c>
      <c r="AZ150" s="9" t="e">
        <f>Потребность!V150/Потребность!$T150</f>
        <v>#DIV/0!</v>
      </c>
      <c r="BA150" s="141">
        <f>Потребность!Q150</f>
        <v>0</v>
      </c>
      <c r="BB150">
        <f>Потребность!AC150</f>
        <v>0</v>
      </c>
      <c r="BC150" s="141">
        <f>Потребность!AD150</f>
        <v>0</v>
      </c>
    </row>
    <row r="151" spans="1:55" x14ac:dyDescent="0.2">
      <c r="A151" s="85"/>
      <c r="B151" s="195"/>
      <c r="C151" s="85"/>
      <c r="D151" s="85"/>
      <c r="E151" s="195"/>
      <c r="F151" s="35"/>
      <c r="G151" s="65"/>
      <c r="H151" s="36"/>
      <c r="I151" s="37"/>
      <c r="J151" s="37"/>
      <c r="K151" s="35"/>
      <c r="L151" s="38"/>
      <c r="M151" s="128"/>
      <c r="N151" s="38"/>
      <c r="O151" s="128"/>
      <c r="P151" s="53"/>
      <c r="Q151" s="45"/>
      <c r="R151" s="45"/>
      <c r="S151" s="45"/>
      <c r="T151" s="46"/>
      <c r="U151" s="120"/>
      <c r="V151" s="120"/>
      <c r="W151" s="120"/>
      <c r="X151" s="121"/>
      <c r="Y151" s="121"/>
      <c r="Z151" s="121"/>
      <c r="AA151" s="121"/>
      <c r="AB151" s="121"/>
      <c r="AC151" s="121"/>
      <c r="AD151" s="122"/>
      <c r="AE151" s="122"/>
      <c r="AF151" s="122"/>
      <c r="AG151" s="66"/>
      <c r="AH151" s="46"/>
      <c r="AI151" s="76"/>
      <c r="AJ151" s="97"/>
      <c r="AK151" s="39"/>
      <c r="AL151" s="102"/>
      <c r="AM151" s="102"/>
      <c r="AN151" s="102"/>
      <c r="AO151" s="102"/>
      <c r="AP151" s="280"/>
      <c r="AQ151" s="10">
        <f>Потребность!AD151</f>
        <v>0</v>
      </c>
      <c r="AR151" s="10">
        <f>SUM(Потребность!K151:M151)</f>
        <v>0</v>
      </c>
      <c r="AS151" s="9" t="e">
        <f>Потребность!AZ151</f>
        <v>#N/A</v>
      </c>
      <c r="AT151" s="9">
        <f>Потребность!J151</f>
        <v>0</v>
      </c>
      <c r="AU151" s="9" t="e">
        <f>Потребность!N151/Потребность!$N151</f>
        <v>#DIV/0!</v>
      </c>
      <c r="AV151" s="9" t="e">
        <f>Потребность!O151/Потребность!$N151</f>
        <v>#DIV/0!</v>
      </c>
      <c r="AW151" s="9" t="e">
        <f>Потребность!P151/Потребность!$N151</f>
        <v>#DIV/0!</v>
      </c>
      <c r="AX151" s="9" t="e">
        <f>Потребность!T151/Потребность!$T151</f>
        <v>#DIV/0!</v>
      </c>
      <c r="AY151" s="9" t="e">
        <f>Потребность!U151/Потребность!$T151</f>
        <v>#DIV/0!</v>
      </c>
      <c r="AZ151" s="9" t="e">
        <f>Потребность!V151/Потребность!$T151</f>
        <v>#DIV/0!</v>
      </c>
      <c r="BA151" s="141">
        <f>Потребность!Q151</f>
        <v>0</v>
      </c>
      <c r="BB151">
        <f>Потребность!AC151</f>
        <v>0</v>
      </c>
      <c r="BC151" s="141">
        <f>Потребность!AD151</f>
        <v>0</v>
      </c>
    </row>
    <row r="152" spans="1:55" x14ac:dyDescent="0.2">
      <c r="A152" s="85"/>
      <c r="B152" s="195"/>
      <c r="C152" s="85"/>
      <c r="D152" s="85"/>
      <c r="E152" s="195"/>
      <c r="F152" s="35"/>
      <c r="G152" s="65"/>
      <c r="H152" s="36"/>
      <c r="I152" s="37"/>
      <c r="J152" s="37"/>
      <c r="K152" s="35"/>
      <c r="L152" s="38"/>
      <c r="M152" s="128"/>
      <c r="N152" s="38"/>
      <c r="O152" s="128"/>
      <c r="P152" s="53"/>
      <c r="Q152" s="45"/>
      <c r="R152" s="45"/>
      <c r="S152" s="45"/>
      <c r="T152" s="46"/>
      <c r="U152" s="120"/>
      <c r="V152" s="120"/>
      <c r="W152" s="120"/>
      <c r="X152" s="121"/>
      <c r="Y152" s="121"/>
      <c r="Z152" s="121"/>
      <c r="AA152" s="121"/>
      <c r="AB152" s="121"/>
      <c r="AC152" s="121"/>
      <c r="AD152" s="122"/>
      <c r="AE152" s="122"/>
      <c r="AF152" s="122"/>
      <c r="AG152" s="66"/>
      <c r="AH152" s="46"/>
      <c r="AI152" s="76"/>
      <c r="AJ152" s="97"/>
      <c r="AK152" s="39"/>
      <c r="AL152" s="102"/>
      <c r="AM152" s="102"/>
      <c r="AN152" s="102"/>
      <c r="AO152" s="102"/>
      <c r="AP152" s="280"/>
      <c r="AQ152" s="10">
        <f>Потребность!AD152</f>
        <v>0</v>
      </c>
      <c r="AR152" s="10">
        <f>SUM(Потребность!K152:M152)</f>
        <v>0</v>
      </c>
      <c r="AS152" s="9" t="e">
        <f>Потребность!AZ152</f>
        <v>#N/A</v>
      </c>
      <c r="AT152" s="9">
        <f>Потребность!J152</f>
        <v>0</v>
      </c>
      <c r="AU152" s="9" t="e">
        <f>Потребность!N152/Потребность!$N152</f>
        <v>#DIV/0!</v>
      </c>
      <c r="AV152" s="9" t="e">
        <f>Потребность!O152/Потребность!$N152</f>
        <v>#DIV/0!</v>
      </c>
      <c r="AW152" s="9" t="e">
        <f>Потребность!P152/Потребность!$N152</f>
        <v>#DIV/0!</v>
      </c>
      <c r="AX152" s="9" t="e">
        <f>Потребность!T152/Потребность!$T152</f>
        <v>#DIV/0!</v>
      </c>
      <c r="AY152" s="9" t="e">
        <f>Потребность!U152/Потребность!$T152</f>
        <v>#DIV/0!</v>
      </c>
      <c r="AZ152" s="9" t="e">
        <f>Потребность!V152/Потребность!$T152</f>
        <v>#DIV/0!</v>
      </c>
      <c r="BA152" s="141">
        <f>Потребность!Q152</f>
        <v>0</v>
      </c>
      <c r="BB152">
        <f>Потребность!AC152</f>
        <v>0</v>
      </c>
      <c r="BC152" s="141">
        <f>Потребность!AD152</f>
        <v>0</v>
      </c>
    </row>
    <row r="153" spans="1:55" x14ac:dyDescent="0.2">
      <c r="A153" s="85"/>
      <c r="B153" s="195"/>
      <c r="C153" s="85"/>
      <c r="D153" s="85"/>
      <c r="E153" s="195"/>
      <c r="F153" s="35"/>
      <c r="G153" s="65"/>
      <c r="H153" s="36"/>
      <c r="I153" s="37"/>
      <c r="J153" s="37"/>
      <c r="K153" s="35"/>
      <c r="L153" s="38"/>
      <c r="M153" s="128"/>
      <c r="N153" s="38"/>
      <c r="O153" s="128"/>
      <c r="P153" s="53"/>
      <c r="Q153" s="45"/>
      <c r="R153" s="45"/>
      <c r="S153" s="45"/>
      <c r="T153" s="46"/>
      <c r="U153" s="120"/>
      <c r="V153" s="120"/>
      <c r="W153" s="120"/>
      <c r="X153" s="121"/>
      <c r="Y153" s="121"/>
      <c r="Z153" s="121"/>
      <c r="AA153" s="121"/>
      <c r="AB153" s="121"/>
      <c r="AC153" s="121"/>
      <c r="AD153" s="122"/>
      <c r="AE153" s="122"/>
      <c r="AF153" s="122"/>
      <c r="AG153" s="66"/>
      <c r="AH153" s="46"/>
      <c r="AI153" s="76"/>
      <c r="AJ153" s="97"/>
      <c r="AK153" s="39"/>
      <c r="AL153" s="102"/>
      <c r="AM153" s="102"/>
      <c r="AN153" s="102"/>
      <c r="AO153" s="102"/>
      <c r="AP153" s="280"/>
      <c r="AQ153" s="10">
        <f>Потребность!AD153</f>
        <v>0</v>
      </c>
      <c r="AR153" s="10">
        <f>SUM(Потребность!K153:M153)</f>
        <v>0</v>
      </c>
      <c r="AS153" s="9" t="e">
        <f>Потребность!AZ153</f>
        <v>#N/A</v>
      </c>
      <c r="AT153" s="9">
        <f>Потребность!J153</f>
        <v>0</v>
      </c>
      <c r="AU153" s="9" t="e">
        <f>Потребность!N153/Потребность!$N153</f>
        <v>#DIV/0!</v>
      </c>
      <c r="AV153" s="9" t="e">
        <f>Потребность!O153/Потребность!$N153</f>
        <v>#DIV/0!</v>
      </c>
      <c r="AW153" s="9" t="e">
        <f>Потребность!P153/Потребность!$N153</f>
        <v>#DIV/0!</v>
      </c>
      <c r="AX153" s="9" t="e">
        <f>Потребность!T153/Потребность!$T153</f>
        <v>#DIV/0!</v>
      </c>
      <c r="AY153" s="9" t="e">
        <f>Потребность!U153/Потребность!$T153</f>
        <v>#DIV/0!</v>
      </c>
      <c r="AZ153" s="9" t="e">
        <f>Потребность!V153/Потребность!$T153</f>
        <v>#DIV/0!</v>
      </c>
      <c r="BA153" s="141">
        <f>Потребность!Q153</f>
        <v>0</v>
      </c>
      <c r="BB153">
        <f>Потребность!AC153</f>
        <v>0</v>
      </c>
      <c r="BC153" s="141">
        <f>Потребность!AD153</f>
        <v>0</v>
      </c>
    </row>
    <row r="154" spans="1:55" x14ac:dyDescent="0.2">
      <c r="A154" s="85"/>
      <c r="B154" s="195"/>
      <c r="C154" s="85"/>
      <c r="D154" s="85"/>
      <c r="E154" s="195"/>
      <c r="F154" s="35"/>
      <c r="G154" s="65"/>
      <c r="H154" s="36"/>
      <c r="I154" s="37"/>
      <c r="J154" s="37"/>
      <c r="K154" s="35"/>
      <c r="L154" s="38"/>
      <c r="M154" s="128"/>
      <c r="N154" s="38"/>
      <c r="O154" s="128"/>
      <c r="P154" s="53"/>
      <c r="Q154" s="45"/>
      <c r="R154" s="45"/>
      <c r="S154" s="45"/>
      <c r="T154" s="46"/>
      <c r="U154" s="120"/>
      <c r="V154" s="120"/>
      <c r="W154" s="120"/>
      <c r="X154" s="121"/>
      <c r="Y154" s="121"/>
      <c r="Z154" s="121"/>
      <c r="AA154" s="121"/>
      <c r="AB154" s="121"/>
      <c r="AC154" s="121"/>
      <c r="AD154" s="122"/>
      <c r="AE154" s="122"/>
      <c r="AF154" s="122"/>
      <c r="AG154" s="66"/>
      <c r="AH154" s="46"/>
      <c r="AI154" s="76"/>
      <c r="AJ154" s="97"/>
      <c r="AK154" s="39"/>
      <c r="AL154" s="102"/>
      <c r="AM154" s="102"/>
      <c r="AN154" s="102"/>
      <c r="AO154" s="102"/>
      <c r="AP154" s="280"/>
      <c r="AQ154" s="10">
        <f>Потребность!AD154</f>
        <v>0</v>
      </c>
      <c r="AR154" s="10">
        <f>SUM(Потребность!K154:M154)</f>
        <v>0</v>
      </c>
      <c r="AS154" s="9" t="e">
        <f>Потребность!AZ154</f>
        <v>#N/A</v>
      </c>
      <c r="AT154" s="9">
        <f>Потребность!J154</f>
        <v>0</v>
      </c>
      <c r="AU154" s="9" t="e">
        <f>Потребность!N154/Потребность!$N154</f>
        <v>#DIV/0!</v>
      </c>
      <c r="AV154" s="9" t="e">
        <f>Потребность!O154/Потребность!$N154</f>
        <v>#DIV/0!</v>
      </c>
      <c r="AW154" s="9" t="e">
        <f>Потребность!P154/Потребность!$N154</f>
        <v>#DIV/0!</v>
      </c>
      <c r="AX154" s="9" t="e">
        <f>Потребность!T154/Потребность!$T154</f>
        <v>#DIV/0!</v>
      </c>
      <c r="AY154" s="9" t="e">
        <f>Потребность!U154/Потребность!$T154</f>
        <v>#DIV/0!</v>
      </c>
      <c r="AZ154" s="9" t="e">
        <f>Потребность!V154/Потребность!$T154</f>
        <v>#DIV/0!</v>
      </c>
      <c r="BA154" s="141">
        <f>Потребность!Q154</f>
        <v>0</v>
      </c>
      <c r="BB154">
        <f>Потребность!AC154</f>
        <v>0</v>
      </c>
      <c r="BC154" s="141">
        <f>Потребность!AD154</f>
        <v>0</v>
      </c>
    </row>
    <row r="155" spans="1:55" x14ac:dyDescent="0.2">
      <c r="A155" s="85"/>
      <c r="B155" s="195"/>
      <c r="C155" s="85"/>
      <c r="D155" s="85"/>
      <c r="E155" s="195"/>
      <c r="F155" s="35"/>
      <c r="G155" s="65"/>
      <c r="H155" s="36"/>
      <c r="I155" s="37"/>
      <c r="J155" s="37"/>
      <c r="K155" s="35"/>
      <c r="L155" s="38"/>
      <c r="M155" s="128"/>
      <c r="N155" s="38"/>
      <c r="O155" s="128"/>
      <c r="P155" s="53"/>
      <c r="Q155" s="45"/>
      <c r="R155" s="45"/>
      <c r="S155" s="45"/>
      <c r="T155" s="46"/>
      <c r="U155" s="120"/>
      <c r="V155" s="120"/>
      <c r="W155" s="120"/>
      <c r="X155" s="121"/>
      <c r="Y155" s="121"/>
      <c r="Z155" s="121"/>
      <c r="AA155" s="121"/>
      <c r="AB155" s="121"/>
      <c r="AC155" s="121"/>
      <c r="AD155" s="122"/>
      <c r="AE155" s="122"/>
      <c r="AF155" s="122"/>
      <c r="AG155" s="66"/>
      <c r="AH155" s="46"/>
      <c r="AI155" s="76"/>
      <c r="AJ155" s="97"/>
      <c r="AK155" s="39"/>
      <c r="AL155" s="102"/>
      <c r="AM155" s="102"/>
      <c r="AN155" s="102"/>
      <c r="AO155" s="102"/>
      <c r="AP155" s="280"/>
      <c r="AQ155" s="10">
        <f>Потребность!AD155</f>
        <v>0</v>
      </c>
      <c r="AR155" s="10">
        <f>SUM(Потребность!K155:M155)</f>
        <v>0</v>
      </c>
      <c r="AS155" s="9" t="e">
        <f>Потребность!AZ155</f>
        <v>#N/A</v>
      </c>
      <c r="AT155" s="9">
        <f>Потребность!J155</f>
        <v>0</v>
      </c>
      <c r="AU155" s="9" t="e">
        <f>Потребность!N155/Потребность!$N155</f>
        <v>#DIV/0!</v>
      </c>
      <c r="AV155" s="9" t="e">
        <f>Потребность!O155/Потребность!$N155</f>
        <v>#DIV/0!</v>
      </c>
      <c r="AW155" s="9" t="e">
        <f>Потребность!P155/Потребность!$N155</f>
        <v>#DIV/0!</v>
      </c>
      <c r="AX155" s="9" t="e">
        <f>Потребность!T155/Потребность!$T155</f>
        <v>#DIV/0!</v>
      </c>
      <c r="AY155" s="9" t="e">
        <f>Потребность!U155/Потребность!$T155</f>
        <v>#DIV/0!</v>
      </c>
      <c r="AZ155" s="9" t="e">
        <f>Потребность!V155/Потребность!$T155</f>
        <v>#DIV/0!</v>
      </c>
      <c r="BA155" s="141">
        <f>Потребность!Q155</f>
        <v>0</v>
      </c>
      <c r="BB155">
        <f>Потребность!AC155</f>
        <v>0</v>
      </c>
      <c r="BC155" s="141">
        <f>Потребность!AD155</f>
        <v>0</v>
      </c>
    </row>
    <row r="156" spans="1:55" x14ac:dyDescent="0.2">
      <c r="A156" s="85"/>
      <c r="B156" s="195"/>
      <c r="C156" s="85"/>
      <c r="D156" s="85"/>
      <c r="E156" s="195"/>
      <c r="F156" s="35"/>
      <c r="G156" s="65"/>
      <c r="H156" s="36"/>
      <c r="I156" s="37"/>
      <c r="J156" s="37"/>
      <c r="K156" s="35"/>
      <c r="L156" s="38"/>
      <c r="M156" s="128"/>
      <c r="N156" s="38"/>
      <c r="O156" s="128"/>
      <c r="P156" s="53"/>
      <c r="Q156" s="45"/>
      <c r="R156" s="45"/>
      <c r="S156" s="45"/>
      <c r="T156" s="46"/>
      <c r="U156" s="120"/>
      <c r="V156" s="120"/>
      <c r="W156" s="120"/>
      <c r="X156" s="121"/>
      <c r="Y156" s="121"/>
      <c r="Z156" s="121"/>
      <c r="AA156" s="121"/>
      <c r="AB156" s="121"/>
      <c r="AC156" s="121"/>
      <c r="AD156" s="122"/>
      <c r="AE156" s="122"/>
      <c r="AF156" s="122"/>
      <c r="AG156" s="66"/>
      <c r="AH156" s="46"/>
      <c r="AI156" s="76"/>
      <c r="AJ156" s="97"/>
      <c r="AK156" s="39"/>
      <c r="AL156" s="102"/>
      <c r="AM156" s="102"/>
      <c r="AN156" s="102"/>
      <c r="AO156" s="102"/>
      <c r="AP156" s="280"/>
      <c r="AQ156" s="10">
        <f>Потребность!AD156</f>
        <v>0</v>
      </c>
      <c r="AR156" s="10">
        <f>SUM(Потребность!K156:M156)</f>
        <v>0</v>
      </c>
      <c r="AS156" s="9" t="e">
        <f>Потребность!AZ156</f>
        <v>#N/A</v>
      </c>
      <c r="AT156" s="9">
        <f>Потребность!J156</f>
        <v>0</v>
      </c>
      <c r="AU156" s="9" t="e">
        <f>Потребность!N156/Потребность!$N156</f>
        <v>#DIV/0!</v>
      </c>
      <c r="AV156" s="9" t="e">
        <f>Потребность!O156/Потребность!$N156</f>
        <v>#DIV/0!</v>
      </c>
      <c r="AW156" s="9" t="e">
        <f>Потребность!P156/Потребность!$N156</f>
        <v>#DIV/0!</v>
      </c>
      <c r="AX156" s="9" t="e">
        <f>Потребность!T156/Потребность!$T156</f>
        <v>#DIV/0!</v>
      </c>
      <c r="AY156" s="9" t="e">
        <f>Потребность!U156/Потребность!$T156</f>
        <v>#DIV/0!</v>
      </c>
      <c r="AZ156" s="9" t="e">
        <f>Потребность!V156/Потребность!$T156</f>
        <v>#DIV/0!</v>
      </c>
      <c r="BA156" s="141">
        <f>Потребность!Q156</f>
        <v>0</v>
      </c>
      <c r="BB156">
        <f>Потребность!AC156</f>
        <v>0</v>
      </c>
      <c r="BC156" s="141">
        <f>Потребность!AD156</f>
        <v>0</v>
      </c>
    </row>
    <row r="157" spans="1:55" x14ac:dyDescent="0.2">
      <c r="A157" s="85"/>
      <c r="B157" s="195"/>
      <c r="C157" s="85"/>
      <c r="D157" s="85"/>
      <c r="E157" s="195"/>
      <c r="F157" s="35"/>
      <c r="G157" s="65"/>
      <c r="H157" s="36"/>
      <c r="I157" s="37"/>
      <c r="J157" s="37"/>
      <c r="K157" s="35"/>
      <c r="L157" s="38"/>
      <c r="M157" s="128"/>
      <c r="N157" s="38"/>
      <c r="O157" s="128"/>
      <c r="P157" s="53"/>
      <c r="Q157" s="45"/>
      <c r="R157" s="45"/>
      <c r="S157" s="45"/>
      <c r="T157" s="46"/>
      <c r="U157" s="120"/>
      <c r="V157" s="120"/>
      <c r="W157" s="120"/>
      <c r="X157" s="121"/>
      <c r="Y157" s="121"/>
      <c r="Z157" s="121"/>
      <c r="AA157" s="121"/>
      <c r="AB157" s="121"/>
      <c r="AC157" s="121"/>
      <c r="AD157" s="122"/>
      <c r="AE157" s="122"/>
      <c r="AF157" s="122"/>
      <c r="AG157" s="66"/>
      <c r="AH157" s="46"/>
      <c r="AI157" s="76"/>
      <c r="AJ157" s="97"/>
      <c r="AK157" s="39"/>
      <c r="AL157" s="102"/>
      <c r="AM157" s="102"/>
      <c r="AN157" s="102"/>
      <c r="AO157" s="102"/>
      <c r="AP157" s="280"/>
      <c r="AQ157" s="10">
        <f>Потребность!AD157</f>
        <v>0</v>
      </c>
      <c r="AR157" s="10">
        <f>SUM(Потребность!K157:M157)</f>
        <v>0</v>
      </c>
      <c r="AS157" s="9" t="e">
        <f>Потребность!AZ157</f>
        <v>#N/A</v>
      </c>
      <c r="AT157" s="9">
        <f>Потребность!J157</f>
        <v>0</v>
      </c>
      <c r="AU157" s="9" t="e">
        <f>Потребность!N157/Потребность!$N157</f>
        <v>#DIV/0!</v>
      </c>
      <c r="AV157" s="9" t="e">
        <f>Потребность!O157/Потребность!$N157</f>
        <v>#DIV/0!</v>
      </c>
      <c r="AW157" s="9" t="e">
        <f>Потребность!P157/Потребность!$N157</f>
        <v>#DIV/0!</v>
      </c>
      <c r="AX157" s="9" t="e">
        <f>Потребность!T157/Потребность!$T157</f>
        <v>#DIV/0!</v>
      </c>
      <c r="AY157" s="9" t="e">
        <f>Потребность!U157/Потребность!$T157</f>
        <v>#DIV/0!</v>
      </c>
      <c r="AZ157" s="9" t="e">
        <f>Потребность!V157/Потребность!$T157</f>
        <v>#DIV/0!</v>
      </c>
      <c r="BA157" s="141">
        <f>Потребность!Q157</f>
        <v>0</v>
      </c>
      <c r="BB157">
        <f>Потребность!AC157</f>
        <v>0</v>
      </c>
      <c r="BC157" s="141">
        <f>Потребность!AD157</f>
        <v>0</v>
      </c>
    </row>
    <row r="158" spans="1:55" x14ac:dyDescent="0.2">
      <c r="A158" s="85"/>
      <c r="B158" s="195"/>
      <c r="C158" s="85"/>
      <c r="D158" s="85"/>
      <c r="E158" s="195"/>
      <c r="F158" s="35"/>
      <c r="G158" s="65"/>
      <c r="H158" s="36"/>
      <c r="I158" s="37"/>
      <c r="J158" s="37"/>
      <c r="K158" s="35"/>
      <c r="L158" s="38"/>
      <c r="M158" s="128"/>
      <c r="N158" s="38"/>
      <c r="O158" s="128"/>
      <c r="P158" s="53"/>
      <c r="Q158" s="45"/>
      <c r="R158" s="45"/>
      <c r="S158" s="45"/>
      <c r="T158" s="46"/>
      <c r="U158" s="120"/>
      <c r="V158" s="120"/>
      <c r="W158" s="120"/>
      <c r="X158" s="121"/>
      <c r="Y158" s="121"/>
      <c r="Z158" s="121"/>
      <c r="AA158" s="121"/>
      <c r="AB158" s="121"/>
      <c r="AC158" s="121"/>
      <c r="AD158" s="122"/>
      <c r="AE158" s="122"/>
      <c r="AF158" s="122"/>
      <c r="AG158" s="66"/>
      <c r="AH158" s="46"/>
      <c r="AI158" s="76"/>
      <c r="AJ158" s="97"/>
      <c r="AK158" s="39"/>
      <c r="AL158" s="102"/>
      <c r="AM158" s="102"/>
      <c r="AN158" s="102"/>
      <c r="AO158" s="102"/>
      <c r="AP158" s="280"/>
      <c r="AQ158" s="10">
        <f>Потребность!AD158</f>
        <v>0</v>
      </c>
      <c r="AR158" s="10">
        <f>SUM(Потребность!K158:M158)</f>
        <v>0</v>
      </c>
      <c r="AS158" s="9" t="e">
        <f>Потребность!AZ158</f>
        <v>#N/A</v>
      </c>
      <c r="AT158" s="9">
        <f>Потребность!J158</f>
        <v>0</v>
      </c>
      <c r="AU158" s="9" t="e">
        <f>Потребность!N158/Потребность!$N158</f>
        <v>#DIV/0!</v>
      </c>
      <c r="AV158" s="9" t="e">
        <f>Потребность!O158/Потребность!$N158</f>
        <v>#DIV/0!</v>
      </c>
      <c r="AW158" s="9" t="e">
        <f>Потребность!P158/Потребность!$N158</f>
        <v>#DIV/0!</v>
      </c>
      <c r="AX158" s="9" t="e">
        <f>Потребность!T158/Потребность!$T158</f>
        <v>#DIV/0!</v>
      </c>
      <c r="AY158" s="9" t="e">
        <f>Потребность!U158/Потребность!$T158</f>
        <v>#DIV/0!</v>
      </c>
      <c r="AZ158" s="9" t="e">
        <f>Потребность!V158/Потребность!$T158</f>
        <v>#DIV/0!</v>
      </c>
      <c r="BA158" s="141">
        <f>Потребность!Q158</f>
        <v>0</v>
      </c>
      <c r="BB158">
        <f>Потребность!AC158</f>
        <v>0</v>
      </c>
      <c r="BC158" s="141">
        <f>Потребность!AD158</f>
        <v>0</v>
      </c>
    </row>
    <row r="159" spans="1:55" x14ac:dyDescent="0.2">
      <c r="A159" s="85"/>
      <c r="B159" s="195"/>
      <c r="C159" s="85"/>
      <c r="D159" s="85"/>
      <c r="E159" s="195"/>
      <c r="F159" s="35"/>
      <c r="G159" s="65"/>
      <c r="H159" s="36"/>
      <c r="I159" s="37"/>
      <c r="J159" s="37"/>
      <c r="K159" s="35"/>
      <c r="L159" s="38"/>
      <c r="M159" s="128"/>
      <c r="N159" s="38"/>
      <c r="O159" s="128"/>
      <c r="P159" s="53"/>
      <c r="Q159" s="45"/>
      <c r="R159" s="45"/>
      <c r="S159" s="45"/>
      <c r="T159" s="46"/>
      <c r="U159" s="120"/>
      <c r="V159" s="120"/>
      <c r="W159" s="120"/>
      <c r="X159" s="121"/>
      <c r="Y159" s="121"/>
      <c r="Z159" s="121"/>
      <c r="AA159" s="121"/>
      <c r="AB159" s="121"/>
      <c r="AC159" s="121"/>
      <c r="AD159" s="122"/>
      <c r="AE159" s="122"/>
      <c r="AF159" s="122"/>
      <c r="AG159" s="66"/>
      <c r="AH159" s="46"/>
      <c r="AI159" s="76"/>
      <c r="AJ159" s="97"/>
      <c r="AK159" s="39"/>
      <c r="AL159" s="102"/>
      <c r="AM159" s="102"/>
      <c r="AN159" s="102"/>
      <c r="AO159" s="102"/>
      <c r="AP159" s="280"/>
      <c r="AQ159" s="10">
        <f>Потребность!AD159</f>
        <v>0</v>
      </c>
      <c r="AR159" s="10">
        <f>SUM(Потребность!K159:M159)</f>
        <v>0</v>
      </c>
      <c r="AS159" s="9" t="e">
        <f>Потребность!AZ159</f>
        <v>#N/A</v>
      </c>
      <c r="AT159" s="9">
        <f>Потребность!J159</f>
        <v>0</v>
      </c>
      <c r="AU159" s="9" t="e">
        <f>Потребность!N159/Потребность!$N159</f>
        <v>#DIV/0!</v>
      </c>
      <c r="AV159" s="9" t="e">
        <f>Потребность!O159/Потребность!$N159</f>
        <v>#DIV/0!</v>
      </c>
      <c r="AW159" s="9" t="e">
        <f>Потребность!P159/Потребность!$N159</f>
        <v>#DIV/0!</v>
      </c>
      <c r="AX159" s="9" t="e">
        <f>Потребность!T159/Потребность!$T159</f>
        <v>#DIV/0!</v>
      </c>
      <c r="AY159" s="9" t="e">
        <f>Потребность!U159/Потребность!$T159</f>
        <v>#DIV/0!</v>
      </c>
      <c r="AZ159" s="9" t="e">
        <f>Потребность!V159/Потребность!$T159</f>
        <v>#DIV/0!</v>
      </c>
      <c r="BA159" s="141">
        <f>Потребность!Q159</f>
        <v>0</v>
      </c>
      <c r="BB159">
        <f>Потребность!AC159</f>
        <v>0</v>
      </c>
      <c r="BC159" s="141">
        <f>Потребность!AD159</f>
        <v>0</v>
      </c>
    </row>
    <row r="160" spans="1:55" x14ac:dyDescent="0.2">
      <c r="A160" s="85"/>
      <c r="B160" s="195"/>
      <c r="C160" s="85"/>
      <c r="D160" s="85"/>
      <c r="E160" s="195"/>
      <c r="F160" s="35"/>
      <c r="G160" s="65"/>
      <c r="H160" s="36"/>
      <c r="I160" s="37"/>
      <c r="J160" s="37"/>
      <c r="K160" s="35"/>
      <c r="L160" s="38"/>
      <c r="M160" s="128"/>
      <c r="N160" s="38"/>
      <c r="O160" s="128"/>
      <c r="P160" s="53"/>
      <c r="Q160" s="45"/>
      <c r="R160" s="45"/>
      <c r="S160" s="45"/>
      <c r="T160" s="46"/>
      <c r="U160" s="120"/>
      <c r="V160" s="120"/>
      <c r="W160" s="120"/>
      <c r="X160" s="121"/>
      <c r="Y160" s="121"/>
      <c r="Z160" s="121"/>
      <c r="AA160" s="121"/>
      <c r="AB160" s="121"/>
      <c r="AC160" s="121"/>
      <c r="AD160" s="122"/>
      <c r="AE160" s="122"/>
      <c r="AF160" s="122"/>
      <c r="AG160" s="66"/>
      <c r="AH160" s="46"/>
      <c r="AI160" s="76"/>
      <c r="AJ160" s="97"/>
      <c r="AK160" s="39"/>
      <c r="AL160" s="102"/>
      <c r="AM160" s="102"/>
      <c r="AN160" s="102"/>
      <c r="AO160" s="102"/>
      <c r="AP160" s="280"/>
      <c r="AQ160" s="10">
        <f>Потребность!AD160</f>
        <v>0</v>
      </c>
      <c r="AR160" s="10">
        <f>SUM(Потребность!K160:M160)</f>
        <v>0</v>
      </c>
      <c r="AS160" s="9" t="e">
        <f>Потребность!AZ160</f>
        <v>#N/A</v>
      </c>
      <c r="AT160" s="9">
        <f>Потребность!J160</f>
        <v>0</v>
      </c>
      <c r="AU160" s="9" t="e">
        <f>Потребность!N160/Потребность!$N160</f>
        <v>#DIV/0!</v>
      </c>
      <c r="AV160" s="9" t="e">
        <f>Потребность!O160/Потребность!$N160</f>
        <v>#DIV/0!</v>
      </c>
      <c r="AW160" s="9" t="e">
        <f>Потребность!P160/Потребность!$N160</f>
        <v>#DIV/0!</v>
      </c>
      <c r="AX160" s="9" t="e">
        <f>Потребность!T160/Потребность!$T160</f>
        <v>#DIV/0!</v>
      </c>
      <c r="AY160" s="9" t="e">
        <f>Потребность!U160/Потребность!$T160</f>
        <v>#DIV/0!</v>
      </c>
      <c r="AZ160" s="9" t="e">
        <f>Потребность!V160/Потребность!$T160</f>
        <v>#DIV/0!</v>
      </c>
      <c r="BA160" s="141">
        <f>Потребность!Q160</f>
        <v>0</v>
      </c>
      <c r="BB160">
        <f>Потребность!AC160</f>
        <v>0</v>
      </c>
      <c r="BC160" s="141">
        <f>Потребность!AD160</f>
        <v>0</v>
      </c>
    </row>
    <row r="161" spans="1:55" x14ac:dyDescent="0.2">
      <c r="A161" s="85"/>
      <c r="B161" s="195"/>
      <c r="C161" s="85"/>
      <c r="D161" s="85"/>
      <c r="E161" s="195"/>
      <c r="F161" s="35"/>
      <c r="G161" s="65"/>
      <c r="H161" s="36"/>
      <c r="I161" s="37"/>
      <c r="J161" s="37"/>
      <c r="K161" s="35"/>
      <c r="L161" s="38"/>
      <c r="M161" s="128"/>
      <c r="N161" s="38"/>
      <c r="O161" s="128"/>
      <c r="P161" s="53"/>
      <c r="Q161" s="45"/>
      <c r="R161" s="45"/>
      <c r="S161" s="45"/>
      <c r="T161" s="46"/>
      <c r="U161" s="120"/>
      <c r="V161" s="120"/>
      <c r="W161" s="120"/>
      <c r="X161" s="121"/>
      <c r="Y161" s="121"/>
      <c r="Z161" s="121"/>
      <c r="AA161" s="121"/>
      <c r="AB161" s="121"/>
      <c r="AC161" s="121"/>
      <c r="AD161" s="122"/>
      <c r="AE161" s="122"/>
      <c r="AF161" s="122"/>
      <c r="AG161" s="66"/>
      <c r="AH161" s="46"/>
      <c r="AI161" s="76"/>
      <c r="AJ161" s="97"/>
      <c r="AK161" s="39"/>
      <c r="AL161" s="102"/>
      <c r="AM161" s="102"/>
      <c r="AN161" s="102"/>
      <c r="AO161" s="102"/>
      <c r="AP161" s="280"/>
      <c r="AQ161" s="10">
        <f>Потребность!AD161</f>
        <v>0</v>
      </c>
      <c r="AR161" s="10">
        <f>SUM(Потребность!K161:M161)</f>
        <v>0</v>
      </c>
      <c r="AS161" s="9" t="e">
        <f>Потребность!AZ161</f>
        <v>#N/A</v>
      </c>
      <c r="AT161" s="9">
        <f>Потребность!J161</f>
        <v>0</v>
      </c>
      <c r="AU161" s="9" t="e">
        <f>Потребность!N161/Потребность!$N161</f>
        <v>#DIV/0!</v>
      </c>
      <c r="AV161" s="9" t="e">
        <f>Потребность!O161/Потребность!$N161</f>
        <v>#DIV/0!</v>
      </c>
      <c r="AW161" s="9" t="e">
        <f>Потребность!P161/Потребность!$N161</f>
        <v>#DIV/0!</v>
      </c>
      <c r="AX161" s="9" t="e">
        <f>Потребность!T161/Потребность!$T161</f>
        <v>#DIV/0!</v>
      </c>
      <c r="AY161" s="9" t="e">
        <f>Потребность!U161/Потребность!$T161</f>
        <v>#DIV/0!</v>
      </c>
      <c r="AZ161" s="9" t="e">
        <f>Потребность!V161/Потребность!$T161</f>
        <v>#DIV/0!</v>
      </c>
      <c r="BA161" s="141">
        <f>Потребность!Q161</f>
        <v>0</v>
      </c>
      <c r="BB161">
        <f>Потребность!AC161</f>
        <v>0</v>
      </c>
      <c r="BC161" s="141">
        <f>Потребность!AD161</f>
        <v>0</v>
      </c>
    </row>
    <row r="162" spans="1:55" x14ac:dyDescent="0.2">
      <c r="A162" s="85"/>
      <c r="B162" s="195"/>
      <c r="C162" s="85"/>
      <c r="D162" s="85"/>
      <c r="E162" s="195"/>
      <c r="F162" s="35"/>
      <c r="G162" s="65"/>
      <c r="H162" s="36"/>
      <c r="I162" s="37"/>
      <c r="J162" s="37"/>
      <c r="K162" s="35"/>
      <c r="L162" s="38"/>
      <c r="M162" s="128"/>
      <c r="N162" s="38"/>
      <c r="O162" s="128"/>
      <c r="P162" s="53"/>
      <c r="Q162" s="45"/>
      <c r="R162" s="45"/>
      <c r="S162" s="45"/>
      <c r="T162" s="46"/>
      <c r="U162" s="120"/>
      <c r="V162" s="120"/>
      <c r="W162" s="120"/>
      <c r="X162" s="121"/>
      <c r="Y162" s="121"/>
      <c r="Z162" s="121"/>
      <c r="AA162" s="121"/>
      <c r="AB162" s="121"/>
      <c r="AC162" s="121"/>
      <c r="AD162" s="122"/>
      <c r="AE162" s="122"/>
      <c r="AF162" s="122"/>
      <c r="AG162" s="66"/>
      <c r="AH162" s="46"/>
      <c r="AI162" s="76"/>
      <c r="AJ162" s="97"/>
      <c r="AK162" s="39"/>
      <c r="AL162" s="102"/>
      <c r="AM162" s="102"/>
      <c r="AN162" s="102"/>
      <c r="AO162" s="102"/>
      <c r="AP162" s="280"/>
      <c r="AQ162" s="10">
        <f>Потребность!AD162</f>
        <v>0</v>
      </c>
      <c r="AR162" s="10">
        <f>SUM(Потребность!K162:M162)</f>
        <v>0</v>
      </c>
      <c r="AS162" s="9" t="e">
        <f>Потребность!AZ162</f>
        <v>#N/A</v>
      </c>
      <c r="AT162" s="9">
        <f>Потребность!J162</f>
        <v>0</v>
      </c>
      <c r="AU162" s="9" t="e">
        <f>Потребность!N162/Потребность!$N162</f>
        <v>#DIV/0!</v>
      </c>
      <c r="AV162" s="9" t="e">
        <f>Потребность!O162/Потребность!$N162</f>
        <v>#DIV/0!</v>
      </c>
      <c r="AW162" s="9" t="e">
        <f>Потребность!P162/Потребность!$N162</f>
        <v>#DIV/0!</v>
      </c>
      <c r="AX162" s="9" t="e">
        <f>Потребность!T162/Потребность!$T162</f>
        <v>#DIV/0!</v>
      </c>
      <c r="AY162" s="9" t="e">
        <f>Потребность!U162/Потребность!$T162</f>
        <v>#DIV/0!</v>
      </c>
      <c r="AZ162" s="9" t="e">
        <f>Потребность!V162/Потребность!$T162</f>
        <v>#DIV/0!</v>
      </c>
      <c r="BA162" s="141">
        <f>Потребность!Q162</f>
        <v>0</v>
      </c>
      <c r="BB162">
        <f>Потребность!AC162</f>
        <v>0</v>
      </c>
      <c r="BC162" s="141">
        <f>Потребность!AD162</f>
        <v>0</v>
      </c>
    </row>
    <row r="163" spans="1:55" x14ac:dyDescent="0.2">
      <c r="A163" s="85"/>
      <c r="B163" s="195"/>
      <c r="C163" s="85"/>
      <c r="D163" s="85"/>
      <c r="E163" s="195"/>
      <c r="F163" s="35"/>
      <c r="G163" s="65"/>
      <c r="H163" s="36"/>
      <c r="I163" s="37"/>
      <c r="J163" s="37"/>
      <c r="K163" s="35"/>
      <c r="L163" s="38"/>
      <c r="M163" s="128"/>
      <c r="N163" s="38"/>
      <c r="O163" s="128"/>
      <c r="P163" s="53"/>
      <c r="Q163" s="45"/>
      <c r="R163" s="45"/>
      <c r="S163" s="45"/>
      <c r="T163" s="46"/>
      <c r="U163" s="120"/>
      <c r="V163" s="120"/>
      <c r="W163" s="120"/>
      <c r="X163" s="121"/>
      <c r="Y163" s="121"/>
      <c r="Z163" s="121"/>
      <c r="AA163" s="121"/>
      <c r="AB163" s="121"/>
      <c r="AC163" s="121"/>
      <c r="AD163" s="122"/>
      <c r="AE163" s="122"/>
      <c r="AF163" s="122"/>
      <c r="AG163" s="66"/>
      <c r="AH163" s="46"/>
      <c r="AI163" s="76"/>
      <c r="AJ163" s="97"/>
      <c r="AK163" s="39"/>
      <c r="AL163" s="102"/>
      <c r="AM163" s="102"/>
      <c r="AN163" s="102"/>
      <c r="AO163" s="102"/>
      <c r="AP163" s="280"/>
      <c r="AQ163" s="10">
        <f>Потребность!AD163</f>
        <v>0</v>
      </c>
      <c r="AR163" s="10">
        <f>SUM(Потребность!K163:M163)</f>
        <v>0</v>
      </c>
      <c r="AS163" s="9" t="e">
        <f>Потребность!AZ163</f>
        <v>#N/A</v>
      </c>
      <c r="AT163" s="9">
        <f>Потребность!J163</f>
        <v>0</v>
      </c>
      <c r="AU163" s="9" t="e">
        <f>Потребность!N163/Потребность!$N163</f>
        <v>#DIV/0!</v>
      </c>
      <c r="AV163" s="9" t="e">
        <f>Потребность!O163/Потребность!$N163</f>
        <v>#DIV/0!</v>
      </c>
      <c r="AW163" s="9" t="e">
        <f>Потребность!P163/Потребность!$N163</f>
        <v>#DIV/0!</v>
      </c>
      <c r="AX163" s="9" t="e">
        <f>Потребность!T163/Потребность!$T163</f>
        <v>#DIV/0!</v>
      </c>
      <c r="AY163" s="9" t="e">
        <f>Потребность!U163/Потребность!$T163</f>
        <v>#DIV/0!</v>
      </c>
      <c r="AZ163" s="9" t="e">
        <f>Потребность!V163/Потребность!$T163</f>
        <v>#DIV/0!</v>
      </c>
      <c r="BA163" s="141">
        <f>Потребность!Q163</f>
        <v>0</v>
      </c>
      <c r="BB163">
        <f>Потребность!AC163</f>
        <v>0</v>
      </c>
      <c r="BC163" s="141">
        <f>Потребность!AD163</f>
        <v>0</v>
      </c>
    </row>
    <row r="164" spans="1:55" x14ac:dyDescent="0.2">
      <c r="A164" s="85"/>
      <c r="B164" s="195"/>
      <c r="C164" s="85"/>
      <c r="D164" s="85"/>
      <c r="E164" s="195"/>
      <c r="F164" s="35"/>
      <c r="G164" s="65"/>
      <c r="H164" s="36"/>
      <c r="I164" s="37"/>
      <c r="J164" s="37"/>
      <c r="K164" s="35"/>
      <c r="L164" s="38"/>
      <c r="M164" s="128"/>
      <c r="N164" s="38"/>
      <c r="O164" s="128"/>
      <c r="P164" s="53"/>
      <c r="Q164" s="45"/>
      <c r="R164" s="45"/>
      <c r="S164" s="45"/>
      <c r="T164" s="46"/>
      <c r="U164" s="120"/>
      <c r="V164" s="120"/>
      <c r="W164" s="120"/>
      <c r="X164" s="121"/>
      <c r="Y164" s="121"/>
      <c r="Z164" s="121"/>
      <c r="AA164" s="121"/>
      <c r="AB164" s="121"/>
      <c r="AC164" s="121"/>
      <c r="AD164" s="122"/>
      <c r="AE164" s="122"/>
      <c r="AF164" s="122"/>
      <c r="AG164" s="66"/>
      <c r="AH164" s="46"/>
      <c r="AI164" s="76"/>
      <c r="AJ164" s="97"/>
      <c r="AK164" s="39"/>
      <c r="AL164" s="102"/>
      <c r="AM164" s="102"/>
      <c r="AN164" s="102"/>
      <c r="AO164" s="102"/>
      <c r="AP164" s="280"/>
      <c r="AQ164" s="10">
        <f>Потребность!AD164</f>
        <v>0</v>
      </c>
      <c r="AR164" s="10">
        <f>SUM(Потребность!K164:M164)</f>
        <v>0</v>
      </c>
      <c r="AS164" s="9" t="e">
        <f>Потребность!AZ164</f>
        <v>#N/A</v>
      </c>
      <c r="AT164" s="9">
        <f>Потребность!J164</f>
        <v>0</v>
      </c>
      <c r="AU164" s="9" t="e">
        <f>Потребность!N164/Потребность!$N164</f>
        <v>#DIV/0!</v>
      </c>
      <c r="AV164" s="9" t="e">
        <f>Потребность!O164/Потребность!$N164</f>
        <v>#DIV/0!</v>
      </c>
      <c r="AW164" s="9" t="e">
        <f>Потребность!P164/Потребность!$N164</f>
        <v>#DIV/0!</v>
      </c>
      <c r="AX164" s="9" t="e">
        <f>Потребность!T164/Потребность!$T164</f>
        <v>#DIV/0!</v>
      </c>
      <c r="AY164" s="9" t="e">
        <f>Потребность!U164/Потребность!$T164</f>
        <v>#DIV/0!</v>
      </c>
      <c r="AZ164" s="9" t="e">
        <f>Потребность!V164/Потребность!$T164</f>
        <v>#DIV/0!</v>
      </c>
      <c r="BA164" s="141">
        <f>Потребность!Q164</f>
        <v>0</v>
      </c>
      <c r="BB164">
        <f>Потребность!AC164</f>
        <v>0</v>
      </c>
      <c r="BC164" s="141">
        <f>Потребность!AD164</f>
        <v>0</v>
      </c>
    </row>
    <row r="165" spans="1:55" x14ac:dyDescent="0.2">
      <c r="A165" s="85"/>
      <c r="B165" s="195"/>
      <c r="C165" s="85"/>
      <c r="D165" s="85"/>
      <c r="E165" s="195"/>
      <c r="F165" s="35"/>
      <c r="G165" s="65"/>
      <c r="H165" s="36"/>
      <c r="I165" s="37"/>
      <c r="J165" s="37"/>
      <c r="K165" s="35"/>
      <c r="L165" s="38"/>
      <c r="M165" s="128"/>
      <c r="N165" s="38"/>
      <c r="O165" s="128"/>
      <c r="P165" s="53"/>
      <c r="Q165" s="45"/>
      <c r="R165" s="45"/>
      <c r="S165" s="45"/>
      <c r="T165" s="46"/>
      <c r="U165" s="120"/>
      <c r="V165" s="120"/>
      <c r="W165" s="120"/>
      <c r="X165" s="121"/>
      <c r="Y165" s="121"/>
      <c r="Z165" s="121"/>
      <c r="AA165" s="121"/>
      <c r="AB165" s="121"/>
      <c r="AC165" s="121"/>
      <c r="AD165" s="122"/>
      <c r="AE165" s="122"/>
      <c r="AF165" s="122"/>
      <c r="AG165" s="66"/>
      <c r="AH165" s="46"/>
      <c r="AI165" s="76"/>
      <c r="AJ165" s="97"/>
      <c r="AK165" s="39"/>
      <c r="AL165" s="102"/>
      <c r="AM165" s="102"/>
      <c r="AN165" s="102"/>
      <c r="AO165" s="102"/>
      <c r="AP165" s="280"/>
      <c r="AQ165" s="10">
        <f>Потребность!AD165</f>
        <v>0</v>
      </c>
      <c r="AR165" s="10">
        <f>SUM(Потребность!K165:M165)</f>
        <v>0</v>
      </c>
      <c r="AS165" s="9" t="e">
        <f>Потребность!AZ165</f>
        <v>#N/A</v>
      </c>
      <c r="AT165" s="9">
        <f>Потребность!J165</f>
        <v>0</v>
      </c>
      <c r="AU165" s="9" t="e">
        <f>Потребность!N165/Потребность!$N165</f>
        <v>#DIV/0!</v>
      </c>
      <c r="AV165" s="9" t="e">
        <f>Потребность!O165/Потребность!$N165</f>
        <v>#DIV/0!</v>
      </c>
      <c r="AW165" s="9" t="e">
        <f>Потребность!P165/Потребность!$N165</f>
        <v>#DIV/0!</v>
      </c>
      <c r="AX165" s="9" t="e">
        <f>Потребность!T165/Потребность!$T165</f>
        <v>#DIV/0!</v>
      </c>
      <c r="AY165" s="9" t="e">
        <f>Потребность!U165/Потребность!$T165</f>
        <v>#DIV/0!</v>
      </c>
      <c r="AZ165" s="9" t="e">
        <f>Потребность!V165/Потребность!$T165</f>
        <v>#DIV/0!</v>
      </c>
      <c r="BA165" s="141">
        <f>Потребность!Q165</f>
        <v>0</v>
      </c>
      <c r="BB165">
        <f>Потребность!AC165</f>
        <v>0</v>
      </c>
      <c r="BC165" s="141">
        <f>Потребность!AD165</f>
        <v>0</v>
      </c>
    </row>
    <row r="166" spans="1:55" x14ac:dyDescent="0.2">
      <c r="A166" s="85"/>
      <c r="B166" s="195"/>
      <c r="C166" s="85"/>
      <c r="D166" s="85"/>
      <c r="E166" s="195"/>
      <c r="F166" s="35"/>
      <c r="G166" s="65"/>
      <c r="H166" s="36"/>
      <c r="I166" s="37"/>
      <c r="J166" s="37"/>
      <c r="K166" s="35"/>
      <c r="L166" s="38"/>
      <c r="M166" s="128"/>
      <c r="N166" s="38"/>
      <c r="O166" s="128"/>
      <c r="P166" s="53"/>
      <c r="Q166" s="45"/>
      <c r="R166" s="45"/>
      <c r="S166" s="45"/>
      <c r="T166" s="46"/>
      <c r="U166" s="120"/>
      <c r="V166" s="120"/>
      <c r="W166" s="120"/>
      <c r="X166" s="121"/>
      <c r="Y166" s="121"/>
      <c r="Z166" s="121"/>
      <c r="AA166" s="121"/>
      <c r="AB166" s="121"/>
      <c r="AC166" s="121"/>
      <c r="AD166" s="122"/>
      <c r="AE166" s="122"/>
      <c r="AF166" s="122"/>
      <c r="AG166" s="66"/>
      <c r="AH166" s="46"/>
      <c r="AI166" s="76"/>
      <c r="AJ166" s="97"/>
      <c r="AK166" s="39"/>
      <c r="AL166" s="102"/>
      <c r="AM166" s="102"/>
      <c r="AN166" s="102"/>
      <c r="AO166" s="102"/>
      <c r="AP166" s="280"/>
      <c r="AQ166" s="10">
        <f>Потребность!AD166</f>
        <v>0</v>
      </c>
      <c r="AR166" s="10">
        <f>SUM(Потребность!K166:M166)</f>
        <v>0</v>
      </c>
      <c r="AS166" s="9" t="e">
        <f>Потребность!AZ166</f>
        <v>#N/A</v>
      </c>
      <c r="AT166" s="9">
        <f>Потребность!J166</f>
        <v>0</v>
      </c>
      <c r="AU166" s="9" t="e">
        <f>Потребность!N166/Потребность!$N166</f>
        <v>#DIV/0!</v>
      </c>
      <c r="AV166" s="9" t="e">
        <f>Потребность!O166/Потребность!$N166</f>
        <v>#DIV/0!</v>
      </c>
      <c r="AW166" s="9" t="e">
        <f>Потребность!P166/Потребность!$N166</f>
        <v>#DIV/0!</v>
      </c>
      <c r="AX166" s="9" t="e">
        <f>Потребность!T166/Потребность!$T166</f>
        <v>#DIV/0!</v>
      </c>
      <c r="AY166" s="9" t="e">
        <f>Потребность!U166/Потребность!$T166</f>
        <v>#DIV/0!</v>
      </c>
      <c r="AZ166" s="9" t="e">
        <f>Потребность!V166/Потребность!$T166</f>
        <v>#DIV/0!</v>
      </c>
      <c r="BA166" s="141">
        <f>Потребность!Q166</f>
        <v>0</v>
      </c>
      <c r="BB166">
        <f>Потребность!AC166</f>
        <v>0</v>
      </c>
      <c r="BC166" s="141">
        <f>Потребность!AD166</f>
        <v>0</v>
      </c>
    </row>
    <row r="167" spans="1:55" x14ac:dyDescent="0.2">
      <c r="A167" s="85"/>
      <c r="B167" s="195"/>
      <c r="C167" s="85"/>
      <c r="D167" s="85"/>
      <c r="E167" s="195"/>
      <c r="F167" s="35"/>
      <c r="G167" s="65"/>
      <c r="H167" s="36"/>
      <c r="I167" s="37"/>
      <c r="J167" s="37"/>
      <c r="K167" s="35"/>
      <c r="L167" s="38"/>
      <c r="M167" s="128"/>
      <c r="N167" s="38"/>
      <c r="O167" s="128"/>
      <c r="P167" s="53"/>
      <c r="Q167" s="45"/>
      <c r="R167" s="45"/>
      <c r="S167" s="45"/>
      <c r="T167" s="46"/>
      <c r="U167" s="120"/>
      <c r="V167" s="120"/>
      <c r="W167" s="120"/>
      <c r="X167" s="121"/>
      <c r="Y167" s="121"/>
      <c r="Z167" s="121"/>
      <c r="AA167" s="121"/>
      <c r="AB167" s="121"/>
      <c r="AC167" s="121"/>
      <c r="AD167" s="122"/>
      <c r="AE167" s="122"/>
      <c r="AF167" s="122"/>
      <c r="AG167" s="66"/>
      <c r="AH167" s="46"/>
      <c r="AI167" s="76"/>
      <c r="AJ167" s="97"/>
      <c r="AK167" s="39"/>
      <c r="AL167" s="102"/>
      <c r="AM167" s="102"/>
      <c r="AN167" s="102"/>
      <c r="AO167" s="102"/>
      <c r="AP167" s="280"/>
      <c r="AQ167" s="10">
        <f>Потребность!AD167</f>
        <v>0</v>
      </c>
      <c r="AR167" s="10">
        <f>SUM(Потребность!K167:M167)</f>
        <v>0</v>
      </c>
      <c r="AS167" s="9" t="e">
        <f>Потребность!AZ167</f>
        <v>#N/A</v>
      </c>
      <c r="AT167" s="9">
        <f>Потребность!J167</f>
        <v>0</v>
      </c>
      <c r="AU167" s="9" t="e">
        <f>Потребность!N167/Потребность!$N167</f>
        <v>#DIV/0!</v>
      </c>
      <c r="AV167" s="9" t="e">
        <f>Потребность!O167/Потребность!$N167</f>
        <v>#DIV/0!</v>
      </c>
      <c r="AW167" s="9" t="e">
        <f>Потребность!P167/Потребность!$N167</f>
        <v>#DIV/0!</v>
      </c>
      <c r="AX167" s="9" t="e">
        <f>Потребность!T167/Потребность!$T167</f>
        <v>#DIV/0!</v>
      </c>
      <c r="AY167" s="9" t="e">
        <f>Потребность!U167/Потребность!$T167</f>
        <v>#DIV/0!</v>
      </c>
      <c r="AZ167" s="9" t="e">
        <f>Потребность!V167/Потребность!$T167</f>
        <v>#DIV/0!</v>
      </c>
      <c r="BA167" s="141">
        <f>Потребность!Q167</f>
        <v>0</v>
      </c>
      <c r="BB167">
        <f>Потребность!AC167</f>
        <v>0</v>
      </c>
      <c r="BC167" s="141">
        <f>Потребность!AD167</f>
        <v>0</v>
      </c>
    </row>
    <row r="168" spans="1:55" x14ac:dyDescent="0.2">
      <c r="A168" s="85"/>
      <c r="B168" s="195"/>
      <c r="C168" s="85"/>
      <c r="D168" s="85"/>
      <c r="E168" s="195"/>
      <c r="F168" s="35"/>
      <c r="G168" s="65"/>
      <c r="H168" s="36"/>
      <c r="I168" s="37"/>
      <c r="J168" s="37"/>
      <c r="K168" s="35"/>
      <c r="L168" s="38"/>
      <c r="M168" s="128"/>
      <c r="N168" s="38"/>
      <c r="O168" s="128"/>
      <c r="P168" s="53"/>
      <c r="Q168" s="45"/>
      <c r="R168" s="45"/>
      <c r="S168" s="45"/>
      <c r="T168" s="46"/>
      <c r="U168" s="120"/>
      <c r="V168" s="120"/>
      <c r="W168" s="120"/>
      <c r="X168" s="121"/>
      <c r="Y168" s="121"/>
      <c r="Z168" s="121"/>
      <c r="AA168" s="121"/>
      <c r="AB168" s="121"/>
      <c r="AC168" s="121"/>
      <c r="AD168" s="122"/>
      <c r="AE168" s="122"/>
      <c r="AF168" s="122"/>
      <c r="AG168" s="66"/>
      <c r="AH168" s="46"/>
      <c r="AI168" s="76"/>
      <c r="AJ168" s="97"/>
      <c r="AK168" s="39"/>
      <c r="AL168" s="102"/>
      <c r="AM168" s="102"/>
      <c r="AN168" s="102"/>
      <c r="AO168" s="102"/>
      <c r="AP168" s="280"/>
      <c r="AQ168" s="10">
        <f>Потребность!AD168</f>
        <v>0</v>
      </c>
      <c r="AR168" s="10">
        <f>SUM(Потребность!K168:M168)</f>
        <v>0</v>
      </c>
      <c r="AS168" s="9" t="e">
        <f>Потребность!AZ168</f>
        <v>#N/A</v>
      </c>
      <c r="AT168" s="9">
        <f>Потребность!J168</f>
        <v>0</v>
      </c>
      <c r="AU168" s="9" t="e">
        <f>Потребность!N168/Потребность!$N168</f>
        <v>#DIV/0!</v>
      </c>
      <c r="AV168" s="9" t="e">
        <f>Потребность!O168/Потребность!$N168</f>
        <v>#DIV/0!</v>
      </c>
      <c r="AW168" s="9" t="e">
        <f>Потребность!P168/Потребность!$N168</f>
        <v>#DIV/0!</v>
      </c>
      <c r="AX168" s="9" t="e">
        <f>Потребность!T168/Потребность!$T168</f>
        <v>#DIV/0!</v>
      </c>
      <c r="AY168" s="9" t="e">
        <f>Потребность!U168/Потребность!$T168</f>
        <v>#DIV/0!</v>
      </c>
      <c r="AZ168" s="9" t="e">
        <f>Потребность!V168/Потребность!$T168</f>
        <v>#DIV/0!</v>
      </c>
      <c r="BA168" s="141">
        <f>Потребность!Q168</f>
        <v>0</v>
      </c>
      <c r="BB168">
        <f>Потребность!AC168</f>
        <v>0</v>
      </c>
      <c r="BC168" s="141">
        <f>Потребность!AD168</f>
        <v>0</v>
      </c>
    </row>
    <row r="169" spans="1:55" x14ac:dyDescent="0.2">
      <c r="A169" s="85"/>
      <c r="B169" s="195"/>
      <c r="C169" s="85"/>
      <c r="D169" s="85"/>
      <c r="E169" s="195"/>
      <c r="F169" s="35"/>
      <c r="G169" s="65"/>
      <c r="H169" s="36"/>
      <c r="I169" s="37"/>
      <c r="J169" s="37"/>
      <c r="K169" s="35"/>
      <c r="L169" s="38"/>
      <c r="M169" s="128"/>
      <c r="N169" s="38"/>
      <c r="O169" s="128"/>
      <c r="P169" s="53"/>
      <c r="Q169" s="45"/>
      <c r="R169" s="45"/>
      <c r="S169" s="45"/>
      <c r="T169" s="46"/>
      <c r="U169" s="120"/>
      <c r="V169" s="120"/>
      <c r="W169" s="120"/>
      <c r="X169" s="121"/>
      <c r="Y169" s="121"/>
      <c r="Z169" s="121"/>
      <c r="AA169" s="121"/>
      <c r="AB169" s="121"/>
      <c r="AC169" s="121"/>
      <c r="AD169" s="122"/>
      <c r="AE169" s="122"/>
      <c r="AF169" s="122"/>
      <c r="AG169" s="66"/>
      <c r="AH169" s="46"/>
      <c r="AI169" s="76"/>
      <c r="AJ169" s="97"/>
      <c r="AK169" s="39"/>
      <c r="AL169" s="102"/>
      <c r="AM169" s="102"/>
      <c r="AN169" s="102"/>
      <c r="AO169" s="102"/>
      <c r="AP169" s="280"/>
      <c r="AQ169" s="10">
        <f>Потребность!AD169</f>
        <v>0</v>
      </c>
      <c r="AR169" s="10">
        <f>SUM(Потребность!K169:M169)</f>
        <v>0</v>
      </c>
      <c r="AS169" s="9" t="e">
        <f>Потребность!AZ169</f>
        <v>#N/A</v>
      </c>
      <c r="AT169" s="9">
        <f>Потребность!J169</f>
        <v>0</v>
      </c>
      <c r="AU169" s="9" t="e">
        <f>Потребность!N169/Потребность!$N169</f>
        <v>#DIV/0!</v>
      </c>
      <c r="AV169" s="9" t="e">
        <f>Потребность!O169/Потребность!$N169</f>
        <v>#DIV/0!</v>
      </c>
      <c r="AW169" s="9" t="e">
        <f>Потребность!P169/Потребность!$N169</f>
        <v>#DIV/0!</v>
      </c>
      <c r="AX169" s="9" t="e">
        <f>Потребность!T169/Потребность!$T169</f>
        <v>#DIV/0!</v>
      </c>
      <c r="AY169" s="9" t="e">
        <f>Потребность!U169/Потребность!$T169</f>
        <v>#DIV/0!</v>
      </c>
      <c r="AZ169" s="9" t="e">
        <f>Потребность!V169/Потребность!$T169</f>
        <v>#DIV/0!</v>
      </c>
      <c r="BA169" s="141">
        <f>Потребность!Q169</f>
        <v>0</v>
      </c>
      <c r="BB169">
        <f>Потребность!AC169</f>
        <v>0</v>
      </c>
      <c r="BC169" s="141">
        <f>Потребность!AD169</f>
        <v>0</v>
      </c>
    </row>
    <row r="170" spans="1:55" x14ac:dyDescent="0.2">
      <c r="A170" s="85"/>
      <c r="B170" s="195"/>
      <c r="C170" s="85"/>
      <c r="D170" s="85"/>
      <c r="E170" s="195"/>
      <c r="F170" s="35"/>
      <c r="G170" s="65"/>
      <c r="H170" s="36"/>
      <c r="I170" s="37"/>
      <c r="J170" s="37"/>
      <c r="K170" s="35"/>
      <c r="L170" s="38"/>
      <c r="M170" s="128"/>
      <c r="N170" s="38"/>
      <c r="O170" s="128"/>
      <c r="P170" s="53"/>
      <c r="Q170" s="45"/>
      <c r="R170" s="45"/>
      <c r="S170" s="45"/>
      <c r="T170" s="46"/>
      <c r="U170" s="120"/>
      <c r="V170" s="120"/>
      <c r="W170" s="120"/>
      <c r="X170" s="121"/>
      <c r="Y170" s="121"/>
      <c r="Z170" s="121"/>
      <c r="AA170" s="121"/>
      <c r="AB170" s="121"/>
      <c r="AC170" s="121"/>
      <c r="AD170" s="122"/>
      <c r="AE170" s="122"/>
      <c r="AF170" s="122"/>
      <c r="AG170" s="66"/>
      <c r="AH170" s="46"/>
      <c r="AI170" s="76"/>
      <c r="AJ170" s="97"/>
      <c r="AK170" s="39"/>
      <c r="AL170" s="102"/>
      <c r="AM170" s="102"/>
      <c r="AN170" s="102"/>
      <c r="AO170" s="102"/>
      <c r="AP170" s="280"/>
      <c r="AQ170" s="10">
        <f>Потребность!AD170</f>
        <v>0</v>
      </c>
      <c r="AR170" s="10">
        <f>SUM(Потребность!K170:M170)</f>
        <v>0</v>
      </c>
      <c r="AS170" s="9" t="e">
        <f>Потребность!AZ170</f>
        <v>#N/A</v>
      </c>
      <c r="AT170" s="9">
        <f>Потребность!J170</f>
        <v>0</v>
      </c>
      <c r="AU170" s="9" t="e">
        <f>Потребность!N170/Потребность!$N170</f>
        <v>#DIV/0!</v>
      </c>
      <c r="AV170" s="9" t="e">
        <f>Потребность!O170/Потребность!$N170</f>
        <v>#DIV/0!</v>
      </c>
      <c r="AW170" s="9" t="e">
        <f>Потребность!P170/Потребность!$N170</f>
        <v>#DIV/0!</v>
      </c>
      <c r="AX170" s="9" t="e">
        <f>Потребность!T170/Потребность!$T170</f>
        <v>#DIV/0!</v>
      </c>
      <c r="AY170" s="9" t="e">
        <f>Потребность!U170/Потребность!$T170</f>
        <v>#DIV/0!</v>
      </c>
      <c r="AZ170" s="9" t="e">
        <f>Потребность!V170/Потребность!$T170</f>
        <v>#DIV/0!</v>
      </c>
      <c r="BA170" s="141">
        <f>Потребность!Q170</f>
        <v>0</v>
      </c>
      <c r="BB170">
        <f>Потребность!AC170</f>
        <v>0</v>
      </c>
      <c r="BC170" s="141">
        <f>Потребность!AD170</f>
        <v>0</v>
      </c>
    </row>
    <row r="171" spans="1:55" x14ac:dyDescent="0.2">
      <c r="A171" s="85"/>
      <c r="B171" s="195"/>
      <c r="C171" s="85"/>
      <c r="D171" s="85"/>
      <c r="E171" s="195"/>
      <c r="F171" s="35"/>
      <c r="G171" s="65"/>
      <c r="H171" s="36"/>
      <c r="I171" s="37"/>
      <c r="J171" s="37"/>
      <c r="K171" s="35"/>
      <c r="L171" s="38"/>
      <c r="M171" s="128"/>
      <c r="N171" s="38"/>
      <c r="O171" s="128"/>
      <c r="P171" s="53"/>
      <c r="Q171" s="45"/>
      <c r="R171" s="45"/>
      <c r="S171" s="45"/>
      <c r="T171" s="46"/>
      <c r="U171" s="120"/>
      <c r="V171" s="120"/>
      <c r="W171" s="120"/>
      <c r="X171" s="121"/>
      <c r="Y171" s="121"/>
      <c r="Z171" s="121"/>
      <c r="AA171" s="121"/>
      <c r="AB171" s="121"/>
      <c r="AC171" s="121"/>
      <c r="AD171" s="122"/>
      <c r="AE171" s="122"/>
      <c r="AF171" s="122"/>
      <c r="AG171" s="66"/>
      <c r="AH171" s="46"/>
      <c r="AI171" s="76"/>
      <c r="AJ171" s="97"/>
      <c r="AK171" s="39"/>
      <c r="AL171" s="102"/>
      <c r="AM171" s="102"/>
      <c r="AN171" s="102"/>
      <c r="AO171" s="102"/>
      <c r="AP171" s="280"/>
      <c r="AQ171" s="10">
        <f>Потребность!AD171</f>
        <v>0</v>
      </c>
      <c r="AR171" s="10">
        <f>SUM(Потребность!K171:M171)</f>
        <v>0</v>
      </c>
      <c r="AS171" s="9" t="e">
        <f>Потребность!AZ171</f>
        <v>#N/A</v>
      </c>
      <c r="AT171" s="9">
        <f>Потребность!J171</f>
        <v>0</v>
      </c>
      <c r="AU171" s="9" t="e">
        <f>Потребность!N171/Потребность!$N171</f>
        <v>#DIV/0!</v>
      </c>
      <c r="AV171" s="9" t="e">
        <f>Потребность!O171/Потребность!$N171</f>
        <v>#DIV/0!</v>
      </c>
      <c r="AW171" s="9" t="e">
        <f>Потребность!P171/Потребность!$N171</f>
        <v>#DIV/0!</v>
      </c>
      <c r="AX171" s="9" t="e">
        <f>Потребность!T171/Потребность!$T171</f>
        <v>#DIV/0!</v>
      </c>
      <c r="AY171" s="9" t="e">
        <f>Потребность!U171/Потребность!$T171</f>
        <v>#DIV/0!</v>
      </c>
      <c r="AZ171" s="9" t="e">
        <f>Потребность!V171/Потребность!$T171</f>
        <v>#DIV/0!</v>
      </c>
      <c r="BA171" s="141">
        <f>Потребность!Q171</f>
        <v>0</v>
      </c>
      <c r="BB171">
        <f>Потребность!AC171</f>
        <v>0</v>
      </c>
      <c r="BC171" s="141">
        <f>Потребность!AD171</f>
        <v>0</v>
      </c>
    </row>
    <row r="172" spans="1:55" x14ac:dyDescent="0.2">
      <c r="A172" s="85"/>
      <c r="B172" s="195"/>
      <c r="C172" s="85"/>
      <c r="D172" s="85"/>
      <c r="E172" s="195"/>
      <c r="F172" s="35"/>
      <c r="G172" s="65"/>
      <c r="H172" s="36"/>
      <c r="I172" s="37"/>
      <c r="J172" s="37"/>
      <c r="K172" s="35"/>
      <c r="L172" s="38"/>
      <c r="M172" s="128"/>
      <c r="N172" s="38"/>
      <c r="O172" s="128"/>
      <c r="P172" s="53"/>
      <c r="Q172" s="45"/>
      <c r="R172" s="45"/>
      <c r="S172" s="45"/>
      <c r="T172" s="46"/>
      <c r="U172" s="120"/>
      <c r="V172" s="120"/>
      <c r="W172" s="120"/>
      <c r="X172" s="121"/>
      <c r="Y172" s="121"/>
      <c r="Z172" s="121"/>
      <c r="AA172" s="121"/>
      <c r="AB172" s="121"/>
      <c r="AC172" s="121"/>
      <c r="AD172" s="122"/>
      <c r="AE172" s="122"/>
      <c r="AF172" s="122"/>
      <c r="AG172" s="66"/>
      <c r="AH172" s="46"/>
      <c r="AI172" s="76"/>
      <c r="AJ172" s="97"/>
      <c r="AK172" s="39"/>
      <c r="AL172" s="102"/>
      <c r="AM172" s="102"/>
      <c r="AN172" s="102"/>
      <c r="AO172" s="102"/>
      <c r="AP172" s="280"/>
      <c r="AQ172" s="10">
        <f>Потребность!AD172</f>
        <v>0</v>
      </c>
      <c r="AR172" s="10">
        <f>SUM(Потребность!K172:M172)</f>
        <v>0</v>
      </c>
      <c r="AS172" s="9" t="e">
        <f>Потребность!AZ172</f>
        <v>#N/A</v>
      </c>
      <c r="AT172" s="9">
        <f>Потребность!J172</f>
        <v>0</v>
      </c>
      <c r="AU172" s="9" t="e">
        <f>Потребность!N172/Потребность!$N172</f>
        <v>#DIV/0!</v>
      </c>
      <c r="AV172" s="9" t="e">
        <f>Потребность!O172/Потребность!$N172</f>
        <v>#DIV/0!</v>
      </c>
      <c r="AW172" s="9" t="e">
        <f>Потребность!P172/Потребность!$N172</f>
        <v>#DIV/0!</v>
      </c>
      <c r="AX172" s="9" t="e">
        <f>Потребность!T172/Потребность!$T172</f>
        <v>#DIV/0!</v>
      </c>
      <c r="AY172" s="9" t="e">
        <f>Потребность!U172/Потребность!$T172</f>
        <v>#DIV/0!</v>
      </c>
      <c r="AZ172" s="9" t="e">
        <f>Потребность!V172/Потребность!$T172</f>
        <v>#DIV/0!</v>
      </c>
      <c r="BA172" s="141">
        <f>Потребность!Q172</f>
        <v>0</v>
      </c>
      <c r="BB172">
        <f>Потребность!AC172</f>
        <v>0</v>
      </c>
      <c r="BC172" s="141">
        <f>Потребность!AD172</f>
        <v>0</v>
      </c>
    </row>
    <row r="173" spans="1:55" x14ac:dyDescent="0.2">
      <c r="A173" s="85"/>
      <c r="B173" s="195"/>
      <c r="C173" s="85"/>
      <c r="D173" s="85"/>
      <c r="E173" s="195"/>
      <c r="F173" s="35"/>
      <c r="G173" s="65"/>
      <c r="H173" s="36"/>
      <c r="I173" s="37"/>
      <c r="J173" s="37"/>
      <c r="K173" s="35"/>
      <c r="L173" s="38"/>
      <c r="M173" s="128"/>
      <c r="N173" s="38"/>
      <c r="O173" s="128"/>
      <c r="P173" s="53"/>
      <c r="Q173" s="45"/>
      <c r="R173" s="45"/>
      <c r="S173" s="45"/>
      <c r="T173" s="46"/>
      <c r="U173" s="120"/>
      <c r="V173" s="120"/>
      <c r="W173" s="120"/>
      <c r="X173" s="121"/>
      <c r="Y173" s="121"/>
      <c r="Z173" s="121"/>
      <c r="AA173" s="121"/>
      <c r="AB173" s="121"/>
      <c r="AC173" s="121"/>
      <c r="AD173" s="122"/>
      <c r="AE173" s="122"/>
      <c r="AF173" s="122"/>
      <c r="AG173" s="66"/>
      <c r="AH173" s="46"/>
      <c r="AI173" s="76"/>
      <c r="AJ173" s="97"/>
      <c r="AK173" s="39"/>
      <c r="AL173" s="102"/>
      <c r="AM173" s="102"/>
      <c r="AN173" s="102"/>
      <c r="AO173" s="102"/>
      <c r="AP173" s="280"/>
      <c r="AQ173" s="10">
        <f>Потребность!AD173</f>
        <v>0</v>
      </c>
      <c r="AR173" s="10">
        <f>SUM(Потребность!K173:M173)</f>
        <v>0</v>
      </c>
      <c r="AS173" s="9" t="e">
        <f>Потребность!AZ173</f>
        <v>#N/A</v>
      </c>
      <c r="AT173" s="9">
        <f>Потребность!J173</f>
        <v>0</v>
      </c>
      <c r="AU173" s="9" t="e">
        <f>Потребность!N173/Потребность!$N173</f>
        <v>#DIV/0!</v>
      </c>
      <c r="AV173" s="9" t="e">
        <f>Потребность!O173/Потребность!$N173</f>
        <v>#DIV/0!</v>
      </c>
      <c r="AW173" s="9" t="e">
        <f>Потребность!P173/Потребность!$N173</f>
        <v>#DIV/0!</v>
      </c>
      <c r="AX173" s="9" t="e">
        <f>Потребность!T173/Потребность!$T173</f>
        <v>#DIV/0!</v>
      </c>
      <c r="AY173" s="9" t="e">
        <f>Потребность!U173/Потребность!$T173</f>
        <v>#DIV/0!</v>
      </c>
      <c r="AZ173" s="9" t="e">
        <f>Потребность!V173/Потребность!$T173</f>
        <v>#DIV/0!</v>
      </c>
      <c r="BA173" s="141">
        <f>Потребность!Q173</f>
        <v>0</v>
      </c>
      <c r="BB173">
        <f>Потребность!AC173</f>
        <v>0</v>
      </c>
      <c r="BC173" s="141">
        <f>Потребность!AD173</f>
        <v>0</v>
      </c>
    </row>
    <row r="174" spans="1:55" x14ac:dyDescent="0.2">
      <c r="A174" s="85"/>
      <c r="B174" s="195"/>
      <c r="C174" s="85"/>
      <c r="D174" s="85"/>
      <c r="E174" s="195"/>
      <c r="F174" s="35"/>
      <c r="G174" s="65"/>
      <c r="H174" s="36"/>
      <c r="I174" s="37"/>
      <c r="J174" s="37"/>
      <c r="K174" s="35"/>
      <c r="L174" s="38"/>
      <c r="M174" s="128"/>
      <c r="N174" s="38"/>
      <c r="O174" s="128"/>
      <c r="P174" s="53"/>
      <c r="Q174" s="45"/>
      <c r="R174" s="45"/>
      <c r="S174" s="45"/>
      <c r="T174" s="46"/>
      <c r="U174" s="120"/>
      <c r="V174" s="120"/>
      <c r="W174" s="120"/>
      <c r="X174" s="121"/>
      <c r="Y174" s="121"/>
      <c r="Z174" s="121"/>
      <c r="AA174" s="121"/>
      <c r="AB174" s="121"/>
      <c r="AC174" s="121"/>
      <c r="AD174" s="122"/>
      <c r="AE174" s="122"/>
      <c r="AF174" s="122"/>
      <c r="AG174" s="66"/>
      <c r="AH174" s="46"/>
      <c r="AI174" s="76"/>
      <c r="AJ174" s="97"/>
      <c r="AK174" s="39"/>
      <c r="AL174" s="102"/>
      <c r="AM174" s="102"/>
      <c r="AN174" s="102"/>
      <c r="AO174" s="102"/>
      <c r="AP174" s="280"/>
      <c r="AQ174" s="10">
        <f>Потребность!AD174</f>
        <v>0</v>
      </c>
      <c r="AR174" s="10">
        <f>SUM(Потребность!K174:M174)</f>
        <v>0</v>
      </c>
      <c r="AS174" s="9" t="e">
        <f>Потребность!AZ174</f>
        <v>#N/A</v>
      </c>
      <c r="AT174" s="9">
        <f>Потребность!J174</f>
        <v>0</v>
      </c>
      <c r="AU174" s="9" t="e">
        <f>Потребность!N174/Потребность!$N174</f>
        <v>#DIV/0!</v>
      </c>
      <c r="AV174" s="9" t="e">
        <f>Потребность!O174/Потребность!$N174</f>
        <v>#DIV/0!</v>
      </c>
      <c r="AW174" s="9" t="e">
        <f>Потребность!P174/Потребность!$N174</f>
        <v>#DIV/0!</v>
      </c>
      <c r="AX174" s="9" t="e">
        <f>Потребность!T174/Потребность!$T174</f>
        <v>#DIV/0!</v>
      </c>
      <c r="AY174" s="9" t="e">
        <f>Потребность!U174/Потребность!$T174</f>
        <v>#DIV/0!</v>
      </c>
      <c r="AZ174" s="9" t="e">
        <f>Потребность!V174/Потребность!$T174</f>
        <v>#DIV/0!</v>
      </c>
      <c r="BA174" s="141">
        <f>Потребность!Q174</f>
        <v>0</v>
      </c>
      <c r="BB174">
        <f>Потребность!AC174</f>
        <v>0</v>
      </c>
      <c r="BC174" s="141">
        <f>Потребность!AD174</f>
        <v>0</v>
      </c>
    </row>
    <row r="175" spans="1:55" x14ac:dyDescent="0.2">
      <c r="A175" s="85"/>
      <c r="B175" s="195"/>
      <c r="C175" s="85"/>
      <c r="D175" s="85"/>
      <c r="E175" s="195"/>
      <c r="F175" s="35"/>
      <c r="G175" s="65"/>
      <c r="H175" s="36"/>
      <c r="I175" s="37"/>
      <c r="J175" s="37"/>
      <c r="K175" s="35"/>
      <c r="L175" s="38"/>
      <c r="M175" s="128"/>
      <c r="N175" s="38"/>
      <c r="O175" s="128"/>
      <c r="P175" s="53"/>
      <c r="Q175" s="45"/>
      <c r="R175" s="45"/>
      <c r="S175" s="45"/>
      <c r="T175" s="46"/>
      <c r="U175" s="120"/>
      <c r="V175" s="120"/>
      <c r="W175" s="120"/>
      <c r="X175" s="121"/>
      <c r="Y175" s="121"/>
      <c r="Z175" s="121"/>
      <c r="AA175" s="121"/>
      <c r="AB175" s="121"/>
      <c r="AC175" s="121"/>
      <c r="AD175" s="122"/>
      <c r="AE175" s="122"/>
      <c r="AF175" s="122"/>
      <c r="AG175" s="66"/>
      <c r="AH175" s="46"/>
      <c r="AI175" s="76"/>
      <c r="AJ175" s="97"/>
      <c r="AK175" s="39"/>
      <c r="AL175" s="102"/>
      <c r="AM175" s="102"/>
      <c r="AN175" s="102"/>
      <c r="AO175" s="102"/>
      <c r="AP175" s="280"/>
      <c r="AQ175" s="10">
        <f>Потребность!AD175</f>
        <v>0</v>
      </c>
      <c r="AR175" s="10">
        <f>SUM(Потребность!K175:M175)</f>
        <v>0</v>
      </c>
      <c r="AS175" s="9" t="e">
        <f>Потребность!AZ175</f>
        <v>#N/A</v>
      </c>
      <c r="AT175" s="9">
        <f>Потребность!J175</f>
        <v>0</v>
      </c>
      <c r="AU175" s="9" t="e">
        <f>Потребность!N175/Потребность!$N175</f>
        <v>#DIV/0!</v>
      </c>
      <c r="AV175" s="9" t="e">
        <f>Потребность!O175/Потребность!$N175</f>
        <v>#DIV/0!</v>
      </c>
      <c r="AW175" s="9" t="e">
        <f>Потребность!P175/Потребность!$N175</f>
        <v>#DIV/0!</v>
      </c>
      <c r="AX175" s="9" t="e">
        <f>Потребность!T175/Потребность!$T175</f>
        <v>#DIV/0!</v>
      </c>
      <c r="AY175" s="9" t="e">
        <f>Потребность!U175/Потребность!$T175</f>
        <v>#DIV/0!</v>
      </c>
      <c r="AZ175" s="9" t="e">
        <f>Потребность!V175/Потребность!$T175</f>
        <v>#DIV/0!</v>
      </c>
      <c r="BA175" s="141">
        <f>Потребность!Q175</f>
        <v>0</v>
      </c>
      <c r="BB175">
        <f>Потребность!AC175</f>
        <v>0</v>
      </c>
      <c r="BC175" s="141">
        <f>Потребность!AD175</f>
        <v>0</v>
      </c>
    </row>
    <row r="176" spans="1:55" x14ac:dyDescent="0.2">
      <c r="A176" s="85"/>
      <c r="B176" s="195"/>
      <c r="C176" s="85"/>
      <c r="D176" s="85"/>
      <c r="E176" s="195"/>
      <c r="F176" s="35"/>
      <c r="G176" s="65"/>
      <c r="H176" s="36"/>
      <c r="I176" s="37"/>
      <c r="J176" s="37"/>
      <c r="K176" s="35"/>
      <c r="L176" s="38"/>
      <c r="M176" s="128"/>
      <c r="N176" s="38"/>
      <c r="O176" s="128"/>
      <c r="P176" s="53"/>
      <c r="Q176" s="45"/>
      <c r="R176" s="45"/>
      <c r="S176" s="45"/>
      <c r="T176" s="46"/>
      <c r="U176" s="120"/>
      <c r="V176" s="120"/>
      <c r="W176" s="120"/>
      <c r="X176" s="121"/>
      <c r="Y176" s="121"/>
      <c r="Z176" s="121"/>
      <c r="AA176" s="121"/>
      <c r="AB176" s="121"/>
      <c r="AC176" s="121"/>
      <c r="AD176" s="122"/>
      <c r="AE176" s="122"/>
      <c r="AF176" s="122"/>
      <c r="AG176" s="66"/>
      <c r="AH176" s="46"/>
      <c r="AI176" s="76"/>
      <c r="AJ176" s="97"/>
      <c r="AK176" s="39"/>
      <c r="AL176" s="102"/>
      <c r="AM176" s="102"/>
      <c r="AN176" s="102"/>
      <c r="AO176" s="102"/>
      <c r="AP176" s="280"/>
      <c r="AQ176" s="10">
        <f>Потребность!AD176</f>
        <v>0</v>
      </c>
      <c r="AR176" s="10">
        <f>SUM(Потребность!K176:M176)</f>
        <v>0</v>
      </c>
      <c r="AS176" s="9" t="e">
        <f>Потребность!AZ176</f>
        <v>#N/A</v>
      </c>
      <c r="AT176" s="9">
        <f>Потребность!J176</f>
        <v>0</v>
      </c>
      <c r="AU176" s="9" t="e">
        <f>Потребность!N176/Потребность!$N176</f>
        <v>#DIV/0!</v>
      </c>
      <c r="AV176" s="9" t="e">
        <f>Потребность!O176/Потребность!$N176</f>
        <v>#DIV/0!</v>
      </c>
      <c r="AW176" s="9" t="e">
        <f>Потребность!P176/Потребность!$N176</f>
        <v>#DIV/0!</v>
      </c>
      <c r="AX176" s="9" t="e">
        <f>Потребность!T176/Потребность!$T176</f>
        <v>#DIV/0!</v>
      </c>
      <c r="AY176" s="9" t="e">
        <f>Потребность!U176/Потребность!$T176</f>
        <v>#DIV/0!</v>
      </c>
      <c r="AZ176" s="9" t="e">
        <f>Потребность!V176/Потребность!$T176</f>
        <v>#DIV/0!</v>
      </c>
      <c r="BA176" s="141">
        <f>Потребность!Q176</f>
        <v>0</v>
      </c>
      <c r="BB176">
        <f>Потребность!AC176</f>
        <v>0</v>
      </c>
      <c r="BC176" s="141">
        <f>Потребность!AD176</f>
        <v>0</v>
      </c>
    </row>
    <row r="177" spans="1:55" x14ac:dyDescent="0.2">
      <c r="A177" s="85"/>
      <c r="B177" s="195"/>
      <c r="C177" s="85"/>
      <c r="D177" s="85"/>
      <c r="E177" s="195"/>
      <c r="F177" s="35"/>
      <c r="G177" s="65"/>
      <c r="H177" s="36"/>
      <c r="I177" s="37"/>
      <c r="J177" s="37"/>
      <c r="K177" s="35"/>
      <c r="L177" s="38"/>
      <c r="M177" s="128"/>
      <c r="N177" s="38"/>
      <c r="O177" s="128"/>
      <c r="P177" s="53"/>
      <c r="Q177" s="45"/>
      <c r="R177" s="45"/>
      <c r="S177" s="45"/>
      <c r="T177" s="46"/>
      <c r="U177" s="120"/>
      <c r="V177" s="120"/>
      <c r="W177" s="120"/>
      <c r="X177" s="121"/>
      <c r="Y177" s="121"/>
      <c r="Z177" s="121"/>
      <c r="AA177" s="121"/>
      <c r="AB177" s="121"/>
      <c r="AC177" s="121"/>
      <c r="AD177" s="122"/>
      <c r="AE177" s="122"/>
      <c r="AF177" s="122"/>
      <c r="AG177" s="66"/>
      <c r="AH177" s="46"/>
      <c r="AI177" s="76"/>
      <c r="AJ177" s="97"/>
      <c r="AK177" s="39"/>
      <c r="AL177" s="102"/>
      <c r="AM177" s="102"/>
      <c r="AN177" s="102"/>
      <c r="AO177" s="102"/>
      <c r="AP177" s="280"/>
      <c r="AQ177" s="10">
        <f>Потребность!AD177</f>
        <v>0</v>
      </c>
      <c r="AR177" s="10">
        <f>SUM(Потребность!K177:M177)</f>
        <v>0</v>
      </c>
      <c r="AS177" s="9" t="e">
        <f>Потребность!AZ177</f>
        <v>#N/A</v>
      </c>
      <c r="AT177" s="9">
        <f>Потребность!J177</f>
        <v>0</v>
      </c>
      <c r="AU177" s="9" t="e">
        <f>Потребность!N177/Потребность!$N177</f>
        <v>#DIV/0!</v>
      </c>
      <c r="AV177" s="9" t="e">
        <f>Потребность!O177/Потребность!$N177</f>
        <v>#DIV/0!</v>
      </c>
      <c r="AW177" s="9" t="e">
        <f>Потребность!P177/Потребность!$N177</f>
        <v>#DIV/0!</v>
      </c>
      <c r="AX177" s="9" t="e">
        <f>Потребность!T177/Потребность!$T177</f>
        <v>#DIV/0!</v>
      </c>
      <c r="AY177" s="9" t="e">
        <f>Потребность!U177/Потребность!$T177</f>
        <v>#DIV/0!</v>
      </c>
      <c r="AZ177" s="9" t="e">
        <f>Потребность!V177/Потребность!$T177</f>
        <v>#DIV/0!</v>
      </c>
      <c r="BA177" s="141">
        <f>Потребность!Q177</f>
        <v>0</v>
      </c>
      <c r="BB177">
        <f>Потребность!AC177</f>
        <v>0</v>
      </c>
      <c r="BC177" s="141">
        <f>Потребность!AD177</f>
        <v>0</v>
      </c>
    </row>
    <row r="178" spans="1:55" x14ac:dyDescent="0.2">
      <c r="A178" s="85"/>
      <c r="B178" s="195"/>
      <c r="C178" s="85"/>
      <c r="D178" s="85"/>
      <c r="E178" s="195"/>
      <c r="F178" s="35"/>
      <c r="G178" s="65"/>
      <c r="H178" s="36"/>
      <c r="I178" s="37"/>
      <c r="J178" s="37"/>
      <c r="K178" s="35"/>
      <c r="L178" s="38"/>
      <c r="M178" s="128"/>
      <c r="N178" s="38"/>
      <c r="O178" s="128"/>
      <c r="P178" s="53"/>
      <c r="Q178" s="45"/>
      <c r="R178" s="45"/>
      <c r="S178" s="45"/>
      <c r="T178" s="46"/>
      <c r="U178" s="120"/>
      <c r="V178" s="120"/>
      <c r="W178" s="120"/>
      <c r="X178" s="121"/>
      <c r="Y178" s="121"/>
      <c r="Z178" s="121"/>
      <c r="AA178" s="121"/>
      <c r="AB178" s="121"/>
      <c r="AC178" s="121"/>
      <c r="AD178" s="122"/>
      <c r="AE178" s="122"/>
      <c r="AF178" s="122"/>
      <c r="AG178" s="66"/>
      <c r="AH178" s="46"/>
      <c r="AI178" s="76"/>
      <c r="AJ178" s="97"/>
      <c r="AK178" s="39"/>
      <c r="AL178" s="102"/>
      <c r="AM178" s="102"/>
      <c r="AN178" s="102"/>
      <c r="AO178" s="102"/>
      <c r="AP178" s="280"/>
      <c r="AQ178" s="10">
        <f>Потребность!AD178</f>
        <v>0</v>
      </c>
      <c r="AR178" s="10">
        <f>SUM(Потребность!K178:M178)</f>
        <v>0</v>
      </c>
      <c r="AS178" s="9" t="e">
        <f>Потребность!AZ178</f>
        <v>#N/A</v>
      </c>
      <c r="AT178" s="9">
        <f>Потребность!J178</f>
        <v>0</v>
      </c>
      <c r="AU178" s="9" t="e">
        <f>Потребность!N178/Потребность!$N178</f>
        <v>#DIV/0!</v>
      </c>
      <c r="AV178" s="9" t="e">
        <f>Потребность!O178/Потребность!$N178</f>
        <v>#DIV/0!</v>
      </c>
      <c r="AW178" s="9" t="e">
        <f>Потребность!P178/Потребность!$N178</f>
        <v>#DIV/0!</v>
      </c>
      <c r="AX178" s="9" t="e">
        <f>Потребность!T178/Потребность!$T178</f>
        <v>#DIV/0!</v>
      </c>
      <c r="AY178" s="9" t="e">
        <f>Потребность!U178/Потребность!$T178</f>
        <v>#DIV/0!</v>
      </c>
      <c r="AZ178" s="9" t="e">
        <f>Потребность!V178/Потребность!$T178</f>
        <v>#DIV/0!</v>
      </c>
      <c r="BA178" s="141">
        <f>Потребность!Q178</f>
        <v>0</v>
      </c>
      <c r="BB178">
        <f>Потребность!AC178</f>
        <v>0</v>
      </c>
      <c r="BC178" s="141">
        <f>Потребность!AD178</f>
        <v>0</v>
      </c>
    </row>
    <row r="179" spans="1:55" x14ac:dyDescent="0.2">
      <c r="A179" s="85"/>
      <c r="B179" s="195"/>
      <c r="C179" s="85"/>
      <c r="D179" s="85"/>
      <c r="E179" s="195"/>
      <c r="F179" s="35"/>
      <c r="G179" s="65"/>
      <c r="H179" s="36"/>
      <c r="I179" s="37"/>
      <c r="J179" s="37"/>
      <c r="K179" s="35"/>
      <c r="L179" s="38"/>
      <c r="M179" s="128"/>
      <c r="N179" s="38"/>
      <c r="O179" s="128"/>
      <c r="P179" s="53"/>
      <c r="Q179" s="45"/>
      <c r="R179" s="45"/>
      <c r="S179" s="45"/>
      <c r="T179" s="46"/>
      <c r="U179" s="120"/>
      <c r="V179" s="120"/>
      <c r="W179" s="120"/>
      <c r="X179" s="121"/>
      <c r="Y179" s="121"/>
      <c r="Z179" s="121"/>
      <c r="AA179" s="121"/>
      <c r="AB179" s="121"/>
      <c r="AC179" s="121"/>
      <c r="AD179" s="122"/>
      <c r="AE179" s="122"/>
      <c r="AF179" s="122"/>
      <c r="AG179" s="66"/>
      <c r="AH179" s="46"/>
      <c r="AI179" s="76"/>
      <c r="AJ179" s="97"/>
      <c r="AK179" s="39"/>
      <c r="AL179" s="102"/>
      <c r="AM179" s="102"/>
      <c r="AN179" s="102"/>
      <c r="AO179" s="102"/>
      <c r="AP179" s="280"/>
      <c r="AQ179" s="10">
        <f>Потребность!AD179</f>
        <v>0</v>
      </c>
      <c r="AR179" s="10">
        <f>SUM(Потребность!K179:M179)</f>
        <v>0</v>
      </c>
      <c r="AS179" s="9" t="e">
        <f>Потребность!AZ179</f>
        <v>#N/A</v>
      </c>
      <c r="AT179" s="9">
        <f>Потребность!J179</f>
        <v>0</v>
      </c>
      <c r="AU179" s="9" t="e">
        <f>Потребность!N179/Потребность!$N179</f>
        <v>#DIV/0!</v>
      </c>
      <c r="AV179" s="9" t="e">
        <f>Потребность!O179/Потребность!$N179</f>
        <v>#DIV/0!</v>
      </c>
      <c r="AW179" s="9" t="e">
        <f>Потребность!P179/Потребность!$N179</f>
        <v>#DIV/0!</v>
      </c>
      <c r="AX179" s="9" t="e">
        <f>Потребность!T179/Потребность!$T179</f>
        <v>#DIV/0!</v>
      </c>
      <c r="AY179" s="9" t="e">
        <f>Потребность!U179/Потребность!$T179</f>
        <v>#DIV/0!</v>
      </c>
      <c r="AZ179" s="9" t="e">
        <f>Потребность!V179/Потребность!$T179</f>
        <v>#DIV/0!</v>
      </c>
      <c r="BA179" s="141">
        <f>Потребность!Q179</f>
        <v>0</v>
      </c>
      <c r="BB179">
        <f>Потребность!AC179</f>
        <v>0</v>
      </c>
      <c r="BC179" s="141">
        <f>Потребность!AD179</f>
        <v>0</v>
      </c>
    </row>
    <row r="180" spans="1:55" x14ac:dyDescent="0.2">
      <c r="A180" s="85"/>
      <c r="B180" s="195"/>
      <c r="C180" s="85"/>
      <c r="D180" s="85"/>
      <c r="E180" s="195"/>
      <c r="F180" s="35"/>
      <c r="G180" s="65"/>
      <c r="H180" s="36"/>
      <c r="I180" s="37"/>
      <c r="J180" s="37"/>
      <c r="K180" s="35"/>
      <c r="L180" s="38"/>
      <c r="M180" s="128"/>
      <c r="N180" s="38"/>
      <c r="O180" s="128"/>
      <c r="P180" s="53"/>
      <c r="Q180" s="45"/>
      <c r="R180" s="45"/>
      <c r="S180" s="45"/>
      <c r="T180" s="46"/>
      <c r="U180" s="120"/>
      <c r="V180" s="120"/>
      <c r="W180" s="120"/>
      <c r="X180" s="121"/>
      <c r="Y180" s="121"/>
      <c r="Z180" s="121"/>
      <c r="AA180" s="121"/>
      <c r="AB180" s="121"/>
      <c r="AC180" s="121"/>
      <c r="AD180" s="122"/>
      <c r="AE180" s="122"/>
      <c r="AF180" s="122"/>
      <c r="AG180" s="66"/>
      <c r="AH180" s="46"/>
      <c r="AI180" s="76"/>
      <c r="AJ180" s="97"/>
      <c r="AK180" s="39"/>
      <c r="AL180" s="102"/>
      <c r="AM180" s="102"/>
      <c r="AN180" s="102"/>
      <c r="AO180" s="102"/>
      <c r="AP180" s="280"/>
      <c r="AQ180" s="10">
        <f>Потребность!AD180</f>
        <v>0</v>
      </c>
      <c r="AR180" s="10">
        <f>SUM(Потребность!K180:M180)</f>
        <v>0</v>
      </c>
      <c r="AS180" s="9" t="e">
        <f>Потребность!AZ180</f>
        <v>#N/A</v>
      </c>
      <c r="AT180" s="9">
        <f>Потребность!J180</f>
        <v>0</v>
      </c>
      <c r="AU180" s="9" t="e">
        <f>Потребность!N180/Потребность!$N180</f>
        <v>#DIV/0!</v>
      </c>
      <c r="AV180" s="9" t="e">
        <f>Потребность!O180/Потребность!$N180</f>
        <v>#DIV/0!</v>
      </c>
      <c r="AW180" s="9" t="e">
        <f>Потребность!P180/Потребность!$N180</f>
        <v>#DIV/0!</v>
      </c>
      <c r="AX180" s="9" t="e">
        <f>Потребность!T180/Потребность!$T180</f>
        <v>#DIV/0!</v>
      </c>
      <c r="AY180" s="9" t="e">
        <f>Потребность!U180/Потребность!$T180</f>
        <v>#DIV/0!</v>
      </c>
      <c r="AZ180" s="9" t="e">
        <f>Потребность!V180/Потребность!$T180</f>
        <v>#DIV/0!</v>
      </c>
      <c r="BA180" s="141">
        <f>Потребность!Q180</f>
        <v>0</v>
      </c>
      <c r="BB180">
        <f>Потребность!AC180</f>
        <v>0</v>
      </c>
      <c r="BC180" s="141">
        <f>Потребность!AD180</f>
        <v>0</v>
      </c>
    </row>
    <row r="181" spans="1:55" x14ac:dyDescent="0.2">
      <c r="A181" s="85"/>
      <c r="B181" s="195"/>
      <c r="C181" s="85"/>
      <c r="D181" s="85"/>
      <c r="E181" s="195"/>
      <c r="F181" s="35"/>
      <c r="G181" s="65"/>
      <c r="H181" s="36"/>
      <c r="I181" s="37"/>
      <c r="J181" s="37"/>
      <c r="K181" s="35"/>
      <c r="L181" s="38"/>
      <c r="M181" s="128"/>
      <c r="N181" s="38"/>
      <c r="O181" s="128"/>
      <c r="P181" s="53"/>
      <c r="Q181" s="45"/>
      <c r="R181" s="45"/>
      <c r="S181" s="45"/>
      <c r="T181" s="46"/>
      <c r="U181" s="120"/>
      <c r="V181" s="120"/>
      <c r="W181" s="120"/>
      <c r="X181" s="121"/>
      <c r="Y181" s="121"/>
      <c r="Z181" s="121"/>
      <c r="AA181" s="121"/>
      <c r="AB181" s="121"/>
      <c r="AC181" s="121"/>
      <c r="AD181" s="122"/>
      <c r="AE181" s="122"/>
      <c r="AF181" s="122"/>
      <c r="AG181" s="66"/>
      <c r="AH181" s="46"/>
      <c r="AI181" s="76"/>
      <c r="AJ181" s="97"/>
      <c r="AK181" s="39"/>
      <c r="AL181" s="102"/>
      <c r="AM181" s="102"/>
      <c r="AN181" s="102"/>
      <c r="AO181" s="102"/>
      <c r="AP181" s="280"/>
      <c r="AQ181" s="10">
        <f>Потребность!AD181</f>
        <v>0</v>
      </c>
      <c r="AR181" s="10">
        <f>SUM(Потребность!K181:M181)</f>
        <v>0</v>
      </c>
      <c r="AS181" s="9" t="e">
        <f>Потребность!AZ181</f>
        <v>#N/A</v>
      </c>
      <c r="AT181" s="9">
        <f>Потребность!J181</f>
        <v>0</v>
      </c>
      <c r="AU181" s="9" t="e">
        <f>Потребность!N181/Потребность!$N181</f>
        <v>#DIV/0!</v>
      </c>
      <c r="AV181" s="9" t="e">
        <f>Потребность!O181/Потребность!$N181</f>
        <v>#DIV/0!</v>
      </c>
      <c r="AW181" s="9" t="e">
        <f>Потребность!P181/Потребность!$N181</f>
        <v>#DIV/0!</v>
      </c>
      <c r="AX181" s="9" t="e">
        <f>Потребность!T181/Потребность!$T181</f>
        <v>#DIV/0!</v>
      </c>
      <c r="AY181" s="9" t="e">
        <f>Потребность!U181/Потребность!$T181</f>
        <v>#DIV/0!</v>
      </c>
      <c r="AZ181" s="9" t="e">
        <f>Потребность!V181/Потребность!$T181</f>
        <v>#DIV/0!</v>
      </c>
      <c r="BA181" s="141">
        <f>Потребность!Q181</f>
        <v>0</v>
      </c>
      <c r="BB181">
        <f>Потребность!AC181</f>
        <v>0</v>
      </c>
      <c r="BC181" s="141">
        <f>Потребность!AD181</f>
        <v>0</v>
      </c>
    </row>
    <row r="182" spans="1:55" x14ac:dyDescent="0.2">
      <c r="A182" s="85"/>
      <c r="B182" s="195"/>
      <c r="C182" s="85"/>
      <c r="D182" s="85"/>
      <c r="E182" s="195"/>
      <c r="F182" s="35"/>
      <c r="G182" s="65"/>
      <c r="H182" s="36"/>
      <c r="I182" s="37"/>
      <c r="J182" s="37"/>
      <c r="K182" s="35"/>
      <c r="L182" s="38"/>
      <c r="M182" s="128"/>
      <c r="N182" s="38"/>
      <c r="O182" s="128"/>
      <c r="P182" s="53"/>
      <c r="Q182" s="45"/>
      <c r="R182" s="45"/>
      <c r="S182" s="45"/>
      <c r="T182" s="46"/>
      <c r="U182" s="120"/>
      <c r="V182" s="120"/>
      <c r="W182" s="120"/>
      <c r="X182" s="121"/>
      <c r="Y182" s="121"/>
      <c r="Z182" s="121"/>
      <c r="AA182" s="121"/>
      <c r="AB182" s="121"/>
      <c r="AC182" s="121"/>
      <c r="AD182" s="122"/>
      <c r="AE182" s="122"/>
      <c r="AF182" s="122"/>
      <c r="AG182" s="66"/>
      <c r="AH182" s="46"/>
      <c r="AI182" s="76"/>
      <c r="AJ182" s="97"/>
      <c r="AK182" s="39"/>
      <c r="AL182" s="102"/>
      <c r="AM182" s="102"/>
      <c r="AN182" s="102"/>
      <c r="AO182" s="102"/>
      <c r="AP182" s="280"/>
      <c r="AQ182" s="10">
        <f>Потребность!AD182</f>
        <v>0</v>
      </c>
      <c r="AR182" s="10">
        <f>SUM(Потребность!K182:M182)</f>
        <v>0</v>
      </c>
      <c r="AS182" s="9" t="e">
        <f>Потребность!AZ182</f>
        <v>#N/A</v>
      </c>
      <c r="AT182" s="9">
        <f>Потребность!J182</f>
        <v>0</v>
      </c>
      <c r="AU182" s="9" t="e">
        <f>Потребность!N182/Потребность!$N182</f>
        <v>#DIV/0!</v>
      </c>
      <c r="AV182" s="9" t="e">
        <f>Потребность!O182/Потребность!$N182</f>
        <v>#DIV/0!</v>
      </c>
      <c r="AW182" s="9" t="e">
        <f>Потребность!P182/Потребность!$N182</f>
        <v>#DIV/0!</v>
      </c>
      <c r="AX182" s="9" t="e">
        <f>Потребность!T182/Потребность!$T182</f>
        <v>#DIV/0!</v>
      </c>
      <c r="AY182" s="9" t="e">
        <f>Потребность!U182/Потребность!$T182</f>
        <v>#DIV/0!</v>
      </c>
      <c r="AZ182" s="9" t="e">
        <f>Потребность!V182/Потребность!$T182</f>
        <v>#DIV/0!</v>
      </c>
      <c r="BA182" s="141">
        <f>Потребность!Q182</f>
        <v>0</v>
      </c>
      <c r="BB182">
        <f>Потребность!AC182</f>
        <v>0</v>
      </c>
      <c r="BC182" s="141">
        <f>Потребность!AD182</f>
        <v>0</v>
      </c>
    </row>
    <row r="183" spans="1:55" x14ac:dyDescent="0.2">
      <c r="A183" s="85"/>
      <c r="B183" s="195"/>
      <c r="C183" s="85"/>
      <c r="D183" s="85"/>
      <c r="E183" s="195"/>
      <c r="F183" s="35"/>
      <c r="G183" s="65"/>
      <c r="H183" s="36"/>
      <c r="I183" s="37"/>
      <c r="J183" s="37"/>
      <c r="K183" s="35"/>
      <c r="L183" s="38"/>
      <c r="M183" s="128"/>
      <c r="N183" s="38"/>
      <c r="O183" s="128"/>
      <c r="P183" s="53"/>
      <c r="Q183" s="45"/>
      <c r="R183" s="45"/>
      <c r="S183" s="45"/>
      <c r="T183" s="46"/>
      <c r="U183" s="120"/>
      <c r="V183" s="120"/>
      <c r="W183" s="120"/>
      <c r="X183" s="121"/>
      <c r="Y183" s="121"/>
      <c r="Z183" s="121"/>
      <c r="AA183" s="121"/>
      <c r="AB183" s="121"/>
      <c r="AC183" s="121"/>
      <c r="AD183" s="122"/>
      <c r="AE183" s="122"/>
      <c r="AF183" s="122"/>
      <c r="AG183" s="66"/>
      <c r="AH183" s="46"/>
      <c r="AI183" s="76"/>
      <c r="AJ183" s="97"/>
      <c r="AK183" s="39"/>
      <c r="AL183" s="102"/>
      <c r="AM183" s="102"/>
      <c r="AN183" s="102"/>
      <c r="AO183" s="102"/>
      <c r="AP183" s="280"/>
      <c r="AQ183" s="10">
        <f>Потребность!AD183</f>
        <v>0</v>
      </c>
      <c r="AR183" s="10">
        <f>SUM(Потребность!K183:M183)</f>
        <v>0</v>
      </c>
      <c r="AS183" s="9" t="e">
        <f>Потребность!AZ183</f>
        <v>#N/A</v>
      </c>
      <c r="AT183" s="9">
        <f>Потребность!J183</f>
        <v>0</v>
      </c>
      <c r="AU183" s="9" t="e">
        <f>Потребность!N183/Потребность!$N183</f>
        <v>#DIV/0!</v>
      </c>
      <c r="AV183" s="9" t="e">
        <f>Потребность!O183/Потребность!$N183</f>
        <v>#DIV/0!</v>
      </c>
      <c r="AW183" s="9" t="e">
        <f>Потребность!P183/Потребность!$N183</f>
        <v>#DIV/0!</v>
      </c>
      <c r="AX183" s="9" t="e">
        <f>Потребность!T183/Потребность!$T183</f>
        <v>#DIV/0!</v>
      </c>
      <c r="AY183" s="9" t="e">
        <f>Потребность!U183/Потребность!$T183</f>
        <v>#DIV/0!</v>
      </c>
      <c r="AZ183" s="9" t="e">
        <f>Потребность!V183/Потребность!$T183</f>
        <v>#DIV/0!</v>
      </c>
      <c r="BA183" s="141">
        <f>Потребность!Q183</f>
        <v>0</v>
      </c>
      <c r="BB183">
        <f>Потребность!AC183</f>
        <v>0</v>
      </c>
      <c r="BC183" s="141">
        <f>Потребность!AD183</f>
        <v>0</v>
      </c>
    </row>
    <row r="184" spans="1:55" x14ac:dyDescent="0.2">
      <c r="A184" s="85"/>
      <c r="B184" s="195"/>
      <c r="C184" s="85"/>
      <c r="D184" s="85"/>
      <c r="E184" s="195"/>
      <c r="F184" s="35"/>
      <c r="G184" s="65"/>
      <c r="H184" s="36"/>
      <c r="I184" s="37"/>
      <c r="J184" s="37"/>
      <c r="K184" s="35"/>
      <c r="L184" s="38"/>
      <c r="M184" s="128"/>
      <c r="N184" s="38"/>
      <c r="O184" s="128"/>
      <c r="P184" s="53"/>
      <c r="Q184" s="45"/>
      <c r="R184" s="45"/>
      <c r="S184" s="45"/>
      <c r="T184" s="46"/>
      <c r="U184" s="120"/>
      <c r="V184" s="120"/>
      <c r="W184" s="120"/>
      <c r="X184" s="121"/>
      <c r="Y184" s="121"/>
      <c r="Z184" s="121"/>
      <c r="AA184" s="121"/>
      <c r="AB184" s="121"/>
      <c r="AC184" s="121"/>
      <c r="AD184" s="122"/>
      <c r="AE184" s="122"/>
      <c r="AF184" s="122"/>
      <c r="AG184" s="66"/>
      <c r="AH184" s="46"/>
      <c r="AI184" s="76"/>
      <c r="AJ184" s="97"/>
      <c r="AK184" s="39"/>
      <c r="AL184" s="102"/>
      <c r="AM184" s="102"/>
      <c r="AN184" s="102"/>
      <c r="AO184" s="102"/>
      <c r="AP184" s="280"/>
      <c r="AQ184" s="10">
        <f>Потребность!AD184</f>
        <v>0</v>
      </c>
      <c r="AR184" s="10">
        <f>SUM(Потребность!K184:M184)</f>
        <v>0</v>
      </c>
      <c r="AS184" s="9" t="e">
        <f>Потребность!AZ184</f>
        <v>#N/A</v>
      </c>
      <c r="AT184" s="9">
        <f>Потребность!J184</f>
        <v>0</v>
      </c>
      <c r="AU184" s="9" t="e">
        <f>Потребность!N184/Потребность!$N184</f>
        <v>#DIV/0!</v>
      </c>
      <c r="AV184" s="9" t="e">
        <f>Потребность!O184/Потребность!$N184</f>
        <v>#DIV/0!</v>
      </c>
      <c r="AW184" s="9" t="e">
        <f>Потребность!P184/Потребность!$N184</f>
        <v>#DIV/0!</v>
      </c>
      <c r="AX184" s="9" t="e">
        <f>Потребность!T184/Потребность!$T184</f>
        <v>#DIV/0!</v>
      </c>
      <c r="AY184" s="9" t="e">
        <f>Потребность!U184/Потребность!$T184</f>
        <v>#DIV/0!</v>
      </c>
      <c r="AZ184" s="9" t="e">
        <f>Потребность!V184/Потребность!$T184</f>
        <v>#DIV/0!</v>
      </c>
      <c r="BA184" s="141">
        <f>Потребность!Q184</f>
        <v>0</v>
      </c>
      <c r="BB184">
        <f>Потребность!AC184</f>
        <v>0</v>
      </c>
      <c r="BC184" s="141">
        <f>Потребность!AD184</f>
        <v>0</v>
      </c>
    </row>
    <row r="185" spans="1:55" x14ac:dyDescent="0.2">
      <c r="A185" s="85"/>
      <c r="B185" s="195"/>
      <c r="C185" s="85"/>
      <c r="D185" s="85"/>
      <c r="E185" s="195"/>
      <c r="F185" s="35"/>
      <c r="G185" s="65"/>
      <c r="H185" s="36"/>
      <c r="I185" s="37"/>
      <c r="J185" s="37"/>
      <c r="K185" s="35"/>
      <c r="L185" s="38"/>
      <c r="M185" s="128"/>
      <c r="N185" s="38"/>
      <c r="O185" s="128"/>
      <c r="P185" s="53"/>
      <c r="Q185" s="45"/>
      <c r="R185" s="45"/>
      <c r="S185" s="45"/>
      <c r="T185" s="46"/>
      <c r="U185" s="120"/>
      <c r="V185" s="120"/>
      <c r="W185" s="120"/>
      <c r="X185" s="121"/>
      <c r="Y185" s="121"/>
      <c r="Z185" s="121"/>
      <c r="AA185" s="121"/>
      <c r="AB185" s="121"/>
      <c r="AC185" s="121"/>
      <c r="AD185" s="122"/>
      <c r="AE185" s="122"/>
      <c r="AF185" s="122"/>
      <c r="AG185" s="66"/>
      <c r="AH185" s="46"/>
      <c r="AI185" s="76"/>
      <c r="AJ185" s="97"/>
      <c r="AK185" s="39"/>
      <c r="AL185" s="102"/>
      <c r="AM185" s="102"/>
      <c r="AN185" s="102"/>
      <c r="AO185" s="102"/>
      <c r="AP185" s="280"/>
      <c r="AQ185" s="10">
        <f>Потребность!AD185</f>
        <v>0</v>
      </c>
      <c r="AR185" s="10">
        <f>SUM(Потребность!K185:M185)</f>
        <v>0</v>
      </c>
      <c r="AS185" s="9" t="e">
        <f>Потребность!AZ185</f>
        <v>#N/A</v>
      </c>
      <c r="AT185" s="9">
        <f>Потребность!J185</f>
        <v>0</v>
      </c>
      <c r="AU185" s="9" t="e">
        <f>Потребность!N185/Потребность!$N185</f>
        <v>#DIV/0!</v>
      </c>
      <c r="AV185" s="9" t="e">
        <f>Потребность!O185/Потребность!$N185</f>
        <v>#DIV/0!</v>
      </c>
      <c r="AW185" s="9" t="e">
        <f>Потребность!P185/Потребность!$N185</f>
        <v>#DIV/0!</v>
      </c>
      <c r="AX185" s="9" t="e">
        <f>Потребность!T185/Потребность!$T185</f>
        <v>#DIV/0!</v>
      </c>
      <c r="AY185" s="9" t="e">
        <f>Потребность!U185/Потребность!$T185</f>
        <v>#DIV/0!</v>
      </c>
      <c r="AZ185" s="9" t="e">
        <f>Потребность!V185/Потребность!$T185</f>
        <v>#DIV/0!</v>
      </c>
      <c r="BA185" s="141">
        <f>Потребность!Q185</f>
        <v>0</v>
      </c>
      <c r="BB185">
        <f>Потребность!AC185</f>
        <v>0</v>
      </c>
      <c r="BC185" s="141">
        <f>Потребность!AD185</f>
        <v>0</v>
      </c>
    </row>
    <row r="186" spans="1:55" x14ac:dyDescent="0.2">
      <c r="A186" s="85"/>
      <c r="B186" s="195"/>
      <c r="C186" s="85"/>
      <c r="D186" s="85"/>
      <c r="E186" s="195"/>
      <c r="F186" s="35"/>
      <c r="G186" s="65"/>
      <c r="H186" s="36"/>
      <c r="I186" s="37"/>
      <c r="J186" s="37"/>
      <c r="K186" s="35"/>
      <c r="L186" s="38"/>
      <c r="M186" s="128"/>
      <c r="N186" s="38"/>
      <c r="O186" s="128"/>
      <c r="P186" s="53"/>
      <c r="Q186" s="45"/>
      <c r="R186" s="45"/>
      <c r="S186" s="45"/>
      <c r="T186" s="46"/>
      <c r="U186" s="120"/>
      <c r="V186" s="120"/>
      <c r="W186" s="120"/>
      <c r="X186" s="121"/>
      <c r="Y186" s="121"/>
      <c r="Z186" s="121"/>
      <c r="AA186" s="121"/>
      <c r="AB186" s="121"/>
      <c r="AC186" s="121"/>
      <c r="AD186" s="122"/>
      <c r="AE186" s="122"/>
      <c r="AF186" s="122"/>
      <c r="AG186" s="66"/>
      <c r="AH186" s="46"/>
      <c r="AI186" s="76"/>
      <c r="AJ186" s="97"/>
      <c r="AK186" s="39"/>
      <c r="AL186" s="102"/>
      <c r="AM186" s="102"/>
      <c r="AN186" s="102"/>
      <c r="AO186" s="102"/>
      <c r="AP186" s="280"/>
      <c r="AQ186" s="10">
        <f>Потребность!AD186</f>
        <v>0</v>
      </c>
      <c r="AR186" s="10">
        <f>SUM(Потребность!K186:M186)</f>
        <v>0</v>
      </c>
      <c r="AS186" s="9" t="e">
        <f>Потребность!AZ186</f>
        <v>#N/A</v>
      </c>
      <c r="AT186" s="9">
        <f>Потребность!J186</f>
        <v>0</v>
      </c>
      <c r="AU186" s="9" t="e">
        <f>Потребность!N186/Потребность!$N186</f>
        <v>#DIV/0!</v>
      </c>
      <c r="AV186" s="9" t="e">
        <f>Потребность!O186/Потребность!$N186</f>
        <v>#DIV/0!</v>
      </c>
      <c r="AW186" s="9" t="e">
        <f>Потребность!P186/Потребность!$N186</f>
        <v>#DIV/0!</v>
      </c>
      <c r="AX186" s="9" t="e">
        <f>Потребность!T186/Потребность!$T186</f>
        <v>#DIV/0!</v>
      </c>
      <c r="AY186" s="9" t="e">
        <f>Потребность!U186/Потребность!$T186</f>
        <v>#DIV/0!</v>
      </c>
      <c r="AZ186" s="9" t="e">
        <f>Потребность!V186/Потребность!$T186</f>
        <v>#DIV/0!</v>
      </c>
      <c r="BA186" s="141">
        <f>Потребность!Q186</f>
        <v>0</v>
      </c>
      <c r="BB186">
        <f>Потребность!AC186</f>
        <v>0</v>
      </c>
      <c r="BC186" s="141">
        <f>Потребность!AD186</f>
        <v>0</v>
      </c>
    </row>
    <row r="187" spans="1:55" x14ac:dyDescent="0.2">
      <c r="A187" s="85"/>
      <c r="B187" s="195"/>
      <c r="C187" s="85"/>
      <c r="D187" s="85"/>
      <c r="E187" s="195"/>
      <c r="F187" s="35"/>
      <c r="G187" s="65"/>
      <c r="H187" s="36"/>
      <c r="I187" s="37"/>
      <c r="J187" s="37"/>
      <c r="K187" s="35"/>
      <c r="L187" s="38"/>
      <c r="M187" s="128"/>
      <c r="N187" s="38"/>
      <c r="O187" s="128"/>
      <c r="P187" s="53"/>
      <c r="Q187" s="45"/>
      <c r="R187" s="45"/>
      <c r="S187" s="45"/>
      <c r="T187" s="46"/>
      <c r="U187" s="120"/>
      <c r="V187" s="120"/>
      <c r="W187" s="120"/>
      <c r="X187" s="121"/>
      <c r="Y187" s="121"/>
      <c r="Z187" s="121"/>
      <c r="AA187" s="121"/>
      <c r="AB187" s="121"/>
      <c r="AC187" s="121"/>
      <c r="AD187" s="122"/>
      <c r="AE187" s="122"/>
      <c r="AF187" s="122"/>
      <c r="AG187" s="66"/>
      <c r="AH187" s="46"/>
      <c r="AI187" s="76"/>
      <c r="AJ187" s="97"/>
      <c r="AK187" s="39"/>
      <c r="AL187" s="102"/>
      <c r="AM187" s="102"/>
      <c r="AN187" s="102"/>
      <c r="AO187" s="102"/>
      <c r="AP187" s="280"/>
      <c r="AQ187" s="10">
        <f>Потребность!AD187</f>
        <v>0</v>
      </c>
      <c r="AR187" s="10">
        <f>SUM(Потребность!K187:M187)</f>
        <v>0</v>
      </c>
      <c r="AS187" s="9" t="e">
        <f>Потребность!AZ187</f>
        <v>#N/A</v>
      </c>
      <c r="AT187" s="9">
        <f>Потребность!J187</f>
        <v>0</v>
      </c>
      <c r="AU187" s="9" t="e">
        <f>Потребность!N187/Потребность!$N187</f>
        <v>#DIV/0!</v>
      </c>
      <c r="AV187" s="9" t="e">
        <f>Потребность!O187/Потребность!$N187</f>
        <v>#DIV/0!</v>
      </c>
      <c r="AW187" s="9" t="e">
        <f>Потребность!P187/Потребность!$N187</f>
        <v>#DIV/0!</v>
      </c>
      <c r="AX187" s="9" t="e">
        <f>Потребность!T187/Потребность!$T187</f>
        <v>#DIV/0!</v>
      </c>
      <c r="AY187" s="9" t="e">
        <f>Потребность!U187/Потребность!$T187</f>
        <v>#DIV/0!</v>
      </c>
      <c r="AZ187" s="9" t="e">
        <f>Потребность!V187/Потребность!$T187</f>
        <v>#DIV/0!</v>
      </c>
      <c r="BA187" s="141">
        <f>Потребность!Q187</f>
        <v>0</v>
      </c>
      <c r="BB187">
        <f>Потребность!AC187</f>
        <v>0</v>
      </c>
      <c r="BC187" s="141">
        <f>Потребность!AD187</f>
        <v>0</v>
      </c>
    </row>
    <row r="188" spans="1:55" x14ac:dyDescent="0.2">
      <c r="A188" s="85"/>
      <c r="B188" s="195"/>
      <c r="C188" s="85"/>
      <c r="D188" s="85"/>
      <c r="E188" s="195"/>
      <c r="F188" s="35"/>
      <c r="G188" s="65"/>
      <c r="H188" s="36"/>
      <c r="I188" s="37"/>
      <c r="J188" s="37"/>
      <c r="K188" s="35"/>
      <c r="L188" s="38"/>
      <c r="M188" s="128"/>
      <c r="N188" s="38"/>
      <c r="O188" s="128"/>
      <c r="P188" s="53"/>
      <c r="Q188" s="45"/>
      <c r="R188" s="45"/>
      <c r="S188" s="45"/>
      <c r="T188" s="46"/>
      <c r="U188" s="120"/>
      <c r="V188" s="120"/>
      <c r="W188" s="120"/>
      <c r="X188" s="121"/>
      <c r="Y188" s="121"/>
      <c r="Z188" s="121"/>
      <c r="AA188" s="121"/>
      <c r="AB188" s="121"/>
      <c r="AC188" s="121"/>
      <c r="AD188" s="122"/>
      <c r="AE188" s="122"/>
      <c r="AF188" s="122"/>
      <c r="AG188" s="66"/>
      <c r="AH188" s="46"/>
      <c r="AI188" s="76"/>
      <c r="AJ188" s="97"/>
      <c r="AK188" s="39"/>
      <c r="AL188" s="102"/>
      <c r="AM188" s="102"/>
      <c r="AN188" s="102"/>
      <c r="AO188" s="102"/>
      <c r="AP188" s="280"/>
      <c r="AQ188" s="10">
        <f>Потребность!AD188</f>
        <v>0</v>
      </c>
      <c r="AR188" s="10">
        <f>SUM(Потребность!K188:M188)</f>
        <v>0</v>
      </c>
      <c r="AS188" s="9" t="e">
        <f>Потребность!AZ188</f>
        <v>#N/A</v>
      </c>
      <c r="AT188" s="9">
        <f>Потребность!J188</f>
        <v>0</v>
      </c>
      <c r="AU188" s="9" t="e">
        <f>Потребность!N188/Потребность!$N188</f>
        <v>#DIV/0!</v>
      </c>
      <c r="AV188" s="9" t="e">
        <f>Потребность!O188/Потребность!$N188</f>
        <v>#DIV/0!</v>
      </c>
      <c r="AW188" s="9" t="e">
        <f>Потребность!P188/Потребность!$N188</f>
        <v>#DIV/0!</v>
      </c>
      <c r="AX188" s="9" t="e">
        <f>Потребность!T188/Потребность!$T188</f>
        <v>#DIV/0!</v>
      </c>
      <c r="AY188" s="9" t="e">
        <f>Потребность!U188/Потребность!$T188</f>
        <v>#DIV/0!</v>
      </c>
      <c r="AZ188" s="9" t="e">
        <f>Потребность!V188/Потребность!$T188</f>
        <v>#DIV/0!</v>
      </c>
      <c r="BA188" s="141">
        <f>Потребность!Q188</f>
        <v>0</v>
      </c>
      <c r="BB188">
        <f>Потребность!AC188</f>
        <v>0</v>
      </c>
      <c r="BC188" s="141">
        <f>Потребность!AD188</f>
        <v>0</v>
      </c>
    </row>
    <row r="189" spans="1:55" x14ac:dyDescent="0.2">
      <c r="A189" s="85"/>
      <c r="B189" s="195"/>
      <c r="C189" s="85"/>
      <c r="D189" s="85"/>
      <c r="E189" s="195"/>
      <c r="F189" s="35"/>
      <c r="G189" s="65"/>
      <c r="H189" s="36"/>
      <c r="I189" s="37"/>
      <c r="J189" s="37"/>
      <c r="K189" s="35"/>
      <c r="L189" s="38"/>
      <c r="M189" s="128"/>
      <c r="N189" s="38"/>
      <c r="O189" s="128"/>
      <c r="P189" s="53"/>
      <c r="Q189" s="45"/>
      <c r="R189" s="45"/>
      <c r="S189" s="45"/>
      <c r="T189" s="46"/>
      <c r="U189" s="120"/>
      <c r="V189" s="120"/>
      <c r="W189" s="120"/>
      <c r="X189" s="121"/>
      <c r="Y189" s="121"/>
      <c r="Z189" s="121"/>
      <c r="AA189" s="121"/>
      <c r="AB189" s="121"/>
      <c r="AC189" s="121"/>
      <c r="AD189" s="122"/>
      <c r="AE189" s="122"/>
      <c r="AF189" s="122"/>
      <c r="AG189" s="66"/>
      <c r="AH189" s="46"/>
      <c r="AI189" s="76"/>
      <c r="AJ189" s="97"/>
      <c r="AK189" s="39"/>
      <c r="AL189" s="102"/>
      <c r="AM189" s="102"/>
      <c r="AN189" s="102"/>
      <c r="AO189" s="102"/>
      <c r="AP189" s="280"/>
      <c r="AQ189" s="10">
        <f>Потребность!AD189</f>
        <v>0</v>
      </c>
      <c r="AR189" s="10">
        <f>SUM(Потребность!K189:M189)</f>
        <v>0</v>
      </c>
      <c r="AS189" s="9" t="e">
        <f>Потребность!AZ189</f>
        <v>#N/A</v>
      </c>
      <c r="AT189" s="9">
        <f>Потребность!J189</f>
        <v>0</v>
      </c>
      <c r="AU189" s="9" t="e">
        <f>Потребность!N189/Потребность!$N189</f>
        <v>#DIV/0!</v>
      </c>
      <c r="AV189" s="9" t="e">
        <f>Потребность!O189/Потребность!$N189</f>
        <v>#DIV/0!</v>
      </c>
      <c r="AW189" s="9" t="e">
        <f>Потребность!P189/Потребность!$N189</f>
        <v>#DIV/0!</v>
      </c>
      <c r="AX189" s="9" t="e">
        <f>Потребность!T189/Потребность!$T189</f>
        <v>#DIV/0!</v>
      </c>
      <c r="AY189" s="9" t="e">
        <f>Потребность!U189/Потребность!$T189</f>
        <v>#DIV/0!</v>
      </c>
      <c r="AZ189" s="9" t="e">
        <f>Потребность!V189/Потребность!$T189</f>
        <v>#DIV/0!</v>
      </c>
      <c r="BA189" s="141">
        <f>Потребность!Q189</f>
        <v>0</v>
      </c>
      <c r="BB189">
        <f>Потребность!AC189</f>
        <v>0</v>
      </c>
      <c r="BC189" s="141">
        <f>Потребность!AD189</f>
        <v>0</v>
      </c>
    </row>
    <row r="190" spans="1:55" x14ac:dyDescent="0.2">
      <c r="A190" s="85"/>
      <c r="B190" s="195"/>
      <c r="C190" s="85"/>
      <c r="D190" s="85"/>
      <c r="E190" s="195"/>
      <c r="F190" s="35"/>
      <c r="G190" s="65"/>
      <c r="H190" s="36"/>
      <c r="I190" s="37"/>
      <c r="J190" s="37"/>
      <c r="K190" s="35"/>
      <c r="L190" s="38"/>
      <c r="M190" s="128"/>
      <c r="N190" s="38"/>
      <c r="O190" s="128"/>
      <c r="P190" s="53"/>
      <c r="Q190" s="45"/>
      <c r="R190" s="45"/>
      <c r="S190" s="45"/>
      <c r="T190" s="46"/>
      <c r="U190" s="120"/>
      <c r="V190" s="120"/>
      <c r="W190" s="120"/>
      <c r="X190" s="121"/>
      <c r="Y190" s="121"/>
      <c r="Z190" s="121"/>
      <c r="AA190" s="121"/>
      <c r="AB190" s="121"/>
      <c r="AC190" s="121"/>
      <c r="AD190" s="122"/>
      <c r="AE190" s="122"/>
      <c r="AF190" s="122"/>
      <c r="AG190" s="66"/>
      <c r="AH190" s="46"/>
      <c r="AI190" s="76"/>
      <c r="AJ190" s="97"/>
      <c r="AK190" s="39"/>
      <c r="AL190" s="102"/>
      <c r="AM190" s="102"/>
      <c r="AN190" s="102"/>
      <c r="AO190" s="102"/>
      <c r="AP190" s="280"/>
      <c r="AQ190" s="10">
        <f>Потребность!AD190</f>
        <v>0</v>
      </c>
      <c r="AR190" s="10">
        <f>SUM(Потребность!K190:M190)</f>
        <v>0</v>
      </c>
      <c r="AS190" s="9" t="e">
        <f>Потребность!AZ190</f>
        <v>#N/A</v>
      </c>
      <c r="AT190" s="9">
        <f>Потребность!J190</f>
        <v>0</v>
      </c>
      <c r="AU190" s="9" t="e">
        <f>Потребность!N190/Потребность!$N190</f>
        <v>#DIV/0!</v>
      </c>
      <c r="AV190" s="9" t="e">
        <f>Потребность!O190/Потребность!$N190</f>
        <v>#DIV/0!</v>
      </c>
      <c r="AW190" s="9" t="e">
        <f>Потребность!P190/Потребность!$N190</f>
        <v>#DIV/0!</v>
      </c>
      <c r="AX190" s="9" t="e">
        <f>Потребность!T190/Потребность!$T190</f>
        <v>#DIV/0!</v>
      </c>
      <c r="AY190" s="9" t="e">
        <f>Потребность!U190/Потребность!$T190</f>
        <v>#DIV/0!</v>
      </c>
      <c r="AZ190" s="9" t="e">
        <f>Потребность!V190/Потребность!$T190</f>
        <v>#DIV/0!</v>
      </c>
      <c r="BA190" s="141">
        <f>Потребность!Q190</f>
        <v>0</v>
      </c>
      <c r="BB190">
        <f>Потребность!AC190</f>
        <v>0</v>
      </c>
      <c r="BC190" s="141">
        <f>Потребность!AD190</f>
        <v>0</v>
      </c>
    </row>
    <row r="191" spans="1:55" x14ac:dyDescent="0.2">
      <c r="A191" s="85"/>
      <c r="B191" s="195"/>
      <c r="C191" s="85"/>
      <c r="D191" s="85"/>
      <c r="E191" s="195"/>
      <c r="F191" s="35"/>
      <c r="G191" s="65"/>
      <c r="H191" s="36"/>
      <c r="I191" s="37"/>
      <c r="J191" s="37"/>
      <c r="K191" s="35"/>
      <c r="L191" s="38"/>
      <c r="M191" s="128"/>
      <c r="N191" s="38"/>
      <c r="O191" s="128"/>
      <c r="P191" s="53"/>
      <c r="Q191" s="45"/>
      <c r="R191" s="45"/>
      <c r="S191" s="45"/>
      <c r="T191" s="46"/>
      <c r="U191" s="120"/>
      <c r="V191" s="120"/>
      <c r="W191" s="120"/>
      <c r="X191" s="121"/>
      <c r="Y191" s="121"/>
      <c r="Z191" s="121"/>
      <c r="AA191" s="121"/>
      <c r="AB191" s="121"/>
      <c r="AC191" s="121"/>
      <c r="AD191" s="122"/>
      <c r="AE191" s="122"/>
      <c r="AF191" s="122"/>
      <c r="AG191" s="66"/>
      <c r="AH191" s="46"/>
      <c r="AI191" s="76"/>
      <c r="AJ191" s="97"/>
      <c r="AK191" s="39"/>
      <c r="AL191" s="102"/>
      <c r="AM191" s="102"/>
      <c r="AN191" s="102"/>
      <c r="AO191" s="102"/>
      <c r="AP191" s="280"/>
      <c r="AQ191" s="10">
        <f>Потребность!AD191</f>
        <v>0</v>
      </c>
      <c r="AR191" s="10">
        <f>SUM(Потребность!K191:M191)</f>
        <v>0</v>
      </c>
      <c r="AS191" s="9" t="e">
        <f>Потребность!AZ191</f>
        <v>#N/A</v>
      </c>
      <c r="AT191" s="9">
        <f>Потребность!J191</f>
        <v>0</v>
      </c>
      <c r="AU191" s="9" t="e">
        <f>Потребность!N191/Потребность!$N191</f>
        <v>#DIV/0!</v>
      </c>
      <c r="AV191" s="9" t="e">
        <f>Потребность!O191/Потребность!$N191</f>
        <v>#DIV/0!</v>
      </c>
      <c r="AW191" s="9" t="e">
        <f>Потребность!P191/Потребность!$N191</f>
        <v>#DIV/0!</v>
      </c>
      <c r="AX191" s="9" t="e">
        <f>Потребность!T191/Потребность!$T191</f>
        <v>#DIV/0!</v>
      </c>
      <c r="AY191" s="9" t="e">
        <f>Потребность!U191/Потребность!$T191</f>
        <v>#DIV/0!</v>
      </c>
      <c r="AZ191" s="9" t="e">
        <f>Потребность!V191/Потребность!$T191</f>
        <v>#DIV/0!</v>
      </c>
      <c r="BA191" s="141">
        <f>Потребность!Q191</f>
        <v>0</v>
      </c>
      <c r="BB191">
        <f>Потребность!AC191</f>
        <v>0</v>
      </c>
      <c r="BC191" s="141">
        <f>Потребность!AD191</f>
        <v>0</v>
      </c>
    </row>
    <row r="192" spans="1:55" x14ac:dyDescent="0.2">
      <c r="A192" s="85"/>
      <c r="B192" s="195"/>
      <c r="C192" s="85"/>
      <c r="D192" s="85"/>
      <c r="E192" s="195"/>
      <c r="F192" s="35"/>
      <c r="G192" s="65"/>
      <c r="H192" s="36"/>
      <c r="I192" s="37"/>
      <c r="J192" s="37"/>
      <c r="K192" s="35"/>
      <c r="L192" s="38"/>
      <c r="M192" s="128"/>
      <c r="N192" s="38"/>
      <c r="O192" s="128"/>
      <c r="P192" s="53"/>
      <c r="Q192" s="45"/>
      <c r="R192" s="45"/>
      <c r="S192" s="45"/>
      <c r="T192" s="46"/>
      <c r="U192" s="120"/>
      <c r="V192" s="120"/>
      <c r="W192" s="120"/>
      <c r="X192" s="121"/>
      <c r="Y192" s="121"/>
      <c r="Z192" s="121"/>
      <c r="AA192" s="121"/>
      <c r="AB192" s="121"/>
      <c r="AC192" s="121"/>
      <c r="AD192" s="122"/>
      <c r="AE192" s="122"/>
      <c r="AF192" s="122"/>
      <c r="AG192" s="66"/>
      <c r="AH192" s="46"/>
      <c r="AI192" s="76"/>
      <c r="AJ192" s="97"/>
      <c r="AK192" s="39"/>
      <c r="AL192" s="102"/>
      <c r="AM192" s="102"/>
      <c r="AN192" s="102"/>
      <c r="AO192" s="102"/>
      <c r="AP192" s="280"/>
      <c r="AQ192" s="10">
        <f>Потребность!AD192</f>
        <v>0</v>
      </c>
      <c r="AR192" s="10">
        <f>SUM(Потребность!K192:M192)</f>
        <v>0</v>
      </c>
      <c r="AS192" s="9" t="e">
        <f>Потребность!AZ192</f>
        <v>#N/A</v>
      </c>
      <c r="AT192" s="9">
        <f>Потребность!J192</f>
        <v>0</v>
      </c>
      <c r="AU192" s="9" t="e">
        <f>Потребность!N192/Потребность!$N192</f>
        <v>#DIV/0!</v>
      </c>
      <c r="AV192" s="9" t="e">
        <f>Потребность!O192/Потребность!$N192</f>
        <v>#DIV/0!</v>
      </c>
      <c r="AW192" s="9" t="e">
        <f>Потребность!P192/Потребность!$N192</f>
        <v>#DIV/0!</v>
      </c>
      <c r="AX192" s="9" t="e">
        <f>Потребность!T192/Потребность!$T192</f>
        <v>#DIV/0!</v>
      </c>
      <c r="AY192" s="9" t="e">
        <f>Потребность!U192/Потребность!$T192</f>
        <v>#DIV/0!</v>
      </c>
      <c r="AZ192" s="9" t="e">
        <f>Потребность!V192/Потребность!$T192</f>
        <v>#DIV/0!</v>
      </c>
      <c r="BA192" s="141">
        <f>Потребность!Q192</f>
        <v>0</v>
      </c>
      <c r="BB192">
        <f>Потребность!AC192</f>
        <v>0</v>
      </c>
      <c r="BC192" s="141">
        <f>Потребность!AD192</f>
        <v>0</v>
      </c>
    </row>
    <row r="193" spans="1:55" x14ac:dyDescent="0.2">
      <c r="A193" s="85"/>
      <c r="B193" s="195"/>
      <c r="C193" s="85"/>
      <c r="D193" s="85"/>
      <c r="E193" s="195"/>
      <c r="F193" s="35"/>
      <c r="G193" s="65"/>
      <c r="H193" s="36"/>
      <c r="I193" s="37"/>
      <c r="J193" s="37"/>
      <c r="K193" s="35"/>
      <c r="L193" s="38"/>
      <c r="M193" s="128"/>
      <c r="N193" s="38"/>
      <c r="O193" s="128"/>
      <c r="P193" s="53"/>
      <c r="Q193" s="45"/>
      <c r="R193" s="45"/>
      <c r="S193" s="45"/>
      <c r="T193" s="46"/>
      <c r="U193" s="120"/>
      <c r="V193" s="120"/>
      <c r="W193" s="120"/>
      <c r="X193" s="121"/>
      <c r="Y193" s="121"/>
      <c r="Z193" s="121"/>
      <c r="AA193" s="121"/>
      <c r="AB193" s="121"/>
      <c r="AC193" s="121"/>
      <c r="AD193" s="122"/>
      <c r="AE193" s="122"/>
      <c r="AF193" s="122"/>
      <c r="AG193" s="66"/>
      <c r="AH193" s="46"/>
      <c r="AI193" s="76"/>
      <c r="AJ193" s="97"/>
      <c r="AK193" s="39"/>
      <c r="AL193" s="102"/>
      <c r="AM193" s="102"/>
      <c r="AN193" s="102"/>
      <c r="AO193" s="102"/>
      <c r="AP193" s="280"/>
      <c r="AQ193" s="10">
        <f>Потребность!AD193</f>
        <v>0</v>
      </c>
      <c r="AR193" s="10">
        <f>SUM(Потребность!K193:M193)</f>
        <v>0</v>
      </c>
      <c r="AS193" s="9" t="e">
        <f>Потребность!AZ193</f>
        <v>#N/A</v>
      </c>
      <c r="AT193" s="9">
        <f>Потребность!J193</f>
        <v>0</v>
      </c>
      <c r="AU193" s="9" t="e">
        <f>Потребность!N193/Потребность!$N193</f>
        <v>#DIV/0!</v>
      </c>
      <c r="AV193" s="9" t="e">
        <f>Потребность!O193/Потребность!$N193</f>
        <v>#DIV/0!</v>
      </c>
      <c r="AW193" s="9" t="e">
        <f>Потребность!P193/Потребность!$N193</f>
        <v>#DIV/0!</v>
      </c>
      <c r="AX193" s="9" t="e">
        <f>Потребность!T193/Потребность!$T193</f>
        <v>#DIV/0!</v>
      </c>
      <c r="AY193" s="9" t="e">
        <f>Потребность!U193/Потребность!$T193</f>
        <v>#DIV/0!</v>
      </c>
      <c r="AZ193" s="9" t="e">
        <f>Потребность!V193/Потребность!$T193</f>
        <v>#DIV/0!</v>
      </c>
      <c r="BA193" s="141">
        <f>Потребность!Q193</f>
        <v>0</v>
      </c>
      <c r="BB193">
        <f>Потребность!AC193</f>
        <v>0</v>
      </c>
      <c r="BC193" s="141">
        <f>Потребность!AD193</f>
        <v>0</v>
      </c>
    </row>
    <row r="194" spans="1:55" x14ac:dyDescent="0.2">
      <c r="A194" s="85"/>
      <c r="B194" s="195"/>
      <c r="C194" s="85"/>
      <c r="D194" s="85"/>
      <c r="E194" s="195"/>
      <c r="F194" s="35"/>
      <c r="G194" s="65"/>
      <c r="H194" s="36"/>
      <c r="I194" s="37"/>
      <c r="J194" s="37"/>
      <c r="K194" s="35"/>
      <c r="L194" s="38"/>
      <c r="M194" s="128"/>
      <c r="N194" s="38"/>
      <c r="O194" s="128"/>
      <c r="P194" s="53"/>
      <c r="Q194" s="45"/>
      <c r="R194" s="45"/>
      <c r="S194" s="45"/>
      <c r="T194" s="46"/>
      <c r="U194" s="120"/>
      <c r="V194" s="120"/>
      <c r="W194" s="120"/>
      <c r="X194" s="121"/>
      <c r="Y194" s="121"/>
      <c r="Z194" s="121"/>
      <c r="AA194" s="121"/>
      <c r="AB194" s="121"/>
      <c r="AC194" s="121"/>
      <c r="AD194" s="122"/>
      <c r="AE194" s="122"/>
      <c r="AF194" s="122"/>
      <c r="AG194" s="66"/>
      <c r="AH194" s="46"/>
      <c r="AI194" s="76"/>
      <c r="AJ194" s="97"/>
      <c r="AK194" s="39"/>
      <c r="AL194" s="102"/>
      <c r="AM194" s="102"/>
      <c r="AN194" s="102"/>
      <c r="AO194" s="102"/>
      <c r="AP194" s="280"/>
      <c r="AQ194" s="10">
        <f>Потребность!AD194</f>
        <v>0</v>
      </c>
      <c r="AR194" s="10">
        <f>SUM(Потребность!K194:M194)</f>
        <v>0</v>
      </c>
      <c r="AS194" s="9" t="e">
        <f>Потребность!AZ194</f>
        <v>#N/A</v>
      </c>
      <c r="AT194" s="9">
        <f>Потребность!J194</f>
        <v>0</v>
      </c>
      <c r="AU194" s="9" t="e">
        <f>Потребность!N194/Потребность!$N194</f>
        <v>#DIV/0!</v>
      </c>
      <c r="AV194" s="9" t="e">
        <f>Потребность!O194/Потребность!$N194</f>
        <v>#DIV/0!</v>
      </c>
      <c r="AW194" s="9" t="e">
        <f>Потребность!P194/Потребность!$N194</f>
        <v>#DIV/0!</v>
      </c>
      <c r="AX194" s="9" t="e">
        <f>Потребность!T194/Потребность!$T194</f>
        <v>#DIV/0!</v>
      </c>
      <c r="AY194" s="9" t="e">
        <f>Потребность!U194/Потребность!$T194</f>
        <v>#DIV/0!</v>
      </c>
      <c r="AZ194" s="9" t="e">
        <f>Потребность!V194/Потребность!$T194</f>
        <v>#DIV/0!</v>
      </c>
      <c r="BA194" s="141">
        <f>Потребность!Q194</f>
        <v>0</v>
      </c>
      <c r="BB194">
        <f>Потребность!AC194</f>
        <v>0</v>
      </c>
      <c r="BC194" s="141">
        <f>Потребность!AD194</f>
        <v>0</v>
      </c>
    </row>
    <row r="195" spans="1:55" x14ac:dyDescent="0.2">
      <c r="A195" s="85"/>
      <c r="B195" s="195"/>
      <c r="C195" s="85"/>
      <c r="D195" s="85"/>
      <c r="E195" s="195"/>
      <c r="F195" s="35"/>
      <c r="G195" s="65"/>
      <c r="H195" s="36"/>
      <c r="I195" s="37"/>
      <c r="J195" s="37"/>
      <c r="K195" s="35"/>
      <c r="L195" s="38"/>
      <c r="M195" s="128"/>
      <c r="N195" s="38"/>
      <c r="O195" s="128"/>
      <c r="P195" s="53"/>
      <c r="Q195" s="45"/>
      <c r="R195" s="45"/>
      <c r="S195" s="45"/>
      <c r="T195" s="46"/>
      <c r="U195" s="120"/>
      <c r="V195" s="120"/>
      <c r="W195" s="120"/>
      <c r="X195" s="121"/>
      <c r="Y195" s="121"/>
      <c r="Z195" s="121"/>
      <c r="AA195" s="121"/>
      <c r="AB195" s="121"/>
      <c r="AC195" s="121"/>
      <c r="AD195" s="122"/>
      <c r="AE195" s="122"/>
      <c r="AF195" s="122"/>
      <c r="AG195" s="66"/>
      <c r="AH195" s="46"/>
      <c r="AI195" s="76"/>
      <c r="AJ195" s="97"/>
      <c r="AK195" s="39"/>
      <c r="AL195" s="102"/>
      <c r="AM195" s="102"/>
      <c r="AN195" s="102"/>
      <c r="AO195" s="102"/>
      <c r="AP195" s="280"/>
      <c r="AQ195" s="10">
        <f>Потребность!AD195</f>
        <v>0</v>
      </c>
      <c r="AR195" s="10">
        <f>SUM(Потребность!K195:M195)</f>
        <v>0</v>
      </c>
      <c r="AS195" s="9" t="e">
        <f>Потребность!AZ195</f>
        <v>#N/A</v>
      </c>
      <c r="AT195" s="9">
        <f>Потребность!J195</f>
        <v>0</v>
      </c>
      <c r="AU195" s="9" t="e">
        <f>Потребность!N195/Потребность!$N195</f>
        <v>#DIV/0!</v>
      </c>
      <c r="AV195" s="9" t="e">
        <f>Потребность!O195/Потребность!$N195</f>
        <v>#DIV/0!</v>
      </c>
      <c r="AW195" s="9" t="e">
        <f>Потребность!P195/Потребность!$N195</f>
        <v>#DIV/0!</v>
      </c>
      <c r="AX195" s="9" t="e">
        <f>Потребность!T195/Потребность!$T195</f>
        <v>#DIV/0!</v>
      </c>
      <c r="AY195" s="9" t="e">
        <f>Потребность!U195/Потребность!$T195</f>
        <v>#DIV/0!</v>
      </c>
      <c r="AZ195" s="9" t="e">
        <f>Потребность!V195/Потребность!$T195</f>
        <v>#DIV/0!</v>
      </c>
      <c r="BA195" s="141">
        <f>Потребность!Q195</f>
        <v>0</v>
      </c>
      <c r="BB195">
        <f>Потребность!AC195</f>
        <v>0</v>
      </c>
      <c r="BC195" s="141">
        <f>Потребность!AD195</f>
        <v>0</v>
      </c>
    </row>
    <row r="196" spans="1:55" x14ac:dyDescent="0.2">
      <c r="A196" s="85"/>
      <c r="B196" s="195"/>
      <c r="C196" s="85"/>
      <c r="D196" s="85"/>
      <c r="E196" s="195"/>
      <c r="F196" s="35"/>
      <c r="G196" s="65"/>
      <c r="H196" s="36"/>
      <c r="I196" s="37"/>
      <c r="J196" s="37"/>
      <c r="K196" s="35"/>
      <c r="L196" s="38"/>
      <c r="M196" s="128"/>
      <c r="N196" s="38"/>
      <c r="O196" s="128"/>
      <c r="P196" s="53"/>
      <c r="Q196" s="45"/>
      <c r="R196" s="45"/>
      <c r="S196" s="45"/>
      <c r="T196" s="46"/>
      <c r="U196" s="120"/>
      <c r="V196" s="120"/>
      <c r="W196" s="120"/>
      <c r="X196" s="121"/>
      <c r="Y196" s="121"/>
      <c r="Z196" s="121"/>
      <c r="AA196" s="121"/>
      <c r="AB196" s="121"/>
      <c r="AC196" s="121"/>
      <c r="AD196" s="122"/>
      <c r="AE196" s="122"/>
      <c r="AF196" s="122"/>
      <c r="AG196" s="66"/>
      <c r="AH196" s="46"/>
      <c r="AI196" s="76"/>
      <c r="AJ196" s="97"/>
      <c r="AK196" s="39"/>
      <c r="AL196" s="102"/>
      <c r="AM196" s="102"/>
      <c r="AN196" s="102"/>
      <c r="AO196" s="102"/>
      <c r="AP196" s="280"/>
      <c r="AQ196" s="10">
        <f>Потребность!AD196</f>
        <v>0</v>
      </c>
      <c r="AR196" s="10">
        <f>SUM(Потребность!K196:M196)</f>
        <v>0</v>
      </c>
      <c r="AS196" s="9" t="e">
        <f>Потребность!AZ196</f>
        <v>#N/A</v>
      </c>
      <c r="AT196" s="9">
        <f>Потребность!J196</f>
        <v>0</v>
      </c>
      <c r="AU196" s="9" t="e">
        <f>Потребность!N196/Потребность!$N196</f>
        <v>#DIV/0!</v>
      </c>
      <c r="AV196" s="9" t="e">
        <f>Потребность!O196/Потребность!$N196</f>
        <v>#DIV/0!</v>
      </c>
      <c r="AW196" s="9" t="e">
        <f>Потребность!P196/Потребность!$N196</f>
        <v>#DIV/0!</v>
      </c>
      <c r="AX196" s="9" t="e">
        <f>Потребность!T196/Потребность!$T196</f>
        <v>#DIV/0!</v>
      </c>
      <c r="AY196" s="9" t="e">
        <f>Потребность!U196/Потребность!$T196</f>
        <v>#DIV/0!</v>
      </c>
      <c r="AZ196" s="9" t="e">
        <f>Потребность!V196/Потребность!$T196</f>
        <v>#DIV/0!</v>
      </c>
      <c r="BA196" s="141">
        <f>Потребность!Q196</f>
        <v>0</v>
      </c>
      <c r="BB196">
        <f>Потребность!AC196</f>
        <v>0</v>
      </c>
      <c r="BC196" s="141">
        <f>Потребность!AD196</f>
        <v>0</v>
      </c>
    </row>
    <row r="197" spans="1:55" x14ac:dyDescent="0.2">
      <c r="A197" s="85"/>
      <c r="B197" s="195"/>
      <c r="C197" s="85"/>
      <c r="D197" s="85"/>
      <c r="E197" s="195"/>
      <c r="F197" s="35"/>
      <c r="G197" s="65"/>
      <c r="H197" s="36"/>
      <c r="I197" s="37"/>
      <c r="J197" s="37"/>
      <c r="K197" s="35"/>
      <c r="L197" s="38"/>
      <c r="M197" s="128"/>
      <c r="N197" s="38"/>
      <c r="O197" s="128"/>
      <c r="P197" s="53"/>
      <c r="Q197" s="45"/>
      <c r="R197" s="45"/>
      <c r="S197" s="45"/>
      <c r="T197" s="46"/>
      <c r="U197" s="120"/>
      <c r="V197" s="120"/>
      <c r="W197" s="120"/>
      <c r="X197" s="121"/>
      <c r="Y197" s="121"/>
      <c r="Z197" s="121"/>
      <c r="AA197" s="121"/>
      <c r="AB197" s="121"/>
      <c r="AC197" s="121"/>
      <c r="AD197" s="122"/>
      <c r="AE197" s="122"/>
      <c r="AF197" s="122"/>
      <c r="AG197" s="66"/>
      <c r="AH197" s="46"/>
      <c r="AI197" s="76"/>
      <c r="AJ197" s="97"/>
      <c r="AK197" s="39"/>
      <c r="AL197" s="102"/>
      <c r="AM197" s="102"/>
      <c r="AN197" s="102"/>
      <c r="AO197" s="102"/>
      <c r="AP197" s="280"/>
      <c r="AQ197" s="10">
        <f>Потребность!AD197</f>
        <v>0</v>
      </c>
      <c r="AR197" s="10">
        <f>SUM(Потребность!K197:M197)</f>
        <v>0</v>
      </c>
      <c r="AS197" s="9" t="e">
        <f>Потребность!AZ197</f>
        <v>#N/A</v>
      </c>
      <c r="AT197" s="9">
        <f>Потребность!J197</f>
        <v>0</v>
      </c>
      <c r="AU197" s="9" t="e">
        <f>Потребность!N197/Потребность!$N197</f>
        <v>#DIV/0!</v>
      </c>
      <c r="AV197" s="9" t="e">
        <f>Потребность!O197/Потребность!$N197</f>
        <v>#DIV/0!</v>
      </c>
      <c r="AW197" s="9" t="e">
        <f>Потребность!P197/Потребность!$N197</f>
        <v>#DIV/0!</v>
      </c>
      <c r="AX197" s="9" t="e">
        <f>Потребность!T197/Потребность!$T197</f>
        <v>#DIV/0!</v>
      </c>
      <c r="AY197" s="9" t="e">
        <f>Потребность!U197/Потребность!$T197</f>
        <v>#DIV/0!</v>
      </c>
      <c r="AZ197" s="9" t="e">
        <f>Потребность!V197/Потребность!$T197</f>
        <v>#DIV/0!</v>
      </c>
      <c r="BA197" s="141">
        <f>Потребность!Q197</f>
        <v>0</v>
      </c>
      <c r="BB197">
        <f>Потребность!AC197</f>
        <v>0</v>
      </c>
      <c r="BC197" s="141">
        <f>Потребность!AD197</f>
        <v>0</v>
      </c>
    </row>
    <row r="198" spans="1:55" x14ac:dyDescent="0.2">
      <c r="A198" s="85"/>
      <c r="B198" s="195"/>
      <c r="C198" s="85"/>
      <c r="D198" s="85"/>
      <c r="E198" s="195"/>
      <c r="F198" s="35"/>
      <c r="G198" s="65"/>
      <c r="H198" s="36"/>
      <c r="I198" s="37"/>
      <c r="J198" s="37"/>
      <c r="K198" s="35"/>
      <c r="L198" s="38"/>
      <c r="M198" s="128"/>
      <c r="N198" s="38"/>
      <c r="O198" s="128"/>
      <c r="P198" s="53"/>
      <c r="Q198" s="45"/>
      <c r="R198" s="45"/>
      <c r="S198" s="45"/>
      <c r="T198" s="46"/>
      <c r="U198" s="120"/>
      <c r="V198" s="120"/>
      <c r="W198" s="120"/>
      <c r="X198" s="121"/>
      <c r="Y198" s="121"/>
      <c r="Z198" s="121"/>
      <c r="AA198" s="121"/>
      <c r="AB198" s="121"/>
      <c r="AC198" s="121"/>
      <c r="AD198" s="122"/>
      <c r="AE198" s="122"/>
      <c r="AF198" s="122"/>
      <c r="AG198" s="66"/>
      <c r="AH198" s="46"/>
      <c r="AI198" s="76"/>
      <c r="AJ198" s="97"/>
      <c r="AK198" s="39"/>
      <c r="AL198" s="102"/>
      <c r="AM198" s="102"/>
      <c r="AN198" s="102"/>
      <c r="AO198" s="102"/>
      <c r="AP198" s="280"/>
      <c r="AQ198" s="10">
        <f>Потребность!AD198</f>
        <v>0</v>
      </c>
      <c r="AR198" s="10">
        <f>SUM(Потребность!K198:M198)</f>
        <v>0</v>
      </c>
      <c r="AS198" s="9" t="e">
        <f>Потребность!AZ198</f>
        <v>#N/A</v>
      </c>
      <c r="AT198" s="9">
        <f>Потребность!J198</f>
        <v>0</v>
      </c>
      <c r="AU198" s="9" t="e">
        <f>Потребность!N198/Потребность!$N198</f>
        <v>#DIV/0!</v>
      </c>
      <c r="AV198" s="9" t="e">
        <f>Потребность!O198/Потребность!$N198</f>
        <v>#DIV/0!</v>
      </c>
      <c r="AW198" s="9" t="e">
        <f>Потребность!P198/Потребность!$N198</f>
        <v>#DIV/0!</v>
      </c>
      <c r="AX198" s="9" t="e">
        <f>Потребность!T198/Потребность!$T198</f>
        <v>#DIV/0!</v>
      </c>
      <c r="AY198" s="9" t="e">
        <f>Потребность!U198/Потребность!$T198</f>
        <v>#DIV/0!</v>
      </c>
      <c r="AZ198" s="9" t="e">
        <f>Потребность!V198/Потребность!$T198</f>
        <v>#DIV/0!</v>
      </c>
      <c r="BA198" s="141">
        <f>Потребность!Q198</f>
        <v>0</v>
      </c>
      <c r="BB198">
        <f>Потребность!AC198</f>
        <v>0</v>
      </c>
      <c r="BC198" s="141">
        <f>Потребность!AD198</f>
        <v>0</v>
      </c>
    </row>
    <row r="199" spans="1:55" x14ac:dyDescent="0.2">
      <c r="A199" s="85"/>
      <c r="B199" s="195"/>
      <c r="C199" s="85"/>
      <c r="D199" s="85"/>
      <c r="E199" s="195"/>
      <c r="F199" s="35"/>
      <c r="G199" s="65"/>
      <c r="H199" s="36"/>
      <c r="I199" s="37"/>
      <c r="J199" s="37"/>
      <c r="K199" s="35"/>
      <c r="L199" s="38"/>
      <c r="M199" s="128"/>
      <c r="N199" s="38"/>
      <c r="O199" s="128"/>
      <c r="P199" s="53"/>
      <c r="Q199" s="45"/>
      <c r="R199" s="45"/>
      <c r="S199" s="45"/>
      <c r="T199" s="46"/>
      <c r="U199" s="120"/>
      <c r="V199" s="120"/>
      <c r="W199" s="120"/>
      <c r="X199" s="121"/>
      <c r="Y199" s="121"/>
      <c r="Z199" s="121"/>
      <c r="AA199" s="121"/>
      <c r="AB199" s="121"/>
      <c r="AC199" s="121"/>
      <c r="AD199" s="122"/>
      <c r="AE199" s="122"/>
      <c r="AF199" s="122"/>
      <c r="AG199" s="66"/>
      <c r="AH199" s="46"/>
      <c r="AI199" s="76"/>
      <c r="AJ199" s="97"/>
      <c r="AK199" s="39"/>
      <c r="AL199" s="102"/>
      <c r="AM199" s="102"/>
      <c r="AN199" s="102"/>
      <c r="AO199" s="102"/>
      <c r="AP199" s="280"/>
      <c r="AQ199" s="10">
        <f>Потребность!AD199</f>
        <v>0</v>
      </c>
      <c r="AR199" s="10">
        <f>SUM(Потребность!K199:M199)</f>
        <v>0</v>
      </c>
      <c r="AS199" s="9" t="e">
        <f>Потребность!AZ199</f>
        <v>#N/A</v>
      </c>
      <c r="AT199" s="9">
        <f>Потребность!J199</f>
        <v>0</v>
      </c>
      <c r="AU199" s="9" t="e">
        <f>Потребность!N199/Потребность!$N199</f>
        <v>#DIV/0!</v>
      </c>
      <c r="AV199" s="9" t="e">
        <f>Потребность!O199/Потребность!$N199</f>
        <v>#DIV/0!</v>
      </c>
      <c r="AW199" s="9" t="e">
        <f>Потребность!P199/Потребность!$N199</f>
        <v>#DIV/0!</v>
      </c>
      <c r="AX199" s="9" t="e">
        <f>Потребность!T199/Потребность!$T199</f>
        <v>#DIV/0!</v>
      </c>
      <c r="AY199" s="9" t="e">
        <f>Потребность!U199/Потребность!$T199</f>
        <v>#DIV/0!</v>
      </c>
      <c r="AZ199" s="9" t="e">
        <f>Потребность!V199/Потребность!$T199</f>
        <v>#DIV/0!</v>
      </c>
      <c r="BA199" s="141">
        <f>Потребность!Q199</f>
        <v>0</v>
      </c>
      <c r="BB199">
        <f>Потребность!AC199</f>
        <v>0</v>
      </c>
      <c r="BC199" s="141">
        <f>Потребность!AD199</f>
        <v>0</v>
      </c>
    </row>
    <row r="200" spans="1:55" x14ac:dyDescent="0.2">
      <c r="A200" s="85"/>
      <c r="B200" s="195"/>
      <c r="C200" s="85"/>
      <c r="D200" s="85"/>
      <c r="E200" s="195"/>
      <c r="F200" s="35"/>
      <c r="G200" s="65"/>
      <c r="H200" s="36"/>
      <c r="I200" s="37"/>
      <c r="J200" s="37"/>
      <c r="K200" s="35"/>
      <c r="L200" s="38"/>
      <c r="M200" s="128"/>
      <c r="N200" s="38"/>
      <c r="O200" s="128"/>
      <c r="P200" s="53"/>
      <c r="Q200" s="45"/>
      <c r="R200" s="45"/>
      <c r="S200" s="45"/>
      <c r="T200" s="46"/>
      <c r="U200" s="120"/>
      <c r="V200" s="120"/>
      <c r="W200" s="120"/>
      <c r="X200" s="121"/>
      <c r="Y200" s="121"/>
      <c r="Z200" s="121"/>
      <c r="AA200" s="121"/>
      <c r="AB200" s="121"/>
      <c r="AC200" s="121"/>
      <c r="AD200" s="122"/>
      <c r="AE200" s="122"/>
      <c r="AF200" s="122"/>
      <c r="AG200" s="66"/>
      <c r="AH200" s="46"/>
      <c r="AI200" s="76"/>
      <c r="AJ200" s="97"/>
      <c r="AK200" s="39"/>
      <c r="AL200" s="102"/>
      <c r="AM200" s="102"/>
      <c r="AN200" s="102"/>
      <c r="AO200" s="102"/>
      <c r="AP200" s="280"/>
      <c r="AQ200" s="10">
        <f>Потребность!AD200</f>
        <v>0</v>
      </c>
      <c r="AR200" s="10">
        <f>SUM(Потребность!K200:M200)</f>
        <v>0</v>
      </c>
      <c r="AS200" s="9" t="e">
        <f>Потребность!AZ200</f>
        <v>#N/A</v>
      </c>
      <c r="AT200" s="9">
        <f>Потребность!J200</f>
        <v>0</v>
      </c>
      <c r="AU200" s="9" t="e">
        <f>Потребность!N200/Потребность!$N200</f>
        <v>#DIV/0!</v>
      </c>
      <c r="AV200" s="9" t="e">
        <f>Потребность!O200/Потребность!$N200</f>
        <v>#DIV/0!</v>
      </c>
      <c r="AW200" s="9" t="e">
        <f>Потребность!P200/Потребность!$N200</f>
        <v>#DIV/0!</v>
      </c>
      <c r="AX200" s="9" t="e">
        <f>Потребность!T200/Потребность!$T200</f>
        <v>#DIV/0!</v>
      </c>
      <c r="AY200" s="9" t="e">
        <f>Потребность!U200/Потребность!$T200</f>
        <v>#DIV/0!</v>
      </c>
      <c r="AZ200" s="9" t="e">
        <f>Потребность!V200/Потребность!$T200</f>
        <v>#DIV/0!</v>
      </c>
      <c r="BA200" s="141">
        <f>Потребность!Q200</f>
        <v>0</v>
      </c>
      <c r="BB200">
        <f>Потребность!AC200</f>
        <v>0</v>
      </c>
      <c r="BC200" s="141">
        <f>Потребность!AD200</f>
        <v>0</v>
      </c>
    </row>
    <row r="201" spans="1:55" x14ac:dyDescent="0.2">
      <c r="A201" s="85"/>
      <c r="B201" s="195"/>
      <c r="C201" s="85"/>
      <c r="D201" s="85"/>
      <c r="E201" s="195"/>
      <c r="F201" s="35"/>
      <c r="G201" s="65"/>
      <c r="H201" s="36"/>
      <c r="I201" s="37"/>
      <c r="J201" s="37"/>
      <c r="K201" s="35"/>
      <c r="L201" s="38"/>
      <c r="M201" s="128"/>
      <c r="N201" s="38"/>
      <c r="O201" s="128"/>
      <c r="P201" s="53"/>
      <c r="Q201" s="45"/>
      <c r="R201" s="45"/>
      <c r="S201" s="45"/>
      <c r="T201" s="46"/>
      <c r="U201" s="120"/>
      <c r="V201" s="120"/>
      <c r="W201" s="120"/>
      <c r="X201" s="121"/>
      <c r="Y201" s="121"/>
      <c r="Z201" s="121"/>
      <c r="AA201" s="121"/>
      <c r="AB201" s="121"/>
      <c r="AC201" s="121"/>
      <c r="AD201" s="122"/>
      <c r="AE201" s="122"/>
      <c r="AF201" s="122"/>
      <c r="AG201" s="66"/>
      <c r="AH201" s="46"/>
      <c r="AI201" s="76"/>
      <c r="AJ201" s="97"/>
      <c r="AK201" s="39"/>
      <c r="AL201" s="102"/>
      <c r="AM201" s="102"/>
      <c r="AN201" s="102"/>
      <c r="AO201" s="102"/>
      <c r="AP201" s="280"/>
      <c r="AQ201" s="10">
        <f>Потребность!AD201</f>
        <v>0</v>
      </c>
      <c r="AR201" s="10">
        <f>SUM(Потребность!K201:M201)</f>
        <v>0</v>
      </c>
      <c r="AS201" s="9" t="e">
        <f>Потребность!AZ201</f>
        <v>#N/A</v>
      </c>
      <c r="AT201" s="9">
        <f>Потребность!J201</f>
        <v>0</v>
      </c>
      <c r="AU201" s="9" t="e">
        <f>Потребность!N201/Потребность!$N201</f>
        <v>#DIV/0!</v>
      </c>
      <c r="AV201" s="9" t="e">
        <f>Потребность!O201/Потребность!$N201</f>
        <v>#DIV/0!</v>
      </c>
      <c r="AW201" s="9" t="e">
        <f>Потребность!P201/Потребность!$N201</f>
        <v>#DIV/0!</v>
      </c>
      <c r="AX201" s="9" t="e">
        <f>Потребность!T201/Потребность!$T201</f>
        <v>#DIV/0!</v>
      </c>
      <c r="AY201" s="9" t="e">
        <f>Потребность!U201/Потребность!$T201</f>
        <v>#DIV/0!</v>
      </c>
      <c r="AZ201" s="9" t="e">
        <f>Потребность!V201/Потребность!$T201</f>
        <v>#DIV/0!</v>
      </c>
      <c r="BA201" s="141">
        <f>Потребность!Q201</f>
        <v>0</v>
      </c>
      <c r="BB201">
        <f>Потребность!AC201</f>
        <v>0</v>
      </c>
      <c r="BC201" s="141">
        <f>Потребность!AD201</f>
        <v>0</v>
      </c>
    </row>
    <row r="202" spans="1:55" x14ac:dyDescent="0.2">
      <c r="A202" s="85"/>
      <c r="B202" s="195"/>
      <c r="C202" s="85"/>
      <c r="D202" s="85"/>
      <c r="E202" s="195"/>
      <c r="F202" s="35"/>
      <c r="G202" s="65"/>
      <c r="H202" s="36"/>
      <c r="I202" s="37"/>
      <c r="J202" s="37"/>
      <c r="K202" s="35"/>
      <c r="L202" s="38"/>
      <c r="M202" s="128"/>
      <c r="N202" s="38"/>
      <c r="O202" s="128"/>
      <c r="P202" s="53"/>
      <c r="Q202" s="45"/>
      <c r="R202" s="45"/>
      <c r="S202" s="45"/>
      <c r="T202" s="46"/>
      <c r="U202" s="120"/>
      <c r="V202" s="120"/>
      <c r="W202" s="120"/>
      <c r="X202" s="121"/>
      <c r="Y202" s="121"/>
      <c r="Z202" s="121"/>
      <c r="AA202" s="121"/>
      <c r="AB202" s="121"/>
      <c r="AC202" s="121"/>
      <c r="AD202" s="122"/>
      <c r="AE202" s="122"/>
      <c r="AF202" s="122"/>
      <c r="AG202" s="66"/>
      <c r="AH202" s="46"/>
      <c r="AI202" s="76"/>
      <c r="AJ202" s="97"/>
      <c r="AK202" s="39"/>
      <c r="AL202" s="102"/>
      <c r="AM202" s="102"/>
      <c r="AN202" s="102"/>
      <c r="AO202" s="102"/>
      <c r="AP202" s="280"/>
      <c r="AQ202" s="10">
        <f>Потребность!AD202</f>
        <v>0</v>
      </c>
      <c r="AR202" s="10">
        <f>SUM(Потребность!K202:M202)</f>
        <v>0</v>
      </c>
      <c r="AS202" s="9" t="e">
        <f>Потребность!AZ202</f>
        <v>#N/A</v>
      </c>
      <c r="AT202" s="9">
        <f>Потребность!J202</f>
        <v>0</v>
      </c>
      <c r="AU202" s="9" t="e">
        <f>Потребность!N202/Потребность!$N202</f>
        <v>#DIV/0!</v>
      </c>
      <c r="AV202" s="9" t="e">
        <f>Потребность!O202/Потребность!$N202</f>
        <v>#DIV/0!</v>
      </c>
      <c r="AW202" s="9" t="e">
        <f>Потребность!P202/Потребность!$N202</f>
        <v>#DIV/0!</v>
      </c>
      <c r="AX202" s="9" t="e">
        <f>Потребность!T202/Потребность!$T202</f>
        <v>#DIV/0!</v>
      </c>
      <c r="AY202" s="9" t="e">
        <f>Потребность!U202/Потребность!$T202</f>
        <v>#DIV/0!</v>
      </c>
      <c r="AZ202" s="9" t="e">
        <f>Потребность!V202/Потребность!$T202</f>
        <v>#DIV/0!</v>
      </c>
      <c r="BA202" s="141">
        <f>Потребность!Q202</f>
        <v>0</v>
      </c>
      <c r="BB202">
        <f>Потребность!AC202</f>
        <v>0</v>
      </c>
      <c r="BC202" s="141">
        <f>Потребность!AD202</f>
        <v>0</v>
      </c>
    </row>
    <row r="203" spans="1:55" x14ac:dyDescent="0.2">
      <c r="A203" s="85"/>
      <c r="B203" s="195"/>
      <c r="C203" s="85"/>
      <c r="D203" s="85"/>
      <c r="E203" s="195"/>
      <c r="F203" s="35"/>
      <c r="G203" s="65"/>
      <c r="H203" s="36"/>
      <c r="I203" s="37"/>
      <c r="J203" s="37"/>
      <c r="K203" s="35"/>
      <c r="L203" s="38"/>
      <c r="M203" s="128"/>
      <c r="N203" s="38"/>
      <c r="O203" s="128"/>
      <c r="P203" s="53"/>
      <c r="Q203" s="45"/>
      <c r="R203" s="45"/>
      <c r="S203" s="45"/>
      <c r="T203" s="46"/>
      <c r="U203" s="120"/>
      <c r="V203" s="120"/>
      <c r="W203" s="120"/>
      <c r="X203" s="121"/>
      <c r="Y203" s="121"/>
      <c r="Z203" s="121"/>
      <c r="AA203" s="121"/>
      <c r="AB203" s="121"/>
      <c r="AC203" s="121"/>
      <c r="AD203" s="122"/>
      <c r="AE203" s="122"/>
      <c r="AF203" s="122"/>
      <c r="AG203" s="66"/>
      <c r="AH203" s="46"/>
      <c r="AI203" s="76"/>
      <c r="AJ203" s="97"/>
      <c r="AK203" s="39"/>
      <c r="AL203" s="102"/>
      <c r="AM203" s="102"/>
      <c r="AN203" s="102"/>
      <c r="AO203" s="102"/>
      <c r="AP203" s="280"/>
      <c r="AQ203" s="10">
        <f>Потребность!AD203</f>
        <v>0</v>
      </c>
      <c r="AR203" s="10">
        <f>SUM(Потребность!K203:M203)</f>
        <v>0</v>
      </c>
      <c r="AS203" s="9" t="e">
        <f>Потребность!AZ203</f>
        <v>#N/A</v>
      </c>
      <c r="AT203" s="9">
        <f>Потребность!J203</f>
        <v>0</v>
      </c>
      <c r="AU203" s="9" t="e">
        <f>Потребность!N203/Потребность!$N203</f>
        <v>#DIV/0!</v>
      </c>
      <c r="AV203" s="9" t="e">
        <f>Потребность!O203/Потребность!$N203</f>
        <v>#DIV/0!</v>
      </c>
      <c r="AW203" s="9" t="e">
        <f>Потребность!P203/Потребность!$N203</f>
        <v>#DIV/0!</v>
      </c>
      <c r="AX203" s="9" t="e">
        <f>Потребность!T203/Потребность!$T203</f>
        <v>#DIV/0!</v>
      </c>
      <c r="AY203" s="9" t="e">
        <f>Потребность!U203/Потребность!$T203</f>
        <v>#DIV/0!</v>
      </c>
      <c r="AZ203" s="9" t="e">
        <f>Потребность!V203/Потребность!$T203</f>
        <v>#DIV/0!</v>
      </c>
      <c r="BA203" s="141">
        <f>Потребность!Q203</f>
        <v>0</v>
      </c>
      <c r="BB203">
        <f>Потребность!AC203</f>
        <v>0</v>
      </c>
      <c r="BC203" s="141">
        <f>Потребность!AD203</f>
        <v>0</v>
      </c>
    </row>
    <row r="204" spans="1:55" x14ac:dyDescent="0.2">
      <c r="A204" s="85"/>
      <c r="B204" s="195"/>
      <c r="C204" s="85"/>
      <c r="D204" s="85"/>
      <c r="E204" s="195"/>
      <c r="F204" s="35"/>
      <c r="G204" s="65"/>
      <c r="H204" s="36"/>
      <c r="I204" s="37"/>
      <c r="J204" s="37"/>
      <c r="K204" s="35"/>
      <c r="L204" s="38"/>
      <c r="M204" s="128"/>
      <c r="N204" s="38"/>
      <c r="O204" s="128"/>
      <c r="P204" s="53"/>
      <c r="Q204" s="45"/>
      <c r="R204" s="45"/>
      <c r="S204" s="45"/>
      <c r="T204" s="46"/>
      <c r="U204" s="120"/>
      <c r="V204" s="120"/>
      <c r="W204" s="120"/>
      <c r="X204" s="121"/>
      <c r="Y204" s="121"/>
      <c r="Z204" s="121"/>
      <c r="AA204" s="121"/>
      <c r="AB204" s="121"/>
      <c r="AC204" s="121"/>
      <c r="AD204" s="122"/>
      <c r="AE204" s="122"/>
      <c r="AF204" s="122"/>
      <c r="AG204" s="66"/>
      <c r="AH204" s="46"/>
      <c r="AI204" s="76"/>
      <c r="AJ204" s="97"/>
      <c r="AK204" s="39"/>
      <c r="AL204" s="102"/>
      <c r="AM204" s="102"/>
      <c r="AN204" s="102"/>
      <c r="AO204" s="102"/>
      <c r="AP204" s="280"/>
      <c r="AQ204" s="10">
        <f>Потребность!AD204</f>
        <v>0</v>
      </c>
      <c r="AR204" s="10">
        <f>SUM(Потребность!K204:M204)</f>
        <v>0</v>
      </c>
      <c r="AS204" s="9" t="e">
        <f>Потребность!AZ204</f>
        <v>#N/A</v>
      </c>
      <c r="AT204" s="9">
        <f>Потребность!J204</f>
        <v>0</v>
      </c>
      <c r="AU204" s="9" t="e">
        <f>Потребность!N204/Потребность!$N204</f>
        <v>#DIV/0!</v>
      </c>
      <c r="AV204" s="9" t="e">
        <f>Потребность!O204/Потребность!$N204</f>
        <v>#DIV/0!</v>
      </c>
      <c r="AW204" s="9" t="e">
        <f>Потребность!P204/Потребность!$N204</f>
        <v>#DIV/0!</v>
      </c>
      <c r="AX204" s="9" t="e">
        <f>Потребность!T204/Потребность!$T204</f>
        <v>#DIV/0!</v>
      </c>
      <c r="AY204" s="9" t="e">
        <f>Потребность!U204/Потребность!$T204</f>
        <v>#DIV/0!</v>
      </c>
      <c r="AZ204" s="9" t="e">
        <f>Потребность!V204/Потребность!$T204</f>
        <v>#DIV/0!</v>
      </c>
      <c r="BA204" s="141">
        <f>Потребность!Q204</f>
        <v>0</v>
      </c>
      <c r="BB204">
        <f>Потребность!AC204</f>
        <v>0</v>
      </c>
      <c r="BC204" s="141">
        <f>Потребность!AD204</f>
        <v>0</v>
      </c>
    </row>
    <row r="205" spans="1:55" x14ac:dyDescent="0.2">
      <c r="A205" s="85"/>
      <c r="B205" s="195"/>
      <c r="C205" s="85"/>
      <c r="D205" s="85"/>
      <c r="E205" s="195"/>
      <c r="F205" s="35"/>
      <c r="G205" s="65"/>
      <c r="H205" s="36"/>
      <c r="I205" s="37"/>
      <c r="J205" s="37"/>
      <c r="K205" s="35"/>
      <c r="L205" s="38"/>
      <c r="M205" s="128"/>
      <c r="N205" s="38"/>
      <c r="O205" s="128"/>
      <c r="P205" s="53"/>
      <c r="Q205" s="45"/>
      <c r="R205" s="45"/>
      <c r="S205" s="45"/>
      <c r="T205" s="46"/>
      <c r="U205" s="120"/>
      <c r="V205" s="120"/>
      <c r="W205" s="120"/>
      <c r="X205" s="121"/>
      <c r="Y205" s="121"/>
      <c r="Z205" s="121"/>
      <c r="AA205" s="121"/>
      <c r="AB205" s="121"/>
      <c r="AC205" s="121"/>
      <c r="AD205" s="122"/>
      <c r="AE205" s="122"/>
      <c r="AF205" s="122"/>
      <c r="AG205" s="66"/>
      <c r="AH205" s="46"/>
      <c r="AI205" s="76"/>
      <c r="AJ205" s="97"/>
      <c r="AK205" s="39"/>
      <c r="AL205" s="102"/>
      <c r="AM205" s="102"/>
      <c r="AN205" s="102"/>
      <c r="AO205" s="102"/>
      <c r="AP205" s="280"/>
      <c r="AQ205" s="10">
        <f>Потребность!AD205</f>
        <v>0</v>
      </c>
      <c r="AR205" s="10">
        <f>SUM(Потребность!K205:M205)</f>
        <v>0</v>
      </c>
      <c r="AS205" s="9" t="e">
        <f>Потребность!AZ205</f>
        <v>#N/A</v>
      </c>
      <c r="AT205" s="9">
        <f>Потребность!J205</f>
        <v>0</v>
      </c>
      <c r="AU205" s="9" t="e">
        <f>Потребность!N205/Потребность!$N205</f>
        <v>#DIV/0!</v>
      </c>
      <c r="AV205" s="9" t="e">
        <f>Потребность!O205/Потребность!$N205</f>
        <v>#DIV/0!</v>
      </c>
      <c r="AW205" s="9" t="e">
        <f>Потребность!P205/Потребность!$N205</f>
        <v>#DIV/0!</v>
      </c>
      <c r="AX205" s="9" t="e">
        <f>Потребность!T205/Потребность!$T205</f>
        <v>#DIV/0!</v>
      </c>
      <c r="AY205" s="9" t="e">
        <f>Потребность!U205/Потребность!$T205</f>
        <v>#DIV/0!</v>
      </c>
      <c r="AZ205" s="9" t="e">
        <f>Потребность!V205/Потребность!$T205</f>
        <v>#DIV/0!</v>
      </c>
      <c r="BA205" s="141">
        <f>Потребность!Q205</f>
        <v>0</v>
      </c>
      <c r="BB205">
        <f>Потребность!AC205</f>
        <v>0</v>
      </c>
      <c r="BC205" s="141">
        <f>Потребность!AD205</f>
        <v>0</v>
      </c>
    </row>
    <row r="206" spans="1:55" x14ac:dyDescent="0.2">
      <c r="A206" s="85"/>
      <c r="B206" s="195"/>
      <c r="C206" s="85"/>
      <c r="D206" s="85"/>
      <c r="E206" s="195"/>
      <c r="F206" s="35"/>
      <c r="G206" s="65"/>
      <c r="H206" s="36"/>
      <c r="I206" s="37"/>
      <c r="J206" s="37"/>
      <c r="K206" s="35"/>
      <c r="L206" s="38"/>
      <c r="M206" s="128"/>
      <c r="N206" s="38"/>
      <c r="O206" s="128"/>
      <c r="P206" s="53"/>
      <c r="Q206" s="45"/>
      <c r="R206" s="45"/>
      <c r="S206" s="45"/>
      <c r="T206" s="46"/>
      <c r="U206" s="120"/>
      <c r="V206" s="120"/>
      <c r="W206" s="120"/>
      <c r="X206" s="121"/>
      <c r="Y206" s="121"/>
      <c r="Z206" s="121"/>
      <c r="AA206" s="121"/>
      <c r="AB206" s="121"/>
      <c r="AC206" s="121"/>
      <c r="AD206" s="122"/>
      <c r="AE206" s="122"/>
      <c r="AF206" s="122"/>
      <c r="AG206" s="66"/>
      <c r="AH206" s="46"/>
      <c r="AI206" s="76"/>
      <c r="AJ206" s="97"/>
      <c r="AK206" s="39"/>
      <c r="AL206" s="102"/>
      <c r="AM206" s="102"/>
      <c r="AN206" s="102"/>
      <c r="AO206" s="102"/>
      <c r="AP206" s="280"/>
      <c r="AQ206" s="10">
        <f>Потребность!AD206</f>
        <v>0</v>
      </c>
      <c r="AR206" s="10">
        <f>SUM(Потребность!K206:M206)</f>
        <v>0</v>
      </c>
      <c r="AS206" s="9" t="e">
        <f>Потребность!AZ206</f>
        <v>#N/A</v>
      </c>
      <c r="AT206" s="9">
        <f>Потребность!J206</f>
        <v>0</v>
      </c>
      <c r="AU206" s="9" t="e">
        <f>Потребность!N206/Потребность!$N206</f>
        <v>#DIV/0!</v>
      </c>
      <c r="AV206" s="9" t="e">
        <f>Потребность!O206/Потребность!$N206</f>
        <v>#DIV/0!</v>
      </c>
      <c r="AW206" s="9" t="e">
        <f>Потребность!P206/Потребность!$N206</f>
        <v>#DIV/0!</v>
      </c>
      <c r="AX206" s="9" t="e">
        <f>Потребность!T206/Потребность!$T206</f>
        <v>#DIV/0!</v>
      </c>
      <c r="AY206" s="9" t="e">
        <f>Потребность!U206/Потребность!$T206</f>
        <v>#DIV/0!</v>
      </c>
      <c r="AZ206" s="9" t="e">
        <f>Потребность!V206/Потребность!$T206</f>
        <v>#DIV/0!</v>
      </c>
      <c r="BA206" s="141">
        <f>Потребность!Q206</f>
        <v>0</v>
      </c>
      <c r="BB206">
        <f>Потребность!AC206</f>
        <v>0</v>
      </c>
      <c r="BC206" s="141">
        <f>Потребность!AD206</f>
        <v>0</v>
      </c>
    </row>
    <row r="207" spans="1:55" x14ac:dyDescent="0.2">
      <c r="A207" s="85"/>
      <c r="B207" s="195"/>
      <c r="C207" s="85"/>
      <c r="D207" s="85"/>
      <c r="E207" s="195"/>
      <c r="F207" s="35"/>
      <c r="G207" s="65"/>
      <c r="H207" s="36"/>
      <c r="I207" s="37"/>
      <c r="J207" s="37"/>
      <c r="K207" s="35"/>
      <c r="L207" s="38"/>
      <c r="M207" s="128"/>
      <c r="N207" s="38"/>
      <c r="O207" s="128"/>
      <c r="P207" s="53"/>
      <c r="Q207" s="45"/>
      <c r="R207" s="45"/>
      <c r="S207" s="45"/>
      <c r="T207" s="46"/>
      <c r="U207" s="120"/>
      <c r="V207" s="120"/>
      <c r="W207" s="120"/>
      <c r="X207" s="121"/>
      <c r="Y207" s="121"/>
      <c r="Z207" s="121"/>
      <c r="AA207" s="121"/>
      <c r="AB207" s="121"/>
      <c r="AC207" s="121"/>
      <c r="AD207" s="122"/>
      <c r="AE207" s="122"/>
      <c r="AF207" s="122"/>
      <c r="AG207" s="66"/>
      <c r="AH207" s="46"/>
      <c r="AI207" s="76"/>
      <c r="AJ207" s="97"/>
      <c r="AK207" s="39"/>
      <c r="AL207" s="102"/>
      <c r="AM207" s="102"/>
      <c r="AN207" s="102"/>
      <c r="AO207" s="102"/>
      <c r="AP207" s="280"/>
      <c r="AQ207" s="10">
        <f>Потребность!AD207</f>
        <v>0</v>
      </c>
      <c r="AR207" s="10">
        <f>SUM(Потребность!K207:M207)</f>
        <v>0</v>
      </c>
      <c r="AS207" s="9" t="e">
        <f>Потребность!AZ207</f>
        <v>#N/A</v>
      </c>
      <c r="AT207" s="9">
        <f>Потребность!J207</f>
        <v>0</v>
      </c>
      <c r="AU207" s="9" t="e">
        <f>Потребность!N207/Потребность!$N207</f>
        <v>#DIV/0!</v>
      </c>
      <c r="AV207" s="9" t="e">
        <f>Потребность!O207/Потребность!$N207</f>
        <v>#DIV/0!</v>
      </c>
      <c r="AW207" s="9" t="e">
        <f>Потребность!P207/Потребность!$N207</f>
        <v>#DIV/0!</v>
      </c>
      <c r="AX207" s="9" t="e">
        <f>Потребность!T207/Потребность!$T207</f>
        <v>#DIV/0!</v>
      </c>
      <c r="AY207" s="9" t="e">
        <f>Потребность!U207/Потребность!$T207</f>
        <v>#DIV/0!</v>
      </c>
      <c r="AZ207" s="9" t="e">
        <f>Потребность!V207/Потребность!$T207</f>
        <v>#DIV/0!</v>
      </c>
      <c r="BA207" s="141">
        <f>Потребность!Q207</f>
        <v>0</v>
      </c>
      <c r="BB207">
        <f>Потребность!AC207</f>
        <v>0</v>
      </c>
      <c r="BC207" s="141">
        <f>Потребность!AD207</f>
        <v>0</v>
      </c>
    </row>
    <row r="208" spans="1:55" x14ac:dyDescent="0.2">
      <c r="A208" s="85"/>
      <c r="B208" s="195"/>
      <c r="C208" s="85"/>
      <c r="D208" s="85"/>
      <c r="E208" s="195"/>
      <c r="F208" s="35"/>
      <c r="G208" s="65"/>
      <c r="H208" s="36"/>
      <c r="I208" s="37"/>
      <c r="J208" s="37"/>
      <c r="K208" s="35"/>
      <c r="L208" s="38"/>
      <c r="M208" s="128"/>
      <c r="N208" s="38"/>
      <c r="O208" s="128"/>
      <c r="P208" s="53"/>
      <c r="Q208" s="45"/>
      <c r="R208" s="45"/>
      <c r="S208" s="45"/>
      <c r="T208" s="46"/>
      <c r="U208" s="120"/>
      <c r="V208" s="120"/>
      <c r="W208" s="120"/>
      <c r="X208" s="121"/>
      <c r="Y208" s="121"/>
      <c r="Z208" s="121"/>
      <c r="AA208" s="121"/>
      <c r="AB208" s="121"/>
      <c r="AC208" s="121"/>
      <c r="AD208" s="122"/>
      <c r="AE208" s="122"/>
      <c r="AF208" s="122"/>
      <c r="AG208" s="66"/>
      <c r="AH208" s="46"/>
      <c r="AI208" s="76"/>
      <c r="AJ208" s="97"/>
      <c r="AK208" s="39"/>
      <c r="AL208" s="102"/>
      <c r="AM208" s="102"/>
      <c r="AN208" s="102"/>
      <c r="AO208" s="102"/>
      <c r="AP208" s="280"/>
      <c r="AQ208" s="10">
        <f>Потребность!AD208</f>
        <v>0</v>
      </c>
      <c r="AR208" s="10">
        <f>SUM(Потребность!K208:M208)</f>
        <v>0</v>
      </c>
      <c r="AS208" s="9" t="e">
        <f>Потребность!AZ208</f>
        <v>#N/A</v>
      </c>
      <c r="AT208" s="9">
        <f>Потребность!J208</f>
        <v>0</v>
      </c>
      <c r="AU208" s="9" t="e">
        <f>Потребность!N208/Потребность!$N208</f>
        <v>#DIV/0!</v>
      </c>
      <c r="AV208" s="9" t="e">
        <f>Потребность!O208/Потребность!$N208</f>
        <v>#DIV/0!</v>
      </c>
      <c r="AW208" s="9" t="e">
        <f>Потребность!P208/Потребность!$N208</f>
        <v>#DIV/0!</v>
      </c>
      <c r="AX208" s="9" t="e">
        <f>Потребность!T208/Потребность!$T208</f>
        <v>#DIV/0!</v>
      </c>
      <c r="AY208" s="9" t="e">
        <f>Потребность!U208/Потребность!$T208</f>
        <v>#DIV/0!</v>
      </c>
      <c r="AZ208" s="9" t="e">
        <f>Потребность!V208/Потребность!$T208</f>
        <v>#DIV/0!</v>
      </c>
      <c r="BA208" s="141">
        <f>Потребность!Q208</f>
        <v>0</v>
      </c>
      <c r="BB208">
        <f>Потребность!AC208</f>
        <v>0</v>
      </c>
      <c r="BC208" s="141">
        <f>Потребность!AD208</f>
        <v>0</v>
      </c>
    </row>
    <row r="209" spans="1:55" x14ac:dyDescent="0.2">
      <c r="A209" s="85"/>
      <c r="B209" s="195"/>
      <c r="C209" s="85"/>
      <c r="D209" s="85"/>
      <c r="E209" s="195"/>
      <c r="F209" s="35"/>
      <c r="G209" s="65"/>
      <c r="H209" s="36"/>
      <c r="I209" s="37"/>
      <c r="J209" s="37"/>
      <c r="K209" s="35"/>
      <c r="L209" s="38"/>
      <c r="M209" s="128"/>
      <c r="N209" s="38"/>
      <c r="O209" s="128"/>
      <c r="P209" s="53"/>
      <c r="Q209" s="45"/>
      <c r="R209" s="45"/>
      <c r="S209" s="45"/>
      <c r="T209" s="46"/>
      <c r="U209" s="120"/>
      <c r="V209" s="120"/>
      <c r="W209" s="120"/>
      <c r="X209" s="121"/>
      <c r="Y209" s="121"/>
      <c r="Z209" s="121"/>
      <c r="AA209" s="121"/>
      <c r="AB209" s="121"/>
      <c r="AC209" s="121"/>
      <c r="AD209" s="122"/>
      <c r="AE209" s="122"/>
      <c r="AF209" s="122"/>
      <c r="AG209" s="66"/>
      <c r="AH209" s="46"/>
      <c r="AI209" s="76"/>
      <c r="AJ209" s="97"/>
      <c r="AK209" s="39"/>
      <c r="AL209" s="102"/>
      <c r="AM209" s="102"/>
      <c r="AN209" s="102"/>
      <c r="AO209" s="102"/>
      <c r="AP209" s="280"/>
      <c r="AQ209" s="10">
        <f>Потребность!AD209</f>
        <v>0</v>
      </c>
      <c r="AR209" s="10">
        <f>SUM(Потребность!K209:M209)</f>
        <v>0</v>
      </c>
      <c r="AS209" s="9" t="e">
        <f>Потребность!AZ209</f>
        <v>#N/A</v>
      </c>
      <c r="AT209" s="9">
        <f>Потребность!J209</f>
        <v>0</v>
      </c>
      <c r="AU209" s="9" t="e">
        <f>Потребность!N209/Потребность!$N209</f>
        <v>#DIV/0!</v>
      </c>
      <c r="AV209" s="9" t="e">
        <f>Потребность!O209/Потребность!$N209</f>
        <v>#DIV/0!</v>
      </c>
      <c r="AW209" s="9" t="e">
        <f>Потребность!P209/Потребность!$N209</f>
        <v>#DIV/0!</v>
      </c>
      <c r="AX209" s="9" t="e">
        <f>Потребность!T209/Потребность!$T209</f>
        <v>#DIV/0!</v>
      </c>
      <c r="AY209" s="9" t="e">
        <f>Потребность!U209/Потребность!$T209</f>
        <v>#DIV/0!</v>
      </c>
      <c r="AZ209" s="9" t="e">
        <f>Потребность!V209/Потребность!$T209</f>
        <v>#DIV/0!</v>
      </c>
      <c r="BA209" s="141">
        <f>Потребность!Q209</f>
        <v>0</v>
      </c>
      <c r="BB209">
        <f>Потребность!AC209</f>
        <v>0</v>
      </c>
      <c r="BC209" s="141">
        <f>Потребность!AD209</f>
        <v>0</v>
      </c>
    </row>
    <row r="210" spans="1:55" x14ac:dyDescent="0.2">
      <c r="A210" s="85"/>
      <c r="B210" s="195"/>
      <c r="C210" s="85"/>
      <c r="D210" s="85"/>
      <c r="E210" s="195"/>
      <c r="F210" s="35"/>
      <c r="G210" s="65"/>
      <c r="H210" s="36"/>
      <c r="I210" s="37"/>
      <c r="J210" s="37"/>
      <c r="K210" s="35"/>
      <c r="L210" s="38"/>
      <c r="M210" s="128"/>
      <c r="N210" s="38"/>
      <c r="O210" s="128"/>
      <c r="P210" s="53"/>
      <c r="Q210" s="45"/>
      <c r="R210" s="45"/>
      <c r="S210" s="45"/>
      <c r="T210" s="46"/>
      <c r="U210" s="120"/>
      <c r="V210" s="120"/>
      <c r="W210" s="120"/>
      <c r="X210" s="121"/>
      <c r="Y210" s="121"/>
      <c r="Z210" s="121"/>
      <c r="AA210" s="121"/>
      <c r="AB210" s="121"/>
      <c r="AC210" s="121"/>
      <c r="AD210" s="122"/>
      <c r="AE210" s="122"/>
      <c r="AF210" s="122"/>
      <c r="AG210" s="66"/>
      <c r="AH210" s="46"/>
      <c r="AI210" s="76"/>
      <c r="AJ210" s="97"/>
      <c r="AK210" s="39"/>
      <c r="AL210" s="102"/>
      <c r="AM210" s="102"/>
      <c r="AN210" s="102"/>
      <c r="AO210" s="102"/>
      <c r="AP210" s="280"/>
      <c r="AQ210" s="10">
        <f>Потребность!AD210</f>
        <v>0</v>
      </c>
      <c r="AR210" s="10">
        <f>SUM(Потребность!K210:M210)</f>
        <v>0</v>
      </c>
      <c r="AS210" s="9" t="e">
        <f>Потребность!AZ210</f>
        <v>#N/A</v>
      </c>
      <c r="AT210" s="9">
        <f>Потребность!J210</f>
        <v>0</v>
      </c>
      <c r="AU210" s="9" t="e">
        <f>Потребность!N210/Потребность!$N210</f>
        <v>#DIV/0!</v>
      </c>
      <c r="AV210" s="9" t="e">
        <f>Потребность!O210/Потребность!$N210</f>
        <v>#DIV/0!</v>
      </c>
      <c r="AW210" s="9" t="e">
        <f>Потребность!P210/Потребность!$N210</f>
        <v>#DIV/0!</v>
      </c>
      <c r="AX210" s="9" t="e">
        <f>Потребность!T210/Потребность!$T210</f>
        <v>#DIV/0!</v>
      </c>
      <c r="AY210" s="9" t="e">
        <f>Потребность!U210/Потребность!$T210</f>
        <v>#DIV/0!</v>
      </c>
      <c r="AZ210" s="9" t="e">
        <f>Потребность!V210/Потребность!$T210</f>
        <v>#DIV/0!</v>
      </c>
      <c r="BA210" s="141">
        <f>Потребность!Q210</f>
        <v>0</v>
      </c>
      <c r="BB210">
        <f>Потребность!AC210</f>
        <v>0</v>
      </c>
      <c r="BC210" s="141">
        <f>Потребность!AD210</f>
        <v>0</v>
      </c>
    </row>
    <row r="211" spans="1:55" x14ac:dyDescent="0.2">
      <c r="A211" s="85"/>
      <c r="B211" s="195"/>
      <c r="C211" s="85"/>
      <c r="D211" s="85"/>
      <c r="E211" s="195"/>
      <c r="F211" s="35"/>
      <c r="G211" s="65"/>
      <c r="H211" s="36"/>
      <c r="I211" s="37"/>
      <c r="J211" s="37"/>
      <c r="K211" s="35"/>
      <c r="L211" s="38"/>
      <c r="M211" s="128"/>
      <c r="N211" s="38"/>
      <c r="O211" s="128"/>
      <c r="P211" s="53"/>
      <c r="Q211" s="45"/>
      <c r="R211" s="45"/>
      <c r="S211" s="45"/>
      <c r="T211" s="46"/>
      <c r="U211" s="120"/>
      <c r="V211" s="120"/>
      <c r="W211" s="120"/>
      <c r="X211" s="121"/>
      <c r="Y211" s="121"/>
      <c r="Z211" s="121"/>
      <c r="AA211" s="121"/>
      <c r="AB211" s="121"/>
      <c r="AC211" s="121"/>
      <c r="AD211" s="122"/>
      <c r="AE211" s="122"/>
      <c r="AF211" s="122"/>
      <c r="AG211" s="66"/>
      <c r="AH211" s="46"/>
      <c r="AI211" s="76"/>
      <c r="AJ211" s="97"/>
      <c r="AK211" s="39"/>
      <c r="AL211" s="102"/>
      <c r="AM211" s="102"/>
      <c r="AN211" s="102"/>
      <c r="AO211" s="102"/>
      <c r="AP211" s="280"/>
      <c r="AQ211" s="10">
        <f>Потребность!AD211</f>
        <v>0</v>
      </c>
      <c r="AR211" s="10">
        <f>SUM(Потребность!K211:M211)</f>
        <v>0</v>
      </c>
      <c r="AS211" s="9" t="e">
        <f>Потребность!AZ211</f>
        <v>#N/A</v>
      </c>
      <c r="AT211" s="9">
        <f>Потребность!J211</f>
        <v>0</v>
      </c>
      <c r="AU211" s="9" t="e">
        <f>Потребность!N211/Потребность!$N211</f>
        <v>#DIV/0!</v>
      </c>
      <c r="AV211" s="9" t="e">
        <f>Потребность!O211/Потребность!$N211</f>
        <v>#DIV/0!</v>
      </c>
      <c r="AW211" s="9" t="e">
        <f>Потребность!P211/Потребность!$N211</f>
        <v>#DIV/0!</v>
      </c>
      <c r="AX211" s="9" t="e">
        <f>Потребность!T211/Потребность!$T211</f>
        <v>#DIV/0!</v>
      </c>
      <c r="AY211" s="9" t="e">
        <f>Потребность!U211/Потребность!$T211</f>
        <v>#DIV/0!</v>
      </c>
      <c r="AZ211" s="9" t="e">
        <f>Потребность!V211/Потребность!$T211</f>
        <v>#DIV/0!</v>
      </c>
      <c r="BA211" s="141">
        <f>Потребность!Q211</f>
        <v>0</v>
      </c>
      <c r="BB211">
        <f>Потребность!AC211</f>
        <v>0</v>
      </c>
      <c r="BC211" s="141">
        <f>Потребность!AD211</f>
        <v>0</v>
      </c>
    </row>
    <row r="212" spans="1:55" x14ac:dyDescent="0.2">
      <c r="A212" s="85"/>
      <c r="B212" s="195"/>
      <c r="C212" s="85"/>
      <c r="D212" s="85"/>
      <c r="E212" s="195"/>
      <c r="F212" s="35"/>
      <c r="G212" s="65"/>
      <c r="H212" s="36"/>
      <c r="I212" s="37"/>
      <c r="J212" s="37"/>
      <c r="K212" s="35"/>
      <c r="L212" s="38"/>
      <c r="M212" s="128"/>
      <c r="N212" s="38"/>
      <c r="O212" s="128"/>
      <c r="P212" s="53"/>
      <c r="Q212" s="45"/>
      <c r="R212" s="45"/>
      <c r="S212" s="45"/>
      <c r="T212" s="46"/>
      <c r="U212" s="120"/>
      <c r="V212" s="120"/>
      <c r="W212" s="120"/>
      <c r="X212" s="121"/>
      <c r="Y212" s="121"/>
      <c r="Z212" s="121"/>
      <c r="AA212" s="121"/>
      <c r="AB212" s="121"/>
      <c r="AC212" s="121"/>
      <c r="AD212" s="122"/>
      <c r="AE212" s="122"/>
      <c r="AF212" s="122"/>
      <c r="AG212" s="66"/>
      <c r="AH212" s="46"/>
      <c r="AI212" s="76"/>
      <c r="AJ212" s="97"/>
      <c r="AK212" s="39"/>
      <c r="AL212" s="102"/>
      <c r="AM212" s="102"/>
      <c r="AN212" s="102"/>
      <c r="AO212" s="102"/>
      <c r="AP212" s="280"/>
      <c r="AQ212" s="10">
        <f>Потребность!AD212</f>
        <v>0</v>
      </c>
      <c r="AR212" s="10">
        <f>SUM(Потребность!K212:M212)</f>
        <v>0</v>
      </c>
      <c r="AS212" s="9" t="e">
        <f>Потребность!AZ212</f>
        <v>#N/A</v>
      </c>
      <c r="AT212" s="9">
        <f>Потребность!J212</f>
        <v>0</v>
      </c>
      <c r="AU212" s="9" t="e">
        <f>Потребность!N212/Потребность!$N212</f>
        <v>#DIV/0!</v>
      </c>
      <c r="AV212" s="9" t="e">
        <f>Потребность!O212/Потребность!$N212</f>
        <v>#DIV/0!</v>
      </c>
      <c r="AW212" s="9" t="e">
        <f>Потребность!P212/Потребность!$N212</f>
        <v>#DIV/0!</v>
      </c>
      <c r="AX212" s="9" t="e">
        <f>Потребность!T212/Потребность!$T212</f>
        <v>#DIV/0!</v>
      </c>
      <c r="AY212" s="9" t="e">
        <f>Потребность!U212/Потребность!$T212</f>
        <v>#DIV/0!</v>
      </c>
      <c r="AZ212" s="9" t="e">
        <f>Потребность!V212/Потребность!$T212</f>
        <v>#DIV/0!</v>
      </c>
      <c r="BA212" s="141">
        <f>Потребность!Q212</f>
        <v>0</v>
      </c>
      <c r="BB212">
        <f>Потребность!AC212</f>
        <v>0</v>
      </c>
      <c r="BC212" s="141">
        <f>Потребность!AD212</f>
        <v>0</v>
      </c>
    </row>
    <row r="213" spans="1:55" x14ac:dyDescent="0.2">
      <c r="A213" s="85"/>
      <c r="B213" s="195"/>
      <c r="C213" s="85"/>
      <c r="D213" s="85"/>
      <c r="E213" s="195"/>
      <c r="F213" s="35"/>
      <c r="G213" s="65"/>
      <c r="H213" s="36"/>
      <c r="I213" s="37"/>
      <c r="J213" s="37"/>
      <c r="K213" s="35"/>
      <c r="L213" s="38"/>
      <c r="M213" s="128"/>
      <c r="N213" s="38"/>
      <c r="O213" s="128"/>
      <c r="P213" s="53"/>
      <c r="Q213" s="45"/>
      <c r="R213" s="45"/>
      <c r="S213" s="45"/>
      <c r="T213" s="46"/>
      <c r="U213" s="120"/>
      <c r="V213" s="120"/>
      <c r="W213" s="120"/>
      <c r="X213" s="121"/>
      <c r="Y213" s="121"/>
      <c r="Z213" s="121"/>
      <c r="AA213" s="121"/>
      <c r="AB213" s="121"/>
      <c r="AC213" s="121"/>
      <c r="AD213" s="122"/>
      <c r="AE213" s="122"/>
      <c r="AF213" s="122"/>
      <c r="AG213" s="66"/>
      <c r="AH213" s="46"/>
      <c r="AI213" s="76"/>
      <c r="AJ213" s="97"/>
      <c r="AK213" s="39"/>
      <c r="AL213" s="102"/>
      <c r="AM213" s="102"/>
      <c r="AN213" s="102"/>
      <c r="AO213" s="102"/>
      <c r="AP213" s="280"/>
      <c r="AQ213" s="10">
        <f>Потребность!AD213</f>
        <v>0</v>
      </c>
      <c r="AR213" s="10">
        <f>SUM(Потребность!K213:M213)</f>
        <v>0</v>
      </c>
      <c r="AS213" s="9" t="e">
        <f>Потребность!AZ213</f>
        <v>#N/A</v>
      </c>
      <c r="AT213" s="9">
        <f>Потребность!J213</f>
        <v>0</v>
      </c>
      <c r="AU213" s="9" t="e">
        <f>Потребность!N213/Потребность!$N213</f>
        <v>#DIV/0!</v>
      </c>
      <c r="AV213" s="9" t="e">
        <f>Потребность!O213/Потребность!$N213</f>
        <v>#DIV/0!</v>
      </c>
      <c r="AW213" s="9" t="e">
        <f>Потребность!P213/Потребность!$N213</f>
        <v>#DIV/0!</v>
      </c>
      <c r="AX213" s="9" t="e">
        <f>Потребность!T213/Потребность!$T213</f>
        <v>#DIV/0!</v>
      </c>
      <c r="AY213" s="9" t="e">
        <f>Потребность!U213/Потребность!$T213</f>
        <v>#DIV/0!</v>
      </c>
      <c r="AZ213" s="9" t="e">
        <f>Потребность!V213/Потребность!$T213</f>
        <v>#DIV/0!</v>
      </c>
      <c r="BA213" s="141">
        <f>Потребность!Q213</f>
        <v>0</v>
      </c>
      <c r="BB213">
        <f>Потребность!AC213</f>
        <v>0</v>
      </c>
      <c r="BC213" s="141">
        <f>Потребность!AD213</f>
        <v>0</v>
      </c>
    </row>
    <row r="214" spans="1:55" x14ac:dyDescent="0.2">
      <c r="A214" s="85"/>
      <c r="B214" s="195"/>
      <c r="C214" s="85"/>
      <c r="D214" s="85"/>
      <c r="E214" s="195"/>
      <c r="F214" s="35"/>
      <c r="G214" s="65"/>
      <c r="H214" s="36"/>
      <c r="I214" s="37"/>
      <c r="J214" s="37"/>
      <c r="K214" s="35"/>
      <c r="L214" s="38"/>
      <c r="M214" s="128"/>
      <c r="N214" s="38"/>
      <c r="O214" s="128"/>
      <c r="P214" s="53"/>
      <c r="Q214" s="45"/>
      <c r="R214" s="45"/>
      <c r="S214" s="45"/>
      <c r="T214" s="46"/>
      <c r="U214" s="120"/>
      <c r="V214" s="120"/>
      <c r="W214" s="120"/>
      <c r="X214" s="121"/>
      <c r="Y214" s="121"/>
      <c r="Z214" s="121"/>
      <c r="AA214" s="121"/>
      <c r="AB214" s="121"/>
      <c r="AC214" s="121"/>
      <c r="AD214" s="122"/>
      <c r="AE214" s="122"/>
      <c r="AF214" s="122"/>
      <c r="AG214" s="66"/>
      <c r="AH214" s="46"/>
      <c r="AI214" s="76"/>
      <c r="AJ214" s="97"/>
      <c r="AK214" s="39"/>
      <c r="AL214" s="102"/>
      <c r="AM214" s="102"/>
      <c r="AN214" s="102"/>
      <c r="AO214" s="102"/>
      <c r="AP214" s="280"/>
      <c r="AQ214" s="10">
        <f>Потребность!AD214</f>
        <v>0</v>
      </c>
      <c r="AR214" s="10">
        <f>SUM(Потребность!K214:M214)</f>
        <v>0</v>
      </c>
      <c r="AS214" s="9" t="e">
        <f>Потребность!AZ214</f>
        <v>#N/A</v>
      </c>
      <c r="AT214" s="9">
        <f>Потребность!J214</f>
        <v>0</v>
      </c>
      <c r="AU214" s="9" t="e">
        <f>Потребность!N214/Потребность!$N214</f>
        <v>#DIV/0!</v>
      </c>
      <c r="AV214" s="9" t="e">
        <f>Потребность!O214/Потребность!$N214</f>
        <v>#DIV/0!</v>
      </c>
      <c r="AW214" s="9" t="e">
        <f>Потребность!P214/Потребность!$N214</f>
        <v>#DIV/0!</v>
      </c>
      <c r="AX214" s="9" t="e">
        <f>Потребность!T214/Потребность!$T214</f>
        <v>#DIV/0!</v>
      </c>
      <c r="AY214" s="9" t="e">
        <f>Потребность!U214/Потребность!$T214</f>
        <v>#DIV/0!</v>
      </c>
      <c r="AZ214" s="9" t="e">
        <f>Потребность!V214/Потребность!$T214</f>
        <v>#DIV/0!</v>
      </c>
      <c r="BA214" s="141">
        <f>Потребность!Q214</f>
        <v>0</v>
      </c>
      <c r="BB214">
        <f>Потребность!AC214</f>
        <v>0</v>
      </c>
      <c r="BC214" s="141">
        <f>Потребность!AD214</f>
        <v>0</v>
      </c>
    </row>
    <row r="215" spans="1:55" x14ac:dyDescent="0.2">
      <c r="A215" s="85"/>
      <c r="B215" s="195"/>
      <c r="C215" s="85"/>
      <c r="D215" s="85"/>
      <c r="E215" s="195"/>
      <c r="F215" s="35"/>
      <c r="G215" s="65"/>
      <c r="H215" s="36"/>
      <c r="I215" s="37"/>
      <c r="J215" s="37"/>
      <c r="K215" s="35"/>
      <c r="L215" s="38"/>
      <c r="M215" s="128"/>
      <c r="N215" s="38"/>
      <c r="O215" s="128"/>
      <c r="P215" s="53"/>
      <c r="Q215" s="45"/>
      <c r="R215" s="45"/>
      <c r="S215" s="45"/>
      <c r="T215" s="46"/>
      <c r="U215" s="120"/>
      <c r="V215" s="120"/>
      <c r="W215" s="120"/>
      <c r="X215" s="121"/>
      <c r="Y215" s="121"/>
      <c r="Z215" s="121"/>
      <c r="AA215" s="121"/>
      <c r="AB215" s="121"/>
      <c r="AC215" s="121"/>
      <c r="AD215" s="122"/>
      <c r="AE215" s="122"/>
      <c r="AF215" s="122"/>
      <c r="AG215" s="66"/>
      <c r="AH215" s="46"/>
      <c r="AI215" s="76"/>
      <c r="AJ215" s="97"/>
      <c r="AK215" s="39"/>
      <c r="AL215" s="102"/>
      <c r="AM215" s="102"/>
      <c r="AN215" s="102"/>
      <c r="AO215" s="102"/>
      <c r="AP215" s="280"/>
      <c r="AQ215" s="10">
        <f>Потребность!AD215</f>
        <v>0</v>
      </c>
      <c r="AR215" s="10">
        <f>SUM(Потребность!K215:M215)</f>
        <v>0</v>
      </c>
      <c r="AS215" s="9" t="e">
        <f>Потребность!AZ215</f>
        <v>#N/A</v>
      </c>
      <c r="AT215" s="9">
        <f>Потребность!J215</f>
        <v>0</v>
      </c>
      <c r="AU215" s="9" t="e">
        <f>Потребность!N215/Потребность!$N215</f>
        <v>#DIV/0!</v>
      </c>
      <c r="AV215" s="9" t="e">
        <f>Потребность!O215/Потребность!$N215</f>
        <v>#DIV/0!</v>
      </c>
      <c r="AW215" s="9" t="e">
        <f>Потребность!P215/Потребность!$N215</f>
        <v>#DIV/0!</v>
      </c>
      <c r="AX215" s="9" t="e">
        <f>Потребность!T215/Потребность!$T215</f>
        <v>#DIV/0!</v>
      </c>
      <c r="AY215" s="9" t="e">
        <f>Потребность!U215/Потребность!$T215</f>
        <v>#DIV/0!</v>
      </c>
      <c r="AZ215" s="9" t="e">
        <f>Потребность!V215/Потребность!$T215</f>
        <v>#DIV/0!</v>
      </c>
      <c r="BA215" s="141">
        <f>Потребность!Q215</f>
        <v>0</v>
      </c>
      <c r="BB215">
        <f>Потребность!AC215</f>
        <v>0</v>
      </c>
      <c r="BC215" s="141">
        <f>Потребность!AD215</f>
        <v>0</v>
      </c>
    </row>
    <row r="216" spans="1:55" x14ac:dyDescent="0.2">
      <c r="A216" s="85"/>
      <c r="B216" s="195"/>
      <c r="C216" s="85"/>
      <c r="D216" s="85"/>
      <c r="E216" s="195"/>
      <c r="F216" s="35"/>
      <c r="G216" s="65"/>
      <c r="H216" s="36"/>
      <c r="I216" s="37"/>
      <c r="J216" s="37"/>
      <c r="K216" s="35"/>
      <c r="L216" s="38"/>
      <c r="M216" s="128"/>
      <c r="N216" s="38"/>
      <c r="O216" s="128"/>
      <c r="P216" s="53"/>
      <c r="Q216" s="45"/>
      <c r="R216" s="45"/>
      <c r="S216" s="45"/>
      <c r="T216" s="46"/>
      <c r="U216" s="120"/>
      <c r="V216" s="120"/>
      <c r="W216" s="120"/>
      <c r="X216" s="121"/>
      <c r="Y216" s="121"/>
      <c r="Z216" s="121"/>
      <c r="AA216" s="121"/>
      <c r="AB216" s="121"/>
      <c r="AC216" s="121"/>
      <c r="AD216" s="122"/>
      <c r="AE216" s="122"/>
      <c r="AF216" s="122"/>
      <c r="AG216" s="66"/>
      <c r="AH216" s="46"/>
      <c r="AI216" s="76"/>
      <c r="AJ216" s="97"/>
      <c r="AK216" s="39"/>
      <c r="AL216" s="102"/>
      <c r="AM216" s="102"/>
      <c r="AN216" s="102"/>
      <c r="AO216" s="102"/>
      <c r="AP216" s="280"/>
      <c r="AQ216" s="10">
        <f>Потребность!AD216</f>
        <v>0</v>
      </c>
      <c r="AR216" s="10">
        <f>SUM(Потребность!K216:M216)</f>
        <v>0</v>
      </c>
      <c r="AS216" s="9" t="e">
        <f>Потребность!AZ216</f>
        <v>#N/A</v>
      </c>
      <c r="AT216" s="9">
        <f>Потребность!J216</f>
        <v>0</v>
      </c>
      <c r="AU216" s="9" t="e">
        <f>Потребность!N216/Потребность!$N216</f>
        <v>#DIV/0!</v>
      </c>
      <c r="AV216" s="9" t="e">
        <f>Потребность!O216/Потребность!$N216</f>
        <v>#DIV/0!</v>
      </c>
      <c r="AW216" s="9" t="e">
        <f>Потребность!P216/Потребность!$N216</f>
        <v>#DIV/0!</v>
      </c>
      <c r="AX216" s="9" t="e">
        <f>Потребность!T216/Потребность!$T216</f>
        <v>#DIV/0!</v>
      </c>
      <c r="AY216" s="9" t="e">
        <f>Потребность!U216/Потребность!$T216</f>
        <v>#DIV/0!</v>
      </c>
      <c r="AZ216" s="9" t="e">
        <f>Потребность!V216/Потребность!$T216</f>
        <v>#DIV/0!</v>
      </c>
      <c r="BA216" s="141">
        <f>Потребность!Q216</f>
        <v>0</v>
      </c>
      <c r="BB216">
        <f>Потребность!AC216</f>
        <v>0</v>
      </c>
      <c r="BC216" s="141">
        <f>Потребность!AD216</f>
        <v>0</v>
      </c>
    </row>
    <row r="217" spans="1:55" x14ac:dyDescent="0.2">
      <c r="A217" s="85"/>
      <c r="B217" s="195"/>
      <c r="C217" s="85"/>
      <c r="D217" s="85"/>
      <c r="E217" s="195"/>
      <c r="F217" s="35"/>
      <c r="G217" s="65"/>
      <c r="H217" s="36"/>
      <c r="I217" s="37"/>
      <c r="J217" s="37"/>
      <c r="K217" s="35"/>
      <c r="L217" s="38"/>
      <c r="M217" s="128"/>
      <c r="N217" s="38"/>
      <c r="O217" s="128"/>
      <c r="P217" s="53"/>
      <c r="Q217" s="45"/>
      <c r="R217" s="45"/>
      <c r="S217" s="45"/>
      <c r="T217" s="46"/>
      <c r="U217" s="120"/>
      <c r="V217" s="120"/>
      <c r="W217" s="120"/>
      <c r="X217" s="121"/>
      <c r="Y217" s="121"/>
      <c r="Z217" s="121"/>
      <c r="AA217" s="121"/>
      <c r="AB217" s="121"/>
      <c r="AC217" s="121"/>
      <c r="AD217" s="122"/>
      <c r="AE217" s="122"/>
      <c r="AF217" s="122"/>
      <c r="AG217" s="66"/>
      <c r="AH217" s="46"/>
      <c r="AI217" s="76"/>
      <c r="AJ217" s="97"/>
      <c r="AK217" s="39"/>
      <c r="AL217" s="102"/>
      <c r="AM217" s="102"/>
      <c r="AN217" s="102"/>
      <c r="AO217" s="102"/>
      <c r="AP217" s="280"/>
      <c r="AQ217" s="10">
        <f>Потребность!AD217</f>
        <v>0</v>
      </c>
      <c r="AR217" s="10">
        <f>SUM(Потребность!K217:M217)</f>
        <v>0</v>
      </c>
      <c r="AS217" s="9" t="e">
        <f>Потребность!AZ217</f>
        <v>#N/A</v>
      </c>
      <c r="AT217" s="9">
        <f>Потребность!J217</f>
        <v>0</v>
      </c>
      <c r="AU217" s="9" t="e">
        <f>Потребность!N217/Потребность!$N217</f>
        <v>#DIV/0!</v>
      </c>
      <c r="AV217" s="9" t="e">
        <f>Потребность!O217/Потребность!$N217</f>
        <v>#DIV/0!</v>
      </c>
      <c r="AW217" s="9" t="e">
        <f>Потребность!P217/Потребность!$N217</f>
        <v>#DIV/0!</v>
      </c>
      <c r="AX217" s="9" t="e">
        <f>Потребность!T217/Потребность!$T217</f>
        <v>#DIV/0!</v>
      </c>
      <c r="AY217" s="9" t="e">
        <f>Потребность!U217/Потребность!$T217</f>
        <v>#DIV/0!</v>
      </c>
      <c r="AZ217" s="9" t="e">
        <f>Потребность!V217/Потребность!$T217</f>
        <v>#DIV/0!</v>
      </c>
      <c r="BA217" s="141">
        <f>Потребность!Q217</f>
        <v>0</v>
      </c>
      <c r="BB217">
        <f>Потребность!AC217</f>
        <v>0</v>
      </c>
      <c r="BC217" s="141">
        <f>Потребность!AD217</f>
        <v>0</v>
      </c>
    </row>
    <row r="218" spans="1:55" x14ac:dyDescent="0.2">
      <c r="A218" s="85"/>
      <c r="B218" s="195"/>
      <c r="C218" s="85"/>
      <c r="D218" s="85"/>
      <c r="E218" s="195"/>
      <c r="F218" s="35"/>
      <c r="G218" s="65"/>
      <c r="H218" s="36"/>
      <c r="I218" s="37"/>
      <c r="J218" s="37"/>
      <c r="K218" s="35"/>
      <c r="L218" s="38"/>
      <c r="M218" s="128"/>
      <c r="N218" s="38"/>
      <c r="O218" s="128"/>
      <c r="P218" s="53"/>
      <c r="Q218" s="45"/>
      <c r="R218" s="45"/>
      <c r="S218" s="45"/>
      <c r="T218" s="46"/>
      <c r="U218" s="120"/>
      <c r="V218" s="120"/>
      <c r="W218" s="120"/>
      <c r="X218" s="121"/>
      <c r="Y218" s="121"/>
      <c r="Z218" s="121"/>
      <c r="AA218" s="121"/>
      <c r="AB218" s="121"/>
      <c r="AC218" s="121"/>
      <c r="AD218" s="122"/>
      <c r="AE218" s="122"/>
      <c r="AF218" s="122"/>
      <c r="AG218" s="66"/>
      <c r="AH218" s="46"/>
      <c r="AI218" s="76"/>
      <c r="AJ218" s="97"/>
      <c r="AK218" s="39"/>
      <c r="AL218" s="102"/>
      <c r="AM218" s="102"/>
      <c r="AN218" s="102"/>
      <c r="AO218" s="102"/>
      <c r="AP218" s="280"/>
      <c r="AQ218" s="10">
        <f>Потребность!AD218</f>
        <v>0</v>
      </c>
      <c r="AR218" s="10">
        <f>SUM(Потребность!K218:M218)</f>
        <v>0</v>
      </c>
      <c r="AS218" s="9" t="e">
        <f>Потребность!AZ218</f>
        <v>#N/A</v>
      </c>
      <c r="AT218" s="9">
        <f>Потребность!J218</f>
        <v>0</v>
      </c>
      <c r="AU218" s="9" t="e">
        <f>Потребность!N218/Потребность!$N218</f>
        <v>#DIV/0!</v>
      </c>
      <c r="AV218" s="9" t="e">
        <f>Потребность!O218/Потребность!$N218</f>
        <v>#DIV/0!</v>
      </c>
      <c r="AW218" s="9" t="e">
        <f>Потребность!P218/Потребность!$N218</f>
        <v>#DIV/0!</v>
      </c>
      <c r="AX218" s="9" t="e">
        <f>Потребность!T218/Потребность!$T218</f>
        <v>#DIV/0!</v>
      </c>
      <c r="AY218" s="9" t="e">
        <f>Потребность!U218/Потребность!$T218</f>
        <v>#DIV/0!</v>
      </c>
      <c r="AZ218" s="9" t="e">
        <f>Потребность!V218/Потребность!$T218</f>
        <v>#DIV/0!</v>
      </c>
      <c r="BA218" s="141">
        <f>Потребность!Q218</f>
        <v>0</v>
      </c>
      <c r="BB218">
        <f>Потребность!AC218</f>
        <v>0</v>
      </c>
      <c r="BC218" s="141">
        <f>Потребность!AD218</f>
        <v>0</v>
      </c>
    </row>
    <row r="219" spans="1:55" x14ac:dyDescent="0.2">
      <c r="A219" s="85"/>
      <c r="B219" s="195"/>
      <c r="C219" s="85"/>
      <c r="D219" s="85"/>
      <c r="E219" s="195"/>
      <c r="F219" s="35"/>
      <c r="G219" s="65"/>
      <c r="H219" s="36"/>
      <c r="I219" s="37"/>
      <c r="J219" s="37"/>
      <c r="K219" s="35"/>
      <c r="L219" s="38"/>
      <c r="M219" s="128"/>
      <c r="N219" s="38"/>
      <c r="O219" s="128"/>
      <c r="P219" s="53"/>
      <c r="Q219" s="45"/>
      <c r="R219" s="45"/>
      <c r="S219" s="45"/>
      <c r="T219" s="46"/>
      <c r="U219" s="120"/>
      <c r="V219" s="120"/>
      <c r="W219" s="120"/>
      <c r="X219" s="121"/>
      <c r="Y219" s="121"/>
      <c r="Z219" s="121"/>
      <c r="AA219" s="121"/>
      <c r="AB219" s="121"/>
      <c r="AC219" s="121"/>
      <c r="AD219" s="122"/>
      <c r="AE219" s="122"/>
      <c r="AF219" s="122"/>
      <c r="AG219" s="66"/>
      <c r="AH219" s="46"/>
      <c r="AI219" s="76"/>
      <c r="AJ219" s="97"/>
      <c r="AK219" s="39"/>
      <c r="AL219" s="102"/>
      <c r="AM219" s="102"/>
      <c r="AN219" s="102"/>
      <c r="AO219" s="102"/>
      <c r="AP219" s="280"/>
      <c r="AQ219" s="10">
        <f>Потребность!AD219</f>
        <v>0</v>
      </c>
      <c r="AR219" s="10">
        <f>SUM(Потребность!K219:M219)</f>
        <v>0</v>
      </c>
      <c r="AS219" s="9" t="e">
        <f>Потребность!AZ219</f>
        <v>#N/A</v>
      </c>
      <c r="AT219" s="9">
        <f>Потребность!J219</f>
        <v>0</v>
      </c>
      <c r="AU219" s="9" t="e">
        <f>Потребность!N219/Потребность!$N219</f>
        <v>#DIV/0!</v>
      </c>
      <c r="AV219" s="9" t="e">
        <f>Потребность!O219/Потребность!$N219</f>
        <v>#DIV/0!</v>
      </c>
      <c r="AW219" s="9" t="e">
        <f>Потребность!P219/Потребность!$N219</f>
        <v>#DIV/0!</v>
      </c>
      <c r="AX219" s="9" t="e">
        <f>Потребность!T219/Потребность!$T219</f>
        <v>#DIV/0!</v>
      </c>
      <c r="AY219" s="9" t="e">
        <f>Потребность!U219/Потребность!$T219</f>
        <v>#DIV/0!</v>
      </c>
      <c r="AZ219" s="9" t="e">
        <f>Потребность!V219/Потребность!$T219</f>
        <v>#DIV/0!</v>
      </c>
      <c r="BA219" s="141">
        <f>Потребность!Q219</f>
        <v>0</v>
      </c>
      <c r="BB219">
        <f>Потребность!AC219</f>
        <v>0</v>
      </c>
      <c r="BC219" s="141">
        <f>Потребность!AD219</f>
        <v>0</v>
      </c>
    </row>
    <row r="220" spans="1:55" x14ac:dyDescent="0.2">
      <c r="A220" s="85"/>
      <c r="B220" s="195"/>
      <c r="C220" s="85"/>
      <c r="D220" s="85"/>
      <c r="E220" s="195"/>
      <c r="F220" s="35"/>
      <c r="G220" s="65"/>
      <c r="H220" s="36"/>
      <c r="I220" s="37"/>
      <c r="J220" s="37"/>
      <c r="K220" s="35"/>
      <c r="L220" s="38"/>
      <c r="M220" s="128"/>
      <c r="N220" s="38"/>
      <c r="O220" s="128"/>
      <c r="P220" s="53"/>
      <c r="Q220" s="45"/>
      <c r="R220" s="45"/>
      <c r="S220" s="45"/>
      <c r="T220" s="46"/>
      <c r="U220" s="120"/>
      <c r="V220" s="120"/>
      <c r="W220" s="120"/>
      <c r="X220" s="121"/>
      <c r="Y220" s="121"/>
      <c r="Z220" s="121"/>
      <c r="AA220" s="121"/>
      <c r="AB220" s="121"/>
      <c r="AC220" s="121"/>
      <c r="AD220" s="122"/>
      <c r="AE220" s="122"/>
      <c r="AF220" s="122"/>
      <c r="AG220" s="66"/>
      <c r="AH220" s="46"/>
      <c r="AI220" s="76"/>
      <c r="AJ220" s="97"/>
      <c r="AK220" s="39"/>
      <c r="AL220" s="102"/>
      <c r="AM220" s="102"/>
      <c r="AN220" s="102"/>
      <c r="AO220" s="102"/>
      <c r="AP220" s="280"/>
      <c r="AQ220" s="10">
        <f>Потребность!AD220</f>
        <v>0</v>
      </c>
      <c r="AR220" s="10">
        <f>SUM(Потребность!K220:M220)</f>
        <v>0</v>
      </c>
      <c r="AS220" s="9" t="e">
        <f>Потребность!AZ220</f>
        <v>#N/A</v>
      </c>
      <c r="AT220" s="9">
        <f>Потребность!J220</f>
        <v>0</v>
      </c>
      <c r="AU220" s="9" t="e">
        <f>Потребность!N220/Потребность!$N220</f>
        <v>#DIV/0!</v>
      </c>
      <c r="AV220" s="9" t="e">
        <f>Потребность!O220/Потребность!$N220</f>
        <v>#DIV/0!</v>
      </c>
      <c r="AW220" s="9" t="e">
        <f>Потребность!P220/Потребность!$N220</f>
        <v>#DIV/0!</v>
      </c>
      <c r="AX220" s="9" t="e">
        <f>Потребность!T220/Потребность!$T220</f>
        <v>#DIV/0!</v>
      </c>
      <c r="AY220" s="9" t="e">
        <f>Потребность!U220/Потребность!$T220</f>
        <v>#DIV/0!</v>
      </c>
      <c r="AZ220" s="9" t="e">
        <f>Потребность!V220/Потребность!$T220</f>
        <v>#DIV/0!</v>
      </c>
      <c r="BA220" s="141">
        <f>Потребность!Q220</f>
        <v>0</v>
      </c>
      <c r="BB220">
        <f>Потребность!AC220</f>
        <v>0</v>
      </c>
      <c r="BC220" s="141">
        <f>Потребность!AD220</f>
        <v>0</v>
      </c>
    </row>
    <row r="221" spans="1:55" x14ac:dyDescent="0.2">
      <c r="A221" s="85"/>
      <c r="B221" s="195"/>
      <c r="C221" s="85"/>
      <c r="D221" s="85"/>
      <c r="E221" s="195"/>
      <c r="F221" s="35"/>
      <c r="G221" s="65"/>
      <c r="H221" s="36"/>
      <c r="I221" s="37"/>
      <c r="J221" s="37"/>
      <c r="K221" s="35"/>
      <c r="L221" s="38"/>
      <c r="M221" s="128"/>
      <c r="N221" s="38"/>
      <c r="O221" s="128"/>
      <c r="P221" s="53"/>
      <c r="Q221" s="45"/>
      <c r="R221" s="45"/>
      <c r="S221" s="45"/>
      <c r="T221" s="46"/>
      <c r="U221" s="120"/>
      <c r="V221" s="120"/>
      <c r="W221" s="120"/>
      <c r="X221" s="121"/>
      <c r="Y221" s="121"/>
      <c r="Z221" s="121"/>
      <c r="AA221" s="121"/>
      <c r="AB221" s="121"/>
      <c r="AC221" s="121"/>
      <c r="AD221" s="122"/>
      <c r="AE221" s="122"/>
      <c r="AF221" s="122"/>
      <c r="AG221" s="66"/>
      <c r="AH221" s="46"/>
      <c r="AI221" s="76"/>
      <c r="AJ221" s="97"/>
      <c r="AK221" s="39"/>
      <c r="AL221" s="102"/>
      <c r="AM221" s="102"/>
      <c r="AN221" s="102"/>
      <c r="AO221" s="102"/>
      <c r="AP221" s="280"/>
      <c r="AQ221" s="10">
        <f>Потребность!AD221</f>
        <v>0</v>
      </c>
      <c r="AR221" s="10">
        <f>SUM(Потребность!K221:M221)</f>
        <v>0</v>
      </c>
      <c r="AS221" s="9" t="e">
        <f>Потребность!AZ221</f>
        <v>#N/A</v>
      </c>
      <c r="AT221" s="9">
        <f>Потребность!J221</f>
        <v>0</v>
      </c>
      <c r="AU221" s="9" t="e">
        <f>Потребность!N221/Потребность!$N221</f>
        <v>#DIV/0!</v>
      </c>
      <c r="AV221" s="9" t="e">
        <f>Потребность!O221/Потребность!$N221</f>
        <v>#DIV/0!</v>
      </c>
      <c r="AW221" s="9" t="e">
        <f>Потребность!P221/Потребность!$N221</f>
        <v>#DIV/0!</v>
      </c>
      <c r="AX221" s="9" t="e">
        <f>Потребность!T221/Потребность!$T221</f>
        <v>#DIV/0!</v>
      </c>
      <c r="AY221" s="9" t="e">
        <f>Потребность!U221/Потребность!$T221</f>
        <v>#DIV/0!</v>
      </c>
      <c r="AZ221" s="9" t="e">
        <f>Потребность!V221/Потребность!$T221</f>
        <v>#DIV/0!</v>
      </c>
      <c r="BA221" s="141">
        <f>Потребность!Q221</f>
        <v>0</v>
      </c>
      <c r="BB221">
        <f>Потребность!AC221</f>
        <v>0</v>
      </c>
      <c r="BC221" s="141">
        <f>Потребность!AD221</f>
        <v>0</v>
      </c>
    </row>
    <row r="222" spans="1:55" x14ac:dyDescent="0.2">
      <c r="A222" s="85"/>
      <c r="B222" s="195"/>
      <c r="C222" s="85"/>
      <c r="D222" s="85"/>
      <c r="E222" s="195"/>
      <c r="F222" s="35"/>
      <c r="G222" s="65"/>
      <c r="H222" s="36"/>
      <c r="I222" s="37"/>
      <c r="J222" s="37"/>
      <c r="K222" s="35"/>
      <c r="L222" s="38"/>
      <c r="M222" s="128"/>
      <c r="N222" s="38"/>
      <c r="O222" s="128"/>
      <c r="P222" s="53"/>
      <c r="Q222" s="45"/>
      <c r="R222" s="45"/>
      <c r="S222" s="45"/>
      <c r="T222" s="46"/>
      <c r="U222" s="120"/>
      <c r="V222" s="120"/>
      <c r="W222" s="120"/>
      <c r="X222" s="121"/>
      <c r="Y222" s="121"/>
      <c r="Z222" s="121"/>
      <c r="AA222" s="121"/>
      <c r="AB222" s="121"/>
      <c r="AC222" s="121"/>
      <c r="AD222" s="122"/>
      <c r="AE222" s="122"/>
      <c r="AF222" s="122"/>
      <c r="AG222" s="66"/>
      <c r="AH222" s="46"/>
      <c r="AI222" s="76"/>
      <c r="AJ222" s="97"/>
      <c r="AK222" s="39"/>
      <c r="AL222" s="102"/>
      <c r="AM222" s="102"/>
      <c r="AN222" s="102"/>
      <c r="AO222" s="102"/>
      <c r="AP222" s="280"/>
      <c r="AQ222" s="10">
        <f>Потребность!AD222</f>
        <v>0</v>
      </c>
      <c r="AR222" s="10">
        <f>SUM(Потребность!K222:M222)</f>
        <v>0</v>
      </c>
      <c r="AS222" s="9" t="e">
        <f>Потребность!AZ222</f>
        <v>#N/A</v>
      </c>
      <c r="AT222" s="9">
        <f>Потребность!J222</f>
        <v>0</v>
      </c>
      <c r="AU222" s="9" t="e">
        <f>Потребность!N222/Потребность!$N222</f>
        <v>#DIV/0!</v>
      </c>
      <c r="AV222" s="9" t="e">
        <f>Потребность!O222/Потребность!$N222</f>
        <v>#DIV/0!</v>
      </c>
      <c r="AW222" s="9" t="e">
        <f>Потребность!P222/Потребность!$N222</f>
        <v>#DIV/0!</v>
      </c>
      <c r="AX222" s="9" t="e">
        <f>Потребность!T222/Потребность!$T222</f>
        <v>#DIV/0!</v>
      </c>
      <c r="AY222" s="9" t="e">
        <f>Потребность!U222/Потребность!$T222</f>
        <v>#DIV/0!</v>
      </c>
      <c r="AZ222" s="9" t="e">
        <f>Потребность!V222/Потребность!$T222</f>
        <v>#DIV/0!</v>
      </c>
      <c r="BA222" s="141">
        <f>Потребность!Q222</f>
        <v>0</v>
      </c>
      <c r="BB222">
        <f>Потребность!AC222</f>
        <v>0</v>
      </c>
      <c r="BC222" s="141">
        <f>Потребность!AD222</f>
        <v>0</v>
      </c>
    </row>
    <row r="223" spans="1:55" x14ac:dyDescent="0.2">
      <c r="A223" s="85"/>
      <c r="B223" s="195"/>
      <c r="C223" s="85"/>
      <c r="D223" s="85"/>
      <c r="E223" s="195"/>
      <c r="F223" s="35"/>
      <c r="G223" s="65"/>
      <c r="H223" s="36"/>
      <c r="I223" s="37"/>
      <c r="J223" s="37"/>
      <c r="K223" s="35"/>
      <c r="L223" s="38"/>
      <c r="M223" s="128"/>
      <c r="N223" s="38"/>
      <c r="O223" s="128"/>
      <c r="P223" s="53"/>
      <c r="Q223" s="45"/>
      <c r="R223" s="45"/>
      <c r="S223" s="45"/>
      <c r="T223" s="46"/>
      <c r="U223" s="120"/>
      <c r="V223" s="120"/>
      <c r="W223" s="120"/>
      <c r="X223" s="121"/>
      <c r="Y223" s="121"/>
      <c r="Z223" s="121"/>
      <c r="AA223" s="121"/>
      <c r="AB223" s="121"/>
      <c r="AC223" s="121"/>
      <c r="AD223" s="122"/>
      <c r="AE223" s="122"/>
      <c r="AF223" s="122"/>
      <c r="AG223" s="66"/>
      <c r="AH223" s="46"/>
      <c r="AI223" s="76"/>
      <c r="AJ223" s="97"/>
      <c r="AK223" s="39"/>
      <c r="AL223" s="102"/>
      <c r="AM223" s="102"/>
      <c r="AN223" s="102"/>
      <c r="AO223" s="102"/>
      <c r="AP223" s="280"/>
      <c r="AQ223" s="10">
        <f>Потребность!AD223</f>
        <v>0</v>
      </c>
      <c r="AR223" s="10">
        <f>SUM(Потребность!K223:M223)</f>
        <v>0</v>
      </c>
      <c r="AS223" s="9" t="e">
        <f>Потребность!AZ223</f>
        <v>#N/A</v>
      </c>
      <c r="AT223" s="9">
        <f>Потребность!J223</f>
        <v>0</v>
      </c>
      <c r="AU223" s="9" t="e">
        <f>Потребность!N223/Потребность!$N223</f>
        <v>#DIV/0!</v>
      </c>
      <c r="AV223" s="9" t="e">
        <f>Потребность!O223/Потребность!$N223</f>
        <v>#DIV/0!</v>
      </c>
      <c r="AW223" s="9" t="e">
        <f>Потребность!P223/Потребность!$N223</f>
        <v>#DIV/0!</v>
      </c>
      <c r="AX223" s="9" t="e">
        <f>Потребность!T223/Потребность!$T223</f>
        <v>#DIV/0!</v>
      </c>
      <c r="AY223" s="9" t="e">
        <f>Потребность!U223/Потребность!$T223</f>
        <v>#DIV/0!</v>
      </c>
      <c r="AZ223" s="9" t="e">
        <f>Потребность!V223/Потребность!$T223</f>
        <v>#DIV/0!</v>
      </c>
      <c r="BA223" s="141">
        <f>Потребность!Q223</f>
        <v>0</v>
      </c>
      <c r="BB223">
        <f>Потребность!AC223</f>
        <v>0</v>
      </c>
      <c r="BC223" s="141">
        <f>Потребность!AD223</f>
        <v>0</v>
      </c>
    </row>
    <row r="224" spans="1:55" x14ac:dyDescent="0.2">
      <c r="A224" s="85"/>
      <c r="B224" s="195"/>
      <c r="C224" s="85"/>
      <c r="D224" s="85"/>
      <c r="E224" s="195"/>
      <c r="F224" s="35"/>
      <c r="G224" s="65"/>
      <c r="H224" s="36"/>
      <c r="I224" s="37"/>
      <c r="J224" s="37"/>
      <c r="K224" s="35"/>
      <c r="L224" s="38"/>
      <c r="M224" s="128"/>
      <c r="N224" s="38"/>
      <c r="O224" s="128"/>
      <c r="P224" s="53"/>
      <c r="Q224" s="45"/>
      <c r="R224" s="45"/>
      <c r="S224" s="45"/>
      <c r="T224" s="46"/>
      <c r="U224" s="120"/>
      <c r="V224" s="120"/>
      <c r="W224" s="120"/>
      <c r="X224" s="121"/>
      <c r="Y224" s="121"/>
      <c r="Z224" s="121"/>
      <c r="AA224" s="121"/>
      <c r="AB224" s="121"/>
      <c r="AC224" s="121"/>
      <c r="AD224" s="122"/>
      <c r="AE224" s="122"/>
      <c r="AF224" s="122"/>
      <c r="AG224" s="66"/>
      <c r="AH224" s="46"/>
      <c r="AI224" s="76"/>
      <c r="AJ224" s="97"/>
      <c r="AK224" s="39"/>
      <c r="AL224" s="102"/>
      <c r="AM224" s="102"/>
      <c r="AN224" s="102"/>
      <c r="AO224" s="102"/>
      <c r="AP224" s="280"/>
      <c r="AQ224" s="10">
        <f>Потребность!AD224</f>
        <v>0</v>
      </c>
      <c r="AR224" s="10">
        <f>SUM(Потребность!K224:M224)</f>
        <v>0</v>
      </c>
      <c r="AS224" s="9" t="e">
        <f>Потребность!AZ224</f>
        <v>#N/A</v>
      </c>
      <c r="AT224" s="9">
        <f>Потребность!J224</f>
        <v>0</v>
      </c>
      <c r="AU224" s="9" t="e">
        <f>Потребность!N224/Потребность!$N224</f>
        <v>#DIV/0!</v>
      </c>
      <c r="AV224" s="9" t="e">
        <f>Потребность!O224/Потребность!$N224</f>
        <v>#DIV/0!</v>
      </c>
      <c r="AW224" s="9" t="e">
        <f>Потребность!P224/Потребность!$N224</f>
        <v>#DIV/0!</v>
      </c>
      <c r="AX224" s="9" t="e">
        <f>Потребность!T224/Потребность!$T224</f>
        <v>#DIV/0!</v>
      </c>
      <c r="AY224" s="9" t="e">
        <f>Потребность!U224/Потребность!$T224</f>
        <v>#DIV/0!</v>
      </c>
      <c r="AZ224" s="9" t="e">
        <f>Потребность!V224/Потребность!$T224</f>
        <v>#DIV/0!</v>
      </c>
      <c r="BA224" s="141">
        <f>Потребность!Q224</f>
        <v>0</v>
      </c>
      <c r="BB224">
        <f>Потребность!AC224</f>
        <v>0</v>
      </c>
      <c r="BC224" s="141">
        <f>Потребность!AD224</f>
        <v>0</v>
      </c>
    </row>
    <row r="225" spans="1:55" x14ac:dyDescent="0.2">
      <c r="A225" s="85"/>
      <c r="B225" s="195"/>
      <c r="C225" s="85"/>
      <c r="D225" s="85"/>
      <c r="E225" s="195"/>
      <c r="F225" s="35"/>
      <c r="G225" s="65"/>
      <c r="H225" s="36"/>
      <c r="I225" s="37"/>
      <c r="J225" s="37"/>
      <c r="K225" s="35"/>
      <c r="L225" s="38"/>
      <c r="M225" s="128"/>
      <c r="N225" s="38"/>
      <c r="O225" s="128"/>
      <c r="P225" s="53"/>
      <c r="Q225" s="45"/>
      <c r="R225" s="45"/>
      <c r="S225" s="45"/>
      <c r="T225" s="46"/>
      <c r="U225" s="120"/>
      <c r="V225" s="120"/>
      <c r="W225" s="120"/>
      <c r="X225" s="121"/>
      <c r="Y225" s="121"/>
      <c r="Z225" s="121"/>
      <c r="AA225" s="121"/>
      <c r="AB225" s="121"/>
      <c r="AC225" s="121"/>
      <c r="AD225" s="122"/>
      <c r="AE225" s="122"/>
      <c r="AF225" s="122"/>
      <c r="AG225" s="66"/>
      <c r="AH225" s="46"/>
      <c r="AI225" s="76"/>
      <c r="AJ225" s="97"/>
      <c r="AK225" s="39"/>
      <c r="AL225" s="102"/>
      <c r="AM225" s="102"/>
      <c r="AN225" s="102"/>
      <c r="AO225" s="102"/>
      <c r="AP225" s="280"/>
      <c r="AQ225" s="10">
        <f>Потребность!AD225</f>
        <v>0</v>
      </c>
      <c r="AR225" s="10">
        <f>SUM(Потребность!K225:M225)</f>
        <v>0</v>
      </c>
      <c r="AS225" s="9" t="e">
        <f>Потребность!AZ225</f>
        <v>#N/A</v>
      </c>
      <c r="AT225" s="9">
        <f>Потребность!J225</f>
        <v>0</v>
      </c>
      <c r="AU225" s="9" t="e">
        <f>Потребность!N225/Потребность!$N225</f>
        <v>#DIV/0!</v>
      </c>
      <c r="AV225" s="9" t="e">
        <f>Потребность!O225/Потребность!$N225</f>
        <v>#DIV/0!</v>
      </c>
      <c r="AW225" s="9" t="e">
        <f>Потребность!P225/Потребность!$N225</f>
        <v>#DIV/0!</v>
      </c>
      <c r="AX225" s="9" t="e">
        <f>Потребность!T225/Потребность!$T225</f>
        <v>#DIV/0!</v>
      </c>
      <c r="AY225" s="9" t="e">
        <f>Потребность!U225/Потребность!$T225</f>
        <v>#DIV/0!</v>
      </c>
      <c r="AZ225" s="9" t="e">
        <f>Потребность!V225/Потребность!$T225</f>
        <v>#DIV/0!</v>
      </c>
      <c r="BA225" s="141">
        <f>Потребность!Q225</f>
        <v>0</v>
      </c>
      <c r="BB225">
        <f>Потребность!AC225</f>
        <v>0</v>
      </c>
      <c r="BC225" s="141">
        <f>Потребность!AD225</f>
        <v>0</v>
      </c>
    </row>
    <row r="226" spans="1:55" x14ac:dyDescent="0.2">
      <c r="A226" s="85"/>
      <c r="B226" s="195"/>
      <c r="C226" s="85"/>
      <c r="D226" s="85"/>
      <c r="E226" s="195"/>
      <c r="F226" s="35"/>
      <c r="G226" s="65"/>
      <c r="H226" s="36"/>
      <c r="I226" s="37"/>
      <c r="J226" s="37"/>
      <c r="K226" s="35"/>
      <c r="L226" s="38"/>
      <c r="M226" s="128"/>
      <c r="N226" s="38"/>
      <c r="O226" s="128"/>
      <c r="P226" s="53"/>
      <c r="Q226" s="45"/>
      <c r="R226" s="45"/>
      <c r="S226" s="45"/>
      <c r="T226" s="46"/>
      <c r="U226" s="120"/>
      <c r="V226" s="120"/>
      <c r="W226" s="120"/>
      <c r="X226" s="121"/>
      <c r="Y226" s="121"/>
      <c r="Z226" s="121"/>
      <c r="AA226" s="121"/>
      <c r="AB226" s="121"/>
      <c r="AC226" s="121"/>
      <c r="AD226" s="122"/>
      <c r="AE226" s="122"/>
      <c r="AF226" s="122"/>
      <c r="AG226" s="66"/>
      <c r="AH226" s="46"/>
      <c r="AI226" s="76"/>
      <c r="AJ226" s="97"/>
      <c r="AK226" s="39"/>
      <c r="AL226" s="102"/>
      <c r="AM226" s="102"/>
      <c r="AN226" s="102"/>
      <c r="AO226" s="102"/>
      <c r="AP226" s="280"/>
      <c r="AQ226" s="10">
        <f>Потребность!AD226</f>
        <v>0</v>
      </c>
      <c r="AR226" s="10">
        <f>SUM(Потребность!K226:M226)</f>
        <v>0</v>
      </c>
      <c r="AS226" s="9" t="e">
        <f>Потребность!AZ226</f>
        <v>#N/A</v>
      </c>
      <c r="AT226" s="9">
        <f>Потребность!J226</f>
        <v>0</v>
      </c>
      <c r="AU226" s="9" t="e">
        <f>Потребность!N226/Потребность!$N226</f>
        <v>#DIV/0!</v>
      </c>
      <c r="AV226" s="9" t="e">
        <f>Потребность!O226/Потребность!$N226</f>
        <v>#DIV/0!</v>
      </c>
      <c r="AW226" s="9" t="e">
        <f>Потребность!P226/Потребность!$N226</f>
        <v>#DIV/0!</v>
      </c>
      <c r="AX226" s="9" t="e">
        <f>Потребность!T226/Потребность!$T226</f>
        <v>#DIV/0!</v>
      </c>
      <c r="AY226" s="9" t="e">
        <f>Потребность!U226/Потребность!$T226</f>
        <v>#DIV/0!</v>
      </c>
      <c r="AZ226" s="9" t="e">
        <f>Потребность!V226/Потребность!$T226</f>
        <v>#DIV/0!</v>
      </c>
      <c r="BA226" s="141">
        <f>Потребность!Q226</f>
        <v>0</v>
      </c>
      <c r="BB226">
        <f>Потребность!AC226</f>
        <v>0</v>
      </c>
      <c r="BC226" s="141">
        <f>Потребность!AD226</f>
        <v>0</v>
      </c>
    </row>
    <row r="227" spans="1:55" x14ac:dyDescent="0.2">
      <c r="A227" s="85"/>
      <c r="B227" s="195"/>
      <c r="C227" s="85"/>
      <c r="D227" s="85"/>
      <c r="E227" s="195"/>
      <c r="F227" s="35"/>
      <c r="G227" s="65"/>
      <c r="H227" s="36"/>
      <c r="I227" s="37"/>
      <c r="J227" s="37"/>
      <c r="K227" s="35"/>
      <c r="L227" s="38"/>
      <c r="M227" s="128"/>
      <c r="N227" s="38"/>
      <c r="O227" s="128"/>
      <c r="P227" s="53"/>
      <c r="Q227" s="45"/>
      <c r="R227" s="45"/>
      <c r="S227" s="45"/>
      <c r="T227" s="46"/>
      <c r="U227" s="120"/>
      <c r="V227" s="120"/>
      <c r="W227" s="120"/>
      <c r="X227" s="121"/>
      <c r="Y227" s="121"/>
      <c r="Z227" s="121"/>
      <c r="AA227" s="121"/>
      <c r="AB227" s="121"/>
      <c r="AC227" s="121"/>
      <c r="AD227" s="122"/>
      <c r="AE227" s="122"/>
      <c r="AF227" s="122"/>
      <c r="AG227" s="66"/>
      <c r="AH227" s="46"/>
      <c r="AI227" s="76"/>
      <c r="AJ227" s="97"/>
      <c r="AK227" s="39"/>
      <c r="AL227" s="102"/>
      <c r="AM227" s="102"/>
      <c r="AN227" s="102"/>
      <c r="AO227" s="102"/>
      <c r="AP227" s="280"/>
      <c r="AQ227" s="10">
        <f>Потребность!AD227</f>
        <v>0</v>
      </c>
      <c r="AR227" s="10">
        <f>SUM(Потребность!K227:M227)</f>
        <v>0</v>
      </c>
      <c r="AS227" s="9" t="e">
        <f>Потребность!AZ227</f>
        <v>#N/A</v>
      </c>
      <c r="AT227" s="9">
        <f>Потребность!J227</f>
        <v>0</v>
      </c>
      <c r="AU227" s="9" t="e">
        <f>Потребность!N227/Потребность!$N227</f>
        <v>#DIV/0!</v>
      </c>
      <c r="AV227" s="9" t="e">
        <f>Потребность!O227/Потребность!$N227</f>
        <v>#DIV/0!</v>
      </c>
      <c r="AW227" s="9" t="e">
        <f>Потребность!P227/Потребность!$N227</f>
        <v>#DIV/0!</v>
      </c>
      <c r="AX227" s="9" t="e">
        <f>Потребность!T227/Потребность!$T227</f>
        <v>#DIV/0!</v>
      </c>
      <c r="AY227" s="9" t="e">
        <f>Потребность!U227/Потребность!$T227</f>
        <v>#DIV/0!</v>
      </c>
      <c r="AZ227" s="9" t="e">
        <f>Потребность!V227/Потребность!$T227</f>
        <v>#DIV/0!</v>
      </c>
      <c r="BA227" s="141">
        <f>Потребность!Q227</f>
        <v>0</v>
      </c>
      <c r="BB227">
        <f>Потребность!AC227</f>
        <v>0</v>
      </c>
      <c r="BC227" s="141">
        <f>Потребность!AD227</f>
        <v>0</v>
      </c>
    </row>
    <row r="228" spans="1:55" x14ac:dyDescent="0.2">
      <c r="A228" s="85"/>
      <c r="B228" s="195"/>
      <c r="C228" s="85"/>
      <c r="D228" s="85"/>
      <c r="E228" s="195"/>
      <c r="F228" s="35"/>
      <c r="G228" s="65"/>
      <c r="H228" s="36"/>
      <c r="I228" s="37"/>
      <c r="J228" s="37"/>
      <c r="K228" s="35"/>
      <c r="L228" s="38"/>
      <c r="M228" s="128"/>
      <c r="N228" s="38"/>
      <c r="O228" s="128"/>
      <c r="P228" s="53"/>
      <c r="Q228" s="45"/>
      <c r="R228" s="45"/>
      <c r="S228" s="45"/>
      <c r="T228" s="46"/>
      <c r="U228" s="120"/>
      <c r="V228" s="120"/>
      <c r="W228" s="120"/>
      <c r="X228" s="121"/>
      <c r="Y228" s="121"/>
      <c r="Z228" s="121"/>
      <c r="AA228" s="121"/>
      <c r="AB228" s="121"/>
      <c r="AC228" s="121"/>
      <c r="AD228" s="122"/>
      <c r="AE228" s="122"/>
      <c r="AF228" s="122"/>
      <c r="AG228" s="66"/>
      <c r="AH228" s="46"/>
      <c r="AI228" s="76"/>
      <c r="AJ228" s="97"/>
      <c r="AK228" s="39"/>
      <c r="AL228" s="102"/>
      <c r="AM228" s="102"/>
      <c r="AN228" s="102"/>
      <c r="AO228" s="102"/>
      <c r="AP228" s="280"/>
      <c r="AQ228" s="10">
        <f>Потребность!AD228</f>
        <v>0</v>
      </c>
      <c r="AR228" s="10">
        <f>SUM(Потребность!K228:M228)</f>
        <v>0</v>
      </c>
      <c r="AS228" s="9" t="e">
        <f>Потребность!AZ228</f>
        <v>#N/A</v>
      </c>
      <c r="AT228" s="9">
        <f>Потребность!J228</f>
        <v>0</v>
      </c>
      <c r="AU228" s="9" t="e">
        <f>Потребность!N228/Потребность!$N228</f>
        <v>#DIV/0!</v>
      </c>
      <c r="AV228" s="9" t="e">
        <f>Потребность!O228/Потребность!$N228</f>
        <v>#DIV/0!</v>
      </c>
      <c r="AW228" s="9" t="e">
        <f>Потребность!P228/Потребность!$N228</f>
        <v>#DIV/0!</v>
      </c>
      <c r="AX228" s="9" t="e">
        <f>Потребность!T228/Потребность!$T228</f>
        <v>#DIV/0!</v>
      </c>
      <c r="AY228" s="9" t="e">
        <f>Потребность!U228/Потребность!$T228</f>
        <v>#DIV/0!</v>
      </c>
      <c r="AZ228" s="9" t="e">
        <f>Потребность!V228/Потребность!$T228</f>
        <v>#DIV/0!</v>
      </c>
      <c r="BA228" s="141">
        <f>Потребность!Q228</f>
        <v>0</v>
      </c>
      <c r="BB228">
        <f>Потребность!AC228</f>
        <v>0</v>
      </c>
      <c r="BC228" s="141">
        <f>Потребность!AD228</f>
        <v>0</v>
      </c>
    </row>
    <row r="229" spans="1:55" x14ac:dyDescent="0.2">
      <c r="A229" s="85"/>
      <c r="B229" s="195"/>
      <c r="C229" s="85"/>
      <c r="D229" s="85"/>
      <c r="E229" s="195"/>
      <c r="F229" s="35"/>
      <c r="G229" s="65"/>
      <c r="H229" s="36"/>
      <c r="I229" s="37"/>
      <c r="J229" s="37"/>
      <c r="K229" s="35"/>
      <c r="L229" s="38"/>
      <c r="M229" s="128"/>
      <c r="N229" s="38"/>
      <c r="O229" s="128"/>
      <c r="P229" s="53"/>
      <c r="Q229" s="45"/>
      <c r="R229" s="45"/>
      <c r="S229" s="45"/>
      <c r="T229" s="46"/>
      <c r="U229" s="120"/>
      <c r="V229" s="120"/>
      <c r="W229" s="120"/>
      <c r="X229" s="121"/>
      <c r="Y229" s="121"/>
      <c r="Z229" s="121"/>
      <c r="AA229" s="121"/>
      <c r="AB229" s="121"/>
      <c r="AC229" s="121"/>
      <c r="AD229" s="122"/>
      <c r="AE229" s="122"/>
      <c r="AF229" s="122"/>
      <c r="AG229" s="66"/>
      <c r="AH229" s="46"/>
      <c r="AI229" s="76"/>
      <c r="AJ229" s="97"/>
      <c r="AK229" s="39"/>
      <c r="AL229" s="102"/>
      <c r="AM229" s="102"/>
      <c r="AN229" s="102"/>
      <c r="AO229" s="102"/>
      <c r="AP229" s="280"/>
      <c r="AQ229" s="10">
        <f>Потребность!AD229</f>
        <v>0</v>
      </c>
      <c r="AR229" s="10">
        <f>SUM(Потребность!K229:M229)</f>
        <v>0</v>
      </c>
      <c r="AS229" s="9" t="e">
        <f>Потребность!AZ229</f>
        <v>#N/A</v>
      </c>
      <c r="AT229" s="9">
        <f>Потребность!J229</f>
        <v>0</v>
      </c>
      <c r="AU229" s="9" t="e">
        <f>Потребность!N229/Потребность!$N229</f>
        <v>#DIV/0!</v>
      </c>
      <c r="AV229" s="9" t="e">
        <f>Потребность!O229/Потребность!$N229</f>
        <v>#DIV/0!</v>
      </c>
      <c r="AW229" s="9" t="e">
        <f>Потребность!P229/Потребность!$N229</f>
        <v>#DIV/0!</v>
      </c>
      <c r="AX229" s="9" t="e">
        <f>Потребность!T229/Потребность!$T229</f>
        <v>#DIV/0!</v>
      </c>
      <c r="AY229" s="9" t="e">
        <f>Потребность!U229/Потребность!$T229</f>
        <v>#DIV/0!</v>
      </c>
      <c r="AZ229" s="9" t="e">
        <f>Потребность!V229/Потребность!$T229</f>
        <v>#DIV/0!</v>
      </c>
      <c r="BA229" s="141">
        <f>Потребность!Q229</f>
        <v>0</v>
      </c>
      <c r="BB229">
        <f>Потребность!AC229</f>
        <v>0</v>
      </c>
      <c r="BC229" s="141">
        <f>Потребность!AD229</f>
        <v>0</v>
      </c>
    </row>
    <row r="230" spans="1:55" x14ac:dyDescent="0.2">
      <c r="A230" s="85"/>
      <c r="B230" s="195"/>
      <c r="C230" s="85"/>
      <c r="D230" s="85"/>
      <c r="E230" s="195"/>
      <c r="F230" s="35"/>
      <c r="G230" s="65"/>
      <c r="H230" s="36"/>
      <c r="I230" s="37"/>
      <c r="J230" s="37"/>
      <c r="K230" s="35"/>
      <c r="L230" s="38"/>
      <c r="M230" s="128"/>
      <c r="N230" s="38"/>
      <c r="O230" s="128"/>
      <c r="P230" s="53"/>
      <c r="Q230" s="45"/>
      <c r="R230" s="45"/>
      <c r="S230" s="45"/>
      <c r="T230" s="46"/>
      <c r="U230" s="120"/>
      <c r="V230" s="120"/>
      <c r="W230" s="120"/>
      <c r="X230" s="121"/>
      <c r="Y230" s="121"/>
      <c r="Z230" s="121"/>
      <c r="AA230" s="121"/>
      <c r="AB230" s="121"/>
      <c r="AC230" s="121"/>
      <c r="AD230" s="122"/>
      <c r="AE230" s="122"/>
      <c r="AF230" s="122"/>
      <c r="AG230" s="66"/>
      <c r="AH230" s="46"/>
      <c r="AI230" s="76"/>
      <c r="AJ230" s="97"/>
      <c r="AK230" s="39"/>
      <c r="AL230" s="102"/>
      <c r="AM230" s="102"/>
      <c r="AN230" s="102"/>
      <c r="AO230" s="102"/>
      <c r="AP230" s="280"/>
      <c r="AQ230" s="10">
        <f>Потребность!AD230</f>
        <v>0</v>
      </c>
      <c r="AR230" s="10">
        <f>SUM(Потребность!K230:M230)</f>
        <v>0</v>
      </c>
      <c r="AS230" s="9" t="e">
        <f>Потребность!AZ230</f>
        <v>#N/A</v>
      </c>
      <c r="AT230" s="9">
        <f>Потребность!J230</f>
        <v>0</v>
      </c>
      <c r="AU230" s="9" t="e">
        <f>Потребность!N230/Потребность!$N230</f>
        <v>#DIV/0!</v>
      </c>
      <c r="AV230" s="9" t="e">
        <f>Потребность!O230/Потребность!$N230</f>
        <v>#DIV/0!</v>
      </c>
      <c r="AW230" s="9" t="e">
        <f>Потребность!P230/Потребность!$N230</f>
        <v>#DIV/0!</v>
      </c>
      <c r="AX230" s="9" t="e">
        <f>Потребность!T230/Потребность!$T230</f>
        <v>#DIV/0!</v>
      </c>
      <c r="AY230" s="9" t="e">
        <f>Потребность!U230/Потребность!$T230</f>
        <v>#DIV/0!</v>
      </c>
      <c r="AZ230" s="9" t="e">
        <f>Потребность!V230/Потребность!$T230</f>
        <v>#DIV/0!</v>
      </c>
      <c r="BA230" s="141">
        <f>Потребность!Q230</f>
        <v>0</v>
      </c>
      <c r="BB230">
        <f>Потребность!AC230</f>
        <v>0</v>
      </c>
      <c r="BC230" s="141">
        <f>Потребность!AD230</f>
        <v>0</v>
      </c>
    </row>
    <row r="231" spans="1:55" x14ac:dyDescent="0.2">
      <c r="A231" s="85"/>
      <c r="B231" s="195"/>
      <c r="C231" s="85"/>
      <c r="D231" s="85"/>
      <c r="E231" s="195"/>
      <c r="F231" s="35"/>
      <c r="G231" s="65"/>
      <c r="H231" s="36"/>
      <c r="I231" s="37"/>
      <c r="J231" s="37"/>
      <c r="K231" s="35"/>
      <c r="L231" s="38"/>
      <c r="M231" s="128"/>
      <c r="N231" s="38"/>
      <c r="O231" s="128"/>
      <c r="P231" s="53"/>
      <c r="Q231" s="45"/>
      <c r="R231" s="45"/>
      <c r="S231" s="45"/>
      <c r="T231" s="46"/>
      <c r="U231" s="120"/>
      <c r="V231" s="120"/>
      <c r="W231" s="120"/>
      <c r="X231" s="121"/>
      <c r="Y231" s="121"/>
      <c r="Z231" s="121"/>
      <c r="AA231" s="121"/>
      <c r="AB231" s="121"/>
      <c r="AC231" s="121"/>
      <c r="AD231" s="122"/>
      <c r="AE231" s="122"/>
      <c r="AF231" s="122"/>
      <c r="AG231" s="66"/>
      <c r="AH231" s="46"/>
      <c r="AI231" s="76"/>
      <c r="AJ231" s="97"/>
      <c r="AK231" s="39"/>
      <c r="AL231" s="102"/>
      <c r="AM231" s="102"/>
      <c r="AN231" s="102"/>
      <c r="AO231" s="102"/>
      <c r="AP231" s="280"/>
      <c r="AQ231" s="10">
        <f>Потребность!AD231</f>
        <v>0</v>
      </c>
      <c r="AR231" s="10">
        <f>SUM(Потребность!K231:M231)</f>
        <v>0</v>
      </c>
      <c r="AS231" s="9" t="e">
        <f>Потребность!AZ231</f>
        <v>#N/A</v>
      </c>
      <c r="AT231" s="9">
        <f>Потребность!J231</f>
        <v>0</v>
      </c>
      <c r="AU231" s="9" t="e">
        <f>Потребность!N231/Потребность!$N231</f>
        <v>#DIV/0!</v>
      </c>
      <c r="AV231" s="9" t="e">
        <f>Потребность!O231/Потребность!$N231</f>
        <v>#DIV/0!</v>
      </c>
      <c r="AW231" s="9" t="e">
        <f>Потребность!P231/Потребность!$N231</f>
        <v>#DIV/0!</v>
      </c>
      <c r="AX231" s="9" t="e">
        <f>Потребность!T231/Потребность!$T231</f>
        <v>#DIV/0!</v>
      </c>
      <c r="AY231" s="9" t="e">
        <f>Потребность!U231/Потребность!$T231</f>
        <v>#DIV/0!</v>
      </c>
      <c r="AZ231" s="9" t="e">
        <f>Потребность!V231/Потребность!$T231</f>
        <v>#DIV/0!</v>
      </c>
      <c r="BA231" s="141">
        <f>Потребность!Q231</f>
        <v>0</v>
      </c>
      <c r="BB231">
        <f>Потребность!AC231</f>
        <v>0</v>
      </c>
      <c r="BC231" s="141">
        <f>Потребность!AD231</f>
        <v>0</v>
      </c>
    </row>
    <row r="232" spans="1:55" x14ac:dyDescent="0.2">
      <c r="A232" s="85"/>
      <c r="B232" s="195"/>
      <c r="C232" s="85"/>
      <c r="D232" s="85"/>
      <c r="E232" s="195"/>
      <c r="F232" s="35"/>
      <c r="G232" s="65"/>
      <c r="H232" s="36"/>
      <c r="I232" s="37"/>
      <c r="J232" s="37"/>
      <c r="K232" s="35"/>
      <c r="L232" s="38"/>
      <c r="M232" s="128"/>
      <c r="N232" s="38"/>
      <c r="O232" s="128"/>
      <c r="P232" s="53"/>
      <c r="Q232" s="45"/>
      <c r="R232" s="45"/>
      <c r="S232" s="45"/>
      <c r="T232" s="46"/>
      <c r="U232" s="120"/>
      <c r="V232" s="120"/>
      <c r="W232" s="120"/>
      <c r="X232" s="121"/>
      <c r="Y232" s="121"/>
      <c r="Z232" s="121"/>
      <c r="AA232" s="121"/>
      <c r="AB232" s="121"/>
      <c r="AC232" s="121"/>
      <c r="AD232" s="122"/>
      <c r="AE232" s="122"/>
      <c r="AF232" s="122"/>
      <c r="AG232" s="66"/>
      <c r="AH232" s="46"/>
      <c r="AI232" s="76"/>
      <c r="AJ232" s="97"/>
      <c r="AK232" s="39"/>
      <c r="AL232" s="102"/>
      <c r="AM232" s="102"/>
      <c r="AN232" s="102"/>
      <c r="AO232" s="102"/>
      <c r="AP232" s="280"/>
      <c r="AQ232" s="10">
        <f>Потребность!AD232</f>
        <v>0</v>
      </c>
      <c r="AR232" s="10">
        <f>SUM(Потребность!K232:M232)</f>
        <v>0</v>
      </c>
      <c r="AS232" s="9" t="e">
        <f>Потребность!AZ232</f>
        <v>#N/A</v>
      </c>
      <c r="AT232" s="9">
        <f>Потребность!J232</f>
        <v>0</v>
      </c>
      <c r="AU232" s="9" t="e">
        <f>Потребность!N232/Потребность!$N232</f>
        <v>#DIV/0!</v>
      </c>
      <c r="AV232" s="9" t="e">
        <f>Потребность!O232/Потребность!$N232</f>
        <v>#DIV/0!</v>
      </c>
      <c r="AW232" s="9" t="e">
        <f>Потребность!P232/Потребность!$N232</f>
        <v>#DIV/0!</v>
      </c>
      <c r="AX232" s="9" t="e">
        <f>Потребность!T232/Потребность!$T232</f>
        <v>#DIV/0!</v>
      </c>
      <c r="AY232" s="9" t="e">
        <f>Потребность!U232/Потребность!$T232</f>
        <v>#DIV/0!</v>
      </c>
      <c r="AZ232" s="9" t="e">
        <f>Потребность!V232/Потребность!$T232</f>
        <v>#DIV/0!</v>
      </c>
      <c r="BA232" s="141">
        <f>Потребность!Q232</f>
        <v>0</v>
      </c>
      <c r="BB232">
        <f>Потребность!AC232</f>
        <v>0</v>
      </c>
      <c r="BC232" s="141">
        <f>Потребность!AD232</f>
        <v>0</v>
      </c>
    </row>
    <row r="233" spans="1:55" x14ac:dyDescent="0.2">
      <c r="A233" s="85"/>
      <c r="B233" s="195"/>
      <c r="C233" s="85"/>
      <c r="D233" s="85"/>
      <c r="E233" s="195"/>
      <c r="F233" s="35"/>
      <c r="G233" s="65"/>
      <c r="H233" s="36"/>
      <c r="I233" s="37"/>
      <c r="J233" s="37"/>
      <c r="K233" s="35"/>
      <c r="L233" s="38"/>
      <c r="M233" s="128"/>
      <c r="N233" s="38"/>
      <c r="O233" s="128"/>
      <c r="P233" s="53"/>
      <c r="Q233" s="45"/>
      <c r="R233" s="45"/>
      <c r="S233" s="45"/>
      <c r="T233" s="46"/>
      <c r="U233" s="120"/>
      <c r="V233" s="120"/>
      <c r="W233" s="120"/>
      <c r="X233" s="121"/>
      <c r="Y233" s="121"/>
      <c r="Z233" s="121"/>
      <c r="AA233" s="121"/>
      <c r="AB233" s="121"/>
      <c r="AC233" s="121"/>
      <c r="AD233" s="122"/>
      <c r="AE233" s="122"/>
      <c r="AF233" s="122"/>
      <c r="AG233" s="66"/>
      <c r="AH233" s="46"/>
      <c r="AI233" s="76"/>
      <c r="AJ233" s="97"/>
      <c r="AK233" s="39"/>
      <c r="AL233" s="102"/>
      <c r="AM233" s="102"/>
      <c r="AN233" s="102"/>
      <c r="AO233" s="102"/>
      <c r="AP233" s="280"/>
      <c r="AQ233" s="10">
        <f>Потребность!AD233</f>
        <v>0</v>
      </c>
      <c r="AR233" s="10">
        <f>SUM(Потребность!K233:M233)</f>
        <v>0</v>
      </c>
      <c r="AS233" s="9" t="e">
        <f>Потребность!AZ233</f>
        <v>#N/A</v>
      </c>
      <c r="AT233" s="9">
        <f>Потребность!J233</f>
        <v>0</v>
      </c>
      <c r="AU233" s="9" t="e">
        <f>Потребность!N233/Потребность!$N233</f>
        <v>#DIV/0!</v>
      </c>
      <c r="AV233" s="9" t="e">
        <f>Потребность!O233/Потребность!$N233</f>
        <v>#DIV/0!</v>
      </c>
      <c r="AW233" s="9" t="e">
        <f>Потребность!P233/Потребность!$N233</f>
        <v>#DIV/0!</v>
      </c>
      <c r="AX233" s="9" t="e">
        <f>Потребность!T233/Потребность!$T233</f>
        <v>#DIV/0!</v>
      </c>
      <c r="AY233" s="9" t="e">
        <f>Потребность!U233/Потребность!$T233</f>
        <v>#DIV/0!</v>
      </c>
      <c r="AZ233" s="9" t="e">
        <f>Потребность!V233/Потребность!$T233</f>
        <v>#DIV/0!</v>
      </c>
      <c r="BA233" s="141">
        <f>Потребность!Q233</f>
        <v>0</v>
      </c>
      <c r="BB233">
        <f>Потребность!AC233</f>
        <v>0</v>
      </c>
      <c r="BC233" s="141">
        <f>Потребность!AD233</f>
        <v>0</v>
      </c>
    </row>
    <row r="234" spans="1:55" x14ac:dyDescent="0.2">
      <c r="A234" s="85"/>
      <c r="B234" s="195"/>
      <c r="C234" s="85"/>
      <c r="D234" s="85"/>
      <c r="E234" s="195"/>
      <c r="F234" s="35"/>
      <c r="G234" s="65"/>
      <c r="H234" s="36"/>
      <c r="I234" s="37"/>
      <c r="J234" s="37"/>
      <c r="K234" s="35"/>
      <c r="L234" s="38"/>
      <c r="M234" s="128"/>
      <c r="N234" s="38"/>
      <c r="O234" s="128"/>
      <c r="P234" s="53"/>
      <c r="Q234" s="45"/>
      <c r="R234" s="45"/>
      <c r="S234" s="45"/>
      <c r="T234" s="46"/>
      <c r="U234" s="120"/>
      <c r="V234" s="120"/>
      <c r="W234" s="120"/>
      <c r="X234" s="121"/>
      <c r="Y234" s="121"/>
      <c r="Z234" s="121"/>
      <c r="AA234" s="121"/>
      <c r="AB234" s="121"/>
      <c r="AC234" s="121"/>
      <c r="AD234" s="122"/>
      <c r="AE234" s="122"/>
      <c r="AF234" s="122"/>
      <c r="AG234" s="66"/>
      <c r="AH234" s="46"/>
      <c r="AI234" s="76"/>
      <c r="AJ234" s="97"/>
      <c r="AK234" s="39"/>
      <c r="AL234" s="102"/>
      <c r="AM234" s="102"/>
      <c r="AN234" s="102"/>
      <c r="AO234" s="102"/>
      <c r="AP234" s="280"/>
      <c r="AQ234" s="10">
        <f>Потребность!AD234</f>
        <v>0</v>
      </c>
      <c r="AR234" s="10">
        <f>SUM(Потребность!K234:M234)</f>
        <v>0</v>
      </c>
      <c r="AS234" s="9" t="e">
        <f>Потребность!AZ234</f>
        <v>#N/A</v>
      </c>
      <c r="AT234" s="9">
        <f>Потребность!J234</f>
        <v>0</v>
      </c>
      <c r="AU234" s="9" t="e">
        <f>Потребность!N234/Потребность!$N234</f>
        <v>#DIV/0!</v>
      </c>
      <c r="AV234" s="9" t="e">
        <f>Потребность!O234/Потребность!$N234</f>
        <v>#DIV/0!</v>
      </c>
      <c r="AW234" s="9" t="e">
        <f>Потребность!P234/Потребность!$N234</f>
        <v>#DIV/0!</v>
      </c>
      <c r="AX234" s="9" t="e">
        <f>Потребность!T234/Потребность!$T234</f>
        <v>#DIV/0!</v>
      </c>
      <c r="AY234" s="9" t="e">
        <f>Потребность!U234/Потребность!$T234</f>
        <v>#DIV/0!</v>
      </c>
      <c r="AZ234" s="9" t="e">
        <f>Потребность!V234/Потребность!$T234</f>
        <v>#DIV/0!</v>
      </c>
      <c r="BA234" s="141">
        <f>Потребность!Q234</f>
        <v>0</v>
      </c>
      <c r="BB234">
        <f>Потребность!AC234</f>
        <v>0</v>
      </c>
      <c r="BC234" s="141">
        <f>Потребность!AD234</f>
        <v>0</v>
      </c>
    </row>
    <row r="235" spans="1:55" x14ac:dyDescent="0.2">
      <c r="A235" s="85"/>
      <c r="B235" s="195"/>
      <c r="C235" s="85"/>
      <c r="D235" s="85"/>
      <c r="E235" s="195"/>
      <c r="F235" s="35"/>
      <c r="G235" s="65"/>
      <c r="H235" s="36"/>
      <c r="I235" s="37"/>
      <c r="J235" s="37"/>
      <c r="K235" s="35"/>
      <c r="L235" s="38"/>
      <c r="M235" s="128"/>
      <c r="N235" s="38"/>
      <c r="O235" s="128"/>
      <c r="P235" s="53"/>
      <c r="Q235" s="45"/>
      <c r="R235" s="45"/>
      <c r="S235" s="45"/>
      <c r="T235" s="46"/>
      <c r="U235" s="120"/>
      <c r="V235" s="120"/>
      <c r="W235" s="120"/>
      <c r="X235" s="121"/>
      <c r="Y235" s="121"/>
      <c r="Z235" s="121"/>
      <c r="AA235" s="121"/>
      <c r="AB235" s="121"/>
      <c r="AC235" s="121"/>
      <c r="AD235" s="122"/>
      <c r="AE235" s="122"/>
      <c r="AF235" s="122"/>
      <c r="AG235" s="66"/>
      <c r="AH235" s="46"/>
      <c r="AI235" s="76"/>
      <c r="AJ235" s="97"/>
      <c r="AK235" s="39"/>
      <c r="AL235" s="102"/>
      <c r="AM235" s="102"/>
      <c r="AN235" s="102"/>
      <c r="AO235" s="102"/>
      <c r="AP235" s="280"/>
      <c r="AQ235" s="10">
        <f>Потребность!AD235</f>
        <v>0</v>
      </c>
      <c r="AR235" s="10">
        <f>SUM(Потребность!K235:M235)</f>
        <v>0</v>
      </c>
      <c r="AS235" s="9" t="e">
        <f>Потребность!AZ235</f>
        <v>#N/A</v>
      </c>
      <c r="AT235" s="9">
        <f>Потребность!J235</f>
        <v>0</v>
      </c>
      <c r="AU235" s="9" t="e">
        <f>Потребность!N235/Потребность!$N235</f>
        <v>#DIV/0!</v>
      </c>
      <c r="AV235" s="9" t="e">
        <f>Потребность!O235/Потребность!$N235</f>
        <v>#DIV/0!</v>
      </c>
      <c r="AW235" s="9" t="e">
        <f>Потребность!P235/Потребность!$N235</f>
        <v>#DIV/0!</v>
      </c>
      <c r="AX235" s="9" t="e">
        <f>Потребность!T235/Потребность!$T235</f>
        <v>#DIV/0!</v>
      </c>
      <c r="AY235" s="9" t="e">
        <f>Потребность!U235/Потребность!$T235</f>
        <v>#DIV/0!</v>
      </c>
      <c r="AZ235" s="9" t="e">
        <f>Потребность!V235/Потребность!$T235</f>
        <v>#DIV/0!</v>
      </c>
      <c r="BA235" s="141">
        <f>Потребность!Q235</f>
        <v>0</v>
      </c>
      <c r="BB235">
        <f>Потребность!AC235</f>
        <v>0</v>
      </c>
      <c r="BC235" s="141">
        <f>Потребность!AD235</f>
        <v>0</v>
      </c>
    </row>
    <row r="236" spans="1:55" x14ac:dyDescent="0.2">
      <c r="A236" s="85"/>
      <c r="B236" s="195"/>
      <c r="C236" s="85"/>
      <c r="D236" s="85"/>
      <c r="E236" s="195"/>
      <c r="F236" s="35"/>
      <c r="G236" s="65"/>
      <c r="H236" s="36"/>
      <c r="I236" s="37"/>
      <c r="J236" s="37"/>
      <c r="K236" s="35"/>
      <c r="L236" s="38"/>
      <c r="M236" s="128"/>
      <c r="N236" s="38"/>
      <c r="O236" s="128"/>
      <c r="P236" s="53"/>
      <c r="Q236" s="45"/>
      <c r="R236" s="45"/>
      <c r="S236" s="45"/>
      <c r="T236" s="46"/>
      <c r="U236" s="120"/>
      <c r="V236" s="120"/>
      <c r="W236" s="120"/>
      <c r="X236" s="121"/>
      <c r="Y236" s="121"/>
      <c r="Z236" s="121"/>
      <c r="AA236" s="121"/>
      <c r="AB236" s="121"/>
      <c r="AC236" s="121"/>
      <c r="AD236" s="122"/>
      <c r="AE236" s="122"/>
      <c r="AF236" s="122"/>
      <c r="AG236" s="66"/>
      <c r="AH236" s="46"/>
      <c r="AI236" s="76"/>
      <c r="AJ236" s="97"/>
      <c r="AK236" s="39"/>
      <c r="AL236" s="102"/>
      <c r="AM236" s="102"/>
      <c r="AN236" s="102"/>
      <c r="AO236" s="102"/>
      <c r="AP236" s="280"/>
      <c r="AQ236" s="10">
        <f>Потребность!AD236</f>
        <v>0</v>
      </c>
      <c r="AR236" s="10">
        <f>SUM(Потребность!K236:M236)</f>
        <v>0</v>
      </c>
      <c r="AS236" s="9" t="e">
        <f>Потребность!AZ236</f>
        <v>#N/A</v>
      </c>
      <c r="AT236" s="9">
        <f>Потребность!J236</f>
        <v>0</v>
      </c>
      <c r="AU236" s="9" t="e">
        <f>Потребность!N236/Потребность!$N236</f>
        <v>#DIV/0!</v>
      </c>
      <c r="AV236" s="9" t="e">
        <f>Потребность!O236/Потребность!$N236</f>
        <v>#DIV/0!</v>
      </c>
      <c r="AW236" s="9" t="e">
        <f>Потребность!P236/Потребность!$N236</f>
        <v>#DIV/0!</v>
      </c>
      <c r="AX236" s="9" t="e">
        <f>Потребность!T236/Потребность!$T236</f>
        <v>#DIV/0!</v>
      </c>
      <c r="AY236" s="9" t="e">
        <f>Потребность!U236/Потребность!$T236</f>
        <v>#DIV/0!</v>
      </c>
      <c r="AZ236" s="9" t="e">
        <f>Потребность!V236/Потребность!$T236</f>
        <v>#DIV/0!</v>
      </c>
      <c r="BA236" s="141">
        <f>Потребность!Q236</f>
        <v>0</v>
      </c>
      <c r="BB236">
        <f>Потребность!AC236</f>
        <v>0</v>
      </c>
      <c r="BC236" s="141">
        <f>Потребность!AD236</f>
        <v>0</v>
      </c>
    </row>
    <row r="237" spans="1:55" x14ac:dyDescent="0.2">
      <c r="A237" s="85"/>
      <c r="B237" s="195"/>
      <c r="C237" s="85"/>
      <c r="D237" s="85"/>
      <c r="E237" s="195"/>
      <c r="F237" s="35"/>
      <c r="G237" s="65"/>
      <c r="H237" s="36"/>
      <c r="I237" s="37"/>
      <c r="J237" s="37"/>
      <c r="K237" s="35"/>
      <c r="L237" s="38"/>
      <c r="M237" s="128"/>
      <c r="N237" s="38"/>
      <c r="O237" s="128"/>
      <c r="P237" s="53"/>
      <c r="Q237" s="45"/>
      <c r="R237" s="45"/>
      <c r="S237" s="45"/>
      <c r="T237" s="46"/>
      <c r="U237" s="120"/>
      <c r="V237" s="120"/>
      <c r="W237" s="120"/>
      <c r="X237" s="121"/>
      <c r="Y237" s="121"/>
      <c r="Z237" s="121"/>
      <c r="AA237" s="121"/>
      <c r="AB237" s="121"/>
      <c r="AC237" s="121"/>
      <c r="AD237" s="122"/>
      <c r="AE237" s="122"/>
      <c r="AF237" s="122"/>
      <c r="AG237" s="66"/>
      <c r="AH237" s="46"/>
      <c r="AI237" s="76"/>
      <c r="AJ237" s="97"/>
      <c r="AK237" s="39"/>
      <c r="AL237" s="102"/>
      <c r="AM237" s="102"/>
      <c r="AN237" s="102"/>
      <c r="AO237" s="102"/>
      <c r="AP237" s="280"/>
      <c r="AQ237" s="10">
        <f>Потребность!AD237</f>
        <v>0</v>
      </c>
      <c r="AR237" s="10">
        <f>SUM(Потребность!K237:M237)</f>
        <v>0</v>
      </c>
      <c r="AS237" s="9" t="e">
        <f>Потребность!AZ237</f>
        <v>#N/A</v>
      </c>
      <c r="AT237" s="9">
        <f>Потребность!J237</f>
        <v>0</v>
      </c>
      <c r="AU237" s="9" t="e">
        <f>Потребность!N237/Потребность!$N237</f>
        <v>#DIV/0!</v>
      </c>
      <c r="AV237" s="9" t="e">
        <f>Потребность!O237/Потребность!$N237</f>
        <v>#DIV/0!</v>
      </c>
      <c r="AW237" s="9" t="e">
        <f>Потребность!P237/Потребность!$N237</f>
        <v>#DIV/0!</v>
      </c>
      <c r="AX237" s="9" t="e">
        <f>Потребность!T237/Потребность!$T237</f>
        <v>#DIV/0!</v>
      </c>
      <c r="AY237" s="9" t="e">
        <f>Потребность!U237/Потребность!$T237</f>
        <v>#DIV/0!</v>
      </c>
      <c r="AZ237" s="9" t="e">
        <f>Потребность!V237/Потребность!$T237</f>
        <v>#DIV/0!</v>
      </c>
      <c r="BA237" s="141">
        <f>Потребность!Q237</f>
        <v>0</v>
      </c>
      <c r="BB237">
        <f>Потребность!AC237</f>
        <v>0</v>
      </c>
      <c r="BC237" s="141">
        <f>Потребность!AD237</f>
        <v>0</v>
      </c>
    </row>
    <row r="238" spans="1:55" x14ac:dyDescent="0.2">
      <c r="A238" s="85"/>
      <c r="B238" s="195"/>
      <c r="C238" s="85"/>
      <c r="D238" s="85"/>
      <c r="E238" s="195"/>
      <c r="F238" s="35"/>
      <c r="G238" s="65"/>
      <c r="H238" s="36"/>
      <c r="I238" s="37"/>
      <c r="J238" s="37"/>
      <c r="K238" s="35"/>
      <c r="L238" s="38"/>
      <c r="M238" s="128"/>
      <c r="N238" s="38"/>
      <c r="O238" s="128"/>
      <c r="P238" s="53"/>
      <c r="Q238" s="45"/>
      <c r="R238" s="45"/>
      <c r="S238" s="45"/>
      <c r="T238" s="46"/>
      <c r="U238" s="120"/>
      <c r="V238" s="120"/>
      <c r="W238" s="120"/>
      <c r="X238" s="121"/>
      <c r="Y238" s="121"/>
      <c r="Z238" s="121"/>
      <c r="AA238" s="121"/>
      <c r="AB238" s="121"/>
      <c r="AC238" s="121"/>
      <c r="AD238" s="122"/>
      <c r="AE238" s="122"/>
      <c r="AF238" s="122"/>
      <c r="AG238" s="66"/>
      <c r="AH238" s="46"/>
      <c r="AI238" s="76"/>
      <c r="AJ238" s="97"/>
      <c r="AK238" s="39"/>
      <c r="AL238" s="102"/>
      <c r="AM238" s="102"/>
      <c r="AN238" s="102"/>
      <c r="AO238" s="102"/>
      <c r="AP238" s="280"/>
      <c r="AQ238" s="10">
        <f>Потребность!AD238</f>
        <v>0</v>
      </c>
      <c r="AR238" s="10">
        <f>SUM(Потребность!K238:M238)</f>
        <v>0</v>
      </c>
      <c r="AS238" s="9" t="e">
        <f>Потребность!AZ238</f>
        <v>#N/A</v>
      </c>
      <c r="AT238" s="9">
        <f>Потребность!J238</f>
        <v>0</v>
      </c>
      <c r="AU238" s="9" t="e">
        <f>Потребность!N238/Потребность!$N238</f>
        <v>#DIV/0!</v>
      </c>
      <c r="AV238" s="9" t="e">
        <f>Потребность!O238/Потребность!$N238</f>
        <v>#DIV/0!</v>
      </c>
      <c r="AW238" s="9" t="e">
        <f>Потребность!P238/Потребность!$N238</f>
        <v>#DIV/0!</v>
      </c>
      <c r="AX238" s="9" t="e">
        <f>Потребность!T238/Потребность!$T238</f>
        <v>#DIV/0!</v>
      </c>
      <c r="AY238" s="9" t="e">
        <f>Потребность!U238/Потребность!$T238</f>
        <v>#DIV/0!</v>
      </c>
      <c r="AZ238" s="9" t="e">
        <f>Потребность!V238/Потребность!$T238</f>
        <v>#DIV/0!</v>
      </c>
      <c r="BA238" s="141">
        <f>Потребность!Q238</f>
        <v>0</v>
      </c>
      <c r="BB238">
        <f>Потребность!AC238</f>
        <v>0</v>
      </c>
      <c r="BC238" s="141">
        <f>Потребность!AD238</f>
        <v>0</v>
      </c>
    </row>
    <row r="239" spans="1:55" x14ac:dyDescent="0.2">
      <c r="A239" s="85"/>
      <c r="B239" s="195"/>
      <c r="C239" s="85"/>
      <c r="D239" s="85"/>
      <c r="E239" s="195"/>
      <c r="F239" s="35"/>
      <c r="G239" s="65"/>
      <c r="H239" s="36"/>
      <c r="I239" s="37"/>
      <c r="J239" s="37"/>
      <c r="K239" s="35"/>
      <c r="L239" s="38"/>
      <c r="M239" s="128"/>
      <c r="N239" s="38"/>
      <c r="O239" s="128"/>
      <c r="P239" s="53"/>
      <c r="Q239" s="45"/>
      <c r="R239" s="45"/>
      <c r="S239" s="45"/>
      <c r="T239" s="46"/>
      <c r="U239" s="120"/>
      <c r="V239" s="120"/>
      <c r="W239" s="120"/>
      <c r="X239" s="121"/>
      <c r="Y239" s="121"/>
      <c r="Z239" s="121"/>
      <c r="AA239" s="121"/>
      <c r="AB239" s="121"/>
      <c r="AC239" s="121"/>
      <c r="AD239" s="122"/>
      <c r="AE239" s="122"/>
      <c r="AF239" s="122"/>
      <c r="AG239" s="66"/>
      <c r="AH239" s="46"/>
      <c r="AI239" s="76"/>
      <c r="AJ239" s="97"/>
      <c r="AK239" s="39"/>
      <c r="AL239" s="102"/>
      <c r="AM239" s="102"/>
      <c r="AN239" s="102"/>
      <c r="AO239" s="102"/>
      <c r="AP239" s="280"/>
      <c r="AQ239" s="10">
        <f>Потребность!AD239</f>
        <v>0</v>
      </c>
      <c r="AR239" s="10">
        <f>SUM(Потребность!K239:M239)</f>
        <v>0</v>
      </c>
      <c r="AS239" s="9" t="e">
        <f>Потребность!AZ239</f>
        <v>#N/A</v>
      </c>
      <c r="AT239" s="9">
        <f>Потребность!J239</f>
        <v>0</v>
      </c>
      <c r="AU239" s="9" t="e">
        <f>Потребность!N239/Потребность!$N239</f>
        <v>#DIV/0!</v>
      </c>
      <c r="AV239" s="9" t="e">
        <f>Потребность!O239/Потребность!$N239</f>
        <v>#DIV/0!</v>
      </c>
      <c r="AW239" s="9" t="e">
        <f>Потребность!P239/Потребность!$N239</f>
        <v>#DIV/0!</v>
      </c>
      <c r="AX239" s="9" t="e">
        <f>Потребность!T239/Потребность!$T239</f>
        <v>#DIV/0!</v>
      </c>
      <c r="AY239" s="9" t="e">
        <f>Потребность!U239/Потребность!$T239</f>
        <v>#DIV/0!</v>
      </c>
      <c r="AZ239" s="9" t="e">
        <f>Потребность!V239/Потребность!$T239</f>
        <v>#DIV/0!</v>
      </c>
      <c r="BA239" s="141">
        <f>Потребность!Q239</f>
        <v>0</v>
      </c>
      <c r="BB239">
        <f>Потребность!AC239</f>
        <v>0</v>
      </c>
      <c r="BC239" s="141">
        <f>Потребность!AD239</f>
        <v>0</v>
      </c>
    </row>
    <row r="240" spans="1:55" x14ac:dyDescent="0.2">
      <c r="A240" s="85"/>
      <c r="B240" s="195"/>
      <c r="C240" s="85"/>
      <c r="D240" s="85"/>
      <c r="E240" s="195"/>
      <c r="F240" s="35"/>
      <c r="G240" s="65"/>
      <c r="H240" s="36"/>
      <c r="I240" s="37"/>
      <c r="J240" s="37"/>
      <c r="K240" s="35"/>
      <c r="L240" s="38"/>
      <c r="M240" s="128"/>
      <c r="N240" s="38"/>
      <c r="O240" s="128"/>
      <c r="P240" s="53"/>
      <c r="Q240" s="45"/>
      <c r="R240" s="45"/>
      <c r="S240" s="45"/>
      <c r="T240" s="46"/>
      <c r="U240" s="120"/>
      <c r="V240" s="120"/>
      <c r="W240" s="120"/>
      <c r="X240" s="121"/>
      <c r="Y240" s="121"/>
      <c r="Z240" s="121"/>
      <c r="AA240" s="121"/>
      <c r="AB240" s="121"/>
      <c r="AC240" s="121"/>
      <c r="AD240" s="122"/>
      <c r="AE240" s="122"/>
      <c r="AF240" s="122"/>
      <c r="AG240" s="66"/>
      <c r="AH240" s="46"/>
      <c r="AI240" s="76"/>
      <c r="AJ240" s="97"/>
      <c r="AK240" s="39"/>
      <c r="AL240" s="102"/>
      <c r="AM240" s="102"/>
      <c r="AN240" s="102"/>
      <c r="AO240" s="102"/>
      <c r="AP240" s="280"/>
      <c r="AQ240" s="10">
        <f>Потребность!AD240</f>
        <v>0</v>
      </c>
      <c r="AR240" s="10">
        <f>SUM(Потребность!K240:M240)</f>
        <v>0</v>
      </c>
      <c r="AS240" s="9" t="e">
        <f>Потребность!AZ240</f>
        <v>#N/A</v>
      </c>
      <c r="AT240" s="9">
        <f>Потребность!J240</f>
        <v>0</v>
      </c>
      <c r="AU240" s="9" t="e">
        <f>Потребность!N240/Потребность!$N240</f>
        <v>#DIV/0!</v>
      </c>
      <c r="AV240" s="9" t="e">
        <f>Потребность!O240/Потребность!$N240</f>
        <v>#DIV/0!</v>
      </c>
      <c r="AW240" s="9" t="e">
        <f>Потребность!P240/Потребность!$N240</f>
        <v>#DIV/0!</v>
      </c>
      <c r="AX240" s="9" t="e">
        <f>Потребность!T240/Потребность!$T240</f>
        <v>#DIV/0!</v>
      </c>
      <c r="AY240" s="9" t="e">
        <f>Потребность!U240/Потребность!$T240</f>
        <v>#DIV/0!</v>
      </c>
      <c r="AZ240" s="9" t="e">
        <f>Потребность!V240/Потребность!$T240</f>
        <v>#DIV/0!</v>
      </c>
      <c r="BA240" s="141">
        <f>Потребность!Q240</f>
        <v>0</v>
      </c>
      <c r="BB240">
        <f>Потребность!AC240</f>
        <v>0</v>
      </c>
      <c r="BC240" s="141">
        <f>Потребность!AD240</f>
        <v>0</v>
      </c>
    </row>
    <row r="241" spans="1:55" x14ac:dyDescent="0.2">
      <c r="A241" s="85"/>
      <c r="B241" s="195"/>
      <c r="C241" s="85"/>
      <c r="D241" s="85"/>
      <c r="E241" s="195"/>
      <c r="F241" s="35"/>
      <c r="G241" s="65"/>
      <c r="H241" s="36"/>
      <c r="I241" s="37"/>
      <c r="J241" s="37"/>
      <c r="K241" s="35"/>
      <c r="L241" s="38"/>
      <c r="M241" s="128"/>
      <c r="N241" s="38"/>
      <c r="O241" s="128"/>
      <c r="P241" s="53"/>
      <c r="Q241" s="45"/>
      <c r="R241" s="45"/>
      <c r="S241" s="45"/>
      <c r="T241" s="46"/>
      <c r="U241" s="120"/>
      <c r="V241" s="120"/>
      <c r="W241" s="120"/>
      <c r="X241" s="121"/>
      <c r="Y241" s="121"/>
      <c r="Z241" s="121"/>
      <c r="AA241" s="121"/>
      <c r="AB241" s="121"/>
      <c r="AC241" s="121"/>
      <c r="AD241" s="122"/>
      <c r="AE241" s="122"/>
      <c r="AF241" s="122"/>
      <c r="AG241" s="66"/>
      <c r="AH241" s="46"/>
      <c r="AI241" s="76"/>
      <c r="AJ241" s="97"/>
      <c r="AK241" s="39"/>
      <c r="AL241" s="102"/>
      <c r="AM241" s="102"/>
      <c r="AN241" s="102"/>
      <c r="AO241" s="102"/>
      <c r="AP241" s="280"/>
      <c r="AQ241" s="10">
        <f>Потребность!AD241</f>
        <v>0</v>
      </c>
      <c r="AR241" s="10">
        <f>SUM(Потребность!K241:M241)</f>
        <v>0</v>
      </c>
      <c r="AS241" s="9" t="e">
        <f>Потребность!AZ241</f>
        <v>#N/A</v>
      </c>
      <c r="AT241" s="9">
        <f>Потребность!J241</f>
        <v>0</v>
      </c>
      <c r="AU241" s="9" t="e">
        <f>Потребность!N241/Потребность!$N241</f>
        <v>#DIV/0!</v>
      </c>
      <c r="AV241" s="9" t="e">
        <f>Потребность!O241/Потребность!$N241</f>
        <v>#DIV/0!</v>
      </c>
      <c r="AW241" s="9" t="e">
        <f>Потребность!P241/Потребность!$N241</f>
        <v>#DIV/0!</v>
      </c>
      <c r="AX241" s="9" t="e">
        <f>Потребность!T241/Потребность!$T241</f>
        <v>#DIV/0!</v>
      </c>
      <c r="AY241" s="9" t="e">
        <f>Потребность!U241/Потребность!$T241</f>
        <v>#DIV/0!</v>
      </c>
      <c r="AZ241" s="9" t="e">
        <f>Потребность!V241/Потребность!$T241</f>
        <v>#DIV/0!</v>
      </c>
      <c r="BA241" s="141">
        <f>Потребность!Q241</f>
        <v>0</v>
      </c>
      <c r="BB241">
        <f>Потребность!AC241</f>
        <v>0</v>
      </c>
      <c r="BC241" s="141">
        <f>Потребность!AD241</f>
        <v>0</v>
      </c>
    </row>
    <row r="242" spans="1:55" x14ac:dyDescent="0.2">
      <c r="A242" s="85"/>
      <c r="B242" s="195"/>
      <c r="C242" s="85"/>
      <c r="D242" s="85"/>
      <c r="E242" s="195"/>
      <c r="F242" s="35"/>
      <c r="G242" s="65"/>
      <c r="H242" s="36"/>
      <c r="I242" s="37"/>
      <c r="J242" s="37"/>
      <c r="K242" s="35"/>
      <c r="L242" s="38"/>
      <c r="M242" s="128"/>
      <c r="N242" s="38"/>
      <c r="O242" s="128"/>
      <c r="P242" s="53"/>
      <c r="Q242" s="45"/>
      <c r="R242" s="45"/>
      <c r="S242" s="45"/>
      <c r="T242" s="46"/>
      <c r="U242" s="120"/>
      <c r="V242" s="120"/>
      <c r="W242" s="120"/>
      <c r="X242" s="121"/>
      <c r="Y242" s="121"/>
      <c r="Z242" s="121"/>
      <c r="AA242" s="121"/>
      <c r="AB242" s="121"/>
      <c r="AC242" s="121"/>
      <c r="AD242" s="122"/>
      <c r="AE242" s="122"/>
      <c r="AF242" s="122"/>
      <c r="AG242" s="66"/>
      <c r="AH242" s="46"/>
      <c r="AI242" s="76"/>
      <c r="AJ242" s="97"/>
      <c r="AK242" s="39"/>
      <c r="AL242" s="102"/>
      <c r="AM242" s="102"/>
      <c r="AN242" s="102"/>
      <c r="AO242" s="102"/>
      <c r="AP242" s="280"/>
      <c r="AQ242" s="10">
        <f>Потребность!AD242</f>
        <v>0</v>
      </c>
      <c r="AR242" s="10">
        <f>SUM(Потребность!K242:M242)</f>
        <v>0</v>
      </c>
      <c r="AS242" s="9" t="e">
        <f>Потребность!AZ242</f>
        <v>#N/A</v>
      </c>
      <c r="AT242" s="9">
        <f>Потребность!J242</f>
        <v>0</v>
      </c>
      <c r="AU242" s="9" t="e">
        <f>Потребность!N242/Потребность!$N242</f>
        <v>#DIV/0!</v>
      </c>
      <c r="AV242" s="9" t="e">
        <f>Потребность!O242/Потребность!$N242</f>
        <v>#DIV/0!</v>
      </c>
      <c r="AW242" s="9" t="e">
        <f>Потребность!P242/Потребность!$N242</f>
        <v>#DIV/0!</v>
      </c>
      <c r="AX242" s="9" t="e">
        <f>Потребность!T242/Потребность!$T242</f>
        <v>#DIV/0!</v>
      </c>
      <c r="AY242" s="9" t="e">
        <f>Потребность!U242/Потребность!$T242</f>
        <v>#DIV/0!</v>
      </c>
      <c r="AZ242" s="9" t="e">
        <f>Потребность!V242/Потребность!$T242</f>
        <v>#DIV/0!</v>
      </c>
      <c r="BA242" s="141">
        <f>Потребность!Q242</f>
        <v>0</v>
      </c>
      <c r="BB242">
        <f>Потребность!AC242</f>
        <v>0</v>
      </c>
      <c r="BC242" s="141">
        <f>Потребность!AD242</f>
        <v>0</v>
      </c>
    </row>
    <row r="243" spans="1:55" x14ac:dyDescent="0.2">
      <c r="A243" s="85"/>
      <c r="B243" s="195"/>
      <c r="C243" s="85"/>
      <c r="D243" s="85"/>
      <c r="E243" s="195"/>
      <c r="F243" s="35"/>
      <c r="G243" s="65"/>
      <c r="H243" s="36"/>
      <c r="I243" s="37"/>
      <c r="J243" s="37"/>
      <c r="K243" s="35"/>
      <c r="L243" s="38"/>
      <c r="M243" s="128"/>
      <c r="N243" s="38"/>
      <c r="O243" s="128"/>
      <c r="P243" s="53"/>
      <c r="Q243" s="45"/>
      <c r="R243" s="45"/>
      <c r="S243" s="45"/>
      <c r="T243" s="46"/>
      <c r="U243" s="120"/>
      <c r="V243" s="120"/>
      <c r="W243" s="120"/>
      <c r="X243" s="121"/>
      <c r="Y243" s="121"/>
      <c r="Z243" s="121"/>
      <c r="AA243" s="121"/>
      <c r="AB243" s="121"/>
      <c r="AC243" s="121"/>
      <c r="AD243" s="122"/>
      <c r="AE243" s="122"/>
      <c r="AF243" s="122"/>
      <c r="AG243" s="66"/>
      <c r="AH243" s="46"/>
      <c r="AI243" s="76"/>
      <c r="AJ243" s="97"/>
      <c r="AK243" s="39"/>
      <c r="AL243" s="102"/>
      <c r="AM243" s="102"/>
      <c r="AN243" s="102"/>
      <c r="AO243" s="102"/>
      <c r="AP243" s="280"/>
      <c r="AQ243" s="10">
        <f>Потребность!AD243</f>
        <v>0</v>
      </c>
      <c r="AR243" s="10">
        <f>SUM(Потребность!K243:M243)</f>
        <v>0</v>
      </c>
      <c r="AS243" s="9" t="e">
        <f>Потребность!AZ243</f>
        <v>#N/A</v>
      </c>
      <c r="AT243" s="9">
        <f>Потребность!J243</f>
        <v>0</v>
      </c>
      <c r="AU243" s="9" t="e">
        <f>Потребность!N243/Потребность!$N243</f>
        <v>#DIV/0!</v>
      </c>
      <c r="AV243" s="9" t="e">
        <f>Потребность!O243/Потребность!$N243</f>
        <v>#DIV/0!</v>
      </c>
      <c r="AW243" s="9" t="e">
        <f>Потребность!P243/Потребность!$N243</f>
        <v>#DIV/0!</v>
      </c>
      <c r="AX243" s="9" t="e">
        <f>Потребность!T243/Потребность!$T243</f>
        <v>#DIV/0!</v>
      </c>
      <c r="AY243" s="9" t="e">
        <f>Потребность!U243/Потребность!$T243</f>
        <v>#DIV/0!</v>
      </c>
      <c r="AZ243" s="9" t="e">
        <f>Потребность!V243/Потребность!$T243</f>
        <v>#DIV/0!</v>
      </c>
      <c r="BA243" s="141">
        <f>Потребность!Q243</f>
        <v>0</v>
      </c>
      <c r="BB243">
        <f>Потребность!AC243</f>
        <v>0</v>
      </c>
      <c r="BC243" s="141">
        <f>Потребность!AD243</f>
        <v>0</v>
      </c>
    </row>
    <row r="244" spans="1:55" x14ac:dyDescent="0.2">
      <c r="A244" s="85"/>
      <c r="B244" s="195"/>
      <c r="C244" s="85"/>
      <c r="D244" s="85"/>
      <c r="E244" s="195"/>
      <c r="F244" s="35"/>
      <c r="G244" s="65"/>
      <c r="H244" s="36"/>
      <c r="I244" s="37"/>
      <c r="J244" s="37"/>
      <c r="K244" s="35"/>
      <c r="L244" s="38"/>
      <c r="M244" s="128"/>
      <c r="N244" s="38"/>
      <c r="O244" s="128"/>
      <c r="P244" s="53"/>
      <c r="Q244" s="45"/>
      <c r="R244" s="45"/>
      <c r="S244" s="45"/>
      <c r="T244" s="46"/>
      <c r="U244" s="120"/>
      <c r="V244" s="120"/>
      <c r="W244" s="120"/>
      <c r="X244" s="121"/>
      <c r="Y244" s="121"/>
      <c r="Z244" s="121"/>
      <c r="AA244" s="121"/>
      <c r="AB244" s="121"/>
      <c r="AC244" s="121"/>
      <c r="AD244" s="122"/>
      <c r="AE244" s="122"/>
      <c r="AF244" s="122"/>
      <c r="AG244" s="66"/>
      <c r="AH244" s="46"/>
      <c r="AI244" s="76"/>
      <c r="AJ244" s="97"/>
      <c r="AK244" s="39"/>
      <c r="AL244" s="102"/>
      <c r="AM244" s="102"/>
      <c r="AN244" s="102"/>
      <c r="AO244" s="102"/>
      <c r="AP244" s="280"/>
      <c r="AQ244" s="10">
        <f>Потребность!AD244</f>
        <v>0</v>
      </c>
      <c r="AR244" s="10">
        <f>SUM(Потребность!K244:M244)</f>
        <v>0</v>
      </c>
      <c r="AS244" s="9" t="e">
        <f>Потребность!AZ244</f>
        <v>#N/A</v>
      </c>
      <c r="AT244" s="9">
        <f>Потребность!J244</f>
        <v>0</v>
      </c>
      <c r="AU244" s="9" t="e">
        <f>Потребность!N244/Потребность!$N244</f>
        <v>#DIV/0!</v>
      </c>
      <c r="AV244" s="9" t="e">
        <f>Потребность!O244/Потребность!$N244</f>
        <v>#DIV/0!</v>
      </c>
      <c r="AW244" s="9" t="e">
        <f>Потребность!P244/Потребность!$N244</f>
        <v>#DIV/0!</v>
      </c>
      <c r="AX244" s="9" t="e">
        <f>Потребность!T244/Потребность!$T244</f>
        <v>#DIV/0!</v>
      </c>
      <c r="AY244" s="9" t="e">
        <f>Потребность!U244/Потребность!$T244</f>
        <v>#DIV/0!</v>
      </c>
      <c r="AZ244" s="9" t="e">
        <f>Потребность!V244/Потребность!$T244</f>
        <v>#DIV/0!</v>
      </c>
      <c r="BA244" s="141">
        <f>Потребность!Q244</f>
        <v>0</v>
      </c>
      <c r="BB244">
        <f>Потребность!AC244</f>
        <v>0</v>
      </c>
      <c r="BC244" s="141">
        <f>Потребность!AD244</f>
        <v>0</v>
      </c>
    </row>
    <row r="245" spans="1:55" x14ac:dyDescent="0.2">
      <c r="A245" s="85"/>
      <c r="B245" s="195"/>
      <c r="C245" s="85"/>
      <c r="D245" s="85"/>
      <c r="E245" s="195"/>
      <c r="F245" s="35"/>
      <c r="G245" s="65"/>
      <c r="H245" s="36"/>
      <c r="I245" s="37"/>
      <c r="J245" s="37"/>
      <c r="K245" s="35"/>
      <c r="L245" s="38"/>
      <c r="M245" s="128"/>
      <c r="N245" s="38"/>
      <c r="O245" s="128"/>
      <c r="P245" s="53"/>
      <c r="Q245" s="45"/>
      <c r="R245" s="45"/>
      <c r="S245" s="45"/>
      <c r="T245" s="46"/>
      <c r="U245" s="120"/>
      <c r="V245" s="120"/>
      <c r="W245" s="120"/>
      <c r="X245" s="121"/>
      <c r="Y245" s="121"/>
      <c r="Z245" s="121"/>
      <c r="AA245" s="121"/>
      <c r="AB245" s="121"/>
      <c r="AC245" s="121"/>
      <c r="AD245" s="122"/>
      <c r="AE245" s="122"/>
      <c r="AF245" s="122"/>
      <c r="AG245" s="66"/>
      <c r="AH245" s="46"/>
      <c r="AI245" s="76"/>
      <c r="AJ245" s="97"/>
      <c r="AK245" s="39"/>
      <c r="AL245" s="102"/>
      <c r="AM245" s="102"/>
      <c r="AN245" s="102"/>
      <c r="AO245" s="102"/>
      <c r="AP245" s="280"/>
      <c r="AQ245" s="10">
        <f>Потребность!AD245</f>
        <v>0</v>
      </c>
      <c r="AR245" s="10">
        <f>SUM(Потребность!K245:M245)</f>
        <v>0</v>
      </c>
      <c r="AS245" s="9" t="e">
        <f>Потребность!AZ245</f>
        <v>#N/A</v>
      </c>
      <c r="AT245" s="9">
        <f>Потребность!J245</f>
        <v>0</v>
      </c>
      <c r="AU245" s="9" t="e">
        <f>Потребность!N245/Потребность!$N245</f>
        <v>#DIV/0!</v>
      </c>
      <c r="AV245" s="9" t="e">
        <f>Потребность!O245/Потребность!$N245</f>
        <v>#DIV/0!</v>
      </c>
      <c r="AW245" s="9" t="e">
        <f>Потребность!P245/Потребность!$N245</f>
        <v>#DIV/0!</v>
      </c>
      <c r="AX245" s="9" t="e">
        <f>Потребность!T245/Потребность!$T245</f>
        <v>#DIV/0!</v>
      </c>
      <c r="AY245" s="9" t="e">
        <f>Потребность!U245/Потребность!$T245</f>
        <v>#DIV/0!</v>
      </c>
      <c r="AZ245" s="9" t="e">
        <f>Потребность!V245/Потребность!$T245</f>
        <v>#DIV/0!</v>
      </c>
      <c r="BA245" s="141">
        <f>Потребность!Q245</f>
        <v>0</v>
      </c>
      <c r="BB245">
        <f>Потребность!AC245</f>
        <v>0</v>
      </c>
      <c r="BC245" s="141">
        <f>Потребность!AD245</f>
        <v>0</v>
      </c>
    </row>
    <row r="246" spans="1:55" x14ac:dyDescent="0.2">
      <c r="A246" s="85"/>
      <c r="B246" s="195"/>
      <c r="C246" s="85"/>
      <c r="D246" s="85"/>
      <c r="E246" s="195"/>
      <c r="F246" s="35"/>
      <c r="G246" s="65"/>
      <c r="H246" s="36"/>
      <c r="I246" s="37"/>
      <c r="J246" s="37"/>
      <c r="K246" s="35"/>
      <c r="L246" s="38"/>
      <c r="M246" s="128"/>
      <c r="N246" s="38"/>
      <c r="O246" s="128"/>
      <c r="P246" s="53"/>
      <c r="Q246" s="45"/>
      <c r="R246" s="45"/>
      <c r="S246" s="45"/>
      <c r="T246" s="46"/>
      <c r="U246" s="120"/>
      <c r="V246" s="120"/>
      <c r="W246" s="120"/>
      <c r="X246" s="121"/>
      <c r="Y246" s="121"/>
      <c r="Z246" s="121"/>
      <c r="AA246" s="121"/>
      <c r="AB246" s="121"/>
      <c r="AC246" s="121"/>
      <c r="AD246" s="122"/>
      <c r="AE246" s="122"/>
      <c r="AF246" s="122"/>
      <c r="AG246" s="66"/>
      <c r="AH246" s="46"/>
      <c r="AI246" s="76"/>
      <c r="AJ246" s="97"/>
      <c r="AK246" s="39"/>
      <c r="AL246" s="102"/>
      <c r="AM246" s="102"/>
      <c r="AN246" s="102"/>
      <c r="AO246" s="102"/>
      <c r="AP246" s="280"/>
      <c r="AQ246" s="10">
        <f>Потребность!AD246</f>
        <v>0</v>
      </c>
      <c r="AR246" s="10">
        <f>SUM(Потребность!K246:M246)</f>
        <v>0</v>
      </c>
      <c r="AS246" s="9" t="e">
        <f>Потребность!AZ246</f>
        <v>#N/A</v>
      </c>
      <c r="AT246" s="9">
        <f>Потребность!J246</f>
        <v>0</v>
      </c>
      <c r="AU246" s="9" t="e">
        <f>Потребность!N246/Потребность!$N246</f>
        <v>#DIV/0!</v>
      </c>
      <c r="AV246" s="9" t="e">
        <f>Потребность!O246/Потребность!$N246</f>
        <v>#DIV/0!</v>
      </c>
      <c r="AW246" s="9" t="e">
        <f>Потребность!P246/Потребность!$N246</f>
        <v>#DIV/0!</v>
      </c>
      <c r="AX246" s="9" t="e">
        <f>Потребность!T246/Потребность!$T246</f>
        <v>#DIV/0!</v>
      </c>
      <c r="AY246" s="9" t="e">
        <f>Потребность!U246/Потребность!$T246</f>
        <v>#DIV/0!</v>
      </c>
      <c r="AZ246" s="9" t="e">
        <f>Потребность!V246/Потребность!$T246</f>
        <v>#DIV/0!</v>
      </c>
      <c r="BA246" s="141">
        <f>Потребность!Q246</f>
        <v>0</v>
      </c>
      <c r="BB246">
        <f>Потребность!AC246</f>
        <v>0</v>
      </c>
      <c r="BC246" s="141">
        <f>Потребность!AD246</f>
        <v>0</v>
      </c>
    </row>
    <row r="247" spans="1:55" x14ac:dyDescent="0.2">
      <c r="A247" s="85"/>
      <c r="B247" s="195"/>
      <c r="C247" s="85"/>
      <c r="D247" s="85"/>
      <c r="E247" s="195"/>
      <c r="F247" s="35"/>
      <c r="G247" s="65"/>
      <c r="H247" s="36"/>
      <c r="I247" s="37"/>
      <c r="J247" s="37"/>
      <c r="K247" s="35"/>
      <c r="L247" s="38"/>
      <c r="M247" s="128"/>
      <c r="N247" s="38"/>
      <c r="O247" s="128"/>
      <c r="P247" s="53"/>
      <c r="Q247" s="45"/>
      <c r="R247" s="45"/>
      <c r="S247" s="45"/>
      <c r="T247" s="46"/>
      <c r="U247" s="120"/>
      <c r="V247" s="120"/>
      <c r="W247" s="120"/>
      <c r="X247" s="121"/>
      <c r="Y247" s="121"/>
      <c r="Z247" s="121"/>
      <c r="AA247" s="121"/>
      <c r="AB247" s="121"/>
      <c r="AC247" s="121"/>
      <c r="AD247" s="122"/>
      <c r="AE247" s="122"/>
      <c r="AF247" s="122"/>
      <c r="AG247" s="66"/>
      <c r="AH247" s="46"/>
      <c r="AI247" s="76"/>
      <c r="AJ247" s="97"/>
      <c r="AK247" s="39"/>
      <c r="AL247" s="102"/>
      <c r="AM247" s="102"/>
      <c r="AN247" s="102"/>
      <c r="AO247" s="102"/>
      <c r="AP247" s="280"/>
      <c r="AQ247" s="10">
        <f>Потребность!AD247</f>
        <v>0</v>
      </c>
      <c r="AR247" s="10">
        <f>SUM(Потребность!K247:M247)</f>
        <v>0</v>
      </c>
      <c r="AS247" s="9" t="e">
        <f>Потребность!AZ247</f>
        <v>#N/A</v>
      </c>
      <c r="AT247" s="9">
        <f>Потребность!J247</f>
        <v>0</v>
      </c>
      <c r="AU247" s="9" t="e">
        <f>Потребность!N247/Потребность!$N247</f>
        <v>#DIV/0!</v>
      </c>
      <c r="AV247" s="9" t="e">
        <f>Потребность!O247/Потребность!$N247</f>
        <v>#DIV/0!</v>
      </c>
      <c r="AW247" s="9" t="e">
        <f>Потребность!P247/Потребность!$N247</f>
        <v>#DIV/0!</v>
      </c>
      <c r="AX247" s="9" t="e">
        <f>Потребность!T247/Потребность!$T247</f>
        <v>#DIV/0!</v>
      </c>
      <c r="AY247" s="9" t="e">
        <f>Потребность!U247/Потребность!$T247</f>
        <v>#DIV/0!</v>
      </c>
      <c r="AZ247" s="9" t="e">
        <f>Потребность!V247/Потребность!$T247</f>
        <v>#DIV/0!</v>
      </c>
      <c r="BA247" s="141">
        <f>Потребность!Q247</f>
        <v>0</v>
      </c>
      <c r="BB247">
        <f>Потребность!AC247</f>
        <v>0</v>
      </c>
      <c r="BC247" s="141">
        <f>Потребность!AD247</f>
        <v>0</v>
      </c>
    </row>
    <row r="248" spans="1:55" x14ac:dyDescent="0.2">
      <c r="A248" s="85"/>
      <c r="B248" s="195"/>
      <c r="C248" s="85"/>
      <c r="D248" s="85"/>
      <c r="E248" s="195"/>
      <c r="F248" s="35"/>
      <c r="G248" s="65"/>
      <c r="H248" s="36"/>
      <c r="I248" s="37"/>
      <c r="J248" s="37"/>
      <c r="K248" s="35"/>
      <c r="L248" s="38"/>
      <c r="M248" s="128"/>
      <c r="N248" s="38"/>
      <c r="O248" s="128"/>
      <c r="P248" s="53"/>
      <c r="Q248" s="45"/>
      <c r="R248" s="45"/>
      <c r="S248" s="45"/>
      <c r="T248" s="46"/>
      <c r="U248" s="120"/>
      <c r="V248" s="120"/>
      <c r="W248" s="120"/>
      <c r="X248" s="121"/>
      <c r="Y248" s="121"/>
      <c r="Z248" s="121"/>
      <c r="AA248" s="121"/>
      <c r="AB248" s="121"/>
      <c r="AC248" s="121"/>
      <c r="AD248" s="122"/>
      <c r="AE248" s="122"/>
      <c r="AF248" s="122"/>
      <c r="AG248" s="66"/>
      <c r="AH248" s="46"/>
      <c r="AI248" s="76"/>
      <c r="AJ248" s="97"/>
      <c r="AK248" s="39"/>
      <c r="AL248" s="102"/>
      <c r="AM248" s="102"/>
      <c r="AN248" s="102"/>
      <c r="AO248" s="102"/>
      <c r="AP248" s="280"/>
      <c r="AQ248" s="10">
        <f>Потребность!AD248</f>
        <v>0</v>
      </c>
      <c r="AR248" s="10">
        <f>SUM(Потребность!K248:M248)</f>
        <v>0</v>
      </c>
      <c r="AS248" s="9" t="e">
        <f>Потребность!AZ248</f>
        <v>#N/A</v>
      </c>
      <c r="AT248" s="9">
        <f>Потребность!J248</f>
        <v>0</v>
      </c>
      <c r="AU248" s="9" t="e">
        <f>Потребность!N248/Потребность!$N248</f>
        <v>#DIV/0!</v>
      </c>
      <c r="AV248" s="9" t="e">
        <f>Потребность!O248/Потребность!$N248</f>
        <v>#DIV/0!</v>
      </c>
      <c r="AW248" s="9" t="e">
        <f>Потребность!P248/Потребность!$N248</f>
        <v>#DIV/0!</v>
      </c>
      <c r="AX248" s="9" t="e">
        <f>Потребность!T248/Потребность!$T248</f>
        <v>#DIV/0!</v>
      </c>
      <c r="AY248" s="9" t="e">
        <f>Потребность!U248/Потребность!$T248</f>
        <v>#DIV/0!</v>
      </c>
      <c r="AZ248" s="9" t="e">
        <f>Потребность!V248/Потребность!$T248</f>
        <v>#DIV/0!</v>
      </c>
      <c r="BA248" s="141">
        <f>Потребность!Q248</f>
        <v>0</v>
      </c>
      <c r="BB248">
        <f>Потребность!AC248</f>
        <v>0</v>
      </c>
      <c r="BC248" s="141">
        <f>Потребность!AD248</f>
        <v>0</v>
      </c>
    </row>
    <row r="249" spans="1:55" x14ac:dyDescent="0.2">
      <c r="A249" s="85"/>
      <c r="B249" s="195"/>
      <c r="C249" s="85"/>
      <c r="D249" s="85"/>
      <c r="E249" s="195"/>
      <c r="F249" s="35"/>
      <c r="G249" s="65"/>
      <c r="H249" s="36"/>
      <c r="I249" s="37"/>
      <c r="J249" s="37"/>
      <c r="K249" s="35"/>
      <c r="L249" s="38"/>
      <c r="M249" s="128"/>
      <c r="N249" s="38"/>
      <c r="O249" s="128"/>
      <c r="P249" s="53"/>
      <c r="Q249" s="45"/>
      <c r="R249" s="45"/>
      <c r="S249" s="45"/>
      <c r="T249" s="46"/>
      <c r="U249" s="120"/>
      <c r="V249" s="120"/>
      <c r="W249" s="120"/>
      <c r="X249" s="121"/>
      <c r="Y249" s="121"/>
      <c r="Z249" s="121"/>
      <c r="AA249" s="121"/>
      <c r="AB249" s="121"/>
      <c r="AC249" s="121"/>
      <c r="AD249" s="122"/>
      <c r="AE249" s="122"/>
      <c r="AF249" s="122"/>
      <c r="AG249" s="66"/>
      <c r="AH249" s="46"/>
      <c r="AI249" s="76"/>
      <c r="AJ249" s="97"/>
      <c r="AK249" s="39"/>
      <c r="AL249" s="102"/>
      <c r="AM249" s="102"/>
      <c r="AN249" s="102"/>
      <c r="AO249" s="102"/>
      <c r="AP249" s="280"/>
      <c r="AQ249" s="10">
        <f>Потребность!AD249</f>
        <v>0</v>
      </c>
      <c r="AR249" s="10">
        <f>SUM(Потребность!K249:M249)</f>
        <v>0</v>
      </c>
      <c r="AS249" s="9" t="e">
        <f>Потребность!AZ249</f>
        <v>#N/A</v>
      </c>
      <c r="AT249" s="9">
        <f>Потребность!J249</f>
        <v>0</v>
      </c>
      <c r="AU249" s="9" t="e">
        <f>Потребность!N249/Потребность!$N249</f>
        <v>#DIV/0!</v>
      </c>
      <c r="AV249" s="9" t="e">
        <f>Потребность!O249/Потребность!$N249</f>
        <v>#DIV/0!</v>
      </c>
      <c r="AW249" s="9" t="e">
        <f>Потребность!P249/Потребность!$N249</f>
        <v>#DIV/0!</v>
      </c>
      <c r="AX249" s="9" t="e">
        <f>Потребность!T249/Потребность!$T249</f>
        <v>#DIV/0!</v>
      </c>
      <c r="AY249" s="9" t="e">
        <f>Потребность!U249/Потребность!$T249</f>
        <v>#DIV/0!</v>
      </c>
      <c r="AZ249" s="9" t="e">
        <f>Потребность!V249/Потребность!$T249</f>
        <v>#DIV/0!</v>
      </c>
      <c r="BA249" s="141">
        <f>Потребность!Q249</f>
        <v>0</v>
      </c>
      <c r="BB249">
        <f>Потребность!AC249</f>
        <v>0</v>
      </c>
      <c r="BC249" s="141">
        <f>Потребность!AD249</f>
        <v>0</v>
      </c>
    </row>
    <row r="250" spans="1:55" x14ac:dyDescent="0.2">
      <c r="A250" s="85"/>
      <c r="B250" s="195"/>
      <c r="C250" s="85"/>
      <c r="D250" s="85"/>
      <c r="E250" s="195"/>
      <c r="F250" s="35"/>
      <c r="G250" s="65"/>
      <c r="H250" s="36"/>
      <c r="I250" s="37"/>
      <c r="J250" s="37"/>
      <c r="K250" s="35"/>
      <c r="L250" s="38"/>
      <c r="M250" s="128"/>
      <c r="N250" s="38"/>
      <c r="O250" s="128"/>
      <c r="P250" s="53"/>
      <c r="Q250" s="45"/>
      <c r="R250" s="45"/>
      <c r="S250" s="45"/>
      <c r="T250" s="46"/>
      <c r="U250" s="120"/>
      <c r="V250" s="120"/>
      <c r="W250" s="120"/>
      <c r="X250" s="121"/>
      <c r="Y250" s="121"/>
      <c r="Z250" s="121"/>
      <c r="AA250" s="121"/>
      <c r="AB250" s="121"/>
      <c r="AC250" s="121"/>
      <c r="AD250" s="122"/>
      <c r="AE250" s="122"/>
      <c r="AF250" s="122"/>
      <c r="AG250" s="66"/>
      <c r="AH250" s="46"/>
      <c r="AI250" s="76"/>
      <c r="AJ250" s="97"/>
      <c r="AK250" s="39"/>
      <c r="AL250" s="102"/>
      <c r="AM250" s="102"/>
      <c r="AN250" s="102"/>
      <c r="AO250" s="102"/>
      <c r="AP250" s="280"/>
      <c r="AQ250" s="10">
        <f>Потребность!AD250</f>
        <v>0</v>
      </c>
      <c r="AR250" s="10">
        <f>SUM(Потребность!K250:M250)</f>
        <v>0</v>
      </c>
      <c r="AS250" s="9" t="e">
        <f>Потребность!AZ250</f>
        <v>#N/A</v>
      </c>
      <c r="AT250" s="9">
        <f>Потребность!J250</f>
        <v>0</v>
      </c>
      <c r="AU250" s="9" t="e">
        <f>Потребность!N250/Потребность!$N250</f>
        <v>#DIV/0!</v>
      </c>
      <c r="AV250" s="9" t="e">
        <f>Потребность!O250/Потребность!$N250</f>
        <v>#DIV/0!</v>
      </c>
      <c r="AW250" s="9" t="e">
        <f>Потребность!P250/Потребность!$N250</f>
        <v>#DIV/0!</v>
      </c>
      <c r="AX250" s="9" t="e">
        <f>Потребность!T250/Потребность!$T250</f>
        <v>#DIV/0!</v>
      </c>
      <c r="AY250" s="9" t="e">
        <f>Потребность!U250/Потребность!$T250</f>
        <v>#DIV/0!</v>
      </c>
      <c r="AZ250" s="9" t="e">
        <f>Потребность!V250/Потребность!$T250</f>
        <v>#DIV/0!</v>
      </c>
      <c r="BA250" s="141">
        <f>Потребность!Q250</f>
        <v>0</v>
      </c>
      <c r="BB250">
        <f>Потребность!AC250</f>
        <v>0</v>
      </c>
      <c r="BC250" s="141">
        <f>Потребность!AD250</f>
        <v>0</v>
      </c>
    </row>
    <row r="251" spans="1:55" x14ac:dyDescent="0.2">
      <c r="A251" s="85"/>
      <c r="B251" s="195"/>
      <c r="C251" s="85"/>
      <c r="D251" s="85"/>
      <c r="E251" s="195"/>
      <c r="F251" s="35"/>
      <c r="G251" s="65"/>
      <c r="H251" s="36"/>
      <c r="I251" s="37"/>
      <c r="J251" s="37"/>
      <c r="K251" s="35"/>
      <c r="L251" s="38"/>
      <c r="M251" s="128"/>
      <c r="N251" s="38"/>
      <c r="O251" s="128"/>
      <c r="P251" s="53"/>
      <c r="Q251" s="45"/>
      <c r="R251" s="45"/>
      <c r="S251" s="45"/>
      <c r="T251" s="46"/>
      <c r="U251" s="120"/>
      <c r="V251" s="120"/>
      <c r="W251" s="120"/>
      <c r="X251" s="121"/>
      <c r="Y251" s="121"/>
      <c r="Z251" s="121"/>
      <c r="AA251" s="121"/>
      <c r="AB251" s="121"/>
      <c r="AC251" s="121"/>
      <c r="AD251" s="122"/>
      <c r="AE251" s="122"/>
      <c r="AF251" s="122"/>
      <c r="AG251" s="66"/>
      <c r="AH251" s="46"/>
      <c r="AI251" s="76"/>
      <c r="AJ251" s="97"/>
      <c r="AK251" s="39"/>
      <c r="AL251" s="102"/>
      <c r="AM251" s="102"/>
      <c r="AN251" s="102"/>
      <c r="AO251" s="102"/>
      <c r="AP251" s="280"/>
      <c r="AQ251" s="10">
        <f>Потребность!AD251</f>
        <v>0</v>
      </c>
      <c r="AR251" s="10">
        <f>SUM(Потребность!K251:M251)</f>
        <v>0</v>
      </c>
      <c r="AS251" s="9" t="e">
        <f>Потребность!AZ251</f>
        <v>#N/A</v>
      </c>
      <c r="AT251" s="9">
        <f>Потребность!J251</f>
        <v>0</v>
      </c>
      <c r="AU251" s="9" t="e">
        <f>Потребность!N251/Потребность!$N251</f>
        <v>#DIV/0!</v>
      </c>
      <c r="AV251" s="9" t="e">
        <f>Потребность!O251/Потребность!$N251</f>
        <v>#DIV/0!</v>
      </c>
      <c r="AW251" s="9" t="e">
        <f>Потребность!P251/Потребность!$N251</f>
        <v>#DIV/0!</v>
      </c>
      <c r="AX251" s="9" t="e">
        <f>Потребность!T251/Потребность!$T251</f>
        <v>#DIV/0!</v>
      </c>
      <c r="AY251" s="9" t="e">
        <f>Потребность!U251/Потребность!$T251</f>
        <v>#DIV/0!</v>
      </c>
      <c r="AZ251" s="9" t="e">
        <f>Потребность!V251/Потребность!$T251</f>
        <v>#DIV/0!</v>
      </c>
      <c r="BA251" s="141">
        <f>Потребность!Q251</f>
        <v>0</v>
      </c>
      <c r="BB251">
        <f>Потребность!AC251</f>
        <v>0</v>
      </c>
      <c r="BC251" s="141">
        <f>Потребность!AD251</f>
        <v>0</v>
      </c>
    </row>
    <row r="252" spans="1:55" x14ac:dyDescent="0.2">
      <c r="A252" s="85"/>
      <c r="B252" s="195"/>
      <c r="C252" s="85"/>
      <c r="D252" s="85"/>
      <c r="E252" s="195"/>
      <c r="F252" s="35"/>
      <c r="G252" s="65"/>
      <c r="H252" s="36"/>
      <c r="I252" s="37"/>
      <c r="J252" s="37"/>
      <c r="K252" s="35"/>
      <c r="L252" s="38"/>
      <c r="M252" s="128"/>
      <c r="N252" s="38"/>
      <c r="O252" s="128"/>
      <c r="P252" s="53"/>
      <c r="Q252" s="45"/>
      <c r="R252" s="45"/>
      <c r="S252" s="45"/>
      <c r="T252" s="46"/>
      <c r="U252" s="120"/>
      <c r="V252" s="120"/>
      <c r="W252" s="120"/>
      <c r="X252" s="121"/>
      <c r="Y252" s="121"/>
      <c r="Z252" s="121"/>
      <c r="AA252" s="121"/>
      <c r="AB252" s="121"/>
      <c r="AC252" s="121"/>
      <c r="AD252" s="122"/>
      <c r="AE252" s="122"/>
      <c r="AF252" s="122"/>
      <c r="AG252" s="66"/>
      <c r="AH252" s="46"/>
      <c r="AI252" s="76"/>
      <c r="AJ252" s="97"/>
      <c r="AK252" s="39"/>
      <c r="AL252" s="102"/>
      <c r="AM252" s="102"/>
      <c r="AN252" s="102"/>
      <c r="AO252" s="102"/>
      <c r="AP252" s="280"/>
      <c r="AQ252" s="10">
        <f>Потребность!AD252</f>
        <v>0</v>
      </c>
      <c r="AR252" s="10">
        <f>SUM(Потребность!K252:M252)</f>
        <v>0</v>
      </c>
      <c r="AS252" s="9" t="e">
        <f>Потребность!AZ252</f>
        <v>#N/A</v>
      </c>
      <c r="AT252" s="9">
        <f>Потребность!J252</f>
        <v>0</v>
      </c>
      <c r="AU252" s="9" t="e">
        <f>Потребность!N252/Потребность!$N252</f>
        <v>#DIV/0!</v>
      </c>
      <c r="AV252" s="9" t="e">
        <f>Потребность!O252/Потребность!$N252</f>
        <v>#DIV/0!</v>
      </c>
      <c r="AW252" s="9" t="e">
        <f>Потребность!P252/Потребность!$N252</f>
        <v>#DIV/0!</v>
      </c>
      <c r="AX252" s="9" t="e">
        <f>Потребность!T252/Потребность!$T252</f>
        <v>#DIV/0!</v>
      </c>
      <c r="AY252" s="9" t="e">
        <f>Потребность!U252/Потребность!$T252</f>
        <v>#DIV/0!</v>
      </c>
      <c r="AZ252" s="9" t="e">
        <f>Потребность!V252/Потребность!$T252</f>
        <v>#DIV/0!</v>
      </c>
      <c r="BA252" s="141">
        <f>Потребность!Q252</f>
        <v>0</v>
      </c>
      <c r="BB252">
        <f>Потребность!AC252</f>
        <v>0</v>
      </c>
      <c r="BC252" s="141">
        <f>Потребность!AD252</f>
        <v>0</v>
      </c>
    </row>
    <row r="253" spans="1:55" x14ac:dyDescent="0.2">
      <c r="A253" s="85"/>
      <c r="B253" s="195"/>
      <c r="C253" s="85"/>
      <c r="D253" s="85"/>
      <c r="E253" s="195"/>
      <c r="F253" s="35"/>
      <c r="G253" s="65"/>
      <c r="H253" s="36"/>
      <c r="I253" s="37"/>
      <c r="J253" s="37"/>
      <c r="K253" s="35"/>
      <c r="L253" s="38"/>
      <c r="M253" s="128"/>
      <c r="N253" s="38"/>
      <c r="O253" s="128"/>
      <c r="P253" s="53"/>
      <c r="Q253" s="45"/>
      <c r="R253" s="45"/>
      <c r="S253" s="45"/>
      <c r="T253" s="46"/>
      <c r="U253" s="120"/>
      <c r="V253" s="120"/>
      <c r="W253" s="120"/>
      <c r="X253" s="121"/>
      <c r="Y253" s="121"/>
      <c r="Z253" s="121"/>
      <c r="AA253" s="121"/>
      <c r="AB253" s="121"/>
      <c r="AC253" s="121"/>
      <c r="AD253" s="122"/>
      <c r="AE253" s="122"/>
      <c r="AF253" s="122"/>
      <c r="AG253" s="66"/>
      <c r="AH253" s="46"/>
      <c r="AI253" s="76"/>
      <c r="AJ253" s="97"/>
      <c r="AK253" s="39"/>
      <c r="AL253" s="102"/>
      <c r="AM253" s="102"/>
      <c r="AN253" s="102"/>
      <c r="AO253" s="102"/>
      <c r="AP253" s="280"/>
      <c r="AQ253" s="10">
        <f>Потребность!AD253</f>
        <v>0</v>
      </c>
      <c r="AR253" s="10">
        <f>SUM(Потребность!K253:M253)</f>
        <v>0</v>
      </c>
      <c r="AS253" s="9" t="e">
        <f>Потребность!AZ253</f>
        <v>#N/A</v>
      </c>
      <c r="AT253" s="9">
        <f>Потребность!J253</f>
        <v>0</v>
      </c>
      <c r="AU253" s="9" t="e">
        <f>Потребность!N253/Потребность!$N253</f>
        <v>#DIV/0!</v>
      </c>
      <c r="AV253" s="9" t="e">
        <f>Потребность!O253/Потребность!$N253</f>
        <v>#DIV/0!</v>
      </c>
      <c r="AW253" s="9" t="e">
        <f>Потребность!P253/Потребность!$N253</f>
        <v>#DIV/0!</v>
      </c>
      <c r="AX253" s="9" t="e">
        <f>Потребность!T253/Потребность!$T253</f>
        <v>#DIV/0!</v>
      </c>
      <c r="AY253" s="9" t="e">
        <f>Потребность!U253/Потребность!$T253</f>
        <v>#DIV/0!</v>
      </c>
      <c r="AZ253" s="9" t="e">
        <f>Потребность!V253/Потребность!$T253</f>
        <v>#DIV/0!</v>
      </c>
      <c r="BA253" s="141">
        <f>Потребность!Q253</f>
        <v>0</v>
      </c>
      <c r="BB253">
        <f>Потребность!AC253</f>
        <v>0</v>
      </c>
      <c r="BC253" s="141">
        <f>Потребность!AD253</f>
        <v>0</v>
      </c>
    </row>
    <row r="254" spans="1:55" x14ac:dyDescent="0.2">
      <c r="A254" s="85"/>
      <c r="B254" s="195"/>
      <c r="C254" s="85"/>
      <c r="D254" s="85"/>
      <c r="E254" s="195"/>
      <c r="F254" s="35"/>
      <c r="G254" s="65"/>
      <c r="H254" s="36"/>
      <c r="I254" s="37"/>
      <c r="J254" s="37"/>
      <c r="K254" s="35"/>
      <c r="L254" s="38"/>
      <c r="M254" s="128"/>
      <c r="N254" s="38"/>
      <c r="O254" s="128"/>
      <c r="P254" s="53"/>
      <c r="Q254" s="45"/>
      <c r="R254" s="45"/>
      <c r="S254" s="45"/>
      <c r="T254" s="46"/>
      <c r="U254" s="120"/>
      <c r="V254" s="120"/>
      <c r="W254" s="120"/>
      <c r="X254" s="121"/>
      <c r="Y254" s="121"/>
      <c r="Z254" s="121"/>
      <c r="AA254" s="121"/>
      <c r="AB254" s="121"/>
      <c r="AC254" s="121"/>
      <c r="AD254" s="122"/>
      <c r="AE254" s="122"/>
      <c r="AF254" s="122"/>
      <c r="AG254" s="66"/>
      <c r="AH254" s="46"/>
      <c r="AI254" s="76"/>
      <c r="AJ254" s="97"/>
      <c r="AK254" s="39"/>
      <c r="AL254" s="102"/>
      <c r="AM254" s="102"/>
      <c r="AN254" s="102"/>
      <c r="AO254" s="102"/>
      <c r="AP254" s="280"/>
      <c r="AQ254" s="10">
        <f>Потребность!AD254</f>
        <v>0</v>
      </c>
      <c r="AR254" s="10">
        <f>SUM(Потребность!K254:M254)</f>
        <v>0</v>
      </c>
      <c r="AS254" s="9" t="e">
        <f>Потребность!AZ254</f>
        <v>#N/A</v>
      </c>
      <c r="AT254" s="9">
        <f>Потребность!J254</f>
        <v>0</v>
      </c>
      <c r="AU254" s="9" t="e">
        <f>Потребность!N254/Потребность!$N254</f>
        <v>#DIV/0!</v>
      </c>
      <c r="AV254" s="9" t="e">
        <f>Потребность!O254/Потребность!$N254</f>
        <v>#DIV/0!</v>
      </c>
      <c r="AW254" s="9" t="e">
        <f>Потребность!P254/Потребность!$N254</f>
        <v>#DIV/0!</v>
      </c>
      <c r="AX254" s="9" t="e">
        <f>Потребность!T254/Потребность!$T254</f>
        <v>#DIV/0!</v>
      </c>
      <c r="AY254" s="9" t="e">
        <f>Потребность!U254/Потребность!$T254</f>
        <v>#DIV/0!</v>
      </c>
      <c r="AZ254" s="9" t="e">
        <f>Потребность!V254/Потребность!$T254</f>
        <v>#DIV/0!</v>
      </c>
      <c r="BA254" s="141">
        <f>Потребность!Q254</f>
        <v>0</v>
      </c>
      <c r="BB254">
        <f>Потребность!AC254</f>
        <v>0</v>
      </c>
      <c r="BC254" s="141">
        <f>Потребность!AD254</f>
        <v>0</v>
      </c>
    </row>
    <row r="255" spans="1:55" x14ac:dyDescent="0.2">
      <c r="A255" s="85"/>
      <c r="B255" s="195"/>
      <c r="C255" s="85"/>
      <c r="D255" s="85"/>
      <c r="E255" s="195"/>
      <c r="F255" s="35"/>
      <c r="G255" s="65"/>
      <c r="H255" s="36"/>
      <c r="I255" s="37"/>
      <c r="J255" s="37"/>
      <c r="K255" s="35"/>
      <c r="L255" s="38"/>
      <c r="M255" s="128"/>
      <c r="N255" s="38"/>
      <c r="O255" s="128"/>
      <c r="P255" s="53"/>
      <c r="Q255" s="45"/>
      <c r="R255" s="45"/>
      <c r="S255" s="45"/>
      <c r="T255" s="46"/>
      <c r="U255" s="120"/>
      <c r="V255" s="120"/>
      <c r="W255" s="120"/>
      <c r="X255" s="121"/>
      <c r="Y255" s="121"/>
      <c r="Z255" s="121"/>
      <c r="AA255" s="121"/>
      <c r="AB255" s="121"/>
      <c r="AC255" s="121"/>
      <c r="AD255" s="122"/>
      <c r="AE255" s="122"/>
      <c r="AF255" s="122"/>
      <c r="AG255" s="66"/>
      <c r="AH255" s="46"/>
      <c r="AI255" s="76"/>
      <c r="AJ255" s="97"/>
      <c r="AK255" s="39"/>
      <c r="AL255" s="102"/>
      <c r="AM255" s="102"/>
      <c r="AN255" s="102"/>
      <c r="AO255" s="102"/>
      <c r="AP255" s="280"/>
      <c r="AQ255" s="10">
        <f>Потребность!AD255</f>
        <v>0</v>
      </c>
      <c r="AR255" s="10">
        <f>SUM(Потребность!K255:M255)</f>
        <v>0</v>
      </c>
      <c r="AS255" s="9" t="e">
        <f>Потребность!AZ255</f>
        <v>#N/A</v>
      </c>
      <c r="AT255" s="9">
        <f>Потребность!J255</f>
        <v>0</v>
      </c>
      <c r="AU255" s="9" t="e">
        <f>Потребность!N255/Потребность!$N255</f>
        <v>#DIV/0!</v>
      </c>
      <c r="AV255" s="9" t="e">
        <f>Потребность!O255/Потребность!$N255</f>
        <v>#DIV/0!</v>
      </c>
      <c r="AW255" s="9" t="e">
        <f>Потребность!P255/Потребность!$N255</f>
        <v>#DIV/0!</v>
      </c>
      <c r="AX255" s="9" t="e">
        <f>Потребность!T255/Потребность!$T255</f>
        <v>#DIV/0!</v>
      </c>
      <c r="AY255" s="9" t="e">
        <f>Потребность!U255/Потребность!$T255</f>
        <v>#DIV/0!</v>
      </c>
      <c r="AZ255" s="9" t="e">
        <f>Потребность!V255/Потребность!$T255</f>
        <v>#DIV/0!</v>
      </c>
      <c r="BA255" s="141">
        <f>Потребность!Q255</f>
        <v>0</v>
      </c>
      <c r="BB255">
        <f>Потребность!AC255</f>
        <v>0</v>
      </c>
      <c r="BC255" s="141">
        <f>Потребность!AD255</f>
        <v>0</v>
      </c>
    </row>
    <row r="256" spans="1:55" x14ac:dyDescent="0.2">
      <c r="A256" s="85"/>
      <c r="B256" s="195"/>
      <c r="C256" s="85"/>
      <c r="D256" s="85"/>
      <c r="E256" s="195"/>
      <c r="F256" s="35"/>
      <c r="G256" s="65"/>
      <c r="H256" s="36"/>
      <c r="I256" s="37"/>
      <c r="J256" s="37"/>
      <c r="K256" s="35"/>
      <c r="L256" s="38"/>
      <c r="M256" s="128"/>
      <c r="N256" s="38"/>
      <c r="O256" s="128"/>
      <c r="P256" s="53"/>
      <c r="Q256" s="45"/>
      <c r="R256" s="45"/>
      <c r="S256" s="45"/>
      <c r="T256" s="46"/>
      <c r="U256" s="120"/>
      <c r="V256" s="120"/>
      <c r="W256" s="120"/>
      <c r="X256" s="121"/>
      <c r="Y256" s="121"/>
      <c r="Z256" s="121"/>
      <c r="AA256" s="121"/>
      <c r="AB256" s="121"/>
      <c r="AC256" s="121"/>
      <c r="AD256" s="122"/>
      <c r="AE256" s="122"/>
      <c r="AF256" s="122"/>
      <c r="AG256" s="66"/>
      <c r="AH256" s="46"/>
      <c r="AI256" s="76"/>
      <c r="AJ256" s="97"/>
      <c r="AK256" s="39"/>
      <c r="AL256" s="102"/>
      <c r="AM256" s="102"/>
      <c r="AN256" s="102"/>
      <c r="AO256" s="102"/>
      <c r="AP256" s="280"/>
      <c r="AQ256" s="10">
        <f>Потребность!AD256</f>
        <v>0</v>
      </c>
      <c r="AR256" s="10">
        <f>SUM(Потребность!K256:M256)</f>
        <v>0</v>
      </c>
      <c r="AS256" s="9" t="e">
        <f>Потребность!AZ256</f>
        <v>#N/A</v>
      </c>
      <c r="AT256" s="9">
        <f>Потребность!J256</f>
        <v>0</v>
      </c>
      <c r="AU256" s="9" t="e">
        <f>Потребность!N256/Потребность!$N256</f>
        <v>#DIV/0!</v>
      </c>
      <c r="AV256" s="9" t="e">
        <f>Потребность!O256/Потребность!$N256</f>
        <v>#DIV/0!</v>
      </c>
      <c r="AW256" s="9" t="e">
        <f>Потребность!P256/Потребность!$N256</f>
        <v>#DIV/0!</v>
      </c>
      <c r="AX256" s="9" t="e">
        <f>Потребность!T256/Потребность!$T256</f>
        <v>#DIV/0!</v>
      </c>
      <c r="AY256" s="9" t="e">
        <f>Потребность!U256/Потребность!$T256</f>
        <v>#DIV/0!</v>
      </c>
      <c r="AZ256" s="9" t="e">
        <f>Потребность!V256/Потребность!$T256</f>
        <v>#DIV/0!</v>
      </c>
      <c r="BA256" s="141">
        <f>Потребность!Q256</f>
        <v>0</v>
      </c>
      <c r="BB256">
        <f>Потребность!AC256</f>
        <v>0</v>
      </c>
      <c r="BC256" s="141">
        <f>Потребность!AD256</f>
        <v>0</v>
      </c>
    </row>
    <row r="257" spans="1:55" x14ac:dyDescent="0.2">
      <c r="A257" s="85"/>
      <c r="B257" s="195"/>
      <c r="C257" s="85"/>
      <c r="D257" s="85"/>
      <c r="E257" s="195"/>
      <c r="F257" s="35"/>
      <c r="G257" s="65"/>
      <c r="H257" s="36"/>
      <c r="I257" s="37"/>
      <c r="J257" s="37"/>
      <c r="K257" s="35"/>
      <c r="L257" s="38"/>
      <c r="M257" s="128"/>
      <c r="N257" s="38"/>
      <c r="O257" s="128"/>
      <c r="P257" s="53"/>
      <c r="Q257" s="45"/>
      <c r="R257" s="45"/>
      <c r="S257" s="45"/>
      <c r="T257" s="46"/>
      <c r="U257" s="120"/>
      <c r="V257" s="120"/>
      <c r="W257" s="120"/>
      <c r="X257" s="121"/>
      <c r="Y257" s="121"/>
      <c r="Z257" s="121"/>
      <c r="AA257" s="121"/>
      <c r="AB257" s="121"/>
      <c r="AC257" s="121"/>
      <c r="AD257" s="122"/>
      <c r="AE257" s="122"/>
      <c r="AF257" s="122"/>
      <c r="AG257" s="66"/>
      <c r="AH257" s="46"/>
      <c r="AI257" s="76"/>
      <c r="AJ257" s="97"/>
      <c r="AK257" s="39"/>
      <c r="AL257" s="102"/>
      <c r="AM257" s="102"/>
      <c r="AN257" s="102"/>
      <c r="AO257" s="102"/>
      <c r="AP257" s="280"/>
      <c r="AQ257" s="10">
        <f>Потребность!AD257</f>
        <v>0</v>
      </c>
      <c r="AR257" s="10">
        <f>SUM(Потребность!K257:M257)</f>
        <v>0</v>
      </c>
      <c r="AS257" s="9" t="e">
        <f>Потребность!AZ257</f>
        <v>#N/A</v>
      </c>
      <c r="AT257" s="9">
        <f>Потребность!J257</f>
        <v>0</v>
      </c>
      <c r="AU257" s="9" t="e">
        <f>Потребность!N257/Потребность!$N257</f>
        <v>#DIV/0!</v>
      </c>
      <c r="AV257" s="9" t="e">
        <f>Потребность!O257/Потребность!$N257</f>
        <v>#DIV/0!</v>
      </c>
      <c r="AW257" s="9" t="e">
        <f>Потребность!P257/Потребность!$N257</f>
        <v>#DIV/0!</v>
      </c>
      <c r="AX257" s="9" t="e">
        <f>Потребность!T257/Потребность!$T257</f>
        <v>#DIV/0!</v>
      </c>
      <c r="AY257" s="9" t="e">
        <f>Потребность!U257/Потребность!$T257</f>
        <v>#DIV/0!</v>
      </c>
      <c r="AZ257" s="9" t="e">
        <f>Потребность!V257/Потребность!$T257</f>
        <v>#DIV/0!</v>
      </c>
      <c r="BA257" s="141">
        <f>Потребность!Q257</f>
        <v>0</v>
      </c>
      <c r="BB257">
        <f>Потребность!AC257</f>
        <v>0</v>
      </c>
      <c r="BC257" s="141">
        <f>Потребность!AD257</f>
        <v>0</v>
      </c>
    </row>
    <row r="258" spans="1:55" x14ac:dyDescent="0.2">
      <c r="A258" s="85"/>
      <c r="B258" s="195"/>
      <c r="C258" s="85"/>
      <c r="D258" s="85"/>
      <c r="E258" s="195"/>
      <c r="F258" s="35"/>
      <c r="G258" s="65"/>
      <c r="H258" s="36"/>
      <c r="I258" s="37"/>
      <c r="J258" s="37"/>
      <c r="K258" s="35"/>
      <c r="L258" s="38"/>
      <c r="M258" s="128"/>
      <c r="N258" s="38"/>
      <c r="O258" s="128"/>
      <c r="P258" s="53"/>
      <c r="Q258" s="45"/>
      <c r="R258" s="45"/>
      <c r="S258" s="45"/>
      <c r="T258" s="46"/>
      <c r="U258" s="120"/>
      <c r="V258" s="120"/>
      <c r="W258" s="120"/>
      <c r="X258" s="121"/>
      <c r="Y258" s="121"/>
      <c r="Z258" s="121"/>
      <c r="AA258" s="121"/>
      <c r="AB258" s="121"/>
      <c r="AC258" s="121"/>
      <c r="AD258" s="122"/>
      <c r="AE258" s="122"/>
      <c r="AF258" s="122"/>
      <c r="AG258" s="66"/>
      <c r="AH258" s="46"/>
      <c r="AI258" s="76"/>
      <c r="AJ258" s="97"/>
      <c r="AK258" s="39"/>
      <c r="AL258" s="102"/>
      <c r="AM258" s="102"/>
      <c r="AN258" s="102"/>
      <c r="AO258" s="102"/>
      <c r="AP258" s="280"/>
      <c r="AQ258" s="10">
        <f>Потребность!AD258</f>
        <v>0</v>
      </c>
      <c r="AR258" s="10">
        <f>SUM(Потребность!K258:M258)</f>
        <v>0</v>
      </c>
      <c r="AS258" s="9" t="e">
        <f>Потребность!AZ258</f>
        <v>#N/A</v>
      </c>
      <c r="AT258" s="9">
        <f>Потребность!J258</f>
        <v>0</v>
      </c>
      <c r="AU258" s="9" t="e">
        <f>Потребность!N258/Потребность!$N258</f>
        <v>#DIV/0!</v>
      </c>
      <c r="AV258" s="9" t="e">
        <f>Потребность!O258/Потребность!$N258</f>
        <v>#DIV/0!</v>
      </c>
      <c r="AW258" s="9" t="e">
        <f>Потребность!P258/Потребность!$N258</f>
        <v>#DIV/0!</v>
      </c>
      <c r="AX258" s="9" t="e">
        <f>Потребность!T258/Потребность!$T258</f>
        <v>#DIV/0!</v>
      </c>
      <c r="AY258" s="9" t="e">
        <f>Потребность!U258/Потребность!$T258</f>
        <v>#DIV/0!</v>
      </c>
      <c r="AZ258" s="9" t="e">
        <f>Потребность!V258/Потребность!$T258</f>
        <v>#DIV/0!</v>
      </c>
      <c r="BA258" s="141">
        <f>Потребность!Q258</f>
        <v>0</v>
      </c>
      <c r="BB258">
        <f>Потребность!AC258</f>
        <v>0</v>
      </c>
      <c r="BC258" s="141">
        <f>Потребность!AD258</f>
        <v>0</v>
      </c>
    </row>
    <row r="259" spans="1:55" x14ac:dyDescent="0.2">
      <c r="A259" s="85"/>
      <c r="B259" s="195"/>
      <c r="C259" s="85"/>
      <c r="D259" s="85"/>
      <c r="E259" s="195"/>
      <c r="F259" s="35"/>
      <c r="G259" s="65"/>
      <c r="H259" s="36"/>
      <c r="I259" s="37"/>
      <c r="J259" s="37"/>
      <c r="K259" s="35"/>
      <c r="L259" s="38"/>
      <c r="M259" s="128"/>
      <c r="N259" s="38"/>
      <c r="O259" s="128"/>
      <c r="P259" s="53"/>
      <c r="Q259" s="45"/>
      <c r="R259" s="45"/>
      <c r="S259" s="45"/>
      <c r="T259" s="46"/>
      <c r="U259" s="120"/>
      <c r="V259" s="120"/>
      <c r="W259" s="120"/>
      <c r="X259" s="121"/>
      <c r="Y259" s="121"/>
      <c r="Z259" s="121"/>
      <c r="AA259" s="121"/>
      <c r="AB259" s="121"/>
      <c r="AC259" s="121"/>
      <c r="AD259" s="122"/>
      <c r="AE259" s="122"/>
      <c r="AF259" s="122"/>
      <c r="AG259" s="66"/>
      <c r="AH259" s="46"/>
      <c r="AI259" s="76"/>
      <c r="AJ259" s="97"/>
      <c r="AK259" s="39"/>
      <c r="AL259" s="102"/>
      <c r="AM259" s="102"/>
      <c r="AN259" s="102"/>
      <c r="AO259" s="102"/>
      <c r="AP259" s="280"/>
      <c r="AQ259" s="10">
        <f>Потребность!AD259</f>
        <v>0</v>
      </c>
      <c r="AR259" s="10">
        <f>SUM(Потребность!K259:M259)</f>
        <v>0</v>
      </c>
      <c r="AS259" s="9" t="e">
        <f>Потребность!AZ259</f>
        <v>#N/A</v>
      </c>
      <c r="AT259" s="9">
        <f>Потребность!J259</f>
        <v>0</v>
      </c>
      <c r="AU259" s="9" t="e">
        <f>Потребность!N259/Потребность!$N259</f>
        <v>#DIV/0!</v>
      </c>
      <c r="AV259" s="9" t="e">
        <f>Потребность!O259/Потребность!$N259</f>
        <v>#DIV/0!</v>
      </c>
      <c r="AW259" s="9" t="e">
        <f>Потребность!P259/Потребность!$N259</f>
        <v>#DIV/0!</v>
      </c>
      <c r="AX259" s="9" t="e">
        <f>Потребность!T259/Потребность!$T259</f>
        <v>#DIV/0!</v>
      </c>
      <c r="AY259" s="9" t="e">
        <f>Потребность!U259/Потребность!$T259</f>
        <v>#DIV/0!</v>
      </c>
      <c r="AZ259" s="9" t="e">
        <f>Потребность!V259/Потребность!$T259</f>
        <v>#DIV/0!</v>
      </c>
      <c r="BA259" s="141">
        <f>Потребность!Q259</f>
        <v>0</v>
      </c>
      <c r="BB259">
        <f>Потребность!AC259</f>
        <v>0</v>
      </c>
      <c r="BC259" s="141">
        <f>Потребность!AD259</f>
        <v>0</v>
      </c>
    </row>
    <row r="260" spans="1:55" x14ac:dyDescent="0.2">
      <c r="A260" s="85"/>
      <c r="B260" s="195"/>
      <c r="C260" s="85"/>
      <c r="D260" s="85"/>
      <c r="E260" s="195"/>
      <c r="F260" s="35"/>
      <c r="G260" s="65"/>
      <c r="H260" s="36"/>
      <c r="I260" s="37"/>
      <c r="J260" s="37"/>
      <c r="K260" s="35"/>
      <c r="L260" s="38"/>
      <c r="M260" s="128"/>
      <c r="N260" s="38"/>
      <c r="O260" s="128"/>
      <c r="P260" s="53"/>
      <c r="Q260" s="45"/>
      <c r="R260" s="45"/>
      <c r="S260" s="45"/>
      <c r="T260" s="46"/>
      <c r="U260" s="120"/>
      <c r="V260" s="120"/>
      <c r="W260" s="120"/>
      <c r="X260" s="121"/>
      <c r="Y260" s="121"/>
      <c r="Z260" s="121"/>
      <c r="AA260" s="121"/>
      <c r="AB260" s="121"/>
      <c r="AC260" s="121"/>
      <c r="AD260" s="122"/>
      <c r="AE260" s="122"/>
      <c r="AF260" s="122"/>
      <c r="AG260" s="66"/>
      <c r="AH260" s="46"/>
      <c r="AI260" s="76"/>
      <c r="AJ260" s="97"/>
      <c r="AK260" s="39"/>
      <c r="AL260" s="102"/>
      <c r="AM260" s="102"/>
      <c r="AN260" s="102"/>
      <c r="AO260" s="102"/>
      <c r="AP260" s="280"/>
      <c r="AQ260" s="10">
        <f>Потребность!AD260</f>
        <v>0</v>
      </c>
      <c r="AR260" s="10">
        <f>SUM(Потребность!K260:M260)</f>
        <v>0</v>
      </c>
      <c r="AS260" s="9" t="e">
        <f>Потребность!AZ260</f>
        <v>#N/A</v>
      </c>
      <c r="AT260" s="9">
        <f>Потребность!J260</f>
        <v>0</v>
      </c>
      <c r="AU260" s="9" t="e">
        <f>Потребность!N260/Потребность!$N260</f>
        <v>#DIV/0!</v>
      </c>
      <c r="AV260" s="9" t="e">
        <f>Потребность!O260/Потребность!$N260</f>
        <v>#DIV/0!</v>
      </c>
      <c r="AW260" s="9" t="e">
        <f>Потребность!P260/Потребность!$N260</f>
        <v>#DIV/0!</v>
      </c>
      <c r="AX260" s="9" t="e">
        <f>Потребность!T260/Потребность!$T260</f>
        <v>#DIV/0!</v>
      </c>
      <c r="AY260" s="9" t="e">
        <f>Потребность!U260/Потребность!$T260</f>
        <v>#DIV/0!</v>
      </c>
      <c r="AZ260" s="9" t="e">
        <f>Потребность!V260/Потребность!$T260</f>
        <v>#DIV/0!</v>
      </c>
      <c r="BA260" s="141">
        <f>Потребность!Q260</f>
        <v>0</v>
      </c>
      <c r="BB260">
        <f>Потребность!AC260</f>
        <v>0</v>
      </c>
      <c r="BC260" s="141">
        <f>Потребность!AD260</f>
        <v>0</v>
      </c>
    </row>
    <row r="261" spans="1:55" x14ac:dyDescent="0.2">
      <c r="A261" s="85"/>
      <c r="B261" s="195"/>
      <c r="C261" s="85"/>
      <c r="D261" s="85"/>
      <c r="E261" s="195"/>
      <c r="F261" s="35"/>
      <c r="G261" s="65"/>
      <c r="H261" s="36"/>
      <c r="I261" s="37"/>
      <c r="J261" s="37"/>
      <c r="K261" s="35"/>
      <c r="L261" s="38"/>
      <c r="M261" s="128"/>
      <c r="N261" s="38"/>
      <c r="O261" s="128"/>
      <c r="P261" s="53"/>
      <c r="Q261" s="45"/>
      <c r="R261" s="45"/>
      <c r="S261" s="45"/>
      <c r="T261" s="46"/>
      <c r="U261" s="120"/>
      <c r="V261" s="120"/>
      <c r="W261" s="120"/>
      <c r="X261" s="121"/>
      <c r="Y261" s="121"/>
      <c r="Z261" s="121"/>
      <c r="AA261" s="121"/>
      <c r="AB261" s="121"/>
      <c r="AC261" s="121"/>
      <c r="AD261" s="122"/>
      <c r="AE261" s="122"/>
      <c r="AF261" s="122"/>
      <c r="AG261" s="66"/>
      <c r="AH261" s="46"/>
      <c r="AI261" s="76"/>
      <c r="AJ261" s="97"/>
      <c r="AK261" s="39"/>
      <c r="AL261" s="102"/>
      <c r="AM261" s="102"/>
      <c r="AN261" s="102"/>
      <c r="AO261" s="102"/>
      <c r="AP261" s="280"/>
      <c r="AQ261" s="10">
        <f>Потребность!AD261</f>
        <v>0</v>
      </c>
      <c r="AR261" s="10">
        <f>SUM(Потребность!K261:M261)</f>
        <v>0</v>
      </c>
      <c r="AS261" s="9" t="e">
        <f>Потребность!AZ261</f>
        <v>#N/A</v>
      </c>
      <c r="AT261" s="9">
        <f>Потребность!J261</f>
        <v>0</v>
      </c>
      <c r="AU261" s="9" t="e">
        <f>Потребность!N261/Потребность!$N261</f>
        <v>#DIV/0!</v>
      </c>
      <c r="AV261" s="9" t="e">
        <f>Потребность!O261/Потребность!$N261</f>
        <v>#DIV/0!</v>
      </c>
      <c r="AW261" s="9" t="e">
        <f>Потребность!P261/Потребность!$N261</f>
        <v>#DIV/0!</v>
      </c>
      <c r="AX261" s="9" t="e">
        <f>Потребность!T261/Потребность!$T261</f>
        <v>#DIV/0!</v>
      </c>
      <c r="AY261" s="9" t="e">
        <f>Потребность!U261/Потребность!$T261</f>
        <v>#DIV/0!</v>
      </c>
      <c r="AZ261" s="9" t="e">
        <f>Потребность!V261/Потребность!$T261</f>
        <v>#DIV/0!</v>
      </c>
      <c r="BA261" s="141">
        <f>Потребность!Q261</f>
        <v>0</v>
      </c>
      <c r="BB261">
        <f>Потребность!AC261</f>
        <v>0</v>
      </c>
      <c r="BC261" s="141">
        <f>Потребность!AD261</f>
        <v>0</v>
      </c>
    </row>
    <row r="262" spans="1:55" x14ac:dyDescent="0.2">
      <c r="A262" s="85"/>
      <c r="B262" s="195"/>
      <c r="C262" s="85"/>
      <c r="D262" s="85"/>
      <c r="E262" s="195"/>
      <c r="F262" s="35"/>
      <c r="G262" s="65"/>
      <c r="H262" s="36"/>
      <c r="I262" s="37"/>
      <c r="J262" s="37"/>
      <c r="K262" s="35"/>
      <c r="L262" s="38"/>
      <c r="M262" s="128"/>
      <c r="N262" s="38"/>
      <c r="O262" s="128"/>
      <c r="P262" s="53"/>
      <c r="Q262" s="45"/>
      <c r="R262" s="45"/>
      <c r="S262" s="45"/>
      <c r="T262" s="46"/>
      <c r="U262" s="120"/>
      <c r="V262" s="120"/>
      <c r="W262" s="120"/>
      <c r="X262" s="121"/>
      <c r="Y262" s="121"/>
      <c r="Z262" s="121"/>
      <c r="AA262" s="121"/>
      <c r="AB262" s="121"/>
      <c r="AC262" s="121"/>
      <c r="AD262" s="122"/>
      <c r="AE262" s="122"/>
      <c r="AF262" s="122"/>
      <c r="AG262" s="66"/>
      <c r="AH262" s="46"/>
      <c r="AI262" s="76"/>
      <c r="AJ262" s="97"/>
      <c r="AK262" s="39"/>
      <c r="AL262" s="102"/>
      <c r="AM262" s="102"/>
      <c r="AN262" s="102"/>
      <c r="AO262" s="102"/>
      <c r="AP262" s="280"/>
      <c r="AQ262" s="10">
        <f>Потребность!AD262</f>
        <v>0</v>
      </c>
      <c r="AR262" s="10">
        <f>SUM(Потребность!K262:M262)</f>
        <v>0</v>
      </c>
      <c r="AS262" s="9" t="e">
        <f>Потребность!AZ262</f>
        <v>#N/A</v>
      </c>
      <c r="AT262" s="9">
        <f>Потребность!J262</f>
        <v>0</v>
      </c>
      <c r="AU262" s="9" t="e">
        <f>Потребность!N262/Потребность!$N262</f>
        <v>#DIV/0!</v>
      </c>
      <c r="AV262" s="9" t="e">
        <f>Потребность!O262/Потребность!$N262</f>
        <v>#DIV/0!</v>
      </c>
      <c r="AW262" s="9" t="e">
        <f>Потребность!P262/Потребность!$N262</f>
        <v>#DIV/0!</v>
      </c>
      <c r="AX262" s="9" t="e">
        <f>Потребность!T262/Потребность!$T262</f>
        <v>#DIV/0!</v>
      </c>
      <c r="AY262" s="9" t="e">
        <f>Потребность!U262/Потребность!$T262</f>
        <v>#DIV/0!</v>
      </c>
      <c r="AZ262" s="9" t="e">
        <f>Потребность!V262/Потребность!$T262</f>
        <v>#DIV/0!</v>
      </c>
      <c r="BA262" s="141">
        <f>Потребность!Q262</f>
        <v>0</v>
      </c>
      <c r="BB262">
        <f>Потребность!AC262</f>
        <v>0</v>
      </c>
      <c r="BC262" s="141">
        <f>Потребность!AD262</f>
        <v>0</v>
      </c>
    </row>
    <row r="263" spans="1:55" x14ac:dyDescent="0.2">
      <c r="A263" s="85"/>
      <c r="B263" s="195"/>
      <c r="C263" s="85"/>
      <c r="D263" s="85"/>
      <c r="E263" s="195"/>
      <c r="F263" s="35"/>
      <c r="G263" s="65"/>
      <c r="H263" s="36"/>
      <c r="I263" s="37"/>
      <c r="J263" s="37"/>
      <c r="K263" s="35"/>
      <c r="L263" s="38"/>
      <c r="M263" s="128"/>
      <c r="N263" s="38"/>
      <c r="O263" s="128"/>
      <c r="P263" s="53"/>
      <c r="Q263" s="45"/>
      <c r="R263" s="45"/>
      <c r="S263" s="45"/>
      <c r="T263" s="46"/>
      <c r="U263" s="120"/>
      <c r="V263" s="120"/>
      <c r="W263" s="120"/>
      <c r="X263" s="121"/>
      <c r="Y263" s="121"/>
      <c r="Z263" s="121"/>
      <c r="AA263" s="121"/>
      <c r="AB263" s="121"/>
      <c r="AC263" s="121"/>
      <c r="AD263" s="122"/>
      <c r="AE263" s="122"/>
      <c r="AF263" s="122"/>
      <c r="AG263" s="66"/>
      <c r="AH263" s="46"/>
      <c r="AI263" s="76"/>
      <c r="AJ263" s="97"/>
      <c r="AK263" s="39"/>
      <c r="AL263" s="102"/>
      <c r="AM263" s="102"/>
      <c r="AN263" s="102"/>
      <c r="AO263" s="102"/>
      <c r="AP263" s="280"/>
      <c r="AQ263" s="10">
        <f>Потребность!AD263</f>
        <v>0</v>
      </c>
      <c r="AR263" s="10">
        <f>SUM(Потребность!K263:M263)</f>
        <v>0</v>
      </c>
      <c r="AS263" s="9" t="e">
        <f>Потребность!AZ263</f>
        <v>#N/A</v>
      </c>
      <c r="AT263" s="9">
        <f>Потребность!J263</f>
        <v>0</v>
      </c>
      <c r="AU263" s="9" t="e">
        <f>Потребность!N263/Потребность!$N263</f>
        <v>#DIV/0!</v>
      </c>
      <c r="AV263" s="9" t="e">
        <f>Потребность!O263/Потребность!$N263</f>
        <v>#DIV/0!</v>
      </c>
      <c r="AW263" s="9" t="e">
        <f>Потребность!P263/Потребность!$N263</f>
        <v>#DIV/0!</v>
      </c>
      <c r="AX263" s="9" t="e">
        <f>Потребность!T263/Потребность!$T263</f>
        <v>#DIV/0!</v>
      </c>
      <c r="AY263" s="9" t="e">
        <f>Потребность!U263/Потребность!$T263</f>
        <v>#DIV/0!</v>
      </c>
      <c r="AZ263" s="9" t="e">
        <f>Потребность!V263/Потребность!$T263</f>
        <v>#DIV/0!</v>
      </c>
      <c r="BA263" s="141">
        <f>Потребность!Q263</f>
        <v>0</v>
      </c>
      <c r="BB263">
        <f>Потребность!AC263</f>
        <v>0</v>
      </c>
      <c r="BC263" s="141">
        <f>Потребность!AD263</f>
        <v>0</v>
      </c>
    </row>
    <row r="264" spans="1:55" x14ac:dyDescent="0.2">
      <c r="A264" s="85"/>
      <c r="B264" s="195"/>
      <c r="C264" s="85"/>
      <c r="D264" s="85"/>
      <c r="E264" s="195"/>
      <c r="F264" s="35"/>
      <c r="G264" s="65"/>
      <c r="H264" s="36"/>
      <c r="I264" s="37"/>
      <c r="J264" s="37"/>
      <c r="K264" s="35"/>
      <c r="L264" s="38"/>
      <c r="M264" s="128"/>
      <c r="N264" s="38"/>
      <c r="O264" s="128"/>
      <c r="P264" s="53"/>
      <c r="Q264" s="45"/>
      <c r="R264" s="45"/>
      <c r="S264" s="45"/>
      <c r="T264" s="46"/>
      <c r="U264" s="120"/>
      <c r="V264" s="120"/>
      <c r="W264" s="120"/>
      <c r="X264" s="121"/>
      <c r="Y264" s="121"/>
      <c r="Z264" s="121"/>
      <c r="AA264" s="121"/>
      <c r="AB264" s="121"/>
      <c r="AC264" s="121"/>
      <c r="AD264" s="122"/>
      <c r="AE264" s="122"/>
      <c r="AF264" s="122"/>
      <c r="AG264" s="66"/>
      <c r="AH264" s="46"/>
      <c r="AI264" s="76"/>
      <c r="AJ264" s="97"/>
      <c r="AK264" s="39"/>
      <c r="AL264" s="102"/>
      <c r="AM264" s="102"/>
      <c r="AN264" s="102"/>
      <c r="AO264" s="102"/>
      <c r="AP264" s="280"/>
      <c r="AQ264" s="10">
        <f>Потребность!AD264</f>
        <v>0</v>
      </c>
      <c r="AR264" s="10">
        <f>SUM(Потребность!K264:M264)</f>
        <v>0</v>
      </c>
      <c r="AS264" s="9" t="e">
        <f>Потребность!AZ264</f>
        <v>#N/A</v>
      </c>
      <c r="AT264" s="9">
        <f>Потребность!J264</f>
        <v>0</v>
      </c>
      <c r="AU264" s="9" t="e">
        <f>Потребность!N264/Потребность!$N264</f>
        <v>#DIV/0!</v>
      </c>
      <c r="AV264" s="9" t="e">
        <f>Потребность!O264/Потребность!$N264</f>
        <v>#DIV/0!</v>
      </c>
      <c r="AW264" s="9" t="e">
        <f>Потребность!P264/Потребность!$N264</f>
        <v>#DIV/0!</v>
      </c>
      <c r="AX264" s="9" t="e">
        <f>Потребность!T264/Потребность!$T264</f>
        <v>#DIV/0!</v>
      </c>
      <c r="AY264" s="9" t="e">
        <f>Потребность!U264/Потребность!$T264</f>
        <v>#DIV/0!</v>
      </c>
      <c r="AZ264" s="9" t="e">
        <f>Потребность!V264/Потребность!$T264</f>
        <v>#DIV/0!</v>
      </c>
      <c r="BA264" s="141">
        <f>Потребность!Q264</f>
        <v>0</v>
      </c>
      <c r="BB264">
        <f>Потребность!AC264</f>
        <v>0</v>
      </c>
      <c r="BC264" s="141">
        <f>Потребность!AD264</f>
        <v>0</v>
      </c>
    </row>
    <row r="265" spans="1:55" x14ac:dyDescent="0.2">
      <c r="A265" s="85"/>
      <c r="B265" s="195"/>
      <c r="C265" s="85"/>
      <c r="D265" s="85"/>
      <c r="E265" s="195"/>
      <c r="F265" s="35"/>
      <c r="G265" s="65"/>
      <c r="H265" s="36"/>
      <c r="I265" s="37"/>
      <c r="J265" s="37"/>
      <c r="K265" s="35"/>
      <c r="L265" s="38"/>
      <c r="M265" s="128"/>
      <c r="N265" s="38"/>
      <c r="O265" s="128"/>
      <c r="P265" s="53"/>
      <c r="Q265" s="45"/>
      <c r="R265" s="45"/>
      <c r="S265" s="45"/>
      <c r="T265" s="46"/>
      <c r="U265" s="120"/>
      <c r="V265" s="120"/>
      <c r="W265" s="120"/>
      <c r="X265" s="121"/>
      <c r="Y265" s="121"/>
      <c r="Z265" s="121"/>
      <c r="AA265" s="121"/>
      <c r="AB265" s="121"/>
      <c r="AC265" s="121"/>
      <c r="AD265" s="122"/>
      <c r="AE265" s="122"/>
      <c r="AF265" s="122"/>
      <c r="AG265" s="66"/>
      <c r="AH265" s="46"/>
      <c r="AI265" s="76"/>
      <c r="AJ265" s="97"/>
      <c r="AK265" s="39"/>
      <c r="AL265" s="102"/>
      <c r="AM265" s="102"/>
      <c r="AN265" s="102"/>
      <c r="AO265" s="102"/>
      <c r="AP265" s="280"/>
      <c r="AQ265" s="10">
        <f>Потребность!AD265</f>
        <v>0</v>
      </c>
      <c r="AR265" s="10">
        <f>SUM(Потребность!K265:M265)</f>
        <v>0</v>
      </c>
      <c r="AS265" s="9" t="e">
        <f>Потребность!AZ265</f>
        <v>#N/A</v>
      </c>
      <c r="AT265" s="9">
        <f>Потребность!J265</f>
        <v>0</v>
      </c>
      <c r="AU265" s="9" t="e">
        <f>Потребность!N265/Потребность!$N265</f>
        <v>#DIV/0!</v>
      </c>
      <c r="AV265" s="9" t="e">
        <f>Потребность!O265/Потребность!$N265</f>
        <v>#DIV/0!</v>
      </c>
      <c r="AW265" s="9" t="e">
        <f>Потребность!P265/Потребность!$N265</f>
        <v>#DIV/0!</v>
      </c>
      <c r="AX265" s="9" t="e">
        <f>Потребность!T265/Потребность!$T265</f>
        <v>#DIV/0!</v>
      </c>
      <c r="AY265" s="9" t="e">
        <f>Потребность!U265/Потребность!$T265</f>
        <v>#DIV/0!</v>
      </c>
      <c r="AZ265" s="9" t="e">
        <f>Потребность!V265/Потребность!$T265</f>
        <v>#DIV/0!</v>
      </c>
      <c r="BA265" s="141">
        <f>Потребность!Q265</f>
        <v>0</v>
      </c>
      <c r="BB265">
        <f>Потребность!AC265</f>
        <v>0</v>
      </c>
      <c r="BC265" s="141">
        <f>Потребность!AD265</f>
        <v>0</v>
      </c>
    </row>
    <row r="266" spans="1:55" x14ac:dyDescent="0.2">
      <c r="A266" s="85"/>
      <c r="B266" s="195"/>
      <c r="C266" s="85"/>
      <c r="D266" s="85"/>
      <c r="E266" s="195"/>
      <c r="F266" s="35"/>
      <c r="G266" s="65"/>
      <c r="H266" s="36"/>
      <c r="I266" s="37"/>
      <c r="J266" s="37"/>
      <c r="K266" s="35"/>
      <c r="L266" s="38"/>
      <c r="M266" s="128"/>
      <c r="N266" s="38"/>
      <c r="O266" s="128"/>
      <c r="P266" s="53"/>
      <c r="Q266" s="45"/>
      <c r="R266" s="45"/>
      <c r="S266" s="45"/>
      <c r="T266" s="46"/>
      <c r="U266" s="120"/>
      <c r="V266" s="120"/>
      <c r="W266" s="120"/>
      <c r="X266" s="121"/>
      <c r="Y266" s="121"/>
      <c r="Z266" s="121"/>
      <c r="AA266" s="121"/>
      <c r="AB266" s="121"/>
      <c r="AC266" s="121"/>
      <c r="AD266" s="122"/>
      <c r="AE266" s="122"/>
      <c r="AF266" s="122"/>
      <c r="AG266" s="66"/>
      <c r="AH266" s="46"/>
      <c r="AI266" s="76"/>
      <c r="AJ266" s="97"/>
      <c r="AK266" s="39"/>
      <c r="AL266" s="102"/>
      <c r="AM266" s="102"/>
      <c r="AN266" s="102"/>
      <c r="AO266" s="102"/>
      <c r="AP266" s="280"/>
      <c r="AQ266" s="10">
        <f>Потребность!AD266</f>
        <v>0</v>
      </c>
      <c r="AR266" s="10">
        <f>SUM(Потребность!K266:M266)</f>
        <v>0</v>
      </c>
      <c r="AS266" s="9" t="e">
        <f>Потребность!AZ266</f>
        <v>#N/A</v>
      </c>
      <c r="AT266" s="9">
        <f>Потребность!J266</f>
        <v>0</v>
      </c>
      <c r="AU266" s="9" t="e">
        <f>Потребность!N266/Потребность!$N266</f>
        <v>#DIV/0!</v>
      </c>
      <c r="AV266" s="9" t="e">
        <f>Потребность!O266/Потребность!$N266</f>
        <v>#DIV/0!</v>
      </c>
      <c r="AW266" s="9" t="e">
        <f>Потребность!P266/Потребность!$N266</f>
        <v>#DIV/0!</v>
      </c>
      <c r="AX266" s="9" t="e">
        <f>Потребность!T266/Потребность!$T266</f>
        <v>#DIV/0!</v>
      </c>
      <c r="AY266" s="9" t="e">
        <f>Потребность!U266/Потребность!$T266</f>
        <v>#DIV/0!</v>
      </c>
      <c r="AZ266" s="9" t="e">
        <f>Потребность!V266/Потребность!$T266</f>
        <v>#DIV/0!</v>
      </c>
      <c r="BA266" s="141">
        <f>Потребность!Q266</f>
        <v>0</v>
      </c>
      <c r="BB266">
        <f>Потребность!AC266</f>
        <v>0</v>
      </c>
      <c r="BC266" s="141">
        <f>Потребность!AD266</f>
        <v>0</v>
      </c>
    </row>
    <row r="267" spans="1:55" x14ac:dyDescent="0.2">
      <c r="A267" s="85"/>
      <c r="B267" s="195"/>
      <c r="C267" s="85"/>
      <c r="D267" s="85"/>
      <c r="E267" s="195"/>
      <c r="F267" s="35"/>
      <c r="G267" s="65"/>
      <c r="H267" s="36"/>
      <c r="I267" s="37"/>
      <c r="J267" s="37"/>
      <c r="K267" s="35"/>
      <c r="L267" s="38"/>
      <c r="M267" s="128"/>
      <c r="N267" s="38"/>
      <c r="O267" s="128"/>
      <c r="P267" s="53"/>
      <c r="Q267" s="45"/>
      <c r="R267" s="45"/>
      <c r="S267" s="45"/>
      <c r="T267" s="46"/>
      <c r="U267" s="120"/>
      <c r="V267" s="120"/>
      <c r="W267" s="120"/>
      <c r="X267" s="121"/>
      <c r="Y267" s="121"/>
      <c r="Z267" s="121"/>
      <c r="AA267" s="121"/>
      <c r="AB267" s="121"/>
      <c r="AC267" s="121"/>
      <c r="AD267" s="122"/>
      <c r="AE267" s="122"/>
      <c r="AF267" s="122"/>
      <c r="AG267" s="66"/>
      <c r="AH267" s="46"/>
      <c r="AI267" s="76"/>
      <c r="AJ267" s="97"/>
      <c r="AK267" s="39"/>
      <c r="AL267" s="102"/>
      <c r="AM267" s="102"/>
      <c r="AN267" s="102"/>
      <c r="AO267" s="102"/>
      <c r="AP267" s="280"/>
      <c r="AQ267" s="10">
        <f>Потребность!AD267</f>
        <v>0</v>
      </c>
      <c r="AR267" s="10">
        <f>SUM(Потребность!K267:M267)</f>
        <v>0</v>
      </c>
      <c r="AS267" s="9" t="e">
        <f>Потребность!AZ267</f>
        <v>#N/A</v>
      </c>
      <c r="AT267" s="9">
        <f>Потребность!J267</f>
        <v>0</v>
      </c>
      <c r="AU267" s="9" t="e">
        <f>Потребность!N267/Потребность!$N267</f>
        <v>#DIV/0!</v>
      </c>
      <c r="AV267" s="9" t="e">
        <f>Потребность!O267/Потребность!$N267</f>
        <v>#DIV/0!</v>
      </c>
      <c r="AW267" s="9" t="e">
        <f>Потребность!P267/Потребность!$N267</f>
        <v>#DIV/0!</v>
      </c>
      <c r="AX267" s="9" t="e">
        <f>Потребность!T267/Потребность!$T267</f>
        <v>#DIV/0!</v>
      </c>
      <c r="AY267" s="9" t="e">
        <f>Потребность!U267/Потребность!$T267</f>
        <v>#DIV/0!</v>
      </c>
      <c r="AZ267" s="9" t="e">
        <f>Потребность!V267/Потребность!$T267</f>
        <v>#DIV/0!</v>
      </c>
      <c r="BA267" s="141">
        <f>Потребность!Q267</f>
        <v>0</v>
      </c>
      <c r="BB267">
        <f>Потребность!AC267</f>
        <v>0</v>
      </c>
      <c r="BC267" s="141">
        <f>Потребность!AD267</f>
        <v>0</v>
      </c>
    </row>
    <row r="268" spans="1:55" x14ac:dyDescent="0.2">
      <c r="A268" s="85"/>
      <c r="B268" s="195"/>
      <c r="C268" s="85"/>
      <c r="D268" s="85"/>
      <c r="E268" s="195"/>
      <c r="F268" s="35"/>
      <c r="G268" s="65"/>
      <c r="H268" s="36"/>
      <c r="I268" s="37"/>
      <c r="J268" s="37"/>
      <c r="K268" s="35"/>
      <c r="L268" s="38"/>
      <c r="M268" s="128"/>
      <c r="N268" s="38"/>
      <c r="O268" s="128"/>
      <c r="P268" s="53"/>
      <c r="Q268" s="45"/>
      <c r="R268" s="45"/>
      <c r="S268" s="45"/>
      <c r="T268" s="46"/>
      <c r="U268" s="120"/>
      <c r="V268" s="120"/>
      <c r="W268" s="120"/>
      <c r="X268" s="121"/>
      <c r="Y268" s="121"/>
      <c r="Z268" s="121"/>
      <c r="AA268" s="121"/>
      <c r="AB268" s="121"/>
      <c r="AC268" s="121"/>
      <c r="AD268" s="122"/>
      <c r="AE268" s="122"/>
      <c r="AF268" s="122"/>
      <c r="AG268" s="66"/>
      <c r="AH268" s="46"/>
      <c r="AI268" s="76"/>
      <c r="AJ268" s="97"/>
      <c r="AK268" s="39"/>
      <c r="AL268" s="102"/>
      <c r="AM268" s="102"/>
      <c r="AN268" s="102"/>
      <c r="AO268" s="102"/>
      <c r="AP268" s="280"/>
      <c r="AQ268" s="10">
        <f>Потребность!AD268</f>
        <v>0</v>
      </c>
      <c r="AR268" s="10">
        <f>SUM(Потребность!K268:M268)</f>
        <v>0</v>
      </c>
      <c r="AS268" s="9" t="e">
        <f>Потребность!AZ268</f>
        <v>#N/A</v>
      </c>
      <c r="AT268" s="9">
        <f>Потребность!J268</f>
        <v>0</v>
      </c>
      <c r="AU268" s="9" t="e">
        <f>Потребность!N268/Потребность!$N268</f>
        <v>#DIV/0!</v>
      </c>
      <c r="AV268" s="9" t="e">
        <f>Потребность!O268/Потребность!$N268</f>
        <v>#DIV/0!</v>
      </c>
      <c r="AW268" s="9" t="e">
        <f>Потребность!P268/Потребность!$N268</f>
        <v>#DIV/0!</v>
      </c>
      <c r="AX268" s="9" t="e">
        <f>Потребность!T268/Потребность!$T268</f>
        <v>#DIV/0!</v>
      </c>
      <c r="AY268" s="9" t="e">
        <f>Потребность!U268/Потребность!$T268</f>
        <v>#DIV/0!</v>
      </c>
      <c r="AZ268" s="9" t="e">
        <f>Потребность!V268/Потребность!$T268</f>
        <v>#DIV/0!</v>
      </c>
      <c r="BA268" s="141">
        <f>Потребность!Q268</f>
        <v>0</v>
      </c>
      <c r="BB268">
        <f>Потребность!AC268</f>
        <v>0</v>
      </c>
      <c r="BC268" s="141">
        <f>Потребность!AD268</f>
        <v>0</v>
      </c>
    </row>
    <row r="269" spans="1:55" x14ac:dyDescent="0.2">
      <c r="A269" s="85"/>
      <c r="B269" s="195"/>
      <c r="C269" s="85"/>
      <c r="D269" s="85"/>
      <c r="E269" s="195"/>
      <c r="F269" s="35"/>
      <c r="G269" s="65"/>
      <c r="H269" s="36"/>
      <c r="I269" s="37"/>
      <c r="J269" s="37"/>
      <c r="K269" s="35"/>
      <c r="L269" s="38"/>
      <c r="M269" s="128"/>
      <c r="N269" s="38"/>
      <c r="O269" s="128"/>
      <c r="P269" s="53"/>
      <c r="Q269" s="45"/>
      <c r="R269" s="45"/>
      <c r="S269" s="45"/>
      <c r="T269" s="46"/>
      <c r="U269" s="120"/>
      <c r="V269" s="120"/>
      <c r="W269" s="120"/>
      <c r="X269" s="121"/>
      <c r="Y269" s="121"/>
      <c r="Z269" s="121"/>
      <c r="AA269" s="121"/>
      <c r="AB269" s="121"/>
      <c r="AC269" s="121"/>
      <c r="AD269" s="122"/>
      <c r="AE269" s="122"/>
      <c r="AF269" s="122"/>
      <c r="AG269" s="66"/>
      <c r="AH269" s="46"/>
      <c r="AI269" s="76"/>
      <c r="AJ269" s="97"/>
      <c r="AK269" s="39"/>
      <c r="AL269" s="102"/>
      <c r="AM269" s="102"/>
      <c r="AN269" s="102"/>
      <c r="AO269" s="102"/>
      <c r="AP269" s="280"/>
      <c r="AQ269" s="10">
        <f>Потребность!AD269</f>
        <v>0</v>
      </c>
      <c r="AR269" s="10">
        <f>SUM(Потребность!K269:M269)</f>
        <v>0</v>
      </c>
      <c r="AS269" s="9" t="e">
        <f>Потребность!AZ269</f>
        <v>#N/A</v>
      </c>
      <c r="AT269" s="9">
        <f>Потребность!J269</f>
        <v>0</v>
      </c>
      <c r="AU269" s="9" t="e">
        <f>Потребность!N269/Потребность!$N269</f>
        <v>#DIV/0!</v>
      </c>
      <c r="AV269" s="9" t="e">
        <f>Потребность!O269/Потребность!$N269</f>
        <v>#DIV/0!</v>
      </c>
      <c r="AW269" s="9" t="e">
        <f>Потребность!P269/Потребность!$N269</f>
        <v>#DIV/0!</v>
      </c>
      <c r="AX269" s="9" t="e">
        <f>Потребность!T269/Потребность!$T269</f>
        <v>#DIV/0!</v>
      </c>
      <c r="AY269" s="9" t="e">
        <f>Потребность!U269/Потребность!$T269</f>
        <v>#DIV/0!</v>
      </c>
      <c r="AZ269" s="9" t="e">
        <f>Потребность!V269/Потребность!$T269</f>
        <v>#DIV/0!</v>
      </c>
      <c r="BA269" s="141">
        <f>Потребность!Q269</f>
        <v>0</v>
      </c>
      <c r="BB269">
        <f>Потребность!AC269</f>
        <v>0</v>
      </c>
      <c r="BC269" s="141">
        <f>Потребность!AD269</f>
        <v>0</v>
      </c>
    </row>
    <row r="270" spans="1:55" x14ac:dyDescent="0.2">
      <c r="A270" s="85"/>
      <c r="B270" s="195"/>
      <c r="C270" s="85"/>
      <c r="D270" s="85"/>
      <c r="E270" s="195"/>
      <c r="F270" s="35"/>
      <c r="G270" s="65"/>
      <c r="H270" s="36"/>
      <c r="I270" s="37"/>
      <c r="J270" s="37"/>
      <c r="K270" s="35"/>
      <c r="L270" s="38"/>
      <c r="M270" s="128"/>
      <c r="N270" s="38"/>
      <c r="O270" s="128"/>
      <c r="P270" s="53"/>
      <c r="Q270" s="45"/>
      <c r="R270" s="45"/>
      <c r="S270" s="45"/>
      <c r="T270" s="46"/>
      <c r="U270" s="120"/>
      <c r="V270" s="120"/>
      <c r="W270" s="120"/>
      <c r="X270" s="121"/>
      <c r="Y270" s="121"/>
      <c r="Z270" s="121"/>
      <c r="AA270" s="121"/>
      <c r="AB270" s="121"/>
      <c r="AC270" s="121"/>
      <c r="AD270" s="122"/>
      <c r="AE270" s="122"/>
      <c r="AF270" s="122"/>
      <c r="AG270" s="66"/>
      <c r="AH270" s="46"/>
      <c r="AI270" s="76"/>
      <c r="AJ270" s="97"/>
      <c r="AK270" s="39"/>
      <c r="AL270" s="102"/>
      <c r="AM270" s="102"/>
      <c r="AN270" s="102"/>
      <c r="AO270" s="102"/>
      <c r="AP270" s="280"/>
      <c r="AQ270" s="10">
        <f>Потребность!AD270</f>
        <v>0</v>
      </c>
      <c r="AR270" s="10">
        <f>SUM(Потребность!K270:M270)</f>
        <v>0</v>
      </c>
      <c r="AS270" s="9" t="e">
        <f>Потребность!AZ270</f>
        <v>#N/A</v>
      </c>
      <c r="AT270" s="9">
        <f>Потребность!J270</f>
        <v>0</v>
      </c>
      <c r="AU270" s="9" t="e">
        <f>Потребность!N270/Потребность!$N270</f>
        <v>#DIV/0!</v>
      </c>
      <c r="AV270" s="9" t="e">
        <f>Потребность!O270/Потребность!$N270</f>
        <v>#DIV/0!</v>
      </c>
      <c r="AW270" s="9" t="e">
        <f>Потребность!P270/Потребность!$N270</f>
        <v>#DIV/0!</v>
      </c>
      <c r="AX270" s="9" t="e">
        <f>Потребность!T270/Потребность!$T270</f>
        <v>#DIV/0!</v>
      </c>
      <c r="AY270" s="9" t="e">
        <f>Потребность!U270/Потребность!$T270</f>
        <v>#DIV/0!</v>
      </c>
      <c r="AZ270" s="9" t="e">
        <f>Потребность!V270/Потребность!$T270</f>
        <v>#DIV/0!</v>
      </c>
      <c r="BA270" s="141">
        <f>Потребность!Q270</f>
        <v>0</v>
      </c>
      <c r="BB270">
        <f>Потребность!AC270</f>
        <v>0</v>
      </c>
      <c r="BC270" s="141">
        <f>Потребность!AD270</f>
        <v>0</v>
      </c>
    </row>
    <row r="271" spans="1:55" x14ac:dyDescent="0.2">
      <c r="A271" s="85"/>
      <c r="B271" s="195"/>
      <c r="C271" s="85"/>
      <c r="D271" s="85"/>
      <c r="E271" s="195"/>
      <c r="F271" s="35"/>
      <c r="G271" s="65"/>
      <c r="H271" s="36"/>
      <c r="I271" s="37"/>
      <c r="J271" s="37"/>
      <c r="K271" s="35"/>
      <c r="L271" s="38"/>
      <c r="M271" s="128"/>
      <c r="N271" s="38"/>
      <c r="O271" s="128"/>
      <c r="P271" s="53"/>
      <c r="Q271" s="45"/>
      <c r="R271" s="45"/>
      <c r="S271" s="45"/>
      <c r="T271" s="46"/>
      <c r="U271" s="120"/>
      <c r="V271" s="120"/>
      <c r="W271" s="120"/>
      <c r="X271" s="121"/>
      <c r="Y271" s="121"/>
      <c r="Z271" s="121"/>
      <c r="AA271" s="121"/>
      <c r="AB271" s="121"/>
      <c r="AC271" s="121"/>
      <c r="AD271" s="122"/>
      <c r="AE271" s="122"/>
      <c r="AF271" s="122"/>
      <c r="AG271" s="66"/>
      <c r="AH271" s="46"/>
      <c r="AI271" s="76"/>
      <c r="AJ271" s="97"/>
      <c r="AK271" s="39"/>
      <c r="AL271" s="102"/>
      <c r="AM271" s="102"/>
      <c r="AN271" s="102"/>
      <c r="AO271" s="102"/>
      <c r="AP271" s="280"/>
      <c r="AQ271" s="10">
        <f>Потребность!AD271</f>
        <v>0</v>
      </c>
      <c r="AR271" s="10">
        <f>SUM(Потребность!K271:M271)</f>
        <v>0</v>
      </c>
      <c r="AS271" s="9" t="e">
        <f>Потребность!AZ271</f>
        <v>#N/A</v>
      </c>
      <c r="AT271" s="9">
        <f>Потребность!J271</f>
        <v>0</v>
      </c>
      <c r="AU271" s="9" t="e">
        <f>Потребность!N271/Потребность!$N271</f>
        <v>#DIV/0!</v>
      </c>
      <c r="AV271" s="9" t="e">
        <f>Потребность!O271/Потребность!$N271</f>
        <v>#DIV/0!</v>
      </c>
      <c r="AW271" s="9" t="e">
        <f>Потребность!P271/Потребность!$N271</f>
        <v>#DIV/0!</v>
      </c>
      <c r="AX271" s="9" t="e">
        <f>Потребность!T271/Потребность!$T271</f>
        <v>#DIV/0!</v>
      </c>
      <c r="AY271" s="9" t="e">
        <f>Потребность!U271/Потребность!$T271</f>
        <v>#DIV/0!</v>
      </c>
      <c r="AZ271" s="9" t="e">
        <f>Потребность!V271/Потребность!$T271</f>
        <v>#DIV/0!</v>
      </c>
      <c r="BA271" s="141">
        <f>Потребность!Q271</f>
        <v>0</v>
      </c>
      <c r="BB271">
        <f>Потребность!AC271</f>
        <v>0</v>
      </c>
      <c r="BC271" s="141">
        <f>Потребность!AD271</f>
        <v>0</v>
      </c>
    </row>
    <row r="272" spans="1:55" x14ac:dyDescent="0.2">
      <c r="A272" s="85"/>
      <c r="B272" s="195"/>
      <c r="C272" s="85"/>
      <c r="D272" s="85"/>
      <c r="E272" s="195"/>
      <c r="F272" s="35"/>
      <c r="G272" s="65"/>
      <c r="H272" s="36"/>
      <c r="I272" s="37"/>
      <c r="J272" s="37"/>
      <c r="K272" s="35"/>
      <c r="L272" s="38"/>
      <c r="M272" s="128"/>
      <c r="N272" s="38"/>
      <c r="O272" s="128"/>
      <c r="P272" s="53"/>
      <c r="Q272" s="45"/>
      <c r="R272" s="45"/>
      <c r="S272" s="45"/>
      <c r="T272" s="46"/>
      <c r="U272" s="120"/>
      <c r="V272" s="120"/>
      <c r="W272" s="120"/>
      <c r="X272" s="121"/>
      <c r="Y272" s="121"/>
      <c r="Z272" s="121"/>
      <c r="AA272" s="121"/>
      <c r="AB272" s="121"/>
      <c r="AC272" s="121"/>
      <c r="AD272" s="122"/>
      <c r="AE272" s="122"/>
      <c r="AF272" s="122"/>
      <c r="AG272" s="66"/>
      <c r="AH272" s="46"/>
      <c r="AI272" s="76"/>
      <c r="AJ272" s="97"/>
      <c r="AK272" s="39"/>
      <c r="AL272" s="102"/>
      <c r="AM272" s="102"/>
      <c r="AN272" s="102"/>
      <c r="AO272" s="102"/>
      <c r="AP272" s="280"/>
      <c r="AQ272" s="10">
        <f>Потребность!AD272</f>
        <v>0</v>
      </c>
      <c r="AR272" s="10">
        <f>SUM(Потребность!K272:M272)</f>
        <v>0</v>
      </c>
      <c r="AS272" s="9" t="e">
        <f>Потребность!AZ272</f>
        <v>#N/A</v>
      </c>
      <c r="AT272" s="9">
        <f>Потребность!J272</f>
        <v>0</v>
      </c>
      <c r="AU272" s="9" t="e">
        <f>Потребность!N272/Потребность!$N272</f>
        <v>#DIV/0!</v>
      </c>
      <c r="AV272" s="9" t="e">
        <f>Потребность!O272/Потребность!$N272</f>
        <v>#DIV/0!</v>
      </c>
      <c r="AW272" s="9" t="e">
        <f>Потребность!P272/Потребность!$N272</f>
        <v>#DIV/0!</v>
      </c>
      <c r="AX272" s="9" t="e">
        <f>Потребность!T272/Потребность!$T272</f>
        <v>#DIV/0!</v>
      </c>
      <c r="AY272" s="9" t="e">
        <f>Потребность!U272/Потребность!$T272</f>
        <v>#DIV/0!</v>
      </c>
      <c r="AZ272" s="9" t="e">
        <f>Потребность!V272/Потребность!$T272</f>
        <v>#DIV/0!</v>
      </c>
      <c r="BA272" s="141">
        <f>Потребность!Q272</f>
        <v>0</v>
      </c>
      <c r="BB272">
        <f>Потребность!AC272</f>
        <v>0</v>
      </c>
      <c r="BC272" s="141">
        <f>Потребность!AD272</f>
        <v>0</v>
      </c>
    </row>
    <row r="273" spans="1:55" x14ac:dyDescent="0.2">
      <c r="A273" s="85"/>
      <c r="B273" s="195"/>
      <c r="C273" s="85"/>
      <c r="D273" s="85"/>
      <c r="E273" s="195"/>
      <c r="F273" s="35"/>
      <c r="G273" s="65"/>
      <c r="H273" s="36"/>
      <c r="I273" s="37"/>
      <c r="J273" s="37"/>
      <c r="K273" s="35"/>
      <c r="L273" s="38"/>
      <c r="M273" s="128"/>
      <c r="N273" s="38"/>
      <c r="O273" s="128"/>
      <c r="P273" s="53"/>
      <c r="Q273" s="45"/>
      <c r="R273" s="45"/>
      <c r="S273" s="45"/>
      <c r="T273" s="46"/>
      <c r="U273" s="120"/>
      <c r="V273" s="120"/>
      <c r="W273" s="120"/>
      <c r="X273" s="121"/>
      <c r="Y273" s="121"/>
      <c r="Z273" s="121"/>
      <c r="AA273" s="121"/>
      <c r="AB273" s="121"/>
      <c r="AC273" s="121"/>
      <c r="AD273" s="122"/>
      <c r="AE273" s="122"/>
      <c r="AF273" s="122"/>
      <c r="AG273" s="66"/>
      <c r="AH273" s="46"/>
      <c r="AI273" s="76"/>
      <c r="AJ273" s="97"/>
      <c r="AK273" s="39"/>
      <c r="AL273" s="102"/>
      <c r="AM273" s="102"/>
      <c r="AN273" s="102"/>
      <c r="AO273" s="102"/>
      <c r="AP273" s="280"/>
      <c r="AQ273" s="10">
        <f>Потребность!AD273</f>
        <v>0</v>
      </c>
      <c r="AR273" s="10">
        <f>SUM(Потребность!K273:M273)</f>
        <v>0</v>
      </c>
      <c r="AS273" s="9" t="e">
        <f>Потребность!AZ273</f>
        <v>#N/A</v>
      </c>
      <c r="AT273" s="9">
        <f>Потребность!J273</f>
        <v>0</v>
      </c>
      <c r="AU273" s="9" t="e">
        <f>Потребность!N273/Потребность!$N273</f>
        <v>#DIV/0!</v>
      </c>
      <c r="AV273" s="9" t="e">
        <f>Потребность!O273/Потребность!$N273</f>
        <v>#DIV/0!</v>
      </c>
      <c r="AW273" s="9" t="e">
        <f>Потребность!P273/Потребность!$N273</f>
        <v>#DIV/0!</v>
      </c>
      <c r="AX273" s="9" t="e">
        <f>Потребность!T273/Потребность!$T273</f>
        <v>#DIV/0!</v>
      </c>
      <c r="AY273" s="9" t="e">
        <f>Потребность!U273/Потребность!$T273</f>
        <v>#DIV/0!</v>
      </c>
      <c r="AZ273" s="9" t="e">
        <f>Потребность!V273/Потребность!$T273</f>
        <v>#DIV/0!</v>
      </c>
      <c r="BA273" s="141">
        <f>Потребность!Q273</f>
        <v>0</v>
      </c>
      <c r="BB273">
        <f>Потребность!AC273</f>
        <v>0</v>
      </c>
      <c r="BC273" s="141">
        <f>Потребность!AD273</f>
        <v>0</v>
      </c>
    </row>
    <row r="274" spans="1:55" x14ac:dyDescent="0.2">
      <c r="A274" s="85"/>
      <c r="B274" s="195"/>
      <c r="C274" s="85"/>
      <c r="D274" s="85"/>
      <c r="E274" s="195"/>
      <c r="F274" s="35"/>
      <c r="G274" s="65"/>
      <c r="H274" s="36"/>
      <c r="I274" s="37"/>
      <c r="J274" s="37"/>
      <c r="K274" s="35"/>
      <c r="L274" s="38"/>
      <c r="M274" s="128"/>
      <c r="N274" s="38"/>
      <c r="O274" s="128"/>
      <c r="P274" s="53"/>
      <c r="Q274" s="45"/>
      <c r="R274" s="45"/>
      <c r="S274" s="45"/>
      <c r="T274" s="46"/>
      <c r="U274" s="120"/>
      <c r="V274" s="120"/>
      <c r="W274" s="120"/>
      <c r="X274" s="121"/>
      <c r="Y274" s="121"/>
      <c r="Z274" s="121"/>
      <c r="AA274" s="121"/>
      <c r="AB274" s="121"/>
      <c r="AC274" s="121"/>
      <c r="AD274" s="122"/>
      <c r="AE274" s="122"/>
      <c r="AF274" s="122"/>
      <c r="AG274" s="66"/>
      <c r="AH274" s="46"/>
      <c r="AI274" s="76"/>
      <c r="AJ274" s="97"/>
      <c r="AK274" s="39"/>
      <c r="AL274" s="102"/>
      <c r="AM274" s="102"/>
      <c r="AN274" s="102"/>
      <c r="AO274" s="102"/>
      <c r="AP274" s="280"/>
      <c r="AQ274" s="10">
        <f>Потребность!AD274</f>
        <v>0</v>
      </c>
      <c r="AR274" s="10">
        <f>SUM(Потребность!K274:M274)</f>
        <v>0</v>
      </c>
      <c r="AS274" s="9" t="e">
        <f>Потребность!AZ274</f>
        <v>#N/A</v>
      </c>
      <c r="AT274" s="9">
        <f>Потребность!J274</f>
        <v>0</v>
      </c>
      <c r="AU274" s="9" t="e">
        <f>Потребность!N274/Потребность!$N274</f>
        <v>#DIV/0!</v>
      </c>
      <c r="AV274" s="9" t="e">
        <f>Потребность!O274/Потребность!$N274</f>
        <v>#DIV/0!</v>
      </c>
      <c r="AW274" s="9" t="e">
        <f>Потребность!P274/Потребность!$N274</f>
        <v>#DIV/0!</v>
      </c>
      <c r="AX274" s="9" t="e">
        <f>Потребность!T274/Потребность!$T274</f>
        <v>#DIV/0!</v>
      </c>
      <c r="AY274" s="9" t="e">
        <f>Потребность!U274/Потребность!$T274</f>
        <v>#DIV/0!</v>
      </c>
      <c r="AZ274" s="9" t="e">
        <f>Потребность!V274/Потребность!$T274</f>
        <v>#DIV/0!</v>
      </c>
      <c r="BA274" s="141">
        <f>Потребность!Q274</f>
        <v>0</v>
      </c>
      <c r="BB274">
        <f>Потребность!AC274</f>
        <v>0</v>
      </c>
      <c r="BC274" s="141">
        <f>Потребность!AD274</f>
        <v>0</v>
      </c>
    </row>
    <row r="275" spans="1:55" x14ac:dyDescent="0.2">
      <c r="A275" s="85"/>
      <c r="B275" s="195"/>
      <c r="C275" s="85"/>
      <c r="D275" s="85"/>
      <c r="E275" s="195"/>
      <c r="F275" s="35"/>
      <c r="G275" s="65"/>
      <c r="H275" s="36"/>
      <c r="I275" s="37"/>
      <c r="J275" s="37"/>
      <c r="K275" s="35"/>
      <c r="L275" s="38"/>
      <c r="M275" s="128"/>
      <c r="N275" s="38"/>
      <c r="O275" s="128"/>
      <c r="P275" s="53"/>
      <c r="Q275" s="45"/>
      <c r="R275" s="45"/>
      <c r="S275" s="45"/>
      <c r="T275" s="46"/>
      <c r="U275" s="120"/>
      <c r="V275" s="120"/>
      <c r="W275" s="120"/>
      <c r="X275" s="121"/>
      <c r="Y275" s="121"/>
      <c r="Z275" s="121"/>
      <c r="AA275" s="121"/>
      <c r="AB275" s="121"/>
      <c r="AC275" s="121"/>
      <c r="AD275" s="122"/>
      <c r="AE275" s="122"/>
      <c r="AF275" s="122"/>
      <c r="AG275" s="66"/>
      <c r="AH275" s="46"/>
      <c r="AI275" s="76"/>
      <c r="AJ275" s="97"/>
      <c r="AK275" s="39"/>
      <c r="AL275" s="102"/>
      <c r="AM275" s="102"/>
      <c r="AN275" s="102"/>
      <c r="AO275" s="102"/>
      <c r="AP275" s="280"/>
      <c r="AQ275" s="10">
        <f>Потребность!AD275</f>
        <v>0</v>
      </c>
      <c r="AR275" s="10">
        <f>SUM(Потребность!K275:M275)</f>
        <v>0</v>
      </c>
      <c r="AS275" s="9" t="e">
        <f>Потребность!AZ275</f>
        <v>#N/A</v>
      </c>
      <c r="AT275" s="9">
        <f>Потребность!J275</f>
        <v>0</v>
      </c>
      <c r="AU275" s="9" t="e">
        <f>Потребность!N275/Потребность!$N275</f>
        <v>#DIV/0!</v>
      </c>
      <c r="AV275" s="9" t="e">
        <f>Потребность!O275/Потребность!$N275</f>
        <v>#DIV/0!</v>
      </c>
      <c r="AW275" s="9" t="e">
        <f>Потребность!P275/Потребность!$N275</f>
        <v>#DIV/0!</v>
      </c>
      <c r="AX275" s="9" t="e">
        <f>Потребность!T275/Потребность!$T275</f>
        <v>#DIV/0!</v>
      </c>
      <c r="AY275" s="9" t="e">
        <f>Потребность!U275/Потребность!$T275</f>
        <v>#DIV/0!</v>
      </c>
      <c r="AZ275" s="9" t="e">
        <f>Потребность!V275/Потребность!$T275</f>
        <v>#DIV/0!</v>
      </c>
      <c r="BA275" s="141">
        <f>Потребность!Q275</f>
        <v>0</v>
      </c>
      <c r="BB275">
        <f>Потребность!AC275</f>
        <v>0</v>
      </c>
      <c r="BC275" s="141">
        <f>Потребность!AD275</f>
        <v>0</v>
      </c>
    </row>
    <row r="276" spans="1:55" x14ac:dyDescent="0.2">
      <c r="A276" s="85"/>
      <c r="B276" s="195"/>
      <c r="C276" s="85"/>
      <c r="D276" s="85"/>
      <c r="E276" s="195"/>
      <c r="F276" s="35"/>
      <c r="G276" s="65"/>
      <c r="H276" s="36"/>
      <c r="I276" s="37"/>
      <c r="J276" s="37"/>
      <c r="K276" s="35"/>
      <c r="L276" s="38"/>
      <c r="M276" s="128"/>
      <c r="N276" s="38"/>
      <c r="O276" s="128"/>
      <c r="P276" s="53"/>
      <c r="Q276" s="45"/>
      <c r="R276" s="45"/>
      <c r="S276" s="45"/>
      <c r="T276" s="46"/>
      <c r="U276" s="120"/>
      <c r="V276" s="120"/>
      <c r="W276" s="120"/>
      <c r="X276" s="121"/>
      <c r="Y276" s="121"/>
      <c r="Z276" s="121"/>
      <c r="AA276" s="121"/>
      <c r="AB276" s="121"/>
      <c r="AC276" s="121"/>
      <c r="AD276" s="122"/>
      <c r="AE276" s="122"/>
      <c r="AF276" s="122"/>
      <c r="AG276" s="66"/>
      <c r="AH276" s="46"/>
      <c r="AI276" s="76"/>
      <c r="AJ276" s="97"/>
      <c r="AK276" s="39"/>
      <c r="AL276" s="102"/>
      <c r="AM276" s="102"/>
      <c r="AN276" s="102"/>
      <c r="AO276" s="102"/>
      <c r="AP276" s="280"/>
      <c r="AQ276" s="10">
        <f>Потребность!AD276</f>
        <v>0</v>
      </c>
      <c r="AR276" s="10">
        <f>SUM(Потребность!K276:M276)</f>
        <v>0</v>
      </c>
      <c r="AS276" s="9" t="e">
        <f>Потребность!AZ276</f>
        <v>#N/A</v>
      </c>
      <c r="AT276" s="9">
        <f>Потребность!J276</f>
        <v>0</v>
      </c>
      <c r="AU276" s="9" t="e">
        <f>Потребность!N276/Потребность!$N276</f>
        <v>#DIV/0!</v>
      </c>
      <c r="AV276" s="9" t="e">
        <f>Потребность!O276/Потребность!$N276</f>
        <v>#DIV/0!</v>
      </c>
      <c r="AW276" s="9" t="e">
        <f>Потребность!P276/Потребность!$N276</f>
        <v>#DIV/0!</v>
      </c>
      <c r="AX276" s="9" t="e">
        <f>Потребность!T276/Потребность!$T276</f>
        <v>#DIV/0!</v>
      </c>
      <c r="AY276" s="9" t="e">
        <f>Потребность!U276/Потребность!$T276</f>
        <v>#DIV/0!</v>
      </c>
      <c r="AZ276" s="9" t="e">
        <f>Потребность!V276/Потребность!$T276</f>
        <v>#DIV/0!</v>
      </c>
      <c r="BA276" s="141">
        <f>Потребность!Q276</f>
        <v>0</v>
      </c>
      <c r="BB276">
        <f>Потребность!AC276</f>
        <v>0</v>
      </c>
      <c r="BC276" s="141">
        <f>Потребность!AD276</f>
        <v>0</v>
      </c>
    </row>
    <row r="277" spans="1:55" x14ac:dyDescent="0.2">
      <c r="A277" s="85"/>
      <c r="B277" s="195"/>
      <c r="C277" s="85"/>
      <c r="D277" s="85"/>
      <c r="E277" s="195"/>
      <c r="F277" s="35"/>
      <c r="G277" s="65"/>
      <c r="H277" s="36"/>
      <c r="I277" s="37"/>
      <c r="J277" s="37"/>
      <c r="K277" s="35"/>
      <c r="L277" s="38"/>
      <c r="M277" s="128"/>
      <c r="N277" s="38"/>
      <c r="O277" s="128"/>
      <c r="P277" s="53"/>
      <c r="Q277" s="45"/>
      <c r="R277" s="45"/>
      <c r="S277" s="45"/>
      <c r="T277" s="46"/>
      <c r="U277" s="120"/>
      <c r="V277" s="120"/>
      <c r="W277" s="120"/>
      <c r="X277" s="121"/>
      <c r="Y277" s="121"/>
      <c r="Z277" s="121"/>
      <c r="AA277" s="121"/>
      <c r="AB277" s="121"/>
      <c r="AC277" s="121"/>
      <c r="AD277" s="122"/>
      <c r="AE277" s="122"/>
      <c r="AF277" s="122"/>
      <c r="AG277" s="66"/>
      <c r="AH277" s="46"/>
      <c r="AI277" s="76"/>
      <c r="AJ277" s="97"/>
      <c r="AK277" s="39"/>
      <c r="AL277" s="102"/>
      <c r="AM277" s="102"/>
      <c r="AN277" s="102"/>
      <c r="AO277" s="102"/>
      <c r="AP277" s="280"/>
      <c r="AQ277" s="10">
        <f>Потребность!AD277</f>
        <v>0</v>
      </c>
      <c r="AR277" s="10">
        <f>SUM(Потребность!K277:M277)</f>
        <v>0</v>
      </c>
      <c r="AS277" s="9" t="e">
        <f>Потребность!AZ277</f>
        <v>#N/A</v>
      </c>
      <c r="AT277" s="9">
        <f>Потребность!J277</f>
        <v>0</v>
      </c>
      <c r="AU277" s="9" t="e">
        <f>Потребность!N277/Потребность!$N277</f>
        <v>#DIV/0!</v>
      </c>
      <c r="AV277" s="9" t="e">
        <f>Потребность!O277/Потребность!$N277</f>
        <v>#DIV/0!</v>
      </c>
      <c r="AW277" s="9" t="e">
        <f>Потребность!P277/Потребность!$N277</f>
        <v>#DIV/0!</v>
      </c>
      <c r="AX277" s="9" t="e">
        <f>Потребность!T277/Потребность!$T277</f>
        <v>#DIV/0!</v>
      </c>
      <c r="AY277" s="9" t="e">
        <f>Потребность!U277/Потребность!$T277</f>
        <v>#DIV/0!</v>
      </c>
      <c r="AZ277" s="9" t="e">
        <f>Потребность!V277/Потребность!$T277</f>
        <v>#DIV/0!</v>
      </c>
      <c r="BA277" s="141">
        <f>Потребность!Q277</f>
        <v>0</v>
      </c>
      <c r="BB277">
        <f>Потребность!AC277</f>
        <v>0</v>
      </c>
      <c r="BC277" s="141">
        <f>Потребность!AD277</f>
        <v>0</v>
      </c>
    </row>
    <row r="278" spans="1:55" x14ac:dyDescent="0.2">
      <c r="A278" s="85"/>
      <c r="B278" s="195"/>
      <c r="C278" s="85"/>
      <c r="D278" s="85"/>
      <c r="E278" s="195"/>
      <c r="F278" s="35"/>
      <c r="G278" s="65"/>
      <c r="H278" s="36"/>
      <c r="I278" s="37"/>
      <c r="J278" s="37"/>
      <c r="K278" s="35"/>
      <c r="L278" s="38"/>
      <c r="M278" s="128"/>
      <c r="N278" s="38"/>
      <c r="O278" s="128"/>
      <c r="P278" s="53"/>
      <c r="Q278" s="45"/>
      <c r="R278" s="45"/>
      <c r="S278" s="45"/>
      <c r="T278" s="46"/>
      <c r="U278" s="120"/>
      <c r="V278" s="120"/>
      <c r="W278" s="120"/>
      <c r="X278" s="121"/>
      <c r="Y278" s="121"/>
      <c r="Z278" s="121"/>
      <c r="AA278" s="121"/>
      <c r="AB278" s="121"/>
      <c r="AC278" s="121"/>
      <c r="AD278" s="122"/>
      <c r="AE278" s="122"/>
      <c r="AF278" s="122"/>
      <c r="AG278" s="66"/>
      <c r="AH278" s="46"/>
      <c r="AI278" s="76"/>
      <c r="AJ278" s="97"/>
      <c r="AK278" s="39"/>
      <c r="AL278" s="102"/>
      <c r="AM278" s="102"/>
      <c r="AN278" s="102"/>
      <c r="AO278" s="102"/>
      <c r="AP278" s="280"/>
      <c r="AQ278" s="10">
        <f>Потребность!AD278</f>
        <v>0</v>
      </c>
      <c r="AR278" s="10">
        <f>SUM(Потребность!K278:M278)</f>
        <v>0</v>
      </c>
      <c r="AS278" s="9" t="e">
        <f>Потребность!AZ278</f>
        <v>#N/A</v>
      </c>
      <c r="AT278" s="9">
        <f>Потребность!J278</f>
        <v>0</v>
      </c>
      <c r="AU278" s="9" t="e">
        <f>Потребность!N278/Потребность!$N278</f>
        <v>#DIV/0!</v>
      </c>
      <c r="AV278" s="9" t="e">
        <f>Потребность!O278/Потребность!$N278</f>
        <v>#DIV/0!</v>
      </c>
      <c r="AW278" s="9" t="e">
        <f>Потребность!P278/Потребность!$N278</f>
        <v>#DIV/0!</v>
      </c>
      <c r="AX278" s="9" t="e">
        <f>Потребность!T278/Потребность!$T278</f>
        <v>#DIV/0!</v>
      </c>
      <c r="AY278" s="9" t="e">
        <f>Потребность!U278/Потребность!$T278</f>
        <v>#DIV/0!</v>
      </c>
      <c r="AZ278" s="9" t="e">
        <f>Потребность!V278/Потребность!$T278</f>
        <v>#DIV/0!</v>
      </c>
      <c r="BA278" s="141">
        <f>Потребность!Q278</f>
        <v>0</v>
      </c>
      <c r="BB278">
        <f>Потребность!AC278</f>
        <v>0</v>
      </c>
      <c r="BC278" s="141">
        <f>Потребность!AD278</f>
        <v>0</v>
      </c>
    </row>
    <row r="279" spans="1:55" x14ac:dyDescent="0.2">
      <c r="A279" s="85"/>
      <c r="B279" s="195"/>
      <c r="C279" s="85"/>
      <c r="D279" s="85"/>
      <c r="E279" s="195"/>
      <c r="F279" s="35"/>
      <c r="G279" s="65"/>
      <c r="H279" s="36"/>
      <c r="I279" s="37"/>
      <c r="J279" s="37"/>
      <c r="K279" s="35"/>
      <c r="L279" s="38"/>
      <c r="M279" s="128"/>
      <c r="N279" s="38"/>
      <c r="O279" s="128"/>
      <c r="P279" s="53"/>
      <c r="Q279" s="45"/>
      <c r="R279" s="45"/>
      <c r="S279" s="45"/>
      <c r="T279" s="46"/>
      <c r="U279" s="120"/>
      <c r="V279" s="120"/>
      <c r="W279" s="120"/>
      <c r="X279" s="121"/>
      <c r="Y279" s="121"/>
      <c r="Z279" s="121"/>
      <c r="AA279" s="121"/>
      <c r="AB279" s="121"/>
      <c r="AC279" s="121"/>
      <c r="AD279" s="122"/>
      <c r="AE279" s="122"/>
      <c r="AF279" s="122"/>
      <c r="AG279" s="66"/>
      <c r="AH279" s="46"/>
      <c r="AI279" s="76"/>
      <c r="AJ279" s="97"/>
      <c r="AK279" s="39"/>
      <c r="AL279" s="102"/>
      <c r="AM279" s="102"/>
      <c r="AN279" s="102"/>
      <c r="AO279" s="102"/>
      <c r="AP279" s="280"/>
      <c r="AQ279" s="10">
        <f>Потребность!AD279</f>
        <v>0</v>
      </c>
      <c r="AR279" s="10">
        <f>SUM(Потребность!K279:M279)</f>
        <v>0</v>
      </c>
      <c r="AS279" s="9" t="e">
        <f>Потребность!AZ279</f>
        <v>#N/A</v>
      </c>
      <c r="AT279" s="9">
        <f>Потребность!J279</f>
        <v>0</v>
      </c>
      <c r="AU279" s="9" t="e">
        <f>Потребность!N279/Потребность!$N279</f>
        <v>#DIV/0!</v>
      </c>
      <c r="AV279" s="9" t="e">
        <f>Потребность!O279/Потребность!$N279</f>
        <v>#DIV/0!</v>
      </c>
      <c r="AW279" s="9" t="e">
        <f>Потребность!P279/Потребность!$N279</f>
        <v>#DIV/0!</v>
      </c>
      <c r="AX279" s="9" t="e">
        <f>Потребность!T279/Потребность!$T279</f>
        <v>#DIV/0!</v>
      </c>
      <c r="AY279" s="9" t="e">
        <f>Потребность!U279/Потребность!$T279</f>
        <v>#DIV/0!</v>
      </c>
      <c r="AZ279" s="9" t="e">
        <f>Потребность!V279/Потребность!$T279</f>
        <v>#DIV/0!</v>
      </c>
      <c r="BA279" s="141">
        <f>Потребность!Q279</f>
        <v>0</v>
      </c>
      <c r="BB279">
        <f>Потребность!AC279</f>
        <v>0</v>
      </c>
      <c r="BC279" s="141">
        <f>Потребность!AD279</f>
        <v>0</v>
      </c>
    </row>
    <row r="280" spans="1:55" x14ac:dyDescent="0.2">
      <c r="A280" s="85"/>
      <c r="B280" s="195"/>
      <c r="C280" s="85"/>
      <c r="D280" s="85"/>
      <c r="E280" s="195"/>
      <c r="F280" s="35"/>
      <c r="G280" s="65"/>
      <c r="H280" s="36"/>
      <c r="I280" s="37"/>
      <c r="J280" s="37"/>
      <c r="K280" s="35"/>
      <c r="L280" s="38"/>
      <c r="M280" s="128"/>
      <c r="N280" s="38"/>
      <c r="O280" s="128"/>
      <c r="P280" s="53"/>
      <c r="Q280" s="45"/>
      <c r="R280" s="45"/>
      <c r="S280" s="45"/>
      <c r="T280" s="46"/>
      <c r="U280" s="120"/>
      <c r="V280" s="120"/>
      <c r="W280" s="120"/>
      <c r="X280" s="121"/>
      <c r="Y280" s="121"/>
      <c r="Z280" s="121"/>
      <c r="AA280" s="121"/>
      <c r="AB280" s="121"/>
      <c r="AC280" s="121"/>
      <c r="AD280" s="122"/>
      <c r="AE280" s="122"/>
      <c r="AF280" s="122"/>
      <c r="AG280" s="66"/>
      <c r="AH280" s="46"/>
      <c r="AI280" s="76"/>
      <c r="AJ280" s="97"/>
      <c r="AK280" s="39"/>
      <c r="AL280" s="102"/>
      <c r="AM280" s="102"/>
      <c r="AN280" s="102"/>
      <c r="AO280" s="102"/>
      <c r="AP280" s="280"/>
      <c r="AQ280" s="10">
        <f>Потребность!AD280</f>
        <v>0</v>
      </c>
      <c r="AR280" s="10">
        <f>SUM(Потребность!K280:M280)</f>
        <v>0</v>
      </c>
      <c r="AS280" s="9" t="e">
        <f>Потребность!AZ280</f>
        <v>#N/A</v>
      </c>
      <c r="AT280" s="9">
        <f>Потребность!J280</f>
        <v>0</v>
      </c>
      <c r="AU280" s="9" t="e">
        <f>Потребность!N280/Потребность!$N280</f>
        <v>#DIV/0!</v>
      </c>
      <c r="AV280" s="9" t="e">
        <f>Потребность!O280/Потребность!$N280</f>
        <v>#DIV/0!</v>
      </c>
      <c r="AW280" s="9" t="e">
        <f>Потребность!P280/Потребность!$N280</f>
        <v>#DIV/0!</v>
      </c>
      <c r="AX280" s="9" t="e">
        <f>Потребность!T280/Потребность!$T280</f>
        <v>#DIV/0!</v>
      </c>
      <c r="AY280" s="9" t="e">
        <f>Потребность!U280/Потребность!$T280</f>
        <v>#DIV/0!</v>
      </c>
      <c r="AZ280" s="9" t="e">
        <f>Потребность!V280/Потребность!$T280</f>
        <v>#DIV/0!</v>
      </c>
      <c r="BA280" s="141">
        <f>Потребность!Q280</f>
        <v>0</v>
      </c>
      <c r="BB280">
        <f>Потребность!AC280</f>
        <v>0</v>
      </c>
      <c r="BC280" s="141">
        <f>Потребность!AD280</f>
        <v>0</v>
      </c>
    </row>
    <row r="281" spans="1:55" x14ac:dyDescent="0.2">
      <c r="A281" s="85"/>
      <c r="B281" s="195"/>
      <c r="C281" s="85"/>
      <c r="D281" s="85"/>
      <c r="E281" s="195"/>
      <c r="F281" s="35"/>
      <c r="G281" s="65"/>
      <c r="H281" s="36"/>
      <c r="I281" s="37"/>
      <c r="J281" s="37"/>
      <c r="K281" s="35"/>
      <c r="L281" s="38"/>
      <c r="M281" s="128"/>
      <c r="N281" s="38"/>
      <c r="O281" s="128"/>
      <c r="P281" s="53"/>
      <c r="Q281" s="45"/>
      <c r="R281" s="45"/>
      <c r="S281" s="45"/>
      <c r="T281" s="46"/>
      <c r="U281" s="120"/>
      <c r="V281" s="120"/>
      <c r="W281" s="120"/>
      <c r="X281" s="121"/>
      <c r="Y281" s="121"/>
      <c r="Z281" s="121"/>
      <c r="AA281" s="121"/>
      <c r="AB281" s="121"/>
      <c r="AC281" s="121"/>
      <c r="AD281" s="122"/>
      <c r="AE281" s="122"/>
      <c r="AF281" s="122"/>
      <c r="AG281" s="66"/>
      <c r="AH281" s="46"/>
      <c r="AI281" s="76"/>
      <c r="AJ281" s="97"/>
      <c r="AK281" s="39"/>
      <c r="AL281" s="102"/>
      <c r="AM281" s="102"/>
      <c r="AN281" s="102"/>
      <c r="AO281" s="102"/>
      <c r="AP281" s="280"/>
      <c r="AQ281" s="10">
        <f>Потребность!AD281</f>
        <v>0</v>
      </c>
      <c r="AR281" s="10">
        <f>SUM(Потребность!K281:M281)</f>
        <v>0</v>
      </c>
      <c r="AS281" s="9" t="e">
        <f>Потребность!AZ281</f>
        <v>#N/A</v>
      </c>
      <c r="AT281" s="9">
        <f>Потребность!J281</f>
        <v>0</v>
      </c>
      <c r="AU281" s="9" t="e">
        <f>Потребность!N281/Потребность!$N281</f>
        <v>#DIV/0!</v>
      </c>
      <c r="AV281" s="9" t="e">
        <f>Потребность!O281/Потребность!$N281</f>
        <v>#DIV/0!</v>
      </c>
      <c r="AW281" s="9" t="e">
        <f>Потребность!P281/Потребность!$N281</f>
        <v>#DIV/0!</v>
      </c>
      <c r="AX281" s="9" t="e">
        <f>Потребность!T281/Потребность!$T281</f>
        <v>#DIV/0!</v>
      </c>
      <c r="AY281" s="9" t="e">
        <f>Потребность!U281/Потребность!$T281</f>
        <v>#DIV/0!</v>
      </c>
      <c r="AZ281" s="9" t="e">
        <f>Потребность!V281/Потребность!$T281</f>
        <v>#DIV/0!</v>
      </c>
      <c r="BA281" s="141">
        <f>Потребность!Q281</f>
        <v>0</v>
      </c>
      <c r="BB281">
        <f>Потребность!AC281</f>
        <v>0</v>
      </c>
      <c r="BC281" s="141">
        <f>Потребность!AD281</f>
        <v>0</v>
      </c>
    </row>
    <row r="282" spans="1:55" x14ac:dyDescent="0.2">
      <c r="A282" s="85"/>
      <c r="B282" s="195"/>
      <c r="C282" s="85"/>
      <c r="D282" s="85"/>
      <c r="E282" s="195"/>
      <c r="F282" s="35"/>
      <c r="G282" s="65"/>
      <c r="H282" s="36"/>
      <c r="I282" s="37"/>
      <c r="J282" s="37"/>
      <c r="K282" s="35"/>
      <c r="L282" s="38"/>
      <c r="M282" s="128"/>
      <c r="N282" s="38"/>
      <c r="O282" s="128"/>
      <c r="P282" s="53"/>
      <c r="Q282" s="45"/>
      <c r="R282" s="45"/>
      <c r="S282" s="45"/>
      <c r="T282" s="46"/>
      <c r="U282" s="120"/>
      <c r="V282" s="120"/>
      <c r="W282" s="120"/>
      <c r="X282" s="121"/>
      <c r="Y282" s="121"/>
      <c r="Z282" s="121"/>
      <c r="AA282" s="121"/>
      <c r="AB282" s="121"/>
      <c r="AC282" s="121"/>
      <c r="AD282" s="122"/>
      <c r="AE282" s="122"/>
      <c r="AF282" s="122"/>
      <c r="AG282" s="66"/>
      <c r="AH282" s="46"/>
      <c r="AI282" s="76"/>
      <c r="AJ282" s="97"/>
      <c r="AK282" s="39"/>
      <c r="AL282" s="102"/>
      <c r="AM282" s="102"/>
      <c r="AN282" s="102"/>
      <c r="AO282" s="102"/>
      <c r="AP282" s="280"/>
      <c r="AQ282" s="10">
        <f>Потребность!AD282</f>
        <v>0</v>
      </c>
      <c r="AR282" s="10">
        <f>SUM(Потребность!K282:M282)</f>
        <v>0</v>
      </c>
      <c r="AS282" s="9" t="e">
        <f>Потребность!AZ282</f>
        <v>#N/A</v>
      </c>
      <c r="AT282" s="9">
        <f>Потребность!J282</f>
        <v>0</v>
      </c>
      <c r="AU282" s="9" t="e">
        <f>Потребность!N282/Потребность!$N282</f>
        <v>#DIV/0!</v>
      </c>
      <c r="AV282" s="9" t="e">
        <f>Потребность!O282/Потребность!$N282</f>
        <v>#DIV/0!</v>
      </c>
      <c r="AW282" s="9" t="e">
        <f>Потребность!P282/Потребность!$N282</f>
        <v>#DIV/0!</v>
      </c>
      <c r="AX282" s="9" t="e">
        <f>Потребность!T282/Потребность!$T282</f>
        <v>#DIV/0!</v>
      </c>
      <c r="AY282" s="9" t="e">
        <f>Потребность!U282/Потребность!$T282</f>
        <v>#DIV/0!</v>
      </c>
      <c r="AZ282" s="9" t="e">
        <f>Потребность!V282/Потребность!$T282</f>
        <v>#DIV/0!</v>
      </c>
      <c r="BA282" s="141">
        <f>Потребность!Q282</f>
        <v>0</v>
      </c>
      <c r="BB282">
        <f>Потребность!AC282</f>
        <v>0</v>
      </c>
      <c r="BC282" s="141">
        <f>Потребность!AD282</f>
        <v>0</v>
      </c>
    </row>
    <row r="283" spans="1:55" x14ac:dyDescent="0.2">
      <c r="A283" s="85"/>
      <c r="B283" s="195"/>
      <c r="C283" s="85"/>
      <c r="D283" s="85"/>
      <c r="E283" s="195"/>
      <c r="F283" s="35"/>
      <c r="G283" s="65"/>
      <c r="H283" s="36"/>
      <c r="I283" s="37"/>
      <c r="J283" s="37"/>
      <c r="K283" s="35"/>
      <c r="L283" s="38"/>
      <c r="M283" s="128"/>
      <c r="N283" s="38"/>
      <c r="O283" s="128"/>
      <c r="P283" s="53"/>
      <c r="Q283" s="45"/>
      <c r="R283" s="45"/>
      <c r="S283" s="45"/>
      <c r="T283" s="46"/>
      <c r="U283" s="120"/>
      <c r="V283" s="120"/>
      <c r="W283" s="120"/>
      <c r="X283" s="121"/>
      <c r="Y283" s="121"/>
      <c r="Z283" s="121"/>
      <c r="AA283" s="121"/>
      <c r="AB283" s="121"/>
      <c r="AC283" s="121"/>
      <c r="AD283" s="122"/>
      <c r="AE283" s="122"/>
      <c r="AF283" s="122"/>
      <c r="AG283" s="66"/>
      <c r="AH283" s="46"/>
      <c r="AI283" s="76"/>
      <c r="AJ283" s="97"/>
      <c r="AK283" s="39"/>
      <c r="AL283" s="102"/>
      <c r="AM283" s="102"/>
      <c r="AN283" s="102"/>
      <c r="AO283" s="102"/>
      <c r="AP283" s="280"/>
      <c r="AQ283" s="10">
        <f>Потребность!AD283</f>
        <v>0</v>
      </c>
      <c r="AR283" s="10">
        <f>SUM(Потребность!K283:M283)</f>
        <v>0</v>
      </c>
      <c r="AS283" s="9" t="e">
        <f>Потребность!AZ283</f>
        <v>#N/A</v>
      </c>
      <c r="AT283" s="9">
        <f>Потребность!J283</f>
        <v>0</v>
      </c>
      <c r="AU283" s="9" t="e">
        <f>Потребность!N283/Потребность!$N283</f>
        <v>#DIV/0!</v>
      </c>
      <c r="AV283" s="9" t="e">
        <f>Потребность!O283/Потребность!$N283</f>
        <v>#DIV/0!</v>
      </c>
      <c r="AW283" s="9" t="e">
        <f>Потребность!P283/Потребность!$N283</f>
        <v>#DIV/0!</v>
      </c>
      <c r="AX283" s="9" t="e">
        <f>Потребность!T283/Потребность!$T283</f>
        <v>#DIV/0!</v>
      </c>
      <c r="AY283" s="9" t="e">
        <f>Потребность!U283/Потребность!$T283</f>
        <v>#DIV/0!</v>
      </c>
      <c r="AZ283" s="9" t="e">
        <f>Потребность!V283/Потребность!$T283</f>
        <v>#DIV/0!</v>
      </c>
      <c r="BA283" s="141">
        <f>Потребность!Q283</f>
        <v>0</v>
      </c>
      <c r="BB283">
        <f>Потребность!AC283</f>
        <v>0</v>
      </c>
      <c r="BC283" s="141">
        <f>Потребность!AD283</f>
        <v>0</v>
      </c>
    </row>
    <row r="284" spans="1:55" x14ac:dyDescent="0.2">
      <c r="A284" s="85"/>
      <c r="B284" s="195"/>
      <c r="C284" s="85"/>
      <c r="D284" s="85"/>
      <c r="E284" s="195"/>
      <c r="F284" s="35"/>
      <c r="G284" s="65"/>
      <c r="H284" s="36"/>
      <c r="I284" s="37"/>
      <c r="J284" s="37"/>
      <c r="K284" s="35"/>
      <c r="L284" s="38"/>
      <c r="M284" s="128"/>
      <c r="N284" s="38"/>
      <c r="O284" s="128"/>
      <c r="P284" s="53"/>
      <c r="Q284" s="45"/>
      <c r="R284" s="45"/>
      <c r="S284" s="45"/>
      <c r="T284" s="46"/>
      <c r="U284" s="120"/>
      <c r="V284" s="120"/>
      <c r="W284" s="120"/>
      <c r="X284" s="121"/>
      <c r="Y284" s="121"/>
      <c r="Z284" s="121"/>
      <c r="AA284" s="121"/>
      <c r="AB284" s="121"/>
      <c r="AC284" s="121"/>
      <c r="AD284" s="122"/>
      <c r="AE284" s="122"/>
      <c r="AF284" s="122"/>
      <c r="AG284" s="66"/>
      <c r="AH284" s="46"/>
      <c r="AI284" s="76"/>
      <c r="AJ284" s="97"/>
      <c r="AK284" s="39"/>
      <c r="AL284" s="102"/>
      <c r="AM284" s="102"/>
      <c r="AN284" s="102"/>
      <c r="AO284" s="102"/>
      <c r="AP284" s="280"/>
      <c r="AQ284" s="10">
        <f>Потребность!AD284</f>
        <v>0</v>
      </c>
      <c r="AR284" s="10">
        <f>SUM(Потребность!K284:M284)</f>
        <v>0</v>
      </c>
      <c r="AS284" s="9" t="e">
        <f>Потребность!AZ284</f>
        <v>#N/A</v>
      </c>
      <c r="AT284" s="9">
        <f>Потребность!J284</f>
        <v>0</v>
      </c>
      <c r="AU284" s="9" t="e">
        <f>Потребность!N284/Потребность!$N284</f>
        <v>#DIV/0!</v>
      </c>
      <c r="AV284" s="9" t="e">
        <f>Потребность!O284/Потребность!$N284</f>
        <v>#DIV/0!</v>
      </c>
      <c r="AW284" s="9" t="e">
        <f>Потребность!P284/Потребность!$N284</f>
        <v>#DIV/0!</v>
      </c>
      <c r="AX284" s="9" t="e">
        <f>Потребность!T284/Потребность!$T284</f>
        <v>#DIV/0!</v>
      </c>
      <c r="AY284" s="9" t="e">
        <f>Потребность!U284/Потребность!$T284</f>
        <v>#DIV/0!</v>
      </c>
      <c r="AZ284" s="9" t="e">
        <f>Потребность!V284/Потребность!$T284</f>
        <v>#DIV/0!</v>
      </c>
      <c r="BA284" s="141">
        <f>Потребность!Q284</f>
        <v>0</v>
      </c>
      <c r="BB284">
        <f>Потребность!AC284</f>
        <v>0</v>
      </c>
      <c r="BC284" s="141">
        <f>Потребность!AD284</f>
        <v>0</v>
      </c>
    </row>
    <row r="285" spans="1:55" x14ac:dyDescent="0.2">
      <c r="A285" s="85"/>
      <c r="B285" s="195"/>
      <c r="C285" s="85"/>
      <c r="D285" s="85"/>
      <c r="E285" s="195"/>
      <c r="F285" s="35"/>
      <c r="G285" s="65"/>
      <c r="H285" s="36"/>
      <c r="I285" s="37"/>
      <c r="J285" s="37"/>
      <c r="K285" s="35"/>
      <c r="L285" s="38"/>
      <c r="M285" s="128"/>
      <c r="N285" s="38"/>
      <c r="O285" s="128"/>
      <c r="P285" s="53"/>
      <c r="Q285" s="45"/>
      <c r="R285" s="45"/>
      <c r="S285" s="45"/>
      <c r="T285" s="46"/>
      <c r="U285" s="120"/>
      <c r="V285" s="120"/>
      <c r="W285" s="120"/>
      <c r="X285" s="121"/>
      <c r="Y285" s="121"/>
      <c r="Z285" s="121"/>
      <c r="AA285" s="121"/>
      <c r="AB285" s="121"/>
      <c r="AC285" s="121"/>
      <c r="AD285" s="122"/>
      <c r="AE285" s="122"/>
      <c r="AF285" s="122"/>
      <c r="AG285" s="66"/>
      <c r="AH285" s="46"/>
      <c r="AI285" s="76"/>
      <c r="AJ285" s="97"/>
      <c r="AK285" s="39"/>
      <c r="AL285" s="102"/>
      <c r="AM285" s="102"/>
      <c r="AN285" s="102"/>
      <c r="AO285" s="102"/>
      <c r="AP285" s="280"/>
      <c r="AQ285" s="10">
        <f>Потребность!AD285</f>
        <v>0</v>
      </c>
      <c r="AR285" s="10">
        <f>SUM(Потребность!K285:M285)</f>
        <v>0</v>
      </c>
      <c r="AS285" s="9" t="e">
        <f>Потребность!AZ285</f>
        <v>#N/A</v>
      </c>
      <c r="AT285" s="9">
        <f>Потребность!J285</f>
        <v>0</v>
      </c>
      <c r="AU285" s="9" t="e">
        <f>Потребность!N285/Потребность!$N285</f>
        <v>#DIV/0!</v>
      </c>
      <c r="AV285" s="9" t="e">
        <f>Потребность!O285/Потребность!$N285</f>
        <v>#DIV/0!</v>
      </c>
      <c r="AW285" s="9" t="e">
        <f>Потребность!P285/Потребность!$N285</f>
        <v>#DIV/0!</v>
      </c>
      <c r="AX285" s="9" t="e">
        <f>Потребность!T285/Потребность!$T285</f>
        <v>#DIV/0!</v>
      </c>
      <c r="AY285" s="9" t="e">
        <f>Потребность!U285/Потребность!$T285</f>
        <v>#DIV/0!</v>
      </c>
      <c r="AZ285" s="9" t="e">
        <f>Потребность!V285/Потребность!$T285</f>
        <v>#DIV/0!</v>
      </c>
      <c r="BA285" s="141">
        <f>Потребность!Q285</f>
        <v>0</v>
      </c>
      <c r="BB285">
        <f>Потребность!AC285</f>
        <v>0</v>
      </c>
      <c r="BC285" s="141">
        <f>Потребность!AD285</f>
        <v>0</v>
      </c>
    </row>
    <row r="286" spans="1:55" x14ac:dyDescent="0.2">
      <c r="A286" s="85"/>
      <c r="B286" s="195"/>
      <c r="C286" s="85"/>
      <c r="D286" s="85"/>
      <c r="E286" s="195"/>
      <c r="F286" s="35"/>
      <c r="G286" s="65"/>
      <c r="H286" s="36"/>
      <c r="I286" s="37"/>
      <c r="J286" s="37"/>
      <c r="K286" s="35"/>
      <c r="L286" s="38"/>
      <c r="M286" s="128"/>
      <c r="N286" s="38"/>
      <c r="O286" s="128"/>
      <c r="P286" s="53"/>
      <c r="Q286" s="45"/>
      <c r="R286" s="45"/>
      <c r="S286" s="45"/>
      <c r="T286" s="46"/>
      <c r="U286" s="120"/>
      <c r="V286" s="120"/>
      <c r="W286" s="120"/>
      <c r="X286" s="121"/>
      <c r="Y286" s="121"/>
      <c r="Z286" s="121"/>
      <c r="AA286" s="121"/>
      <c r="AB286" s="121"/>
      <c r="AC286" s="121"/>
      <c r="AD286" s="122"/>
      <c r="AE286" s="122"/>
      <c r="AF286" s="122"/>
      <c r="AG286" s="66"/>
      <c r="AH286" s="46"/>
      <c r="AI286" s="76"/>
      <c r="AJ286" s="97"/>
      <c r="AK286" s="39"/>
      <c r="AL286" s="102"/>
      <c r="AM286" s="102"/>
      <c r="AN286" s="102"/>
      <c r="AO286" s="102"/>
      <c r="AP286" s="280"/>
      <c r="AQ286" s="10">
        <f>Потребность!AD286</f>
        <v>0</v>
      </c>
      <c r="AR286" s="10">
        <f>SUM(Потребность!K286:M286)</f>
        <v>0</v>
      </c>
      <c r="AS286" s="9" t="e">
        <f>Потребность!AZ286</f>
        <v>#N/A</v>
      </c>
      <c r="AT286" s="9">
        <f>Потребность!J286</f>
        <v>0</v>
      </c>
      <c r="AU286" s="9" t="e">
        <f>Потребность!N286/Потребность!$N286</f>
        <v>#DIV/0!</v>
      </c>
      <c r="AV286" s="9" t="e">
        <f>Потребность!O286/Потребность!$N286</f>
        <v>#DIV/0!</v>
      </c>
      <c r="AW286" s="9" t="e">
        <f>Потребность!P286/Потребность!$N286</f>
        <v>#DIV/0!</v>
      </c>
      <c r="AX286" s="9" t="e">
        <f>Потребность!T286/Потребность!$T286</f>
        <v>#DIV/0!</v>
      </c>
      <c r="AY286" s="9" t="e">
        <f>Потребность!U286/Потребность!$T286</f>
        <v>#DIV/0!</v>
      </c>
      <c r="AZ286" s="9" t="e">
        <f>Потребность!V286/Потребность!$T286</f>
        <v>#DIV/0!</v>
      </c>
      <c r="BA286" s="141">
        <f>Потребность!Q286</f>
        <v>0</v>
      </c>
      <c r="BB286">
        <f>Потребность!AC286</f>
        <v>0</v>
      </c>
      <c r="BC286" s="141">
        <f>Потребность!AD286</f>
        <v>0</v>
      </c>
    </row>
    <row r="287" spans="1:55" x14ac:dyDescent="0.2">
      <c r="A287" s="85"/>
      <c r="B287" s="195"/>
      <c r="C287" s="85"/>
      <c r="D287" s="85"/>
      <c r="E287" s="195"/>
      <c r="F287" s="35"/>
      <c r="G287" s="65"/>
      <c r="H287" s="36"/>
      <c r="I287" s="37"/>
      <c r="J287" s="37"/>
      <c r="K287" s="35"/>
      <c r="L287" s="38"/>
      <c r="M287" s="128"/>
      <c r="N287" s="38"/>
      <c r="O287" s="128"/>
      <c r="P287" s="53"/>
      <c r="Q287" s="45"/>
      <c r="R287" s="45"/>
      <c r="S287" s="45"/>
      <c r="T287" s="46"/>
      <c r="U287" s="120"/>
      <c r="V287" s="120"/>
      <c r="W287" s="120"/>
      <c r="X287" s="121"/>
      <c r="Y287" s="121"/>
      <c r="Z287" s="121"/>
      <c r="AA287" s="121"/>
      <c r="AB287" s="121"/>
      <c r="AC287" s="121"/>
      <c r="AD287" s="122"/>
      <c r="AE287" s="122"/>
      <c r="AF287" s="122"/>
      <c r="AG287" s="66"/>
      <c r="AH287" s="46"/>
      <c r="AI287" s="76"/>
      <c r="AJ287" s="97"/>
      <c r="AK287" s="39"/>
      <c r="AL287" s="102"/>
      <c r="AM287" s="102"/>
      <c r="AN287" s="102"/>
      <c r="AO287" s="102"/>
      <c r="AP287" s="280"/>
      <c r="AQ287" s="10">
        <f>Потребность!AD287</f>
        <v>0</v>
      </c>
      <c r="AR287" s="10">
        <f>SUM(Потребность!K287:M287)</f>
        <v>0</v>
      </c>
      <c r="AS287" s="9" t="e">
        <f>Потребность!AZ287</f>
        <v>#N/A</v>
      </c>
      <c r="AT287" s="9">
        <f>Потребность!J287</f>
        <v>0</v>
      </c>
      <c r="AU287" s="9" t="e">
        <f>Потребность!N287/Потребность!$N287</f>
        <v>#DIV/0!</v>
      </c>
      <c r="AV287" s="9" t="e">
        <f>Потребность!O287/Потребность!$N287</f>
        <v>#DIV/0!</v>
      </c>
      <c r="AW287" s="9" t="e">
        <f>Потребность!P287/Потребность!$N287</f>
        <v>#DIV/0!</v>
      </c>
      <c r="AX287" s="9" t="e">
        <f>Потребность!T287/Потребность!$T287</f>
        <v>#DIV/0!</v>
      </c>
      <c r="AY287" s="9" t="e">
        <f>Потребность!U287/Потребность!$T287</f>
        <v>#DIV/0!</v>
      </c>
      <c r="AZ287" s="9" t="e">
        <f>Потребность!V287/Потребность!$T287</f>
        <v>#DIV/0!</v>
      </c>
      <c r="BA287" s="141">
        <f>Потребность!Q287</f>
        <v>0</v>
      </c>
      <c r="BB287">
        <f>Потребность!AC287</f>
        <v>0</v>
      </c>
      <c r="BC287" s="141">
        <f>Потребность!AD287</f>
        <v>0</v>
      </c>
    </row>
    <row r="288" spans="1:55" x14ac:dyDescent="0.2">
      <c r="A288" s="85"/>
      <c r="B288" s="195"/>
      <c r="C288" s="85"/>
      <c r="D288" s="85"/>
      <c r="E288" s="195"/>
      <c r="F288" s="35"/>
      <c r="G288" s="65"/>
      <c r="H288" s="36"/>
      <c r="I288" s="37"/>
      <c r="J288" s="37"/>
      <c r="K288" s="35"/>
      <c r="L288" s="38"/>
      <c r="M288" s="128"/>
      <c r="N288" s="38"/>
      <c r="O288" s="128"/>
      <c r="P288" s="53"/>
      <c r="Q288" s="45"/>
      <c r="R288" s="45"/>
      <c r="S288" s="45"/>
      <c r="T288" s="46"/>
      <c r="U288" s="120"/>
      <c r="V288" s="120"/>
      <c r="W288" s="120"/>
      <c r="X288" s="121"/>
      <c r="Y288" s="121"/>
      <c r="Z288" s="121"/>
      <c r="AA288" s="121"/>
      <c r="AB288" s="121"/>
      <c r="AC288" s="121"/>
      <c r="AD288" s="122"/>
      <c r="AE288" s="122"/>
      <c r="AF288" s="122"/>
      <c r="AG288" s="66"/>
      <c r="AH288" s="46"/>
      <c r="AI288" s="76"/>
      <c r="AJ288" s="97"/>
      <c r="AK288" s="39"/>
      <c r="AL288" s="102"/>
      <c r="AM288" s="102"/>
      <c r="AN288" s="102"/>
      <c r="AO288" s="102"/>
      <c r="AP288" s="280"/>
      <c r="AQ288" s="10">
        <f>Потребность!AD288</f>
        <v>0</v>
      </c>
      <c r="AR288" s="10">
        <f>SUM(Потребность!K288:M288)</f>
        <v>0</v>
      </c>
      <c r="AS288" s="9" t="e">
        <f>Потребность!AZ288</f>
        <v>#N/A</v>
      </c>
      <c r="AT288" s="9">
        <f>Потребность!J288</f>
        <v>0</v>
      </c>
      <c r="AU288" s="9" t="e">
        <f>Потребность!N288/Потребность!$N288</f>
        <v>#DIV/0!</v>
      </c>
      <c r="AV288" s="9" t="e">
        <f>Потребность!O288/Потребность!$N288</f>
        <v>#DIV/0!</v>
      </c>
      <c r="AW288" s="9" t="e">
        <f>Потребность!P288/Потребность!$N288</f>
        <v>#DIV/0!</v>
      </c>
      <c r="AX288" s="9" t="e">
        <f>Потребность!T288/Потребность!$T288</f>
        <v>#DIV/0!</v>
      </c>
      <c r="AY288" s="9" t="e">
        <f>Потребность!U288/Потребность!$T288</f>
        <v>#DIV/0!</v>
      </c>
      <c r="AZ288" s="9" t="e">
        <f>Потребность!V288/Потребность!$T288</f>
        <v>#DIV/0!</v>
      </c>
      <c r="BA288" s="141">
        <f>Потребность!Q288</f>
        <v>0</v>
      </c>
      <c r="BB288">
        <f>Потребность!AC288</f>
        <v>0</v>
      </c>
      <c r="BC288" s="141">
        <f>Потребность!AD288</f>
        <v>0</v>
      </c>
    </row>
    <row r="289" spans="1:55" x14ac:dyDescent="0.2">
      <c r="A289" s="85"/>
      <c r="B289" s="195"/>
      <c r="C289" s="85"/>
      <c r="D289" s="85"/>
      <c r="E289" s="195"/>
      <c r="F289" s="35"/>
      <c r="G289" s="65"/>
      <c r="H289" s="36"/>
      <c r="I289" s="37"/>
      <c r="J289" s="37"/>
      <c r="K289" s="35"/>
      <c r="L289" s="38"/>
      <c r="M289" s="128"/>
      <c r="N289" s="38"/>
      <c r="O289" s="128"/>
      <c r="P289" s="53"/>
      <c r="Q289" s="45"/>
      <c r="R289" s="45"/>
      <c r="S289" s="45"/>
      <c r="T289" s="46"/>
      <c r="U289" s="120"/>
      <c r="V289" s="120"/>
      <c r="W289" s="120"/>
      <c r="X289" s="121"/>
      <c r="Y289" s="121"/>
      <c r="Z289" s="121"/>
      <c r="AA289" s="121"/>
      <c r="AB289" s="121"/>
      <c r="AC289" s="121"/>
      <c r="AD289" s="122"/>
      <c r="AE289" s="122"/>
      <c r="AF289" s="122"/>
      <c r="AG289" s="66"/>
      <c r="AH289" s="46"/>
      <c r="AI289" s="76"/>
      <c r="AJ289" s="97"/>
      <c r="AK289" s="39"/>
      <c r="AL289" s="102"/>
      <c r="AM289" s="102"/>
      <c r="AN289" s="102"/>
      <c r="AO289" s="102"/>
      <c r="AP289" s="280"/>
      <c r="AQ289" s="10">
        <f>Потребность!AD289</f>
        <v>0</v>
      </c>
      <c r="AR289" s="10">
        <f>SUM(Потребность!K289:M289)</f>
        <v>0</v>
      </c>
      <c r="AS289" s="9" t="e">
        <f>Потребность!AZ289</f>
        <v>#N/A</v>
      </c>
      <c r="AT289" s="9">
        <f>Потребность!J289</f>
        <v>0</v>
      </c>
      <c r="AU289" s="9" t="e">
        <f>Потребность!N289/Потребность!$N289</f>
        <v>#DIV/0!</v>
      </c>
      <c r="AV289" s="9" t="e">
        <f>Потребность!O289/Потребность!$N289</f>
        <v>#DIV/0!</v>
      </c>
      <c r="AW289" s="9" t="e">
        <f>Потребность!P289/Потребность!$N289</f>
        <v>#DIV/0!</v>
      </c>
      <c r="AX289" s="9" t="e">
        <f>Потребность!T289/Потребность!$T289</f>
        <v>#DIV/0!</v>
      </c>
      <c r="AY289" s="9" t="e">
        <f>Потребность!U289/Потребность!$T289</f>
        <v>#DIV/0!</v>
      </c>
      <c r="AZ289" s="9" t="e">
        <f>Потребность!V289/Потребность!$T289</f>
        <v>#DIV/0!</v>
      </c>
      <c r="BA289" s="141">
        <f>Потребность!Q289</f>
        <v>0</v>
      </c>
      <c r="BB289">
        <f>Потребность!AC289</f>
        <v>0</v>
      </c>
      <c r="BC289" s="141">
        <f>Потребность!AD289</f>
        <v>0</v>
      </c>
    </row>
    <row r="290" spans="1:55" x14ac:dyDescent="0.2">
      <c r="A290" s="85"/>
      <c r="B290" s="195"/>
      <c r="C290" s="85"/>
      <c r="D290" s="85"/>
      <c r="E290" s="195"/>
      <c r="F290" s="35"/>
      <c r="G290" s="65"/>
      <c r="H290" s="36"/>
      <c r="I290" s="37"/>
      <c r="J290" s="37"/>
      <c r="K290" s="35"/>
      <c r="L290" s="38"/>
      <c r="M290" s="128"/>
      <c r="N290" s="38"/>
      <c r="O290" s="128"/>
      <c r="P290" s="53"/>
      <c r="Q290" s="45"/>
      <c r="R290" s="45"/>
      <c r="S290" s="45"/>
      <c r="T290" s="46"/>
      <c r="U290" s="120"/>
      <c r="V290" s="120"/>
      <c r="W290" s="120"/>
      <c r="X290" s="121"/>
      <c r="Y290" s="121"/>
      <c r="Z290" s="121"/>
      <c r="AA290" s="121"/>
      <c r="AB290" s="121"/>
      <c r="AC290" s="121"/>
      <c r="AD290" s="122"/>
      <c r="AE290" s="122"/>
      <c r="AF290" s="122"/>
      <c r="AG290" s="66"/>
      <c r="AH290" s="46"/>
      <c r="AI290" s="76"/>
      <c r="AJ290" s="97"/>
      <c r="AK290" s="39"/>
      <c r="AL290" s="102"/>
      <c r="AM290" s="102"/>
      <c r="AN290" s="102"/>
      <c r="AO290" s="102"/>
      <c r="AP290" s="280"/>
      <c r="AQ290" s="10">
        <f>Потребность!AD290</f>
        <v>0</v>
      </c>
      <c r="AR290" s="10">
        <f>SUM(Потребность!K290:M290)</f>
        <v>0</v>
      </c>
      <c r="AS290" s="9" t="e">
        <f>Потребность!AZ290</f>
        <v>#N/A</v>
      </c>
      <c r="AT290" s="9">
        <f>Потребность!J290</f>
        <v>0</v>
      </c>
      <c r="AU290" s="9" t="e">
        <f>Потребность!N290/Потребность!$N290</f>
        <v>#DIV/0!</v>
      </c>
      <c r="AV290" s="9" t="e">
        <f>Потребность!O290/Потребность!$N290</f>
        <v>#DIV/0!</v>
      </c>
      <c r="AW290" s="9" t="e">
        <f>Потребность!P290/Потребность!$N290</f>
        <v>#DIV/0!</v>
      </c>
      <c r="AX290" s="9" t="e">
        <f>Потребность!T290/Потребность!$T290</f>
        <v>#DIV/0!</v>
      </c>
      <c r="AY290" s="9" t="e">
        <f>Потребность!U290/Потребность!$T290</f>
        <v>#DIV/0!</v>
      </c>
      <c r="AZ290" s="9" t="e">
        <f>Потребность!V290/Потребность!$T290</f>
        <v>#DIV/0!</v>
      </c>
      <c r="BA290" s="141">
        <f>Потребность!Q290</f>
        <v>0</v>
      </c>
      <c r="BB290">
        <f>Потребность!AC290</f>
        <v>0</v>
      </c>
      <c r="BC290" s="141">
        <f>Потребность!AD290</f>
        <v>0</v>
      </c>
    </row>
    <row r="291" spans="1:55" x14ac:dyDescent="0.2">
      <c r="A291" s="85"/>
      <c r="B291" s="195"/>
      <c r="C291" s="85"/>
      <c r="D291" s="85"/>
      <c r="E291" s="195"/>
      <c r="F291" s="35"/>
      <c r="G291" s="65"/>
      <c r="H291" s="36"/>
      <c r="I291" s="37"/>
      <c r="J291" s="37"/>
      <c r="K291" s="35"/>
      <c r="L291" s="38"/>
      <c r="M291" s="128"/>
      <c r="N291" s="38"/>
      <c r="O291" s="128"/>
      <c r="P291" s="53"/>
      <c r="Q291" s="45"/>
      <c r="R291" s="45"/>
      <c r="S291" s="45"/>
      <c r="T291" s="46"/>
      <c r="U291" s="120"/>
      <c r="V291" s="120"/>
      <c r="W291" s="120"/>
      <c r="X291" s="121"/>
      <c r="Y291" s="121"/>
      <c r="Z291" s="121"/>
      <c r="AA291" s="121"/>
      <c r="AB291" s="121"/>
      <c r="AC291" s="121"/>
      <c r="AD291" s="122"/>
      <c r="AE291" s="122"/>
      <c r="AF291" s="122"/>
      <c r="AG291" s="66"/>
      <c r="AH291" s="46"/>
      <c r="AI291" s="76"/>
      <c r="AJ291" s="97"/>
      <c r="AK291" s="39"/>
      <c r="AL291" s="102"/>
      <c r="AM291" s="102"/>
      <c r="AN291" s="102"/>
      <c r="AO291" s="102"/>
      <c r="AP291" s="280"/>
      <c r="AQ291" s="10">
        <f>Потребность!AD291</f>
        <v>0</v>
      </c>
      <c r="AR291" s="10">
        <f>SUM(Потребность!K291:M291)</f>
        <v>0</v>
      </c>
      <c r="AS291" s="9" t="e">
        <f>Потребность!AZ291</f>
        <v>#N/A</v>
      </c>
      <c r="AT291" s="9">
        <f>Потребность!J291</f>
        <v>0</v>
      </c>
      <c r="AU291" s="9" t="e">
        <f>Потребность!N291/Потребность!$N291</f>
        <v>#DIV/0!</v>
      </c>
      <c r="AV291" s="9" t="e">
        <f>Потребность!O291/Потребность!$N291</f>
        <v>#DIV/0!</v>
      </c>
      <c r="AW291" s="9" t="e">
        <f>Потребность!P291/Потребность!$N291</f>
        <v>#DIV/0!</v>
      </c>
      <c r="AX291" s="9" t="e">
        <f>Потребность!T291/Потребность!$T291</f>
        <v>#DIV/0!</v>
      </c>
      <c r="AY291" s="9" t="e">
        <f>Потребность!U291/Потребность!$T291</f>
        <v>#DIV/0!</v>
      </c>
      <c r="AZ291" s="9" t="e">
        <f>Потребность!V291/Потребность!$T291</f>
        <v>#DIV/0!</v>
      </c>
      <c r="BA291" s="141">
        <f>Потребность!Q291</f>
        <v>0</v>
      </c>
      <c r="BB291">
        <f>Потребность!AC291</f>
        <v>0</v>
      </c>
      <c r="BC291" s="141">
        <f>Потребность!AD291</f>
        <v>0</v>
      </c>
    </row>
    <row r="292" spans="1:55" x14ac:dyDescent="0.2">
      <c r="A292" s="85"/>
      <c r="B292" s="195"/>
      <c r="C292" s="85"/>
      <c r="D292" s="85"/>
      <c r="E292" s="195"/>
      <c r="F292" s="35"/>
      <c r="G292" s="65"/>
      <c r="H292" s="36"/>
      <c r="I292" s="37"/>
      <c r="J292" s="37"/>
      <c r="K292" s="35"/>
      <c r="L292" s="38"/>
      <c r="M292" s="128"/>
      <c r="N292" s="38"/>
      <c r="O292" s="128"/>
      <c r="P292" s="53"/>
      <c r="Q292" s="45"/>
      <c r="R292" s="45"/>
      <c r="S292" s="45"/>
      <c r="T292" s="46"/>
      <c r="U292" s="120"/>
      <c r="V292" s="120"/>
      <c r="W292" s="120"/>
      <c r="X292" s="121"/>
      <c r="Y292" s="121"/>
      <c r="Z292" s="121"/>
      <c r="AA292" s="121"/>
      <c r="AB292" s="121"/>
      <c r="AC292" s="121"/>
      <c r="AD292" s="122"/>
      <c r="AE292" s="122"/>
      <c r="AF292" s="122"/>
      <c r="AG292" s="66"/>
      <c r="AH292" s="46"/>
      <c r="AI292" s="76"/>
      <c r="AJ292" s="97"/>
      <c r="AK292" s="39"/>
      <c r="AL292" s="102"/>
      <c r="AM292" s="102"/>
      <c r="AN292" s="102"/>
      <c r="AO292" s="102"/>
      <c r="AP292" s="280"/>
      <c r="AQ292" s="10">
        <f>Потребность!AD292</f>
        <v>0</v>
      </c>
      <c r="AR292" s="10">
        <f>SUM(Потребность!K292:M292)</f>
        <v>0</v>
      </c>
      <c r="AS292" s="9" t="e">
        <f>Потребность!AZ292</f>
        <v>#N/A</v>
      </c>
      <c r="AT292" s="9">
        <f>Потребность!J292</f>
        <v>0</v>
      </c>
      <c r="AU292" s="9" t="e">
        <f>Потребность!N292/Потребность!$N292</f>
        <v>#DIV/0!</v>
      </c>
      <c r="AV292" s="9" t="e">
        <f>Потребность!O292/Потребность!$N292</f>
        <v>#DIV/0!</v>
      </c>
      <c r="AW292" s="9" t="e">
        <f>Потребность!P292/Потребность!$N292</f>
        <v>#DIV/0!</v>
      </c>
      <c r="AX292" s="9" t="e">
        <f>Потребность!T292/Потребность!$T292</f>
        <v>#DIV/0!</v>
      </c>
      <c r="AY292" s="9" t="e">
        <f>Потребность!U292/Потребность!$T292</f>
        <v>#DIV/0!</v>
      </c>
      <c r="AZ292" s="9" t="e">
        <f>Потребность!V292/Потребность!$T292</f>
        <v>#DIV/0!</v>
      </c>
      <c r="BA292" s="141">
        <f>Потребность!Q292</f>
        <v>0</v>
      </c>
      <c r="BB292">
        <f>Потребность!AC292</f>
        <v>0</v>
      </c>
      <c r="BC292" s="141">
        <f>Потребность!AD292</f>
        <v>0</v>
      </c>
    </row>
    <row r="293" spans="1:55" x14ac:dyDescent="0.2">
      <c r="A293" s="85"/>
      <c r="B293" s="195"/>
      <c r="C293" s="85"/>
      <c r="D293" s="85"/>
      <c r="E293" s="195"/>
      <c r="F293" s="35"/>
      <c r="G293" s="65"/>
      <c r="H293" s="36"/>
      <c r="I293" s="37"/>
      <c r="J293" s="37"/>
      <c r="K293" s="35"/>
      <c r="L293" s="38"/>
      <c r="M293" s="128"/>
      <c r="N293" s="38"/>
      <c r="O293" s="128"/>
      <c r="P293" s="53"/>
      <c r="Q293" s="45"/>
      <c r="R293" s="45"/>
      <c r="S293" s="45"/>
      <c r="T293" s="46"/>
      <c r="U293" s="120"/>
      <c r="V293" s="120"/>
      <c r="W293" s="120"/>
      <c r="X293" s="121"/>
      <c r="Y293" s="121"/>
      <c r="Z293" s="121"/>
      <c r="AA293" s="121"/>
      <c r="AB293" s="121"/>
      <c r="AC293" s="121"/>
      <c r="AD293" s="122"/>
      <c r="AE293" s="122"/>
      <c r="AF293" s="122"/>
      <c r="AG293" s="66"/>
      <c r="AH293" s="46"/>
      <c r="AI293" s="76"/>
      <c r="AJ293" s="97"/>
      <c r="AK293" s="39"/>
      <c r="AL293" s="102"/>
      <c r="AM293" s="102"/>
      <c r="AN293" s="102"/>
      <c r="AO293" s="102"/>
      <c r="AP293" s="280"/>
      <c r="AQ293" s="10">
        <f>Потребность!AD293</f>
        <v>0</v>
      </c>
      <c r="AR293" s="10">
        <f>SUM(Потребность!K293:M293)</f>
        <v>0</v>
      </c>
      <c r="AS293" s="9" t="e">
        <f>Потребность!AZ293</f>
        <v>#N/A</v>
      </c>
      <c r="AT293" s="9">
        <f>Потребность!J293</f>
        <v>0</v>
      </c>
      <c r="AU293" s="9" t="e">
        <f>Потребность!N293/Потребность!$N293</f>
        <v>#DIV/0!</v>
      </c>
      <c r="AV293" s="9" t="e">
        <f>Потребность!O293/Потребность!$N293</f>
        <v>#DIV/0!</v>
      </c>
      <c r="AW293" s="9" t="e">
        <f>Потребность!P293/Потребность!$N293</f>
        <v>#DIV/0!</v>
      </c>
      <c r="AX293" s="9" t="e">
        <f>Потребность!T293/Потребность!$T293</f>
        <v>#DIV/0!</v>
      </c>
      <c r="AY293" s="9" t="e">
        <f>Потребность!U293/Потребность!$T293</f>
        <v>#DIV/0!</v>
      </c>
      <c r="AZ293" s="9" t="e">
        <f>Потребность!V293/Потребность!$T293</f>
        <v>#DIV/0!</v>
      </c>
      <c r="BA293" s="141">
        <f>Потребность!Q293</f>
        <v>0</v>
      </c>
      <c r="BB293">
        <f>Потребность!AC293</f>
        <v>0</v>
      </c>
      <c r="BC293" s="141">
        <f>Потребность!AD293</f>
        <v>0</v>
      </c>
    </row>
    <row r="294" spans="1:55" x14ac:dyDescent="0.2">
      <c r="A294" s="85"/>
      <c r="B294" s="195"/>
      <c r="C294" s="85"/>
      <c r="D294" s="85"/>
      <c r="E294" s="195"/>
      <c r="F294" s="35"/>
      <c r="G294" s="65"/>
      <c r="H294" s="36"/>
      <c r="I294" s="37"/>
      <c r="J294" s="37"/>
      <c r="K294" s="35"/>
      <c r="L294" s="38"/>
      <c r="M294" s="128"/>
      <c r="N294" s="38"/>
      <c r="O294" s="128"/>
      <c r="P294" s="53"/>
      <c r="Q294" s="45"/>
      <c r="R294" s="45"/>
      <c r="S294" s="45"/>
      <c r="T294" s="46"/>
      <c r="U294" s="120"/>
      <c r="V294" s="120"/>
      <c r="W294" s="120"/>
      <c r="X294" s="121"/>
      <c r="Y294" s="121"/>
      <c r="Z294" s="121"/>
      <c r="AA294" s="121"/>
      <c r="AB294" s="121"/>
      <c r="AC294" s="121"/>
      <c r="AD294" s="122"/>
      <c r="AE294" s="122"/>
      <c r="AF294" s="122"/>
      <c r="AG294" s="66"/>
      <c r="AH294" s="46"/>
      <c r="AI294" s="76"/>
      <c r="AJ294" s="97"/>
      <c r="AK294" s="39"/>
      <c r="AL294" s="102"/>
      <c r="AM294" s="102"/>
      <c r="AN294" s="102"/>
      <c r="AO294" s="102"/>
      <c r="AP294" s="280"/>
      <c r="AQ294" s="10">
        <f>Потребность!AD294</f>
        <v>0</v>
      </c>
      <c r="AR294" s="10">
        <f>SUM(Потребность!K294:M294)</f>
        <v>0</v>
      </c>
      <c r="AS294" s="9" t="e">
        <f>Потребность!AZ294</f>
        <v>#N/A</v>
      </c>
      <c r="AT294" s="9">
        <f>Потребность!J294</f>
        <v>0</v>
      </c>
      <c r="AU294" s="9" t="e">
        <f>Потребность!N294/Потребность!$N294</f>
        <v>#DIV/0!</v>
      </c>
      <c r="AV294" s="9" t="e">
        <f>Потребность!O294/Потребность!$N294</f>
        <v>#DIV/0!</v>
      </c>
      <c r="AW294" s="9" t="e">
        <f>Потребность!P294/Потребность!$N294</f>
        <v>#DIV/0!</v>
      </c>
      <c r="AX294" s="9" t="e">
        <f>Потребность!T294/Потребность!$T294</f>
        <v>#DIV/0!</v>
      </c>
      <c r="AY294" s="9" t="e">
        <f>Потребность!U294/Потребность!$T294</f>
        <v>#DIV/0!</v>
      </c>
      <c r="AZ294" s="9" t="e">
        <f>Потребность!V294/Потребность!$T294</f>
        <v>#DIV/0!</v>
      </c>
      <c r="BA294" s="141">
        <f>Потребность!Q294</f>
        <v>0</v>
      </c>
      <c r="BB294">
        <f>Потребность!AC294</f>
        <v>0</v>
      </c>
      <c r="BC294" s="141">
        <f>Потребность!AD294</f>
        <v>0</v>
      </c>
    </row>
    <row r="295" spans="1:55" x14ac:dyDescent="0.2">
      <c r="A295" s="85"/>
      <c r="B295" s="195"/>
      <c r="C295" s="85"/>
      <c r="D295" s="85"/>
      <c r="E295" s="195"/>
      <c r="F295" s="35"/>
      <c r="G295" s="65"/>
      <c r="H295" s="36"/>
      <c r="I295" s="37"/>
      <c r="J295" s="37"/>
      <c r="K295" s="35"/>
      <c r="L295" s="38"/>
      <c r="M295" s="128"/>
      <c r="N295" s="38"/>
      <c r="O295" s="128"/>
      <c r="P295" s="53"/>
      <c r="Q295" s="45"/>
      <c r="R295" s="45"/>
      <c r="S295" s="45"/>
      <c r="T295" s="46"/>
      <c r="U295" s="120"/>
      <c r="V295" s="120"/>
      <c r="W295" s="120"/>
      <c r="X295" s="121"/>
      <c r="Y295" s="121"/>
      <c r="Z295" s="121"/>
      <c r="AA295" s="121"/>
      <c r="AB295" s="121"/>
      <c r="AC295" s="121"/>
      <c r="AD295" s="122"/>
      <c r="AE295" s="122"/>
      <c r="AF295" s="122"/>
      <c r="AG295" s="66"/>
      <c r="AH295" s="46"/>
      <c r="AI295" s="76"/>
      <c r="AJ295" s="97"/>
      <c r="AK295" s="39"/>
      <c r="AL295" s="102"/>
      <c r="AM295" s="102"/>
      <c r="AN295" s="102"/>
      <c r="AO295" s="102"/>
      <c r="AP295" s="280"/>
      <c r="AQ295" s="10">
        <f>Потребность!AD295</f>
        <v>0</v>
      </c>
      <c r="AR295" s="10">
        <f>SUM(Потребность!K295:M295)</f>
        <v>0</v>
      </c>
      <c r="AS295" s="9" t="e">
        <f>Потребность!AZ295</f>
        <v>#N/A</v>
      </c>
      <c r="AT295" s="9">
        <f>Потребность!J295</f>
        <v>0</v>
      </c>
      <c r="AU295" s="9" t="e">
        <f>Потребность!N295/Потребность!$N295</f>
        <v>#DIV/0!</v>
      </c>
      <c r="AV295" s="9" t="e">
        <f>Потребность!O295/Потребность!$N295</f>
        <v>#DIV/0!</v>
      </c>
      <c r="AW295" s="9" t="e">
        <f>Потребность!P295/Потребность!$N295</f>
        <v>#DIV/0!</v>
      </c>
      <c r="AX295" s="9" t="e">
        <f>Потребность!T295/Потребность!$T295</f>
        <v>#DIV/0!</v>
      </c>
      <c r="AY295" s="9" t="e">
        <f>Потребность!U295/Потребность!$T295</f>
        <v>#DIV/0!</v>
      </c>
      <c r="AZ295" s="9" t="e">
        <f>Потребность!V295/Потребность!$T295</f>
        <v>#DIV/0!</v>
      </c>
      <c r="BA295" s="141">
        <f>Потребность!Q295</f>
        <v>0</v>
      </c>
      <c r="BB295">
        <f>Потребность!AC295</f>
        <v>0</v>
      </c>
      <c r="BC295" s="141">
        <f>Потребность!AD295</f>
        <v>0</v>
      </c>
    </row>
    <row r="296" spans="1:55" x14ac:dyDescent="0.2">
      <c r="A296" s="85"/>
      <c r="B296" s="195"/>
      <c r="C296" s="85"/>
      <c r="D296" s="85"/>
      <c r="E296" s="195"/>
      <c r="F296" s="35"/>
      <c r="G296" s="65"/>
      <c r="H296" s="36"/>
      <c r="I296" s="37"/>
      <c r="J296" s="37"/>
      <c r="K296" s="35"/>
      <c r="L296" s="38"/>
      <c r="M296" s="128"/>
      <c r="N296" s="38"/>
      <c r="O296" s="128"/>
      <c r="P296" s="53"/>
      <c r="Q296" s="45"/>
      <c r="R296" s="45"/>
      <c r="S296" s="45"/>
      <c r="T296" s="46"/>
      <c r="U296" s="120"/>
      <c r="V296" s="120"/>
      <c r="W296" s="120"/>
      <c r="X296" s="121"/>
      <c r="Y296" s="121"/>
      <c r="Z296" s="121"/>
      <c r="AA296" s="121"/>
      <c r="AB296" s="121"/>
      <c r="AC296" s="121"/>
      <c r="AD296" s="122"/>
      <c r="AE296" s="122"/>
      <c r="AF296" s="122"/>
      <c r="AG296" s="66"/>
      <c r="AH296" s="46"/>
      <c r="AI296" s="76"/>
      <c r="AJ296" s="97"/>
      <c r="AK296" s="39"/>
      <c r="AL296" s="102"/>
      <c r="AM296" s="102"/>
      <c r="AN296" s="102"/>
      <c r="AO296" s="102"/>
      <c r="AP296" s="280"/>
      <c r="AQ296" s="10">
        <f>Потребность!AD296</f>
        <v>0</v>
      </c>
      <c r="AR296" s="10">
        <f>SUM(Потребность!K296:M296)</f>
        <v>0</v>
      </c>
      <c r="AS296" s="9" t="e">
        <f>Потребность!AZ296</f>
        <v>#N/A</v>
      </c>
      <c r="AT296" s="9">
        <f>Потребность!J296</f>
        <v>0</v>
      </c>
      <c r="AU296" s="9" t="e">
        <f>Потребность!N296/Потребность!$N296</f>
        <v>#DIV/0!</v>
      </c>
      <c r="AV296" s="9" t="e">
        <f>Потребность!O296/Потребность!$N296</f>
        <v>#DIV/0!</v>
      </c>
      <c r="AW296" s="9" t="e">
        <f>Потребность!P296/Потребность!$N296</f>
        <v>#DIV/0!</v>
      </c>
      <c r="AX296" s="9" t="e">
        <f>Потребность!T296/Потребность!$T296</f>
        <v>#DIV/0!</v>
      </c>
      <c r="AY296" s="9" t="e">
        <f>Потребность!U296/Потребность!$T296</f>
        <v>#DIV/0!</v>
      </c>
      <c r="AZ296" s="9" t="e">
        <f>Потребность!V296/Потребность!$T296</f>
        <v>#DIV/0!</v>
      </c>
      <c r="BA296" s="141">
        <f>Потребность!Q296</f>
        <v>0</v>
      </c>
      <c r="BB296">
        <f>Потребность!AC296</f>
        <v>0</v>
      </c>
      <c r="BC296" s="141">
        <f>Потребность!AD296</f>
        <v>0</v>
      </c>
    </row>
    <row r="297" spans="1:55" x14ac:dyDescent="0.2">
      <c r="A297" s="85"/>
      <c r="B297" s="195"/>
      <c r="C297" s="85"/>
      <c r="D297" s="85"/>
      <c r="E297" s="195"/>
      <c r="F297" s="35"/>
      <c r="G297" s="65"/>
      <c r="H297" s="36"/>
      <c r="I297" s="37"/>
      <c r="J297" s="37"/>
      <c r="K297" s="35"/>
      <c r="L297" s="38"/>
      <c r="M297" s="128"/>
      <c r="N297" s="38"/>
      <c r="O297" s="128"/>
      <c r="P297" s="53"/>
      <c r="Q297" s="45"/>
      <c r="R297" s="45"/>
      <c r="S297" s="45"/>
      <c r="T297" s="46"/>
      <c r="U297" s="120"/>
      <c r="V297" s="120"/>
      <c r="W297" s="120"/>
      <c r="X297" s="121"/>
      <c r="Y297" s="121"/>
      <c r="Z297" s="121"/>
      <c r="AA297" s="121"/>
      <c r="AB297" s="121"/>
      <c r="AC297" s="121"/>
      <c r="AD297" s="122"/>
      <c r="AE297" s="122"/>
      <c r="AF297" s="122"/>
      <c r="AG297" s="66"/>
      <c r="AH297" s="46"/>
      <c r="AI297" s="76"/>
      <c r="AJ297" s="97"/>
      <c r="AK297" s="39"/>
      <c r="AL297" s="102"/>
      <c r="AM297" s="102"/>
      <c r="AN297" s="102"/>
      <c r="AO297" s="102"/>
      <c r="AP297" s="280"/>
      <c r="AQ297" s="10">
        <f>Потребность!AD297</f>
        <v>0</v>
      </c>
      <c r="AR297" s="10">
        <f>SUM(Потребность!K297:M297)</f>
        <v>0</v>
      </c>
      <c r="AS297" s="9" t="e">
        <f>Потребность!AZ297</f>
        <v>#N/A</v>
      </c>
      <c r="AT297" s="9">
        <f>Потребность!J297</f>
        <v>0</v>
      </c>
      <c r="AU297" s="9" t="e">
        <f>Потребность!N297/Потребность!$N297</f>
        <v>#DIV/0!</v>
      </c>
      <c r="AV297" s="9" t="e">
        <f>Потребность!O297/Потребность!$N297</f>
        <v>#DIV/0!</v>
      </c>
      <c r="AW297" s="9" t="e">
        <f>Потребность!P297/Потребность!$N297</f>
        <v>#DIV/0!</v>
      </c>
      <c r="AX297" s="9" t="e">
        <f>Потребность!T297/Потребность!$T297</f>
        <v>#DIV/0!</v>
      </c>
      <c r="AY297" s="9" t="e">
        <f>Потребность!U297/Потребность!$T297</f>
        <v>#DIV/0!</v>
      </c>
      <c r="AZ297" s="9" t="e">
        <f>Потребность!V297/Потребность!$T297</f>
        <v>#DIV/0!</v>
      </c>
      <c r="BA297" s="141">
        <f>Потребность!Q297</f>
        <v>0</v>
      </c>
      <c r="BB297">
        <f>Потребность!AC297</f>
        <v>0</v>
      </c>
      <c r="BC297" s="141">
        <f>Потребность!AD297</f>
        <v>0</v>
      </c>
    </row>
    <row r="298" spans="1:55" x14ac:dyDescent="0.2">
      <c r="A298" s="85"/>
      <c r="B298" s="195"/>
      <c r="C298" s="85"/>
      <c r="D298" s="85"/>
      <c r="E298" s="195"/>
      <c r="F298" s="35"/>
      <c r="G298" s="65"/>
      <c r="H298" s="36"/>
      <c r="I298" s="37"/>
      <c r="J298" s="37"/>
      <c r="K298" s="35"/>
      <c r="L298" s="38"/>
      <c r="M298" s="128"/>
      <c r="N298" s="38"/>
      <c r="O298" s="128"/>
      <c r="P298" s="53"/>
      <c r="Q298" s="45"/>
      <c r="R298" s="45"/>
      <c r="S298" s="45"/>
      <c r="T298" s="46"/>
      <c r="U298" s="120"/>
      <c r="V298" s="120"/>
      <c r="W298" s="120"/>
      <c r="X298" s="121"/>
      <c r="Y298" s="121"/>
      <c r="Z298" s="121"/>
      <c r="AA298" s="121"/>
      <c r="AB298" s="121"/>
      <c r="AC298" s="121"/>
      <c r="AD298" s="122"/>
      <c r="AE298" s="122"/>
      <c r="AF298" s="122"/>
      <c r="AG298" s="66"/>
      <c r="AH298" s="46"/>
      <c r="AI298" s="76"/>
      <c r="AJ298" s="97"/>
      <c r="AK298" s="39"/>
      <c r="AL298" s="102"/>
      <c r="AM298" s="102"/>
      <c r="AN298" s="102"/>
      <c r="AO298" s="102"/>
      <c r="AP298" s="280"/>
      <c r="AQ298" s="10">
        <f>Потребность!AD298</f>
        <v>0</v>
      </c>
      <c r="AR298" s="10">
        <f>SUM(Потребность!K298:M298)</f>
        <v>0</v>
      </c>
      <c r="AS298" s="9" t="e">
        <f>Потребность!AZ298</f>
        <v>#N/A</v>
      </c>
      <c r="AT298" s="9">
        <f>Потребность!J298</f>
        <v>0</v>
      </c>
      <c r="AU298" s="9" t="e">
        <f>Потребность!N298/Потребность!$N298</f>
        <v>#DIV/0!</v>
      </c>
      <c r="AV298" s="9" t="e">
        <f>Потребность!O298/Потребность!$N298</f>
        <v>#DIV/0!</v>
      </c>
      <c r="AW298" s="9" t="e">
        <f>Потребность!P298/Потребность!$N298</f>
        <v>#DIV/0!</v>
      </c>
      <c r="AX298" s="9" t="e">
        <f>Потребность!T298/Потребность!$T298</f>
        <v>#DIV/0!</v>
      </c>
      <c r="AY298" s="9" t="e">
        <f>Потребность!U298/Потребность!$T298</f>
        <v>#DIV/0!</v>
      </c>
      <c r="AZ298" s="9" t="e">
        <f>Потребность!V298/Потребность!$T298</f>
        <v>#DIV/0!</v>
      </c>
      <c r="BA298" s="141">
        <f>Потребность!Q298</f>
        <v>0</v>
      </c>
      <c r="BB298">
        <f>Потребность!AC298</f>
        <v>0</v>
      </c>
      <c r="BC298" s="141">
        <f>Потребность!AD298</f>
        <v>0</v>
      </c>
    </row>
    <row r="299" spans="1:55" x14ac:dyDescent="0.2">
      <c r="A299" s="85"/>
      <c r="B299" s="195"/>
      <c r="C299" s="85"/>
      <c r="D299" s="85"/>
      <c r="E299" s="195"/>
      <c r="F299" s="35"/>
      <c r="G299" s="65"/>
      <c r="H299" s="36"/>
      <c r="I299" s="37"/>
      <c r="J299" s="37"/>
      <c r="K299" s="35"/>
      <c r="L299" s="38"/>
      <c r="M299" s="128"/>
      <c r="N299" s="38"/>
      <c r="O299" s="128"/>
      <c r="P299" s="53"/>
      <c r="Q299" s="45"/>
      <c r="R299" s="45"/>
      <c r="S299" s="45"/>
      <c r="T299" s="46"/>
      <c r="U299" s="120"/>
      <c r="V299" s="120"/>
      <c r="W299" s="120"/>
      <c r="X299" s="121"/>
      <c r="Y299" s="121"/>
      <c r="Z299" s="121"/>
      <c r="AA299" s="121"/>
      <c r="AB299" s="121"/>
      <c r="AC299" s="121"/>
      <c r="AD299" s="122"/>
      <c r="AE299" s="122"/>
      <c r="AF299" s="122"/>
      <c r="AG299" s="66"/>
      <c r="AH299" s="46"/>
      <c r="AI299" s="76"/>
      <c r="AJ299" s="97"/>
      <c r="AK299" s="39"/>
      <c r="AL299" s="102"/>
      <c r="AM299" s="102"/>
      <c r="AN299" s="102"/>
      <c r="AO299" s="102"/>
      <c r="AP299" s="280"/>
      <c r="AQ299" s="10">
        <f>Потребность!AD299</f>
        <v>0</v>
      </c>
      <c r="AR299" s="10">
        <f>SUM(Потребность!K299:M299)</f>
        <v>0</v>
      </c>
      <c r="AS299" s="9" t="e">
        <f>Потребность!AZ299</f>
        <v>#N/A</v>
      </c>
      <c r="AT299" s="9">
        <f>Потребность!J299</f>
        <v>0</v>
      </c>
      <c r="AU299" s="9" t="e">
        <f>Потребность!N299/Потребность!$N299</f>
        <v>#DIV/0!</v>
      </c>
      <c r="AV299" s="9" t="e">
        <f>Потребность!O299/Потребность!$N299</f>
        <v>#DIV/0!</v>
      </c>
      <c r="AW299" s="9" t="e">
        <f>Потребность!P299/Потребность!$N299</f>
        <v>#DIV/0!</v>
      </c>
      <c r="AX299" s="9" t="e">
        <f>Потребность!T299/Потребность!$T299</f>
        <v>#DIV/0!</v>
      </c>
      <c r="AY299" s="9" t="e">
        <f>Потребность!U299/Потребность!$T299</f>
        <v>#DIV/0!</v>
      </c>
      <c r="AZ299" s="9" t="e">
        <f>Потребность!V299/Потребность!$T299</f>
        <v>#DIV/0!</v>
      </c>
      <c r="BA299" s="141">
        <f>Потребность!Q299</f>
        <v>0</v>
      </c>
      <c r="BB299">
        <f>Потребность!AC299</f>
        <v>0</v>
      </c>
      <c r="BC299" s="141">
        <f>Потребность!AD299</f>
        <v>0</v>
      </c>
    </row>
    <row r="300" spans="1:55" x14ac:dyDescent="0.2">
      <c r="A300" s="85"/>
      <c r="B300" s="195"/>
      <c r="C300" s="85"/>
      <c r="D300" s="85"/>
      <c r="E300" s="195"/>
      <c r="F300" s="35"/>
      <c r="G300" s="65"/>
      <c r="H300" s="36"/>
      <c r="I300" s="37"/>
      <c r="J300" s="37"/>
      <c r="K300" s="35"/>
      <c r="L300" s="38"/>
      <c r="M300" s="128"/>
      <c r="N300" s="38"/>
      <c r="O300" s="128"/>
      <c r="P300" s="53"/>
      <c r="Q300" s="45"/>
      <c r="R300" s="45"/>
      <c r="S300" s="45"/>
      <c r="T300" s="46"/>
      <c r="U300" s="120"/>
      <c r="V300" s="120"/>
      <c r="W300" s="120"/>
      <c r="X300" s="121"/>
      <c r="Y300" s="121"/>
      <c r="Z300" s="121"/>
      <c r="AA300" s="121"/>
      <c r="AB300" s="121"/>
      <c r="AC300" s="121"/>
      <c r="AD300" s="122"/>
      <c r="AE300" s="122"/>
      <c r="AF300" s="122"/>
      <c r="AG300" s="66"/>
      <c r="AH300" s="46"/>
      <c r="AI300" s="76"/>
      <c r="AJ300" s="97"/>
      <c r="AK300" s="39"/>
      <c r="AL300" s="102"/>
      <c r="AM300" s="102"/>
      <c r="AN300" s="102"/>
      <c r="AO300" s="102"/>
      <c r="AP300" s="280"/>
      <c r="AQ300" s="10">
        <f>Потребность!AD300</f>
        <v>0</v>
      </c>
      <c r="AR300" s="10">
        <f>SUM(Потребность!K300:M300)</f>
        <v>0</v>
      </c>
      <c r="AS300" s="9" t="e">
        <f>Потребность!AZ300</f>
        <v>#N/A</v>
      </c>
      <c r="AT300" s="9">
        <f>Потребность!J300</f>
        <v>0</v>
      </c>
      <c r="AU300" s="9" t="e">
        <f>Потребность!N300/Потребность!$N300</f>
        <v>#DIV/0!</v>
      </c>
      <c r="AV300" s="9" t="e">
        <f>Потребность!O300/Потребность!$N300</f>
        <v>#DIV/0!</v>
      </c>
      <c r="AW300" s="9" t="e">
        <f>Потребность!P300/Потребность!$N300</f>
        <v>#DIV/0!</v>
      </c>
      <c r="AX300" s="9" t="e">
        <f>Потребность!T300/Потребность!$T300</f>
        <v>#DIV/0!</v>
      </c>
      <c r="AY300" s="9" t="e">
        <f>Потребность!U300/Потребность!$T300</f>
        <v>#DIV/0!</v>
      </c>
      <c r="AZ300" s="9" t="e">
        <f>Потребность!V300/Потребность!$T300</f>
        <v>#DIV/0!</v>
      </c>
      <c r="BA300" s="141">
        <f>Потребность!Q300</f>
        <v>0</v>
      </c>
      <c r="BB300">
        <f>Потребность!AC300</f>
        <v>0</v>
      </c>
      <c r="BC300" s="141">
        <f>Потребность!AD300</f>
        <v>0</v>
      </c>
    </row>
    <row r="301" spans="1:55" x14ac:dyDescent="0.2">
      <c r="A301" s="85"/>
      <c r="B301" s="195"/>
      <c r="C301" s="85"/>
      <c r="D301" s="85"/>
      <c r="E301" s="195"/>
      <c r="F301" s="35"/>
      <c r="G301" s="65"/>
      <c r="H301" s="36"/>
      <c r="I301" s="37"/>
      <c r="J301" s="37"/>
      <c r="K301" s="35"/>
      <c r="L301" s="38"/>
      <c r="M301" s="128"/>
      <c r="N301" s="38"/>
      <c r="O301" s="128"/>
      <c r="P301" s="53"/>
      <c r="Q301" s="45"/>
      <c r="R301" s="45"/>
      <c r="S301" s="45"/>
      <c r="T301" s="46"/>
      <c r="U301" s="120"/>
      <c r="V301" s="120"/>
      <c r="W301" s="120"/>
      <c r="X301" s="121"/>
      <c r="Y301" s="121"/>
      <c r="Z301" s="121"/>
      <c r="AA301" s="121"/>
      <c r="AB301" s="121"/>
      <c r="AC301" s="121"/>
      <c r="AD301" s="122"/>
      <c r="AE301" s="122"/>
      <c r="AF301" s="122"/>
      <c r="AG301" s="66"/>
      <c r="AH301" s="46"/>
      <c r="AI301" s="76"/>
      <c r="AJ301" s="97"/>
      <c r="AK301" s="39"/>
      <c r="AL301" s="102"/>
      <c r="AM301" s="102"/>
      <c r="AN301" s="102"/>
      <c r="AO301" s="102"/>
      <c r="AP301" s="280"/>
      <c r="AQ301" s="10">
        <f>Потребность!AD301</f>
        <v>0</v>
      </c>
      <c r="AR301" s="10">
        <f>SUM(Потребность!K301:M301)</f>
        <v>0</v>
      </c>
      <c r="AS301" s="9" t="e">
        <f>Потребность!AZ301</f>
        <v>#N/A</v>
      </c>
      <c r="AT301" s="9">
        <f>Потребность!J301</f>
        <v>0</v>
      </c>
      <c r="AU301" s="9" t="e">
        <f>Потребность!N301/Потребность!$N301</f>
        <v>#DIV/0!</v>
      </c>
      <c r="AV301" s="9" t="e">
        <f>Потребность!O301/Потребность!$N301</f>
        <v>#DIV/0!</v>
      </c>
      <c r="AW301" s="9" t="e">
        <f>Потребность!P301/Потребность!$N301</f>
        <v>#DIV/0!</v>
      </c>
      <c r="AX301" s="9" t="e">
        <f>Потребность!T301/Потребность!$T301</f>
        <v>#DIV/0!</v>
      </c>
      <c r="AY301" s="9" t="e">
        <f>Потребность!U301/Потребность!$T301</f>
        <v>#DIV/0!</v>
      </c>
      <c r="AZ301" s="9" t="e">
        <f>Потребность!V301/Потребность!$T301</f>
        <v>#DIV/0!</v>
      </c>
      <c r="BA301" s="141">
        <f>Потребность!Q301</f>
        <v>0</v>
      </c>
      <c r="BB301">
        <f>Потребность!AC301</f>
        <v>0</v>
      </c>
      <c r="BC301" s="141">
        <f>Потребность!AD301</f>
        <v>0</v>
      </c>
    </row>
    <row r="302" spans="1:55" x14ac:dyDescent="0.2">
      <c r="A302" s="85"/>
      <c r="B302" s="195"/>
      <c r="C302" s="85"/>
      <c r="D302" s="85"/>
      <c r="E302" s="195"/>
      <c r="F302" s="35"/>
      <c r="G302" s="65"/>
      <c r="H302" s="36"/>
      <c r="I302" s="37"/>
      <c r="J302" s="37"/>
      <c r="K302" s="35"/>
      <c r="L302" s="38"/>
      <c r="M302" s="128"/>
      <c r="N302" s="38"/>
      <c r="O302" s="128"/>
      <c r="P302" s="53"/>
      <c r="Q302" s="45"/>
      <c r="R302" s="45"/>
      <c r="S302" s="45"/>
      <c r="T302" s="46"/>
      <c r="U302" s="120"/>
      <c r="V302" s="120"/>
      <c r="W302" s="120"/>
      <c r="X302" s="121"/>
      <c r="Y302" s="121"/>
      <c r="Z302" s="121"/>
      <c r="AA302" s="121"/>
      <c r="AB302" s="121"/>
      <c r="AC302" s="121"/>
      <c r="AD302" s="122"/>
      <c r="AE302" s="122"/>
      <c r="AF302" s="122"/>
      <c r="AG302" s="66"/>
      <c r="AH302" s="46"/>
      <c r="AI302" s="76"/>
      <c r="AJ302" s="97"/>
      <c r="AK302" s="39"/>
      <c r="AL302" s="102"/>
      <c r="AM302" s="102"/>
      <c r="AN302" s="102"/>
      <c r="AO302" s="102"/>
      <c r="AP302" s="280"/>
      <c r="AQ302" s="10">
        <f>Потребность!AD302</f>
        <v>0</v>
      </c>
      <c r="AR302" s="10">
        <f>SUM(Потребность!K302:M302)</f>
        <v>0</v>
      </c>
      <c r="AS302" s="9" t="e">
        <f>Потребность!AZ302</f>
        <v>#N/A</v>
      </c>
      <c r="AT302" s="9">
        <f>Потребность!J302</f>
        <v>0</v>
      </c>
      <c r="AU302" s="9" t="e">
        <f>Потребность!N302/Потребность!$N302</f>
        <v>#DIV/0!</v>
      </c>
      <c r="AV302" s="9" t="e">
        <f>Потребность!O302/Потребность!$N302</f>
        <v>#DIV/0!</v>
      </c>
      <c r="AW302" s="9" t="e">
        <f>Потребность!P302/Потребность!$N302</f>
        <v>#DIV/0!</v>
      </c>
      <c r="AX302" s="9" t="e">
        <f>Потребность!T302/Потребность!$T302</f>
        <v>#DIV/0!</v>
      </c>
      <c r="AY302" s="9" t="e">
        <f>Потребность!U302/Потребность!$T302</f>
        <v>#DIV/0!</v>
      </c>
      <c r="AZ302" s="9" t="e">
        <f>Потребность!V302/Потребность!$T302</f>
        <v>#DIV/0!</v>
      </c>
      <c r="BA302" s="141">
        <f>Потребность!Q302</f>
        <v>0</v>
      </c>
      <c r="BB302">
        <f>Потребность!AC302</f>
        <v>0</v>
      </c>
      <c r="BC302" s="141">
        <f>Потребность!AD302</f>
        <v>0</v>
      </c>
    </row>
    <row r="303" spans="1:55" x14ac:dyDescent="0.2">
      <c r="A303" s="85"/>
      <c r="B303" s="195"/>
      <c r="C303" s="85"/>
      <c r="D303" s="85"/>
      <c r="E303" s="195"/>
      <c r="F303" s="35"/>
      <c r="G303" s="65"/>
      <c r="H303" s="36"/>
      <c r="I303" s="37"/>
      <c r="J303" s="37"/>
      <c r="K303" s="35"/>
      <c r="L303" s="38"/>
      <c r="M303" s="128"/>
      <c r="N303" s="38"/>
      <c r="O303" s="128"/>
      <c r="P303" s="53"/>
      <c r="Q303" s="45"/>
      <c r="R303" s="45"/>
      <c r="S303" s="45"/>
      <c r="T303" s="46"/>
      <c r="U303" s="120"/>
      <c r="V303" s="120"/>
      <c r="W303" s="120"/>
      <c r="X303" s="121"/>
      <c r="Y303" s="121"/>
      <c r="Z303" s="121"/>
      <c r="AA303" s="121"/>
      <c r="AB303" s="121"/>
      <c r="AC303" s="121"/>
      <c r="AD303" s="122"/>
      <c r="AE303" s="122"/>
      <c r="AF303" s="122"/>
      <c r="AG303" s="66"/>
      <c r="AH303" s="46"/>
      <c r="AI303" s="76"/>
      <c r="AJ303" s="97"/>
      <c r="AK303" s="39"/>
      <c r="AL303" s="102"/>
      <c r="AM303" s="102"/>
      <c r="AN303" s="102"/>
      <c r="AO303" s="102"/>
      <c r="AP303" s="280"/>
      <c r="AQ303" s="10">
        <f>Потребность!AD303</f>
        <v>0</v>
      </c>
      <c r="AR303" s="10">
        <f>SUM(Потребность!K303:M303)</f>
        <v>0</v>
      </c>
      <c r="AS303" s="9" t="e">
        <f>Потребность!AZ303</f>
        <v>#N/A</v>
      </c>
      <c r="AT303" s="9">
        <f>Потребность!J303</f>
        <v>0</v>
      </c>
      <c r="AU303" s="9" t="e">
        <f>Потребность!N303/Потребность!$N303</f>
        <v>#DIV/0!</v>
      </c>
      <c r="AV303" s="9" t="e">
        <f>Потребность!O303/Потребность!$N303</f>
        <v>#DIV/0!</v>
      </c>
      <c r="AW303" s="9" t="e">
        <f>Потребность!P303/Потребность!$N303</f>
        <v>#DIV/0!</v>
      </c>
      <c r="AX303" s="9" t="e">
        <f>Потребность!T303/Потребность!$T303</f>
        <v>#DIV/0!</v>
      </c>
      <c r="AY303" s="9" t="e">
        <f>Потребность!U303/Потребность!$T303</f>
        <v>#DIV/0!</v>
      </c>
      <c r="AZ303" s="9" t="e">
        <f>Потребность!V303/Потребность!$T303</f>
        <v>#DIV/0!</v>
      </c>
      <c r="BA303" s="141">
        <f>Потребность!Q303</f>
        <v>0</v>
      </c>
      <c r="BB303">
        <f>Потребность!AC303</f>
        <v>0</v>
      </c>
      <c r="BC303" s="141">
        <f>Потребность!AD303</f>
        <v>0</v>
      </c>
    </row>
    <row r="304" spans="1:55" x14ac:dyDescent="0.2">
      <c r="A304" s="85"/>
      <c r="B304" s="195"/>
      <c r="C304" s="85"/>
      <c r="D304" s="85"/>
      <c r="E304" s="195"/>
      <c r="F304" s="35"/>
      <c r="G304" s="65"/>
      <c r="H304" s="36"/>
      <c r="I304" s="37"/>
      <c r="J304" s="37"/>
      <c r="K304" s="35"/>
      <c r="L304" s="38"/>
      <c r="M304" s="128"/>
      <c r="N304" s="38"/>
      <c r="O304" s="128"/>
      <c r="P304" s="53"/>
      <c r="Q304" s="45"/>
      <c r="R304" s="45"/>
      <c r="S304" s="45"/>
      <c r="T304" s="46"/>
      <c r="U304" s="120"/>
      <c r="V304" s="120"/>
      <c r="W304" s="120"/>
      <c r="X304" s="121"/>
      <c r="Y304" s="121"/>
      <c r="Z304" s="121"/>
      <c r="AA304" s="121"/>
      <c r="AB304" s="121"/>
      <c r="AC304" s="121"/>
      <c r="AD304" s="122"/>
      <c r="AE304" s="122"/>
      <c r="AF304" s="122"/>
      <c r="AG304" s="66"/>
      <c r="AH304" s="46"/>
      <c r="AI304" s="76"/>
      <c r="AJ304" s="97"/>
      <c r="AK304" s="39"/>
      <c r="AL304" s="102"/>
      <c r="AM304" s="102"/>
      <c r="AN304" s="102"/>
      <c r="AO304" s="102"/>
      <c r="AP304" s="280"/>
      <c r="AQ304" s="10">
        <f>Потребность!AD304</f>
        <v>0</v>
      </c>
      <c r="AR304" s="10">
        <f>SUM(Потребность!K304:M304)</f>
        <v>0</v>
      </c>
      <c r="AS304" s="9" t="e">
        <f>Потребность!AZ304</f>
        <v>#N/A</v>
      </c>
      <c r="AT304" s="9">
        <f>Потребность!J304</f>
        <v>0</v>
      </c>
      <c r="AU304" s="9" t="e">
        <f>Потребность!N304/Потребность!$N304</f>
        <v>#DIV/0!</v>
      </c>
      <c r="AV304" s="9" t="e">
        <f>Потребность!O304/Потребность!$N304</f>
        <v>#DIV/0!</v>
      </c>
      <c r="AW304" s="9" t="e">
        <f>Потребность!P304/Потребность!$N304</f>
        <v>#DIV/0!</v>
      </c>
      <c r="AX304" s="9" t="e">
        <f>Потребность!T304/Потребность!$T304</f>
        <v>#DIV/0!</v>
      </c>
      <c r="AY304" s="9" t="e">
        <f>Потребность!U304/Потребность!$T304</f>
        <v>#DIV/0!</v>
      </c>
      <c r="AZ304" s="9" t="e">
        <f>Потребность!V304/Потребность!$T304</f>
        <v>#DIV/0!</v>
      </c>
      <c r="BA304" s="141">
        <f>Потребность!Q304</f>
        <v>0</v>
      </c>
      <c r="BB304">
        <f>Потребность!AC304</f>
        <v>0</v>
      </c>
      <c r="BC304" s="141">
        <f>Потребность!AD304</f>
        <v>0</v>
      </c>
    </row>
    <row r="305" spans="1:55" x14ac:dyDescent="0.2">
      <c r="A305" s="85"/>
      <c r="B305" s="195"/>
      <c r="C305" s="85"/>
      <c r="D305" s="85"/>
      <c r="E305" s="195"/>
      <c r="F305" s="35"/>
      <c r="G305" s="65"/>
      <c r="H305" s="36"/>
      <c r="I305" s="37"/>
      <c r="J305" s="37"/>
      <c r="K305" s="35"/>
      <c r="L305" s="38"/>
      <c r="M305" s="128"/>
      <c r="N305" s="38"/>
      <c r="O305" s="128"/>
      <c r="P305" s="53"/>
      <c r="Q305" s="45"/>
      <c r="R305" s="45"/>
      <c r="S305" s="45"/>
      <c r="T305" s="46"/>
      <c r="U305" s="120"/>
      <c r="V305" s="120"/>
      <c r="W305" s="120"/>
      <c r="X305" s="121"/>
      <c r="Y305" s="121"/>
      <c r="Z305" s="121"/>
      <c r="AA305" s="121"/>
      <c r="AB305" s="121"/>
      <c r="AC305" s="121"/>
      <c r="AD305" s="122"/>
      <c r="AE305" s="122"/>
      <c r="AF305" s="122"/>
      <c r="AG305" s="66"/>
      <c r="AH305" s="46"/>
      <c r="AI305" s="76"/>
      <c r="AJ305" s="97"/>
      <c r="AK305" s="39"/>
      <c r="AL305" s="102"/>
      <c r="AM305" s="102"/>
      <c r="AN305" s="102"/>
      <c r="AO305" s="102"/>
      <c r="AP305" s="280"/>
      <c r="AQ305" s="10">
        <f>Потребность!AD305</f>
        <v>0</v>
      </c>
      <c r="AR305" s="10">
        <f>SUM(Потребность!K305:M305)</f>
        <v>0</v>
      </c>
      <c r="AS305" s="9" t="e">
        <f>Потребность!AZ305</f>
        <v>#N/A</v>
      </c>
      <c r="AT305" s="9">
        <f>Потребность!J305</f>
        <v>0</v>
      </c>
      <c r="AU305" s="9" t="e">
        <f>Потребность!N305/Потребность!$N305</f>
        <v>#DIV/0!</v>
      </c>
      <c r="AV305" s="9" t="e">
        <f>Потребность!O305/Потребность!$N305</f>
        <v>#DIV/0!</v>
      </c>
      <c r="AW305" s="9" t="e">
        <f>Потребность!P305/Потребность!$N305</f>
        <v>#DIV/0!</v>
      </c>
      <c r="AX305" s="9" t="e">
        <f>Потребность!T305/Потребность!$T305</f>
        <v>#DIV/0!</v>
      </c>
      <c r="AY305" s="9" t="e">
        <f>Потребность!U305/Потребность!$T305</f>
        <v>#DIV/0!</v>
      </c>
      <c r="AZ305" s="9" t="e">
        <f>Потребность!V305/Потребность!$T305</f>
        <v>#DIV/0!</v>
      </c>
      <c r="BA305" s="141">
        <f>Потребность!Q305</f>
        <v>0</v>
      </c>
      <c r="BB305">
        <f>Потребность!AC305</f>
        <v>0</v>
      </c>
      <c r="BC305" s="141">
        <f>Потребность!AD305</f>
        <v>0</v>
      </c>
    </row>
    <row r="306" spans="1:55" x14ac:dyDescent="0.2">
      <c r="A306" s="85"/>
      <c r="B306" s="195"/>
      <c r="C306" s="85"/>
      <c r="D306" s="85"/>
      <c r="E306" s="195"/>
      <c r="F306" s="35"/>
      <c r="G306" s="65"/>
      <c r="H306" s="36"/>
      <c r="I306" s="37"/>
      <c r="J306" s="37"/>
      <c r="K306" s="35"/>
      <c r="L306" s="38"/>
      <c r="M306" s="128"/>
      <c r="N306" s="38"/>
      <c r="O306" s="128"/>
      <c r="P306" s="53"/>
      <c r="Q306" s="45"/>
      <c r="R306" s="45"/>
      <c r="S306" s="45"/>
      <c r="T306" s="46"/>
      <c r="U306" s="120"/>
      <c r="V306" s="120"/>
      <c r="W306" s="120"/>
      <c r="X306" s="121"/>
      <c r="Y306" s="121"/>
      <c r="Z306" s="121"/>
      <c r="AA306" s="121"/>
      <c r="AB306" s="121"/>
      <c r="AC306" s="121"/>
      <c r="AD306" s="122"/>
      <c r="AE306" s="122"/>
      <c r="AF306" s="122"/>
      <c r="AG306" s="66"/>
      <c r="AH306" s="46"/>
      <c r="AI306" s="76"/>
      <c r="AJ306" s="97"/>
      <c r="AK306" s="39"/>
      <c r="AL306" s="102"/>
      <c r="AM306" s="102"/>
      <c r="AN306" s="102"/>
      <c r="AO306" s="102"/>
      <c r="AP306" s="280"/>
      <c r="AQ306" s="10">
        <f>Потребность!AD306</f>
        <v>0</v>
      </c>
      <c r="AR306" s="10">
        <f>SUM(Потребность!K306:M306)</f>
        <v>0</v>
      </c>
      <c r="AS306" s="9" t="e">
        <f>Потребность!AZ306</f>
        <v>#N/A</v>
      </c>
      <c r="AT306" s="9">
        <f>Потребность!J306</f>
        <v>0</v>
      </c>
      <c r="AU306" s="9" t="e">
        <f>Потребность!N306/Потребность!$N306</f>
        <v>#DIV/0!</v>
      </c>
      <c r="AV306" s="9" t="e">
        <f>Потребность!O306/Потребность!$N306</f>
        <v>#DIV/0!</v>
      </c>
      <c r="AW306" s="9" t="e">
        <f>Потребность!P306/Потребность!$N306</f>
        <v>#DIV/0!</v>
      </c>
      <c r="AX306" s="9" t="e">
        <f>Потребность!T306/Потребность!$T306</f>
        <v>#DIV/0!</v>
      </c>
      <c r="AY306" s="9" t="e">
        <f>Потребность!U306/Потребность!$T306</f>
        <v>#DIV/0!</v>
      </c>
      <c r="AZ306" s="9" t="e">
        <f>Потребность!V306/Потребность!$T306</f>
        <v>#DIV/0!</v>
      </c>
      <c r="BA306" s="141">
        <f>Потребность!Q306</f>
        <v>0</v>
      </c>
      <c r="BB306">
        <f>Потребность!AC306</f>
        <v>0</v>
      </c>
      <c r="BC306" s="141">
        <f>Потребность!AD306</f>
        <v>0</v>
      </c>
    </row>
    <row r="307" spans="1:55" x14ac:dyDescent="0.2">
      <c r="A307" s="85"/>
      <c r="B307" s="195"/>
      <c r="C307" s="85"/>
      <c r="D307" s="85"/>
      <c r="E307" s="195"/>
      <c r="F307" s="35"/>
      <c r="G307" s="65"/>
      <c r="H307" s="36"/>
      <c r="I307" s="37"/>
      <c r="J307" s="37"/>
      <c r="K307" s="35"/>
      <c r="L307" s="38"/>
      <c r="M307" s="128"/>
      <c r="N307" s="38"/>
      <c r="O307" s="128"/>
      <c r="P307" s="53"/>
      <c r="Q307" s="45"/>
      <c r="R307" s="45"/>
      <c r="S307" s="45"/>
      <c r="T307" s="46"/>
      <c r="U307" s="120"/>
      <c r="V307" s="120"/>
      <c r="W307" s="120"/>
      <c r="X307" s="121"/>
      <c r="Y307" s="121"/>
      <c r="Z307" s="121"/>
      <c r="AA307" s="121"/>
      <c r="AB307" s="121"/>
      <c r="AC307" s="121"/>
      <c r="AD307" s="122"/>
      <c r="AE307" s="122"/>
      <c r="AF307" s="122"/>
      <c r="AG307" s="66"/>
      <c r="AH307" s="46"/>
      <c r="AI307" s="76"/>
      <c r="AJ307" s="97"/>
      <c r="AK307" s="39"/>
      <c r="AL307" s="102"/>
      <c r="AM307" s="102"/>
      <c r="AN307" s="102"/>
      <c r="AO307" s="102"/>
      <c r="AP307" s="280"/>
      <c r="AQ307" s="10">
        <f>Потребность!AD307</f>
        <v>0</v>
      </c>
      <c r="AR307" s="10">
        <f>SUM(Потребность!K307:M307)</f>
        <v>0</v>
      </c>
      <c r="AS307" s="9" t="e">
        <f>Потребность!AZ307</f>
        <v>#N/A</v>
      </c>
      <c r="AT307" s="9">
        <f>Потребность!J307</f>
        <v>0</v>
      </c>
      <c r="AU307" s="9" t="e">
        <f>Потребность!N307/Потребность!$N307</f>
        <v>#DIV/0!</v>
      </c>
      <c r="AV307" s="9" t="e">
        <f>Потребность!O307/Потребность!$N307</f>
        <v>#DIV/0!</v>
      </c>
      <c r="AW307" s="9" t="e">
        <f>Потребность!P307/Потребность!$N307</f>
        <v>#DIV/0!</v>
      </c>
      <c r="AX307" s="9" t="e">
        <f>Потребность!T307/Потребность!$T307</f>
        <v>#DIV/0!</v>
      </c>
      <c r="AY307" s="9" t="e">
        <f>Потребность!U307/Потребность!$T307</f>
        <v>#DIV/0!</v>
      </c>
      <c r="AZ307" s="9" t="e">
        <f>Потребность!V307/Потребность!$T307</f>
        <v>#DIV/0!</v>
      </c>
      <c r="BA307" s="141">
        <f>Потребность!Q307</f>
        <v>0</v>
      </c>
      <c r="BB307">
        <f>Потребность!AC307</f>
        <v>0</v>
      </c>
      <c r="BC307" s="141">
        <f>Потребность!AD307</f>
        <v>0</v>
      </c>
    </row>
    <row r="308" spans="1:55" x14ac:dyDescent="0.2">
      <c r="A308" s="85"/>
      <c r="B308" s="195"/>
      <c r="C308" s="85"/>
      <c r="D308" s="85"/>
      <c r="E308" s="195"/>
      <c r="F308" s="35"/>
      <c r="G308" s="65"/>
      <c r="H308" s="36"/>
      <c r="I308" s="37"/>
      <c r="J308" s="37"/>
      <c r="K308" s="35"/>
      <c r="L308" s="38"/>
      <c r="M308" s="128"/>
      <c r="N308" s="38"/>
      <c r="O308" s="128"/>
      <c r="P308" s="53"/>
      <c r="Q308" s="45"/>
      <c r="R308" s="45"/>
      <c r="S308" s="45"/>
      <c r="T308" s="46"/>
      <c r="U308" s="120"/>
      <c r="V308" s="120"/>
      <c r="W308" s="120"/>
      <c r="X308" s="121"/>
      <c r="Y308" s="121"/>
      <c r="Z308" s="121"/>
      <c r="AA308" s="121"/>
      <c r="AB308" s="121"/>
      <c r="AC308" s="121"/>
      <c r="AD308" s="122"/>
      <c r="AE308" s="122"/>
      <c r="AF308" s="122"/>
      <c r="AG308" s="66"/>
      <c r="AH308" s="46"/>
      <c r="AI308" s="76"/>
      <c r="AJ308" s="97"/>
      <c r="AK308" s="39"/>
      <c r="AL308" s="102"/>
      <c r="AM308" s="102"/>
      <c r="AN308" s="102"/>
      <c r="AO308" s="102"/>
      <c r="AP308" s="280"/>
      <c r="AQ308" s="10">
        <f>Потребность!AD308</f>
        <v>0</v>
      </c>
      <c r="AR308" s="10">
        <f>SUM(Потребность!K308:M308)</f>
        <v>0</v>
      </c>
      <c r="AS308" s="9" t="e">
        <f>Потребность!AZ308</f>
        <v>#N/A</v>
      </c>
      <c r="AT308" s="9">
        <f>Потребность!J308</f>
        <v>0</v>
      </c>
      <c r="AU308" s="9" t="e">
        <f>Потребность!N308/Потребность!$N308</f>
        <v>#DIV/0!</v>
      </c>
      <c r="AV308" s="9" t="e">
        <f>Потребность!O308/Потребность!$N308</f>
        <v>#DIV/0!</v>
      </c>
      <c r="AW308" s="9" t="e">
        <f>Потребность!P308/Потребность!$N308</f>
        <v>#DIV/0!</v>
      </c>
      <c r="AX308" s="9" t="e">
        <f>Потребность!T308/Потребность!$T308</f>
        <v>#DIV/0!</v>
      </c>
      <c r="AY308" s="9" t="e">
        <f>Потребность!U308/Потребность!$T308</f>
        <v>#DIV/0!</v>
      </c>
      <c r="AZ308" s="9" t="e">
        <f>Потребность!V308/Потребность!$T308</f>
        <v>#DIV/0!</v>
      </c>
      <c r="BA308" s="141">
        <f>Потребность!Q308</f>
        <v>0</v>
      </c>
      <c r="BB308">
        <f>Потребность!AC308</f>
        <v>0</v>
      </c>
      <c r="BC308" s="141">
        <f>Потребность!AD308</f>
        <v>0</v>
      </c>
    </row>
    <row r="309" spans="1:55" x14ac:dyDescent="0.2">
      <c r="A309" s="85"/>
      <c r="B309" s="195"/>
      <c r="C309" s="85"/>
      <c r="D309" s="85"/>
      <c r="E309" s="195"/>
      <c r="F309" s="35"/>
      <c r="G309" s="65"/>
      <c r="H309" s="36"/>
      <c r="I309" s="37"/>
      <c r="J309" s="37"/>
      <c r="K309" s="35"/>
      <c r="L309" s="38"/>
      <c r="M309" s="128"/>
      <c r="N309" s="38"/>
      <c r="O309" s="128"/>
      <c r="P309" s="53"/>
      <c r="Q309" s="45"/>
      <c r="R309" s="45"/>
      <c r="S309" s="45"/>
      <c r="T309" s="46"/>
      <c r="U309" s="120"/>
      <c r="V309" s="120"/>
      <c r="W309" s="120"/>
      <c r="X309" s="121"/>
      <c r="Y309" s="121"/>
      <c r="Z309" s="121"/>
      <c r="AA309" s="121"/>
      <c r="AB309" s="121"/>
      <c r="AC309" s="121"/>
      <c r="AD309" s="122"/>
      <c r="AE309" s="122"/>
      <c r="AF309" s="122"/>
      <c r="AG309" s="66"/>
      <c r="AH309" s="46"/>
      <c r="AI309" s="76"/>
      <c r="AJ309" s="97"/>
      <c r="AK309" s="39"/>
      <c r="AL309" s="102"/>
      <c r="AM309" s="102"/>
      <c r="AN309" s="102"/>
      <c r="AO309" s="102"/>
      <c r="AP309" s="280"/>
      <c r="AQ309" s="10">
        <f>Потребность!AD309</f>
        <v>0</v>
      </c>
      <c r="AR309" s="10">
        <f>SUM(Потребность!K309:M309)</f>
        <v>0</v>
      </c>
      <c r="AS309" s="9" t="e">
        <f>Потребность!AZ309</f>
        <v>#N/A</v>
      </c>
      <c r="AT309" s="9">
        <f>Потребность!J309</f>
        <v>0</v>
      </c>
      <c r="AU309" s="9" t="e">
        <f>Потребность!N309/Потребность!$N309</f>
        <v>#DIV/0!</v>
      </c>
      <c r="AV309" s="9" t="e">
        <f>Потребность!O309/Потребность!$N309</f>
        <v>#DIV/0!</v>
      </c>
      <c r="AW309" s="9" t="e">
        <f>Потребность!P309/Потребность!$N309</f>
        <v>#DIV/0!</v>
      </c>
      <c r="AX309" s="9" t="e">
        <f>Потребность!T309/Потребность!$T309</f>
        <v>#DIV/0!</v>
      </c>
      <c r="AY309" s="9" t="e">
        <f>Потребность!U309/Потребность!$T309</f>
        <v>#DIV/0!</v>
      </c>
      <c r="AZ309" s="9" t="e">
        <f>Потребность!V309/Потребность!$T309</f>
        <v>#DIV/0!</v>
      </c>
      <c r="BA309" s="141">
        <f>Потребность!Q309</f>
        <v>0</v>
      </c>
      <c r="BB309">
        <f>Потребность!AC309</f>
        <v>0</v>
      </c>
      <c r="BC309" s="141">
        <f>Потребность!AD309</f>
        <v>0</v>
      </c>
    </row>
    <row r="310" spans="1:55" x14ac:dyDescent="0.2">
      <c r="A310" s="85"/>
      <c r="B310" s="195"/>
      <c r="C310" s="85"/>
      <c r="D310" s="85"/>
      <c r="E310" s="195"/>
      <c r="F310" s="35"/>
      <c r="G310" s="65"/>
      <c r="H310" s="36"/>
      <c r="I310" s="37"/>
      <c r="J310" s="37"/>
      <c r="K310" s="35"/>
      <c r="L310" s="38"/>
      <c r="M310" s="128"/>
      <c r="N310" s="38"/>
      <c r="O310" s="128"/>
      <c r="P310" s="53"/>
      <c r="Q310" s="45"/>
      <c r="R310" s="45"/>
      <c r="S310" s="45"/>
      <c r="T310" s="46"/>
      <c r="U310" s="120"/>
      <c r="V310" s="120"/>
      <c r="W310" s="120"/>
      <c r="X310" s="121"/>
      <c r="Y310" s="121"/>
      <c r="Z310" s="121"/>
      <c r="AA310" s="121"/>
      <c r="AB310" s="121"/>
      <c r="AC310" s="121"/>
      <c r="AD310" s="122"/>
      <c r="AE310" s="122"/>
      <c r="AF310" s="122"/>
      <c r="AG310" s="66"/>
      <c r="AH310" s="46"/>
      <c r="AI310" s="76"/>
      <c r="AJ310" s="97"/>
      <c r="AK310" s="39"/>
      <c r="AL310" s="102"/>
      <c r="AM310" s="102"/>
      <c r="AN310" s="102"/>
      <c r="AO310" s="102"/>
      <c r="AP310" s="280"/>
      <c r="AQ310" s="10">
        <f>Потребность!AD310</f>
        <v>0</v>
      </c>
      <c r="AR310" s="10">
        <f>SUM(Потребность!K310:M310)</f>
        <v>0</v>
      </c>
      <c r="AS310" s="9" t="e">
        <f>Потребность!AZ310</f>
        <v>#N/A</v>
      </c>
      <c r="AT310" s="9">
        <f>Потребность!J310</f>
        <v>0</v>
      </c>
      <c r="AU310" s="9" t="e">
        <f>Потребность!N310/Потребность!$N310</f>
        <v>#DIV/0!</v>
      </c>
      <c r="AV310" s="9" t="e">
        <f>Потребность!O310/Потребность!$N310</f>
        <v>#DIV/0!</v>
      </c>
      <c r="AW310" s="9" t="e">
        <f>Потребность!P310/Потребность!$N310</f>
        <v>#DIV/0!</v>
      </c>
      <c r="AX310" s="9" t="e">
        <f>Потребность!T310/Потребность!$T310</f>
        <v>#DIV/0!</v>
      </c>
      <c r="AY310" s="9" t="e">
        <f>Потребность!U310/Потребность!$T310</f>
        <v>#DIV/0!</v>
      </c>
      <c r="AZ310" s="9" t="e">
        <f>Потребность!V310/Потребность!$T310</f>
        <v>#DIV/0!</v>
      </c>
      <c r="BA310" s="141">
        <f>Потребность!Q310</f>
        <v>0</v>
      </c>
      <c r="BB310">
        <f>Потребность!AC310</f>
        <v>0</v>
      </c>
      <c r="BC310" s="141">
        <f>Потребность!AD310</f>
        <v>0</v>
      </c>
    </row>
    <row r="311" spans="1:55" x14ac:dyDescent="0.2">
      <c r="A311" s="85"/>
      <c r="B311" s="195"/>
      <c r="C311" s="85"/>
      <c r="D311" s="85"/>
      <c r="E311" s="195"/>
      <c r="F311" s="35"/>
      <c r="G311" s="65"/>
      <c r="H311" s="36"/>
      <c r="I311" s="37"/>
      <c r="J311" s="37"/>
      <c r="K311" s="35"/>
      <c r="L311" s="38"/>
      <c r="M311" s="128"/>
      <c r="N311" s="38"/>
      <c r="O311" s="128"/>
      <c r="P311" s="53"/>
      <c r="Q311" s="45"/>
      <c r="R311" s="45"/>
      <c r="S311" s="45"/>
      <c r="T311" s="46"/>
      <c r="U311" s="120"/>
      <c r="V311" s="120"/>
      <c r="W311" s="120"/>
      <c r="X311" s="121"/>
      <c r="Y311" s="121"/>
      <c r="Z311" s="121"/>
      <c r="AA311" s="121"/>
      <c r="AB311" s="121"/>
      <c r="AC311" s="121"/>
      <c r="AD311" s="122"/>
      <c r="AE311" s="122"/>
      <c r="AF311" s="122"/>
      <c r="AG311" s="66"/>
      <c r="AH311" s="46"/>
      <c r="AI311" s="76"/>
      <c r="AJ311" s="97"/>
      <c r="AK311" s="39"/>
      <c r="AL311" s="102"/>
      <c r="AM311" s="102"/>
      <c r="AN311" s="102"/>
      <c r="AO311" s="102"/>
      <c r="AP311" s="280"/>
      <c r="AQ311" s="10">
        <f>Потребность!AD311</f>
        <v>0</v>
      </c>
      <c r="AR311" s="10">
        <f>SUM(Потребность!K311:M311)</f>
        <v>0</v>
      </c>
      <c r="AS311" s="9" t="e">
        <f>Потребность!AZ311</f>
        <v>#N/A</v>
      </c>
      <c r="AT311" s="9">
        <f>Потребность!J311</f>
        <v>0</v>
      </c>
      <c r="AU311" s="9" t="e">
        <f>Потребность!N311/Потребность!$N311</f>
        <v>#DIV/0!</v>
      </c>
      <c r="AV311" s="9" t="e">
        <f>Потребность!O311/Потребность!$N311</f>
        <v>#DIV/0!</v>
      </c>
      <c r="AW311" s="9" t="e">
        <f>Потребность!P311/Потребность!$N311</f>
        <v>#DIV/0!</v>
      </c>
      <c r="AX311" s="9" t="e">
        <f>Потребность!T311/Потребность!$T311</f>
        <v>#DIV/0!</v>
      </c>
      <c r="AY311" s="9" t="e">
        <f>Потребность!U311/Потребность!$T311</f>
        <v>#DIV/0!</v>
      </c>
      <c r="AZ311" s="9" t="e">
        <f>Потребность!V311/Потребность!$T311</f>
        <v>#DIV/0!</v>
      </c>
      <c r="BA311" s="141">
        <f>Потребность!Q311</f>
        <v>0</v>
      </c>
      <c r="BB311">
        <f>Потребность!AC311</f>
        <v>0</v>
      </c>
      <c r="BC311" s="141">
        <f>Потребность!AD311</f>
        <v>0</v>
      </c>
    </row>
    <row r="312" spans="1:55" x14ac:dyDescent="0.2">
      <c r="A312" s="85"/>
      <c r="B312" s="195"/>
      <c r="C312" s="85"/>
      <c r="D312" s="85"/>
      <c r="E312" s="195"/>
      <c r="F312" s="35"/>
      <c r="G312" s="65"/>
      <c r="H312" s="36"/>
      <c r="I312" s="37"/>
      <c r="J312" s="37"/>
      <c r="K312" s="35"/>
      <c r="L312" s="38"/>
      <c r="M312" s="128"/>
      <c r="N312" s="38"/>
      <c r="O312" s="128"/>
      <c r="P312" s="53"/>
      <c r="Q312" s="45"/>
      <c r="R312" s="45"/>
      <c r="S312" s="45"/>
      <c r="T312" s="46"/>
      <c r="U312" s="120"/>
      <c r="V312" s="120"/>
      <c r="W312" s="120"/>
      <c r="X312" s="121"/>
      <c r="Y312" s="121"/>
      <c r="Z312" s="121"/>
      <c r="AA312" s="121"/>
      <c r="AB312" s="121"/>
      <c r="AC312" s="121"/>
      <c r="AD312" s="122"/>
      <c r="AE312" s="122"/>
      <c r="AF312" s="122"/>
      <c r="AG312" s="66"/>
      <c r="AH312" s="46"/>
      <c r="AI312" s="76"/>
      <c r="AJ312" s="97"/>
      <c r="AK312" s="39"/>
      <c r="AL312" s="102"/>
      <c r="AM312" s="102"/>
      <c r="AN312" s="102"/>
      <c r="AO312" s="102"/>
      <c r="AP312" s="280"/>
      <c r="AQ312" s="10">
        <f>Потребность!AD312</f>
        <v>0</v>
      </c>
      <c r="AR312" s="10">
        <f>SUM(Потребность!K312:M312)</f>
        <v>0</v>
      </c>
      <c r="AS312" s="9" t="e">
        <f>Потребность!AZ312</f>
        <v>#N/A</v>
      </c>
      <c r="AT312" s="9">
        <f>Потребность!J312</f>
        <v>0</v>
      </c>
      <c r="AU312" s="9" t="e">
        <f>Потребность!N312/Потребность!$N312</f>
        <v>#DIV/0!</v>
      </c>
      <c r="AV312" s="9" t="e">
        <f>Потребность!O312/Потребность!$N312</f>
        <v>#DIV/0!</v>
      </c>
      <c r="AW312" s="9" t="e">
        <f>Потребность!P312/Потребность!$N312</f>
        <v>#DIV/0!</v>
      </c>
      <c r="AX312" s="9" t="e">
        <f>Потребность!T312/Потребность!$T312</f>
        <v>#DIV/0!</v>
      </c>
      <c r="AY312" s="9" t="e">
        <f>Потребность!U312/Потребность!$T312</f>
        <v>#DIV/0!</v>
      </c>
      <c r="AZ312" s="9" t="e">
        <f>Потребность!V312/Потребность!$T312</f>
        <v>#DIV/0!</v>
      </c>
      <c r="BA312" s="141">
        <f>Потребность!Q312</f>
        <v>0</v>
      </c>
      <c r="BB312">
        <f>Потребность!AC312</f>
        <v>0</v>
      </c>
      <c r="BC312" s="141">
        <f>Потребность!AD312</f>
        <v>0</v>
      </c>
    </row>
    <row r="313" spans="1:55" x14ac:dyDescent="0.2">
      <c r="A313" s="85"/>
      <c r="B313" s="195"/>
      <c r="C313" s="85"/>
      <c r="D313" s="85"/>
      <c r="E313" s="195"/>
      <c r="F313" s="35"/>
      <c r="G313" s="65"/>
      <c r="H313" s="36"/>
      <c r="I313" s="37"/>
      <c r="J313" s="37"/>
      <c r="K313" s="35"/>
      <c r="L313" s="38"/>
      <c r="M313" s="128"/>
      <c r="N313" s="38"/>
      <c r="O313" s="128"/>
      <c r="P313" s="53"/>
      <c r="Q313" s="45"/>
      <c r="R313" s="45"/>
      <c r="S313" s="45"/>
      <c r="T313" s="46"/>
      <c r="U313" s="120"/>
      <c r="V313" s="120"/>
      <c r="W313" s="120"/>
      <c r="X313" s="121"/>
      <c r="Y313" s="121"/>
      <c r="Z313" s="121"/>
      <c r="AA313" s="121"/>
      <c r="AB313" s="121"/>
      <c r="AC313" s="121"/>
      <c r="AD313" s="122"/>
      <c r="AE313" s="122"/>
      <c r="AF313" s="122"/>
      <c r="AG313" s="66"/>
      <c r="AH313" s="46"/>
      <c r="AI313" s="76"/>
      <c r="AJ313" s="97"/>
      <c r="AK313" s="39"/>
      <c r="AL313" s="102"/>
      <c r="AM313" s="102"/>
      <c r="AN313" s="102"/>
      <c r="AO313" s="102"/>
      <c r="AP313" s="280"/>
      <c r="AQ313" s="10">
        <f>Потребность!AD313</f>
        <v>0</v>
      </c>
      <c r="AR313" s="10">
        <f>SUM(Потребность!K313:M313)</f>
        <v>0</v>
      </c>
      <c r="AS313" s="9" t="e">
        <f>Потребность!AZ313</f>
        <v>#N/A</v>
      </c>
      <c r="AT313" s="9">
        <f>Потребность!J313</f>
        <v>0</v>
      </c>
      <c r="AU313" s="9" t="e">
        <f>Потребность!N313/Потребность!$N313</f>
        <v>#DIV/0!</v>
      </c>
      <c r="AV313" s="9" t="e">
        <f>Потребность!O313/Потребность!$N313</f>
        <v>#DIV/0!</v>
      </c>
      <c r="AW313" s="9" t="e">
        <f>Потребность!P313/Потребность!$N313</f>
        <v>#DIV/0!</v>
      </c>
      <c r="AX313" s="9" t="e">
        <f>Потребность!T313/Потребность!$T313</f>
        <v>#DIV/0!</v>
      </c>
      <c r="AY313" s="9" t="e">
        <f>Потребность!U313/Потребность!$T313</f>
        <v>#DIV/0!</v>
      </c>
      <c r="AZ313" s="9" t="e">
        <f>Потребность!V313/Потребность!$T313</f>
        <v>#DIV/0!</v>
      </c>
      <c r="BA313" s="141">
        <f>Потребность!Q313</f>
        <v>0</v>
      </c>
      <c r="BB313">
        <f>Потребность!AC313</f>
        <v>0</v>
      </c>
      <c r="BC313" s="141">
        <f>Потребность!AD313</f>
        <v>0</v>
      </c>
    </row>
    <row r="314" spans="1:55" x14ac:dyDescent="0.2">
      <c r="A314" s="85"/>
      <c r="B314" s="195"/>
      <c r="C314" s="85"/>
      <c r="D314" s="85"/>
      <c r="E314" s="195"/>
      <c r="F314" s="35"/>
      <c r="G314" s="65"/>
      <c r="H314" s="36"/>
      <c r="I314" s="37"/>
      <c r="J314" s="37"/>
      <c r="K314" s="35"/>
      <c r="L314" s="38"/>
      <c r="M314" s="128"/>
      <c r="N314" s="38"/>
      <c r="O314" s="128"/>
      <c r="P314" s="53"/>
      <c r="Q314" s="45"/>
      <c r="R314" s="45"/>
      <c r="S314" s="45"/>
      <c r="T314" s="46"/>
      <c r="U314" s="120"/>
      <c r="V314" s="120"/>
      <c r="W314" s="120"/>
      <c r="X314" s="121"/>
      <c r="Y314" s="121"/>
      <c r="Z314" s="121"/>
      <c r="AA314" s="121"/>
      <c r="AB314" s="121"/>
      <c r="AC314" s="121"/>
      <c r="AD314" s="122"/>
      <c r="AE314" s="122"/>
      <c r="AF314" s="122"/>
      <c r="AG314" s="66"/>
      <c r="AH314" s="46"/>
      <c r="AI314" s="76"/>
      <c r="AJ314" s="97"/>
      <c r="AK314" s="39"/>
      <c r="AL314" s="102"/>
      <c r="AM314" s="102"/>
      <c r="AN314" s="102"/>
      <c r="AO314" s="102"/>
      <c r="AP314" s="280"/>
      <c r="AQ314" s="10">
        <f>Потребность!AD314</f>
        <v>0</v>
      </c>
      <c r="AR314" s="10">
        <f>SUM(Потребность!K314:M314)</f>
        <v>0</v>
      </c>
      <c r="AS314" s="9" t="e">
        <f>Потребность!AZ314</f>
        <v>#N/A</v>
      </c>
      <c r="AT314" s="9">
        <f>Потребность!J314</f>
        <v>0</v>
      </c>
      <c r="AU314" s="9" t="e">
        <f>Потребность!N314/Потребность!$N314</f>
        <v>#DIV/0!</v>
      </c>
      <c r="AV314" s="9" t="e">
        <f>Потребность!O314/Потребность!$N314</f>
        <v>#DIV/0!</v>
      </c>
      <c r="AW314" s="9" t="e">
        <f>Потребность!P314/Потребность!$N314</f>
        <v>#DIV/0!</v>
      </c>
      <c r="AX314" s="9" t="e">
        <f>Потребность!T314/Потребность!$T314</f>
        <v>#DIV/0!</v>
      </c>
      <c r="AY314" s="9" t="e">
        <f>Потребность!U314/Потребность!$T314</f>
        <v>#DIV/0!</v>
      </c>
      <c r="AZ314" s="9" t="e">
        <f>Потребность!V314/Потребность!$T314</f>
        <v>#DIV/0!</v>
      </c>
      <c r="BA314" s="141">
        <f>Потребность!Q314</f>
        <v>0</v>
      </c>
      <c r="BB314">
        <f>Потребность!AC314</f>
        <v>0</v>
      </c>
      <c r="BC314" s="141">
        <f>Потребность!AD314</f>
        <v>0</v>
      </c>
    </row>
    <row r="315" spans="1:55" x14ac:dyDescent="0.2">
      <c r="A315" s="85"/>
      <c r="B315" s="195"/>
      <c r="C315" s="85"/>
      <c r="D315" s="85"/>
      <c r="E315" s="195"/>
      <c r="F315" s="35"/>
      <c r="G315" s="65"/>
      <c r="H315" s="36"/>
      <c r="I315" s="37"/>
      <c r="J315" s="37"/>
      <c r="K315" s="35"/>
      <c r="L315" s="38"/>
      <c r="M315" s="128"/>
      <c r="N315" s="38"/>
      <c r="O315" s="128"/>
      <c r="P315" s="53"/>
      <c r="Q315" s="45"/>
      <c r="R315" s="45"/>
      <c r="S315" s="45"/>
      <c r="T315" s="46"/>
      <c r="U315" s="120"/>
      <c r="V315" s="120"/>
      <c r="W315" s="120"/>
      <c r="X315" s="121"/>
      <c r="Y315" s="121"/>
      <c r="Z315" s="121"/>
      <c r="AA315" s="121"/>
      <c r="AB315" s="121"/>
      <c r="AC315" s="121"/>
      <c r="AD315" s="122"/>
      <c r="AE315" s="122"/>
      <c r="AF315" s="122"/>
      <c r="AG315" s="66"/>
      <c r="AH315" s="46"/>
      <c r="AI315" s="76"/>
      <c r="AJ315" s="97"/>
      <c r="AK315" s="39"/>
      <c r="AL315" s="102"/>
      <c r="AM315" s="102"/>
      <c r="AN315" s="102"/>
      <c r="AO315" s="102"/>
      <c r="AP315" s="280"/>
      <c r="AQ315" s="10">
        <f>Потребность!AD315</f>
        <v>0</v>
      </c>
      <c r="AR315" s="10">
        <f>SUM(Потребность!K315:M315)</f>
        <v>0</v>
      </c>
      <c r="AS315" s="9" t="e">
        <f>Потребность!AZ315</f>
        <v>#N/A</v>
      </c>
      <c r="AT315" s="9">
        <f>Потребность!J315</f>
        <v>0</v>
      </c>
      <c r="AU315" s="9" t="e">
        <f>Потребность!N315/Потребность!$N315</f>
        <v>#DIV/0!</v>
      </c>
      <c r="AV315" s="9" t="e">
        <f>Потребность!O315/Потребность!$N315</f>
        <v>#DIV/0!</v>
      </c>
      <c r="AW315" s="9" t="e">
        <f>Потребность!P315/Потребность!$N315</f>
        <v>#DIV/0!</v>
      </c>
      <c r="AX315" s="9" t="e">
        <f>Потребность!T315/Потребность!$T315</f>
        <v>#DIV/0!</v>
      </c>
      <c r="AY315" s="9" t="e">
        <f>Потребность!U315/Потребность!$T315</f>
        <v>#DIV/0!</v>
      </c>
      <c r="AZ315" s="9" t="e">
        <f>Потребность!V315/Потребность!$T315</f>
        <v>#DIV/0!</v>
      </c>
      <c r="BA315" s="141">
        <f>Потребность!Q315</f>
        <v>0</v>
      </c>
      <c r="BB315">
        <f>Потребность!AC315</f>
        <v>0</v>
      </c>
      <c r="BC315" s="141">
        <f>Потребность!AD315</f>
        <v>0</v>
      </c>
    </row>
    <row r="316" spans="1:55" x14ac:dyDescent="0.2">
      <c r="A316" s="85"/>
      <c r="B316" s="195"/>
      <c r="C316" s="85"/>
      <c r="D316" s="85"/>
      <c r="E316" s="195"/>
      <c r="F316" s="35"/>
      <c r="G316" s="65"/>
      <c r="H316" s="36"/>
      <c r="I316" s="37"/>
      <c r="J316" s="37"/>
      <c r="K316" s="35"/>
      <c r="L316" s="38"/>
      <c r="M316" s="128"/>
      <c r="N316" s="38"/>
      <c r="O316" s="128"/>
      <c r="P316" s="53"/>
      <c r="Q316" s="45"/>
      <c r="R316" s="45"/>
      <c r="S316" s="45"/>
      <c r="T316" s="46"/>
      <c r="U316" s="120"/>
      <c r="V316" s="120"/>
      <c r="W316" s="120"/>
      <c r="X316" s="121"/>
      <c r="Y316" s="121"/>
      <c r="Z316" s="121"/>
      <c r="AA316" s="121"/>
      <c r="AB316" s="121"/>
      <c r="AC316" s="121"/>
      <c r="AD316" s="122"/>
      <c r="AE316" s="122"/>
      <c r="AF316" s="122"/>
      <c r="AG316" s="66"/>
      <c r="AH316" s="46"/>
      <c r="AI316" s="76"/>
      <c r="AJ316" s="97"/>
      <c r="AK316" s="39"/>
      <c r="AL316" s="102"/>
      <c r="AM316" s="102"/>
      <c r="AN316" s="102"/>
      <c r="AO316" s="102"/>
      <c r="AP316" s="280"/>
      <c r="AQ316" s="10">
        <f>Потребность!AD316</f>
        <v>0</v>
      </c>
      <c r="AR316" s="10">
        <f>SUM(Потребность!K316:M316)</f>
        <v>0</v>
      </c>
      <c r="AS316" s="9" t="e">
        <f>Потребность!AZ316</f>
        <v>#N/A</v>
      </c>
      <c r="AT316" s="9">
        <f>Потребность!J316</f>
        <v>0</v>
      </c>
      <c r="AU316" s="9" t="e">
        <f>Потребность!N316/Потребность!$N316</f>
        <v>#DIV/0!</v>
      </c>
      <c r="AV316" s="9" t="e">
        <f>Потребность!O316/Потребность!$N316</f>
        <v>#DIV/0!</v>
      </c>
      <c r="AW316" s="9" t="e">
        <f>Потребность!P316/Потребность!$N316</f>
        <v>#DIV/0!</v>
      </c>
      <c r="AX316" s="9" t="e">
        <f>Потребность!T316/Потребность!$T316</f>
        <v>#DIV/0!</v>
      </c>
      <c r="AY316" s="9" t="e">
        <f>Потребность!U316/Потребность!$T316</f>
        <v>#DIV/0!</v>
      </c>
      <c r="AZ316" s="9" t="e">
        <f>Потребность!V316/Потребность!$T316</f>
        <v>#DIV/0!</v>
      </c>
      <c r="BA316" s="141">
        <f>Потребность!Q316</f>
        <v>0</v>
      </c>
      <c r="BB316">
        <f>Потребность!AC316</f>
        <v>0</v>
      </c>
      <c r="BC316" s="141">
        <f>Потребность!AD316</f>
        <v>0</v>
      </c>
    </row>
    <row r="317" spans="1:55" x14ac:dyDescent="0.2">
      <c r="A317" s="85"/>
      <c r="B317" s="195"/>
      <c r="C317" s="85"/>
      <c r="D317" s="85"/>
      <c r="E317" s="195"/>
      <c r="F317" s="35"/>
      <c r="G317" s="65"/>
      <c r="H317" s="36"/>
      <c r="I317" s="37"/>
      <c r="J317" s="37"/>
      <c r="K317" s="35"/>
      <c r="L317" s="38"/>
      <c r="M317" s="128"/>
      <c r="N317" s="38"/>
      <c r="O317" s="128"/>
      <c r="P317" s="53"/>
      <c r="Q317" s="45"/>
      <c r="R317" s="45"/>
      <c r="S317" s="45"/>
      <c r="T317" s="46"/>
      <c r="U317" s="120"/>
      <c r="V317" s="120"/>
      <c r="W317" s="120"/>
      <c r="X317" s="121"/>
      <c r="Y317" s="121"/>
      <c r="Z317" s="121"/>
      <c r="AA317" s="121"/>
      <c r="AB317" s="121"/>
      <c r="AC317" s="121"/>
      <c r="AD317" s="122"/>
      <c r="AE317" s="122"/>
      <c r="AF317" s="122"/>
      <c r="AG317" s="66"/>
      <c r="AH317" s="46"/>
      <c r="AI317" s="76"/>
      <c r="AJ317" s="97"/>
      <c r="AK317" s="39"/>
      <c r="AL317" s="102"/>
      <c r="AM317" s="102"/>
      <c r="AN317" s="102"/>
      <c r="AO317" s="102"/>
      <c r="AP317" s="280"/>
      <c r="AQ317" s="10">
        <f>Потребность!AD317</f>
        <v>0</v>
      </c>
      <c r="AR317" s="10">
        <f>SUM(Потребность!K317:M317)</f>
        <v>0</v>
      </c>
      <c r="AS317" s="9" t="e">
        <f>Потребность!AZ317</f>
        <v>#N/A</v>
      </c>
      <c r="AT317" s="9">
        <f>Потребность!J317</f>
        <v>0</v>
      </c>
      <c r="AU317" s="9" t="e">
        <f>Потребность!N317/Потребность!$N317</f>
        <v>#DIV/0!</v>
      </c>
      <c r="AV317" s="9" t="e">
        <f>Потребность!O317/Потребность!$N317</f>
        <v>#DIV/0!</v>
      </c>
      <c r="AW317" s="9" t="e">
        <f>Потребность!P317/Потребность!$N317</f>
        <v>#DIV/0!</v>
      </c>
      <c r="AX317" s="9" t="e">
        <f>Потребность!T317/Потребность!$T317</f>
        <v>#DIV/0!</v>
      </c>
      <c r="AY317" s="9" t="e">
        <f>Потребность!U317/Потребность!$T317</f>
        <v>#DIV/0!</v>
      </c>
      <c r="AZ317" s="9" t="e">
        <f>Потребность!V317/Потребность!$T317</f>
        <v>#DIV/0!</v>
      </c>
      <c r="BA317" s="141">
        <f>Потребность!Q317</f>
        <v>0</v>
      </c>
      <c r="BB317">
        <f>Потребность!AC317</f>
        <v>0</v>
      </c>
      <c r="BC317" s="141">
        <f>Потребность!AD317</f>
        <v>0</v>
      </c>
    </row>
    <row r="318" spans="1:55" x14ac:dyDescent="0.2">
      <c r="A318" s="85"/>
      <c r="B318" s="195"/>
      <c r="C318" s="85"/>
      <c r="D318" s="85"/>
      <c r="E318" s="195"/>
      <c r="F318" s="35"/>
      <c r="G318" s="65"/>
      <c r="H318" s="36"/>
      <c r="I318" s="37"/>
      <c r="J318" s="37"/>
      <c r="K318" s="35"/>
      <c r="L318" s="38"/>
      <c r="M318" s="128"/>
      <c r="N318" s="38"/>
      <c r="O318" s="128"/>
      <c r="P318" s="53"/>
      <c r="Q318" s="45"/>
      <c r="R318" s="45"/>
      <c r="S318" s="45"/>
      <c r="T318" s="46"/>
      <c r="U318" s="120"/>
      <c r="V318" s="120"/>
      <c r="W318" s="120"/>
      <c r="X318" s="121"/>
      <c r="Y318" s="121"/>
      <c r="Z318" s="121"/>
      <c r="AA318" s="121"/>
      <c r="AB318" s="121"/>
      <c r="AC318" s="121"/>
      <c r="AD318" s="122"/>
      <c r="AE318" s="122"/>
      <c r="AF318" s="122"/>
      <c r="AG318" s="66"/>
      <c r="AH318" s="46"/>
      <c r="AI318" s="76"/>
      <c r="AJ318" s="97"/>
      <c r="AK318" s="39"/>
      <c r="AL318" s="102"/>
      <c r="AM318" s="102"/>
      <c r="AN318" s="102"/>
      <c r="AO318" s="102"/>
      <c r="AP318" s="280"/>
      <c r="AQ318" s="10">
        <f>Потребность!AD318</f>
        <v>0</v>
      </c>
      <c r="AR318" s="10">
        <f>SUM(Потребность!K318:M318)</f>
        <v>0</v>
      </c>
      <c r="AS318" s="9" t="e">
        <f>Потребность!AZ318</f>
        <v>#N/A</v>
      </c>
      <c r="AT318" s="9">
        <f>Потребность!J318</f>
        <v>0</v>
      </c>
      <c r="AU318" s="9" t="e">
        <f>Потребность!N318/Потребность!$N318</f>
        <v>#DIV/0!</v>
      </c>
      <c r="AV318" s="9" t="e">
        <f>Потребность!O318/Потребность!$N318</f>
        <v>#DIV/0!</v>
      </c>
      <c r="AW318" s="9" t="e">
        <f>Потребность!P318/Потребность!$N318</f>
        <v>#DIV/0!</v>
      </c>
      <c r="AX318" s="9" t="e">
        <f>Потребность!T318/Потребность!$T318</f>
        <v>#DIV/0!</v>
      </c>
      <c r="AY318" s="9" t="e">
        <f>Потребность!U318/Потребность!$T318</f>
        <v>#DIV/0!</v>
      </c>
      <c r="AZ318" s="9" t="e">
        <f>Потребность!V318/Потребность!$T318</f>
        <v>#DIV/0!</v>
      </c>
      <c r="BA318" s="141">
        <f>Потребность!Q318</f>
        <v>0</v>
      </c>
      <c r="BB318">
        <f>Потребность!AC318</f>
        <v>0</v>
      </c>
      <c r="BC318" s="141">
        <f>Потребность!AD318</f>
        <v>0</v>
      </c>
    </row>
    <row r="319" spans="1:55" x14ac:dyDescent="0.2">
      <c r="A319" s="85"/>
      <c r="B319" s="195"/>
      <c r="C319" s="85"/>
      <c r="D319" s="85"/>
      <c r="E319" s="195"/>
      <c r="F319" s="35"/>
      <c r="G319" s="65"/>
      <c r="H319" s="36"/>
      <c r="I319" s="37"/>
      <c r="J319" s="37"/>
      <c r="K319" s="35"/>
      <c r="L319" s="38"/>
      <c r="M319" s="128"/>
      <c r="N319" s="38"/>
      <c r="O319" s="128"/>
      <c r="P319" s="53"/>
      <c r="Q319" s="45"/>
      <c r="R319" s="45"/>
      <c r="S319" s="45"/>
      <c r="T319" s="46"/>
      <c r="U319" s="120"/>
      <c r="V319" s="120"/>
      <c r="W319" s="120"/>
      <c r="X319" s="121"/>
      <c r="Y319" s="121"/>
      <c r="Z319" s="121"/>
      <c r="AA319" s="121"/>
      <c r="AB319" s="121"/>
      <c r="AC319" s="121"/>
      <c r="AD319" s="122"/>
      <c r="AE319" s="122"/>
      <c r="AF319" s="122"/>
      <c r="AG319" s="66"/>
      <c r="AH319" s="46"/>
      <c r="AI319" s="76"/>
      <c r="AJ319" s="97"/>
      <c r="AK319" s="39"/>
      <c r="AL319" s="102"/>
      <c r="AM319" s="102"/>
      <c r="AN319" s="102"/>
      <c r="AO319" s="102"/>
      <c r="AP319" s="280"/>
      <c r="AQ319" s="10">
        <f>Потребность!AD319</f>
        <v>0</v>
      </c>
      <c r="AR319" s="10">
        <f>SUM(Потребность!K319:M319)</f>
        <v>0</v>
      </c>
      <c r="AS319" s="9" t="e">
        <f>Потребность!AZ319</f>
        <v>#N/A</v>
      </c>
      <c r="AT319" s="9">
        <f>Потребность!J319</f>
        <v>0</v>
      </c>
      <c r="AU319" s="9" t="e">
        <f>Потребность!N319/Потребность!$N319</f>
        <v>#DIV/0!</v>
      </c>
      <c r="AV319" s="9" t="e">
        <f>Потребность!O319/Потребность!$N319</f>
        <v>#DIV/0!</v>
      </c>
      <c r="AW319" s="9" t="e">
        <f>Потребность!P319/Потребность!$N319</f>
        <v>#DIV/0!</v>
      </c>
      <c r="AX319" s="9" t="e">
        <f>Потребность!T319/Потребность!$T319</f>
        <v>#DIV/0!</v>
      </c>
      <c r="AY319" s="9" t="e">
        <f>Потребность!U319/Потребность!$T319</f>
        <v>#DIV/0!</v>
      </c>
      <c r="AZ319" s="9" t="e">
        <f>Потребность!V319/Потребность!$T319</f>
        <v>#DIV/0!</v>
      </c>
      <c r="BA319" s="141">
        <f>Потребность!Q319</f>
        <v>0</v>
      </c>
      <c r="BB319">
        <f>Потребность!AC319</f>
        <v>0</v>
      </c>
      <c r="BC319" s="141">
        <f>Потребность!AD319</f>
        <v>0</v>
      </c>
    </row>
    <row r="320" spans="1:55" x14ac:dyDescent="0.2">
      <c r="A320" s="85"/>
      <c r="B320" s="195"/>
      <c r="C320" s="85"/>
      <c r="D320" s="85"/>
      <c r="E320" s="195"/>
      <c r="F320" s="35"/>
      <c r="G320" s="65"/>
      <c r="H320" s="36"/>
      <c r="I320" s="37"/>
      <c r="J320" s="37"/>
      <c r="K320" s="35"/>
      <c r="L320" s="38"/>
      <c r="M320" s="128"/>
      <c r="N320" s="38"/>
      <c r="O320" s="128"/>
      <c r="P320" s="53"/>
      <c r="Q320" s="45"/>
      <c r="R320" s="45"/>
      <c r="S320" s="45"/>
      <c r="T320" s="46"/>
      <c r="U320" s="120"/>
      <c r="V320" s="120"/>
      <c r="W320" s="120"/>
      <c r="X320" s="121"/>
      <c r="Y320" s="121"/>
      <c r="Z320" s="121"/>
      <c r="AA320" s="121"/>
      <c r="AB320" s="121"/>
      <c r="AC320" s="121"/>
      <c r="AD320" s="122"/>
      <c r="AE320" s="122"/>
      <c r="AF320" s="122"/>
      <c r="AG320" s="66"/>
      <c r="AH320" s="46"/>
      <c r="AI320" s="76"/>
      <c r="AJ320" s="97"/>
      <c r="AK320" s="39"/>
      <c r="AL320" s="102"/>
      <c r="AM320" s="102"/>
      <c r="AN320" s="102"/>
      <c r="AO320" s="102"/>
      <c r="AP320" s="280"/>
      <c r="AQ320" s="10">
        <f>Потребность!AD320</f>
        <v>0</v>
      </c>
      <c r="AR320" s="10">
        <f>SUM(Потребность!K320:M320)</f>
        <v>0</v>
      </c>
      <c r="AS320" s="9" t="e">
        <f>Потребность!AZ320</f>
        <v>#N/A</v>
      </c>
      <c r="AT320" s="9">
        <f>Потребность!J320</f>
        <v>0</v>
      </c>
      <c r="AU320" s="9" t="e">
        <f>Потребность!N320/Потребность!$N320</f>
        <v>#DIV/0!</v>
      </c>
      <c r="AV320" s="9" t="e">
        <f>Потребность!O320/Потребность!$N320</f>
        <v>#DIV/0!</v>
      </c>
      <c r="AW320" s="9" t="e">
        <f>Потребность!P320/Потребность!$N320</f>
        <v>#DIV/0!</v>
      </c>
      <c r="AX320" s="9" t="e">
        <f>Потребность!T320/Потребность!$T320</f>
        <v>#DIV/0!</v>
      </c>
      <c r="AY320" s="9" t="e">
        <f>Потребность!U320/Потребность!$T320</f>
        <v>#DIV/0!</v>
      </c>
      <c r="AZ320" s="9" t="e">
        <f>Потребность!V320/Потребность!$T320</f>
        <v>#DIV/0!</v>
      </c>
      <c r="BA320" s="141">
        <f>Потребность!Q320</f>
        <v>0</v>
      </c>
      <c r="BB320">
        <f>Потребность!AC320</f>
        <v>0</v>
      </c>
      <c r="BC320" s="141">
        <f>Потребность!AD320</f>
        <v>0</v>
      </c>
    </row>
    <row r="321" spans="1:55" x14ac:dyDescent="0.2">
      <c r="A321" s="85"/>
      <c r="B321" s="195"/>
      <c r="C321" s="85"/>
      <c r="D321" s="85"/>
      <c r="E321" s="195"/>
      <c r="F321" s="35"/>
      <c r="G321" s="65"/>
      <c r="H321" s="36"/>
      <c r="I321" s="37"/>
      <c r="J321" s="37"/>
      <c r="K321" s="35"/>
      <c r="L321" s="38"/>
      <c r="M321" s="128"/>
      <c r="N321" s="38"/>
      <c r="O321" s="128"/>
      <c r="P321" s="53"/>
      <c r="Q321" s="45"/>
      <c r="R321" s="45"/>
      <c r="S321" s="45"/>
      <c r="T321" s="46"/>
      <c r="U321" s="120"/>
      <c r="V321" s="120"/>
      <c r="W321" s="120"/>
      <c r="X321" s="121"/>
      <c r="Y321" s="121"/>
      <c r="Z321" s="121"/>
      <c r="AA321" s="121"/>
      <c r="AB321" s="121"/>
      <c r="AC321" s="121"/>
      <c r="AD321" s="122"/>
      <c r="AE321" s="122"/>
      <c r="AF321" s="122"/>
      <c r="AG321" s="66"/>
      <c r="AH321" s="46"/>
      <c r="AI321" s="76"/>
      <c r="AJ321" s="97"/>
      <c r="AK321" s="39"/>
      <c r="AL321" s="102"/>
      <c r="AM321" s="102"/>
      <c r="AN321" s="102"/>
      <c r="AO321" s="102"/>
      <c r="AP321" s="280"/>
      <c r="AQ321" s="10">
        <f>Потребность!AD321</f>
        <v>0</v>
      </c>
      <c r="AR321" s="10">
        <f>SUM(Потребность!K321:M321)</f>
        <v>0</v>
      </c>
      <c r="AS321" s="9" t="e">
        <f>Потребность!AZ321</f>
        <v>#N/A</v>
      </c>
      <c r="AT321" s="9">
        <f>Потребность!J321</f>
        <v>0</v>
      </c>
      <c r="AU321" s="9" t="e">
        <f>Потребность!N321/Потребность!$N321</f>
        <v>#DIV/0!</v>
      </c>
      <c r="AV321" s="9" t="e">
        <f>Потребность!O321/Потребность!$N321</f>
        <v>#DIV/0!</v>
      </c>
      <c r="AW321" s="9" t="e">
        <f>Потребность!P321/Потребность!$N321</f>
        <v>#DIV/0!</v>
      </c>
      <c r="AX321" s="9" t="e">
        <f>Потребность!T321/Потребность!$T321</f>
        <v>#DIV/0!</v>
      </c>
      <c r="AY321" s="9" t="e">
        <f>Потребность!U321/Потребность!$T321</f>
        <v>#DIV/0!</v>
      </c>
      <c r="AZ321" s="9" t="e">
        <f>Потребность!V321/Потребность!$T321</f>
        <v>#DIV/0!</v>
      </c>
      <c r="BA321" s="141">
        <f>Потребность!Q321</f>
        <v>0</v>
      </c>
      <c r="BB321">
        <f>Потребность!AC321</f>
        <v>0</v>
      </c>
      <c r="BC321" s="141">
        <f>Потребность!AD321</f>
        <v>0</v>
      </c>
    </row>
    <row r="322" spans="1:55" x14ac:dyDescent="0.2">
      <c r="A322" s="85"/>
      <c r="B322" s="195"/>
      <c r="C322" s="85"/>
      <c r="D322" s="85"/>
      <c r="E322" s="195"/>
      <c r="F322" s="35"/>
      <c r="G322" s="65"/>
      <c r="H322" s="36"/>
      <c r="I322" s="37"/>
      <c r="J322" s="37"/>
      <c r="K322" s="35"/>
      <c r="L322" s="38"/>
      <c r="M322" s="128"/>
      <c r="N322" s="38"/>
      <c r="O322" s="128"/>
      <c r="P322" s="53"/>
      <c r="Q322" s="45"/>
      <c r="R322" s="45"/>
      <c r="S322" s="45"/>
      <c r="T322" s="46"/>
      <c r="U322" s="120"/>
      <c r="V322" s="120"/>
      <c r="W322" s="120"/>
      <c r="X322" s="121"/>
      <c r="Y322" s="121"/>
      <c r="Z322" s="121"/>
      <c r="AA322" s="121"/>
      <c r="AB322" s="121"/>
      <c r="AC322" s="121"/>
      <c r="AD322" s="122"/>
      <c r="AE322" s="122"/>
      <c r="AF322" s="122"/>
      <c r="AG322" s="66"/>
      <c r="AH322" s="46"/>
      <c r="AI322" s="76"/>
      <c r="AJ322" s="97"/>
      <c r="AK322" s="39"/>
      <c r="AL322" s="102"/>
      <c r="AM322" s="102"/>
      <c r="AN322" s="102"/>
      <c r="AO322" s="102"/>
      <c r="AP322" s="280"/>
      <c r="AQ322" s="10">
        <f>Потребность!AD322</f>
        <v>0</v>
      </c>
      <c r="AR322" s="10">
        <f>SUM(Потребность!K322:M322)</f>
        <v>0</v>
      </c>
      <c r="AS322" s="9" t="e">
        <f>Потребность!AZ322</f>
        <v>#N/A</v>
      </c>
      <c r="AT322" s="9">
        <f>Потребность!J322</f>
        <v>0</v>
      </c>
      <c r="AU322" s="9" t="e">
        <f>Потребность!N322/Потребность!$N322</f>
        <v>#DIV/0!</v>
      </c>
      <c r="AV322" s="9" t="e">
        <f>Потребность!O322/Потребность!$N322</f>
        <v>#DIV/0!</v>
      </c>
      <c r="AW322" s="9" t="e">
        <f>Потребность!P322/Потребность!$N322</f>
        <v>#DIV/0!</v>
      </c>
      <c r="AX322" s="9" t="e">
        <f>Потребность!T322/Потребность!$T322</f>
        <v>#DIV/0!</v>
      </c>
      <c r="AY322" s="9" t="e">
        <f>Потребность!U322/Потребность!$T322</f>
        <v>#DIV/0!</v>
      </c>
      <c r="AZ322" s="9" t="e">
        <f>Потребность!V322/Потребность!$T322</f>
        <v>#DIV/0!</v>
      </c>
      <c r="BA322" s="141">
        <f>Потребность!Q322</f>
        <v>0</v>
      </c>
      <c r="BB322">
        <f>Потребность!AC322</f>
        <v>0</v>
      </c>
      <c r="BC322" s="141">
        <f>Потребность!AD322</f>
        <v>0</v>
      </c>
    </row>
    <row r="323" spans="1:55" x14ac:dyDescent="0.2">
      <c r="A323" s="85"/>
      <c r="B323" s="195"/>
      <c r="C323" s="85"/>
      <c r="D323" s="85"/>
      <c r="E323" s="195"/>
      <c r="F323" s="35"/>
      <c r="G323" s="65"/>
      <c r="H323" s="36"/>
      <c r="I323" s="37"/>
      <c r="J323" s="37"/>
      <c r="K323" s="35"/>
      <c r="L323" s="38"/>
      <c r="M323" s="128"/>
      <c r="N323" s="38"/>
      <c r="O323" s="128"/>
      <c r="P323" s="53"/>
      <c r="Q323" s="45"/>
      <c r="R323" s="45"/>
      <c r="S323" s="45"/>
      <c r="T323" s="46"/>
      <c r="U323" s="120"/>
      <c r="V323" s="120"/>
      <c r="W323" s="120"/>
      <c r="X323" s="121"/>
      <c r="Y323" s="121"/>
      <c r="Z323" s="121"/>
      <c r="AA323" s="121"/>
      <c r="AB323" s="121"/>
      <c r="AC323" s="121"/>
      <c r="AD323" s="122"/>
      <c r="AE323" s="122"/>
      <c r="AF323" s="122"/>
      <c r="AG323" s="66"/>
      <c r="AH323" s="46"/>
      <c r="AI323" s="76"/>
      <c r="AJ323" s="97"/>
      <c r="AK323" s="39"/>
      <c r="AL323" s="102"/>
      <c r="AM323" s="102"/>
      <c r="AN323" s="102"/>
      <c r="AO323" s="102"/>
      <c r="AP323" s="280"/>
      <c r="AQ323" s="10">
        <f>Потребность!AD323</f>
        <v>0</v>
      </c>
      <c r="AR323" s="10">
        <f>SUM(Потребность!K323:M323)</f>
        <v>0</v>
      </c>
      <c r="AS323" s="9" t="e">
        <f>Потребность!AZ323</f>
        <v>#N/A</v>
      </c>
      <c r="AT323" s="9">
        <f>Потребность!J323</f>
        <v>0</v>
      </c>
      <c r="AU323" s="9" t="e">
        <f>Потребность!N323/Потребность!$N323</f>
        <v>#DIV/0!</v>
      </c>
      <c r="AV323" s="9" t="e">
        <f>Потребность!O323/Потребность!$N323</f>
        <v>#DIV/0!</v>
      </c>
      <c r="AW323" s="9" t="e">
        <f>Потребность!P323/Потребность!$N323</f>
        <v>#DIV/0!</v>
      </c>
      <c r="AX323" s="9" t="e">
        <f>Потребность!T323/Потребность!$T323</f>
        <v>#DIV/0!</v>
      </c>
      <c r="AY323" s="9" t="e">
        <f>Потребность!U323/Потребность!$T323</f>
        <v>#DIV/0!</v>
      </c>
      <c r="AZ323" s="9" t="e">
        <f>Потребность!V323/Потребность!$T323</f>
        <v>#DIV/0!</v>
      </c>
      <c r="BA323" s="141">
        <f>Потребность!Q323</f>
        <v>0</v>
      </c>
      <c r="BB323">
        <f>Потребность!AC323</f>
        <v>0</v>
      </c>
      <c r="BC323" s="141">
        <f>Потребность!AD323</f>
        <v>0</v>
      </c>
    </row>
    <row r="324" spans="1:55" x14ac:dyDescent="0.2">
      <c r="A324" s="85"/>
      <c r="B324" s="195"/>
      <c r="C324" s="85"/>
      <c r="D324" s="85"/>
      <c r="E324" s="195"/>
      <c r="F324" s="35"/>
      <c r="G324" s="65"/>
      <c r="H324" s="36"/>
      <c r="I324" s="37"/>
      <c r="J324" s="37"/>
      <c r="K324" s="35"/>
      <c r="L324" s="38"/>
      <c r="M324" s="128"/>
      <c r="N324" s="38"/>
      <c r="O324" s="128"/>
      <c r="P324" s="53"/>
      <c r="Q324" s="45"/>
      <c r="R324" s="45"/>
      <c r="S324" s="45"/>
      <c r="T324" s="46"/>
      <c r="U324" s="120"/>
      <c r="V324" s="120"/>
      <c r="W324" s="120"/>
      <c r="X324" s="121"/>
      <c r="Y324" s="121"/>
      <c r="Z324" s="121"/>
      <c r="AA324" s="121"/>
      <c r="AB324" s="121"/>
      <c r="AC324" s="121"/>
      <c r="AD324" s="122"/>
      <c r="AE324" s="122"/>
      <c r="AF324" s="122"/>
      <c r="AG324" s="66"/>
      <c r="AH324" s="46"/>
      <c r="AI324" s="76"/>
      <c r="AJ324" s="97"/>
      <c r="AK324" s="39"/>
      <c r="AL324" s="102"/>
      <c r="AM324" s="102"/>
      <c r="AN324" s="102"/>
      <c r="AO324" s="102"/>
      <c r="AP324" s="280"/>
      <c r="AQ324" s="10">
        <f>Потребность!AD324</f>
        <v>0</v>
      </c>
      <c r="AR324" s="10">
        <f>SUM(Потребность!K324:M324)</f>
        <v>0</v>
      </c>
      <c r="AS324" s="9" t="e">
        <f>Потребность!AZ324</f>
        <v>#N/A</v>
      </c>
      <c r="AT324" s="9">
        <f>Потребность!J324</f>
        <v>0</v>
      </c>
      <c r="AU324" s="9" t="e">
        <f>Потребность!N324/Потребность!$N324</f>
        <v>#DIV/0!</v>
      </c>
      <c r="AV324" s="9" t="e">
        <f>Потребность!O324/Потребность!$N324</f>
        <v>#DIV/0!</v>
      </c>
      <c r="AW324" s="9" t="e">
        <f>Потребность!P324/Потребность!$N324</f>
        <v>#DIV/0!</v>
      </c>
      <c r="AX324" s="9" t="e">
        <f>Потребность!T324/Потребность!$T324</f>
        <v>#DIV/0!</v>
      </c>
      <c r="AY324" s="9" t="e">
        <f>Потребность!U324/Потребность!$T324</f>
        <v>#DIV/0!</v>
      </c>
      <c r="AZ324" s="9" t="e">
        <f>Потребность!V324/Потребность!$T324</f>
        <v>#DIV/0!</v>
      </c>
      <c r="BA324" s="141">
        <f>Потребность!Q324</f>
        <v>0</v>
      </c>
      <c r="BB324">
        <f>Потребность!AC324</f>
        <v>0</v>
      </c>
      <c r="BC324" s="141">
        <f>Потребность!AD324</f>
        <v>0</v>
      </c>
    </row>
    <row r="325" spans="1:55" x14ac:dyDescent="0.2">
      <c r="A325" s="85"/>
      <c r="B325" s="195"/>
      <c r="C325" s="85"/>
      <c r="D325" s="85"/>
      <c r="E325" s="195"/>
      <c r="F325" s="35"/>
      <c r="G325" s="65"/>
      <c r="H325" s="36"/>
      <c r="I325" s="37"/>
      <c r="J325" s="37"/>
      <c r="K325" s="35"/>
      <c r="L325" s="38"/>
      <c r="M325" s="128"/>
      <c r="N325" s="38"/>
      <c r="O325" s="128"/>
      <c r="P325" s="53"/>
      <c r="Q325" s="45"/>
      <c r="R325" s="45"/>
      <c r="S325" s="45"/>
      <c r="T325" s="46"/>
      <c r="U325" s="120"/>
      <c r="V325" s="120"/>
      <c r="W325" s="120"/>
      <c r="X325" s="121"/>
      <c r="Y325" s="121"/>
      <c r="Z325" s="121"/>
      <c r="AA325" s="121"/>
      <c r="AB325" s="121"/>
      <c r="AC325" s="121"/>
      <c r="AD325" s="122"/>
      <c r="AE325" s="122"/>
      <c r="AF325" s="122"/>
      <c r="AG325" s="66"/>
      <c r="AH325" s="46"/>
      <c r="AI325" s="76"/>
      <c r="AJ325" s="97"/>
      <c r="AK325" s="39"/>
      <c r="AL325" s="102"/>
      <c r="AM325" s="102"/>
      <c r="AN325" s="102"/>
      <c r="AO325" s="102"/>
      <c r="AP325" s="280"/>
      <c r="AQ325" s="10">
        <f>Потребность!AD325</f>
        <v>0</v>
      </c>
      <c r="AR325" s="10">
        <f>SUM(Потребность!K325:M325)</f>
        <v>0</v>
      </c>
      <c r="AS325" s="9" t="e">
        <f>Потребность!AZ325</f>
        <v>#N/A</v>
      </c>
      <c r="AT325" s="9">
        <f>Потребность!J325</f>
        <v>0</v>
      </c>
      <c r="AU325" s="9" t="e">
        <f>Потребность!N325/Потребность!$N325</f>
        <v>#DIV/0!</v>
      </c>
      <c r="AV325" s="9" t="e">
        <f>Потребность!O325/Потребность!$N325</f>
        <v>#DIV/0!</v>
      </c>
      <c r="AW325" s="9" t="e">
        <f>Потребность!P325/Потребность!$N325</f>
        <v>#DIV/0!</v>
      </c>
      <c r="AX325" s="9" t="e">
        <f>Потребность!T325/Потребность!$T325</f>
        <v>#DIV/0!</v>
      </c>
      <c r="AY325" s="9" t="e">
        <f>Потребность!U325/Потребность!$T325</f>
        <v>#DIV/0!</v>
      </c>
      <c r="AZ325" s="9" t="e">
        <f>Потребность!V325/Потребность!$T325</f>
        <v>#DIV/0!</v>
      </c>
      <c r="BA325" s="141">
        <f>Потребность!Q325</f>
        <v>0</v>
      </c>
      <c r="BB325">
        <f>Потребность!AC325</f>
        <v>0</v>
      </c>
      <c r="BC325" s="141">
        <f>Потребность!AD325</f>
        <v>0</v>
      </c>
    </row>
    <row r="326" spans="1:55" x14ac:dyDescent="0.2">
      <c r="A326" s="85"/>
      <c r="B326" s="195"/>
      <c r="C326" s="85"/>
      <c r="D326" s="85"/>
      <c r="E326" s="195"/>
      <c r="F326" s="35"/>
      <c r="G326" s="65"/>
      <c r="H326" s="36"/>
      <c r="I326" s="37"/>
      <c r="J326" s="37"/>
      <c r="K326" s="35"/>
      <c r="L326" s="38"/>
      <c r="M326" s="128"/>
      <c r="N326" s="38"/>
      <c r="O326" s="128"/>
      <c r="P326" s="53"/>
      <c r="Q326" s="45"/>
      <c r="R326" s="45"/>
      <c r="S326" s="45"/>
      <c r="T326" s="46"/>
      <c r="U326" s="120"/>
      <c r="V326" s="120"/>
      <c r="W326" s="120"/>
      <c r="X326" s="121"/>
      <c r="Y326" s="121"/>
      <c r="Z326" s="121"/>
      <c r="AA326" s="121"/>
      <c r="AB326" s="121"/>
      <c r="AC326" s="121"/>
      <c r="AD326" s="122"/>
      <c r="AE326" s="122"/>
      <c r="AF326" s="122"/>
      <c r="AG326" s="66"/>
      <c r="AH326" s="46"/>
      <c r="AI326" s="76"/>
      <c r="AJ326" s="97"/>
      <c r="AK326" s="39"/>
      <c r="AL326" s="102"/>
      <c r="AM326" s="102"/>
      <c r="AN326" s="102"/>
      <c r="AO326" s="102"/>
      <c r="AP326" s="280"/>
      <c r="AQ326" s="10">
        <f>Потребность!AD326</f>
        <v>0</v>
      </c>
      <c r="AR326" s="10">
        <f>SUM(Потребность!K326:M326)</f>
        <v>0</v>
      </c>
      <c r="AS326" s="9" t="e">
        <f>Потребность!AZ326</f>
        <v>#N/A</v>
      </c>
      <c r="AT326" s="9">
        <f>Потребность!J326</f>
        <v>0</v>
      </c>
      <c r="AU326" s="9" t="e">
        <f>Потребность!N326/Потребность!$N326</f>
        <v>#DIV/0!</v>
      </c>
      <c r="AV326" s="9" t="e">
        <f>Потребность!O326/Потребность!$N326</f>
        <v>#DIV/0!</v>
      </c>
      <c r="AW326" s="9" t="e">
        <f>Потребность!P326/Потребность!$N326</f>
        <v>#DIV/0!</v>
      </c>
      <c r="AX326" s="9" t="e">
        <f>Потребность!T326/Потребность!$T326</f>
        <v>#DIV/0!</v>
      </c>
      <c r="AY326" s="9" t="e">
        <f>Потребность!U326/Потребность!$T326</f>
        <v>#DIV/0!</v>
      </c>
      <c r="AZ326" s="9" t="e">
        <f>Потребность!V326/Потребность!$T326</f>
        <v>#DIV/0!</v>
      </c>
      <c r="BA326" s="141">
        <f>Потребность!Q326</f>
        <v>0</v>
      </c>
      <c r="BB326">
        <f>Потребность!AC326</f>
        <v>0</v>
      </c>
      <c r="BC326" s="141">
        <f>Потребность!AD326</f>
        <v>0</v>
      </c>
    </row>
    <row r="327" spans="1:55" x14ac:dyDescent="0.2">
      <c r="A327" s="85"/>
      <c r="B327" s="195"/>
      <c r="C327" s="85"/>
      <c r="D327" s="85"/>
      <c r="E327" s="195"/>
      <c r="F327" s="35"/>
      <c r="G327" s="65"/>
      <c r="H327" s="36"/>
      <c r="I327" s="37"/>
      <c r="J327" s="37"/>
      <c r="K327" s="35"/>
      <c r="L327" s="38"/>
      <c r="M327" s="128"/>
      <c r="N327" s="38"/>
      <c r="O327" s="128"/>
      <c r="P327" s="53"/>
      <c r="Q327" s="45"/>
      <c r="R327" s="45"/>
      <c r="S327" s="45"/>
      <c r="T327" s="46"/>
      <c r="U327" s="120"/>
      <c r="V327" s="120"/>
      <c r="W327" s="120"/>
      <c r="X327" s="121"/>
      <c r="Y327" s="121"/>
      <c r="Z327" s="121"/>
      <c r="AA327" s="121"/>
      <c r="AB327" s="121"/>
      <c r="AC327" s="121"/>
      <c r="AD327" s="122"/>
      <c r="AE327" s="122"/>
      <c r="AF327" s="122"/>
      <c r="AG327" s="66"/>
      <c r="AH327" s="46"/>
      <c r="AI327" s="76"/>
      <c r="AJ327" s="97"/>
      <c r="AK327" s="39"/>
      <c r="AL327" s="102"/>
      <c r="AM327" s="102"/>
      <c r="AN327" s="102"/>
      <c r="AO327" s="102"/>
      <c r="AP327" s="280"/>
      <c r="AQ327" s="10">
        <f>Потребность!AD327</f>
        <v>0</v>
      </c>
      <c r="AR327" s="10">
        <f>SUM(Потребность!K327:M327)</f>
        <v>0</v>
      </c>
      <c r="AS327" s="9" t="e">
        <f>Потребность!AZ327</f>
        <v>#N/A</v>
      </c>
      <c r="AT327" s="9">
        <f>Потребность!J327</f>
        <v>0</v>
      </c>
      <c r="AU327" s="9" t="e">
        <f>Потребность!N327/Потребность!$N327</f>
        <v>#DIV/0!</v>
      </c>
      <c r="AV327" s="9" t="e">
        <f>Потребность!O327/Потребность!$N327</f>
        <v>#DIV/0!</v>
      </c>
      <c r="AW327" s="9" t="e">
        <f>Потребность!P327/Потребность!$N327</f>
        <v>#DIV/0!</v>
      </c>
      <c r="AX327" s="9" t="e">
        <f>Потребность!T327/Потребность!$T327</f>
        <v>#DIV/0!</v>
      </c>
      <c r="AY327" s="9" t="e">
        <f>Потребность!U327/Потребность!$T327</f>
        <v>#DIV/0!</v>
      </c>
      <c r="AZ327" s="9" t="e">
        <f>Потребность!V327/Потребность!$T327</f>
        <v>#DIV/0!</v>
      </c>
      <c r="BA327" s="141">
        <f>Потребность!Q327</f>
        <v>0</v>
      </c>
      <c r="BB327">
        <f>Потребность!AC327</f>
        <v>0</v>
      </c>
      <c r="BC327" s="141">
        <f>Потребность!AD327</f>
        <v>0</v>
      </c>
    </row>
    <row r="328" spans="1:55" x14ac:dyDescent="0.2">
      <c r="A328" s="85"/>
      <c r="B328" s="195"/>
      <c r="C328" s="85"/>
      <c r="D328" s="85"/>
      <c r="E328" s="195"/>
      <c r="F328" s="35"/>
      <c r="G328" s="65"/>
      <c r="H328" s="36"/>
      <c r="I328" s="37"/>
      <c r="J328" s="37"/>
      <c r="K328" s="35"/>
      <c r="L328" s="38"/>
      <c r="M328" s="128"/>
      <c r="N328" s="38"/>
      <c r="O328" s="128"/>
      <c r="P328" s="53"/>
      <c r="Q328" s="45"/>
      <c r="R328" s="45"/>
      <c r="S328" s="45"/>
      <c r="T328" s="46"/>
      <c r="U328" s="120"/>
      <c r="V328" s="120"/>
      <c r="W328" s="120"/>
      <c r="X328" s="121"/>
      <c r="Y328" s="121"/>
      <c r="Z328" s="121"/>
      <c r="AA328" s="121"/>
      <c r="AB328" s="121"/>
      <c r="AC328" s="121"/>
      <c r="AD328" s="122"/>
      <c r="AE328" s="122"/>
      <c r="AF328" s="122"/>
      <c r="AG328" s="66"/>
      <c r="AH328" s="46"/>
      <c r="AI328" s="76"/>
      <c r="AJ328" s="97"/>
      <c r="AK328" s="39"/>
      <c r="AL328" s="102"/>
      <c r="AM328" s="102"/>
      <c r="AN328" s="102"/>
      <c r="AO328" s="102"/>
      <c r="AP328" s="280"/>
      <c r="AQ328" s="10">
        <f>Потребность!AD328</f>
        <v>0</v>
      </c>
      <c r="AR328" s="10">
        <f>SUM(Потребность!K328:M328)</f>
        <v>0</v>
      </c>
      <c r="AS328" s="9" t="e">
        <f>Потребность!AZ328</f>
        <v>#N/A</v>
      </c>
      <c r="AT328" s="9">
        <f>Потребность!J328</f>
        <v>0</v>
      </c>
      <c r="AU328" s="9" t="e">
        <f>Потребность!N328/Потребность!$N328</f>
        <v>#DIV/0!</v>
      </c>
      <c r="AV328" s="9" t="e">
        <f>Потребность!O328/Потребность!$N328</f>
        <v>#DIV/0!</v>
      </c>
      <c r="AW328" s="9" t="e">
        <f>Потребность!P328/Потребность!$N328</f>
        <v>#DIV/0!</v>
      </c>
      <c r="AX328" s="9" t="e">
        <f>Потребность!T328/Потребность!$T328</f>
        <v>#DIV/0!</v>
      </c>
      <c r="AY328" s="9" t="e">
        <f>Потребность!U328/Потребность!$T328</f>
        <v>#DIV/0!</v>
      </c>
      <c r="AZ328" s="9" t="e">
        <f>Потребность!V328/Потребность!$T328</f>
        <v>#DIV/0!</v>
      </c>
      <c r="BA328" s="141">
        <f>Потребность!Q328</f>
        <v>0</v>
      </c>
      <c r="BB328">
        <f>Потребность!AC328</f>
        <v>0</v>
      </c>
      <c r="BC328" s="141">
        <f>Потребность!AD328</f>
        <v>0</v>
      </c>
    </row>
    <row r="329" spans="1:55" x14ac:dyDescent="0.2">
      <c r="A329" s="85"/>
      <c r="B329" s="195"/>
      <c r="C329" s="85"/>
      <c r="D329" s="85"/>
      <c r="E329" s="195"/>
      <c r="F329" s="35"/>
      <c r="G329" s="65"/>
      <c r="H329" s="36"/>
      <c r="I329" s="37"/>
      <c r="J329" s="37"/>
      <c r="K329" s="35"/>
      <c r="L329" s="38"/>
      <c r="M329" s="128"/>
      <c r="N329" s="38"/>
      <c r="O329" s="128"/>
      <c r="P329" s="53"/>
      <c r="Q329" s="45"/>
      <c r="R329" s="45"/>
      <c r="S329" s="45"/>
      <c r="T329" s="46"/>
      <c r="U329" s="120"/>
      <c r="V329" s="120"/>
      <c r="W329" s="120"/>
      <c r="X329" s="121"/>
      <c r="Y329" s="121"/>
      <c r="Z329" s="121"/>
      <c r="AA329" s="121"/>
      <c r="AB329" s="121"/>
      <c r="AC329" s="121"/>
      <c r="AD329" s="122"/>
      <c r="AE329" s="122"/>
      <c r="AF329" s="122"/>
      <c r="AG329" s="66"/>
      <c r="AH329" s="46"/>
      <c r="AI329" s="76"/>
      <c r="AJ329" s="97"/>
      <c r="AK329" s="39"/>
      <c r="AL329" s="102"/>
      <c r="AM329" s="102"/>
      <c r="AN329" s="102"/>
      <c r="AO329" s="102"/>
      <c r="AP329" s="280"/>
      <c r="AQ329" s="10">
        <f>Потребность!AD329</f>
        <v>0</v>
      </c>
      <c r="AR329" s="10">
        <f>SUM(Потребность!K329:M329)</f>
        <v>0</v>
      </c>
      <c r="AS329" s="9" t="e">
        <f>Потребность!AZ329</f>
        <v>#N/A</v>
      </c>
      <c r="AT329" s="9">
        <f>Потребность!J329</f>
        <v>0</v>
      </c>
      <c r="AU329" s="9" t="e">
        <f>Потребность!N329/Потребность!$N329</f>
        <v>#DIV/0!</v>
      </c>
      <c r="AV329" s="9" t="e">
        <f>Потребность!O329/Потребность!$N329</f>
        <v>#DIV/0!</v>
      </c>
      <c r="AW329" s="9" t="e">
        <f>Потребность!P329/Потребность!$N329</f>
        <v>#DIV/0!</v>
      </c>
      <c r="AX329" s="9" t="e">
        <f>Потребность!T329/Потребность!$T329</f>
        <v>#DIV/0!</v>
      </c>
      <c r="AY329" s="9" t="e">
        <f>Потребность!U329/Потребность!$T329</f>
        <v>#DIV/0!</v>
      </c>
      <c r="AZ329" s="9" t="e">
        <f>Потребность!V329/Потребность!$T329</f>
        <v>#DIV/0!</v>
      </c>
      <c r="BA329" s="141">
        <f>Потребность!Q329</f>
        <v>0</v>
      </c>
      <c r="BB329">
        <f>Потребность!AC329</f>
        <v>0</v>
      </c>
      <c r="BC329" s="141">
        <f>Потребность!AD329</f>
        <v>0</v>
      </c>
    </row>
    <row r="330" spans="1:55" x14ac:dyDescent="0.2">
      <c r="A330" s="85"/>
      <c r="B330" s="195"/>
      <c r="C330" s="85"/>
      <c r="D330" s="85"/>
      <c r="E330" s="195"/>
      <c r="F330" s="35"/>
      <c r="G330" s="65"/>
      <c r="H330" s="36"/>
      <c r="I330" s="37"/>
      <c r="J330" s="37"/>
      <c r="K330" s="35"/>
      <c r="L330" s="38"/>
      <c r="M330" s="128"/>
      <c r="N330" s="38"/>
      <c r="O330" s="128"/>
      <c r="P330" s="53"/>
      <c r="Q330" s="45"/>
      <c r="R330" s="45"/>
      <c r="S330" s="45"/>
      <c r="T330" s="46"/>
      <c r="U330" s="120"/>
      <c r="V330" s="120"/>
      <c r="W330" s="120"/>
      <c r="X330" s="121"/>
      <c r="Y330" s="121"/>
      <c r="Z330" s="121"/>
      <c r="AA330" s="121"/>
      <c r="AB330" s="121"/>
      <c r="AC330" s="121"/>
      <c r="AD330" s="122"/>
      <c r="AE330" s="122"/>
      <c r="AF330" s="122"/>
      <c r="AG330" s="66"/>
      <c r="AH330" s="46"/>
      <c r="AI330" s="76"/>
      <c r="AJ330" s="97"/>
      <c r="AK330" s="39"/>
      <c r="AL330" s="102"/>
      <c r="AM330" s="102"/>
      <c r="AN330" s="102"/>
      <c r="AO330" s="102"/>
      <c r="AP330" s="280"/>
      <c r="AQ330" s="10">
        <f>Потребность!AD330</f>
        <v>0</v>
      </c>
      <c r="AR330" s="10">
        <f>SUM(Потребность!K330:M330)</f>
        <v>0</v>
      </c>
      <c r="AS330" s="9" t="e">
        <f>Потребность!AZ330</f>
        <v>#N/A</v>
      </c>
      <c r="AT330" s="9">
        <f>Потребность!J330</f>
        <v>0</v>
      </c>
      <c r="AU330" s="9" t="e">
        <f>Потребность!N330/Потребность!$N330</f>
        <v>#DIV/0!</v>
      </c>
      <c r="AV330" s="9" t="e">
        <f>Потребность!O330/Потребность!$N330</f>
        <v>#DIV/0!</v>
      </c>
      <c r="AW330" s="9" t="e">
        <f>Потребность!P330/Потребность!$N330</f>
        <v>#DIV/0!</v>
      </c>
      <c r="AX330" s="9" t="e">
        <f>Потребность!T330/Потребность!$T330</f>
        <v>#DIV/0!</v>
      </c>
      <c r="AY330" s="9" t="e">
        <f>Потребность!U330/Потребность!$T330</f>
        <v>#DIV/0!</v>
      </c>
      <c r="AZ330" s="9" t="e">
        <f>Потребность!V330/Потребность!$T330</f>
        <v>#DIV/0!</v>
      </c>
      <c r="BA330" s="141">
        <f>Потребность!Q330</f>
        <v>0</v>
      </c>
      <c r="BB330">
        <f>Потребность!AC330</f>
        <v>0</v>
      </c>
      <c r="BC330" s="141">
        <f>Потребность!AD330</f>
        <v>0</v>
      </c>
    </row>
    <row r="331" spans="1:55" x14ac:dyDescent="0.2">
      <c r="A331" s="85"/>
      <c r="B331" s="195"/>
      <c r="C331" s="85"/>
      <c r="D331" s="85"/>
      <c r="E331" s="195"/>
      <c r="F331" s="35"/>
      <c r="G331" s="65"/>
      <c r="H331" s="36"/>
      <c r="I331" s="37"/>
      <c r="J331" s="37"/>
      <c r="K331" s="35"/>
      <c r="L331" s="38"/>
      <c r="M331" s="128"/>
      <c r="N331" s="38"/>
      <c r="O331" s="128"/>
      <c r="P331" s="53"/>
      <c r="Q331" s="45"/>
      <c r="R331" s="45"/>
      <c r="S331" s="45"/>
      <c r="T331" s="46"/>
      <c r="U331" s="120"/>
      <c r="V331" s="120"/>
      <c r="W331" s="120"/>
      <c r="X331" s="121"/>
      <c r="Y331" s="121"/>
      <c r="Z331" s="121"/>
      <c r="AA331" s="121"/>
      <c r="AB331" s="121"/>
      <c r="AC331" s="121"/>
      <c r="AD331" s="122"/>
      <c r="AE331" s="122"/>
      <c r="AF331" s="122"/>
      <c r="AG331" s="66"/>
      <c r="AH331" s="46"/>
      <c r="AI331" s="76"/>
      <c r="AJ331" s="97"/>
      <c r="AK331" s="39"/>
      <c r="AL331" s="102"/>
      <c r="AM331" s="102"/>
      <c r="AN331" s="102"/>
      <c r="AO331" s="102"/>
      <c r="AP331" s="280"/>
      <c r="AQ331" s="10">
        <f>Потребность!AD331</f>
        <v>0</v>
      </c>
      <c r="AR331" s="10">
        <f>SUM(Потребность!K331:M331)</f>
        <v>0</v>
      </c>
      <c r="AS331" s="9" t="e">
        <f>Потребность!AZ331</f>
        <v>#N/A</v>
      </c>
      <c r="AT331" s="9">
        <f>Потребность!J331</f>
        <v>0</v>
      </c>
      <c r="AU331" s="9" t="e">
        <f>Потребность!N331/Потребность!$N331</f>
        <v>#DIV/0!</v>
      </c>
      <c r="AV331" s="9" t="e">
        <f>Потребность!O331/Потребность!$N331</f>
        <v>#DIV/0!</v>
      </c>
      <c r="AW331" s="9" t="e">
        <f>Потребность!P331/Потребность!$N331</f>
        <v>#DIV/0!</v>
      </c>
      <c r="AX331" s="9" t="e">
        <f>Потребность!T331/Потребность!$T331</f>
        <v>#DIV/0!</v>
      </c>
      <c r="AY331" s="9" t="e">
        <f>Потребность!U331/Потребность!$T331</f>
        <v>#DIV/0!</v>
      </c>
      <c r="AZ331" s="9" t="e">
        <f>Потребность!V331/Потребность!$T331</f>
        <v>#DIV/0!</v>
      </c>
      <c r="BA331" s="141">
        <f>Потребность!Q331</f>
        <v>0</v>
      </c>
      <c r="BB331">
        <f>Потребность!AC331</f>
        <v>0</v>
      </c>
      <c r="BC331" s="141">
        <f>Потребность!AD331</f>
        <v>0</v>
      </c>
    </row>
    <row r="332" spans="1:55" x14ac:dyDescent="0.2">
      <c r="A332" s="85"/>
      <c r="B332" s="195"/>
      <c r="C332" s="85"/>
      <c r="D332" s="85"/>
      <c r="E332" s="195"/>
      <c r="F332" s="35"/>
      <c r="G332" s="65"/>
      <c r="H332" s="36"/>
      <c r="I332" s="37"/>
      <c r="J332" s="37"/>
      <c r="K332" s="35"/>
      <c r="L332" s="38"/>
      <c r="M332" s="128"/>
      <c r="N332" s="38"/>
      <c r="O332" s="128"/>
      <c r="P332" s="53"/>
      <c r="Q332" s="45"/>
      <c r="R332" s="45"/>
      <c r="S332" s="45"/>
      <c r="T332" s="46"/>
      <c r="U332" s="120"/>
      <c r="V332" s="120"/>
      <c r="W332" s="120"/>
      <c r="X332" s="121"/>
      <c r="Y332" s="121"/>
      <c r="Z332" s="121"/>
      <c r="AA332" s="121"/>
      <c r="AB332" s="121"/>
      <c r="AC332" s="121"/>
      <c r="AD332" s="122"/>
      <c r="AE332" s="122"/>
      <c r="AF332" s="122"/>
      <c r="AG332" s="66"/>
      <c r="AH332" s="46"/>
      <c r="AI332" s="76"/>
      <c r="AJ332" s="97"/>
      <c r="AK332" s="39"/>
      <c r="AL332" s="102"/>
      <c r="AM332" s="102"/>
      <c r="AN332" s="102"/>
      <c r="AO332" s="102"/>
      <c r="AP332" s="280"/>
      <c r="AQ332" s="10">
        <f>Потребность!AD332</f>
        <v>0</v>
      </c>
      <c r="AR332" s="10">
        <f>SUM(Потребность!K332:M332)</f>
        <v>0</v>
      </c>
      <c r="AS332" s="9" t="e">
        <f>Потребность!AZ332</f>
        <v>#N/A</v>
      </c>
      <c r="AT332" s="9">
        <f>Потребность!J332</f>
        <v>0</v>
      </c>
      <c r="AU332" s="9" t="e">
        <f>Потребность!N332/Потребность!$N332</f>
        <v>#DIV/0!</v>
      </c>
      <c r="AV332" s="9" t="e">
        <f>Потребность!O332/Потребность!$N332</f>
        <v>#DIV/0!</v>
      </c>
      <c r="AW332" s="9" t="e">
        <f>Потребность!P332/Потребность!$N332</f>
        <v>#DIV/0!</v>
      </c>
      <c r="AX332" s="9" t="e">
        <f>Потребность!T332/Потребность!$T332</f>
        <v>#DIV/0!</v>
      </c>
      <c r="AY332" s="9" t="e">
        <f>Потребность!U332/Потребность!$T332</f>
        <v>#DIV/0!</v>
      </c>
      <c r="AZ332" s="9" t="e">
        <f>Потребность!V332/Потребность!$T332</f>
        <v>#DIV/0!</v>
      </c>
      <c r="BA332" s="141">
        <f>Потребность!Q332</f>
        <v>0</v>
      </c>
      <c r="BB332">
        <f>Потребность!AC332</f>
        <v>0</v>
      </c>
      <c r="BC332" s="141">
        <f>Потребность!AD332</f>
        <v>0</v>
      </c>
    </row>
    <row r="333" spans="1:55" x14ac:dyDescent="0.2">
      <c r="A333" s="85"/>
      <c r="B333" s="195"/>
      <c r="C333" s="85"/>
      <c r="D333" s="85"/>
      <c r="E333" s="195"/>
      <c r="F333" s="35"/>
      <c r="G333" s="65"/>
      <c r="H333" s="36"/>
      <c r="I333" s="37"/>
      <c r="J333" s="37"/>
      <c r="K333" s="35"/>
      <c r="L333" s="38"/>
      <c r="M333" s="128"/>
      <c r="N333" s="38"/>
      <c r="O333" s="128"/>
      <c r="P333" s="53"/>
      <c r="Q333" s="45"/>
      <c r="R333" s="45"/>
      <c r="S333" s="45"/>
      <c r="T333" s="46"/>
      <c r="U333" s="120"/>
      <c r="V333" s="120"/>
      <c r="W333" s="120"/>
      <c r="X333" s="121"/>
      <c r="Y333" s="121"/>
      <c r="Z333" s="121"/>
      <c r="AA333" s="121"/>
      <c r="AB333" s="121"/>
      <c r="AC333" s="121"/>
      <c r="AD333" s="122"/>
      <c r="AE333" s="122"/>
      <c r="AF333" s="122"/>
      <c r="AG333" s="66"/>
      <c r="AH333" s="46"/>
      <c r="AI333" s="76"/>
      <c r="AJ333" s="97"/>
      <c r="AK333" s="39"/>
      <c r="AL333" s="102"/>
      <c r="AM333" s="102"/>
      <c r="AN333" s="102"/>
      <c r="AO333" s="102"/>
      <c r="AP333" s="280"/>
      <c r="AQ333" s="10">
        <f>Потребность!AD333</f>
        <v>0</v>
      </c>
      <c r="AR333" s="10">
        <f>SUM(Потребность!K333:M333)</f>
        <v>0</v>
      </c>
      <c r="AS333" s="9" t="e">
        <f>Потребность!AZ333</f>
        <v>#N/A</v>
      </c>
      <c r="AT333" s="9">
        <f>Потребность!J333</f>
        <v>0</v>
      </c>
      <c r="AU333" s="9" t="e">
        <f>Потребность!N333/Потребность!$N333</f>
        <v>#DIV/0!</v>
      </c>
      <c r="AV333" s="9" t="e">
        <f>Потребность!O333/Потребность!$N333</f>
        <v>#DIV/0!</v>
      </c>
      <c r="AW333" s="9" t="e">
        <f>Потребность!P333/Потребность!$N333</f>
        <v>#DIV/0!</v>
      </c>
      <c r="AX333" s="9" t="e">
        <f>Потребность!T333/Потребность!$T333</f>
        <v>#DIV/0!</v>
      </c>
      <c r="AY333" s="9" t="e">
        <f>Потребность!U333/Потребность!$T333</f>
        <v>#DIV/0!</v>
      </c>
      <c r="AZ333" s="9" t="e">
        <f>Потребность!V333/Потребность!$T333</f>
        <v>#DIV/0!</v>
      </c>
      <c r="BA333" s="141">
        <f>Потребность!Q333</f>
        <v>0</v>
      </c>
      <c r="BB333">
        <f>Потребность!AC333</f>
        <v>0</v>
      </c>
      <c r="BC333" s="141">
        <f>Потребность!AD333</f>
        <v>0</v>
      </c>
    </row>
    <row r="334" spans="1:55" x14ac:dyDescent="0.2">
      <c r="A334" s="85"/>
      <c r="B334" s="195"/>
      <c r="C334" s="85"/>
      <c r="D334" s="85"/>
      <c r="E334" s="195"/>
      <c r="F334" s="35"/>
      <c r="G334" s="65"/>
      <c r="H334" s="36"/>
      <c r="I334" s="37"/>
      <c r="J334" s="37"/>
      <c r="K334" s="35"/>
      <c r="L334" s="38"/>
      <c r="M334" s="128"/>
      <c r="N334" s="38"/>
      <c r="O334" s="128"/>
      <c r="P334" s="53"/>
      <c r="Q334" s="45"/>
      <c r="R334" s="45"/>
      <c r="S334" s="45"/>
      <c r="T334" s="46"/>
      <c r="U334" s="120"/>
      <c r="V334" s="120"/>
      <c r="W334" s="120"/>
      <c r="X334" s="121"/>
      <c r="Y334" s="121"/>
      <c r="Z334" s="121"/>
      <c r="AA334" s="121"/>
      <c r="AB334" s="121"/>
      <c r="AC334" s="121"/>
      <c r="AD334" s="122"/>
      <c r="AE334" s="122"/>
      <c r="AF334" s="122"/>
      <c r="AG334" s="66"/>
      <c r="AH334" s="46"/>
      <c r="AI334" s="76"/>
      <c r="AJ334" s="97"/>
      <c r="AK334" s="39"/>
      <c r="AL334" s="102"/>
      <c r="AM334" s="102"/>
      <c r="AN334" s="102"/>
      <c r="AO334" s="102"/>
      <c r="AP334" s="280"/>
      <c r="AQ334" s="10">
        <f>Потребность!AD334</f>
        <v>0</v>
      </c>
      <c r="AR334" s="10">
        <f>SUM(Потребность!K334:M334)</f>
        <v>0</v>
      </c>
      <c r="AS334" s="9" t="e">
        <f>Потребность!AZ334</f>
        <v>#N/A</v>
      </c>
      <c r="AT334" s="9">
        <f>Потребность!J334</f>
        <v>0</v>
      </c>
      <c r="AU334" s="9" t="e">
        <f>Потребность!N334/Потребность!$N334</f>
        <v>#DIV/0!</v>
      </c>
      <c r="AV334" s="9" t="e">
        <f>Потребность!O334/Потребность!$N334</f>
        <v>#DIV/0!</v>
      </c>
      <c r="AW334" s="9" t="e">
        <f>Потребность!P334/Потребность!$N334</f>
        <v>#DIV/0!</v>
      </c>
      <c r="AX334" s="9" t="e">
        <f>Потребность!T334/Потребность!$T334</f>
        <v>#DIV/0!</v>
      </c>
      <c r="AY334" s="9" t="e">
        <f>Потребность!U334/Потребность!$T334</f>
        <v>#DIV/0!</v>
      </c>
      <c r="AZ334" s="9" t="e">
        <f>Потребность!V334/Потребность!$T334</f>
        <v>#DIV/0!</v>
      </c>
      <c r="BA334" s="141">
        <f>Потребность!Q334</f>
        <v>0</v>
      </c>
      <c r="BB334">
        <f>Потребность!AC334</f>
        <v>0</v>
      </c>
      <c r="BC334" s="141">
        <f>Потребность!AD334</f>
        <v>0</v>
      </c>
    </row>
    <row r="335" spans="1:55" x14ac:dyDescent="0.2">
      <c r="A335" s="85"/>
      <c r="B335" s="195"/>
      <c r="C335" s="85"/>
      <c r="D335" s="85"/>
      <c r="E335" s="195"/>
      <c r="F335" s="35"/>
      <c r="G335" s="65"/>
      <c r="H335" s="36"/>
      <c r="I335" s="37"/>
      <c r="J335" s="37"/>
      <c r="K335" s="35"/>
      <c r="L335" s="38"/>
      <c r="M335" s="128"/>
      <c r="N335" s="38"/>
      <c r="O335" s="128"/>
      <c r="P335" s="53"/>
      <c r="Q335" s="45"/>
      <c r="R335" s="45"/>
      <c r="S335" s="45"/>
      <c r="T335" s="46"/>
      <c r="U335" s="120"/>
      <c r="V335" s="120"/>
      <c r="W335" s="120"/>
      <c r="X335" s="121"/>
      <c r="Y335" s="121"/>
      <c r="Z335" s="121"/>
      <c r="AA335" s="121"/>
      <c r="AB335" s="121"/>
      <c r="AC335" s="121"/>
      <c r="AD335" s="122"/>
      <c r="AE335" s="122"/>
      <c r="AF335" s="122"/>
      <c r="AG335" s="66"/>
      <c r="AH335" s="46"/>
      <c r="AI335" s="76"/>
      <c r="AJ335" s="97"/>
      <c r="AK335" s="39"/>
      <c r="AL335" s="102"/>
      <c r="AM335" s="102"/>
      <c r="AN335" s="102"/>
      <c r="AO335" s="102"/>
      <c r="AP335" s="280"/>
      <c r="AQ335" s="10">
        <f>Потребность!AD335</f>
        <v>0</v>
      </c>
      <c r="AR335" s="10">
        <f>SUM(Потребность!K335:M335)</f>
        <v>0</v>
      </c>
      <c r="AS335" s="9" t="e">
        <f>Потребность!AZ335</f>
        <v>#N/A</v>
      </c>
      <c r="AT335" s="9">
        <f>Потребность!J335</f>
        <v>0</v>
      </c>
      <c r="AU335" s="9" t="e">
        <f>Потребность!N335/Потребность!$N335</f>
        <v>#DIV/0!</v>
      </c>
      <c r="AV335" s="9" t="e">
        <f>Потребность!O335/Потребность!$N335</f>
        <v>#DIV/0!</v>
      </c>
      <c r="AW335" s="9" t="e">
        <f>Потребность!P335/Потребность!$N335</f>
        <v>#DIV/0!</v>
      </c>
      <c r="AX335" s="9" t="e">
        <f>Потребность!T335/Потребность!$T335</f>
        <v>#DIV/0!</v>
      </c>
      <c r="AY335" s="9" t="e">
        <f>Потребность!U335/Потребность!$T335</f>
        <v>#DIV/0!</v>
      </c>
      <c r="AZ335" s="9" t="e">
        <f>Потребность!V335/Потребность!$T335</f>
        <v>#DIV/0!</v>
      </c>
      <c r="BA335" s="141">
        <f>Потребность!Q335</f>
        <v>0</v>
      </c>
      <c r="BB335">
        <f>Потребность!AC335</f>
        <v>0</v>
      </c>
      <c r="BC335" s="141">
        <f>Потребность!AD335</f>
        <v>0</v>
      </c>
    </row>
    <row r="336" spans="1:55" x14ac:dyDescent="0.2">
      <c r="A336" s="85"/>
      <c r="B336" s="195"/>
      <c r="C336" s="85"/>
      <c r="D336" s="85"/>
      <c r="E336" s="195"/>
      <c r="F336" s="35"/>
      <c r="G336" s="65"/>
      <c r="H336" s="36"/>
      <c r="I336" s="37"/>
      <c r="J336" s="37"/>
      <c r="K336" s="35"/>
      <c r="L336" s="38"/>
      <c r="M336" s="128"/>
      <c r="N336" s="38"/>
      <c r="O336" s="128"/>
      <c r="P336" s="53"/>
      <c r="Q336" s="45"/>
      <c r="R336" s="45"/>
      <c r="S336" s="45"/>
      <c r="T336" s="46"/>
      <c r="U336" s="120"/>
      <c r="V336" s="120"/>
      <c r="W336" s="120"/>
      <c r="X336" s="121"/>
      <c r="Y336" s="121"/>
      <c r="Z336" s="121"/>
      <c r="AA336" s="121"/>
      <c r="AB336" s="121"/>
      <c r="AC336" s="121"/>
      <c r="AD336" s="122"/>
      <c r="AE336" s="122"/>
      <c r="AF336" s="122"/>
      <c r="AG336" s="66"/>
      <c r="AH336" s="46"/>
      <c r="AI336" s="76"/>
      <c r="AJ336" s="97"/>
      <c r="AK336" s="39"/>
      <c r="AL336" s="102"/>
      <c r="AM336" s="102"/>
      <c r="AN336" s="102"/>
      <c r="AO336" s="102"/>
      <c r="AP336" s="280"/>
      <c r="AQ336" s="10">
        <f>Потребность!AD336</f>
        <v>0</v>
      </c>
      <c r="AR336" s="10">
        <f>SUM(Потребность!K336:M336)</f>
        <v>0</v>
      </c>
      <c r="AS336" s="9" t="e">
        <f>Потребность!AZ336</f>
        <v>#N/A</v>
      </c>
      <c r="AT336" s="9">
        <f>Потребность!J336</f>
        <v>0</v>
      </c>
      <c r="AU336" s="9" t="e">
        <f>Потребность!N336/Потребность!$N336</f>
        <v>#DIV/0!</v>
      </c>
      <c r="AV336" s="9" t="e">
        <f>Потребность!O336/Потребность!$N336</f>
        <v>#DIV/0!</v>
      </c>
      <c r="AW336" s="9" t="e">
        <f>Потребность!P336/Потребность!$N336</f>
        <v>#DIV/0!</v>
      </c>
      <c r="AX336" s="9" t="e">
        <f>Потребность!T336/Потребность!$T336</f>
        <v>#DIV/0!</v>
      </c>
      <c r="AY336" s="9" t="e">
        <f>Потребность!U336/Потребность!$T336</f>
        <v>#DIV/0!</v>
      </c>
      <c r="AZ336" s="9" t="e">
        <f>Потребность!V336/Потребность!$T336</f>
        <v>#DIV/0!</v>
      </c>
      <c r="BA336" s="141">
        <f>Потребность!Q336</f>
        <v>0</v>
      </c>
      <c r="BB336">
        <f>Потребность!AC336</f>
        <v>0</v>
      </c>
      <c r="BC336" s="141">
        <f>Потребность!AD336</f>
        <v>0</v>
      </c>
    </row>
    <row r="337" spans="1:55" x14ac:dyDescent="0.2">
      <c r="A337" s="85"/>
      <c r="B337" s="195"/>
      <c r="C337" s="85"/>
      <c r="D337" s="85"/>
      <c r="E337" s="195"/>
      <c r="F337" s="35"/>
      <c r="G337" s="65"/>
      <c r="H337" s="36"/>
      <c r="I337" s="37"/>
      <c r="J337" s="37"/>
      <c r="K337" s="35"/>
      <c r="L337" s="38"/>
      <c r="M337" s="128"/>
      <c r="N337" s="38"/>
      <c r="O337" s="128"/>
      <c r="P337" s="53"/>
      <c r="Q337" s="45"/>
      <c r="R337" s="45"/>
      <c r="S337" s="45"/>
      <c r="T337" s="46"/>
      <c r="U337" s="120"/>
      <c r="V337" s="120"/>
      <c r="W337" s="120"/>
      <c r="X337" s="121"/>
      <c r="Y337" s="121"/>
      <c r="Z337" s="121"/>
      <c r="AA337" s="121"/>
      <c r="AB337" s="121"/>
      <c r="AC337" s="121"/>
      <c r="AD337" s="122"/>
      <c r="AE337" s="122"/>
      <c r="AF337" s="122"/>
      <c r="AG337" s="66"/>
      <c r="AH337" s="46"/>
      <c r="AI337" s="76"/>
      <c r="AJ337" s="97"/>
      <c r="AK337" s="39"/>
      <c r="AL337" s="102"/>
      <c r="AM337" s="102"/>
      <c r="AN337" s="102"/>
      <c r="AO337" s="102"/>
      <c r="AP337" s="280"/>
      <c r="AQ337" s="10">
        <f>Потребность!AD337</f>
        <v>0</v>
      </c>
      <c r="AR337" s="10">
        <f>SUM(Потребность!K337:M337)</f>
        <v>0</v>
      </c>
      <c r="AS337" s="9" t="e">
        <f>Потребность!AZ337</f>
        <v>#N/A</v>
      </c>
      <c r="AT337" s="9">
        <f>Потребность!J337</f>
        <v>0</v>
      </c>
      <c r="AU337" s="9" t="e">
        <f>Потребность!N337/Потребность!$N337</f>
        <v>#DIV/0!</v>
      </c>
      <c r="AV337" s="9" t="e">
        <f>Потребность!O337/Потребность!$N337</f>
        <v>#DIV/0!</v>
      </c>
      <c r="AW337" s="9" t="e">
        <f>Потребность!P337/Потребность!$N337</f>
        <v>#DIV/0!</v>
      </c>
      <c r="AX337" s="9" t="e">
        <f>Потребность!T337/Потребность!$T337</f>
        <v>#DIV/0!</v>
      </c>
      <c r="AY337" s="9" t="e">
        <f>Потребность!U337/Потребность!$T337</f>
        <v>#DIV/0!</v>
      </c>
      <c r="AZ337" s="9" t="e">
        <f>Потребность!V337/Потребность!$T337</f>
        <v>#DIV/0!</v>
      </c>
      <c r="BA337" s="141">
        <f>Потребность!Q337</f>
        <v>0</v>
      </c>
      <c r="BB337">
        <f>Потребность!AC337</f>
        <v>0</v>
      </c>
      <c r="BC337" s="141">
        <f>Потребность!AD337</f>
        <v>0</v>
      </c>
    </row>
    <row r="338" spans="1:55" x14ac:dyDescent="0.2">
      <c r="A338" s="85"/>
      <c r="B338" s="195"/>
      <c r="C338" s="85"/>
      <c r="D338" s="85"/>
      <c r="E338" s="195"/>
      <c r="F338" s="35"/>
      <c r="G338" s="65"/>
      <c r="H338" s="36"/>
      <c r="I338" s="37"/>
      <c r="J338" s="37"/>
      <c r="K338" s="35"/>
      <c r="L338" s="38"/>
      <c r="M338" s="128"/>
      <c r="N338" s="38"/>
      <c r="O338" s="128"/>
      <c r="P338" s="53"/>
      <c r="Q338" s="45"/>
      <c r="R338" s="45"/>
      <c r="S338" s="45"/>
      <c r="T338" s="46"/>
      <c r="U338" s="120"/>
      <c r="V338" s="120"/>
      <c r="W338" s="120"/>
      <c r="X338" s="121"/>
      <c r="Y338" s="121"/>
      <c r="Z338" s="121"/>
      <c r="AA338" s="121"/>
      <c r="AB338" s="121"/>
      <c r="AC338" s="121"/>
      <c r="AD338" s="122"/>
      <c r="AE338" s="122"/>
      <c r="AF338" s="122"/>
      <c r="AG338" s="66"/>
      <c r="AH338" s="46"/>
      <c r="AI338" s="76"/>
      <c r="AJ338" s="97"/>
      <c r="AK338" s="39"/>
      <c r="AL338" s="102"/>
      <c r="AM338" s="102"/>
      <c r="AN338" s="102"/>
      <c r="AO338" s="102"/>
      <c r="AP338" s="280"/>
      <c r="AQ338" s="10">
        <f>Потребность!AD338</f>
        <v>0</v>
      </c>
      <c r="AR338" s="10">
        <f>SUM(Потребность!K338:M338)</f>
        <v>0</v>
      </c>
      <c r="AS338" s="9" t="e">
        <f>Потребность!AZ338</f>
        <v>#N/A</v>
      </c>
      <c r="AT338" s="9">
        <f>Потребность!J338</f>
        <v>0</v>
      </c>
      <c r="AU338" s="9" t="e">
        <f>Потребность!N338/Потребность!$N338</f>
        <v>#DIV/0!</v>
      </c>
      <c r="AV338" s="9" t="e">
        <f>Потребность!O338/Потребность!$N338</f>
        <v>#DIV/0!</v>
      </c>
      <c r="AW338" s="9" t="e">
        <f>Потребность!P338/Потребность!$N338</f>
        <v>#DIV/0!</v>
      </c>
      <c r="AX338" s="9" t="e">
        <f>Потребность!T338/Потребность!$T338</f>
        <v>#DIV/0!</v>
      </c>
      <c r="AY338" s="9" t="e">
        <f>Потребность!U338/Потребность!$T338</f>
        <v>#DIV/0!</v>
      </c>
      <c r="AZ338" s="9" t="e">
        <f>Потребность!V338/Потребность!$T338</f>
        <v>#DIV/0!</v>
      </c>
      <c r="BA338" s="141">
        <f>Потребность!Q338</f>
        <v>0</v>
      </c>
      <c r="BB338">
        <f>Потребность!AC338</f>
        <v>0</v>
      </c>
      <c r="BC338" s="141">
        <f>Потребность!AD338</f>
        <v>0</v>
      </c>
    </row>
    <row r="339" spans="1:55" x14ac:dyDescent="0.2">
      <c r="A339" s="85"/>
      <c r="B339" s="195"/>
      <c r="C339" s="85"/>
      <c r="D339" s="85"/>
      <c r="E339" s="195"/>
      <c r="F339" s="35"/>
      <c r="G339" s="65"/>
      <c r="H339" s="36"/>
      <c r="I339" s="37"/>
      <c r="J339" s="37"/>
      <c r="K339" s="35"/>
      <c r="L339" s="38"/>
      <c r="M339" s="128"/>
      <c r="N339" s="38"/>
      <c r="O339" s="128"/>
      <c r="P339" s="53"/>
      <c r="Q339" s="45"/>
      <c r="R339" s="45"/>
      <c r="S339" s="45"/>
      <c r="T339" s="46"/>
      <c r="U339" s="120"/>
      <c r="V339" s="120"/>
      <c r="W339" s="120"/>
      <c r="X339" s="121"/>
      <c r="Y339" s="121"/>
      <c r="Z339" s="121"/>
      <c r="AA339" s="121"/>
      <c r="AB339" s="121"/>
      <c r="AC339" s="121"/>
      <c r="AD339" s="122"/>
      <c r="AE339" s="122"/>
      <c r="AF339" s="122"/>
      <c r="AG339" s="66"/>
      <c r="AH339" s="46"/>
      <c r="AI339" s="76"/>
      <c r="AJ339" s="97"/>
      <c r="AK339" s="39"/>
      <c r="AL339" s="102"/>
      <c r="AM339" s="102"/>
      <c r="AN339" s="102"/>
      <c r="AO339" s="102"/>
      <c r="AP339" s="280"/>
      <c r="AQ339" s="10">
        <f>Потребность!AD339</f>
        <v>0</v>
      </c>
      <c r="AR339" s="10">
        <f>SUM(Потребность!K339:M339)</f>
        <v>0</v>
      </c>
      <c r="AS339" s="9" t="e">
        <f>Потребность!AZ339</f>
        <v>#N/A</v>
      </c>
      <c r="AT339" s="9">
        <f>Потребность!J339</f>
        <v>0</v>
      </c>
      <c r="AU339" s="9" t="e">
        <f>Потребность!N339/Потребность!$N339</f>
        <v>#DIV/0!</v>
      </c>
      <c r="AV339" s="9" t="e">
        <f>Потребность!O339/Потребность!$N339</f>
        <v>#DIV/0!</v>
      </c>
      <c r="AW339" s="9" t="e">
        <f>Потребность!P339/Потребность!$N339</f>
        <v>#DIV/0!</v>
      </c>
      <c r="AX339" s="9" t="e">
        <f>Потребность!T339/Потребность!$T339</f>
        <v>#DIV/0!</v>
      </c>
      <c r="AY339" s="9" t="e">
        <f>Потребность!U339/Потребность!$T339</f>
        <v>#DIV/0!</v>
      </c>
      <c r="AZ339" s="9" t="e">
        <f>Потребность!V339/Потребность!$T339</f>
        <v>#DIV/0!</v>
      </c>
      <c r="BA339" s="141">
        <f>Потребность!Q339</f>
        <v>0</v>
      </c>
      <c r="BB339">
        <f>Потребность!AC339</f>
        <v>0</v>
      </c>
      <c r="BC339" s="141">
        <f>Потребность!AD339</f>
        <v>0</v>
      </c>
    </row>
    <row r="340" spans="1:55" x14ac:dyDescent="0.2">
      <c r="A340" s="85"/>
      <c r="B340" s="195"/>
      <c r="C340" s="85"/>
      <c r="D340" s="85"/>
      <c r="E340" s="195"/>
      <c r="F340" s="35"/>
      <c r="G340" s="65"/>
      <c r="H340" s="36"/>
      <c r="I340" s="37"/>
      <c r="J340" s="37"/>
      <c r="K340" s="35"/>
      <c r="L340" s="38"/>
      <c r="M340" s="128"/>
      <c r="N340" s="38"/>
      <c r="O340" s="128"/>
      <c r="P340" s="53"/>
      <c r="Q340" s="45"/>
      <c r="R340" s="45"/>
      <c r="S340" s="45"/>
      <c r="T340" s="46"/>
      <c r="U340" s="120"/>
      <c r="V340" s="120"/>
      <c r="W340" s="120"/>
      <c r="X340" s="121"/>
      <c r="Y340" s="121"/>
      <c r="Z340" s="121"/>
      <c r="AA340" s="121"/>
      <c r="AB340" s="121"/>
      <c r="AC340" s="121"/>
      <c r="AD340" s="122"/>
      <c r="AE340" s="122"/>
      <c r="AF340" s="122"/>
      <c r="AG340" s="66"/>
      <c r="AH340" s="46"/>
      <c r="AI340" s="76"/>
      <c r="AJ340" s="97"/>
      <c r="AK340" s="39"/>
      <c r="AL340" s="102"/>
      <c r="AM340" s="102"/>
      <c r="AN340" s="102"/>
      <c r="AO340" s="102"/>
      <c r="AP340" s="280"/>
      <c r="AQ340" s="10">
        <f>Потребность!AD340</f>
        <v>0</v>
      </c>
      <c r="AR340" s="10">
        <f>SUM(Потребность!K340:M340)</f>
        <v>0</v>
      </c>
      <c r="AS340" s="9" t="e">
        <f>Потребность!AZ340</f>
        <v>#N/A</v>
      </c>
      <c r="AT340" s="9">
        <f>Потребность!J340</f>
        <v>0</v>
      </c>
      <c r="AU340" s="9" t="e">
        <f>Потребность!N340/Потребность!$N340</f>
        <v>#DIV/0!</v>
      </c>
      <c r="AV340" s="9" t="e">
        <f>Потребность!O340/Потребность!$N340</f>
        <v>#DIV/0!</v>
      </c>
      <c r="AW340" s="9" t="e">
        <f>Потребность!P340/Потребность!$N340</f>
        <v>#DIV/0!</v>
      </c>
      <c r="AX340" s="9" t="e">
        <f>Потребность!T340/Потребность!$T340</f>
        <v>#DIV/0!</v>
      </c>
      <c r="AY340" s="9" t="e">
        <f>Потребность!U340/Потребность!$T340</f>
        <v>#DIV/0!</v>
      </c>
      <c r="AZ340" s="9" t="e">
        <f>Потребность!V340/Потребность!$T340</f>
        <v>#DIV/0!</v>
      </c>
      <c r="BA340" s="141">
        <f>Потребность!Q340</f>
        <v>0</v>
      </c>
      <c r="BB340">
        <f>Потребность!AC340</f>
        <v>0</v>
      </c>
      <c r="BC340" s="141">
        <f>Потребность!AD340</f>
        <v>0</v>
      </c>
    </row>
    <row r="341" spans="1:55" x14ac:dyDescent="0.2">
      <c r="A341" s="85"/>
      <c r="B341" s="195"/>
      <c r="C341" s="85"/>
      <c r="D341" s="85"/>
      <c r="E341" s="195"/>
      <c r="F341" s="35"/>
      <c r="G341" s="65"/>
      <c r="H341" s="36"/>
      <c r="I341" s="37"/>
      <c r="J341" s="37"/>
      <c r="K341" s="35"/>
      <c r="L341" s="38"/>
      <c r="M341" s="128"/>
      <c r="N341" s="38"/>
      <c r="O341" s="128"/>
      <c r="P341" s="53"/>
      <c r="Q341" s="45"/>
      <c r="R341" s="45"/>
      <c r="S341" s="45"/>
      <c r="T341" s="46"/>
      <c r="U341" s="120"/>
      <c r="V341" s="120"/>
      <c r="W341" s="120"/>
      <c r="X341" s="121"/>
      <c r="Y341" s="121"/>
      <c r="Z341" s="121"/>
      <c r="AA341" s="121"/>
      <c r="AB341" s="121"/>
      <c r="AC341" s="121"/>
      <c r="AD341" s="122"/>
      <c r="AE341" s="122"/>
      <c r="AF341" s="122"/>
      <c r="AG341" s="66"/>
      <c r="AH341" s="46"/>
      <c r="AI341" s="76"/>
      <c r="AJ341" s="97"/>
      <c r="AK341" s="39"/>
      <c r="AL341" s="102"/>
      <c r="AM341" s="102"/>
      <c r="AN341" s="102"/>
      <c r="AO341" s="102"/>
      <c r="AP341" s="280"/>
      <c r="AQ341" s="10">
        <f>Потребность!AD341</f>
        <v>0</v>
      </c>
      <c r="AR341" s="10">
        <f>SUM(Потребность!K341:M341)</f>
        <v>0</v>
      </c>
      <c r="AS341" s="9" t="e">
        <f>Потребность!AZ341</f>
        <v>#N/A</v>
      </c>
      <c r="AT341" s="9">
        <f>Потребность!J341</f>
        <v>0</v>
      </c>
      <c r="AU341" s="9" t="e">
        <f>Потребность!N341/Потребность!$N341</f>
        <v>#DIV/0!</v>
      </c>
      <c r="AV341" s="9" t="e">
        <f>Потребность!O341/Потребность!$N341</f>
        <v>#DIV/0!</v>
      </c>
      <c r="AW341" s="9" t="e">
        <f>Потребность!P341/Потребность!$N341</f>
        <v>#DIV/0!</v>
      </c>
      <c r="AX341" s="9" t="e">
        <f>Потребность!T341/Потребность!$T341</f>
        <v>#DIV/0!</v>
      </c>
      <c r="AY341" s="9" t="e">
        <f>Потребность!U341/Потребность!$T341</f>
        <v>#DIV/0!</v>
      </c>
      <c r="AZ341" s="9" t="e">
        <f>Потребность!V341/Потребность!$T341</f>
        <v>#DIV/0!</v>
      </c>
      <c r="BA341" s="141">
        <f>Потребность!Q341</f>
        <v>0</v>
      </c>
      <c r="BB341">
        <f>Потребность!AC341</f>
        <v>0</v>
      </c>
      <c r="BC341" s="141">
        <f>Потребность!AD341</f>
        <v>0</v>
      </c>
    </row>
    <row r="342" spans="1:55" x14ac:dyDescent="0.2">
      <c r="A342" s="85"/>
      <c r="B342" s="195"/>
      <c r="C342" s="85"/>
      <c r="D342" s="85"/>
      <c r="E342" s="195"/>
      <c r="F342" s="35"/>
      <c r="G342" s="65"/>
      <c r="H342" s="36"/>
      <c r="I342" s="37"/>
      <c r="J342" s="37"/>
      <c r="K342" s="35"/>
      <c r="L342" s="38"/>
      <c r="M342" s="128"/>
      <c r="N342" s="38"/>
      <c r="O342" s="128"/>
      <c r="P342" s="53"/>
      <c r="Q342" s="45"/>
      <c r="R342" s="45"/>
      <c r="S342" s="45"/>
      <c r="T342" s="46"/>
      <c r="U342" s="120"/>
      <c r="V342" s="120"/>
      <c r="W342" s="120"/>
      <c r="X342" s="121"/>
      <c r="Y342" s="121"/>
      <c r="Z342" s="121"/>
      <c r="AA342" s="121"/>
      <c r="AB342" s="121"/>
      <c r="AC342" s="121"/>
      <c r="AD342" s="122"/>
      <c r="AE342" s="122"/>
      <c r="AF342" s="122"/>
      <c r="AG342" s="66"/>
      <c r="AH342" s="46"/>
      <c r="AI342" s="76"/>
      <c r="AJ342" s="97"/>
      <c r="AK342" s="39"/>
      <c r="AL342" s="102"/>
      <c r="AM342" s="102"/>
      <c r="AN342" s="102"/>
      <c r="AO342" s="102"/>
      <c r="AP342" s="280"/>
      <c r="AQ342" s="10">
        <f>Потребность!AD342</f>
        <v>0</v>
      </c>
      <c r="AR342" s="10">
        <f>SUM(Потребность!K342:M342)</f>
        <v>0</v>
      </c>
      <c r="AS342" s="9" t="e">
        <f>Потребность!AZ342</f>
        <v>#N/A</v>
      </c>
      <c r="AT342" s="9">
        <f>Потребность!J342</f>
        <v>0</v>
      </c>
      <c r="AU342" s="9" t="e">
        <f>Потребность!N342/Потребность!$N342</f>
        <v>#DIV/0!</v>
      </c>
      <c r="AV342" s="9" t="e">
        <f>Потребность!O342/Потребность!$N342</f>
        <v>#DIV/0!</v>
      </c>
      <c r="AW342" s="9" t="e">
        <f>Потребность!P342/Потребность!$N342</f>
        <v>#DIV/0!</v>
      </c>
      <c r="AX342" s="9" t="e">
        <f>Потребность!T342/Потребность!$T342</f>
        <v>#DIV/0!</v>
      </c>
      <c r="AY342" s="9" t="e">
        <f>Потребность!U342/Потребность!$T342</f>
        <v>#DIV/0!</v>
      </c>
      <c r="AZ342" s="9" t="e">
        <f>Потребность!V342/Потребность!$T342</f>
        <v>#DIV/0!</v>
      </c>
      <c r="BA342" s="141">
        <f>Потребность!Q342</f>
        <v>0</v>
      </c>
      <c r="BB342">
        <f>Потребность!AC342</f>
        <v>0</v>
      </c>
      <c r="BC342" s="141">
        <f>Потребность!AD342</f>
        <v>0</v>
      </c>
    </row>
    <row r="343" spans="1:55" x14ac:dyDescent="0.2">
      <c r="A343" s="85"/>
      <c r="B343" s="195"/>
      <c r="C343" s="85"/>
      <c r="D343" s="85"/>
      <c r="E343" s="195"/>
      <c r="F343" s="35"/>
      <c r="G343" s="65"/>
      <c r="H343" s="36"/>
      <c r="I343" s="37"/>
      <c r="J343" s="37"/>
      <c r="K343" s="35"/>
      <c r="L343" s="38"/>
      <c r="M343" s="128"/>
      <c r="N343" s="38"/>
      <c r="O343" s="128"/>
      <c r="P343" s="53"/>
      <c r="Q343" s="45"/>
      <c r="R343" s="45"/>
      <c r="S343" s="45"/>
      <c r="T343" s="46"/>
      <c r="U343" s="120"/>
      <c r="V343" s="120"/>
      <c r="W343" s="120"/>
      <c r="X343" s="121"/>
      <c r="Y343" s="121"/>
      <c r="Z343" s="121"/>
      <c r="AA343" s="121"/>
      <c r="AB343" s="121"/>
      <c r="AC343" s="121"/>
      <c r="AD343" s="122"/>
      <c r="AE343" s="122"/>
      <c r="AF343" s="122"/>
      <c r="AG343" s="66"/>
      <c r="AH343" s="46"/>
      <c r="AI343" s="76"/>
      <c r="AJ343" s="97"/>
      <c r="AK343" s="39"/>
      <c r="AL343" s="102"/>
      <c r="AM343" s="102"/>
      <c r="AN343" s="102"/>
      <c r="AO343" s="102"/>
      <c r="AP343" s="280"/>
      <c r="AQ343" s="10">
        <f>Потребность!AD343</f>
        <v>0</v>
      </c>
      <c r="AR343" s="10">
        <f>SUM(Потребность!K343:M343)</f>
        <v>0</v>
      </c>
      <c r="AS343" s="9" t="e">
        <f>Потребность!AZ343</f>
        <v>#N/A</v>
      </c>
      <c r="AT343" s="9">
        <f>Потребность!J343</f>
        <v>0</v>
      </c>
      <c r="AU343" s="9" t="e">
        <f>Потребность!N343/Потребность!$N343</f>
        <v>#DIV/0!</v>
      </c>
      <c r="AV343" s="9" t="e">
        <f>Потребность!O343/Потребность!$N343</f>
        <v>#DIV/0!</v>
      </c>
      <c r="AW343" s="9" t="e">
        <f>Потребность!P343/Потребность!$N343</f>
        <v>#DIV/0!</v>
      </c>
      <c r="AX343" s="9" t="e">
        <f>Потребность!T343/Потребность!$T343</f>
        <v>#DIV/0!</v>
      </c>
      <c r="AY343" s="9" t="e">
        <f>Потребность!U343/Потребность!$T343</f>
        <v>#DIV/0!</v>
      </c>
      <c r="AZ343" s="9" t="e">
        <f>Потребность!V343/Потребность!$T343</f>
        <v>#DIV/0!</v>
      </c>
      <c r="BA343" s="141">
        <f>Потребность!Q343</f>
        <v>0</v>
      </c>
      <c r="BB343">
        <f>Потребность!AC343</f>
        <v>0</v>
      </c>
      <c r="BC343" s="141">
        <f>Потребность!AD343</f>
        <v>0</v>
      </c>
    </row>
    <row r="344" spans="1:55" x14ac:dyDescent="0.2">
      <c r="A344" s="85"/>
      <c r="B344" s="195"/>
      <c r="C344" s="85"/>
      <c r="D344" s="85"/>
      <c r="E344" s="195"/>
      <c r="F344" s="35"/>
      <c r="G344" s="65"/>
      <c r="H344" s="36"/>
      <c r="I344" s="37"/>
      <c r="J344" s="37"/>
      <c r="K344" s="35"/>
      <c r="L344" s="38"/>
      <c r="M344" s="128"/>
      <c r="N344" s="38"/>
      <c r="O344" s="128"/>
      <c r="P344" s="53"/>
      <c r="Q344" s="45"/>
      <c r="R344" s="45"/>
      <c r="S344" s="45"/>
      <c r="T344" s="46"/>
      <c r="U344" s="120"/>
      <c r="V344" s="120"/>
      <c r="W344" s="120"/>
      <c r="X344" s="121"/>
      <c r="Y344" s="121"/>
      <c r="Z344" s="121"/>
      <c r="AA344" s="121"/>
      <c r="AB344" s="121"/>
      <c r="AC344" s="121"/>
      <c r="AD344" s="122"/>
      <c r="AE344" s="122"/>
      <c r="AF344" s="122"/>
      <c r="AG344" s="66"/>
      <c r="AH344" s="46"/>
      <c r="AI344" s="76"/>
      <c r="AJ344" s="97"/>
      <c r="AK344" s="39"/>
      <c r="AL344" s="281"/>
      <c r="AM344" s="281"/>
      <c r="AN344" s="281"/>
      <c r="AO344" s="281"/>
      <c r="AP344" s="280"/>
      <c r="AQ344" s="10">
        <f>Потребность!AD344</f>
        <v>0</v>
      </c>
      <c r="AR344" s="10">
        <f>SUM(Потребность!K344:M344)</f>
        <v>0</v>
      </c>
      <c r="AS344" s="9" t="e">
        <f>Потребность!AZ344</f>
        <v>#N/A</v>
      </c>
      <c r="AT344" s="9">
        <f>Потребность!J344</f>
        <v>0</v>
      </c>
      <c r="AU344" s="9" t="e">
        <f>Потребность!N344/Потребность!$N344</f>
        <v>#DIV/0!</v>
      </c>
      <c r="AV344" s="9" t="e">
        <f>Потребность!O344/Потребность!$N344</f>
        <v>#DIV/0!</v>
      </c>
      <c r="AW344" s="9" t="e">
        <f>Потребность!P344/Потребность!$N344</f>
        <v>#DIV/0!</v>
      </c>
      <c r="AX344" s="9" t="e">
        <f>Потребность!T344/Потребность!$T344</f>
        <v>#DIV/0!</v>
      </c>
      <c r="AY344" s="9" t="e">
        <f>Потребность!U344/Потребность!$T344</f>
        <v>#DIV/0!</v>
      </c>
      <c r="AZ344" s="9" t="e">
        <f>Потребность!V344/Потребность!$T344</f>
        <v>#DIV/0!</v>
      </c>
      <c r="BA344" s="141">
        <f>Потребность!Q344</f>
        <v>0</v>
      </c>
      <c r="BB344">
        <f>Потребность!AC344</f>
        <v>0</v>
      </c>
      <c r="BC344" s="141">
        <f>Потребность!AD344</f>
        <v>0</v>
      </c>
    </row>
    <row r="345" spans="1:55" x14ac:dyDescent="0.2">
      <c r="A345" s="85"/>
      <c r="B345" s="195"/>
      <c r="C345" s="85"/>
      <c r="D345" s="85"/>
      <c r="E345" s="195"/>
      <c r="F345" s="35"/>
      <c r="G345" s="65"/>
      <c r="H345" s="36"/>
      <c r="I345" s="37"/>
      <c r="J345" s="37"/>
      <c r="K345" s="35"/>
      <c r="L345" s="38"/>
      <c r="M345" s="128"/>
      <c r="N345" s="38"/>
      <c r="O345" s="128"/>
      <c r="P345" s="53"/>
      <c r="Q345" s="45"/>
      <c r="R345" s="45"/>
      <c r="S345" s="45"/>
      <c r="T345" s="46"/>
      <c r="U345" s="120"/>
      <c r="V345" s="120"/>
      <c r="W345" s="120"/>
      <c r="X345" s="121"/>
      <c r="Y345" s="121"/>
      <c r="Z345" s="121"/>
      <c r="AA345" s="121"/>
      <c r="AB345" s="121"/>
      <c r="AC345" s="121"/>
      <c r="AD345" s="122"/>
      <c r="AE345" s="122"/>
      <c r="AF345" s="122"/>
      <c r="AG345" s="66"/>
      <c r="AH345" s="46"/>
      <c r="AI345" s="76"/>
      <c r="AJ345" s="97"/>
      <c r="AK345" s="39"/>
      <c r="AL345" s="281"/>
      <c r="AM345" s="281"/>
      <c r="AN345" s="281"/>
      <c r="AO345" s="281"/>
      <c r="AP345" s="280"/>
      <c r="AQ345" s="10">
        <f>Потребность!AD345</f>
        <v>0</v>
      </c>
      <c r="AR345" s="10">
        <f>SUM(Потребность!K345:M345)</f>
        <v>0</v>
      </c>
      <c r="AS345" s="9" t="e">
        <f>Потребность!AZ345</f>
        <v>#N/A</v>
      </c>
      <c r="AT345" s="9">
        <f>Потребность!J345</f>
        <v>0</v>
      </c>
      <c r="AU345" s="9" t="e">
        <f>Потребность!N345/Потребность!$N345</f>
        <v>#DIV/0!</v>
      </c>
      <c r="AV345" s="9" t="e">
        <f>Потребность!O345/Потребность!$N345</f>
        <v>#DIV/0!</v>
      </c>
      <c r="AW345" s="9" t="e">
        <f>Потребность!P345/Потребность!$N345</f>
        <v>#DIV/0!</v>
      </c>
      <c r="AX345" s="9" t="e">
        <f>Потребность!T345/Потребность!$T345</f>
        <v>#DIV/0!</v>
      </c>
      <c r="AY345" s="9" t="e">
        <f>Потребность!U345/Потребность!$T345</f>
        <v>#DIV/0!</v>
      </c>
      <c r="AZ345" s="9" t="e">
        <f>Потребность!V345/Потребность!$T345</f>
        <v>#DIV/0!</v>
      </c>
      <c r="BA345" s="141">
        <f>Потребность!Q345</f>
        <v>0</v>
      </c>
      <c r="BB345">
        <f>Потребность!AC345</f>
        <v>0</v>
      </c>
      <c r="BC345" s="141">
        <f>Потребность!AD345</f>
        <v>0</v>
      </c>
    </row>
    <row r="346" spans="1:55" x14ac:dyDescent="0.2">
      <c r="A346" s="85"/>
      <c r="B346" s="195"/>
      <c r="C346" s="85"/>
      <c r="D346" s="85"/>
      <c r="E346" s="195"/>
      <c r="F346" s="35"/>
      <c r="G346" s="65"/>
      <c r="H346" s="36"/>
      <c r="I346" s="37"/>
      <c r="J346" s="37"/>
      <c r="K346" s="35"/>
      <c r="L346" s="38"/>
      <c r="M346" s="128"/>
      <c r="N346" s="38"/>
      <c r="O346" s="128"/>
      <c r="P346" s="53"/>
      <c r="Q346" s="45"/>
      <c r="R346" s="45"/>
      <c r="S346" s="45"/>
      <c r="T346" s="46"/>
      <c r="U346" s="120"/>
      <c r="V346" s="120"/>
      <c r="W346" s="120"/>
      <c r="X346" s="121"/>
      <c r="Y346" s="121"/>
      <c r="Z346" s="121"/>
      <c r="AA346" s="121"/>
      <c r="AB346" s="121"/>
      <c r="AC346" s="121"/>
      <c r="AD346" s="122"/>
      <c r="AE346" s="122"/>
      <c r="AF346" s="122"/>
      <c r="AG346" s="66"/>
      <c r="AH346" s="46"/>
      <c r="AI346" s="76"/>
      <c r="AJ346" s="97"/>
      <c r="AK346" s="39"/>
      <c r="AL346" s="281"/>
      <c r="AM346" s="281"/>
      <c r="AN346" s="281"/>
      <c r="AO346" s="281"/>
      <c r="AP346" s="280"/>
      <c r="AQ346" s="10">
        <f>Потребность!AD346</f>
        <v>0</v>
      </c>
      <c r="AR346" s="10">
        <f>SUM(Потребность!K346:M346)</f>
        <v>0</v>
      </c>
      <c r="AS346" s="9" t="e">
        <f>Потребность!AZ346</f>
        <v>#N/A</v>
      </c>
      <c r="AT346" s="9">
        <f>Потребность!J346</f>
        <v>0</v>
      </c>
      <c r="AU346" s="9" t="e">
        <f>Потребность!N346/Потребность!$N346</f>
        <v>#DIV/0!</v>
      </c>
      <c r="AV346" s="9" t="e">
        <f>Потребность!O346/Потребность!$N346</f>
        <v>#DIV/0!</v>
      </c>
      <c r="AW346" s="9" t="e">
        <f>Потребность!P346/Потребность!$N346</f>
        <v>#DIV/0!</v>
      </c>
      <c r="AX346" s="9" t="e">
        <f>Потребность!T346/Потребность!$T346</f>
        <v>#DIV/0!</v>
      </c>
      <c r="AY346" s="9" t="e">
        <f>Потребность!U346/Потребность!$T346</f>
        <v>#DIV/0!</v>
      </c>
      <c r="AZ346" s="9" t="e">
        <f>Потребность!V346/Потребность!$T346</f>
        <v>#DIV/0!</v>
      </c>
      <c r="BA346" s="141">
        <f>Потребность!Q346</f>
        <v>0</v>
      </c>
      <c r="BB346">
        <f>Потребность!AC346</f>
        <v>0</v>
      </c>
      <c r="BC346" s="141">
        <f>Потребность!AD346</f>
        <v>0</v>
      </c>
    </row>
    <row r="347" spans="1:55" x14ac:dyDescent="0.2">
      <c r="A347" s="85"/>
      <c r="B347" s="195"/>
      <c r="C347" s="85"/>
      <c r="D347" s="85"/>
      <c r="E347" s="195"/>
      <c r="F347" s="35"/>
      <c r="G347" s="65"/>
      <c r="H347" s="36"/>
      <c r="I347" s="37"/>
      <c r="J347" s="37"/>
      <c r="K347" s="35"/>
      <c r="L347" s="38"/>
      <c r="M347" s="128"/>
      <c r="N347" s="38"/>
      <c r="O347" s="128"/>
      <c r="P347" s="53"/>
      <c r="Q347" s="45"/>
      <c r="R347" s="45"/>
      <c r="S347" s="45"/>
      <c r="T347" s="46"/>
      <c r="U347" s="120"/>
      <c r="V347" s="120"/>
      <c r="W347" s="120"/>
      <c r="X347" s="121"/>
      <c r="Y347" s="121"/>
      <c r="Z347" s="121"/>
      <c r="AA347" s="121"/>
      <c r="AB347" s="121"/>
      <c r="AC347" s="121"/>
      <c r="AD347" s="122"/>
      <c r="AE347" s="122"/>
      <c r="AF347" s="122"/>
      <c r="AG347" s="66"/>
      <c r="AH347" s="46"/>
      <c r="AI347" s="76"/>
      <c r="AJ347" s="97"/>
      <c r="AK347" s="39"/>
      <c r="AL347" s="281"/>
      <c r="AM347" s="281"/>
      <c r="AN347" s="281"/>
      <c r="AO347" s="281"/>
      <c r="AP347" s="280"/>
      <c r="AQ347" s="10">
        <f>Потребность!AD347</f>
        <v>0</v>
      </c>
      <c r="AR347" s="10">
        <f>SUM(Потребность!K347:M347)</f>
        <v>0</v>
      </c>
      <c r="AS347" s="9" t="e">
        <f>Потребность!AZ347</f>
        <v>#N/A</v>
      </c>
      <c r="AT347" s="9">
        <f>Потребность!J347</f>
        <v>0</v>
      </c>
      <c r="AU347" s="9" t="e">
        <f>Потребность!N347/Потребность!$N347</f>
        <v>#DIV/0!</v>
      </c>
      <c r="AV347" s="9" t="e">
        <f>Потребность!O347/Потребность!$N347</f>
        <v>#DIV/0!</v>
      </c>
      <c r="AW347" s="9" t="e">
        <f>Потребность!P347/Потребность!$N347</f>
        <v>#DIV/0!</v>
      </c>
      <c r="AX347" s="9" t="e">
        <f>Потребность!T347/Потребность!$T347</f>
        <v>#DIV/0!</v>
      </c>
      <c r="AY347" s="9" t="e">
        <f>Потребность!U347/Потребность!$T347</f>
        <v>#DIV/0!</v>
      </c>
      <c r="AZ347" s="9" t="e">
        <f>Потребность!V347/Потребность!$T347</f>
        <v>#DIV/0!</v>
      </c>
      <c r="BA347" s="141">
        <f>Потребность!Q347</f>
        <v>0</v>
      </c>
      <c r="BB347">
        <f>Потребность!AC347</f>
        <v>0</v>
      </c>
      <c r="BC347" s="141">
        <f>Потребность!AD347</f>
        <v>0</v>
      </c>
    </row>
    <row r="348" spans="1:55" x14ac:dyDescent="0.2">
      <c r="A348" s="85"/>
      <c r="B348" s="195"/>
      <c r="C348" s="85"/>
      <c r="D348" s="85"/>
      <c r="E348" s="195"/>
      <c r="F348" s="35"/>
      <c r="G348" s="65"/>
      <c r="H348" s="36"/>
      <c r="I348" s="37"/>
      <c r="J348" s="37"/>
      <c r="K348" s="35"/>
      <c r="L348" s="38"/>
      <c r="M348" s="128"/>
      <c r="N348" s="38"/>
      <c r="O348" s="128"/>
      <c r="P348" s="53"/>
      <c r="Q348" s="45"/>
      <c r="R348" s="45"/>
      <c r="S348" s="45"/>
      <c r="T348" s="46"/>
      <c r="U348" s="120"/>
      <c r="V348" s="120"/>
      <c r="W348" s="120"/>
      <c r="X348" s="121"/>
      <c r="Y348" s="121"/>
      <c r="Z348" s="121"/>
      <c r="AA348" s="121"/>
      <c r="AB348" s="121"/>
      <c r="AC348" s="121"/>
      <c r="AD348" s="122"/>
      <c r="AE348" s="122"/>
      <c r="AF348" s="122"/>
      <c r="AG348" s="66"/>
      <c r="AH348" s="46"/>
      <c r="AI348" s="76"/>
      <c r="AJ348" s="97"/>
      <c r="AK348" s="39"/>
      <c r="AL348" s="281"/>
      <c r="AM348" s="281"/>
      <c r="AN348" s="281"/>
      <c r="AO348" s="281"/>
      <c r="AP348" s="280"/>
      <c r="AQ348" s="10">
        <f>Потребность!AD348</f>
        <v>0</v>
      </c>
      <c r="AR348" s="10">
        <f>SUM(Потребность!K348:M348)</f>
        <v>0</v>
      </c>
      <c r="AS348" s="9" t="e">
        <f>Потребность!AZ348</f>
        <v>#N/A</v>
      </c>
      <c r="AT348" s="9">
        <f>Потребность!J348</f>
        <v>0</v>
      </c>
      <c r="AU348" s="9" t="e">
        <f>Потребность!N348/Потребность!$N348</f>
        <v>#DIV/0!</v>
      </c>
      <c r="AV348" s="9" t="e">
        <f>Потребность!O348/Потребность!$N348</f>
        <v>#DIV/0!</v>
      </c>
      <c r="AW348" s="9" t="e">
        <f>Потребность!P348/Потребность!$N348</f>
        <v>#DIV/0!</v>
      </c>
      <c r="AX348" s="9" t="e">
        <f>Потребность!T348/Потребность!$T348</f>
        <v>#DIV/0!</v>
      </c>
      <c r="AY348" s="9" t="e">
        <f>Потребность!U348/Потребность!$T348</f>
        <v>#DIV/0!</v>
      </c>
      <c r="AZ348" s="9" t="e">
        <f>Потребность!V348/Потребность!$T348</f>
        <v>#DIV/0!</v>
      </c>
      <c r="BA348" s="141">
        <f>Потребность!Q348</f>
        <v>0</v>
      </c>
      <c r="BB348">
        <f>Потребность!AC348</f>
        <v>0</v>
      </c>
      <c r="BC348" s="141">
        <f>Потребность!AD348</f>
        <v>0</v>
      </c>
    </row>
    <row r="349" spans="1:55" x14ac:dyDescent="0.2">
      <c r="A349" s="85"/>
      <c r="B349" s="195"/>
      <c r="C349" s="85"/>
      <c r="D349" s="85"/>
      <c r="E349" s="195"/>
      <c r="F349" s="35"/>
      <c r="G349" s="65"/>
      <c r="H349" s="36"/>
      <c r="I349" s="37"/>
      <c r="J349" s="37"/>
      <c r="K349" s="35"/>
      <c r="L349" s="38"/>
      <c r="M349" s="128"/>
      <c r="N349" s="38"/>
      <c r="O349" s="128"/>
      <c r="P349" s="53"/>
      <c r="Q349" s="45"/>
      <c r="R349" s="45"/>
      <c r="S349" s="45"/>
      <c r="T349" s="46"/>
      <c r="U349" s="120"/>
      <c r="V349" s="120"/>
      <c r="W349" s="120"/>
      <c r="X349" s="121"/>
      <c r="Y349" s="121"/>
      <c r="Z349" s="121"/>
      <c r="AA349" s="121"/>
      <c r="AB349" s="121"/>
      <c r="AC349" s="121"/>
      <c r="AD349" s="122"/>
      <c r="AE349" s="122"/>
      <c r="AF349" s="122"/>
      <c r="AG349" s="66"/>
      <c r="AH349" s="46"/>
      <c r="AI349" s="76"/>
      <c r="AJ349" s="97"/>
      <c r="AK349" s="39"/>
      <c r="AL349" s="281"/>
      <c r="AM349" s="281"/>
      <c r="AN349" s="281"/>
      <c r="AO349" s="281"/>
      <c r="AP349" s="280"/>
      <c r="AQ349" s="10">
        <f>Потребность!AD349</f>
        <v>0</v>
      </c>
      <c r="AR349" s="10">
        <f>SUM(Потребность!K349:M349)</f>
        <v>0</v>
      </c>
      <c r="AS349" s="9" t="e">
        <f>Потребность!AZ349</f>
        <v>#N/A</v>
      </c>
      <c r="AT349" s="9">
        <f>Потребность!J349</f>
        <v>0</v>
      </c>
      <c r="AU349" s="9" t="e">
        <f>Потребность!N349/Потребность!$N349</f>
        <v>#DIV/0!</v>
      </c>
      <c r="AV349" s="9" t="e">
        <f>Потребность!O349/Потребность!$N349</f>
        <v>#DIV/0!</v>
      </c>
      <c r="AW349" s="9" t="e">
        <f>Потребность!P349/Потребность!$N349</f>
        <v>#DIV/0!</v>
      </c>
      <c r="AX349" s="9" t="e">
        <f>Потребность!T349/Потребность!$T349</f>
        <v>#DIV/0!</v>
      </c>
      <c r="AY349" s="9" t="e">
        <f>Потребность!U349/Потребность!$T349</f>
        <v>#DIV/0!</v>
      </c>
      <c r="AZ349" s="9" t="e">
        <f>Потребность!V349/Потребность!$T349</f>
        <v>#DIV/0!</v>
      </c>
      <c r="BA349" s="141">
        <f>Потребность!Q349</f>
        <v>0</v>
      </c>
      <c r="BB349">
        <f>Потребность!AC349</f>
        <v>0</v>
      </c>
      <c r="BC349" s="141">
        <f>Потребность!AD349</f>
        <v>0</v>
      </c>
    </row>
    <row r="350" spans="1:55" x14ac:dyDescent="0.2">
      <c r="A350" s="85"/>
      <c r="B350" s="195"/>
      <c r="C350" s="85"/>
      <c r="D350" s="85"/>
      <c r="E350" s="195"/>
      <c r="F350" s="35"/>
      <c r="G350" s="65"/>
      <c r="H350" s="36"/>
      <c r="I350" s="37"/>
      <c r="J350" s="37"/>
      <c r="K350" s="35"/>
      <c r="L350" s="38"/>
      <c r="M350" s="128"/>
      <c r="N350" s="38"/>
      <c r="O350" s="128"/>
      <c r="P350" s="53"/>
      <c r="Q350" s="45"/>
      <c r="R350" s="45"/>
      <c r="S350" s="45"/>
      <c r="T350" s="46"/>
      <c r="U350" s="120"/>
      <c r="V350" s="120"/>
      <c r="W350" s="120"/>
      <c r="X350" s="121"/>
      <c r="Y350" s="121"/>
      <c r="Z350" s="121"/>
      <c r="AA350" s="121"/>
      <c r="AB350" s="121"/>
      <c r="AC350" s="121"/>
      <c r="AD350" s="122"/>
      <c r="AE350" s="122"/>
      <c r="AF350" s="122"/>
      <c r="AG350" s="66"/>
      <c r="AH350" s="46"/>
      <c r="AI350" s="76"/>
      <c r="AJ350" s="97"/>
      <c r="AK350" s="39"/>
      <c r="AL350" s="281"/>
      <c r="AM350" s="281"/>
      <c r="AN350" s="281"/>
      <c r="AO350" s="281"/>
      <c r="AP350" s="280"/>
    </row>
    <row r="351" spans="1:55" x14ac:dyDescent="0.2">
      <c r="A351" s="85"/>
      <c r="B351" s="195"/>
      <c r="C351" s="85"/>
      <c r="D351" s="85"/>
      <c r="E351" s="195"/>
      <c r="F351" s="35"/>
      <c r="G351" s="65"/>
      <c r="H351" s="36"/>
      <c r="I351" s="37"/>
      <c r="J351" s="37"/>
      <c r="K351" s="35"/>
      <c r="L351" s="38"/>
      <c r="M351" s="128"/>
      <c r="N351" s="38"/>
      <c r="O351" s="128"/>
      <c r="P351" s="53"/>
      <c r="Q351" s="45"/>
      <c r="R351" s="45"/>
      <c r="S351" s="45"/>
      <c r="T351" s="46"/>
      <c r="U351" s="120"/>
      <c r="V351" s="120"/>
      <c r="W351" s="120"/>
      <c r="X351" s="121"/>
      <c r="Y351" s="121"/>
      <c r="Z351" s="121"/>
      <c r="AA351" s="121"/>
      <c r="AB351" s="121"/>
      <c r="AC351" s="121"/>
      <c r="AD351" s="122"/>
      <c r="AE351" s="122"/>
      <c r="AF351" s="122"/>
      <c r="AG351" s="66"/>
      <c r="AH351" s="46"/>
      <c r="AI351" s="76"/>
      <c r="AJ351" s="97"/>
      <c r="AK351" s="39"/>
      <c r="AL351" s="281"/>
      <c r="AM351" s="281"/>
      <c r="AN351" s="281"/>
      <c r="AO351" s="281"/>
      <c r="AP351" s="280"/>
    </row>
    <row r="352" spans="1:55" x14ac:dyDescent="0.2">
      <c r="A352" s="85"/>
      <c r="B352" s="195"/>
      <c r="C352" s="85"/>
      <c r="D352" s="85"/>
      <c r="E352" s="195"/>
      <c r="F352" s="35"/>
      <c r="G352" s="65"/>
      <c r="H352" s="36"/>
      <c r="I352" s="37"/>
      <c r="J352" s="37"/>
      <c r="K352" s="35"/>
      <c r="L352" s="38"/>
      <c r="M352" s="128"/>
      <c r="N352" s="38"/>
      <c r="O352" s="128"/>
      <c r="P352" s="53"/>
      <c r="Q352" s="45"/>
      <c r="R352" s="45"/>
      <c r="S352" s="45"/>
      <c r="T352" s="46"/>
      <c r="U352" s="120"/>
      <c r="V352" s="120"/>
      <c r="W352" s="120"/>
      <c r="X352" s="121"/>
      <c r="Y352" s="121"/>
      <c r="Z352" s="121"/>
      <c r="AA352" s="121"/>
      <c r="AB352" s="121"/>
      <c r="AC352" s="121"/>
      <c r="AD352" s="122"/>
      <c r="AE352" s="122"/>
      <c r="AF352" s="122"/>
      <c r="AG352" s="66"/>
      <c r="AH352" s="46"/>
      <c r="AI352" s="76"/>
      <c r="AJ352" s="97"/>
      <c r="AK352" s="39"/>
      <c r="AL352" s="281"/>
      <c r="AM352" s="281"/>
      <c r="AN352" s="281"/>
      <c r="AO352" s="281"/>
      <c r="AP352" s="280"/>
    </row>
    <row r="353" spans="1:42" x14ac:dyDescent="0.2">
      <c r="A353" s="85"/>
      <c r="B353" s="195"/>
      <c r="C353" s="85"/>
      <c r="D353" s="85"/>
      <c r="E353" s="195"/>
      <c r="F353" s="35"/>
      <c r="G353" s="65"/>
      <c r="H353" s="36"/>
      <c r="I353" s="37"/>
      <c r="J353" s="37"/>
      <c r="K353" s="35"/>
      <c r="L353" s="38"/>
      <c r="M353" s="128"/>
      <c r="N353" s="38"/>
      <c r="O353" s="128"/>
      <c r="P353" s="53"/>
      <c r="Q353" s="45"/>
      <c r="R353" s="45"/>
      <c r="S353" s="45"/>
      <c r="T353" s="46"/>
      <c r="U353" s="120"/>
      <c r="V353" s="120"/>
      <c r="W353" s="120"/>
      <c r="X353" s="121"/>
      <c r="Y353" s="121"/>
      <c r="Z353" s="121"/>
      <c r="AA353" s="121"/>
      <c r="AB353" s="121"/>
      <c r="AC353" s="121"/>
      <c r="AD353" s="122"/>
      <c r="AE353" s="122"/>
      <c r="AF353" s="122"/>
      <c r="AG353" s="66"/>
      <c r="AH353" s="46"/>
      <c r="AI353" s="76"/>
      <c r="AJ353" s="97"/>
      <c r="AK353" s="39"/>
      <c r="AL353" s="281"/>
      <c r="AM353" s="281"/>
      <c r="AN353" s="281"/>
      <c r="AO353" s="281"/>
      <c r="AP353" s="280"/>
    </row>
    <row r="354" spans="1:42" x14ac:dyDescent="0.2">
      <c r="A354" s="85"/>
      <c r="B354" s="195"/>
      <c r="C354" s="85"/>
      <c r="D354" s="85"/>
      <c r="E354" s="195"/>
      <c r="F354" s="35"/>
      <c r="G354" s="65"/>
      <c r="H354" s="36"/>
      <c r="I354" s="37"/>
      <c r="J354" s="37"/>
      <c r="K354" s="35"/>
      <c r="L354" s="38"/>
      <c r="M354" s="128"/>
      <c r="N354" s="38"/>
      <c r="O354" s="128"/>
      <c r="P354" s="53"/>
      <c r="Q354" s="45"/>
      <c r="R354" s="45"/>
      <c r="S354" s="45"/>
      <c r="T354" s="46"/>
      <c r="U354" s="120"/>
      <c r="V354" s="120"/>
      <c r="W354" s="120"/>
      <c r="X354" s="121"/>
      <c r="Y354" s="121"/>
      <c r="Z354" s="121"/>
      <c r="AA354" s="121"/>
      <c r="AB354" s="121"/>
      <c r="AC354" s="121"/>
      <c r="AD354" s="122"/>
      <c r="AE354" s="122"/>
      <c r="AF354" s="122"/>
      <c r="AG354" s="66"/>
      <c r="AH354" s="46"/>
      <c r="AI354" s="76"/>
      <c r="AJ354" s="97"/>
      <c r="AK354" s="39"/>
      <c r="AL354" s="281"/>
      <c r="AM354" s="281"/>
      <c r="AN354" s="281"/>
      <c r="AO354" s="281"/>
      <c r="AP354" s="280"/>
    </row>
    <row r="355" spans="1:42" x14ac:dyDescent="0.2">
      <c r="A355" s="85"/>
      <c r="B355" s="195"/>
      <c r="C355" s="85"/>
      <c r="D355" s="85"/>
      <c r="E355" s="195"/>
      <c r="F355" s="35"/>
      <c r="G355" s="65"/>
      <c r="H355" s="36"/>
      <c r="I355" s="37"/>
      <c r="J355" s="37"/>
      <c r="K355" s="35"/>
      <c r="L355" s="38"/>
      <c r="M355" s="128"/>
      <c r="N355" s="38"/>
      <c r="O355" s="128"/>
      <c r="P355" s="53"/>
      <c r="Q355" s="45"/>
      <c r="R355" s="45"/>
      <c r="S355" s="45"/>
      <c r="T355" s="46"/>
      <c r="U355" s="120"/>
      <c r="V355" s="120"/>
      <c r="W355" s="120"/>
      <c r="X355" s="121"/>
      <c r="Y355" s="121"/>
      <c r="Z355" s="121"/>
      <c r="AA355" s="121"/>
      <c r="AB355" s="121"/>
      <c r="AC355" s="121"/>
      <c r="AD355" s="122"/>
      <c r="AE355" s="122"/>
      <c r="AF355" s="122"/>
      <c r="AG355" s="66"/>
      <c r="AH355" s="46"/>
      <c r="AI355" s="76"/>
      <c r="AJ355" s="97"/>
      <c r="AK355" s="39"/>
      <c r="AL355" s="281"/>
      <c r="AM355" s="281"/>
      <c r="AN355" s="281"/>
      <c r="AO355" s="281"/>
      <c r="AP355" s="280"/>
    </row>
    <row r="356" spans="1:42" x14ac:dyDescent="0.2">
      <c r="A356" s="85"/>
      <c r="B356" s="195"/>
      <c r="C356" s="85"/>
      <c r="D356" s="85"/>
      <c r="E356" s="195"/>
      <c r="F356" s="35"/>
      <c r="G356" s="65"/>
      <c r="H356" s="36"/>
      <c r="I356" s="37"/>
      <c r="J356" s="37"/>
      <c r="K356" s="35"/>
      <c r="L356" s="38"/>
      <c r="M356" s="128"/>
      <c r="N356" s="38"/>
      <c r="O356" s="128"/>
      <c r="P356" s="53"/>
      <c r="Q356" s="45"/>
      <c r="R356" s="45"/>
      <c r="S356" s="45"/>
      <c r="T356" s="46"/>
      <c r="U356" s="120"/>
      <c r="V356" s="120"/>
      <c r="W356" s="120"/>
      <c r="X356" s="121"/>
      <c r="Y356" s="121"/>
      <c r="Z356" s="121"/>
      <c r="AA356" s="121"/>
      <c r="AB356" s="121"/>
      <c r="AC356" s="121"/>
      <c r="AD356" s="122"/>
      <c r="AE356" s="122"/>
      <c r="AF356" s="122"/>
      <c r="AG356" s="66"/>
      <c r="AH356" s="46"/>
      <c r="AI356" s="76"/>
      <c r="AJ356" s="97"/>
      <c r="AK356" s="39"/>
      <c r="AL356" s="281"/>
      <c r="AM356" s="281"/>
      <c r="AN356" s="281"/>
      <c r="AO356" s="281"/>
      <c r="AP356" s="280"/>
    </row>
  </sheetData>
  <sheetProtection sheet="1" objects="1" scenarios="1"/>
  <protectedRanges>
    <protectedRange sqref="AP22:AP356" name="Диапазон5"/>
    <protectedRange sqref="A22:AK356" name="Диапазон3_1_2"/>
    <protectedRange sqref="A1" name="Диапазон4_2_1_1"/>
    <protectedRange sqref="AL22:AO356" name="Диапазон3_1_1_1"/>
    <protectedRange sqref="AL1:AP14" name="Диапазон1_1_1_1_1"/>
  </protectedRanges>
  <mergeCells count="16">
    <mergeCell ref="AD20:AF20"/>
    <mergeCell ref="AD19:AF19"/>
    <mergeCell ref="AU18:AZ19"/>
    <mergeCell ref="BA18:BC18"/>
    <mergeCell ref="AL19:AO19"/>
    <mergeCell ref="BB19:BC19"/>
    <mergeCell ref="AU20:AW20"/>
    <mergeCell ref="AX20:AZ20"/>
    <mergeCell ref="BB20:BC20"/>
    <mergeCell ref="X20:Z20"/>
    <mergeCell ref="K19:O19"/>
    <mergeCell ref="Q19:W19"/>
    <mergeCell ref="X19:AC19"/>
    <mergeCell ref="L20:M20"/>
    <mergeCell ref="N20:O20"/>
    <mergeCell ref="T20:U20"/>
  </mergeCells>
  <phoneticPr fontId="5" type="noConversion"/>
  <dataValidations count="12">
    <dataValidation type="list" allowBlank="1" showInputMessage="1" showErrorMessage="1" sqref="AP23:AP356">
      <formula1>До_посева</formula1>
    </dataValidation>
    <dataValidation type="list" allowBlank="1" showInputMessage="1" showErrorMessage="1" sqref="L22:L356 N22:N356">
      <formula1>Кирсанов</formula1>
    </dataValidation>
    <dataValidation type="list" allowBlank="1" showInputMessage="1" showErrorMessage="1" sqref="G22:G356">
      <formula1>МехСостав</formula1>
    </dataValidation>
    <dataValidation type="list" allowBlank="1" showInputMessage="1" showErrorMessage="1" sqref="F22:F356">
      <formula1>ТипПочвы</formula1>
    </dataValidation>
    <dataValidation type="list" allowBlank="1" showInputMessage="1" showErrorMessage="1" sqref="AH22:AH356 T22:T356">
      <formula1>Культура</formula1>
    </dataValidation>
    <dataValidation type="list" allowBlank="1" showInputMessage="1" showErrorMessage="1" sqref="AI22:AI356">
      <formula1>ГруппаКультур</formula1>
    </dataValidation>
    <dataValidation type="list" allowBlank="1" showInputMessage="1" showErrorMessage="1" sqref="AG22:AG356">
      <formula1>Раздельно</formula1>
    </dataValidation>
    <dataValidation type="list" allowBlank="1" showInputMessage="1" showErrorMessage="1" sqref="P22:P356">
      <formula1>Увлажнение</formula1>
    </dataValidation>
    <dataValidation type="list" allowBlank="1" showInputMessage="1" showErrorMessage="1" sqref="AV1">
      <formula1>Ашлама</formula1>
    </dataValidation>
    <dataValidation type="list" allowBlank="1" showInputMessage="1" showErrorMessage="1" sqref="AL22:AO356">
      <formula1>АшламаЛ3</formula1>
    </dataValidation>
    <dataValidation type="list" allowBlank="1" showInputMessage="1" showErrorMessage="1" sqref="AV2:AV14">
      <formula1>АшламаДВ_Irekle</formula1>
    </dataValidation>
    <dataValidation type="list" allowBlank="1" showInputMessage="1" showErrorMessage="1" errorTitle="Ошибка" error="Ввести из списка" sqref="AP22">
      <formula1>До_посева</formula1>
    </dataValidation>
  </dataValidations>
  <pageMargins left="0.75" right="0.75" top="1" bottom="1" header="0.5" footer="0.5"/>
  <pageSetup paperSize="9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108</vt:i4>
      </vt:variant>
    </vt:vector>
  </HeadingPairs>
  <TitlesOfParts>
    <vt:vector size="126" baseType="lpstr">
      <vt:lpstr>Л11</vt:lpstr>
      <vt:lpstr>Л10</vt:lpstr>
      <vt:lpstr>Л9</vt:lpstr>
      <vt:lpstr>Л8</vt:lpstr>
      <vt:lpstr>Л7</vt:lpstr>
      <vt:lpstr>Л6</vt:lpstr>
      <vt:lpstr>Л5</vt:lpstr>
      <vt:lpstr>Л4</vt:lpstr>
      <vt:lpstr>Л3</vt:lpstr>
      <vt:lpstr>Л1</vt:lpstr>
      <vt:lpstr>Исходн.данные.</vt:lpstr>
      <vt:lpstr>Потребность</vt:lpstr>
      <vt:lpstr>Расчет2</vt:lpstr>
      <vt:lpstr>Расчет</vt:lpstr>
      <vt:lpstr>Лист2</vt:lpstr>
      <vt:lpstr>Справ</vt:lpstr>
      <vt:lpstr>Удобрения</vt:lpstr>
      <vt:lpstr>Коэффициенты</vt:lpstr>
      <vt:lpstr>Cultura</vt:lpstr>
      <vt:lpstr>K.Isp_Min.ud</vt:lpstr>
      <vt:lpstr>K_MinUd_1g_ob</vt:lpstr>
      <vt:lpstr>K_MinUd_1g_um</vt:lpstr>
      <vt:lpstr>K_MinUd_2g_ob</vt:lpstr>
      <vt:lpstr>K_MinUd_2g_um</vt:lpstr>
      <vt:lpstr>K_MinUd_3g_um</vt:lpstr>
      <vt:lpstr>K_OrgUd_1g_ob</vt:lpstr>
      <vt:lpstr>K_OrgUd_1g_um</vt:lpstr>
      <vt:lpstr>K_OrgUd_2g_ob</vt:lpstr>
      <vt:lpstr>K_OrgUd_2g_um</vt:lpstr>
      <vt:lpstr>K_OrgUd_3g_ob</vt:lpstr>
      <vt:lpstr>K_OrgUd_3g_um</vt:lpstr>
      <vt:lpstr>K_Sider</vt:lpstr>
      <vt:lpstr>K_Soloma</vt:lpstr>
      <vt:lpstr>K_Wyn</vt:lpstr>
      <vt:lpstr>kultura</vt:lpstr>
      <vt:lpstr>N</vt:lpstr>
      <vt:lpstr>N_MinUd_1g_ob</vt:lpstr>
      <vt:lpstr>N_MinUd_1g_um</vt:lpstr>
      <vt:lpstr>N_MinUd_2g_ob</vt:lpstr>
      <vt:lpstr>N_MinUd_2g_um</vt:lpstr>
      <vt:lpstr>N_Org</vt:lpstr>
      <vt:lpstr>N_OrgUd_1g_ob</vt:lpstr>
      <vt:lpstr>N_OrgUd_1g_um</vt:lpstr>
      <vt:lpstr>N_OrgUd_2g_ob</vt:lpstr>
      <vt:lpstr>N_OrgUd_2g_um</vt:lpstr>
      <vt:lpstr>N_OrgUd_3g</vt:lpstr>
      <vt:lpstr>N_Rizoagr</vt:lpstr>
      <vt:lpstr>N_Rizotorf</vt:lpstr>
      <vt:lpstr>N_Sider</vt:lpstr>
      <vt:lpstr>N_Soloma</vt:lpstr>
      <vt:lpstr>N_Щ.Г_Мн_л_тр.Ов.Проп_um.uvl</vt:lpstr>
      <vt:lpstr>N_Щ_Г_М.Т_Ов_Проп_ob.uwl</vt:lpstr>
      <vt:lpstr>N_ЩелГ_Одн_л_тр_ob_uwl</vt:lpstr>
      <vt:lpstr>N_ЩелГ_Одн_л_тр_um.uvl</vt:lpstr>
      <vt:lpstr>N_ЩелГ_Оз_З_П.um.uvl</vt:lpstr>
      <vt:lpstr>N_ЩелГ_Оз_З_Пар_ob_uwl</vt:lpstr>
      <vt:lpstr>N_ЩелГ_Оз_Ч_П.um.uvl</vt:lpstr>
      <vt:lpstr>N_ЩелГ_Оз_Ч_П_ob.uwl</vt:lpstr>
      <vt:lpstr>N_ЩелГ_Яр_З_ob_uwl</vt:lpstr>
      <vt:lpstr>N_ЩелГ_Яр_зер.um.uvl</vt:lpstr>
      <vt:lpstr>Nрасч</vt:lpstr>
      <vt:lpstr>P_MinUd_1g_ob</vt:lpstr>
      <vt:lpstr>P_MinUd_1g_um</vt:lpstr>
      <vt:lpstr>P_MinUd_2g_ob</vt:lpstr>
      <vt:lpstr>P_MinUd_2g_um</vt:lpstr>
      <vt:lpstr>P_MinUd_3g</vt:lpstr>
      <vt:lpstr>P_OrgUd_1g_ob</vt:lpstr>
      <vt:lpstr>P_OrgUd_1g_um</vt:lpstr>
      <vt:lpstr>P_OrgUd_2g_ob</vt:lpstr>
      <vt:lpstr>P_OrgUd_2g_um</vt:lpstr>
      <vt:lpstr>P_OrgUd_3g</vt:lpstr>
      <vt:lpstr>P_Rizoagr</vt:lpstr>
      <vt:lpstr>P_Sider</vt:lpstr>
      <vt:lpstr>P_Soloma</vt:lpstr>
      <vt:lpstr>Ашлама</vt:lpstr>
      <vt:lpstr>АшламаДВ_Gomumy</vt:lpstr>
      <vt:lpstr>АшламаДВ_Irekle</vt:lpstr>
      <vt:lpstr>АшламаИД</vt:lpstr>
      <vt:lpstr>АшламаЛ1</vt:lpstr>
      <vt:lpstr>АшламаЛ10</vt:lpstr>
      <vt:lpstr>АшламаЛ11</vt:lpstr>
      <vt:lpstr>АшламаЛ3</vt:lpstr>
      <vt:lpstr>АшламаЛ4</vt:lpstr>
      <vt:lpstr>АшламаЛ5</vt:lpstr>
      <vt:lpstr>АшламаЛ6</vt:lpstr>
      <vt:lpstr>АшламаЛ7</vt:lpstr>
      <vt:lpstr>АшламаЛ8</vt:lpstr>
      <vt:lpstr>АшламаЛ9</vt:lpstr>
      <vt:lpstr>Вакыт</vt:lpstr>
      <vt:lpstr>ГруппаКультур</vt:lpstr>
      <vt:lpstr>До_посева</vt:lpstr>
      <vt:lpstr>К.МетОпр</vt:lpstr>
      <vt:lpstr>К_Org</vt:lpstr>
      <vt:lpstr>Кирсанов</vt:lpstr>
      <vt:lpstr>КоэфПерГум</vt:lpstr>
      <vt:lpstr>Коэффициенты_уравнения_зависимости_от_сод_в_почве</vt:lpstr>
      <vt:lpstr>Культура</vt:lpstr>
      <vt:lpstr>Культуры</vt:lpstr>
      <vt:lpstr>Культуры.Информация</vt:lpstr>
      <vt:lpstr>Метод_опр_Р2О5</vt:lpstr>
      <vt:lpstr>МетОпрКал</vt:lpstr>
      <vt:lpstr>МетОпрФос</vt:lpstr>
      <vt:lpstr>МехСостав</vt:lpstr>
      <vt:lpstr>Потребность!Область_печати</vt:lpstr>
      <vt:lpstr>Расчет2!Область_печати</vt:lpstr>
      <vt:lpstr>ПопрКоМетАн</vt:lpstr>
      <vt:lpstr>ПопрКоэф_к_КоэфИспПочв</vt:lpstr>
      <vt:lpstr>Р_Org</vt:lpstr>
      <vt:lpstr>Раздельно</vt:lpstr>
      <vt:lpstr>РацУрож</vt:lpstr>
      <vt:lpstr>ТипПочвы</vt:lpstr>
      <vt:lpstr>Увлажнение</vt:lpstr>
      <vt:lpstr>УдАзДВ</vt:lpstr>
      <vt:lpstr>УдАзКг_гаФВ</vt:lpstr>
      <vt:lpstr>УдКал</vt:lpstr>
      <vt:lpstr>УдКалДВ</vt:lpstr>
      <vt:lpstr>УдКалКг_гаФВ</vt:lpstr>
      <vt:lpstr>Удобрение</vt:lpstr>
      <vt:lpstr>Удобрения</vt:lpstr>
      <vt:lpstr>УдОсДВ</vt:lpstr>
      <vt:lpstr>УдРядДВ</vt:lpstr>
      <vt:lpstr>УдРядКг_гаФВ</vt:lpstr>
      <vt:lpstr>УдСложДВ</vt:lpstr>
      <vt:lpstr>УдСложКг_гаФВ</vt:lpstr>
      <vt:lpstr>УрЕстПлод</vt:lpstr>
      <vt:lpstr>УрожПлан</vt:lpstr>
    </vt:vector>
  </TitlesOfParts>
  <Company>ГЦАС "Татарский"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Mustafin</dc:creator>
  <cp:lastModifiedBy>OPSH</cp:lastModifiedBy>
  <cp:lastPrinted>2013-05-01T07:38:27Z</cp:lastPrinted>
  <dcterms:created xsi:type="dcterms:W3CDTF">2006-02-16T09:48:21Z</dcterms:created>
  <dcterms:modified xsi:type="dcterms:W3CDTF">2016-04-06T11:06:13Z</dcterms:modified>
</cp:coreProperties>
</file>